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nergyqonline.sharepoint.com/sites/AER2025/Shared Documents/General/Revised Regulatory Proposal (Energex &amp; Ergon)/RRP Supporting Docs_Ergon/05 Capex/5.05 Repex/"/>
    </mc:Choice>
  </mc:AlternateContent>
  <xr:revisionPtr revIDLastSave="2" documentId="13_ncr:1_{ACE78BC5-C2C3-4A02-A08F-19CB319DD2E3}" xr6:coauthVersionLast="47" xr6:coauthVersionMax="47" xr10:uidLastSave="{5B05F3D2-6F92-4FA0-A892-F9ADAF3B7185}"/>
  <bookViews>
    <workbookView xWindow="25080" yWindow="-120" windowWidth="25440" windowHeight="15390" tabRatio="703" firstSheet="8" activeTab="19" xr2:uid="{9DDE9A54-B875-4E8D-BE1F-EEF4BA510DC6}"/>
  </bookViews>
  <sheets>
    <sheet name="Log" sheetId="9" state="hidden" r:id="rId1"/>
    <sheet name="RIN BackCast (Rosetta)" sheetId="6" state="hidden" r:id="rId2"/>
    <sheet name="RIN 2.12 2022-2023 REPEX" sheetId="23" state="hidden" r:id="rId3"/>
    <sheet name="2022-23 Input" sheetId="17" state="hidden" r:id="rId4"/>
    <sheet name="Defect P1" sheetId="24" r:id="rId5"/>
    <sheet name="Defect P2" sheetId="7" r:id="rId6"/>
    <sheet name="RTS" sheetId="3" r:id="rId7"/>
    <sheet name="Defect (Total)" sheetId="12" r:id="rId8"/>
    <sheet name="Planned" sheetId="14" r:id="rId9"/>
    <sheet name="Reconductor" sheetId="15" r:id="rId10"/>
    <sheet name="CTGS" sheetId="19" r:id="rId11"/>
    <sheet name="Substation 2025$" sheetId="20" r:id="rId12"/>
    <sheet name="Comms" sheetId="21" state="hidden" r:id="rId13"/>
    <sheet name="Unit Cost Rate Summary" sheetId="22" state="hidden" r:id="rId14"/>
    <sheet name="Distribution Summary" sheetId="16" r:id="rId15"/>
    <sheet name="Summary 2023$" sheetId="27" r:id="rId16"/>
    <sheet name="Summary_2025$" sheetId="31" r:id="rId17"/>
    <sheet name="Summary 2024-25 Real $" sheetId="29" state="hidden" r:id="rId18"/>
    <sheet name="Business Case Split" sheetId="26" state="hidden" r:id="rId19"/>
    <sheet name="Business Case Split 2025$" sheetId="32" r:id="rId20"/>
    <sheet name="Business Case Split (2)" sheetId="30" state="hidden" r:id="rId21"/>
    <sheet name="From BCs" sheetId="28" state="hidden" r:id="rId22"/>
    <sheet name="Financial Escalation" sheetId="25" state="hidden" r:id="rId23"/>
    <sheet name="Lookup" sheetId="13" state="hidden" r:id="rId24"/>
  </sheets>
  <definedNames>
    <definedName name="_xlnm._FilterDatabase" localSheetId="3" hidden="1">'2022-23 Input'!$A$6:$AH$6</definedName>
    <definedName name="_xlnm._FilterDatabase" localSheetId="18" hidden="1">'Business Case Split'!$A$6:$AD$140</definedName>
    <definedName name="_xlnm._FilterDatabase" localSheetId="20" hidden="1">'Business Case Split (2)'!$A$6:$AC$168</definedName>
    <definedName name="_xlnm._FilterDatabase" localSheetId="19" hidden="1">'Business Case Split 2025$'!$A$6:$AB$140</definedName>
    <definedName name="_xlnm._FilterDatabase" localSheetId="12" hidden="1">Comms!$A$6:$CV$133</definedName>
    <definedName name="_xlnm._FilterDatabase" localSheetId="10" hidden="1">CTGS!$A$6:$CZ$6</definedName>
    <definedName name="_xlnm._FilterDatabase" localSheetId="7" hidden="1">'Defect (Total)'!$A$6:$BT$6</definedName>
    <definedName name="_xlnm._FilterDatabase" localSheetId="4" hidden="1">'Defect P1'!$A$6:$CZ$133</definedName>
    <definedName name="_xlnm._FilterDatabase" localSheetId="5" hidden="1">'Defect P2'!$A$6:$CZ$147</definedName>
    <definedName name="_xlnm._FilterDatabase" localSheetId="14" hidden="1">'Distribution Summary'!$A$6:$BU$147</definedName>
    <definedName name="_xlnm._FilterDatabase" localSheetId="8" hidden="1">Planned!$A$6:$CZ$133</definedName>
    <definedName name="_xlnm._FilterDatabase" localSheetId="9" hidden="1">Reconductor!$A$6:$CZ$133</definedName>
    <definedName name="_xlnm._FilterDatabase" localSheetId="6" hidden="1">RTS!$A$6:$CZ$133</definedName>
    <definedName name="_xlnm._FilterDatabase" localSheetId="11" hidden="1">'Substation 2025$'!$A$6:$CZ$133</definedName>
    <definedName name="_xlnm._FilterDatabase" localSheetId="15" hidden="1">'Summary 2023$'!$A$6:$BT$6</definedName>
    <definedName name="_xlnm._FilterDatabase" localSheetId="17" hidden="1">'Summary 2024-25 Real $'!$A$6:$U$6</definedName>
    <definedName name="_xlnm._FilterDatabase" localSheetId="16" hidden="1">'Summary_2025$'!$A$6:$BT$6</definedName>
    <definedName name="_xlnm._FilterDatabase" localSheetId="13" hidden="1">'Unit Cost Rate Summary'!$A$6:$AH$133</definedName>
    <definedName name="solver_adj" localSheetId="7" hidden="1">'Defect (Total)'!$BA$173</definedName>
    <definedName name="solver_adj" localSheetId="5" hidden="1">'Defect P2'!$BD$4</definedName>
    <definedName name="solver_cvg" localSheetId="7" hidden="1">0.0001</definedName>
    <definedName name="solver_cvg" localSheetId="5" hidden="1">0.0001</definedName>
    <definedName name="solver_drv" localSheetId="7" hidden="1">1</definedName>
    <definedName name="solver_drv" localSheetId="5" hidden="1">2</definedName>
    <definedName name="solver_eng" localSheetId="7" hidden="1">1</definedName>
    <definedName name="solver_eng" localSheetId="5" hidden="1">1</definedName>
    <definedName name="solver_est" localSheetId="7" hidden="1">1</definedName>
    <definedName name="solver_est" localSheetId="5" hidden="1">1</definedName>
    <definedName name="solver_itr" localSheetId="7" hidden="1">2147483647</definedName>
    <definedName name="solver_itr" localSheetId="5" hidden="1">2147483647</definedName>
    <definedName name="solver_mip" localSheetId="7" hidden="1">2147483647</definedName>
    <definedName name="solver_mip" localSheetId="5" hidden="1">2147483647</definedName>
    <definedName name="solver_mni" localSheetId="7" hidden="1">30</definedName>
    <definedName name="solver_mni" localSheetId="5" hidden="1">30</definedName>
    <definedName name="solver_mrt" localSheetId="7" hidden="1">0.075</definedName>
    <definedName name="solver_mrt" localSheetId="5" hidden="1">0.075</definedName>
    <definedName name="solver_msl" localSheetId="7" hidden="1">2</definedName>
    <definedName name="solver_msl" localSheetId="5" hidden="1">2</definedName>
    <definedName name="solver_neg" localSheetId="7" hidden="1">1</definedName>
    <definedName name="solver_neg" localSheetId="5" hidden="1">1</definedName>
    <definedName name="solver_nod" localSheetId="7" hidden="1">2147483647</definedName>
    <definedName name="solver_nod" localSheetId="5" hidden="1">2147483647</definedName>
    <definedName name="solver_num" localSheetId="7" hidden="1">0</definedName>
    <definedName name="solver_num" localSheetId="5" hidden="1">0</definedName>
    <definedName name="solver_nwt" localSheetId="7" hidden="1">1</definedName>
    <definedName name="solver_nwt" localSheetId="5" hidden="1">1</definedName>
    <definedName name="solver_opt" localSheetId="7" hidden="1">'Defect (Total)'!$BA$3</definedName>
    <definedName name="solver_opt" localSheetId="5" hidden="1">'Defect P2'!$BD$2</definedName>
    <definedName name="solver_pre" localSheetId="7" hidden="1">0.000001</definedName>
    <definedName name="solver_pre" localSheetId="5" hidden="1">0.000001</definedName>
    <definedName name="solver_rbv" localSheetId="7" hidden="1">1</definedName>
    <definedName name="solver_rbv" localSheetId="5" hidden="1">2</definedName>
    <definedName name="solver_rlx" localSheetId="7" hidden="1">2</definedName>
    <definedName name="solver_rlx" localSheetId="5" hidden="1">2</definedName>
    <definedName name="solver_rsd" localSheetId="7" hidden="1">0</definedName>
    <definedName name="solver_rsd" localSheetId="5" hidden="1">0</definedName>
    <definedName name="solver_scl" localSheetId="7" hidden="1">1</definedName>
    <definedName name="solver_scl" localSheetId="5" hidden="1">2</definedName>
    <definedName name="solver_sho" localSheetId="7" hidden="1">2</definedName>
    <definedName name="solver_sho" localSheetId="5" hidden="1">2</definedName>
    <definedName name="solver_ssz" localSheetId="7" hidden="1">100</definedName>
    <definedName name="solver_ssz" localSheetId="5" hidden="1">100</definedName>
    <definedName name="solver_tim" localSheetId="7" hidden="1">2147483647</definedName>
    <definedName name="solver_tim" localSheetId="5" hidden="1">2147483647</definedName>
    <definedName name="solver_tol" localSheetId="7" hidden="1">0.01</definedName>
    <definedName name="solver_tol" localSheetId="5" hidden="1">0.01</definedName>
    <definedName name="solver_typ" localSheetId="7" hidden="1">3</definedName>
    <definedName name="solver_typ" localSheetId="5" hidden="1">3</definedName>
    <definedName name="solver_val" localSheetId="7" hidden="1">0</definedName>
    <definedName name="solver_val" localSheetId="5" hidden="1">0</definedName>
    <definedName name="solver_ver" localSheetId="7" hidden="1">3</definedName>
    <definedName name="solver_ver" localSheetId="5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3" i="26" l="1"/>
  <c r="C174" i="26"/>
  <c r="C175" i="26"/>
  <c r="C176" i="26"/>
  <c r="C177" i="26"/>
  <c r="C178" i="26"/>
  <c r="C179" i="26"/>
  <c r="C172" i="26"/>
  <c r="J179" i="26"/>
  <c r="J178" i="26"/>
  <c r="J177" i="26"/>
  <c r="J176" i="26"/>
  <c r="J175" i="26"/>
  <c r="J174" i="26"/>
  <c r="J173" i="26"/>
  <c r="J172" i="26"/>
  <c r="J153" i="26"/>
  <c r="J152" i="26"/>
  <c r="J151" i="26"/>
  <c r="J150" i="26"/>
  <c r="J149" i="26"/>
  <c r="J148" i="26"/>
  <c r="J147" i="26"/>
  <c r="J146" i="26"/>
  <c r="J145" i="26"/>
  <c r="J144" i="26"/>
  <c r="J143" i="26"/>
  <c r="J121" i="26"/>
  <c r="J109" i="26"/>
  <c r="J110" i="26"/>
  <c r="J8" i="26"/>
  <c r="AA138" i="32"/>
  <c r="Z138" i="32"/>
  <c r="Y138" i="32"/>
  <c r="X138" i="32"/>
  <c r="W138" i="32"/>
  <c r="AA137" i="32"/>
  <c r="Z137" i="32"/>
  <c r="Y137" i="32"/>
  <c r="X137" i="32"/>
  <c r="W137" i="32"/>
  <c r="AA136" i="32"/>
  <c r="Z136" i="32"/>
  <c r="Y136" i="32"/>
  <c r="X136" i="32"/>
  <c r="W136" i="32"/>
  <c r="AA135" i="32"/>
  <c r="Z135" i="32"/>
  <c r="Y135" i="32"/>
  <c r="X135" i="32"/>
  <c r="W135" i="32"/>
  <c r="AA134" i="32"/>
  <c r="Z134" i="32"/>
  <c r="Y134" i="32"/>
  <c r="X134" i="32"/>
  <c r="W134" i="32"/>
  <c r="AA133" i="32"/>
  <c r="Z133" i="32"/>
  <c r="Y133" i="32"/>
  <c r="X133" i="32"/>
  <c r="W133" i="32"/>
  <c r="AA132" i="32"/>
  <c r="Z132" i="32"/>
  <c r="Y132" i="32"/>
  <c r="X132" i="32"/>
  <c r="W132" i="32"/>
  <c r="AA131" i="32"/>
  <c r="Z131" i="32"/>
  <c r="Y131" i="32"/>
  <c r="X131" i="32"/>
  <c r="W131" i="32"/>
  <c r="AA130" i="32"/>
  <c r="Z130" i="32"/>
  <c r="Y130" i="32"/>
  <c r="X130" i="32"/>
  <c r="W130" i="32"/>
  <c r="AA129" i="32"/>
  <c r="Z129" i="32"/>
  <c r="Y129" i="32"/>
  <c r="X129" i="32"/>
  <c r="W129" i="32"/>
  <c r="AA128" i="32"/>
  <c r="Z128" i="32"/>
  <c r="Y128" i="32"/>
  <c r="X128" i="32"/>
  <c r="W128" i="32"/>
  <c r="AA127" i="32"/>
  <c r="Z127" i="32"/>
  <c r="Y127" i="32"/>
  <c r="X127" i="32"/>
  <c r="W127" i="32"/>
  <c r="AA126" i="32"/>
  <c r="Z126" i="32"/>
  <c r="Y126" i="32"/>
  <c r="X126" i="32"/>
  <c r="W126" i="32"/>
  <c r="AA125" i="32"/>
  <c r="Z125" i="32"/>
  <c r="Y125" i="32"/>
  <c r="X125" i="32"/>
  <c r="W125" i="32"/>
  <c r="AA124" i="32"/>
  <c r="Z124" i="32"/>
  <c r="Y124" i="32"/>
  <c r="X124" i="32"/>
  <c r="W124" i="32"/>
  <c r="AA123" i="32"/>
  <c r="Z123" i="32"/>
  <c r="Y123" i="32"/>
  <c r="X123" i="32"/>
  <c r="W123" i="32"/>
  <c r="AA122" i="32"/>
  <c r="Z122" i="32"/>
  <c r="Y122" i="32"/>
  <c r="X122" i="32"/>
  <c r="W122" i="32"/>
  <c r="AA121" i="32"/>
  <c r="Z121" i="32"/>
  <c r="Y121" i="32"/>
  <c r="X121" i="32"/>
  <c r="W121" i="32"/>
  <c r="AA120" i="32"/>
  <c r="Z120" i="32"/>
  <c r="Y120" i="32"/>
  <c r="X120" i="32"/>
  <c r="W120" i="32"/>
  <c r="AA119" i="32"/>
  <c r="Z119" i="32"/>
  <c r="Y119" i="32"/>
  <c r="X119" i="32"/>
  <c r="W119" i="32"/>
  <c r="AA118" i="32"/>
  <c r="Z118" i="32"/>
  <c r="Y118" i="32"/>
  <c r="X118" i="32"/>
  <c r="W118" i="32"/>
  <c r="AA117" i="32"/>
  <c r="Z117" i="32"/>
  <c r="Y117" i="32"/>
  <c r="X117" i="32"/>
  <c r="W117" i="32"/>
  <c r="AA116" i="32"/>
  <c r="Z116" i="32"/>
  <c r="Y116" i="32"/>
  <c r="X116" i="32"/>
  <c r="W116" i="32"/>
  <c r="AA115" i="32"/>
  <c r="Z115" i="32"/>
  <c r="Y115" i="32"/>
  <c r="X115" i="32"/>
  <c r="W115" i="32"/>
  <c r="AA114" i="32"/>
  <c r="Z114" i="32"/>
  <c r="Y114" i="32"/>
  <c r="X114" i="32"/>
  <c r="W114" i="32"/>
  <c r="AA113" i="32"/>
  <c r="Z113" i="32"/>
  <c r="Y113" i="32"/>
  <c r="X113" i="32"/>
  <c r="W113" i="32"/>
  <c r="AA112" i="32"/>
  <c r="Z112" i="32"/>
  <c r="Y112" i="32"/>
  <c r="X112" i="32"/>
  <c r="W112" i="32"/>
  <c r="AA111" i="32"/>
  <c r="Z111" i="32"/>
  <c r="Y111" i="32"/>
  <c r="X111" i="32"/>
  <c r="W111" i="32"/>
  <c r="AJ7" i="12"/>
  <c r="AJ8" i="12"/>
  <c r="AJ9" i="12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38" i="12"/>
  <c r="AJ39" i="12"/>
  <c r="AJ40" i="12"/>
  <c r="AJ41" i="12"/>
  <c r="AJ42" i="12"/>
  <c r="AJ43" i="12"/>
  <c r="AJ44" i="12"/>
  <c r="AJ45" i="12"/>
  <c r="AJ46" i="12"/>
  <c r="AJ47" i="12"/>
  <c r="AJ48" i="12"/>
  <c r="AJ49" i="12"/>
  <c r="AJ50" i="12"/>
  <c r="AJ51" i="12"/>
  <c r="AJ52" i="12"/>
  <c r="AJ53" i="12"/>
  <c r="AJ54" i="12"/>
  <c r="AJ55" i="12"/>
  <c r="AJ56" i="12"/>
  <c r="AJ57" i="12"/>
  <c r="AJ58" i="12"/>
  <c r="AJ59" i="12"/>
  <c r="AJ60" i="12"/>
  <c r="AJ61" i="12"/>
  <c r="AJ62" i="12"/>
  <c r="AJ63" i="12"/>
  <c r="AJ64" i="12"/>
  <c r="AJ65" i="12"/>
  <c r="AJ66" i="12"/>
  <c r="AJ67" i="12"/>
  <c r="AJ68" i="12"/>
  <c r="AJ69" i="12"/>
  <c r="AJ70" i="12"/>
  <c r="AJ71" i="12"/>
  <c r="AJ72" i="12"/>
  <c r="AJ73" i="12"/>
  <c r="AJ74" i="12"/>
  <c r="AJ75" i="12"/>
  <c r="AJ76" i="12"/>
  <c r="AJ77" i="12"/>
  <c r="AJ78" i="12"/>
  <c r="AJ79" i="12"/>
  <c r="AJ80" i="12"/>
  <c r="AJ81" i="12"/>
  <c r="AJ82" i="12"/>
  <c r="AJ83" i="12"/>
  <c r="AJ84" i="12"/>
  <c r="AJ85" i="12"/>
  <c r="AJ86" i="12"/>
  <c r="AJ87" i="12"/>
  <c r="AJ88" i="12"/>
  <c r="AJ89" i="12"/>
  <c r="AJ90" i="12"/>
  <c r="AJ91" i="12"/>
  <c r="AJ92" i="12"/>
  <c r="AJ93" i="12"/>
  <c r="AJ94" i="12"/>
  <c r="AJ95" i="12"/>
  <c r="AJ96" i="12"/>
  <c r="AJ97" i="12"/>
  <c r="AJ98" i="12"/>
  <c r="AJ99" i="12"/>
  <c r="AJ100" i="12"/>
  <c r="AJ101" i="12"/>
  <c r="AJ102" i="12"/>
  <c r="AJ103" i="12"/>
  <c r="AJ104" i="12"/>
  <c r="AJ105" i="12"/>
  <c r="AJ106" i="12"/>
  <c r="AJ107" i="12"/>
  <c r="AJ108" i="12"/>
  <c r="AJ109" i="12"/>
  <c r="AJ110" i="12"/>
  <c r="AJ111" i="12"/>
  <c r="AJ112" i="12"/>
  <c r="AJ113" i="12"/>
  <c r="AJ114" i="12"/>
  <c r="AJ115" i="12"/>
  <c r="AJ116" i="12"/>
  <c r="AJ117" i="12"/>
  <c r="AJ118" i="12"/>
  <c r="AJ119" i="12"/>
  <c r="AJ120" i="12"/>
  <c r="AJ121" i="12"/>
  <c r="AJ122" i="12"/>
  <c r="AJ123" i="12"/>
  <c r="AJ124" i="12"/>
  <c r="AJ125" i="12"/>
  <c r="AJ126" i="12"/>
  <c r="AJ127" i="12"/>
  <c r="AJ128" i="12"/>
  <c r="AJ129" i="12"/>
  <c r="AJ130" i="12"/>
  <c r="AJ131" i="12"/>
  <c r="AJ132" i="12"/>
  <c r="V138" i="32"/>
  <c r="V137" i="32"/>
  <c r="V136" i="32"/>
  <c r="V135" i="32"/>
  <c r="V134" i="32"/>
  <c r="V133" i="32"/>
  <c r="V132" i="32"/>
  <c r="V131" i="32"/>
  <c r="V130" i="32"/>
  <c r="V129" i="32"/>
  <c r="V128" i="32"/>
  <c r="V127" i="32"/>
  <c r="V126" i="32"/>
  <c r="V125" i="32"/>
  <c r="V124" i="32"/>
  <c r="V123" i="32"/>
  <c r="V122" i="32"/>
  <c r="V121" i="32"/>
  <c r="V120" i="32"/>
  <c r="V119" i="32"/>
  <c r="V118" i="32"/>
  <c r="V117" i="32"/>
  <c r="V105" i="32"/>
  <c r="V104" i="32"/>
  <c r="V103" i="32"/>
  <c r="V102" i="32"/>
  <c r="V101" i="32"/>
  <c r="V100" i="32"/>
  <c r="V99" i="32"/>
  <c r="V98" i="32"/>
  <c r="V97" i="32"/>
  <c r="V96" i="32"/>
  <c r="V95" i="32"/>
  <c r="V94" i="32"/>
  <c r="V93" i="32"/>
  <c r="V92" i="32"/>
  <c r="V91" i="32"/>
  <c r="V90" i="32"/>
  <c r="V89" i="32"/>
  <c r="V88" i="32"/>
  <c r="V87" i="32"/>
  <c r="V86" i="32"/>
  <c r="V85" i="32"/>
  <c r="V84" i="32"/>
  <c r="V83" i="32"/>
  <c r="V82" i="32"/>
  <c r="V81" i="32"/>
  <c r="V80" i="32"/>
  <c r="V79" i="32"/>
  <c r="V78" i="32"/>
  <c r="V77" i="32"/>
  <c r="V76" i="32"/>
  <c r="V75" i="32"/>
  <c r="V74" i="32"/>
  <c r="V73" i="32"/>
  <c r="V72" i="32"/>
  <c r="V71" i="32"/>
  <c r="V70" i="32"/>
  <c r="V69" i="32"/>
  <c r="V68" i="32"/>
  <c r="V67" i="32"/>
  <c r="V66" i="32"/>
  <c r="V65" i="32"/>
  <c r="V64" i="32"/>
  <c r="V63" i="32"/>
  <c r="V62" i="32"/>
  <c r="V61" i="32"/>
  <c r="V60" i="32"/>
  <c r="V59" i="32"/>
  <c r="V58" i="32"/>
  <c r="V57" i="32"/>
  <c r="V56" i="32"/>
  <c r="V55" i="32"/>
  <c r="V54" i="32"/>
  <c r="V53" i="32"/>
  <c r="V52" i="32"/>
  <c r="V51" i="32"/>
  <c r="V50" i="32"/>
  <c r="V49" i="32"/>
  <c r="V48" i="32"/>
  <c r="V47" i="32"/>
  <c r="V46" i="32"/>
  <c r="V45" i="32"/>
  <c r="V44" i="32"/>
  <c r="V43" i="32"/>
  <c r="V42" i="32"/>
  <c r="V41" i="32"/>
  <c r="V40" i="32"/>
  <c r="V39" i="32"/>
  <c r="V38" i="32"/>
  <c r="V37" i="32"/>
  <c r="V36" i="32"/>
  <c r="V35" i="32"/>
  <c r="V34" i="32"/>
  <c r="V33" i="32"/>
  <c r="V32" i="32"/>
  <c r="V31" i="32"/>
  <c r="V30" i="32"/>
  <c r="V29" i="32"/>
  <c r="V28" i="32"/>
  <c r="V27" i="32"/>
  <c r="V26" i="32"/>
  <c r="V25" i="32"/>
  <c r="V24" i="32"/>
  <c r="V23" i="32"/>
  <c r="V22" i="32"/>
  <c r="V21" i="32"/>
  <c r="V20" i="32"/>
  <c r="V19" i="32"/>
  <c r="V18" i="32"/>
  <c r="V17" i="32"/>
  <c r="V16" i="32"/>
  <c r="V15" i="32"/>
  <c r="V14" i="32"/>
  <c r="V13" i="32"/>
  <c r="V12" i="32"/>
  <c r="V11" i="32"/>
  <c r="V10" i="32"/>
  <c r="V9" i="32"/>
  <c r="V8" i="32"/>
  <c r="V7" i="32"/>
  <c r="J15" i="26" l="1"/>
  <c r="AT191" i="12"/>
  <c r="AS191" i="12"/>
  <c r="AR191" i="12"/>
  <c r="AQ191" i="12"/>
  <c r="AP191" i="12"/>
  <c r="AT190" i="12"/>
  <c r="AS190" i="12"/>
  <c r="AR190" i="12"/>
  <c r="AQ190" i="12"/>
  <c r="AP190" i="12"/>
  <c r="AT189" i="12"/>
  <c r="AS189" i="12"/>
  <c r="AR189" i="12"/>
  <c r="AQ189" i="12"/>
  <c r="AP189" i="12"/>
  <c r="AT188" i="12"/>
  <c r="AS188" i="12"/>
  <c r="AR188" i="12"/>
  <c r="AQ188" i="12"/>
  <c r="AP188" i="12"/>
  <c r="AT187" i="12"/>
  <c r="AS187" i="12"/>
  <c r="AR187" i="12"/>
  <c r="AQ187" i="12"/>
  <c r="AT186" i="12"/>
  <c r="AS186" i="12"/>
  <c r="AR186" i="12"/>
  <c r="AQ186" i="12"/>
  <c r="AP186" i="12"/>
  <c r="AT185" i="12"/>
  <c r="AS185" i="12"/>
  <c r="AR185" i="12"/>
  <c r="AQ185" i="12"/>
  <c r="AP185" i="12"/>
  <c r="AT184" i="12"/>
  <c r="AS184" i="12"/>
  <c r="AR184" i="12"/>
  <c r="AQ184" i="12"/>
  <c r="AP184" i="12"/>
  <c r="AT183" i="12"/>
  <c r="AS183" i="12"/>
  <c r="AR183" i="12"/>
  <c r="AQ183" i="12"/>
  <c r="AP183" i="12"/>
  <c r="AT182" i="12"/>
  <c r="AS182" i="12"/>
  <c r="AR182" i="12"/>
  <c r="AQ182" i="12"/>
  <c r="AP182" i="12"/>
  <c r="AT181" i="12"/>
  <c r="AS181" i="12"/>
  <c r="AR181" i="12"/>
  <c r="AQ181" i="12"/>
  <c r="AP181" i="12"/>
  <c r="AY141" i="15"/>
  <c r="AZ141" i="15"/>
  <c r="N1" i="20"/>
  <c r="N1" i="19"/>
  <c r="N1" i="15"/>
  <c r="N1" i="14"/>
  <c r="N1" i="3"/>
  <c r="AI139" i="6" l="1"/>
  <c r="AI138" i="6"/>
  <c r="AI137" i="6"/>
  <c r="AI136" i="6"/>
  <c r="AI135" i="6"/>
  <c r="AI134" i="6"/>
  <c r="AI133" i="6"/>
  <c r="AI132" i="6"/>
  <c r="AI131" i="6"/>
  <c r="AI130" i="6"/>
  <c r="AI129" i="6"/>
  <c r="S129" i="6"/>
  <c r="S130" i="6"/>
  <c r="S131" i="6"/>
  <c r="S132" i="6"/>
  <c r="S133" i="6"/>
  <c r="S134" i="6"/>
  <c r="S135" i="6"/>
  <c r="S136" i="6"/>
  <c r="S137" i="6"/>
  <c r="S138" i="6"/>
  <c r="S139" i="6"/>
  <c r="AZ8" i="7" l="1"/>
  <c r="AZ8" i="12"/>
  <c r="AI7" i="31"/>
  <c r="AI8" i="31"/>
  <c r="AI9" i="31"/>
  <c r="AI10" i="31"/>
  <c r="AI11" i="31"/>
  <c r="AI12" i="31"/>
  <c r="AI13" i="31"/>
  <c r="AI14" i="31"/>
  <c r="AI15" i="31"/>
  <c r="AI16" i="31"/>
  <c r="AI17" i="31"/>
  <c r="AI18" i="31"/>
  <c r="AI19" i="31"/>
  <c r="AI20" i="31"/>
  <c r="AI21" i="31"/>
  <c r="AI22" i="31"/>
  <c r="AI23" i="31"/>
  <c r="AI24" i="31"/>
  <c r="AI25" i="31"/>
  <c r="AI26" i="31"/>
  <c r="AI27" i="31"/>
  <c r="AI28" i="31"/>
  <c r="AI29" i="31"/>
  <c r="AI30" i="31"/>
  <c r="AI31" i="31"/>
  <c r="AI32" i="31"/>
  <c r="AI33" i="31"/>
  <c r="AI34" i="31"/>
  <c r="AI35" i="31"/>
  <c r="AI36" i="31"/>
  <c r="AI37" i="31"/>
  <c r="AI38" i="31"/>
  <c r="AI39" i="31"/>
  <c r="AI40" i="31"/>
  <c r="AI41" i="31"/>
  <c r="AI42" i="31"/>
  <c r="AI43" i="31"/>
  <c r="AI44" i="31"/>
  <c r="AI45" i="31"/>
  <c r="AI46" i="31"/>
  <c r="AI47" i="31"/>
  <c r="AI48" i="31"/>
  <c r="AI49" i="31"/>
  <c r="AI50" i="31"/>
  <c r="AI51" i="31"/>
  <c r="AI52" i="31"/>
  <c r="AI53" i="31"/>
  <c r="AI54" i="31"/>
  <c r="AI55" i="31"/>
  <c r="AI56" i="31"/>
  <c r="AI57" i="31"/>
  <c r="AI58" i="31"/>
  <c r="AI59" i="31"/>
  <c r="AI60" i="31"/>
  <c r="AI61" i="31"/>
  <c r="AI62" i="31"/>
  <c r="AI63" i="31"/>
  <c r="AI64" i="31"/>
  <c r="AI65" i="31"/>
  <c r="AI66" i="31"/>
  <c r="AI67" i="31"/>
  <c r="AI68" i="31"/>
  <c r="AI69" i="31"/>
  <c r="AI70" i="31"/>
  <c r="AI71" i="31"/>
  <c r="AI72" i="31"/>
  <c r="AI73" i="31"/>
  <c r="AI74" i="31"/>
  <c r="AI75" i="31"/>
  <c r="AI76" i="31"/>
  <c r="AI77" i="31"/>
  <c r="AI78" i="31"/>
  <c r="AI79" i="31"/>
  <c r="AI80" i="31"/>
  <c r="AI81" i="31"/>
  <c r="AI82" i="31"/>
  <c r="AI83" i="31"/>
  <c r="AI84" i="31"/>
  <c r="AI85" i="31"/>
  <c r="AI86" i="31"/>
  <c r="AI87" i="31"/>
  <c r="AI88" i="31"/>
  <c r="AI89" i="31"/>
  <c r="AI90" i="31"/>
  <c r="AI91" i="31"/>
  <c r="AI92" i="31"/>
  <c r="AI93" i="31"/>
  <c r="AI94" i="31"/>
  <c r="AI95" i="31"/>
  <c r="AI96" i="31"/>
  <c r="AI97" i="31"/>
  <c r="AI98" i="31"/>
  <c r="AI99" i="31"/>
  <c r="AI100" i="31"/>
  <c r="AI101" i="31"/>
  <c r="AI102" i="31"/>
  <c r="AI103" i="31"/>
  <c r="AI104" i="31"/>
  <c r="AI105" i="31"/>
  <c r="AI106" i="31"/>
  <c r="AI107" i="31"/>
  <c r="AI108" i="31"/>
  <c r="AI109" i="31"/>
  <c r="AI110" i="31"/>
  <c r="AI111" i="31"/>
  <c r="AI112" i="31"/>
  <c r="AI113" i="31"/>
  <c r="AI114" i="31"/>
  <c r="AI115" i="31"/>
  <c r="AI116" i="31"/>
  <c r="AI117" i="31"/>
  <c r="AI118" i="31"/>
  <c r="AI119" i="31"/>
  <c r="AI120" i="31"/>
  <c r="AI121" i="31"/>
  <c r="AI122" i="31"/>
  <c r="AI123" i="31"/>
  <c r="AI124" i="31"/>
  <c r="AI125" i="31"/>
  <c r="AI126" i="31"/>
  <c r="AI127" i="31"/>
  <c r="AI128" i="31"/>
  <c r="AI129" i="31"/>
  <c r="AI130" i="31"/>
  <c r="AI131" i="31"/>
  <c r="AI132" i="31"/>
  <c r="AI136" i="31"/>
  <c r="M7" i="31"/>
  <c r="AW7" i="31" s="1"/>
  <c r="M8" i="31"/>
  <c r="M9" i="31"/>
  <c r="AW9" i="31" s="1"/>
  <c r="M10" i="31"/>
  <c r="M11" i="31"/>
  <c r="M12" i="31"/>
  <c r="AW12" i="31" s="1"/>
  <c r="M13" i="31"/>
  <c r="AW13" i="31" s="1"/>
  <c r="M14" i="31"/>
  <c r="AW14" i="31" s="1"/>
  <c r="M15" i="31"/>
  <c r="AW15" i="31" s="1"/>
  <c r="M16" i="31"/>
  <c r="M17" i="31"/>
  <c r="AW17" i="31" s="1"/>
  <c r="M18" i="31"/>
  <c r="AW18" i="31" s="1"/>
  <c r="M19" i="31"/>
  <c r="M20" i="31"/>
  <c r="AW20" i="31" s="1"/>
  <c r="M21" i="31"/>
  <c r="AW21" i="31" s="1"/>
  <c r="M22" i="31"/>
  <c r="AW22" i="31" s="1"/>
  <c r="M23" i="31"/>
  <c r="AW23" i="31" s="1"/>
  <c r="M24" i="31"/>
  <c r="M25" i="31"/>
  <c r="AW25" i="31" s="1"/>
  <c r="M26" i="31"/>
  <c r="AW26" i="31" s="1"/>
  <c r="M27" i="31"/>
  <c r="M28" i="31"/>
  <c r="AW28" i="31" s="1"/>
  <c r="M29" i="31"/>
  <c r="AW29" i="31" s="1"/>
  <c r="M30" i="31"/>
  <c r="AW30" i="31" s="1"/>
  <c r="M31" i="31"/>
  <c r="AW31" i="31" s="1"/>
  <c r="M32" i="31"/>
  <c r="M33" i="31"/>
  <c r="AW33" i="31" s="1"/>
  <c r="M34" i="31"/>
  <c r="AW34" i="31" s="1"/>
  <c r="M35" i="31"/>
  <c r="M36" i="31"/>
  <c r="AW36" i="31" s="1"/>
  <c r="M37" i="31"/>
  <c r="AW37" i="31" s="1"/>
  <c r="M38" i="31"/>
  <c r="AW38" i="31" s="1"/>
  <c r="M39" i="31"/>
  <c r="AW39" i="31" s="1"/>
  <c r="M40" i="31"/>
  <c r="M41" i="31"/>
  <c r="AW41" i="31" s="1"/>
  <c r="M42" i="31"/>
  <c r="AW42" i="31" s="1"/>
  <c r="M43" i="31"/>
  <c r="M44" i="31"/>
  <c r="AW44" i="31" s="1"/>
  <c r="M45" i="31"/>
  <c r="AW45" i="31" s="1"/>
  <c r="M46" i="31"/>
  <c r="AW46" i="31" s="1"/>
  <c r="M47" i="31"/>
  <c r="AW47" i="31" s="1"/>
  <c r="M48" i="31"/>
  <c r="M49" i="31"/>
  <c r="AW49" i="31" s="1"/>
  <c r="M50" i="31"/>
  <c r="AW50" i="31" s="1"/>
  <c r="M51" i="31"/>
  <c r="M52" i="31"/>
  <c r="AW52" i="31" s="1"/>
  <c r="M53" i="31"/>
  <c r="AW53" i="31" s="1"/>
  <c r="M54" i="31"/>
  <c r="AW54" i="31" s="1"/>
  <c r="M55" i="31"/>
  <c r="AW55" i="31" s="1"/>
  <c r="M56" i="31"/>
  <c r="M57" i="31"/>
  <c r="AW57" i="31" s="1"/>
  <c r="M58" i="31"/>
  <c r="AW58" i="31" s="1"/>
  <c r="M59" i="31"/>
  <c r="M60" i="31"/>
  <c r="AW60" i="31" s="1"/>
  <c r="M61" i="31"/>
  <c r="AW61" i="31" s="1"/>
  <c r="M62" i="31"/>
  <c r="AW62" i="31" s="1"/>
  <c r="M63" i="31"/>
  <c r="AW63" i="31" s="1"/>
  <c r="M64" i="31"/>
  <c r="M65" i="31"/>
  <c r="AW65" i="31" s="1"/>
  <c r="M66" i="31"/>
  <c r="AW66" i="31" s="1"/>
  <c r="M67" i="31"/>
  <c r="M68" i="31"/>
  <c r="AW68" i="31" s="1"/>
  <c r="M69" i="31"/>
  <c r="AW69" i="31" s="1"/>
  <c r="M70" i="31"/>
  <c r="AW70" i="31" s="1"/>
  <c r="M71" i="31"/>
  <c r="AW71" i="31" s="1"/>
  <c r="M72" i="31"/>
  <c r="M73" i="31"/>
  <c r="AW73" i="31" s="1"/>
  <c r="M74" i="31"/>
  <c r="AW74" i="31" s="1"/>
  <c r="M75" i="31"/>
  <c r="M76" i="31"/>
  <c r="AW76" i="31" s="1"/>
  <c r="M77" i="31"/>
  <c r="AW77" i="31" s="1"/>
  <c r="M78" i="31"/>
  <c r="AW78" i="31" s="1"/>
  <c r="M79" i="31"/>
  <c r="AW79" i="31" s="1"/>
  <c r="M80" i="31"/>
  <c r="M81" i="31"/>
  <c r="AW81" i="31" s="1"/>
  <c r="M82" i="31"/>
  <c r="AW82" i="31" s="1"/>
  <c r="M83" i="31"/>
  <c r="M84" i="31"/>
  <c r="AW84" i="31" s="1"/>
  <c r="M85" i="31"/>
  <c r="AW85" i="31" s="1"/>
  <c r="M86" i="31"/>
  <c r="AW86" i="31" s="1"/>
  <c r="M87" i="31"/>
  <c r="AW87" i="31" s="1"/>
  <c r="M88" i="31"/>
  <c r="M89" i="31"/>
  <c r="AW89" i="31" s="1"/>
  <c r="M90" i="31"/>
  <c r="AW90" i="31" s="1"/>
  <c r="M91" i="31"/>
  <c r="M92" i="31"/>
  <c r="AW92" i="31" s="1"/>
  <c r="M93" i="31"/>
  <c r="AW93" i="31" s="1"/>
  <c r="M94" i="31"/>
  <c r="AW94" i="31" s="1"/>
  <c r="M95" i="31"/>
  <c r="AW95" i="31" s="1"/>
  <c r="M96" i="31"/>
  <c r="M97" i="31"/>
  <c r="AW97" i="31" s="1"/>
  <c r="M98" i="31"/>
  <c r="AW98" i="31" s="1"/>
  <c r="M99" i="31"/>
  <c r="M100" i="31"/>
  <c r="AW100" i="31" s="1"/>
  <c r="M101" i="31"/>
  <c r="AW101" i="31" s="1"/>
  <c r="M102" i="31"/>
  <c r="AW102" i="31" s="1"/>
  <c r="M103" i="31"/>
  <c r="AW103" i="31" s="1"/>
  <c r="M104" i="31"/>
  <c r="M105" i="31"/>
  <c r="AW105" i="31" s="1"/>
  <c r="M106" i="31"/>
  <c r="AW106" i="31" s="1"/>
  <c r="M107" i="31"/>
  <c r="M108" i="31"/>
  <c r="AW108" i="31" s="1"/>
  <c r="M109" i="31"/>
  <c r="AW109" i="31" s="1"/>
  <c r="M110" i="31"/>
  <c r="AW110" i="31" s="1"/>
  <c r="M111" i="31"/>
  <c r="AW111" i="31" s="1"/>
  <c r="M112" i="31"/>
  <c r="M113" i="31"/>
  <c r="AW113" i="31" s="1"/>
  <c r="M114" i="31"/>
  <c r="AW114" i="31" s="1"/>
  <c r="M115" i="31"/>
  <c r="M116" i="31"/>
  <c r="AW116" i="31" s="1"/>
  <c r="M117" i="31"/>
  <c r="AW117" i="31" s="1"/>
  <c r="M118" i="31"/>
  <c r="AW118" i="31" s="1"/>
  <c r="M119" i="31"/>
  <c r="AW119" i="31" s="1"/>
  <c r="M120" i="31"/>
  <c r="M121" i="31"/>
  <c r="AW121" i="31" s="1"/>
  <c r="M122" i="31"/>
  <c r="AW122" i="31" s="1"/>
  <c r="M123" i="31"/>
  <c r="M124" i="31"/>
  <c r="AW124" i="31" s="1"/>
  <c r="M125" i="31"/>
  <c r="AW125" i="31" s="1"/>
  <c r="M126" i="31"/>
  <c r="AW126" i="31" s="1"/>
  <c r="M127" i="31"/>
  <c r="M128" i="31"/>
  <c r="M129" i="31"/>
  <c r="AW129" i="31" s="1"/>
  <c r="M130" i="31"/>
  <c r="AW130" i="31" s="1"/>
  <c r="M131" i="31"/>
  <c r="M132" i="31"/>
  <c r="AW132" i="31" s="1"/>
  <c r="AI7" i="27"/>
  <c r="AI8" i="27"/>
  <c r="AI9" i="27"/>
  <c r="AI10" i="27"/>
  <c r="AI11" i="27"/>
  <c r="AI12" i="27"/>
  <c r="AI13" i="27"/>
  <c r="AI14" i="27"/>
  <c r="AI15" i="27"/>
  <c r="AI16" i="27"/>
  <c r="AI17" i="27"/>
  <c r="AI18" i="27"/>
  <c r="AI19" i="27"/>
  <c r="AI20" i="27"/>
  <c r="AI21" i="27"/>
  <c r="AI22" i="27"/>
  <c r="AI23" i="27"/>
  <c r="AI24" i="27"/>
  <c r="AI25" i="27"/>
  <c r="AI26" i="27"/>
  <c r="AI27" i="27"/>
  <c r="AI28" i="27"/>
  <c r="AI29" i="27"/>
  <c r="AI30" i="27"/>
  <c r="AI31" i="27"/>
  <c r="AI32" i="27"/>
  <c r="AI33" i="27"/>
  <c r="AI34" i="27"/>
  <c r="AI35" i="27"/>
  <c r="AI36" i="27"/>
  <c r="AI37" i="27"/>
  <c r="AI38" i="27"/>
  <c r="AI39" i="27"/>
  <c r="AI40" i="27"/>
  <c r="AI41" i="27"/>
  <c r="AI42" i="27"/>
  <c r="AI43" i="27"/>
  <c r="AI44" i="27"/>
  <c r="AI45" i="27"/>
  <c r="AI46" i="27"/>
  <c r="AI47" i="27"/>
  <c r="AI48" i="27"/>
  <c r="AI49" i="27"/>
  <c r="AI50" i="27"/>
  <c r="AI51" i="27"/>
  <c r="AI52" i="27"/>
  <c r="AI53" i="27"/>
  <c r="AI54" i="27"/>
  <c r="AI55" i="27"/>
  <c r="AI56" i="27"/>
  <c r="AI57" i="27"/>
  <c r="AI58" i="27"/>
  <c r="AI59" i="27"/>
  <c r="AI60" i="27"/>
  <c r="AI61" i="27"/>
  <c r="AI62" i="27"/>
  <c r="AI63" i="27"/>
  <c r="AI64" i="27"/>
  <c r="AI65" i="27"/>
  <c r="AI66" i="27"/>
  <c r="AI67" i="27"/>
  <c r="AI68" i="27"/>
  <c r="AI69" i="27"/>
  <c r="AI70" i="27"/>
  <c r="AI71" i="27"/>
  <c r="AI72" i="27"/>
  <c r="AI73" i="27"/>
  <c r="AI74" i="27"/>
  <c r="AI75" i="27"/>
  <c r="AI76" i="27"/>
  <c r="AI77" i="27"/>
  <c r="AI78" i="27"/>
  <c r="AI79" i="27"/>
  <c r="AI80" i="27"/>
  <c r="AI81" i="27"/>
  <c r="AI82" i="27"/>
  <c r="AI83" i="27"/>
  <c r="AI84" i="27"/>
  <c r="AI85" i="27"/>
  <c r="AI86" i="27"/>
  <c r="AI87" i="27"/>
  <c r="AI88" i="27"/>
  <c r="AI89" i="27"/>
  <c r="AI90" i="27"/>
  <c r="AI91" i="27"/>
  <c r="AI92" i="27"/>
  <c r="AI93" i="27"/>
  <c r="AI94" i="27"/>
  <c r="AI95" i="27"/>
  <c r="AI96" i="27"/>
  <c r="AI97" i="27"/>
  <c r="AI98" i="27"/>
  <c r="AI99" i="27"/>
  <c r="AI100" i="27"/>
  <c r="AI101" i="27"/>
  <c r="AI102" i="27"/>
  <c r="AI103" i="27"/>
  <c r="AI104" i="27"/>
  <c r="AI105" i="27"/>
  <c r="AI106" i="27"/>
  <c r="AI107" i="27"/>
  <c r="AI108" i="27"/>
  <c r="AI109" i="27"/>
  <c r="AI110" i="27"/>
  <c r="AI111" i="27"/>
  <c r="AI112" i="27"/>
  <c r="AI113" i="27"/>
  <c r="AI114" i="27"/>
  <c r="AI115" i="27"/>
  <c r="AI116" i="27"/>
  <c r="AI117" i="27"/>
  <c r="AI118" i="27"/>
  <c r="AI119" i="27"/>
  <c r="AI120" i="27"/>
  <c r="AI121" i="27"/>
  <c r="AI122" i="27"/>
  <c r="AI123" i="27"/>
  <c r="AI124" i="27"/>
  <c r="AI125" i="27"/>
  <c r="AI126" i="27"/>
  <c r="AI127" i="27"/>
  <c r="AI128" i="27"/>
  <c r="AI129" i="27"/>
  <c r="AI130" i="27"/>
  <c r="AI131" i="27"/>
  <c r="AI132" i="27"/>
  <c r="M7" i="27"/>
  <c r="M136" i="27" s="1"/>
  <c r="M8" i="27"/>
  <c r="M9" i="27"/>
  <c r="M10" i="27"/>
  <c r="M11" i="27"/>
  <c r="AW11" i="27" s="1"/>
  <c r="M12" i="27"/>
  <c r="AW12" i="27" s="1"/>
  <c r="M13" i="27"/>
  <c r="AW13" i="27" s="1"/>
  <c r="M14" i="27"/>
  <c r="M15" i="27"/>
  <c r="AW15" i="27" s="1"/>
  <c r="M16" i="27"/>
  <c r="M17" i="27"/>
  <c r="M18" i="27"/>
  <c r="AW18" i="27" s="1"/>
  <c r="M19" i="27"/>
  <c r="AW19" i="27" s="1"/>
  <c r="M20" i="27"/>
  <c r="AW20" i="27" s="1"/>
  <c r="M21" i="27"/>
  <c r="AW21" i="27" s="1"/>
  <c r="M22" i="27"/>
  <c r="M23" i="27"/>
  <c r="AW23" i="27" s="1"/>
  <c r="M24" i="27"/>
  <c r="M25" i="27"/>
  <c r="M26" i="27"/>
  <c r="AW26" i="27" s="1"/>
  <c r="M27" i="27"/>
  <c r="M28" i="27"/>
  <c r="AW28" i="27" s="1"/>
  <c r="M29" i="27"/>
  <c r="AW29" i="27" s="1"/>
  <c r="M30" i="27"/>
  <c r="M31" i="27"/>
  <c r="AW31" i="27" s="1"/>
  <c r="M32" i="27"/>
  <c r="M33" i="27"/>
  <c r="M34" i="27"/>
  <c r="M35" i="27"/>
  <c r="AW35" i="27" s="1"/>
  <c r="M36" i="27"/>
  <c r="AW36" i="27" s="1"/>
  <c r="M37" i="27"/>
  <c r="AW37" i="27" s="1"/>
  <c r="M38" i="27"/>
  <c r="M39" i="27"/>
  <c r="AW39" i="27" s="1"/>
  <c r="M40" i="27"/>
  <c r="M41" i="27"/>
  <c r="M42" i="27"/>
  <c r="AW42" i="27" s="1"/>
  <c r="M43" i="27"/>
  <c r="M44" i="27"/>
  <c r="AW44" i="27" s="1"/>
  <c r="M45" i="27"/>
  <c r="AW45" i="27" s="1"/>
  <c r="M46" i="27"/>
  <c r="M47" i="27"/>
  <c r="AW47" i="27" s="1"/>
  <c r="M48" i="27"/>
  <c r="M49" i="27"/>
  <c r="M50" i="27"/>
  <c r="AW50" i="27" s="1"/>
  <c r="M51" i="27"/>
  <c r="M52" i="27"/>
  <c r="AW52" i="27" s="1"/>
  <c r="M53" i="27"/>
  <c r="AW53" i="27" s="1"/>
  <c r="M54" i="27"/>
  <c r="M55" i="27"/>
  <c r="AW55" i="27" s="1"/>
  <c r="M56" i="27"/>
  <c r="M57" i="27"/>
  <c r="M58" i="27"/>
  <c r="AW58" i="27" s="1"/>
  <c r="M59" i="27"/>
  <c r="AW59" i="27" s="1"/>
  <c r="M60" i="27"/>
  <c r="AW60" i="27" s="1"/>
  <c r="M61" i="27"/>
  <c r="AW61" i="27" s="1"/>
  <c r="M62" i="27"/>
  <c r="M63" i="27"/>
  <c r="AW63" i="27" s="1"/>
  <c r="M64" i="27"/>
  <c r="AW64" i="27" s="1"/>
  <c r="M65" i="27"/>
  <c r="M66" i="27"/>
  <c r="AW66" i="27" s="1"/>
  <c r="M67" i="27"/>
  <c r="AW67" i="27" s="1"/>
  <c r="M68" i="27"/>
  <c r="AW68" i="27" s="1"/>
  <c r="M69" i="27"/>
  <c r="AW69" i="27" s="1"/>
  <c r="M70" i="27"/>
  <c r="M71" i="27"/>
  <c r="AW71" i="27" s="1"/>
  <c r="M72" i="27"/>
  <c r="AW72" i="27" s="1"/>
  <c r="M73" i="27"/>
  <c r="M74" i="27"/>
  <c r="AW74" i="27" s="1"/>
  <c r="M75" i="27"/>
  <c r="AW75" i="27" s="1"/>
  <c r="M76" i="27"/>
  <c r="AW76" i="27" s="1"/>
  <c r="M77" i="27"/>
  <c r="AW77" i="27" s="1"/>
  <c r="M78" i="27"/>
  <c r="M79" i="27"/>
  <c r="AW79" i="27" s="1"/>
  <c r="M80" i="27"/>
  <c r="AW80" i="27" s="1"/>
  <c r="M81" i="27"/>
  <c r="M82" i="27"/>
  <c r="AW82" i="27" s="1"/>
  <c r="M83" i="27"/>
  <c r="AW83" i="27" s="1"/>
  <c r="M84" i="27"/>
  <c r="AW84" i="27" s="1"/>
  <c r="M85" i="27"/>
  <c r="AW85" i="27" s="1"/>
  <c r="M86" i="27"/>
  <c r="M87" i="27"/>
  <c r="AW87" i="27" s="1"/>
  <c r="M88" i="27"/>
  <c r="AW88" i="27" s="1"/>
  <c r="M89" i="27"/>
  <c r="M90" i="27"/>
  <c r="AW90" i="27" s="1"/>
  <c r="M91" i="27"/>
  <c r="AW91" i="27" s="1"/>
  <c r="M92" i="27"/>
  <c r="AW92" i="27" s="1"/>
  <c r="M93" i="27"/>
  <c r="AW93" i="27" s="1"/>
  <c r="M94" i="27"/>
  <c r="M95" i="27"/>
  <c r="AW95" i="27" s="1"/>
  <c r="M96" i="27"/>
  <c r="AW96" i="27" s="1"/>
  <c r="M97" i="27"/>
  <c r="M98" i="27"/>
  <c r="AW98" i="27" s="1"/>
  <c r="M99" i="27"/>
  <c r="AW99" i="27" s="1"/>
  <c r="M100" i="27"/>
  <c r="AW100" i="27" s="1"/>
  <c r="M101" i="27"/>
  <c r="AW101" i="27" s="1"/>
  <c r="M102" i="27"/>
  <c r="M103" i="27"/>
  <c r="AW103" i="27" s="1"/>
  <c r="M104" i="27"/>
  <c r="AW104" i="27" s="1"/>
  <c r="M105" i="27"/>
  <c r="M106" i="27"/>
  <c r="AW106" i="27" s="1"/>
  <c r="M107" i="27"/>
  <c r="AW107" i="27" s="1"/>
  <c r="M108" i="27"/>
  <c r="AW108" i="27" s="1"/>
  <c r="M109" i="27"/>
  <c r="AW109" i="27" s="1"/>
  <c r="M110" i="27"/>
  <c r="M111" i="27"/>
  <c r="AW111" i="27" s="1"/>
  <c r="M112" i="27"/>
  <c r="AW112" i="27" s="1"/>
  <c r="M113" i="27"/>
  <c r="M114" i="27"/>
  <c r="AW114" i="27" s="1"/>
  <c r="M115" i="27"/>
  <c r="AW115" i="27" s="1"/>
  <c r="M116" i="27"/>
  <c r="AW116" i="27" s="1"/>
  <c r="M117" i="27"/>
  <c r="AW117" i="27" s="1"/>
  <c r="M118" i="27"/>
  <c r="M119" i="27"/>
  <c r="M120" i="27"/>
  <c r="AW120" i="27" s="1"/>
  <c r="M121" i="27"/>
  <c r="M122" i="27"/>
  <c r="AW122" i="27" s="1"/>
  <c r="M123" i="27"/>
  <c r="AW123" i="27" s="1"/>
  <c r="M124" i="27"/>
  <c r="AW124" i="27" s="1"/>
  <c r="M125" i="27"/>
  <c r="AW125" i="27" s="1"/>
  <c r="M126" i="27"/>
  <c r="M127" i="27"/>
  <c r="M128" i="27"/>
  <c r="AW128" i="27" s="1"/>
  <c r="M129" i="27"/>
  <c r="M130" i="27"/>
  <c r="AW130" i="27" s="1"/>
  <c r="M131" i="27"/>
  <c r="AW131" i="27" s="1"/>
  <c r="M132" i="27"/>
  <c r="AW132" i="27" s="1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I101" i="16"/>
  <c r="AI102" i="16"/>
  <c r="AI103" i="16"/>
  <c r="AI104" i="16"/>
  <c r="AI105" i="16"/>
  <c r="AI106" i="16"/>
  <c r="AI107" i="16"/>
  <c r="AI108" i="16"/>
  <c r="AI109" i="16"/>
  <c r="AI110" i="16"/>
  <c r="AI111" i="16"/>
  <c r="AI112" i="16"/>
  <c r="AI113" i="16"/>
  <c r="AI114" i="16"/>
  <c r="AI115" i="16"/>
  <c r="AI116" i="16"/>
  <c r="AI117" i="16"/>
  <c r="AI118" i="16"/>
  <c r="AI119" i="16"/>
  <c r="AI120" i="16"/>
  <c r="AI121" i="16"/>
  <c r="AI122" i="16"/>
  <c r="AI123" i="16"/>
  <c r="AI124" i="16"/>
  <c r="AI125" i="16"/>
  <c r="AI126" i="16"/>
  <c r="AI127" i="16"/>
  <c r="AI128" i="16"/>
  <c r="AI129" i="16"/>
  <c r="AI130" i="16"/>
  <c r="AI131" i="16"/>
  <c r="AI132" i="16"/>
  <c r="AI136" i="16"/>
  <c r="M7" i="16"/>
  <c r="AW7" i="16" s="1"/>
  <c r="M8" i="16"/>
  <c r="AW8" i="16" s="1"/>
  <c r="M9" i="16"/>
  <c r="M10" i="16"/>
  <c r="M11" i="16"/>
  <c r="AW11" i="16" s="1"/>
  <c r="M12" i="16"/>
  <c r="M13" i="16"/>
  <c r="AW13" i="16" s="1"/>
  <c r="M14" i="16"/>
  <c r="AW14" i="16" s="1"/>
  <c r="M15" i="16"/>
  <c r="AW15" i="16" s="1"/>
  <c r="M16" i="16"/>
  <c r="AW16" i="16" s="1"/>
  <c r="M17" i="16"/>
  <c r="AW17" i="16" s="1"/>
  <c r="M18" i="16"/>
  <c r="M19" i="16"/>
  <c r="AW19" i="16" s="1"/>
  <c r="M20" i="16"/>
  <c r="M21" i="16"/>
  <c r="AW21" i="16" s="1"/>
  <c r="M22" i="16"/>
  <c r="AW22" i="16" s="1"/>
  <c r="M23" i="16"/>
  <c r="AW23" i="16" s="1"/>
  <c r="M24" i="16"/>
  <c r="AW24" i="16" s="1"/>
  <c r="M25" i="16"/>
  <c r="AW25" i="16" s="1"/>
  <c r="M26" i="16"/>
  <c r="M27" i="16"/>
  <c r="AW27" i="16" s="1"/>
  <c r="M28" i="16"/>
  <c r="M29" i="16"/>
  <c r="AW29" i="16" s="1"/>
  <c r="M30" i="16"/>
  <c r="M31" i="16"/>
  <c r="AW31" i="16" s="1"/>
  <c r="M32" i="16"/>
  <c r="AW32" i="16" s="1"/>
  <c r="M33" i="16"/>
  <c r="AW33" i="16" s="1"/>
  <c r="M34" i="16"/>
  <c r="M35" i="16"/>
  <c r="AW35" i="16" s="1"/>
  <c r="M36" i="16"/>
  <c r="M37" i="16"/>
  <c r="AW37" i="16" s="1"/>
  <c r="M38" i="16"/>
  <c r="AW38" i="16" s="1"/>
  <c r="M39" i="16"/>
  <c r="AW39" i="16" s="1"/>
  <c r="M40" i="16"/>
  <c r="AW40" i="16" s="1"/>
  <c r="M41" i="16"/>
  <c r="AW41" i="16" s="1"/>
  <c r="M42" i="16"/>
  <c r="M43" i="16"/>
  <c r="AW43" i="16" s="1"/>
  <c r="M44" i="16"/>
  <c r="M45" i="16"/>
  <c r="AW45" i="16" s="1"/>
  <c r="M46" i="16"/>
  <c r="AW46" i="16" s="1"/>
  <c r="M47" i="16"/>
  <c r="AW47" i="16" s="1"/>
  <c r="M48" i="16"/>
  <c r="AW48" i="16" s="1"/>
  <c r="M49" i="16"/>
  <c r="AW49" i="16" s="1"/>
  <c r="M50" i="16"/>
  <c r="M51" i="16"/>
  <c r="AW51" i="16" s="1"/>
  <c r="M52" i="16"/>
  <c r="M53" i="16"/>
  <c r="AW53" i="16" s="1"/>
  <c r="M54" i="16"/>
  <c r="M55" i="16"/>
  <c r="AW55" i="16" s="1"/>
  <c r="M56" i="16"/>
  <c r="AW56" i="16" s="1"/>
  <c r="M57" i="16"/>
  <c r="AW57" i="16" s="1"/>
  <c r="M58" i="16"/>
  <c r="M59" i="16"/>
  <c r="AW59" i="16" s="1"/>
  <c r="M60" i="16"/>
  <c r="M61" i="16"/>
  <c r="AW61" i="16" s="1"/>
  <c r="M62" i="16"/>
  <c r="AW62" i="16" s="1"/>
  <c r="M63" i="16"/>
  <c r="AW63" i="16" s="1"/>
  <c r="M64" i="16"/>
  <c r="AW64" i="16" s="1"/>
  <c r="M65" i="16"/>
  <c r="AW65" i="16" s="1"/>
  <c r="M66" i="16"/>
  <c r="M67" i="16"/>
  <c r="AW67" i="16" s="1"/>
  <c r="M68" i="16"/>
  <c r="AW68" i="16" s="1"/>
  <c r="M69" i="16"/>
  <c r="AW69" i="16" s="1"/>
  <c r="M70" i="16"/>
  <c r="M71" i="16"/>
  <c r="AW71" i="16" s="1"/>
  <c r="M72" i="16"/>
  <c r="AW72" i="16" s="1"/>
  <c r="M73" i="16"/>
  <c r="AW73" i="16" s="1"/>
  <c r="M74" i="16"/>
  <c r="M75" i="16"/>
  <c r="AW75" i="16" s="1"/>
  <c r="M76" i="16"/>
  <c r="AW76" i="16" s="1"/>
  <c r="M77" i="16"/>
  <c r="AW77" i="16" s="1"/>
  <c r="M78" i="16"/>
  <c r="AW78" i="16" s="1"/>
  <c r="M79" i="16"/>
  <c r="AW79" i="16" s="1"/>
  <c r="M80" i="16"/>
  <c r="AW80" i="16" s="1"/>
  <c r="M81" i="16"/>
  <c r="AW81" i="16" s="1"/>
  <c r="M82" i="16"/>
  <c r="M83" i="16"/>
  <c r="AW83" i="16" s="1"/>
  <c r="M84" i="16"/>
  <c r="AW84" i="16" s="1"/>
  <c r="M85" i="16"/>
  <c r="AW85" i="16" s="1"/>
  <c r="M86" i="16"/>
  <c r="AW86" i="16" s="1"/>
  <c r="M87" i="16"/>
  <c r="AW87" i="16" s="1"/>
  <c r="M88" i="16"/>
  <c r="AW88" i="16" s="1"/>
  <c r="M89" i="16"/>
  <c r="AW89" i="16" s="1"/>
  <c r="M90" i="16"/>
  <c r="M91" i="16"/>
  <c r="AW91" i="16" s="1"/>
  <c r="M92" i="16"/>
  <c r="AW92" i="16" s="1"/>
  <c r="M93" i="16"/>
  <c r="AW93" i="16" s="1"/>
  <c r="M94" i="16"/>
  <c r="AW94" i="16" s="1"/>
  <c r="M95" i="16"/>
  <c r="AW95" i="16" s="1"/>
  <c r="M96" i="16"/>
  <c r="AW96" i="16" s="1"/>
  <c r="M97" i="16"/>
  <c r="AW97" i="16" s="1"/>
  <c r="M98" i="16"/>
  <c r="M99" i="16"/>
  <c r="AW99" i="16" s="1"/>
  <c r="M100" i="16"/>
  <c r="AW100" i="16" s="1"/>
  <c r="M101" i="16"/>
  <c r="AW101" i="16" s="1"/>
  <c r="M102" i="16"/>
  <c r="AW102" i="16" s="1"/>
  <c r="M103" i="16"/>
  <c r="AW103" i="16" s="1"/>
  <c r="M104" i="16"/>
  <c r="AW104" i="16" s="1"/>
  <c r="M105" i="16"/>
  <c r="AW105" i="16" s="1"/>
  <c r="M106" i="16"/>
  <c r="M107" i="16"/>
  <c r="AW107" i="16" s="1"/>
  <c r="M108" i="16"/>
  <c r="AW108" i="16" s="1"/>
  <c r="M109" i="16"/>
  <c r="AW109" i="16" s="1"/>
  <c r="M110" i="16"/>
  <c r="AW110" i="16" s="1"/>
  <c r="M111" i="16"/>
  <c r="AW111" i="16" s="1"/>
  <c r="M112" i="16"/>
  <c r="AW112" i="16" s="1"/>
  <c r="M113" i="16"/>
  <c r="AW113" i="16" s="1"/>
  <c r="M114" i="16"/>
  <c r="M115" i="16"/>
  <c r="AW115" i="16" s="1"/>
  <c r="M116" i="16"/>
  <c r="AW116" i="16" s="1"/>
  <c r="M117" i="16"/>
  <c r="AW117" i="16" s="1"/>
  <c r="M118" i="16"/>
  <c r="AW118" i="16" s="1"/>
  <c r="M119" i="16"/>
  <c r="AW119" i="16" s="1"/>
  <c r="M120" i="16"/>
  <c r="AW120" i="16" s="1"/>
  <c r="M121" i="16"/>
  <c r="AW121" i="16" s="1"/>
  <c r="M122" i="16"/>
  <c r="M123" i="16"/>
  <c r="AW123" i="16" s="1"/>
  <c r="M124" i="16"/>
  <c r="AW124" i="16" s="1"/>
  <c r="M125" i="16"/>
  <c r="AW125" i="16" s="1"/>
  <c r="M126" i="16"/>
  <c r="AW126" i="16" s="1"/>
  <c r="M127" i="16"/>
  <c r="AW127" i="16" s="1"/>
  <c r="M128" i="16"/>
  <c r="AW128" i="16" s="1"/>
  <c r="M129" i="16"/>
  <c r="AW129" i="16" s="1"/>
  <c r="M130" i="16"/>
  <c r="M131" i="16"/>
  <c r="AW131" i="16" s="1"/>
  <c r="M132" i="16"/>
  <c r="AW132" i="16" s="1"/>
  <c r="M136" i="16"/>
  <c r="AI136" i="12"/>
  <c r="AI137" i="12"/>
  <c r="AI138" i="12"/>
  <c r="AI139" i="12"/>
  <c r="AI140" i="12"/>
  <c r="AI141" i="12"/>
  <c r="AI142" i="12"/>
  <c r="AI143" i="12"/>
  <c r="AI144" i="12"/>
  <c r="AI145" i="12"/>
  <c r="AI146" i="12"/>
  <c r="M136" i="12"/>
  <c r="M137" i="12"/>
  <c r="M138" i="12"/>
  <c r="M139" i="12"/>
  <c r="M147" i="12" s="1"/>
  <c r="M140" i="12"/>
  <c r="M141" i="12"/>
  <c r="M142" i="12"/>
  <c r="M143" i="12"/>
  <c r="M144" i="12"/>
  <c r="M145" i="12"/>
  <c r="M146" i="12"/>
  <c r="M7" i="12"/>
  <c r="M8" i="12"/>
  <c r="M9" i="12"/>
  <c r="M10" i="12"/>
  <c r="M133" i="12" s="1"/>
  <c r="M11" i="12"/>
  <c r="M12" i="12"/>
  <c r="M13" i="12"/>
  <c r="M14" i="12"/>
  <c r="AW14" i="12" s="1"/>
  <c r="M15" i="12"/>
  <c r="M16" i="12"/>
  <c r="M17" i="12"/>
  <c r="M18" i="12"/>
  <c r="AW18" i="12" s="1"/>
  <c r="M19" i="12"/>
  <c r="M20" i="12"/>
  <c r="M21" i="12"/>
  <c r="M22" i="12"/>
  <c r="AW22" i="12" s="1"/>
  <c r="M23" i="12"/>
  <c r="M24" i="12"/>
  <c r="M25" i="12"/>
  <c r="M26" i="12"/>
  <c r="AW26" i="12" s="1"/>
  <c r="M27" i="12"/>
  <c r="M28" i="12"/>
  <c r="M29" i="12"/>
  <c r="M30" i="12"/>
  <c r="AW30" i="12" s="1"/>
  <c r="M31" i="12"/>
  <c r="M32" i="12"/>
  <c r="M33" i="12"/>
  <c r="M34" i="12"/>
  <c r="AW34" i="12" s="1"/>
  <c r="M35" i="12"/>
  <c r="M36" i="12"/>
  <c r="M37" i="12"/>
  <c r="M38" i="12"/>
  <c r="AW38" i="12" s="1"/>
  <c r="M39" i="12"/>
  <c r="M40" i="12"/>
  <c r="M41" i="12"/>
  <c r="M42" i="12"/>
  <c r="AW42" i="12" s="1"/>
  <c r="M43" i="12"/>
  <c r="M44" i="12"/>
  <c r="M45" i="12"/>
  <c r="M46" i="12"/>
  <c r="AW46" i="12" s="1"/>
  <c r="M47" i="12"/>
  <c r="M48" i="12"/>
  <c r="M49" i="12"/>
  <c r="M50" i="12"/>
  <c r="AW50" i="12" s="1"/>
  <c r="M51" i="12"/>
  <c r="M52" i="12"/>
  <c r="M53" i="12"/>
  <c r="M54" i="12"/>
  <c r="AW54" i="12" s="1"/>
  <c r="M55" i="12"/>
  <c r="M56" i="12"/>
  <c r="M57" i="12"/>
  <c r="M58" i="12"/>
  <c r="AW58" i="12" s="1"/>
  <c r="M59" i="12"/>
  <c r="M60" i="12"/>
  <c r="M61" i="12"/>
  <c r="M62" i="12"/>
  <c r="AW62" i="12" s="1"/>
  <c r="M63" i="12"/>
  <c r="M64" i="12"/>
  <c r="M65" i="12"/>
  <c r="M66" i="12"/>
  <c r="AW66" i="12" s="1"/>
  <c r="M67" i="12"/>
  <c r="M68" i="12"/>
  <c r="M69" i="12"/>
  <c r="M70" i="12"/>
  <c r="AW70" i="12" s="1"/>
  <c r="M71" i="12"/>
  <c r="M72" i="12"/>
  <c r="M73" i="12"/>
  <c r="M74" i="12"/>
  <c r="AW74" i="12" s="1"/>
  <c r="M75" i="12"/>
  <c r="M76" i="12"/>
  <c r="M77" i="12"/>
  <c r="M78" i="12"/>
  <c r="AW78" i="12" s="1"/>
  <c r="M79" i="12"/>
  <c r="M80" i="12"/>
  <c r="M81" i="12"/>
  <c r="M82" i="12"/>
  <c r="AW82" i="12" s="1"/>
  <c r="M83" i="12"/>
  <c r="M84" i="12"/>
  <c r="M85" i="12"/>
  <c r="M86" i="12"/>
  <c r="AW86" i="12" s="1"/>
  <c r="M87" i="12"/>
  <c r="M88" i="12"/>
  <c r="M89" i="12"/>
  <c r="M90" i="12"/>
  <c r="AW90" i="12" s="1"/>
  <c r="M91" i="12"/>
  <c r="M92" i="12"/>
  <c r="M93" i="12"/>
  <c r="M94" i="12"/>
  <c r="AW94" i="12" s="1"/>
  <c r="M95" i="12"/>
  <c r="M96" i="12"/>
  <c r="M97" i="12"/>
  <c r="M98" i="12"/>
  <c r="AW98" i="12" s="1"/>
  <c r="M99" i="12"/>
  <c r="M100" i="12"/>
  <c r="M101" i="12"/>
  <c r="M102" i="12"/>
  <c r="AW102" i="12" s="1"/>
  <c r="M103" i="12"/>
  <c r="M104" i="12"/>
  <c r="M105" i="12"/>
  <c r="M106" i="12"/>
  <c r="AW106" i="12" s="1"/>
  <c r="M107" i="12"/>
  <c r="M108" i="12"/>
  <c r="M109" i="12"/>
  <c r="M110" i="12"/>
  <c r="AW110" i="12" s="1"/>
  <c r="M111" i="12"/>
  <c r="M112" i="12"/>
  <c r="M113" i="12"/>
  <c r="M114" i="12"/>
  <c r="AW114" i="12" s="1"/>
  <c r="M115" i="12"/>
  <c r="M116" i="12"/>
  <c r="M117" i="12"/>
  <c r="M118" i="12"/>
  <c r="AW118" i="12" s="1"/>
  <c r="M119" i="12"/>
  <c r="M120" i="12"/>
  <c r="M121" i="12"/>
  <c r="M122" i="12"/>
  <c r="AW122" i="12" s="1"/>
  <c r="M123" i="12"/>
  <c r="M124" i="12"/>
  <c r="M125" i="12"/>
  <c r="M126" i="12"/>
  <c r="AW126" i="12" s="1"/>
  <c r="M127" i="12"/>
  <c r="M128" i="12"/>
  <c r="M129" i="12"/>
  <c r="M130" i="12"/>
  <c r="AW130" i="12" s="1"/>
  <c r="M131" i="12"/>
  <c r="M132" i="12"/>
  <c r="AW7" i="12"/>
  <c r="AW8" i="12"/>
  <c r="AW9" i="12"/>
  <c r="AW11" i="12"/>
  <c r="AW12" i="12"/>
  <c r="AW13" i="12"/>
  <c r="AW15" i="12"/>
  <c r="AW16" i="12"/>
  <c r="AW17" i="12"/>
  <c r="AW19" i="12"/>
  <c r="AW20" i="12"/>
  <c r="AW21" i="12"/>
  <c r="AW23" i="12"/>
  <c r="AW24" i="12"/>
  <c r="AW25" i="12"/>
  <c r="AW27" i="12"/>
  <c r="AW28" i="12"/>
  <c r="AW29" i="12"/>
  <c r="AW31" i="12"/>
  <c r="AW32" i="12"/>
  <c r="AW33" i="12"/>
  <c r="AW35" i="12"/>
  <c r="AW36" i="12"/>
  <c r="AW37" i="12"/>
  <c r="AW39" i="12"/>
  <c r="AW40" i="12"/>
  <c r="AW41" i="12"/>
  <c r="AW43" i="12"/>
  <c r="AW44" i="12"/>
  <c r="AW45" i="12"/>
  <c r="AW47" i="12"/>
  <c r="AW48" i="12"/>
  <c r="AW49" i="12"/>
  <c r="AW51" i="12"/>
  <c r="AW52" i="12"/>
  <c r="AW53" i="12"/>
  <c r="AW55" i="12"/>
  <c r="AW56" i="12"/>
  <c r="AW57" i="12"/>
  <c r="AW59" i="12"/>
  <c r="AW60" i="12"/>
  <c r="AW61" i="12"/>
  <c r="AW63" i="12"/>
  <c r="AW64" i="12"/>
  <c r="AW65" i="12"/>
  <c r="AW67" i="12"/>
  <c r="AW68" i="12"/>
  <c r="AW69" i="12"/>
  <c r="AW71" i="12"/>
  <c r="AW72" i="12"/>
  <c r="AW73" i="12"/>
  <c r="AW75" i="12"/>
  <c r="AW76" i="12"/>
  <c r="AW77" i="12"/>
  <c r="AW79" i="12"/>
  <c r="AW80" i="12"/>
  <c r="AW81" i="12"/>
  <c r="AW83" i="12"/>
  <c r="AW84" i="12"/>
  <c r="AW85" i="12"/>
  <c r="AW87" i="12"/>
  <c r="AW88" i="12"/>
  <c r="AW89" i="12"/>
  <c r="AW91" i="12"/>
  <c r="AW92" i="12"/>
  <c r="AW93" i="12"/>
  <c r="AW95" i="12"/>
  <c r="AW96" i="12"/>
  <c r="AW97" i="12"/>
  <c r="AW99" i="12"/>
  <c r="AW100" i="12"/>
  <c r="AW101" i="12"/>
  <c r="AW103" i="12"/>
  <c r="AW104" i="12"/>
  <c r="AW105" i="12"/>
  <c r="AW107" i="12"/>
  <c r="AW108" i="12"/>
  <c r="AW109" i="12"/>
  <c r="AW111" i="12"/>
  <c r="AW112" i="12"/>
  <c r="AW113" i="12"/>
  <c r="AW115" i="12"/>
  <c r="AW116" i="12"/>
  <c r="AW117" i="12"/>
  <c r="AW119" i="12"/>
  <c r="AW120" i="12"/>
  <c r="AW121" i="12"/>
  <c r="AW123" i="12"/>
  <c r="AW124" i="12"/>
  <c r="AW125" i="12"/>
  <c r="AW127" i="12"/>
  <c r="AW128" i="12"/>
  <c r="AW129" i="12"/>
  <c r="AW131" i="12"/>
  <c r="AW132" i="12"/>
  <c r="AI7" i="12"/>
  <c r="AI8" i="12"/>
  <c r="AI9" i="12"/>
  <c r="AI10" i="12"/>
  <c r="AI11" i="12"/>
  <c r="AI12" i="12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AI60" i="12"/>
  <c r="AI61" i="12"/>
  <c r="AI62" i="12"/>
  <c r="AI63" i="12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I80" i="12"/>
  <c r="AI81" i="12"/>
  <c r="AI82" i="12"/>
  <c r="AI83" i="12"/>
  <c r="AI84" i="12"/>
  <c r="AI85" i="12"/>
  <c r="AI86" i="12"/>
  <c r="AI87" i="12"/>
  <c r="AI88" i="12"/>
  <c r="AI89" i="12"/>
  <c r="AI90" i="12"/>
  <c r="AI91" i="12"/>
  <c r="AI92" i="12"/>
  <c r="AI93" i="12"/>
  <c r="AI94" i="12"/>
  <c r="AI95" i="12"/>
  <c r="AI96" i="12"/>
  <c r="AI97" i="12"/>
  <c r="AI98" i="12"/>
  <c r="AI99" i="12"/>
  <c r="AI100" i="12"/>
  <c r="AI101" i="12"/>
  <c r="AI102" i="12"/>
  <c r="AI103" i="12"/>
  <c r="AI104" i="12"/>
  <c r="AI105" i="12"/>
  <c r="AI106" i="12"/>
  <c r="AI107" i="12"/>
  <c r="AI108" i="12"/>
  <c r="AI109" i="12"/>
  <c r="AI110" i="12"/>
  <c r="AI111" i="12"/>
  <c r="AI112" i="12"/>
  <c r="AI113" i="12"/>
  <c r="AI114" i="12"/>
  <c r="AI115" i="12"/>
  <c r="AI116" i="12"/>
  <c r="AI117" i="12"/>
  <c r="AI118" i="12"/>
  <c r="AI119" i="12"/>
  <c r="AI120" i="12"/>
  <c r="AI121" i="12"/>
  <c r="AI122" i="12"/>
  <c r="AI123" i="12"/>
  <c r="AI124" i="12"/>
  <c r="AI125" i="12"/>
  <c r="AI126" i="12"/>
  <c r="AI127" i="12"/>
  <c r="AI128" i="12"/>
  <c r="AI129" i="12"/>
  <c r="AI130" i="12"/>
  <c r="AI131" i="12"/>
  <c r="AI132" i="12"/>
  <c r="AV7" i="7"/>
  <c r="AW7" i="7"/>
  <c r="AV8" i="7"/>
  <c r="AW8" i="7"/>
  <c r="AV9" i="7"/>
  <c r="AW9" i="7"/>
  <c r="AV10" i="7"/>
  <c r="AW10" i="7"/>
  <c r="AV11" i="7"/>
  <c r="AW11" i="7"/>
  <c r="AV12" i="7"/>
  <c r="AW12" i="7"/>
  <c r="AV13" i="7"/>
  <c r="AW13" i="7"/>
  <c r="AV14" i="7"/>
  <c r="AW14" i="7"/>
  <c r="AV15" i="7"/>
  <c r="AW15" i="7"/>
  <c r="AV16" i="7"/>
  <c r="AW16" i="7"/>
  <c r="AV17" i="7"/>
  <c r="AW17" i="7"/>
  <c r="AV18" i="7"/>
  <c r="AW18" i="7"/>
  <c r="AV19" i="7"/>
  <c r="AW19" i="7"/>
  <c r="AV20" i="7"/>
  <c r="AW20" i="7"/>
  <c r="AV21" i="7"/>
  <c r="AW21" i="7"/>
  <c r="AV22" i="7"/>
  <c r="AW22" i="7"/>
  <c r="AV23" i="7"/>
  <c r="AW23" i="7"/>
  <c r="AV24" i="7"/>
  <c r="AW24" i="7"/>
  <c r="AV25" i="7"/>
  <c r="AW25" i="7"/>
  <c r="AV26" i="7"/>
  <c r="AW26" i="7"/>
  <c r="AV27" i="7"/>
  <c r="AW27" i="7"/>
  <c r="AV28" i="7"/>
  <c r="AW28" i="7"/>
  <c r="AV29" i="7"/>
  <c r="AW29" i="7"/>
  <c r="AV30" i="7"/>
  <c r="AW30" i="7"/>
  <c r="AV31" i="7"/>
  <c r="AW31" i="7"/>
  <c r="AV32" i="7"/>
  <c r="AW32" i="7"/>
  <c r="AV33" i="7"/>
  <c r="AW33" i="7"/>
  <c r="AV34" i="7"/>
  <c r="AW34" i="7"/>
  <c r="AV35" i="7"/>
  <c r="AW35" i="7"/>
  <c r="AV36" i="7"/>
  <c r="AW36" i="7"/>
  <c r="AV37" i="7"/>
  <c r="AW37" i="7"/>
  <c r="AV38" i="7"/>
  <c r="AW38" i="7"/>
  <c r="AV39" i="7"/>
  <c r="AW39" i="7"/>
  <c r="AV40" i="7"/>
  <c r="AW40" i="7"/>
  <c r="AV41" i="7"/>
  <c r="AW41" i="7"/>
  <c r="AV42" i="7"/>
  <c r="AW42" i="7"/>
  <c r="AV43" i="7"/>
  <c r="AW43" i="7"/>
  <c r="AV44" i="7"/>
  <c r="AW44" i="7"/>
  <c r="AV45" i="7"/>
  <c r="AW45" i="7"/>
  <c r="AV46" i="7"/>
  <c r="AW46" i="7"/>
  <c r="AV47" i="7"/>
  <c r="AW47" i="7"/>
  <c r="AV48" i="7"/>
  <c r="AW48" i="7"/>
  <c r="AV49" i="7"/>
  <c r="AW49" i="7"/>
  <c r="AV50" i="7"/>
  <c r="AW50" i="7"/>
  <c r="AV51" i="7"/>
  <c r="AW51" i="7"/>
  <c r="AV52" i="7"/>
  <c r="AW52" i="7"/>
  <c r="AV53" i="7"/>
  <c r="AW53" i="7"/>
  <c r="AV54" i="7"/>
  <c r="AW54" i="7"/>
  <c r="AV55" i="7"/>
  <c r="AW55" i="7"/>
  <c r="AV56" i="7"/>
  <c r="AW56" i="7"/>
  <c r="AV57" i="7"/>
  <c r="AW57" i="7"/>
  <c r="AV58" i="7"/>
  <c r="AW58" i="7"/>
  <c r="AV59" i="7"/>
  <c r="AW59" i="7"/>
  <c r="AV60" i="7"/>
  <c r="AW60" i="7"/>
  <c r="AV61" i="7"/>
  <c r="AW61" i="7"/>
  <c r="AV62" i="7"/>
  <c r="AW62" i="7"/>
  <c r="AV63" i="7"/>
  <c r="AW63" i="7"/>
  <c r="AV64" i="7"/>
  <c r="AW64" i="7"/>
  <c r="AV65" i="7"/>
  <c r="AW65" i="7"/>
  <c r="AV66" i="7"/>
  <c r="AW66" i="7"/>
  <c r="AV67" i="7"/>
  <c r="AW67" i="7"/>
  <c r="AV68" i="7"/>
  <c r="AW68" i="7"/>
  <c r="AV69" i="7"/>
  <c r="AW69" i="7"/>
  <c r="AV70" i="7"/>
  <c r="AW70" i="7"/>
  <c r="AV71" i="7"/>
  <c r="AW71" i="7"/>
  <c r="AV72" i="7"/>
  <c r="AW72" i="7"/>
  <c r="AV73" i="7"/>
  <c r="AW73" i="7"/>
  <c r="AV74" i="7"/>
  <c r="AW74" i="7"/>
  <c r="AV75" i="7"/>
  <c r="AW75" i="7"/>
  <c r="AV76" i="7"/>
  <c r="AW76" i="7"/>
  <c r="AV77" i="7"/>
  <c r="AW77" i="7"/>
  <c r="AV78" i="7"/>
  <c r="AW78" i="7"/>
  <c r="AV79" i="7"/>
  <c r="AW79" i="7"/>
  <c r="AV80" i="7"/>
  <c r="AW80" i="7"/>
  <c r="AV81" i="7"/>
  <c r="AW81" i="7"/>
  <c r="AV82" i="7"/>
  <c r="AW82" i="7"/>
  <c r="AV83" i="7"/>
  <c r="AW83" i="7"/>
  <c r="AV84" i="7"/>
  <c r="AW84" i="7"/>
  <c r="AV85" i="7"/>
  <c r="AW85" i="7"/>
  <c r="AV86" i="7"/>
  <c r="AW86" i="7"/>
  <c r="AV87" i="7"/>
  <c r="AW87" i="7"/>
  <c r="AV88" i="7"/>
  <c r="AW88" i="7"/>
  <c r="AV89" i="7"/>
  <c r="AW89" i="7"/>
  <c r="AV90" i="7"/>
  <c r="AW90" i="7"/>
  <c r="AV91" i="7"/>
  <c r="AW91" i="7"/>
  <c r="AV92" i="7"/>
  <c r="AW92" i="7"/>
  <c r="AV93" i="7"/>
  <c r="AW93" i="7"/>
  <c r="AV94" i="7"/>
  <c r="AW94" i="7"/>
  <c r="AV95" i="7"/>
  <c r="AW95" i="7"/>
  <c r="AV96" i="7"/>
  <c r="AW96" i="7"/>
  <c r="AV97" i="7"/>
  <c r="AW97" i="7"/>
  <c r="AV98" i="7"/>
  <c r="AW98" i="7"/>
  <c r="AV99" i="7"/>
  <c r="AW99" i="7"/>
  <c r="AV100" i="7"/>
  <c r="AW100" i="7"/>
  <c r="AV101" i="7"/>
  <c r="AW101" i="7"/>
  <c r="AV102" i="7"/>
  <c r="AW102" i="7"/>
  <c r="AV103" i="7"/>
  <c r="AW103" i="7"/>
  <c r="AV104" i="7"/>
  <c r="AW104" i="7"/>
  <c r="AV105" i="7"/>
  <c r="AW105" i="7"/>
  <c r="AV106" i="7"/>
  <c r="AW106" i="7"/>
  <c r="AV107" i="7"/>
  <c r="AW107" i="7"/>
  <c r="AV108" i="7"/>
  <c r="AW108" i="7"/>
  <c r="AV109" i="7"/>
  <c r="AW109" i="7"/>
  <c r="AV110" i="7"/>
  <c r="AW110" i="7"/>
  <c r="AV111" i="7"/>
  <c r="AW111" i="7"/>
  <c r="AV112" i="7"/>
  <c r="AW112" i="7"/>
  <c r="AV113" i="7"/>
  <c r="AW113" i="7"/>
  <c r="AV114" i="7"/>
  <c r="AW114" i="7"/>
  <c r="AV115" i="7"/>
  <c r="AW115" i="7"/>
  <c r="AV116" i="7"/>
  <c r="AW116" i="7"/>
  <c r="AV117" i="7"/>
  <c r="AW117" i="7"/>
  <c r="AV118" i="7"/>
  <c r="AW118" i="7"/>
  <c r="AV119" i="7"/>
  <c r="AW119" i="7"/>
  <c r="AV120" i="7"/>
  <c r="AW120" i="7"/>
  <c r="AV121" i="7"/>
  <c r="AW121" i="7"/>
  <c r="AV122" i="7"/>
  <c r="AW122" i="7"/>
  <c r="AV123" i="7"/>
  <c r="AW123" i="7"/>
  <c r="AV124" i="7"/>
  <c r="AW124" i="7"/>
  <c r="AV125" i="7"/>
  <c r="AW125" i="7"/>
  <c r="AV126" i="7"/>
  <c r="AW126" i="7"/>
  <c r="AV127" i="7"/>
  <c r="AW127" i="7"/>
  <c r="AV128" i="7"/>
  <c r="AW128" i="7"/>
  <c r="AV129" i="7"/>
  <c r="AW129" i="7"/>
  <c r="AV130" i="7"/>
  <c r="AW130" i="7"/>
  <c r="AV131" i="7"/>
  <c r="AW131" i="7"/>
  <c r="AV132" i="7"/>
  <c r="AW132" i="7"/>
  <c r="AV7" i="3"/>
  <c r="AW7" i="3"/>
  <c r="AV8" i="3"/>
  <c r="AW8" i="3"/>
  <c r="AV9" i="3"/>
  <c r="AW9" i="3"/>
  <c r="AV10" i="3"/>
  <c r="AW10" i="3"/>
  <c r="AV11" i="3"/>
  <c r="AW11" i="3"/>
  <c r="AV12" i="3"/>
  <c r="AW12" i="3"/>
  <c r="AV13" i="3"/>
  <c r="AW13" i="3"/>
  <c r="AV14" i="3"/>
  <c r="AW14" i="3"/>
  <c r="AV15" i="3"/>
  <c r="AW15" i="3"/>
  <c r="AV16" i="3"/>
  <c r="AW16" i="3"/>
  <c r="AV17" i="3"/>
  <c r="AW17" i="3"/>
  <c r="AV18" i="3"/>
  <c r="AW18" i="3"/>
  <c r="AV19" i="3"/>
  <c r="AW19" i="3"/>
  <c r="AV20" i="3"/>
  <c r="AW20" i="3"/>
  <c r="AV21" i="3"/>
  <c r="AW21" i="3"/>
  <c r="AV22" i="3"/>
  <c r="AW22" i="3"/>
  <c r="AV23" i="3"/>
  <c r="AW23" i="3"/>
  <c r="AV24" i="3"/>
  <c r="AW24" i="3"/>
  <c r="AV25" i="3"/>
  <c r="AW25" i="3"/>
  <c r="AV26" i="3"/>
  <c r="AW26" i="3"/>
  <c r="AV27" i="3"/>
  <c r="AW27" i="3"/>
  <c r="AV28" i="3"/>
  <c r="AW28" i="3"/>
  <c r="AV29" i="3"/>
  <c r="AW29" i="3"/>
  <c r="AV30" i="3"/>
  <c r="AW30" i="3"/>
  <c r="AV31" i="3"/>
  <c r="AW31" i="3"/>
  <c r="AV32" i="3"/>
  <c r="AW32" i="3"/>
  <c r="AV33" i="3"/>
  <c r="AW33" i="3"/>
  <c r="AV34" i="3"/>
  <c r="AW34" i="3"/>
  <c r="AV35" i="3"/>
  <c r="AW35" i="3"/>
  <c r="AV36" i="3"/>
  <c r="AW36" i="3"/>
  <c r="AV37" i="3"/>
  <c r="AW37" i="3"/>
  <c r="AV38" i="3"/>
  <c r="AW38" i="3"/>
  <c r="AV39" i="3"/>
  <c r="AW39" i="3"/>
  <c r="AV40" i="3"/>
  <c r="AW40" i="3"/>
  <c r="AV41" i="3"/>
  <c r="AW41" i="3"/>
  <c r="AV42" i="3"/>
  <c r="AW42" i="3"/>
  <c r="AV43" i="3"/>
  <c r="AW43" i="3"/>
  <c r="AV44" i="3"/>
  <c r="AW44" i="3"/>
  <c r="AV45" i="3"/>
  <c r="AW45" i="3"/>
  <c r="AV46" i="3"/>
  <c r="AW46" i="3"/>
  <c r="AV47" i="3"/>
  <c r="AW47" i="3"/>
  <c r="AV48" i="3"/>
  <c r="AW48" i="3"/>
  <c r="AV49" i="3"/>
  <c r="AW49" i="3"/>
  <c r="AV50" i="3"/>
  <c r="AW50" i="3"/>
  <c r="AV51" i="3"/>
  <c r="AW51" i="3"/>
  <c r="AV52" i="3"/>
  <c r="AW52" i="3"/>
  <c r="AV53" i="3"/>
  <c r="AW53" i="3"/>
  <c r="AV54" i="3"/>
  <c r="AW54" i="3"/>
  <c r="AV55" i="3"/>
  <c r="AW55" i="3"/>
  <c r="AV56" i="3"/>
  <c r="AW56" i="3"/>
  <c r="AV57" i="3"/>
  <c r="AW57" i="3"/>
  <c r="AV58" i="3"/>
  <c r="AW58" i="3"/>
  <c r="AV59" i="3"/>
  <c r="AW59" i="3"/>
  <c r="AV60" i="3"/>
  <c r="AW60" i="3"/>
  <c r="AV61" i="3"/>
  <c r="AW61" i="3"/>
  <c r="AV62" i="3"/>
  <c r="AW62" i="3"/>
  <c r="AV63" i="3"/>
  <c r="AW63" i="3"/>
  <c r="AV64" i="3"/>
  <c r="AW64" i="3"/>
  <c r="AV65" i="3"/>
  <c r="AW65" i="3"/>
  <c r="AV66" i="3"/>
  <c r="AW66" i="3"/>
  <c r="AV67" i="3"/>
  <c r="AW67" i="3"/>
  <c r="AV68" i="3"/>
  <c r="AW68" i="3"/>
  <c r="AV69" i="3"/>
  <c r="AW69" i="3"/>
  <c r="AV70" i="3"/>
  <c r="AW70" i="3"/>
  <c r="AV71" i="3"/>
  <c r="AW71" i="3"/>
  <c r="AV72" i="3"/>
  <c r="AW72" i="3"/>
  <c r="AV73" i="3"/>
  <c r="AW73" i="3"/>
  <c r="AV74" i="3"/>
  <c r="AW74" i="3"/>
  <c r="AV75" i="3"/>
  <c r="AW75" i="3"/>
  <c r="AV76" i="3"/>
  <c r="AW76" i="3"/>
  <c r="AV77" i="3"/>
  <c r="AW77" i="3"/>
  <c r="AV78" i="3"/>
  <c r="AW78" i="3"/>
  <c r="AV79" i="3"/>
  <c r="AW79" i="3"/>
  <c r="AV80" i="3"/>
  <c r="AW80" i="3"/>
  <c r="AV81" i="3"/>
  <c r="AW81" i="3"/>
  <c r="AV82" i="3"/>
  <c r="AW82" i="3"/>
  <c r="AV83" i="3"/>
  <c r="AW83" i="3"/>
  <c r="AV84" i="3"/>
  <c r="AW84" i="3"/>
  <c r="AV85" i="3"/>
  <c r="AW85" i="3"/>
  <c r="AV86" i="3"/>
  <c r="AW86" i="3"/>
  <c r="AV87" i="3"/>
  <c r="AW87" i="3"/>
  <c r="AV88" i="3"/>
  <c r="AW88" i="3"/>
  <c r="AV89" i="3"/>
  <c r="AW89" i="3"/>
  <c r="AV90" i="3"/>
  <c r="AW90" i="3"/>
  <c r="AV91" i="3"/>
  <c r="AW91" i="3"/>
  <c r="AV92" i="3"/>
  <c r="AW92" i="3"/>
  <c r="AV93" i="3"/>
  <c r="AW93" i="3"/>
  <c r="AV94" i="3"/>
  <c r="AW94" i="3"/>
  <c r="AV95" i="3"/>
  <c r="AW95" i="3"/>
  <c r="AV96" i="3"/>
  <c r="AW96" i="3"/>
  <c r="AV97" i="3"/>
  <c r="AW97" i="3"/>
  <c r="AV98" i="3"/>
  <c r="AW98" i="3"/>
  <c r="AV99" i="3"/>
  <c r="AW99" i="3"/>
  <c r="AV100" i="3"/>
  <c r="AW100" i="3"/>
  <c r="AV101" i="3"/>
  <c r="AW101" i="3"/>
  <c r="AV102" i="3"/>
  <c r="AW102" i="3"/>
  <c r="AV103" i="3"/>
  <c r="AW103" i="3"/>
  <c r="AV104" i="3"/>
  <c r="AW104" i="3"/>
  <c r="AV105" i="3"/>
  <c r="AW105" i="3"/>
  <c r="AV106" i="3"/>
  <c r="AW106" i="3"/>
  <c r="AV107" i="3"/>
  <c r="AW107" i="3"/>
  <c r="AV108" i="3"/>
  <c r="AW108" i="3"/>
  <c r="AV109" i="3"/>
  <c r="AW109" i="3"/>
  <c r="AV110" i="3"/>
  <c r="AW110" i="3"/>
  <c r="AV111" i="3"/>
  <c r="AW111" i="3"/>
  <c r="AV112" i="3"/>
  <c r="AW112" i="3"/>
  <c r="AV113" i="3"/>
  <c r="AW113" i="3"/>
  <c r="AV114" i="3"/>
  <c r="AW114" i="3"/>
  <c r="AV115" i="3"/>
  <c r="AW115" i="3"/>
  <c r="AV116" i="3"/>
  <c r="AW116" i="3"/>
  <c r="AV117" i="3"/>
  <c r="AW117" i="3"/>
  <c r="AV118" i="3"/>
  <c r="AW118" i="3"/>
  <c r="AV119" i="3"/>
  <c r="AW119" i="3"/>
  <c r="AV120" i="3"/>
  <c r="AW120" i="3"/>
  <c r="AV121" i="3"/>
  <c r="AW121" i="3"/>
  <c r="AV122" i="3"/>
  <c r="AW122" i="3"/>
  <c r="AV123" i="3"/>
  <c r="AW123" i="3"/>
  <c r="AV124" i="3"/>
  <c r="AW124" i="3"/>
  <c r="AV125" i="3"/>
  <c r="AW125" i="3"/>
  <c r="AV126" i="3"/>
  <c r="AW126" i="3"/>
  <c r="AV127" i="3"/>
  <c r="AW127" i="3"/>
  <c r="AV128" i="3"/>
  <c r="AW128" i="3"/>
  <c r="AV129" i="3"/>
  <c r="AW129" i="3"/>
  <c r="AV130" i="3"/>
  <c r="AW130" i="3"/>
  <c r="AV131" i="3"/>
  <c r="AW131" i="3"/>
  <c r="AV132" i="3"/>
  <c r="AW132" i="3"/>
  <c r="AV7" i="14"/>
  <c r="AW7" i="14"/>
  <c r="AV8" i="14"/>
  <c r="AW8" i="14"/>
  <c r="AV9" i="14"/>
  <c r="AW9" i="14"/>
  <c r="AV10" i="14"/>
  <c r="AW10" i="14"/>
  <c r="AV11" i="14"/>
  <c r="AW11" i="14"/>
  <c r="AV12" i="14"/>
  <c r="AW12" i="14"/>
  <c r="AV13" i="14"/>
  <c r="AW13" i="14"/>
  <c r="AV14" i="14"/>
  <c r="AW14" i="14"/>
  <c r="AV15" i="14"/>
  <c r="AW15" i="14"/>
  <c r="AV16" i="14"/>
  <c r="AW16" i="14"/>
  <c r="AV17" i="14"/>
  <c r="AW17" i="14"/>
  <c r="AV18" i="14"/>
  <c r="AW18" i="14"/>
  <c r="AV19" i="14"/>
  <c r="AW19" i="14"/>
  <c r="AV20" i="14"/>
  <c r="AW20" i="14"/>
  <c r="AV21" i="14"/>
  <c r="AW21" i="14"/>
  <c r="AV22" i="14"/>
  <c r="AW22" i="14"/>
  <c r="AV23" i="14"/>
  <c r="AW23" i="14"/>
  <c r="AV24" i="14"/>
  <c r="AW24" i="14"/>
  <c r="AV25" i="14"/>
  <c r="AW25" i="14"/>
  <c r="AV26" i="14"/>
  <c r="AW26" i="14"/>
  <c r="AV27" i="14"/>
  <c r="AW27" i="14"/>
  <c r="AV28" i="14"/>
  <c r="AW28" i="14"/>
  <c r="AV29" i="14"/>
  <c r="AW29" i="14"/>
  <c r="AV30" i="14"/>
  <c r="AW30" i="14"/>
  <c r="AV31" i="14"/>
  <c r="AW31" i="14"/>
  <c r="AV32" i="14"/>
  <c r="AW32" i="14"/>
  <c r="AV33" i="14"/>
  <c r="AW33" i="14"/>
  <c r="AV34" i="14"/>
  <c r="AW34" i="14"/>
  <c r="AV35" i="14"/>
  <c r="AW35" i="14"/>
  <c r="AV36" i="14"/>
  <c r="AW36" i="14"/>
  <c r="AV37" i="14"/>
  <c r="AW37" i="14"/>
  <c r="AV38" i="14"/>
  <c r="AW38" i="14"/>
  <c r="AV39" i="14"/>
  <c r="AW39" i="14"/>
  <c r="AV40" i="14"/>
  <c r="AW40" i="14"/>
  <c r="AV41" i="14"/>
  <c r="AW41" i="14"/>
  <c r="AV42" i="14"/>
  <c r="AW42" i="14"/>
  <c r="AV43" i="14"/>
  <c r="AW43" i="14"/>
  <c r="AV44" i="14"/>
  <c r="AW44" i="14"/>
  <c r="AV45" i="14"/>
  <c r="AW45" i="14"/>
  <c r="AV46" i="14"/>
  <c r="AW46" i="14"/>
  <c r="AV47" i="14"/>
  <c r="AW47" i="14"/>
  <c r="AV48" i="14"/>
  <c r="AW48" i="14"/>
  <c r="AV49" i="14"/>
  <c r="AW49" i="14"/>
  <c r="AV50" i="14"/>
  <c r="AW50" i="14"/>
  <c r="AV51" i="14"/>
  <c r="AW51" i="14"/>
  <c r="AV52" i="14"/>
  <c r="AW52" i="14"/>
  <c r="AV53" i="14"/>
  <c r="AW53" i="14"/>
  <c r="AV54" i="14"/>
  <c r="AW54" i="14"/>
  <c r="AV55" i="14"/>
  <c r="AW55" i="14"/>
  <c r="AV56" i="14"/>
  <c r="AW56" i="14"/>
  <c r="AV57" i="14"/>
  <c r="AW57" i="14"/>
  <c r="AV58" i="14"/>
  <c r="AW58" i="14"/>
  <c r="AV59" i="14"/>
  <c r="AW59" i="14"/>
  <c r="AV60" i="14"/>
  <c r="AW60" i="14"/>
  <c r="AV61" i="14"/>
  <c r="AW61" i="14"/>
  <c r="AV62" i="14"/>
  <c r="AW62" i="14"/>
  <c r="AV63" i="14"/>
  <c r="AW63" i="14"/>
  <c r="AV64" i="14"/>
  <c r="AW64" i="14"/>
  <c r="AV65" i="14"/>
  <c r="AW65" i="14"/>
  <c r="AV66" i="14"/>
  <c r="AW66" i="14"/>
  <c r="AV67" i="14"/>
  <c r="AW67" i="14"/>
  <c r="AV68" i="14"/>
  <c r="AW68" i="14"/>
  <c r="AV69" i="14"/>
  <c r="AW69" i="14"/>
  <c r="AV70" i="14"/>
  <c r="AW70" i="14"/>
  <c r="AV71" i="14"/>
  <c r="AW71" i="14"/>
  <c r="AV72" i="14"/>
  <c r="AW72" i="14"/>
  <c r="AV73" i="14"/>
  <c r="AW73" i="14"/>
  <c r="AV74" i="14"/>
  <c r="AW74" i="14"/>
  <c r="AV75" i="14"/>
  <c r="AW75" i="14"/>
  <c r="AV76" i="14"/>
  <c r="AW76" i="14"/>
  <c r="AV77" i="14"/>
  <c r="AW77" i="14"/>
  <c r="AV78" i="14"/>
  <c r="AW78" i="14"/>
  <c r="AV79" i="14"/>
  <c r="AW79" i="14"/>
  <c r="AV80" i="14"/>
  <c r="AW80" i="14"/>
  <c r="AV81" i="14"/>
  <c r="AW81" i="14"/>
  <c r="AV82" i="14"/>
  <c r="AW82" i="14"/>
  <c r="AV83" i="14"/>
  <c r="AW83" i="14"/>
  <c r="AV84" i="14"/>
  <c r="AW84" i="14"/>
  <c r="AV85" i="14"/>
  <c r="AW85" i="14"/>
  <c r="AV86" i="14"/>
  <c r="AW86" i="14"/>
  <c r="AV87" i="14"/>
  <c r="AW87" i="14"/>
  <c r="AV88" i="14"/>
  <c r="AW88" i="14"/>
  <c r="AV89" i="14"/>
  <c r="AW89" i="14"/>
  <c r="AV90" i="14"/>
  <c r="AW90" i="14"/>
  <c r="AV91" i="14"/>
  <c r="AW91" i="14"/>
  <c r="AV92" i="14"/>
  <c r="AW92" i="14"/>
  <c r="AV93" i="14"/>
  <c r="AW93" i="14"/>
  <c r="AV94" i="14"/>
  <c r="AW94" i="14"/>
  <c r="AV95" i="14"/>
  <c r="AW95" i="14"/>
  <c r="AV96" i="14"/>
  <c r="AW96" i="14"/>
  <c r="AV97" i="14"/>
  <c r="AW97" i="14"/>
  <c r="AV98" i="14"/>
  <c r="AW98" i="14"/>
  <c r="AV99" i="14"/>
  <c r="AW99" i="14"/>
  <c r="AV100" i="14"/>
  <c r="AW100" i="14"/>
  <c r="AV101" i="14"/>
  <c r="AW101" i="14"/>
  <c r="AV102" i="14"/>
  <c r="AW102" i="14"/>
  <c r="AV103" i="14"/>
  <c r="AW103" i="14"/>
  <c r="AV104" i="14"/>
  <c r="AW104" i="14"/>
  <c r="AV105" i="14"/>
  <c r="AW105" i="14"/>
  <c r="AV106" i="14"/>
  <c r="AW106" i="14"/>
  <c r="AV107" i="14"/>
  <c r="AW107" i="14"/>
  <c r="AV108" i="14"/>
  <c r="AW108" i="14"/>
  <c r="AV109" i="14"/>
  <c r="AW109" i="14"/>
  <c r="AV110" i="14"/>
  <c r="AW110" i="14"/>
  <c r="AV111" i="14"/>
  <c r="AW111" i="14"/>
  <c r="AV112" i="14"/>
  <c r="AW112" i="14"/>
  <c r="AV113" i="14"/>
  <c r="AW113" i="14"/>
  <c r="AV114" i="14"/>
  <c r="AW114" i="14"/>
  <c r="AV115" i="14"/>
  <c r="AW115" i="14"/>
  <c r="AV116" i="14"/>
  <c r="AW116" i="14"/>
  <c r="AV117" i="14"/>
  <c r="AW117" i="14"/>
  <c r="AV118" i="14"/>
  <c r="AW118" i="14"/>
  <c r="AV119" i="14"/>
  <c r="AW119" i="14"/>
  <c r="AV120" i="14"/>
  <c r="AW120" i="14"/>
  <c r="AV121" i="14"/>
  <c r="AW121" i="14"/>
  <c r="AV122" i="14"/>
  <c r="AW122" i="14"/>
  <c r="AV123" i="14"/>
  <c r="AW123" i="14"/>
  <c r="AV124" i="14"/>
  <c r="AW124" i="14"/>
  <c r="AV125" i="14"/>
  <c r="AW125" i="14"/>
  <c r="AV126" i="14"/>
  <c r="AW126" i="14"/>
  <c r="AV127" i="14"/>
  <c r="AW127" i="14"/>
  <c r="AV128" i="14"/>
  <c r="AW128" i="14"/>
  <c r="AV129" i="14"/>
  <c r="AW129" i="14"/>
  <c r="AV130" i="14"/>
  <c r="AW130" i="14"/>
  <c r="AV131" i="14"/>
  <c r="AW131" i="14"/>
  <c r="AV132" i="14"/>
  <c r="AW132" i="14"/>
  <c r="AV7" i="15"/>
  <c r="AW7" i="15"/>
  <c r="AV8" i="15"/>
  <c r="AW8" i="15"/>
  <c r="AV9" i="15"/>
  <c r="AW9" i="15"/>
  <c r="AV10" i="15"/>
  <c r="AW10" i="15"/>
  <c r="AV11" i="15"/>
  <c r="AW11" i="15"/>
  <c r="AV12" i="15"/>
  <c r="AW12" i="15"/>
  <c r="AV13" i="15"/>
  <c r="AW13" i="15"/>
  <c r="AV14" i="15"/>
  <c r="AW14" i="15"/>
  <c r="AV15" i="15"/>
  <c r="AW15" i="15"/>
  <c r="AV16" i="15"/>
  <c r="AW16" i="15"/>
  <c r="AV17" i="15"/>
  <c r="AW17" i="15"/>
  <c r="AV18" i="15"/>
  <c r="AW18" i="15"/>
  <c r="AV19" i="15"/>
  <c r="AW19" i="15"/>
  <c r="AV20" i="15"/>
  <c r="AW20" i="15"/>
  <c r="AV21" i="15"/>
  <c r="AW21" i="15"/>
  <c r="AV22" i="15"/>
  <c r="AW22" i="15"/>
  <c r="AV23" i="15"/>
  <c r="AW23" i="15"/>
  <c r="AV24" i="15"/>
  <c r="AW24" i="15"/>
  <c r="AV25" i="15"/>
  <c r="AW25" i="15"/>
  <c r="AV26" i="15"/>
  <c r="AW26" i="15"/>
  <c r="AV27" i="15"/>
  <c r="AW27" i="15"/>
  <c r="AV28" i="15"/>
  <c r="AW28" i="15"/>
  <c r="AV29" i="15"/>
  <c r="AW29" i="15"/>
  <c r="AV30" i="15"/>
  <c r="AW30" i="15"/>
  <c r="AV31" i="15"/>
  <c r="AW31" i="15"/>
  <c r="AV32" i="15"/>
  <c r="AW32" i="15"/>
  <c r="AV33" i="15"/>
  <c r="AW33" i="15"/>
  <c r="AV34" i="15"/>
  <c r="AW34" i="15"/>
  <c r="AV35" i="15"/>
  <c r="AW35" i="15"/>
  <c r="AV36" i="15"/>
  <c r="AW36" i="15"/>
  <c r="AV37" i="15"/>
  <c r="AW37" i="15"/>
  <c r="AV38" i="15"/>
  <c r="AW38" i="15"/>
  <c r="AV39" i="15"/>
  <c r="AW39" i="15"/>
  <c r="AV40" i="15"/>
  <c r="AW40" i="15"/>
  <c r="AV41" i="15"/>
  <c r="AW41" i="15"/>
  <c r="AV42" i="15"/>
  <c r="AW42" i="15"/>
  <c r="AV43" i="15"/>
  <c r="AW43" i="15"/>
  <c r="AV44" i="15"/>
  <c r="AW44" i="15"/>
  <c r="AV45" i="15"/>
  <c r="AW45" i="15"/>
  <c r="AV46" i="15"/>
  <c r="AW46" i="15"/>
  <c r="AV47" i="15"/>
  <c r="AW47" i="15"/>
  <c r="AV48" i="15"/>
  <c r="AW48" i="15"/>
  <c r="AV49" i="15"/>
  <c r="AW49" i="15"/>
  <c r="AV50" i="15"/>
  <c r="AW50" i="15"/>
  <c r="AV51" i="15"/>
  <c r="AW51" i="15"/>
  <c r="AV52" i="15"/>
  <c r="AW52" i="15"/>
  <c r="AV53" i="15"/>
  <c r="AW53" i="15"/>
  <c r="AV54" i="15"/>
  <c r="AW54" i="15"/>
  <c r="AV55" i="15"/>
  <c r="AW55" i="15"/>
  <c r="AV56" i="15"/>
  <c r="AW56" i="15"/>
  <c r="AV57" i="15"/>
  <c r="AW57" i="15"/>
  <c r="AV58" i="15"/>
  <c r="AW58" i="15"/>
  <c r="AV59" i="15"/>
  <c r="AW59" i="15"/>
  <c r="AV60" i="15"/>
  <c r="AW60" i="15"/>
  <c r="AV61" i="15"/>
  <c r="AW61" i="15"/>
  <c r="AV62" i="15"/>
  <c r="AW62" i="15"/>
  <c r="AV63" i="15"/>
  <c r="AW63" i="15"/>
  <c r="AV64" i="15"/>
  <c r="AW64" i="15"/>
  <c r="AV65" i="15"/>
  <c r="AW65" i="15"/>
  <c r="AV66" i="15"/>
  <c r="AW66" i="15"/>
  <c r="AV67" i="15"/>
  <c r="AW67" i="15"/>
  <c r="AV68" i="15"/>
  <c r="AW68" i="15"/>
  <c r="AV69" i="15"/>
  <c r="AW69" i="15"/>
  <c r="AV70" i="15"/>
  <c r="AW70" i="15"/>
  <c r="AV71" i="15"/>
  <c r="AW71" i="15"/>
  <c r="AV72" i="15"/>
  <c r="AW72" i="15"/>
  <c r="AV73" i="15"/>
  <c r="AW73" i="15"/>
  <c r="AV74" i="15"/>
  <c r="AW74" i="15"/>
  <c r="AV75" i="15"/>
  <c r="AW75" i="15"/>
  <c r="AV76" i="15"/>
  <c r="AW76" i="15"/>
  <c r="AV77" i="15"/>
  <c r="AW77" i="15"/>
  <c r="AV78" i="15"/>
  <c r="AW78" i="15"/>
  <c r="AV79" i="15"/>
  <c r="AW79" i="15"/>
  <c r="AV80" i="15"/>
  <c r="AW80" i="15"/>
  <c r="AV81" i="15"/>
  <c r="AW81" i="15"/>
  <c r="AV82" i="15"/>
  <c r="AW82" i="15"/>
  <c r="AV83" i="15"/>
  <c r="AW83" i="15"/>
  <c r="AV84" i="15"/>
  <c r="AW84" i="15"/>
  <c r="AV85" i="15"/>
  <c r="AW85" i="15"/>
  <c r="AV86" i="15"/>
  <c r="AW86" i="15"/>
  <c r="AV87" i="15"/>
  <c r="AW87" i="15"/>
  <c r="AV88" i="15"/>
  <c r="AW88" i="15"/>
  <c r="AV89" i="15"/>
  <c r="AW89" i="15"/>
  <c r="AV90" i="15"/>
  <c r="AW90" i="15"/>
  <c r="AV91" i="15"/>
  <c r="AW91" i="15"/>
  <c r="AV92" i="15"/>
  <c r="AW92" i="15"/>
  <c r="AV93" i="15"/>
  <c r="AW93" i="15"/>
  <c r="AV94" i="15"/>
  <c r="AW94" i="15"/>
  <c r="AV95" i="15"/>
  <c r="AW95" i="15"/>
  <c r="AV96" i="15"/>
  <c r="AW96" i="15"/>
  <c r="AV97" i="15"/>
  <c r="AW97" i="15"/>
  <c r="AV98" i="15"/>
  <c r="AW98" i="15"/>
  <c r="AV99" i="15"/>
  <c r="AW99" i="15"/>
  <c r="AV100" i="15"/>
  <c r="AW100" i="15"/>
  <c r="AV101" i="15"/>
  <c r="AW101" i="15"/>
  <c r="AV102" i="15"/>
  <c r="AW102" i="15"/>
  <c r="AV103" i="15"/>
  <c r="AW103" i="15"/>
  <c r="AV104" i="15"/>
  <c r="AW104" i="15"/>
  <c r="AV105" i="15"/>
  <c r="AW105" i="15"/>
  <c r="AV106" i="15"/>
  <c r="AW106" i="15"/>
  <c r="AV107" i="15"/>
  <c r="AW107" i="15"/>
  <c r="AV108" i="15"/>
  <c r="AW108" i="15"/>
  <c r="AV109" i="15"/>
  <c r="AW109" i="15"/>
  <c r="AV110" i="15"/>
  <c r="AW110" i="15"/>
  <c r="AV111" i="15"/>
  <c r="AW111" i="15"/>
  <c r="AV112" i="15"/>
  <c r="AW112" i="15"/>
  <c r="AV113" i="15"/>
  <c r="AW113" i="15"/>
  <c r="AV114" i="15"/>
  <c r="AW114" i="15"/>
  <c r="AV115" i="15"/>
  <c r="AW115" i="15"/>
  <c r="AV116" i="15"/>
  <c r="AW116" i="15"/>
  <c r="AV117" i="15"/>
  <c r="AW117" i="15"/>
  <c r="AV118" i="15"/>
  <c r="AW118" i="15"/>
  <c r="AV119" i="15"/>
  <c r="AW119" i="15"/>
  <c r="AV120" i="15"/>
  <c r="AW120" i="15"/>
  <c r="AV121" i="15"/>
  <c r="AW121" i="15"/>
  <c r="AV122" i="15"/>
  <c r="AW122" i="15"/>
  <c r="AV123" i="15"/>
  <c r="AW123" i="15"/>
  <c r="AV124" i="15"/>
  <c r="AW124" i="15"/>
  <c r="AV125" i="15"/>
  <c r="AW125" i="15"/>
  <c r="AV126" i="15"/>
  <c r="AW126" i="15"/>
  <c r="AV127" i="15"/>
  <c r="AW127" i="15"/>
  <c r="AV128" i="15"/>
  <c r="AW128" i="15"/>
  <c r="AV129" i="15"/>
  <c r="AW129" i="15"/>
  <c r="AV130" i="15"/>
  <c r="AW130" i="15"/>
  <c r="AV131" i="15"/>
  <c r="AW131" i="15"/>
  <c r="AV132" i="15"/>
  <c r="AW132" i="15"/>
  <c r="AV7" i="19"/>
  <c r="AW7" i="19"/>
  <c r="AV8" i="19"/>
  <c r="AW8" i="19"/>
  <c r="AV9" i="19"/>
  <c r="AW9" i="19"/>
  <c r="AV10" i="19"/>
  <c r="AW10" i="19"/>
  <c r="AV11" i="19"/>
  <c r="AW11" i="19"/>
  <c r="AV12" i="19"/>
  <c r="AW12" i="19"/>
  <c r="AV13" i="19"/>
  <c r="AW13" i="19"/>
  <c r="AV14" i="19"/>
  <c r="AW14" i="19"/>
  <c r="AV15" i="19"/>
  <c r="AW15" i="19"/>
  <c r="AV16" i="19"/>
  <c r="AW16" i="19"/>
  <c r="AV17" i="19"/>
  <c r="AW17" i="19"/>
  <c r="AV18" i="19"/>
  <c r="AW18" i="19"/>
  <c r="AV19" i="19"/>
  <c r="AW19" i="19"/>
  <c r="AV20" i="19"/>
  <c r="AW20" i="19"/>
  <c r="AV21" i="19"/>
  <c r="AW21" i="19"/>
  <c r="AV22" i="19"/>
  <c r="AW22" i="19"/>
  <c r="AV23" i="19"/>
  <c r="AW23" i="19"/>
  <c r="AV24" i="19"/>
  <c r="AW24" i="19"/>
  <c r="AV25" i="19"/>
  <c r="AW25" i="19"/>
  <c r="AV26" i="19"/>
  <c r="AW26" i="19"/>
  <c r="AV27" i="19"/>
  <c r="AW27" i="19"/>
  <c r="AV28" i="19"/>
  <c r="AW28" i="19"/>
  <c r="AV29" i="19"/>
  <c r="AW29" i="19"/>
  <c r="AV30" i="19"/>
  <c r="AW30" i="19"/>
  <c r="AV31" i="19"/>
  <c r="AW31" i="19"/>
  <c r="AV32" i="19"/>
  <c r="AW32" i="19"/>
  <c r="AV33" i="19"/>
  <c r="AW33" i="19"/>
  <c r="AV34" i="19"/>
  <c r="AW34" i="19"/>
  <c r="AV35" i="19"/>
  <c r="AW35" i="19"/>
  <c r="AV36" i="19"/>
  <c r="AW36" i="19"/>
  <c r="AV37" i="19"/>
  <c r="AW37" i="19"/>
  <c r="AV38" i="19"/>
  <c r="AW38" i="19"/>
  <c r="AV39" i="19"/>
  <c r="AW39" i="19"/>
  <c r="AV40" i="19"/>
  <c r="AW40" i="19"/>
  <c r="AV41" i="19"/>
  <c r="AW41" i="19"/>
  <c r="AV42" i="19"/>
  <c r="AW42" i="19"/>
  <c r="AV43" i="19"/>
  <c r="AW43" i="19"/>
  <c r="AV44" i="19"/>
  <c r="AW44" i="19"/>
  <c r="AV45" i="19"/>
  <c r="AW45" i="19"/>
  <c r="AV46" i="19"/>
  <c r="AW46" i="19"/>
  <c r="AV47" i="19"/>
  <c r="AW47" i="19"/>
  <c r="AV48" i="19"/>
  <c r="AW48" i="19"/>
  <c r="AV49" i="19"/>
  <c r="AW49" i="19"/>
  <c r="AV50" i="19"/>
  <c r="AW50" i="19"/>
  <c r="AV51" i="19"/>
  <c r="AW51" i="19"/>
  <c r="AV52" i="19"/>
  <c r="AW52" i="19"/>
  <c r="AV53" i="19"/>
  <c r="AW53" i="19"/>
  <c r="AV54" i="19"/>
  <c r="AW54" i="19"/>
  <c r="AV55" i="19"/>
  <c r="AW55" i="19"/>
  <c r="AV56" i="19"/>
  <c r="AW56" i="19"/>
  <c r="AV57" i="19"/>
  <c r="AW57" i="19"/>
  <c r="AV58" i="19"/>
  <c r="AW58" i="19"/>
  <c r="AV59" i="19"/>
  <c r="AW59" i="19"/>
  <c r="AV60" i="19"/>
  <c r="AW60" i="19"/>
  <c r="AV61" i="19"/>
  <c r="AW61" i="19"/>
  <c r="AV62" i="19"/>
  <c r="AW62" i="19"/>
  <c r="AV63" i="19"/>
  <c r="AW63" i="19"/>
  <c r="AV64" i="19"/>
  <c r="AW64" i="19"/>
  <c r="AV65" i="19"/>
  <c r="AW65" i="19"/>
  <c r="AV66" i="19"/>
  <c r="AW66" i="19"/>
  <c r="AV67" i="19"/>
  <c r="AW67" i="19"/>
  <c r="AV68" i="19"/>
  <c r="AW68" i="19"/>
  <c r="AV69" i="19"/>
  <c r="AW69" i="19"/>
  <c r="AV70" i="19"/>
  <c r="AW70" i="19"/>
  <c r="AV71" i="19"/>
  <c r="AW71" i="19"/>
  <c r="AV72" i="19"/>
  <c r="AW72" i="19"/>
  <c r="AV73" i="19"/>
  <c r="AW73" i="19"/>
  <c r="AV74" i="19"/>
  <c r="AW74" i="19"/>
  <c r="AV75" i="19"/>
  <c r="AW75" i="19"/>
  <c r="AV76" i="19"/>
  <c r="AW76" i="19"/>
  <c r="AV77" i="19"/>
  <c r="AW77" i="19"/>
  <c r="AV78" i="19"/>
  <c r="AW78" i="19"/>
  <c r="AV79" i="19"/>
  <c r="AW79" i="19"/>
  <c r="AV80" i="19"/>
  <c r="AW80" i="19"/>
  <c r="AV81" i="19"/>
  <c r="AW81" i="19"/>
  <c r="AV82" i="19"/>
  <c r="AW82" i="19"/>
  <c r="AV83" i="19"/>
  <c r="AW83" i="19"/>
  <c r="AV84" i="19"/>
  <c r="AW84" i="19"/>
  <c r="AV85" i="19"/>
  <c r="AW85" i="19"/>
  <c r="AV86" i="19"/>
  <c r="AW86" i="19"/>
  <c r="AV87" i="19"/>
  <c r="AW87" i="19"/>
  <c r="AV88" i="19"/>
  <c r="AW88" i="19"/>
  <c r="AV89" i="19"/>
  <c r="AW89" i="19"/>
  <c r="AV90" i="19"/>
  <c r="AW90" i="19"/>
  <c r="AV91" i="19"/>
  <c r="AW91" i="19"/>
  <c r="AV92" i="19"/>
  <c r="AW92" i="19"/>
  <c r="AV93" i="19"/>
  <c r="AW93" i="19"/>
  <c r="AV94" i="19"/>
  <c r="AW94" i="19"/>
  <c r="AV95" i="19"/>
  <c r="AW95" i="19"/>
  <c r="AV96" i="19"/>
  <c r="AW96" i="19"/>
  <c r="AV97" i="19"/>
  <c r="AW97" i="19"/>
  <c r="AV98" i="19"/>
  <c r="AW98" i="19"/>
  <c r="AV99" i="19"/>
  <c r="AW99" i="19"/>
  <c r="AV100" i="19"/>
  <c r="AW100" i="19"/>
  <c r="AV101" i="19"/>
  <c r="AW101" i="19"/>
  <c r="AV102" i="19"/>
  <c r="AW102" i="19"/>
  <c r="AV103" i="19"/>
  <c r="AW103" i="19"/>
  <c r="AV104" i="19"/>
  <c r="AW104" i="19"/>
  <c r="AV105" i="19"/>
  <c r="AW105" i="19"/>
  <c r="AV106" i="19"/>
  <c r="AW106" i="19"/>
  <c r="AV107" i="19"/>
  <c r="AW107" i="19"/>
  <c r="AV108" i="19"/>
  <c r="AW108" i="19"/>
  <c r="AV109" i="19"/>
  <c r="AW109" i="19"/>
  <c r="AV110" i="19"/>
  <c r="AW110" i="19"/>
  <c r="AV111" i="19"/>
  <c r="AW111" i="19"/>
  <c r="AV112" i="19"/>
  <c r="AW112" i="19"/>
  <c r="AV113" i="19"/>
  <c r="AW113" i="19"/>
  <c r="AV114" i="19"/>
  <c r="AW114" i="19"/>
  <c r="AV115" i="19"/>
  <c r="AW115" i="19"/>
  <c r="AV116" i="19"/>
  <c r="AW116" i="19"/>
  <c r="AV117" i="19"/>
  <c r="AW117" i="19"/>
  <c r="AV118" i="19"/>
  <c r="AW118" i="19"/>
  <c r="AV119" i="19"/>
  <c r="AW119" i="19"/>
  <c r="AV120" i="19"/>
  <c r="AW120" i="19"/>
  <c r="AV121" i="19"/>
  <c r="AW121" i="19"/>
  <c r="AV122" i="19"/>
  <c r="AW122" i="19"/>
  <c r="AV123" i="19"/>
  <c r="AW123" i="19"/>
  <c r="AV124" i="19"/>
  <c r="AW124" i="19"/>
  <c r="AV125" i="19"/>
  <c r="AW125" i="19"/>
  <c r="AV126" i="19"/>
  <c r="AW126" i="19"/>
  <c r="AV127" i="19"/>
  <c r="AW127" i="19"/>
  <c r="AV128" i="19"/>
  <c r="AW128" i="19"/>
  <c r="AV129" i="19"/>
  <c r="AW129" i="19"/>
  <c r="AV130" i="19"/>
  <c r="AW130" i="19"/>
  <c r="AV131" i="19"/>
  <c r="AW131" i="19"/>
  <c r="AV132" i="19"/>
  <c r="AW132" i="19"/>
  <c r="AV7" i="20"/>
  <c r="AW7" i="20"/>
  <c r="AX7" i="20"/>
  <c r="AV8" i="20"/>
  <c r="AW8" i="20"/>
  <c r="AX8" i="20"/>
  <c r="AV9" i="20"/>
  <c r="AW9" i="20"/>
  <c r="AX9" i="20"/>
  <c r="AV10" i="20"/>
  <c r="AW10" i="20"/>
  <c r="AX10" i="20"/>
  <c r="AV11" i="20"/>
  <c r="AW11" i="20"/>
  <c r="AX11" i="20"/>
  <c r="AV12" i="20"/>
  <c r="AW12" i="20"/>
  <c r="AX12" i="20"/>
  <c r="AV13" i="20"/>
  <c r="AW13" i="20"/>
  <c r="AX13" i="20"/>
  <c r="AV14" i="20"/>
  <c r="AW14" i="20"/>
  <c r="AX14" i="20"/>
  <c r="AV15" i="20"/>
  <c r="AW15" i="20"/>
  <c r="AX15" i="20"/>
  <c r="AV16" i="20"/>
  <c r="AW16" i="20"/>
  <c r="AX16" i="20"/>
  <c r="AV17" i="20"/>
  <c r="AW17" i="20"/>
  <c r="AX17" i="20"/>
  <c r="AV18" i="20"/>
  <c r="AW18" i="20"/>
  <c r="AX18" i="20"/>
  <c r="AV19" i="20"/>
  <c r="AW19" i="20"/>
  <c r="AX19" i="20"/>
  <c r="AV20" i="20"/>
  <c r="AW20" i="20"/>
  <c r="AX20" i="20"/>
  <c r="AV21" i="20"/>
  <c r="AW21" i="20"/>
  <c r="AX21" i="20"/>
  <c r="AV22" i="20"/>
  <c r="AW22" i="20"/>
  <c r="AX22" i="20"/>
  <c r="AV23" i="20"/>
  <c r="AW23" i="20"/>
  <c r="AX23" i="20"/>
  <c r="AV24" i="20"/>
  <c r="AW24" i="20"/>
  <c r="AX24" i="20"/>
  <c r="AV25" i="20"/>
  <c r="AW25" i="20"/>
  <c r="AX25" i="20"/>
  <c r="AV26" i="20"/>
  <c r="AW26" i="20"/>
  <c r="AX26" i="20"/>
  <c r="AV27" i="20"/>
  <c r="AW27" i="20"/>
  <c r="AX27" i="20"/>
  <c r="AV28" i="20"/>
  <c r="AW28" i="20"/>
  <c r="AX28" i="20"/>
  <c r="AV29" i="20"/>
  <c r="AW29" i="20"/>
  <c r="AX29" i="20"/>
  <c r="AV30" i="20"/>
  <c r="AW30" i="20"/>
  <c r="AX30" i="20"/>
  <c r="AV31" i="20"/>
  <c r="AW31" i="20"/>
  <c r="AX31" i="20"/>
  <c r="AV32" i="20"/>
  <c r="AW32" i="20"/>
  <c r="AX32" i="20"/>
  <c r="AV33" i="20"/>
  <c r="AW33" i="20"/>
  <c r="AX33" i="20"/>
  <c r="AV34" i="20"/>
  <c r="AW34" i="20"/>
  <c r="AX34" i="20"/>
  <c r="AV35" i="20"/>
  <c r="AW35" i="20"/>
  <c r="AX35" i="20"/>
  <c r="AV36" i="20"/>
  <c r="AW36" i="20"/>
  <c r="AX36" i="20"/>
  <c r="AV37" i="20"/>
  <c r="AW37" i="20"/>
  <c r="AX37" i="20"/>
  <c r="AV38" i="20"/>
  <c r="AW38" i="20"/>
  <c r="AX38" i="20"/>
  <c r="AV39" i="20"/>
  <c r="AW39" i="20"/>
  <c r="AX39" i="20"/>
  <c r="AV40" i="20"/>
  <c r="AW40" i="20"/>
  <c r="AX40" i="20"/>
  <c r="AV41" i="20"/>
  <c r="AW41" i="20"/>
  <c r="AX41" i="20"/>
  <c r="AV42" i="20"/>
  <c r="AW42" i="20"/>
  <c r="AX42" i="20"/>
  <c r="AV43" i="20"/>
  <c r="AW43" i="20"/>
  <c r="AX43" i="20"/>
  <c r="AV44" i="20"/>
  <c r="AW44" i="20"/>
  <c r="AX44" i="20"/>
  <c r="AV45" i="20"/>
  <c r="AW45" i="20"/>
  <c r="AX45" i="20"/>
  <c r="AV46" i="20"/>
  <c r="AW46" i="20"/>
  <c r="AX46" i="20"/>
  <c r="AV47" i="20"/>
  <c r="AW47" i="20"/>
  <c r="AX47" i="20"/>
  <c r="AV48" i="20"/>
  <c r="AW48" i="20"/>
  <c r="AX48" i="20"/>
  <c r="AV49" i="20"/>
  <c r="AW49" i="20"/>
  <c r="AX49" i="20"/>
  <c r="AV50" i="20"/>
  <c r="AW50" i="20"/>
  <c r="AX50" i="20"/>
  <c r="AV51" i="20"/>
  <c r="AW51" i="20"/>
  <c r="AX51" i="20"/>
  <c r="AV52" i="20"/>
  <c r="AW52" i="20"/>
  <c r="AX52" i="20"/>
  <c r="AV53" i="20"/>
  <c r="AW53" i="20"/>
  <c r="AX53" i="20"/>
  <c r="AV54" i="20"/>
  <c r="AW54" i="20"/>
  <c r="AX54" i="20"/>
  <c r="AV55" i="20"/>
  <c r="AW55" i="20"/>
  <c r="AX55" i="20"/>
  <c r="AV56" i="20"/>
  <c r="AW56" i="20"/>
  <c r="AX56" i="20"/>
  <c r="AV57" i="20"/>
  <c r="AW57" i="20"/>
  <c r="AX57" i="20"/>
  <c r="AV58" i="20"/>
  <c r="AW58" i="20"/>
  <c r="AX58" i="20"/>
  <c r="AV59" i="20"/>
  <c r="AW59" i="20"/>
  <c r="AX59" i="20"/>
  <c r="AV60" i="20"/>
  <c r="AW60" i="20"/>
  <c r="AX60" i="20"/>
  <c r="AV61" i="20"/>
  <c r="AW61" i="20"/>
  <c r="AX61" i="20"/>
  <c r="AV62" i="20"/>
  <c r="AW62" i="20"/>
  <c r="AX62" i="20"/>
  <c r="AV63" i="20"/>
  <c r="AW63" i="20"/>
  <c r="AX63" i="20"/>
  <c r="AV64" i="20"/>
  <c r="AW64" i="20"/>
  <c r="AX64" i="20"/>
  <c r="AV65" i="20"/>
  <c r="AW65" i="20"/>
  <c r="AX65" i="20"/>
  <c r="AV66" i="20"/>
  <c r="AW66" i="20"/>
  <c r="AX66" i="20"/>
  <c r="AV67" i="20"/>
  <c r="AW67" i="20"/>
  <c r="AX67" i="20"/>
  <c r="AV68" i="20"/>
  <c r="AW68" i="20"/>
  <c r="AX68" i="20"/>
  <c r="AV69" i="20"/>
  <c r="AW69" i="20"/>
  <c r="AX69" i="20"/>
  <c r="AV70" i="20"/>
  <c r="AW70" i="20"/>
  <c r="AX70" i="20"/>
  <c r="AV71" i="20"/>
  <c r="AW71" i="20"/>
  <c r="AX71" i="20"/>
  <c r="AV72" i="20"/>
  <c r="AW72" i="20"/>
  <c r="AX72" i="20"/>
  <c r="AV73" i="20"/>
  <c r="AW73" i="20"/>
  <c r="AX73" i="20"/>
  <c r="AV74" i="20"/>
  <c r="AW74" i="20"/>
  <c r="AX74" i="20"/>
  <c r="AV75" i="20"/>
  <c r="AW75" i="20"/>
  <c r="AX75" i="20"/>
  <c r="AV76" i="20"/>
  <c r="AW76" i="20"/>
  <c r="AX76" i="20"/>
  <c r="AV77" i="20"/>
  <c r="AW77" i="20"/>
  <c r="AX77" i="20"/>
  <c r="AV78" i="20"/>
  <c r="AW78" i="20"/>
  <c r="AX78" i="20"/>
  <c r="AV79" i="20"/>
  <c r="AW79" i="20"/>
  <c r="AX79" i="20"/>
  <c r="AV80" i="20"/>
  <c r="AW80" i="20"/>
  <c r="AX80" i="20"/>
  <c r="AV81" i="20"/>
  <c r="AW81" i="20"/>
  <c r="AX81" i="20"/>
  <c r="AV82" i="20"/>
  <c r="AW82" i="20"/>
  <c r="AX82" i="20"/>
  <c r="AV83" i="20"/>
  <c r="AW83" i="20"/>
  <c r="AX83" i="20"/>
  <c r="AV84" i="20"/>
  <c r="AW84" i="20"/>
  <c r="AX84" i="20"/>
  <c r="AV85" i="20"/>
  <c r="AW85" i="20"/>
  <c r="AX85" i="20"/>
  <c r="AV86" i="20"/>
  <c r="AW86" i="20"/>
  <c r="AX86" i="20"/>
  <c r="AV87" i="20"/>
  <c r="AW87" i="20"/>
  <c r="AX87" i="20"/>
  <c r="AV88" i="20"/>
  <c r="AW88" i="20"/>
  <c r="AX88" i="20"/>
  <c r="AV89" i="20"/>
  <c r="AW89" i="20"/>
  <c r="AX89" i="20"/>
  <c r="AV90" i="20"/>
  <c r="AW90" i="20"/>
  <c r="AX90" i="20"/>
  <c r="AV91" i="20"/>
  <c r="AW91" i="20"/>
  <c r="AX91" i="20"/>
  <c r="AV92" i="20"/>
  <c r="AW92" i="20"/>
  <c r="AX92" i="20"/>
  <c r="AV93" i="20"/>
  <c r="AW93" i="20"/>
  <c r="AX93" i="20"/>
  <c r="AV94" i="20"/>
  <c r="AW94" i="20"/>
  <c r="AX94" i="20"/>
  <c r="AV95" i="20"/>
  <c r="AW95" i="20"/>
  <c r="AX95" i="20"/>
  <c r="AV96" i="20"/>
  <c r="AW96" i="20"/>
  <c r="AX96" i="20"/>
  <c r="AV97" i="20"/>
  <c r="AW97" i="20"/>
  <c r="AX97" i="20"/>
  <c r="AV98" i="20"/>
  <c r="AW98" i="20"/>
  <c r="AX98" i="20"/>
  <c r="AV99" i="20"/>
  <c r="AW99" i="20"/>
  <c r="AX99" i="20"/>
  <c r="AV100" i="20"/>
  <c r="AW100" i="20"/>
  <c r="AX100" i="20"/>
  <c r="AV101" i="20"/>
  <c r="AW101" i="20"/>
  <c r="AX101" i="20"/>
  <c r="AV102" i="20"/>
  <c r="AW102" i="20"/>
  <c r="AX102" i="20"/>
  <c r="AV103" i="20"/>
  <c r="AW103" i="20"/>
  <c r="AX103" i="20"/>
  <c r="AV104" i="20"/>
  <c r="AW104" i="20"/>
  <c r="AX104" i="20"/>
  <c r="AV105" i="20"/>
  <c r="AW105" i="20"/>
  <c r="AX105" i="20"/>
  <c r="AV106" i="20"/>
  <c r="AW106" i="20"/>
  <c r="AX106" i="20"/>
  <c r="AV107" i="20"/>
  <c r="AW107" i="20"/>
  <c r="AX107" i="20"/>
  <c r="AV108" i="20"/>
  <c r="AW108" i="20"/>
  <c r="AX108" i="20"/>
  <c r="AV109" i="20"/>
  <c r="AW109" i="20"/>
  <c r="AX109" i="20"/>
  <c r="AV110" i="20"/>
  <c r="AW110" i="20"/>
  <c r="AX110" i="20"/>
  <c r="AV111" i="20"/>
  <c r="AW111" i="20"/>
  <c r="AX111" i="20"/>
  <c r="AV112" i="20"/>
  <c r="AW112" i="20"/>
  <c r="AX112" i="20"/>
  <c r="AV113" i="20"/>
  <c r="AW113" i="20"/>
  <c r="AX113" i="20"/>
  <c r="AV114" i="20"/>
  <c r="AW114" i="20"/>
  <c r="AX114" i="20"/>
  <c r="AV115" i="20"/>
  <c r="AW115" i="20"/>
  <c r="AX115" i="20"/>
  <c r="AV116" i="20"/>
  <c r="AW116" i="20"/>
  <c r="AX116" i="20"/>
  <c r="AV117" i="20"/>
  <c r="AW117" i="20"/>
  <c r="AX117" i="20"/>
  <c r="AV118" i="20"/>
  <c r="AW118" i="20"/>
  <c r="AX118" i="20"/>
  <c r="AV119" i="20"/>
  <c r="AW119" i="20"/>
  <c r="AX119" i="20"/>
  <c r="AV120" i="20"/>
  <c r="AW120" i="20"/>
  <c r="AX120" i="20"/>
  <c r="AV121" i="20"/>
  <c r="AW121" i="20"/>
  <c r="AX121" i="20"/>
  <c r="AV122" i="20"/>
  <c r="AW122" i="20"/>
  <c r="AX122" i="20"/>
  <c r="AV123" i="20"/>
  <c r="AW123" i="20"/>
  <c r="AX123" i="20"/>
  <c r="AV124" i="20"/>
  <c r="AW124" i="20"/>
  <c r="AX124" i="20"/>
  <c r="AV125" i="20"/>
  <c r="AW125" i="20"/>
  <c r="AX125" i="20"/>
  <c r="AV126" i="20"/>
  <c r="AW126" i="20"/>
  <c r="AX126" i="20"/>
  <c r="AV127" i="20"/>
  <c r="AW127" i="20"/>
  <c r="AX127" i="20"/>
  <c r="AV128" i="20"/>
  <c r="AW128" i="20"/>
  <c r="AX128" i="20"/>
  <c r="AV129" i="20"/>
  <c r="AW129" i="20"/>
  <c r="AX129" i="20"/>
  <c r="AV130" i="20"/>
  <c r="AW130" i="20"/>
  <c r="AX130" i="20"/>
  <c r="AV131" i="20"/>
  <c r="AW131" i="20"/>
  <c r="AX131" i="20"/>
  <c r="AV132" i="20"/>
  <c r="AW132" i="20"/>
  <c r="AX132" i="20"/>
  <c r="AV7" i="24"/>
  <c r="AW7" i="24"/>
  <c r="AV8" i="24"/>
  <c r="AW8" i="24"/>
  <c r="AV9" i="24"/>
  <c r="AW9" i="24"/>
  <c r="AV10" i="24"/>
  <c r="AW10" i="24"/>
  <c r="AV11" i="24"/>
  <c r="AW11" i="24"/>
  <c r="AV12" i="24"/>
  <c r="AW12" i="24"/>
  <c r="AV13" i="24"/>
  <c r="AW13" i="24"/>
  <c r="AV14" i="24"/>
  <c r="AW14" i="24"/>
  <c r="AV15" i="24"/>
  <c r="AW15" i="24"/>
  <c r="AV16" i="24"/>
  <c r="AW16" i="24"/>
  <c r="AV17" i="24"/>
  <c r="AW17" i="24"/>
  <c r="AV18" i="24"/>
  <c r="AW18" i="24"/>
  <c r="AV19" i="24"/>
  <c r="AW19" i="24"/>
  <c r="AV20" i="24"/>
  <c r="AW20" i="24"/>
  <c r="AV21" i="24"/>
  <c r="AW21" i="24"/>
  <c r="AV22" i="24"/>
  <c r="AW22" i="24"/>
  <c r="AV23" i="24"/>
  <c r="AW23" i="24"/>
  <c r="AV24" i="24"/>
  <c r="AW24" i="24"/>
  <c r="AV25" i="24"/>
  <c r="AW25" i="24"/>
  <c r="AV26" i="24"/>
  <c r="AW26" i="24"/>
  <c r="AV27" i="24"/>
  <c r="AW27" i="24"/>
  <c r="AV28" i="24"/>
  <c r="AW28" i="24"/>
  <c r="AV29" i="24"/>
  <c r="AW29" i="24"/>
  <c r="AV30" i="24"/>
  <c r="AW30" i="24"/>
  <c r="AV31" i="24"/>
  <c r="AW31" i="24"/>
  <c r="AV32" i="24"/>
  <c r="AW32" i="24"/>
  <c r="AV33" i="24"/>
  <c r="AW33" i="24"/>
  <c r="AV34" i="24"/>
  <c r="AW34" i="24"/>
  <c r="AV35" i="24"/>
  <c r="AW35" i="24"/>
  <c r="AV36" i="24"/>
  <c r="AW36" i="24"/>
  <c r="AV37" i="24"/>
  <c r="AW37" i="24"/>
  <c r="AV38" i="24"/>
  <c r="AW38" i="24"/>
  <c r="AV39" i="24"/>
  <c r="AW39" i="24"/>
  <c r="AV40" i="24"/>
  <c r="AW40" i="24"/>
  <c r="AV41" i="24"/>
  <c r="AW41" i="24"/>
  <c r="AV42" i="24"/>
  <c r="AW42" i="24"/>
  <c r="AV43" i="24"/>
  <c r="AW43" i="24"/>
  <c r="AV44" i="24"/>
  <c r="AW44" i="24"/>
  <c r="AV45" i="24"/>
  <c r="AW45" i="24"/>
  <c r="AV46" i="24"/>
  <c r="AW46" i="24"/>
  <c r="AV47" i="24"/>
  <c r="AW47" i="24"/>
  <c r="AV48" i="24"/>
  <c r="AW48" i="24"/>
  <c r="AV49" i="24"/>
  <c r="AW49" i="24"/>
  <c r="AV50" i="24"/>
  <c r="AW50" i="24"/>
  <c r="AV51" i="24"/>
  <c r="AW51" i="24"/>
  <c r="AV52" i="24"/>
  <c r="AW52" i="24"/>
  <c r="AV53" i="24"/>
  <c r="AW53" i="24"/>
  <c r="AV54" i="24"/>
  <c r="AW54" i="24"/>
  <c r="AV55" i="24"/>
  <c r="AW55" i="24"/>
  <c r="AV56" i="24"/>
  <c r="AW56" i="24"/>
  <c r="AV57" i="24"/>
  <c r="AW57" i="24"/>
  <c r="AV58" i="24"/>
  <c r="AW58" i="24"/>
  <c r="AV59" i="24"/>
  <c r="AW59" i="24"/>
  <c r="AV60" i="24"/>
  <c r="AW60" i="24"/>
  <c r="AV61" i="24"/>
  <c r="AW61" i="24"/>
  <c r="AV62" i="24"/>
  <c r="AW62" i="24"/>
  <c r="AV63" i="24"/>
  <c r="AW63" i="24"/>
  <c r="AV64" i="24"/>
  <c r="AW64" i="24"/>
  <c r="AV65" i="24"/>
  <c r="AW65" i="24"/>
  <c r="AV66" i="24"/>
  <c r="AW66" i="24"/>
  <c r="AV67" i="24"/>
  <c r="AW67" i="24"/>
  <c r="AV68" i="24"/>
  <c r="AW68" i="24"/>
  <c r="AV69" i="24"/>
  <c r="AW69" i="24"/>
  <c r="AV70" i="24"/>
  <c r="AW70" i="24"/>
  <c r="AV71" i="24"/>
  <c r="AW71" i="24"/>
  <c r="AV72" i="24"/>
  <c r="AW72" i="24"/>
  <c r="AV73" i="24"/>
  <c r="AW73" i="24"/>
  <c r="AV74" i="24"/>
  <c r="AW74" i="24"/>
  <c r="AV75" i="24"/>
  <c r="AW75" i="24"/>
  <c r="AV76" i="24"/>
  <c r="AW76" i="24"/>
  <c r="AV77" i="24"/>
  <c r="AW77" i="24"/>
  <c r="AV78" i="24"/>
  <c r="AW78" i="24"/>
  <c r="AV79" i="24"/>
  <c r="AW79" i="24"/>
  <c r="AV80" i="24"/>
  <c r="AW80" i="24"/>
  <c r="AV81" i="24"/>
  <c r="AW81" i="24"/>
  <c r="AV82" i="24"/>
  <c r="AW82" i="24"/>
  <c r="AV83" i="24"/>
  <c r="AW83" i="24"/>
  <c r="AV84" i="24"/>
  <c r="AW84" i="24"/>
  <c r="AV85" i="24"/>
  <c r="AW85" i="24"/>
  <c r="AV86" i="24"/>
  <c r="AW86" i="24"/>
  <c r="AV87" i="24"/>
  <c r="AW87" i="24"/>
  <c r="AV88" i="24"/>
  <c r="AW88" i="24"/>
  <c r="AV89" i="24"/>
  <c r="AW89" i="24"/>
  <c r="AV90" i="24"/>
  <c r="AW90" i="24"/>
  <c r="AV91" i="24"/>
  <c r="AW91" i="24"/>
  <c r="AV92" i="24"/>
  <c r="AW92" i="24"/>
  <c r="AV93" i="24"/>
  <c r="AW93" i="24"/>
  <c r="AV94" i="24"/>
  <c r="AW94" i="24"/>
  <c r="AV95" i="24"/>
  <c r="AW95" i="24"/>
  <c r="AV96" i="24"/>
  <c r="AW96" i="24"/>
  <c r="AV97" i="24"/>
  <c r="AW97" i="24"/>
  <c r="AV98" i="24"/>
  <c r="AW98" i="24"/>
  <c r="AV99" i="24"/>
  <c r="AW99" i="24"/>
  <c r="AV100" i="24"/>
  <c r="AW100" i="24"/>
  <c r="AV101" i="24"/>
  <c r="AW101" i="24"/>
  <c r="AV102" i="24"/>
  <c r="AW102" i="24"/>
  <c r="AV103" i="24"/>
  <c r="AW103" i="24"/>
  <c r="AV104" i="24"/>
  <c r="AW104" i="24"/>
  <c r="AV105" i="24"/>
  <c r="AW105" i="24"/>
  <c r="AV106" i="24"/>
  <c r="AW106" i="24"/>
  <c r="AV107" i="24"/>
  <c r="AW107" i="24"/>
  <c r="AV108" i="24"/>
  <c r="AW108" i="24"/>
  <c r="AV109" i="24"/>
  <c r="AW109" i="24"/>
  <c r="AV110" i="24"/>
  <c r="AW110" i="24"/>
  <c r="AV111" i="24"/>
  <c r="AW111" i="24"/>
  <c r="AV112" i="24"/>
  <c r="AW112" i="24"/>
  <c r="AV113" i="24"/>
  <c r="AW113" i="24"/>
  <c r="AV114" i="24"/>
  <c r="AW114" i="24"/>
  <c r="AV115" i="24"/>
  <c r="AW115" i="24"/>
  <c r="AV116" i="24"/>
  <c r="AW116" i="24"/>
  <c r="AV117" i="24"/>
  <c r="AW117" i="24"/>
  <c r="AV118" i="24"/>
  <c r="AW118" i="24"/>
  <c r="AV119" i="24"/>
  <c r="AW119" i="24"/>
  <c r="AV120" i="24"/>
  <c r="AW120" i="24"/>
  <c r="AV121" i="24"/>
  <c r="AW121" i="24"/>
  <c r="AV122" i="24"/>
  <c r="AW122" i="24"/>
  <c r="AV123" i="24"/>
  <c r="AW123" i="24"/>
  <c r="AV124" i="24"/>
  <c r="AW124" i="24"/>
  <c r="AV125" i="24"/>
  <c r="AW125" i="24"/>
  <c r="AV126" i="24"/>
  <c r="AW126" i="24"/>
  <c r="AV127" i="24"/>
  <c r="AW127" i="24"/>
  <c r="AV128" i="24"/>
  <c r="AW128" i="24"/>
  <c r="AV129" i="24"/>
  <c r="AW129" i="24"/>
  <c r="AV130" i="24"/>
  <c r="AW130" i="24"/>
  <c r="AV131" i="24"/>
  <c r="AW131" i="24"/>
  <c r="AV132" i="24"/>
  <c r="AW132" i="24"/>
  <c r="AI136" i="7"/>
  <c r="AI137" i="7"/>
  <c r="AI138" i="7"/>
  <c r="AI139" i="7"/>
  <c r="AI140" i="7"/>
  <c r="AI141" i="7"/>
  <c r="AI142" i="7"/>
  <c r="AI143" i="7"/>
  <c r="AI144" i="7"/>
  <c r="AI145" i="7"/>
  <c r="AI146" i="7"/>
  <c r="AI136" i="3"/>
  <c r="AI137" i="3"/>
  <c r="AI138" i="3"/>
  <c r="AI139" i="3"/>
  <c r="AI140" i="3"/>
  <c r="AI141" i="3"/>
  <c r="AI142" i="3"/>
  <c r="AI143" i="3"/>
  <c r="AI144" i="3"/>
  <c r="AI145" i="3"/>
  <c r="AI146" i="3"/>
  <c r="AI136" i="14"/>
  <c r="AI137" i="14"/>
  <c r="AI138" i="14"/>
  <c r="AI139" i="14"/>
  <c r="AI140" i="14"/>
  <c r="AI141" i="14"/>
  <c r="AI142" i="14"/>
  <c r="AI143" i="14"/>
  <c r="AI144" i="14"/>
  <c r="AI145" i="14"/>
  <c r="AI146" i="14"/>
  <c r="AI136" i="15"/>
  <c r="AI137" i="15"/>
  <c r="AI138" i="15"/>
  <c r="AI139" i="15"/>
  <c r="AI140" i="15"/>
  <c r="AI141" i="15"/>
  <c r="AI142" i="15"/>
  <c r="AI143" i="15"/>
  <c r="AI144" i="15"/>
  <c r="AI145" i="15"/>
  <c r="AI146" i="15"/>
  <c r="AI136" i="19"/>
  <c r="AI137" i="19"/>
  <c r="AI138" i="19"/>
  <c r="AI139" i="19"/>
  <c r="AI140" i="19"/>
  <c r="AI141" i="19"/>
  <c r="AI142" i="19"/>
  <c r="AI143" i="19"/>
  <c r="AI144" i="19"/>
  <c r="AI145" i="19"/>
  <c r="AI146" i="19"/>
  <c r="AI136" i="20"/>
  <c r="AI137" i="20"/>
  <c r="AI138" i="20"/>
  <c r="AI139" i="20"/>
  <c r="AI140" i="20"/>
  <c r="AI141" i="20"/>
  <c r="AI142" i="20"/>
  <c r="AI143" i="20"/>
  <c r="AI144" i="20"/>
  <c r="AI145" i="20"/>
  <c r="AI146" i="20"/>
  <c r="AI136" i="24"/>
  <c r="AI137" i="24"/>
  <c r="AI138" i="24"/>
  <c r="AI139" i="24"/>
  <c r="AI140" i="24"/>
  <c r="AI141" i="24"/>
  <c r="AI142" i="24"/>
  <c r="AI143" i="24"/>
  <c r="AI144" i="24"/>
  <c r="AI145" i="24"/>
  <c r="AI146" i="24"/>
  <c r="AJ136" i="20"/>
  <c r="AJ137" i="20"/>
  <c r="AJ138" i="20"/>
  <c r="AJ139" i="20"/>
  <c r="AJ140" i="20"/>
  <c r="AJ141" i="20"/>
  <c r="AJ142" i="20"/>
  <c r="AJ143" i="20"/>
  <c r="AJ144" i="20"/>
  <c r="AJ145" i="20"/>
  <c r="AJ146" i="20"/>
  <c r="Y136" i="20"/>
  <c r="Y137" i="20"/>
  <c r="Y147" i="20" s="1"/>
  <c r="Y138" i="20"/>
  <c r="Y139" i="20"/>
  <c r="Y140" i="20"/>
  <c r="Y141" i="20"/>
  <c r="Y142" i="20"/>
  <c r="Y143" i="20"/>
  <c r="Y144" i="20"/>
  <c r="Y145" i="20"/>
  <c r="Y146" i="20"/>
  <c r="N136" i="20"/>
  <c r="N137" i="20"/>
  <c r="N138" i="20"/>
  <c r="N139" i="20"/>
  <c r="N147" i="20" s="1"/>
  <c r="N140" i="20"/>
  <c r="N141" i="20"/>
  <c r="N142" i="20"/>
  <c r="N143" i="20"/>
  <c r="N144" i="20"/>
  <c r="N145" i="20"/>
  <c r="N146" i="20"/>
  <c r="L133" i="7"/>
  <c r="M133" i="7"/>
  <c r="L133" i="3"/>
  <c r="M133" i="3"/>
  <c r="L133" i="14"/>
  <c r="M133" i="14"/>
  <c r="L133" i="15"/>
  <c r="M133" i="15"/>
  <c r="L133" i="19"/>
  <c r="M133" i="19"/>
  <c r="L133" i="20"/>
  <c r="M133" i="20"/>
  <c r="N133" i="20"/>
  <c r="L133" i="24"/>
  <c r="M133" i="24"/>
  <c r="X4" i="24"/>
  <c r="X4" i="7"/>
  <c r="X4" i="14"/>
  <c r="X4" i="15"/>
  <c r="X4" i="19"/>
  <c r="X4" i="20"/>
  <c r="X4" i="3"/>
  <c r="Y4" i="24"/>
  <c r="Y4" i="7"/>
  <c r="Y4" i="14"/>
  <c r="Y4" i="15"/>
  <c r="Y4" i="19"/>
  <c r="Y4" i="20"/>
  <c r="Y126" i="20" s="1"/>
  <c r="Y4" i="3"/>
  <c r="AJ136" i="7"/>
  <c r="BV134" i="31"/>
  <c r="AW56" i="27" l="1"/>
  <c r="AW48" i="27"/>
  <c r="AW40" i="27"/>
  <c r="AW32" i="27"/>
  <c r="AW24" i="27"/>
  <c r="AW16" i="27"/>
  <c r="AW8" i="27"/>
  <c r="AW9" i="16"/>
  <c r="AW60" i="16"/>
  <c r="AW52" i="16"/>
  <c r="AW44" i="16"/>
  <c r="AW36" i="16"/>
  <c r="AW28" i="16"/>
  <c r="AW20" i="16"/>
  <c r="AW12" i="16"/>
  <c r="AW122" i="16"/>
  <c r="AW114" i="16"/>
  <c r="AW106" i="16"/>
  <c r="AW98" i="16"/>
  <c r="AW90" i="16"/>
  <c r="AW82" i="16"/>
  <c r="AW74" i="16"/>
  <c r="AW66" i="16"/>
  <c r="AW58" i="16"/>
  <c r="AW50" i="16"/>
  <c r="AW42" i="16"/>
  <c r="AW34" i="16"/>
  <c r="AW26" i="16"/>
  <c r="AW18" i="16"/>
  <c r="AW10" i="16"/>
  <c r="AW131" i="31"/>
  <c r="AW123" i="31"/>
  <c r="AW115" i="31"/>
  <c r="AW107" i="31"/>
  <c r="AW99" i="31"/>
  <c r="AW91" i="31"/>
  <c r="AW83" i="31"/>
  <c r="AW75" i="31"/>
  <c r="AW67" i="31"/>
  <c r="AW59" i="31"/>
  <c r="AW51" i="31"/>
  <c r="AW43" i="31"/>
  <c r="AW35" i="31"/>
  <c r="AW19" i="31"/>
  <c r="AW11" i="31"/>
  <c r="AW126" i="27"/>
  <c r="AW118" i="27"/>
  <c r="AW102" i="27"/>
  <c r="AW94" i="27"/>
  <c r="AW86" i="27"/>
  <c r="AW78" i="27"/>
  <c r="AW70" i="27"/>
  <c r="AW62" i="27"/>
  <c r="AW54" i="27"/>
  <c r="AW46" i="27"/>
  <c r="AW38" i="27"/>
  <c r="AW30" i="27"/>
  <c r="AW22" i="27"/>
  <c r="AW14" i="27"/>
  <c r="AI141" i="31"/>
  <c r="AI137" i="31"/>
  <c r="M141" i="27"/>
  <c r="M140" i="27"/>
  <c r="M138" i="27"/>
  <c r="M146" i="31"/>
  <c r="AI139" i="16"/>
  <c r="AI143" i="16"/>
  <c r="AI140" i="16"/>
  <c r="M139" i="27"/>
  <c r="AW129" i="27"/>
  <c r="AW121" i="27"/>
  <c r="AW113" i="27"/>
  <c r="AW105" i="27"/>
  <c r="AW97" i="27"/>
  <c r="AW89" i="27"/>
  <c r="AW81" i="27"/>
  <c r="AW73" i="27"/>
  <c r="AW65" i="27"/>
  <c r="AW57" i="27"/>
  <c r="AW49" i="27"/>
  <c r="AW41" i="27"/>
  <c r="AW33" i="27"/>
  <c r="AW25" i="27"/>
  <c r="AW17" i="27"/>
  <c r="AW9" i="27"/>
  <c r="AI145" i="31"/>
  <c r="AI140" i="31"/>
  <c r="AI138" i="31"/>
  <c r="M146" i="16"/>
  <c r="M146" i="27"/>
  <c r="M145" i="27"/>
  <c r="M138" i="31"/>
  <c r="M144" i="27"/>
  <c r="M144" i="16"/>
  <c r="AI146" i="31"/>
  <c r="M140" i="16"/>
  <c r="AW128" i="31"/>
  <c r="AW120" i="31"/>
  <c r="AW112" i="31"/>
  <c r="AW104" i="31"/>
  <c r="M143" i="31"/>
  <c r="AW88" i="31"/>
  <c r="AW80" i="31"/>
  <c r="AW72" i="31"/>
  <c r="AW64" i="31"/>
  <c r="AW56" i="31"/>
  <c r="AW48" i="31"/>
  <c r="AW40" i="31"/>
  <c r="AW32" i="31"/>
  <c r="AW24" i="31"/>
  <c r="AW16" i="31"/>
  <c r="AW8" i="31"/>
  <c r="M142" i="16"/>
  <c r="M141" i="16"/>
  <c r="M138" i="16"/>
  <c r="AW127" i="27"/>
  <c r="AW119" i="27"/>
  <c r="AW7" i="27"/>
  <c r="M145" i="31"/>
  <c r="M137" i="31"/>
  <c r="AI143" i="31"/>
  <c r="AI139" i="31"/>
  <c r="AW96" i="31"/>
  <c r="M137" i="27"/>
  <c r="M133" i="27"/>
  <c r="AW110" i="27"/>
  <c r="M144" i="31"/>
  <c r="M136" i="31"/>
  <c r="AW127" i="31"/>
  <c r="M143" i="27"/>
  <c r="AI142" i="16"/>
  <c r="AI141" i="16"/>
  <c r="AI138" i="16"/>
  <c r="AI137" i="16"/>
  <c r="AW130" i="16"/>
  <c r="M133" i="31"/>
  <c r="M142" i="31"/>
  <c r="M142" i="27"/>
  <c r="M145" i="16"/>
  <c r="M143" i="16"/>
  <c r="M139" i="16"/>
  <c r="M137" i="16"/>
  <c r="AW51" i="27"/>
  <c r="AW43" i="27"/>
  <c r="AW27" i="27"/>
  <c r="M141" i="31"/>
  <c r="AI144" i="31"/>
  <c r="AI142" i="31"/>
  <c r="AW34" i="27"/>
  <c r="AW10" i="27"/>
  <c r="M140" i="31"/>
  <c r="AW27" i="31"/>
  <c r="M139" i="31"/>
  <c r="AW10" i="31"/>
  <c r="AI146" i="16"/>
  <c r="AI145" i="16"/>
  <c r="AI144" i="16"/>
  <c r="AW70" i="16"/>
  <c r="AW54" i="16"/>
  <c r="AW30" i="16"/>
  <c r="Y113" i="15"/>
  <c r="AX113" i="7"/>
  <c r="AX116" i="7"/>
  <c r="Y114" i="7"/>
  <c r="Y131" i="7"/>
  <c r="AX115" i="7"/>
  <c r="AX131" i="15"/>
  <c r="Y111" i="15"/>
  <c r="AX114" i="15"/>
  <c r="AX117" i="15"/>
  <c r="AX110" i="15"/>
  <c r="AX108" i="15"/>
  <c r="AX109" i="15"/>
  <c r="AX74" i="7"/>
  <c r="AX126" i="7"/>
  <c r="AX105" i="15"/>
  <c r="AJ66" i="16"/>
  <c r="AJ58" i="31"/>
  <c r="AX22" i="7"/>
  <c r="AX41" i="7"/>
  <c r="AX54" i="7"/>
  <c r="AX62" i="7"/>
  <c r="AX75" i="7"/>
  <c r="AX94" i="7"/>
  <c r="AX130" i="7"/>
  <c r="AX66" i="19"/>
  <c r="N19" i="16"/>
  <c r="AX24" i="19"/>
  <c r="AX76" i="19"/>
  <c r="AX131" i="19"/>
  <c r="AX105" i="19"/>
  <c r="AX115" i="19"/>
  <c r="AX116" i="19"/>
  <c r="AX16" i="15"/>
  <c r="AX117" i="19"/>
  <c r="AX13" i="15"/>
  <c r="Y14" i="15"/>
  <c r="AX15" i="15"/>
  <c r="AX16" i="19"/>
  <c r="AX48" i="19"/>
  <c r="AX57" i="19"/>
  <c r="AX80" i="19"/>
  <c r="AX108" i="19"/>
  <c r="AX42" i="14"/>
  <c r="AX55" i="14"/>
  <c r="AX63" i="14"/>
  <c r="AX76" i="14"/>
  <c r="AX95" i="14"/>
  <c r="AX114" i="14"/>
  <c r="AX131" i="14"/>
  <c r="AJ19" i="27"/>
  <c r="AX48" i="14"/>
  <c r="AX80" i="14"/>
  <c r="AX108" i="14"/>
  <c r="AX116" i="14"/>
  <c r="AJ74" i="27"/>
  <c r="AX107" i="24"/>
  <c r="AX33" i="15"/>
  <c r="AX73" i="15"/>
  <c r="AX120" i="15"/>
  <c r="AX92" i="19"/>
  <c r="AX19" i="19"/>
  <c r="AX81" i="19"/>
  <c r="AX109" i="19"/>
  <c r="AX22" i="3"/>
  <c r="AX37" i="3"/>
  <c r="AX53" i="3"/>
  <c r="AX61" i="3"/>
  <c r="AX74" i="3"/>
  <c r="AX93" i="3"/>
  <c r="AX112" i="3"/>
  <c r="AX126" i="3"/>
  <c r="AX20" i="14"/>
  <c r="AX54" i="14"/>
  <c r="AX75" i="14"/>
  <c r="AX94" i="14"/>
  <c r="AX130" i="14"/>
  <c r="AX63" i="15"/>
  <c r="AX95" i="15"/>
  <c r="AX25" i="7"/>
  <c r="AX57" i="7"/>
  <c r="AX65" i="7"/>
  <c r="AX60" i="19"/>
  <c r="AJ126" i="16"/>
  <c r="AX13" i="14"/>
  <c r="AX23" i="14"/>
  <c r="AX112" i="19"/>
  <c r="AX69" i="19"/>
  <c r="AX23" i="19"/>
  <c r="AX75" i="19"/>
  <c r="AX113" i="19"/>
  <c r="AX130" i="19"/>
  <c r="AX19" i="15"/>
  <c r="AX32" i="15"/>
  <c r="AX50" i="15"/>
  <c r="AX59" i="15"/>
  <c r="AX82" i="15"/>
  <c r="AX118" i="15"/>
  <c r="AX21" i="19"/>
  <c r="AX37" i="19"/>
  <c r="AX53" i="19"/>
  <c r="AX61" i="19"/>
  <c r="AX74" i="19"/>
  <c r="AX93" i="19"/>
  <c r="AJ50" i="31"/>
  <c r="AX25" i="19"/>
  <c r="AX44" i="19"/>
  <c r="AX66" i="3"/>
  <c r="AX109" i="3"/>
  <c r="AX117" i="3"/>
  <c r="AX25" i="15"/>
  <c r="AX48" i="15"/>
  <c r="AX57" i="15"/>
  <c r="AX65" i="15"/>
  <c r="AX80" i="15"/>
  <c r="AX116" i="15"/>
  <c r="AX20" i="19"/>
  <c r="AX59" i="19"/>
  <c r="AX60" i="14"/>
  <c r="AX92" i="14"/>
  <c r="AX111" i="14"/>
  <c r="AX120" i="14"/>
  <c r="AX35" i="19"/>
  <c r="AX120" i="19"/>
  <c r="N59" i="16"/>
  <c r="AJ80" i="27"/>
  <c r="AX73" i="19"/>
  <c r="AX16" i="3"/>
  <c r="AX26" i="3"/>
  <c r="AX48" i="3"/>
  <c r="AX80" i="3"/>
  <c r="AX116" i="3"/>
  <c r="AX24" i="15"/>
  <c r="AX56" i="15"/>
  <c r="AX64" i="15"/>
  <c r="AX79" i="15"/>
  <c r="AX56" i="19"/>
  <c r="AX64" i="19"/>
  <c r="AX41" i="19"/>
  <c r="AX50" i="14"/>
  <c r="AX59" i="14"/>
  <c r="AX69" i="14"/>
  <c r="AX82" i="14"/>
  <c r="AX42" i="19"/>
  <c r="AX44" i="7"/>
  <c r="AX79" i="7"/>
  <c r="AX21" i="3"/>
  <c r="AX35" i="3"/>
  <c r="AX111" i="3"/>
  <c r="AX120" i="3"/>
  <c r="AX19" i="14"/>
  <c r="AX32" i="14"/>
  <c r="AX26" i="19"/>
  <c r="AX65" i="19"/>
  <c r="AX66" i="15"/>
  <c r="AX49" i="19"/>
  <c r="AX58" i="19"/>
  <c r="AX33" i="19"/>
  <c r="AX50" i="19"/>
  <c r="AX82" i="19"/>
  <c r="AX24" i="14"/>
  <c r="AX58" i="7"/>
  <c r="AX14" i="3"/>
  <c r="AX24" i="3"/>
  <c r="AX42" i="3"/>
  <c r="AX55" i="3"/>
  <c r="AX63" i="3"/>
  <c r="AX95" i="3"/>
  <c r="AX19" i="3"/>
  <c r="AX32" i="3"/>
  <c r="AX58" i="3"/>
  <c r="AJ144" i="19"/>
  <c r="AX114" i="19"/>
  <c r="AX49" i="7"/>
  <c r="AX81" i="7"/>
  <c r="AX26" i="7"/>
  <c r="AX66" i="7"/>
  <c r="AX19" i="7"/>
  <c r="AX50" i="7"/>
  <c r="AX59" i="7"/>
  <c r="AX82" i="7"/>
  <c r="AX118" i="7"/>
  <c r="AX13" i="3"/>
  <c r="AX23" i="3"/>
  <c r="AX54" i="3"/>
  <c r="AX62" i="3"/>
  <c r="AX75" i="3"/>
  <c r="AX114" i="3"/>
  <c r="AX131" i="3"/>
  <c r="AX44" i="14"/>
  <c r="AX56" i="14"/>
  <c r="AX64" i="14"/>
  <c r="AX79" i="14"/>
  <c r="AX115" i="14"/>
  <c r="AX22" i="15"/>
  <c r="AX41" i="15"/>
  <c r="AX54" i="15"/>
  <c r="AX62" i="15"/>
  <c r="AX75" i="15"/>
  <c r="AX94" i="15"/>
  <c r="AX113" i="15"/>
  <c r="AX130" i="15"/>
  <c r="N144" i="19"/>
  <c r="AX15" i="14"/>
  <c r="AX49" i="15"/>
  <c r="AX14" i="19"/>
  <c r="AX22" i="19"/>
  <c r="AX94" i="3"/>
  <c r="AX130" i="3"/>
  <c r="AX74" i="15"/>
  <c r="AX93" i="15"/>
  <c r="AX112" i="15"/>
  <c r="AX126" i="15"/>
  <c r="M133" i="16"/>
  <c r="AX54" i="19"/>
  <c r="AX62" i="19"/>
  <c r="AX94" i="19"/>
  <c r="AX118" i="19"/>
  <c r="AX126" i="19"/>
  <c r="AX13" i="19"/>
  <c r="AX55" i="19"/>
  <c r="AX63" i="19"/>
  <c r="AX79" i="19"/>
  <c r="AX95" i="19"/>
  <c r="AX111" i="19"/>
  <c r="AX32" i="19"/>
  <c r="AX15" i="19"/>
  <c r="AX110" i="19"/>
  <c r="AX42" i="7"/>
  <c r="AX76" i="7"/>
  <c r="AX53" i="14"/>
  <c r="AX61" i="14"/>
  <c r="AX74" i="14"/>
  <c r="AX93" i="14"/>
  <c r="AX112" i="14"/>
  <c r="AX21" i="14"/>
  <c r="AX20" i="7"/>
  <c r="AX33" i="7"/>
  <c r="AX60" i="7"/>
  <c r="AX73" i="7"/>
  <c r="AX92" i="7"/>
  <c r="AX86" i="24"/>
  <c r="AX15" i="3"/>
  <c r="AX56" i="3"/>
  <c r="AX64" i="3"/>
  <c r="AX79" i="3"/>
  <c r="AX115" i="3"/>
  <c r="AX23" i="15"/>
  <c r="AX42" i="15"/>
  <c r="AX55" i="15"/>
  <c r="AX37" i="14"/>
  <c r="AX58" i="14"/>
  <c r="AX66" i="14"/>
  <c r="AX109" i="14"/>
  <c r="AX117" i="14"/>
  <c r="AX115" i="15"/>
  <c r="AX22" i="24"/>
  <c r="AX23" i="7"/>
  <c r="AX63" i="7"/>
  <c r="AX55" i="7"/>
  <c r="AX95" i="7"/>
  <c r="AX50" i="3"/>
  <c r="AX59" i="3"/>
  <c r="AX69" i="3"/>
  <c r="AX82" i="3"/>
  <c r="AX118" i="3"/>
  <c r="AX16" i="14"/>
  <c r="AX26" i="14"/>
  <c r="AJ144" i="14"/>
  <c r="AX26" i="15"/>
  <c r="AX58" i="15"/>
  <c r="AX81" i="15"/>
  <c r="AX76" i="24"/>
  <c r="AX23" i="24"/>
  <c r="AX42" i="24"/>
  <c r="AX60" i="24"/>
  <c r="AX79" i="24"/>
  <c r="AX122" i="24"/>
  <c r="AX66" i="24"/>
  <c r="AX32" i="24"/>
  <c r="AX130" i="24"/>
  <c r="AX24" i="24"/>
  <c r="AX102" i="24"/>
  <c r="AX50" i="24"/>
  <c r="AX119" i="24"/>
  <c r="AX108" i="24"/>
  <c r="AX46" i="24"/>
  <c r="AX32" i="7"/>
  <c r="AX18" i="24"/>
  <c r="AX26" i="24"/>
  <c r="AX47" i="24"/>
  <c r="AX55" i="24"/>
  <c r="AX82" i="24"/>
  <c r="AX92" i="24"/>
  <c r="AX118" i="24"/>
  <c r="AX58" i="24"/>
  <c r="AX14" i="24"/>
  <c r="AX90" i="24"/>
  <c r="AX10" i="24"/>
  <c r="AX56" i="24"/>
  <c r="AX87" i="24"/>
  <c r="AX48" i="24"/>
  <c r="AX74" i="24"/>
  <c r="AX20" i="24"/>
  <c r="AX94" i="24"/>
  <c r="AX106" i="24"/>
  <c r="AX127" i="24"/>
  <c r="AX54" i="24"/>
  <c r="AX24" i="7"/>
  <c r="AX48" i="7"/>
  <c r="AX56" i="7"/>
  <c r="AX64" i="7"/>
  <c r="AX80" i="7"/>
  <c r="AX120" i="7"/>
  <c r="AX110" i="3"/>
  <c r="N144" i="3"/>
  <c r="AX19" i="24"/>
  <c r="AX80" i="24"/>
  <c r="AX120" i="24"/>
  <c r="AX75" i="24"/>
  <c r="AX88" i="24"/>
  <c r="AX104" i="24"/>
  <c r="AX17" i="24"/>
  <c r="AX25" i="24"/>
  <c r="AX33" i="24"/>
  <c r="AX41" i="24"/>
  <c r="AX49" i="24"/>
  <c r="AX57" i="24"/>
  <c r="AX65" i="24"/>
  <c r="AX73" i="24"/>
  <c r="AX81" i="24"/>
  <c r="AX89" i="24"/>
  <c r="AX105" i="24"/>
  <c r="AX129" i="24"/>
  <c r="AX25" i="3"/>
  <c r="AX33" i="3"/>
  <c r="AX41" i="3"/>
  <c r="AX49" i="3"/>
  <c r="AX57" i="3"/>
  <c r="AX65" i="3"/>
  <c r="AX73" i="3"/>
  <c r="AX81" i="3"/>
  <c r="AX105" i="3"/>
  <c r="AX113" i="3"/>
  <c r="AX14" i="14"/>
  <c r="AX22" i="14"/>
  <c r="AX62" i="14"/>
  <c r="AX110" i="14"/>
  <c r="N144" i="14"/>
  <c r="AX118" i="14"/>
  <c r="AX126" i="14"/>
  <c r="AX21" i="7"/>
  <c r="AX37" i="7"/>
  <c r="AX53" i="7"/>
  <c r="AX61" i="7"/>
  <c r="AX69" i="7"/>
  <c r="AX93" i="7"/>
  <c r="AX117" i="7"/>
  <c r="AJ144" i="15"/>
  <c r="AX20" i="3"/>
  <c r="AX44" i="3"/>
  <c r="AX60" i="3"/>
  <c r="AX76" i="3"/>
  <c r="AX92" i="3"/>
  <c r="AX108" i="3"/>
  <c r="AJ144" i="3"/>
  <c r="AX25" i="14"/>
  <c r="AX33" i="14"/>
  <c r="AX41" i="14"/>
  <c r="AX49" i="14"/>
  <c r="AX57" i="14"/>
  <c r="AX65" i="14"/>
  <c r="AX73" i="14"/>
  <c r="AX81" i="14"/>
  <c r="AX105" i="14"/>
  <c r="AX113" i="14"/>
  <c r="AX123" i="24"/>
  <c r="AX91" i="24"/>
  <c r="AX59" i="24"/>
  <c r="AX13" i="24"/>
  <c r="AX21" i="24"/>
  <c r="AX37" i="24"/>
  <c r="AX53" i="24"/>
  <c r="AX69" i="24"/>
  <c r="AX93" i="24"/>
  <c r="AX109" i="24"/>
  <c r="AX125" i="24"/>
  <c r="N139" i="14"/>
  <c r="AX126" i="24"/>
  <c r="AX20" i="15"/>
  <c r="AX44" i="15"/>
  <c r="AX60" i="15"/>
  <c r="AX76" i="15"/>
  <c r="AX92" i="15"/>
  <c r="AX21" i="15"/>
  <c r="AX37" i="15"/>
  <c r="AX53" i="15"/>
  <c r="AX61" i="15"/>
  <c r="AX69" i="15"/>
  <c r="AW10" i="12"/>
  <c r="Y77" i="20"/>
  <c r="Y117" i="3"/>
  <c r="Y61" i="20"/>
  <c r="Y93" i="20"/>
  <c r="Y13" i="20"/>
  <c r="Y113" i="20"/>
  <c r="Y29" i="20"/>
  <c r="Y37" i="20"/>
  <c r="Y53" i="3"/>
  <c r="Y45" i="20"/>
  <c r="Y61" i="3"/>
  <c r="Y53" i="20"/>
  <c r="Y69" i="3"/>
  <c r="Y130" i="3"/>
  <c r="Y26" i="15"/>
  <c r="Y13" i="3"/>
  <c r="Y69" i="20"/>
  <c r="Y49" i="15"/>
  <c r="Y21" i="3"/>
  <c r="Y93" i="3"/>
  <c r="Y21" i="20"/>
  <c r="Y85" i="20"/>
  <c r="Y37" i="3"/>
  <c r="Y109" i="3"/>
  <c r="Y117" i="19"/>
  <c r="Y109" i="19"/>
  <c r="Y93" i="19"/>
  <c r="Y69" i="19"/>
  <c r="Y61" i="19"/>
  <c r="Y53" i="19"/>
  <c r="Y37" i="19"/>
  <c r="Y21" i="19"/>
  <c r="Y13" i="19"/>
  <c r="Y116" i="19"/>
  <c r="Y108" i="19"/>
  <c r="Y92" i="19"/>
  <c r="Y76" i="19"/>
  <c r="Y60" i="19"/>
  <c r="Y44" i="19"/>
  <c r="Y20" i="19"/>
  <c r="Y131" i="19"/>
  <c r="Y115" i="19"/>
  <c r="Y75" i="19"/>
  <c r="Y59" i="19"/>
  <c r="Y35" i="19"/>
  <c r="Y19" i="19"/>
  <c r="Y120" i="19"/>
  <c r="Y112" i="19"/>
  <c r="Y80" i="19"/>
  <c r="Y64" i="19"/>
  <c r="Y56" i="19"/>
  <c r="Y48" i="19"/>
  <c r="Y32" i="19"/>
  <c r="Y24" i="19"/>
  <c r="Y16" i="19"/>
  <c r="Y111" i="19"/>
  <c r="Y95" i="19"/>
  <c r="Y79" i="19"/>
  <c r="Y63" i="19"/>
  <c r="Y55" i="19"/>
  <c r="Y23" i="19"/>
  <c r="Y15" i="19"/>
  <c r="Y130" i="19"/>
  <c r="Y110" i="19"/>
  <c r="Y66" i="19"/>
  <c r="Y25" i="19"/>
  <c r="Y65" i="19"/>
  <c r="Y42" i="19"/>
  <c r="Y22" i="19"/>
  <c r="Y126" i="19"/>
  <c r="Y105" i="19"/>
  <c r="Y82" i="19"/>
  <c r="Y62" i="19"/>
  <c r="Y41" i="19"/>
  <c r="Y81" i="19"/>
  <c r="Y58" i="19"/>
  <c r="Y50" i="19"/>
  <c r="Y57" i="19"/>
  <c r="Y14" i="19"/>
  <c r="Y94" i="19"/>
  <c r="Y118" i="19"/>
  <c r="Y74" i="19"/>
  <c r="Y54" i="19"/>
  <c r="Y33" i="19"/>
  <c r="Y114" i="19"/>
  <c r="Y73" i="19"/>
  <c r="Y26" i="19"/>
  <c r="Y117" i="14"/>
  <c r="Y109" i="14"/>
  <c r="Y93" i="14"/>
  <c r="Y69" i="14"/>
  <c r="Y61" i="14"/>
  <c r="Y53" i="14"/>
  <c r="Y37" i="14"/>
  <c r="Y21" i="14"/>
  <c r="Y13" i="14"/>
  <c r="Y116" i="14"/>
  <c r="Y108" i="14"/>
  <c r="Y92" i="14"/>
  <c r="Y76" i="14"/>
  <c r="Y60" i="14"/>
  <c r="Y44" i="14"/>
  <c r="Y36" i="14"/>
  <c r="Y20" i="14"/>
  <c r="Y131" i="14"/>
  <c r="Y115" i="14"/>
  <c r="Y75" i="14"/>
  <c r="Y59" i="14"/>
  <c r="Y35" i="14"/>
  <c r="Y19" i="14"/>
  <c r="Y120" i="14"/>
  <c r="Y112" i="14"/>
  <c r="Y80" i="14"/>
  <c r="Y64" i="14"/>
  <c r="Y56" i="14"/>
  <c r="Y48" i="14"/>
  <c r="Y40" i="14"/>
  <c r="Y32" i="14"/>
  <c r="Y24" i="14"/>
  <c r="Y16" i="14"/>
  <c r="Y111" i="14"/>
  <c r="Y95" i="14"/>
  <c r="Y79" i="14"/>
  <c r="Y63" i="14"/>
  <c r="Y55" i="14"/>
  <c r="Y39" i="14"/>
  <c r="Y23" i="14"/>
  <c r="Y15" i="14"/>
  <c r="Y130" i="14"/>
  <c r="Y110" i="14"/>
  <c r="Y66" i="14"/>
  <c r="Y25" i="14"/>
  <c r="Y50" i="14"/>
  <c r="Y65" i="14"/>
  <c r="Y42" i="14"/>
  <c r="Y22" i="14"/>
  <c r="Y126" i="14"/>
  <c r="Y105" i="14"/>
  <c r="Y82" i="14"/>
  <c r="Y62" i="14"/>
  <c r="Y41" i="14"/>
  <c r="Y81" i="14"/>
  <c r="Y58" i="14"/>
  <c r="Y38" i="14"/>
  <c r="Y94" i="14"/>
  <c r="Y57" i="14"/>
  <c r="Y34" i="14"/>
  <c r="Y14" i="14"/>
  <c r="Y73" i="14"/>
  <c r="Y113" i="14"/>
  <c r="Y49" i="14"/>
  <c r="Y26" i="14"/>
  <c r="Y118" i="14"/>
  <c r="Y74" i="14"/>
  <c r="Y54" i="14"/>
  <c r="Y33" i="14"/>
  <c r="Y114" i="14"/>
  <c r="Y113" i="19"/>
  <c r="Y49" i="19"/>
  <c r="Y93" i="15"/>
  <c r="Y69" i="15"/>
  <c r="Y61" i="15"/>
  <c r="Y53" i="15"/>
  <c r="Y37" i="15"/>
  <c r="Y21" i="15"/>
  <c r="Y116" i="15"/>
  <c r="Y92" i="15"/>
  <c r="Y76" i="15"/>
  <c r="Y60" i="15"/>
  <c r="Y44" i="15"/>
  <c r="Y20" i="15"/>
  <c r="Y115" i="15"/>
  <c r="Y75" i="15"/>
  <c r="Y59" i="15"/>
  <c r="Y19" i="15"/>
  <c r="Y120" i="15"/>
  <c r="Y112" i="15"/>
  <c r="Y80" i="15"/>
  <c r="Y64" i="15"/>
  <c r="Y56" i="15"/>
  <c r="Y48" i="15"/>
  <c r="Y32" i="15"/>
  <c r="Y24" i="15"/>
  <c r="Y95" i="15"/>
  <c r="Y79" i="15"/>
  <c r="Y63" i="15"/>
  <c r="Y55" i="15"/>
  <c r="Y23" i="15"/>
  <c r="Y130" i="15"/>
  <c r="Y66" i="15"/>
  <c r="Y25" i="15"/>
  <c r="Y65" i="15"/>
  <c r="Y42" i="15"/>
  <c r="Y22" i="15"/>
  <c r="Y126" i="15"/>
  <c r="Y82" i="15"/>
  <c r="Y62" i="15"/>
  <c r="Y41" i="15"/>
  <c r="Y81" i="15"/>
  <c r="Y58" i="15"/>
  <c r="Y73" i="15"/>
  <c r="Y57" i="15"/>
  <c r="Y94" i="15"/>
  <c r="Y118" i="15"/>
  <c r="Y74" i="15"/>
  <c r="Y54" i="15"/>
  <c r="Y33" i="15"/>
  <c r="Y50" i="15"/>
  <c r="Y125" i="24"/>
  <c r="Y109" i="24"/>
  <c r="Y93" i="24"/>
  <c r="Y69" i="24"/>
  <c r="Y53" i="24"/>
  <c r="Y37" i="24"/>
  <c r="Y21" i="24"/>
  <c r="Y13" i="24"/>
  <c r="Y108" i="24"/>
  <c r="Y92" i="24"/>
  <c r="Y76" i="24"/>
  <c r="Y60" i="24"/>
  <c r="Y20" i="24"/>
  <c r="Y123" i="24"/>
  <c r="Y107" i="24"/>
  <c r="Y91" i="24"/>
  <c r="Y75" i="24"/>
  <c r="Y59" i="24"/>
  <c r="Y19" i="24"/>
  <c r="Y120" i="24"/>
  <c r="Y104" i="24"/>
  <c r="Y88" i="24"/>
  <c r="Y80" i="24"/>
  <c r="Y56" i="24"/>
  <c r="Y48" i="24"/>
  <c r="Y32" i="24"/>
  <c r="Y24" i="24"/>
  <c r="Y127" i="24"/>
  <c r="Y119" i="24"/>
  <c r="Y87" i="24"/>
  <c r="Y79" i="24"/>
  <c r="Y55" i="24"/>
  <c r="Y47" i="24"/>
  <c r="Y23" i="24"/>
  <c r="Y49" i="24"/>
  <c r="Y14" i="3"/>
  <c r="Y54" i="3"/>
  <c r="Y118" i="3"/>
  <c r="Y22" i="20"/>
  <c r="Y114" i="20"/>
  <c r="Y50" i="7"/>
  <c r="Y50" i="24"/>
  <c r="Y94" i="24"/>
  <c r="Y15" i="3"/>
  <c r="Y23" i="3"/>
  <c r="Y55" i="3"/>
  <c r="Y63" i="3"/>
  <c r="Y79" i="3"/>
  <c r="Y95" i="3"/>
  <c r="Y111" i="3"/>
  <c r="Y7" i="20"/>
  <c r="Y15" i="20"/>
  <c r="Y23" i="20"/>
  <c r="Y31" i="20"/>
  <c r="Y39" i="20"/>
  <c r="Y47" i="20"/>
  <c r="Y55" i="20"/>
  <c r="Y63" i="20"/>
  <c r="Y71" i="20"/>
  <c r="Y79" i="20"/>
  <c r="Y87" i="20"/>
  <c r="Y97" i="20"/>
  <c r="Y118" i="20"/>
  <c r="Y33" i="7"/>
  <c r="Y54" i="7"/>
  <c r="Y74" i="7"/>
  <c r="Y118" i="7"/>
  <c r="Y10" i="24"/>
  <c r="Y33" i="24"/>
  <c r="Y54" i="24"/>
  <c r="Y74" i="24"/>
  <c r="Y118" i="24"/>
  <c r="Y26" i="7"/>
  <c r="Y62" i="3"/>
  <c r="Y94" i="3"/>
  <c r="Y126" i="3"/>
  <c r="Y14" i="20"/>
  <c r="Y30" i="20"/>
  <c r="Y38" i="20"/>
  <c r="Y54" i="20"/>
  <c r="Y62" i="20"/>
  <c r="Y70" i="20"/>
  <c r="Y94" i="20"/>
  <c r="Y94" i="7"/>
  <c r="Y16" i="3"/>
  <c r="Y24" i="3"/>
  <c r="Y32" i="3"/>
  <c r="Y48" i="3"/>
  <c r="Y56" i="3"/>
  <c r="Y64" i="3"/>
  <c r="Y80" i="3"/>
  <c r="Y112" i="3"/>
  <c r="Y120" i="3"/>
  <c r="Y8" i="20"/>
  <c r="Y16" i="20"/>
  <c r="Y24" i="20"/>
  <c r="Y32" i="20"/>
  <c r="Y40" i="20"/>
  <c r="Y48" i="20"/>
  <c r="Y56" i="20"/>
  <c r="Y64" i="20"/>
  <c r="Y72" i="20"/>
  <c r="Y80" i="20"/>
  <c r="Y88" i="20"/>
  <c r="Y98" i="20"/>
  <c r="Y121" i="20"/>
  <c r="Y57" i="7"/>
  <c r="Y14" i="24"/>
  <c r="Y57" i="24"/>
  <c r="Y117" i="7"/>
  <c r="Y93" i="7"/>
  <c r="Y69" i="7"/>
  <c r="Y61" i="7"/>
  <c r="Y53" i="7"/>
  <c r="Y37" i="7"/>
  <c r="Y21" i="7"/>
  <c r="Y116" i="7"/>
  <c r="Y92" i="7"/>
  <c r="Y76" i="7"/>
  <c r="Y60" i="7"/>
  <c r="Y44" i="7"/>
  <c r="Y20" i="7"/>
  <c r="Y75" i="7"/>
  <c r="Y59" i="7"/>
  <c r="Y19" i="7"/>
  <c r="Y120" i="7"/>
  <c r="Y80" i="7"/>
  <c r="Y64" i="7"/>
  <c r="Y56" i="7"/>
  <c r="Y48" i="7"/>
  <c r="Y32" i="7"/>
  <c r="Y24" i="7"/>
  <c r="Y95" i="7"/>
  <c r="Y79" i="7"/>
  <c r="Y63" i="7"/>
  <c r="Y55" i="7"/>
  <c r="Y23" i="7"/>
  <c r="Y49" i="7"/>
  <c r="Y113" i="7"/>
  <c r="Y26" i="24"/>
  <c r="Y90" i="24"/>
  <c r="Y22" i="3"/>
  <c r="Y46" i="20"/>
  <c r="Y73" i="7"/>
  <c r="Y73" i="24"/>
  <c r="Y25" i="3"/>
  <c r="Y33" i="3"/>
  <c r="Y41" i="3"/>
  <c r="Y49" i="3"/>
  <c r="Y57" i="3"/>
  <c r="Y65" i="3"/>
  <c r="Y73" i="3"/>
  <c r="Y81" i="3"/>
  <c r="Y105" i="3"/>
  <c r="Y113" i="3"/>
  <c r="Y9" i="20"/>
  <c r="Y17" i="20"/>
  <c r="Y25" i="20"/>
  <c r="Y33" i="20"/>
  <c r="Y41" i="20"/>
  <c r="Y49" i="20"/>
  <c r="Y57" i="20"/>
  <c r="Y65" i="20"/>
  <c r="Y73" i="20"/>
  <c r="Y81" i="20"/>
  <c r="Y89" i="20"/>
  <c r="Y102" i="20"/>
  <c r="Y122" i="20"/>
  <c r="Y58" i="7"/>
  <c r="Y81" i="7"/>
  <c r="Y17" i="24"/>
  <c r="Y58" i="24"/>
  <c r="Y81" i="24"/>
  <c r="Y102" i="24"/>
  <c r="Y122" i="24"/>
  <c r="Y10" i="20"/>
  <c r="Y18" i="20"/>
  <c r="Y26" i="20"/>
  <c r="Y34" i="20"/>
  <c r="Y42" i="20"/>
  <c r="Y50" i="20"/>
  <c r="Y58" i="20"/>
  <c r="Y66" i="20"/>
  <c r="Y74" i="20"/>
  <c r="Y82" i="20"/>
  <c r="Y90" i="20"/>
  <c r="Y105" i="20"/>
  <c r="Y41" i="7"/>
  <c r="Y62" i="7"/>
  <c r="Y82" i="7"/>
  <c r="Y126" i="7"/>
  <c r="Y18" i="24"/>
  <c r="Y41" i="24"/>
  <c r="Y82" i="24"/>
  <c r="Y105" i="24"/>
  <c r="Y126" i="24"/>
  <c r="Y125" i="20"/>
  <c r="Y117" i="20"/>
  <c r="Y109" i="20"/>
  <c r="Y101" i="20"/>
  <c r="Y132" i="20"/>
  <c r="Y124" i="20"/>
  <c r="Y116" i="20"/>
  <c r="Y108" i="20"/>
  <c r="Y100" i="20"/>
  <c r="Y131" i="20"/>
  <c r="Y123" i="20"/>
  <c r="Y115" i="20"/>
  <c r="Y107" i="20"/>
  <c r="Y99" i="20"/>
  <c r="Y128" i="20"/>
  <c r="Y120" i="20"/>
  <c r="Y112" i="20"/>
  <c r="Y104" i="20"/>
  <c r="Y96" i="20"/>
  <c r="Y127" i="20"/>
  <c r="Y119" i="20"/>
  <c r="Y111" i="20"/>
  <c r="Y103" i="20"/>
  <c r="Y95" i="20"/>
  <c r="Y78" i="20"/>
  <c r="Y50" i="3"/>
  <c r="Y66" i="3"/>
  <c r="Y82" i="3"/>
  <c r="Y19" i="3"/>
  <c r="Y35" i="3"/>
  <c r="Y59" i="3"/>
  <c r="Y75" i="3"/>
  <c r="Y115" i="3"/>
  <c r="Y131" i="3"/>
  <c r="Y11" i="20"/>
  <c r="Y19" i="20"/>
  <c r="Y27" i="20"/>
  <c r="Y35" i="20"/>
  <c r="Y43" i="20"/>
  <c r="Y51" i="20"/>
  <c r="Y59" i="20"/>
  <c r="Y67" i="20"/>
  <c r="Y75" i="20"/>
  <c r="Y83" i="20"/>
  <c r="Y91" i="20"/>
  <c r="Y106" i="20"/>
  <c r="Y129" i="20"/>
  <c r="Y22" i="7"/>
  <c r="Y42" i="7"/>
  <c r="Y65" i="7"/>
  <c r="Y22" i="24"/>
  <c r="Y42" i="24"/>
  <c r="Y65" i="24"/>
  <c r="Y86" i="24"/>
  <c r="Y106" i="24"/>
  <c r="Y129" i="24"/>
  <c r="Y110" i="3"/>
  <c r="Y86" i="20"/>
  <c r="Y26" i="3"/>
  <c r="Y42" i="3"/>
  <c r="Y58" i="3"/>
  <c r="Y74" i="3"/>
  <c r="Y114" i="3"/>
  <c r="Y20" i="3"/>
  <c r="Y44" i="3"/>
  <c r="Y60" i="3"/>
  <c r="Y76" i="3"/>
  <c r="Y92" i="3"/>
  <c r="Y108" i="3"/>
  <c r="Y116" i="3"/>
  <c r="Y12" i="20"/>
  <c r="Y20" i="20"/>
  <c r="Y28" i="20"/>
  <c r="Y36" i="20"/>
  <c r="Y44" i="20"/>
  <c r="Y52" i="20"/>
  <c r="Y60" i="20"/>
  <c r="Y68" i="20"/>
  <c r="Y76" i="20"/>
  <c r="Y84" i="20"/>
  <c r="Y92" i="20"/>
  <c r="Y110" i="20"/>
  <c r="Y130" i="20"/>
  <c r="Y25" i="7"/>
  <c r="Y66" i="7"/>
  <c r="Y130" i="7"/>
  <c r="Y25" i="24"/>
  <c r="Y46" i="24"/>
  <c r="Y66" i="24"/>
  <c r="Y89" i="24"/>
  <c r="Y130" i="24"/>
  <c r="CJ1" i="16"/>
  <c r="CK1" i="16" s="1"/>
  <c r="CL1" i="16" s="1"/>
  <c r="CM1" i="16" s="1"/>
  <c r="AE4" i="32"/>
  <c r="AB185" i="32"/>
  <c r="AB184" i="32"/>
  <c r="AB183" i="32"/>
  <c r="AB182" i="32"/>
  <c r="AB181" i="32"/>
  <c r="AB180" i="32"/>
  <c r="AB179" i="32"/>
  <c r="AB178" i="32"/>
  <c r="AB186" i="32" s="1"/>
  <c r="AD116" i="32"/>
  <c r="AD115" i="32"/>
  <c r="AD114" i="32"/>
  <c r="AD113" i="32"/>
  <c r="AD112" i="32"/>
  <c r="AD111" i="32"/>
  <c r="V162" i="32"/>
  <c r="V161" i="32"/>
  <c r="V160" i="32"/>
  <c r="V159" i="32"/>
  <c r="V158" i="32"/>
  <c r="V157" i="32"/>
  <c r="V156" i="32"/>
  <c r="U152" i="32"/>
  <c r="T152" i="32"/>
  <c r="S152" i="32"/>
  <c r="R152" i="32"/>
  <c r="Q152" i="32"/>
  <c r="P152" i="32"/>
  <c r="O152" i="32"/>
  <c r="U151" i="32"/>
  <c r="T151" i="32"/>
  <c r="S151" i="32"/>
  <c r="R151" i="32"/>
  <c r="Q151" i="32"/>
  <c r="P151" i="32"/>
  <c r="O151" i="32"/>
  <c r="BM146" i="31"/>
  <c r="BM145" i="31"/>
  <c r="BL145" i="31"/>
  <c r="BL144" i="31"/>
  <c r="BL143" i="31"/>
  <c r="BM139" i="31"/>
  <c r="BL139" i="31"/>
  <c r="M147" i="16" l="1"/>
  <c r="AE112" i="32"/>
  <c r="M147" i="27"/>
  <c r="M147" i="31"/>
  <c r="AJ66" i="31"/>
  <c r="Y114" i="15"/>
  <c r="Y117" i="15"/>
  <c r="AX114" i="7"/>
  <c r="AX131" i="7"/>
  <c r="Y115" i="7"/>
  <c r="AJ66" i="27"/>
  <c r="AX111" i="15"/>
  <c r="Y131" i="15"/>
  <c r="N144" i="15"/>
  <c r="Y110" i="15"/>
  <c r="Y16" i="15"/>
  <c r="Y105" i="15"/>
  <c r="Y108" i="15"/>
  <c r="Y109" i="15"/>
  <c r="AJ58" i="16"/>
  <c r="AJ58" i="27"/>
  <c r="N19" i="27"/>
  <c r="AX19" i="27" s="1"/>
  <c r="N19" i="31"/>
  <c r="AX19" i="12"/>
  <c r="AJ19" i="16"/>
  <c r="AX19" i="16" s="1"/>
  <c r="AJ19" i="31"/>
  <c r="Y13" i="15"/>
  <c r="AX14" i="15"/>
  <c r="Y15" i="15"/>
  <c r="AJ74" i="31"/>
  <c r="AJ74" i="16"/>
  <c r="AJ80" i="31"/>
  <c r="N59" i="27"/>
  <c r="AJ80" i="16"/>
  <c r="AJ126" i="27"/>
  <c r="AJ126" i="31"/>
  <c r="Y118" i="12"/>
  <c r="Y118" i="16" s="1"/>
  <c r="AX75" i="12"/>
  <c r="N59" i="31"/>
  <c r="AJ50" i="16"/>
  <c r="AX59" i="12"/>
  <c r="AJ50" i="27"/>
  <c r="Y65" i="12"/>
  <c r="Y65" i="31" s="1"/>
  <c r="Y144" i="14"/>
  <c r="Y55" i="12"/>
  <c r="Y55" i="31" s="1"/>
  <c r="Y59" i="12"/>
  <c r="Y59" i="27" s="1"/>
  <c r="Y57" i="12"/>
  <c r="Y57" i="16" s="1"/>
  <c r="Y130" i="12"/>
  <c r="Y130" i="31" s="1"/>
  <c r="AJ73" i="31"/>
  <c r="AJ73" i="16"/>
  <c r="AJ73" i="27"/>
  <c r="AJ48" i="31"/>
  <c r="AJ48" i="27"/>
  <c r="AJ48" i="16"/>
  <c r="AJ65" i="31"/>
  <c r="AJ65" i="27"/>
  <c r="AJ65" i="16"/>
  <c r="AJ53" i="31"/>
  <c r="AJ53" i="27"/>
  <c r="AJ53" i="16"/>
  <c r="N25" i="31"/>
  <c r="N25" i="16"/>
  <c r="N25" i="27"/>
  <c r="AX130" i="12"/>
  <c r="N130" i="31"/>
  <c r="N130" i="27"/>
  <c r="N130" i="16"/>
  <c r="AJ26" i="31"/>
  <c r="AJ26" i="27"/>
  <c r="AJ26" i="16"/>
  <c r="AJ49" i="31"/>
  <c r="AJ49" i="27"/>
  <c r="AJ49" i="16"/>
  <c r="AX93" i="12"/>
  <c r="N93" i="16"/>
  <c r="N93" i="31"/>
  <c r="N93" i="27"/>
  <c r="N37" i="31"/>
  <c r="N37" i="16"/>
  <c r="N37" i="27"/>
  <c r="AJ21" i="31"/>
  <c r="AJ21" i="27"/>
  <c r="AJ21" i="16"/>
  <c r="N81" i="31"/>
  <c r="N81" i="16"/>
  <c r="N81" i="27"/>
  <c r="N49" i="31"/>
  <c r="N49" i="16"/>
  <c r="N49" i="27"/>
  <c r="AJ92" i="31"/>
  <c r="AJ92" i="27"/>
  <c r="AJ92" i="16"/>
  <c r="N32" i="31"/>
  <c r="N32" i="27"/>
  <c r="N32" i="16"/>
  <c r="N60" i="31"/>
  <c r="N60" i="16"/>
  <c r="N60" i="27"/>
  <c r="N76" i="31"/>
  <c r="N76" i="27"/>
  <c r="N76" i="16"/>
  <c r="AJ79" i="31"/>
  <c r="AJ79" i="27"/>
  <c r="AJ79" i="16"/>
  <c r="AJ42" i="31"/>
  <c r="AJ42" i="27"/>
  <c r="AJ42" i="16"/>
  <c r="AJ22" i="31"/>
  <c r="AJ22" i="27"/>
  <c r="AJ22" i="16"/>
  <c r="N75" i="31"/>
  <c r="N75" i="27"/>
  <c r="N75" i="16"/>
  <c r="AX79" i="12"/>
  <c r="N79" i="31"/>
  <c r="N79" i="27"/>
  <c r="N79" i="16"/>
  <c r="AJ57" i="31"/>
  <c r="AJ57" i="27"/>
  <c r="AJ57" i="16"/>
  <c r="AJ37" i="31"/>
  <c r="AJ37" i="27"/>
  <c r="AJ37" i="16"/>
  <c r="AJ20" i="31"/>
  <c r="AJ20" i="16"/>
  <c r="AJ20" i="27"/>
  <c r="N48" i="31"/>
  <c r="N48" i="16"/>
  <c r="N48" i="27"/>
  <c r="AX58" i="12"/>
  <c r="N58" i="31"/>
  <c r="AX58" i="31" s="1"/>
  <c r="N58" i="27"/>
  <c r="N58" i="16"/>
  <c r="AJ32" i="27"/>
  <c r="AJ32" i="16"/>
  <c r="AJ32" i="31"/>
  <c r="AJ24" i="31"/>
  <c r="AJ24" i="16"/>
  <c r="AJ24" i="27"/>
  <c r="AJ94" i="31"/>
  <c r="AJ94" i="27"/>
  <c r="AJ94" i="16"/>
  <c r="AJ41" i="31"/>
  <c r="AJ41" i="27"/>
  <c r="AJ41" i="16"/>
  <c r="AJ76" i="31"/>
  <c r="AJ76" i="27"/>
  <c r="AJ76" i="16"/>
  <c r="N120" i="31"/>
  <c r="N120" i="16"/>
  <c r="N120" i="27"/>
  <c r="AX94" i="12"/>
  <c r="N94" i="31"/>
  <c r="N94" i="27"/>
  <c r="N94" i="16"/>
  <c r="N55" i="31"/>
  <c r="N55" i="27"/>
  <c r="N55" i="16"/>
  <c r="AX50" i="12"/>
  <c r="N50" i="31"/>
  <c r="AX50" i="31" s="1"/>
  <c r="N50" i="27"/>
  <c r="N50" i="16"/>
  <c r="AJ82" i="31"/>
  <c r="AJ82" i="27"/>
  <c r="AJ82" i="16"/>
  <c r="AJ23" i="31"/>
  <c r="AJ23" i="27"/>
  <c r="AJ23" i="16"/>
  <c r="AJ54" i="31"/>
  <c r="AJ54" i="27"/>
  <c r="AJ54" i="16"/>
  <c r="AX82" i="12"/>
  <c r="N82" i="31"/>
  <c r="N82" i="27"/>
  <c r="N82" i="16"/>
  <c r="AJ55" i="31"/>
  <c r="AJ55" i="27"/>
  <c r="AJ55" i="16"/>
  <c r="AJ75" i="31"/>
  <c r="AJ75" i="27"/>
  <c r="AJ75" i="16"/>
  <c r="AJ33" i="31"/>
  <c r="AJ33" i="27"/>
  <c r="AJ33" i="16"/>
  <c r="N69" i="31"/>
  <c r="N69" i="16"/>
  <c r="N69" i="27"/>
  <c r="AX21" i="12"/>
  <c r="N21" i="31"/>
  <c r="N21" i="16"/>
  <c r="N21" i="27"/>
  <c r="AJ120" i="31"/>
  <c r="AJ120" i="16"/>
  <c r="AJ120" i="27"/>
  <c r="N73" i="31"/>
  <c r="N73" i="16"/>
  <c r="N73" i="27"/>
  <c r="N41" i="31"/>
  <c r="N41" i="16"/>
  <c r="N41" i="27"/>
  <c r="AJ60" i="31"/>
  <c r="AJ60" i="27"/>
  <c r="AJ60" i="16"/>
  <c r="AX126" i="12"/>
  <c r="N126" i="31"/>
  <c r="N126" i="27"/>
  <c r="N126" i="16"/>
  <c r="AX126" i="16" s="1"/>
  <c r="AX56" i="12"/>
  <c r="N56" i="31"/>
  <c r="N56" i="16"/>
  <c r="N56" i="27"/>
  <c r="AX66" i="12"/>
  <c r="N66" i="31"/>
  <c r="AX66" i="31" s="1"/>
  <c r="N66" i="27"/>
  <c r="N66" i="16"/>
  <c r="AX66" i="16" s="1"/>
  <c r="AX42" i="12"/>
  <c r="N42" i="31"/>
  <c r="N42" i="27"/>
  <c r="N42" i="16"/>
  <c r="AJ59" i="31"/>
  <c r="AJ59" i="27"/>
  <c r="AJ59" i="16"/>
  <c r="AX59" i="16" s="1"/>
  <c r="AJ56" i="31"/>
  <c r="AJ56" i="16"/>
  <c r="AJ56" i="27"/>
  <c r="AJ118" i="31"/>
  <c r="AJ118" i="27"/>
  <c r="AJ118" i="16"/>
  <c r="AX53" i="12"/>
  <c r="N53" i="31"/>
  <c r="N53" i="16"/>
  <c r="N53" i="27"/>
  <c r="AJ25" i="31"/>
  <c r="AJ25" i="27"/>
  <c r="AJ25" i="16"/>
  <c r="AJ93" i="31"/>
  <c r="AJ93" i="27"/>
  <c r="AJ93" i="16"/>
  <c r="AX80" i="12"/>
  <c r="N80" i="31"/>
  <c r="N80" i="16"/>
  <c r="N80" i="27"/>
  <c r="AX80" i="27" s="1"/>
  <c r="AX118" i="12"/>
  <c r="N118" i="31"/>
  <c r="N118" i="27"/>
  <c r="N118" i="16"/>
  <c r="N20" i="31"/>
  <c r="N20" i="16"/>
  <c r="N20" i="27"/>
  <c r="N92" i="31"/>
  <c r="N92" i="27"/>
  <c r="N92" i="16"/>
  <c r="AX26" i="12"/>
  <c r="N26" i="31"/>
  <c r="N26" i="27"/>
  <c r="N26" i="16"/>
  <c r="AX54" i="12"/>
  <c r="N54" i="31"/>
  <c r="N54" i="27"/>
  <c r="N54" i="16"/>
  <c r="AX22" i="12"/>
  <c r="N22" i="31"/>
  <c r="N22" i="27"/>
  <c r="N22" i="16"/>
  <c r="AX74" i="12"/>
  <c r="N74" i="31"/>
  <c r="N74" i="27"/>
  <c r="AX74" i="27" s="1"/>
  <c r="N74" i="16"/>
  <c r="N57" i="31"/>
  <c r="N57" i="16"/>
  <c r="N57" i="27"/>
  <c r="AJ81" i="31"/>
  <c r="AJ81" i="27"/>
  <c r="AJ81" i="16"/>
  <c r="AJ69" i="31"/>
  <c r="AJ69" i="27"/>
  <c r="AJ69" i="16"/>
  <c r="N65" i="31"/>
  <c r="N65" i="16"/>
  <c r="N65" i="27"/>
  <c r="N33" i="31"/>
  <c r="N33" i="16"/>
  <c r="N33" i="27"/>
  <c r="AX24" i="12"/>
  <c r="N24" i="31"/>
  <c r="N24" i="16"/>
  <c r="N24" i="27"/>
  <c r="AX23" i="12"/>
  <c r="N23" i="31"/>
  <c r="N23" i="27"/>
  <c r="N23" i="16"/>
  <c r="AJ130" i="31"/>
  <c r="AJ130" i="27"/>
  <c r="AJ130" i="16"/>
  <c r="Y144" i="19"/>
  <c r="Y41" i="12"/>
  <c r="Y79" i="12"/>
  <c r="Y66" i="12"/>
  <c r="Y73" i="12"/>
  <c r="AX55" i="12"/>
  <c r="Y144" i="3"/>
  <c r="Y21" i="12"/>
  <c r="AX69" i="12"/>
  <c r="AX73" i="12"/>
  <c r="AX41" i="12"/>
  <c r="Y37" i="12"/>
  <c r="AX20" i="12"/>
  <c r="Y20" i="12"/>
  <c r="AX65" i="12"/>
  <c r="AX33" i="12"/>
  <c r="Y25" i="12"/>
  <c r="Y32" i="12"/>
  <c r="Y19" i="12"/>
  <c r="Y60" i="12"/>
  <c r="Y120" i="12"/>
  <c r="Y42" i="12"/>
  <c r="Y82" i="12"/>
  <c r="Y81" i="12"/>
  <c r="AX120" i="12"/>
  <c r="Y22" i="12"/>
  <c r="Y58" i="12"/>
  <c r="Y48" i="12"/>
  <c r="Y53" i="12"/>
  <c r="AX57" i="12"/>
  <c r="AX25" i="12"/>
  <c r="AX48" i="12"/>
  <c r="Y94" i="12"/>
  <c r="Y49" i="12"/>
  <c r="Y69" i="12"/>
  <c r="AX81" i="12"/>
  <c r="AX49" i="12"/>
  <c r="AX92" i="12"/>
  <c r="AX32" i="12"/>
  <c r="Y56" i="12"/>
  <c r="Y74" i="12"/>
  <c r="Y50" i="12"/>
  <c r="Y75" i="12"/>
  <c r="Y76" i="12"/>
  <c r="Y54" i="12"/>
  <c r="AX60" i="12"/>
  <c r="Y80" i="12"/>
  <c r="AX37" i="12"/>
  <c r="Y126" i="12"/>
  <c r="Y26" i="12"/>
  <c r="Y33" i="12"/>
  <c r="Y23" i="12"/>
  <c r="Y24" i="12"/>
  <c r="Y92" i="12"/>
  <c r="Y93" i="12"/>
  <c r="Y139" i="14"/>
  <c r="AX76" i="12"/>
  <c r="Y133" i="20"/>
  <c r="AE115" i="32"/>
  <c r="AE113" i="32"/>
  <c r="AE116" i="32"/>
  <c r="AE111" i="32"/>
  <c r="AE114" i="32"/>
  <c r="AF4" i="32"/>
  <c r="BK142" i="31"/>
  <c r="BK146" i="31"/>
  <c r="BK145" i="31"/>
  <c r="BK136" i="31"/>
  <c r="BM136" i="31"/>
  <c r="BK137" i="31"/>
  <c r="BL137" i="31"/>
  <c r="BM137" i="31"/>
  <c r="BL136" i="31"/>
  <c r="BK140" i="31"/>
  <c r="BL140" i="31"/>
  <c r="BM140" i="31"/>
  <c r="BK138" i="31"/>
  <c r="BK141" i="31"/>
  <c r="BL138" i="31"/>
  <c r="BL141" i="31"/>
  <c r="BM138" i="31"/>
  <c r="BK139" i="31"/>
  <c r="BM141" i="31"/>
  <c r="BL142" i="31"/>
  <c r="BM142" i="31"/>
  <c r="BK143" i="31"/>
  <c r="BM143" i="31"/>
  <c r="BM144" i="31"/>
  <c r="BK144" i="31"/>
  <c r="BL146" i="31"/>
  <c r="AE220" i="26"/>
  <c r="AE214" i="26"/>
  <c r="AE215" i="26"/>
  <c r="AE216" i="26"/>
  <c r="AE217" i="26"/>
  <c r="AE218" i="26"/>
  <c r="AE219" i="26"/>
  <c r="AE213" i="26"/>
  <c r="AE221" i="26" s="1"/>
  <c r="AX66" i="27" l="1"/>
  <c r="Y144" i="15"/>
  <c r="AX74" i="16"/>
  <c r="AX94" i="27"/>
  <c r="AX65" i="27"/>
  <c r="AX74" i="31"/>
  <c r="Y65" i="27"/>
  <c r="AX20" i="27"/>
  <c r="AX94" i="16"/>
  <c r="AX126" i="31"/>
  <c r="AX92" i="31"/>
  <c r="AX19" i="31"/>
  <c r="AX58" i="16"/>
  <c r="AX94" i="31"/>
  <c r="AX58" i="27"/>
  <c r="AX33" i="27"/>
  <c r="AX73" i="27"/>
  <c r="AX23" i="16"/>
  <c r="Y130" i="16"/>
  <c r="AX65" i="31"/>
  <c r="AX49" i="31"/>
  <c r="AX80" i="16"/>
  <c r="AX23" i="27"/>
  <c r="AX82" i="31"/>
  <c r="AX53" i="31"/>
  <c r="AX42" i="27"/>
  <c r="Y118" i="31"/>
  <c r="AX92" i="27"/>
  <c r="Y118" i="27"/>
  <c r="AX22" i="31"/>
  <c r="AX50" i="27"/>
  <c r="AX80" i="31"/>
  <c r="AX82" i="27"/>
  <c r="AX59" i="27"/>
  <c r="AX57" i="31"/>
  <c r="AX126" i="27"/>
  <c r="AX33" i="16"/>
  <c r="AX20" i="16"/>
  <c r="AX73" i="16"/>
  <c r="AX92" i="16"/>
  <c r="Y57" i="27"/>
  <c r="Y57" i="31"/>
  <c r="AX59" i="31"/>
  <c r="AX42" i="16"/>
  <c r="AX26" i="16"/>
  <c r="Y130" i="27"/>
  <c r="AX50" i="16"/>
  <c r="AX54" i="27"/>
  <c r="AX24" i="27"/>
  <c r="AX65" i="16"/>
  <c r="Y59" i="16"/>
  <c r="AX21" i="27"/>
  <c r="Y55" i="27"/>
  <c r="Y55" i="16"/>
  <c r="AX22" i="16"/>
  <c r="AX56" i="16"/>
  <c r="AX21" i="31"/>
  <c r="AX24" i="16"/>
  <c r="AX22" i="27"/>
  <c r="AX53" i="27"/>
  <c r="Y59" i="31"/>
  <c r="Y65" i="16"/>
  <c r="AX49" i="27"/>
  <c r="AX33" i="31"/>
  <c r="AX48" i="27"/>
  <c r="AX55" i="31"/>
  <c r="AX54" i="31"/>
  <c r="AX56" i="31"/>
  <c r="AX57" i="27"/>
  <c r="AX69" i="27"/>
  <c r="AX20" i="31"/>
  <c r="AX25" i="31"/>
  <c r="AX60" i="16"/>
  <c r="AX23" i="31"/>
  <c r="AX55" i="16"/>
  <c r="AX120" i="16"/>
  <c r="AX37" i="27"/>
  <c r="AX118" i="31"/>
  <c r="AX73" i="31"/>
  <c r="AX21" i="16"/>
  <c r="AX55" i="27"/>
  <c r="AX120" i="31"/>
  <c r="AX48" i="16"/>
  <c r="AX32" i="16"/>
  <c r="AX37" i="16"/>
  <c r="Y120" i="31"/>
  <c r="Y120" i="27"/>
  <c r="Y120" i="16"/>
  <c r="Y92" i="27"/>
  <c r="Y92" i="31"/>
  <c r="Y92" i="16"/>
  <c r="Y69" i="31"/>
  <c r="Y69" i="27"/>
  <c r="Y69" i="16"/>
  <c r="Y20" i="31"/>
  <c r="Y20" i="27"/>
  <c r="Y20" i="16"/>
  <c r="AX41" i="27"/>
  <c r="Y23" i="31"/>
  <c r="Y23" i="27"/>
  <c r="Y23" i="16"/>
  <c r="AX57" i="16"/>
  <c r="AX41" i="16"/>
  <c r="AX69" i="16"/>
  <c r="AX79" i="27"/>
  <c r="AX32" i="27"/>
  <c r="AX81" i="27"/>
  <c r="AX37" i="31"/>
  <c r="AX130" i="27"/>
  <c r="Y93" i="31"/>
  <c r="Y93" i="27"/>
  <c r="Y93" i="16"/>
  <c r="Y80" i="31"/>
  <c r="Y80" i="27"/>
  <c r="Y80" i="16"/>
  <c r="AX49" i="16"/>
  <c r="Y56" i="31"/>
  <c r="Y56" i="27"/>
  <c r="Y56" i="16"/>
  <c r="AX79" i="16"/>
  <c r="Y54" i="31"/>
  <c r="Y54" i="16"/>
  <c r="Y54" i="27"/>
  <c r="Y66" i="31"/>
  <c r="Y66" i="16"/>
  <c r="Y66" i="27"/>
  <c r="Y33" i="31"/>
  <c r="Y33" i="27"/>
  <c r="Y33" i="16"/>
  <c r="Y49" i="31"/>
  <c r="Y49" i="27"/>
  <c r="Y49" i="16"/>
  <c r="Y48" i="27"/>
  <c r="Y48" i="31"/>
  <c r="Y48" i="16"/>
  <c r="Y19" i="31"/>
  <c r="Y19" i="27"/>
  <c r="Y19" i="16"/>
  <c r="Y79" i="16"/>
  <c r="Y79" i="27"/>
  <c r="Y79" i="31"/>
  <c r="AX26" i="27"/>
  <c r="AX41" i="31"/>
  <c r="AX69" i="31"/>
  <c r="AX79" i="31"/>
  <c r="AX76" i="16"/>
  <c r="AX32" i="31"/>
  <c r="AX81" i="16"/>
  <c r="AX93" i="27"/>
  <c r="AX130" i="31"/>
  <c r="AX60" i="31"/>
  <c r="AX53" i="16"/>
  <c r="AX130" i="16"/>
  <c r="Y60" i="31"/>
  <c r="Y60" i="27"/>
  <c r="Y60" i="16"/>
  <c r="Y37" i="31"/>
  <c r="Y37" i="27"/>
  <c r="Y37" i="16"/>
  <c r="Y26" i="31"/>
  <c r="Y26" i="16"/>
  <c r="Y26" i="27"/>
  <c r="Y94" i="31"/>
  <c r="Y94" i="16"/>
  <c r="Y94" i="27"/>
  <c r="Y58" i="31"/>
  <c r="Y58" i="16"/>
  <c r="Y58" i="27"/>
  <c r="Y81" i="31"/>
  <c r="Y81" i="27"/>
  <c r="Y81" i="16"/>
  <c r="Y32" i="31"/>
  <c r="Y32" i="27"/>
  <c r="Y32" i="16"/>
  <c r="AX26" i="31"/>
  <c r="AX118" i="16"/>
  <c r="AX42" i="31"/>
  <c r="AX75" i="16"/>
  <c r="AX76" i="27"/>
  <c r="AX81" i="31"/>
  <c r="AX93" i="31"/>
  <c r="Y50" i="31"/>
  <c r="Y50" i="16"/>
  <c r="Y50" i="27"/>
  <c r="Y24" i="31"/>
  <c r="Y24" i="27"/>
  <c r="Y24" i="16"/>
  <c r="Y76" i="31"/>
  <c r="Y76" i="27"/>
  <c r="Y76" i="16"/>
  <c r="AX118" i="27"/>
  <c r="AX75" i="27"/>
  <c r="AX76" i="31"/>
  <c r="AX93" i="16"/>
  <c r="AX25" i="27"/>
  <c r="Y74" i="31"/>
  <c r="Y74" i="16"/>
  <c r="Y74" i="27"/>
  <c r="Y53" i="31"/>
  <c r="Y53" i="27"/>
  <c r="Y53" i="16"/>
  <c r="Y73" i="31"/>
  <c r="Y73" i="27"/>
  <c r="Y73" i="16"/>
  <c r="AX24" i="31"/>
  <c r="AX48" i="31"/>
  <c r="Y126" i="31"/>
  <c r="Y126" i="16"/>
  <c r="Y126" i="27"/>
  <c r="Y82" i="31"/>
  <c r="Y82" i="16"/>
  <c r="Y82" i="27"/>
  <c r="Y25" i="31"/>
  <c r="Y25" i="27"/>
  <c r="Y25" i="16"/>
  <c r="Y41" i="31"/>
  <c r="Y41" i="27"/>
  <c r="Y41" i="16"/>
  <c r="Y75" i="31"/>
  <c r="Y75" i="16"/>
  <c r="Y75" i="27"/>
  <c r="Y22" i="31"/>
  <c r="Y22" i="27"/>
  <c r="Y22" i="16"/>
  <c r="Y42" i="31"/>
  <c r="Y42" i="16"/>
  <c r="Y42" i="27"/>
  <c r="Y21" i="31"/>
  <c r="Y21" i="27"/>
  <c r="Y21" i="16"/>
  <c r="AX54" i="16"/>
  <c r="AX56" i="27"/>
  <c r="AX82" i="16"/>
  <c r="AX120" i="27"/>
  <c r="AX75" i="31"/>
  <c r="AX60" i="27"/>
  <c r="AX25" i="16"/>
  <c r="AF115" i="32"/>
  <c r="AF112" i="32"/>
  <c r="AG4" i="32"/>
  <c r="AF114" i="32"/>
  <c r="AF111" i="32"/>
  <c r="AF116" i="32"/>
  <c r="AF113" i="32"/>
  <c r="BK147" i="31"/>
  <c r="BL147" i="31"/>
  <c r="BM147" i="31"/>
  <c r="DB121" i="20"/>
  <c r="DC121" i="20"/>
  <c r="DD121" i="20"/>
  <c r="DE121" i="20"/>
  <c r="DA121" i="20"/>
  <c r="AF168" i="26"/>
  <c r="AF167" i="26"/>
  <c r="AF166" i="26"/>
  <c r="AF165" i="26"/>
  <c r="AF164" i="26"/>
  <c r="AF163" i="26"/>
  <c r="AF162" i="26"/>
  <c r="AF161" i="26"/>
  <c r="AF160" i="26"/>
  <c r="AF159" i="26"/>
  <c r="AF158" i="26"/>
  <c r="BD101" i="7"/>
  <c r="BD99" i="7"/>
  <c r="BD97" i="7"/>
  <c r="AH4" i="32" l="1"/>
  <c r="AG115" i="32"/>
  <c r="AG112" i="32"/>
  <c r="AG114" i="32"/>
  <c r="AG111" i="32"/>
  <c r="AG116" i="32"/>
  <c r="AG113" i="32"/>
  <c r="AH113" i="32" l="1"/>
  <c r="AH115" i="32"/>
  <c r="AH112" i="32"/>
  <c r="AH114" i="32"/>
  <c r="AH111" i="32"/>
  <c r="AH116" i="32"/>
  <c r="V177" i="30"/>
  <c r="V176" i="30"/>
  <c r="V175" i="30"/>
  <c r="V174" i="30"/>
  <c r="V173" i="30"/>
  <c r="V172" i="30"/>
  <c r="V171" i="30"/>
  <c r="U152" i="30"/>
  <c r="T152" i="30"/>
  <c r="S152" i="30"/>
  <c r="R152" i="30"/>
  <c r="Q152" i="30"/>
  <c r="P152" i="30"/>
  <c r="O152" i="30"/>
  <c r="U151" i="30"/>
  <c r="T151" i="30"/>
  <c r="S151" i="30"/>
  <c r="R151" i="30"/>
  <c r="Q151" i="30"/>
  <c r="P151" i="30"/>
  <c r="O151" i="30"/>
  <c r="X172" i="26" l="1"/>
  <c r="X173" i="26"/>
  <c r="X174" i="26"/>
  <c r="X175" i="26"/>
  <c r="X176" i="26"/>
  <c r="X177" i="26"/>
  <c r="X171" i="26"/>
  <c r="BA143" i="15"/>
  <c r="BA141" i="15"/>
  <c r="AZ143" i="15"/>
  <c r="AY143" i="15"/>
  <c r="AV158" i="12" l="1"/>
  <c r="AW158" i="12"/>
  <c r="AX158" i="12"/>
  <c r="AX157" i="12"/>
  <c r="AW157" i="12"/>
  <c r="AV157" i="12"/>
  <c r="BU170" i="12" l="1"/>
  <c r="BY170" i="12" s="1"/>
  <c r="BU167" i="12"/>
  <c r="BY167" i="12" s="1"/>
  <c r="BU152" i="12"/>
  <c r="BY152" i="12" s="1"/>
  <c r="BU151" i="12"/>
  <c r="BY151" i="12" s="1"/>
  <c r="CI163" i="7"/>
  <c r="BA142" i="15"/>
  <c r="AZ142" i="15"/>
  <c r="AY142" i="15"/>
  <c r="BU41" i="26"/>
  <c r="M4" i="29"/>
  <c r="W157" i="29"/>
  <c r="Z129" i="29"/>
  <c r="L142" i="29"/>
  <c r="L139" i="29"/>
  <c r="L138" i="29"/>
  <c r="O26" i="28"/>
  <c r="P26" i="28"/>
  <c r="P32" i="28" s="1"/>
  <c r="Q26" i="28"/>
  <c r="Q32" i="28" s="1"/>
  <c r="R26" i="28"/>
  <c r="R32" i="28" s="1"/>
  <c r="S26" i="28"/>
  <c r="S32" i="28" s="1"/>
  <c r="T26" i="28"/>
  <c r="T32" i="28"/>
  <c r="O32" i="28"/>
  <c r="T30" i="28"/>
  <c r="R29" i="28"/>
  <c r="T28" i="28"/>
  <c r="S28" i="28"/>
  <c r="R28" i="28"/>
  <c r="Q28" i="28"/>
  <c r="P28" i="28"/>
  <c r="O28" i="28"/>
  <c r="I29" i="28"/>
  <c r="O29" i="28" s="1"/>
  <c r="J29" i="28"/>
  <c r="P29" i="28" s="1"/>
  <c r="K29" i="28"/>
  <c r="Q29" i="28" s="1"/>
  <c r="L29" i="28"/>
  <c r="M29" i="28"/>
  <c r="S29" i="28" s="1"/>
  <c r="J28" i="28"/>
  <c r="K28" i="28"/>
  <c r="L28" i="28"/>
  <c r="M28" i="28"/>
  <c r="N28" i="28"/>
  <c r="I28" i="28"/>
  <c r="H29" i="28"/>
  <c r="N29" i="28" s="1"/>
  <c r="T29" i="28" s="1"/>
  <c r="H28" i="28"/>
  <c r="L137" i="29" l="1"/>
  <c r="L136" i="29"/>
  <c r="L140" i="29"/>
  <c r="L141" i="29"/>
  <c r="L143" i="29"/>
  <c r="L144" i="29"/>
  <c r="L145" i="29"/>
  <c r="L146" i="29"/>
  <c r="M24" i="28"/>
  <c r="S24" i="28" s="1"/>
  <c r="L24" i="28"/>
  <c r="R24" i="28" s="1"/>
  <c r="K24" i="28"/>
  <c r="Q24" i="28" s="1"/>
  <c r="J24" i="28"/>
  <c r="P24" i="28" s="1"/>
  <c r="I24" i="28"/>
  <c r="O24" i="28" s="1"/>
  <c r="H24" i="28"/>
  <c r="N24" i="28" s="1"/>
  <c r="T24" i="28" s="1"/>
  <c r="N21" i="28"/>
  <c r="T21" i="28" s="1"/>
  <c r="M21" i="28"/>
  <c r="S21" i="28" s="1"/>
  <c r="L21" i="28"/>
  <c r="R21" i="28" s="1"/>
  <c r="K21" i="28"/>
  <c r="Q21" i="28" s="1"/>
  <c r="J21" i="28"/>
  <c r="P21" i="28" s="1"/>
  <c r="I21" i="28"/>
  <c r="O21" i="28" s="1"/>
  <c r="N19" i="28"/>
  <c r="T19" i="28" s="1"/>
  <c r="M19" i="28"/>
  <c r="S19" i="28" s="1"/>
  <c r="L19" i="28"/>
  <c r="R19" i="28" s="1"/>
  <c r="K19" i="28"/>
  <c r="Q19" i="28" s="1"/>
  <c r="J19" i="28"/>
  <c r="P19" i="28" s="1"/>
  <c r="I19" i="28"/>
  <c r="O19" i="28" s="1"/>
  <c r="H23" i="28"/>
  <c r="N23" i="28" s="1"/>
  <c r="T23" i="28" s="1"/>
  <c r="I23" i="28"/>
  <c r="O23" i="28" s="1"/>
  <c r="J23" i="28"/>
  <c r="P23" i="28" s="1"/>
  <c r="K23" i="28"/>
  <c r="Q23" i="28" s="1"/>
  <c r="L23" i="28"/>
  <c r="R23" i="28" s="1"/>
  <c r="M23" i="28"/>
  <c r="S23" i="28" s="1"/>
  <c r="CT146" i="20"/>
  <c r="L147" i="29" l="1"/>
  <c r="CX133" i="20"/>
  <c r="I20" i="28"/>
  <c r="O20" i="28" s="1"/>
  <c r="J20" i="28"/>
  <c r="P20" i="28" s="1"/>
  <c r="K20" i="28"/>
  <c r="Q20" i="28" s="1"/>
  <c r="L20" i="28"/>
  <c r="R20" i="28" s="1"/>
  <c r="M20" i="28"/>
  <c r="S20" i="28" s="1"/>
  <c r="N20" i="28"/>
  <c r="T20" i="28" s="1"/>
  <c r="M16" i="28"/>
  <c r="S16" i="28" s="1"/>
  <c r="L16" i="28"/>
  <c r="R16" i="28" s="1"/>
  <c r="K16" i="28"/>
  <c r="Q16" i="28" s="1"/>
  <c r="J16" i="28"/>
  <c r="P16" i="28" s="1"/>
  <c r="I16" i="28"/>
  <c r="O16" i="28" s="1"/>
  <c r="I18" i="28"/>
  <c r="O18" i="28" s="1"/>
  <c r="J18" i="28"/>
  <c r="P18" i="28" s="1"/>
  <c r="K18" i="28"/>
  <c r="Q18" i="28" s="1"/>
  <c r="L18" i="28"/>
  <c r="R18" i="28" s="1"/>
  <c r="M18" i="28"/>
  <c r="S18" i="28" s="1"/>
  <c r="N18" i="28"/>
  <c r="T18" i="28" s="1"/>
  <c r="I22" i="28"/>
  <c r="O22" i="28" s="1"/>
  <c r="J22" i="28"/>
  <c r="P22" i="28" s="1"/>
  <c r="K22" i="28"/>
  <c r="Q22" i="28" s="1"/>
  <c r="L22" i="28"/>
  <c r="R22" i="28" s="1"/>
  <c r="M22" i="28"/>
  <c r="S22" i="28" s="1"/>
  <c r="N22" i="28"/>
  <c r="T22" i="28" s="1"/>
  <c r="I25" i="28"/>
  <c r="O25" i="28" s="1"/>
  <c r="J25" i="28"/>
  <c r="P25" i="28" s="1"/>
  <c r="K25" i="28"/>
  <c r="Q25" i="28" s="1"/>
  <c r="L25" i="28"/>
  <c r="R25" i="28" s="1"/>
  <c r="M25" i="28"/>
  <c r="S25" i="28" s="1"/>
  <c r="N25" i="28"/>
  <c r="T25" i="28" s="1"/>
  <c r="I26" i="28"/>
  <c r="J26" i="28"/>
  <c r="K26" i="28"/>
  <c r="L26" i="28"/>
  <c r="M26" i="28"/>
  <c r="N26" i="28"/>
  <c r="I27" i="28"/>
  <c r="O27" i="28" s="1"/>
  <c r="J27" i="28"/>
  <c r="P27" i="28" s="1"/>
  <c r="K27" i="28"/>
  <c r="Q27" i="28" s="1"/>
  <c r="L27" i="28"/>
  <c r="R27" i="28" s="1"/>
  <c r="M27" i="28"/>
  <c r="S27" i="28" s="1"/>
  <c r="N27" i="28"/>
  <c r="T27" i="28" s="1"/>
  <c r="J17" i="28"/>
  <c r="P17" i="28" s="1"/>
  <c r="K17" i="28"/>
  <c r="Q17" i="28" s="1"/>
  <c r="L17" i="28"/>
  <c r="R17" i="28" s="1"/>
  <c r="M17" i="28"/>
  <c r="S17" i="28" s="1"/>
  <c r="N17" i="28"/>
  <c r="T17" i="28" s="1"/>
  <c r="I17" i="28"/>
  <c r="O17" i="28" s="1"/>
  <c r="H16" i="28"/>
  <c r="N16" i="28" s="1"/>
  <c r="T16" i="28" s="1"/>
  <c r="N8" i="28"/>
  <c r="T8" i="28" s="1"/>
  <c r="M8" i="28"/>
  <c r="S8" i="28" s="1"/>
  <c r="L8" i="28"/>
  <c r="R8" i="28" s="1"/>
  <c r="K8" i="28"/>
  <c r="Q8" i="28" s="1"/>
  <c r="J8" i="28"/>
  <c r="P8" i="28" s="1"/>
  <c r="I8" i="28"/>
  <c r="O8" i="28" s="1"/>
  <c r="N7" i="28"/>
  <c r="T7" i="28" s="1"/>
  <c r="J12" i="28"/>
  <c r="P12" i="28" s="1"/>
  <c r="K12" i="28"/>
  <c r="Q12" i="28" s="1"/>
  <c r="L12" i="28"/>
  <c r="R12" i="28" s="1"/>
  <c r="M12" i="28"/>
  <c r="S12" i="28" s="1"/>
  <c r="I12" i="28"/>
  <c r="O12" i="28" s="1"/>
  <c r="H12" i="28"/>
  <c r="N12" i="28" s="1"/>
  <c r="T12" i="28" s="1"/>
  <c r="M4" i="28"/>
  <c r="S4" i="28" s="1"/>
  <c r="N4" i="28"/>
  <c r="T4" i="28" s="1"/>
  <c r="M5" i="28"/>
  <c r="S5" i="28" s="1"/>
  <c r="N5" i="28"/>
  <c r="T5" i="28" s="1"/>
  <c r="M6" i="28"/>
  <c r="S6" i="28" s="1"/>
  <c r="N6" i="28"/>
  <c r="T6" i="28" s="1"/>
  <c r="M7" i="28"/>
  <c r="S7" i="28" s="1"/>
  <c r="M9" i="28"/>
  <c r="S9" i="28" s="1"/>
  <c r="N9" i="28"/>
  <c r="T9" i="28" s="1"/>
  <c r="M10" i="28"/>
  <c r="S10" i="28" s="1"/>
  <c r="N10" i="28"/>
  <c r="T10" i="28" s="1"/>
  <c r="M11" i="28"/>
  <c r="S11" i="28" s="1"/>
  <c r="N11" i="28"/>
  <c r="T11" i="28" s="1"/>
  <c r="N3" i="28"/>
  <c r="T3" i="28" s="1"/>
  <c r="I3" i="28"/>
  <c r="I4" i="28"/>
  <c r="O4" i="28" s="1"/>
  <c r="J4" i="28"/>
  <c r="P4" i="28" s="1"/>
  <c r="K4" i="28"/>
  <c r="Q4" i="28" s="1"/>
  <c r="L4" i="28"/>
  <c r="R4" i="28" s="1"/>
  <c r="I5" i="28"/>
  <c r="O5" i="28" s="1"/>
  <c r="J5" i="28"/>
  <c r="P5" i="28" s="1"/>
  <c r="K5" i="28"/>
  <c r="Q5" i="28" s="1"/>
  <c r="L5" i="28"/>
  <c r="I6" i="28"/>
  <c r="O6" i="28" s="1"/>
  <c r="J6" i="28"/>
  <c r="P6" i="28" s="1"/>
  <c r="K6" i="28"/>
  <c r="Q6" i="28" s="1"/>
  <c r="L6" i="28"/>
  <c r="R6" i="28" s="1"/>
  <c r="I7" i="28"/>
  <c r="O7" i="28" s="1"/>
  <c r="J7" i="28"/>
  <c r="P7" i="28" s="1"/>
  <c r="K7" i="28"/>
  <c r="Q7" i="28" s="1"/>
  <c r="L7" i="28"/>
  <c r="R7" i="28" s="1"/>
  <c r="I9" i="28"/>
  <c r="O9" i="28" s="1"/>
  <c r="J9" i="28"/>
  <c r="P9" i="28" s="1"/>
  <c r="K9" i="28"/>
  <c r="Q9" i="28" s="1"/>
  <c r="L9" i="28"/>
  <c r="R9" i="28" s="1"/>
  <c r="I10" i="28"/>
  <c r="O10" i="28" s="1"/>
  <c r="J10" i="28"/>
  <c r="P10" i="28" s="1"/>
  <c r="K10" i="28"/>
  <c r="Q10" i="28" s="1"/>
  <c r="L10" i="28"/>
  <c r="R10" i="28" s="1"/>
  <c r="I11" i="28"/>
  <c r="O11" i="28" s="1"/>
  <c r="J11" i="28"/>
  <c r="K11" i="28"/>
  <c r="Q11" i="28" s="1"/>
  <c r="L11" i="28"/>
  <c r="R11" i="28" s="1"/>
  <c r="J3" i="28"/>
  <c r="P3" i="28" s="1"/>
  <c r="K3" i="28"/>
  <c r="Q3" i="28" s="1"/>
  <c r="L3" i="28"/>
  <c r="R3" i="28" s="1"/>
  <c r="M3" i="28"/>
  <c r="H13" i="28"/>
  <c r="C13" i="28"/>
  <c r="D13" i="28"/>
  <c r="E13" i="28"/>
  <c r="F13" i="28"/>
  <c r="G13" i="28"/>
  <c r="BK180" i="16"/>
  <c r="BK167" i="16"/>
  <c r="BK154" i="16"/>
  <c r="AI145" i="27"/>
  <c r="AI144" i="27"/>
  <c r="AI143" i="27"/>
  <c r="AI142" i="27"/>
  <c r="AI141" i="27"/>
  <c r="AI140" i="27"/>
  <c r="AI139" i="27"/>
  <c r="AI138" i="27"/>
  <c r="AI136" i="27"/>
  <c r="J13" i="28" l="1"/>
  <c r="Q39" i="28"/>
  <c r="Q30" i="28"/>
  <c r="P39" i="28"/>
  <c r="P30" i="28"/>
  <c r="R39" i="28"/>
  <c r="R30" i="28"/>
  <c r="O39" i="28"/>
  <c r="O30" i="28"/>
  <c r="T39" i="28"/>
  <c r="S39" i="28"/>
  <c r="S30" i="28"/>
  <c r="Q13" i="28"/>
  <c r="T13" i="28"/>
  <c r="M13" i="28"/>
  <c r="I13" i="28"/>
  <c r="O3" i="28"/>
  <c r="O13" i="28" s="1"/>
  <c r="K13" i="28"/>
  <c r="S3" i="28"/>
  <c r="S13" i="28" s="1"/>
  <c r="P11" i="28"/>
  <c r="P13" i="28" s="1"/>
  <c r="L13" i="28"/>
  <c r="R5" i="28"/>
  <c r="R13" i="28" s="1"/>
  <c r="N13" i="28"/>
  <c r="DA143" i="20"/>
  <c r="DB143" i="20"/>
  <c r="DC143" i="20"/>
  <c r="DD143" i="20"/>
  <c r="DE143" i="20"/>
  <c r="W152" i="26" l="1"/>
  <c r="V152" i="26"/>
  <c r="U152" i="26"/>
  <c r="T152" i="26"/>
  <c r="S152" i="26"/>
  <c r="R152" i="26"/>
  <c r="Q152" i="26"/>
  <c r="W151" i="26"/>
  <c r="V151" i="26"/>
  <c r="U151" i="26"/>
  <c r="T151" i="26"/>
  <c r="S151" i="26"/>
  <c r="R151" i="26"/>
  <c r="Q151" i="26"/>
  <c r="AK128" i="26"/>
  <c r="AJ128" i="26"/>
  <c r="AI128" i="26"/>
  <c r="AH128" i="26"/>
  <c r="AG128" i="26"/>
  <c r="AL128" i="26" l="1"/>
  <c r="DA96" i="20" l="1"/>
  <c r="DA98" i="20" s="1"/>
  <c r="DF147" i="20"/>
  <c r="DF142" i="20"/>
  <c r="DF141" i="20"/>
  <c r="DF140" i="20"/>
  <c r="DF136" i="20"/>
  <c r="DF143" i="20"/>
  <c r="DB128" i="20"/>
  <c r="DC128" i="20"/>
  <c r="DD128" i="20"/>
  <c r="DE128" i="20"/>
  <c r="DB129" i="20"/>
  <c r="DC129" i="20"/>
  <c r="DD129" i="20"/>
  <c r="DE129" i="20"/>
  <c r="DA128" i="20"/>
  <c r="DA129" i="20"/>
  <c r="DB45" i="20"/>
  <c r="DC45" i="20"/>
  <c r="DD45" i="20"/>
  <c r="DE45" i="20"/>
  <c r="DA45" i="20"/>
  <c r="DB119" i="20"/>
  <c r="DC119" i="20"/>
  <c r="DD119" i="20"/>
  <c r="DE119" i="20"/>
  <c r="DA119" i="20"/>
  <c r="DB97" i="20"/>
  <c r="DC97" i="20"/>
  <c r="DD97" i="20"/>
  <c r="DE97" i="20"/>
  <c r="DA97" i="20"/>
  <c r="DB96" i="20"/>
  <c r="DB98" i="20" s="1"/>
  <c r="DC96" i="20"/>
  <c r="DC98" i="20" s="1"/>
  <c r="DD96" i="20"/>
  <c r="DD98" i="20" s="1"/>
  <c r="DE96" i="20"/>
  <c r="DE98" i="20" s="1"/>
  <c r="DB85" i="20"/>
  <c r="DB86" i="20" s="1"/>
  <c r="DC85" i="20"/>
  <c r="DC86" i="20" s="1"/>
  <c r="DD85" i="20"/>
  <c r="DD86" i="20" s="1"/>
  <c r="DE85" i="20"/>
  <c r="DE86" i="20" s="1"/>
  <c r="DA85" i="20"/>
  <c r="CF7" i="20"/>
  <c r="CG7" i="20"/>
  <c r="CH7" i="20"/>
  <c r="CI7" i="20"/>
  <c r="CJ7" i="20"/>
  <c r="CK7" i="20"/>
  <c r="CL7" i="20"/>
  <c r="CF8" i="20"/>
  <c r="CG8" i="20"/>
  <c r="CH8" i="20"/>
  <c r="CI8" i="20"/>
  <c r="CJ8" i="20"/>
  <c r="CK8" i="20"/>
  <c r="CL8" i="20"/>
  <c r="CF9" i="20"/>
  <c r="CG9" i="20"/>
  <c r="CH9" i="20"/>
  <c r="CI9" i="20"/>
  <c r="CJ9" i="20"/>
  <c r="CK9" i="20"/>
  <c r="CL9" i="20"/>
  <c r="CF10" i="20"/>
  <c r="CG10" i="20"/>
  <c r="CH10" i="20"/>
  <c r="CI10" i="20"/>
  <c r="CJ10" i="20"/>
  <c r="CK10" i="20"/>
  <c r="CL10" i="20"/>
  <c r="CF11" i="20"/>
  <c r="CG11" i="20"/>
  <c r="CH11" i="20"/>
  <c r="CI11" i="20"/>
  <c r="CJ11" i="20"/>
  <c r="CK11" i="20"/>
  <c r="CL11" i="20"/>
  <c r="CF12" i="20"/>
  <c r="CG12" i="20"/>
  <c r="CH12" i="20"/>
  <c r="CI12" i="20"/>
  <c r="CJ12" i="20"/>
  <c r="CK12" i="20"/>
  <c r="CL12" i="20"/>
  <c r="CF13" i="20"/>
  <c r="CG13" i="20"/>
  <c r="CH13" i="20"/>
  <c r="CI13" i="20"/>
  <c r="CJ13" i="20"/>
  <c r="CK13" i="20"/>
  <c r="CL13" i="20"/>
  <c r="CF14" i="20"/>
  <c r="CG14" i="20"/>
  <c r="CH14" i="20"/>
  <c r="CI14" i="20"/>
  <c r="CJ14" i="20"/>
  <c r="CK14" i="20"/>
  <c r="CL14" i="20"/>
  <c r="CF15" i="20"/>
  <c r="CG15" i="20"/>
  <c r="CH15" i="20"/>
  <c r="CI15" i="20"/>
  <c r="CJ15" i="20"/>
  <c r="CK15" i="20"/>
  <c r="CL15" i="20"/>
  <c r="CF16" i="20"/>
  <c r="CG16" i="20"/>
  <c r="CH16" i="20"/>
  <c r="CI16" i="20"/>
  <c r="CJ16" i="20"/>
  <c r="CK16" i="20"/>
  <c r="CL16" i="20"/>
  <c r="CF17" i="20"/>
  <c r="CG17" i="20"/>
  <c r="CH17" i="20"/>
  <c r="CI17" i="20"/>
  <c r="CJ17" i="20"/>
  <c r="CK17" i="20"/>
  <c r="CL17" i="20"/>
  <c r="CF18" i="20"/>
  <c r="CG18" i="20"/>
  <c r="CH18" i="20"/>
  <c r="CI18" i="20"/>
  <c r="CJ18" i="20"/>
  <c r="CK18" i="20"/>
  <c r="CL18" i="20"/>
  <c r="CF19" i="20"/>
  <c r="CG19" i="20"/>
  <c r="CH19" i="20"/>
  <c r="CI19" i="20"/>
  <c r="CJ19" i="20"/>
  <c r="CK19" i="20"/>
  <c r="CL19" i="20"/>
  <c r="CF20" i="20"/>
  <c r="CG20" i="20"/>
  <c r="CH20" i="20"/>
  <c r="CI20" i="20"/>
  <c r="CJ20" i="20"/>
  <c r="CK20" i="20"/>
  <c r="CL20" i="20"/>
  <c r="CF21" i="20"/>
  <c r="CG21" i="20"/>
  <c r="CH21" i="20"/>
  <c r="CI21" i="20"/>
  <c r="CJ21" i="20"/>
  <c r="CK21" i="20"/>
  <c r="CL21" i="20"/>
  <c r="CF22" i="20"/>
  <c r="CG22" i="20"/>
  <c r="CH22" i="20"/>
  <c r="CI22" i="20"/>
  <c r="CJ22" i="20"/>
  <c r="CK22" i="20"/>
  <c r="CL22" i="20"/>
  <c r="CF23" i="20"/>
  <c r="CG23" i="20"/>
  <c r="CH23" i="20"/>
  <c r="CI23" i="20"/>
  <c r="CJ23" i="20"/>
  <c r="CK23" i="20"/>
  <c r="CL23" i="20"/>
  <c r="CF24" i="20"/>
  <c r="CG24" i="20"/>
  <c r="CH24" i="20"/>
  <c r="CI24" i="20"/>
  <c r="CJ24" i="20"/>
  <c r="CK24" i="20"/>
  <c r="CL24" i="20"/>
  <c r="CF25" i="20"/>
  <c r="CG25" i="20"/>
  <c r="CH25" i="20"/>
  <c r="CI25" i="20"/>
  <c r="CJ25" i="20"/>
  <c r="CK25" i="20"/>
  <c r="CL25" i="20"/>
  <c r="CF26" i="20"/>
  <c r="CG26" i="20"/>
  <c r="CH26" i="20"/>
  <c r="CI26" i="20"/>
  <c r="CJ26" i="20"/>
  <c r="CK26" i="20"/>
  <c r="CL26" i="20"/>
  <c r="CF27" i="20"/>
  <c r="CG27" i="20"/>
  <c r="CH27" i="20"/>
  <c r="CI27" i="20"/>
  <c r="CJ27" i="20"/>
  <c r="CK27" i="20"/>
  <c r="CL27" i="20"/>
  <c r="CF28" i="20"/>
  <c r="CG28" i="20"/>
  <c r="CH28" i="20"/>
  <c r="CI28" i="20"/>
  <c r="CJ28" i="20"/>
  <c r="CK28" i="20"/>
  <c r="CL28" i="20"/>
  <c r="CF29" i="20"/>
  <c r="CG29" i="20"/>
  <c r="CH29" i="20"/>
  <c r="CI29" i="20"/>
  <c r="CJ29" i="20"/>
  <c r="CK29" i="20"/>
  <c r="CL29" i="20"/>
  <c r="CF30" i="20"/>
  <c r="CG30" i="20"/>
  <c r="CH30" i="20"/>
  <c r="CI30" i="20"/>
  <c r="CJ30" i="20"/>
  <c r="CK30" i="20"/>
  <c r="CL30" i="20"/>
  <c r="CF31" i="20"/>
  <c r="CG31" i="20"/>
  <c r="CH31" i="20"/>
  <c r="CI31" i="20"/>
  <c r="CJ31" i="20"/>
  <c r="CK31" i="20"/>
  <c r="CL31" i="20"/>
  <c r="CF32" i="20"/>
  <c r="CG32" i="20"/>
  <c r="CH32" i="20"/>
  <c r="CI32" i="20"/>
  <c r="CJ32" i="20"/>
  <c r="CK32" i="20"/>
  <c r="CL32" i="20"/>
  <c r="CF33" i="20"/>
  <c r="CG33" i="20"/>
  <c r="CH33" i="20"/>
  <c r="CI33" i="20"/>
  <c r="CJ33" i="20"/>
  <c r="CK33" i="20"/>
  <c r="CL33" i="20"/>
  <c r="CF34" i="20"/>
  <c r="CG34" i="20"/>
  <c r="CH34" i="20"/>
  <c r="CI34" i="20"/>
  <c r="CJ34" i="20"/>
  <c r="CK34" i="20"/>
  <c r="CL34" i="20"/>
  <c r="CF35" i="20"/>
  <c r="CG35" i="20"/>
  <c r="CH35" i="20"/>
  <c r="CI35" i="20"/>
  <c r="CJ35" i="20"/>
  <c r="CK35" i="20"/>
  <c r="CL35" i="20"/>
  <c r="CF36" i="20"/>
  <c r="CG36" i="20"/>
  <c r="CH36" i="20"/>
  <c r="CI36" i="20"/>
  <c r="CJ36" i="20"/>
  <c r="CK36" i="20"/>
  <c r="CL36" i="20"/>
  <c r="CF37" i="20"/>
  <c r="CG37" i="20"/>
  <c r="CH37" i="20"/>
  <c r="CI37" i="20"/>
  <c r="CJ37" i="20"/>
  <c r="CK37" i="20"/>
  <c r="CL37" i="20"/>
  <c r="CF38" i="20"/>
  <c r="CG38" i="20"/>
  <c r="CH38" i="20"/>
  <c r="CI38" i="20"/>
  <c r="CJ38" i="20"/>
  <c r="CK38" i="20"/>
  <c r="CL38" i="20"/>
  <c r="CF39" i="20"/>
  <c r="CG39" i="20"/>
  <c r="CH39" i="20"/>
  <c r="CI39" i="20"/>
  <c r="CJ39" i="20"/>
  <c r="CK39" i="20"/>
  <c r="CL39" i="20"/>
  <c r="CF40" i="20"/>
  <c r="CG40" i="20"/>
  <c r="CH40" i="20"/>
  <c r="CI40" i="20"/>
  <c r="CJ40" i="20"/>
  <c r="CK40" i="20"/>
  <c r="CL40" i="20"/>
  <c r="CF41" i="20"/>
  <c r="CG41" i="20"/>
  <c r="CH41" i="20"/>
  <c r="CI41" i="20"/>
  <c r="CJ41" i="20"/>
  <c r="CK41" i="20"/>
  <c r="CL41" i="20"/>
  <c r="CF42" i="20"/>
  <c r="CG42" i="20"/>
  <c r="CH42" i="20"/>
  <c r="CI42" i="20"/>
  <c r="CJ42" i="20"/>
  <c r="CK42" i="20"/>
  <c r="CL42" i="20"/>
  <c r="CF43" i="20"/>
  <c r="CG43" i="20"/>
  <c r="CH43" i="20"/>
  <c r="CI43" i="20"/>
  <c r="CJ43" i="20"/>
  <c r="CK43" i="20"/>
  <c r="CL43" i="20"/>
  <c r="CF44" i="20"/>
  <c r="CG44" i="20"/>
  <c r="CH44" i="20"/>
  <c r="CI44" i="20"/>
  <c r="CJ44" i="20"/>
  <c r="CK44" i="20"/>
  <c r="CL44" i="20"/>
  <c r="CF45" i="20"/>
  <c r="CG45" i="20"/>
  <c r="CH45" i="20"/>
  <c r="CI45" i="20"/>
  <c r="CJ45" i="20"/>
  <c r="CK45" i="20"/>
  <c r="CL45" i="20"/>
  <c r="CF46" i="20"/>
  <c r="CG46" i="20"/>
  <c r="CH46" i="20"/>
  <c r="CI46" i="20"/>
  <c r="CJ46" i="20"/>
  <c r="CK46" i="20"/>
  <c r="CL46" i="20"/>
  <c r="CF47" i="20"/>
  <c r="CG47" i="20"/>
  <c r="CH47" i="20"/>
  <c r="CI47" i="20"/>
  <c r="CJ47" i="20"/>
  <c r="CK47" i="20"/>
  <c r="CL47" i="20"/>
  <c r="CF48" i="20"/>
  <c r="CG48" i="20"/>
  <c r="CH48" i="20"/>
  <c r="CI48" i="20"/>
  <c r="CJ48" i="20"/>
  <c r="CK48" i="20"/>
  <c r="CL48" i="20"/>
  <c r="CF49" i="20"/>
  <c r="CG49" i="20"/>
  <c r="CH49" i="20"/>
  <c r="CI49" i="20"/>
  <c r="CJ49" i="20"/>
  <c r="CK49" i="20"/>
  <c r="CL49" i="20"/>
  <c r="CF50" i="20"/>
  <c r="CG50" i="20"/>
  <c r="CH50" i="20"/>
  <c r="CI50" i="20"/>
  <c r="CJ50" i="20"/>
  <c r="CK50" i="20"/>
  <c r="CL50" i="20"/>
  <c r="CF51" i="20"/>
  <c r="CG51" i="20"/>
  <c r="CH51" i="20"/>
  <c r="CI51" i="20"/>
  <c r="CJ51" i="20"/>
  <c r="CK51" i="20"/>
  <c r="CL51" i="20"/>
  <c r="CF52" i="20"/>
  <c r="CG52" i="20"/>
  <c r="CH52" i="20"/>
  <c r="CI52" i="20"/>
  <c r="CJ52" i="20"/>
  <c r="CK52" i="20"/>
  <c r="CL52" i="20"/>
  <c r="CF53" i="20"/>
  <c r="CG53" i="20"/>
  <c r="CH53" i="20"/>
  <c r="CI53" i="20"/>
  <c r="CJ53" i="20"/>
  <c r="CK53" i="20"/>
  <c r="CL53" i="20"/>
  <c r="CF54" i="20"/>
  <c r="CG54" i="20"/>
  <c r="CH54" i="20"/>
  <c r="CI54" i="20"/>
  <c r="CJ54" i="20"/>
  <c r="CK54" i="20"/>
  <c r="CL54" i="20"/>
  <c r="CF55" i="20"/>
  <c r="CG55" i="20"/>
  <c r="CH55" i="20"/>
  <c r="CI55" i="20"/>
  <c r="CJ55" i="20"/>
  <c r="CK55" i="20"/>
  <c r="CL55" i="20"/>
  <c r="CF56" i="20"/>
  <c r="CG56" i="20"/>
  <c r="CH56" i="20"/>
  <c r="CI56" i="20"/>
  <c r="CJ56" i="20"/>
  <c r="CK56" i="20"/>
  <c r="CL56" i="20"/>
  <c r="CF57" i="20"/>
  <c r="CG57" i="20"/>
  <c r="CH57" i="20"/>
  <c r="CI57" i="20"/>
  <c r="CJ57" i="20"/>
  <c r="CK57" i="20"/>
  <c r="CL57" i="20"/>
  <c r="CF58" i="20"/>
  <c r="CG58" i="20"/>
  <c r="CH58" i="20"/>
  <c r="CI58" i="20"/>
  <c r="CJ58" i="20"/>
  <c r="CK58" i="20"/>
  <c r="CL58" i="20"/>
  <c r="CF59" i="20"/>
  <c r="CG59" i="20"/>
  <c r="CH59" i="20"/>
  <c r="CI59" i="20"/>
  <c r="CJ59" i="20"/>
  <c r="CK59" i="20"/>
  <c r="CL59" i="20"/>
  <c r="CF60" i="20"/>
  <c r="CG60" i="20"/>
  <c r="CH60" i="20"/>
  <c r="CI60" i="20"/>
  <c r="CJ60" i="20"/>
  <c r="CK60" i="20"/>
  <c r="CL60" i="20"/>
  <c r="CF61" i="20"/>
  <c r="CG61" i="20"/>
  <c r="CH61" i="20"/>
  <c r="CI61" i="20"/>
  <c r="CJ61" i="20"/>
  <c r="CK61" i="20"/>
  <c r="CL61" i="20"/>
  <c r="CF62" i="20"/>
  <c r="CG62" i="20"/>
  <c r="CH62" i="20"/>
  <c r="CI62" i="20"/>
  <c r="CJ62" i="20"/>
  <c r="CK62" i="20"/>
  <c r="CL62" i="20"/>
  <c r="CF63" i="20"/>
  <c r="CG63" i="20"/>
  <c r="CH63" i="20"/>
  <c r="CI63" i="20"/>
  <c r="CJ63" i="20"/>
  <c r="CK63" i="20"/>
  <c r="CL63" i="20"/>
  <c r="CF64" i="20"/>
  <c r="CG64" i="20"/>
  <c r="CH64" i="20"/>
  <c r="CI64" i="20"/>
  <c r="CJ64" i="20"/>
  <c r="CK64" i="20"/>
  <c r="CL64" i="20"/>
  <c r="CF65" i="20"/>
  <c r="CG65" i="20"/>
  <c r="CH65" i="20"/>
  <c r="CI65" i="20"/>
  <c r="CJ65" i="20"/>
  <c r="CK65" i="20"/>
  <c r="CL65" i="20"/>
  <c r="CF66" i="20"/>
  <c r="CG66" i="20"/>
  <c r="CH66" i="20"/>
  <c r="CI66" i="20"/>
  <c r="CJ66" i="20"/>
  <c r="CK66" i="20"/>
  <c r="CL66" i="20"/>
  <c r="CF67" i="20"/>
  <c r="CG67" i="20"/>
  <c r="CH67" i="20"/>
  <c r="CI67" i="20"/>
  <c r="CJ67" i="20"/>
  <c r="CK67" i="20"/>
  <c r="CL67" i="20"/>
  <c r="CF68" i="20"/>
  <c r="CG68" i="20"/>
  <c r="CH68" i="20"/>
  <c r="CI68" i="20"/>
  <c r="CJ68" i="20"/>
  <c r="CK68" i="20"/>
  <c r="CL68" i="20"/>
  <c r="CF69" i="20"/>
  <c r="CG69" i="20"/>
  <c r="CH69" i="20"/>
  <c r="CI69" i="20"/>
  <c r="CJ69" i="20"/>
  <c r="CK69" i="20"/>
  <c r="CL69" i="20"/>
  <c r="CF70" i="20"/>
  <c r="CG70" i="20"/>
  <c r="CH70" i="20"/>
  <c r="CI70" i="20"/>
  <c r="CJ70" i="20"/>
  <c r="CK70" i="20"/>
  <c r="CL70" i="20"/>
  <c r="CF71" i="20"/>
  <c r="CG71" i="20"/>
  <c r="CH71" i="20"/>
  <c r="CI71" i="20"/>
  <c r="CJ71" i="20"/>
  <c r="CK71" i="20"/>
  <c r="CL71" i="20"/>
  <c r="CF72" i="20"/>
  <c r="CG72" i="20"/>
  <c r="CH72" i="20"/>
  <c r="CI72" i="20"/>
  <c r="CJ72" i="20"/>
  <c r="CK72" i="20"/>
  <c r="CL72" i="20"/>
  <c r="CF73" i="20"/>
  <c r="CG73" i="20"/>
  <c r="CH73" i="20"/>
  <c r="CI73" i="20"/>
  <c r="CJ73" i="20"/>
  <c r="CK73" i="20"/>
  <c r="CL73" i="20"/>
  <c r="CF74" i="20"/>
  <c r="CG74" i="20"/>
  <c r="CH74" i="20"/>
  <c r="CI74" i="20"/>
  <c r="CJ74" i="20"/>
  <c r="CK74" i="20"/>
  <c r="CL74" i="20"/>
  <c r="CF75" i="20"/>
  <c r="CG75" i="20"/>
  <c r="CH75" i="20"/>
  <c r="CI75" i="20"/>
  <c r="CJ75" i="20"/>
  <c r="CK75" i="20"/>
  <c r="CL75" i="20"/>
  <c r="CF76" i="20"/>
  <c r="CG76" i="20"/>
  <c r="CH76" i="20"/>
  <c r="CI76" i="20"/>
  <c r="CJ76" i="20"/>
  <c r="CK76" i="20"/>
  <c r="CL76" i="20"/>
  <c r="CF77" i="20"/>
  <c r="CG77" i="20"/>
  <c r="CH77" i="20"/>
  <c r="CI77" i="20"/>
  <c r="CJ77" i="20"/>
  <c r="CK77" i="20"/>
  <c r="CL77" i="20"/>
  <c r="CF78" i="20"/>
  <c r="CG78" i="20"/>
  <c r="CH78" i="20"/>
  <c r="CI78" i="20"/>
  <c r="CJ78" i="20"/>
  <c r="CK78" i="20"/>
  <c r="CL78" i="20"/>
  <c r="CF79" i="20"/>
  <c r="CG79" i="20"/>
  <c r="CH79" i="20"/>
  <c r="CI79" i="20"/>
  <c r="CJ79" i="20"/>
  <c r="CK79" i="20"/>
  <c r="CL79" i="20"/>
  <c r="CF80" i="20"/>
  <c r="CG80" i="20"/>
  <c r="CH80" i="20"/>
  <c r="CI80" i="20"/>
  <c r="CJ80" i="20"/>
  <c r="CK80" i="20"/>
  <c r="CL80" i="20"/>
  <c r="CF81" i="20"/>
  <c r="CG81" i="20"/>
  <c r="CH81" i="20"/>
  <c r="CI81" i="20"/>
  <c r="CJ81" i="20"/>
  <c r="CK81" i="20"/>
  <c r="CL81" i="20"/>
  <c r="CF82" i="20"/>
  <c r="CG82" i="20"/>
  <c r="CH82" i="20"/>
  <c r="CI82" i="20"/>
  <c r="CJ82" i="20"/>
  <c r="CK82" i="20"/>
  <c r="CL82" i="20"/>
  <c r="CF83" i="20"/>
  <c r="CG83" i="20"/>
  <c r="CH83" i="20"/>
  <c r="CI83" i="20"/>
  <c r="CJ83" i="20"/>
  <c r="CK83" i="20"/>
  <c r="CL83" i="20"/>
  <c r="CF84" i="20"/>
  <c r="CG84" i="20"/>
  <c r="CH84" i="20"/>
  <c r="CI84" i="20"/>
  <c r="CJ84" i="20"/>
  <c r="CK84" i="20"/>
  <c r="CL84" i="20"/>
  <c r="CF85" i="20"/>
  <c r="CG85" i="20"/>
  <c r="CH85" i="20"/>
  <c r="CI85" i="20"/>
  <c r="CJ85" i="20"/>
  <c r="CK85" i="20"/>
  <c r="CL85" i="20"/>
  <c r="CF86" i="20"/>
  <c r="CG86" i="20"/>
  <c r="CH86" i="20"/>
  <c r="CI86" i="20"/>
  <c r="CJ86" i="20"/>
  <c r="CK86" i="20"/>
  <c r="CL86" i="20"/>
  <c r="CF87" i="20"/>
  <c r="CG87" i="20"/>
  <c r="CH87" i="20"/>
  <c r="CI87" i="20"/>
  <c r="CJ87" i="20"/>
  <c r="CK87" i="20"/>
  <c r="CL87" i="20"/>
  <c r="CF88" i="20"/>
  <c r="CG88" i="20"/>
  <c r="CH88" i="20"/>
  <c r="CI88" i="20"/>
  <c r="CJ88" i="20"/>
  <c r="CK88" i="20"/>
  <c r="CL88" i="20"/>
  <c r="CF89" i="20"/>
  <c r="CG89" i="20"/>
  <c r="CH89" i="20"/>
  <c r="CI89" i="20"/>
  <c r="CJ89" i="20"/>
  <c r="CK89" i="20"/>
  <c r="CL89" i="20"/>
  <c r="CF90" i="20"/>
  <c r="CG90" i="20"/>
  <c r="CH90" i="20"/>
  <c r="CI90" i="20"/>
  <c r="CJ90" i="20"/>
  <c r="CK90" i="20"/>
  <c r="CL90" i="20"/>
  <c r="CF91" i="20"/>
  <c r="CG91" i="20"/>
  <c r="CH91" i="20"/>
  <c r="CI91" i="20"/>
  <c r="CJ91" i="20"/>
  <c r="CK91" i="20"/>
  <c r="CL91" i="20"/>
  <c r="CF92" i="20"/>
  <c r="CG92" i="20"/>
  <c r="CH92" i="20"/>
  <c r="CI92" i="20"/>
  <c r="CJ92" i="20"/>
  <c r="CK92" i="20"/>
  <c r="CL92" i="20"/>
  <c r="CF93" i="20"/>
  <c r="CG93" i="20"/>
  <c r="CH93" i="20"/>
  <c r="CI93" i="20"/>
  <c r="CJ93" i="20"/>
  <c r="CK93" i="20"/>
  <c r="CL93" i="20"/>
  <c r="CF94" i="20"/>
  <c r="CG94" i="20"/>
  <c r="CH94" i="20"/>
  <c r="CI94" i="20"/>
  <c r="CJ94" i="20"/>
  <c r="CK94" i="20"/>
  <c r="CL94" i="20"/>
  <c r="CF95" i="20"/>
  <c r="CG95" i="20"/>
  <c r="CH95" i="20"/>
  <c r="CI95" i="20"/>
  <c r="CJ95" i="20"/>
  <c r="CK95" i="20"/>
  <c r="CL95" i="20"/>
  <c r="CF96" i="20"/>
  <c r="CG96" i="20"/>
  <c r="CH96" i="20"/>
  <c r="CI96" i="20"/>
  <c r="CJ96" i="20"/>
  <c r="CK96" i="20"/>
  <c r="CL96" i="20"/>
  <c r="CF97" i="20"/>
  <c r="CG97" i="20"/>
  <c r="CH97" i="20"/>
  <c r="CI97" i="20"/>
  <c r="CJ97" i="20"/>
  <c r="CK97" i="20"/>
  <c r="CL97" i="20"/>
  <c r="CF98" i="20"/>
  <c r="CG98" i="20"/>
  <c r="CH98" i="20"/>
  <c r="CI98" i="20"/>
  <c r="CJ98" i="20"/>
  <c r="CK98" i="20"/>
  <c r="CL98" i="20"/>
  <c r="CF99" i="20"/>
  <c r="CG99" i="20"/>
  <c r="CH99" i="20"/>
  <c r="CI99" i="20"/>
  <c r="CJ99" i="20"/>
  <c r="CK99" i="20"/>
  <c r="CL99" i="20"/>
  <c r="CF100" i="20"/>
  <c r="CG100" i="20"/>
  <c r="CH100" i="20"/>
  <c r="CI100" i="20"/>
  <c r="CJ100" i="20"/>
  <c r="CK100" i="20"/>
  <c r="CL100" i="20"/>
  <c r="CF101" i="20"/>
  <c r="CG101" i="20"/>
  <c r="CH101" i="20"/>
  <c r="CI101" i="20"/>
  <c r="CJ101" i="20"/>
  <c r="CK101" i="20"/>
  <c r="CL101" i="20"/>
  <c r="CF102" i="20"/>
  <c r="CG102" i="20"/>
  <c r="CH102" i="20"/>
  <c r="CI102" i="20"/>
  <c r="CJ102" i="20"/>
  <c r="CK102" i="20"/>
  <c r="CL102" i="20"/>
  <c r="CF103" i="20"/>
  <c r="CG103" i="20"/>
  <c r="CH103" i="20"/>
  <c r="CI103" i="20"/>
  <c r="CJ103" i="20"/>
  <c r="CK103" i="20"/>
  <c r="CL103" i="20"/>
  <c r="CF104" i="20"/>
  <c r="CG104" i="20"/>
  <c r="CH104" i="20"/>
  <c r="CI104" i="20"/>
  <c r="CJ104" i="20"/>
  <c r="CK104" i="20"/>
  <c r="CL104" i="20"/>
  <c r="CF105" i="20"/>
  <c r="CG105" i="20"/>
  <c r="CH105" i="20"/>
  <c r="CI105" i="20"/>
  <c r="CJ105" i="20"/>
  <c r="CK105" i="20"/>
  <c r="CL105" i="20"/>
  <c r="CF106" i="20"/>
  <c r="CG106" i="20"/>
  <c r="CH106" i="20"/>
  <c r="CI106" i="20"/>
  <c r="CJ106" i="20"/>
  <c r="CK106" i="20"/>
  <c r="CL106" i="20"/>
  <c r="CF107" i="20"/>
  <c r="CG107" i="20"/>
  <c r="CH107" i="20"/>
  <c r="CI107" i="20"/>
  <c r="CJ107" i="20"/>
  <c r="CK107" i="20"/>
  <c r="CL107" i="20"/>
  <c r="CF108" i="20"/>
  <c r="CG108" i="20"/>
  <c r="CH108" i="20"/>
  <c r="CI108" i="20"/>
  <c r="CJ108" i="20"/>
  <c r="CK108" i="20"/>
  <c r="CL108" i="20"/>
  <c r="CF109" i="20"/>
  <c r="CG109" i="20"/>
  <c r="CH109" i="20"/>
  <c r="CI109" i="20"/>
  <c r="CJ109" i="20"/>
  <c r="CK109" i="20"/>
  <c r="CL109" i="20"/>
  <c r="DE101" i="20" l="1"/>
  <c r="DE89" i="20"/>
  <c r="DA49" i="20"/>
  <c r="DE49" i="20"/>
  <c r="DD49" i="20"/>
  <c r="DC49" i="20"/>
  <c r="DB49" i="20"/>
  <c r="DC130" i="20"/>
  <c r="DB130" i="20"/>
  <c r="DE130" i="20"/>
  <c r="DF45" i="20"/>
  <c r="DF121" i="20"/>
  <c r="DA130" i="20"/>
  <c r="DD130" i="20"/>
  <c r="DF119" i="20"/>
  <c r="DF129" i="20"/>
  <c r="DF97" i="20"/>
  <c r="DF128" i="20"/>
  <c r="DF96" i="20"/>
  <c r="DF98" i="20" s="1"/>
  <c r="DB101" i="20"/>
  <c r="DC101" i="20"/>
  <c r="DD101" i="20"/>
  <c r="DB89" i="20"/>
  <c r="DA101" i="20"/>
  <c r="DD89" i="20"/>
  <c r="DA89" i="20"/>
  <c r="DC89" i="20"/>
  <c r="DF85" i="20"/>
  <c r="DF86" i="20" s="1"/>
  <c r="DA86" i="20"/>
  <c r="DF130" i="20" l="1"/>
  <c r="DF49" i="20"/>
  <c r="DF101" i="20"/>
  <c r="DF89" i="20"/>
  <c r="AF42" i="26" l="1"/>
  <c r="AI51" i="24" l="1"/>
  <c r="AI52" i="15"/>
  <c r="AI52" i="3"/>
  <c r="AI52" i="19"/>
  <c r="AI51" i="14"/>
  <c r="M52" i="15"/>
  <c r="M52" i="7"/>
  <c r="M52" i="3"/>
  <c r="M52" i="14"/>
  <c r="AI7" i="19"/>
  <c r="AI8" i="19"/>
  <c r="AI9" i="19"/>
  <c r="AI10" i="19"/>
  <c r="AI11" i="19"/>
  <c r="AI12" i="19"/>
  <c r="AI13" i="19"/>
  <c r="AI14" i="19"/>
  <c r="AI15" i="19"/>
  <c r="AI16" i="19"/>
  <c r="AI17" i="19"/>
  <c r="AI18" i="19"/>
  <c r="AI19" i="19"/>
  <c r="AI20" i="19"/>
  <c r="AI21" i="19"/>
  <c r="AI22" i="19"/>
  <c r="AI23" i="19"/>
  <c r="AI24" i="19"/>
  <c r="AI25" i="19"/>
  <c r="AI26" i="19"/>
  <c r="AI27" i="19"/>
  <c r="AI28" i="19"/>
  <c r="AI29" i="19"/>
  <c r="AI30" i="19"/>
  <c r="AI31" i="19"/>
  <c r="AI32" i="19"/>
  <c r="AI33" i="19"/>
  <c r="AI34" i="19"/>
  <c r="AI35" i="19"/>
  <c r="AI36" i="19"/>
  <c r="AI37" i="19"/>
  <c r="AI38" i="19"/>
  <c r="AI39" i="19"/>
  <c r="AI40" i="19"/>
  <c r="AI41" i="19"/>
  <c r="AI42" i="19"/>
  <c r="AI43" i="19"/>
  <c r="AI44" i="19"/>
  <c r="AI45" i="19"/>
  <c r="AI46" i="19"/>
  <c r="AI47" i="19"/>
  <c r="AI48" i="19"/>
  <c r="AI49" i="19"/>
  <c r="AI50" i="19"/>
  <c r="AI51" i="19"/>
  <c r="AI53" i="19"/>
  <c r="AI54" i="19"/>
  <c r="AI55" i="19"/>
  <c r="AI56" i="19"/>
  <c r="AI57" i="19"/>
  <c r="AI58" i="19"/>
  <c r="AI59" i="19"/>
  <c r="AI60" i="19"/>
  <c r="AI61" i="19"/>
  <c r="AI62" i="19"/>
  <c r="AI63" i="19"/>
  <c r="AI64" i="19"/>
  <c r="AI65" i="19"/>
  <c r="AI66" i="19"/>
  <c r="AI67" i="19"/>
  <c r="AI68" i="19"/>
  <c r="AI69" i="19"/>
  <c r="AI70" i="19"/>
  <c r="AI71" i="19"/>
  <c r="AI72" i="19"/>
  <c r="AI73" i="19"/>
  <c r="AI74" i="19"/>
  <c r="AI75" i="19"/>
  <c r="AI76" i="19"/>
  <c r="AI77" i="19"/>
  <c r="AI78" i="19"/>
  <c r="AI79" i="19"/>
  <c r="AI80" i="19"/>
  <c r="AI81" i="19"/>
  <c r="AI82" i="19"/>
  <c r="AI83" i="19"/>
  <c r="AI84" i="19"/>
  <c r="AI85" i="19"/>
  <c r="AI86" i="19"/>
  <c r="AI87" i="19"/>
  <c r="AI88" i="19"/>
  <c r="AI89" i="19"/>
  <c r="AI90" i="19"/>
  <c r="AI91" i="19"/>
  <c r="AI92" i="19"/>
  <c r="AI93" i="19"/>
  <c r="AI94" i="19"/>
  <c r="AI95" i="19"/>
  <c r="AI96" i="19"/>
  <c r="AI97" i="19"/>
  <c r="AI98" i="19"/>
  <c r="AI99" i="19"/>
  <c r="AI100" i="19"/>
  <c r="AI101" i="19"/>
  <c r="AI102" i="19"/>
  <c r="AI103" i="19"/>
  <c r="AI104" i="19"/>
  <c r="AI105" i="19"/>
  <c r="AI106" i="19"/>
  <c r="AI107" i="19"/>
  <c r="AI108" i="19"/>
  <c r="AI109" i="19"/>
  <c r="AI110" i="19"/>
  <c r="AI111" i="19"/>
  <c r="AI112" i="19"/>
  <c r="AI113" i="19"/>
  <c r="AI114" i="19"/>
  <c r="AI115" i="19"/>
  <c r="AI116" i="19"/>
  <c r="AI117" i="19"/>
  <c r="AI118" i="19"/>
  <c r="AI119" i="19"/>
  <c r="AI120" i="19"/>
  <c r="AI121" i="19"/>
  <c r="AI122" i="19"/>
  <c r="AI123" i="19"/>
  <c r="AI124" i="19"/>
  <c r="AI125" i="19"/>
  <c r="AI126" i="19"/>
  <c r="AI127" i="19"/>
  <c r="AI128" i="19"/>
  <c r="AI129" i="19"/>
  <c r="AI130" i="19"/>
  <c r="AI131" i="19"/>
  <c r="AI132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AI7" i="15"/>
  <c r="AI8" i="15"/>
  <c r="AI9" i="15"/>
  <c r="AI10" i="15"/>
  <c r="AI11" i="15"/>
  <c r="AI12" i="15"/>
  <c r="AI13" i="15"/>
  <c r="AI14" i="15"/>
  <c r="AI15" i="15"/>
  <c r="AI16" i="15"/>
  <c r="AI17" i="15"/>
  <c r="AI18" i="15"/>
  <c r="AI19" i="15"/>
  <c r="AI20" i="15"/>
  <c r="AI21" i="15"/>
  <c r="AI22" i="15"/>
  <c r="AI23" i="15"/>
  <c r="AI24" i="15"/>
  <c r="AI25" i="15"/>
  <c r="AI26" i="15"/>
  <c r="AI27" i="15"/>
  <c r="AI28" i="15"/>
  <c r="AI29" i="15"/>
  <c r="AI30" i="15"/>
  <c r="AI31" i="15"/>
  <c r="AI32" i="15"/>
  <c r="AI33" i="15"/>
  <c r="AI34" i="15"/>
  <c r="AI35" i="15"/>
  <c r="AI36" i="15"/>
  <c r="AI37" i="15"/>
  <c r="AI38" i="15"/>
  <c r="AI39" i="15"/>
  <c r="AI40" i="15"/>
  <c r="AI41" i="15"/>
  <c r="AI42" i="15"/>
  <c r="AI43" i="15"/>
  <c r="AI44" i="15"/>
  <c r="AI45" i="15"/>
  <c r="AI46" i="15"/>
  <c r="AI47" i="15"/>
  <c r="AI48" i="15"/>
  <c r="AI49" i="15"/>
  <c r="AI50" i="15"/>
  <c r="AI51" i="15"/>
  <c r="AI53" i="15"/>
  <c r="AI54" i="15"/>
  <c r="AI55" i="15"/>
  <c r="AI56" i="15"/>
  <c r="AI57" i="15"/>
  <c r="AI58" i="15"/>
  <c r="AI59" i="15"/>
  <c r="AI60" i="15"/>
  <c r="AI61" i="15"/>
  <c r="AI62" i="15"/>
  <c r="AI63" i="15"/>
  <c r="AI64" i="15"/>
  <c r="AI65" i="15"/>
  <c r="AI66" i="15"/>
  <c r="AI67" i="15"/>
  <c r="AI68" i="15"/>
  <c r="AI69" i="15"/>
  <c r="AI70" i="15"/>
  <c r="AI71" i="15"/>
  <c r="AI72" i="15"/>
  <c r="AI73" i="15"/>
  <c r="AI74" i="15"/>
  <c r="AI75" i="15"/>
  <c r="AI76" i="15"/>
  <c r="AI77" i="15"/>
  <c r="AI78" i="15"/>
  <c r="AI79" i="15"/>
  <c r="AI80" i="15"/>
  <c r="AI81" i="15"/>
  <c r="AI82" i="15"/>
  <c r="AI83" i="15"/>
  <c r="AI84" i="15"/>
  <c r="AI85" i="15"/>
  <c r="AI86" i="15"/>
  <c r="AI87" i="15"/>
  <c r="AI88" i="15"/>
  <c r="AI89" i="15"/>
  <c r="AI90" i="15"/>
  <c r="AI91" i="15"/>
  <c r="AI92" i="15"/>
  <c r="AI93" i="15"/>
  <c r="AI94" i="15"/>
  <c r="AI95" i="15"/>
  <c r="AI96" i="15"/>
  <c r="AI97" i="15"/>
  <c r="AI98" i="15"/>
  <c r="AI99" i="15"/>
  <c r="AI100" i="15"/>
  <c r="AI101" i="15"/>
  <c r="AI102" i="15"/>
  <c r="AI103" i="15"/>
  <c r="AI104" i="15"/>
  <c r="AI105" i="15"/>
  <c r="AI106" i="15"/>
  <c r="AI107" i="15"/>
  <c r="AI108" i="15"/>
  <c r="AI109" i="15"/>
  <c r="AI110" i="15"/>
  <c r="AI111" i="15"/>
  <c r="AI112" i="15"/>
  <c r="AI113" i="15"/>
  <c r="AI114" i="15"/>
  <c r="AI115" i="15"/>
  <c r="AI116" i="15"/>
  <c r="AI117" i="15"/>
  <c r="AI118" i="15"/>
  <c r="AI119" i="15"/>
  <c r="AI120" i="15"/>
  <c r="AI121" i="15"/>
  <c r="AI122" i="15"/>
  <c r="AI123" i="15"/>
  <c r="AI124" i="15"/>
  <c r="AI125" i="15"/>
  <c r="AI126" i="15"/>
  <c r="AI127" i="15"/>
  <c r="AI128" i="15"/>
  <c r="AI129" i="15"/>
  <c r="AI130" i="15"/>
  <c r="AI131" i="15"/>
  <c r="AI132" i="15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AI7" i="14"/>
  <c r="AI8" i="14"/>
  <c r="AI9" i="14"/>
  <c r="AI10" i="14"/>
  <c r="AI11" i="14"/>
  <c r="AI12" i="14"/>
  <c r="AI13" i="14"/>
  <c r="AI14" i="14"/>
  <c r="AI15" i="14"/>
  <c r="AI16" i="14"/>
  <c r="AI17" i="14"/>
  <c r="AI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44" i="14"/>
  <c r="AI45" i="14"/>
  <c r="AI46" i="14"/>
  <c r="AI47" i="14"/>
  <c r="AI48" i="14"/>
  <c r="AI49" i="14"/>
  <c r="AI50" i="14"/>
  <c r="AI52" i="14"/>
  <c r="AI53" i="14"/>
  <c r="AI54" i="14"/>
  <c r="AI55" i="14"/>
  <c r="AI56" i="14"/>
  <c r="AI57" i="14"/>
  <c r="AI58" i="14"/>
  <c r="AI59" i="14"/>
  <c r="AI60" i="14"/>
  <c r="AI61" i="14"/>
  <c r="AI62" i="14"/>
  <c r="AI63" i="14"/>
  <c r="AI64" i="14"/>
  <c r="AI65" i="14"/>
  <c r="AI66" i="14"/>
  <c r="AI67" i="14"/>
  <c r="AI68" i="14"/>
  <c r="AI69" i="14"/>
  <c r="AI70" i="14"/>
  <c r="AI71" i="14"/>
  <c r="AI72" i="14"/>
  <c r="AI73" i="14"/>
  <c r="AI74" i="14"/>
  <c r="AI75" i="14"/>
  <c r="AI76" i="14"/>
  <c r="AI77" i="14"/>
  <c r="AI78" i="14"/>
  <c r="AI79" i="14"/>
  <c r="AI80" i="14"/>
  <c r="AI81" i="14"/>
  <c r="AI82" i="14"/>
  <c r="AI83" i="14"/>
  <c r="AI84" i="14"/>
  <c r="AI85" i="14"/>
  <c r="AI86" i="14"/>
  <c r="AI87" i="14"/>
  <c r="AI88" i="14"/>
  <c r="AI89" i="14"/>
  <c r="AI90" i="14"/>
  <c r="AI91" i="14"/>
  <c r="AI92" i="14"/>
  <c r="AI93" i="14"/>
  <c r="AI94" i="14"/>
  <c r="AI95" i="14"/>
  <c r="AI96" i="14"/>
  <c r="AI97" i="14"/>
  <c r="AI98" i="14"/>
  <c r="AI99" i="14"/>
  <c r="AI100" i="14"/>
  <c r="AI101" i="14"/>
  <c r="AI102" i="14"/>
  <c r="AI103" i="14"/>
  <c r="AI104" i="14"/>
  <c r="AI105" i="14"/>
  <c r="AI106" i="14"/>
  <c r="AI107" i="14"/>
  <c r="AI108" i="14"/>
  <c r="AI109" i="14"/>
  <c r="AI110" i="14"/>
  <c r="AI111" i="14"/>
  <c r="AI112" i="14"/>
  <c r="AI113" i="14"/>
  <c r="AI114" i="14"/>
  <c r="AI115" i="14"/>
  <c r="AI116" i="14"/>
  <c r="AI117" i="14"/>
  <c r="AI118" i="14"/>
  <c r="AI119" i="14"/>
  <c r="AI120" i="14"/>
  <c r="AI121" i="14"/>
  <c r="AI122" i="14"/>
  <c r="AI123" i="14"/>
  <c r="AI124" i="14"/>
  <c r="AI125" i="14"/>
  <c r="AI126" i="14"/>
  <c r="AI127" i="14"/>
  <c r="AI128" i="14"/>
  <c r="AI129" i="14"/>
  <c r="AI130" i="14"/>
  <c r="AI131" i="14"/>
  <c r="AI132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AI132" i="7"/>
  <c r="AI131" i="7"/>
  <c r="AI130" i="7"/>
  <c r="AI129" i="7"/>
  <c r="AI128" i="7"/>
  <c r="AI127" i="7"/>
  <c r="AI126" i="7"/>
  <c r="AI125" i="7"/>
  <c r="AI124" i="7"/>
  <c r="AI123" i="7"/>
  <c r="AI122" i="7"/>
  <c r="AI121" i="7"/>
  <c r="AI120" i="7"/>
  <c r="AI119" i="7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AI132" i="24"/>
  <c r="AI131" i="24"/>
  <c r="AI130" i="24"/>
  <c r="AI129" i="24"/>
  <c r="AI128" i="24"/>
  <c r="AI127" i="24"/>
  <c r="AI126" i="24"/>
  <c r="AI125" i="24"/>
  <c r="AI124" i="24"/>
  <c r="AI123" i="24"/>
  <c r="AI122" i="24"/>
  <c r="AI121" i="24"/>
  <c r="AI120" i="24"/>
  <c r="AI119" i="24"/>
  <c r="AI118" i="24"/>
  <c r="AI117" i="24"/>
  <c r="AI116" i="24"/>
  <c r="AI115" i="24"/>
  <c r="AI114" i="24"/>
  <c r="AI113" i="24"/>
  <c r="AI112" i="24"/>
  <c r="AI111" i="24"/>
  <c r="AI110" i="24"/>
  <c r="AI109" i="24"/>
  <c r="AI108" i="24"/>
  <c r="AI107" i="24"/>
  <c r="AI106" i="24"/>
  <c r="AI105" i="24"/>
  <c r="AI104" i="24"/>
  <c r="AI103" i="24"/>
  <c r="AI102" i="24"/>
  <c r="AI101" i="24"/>
  <c r="AI100" i="24"/>
  <c r="AI99" i="24"/>
  <c r="AI98" i="24"/>
  <c r="AI97" i="24"/>
  <c r="AI96" i="24"/>
  <c r="AI95" i="24"/>
  <c r="AI94" i="24"/>
  <c r="AI93" i="24"/>
  <c r="AI92" i="24"/>
  <c r="AI91" i="24"/>
  <c r="AI90" i="24"/>
  <c r="AI89" i="24"/>
  <c r="AI88" i="24"/>
  <c r="AI87" i="24"/>
  <c r="AI86" i="24"/>
  <c r="AI85" i="24"/>
  <c r="AI84" i="24"/>
  <c r="AI83" i="24"/>
  <c r="AI82" i="24"/>
  <c r="AI81" i="24"/>
  <c r="AI80" i="24"/>
  <c r="AI79" i="24"/>
  <c r="AI78" i="24"/>
  <c r="AI77" i="24"/>
  <c r="AI76" i="24"/>
  <c r="AI75" i="24"/>
  <c r="AI74" i="24"/>
  <c r="AI73" i="24"/>
  <c r="AI72" i="24"/>
  <c r="AI71" i="24"/>
  <c r="AI70" i="24"/>
  <c r="AI69" i="24"/>
  <c r="AI68" i="24"/>
  <c r="AI67" i="24"/>
  <c r="AI66" i="24"/>
  <c r="AI65" i="24"/>
  <c r="AI64" i="24"/>
  <c r="AI63" i="24"/>
  <c r="AI62" i="24"/>
  <c r="AI61" i="24"/>
  <c r="AI60" i="24"/>
  <c r="AI59" i="24"/>
  <c r="AI58" i="24"/>
  <c r="AI57" i="24"/>
  <c r="AI56" i="24"/>
  <c r="AI55" i="24"/>
  <c r="AI54" i="24"/>
  <c r="AI53" i="24"/>
  <c r="AI52" i="24"/>
  <c r="AI50" i="24"/>
  <c r="AI49" i="24"/>
  <c r="AI48" i="24"/>
  <c r="AI47" i="24"/>
  <c r="AI46" i="24"/>
  <c r="AI45" i="24"/>
  <c r="AI44" i="24"/>
  <c r="AI43" i="24"/>
  <c r="AI42" i="24"/>
  <c r="AI41" i="24"/>
  <c r="AI40" i="24"/>
  <c r="AI39" i="24"/>
  <c r="AI38" i="24"/>
  <c r="AI37" i="24"/>
  <c r="AI36" i="24"/>
  <c r="AI35" i="24"/>
  <c r="AI34" i="24"/>
  <c r="AI33" i="24"/>
  <c r="AI32" i="24"/>
  <c r="AI31" i="24"/>
  <c r="AI30" i="24"/>
  <c r="AI29" i="24"/>
  <c r="AI28" i="24"/>
  <c r="AI27" i="24"/>
  <c r="AI26" i="24"/>
  <c r="AI25" i="24"/>
  <c r="AI24" i="24"/>
  <c r="AI23" i="24"/>
  <c r="AI22" i="24"/>
  <c r="AI21" i="24"/>
  <c r="AI20" i="24"/>
  <c r="AI19" i="24"/>
  <c r="AI18" i="24"/>
  <c r="AI17" i="24"/>
  <c r="AI16" i="24"/>
  <c r="AI15" i="24"/>
  <c r="AI14" i="24"/>
  <c r="AI13" i="24"/>
  <c r="AI12" i="24"/>
  <c r="AI11" i="24"/>
  <c r="AI10" i="24"/>
  <c r="AI9" i="24"/>
  <c r="AI8" i="24"/>
  <c r="AI7" i="24"/>
  <c r="V7" i="17"/>
  <c r="W7" i="17"/>
  <c r="AE7" i="17"/>
  <c r="U7" i="17"/>
  <c r="R7" i="17"/>
  <c r="S7" i="17"/>
  <c r="T7" i="17"/>
  <c r="X7" i="17"/>
  <c r="Z7" i="17"/>
  <c r="AA7" i="17"/>
  <c r="AB7" i="17"/>
  <c r="AC7" i="17"/>
  <c r="AD7" i="17"/>
  <c r="M52" i="19" l="1"/>
  <c r="I4" i="17" l="1"/>
  <c r="M51" i="14"/>
  <c r="M51" i="19"/>
  <c r="H4" i="17"/>
  <c r="M51" i="3"/>
  <c r="G4" i="17"/>
  <c r="M51" i="7"/>
  <c r="F4" i="17"/>
  <c r="M51" i="24"/>
  <c r="E4" i="17"/>
  <c r="M51" i="15"/>
  <c r="D4" i="17"/>
  <c r="AX161" i="12" l="1"/>
  <c r="AW161" i="12"/>
  <c r="AV161" i="12"/>
  <c r="AX160" i="12"/>
  <c r="AW160" i="12"/>
  <c r="AV160" i="12"/>
  <c r="AX159" i="12"/>
  <c r="AW159" i="12"/>
  <c r="AV159" i="12"/>
  <c r="AX156" i="12"/>
  <c r="AW156" i="12"/>
  <c r="AV156" i="12"/>
  <c r="AX155" i="12"/>
  <c r="AW155" i="12"/>
  <c r="AV155" i="12"/>
  <c r="AX154" i="12"/>
  <c r="AW154" i="12"/>
  <c r="AV154" i="12"/>
  <c r="AX153" i="12"/>
  <c r="AW153" i="12"/>
  <c r="AV153" i="12"/>
  <c r="AX152" i="12"/>
  <c r="AW152" i="12"/>
  <c r="AV152" i="12"/>
  <c r="AX151" i="12"/>
  <c r="AW151" i="12"/>
  <c r="AV151" i="12"/>
  <c r="AY161" i="7"/>
  <c r="AY160" i="7"/>
  <c r="AY159" i="7"/>
  <c r="AY157" i="7"/>
  <c r="AY156" i="7"/>
  <c r="AY155" i="7"/>
  <c r="AY154" i="7"/>
  <c r="AY153" i="7"/>
  <c r="AY152" i="7"/>
  <c r="AY151" i="7"/>
  <c r="BA161" i="7"/>
  <c r="AZ161" i="7"/>
  <c r="BA160" i="7"/>
  <c r="AZ160" i="7"/>
  <c r="BA159" i="7"/>
  <c r="AZ159" i="7"/>
  <c r="BA158" i="7"/>
  <c r="AZ158" i="7"/>
  <c r="AY158" i="7"/>
  <c r="BA157" i="7"/>
  <c r="AZ157" i="7"/>
  <c r="BA156" i="7"/>
  <c r="AZ156" i="7"/>
  <c r="BA155" i="7"/>
  <c r="AZ155" i="7"/>
  <c r="BA154" i="7"/>
  <c r="AZ154" i="7"/>
  <c r="BA153" i="7"/>
  <c r="AZ153" i="7"/>
  <c r="BA152" i="7"/>
  <c r="AZ152" i="7"/>
  <c r="BA151" i="7"/>
  <c r="AZ151" i="7"/>
  <c r="BA146" i="15" l="1"/>
  <c r="BA145" i="15"/>
  <c r="BA144" i="15"/>
  <c r="BA140" i="15"/>
  <c r="BA139" i="15"/>
  <c r="BA138" i="15"/>
  <c r="BA137" i="15"/>
  <c r="BA136" i="15"/>
  <c r="AY146" i="15"/>
  <c r="AY145" i="15"/>
  <c r="AY144" i="15"/>
  <c r="AY140" i="15"/>
  <c r="AY139" i="15"/>
  <c r="AY138" i="15"/>
  <c r="AY137" i="15"/>
  <c r="AZ146" i="15"/>
  <c r="AZ145" i="15"/>
  <c r="AZ144" i="15"/>
  <c r="AZ140" i="15"/>
  <c r="AZ139" i="15"/>
  <c r="AZ138" i="15"/>
  <c r="AZ137" i="15"/>
  <c r="AZ136" i="15"/>
  <c r="AY136" i="15"/>
  <c r="BO3" i="6" l="1"/>
  <c r="BO4" i="6"/>
  <c r="BO5" i="6"/>
  <c r="BO6" i="6"/>
  <c r="BO7" i="6"/>
  <c r="BO8" i="6"/>
  <c r="BO9" i="6"/>
  <c r="BO10" i="6"/>
  <c r="BO11" i="6"/>
  <c r="BO12" i="6"/>
  <c r="BO13" i="6"/>
  <c r="BO14" i="6"/>
  <c r="BO15" i="6"/>
  <c r="BO16" i="6"/>
  <c r="BO17" i="6"/>
  <c r="BO18" i="6"/>
  <c r="BO19" i="6"/>
  <c r="BO20" i="6"/>
  <c r="BO21" i="6"/>
  <c r="BO22" i="6"/>
  <c r="BO23" i="6"/>
  <c r="BO24" i="6"/>
  <c r="BO25" i="6"/>
  <c r="BO26" i="6"/>
  <c r="BO27" i="6"/>
  <c r="BO28" i="6"/>
  <c r="BO29" i="6"/>
  <c r="BO30" i="6"/>
  <c r="BO31" i="6"/>
  <c r="BO32" i="6"/>
  <c r="BO33" i="6"/>
  <c r="BO34" i="6"/>
  <c r="BO35" i="6"/>
  <c r="BO36" i="6"/>
  <c r="BO37" i="6"/>
  <c r="BO38" i="6"/>
  <c r="BO39" i="6"/>
  <c r="BO40" i="6"/>
  <c r="BO41" i="6"/>
  <c r="BO42" i="6"/>
  <c r="BO43" i="6"/>
  <c r="BO44" i="6"/>
  <c r="BO45" i="6"/>
  <c r="BO46" i="6"/>
  <c r="BO47" i="6"/>
  <c r="BO48" i="6"/>
  <c r="BO49" i="6"/>
  <c r="BO50" i="6"/>
  <c r="BO51" i="6"/>
  <c r="BO52" i="6"/>
  <c r="BO53" i="6"/>
  <c r="BO54" i="6"/>
  <c r="BO55" i="6"/>
  <c r="BO56" i="6"/>
  <c r="BO57" i="6"/>
  <c r="BO58" i="6"/>
  <c r="BO59" i="6"/>
  <c r="BO60" i="6"/>
  <c r="BO61" i="6"/>
  <c r="BO62" i="6"/>
  <c r="BO63" i="6"/>
  <c r="BO64" i="6"/>
  <c r="BO65" i="6"/>
  <c r="BO66" i="6"/>
  <c r="BO67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O82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O97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O112" i="6"/>
  <c r="BO113" i="6"/>
  <c r="BO114" i="6"/>
  <c r="BO115" i="6"/>
  <c r="BO116" i="6"/>
  <c r="BO117" i="6"/>
  <c r="BO118" i="6"/>
  <c r="BO119" i="6"/>
  <c r="BO120" i="6"/>
  <c r="BO121" i="6"/>
  <c r="BO122" i="6"/>
  <c r="BO123" i="6"/>
  <c r="BO124" i="6"/>
  <c r="BO125" i="6"/>
  <c r="BO126" i="6"/>
  <c r="BO127" i="6"/>
  <c r="BA3" i="3" l="1"/>
  <c r="BA7" i="3" s="1"/>
  <c r="BA3" i="14"/>
  <c r="BA7" i="14" s="1"/>
  <c r="BA3" i="15"/>
  <c r="BA7" i="15" s="1"/>
  <c r="BA3" i="19"/>
  <c r="BA7" i="19" s="1"/>
  <c r="BA3" i="20"/>
  <c r="AZ130" i="20" s="1"/>
  <c r="AW3" i="21"/>
  <c r="BA3" i="7"/>
  <c r="AZ119" i="3"/>
  <c r="AZ103" i="3"/>
  <c r="AZ51" i="3"/>
  <c r="AY40" i="3"/>
  <c r="AZ19" i="3"/>
  <c r="AZ12" i="3"/>
  <c r="AY130" i="14"/>
  <c r="AY128" i="14"/>
  <c r="AZ123" i="14"/>
  <c r="AY122" i="14"/>
  <c r="AZ116" i="14"/>
  <c r="AZ115" i="14"/>
  <c r="AY111" i="14"/>
  <c r="AZ108" i="14"/>
  <c r="AY104" i="14"/>
  <c r="AY103" i="14"/>
  <c r="AY98" i="14"/>
  <c r="AY96" i="14"/>
  <c r="AZ91" i="14"/>
  <c r="AY90" i="14"/>
  <c r="AZ84" i="14"/>
  <c r="AZ83" i="14"/>
  <c r="AY79" i="14"/>
  <c r="AZ76" i="14"/>
  <c r="AY72" i="14"/>
  <c r="AY71" i="14"/>
  <c r="AY66" i="14"/>
  <c r="AY64" i="14"/>
  <c r="AZ59" i="14"/>
  <c r="AY58" i="14"/>
  <c r="AZ52" i="14"/>
  <c r="AZ51" i="14"/>
  <c r="AY47" i="14"/>
  <c r="AZ44" i="14"/>
  <c r="AY40" i="14"/>
  <c r="AY39" i="14"/>
  <c r="AY34" i="14"/>
  <c r="AY32" i="14"/>
  <c r="AZ27" i="14"/>
  <c r="AY26" i="14"/>
  <c r="AZ21" i="14"/>
  <c r="AZ20" i="14"/>
  <c r="AZ17" i="14"/>
  <c r="AZ16" i="14"/>
  <c r="AZ13" i="14"/>
  <c r="AZ12" i="14"/>
  <c r="AZ9" i="14"/>
  <c r="AZ8" i="14"/>
  <c r="AY131" i="15"/>
  <c r="AY127" i="15"/>
  <c r="AY123" i="15"/>
  <c r="AY119" i="15"/>
  <c r="AY115" i="15"/>
  <c r="AY111" i="15"/>
  <c r="AY107" i="15"/>
  <c r="AY103" i="15"/>
  <c r="AY99" i="15"/>
  <c r="AY95" i="15"/>
  <c r="AY91" i="15"/>
  <c r="AY87" i="15"/>
  <c r="AY83" i="15"/>
  <c r="AY79" i="15"/>
  <c r="AY75" i="15"/>
  <c r="AY71" i="15"/>
  <c r="AY67" i="15"/>
  <c r="AY63" i="15"/>
  <c r="AY59" i="15"/>
  <c r="AY55" i="15"/>
  <c r="AY51" i="15"/>
  <c r="AY47" i="15"/>
  <c r="AY44" i="15"/>
  <c r="AY43" i="15"/>
  <c r="AY40" i="15"/>
  <c r="AY39" i="15"/>
  <c r="AY36" i="15"/>
  <c r="AY35" i="15"/>
  <c r="AY32" i="15"/>
  <c r="AY31" i="15"/>
  <c r="AY28" i="15"/>
  <c r="AY27" i="15"/>
  <c r="AY24" i="15"/>
  <c r="AY23" i="15"/>
  <c r="AY20" i="15"/>
  <c r="AY19" i="15"/>
  <c r="AY16" i="15"/>
  <c r="AY15" i="15"/>
  <c r="AY12" i="15"/>
  <c r="AY11" i="15"/>
  <c r="AY8" i="15"/>
  <c r="AY7" i="15"/>
  <c r="AZ132" i="19"/>
  <c r="AY132" i="19"/>
  <c r="AZ131" i="19"/>
  <c r="AY131" i="19"/>
  <c r="AZ130" i="19"/>
  <c r="AY130" i="19"/>
  <c r="AZ129" i="19"/>
  <c r="AY129" i="19"/>
  <c r="AZ128" i="19"/>
  <c r="AY128" i="19"/>
  <c r="AZ127" i="19"/>
  <c r="AY127" i="19"/>
  <c r="AZ126" i="19"/>
  <c r="AY126" i="19"/>
  <c r="AZ125" i="19"/>
  <c r="AY125" i="19"/>
  <c r="AZ124" i="19"/>
  <c r="AY124" i="19"/>
  <c r="AZ123" i="19"/>
  <c r="AY123" i="19"/>
  <c r="AZ122" i="19"/>
  <c r="AY122" i="19"/>
  <c r="AZ121" i="19"/>
  <c r="AY121" i="19"/>
  <c r="AZ120" i="19"/>
  <c r="AY120" i="19"/>
  <c r="AZ119" i="19"/>
  <c r="AY119" i="19"/>
  <c r="AZ118" i="19"/>
  <c r="AY118" i="19"/>
  <c r="AZ117" i="19"/>
  <c r="AY117" i="19"/>
  <c r="AZ116" i="19"/>
  <c r="AY116" i="19"/>
  <c r="AZ115" i="19"/>
  <c r="AY115" i="19"/>
  <c r="AZ114" i="19"/>
  <c r="AY114" i="19"/>
  <c r="AZ113" i="19"/>
  <c r="AY113" i="19"/>
  <c r="AZ112" i="19"/>
  <c r="AY112" i="19"/>
  <c r="AZ111" i="19"/>
  <c r="AY111" i="19"/>
  <c r="AZ110" i="19"/>
  <c r="AY110" i="19"/>
  <c r="AZ109" i="19"/>
  <c r="AY109" i="19"/>
  <c r="AZ108" i="19"/>
  <c r="AY108" i="19"/>
  <c r="AZ107" i="19"/>
  <c r="AY107" i="19"/>
  <c r="AZ106" i="19"/>
  <c r="AY106" i="19"/>
  <c r="AZ105" i="19"/>
  <c r="AY105" i="19"/>
  <c r="AZ104" i="19"/>
  <c r="AY104" i="19"/>
  <c r="AZ103" i="19"/>
  <c r="AY103" i="19"/>
  <c r="AZ102" i="19"/>
  <c r="AY102" i="19"/>
  <c r="AZ101" i="19"/>
  <c r="AY101" i="19"/>
  <c r="AZ100" i="19"/>
  <c r="AY100" i="19"/>
  <c r="AZ99" i="19"/>
  <c r="AY99" i="19"/>
  <c r="AZ98" i="19"/>
  <c r="AY98" i="19"/>
  <c r="AZ97" i="19"/>
  <c r="AY97" i="19"/>
  <c r="AZ96" i="19"/>
  <c r="AY96" i="19"/>
  <c r="AZ95" i="19"/>
  <c r="AY95" i="19"/>
  <c r="AZ94" i="19"/>
  <c r="AY94" i="19"/>
  <c r="AZ93" i="19"/>
  <c r="AY93" i="19"/>
  <c r="AZ92" i="19"/>
  <c r="AY92" i="19"/>
  <c r="AZ91" i="19"/>
  <c r="AY91" i="19"/>
  <c r="AZ90" i="19"/>
  <c r="AY90" i="19"/>
  <c r="AZ89" i="19"/>
  <c r="AY89" i="19"/>
  <c r="AZ88" i="19"/>
  <c r="AY88" i="19"/>
  <c r="AZ87" i="19"/>
  <c r="AY87" i="19"/>
  <c r="AZ86" i="19"/>
  <c r="AY86" i="19"/>
  <c r="AZ85" i="19"/>
  <c r="AY85" i="19"/>
  <c r="AZ84" i="19"/>
  <c r="AY84" i="19"/>
  <c r="AZ83" i="19"/>
  <c r="AY83" i="19"/>
  <c r="AZ82" i="19"/>
  <c r="AY82" i="19"/>
  <c r="AZ81" i="19"/>
  <c r="AY81" i="19"/>
  <c r="AZ80" i="19"/>
  <c r="AY80" i="19"/>
  <c r="AZ79" i="19"/>
  <c r="AY79" i="19"/>
  <c r="AZ78" i="19"/>
  <c r="AY78" i="19"/>
  <c r="AZ77" i="19"/>
  <c r="AY77" i="19"/>
  <c r="AZ76" i="19"/>
  <c r="AY76" i="19"/>
  <c r="AZ75" i="19"/>
  <c r="AY75" i="19"/>
  <c r="AZ74" i="19"/>
  <c r="AY74" i="19"/>
  <c r="AZ73" i="19"/>
  <c r="AY73" i="19"/>
  <c r="AZ72" i="19"/>
  <c r="AY72" i="19"/>
  <c r="AZ71" i="19"/>
  <c r="AY71" i="19"/>
  <c r="AZ70" i="19"/>
  <c r="AY70" i="19"/>
  <c r="AZ69" i="19"/>
  <c r="AY69" i="19"/>
  <c r="AZ68" i="19"/>
  <c r="AY68" i="19"/>
  <c r="AZ67" i="19"/>
  <c r="AY67" i="19"/>
  <c r="AZ66" i="19"/>
  <c r="AY66" i="19"/>
  <c r="AZ65" i="19"/>
  <c r="AY65" i="19"/>
  <c r="AZ64" i="19"/>
  <c r="AY64" i="19"/>
  <c r="AZ63" i="19"/>
  <c r="AY63" i="19"/>
  <c r="AZ62" i="19"/>
  <c r="AY62" i="19"/>
  <c r="AZ61" i="19"/>
  <c r="AY61" i="19"/>
  <c r="AZ60" i="19"/>
  <c r="AY60" i="19"/>
  <c r="AZ59" i="19"/>
  <c r="AY59" i="19"/>
  <c r="AZ58" i="19"/>
  <c r="AY58" i="19"/>
  <c r="AZ57" i="19"/>
  <c r="AY57" i="19"/>
  <c r="AZ56" i="19"/>
  <c r="AY56" i="19"/>
  <c r="AZ55" i="19"/>
  <c r="AY55" i="19"/>
  <c r="AZ54" i="19"/>
  <c r="AY54" i="19"/>
  <c r="AZ53" i="19"/>
  <c r="AY53" i="19"/>
  <c r="AZ52" i="19"/>
  <c r="AY52" i="19"/>
  <c r="AZ51" i="19"/>
  <c r="AY51" i="19"/>
  <c r="AZ50" i="19"/>
  <c r="AY50" i="19"/>
  <c r="AZ49" i="19"/>
  <c r="AY49" i="19"/>
  <c r="AZ48" i="19"/>
  <c r="AY48" i="19"/>
  <c r="AZ47" i="19"/>
  <c r="AY47" i="19"/>
  <c r="AZ46" i="19"/>
  <c r="AY46" i="19"/>
  <c r="AZ45" i="19"/>
  <c r="AY45" i="19"/>
  <c r="AZ44" i="19"/>
  <c r="AY44" i="19"/>
  <c r="AZ43" i="19"/>
  <c r="AY43" i="19"/>
  <c r="AZ42" i="19"/>
  <c r="AY42" i="19"/>
  <c r="AZ41" i="19"/>
  <c r="AY41" i="19"/>
  <c r="AZ40" i="19"/>
  <c r="AY40" i="19"/>
  <c r="AZ39" i="19"/>
  <c r="AY39" i="19"/>
  <c r="AZ38" i="19"/>
  <c r="AY38" i="19"/>
  <c r="AZ37" i="19"/>
  <c r="AY37" i="19"/>
  <c r="AZ36" i="19"/>
  <c r="AY36" i="19"/>
  <c r="AZ35" i="19"/>
  <c r="AY35" i="19"/>
  <c r="AZ34" i="19"/>
  <c r="AY34" i="19"/>
  <c r="AZ33" i="19"/>
  <c r="AY33" i="19"/>
  <c r="AZ32" i="19"/>
  <c r="AY32" i="19"/>
  <c r="AZ31" i="19"/>
  <c r="AY31" i="19"/>
  <c r="AZ30" i="19"/>
  <c r="AY30" i="19"/>
  <c r="AZ29" i="19"/>
  <c r="AY29" i="19"/>
  <c r="AZ28" i="19"/>
  <c r="AY28" i="19"/>
  <c r="AZ27" i="19"/>
  <c r="AY27" i="19"/>
  <c r="AZ26" i="19"/>
  <c r="AY26" i="19"/>
  <c r="AZ25" i="19"/>
  <c r="AY25" i="19"/>
  <c r="AZ24" i="19"/>
  <c r="AY24" i="19"/>
  <c r="AZ23" i="19"/>
  <c r="AY23" i="19"/>
  <c r="AZ22" i="19"/>
  <c r="AY22" i="19"/>
  <c r="AZ21" i="19"/>
  <c r="AY21" i="19"/>
  <c r="AZ20" i="19"/>
  <c r="AY20" i="19"/>
  <c r="AZ19" i="19"/>
  <c r="AY19" i="19"/>
  <c r="AZ18" i="19"/>
  <c r="AY18" i="19"/>
  <c r="AZ17" i="19"/>
  <c r="AY17" i="19"/>
  <c r="AZ16" i="19"/>
  <c r="AY16" i="19"/>
  <c r="AZ15" i="19"/>
  <c r="AY15" i="19"/>
  <c r="AZ14" i="19"/>
  <c r="AY14" i="19"/>
  <c r="AZ13" i="19"/>
  <c r="AY13" i="19"/>
  <c r="AZ12" i="19"/>
  <c r="AY12" i="19"/>
  <c r="AZ11" i="19"/>
  <c r="AY11" i="19"/>
  <c r="AZ10" i="19"/>
  <c r="AY10" i="19"/>
  <c r="AZ9" i="19"/>
  <c r="AY9" i="19"/>
  <c r="AZ8" i="19"/>
  <c r="AY8" i="19"/>
  <c r="AZ7" i="19"/>
  <c r="AY7" i="19"/>
  <c r="AY130" i="20"/>
  <c r="AY128" i="20"/>
  <c r="AY125" i="20"/>
  <c r="AY123" i="20"/>
  <c r="AZ119" i="20"/>
  <c r="AZ117" i="20"/>
  <c r="AY114" i="20"/>
  <c r="AY112" i="20"/>
  <c r="AY109" i="20"/>
  <c r="AY107" i="20"/>
  <c r="AZ103" i="20"/>
  <c r="AZ101" i="20"/>
  <c r="AY98" i="20"/>
  <c r="AY96" i="20"/>
  <c r="AY93" i="20"/>
  <c r="AY91" i="20"/>
  <c r="AZ87" i="20"/>
  <c r="AZ85" i="20"/>
  <c r="AY82" i="20"/>
  <c r="AY80" i="20"/>
  <c r="AY77" i="20"/>
  <c r="AY75" i="20"/>
  <c r="AZ71" i="20"/>
  <c r="AZ69" i="20"/>
  <c r="AY66" i="20"/>
  <c r="AY64" i="20"/>
  <c r="AY61" i="20"/>
  <c r="AY59" i="20"/>
  <c r="AZ55" i="20"/>
  <c r="AZ53" i="20"/>
  <c r="AY50" i="20"/>
  <c r="AY48" i="20"/>
  <c r="AY45" i="20"/>
  <c r="AY43" i="20"/>
  <c r="AZ39" i="20"/>
  <c r="AZ37" i="20"/>
  <c r="AY34" i="20"/>
  <c r="AY32" i="20"/>
  <c r="AY29" i="20"/>
  <c r="AY27" i="20"/>
  <c r="AZ23" i="20"/>
  <c r="AZ21" i="20"/>
  <c r="AY18" i="20"/>
  <c r="AY16" i="20"/>
  <c r="AY13" i="20"/>
  <c r="AY11" i="20"/>
  <c r="AY8" i="20"/>
  <c r="AV132" i="21"/>
  <c r="AU132" i="21"/>
  <c r="AV131" i="21"/>
  <c r="AU131" i="21"/>
  <c r="AV130" i="21"/>
  <c r="AU130" i="21"/>
  <c r="AV129" i="21"/>
  <c r="AU129" i="21"/>
  <c r="AV128" i="21"/>
  <c r="AU128" i="21"/>
  <c r="AV127" i="21"/>
  <c r="AU127" i="21"/>
  <c r="AV126" i="21"/>
  <c r="AU126" i="21"/>
  <c r="AV125" i="21"/>
  <c r="AU125" i="21"/>
  <c r="AV124" i="21"/>
  <c r="AU124" i="21"/>
  <c r="AV123" i="21"/>
  <c r="AU123" i="21"/>
  <c r="AV122" i="21"/>
  <c r="AU122" i="21"/>
  <c r="AV121" i="21"/>
  <c r="AU121" i="21"/>
  <c r="AV120" i="21"/>
  <c r="AU120" i="21"/>
  <c r="AV119" i="21"/>
  <c r="AU119" i="21"/>
  <c r="AV118" i="21"/>
  <c r="AU118" i="21"/>
  <c r="AV117" i="21"/>
  <c r="AU117" i="21"/>
  <c r="AV116" i="21"/>
  <c r="AU116" i="21"/>
  <c r="AV115" i="21"/>
  <c r="AU115" i="21"/>
  <c r="AV114" i="21"/>
  <c r="AU114" i="21"/>
  <c r="AV113" i="21"/>
  <c r="AU113" i="21"/>
  <c r="AV112" i="21"/>
  <c r="AU112" i="21"/>
  <c r="AV111" i="21"/>
  <c r="AU111" i="21"/>
  <c r="AV110" i="21"/>
  <c r="AU110" i="21"/>
  <c r="AV109" i="21"/>
  <c r="AU109" i="21"/>
  <c r="AV108" i="21"/>
  <c r="AU108" i="21"/>
  <c r="AV107" i="21"/>
  <c r="AU107" i="21"/>
  <c r="AV106" i="21"/>
  <c r="AU106" i="21"/>
  <c r="AV105" i="21"/>
  <c r="AU105" i="21"/>
  <c r="AV104" i="21"/>
  <c r="AU104" i="21"/>
  <c r="AV103" i="21"/>
  <c r="AU103" i="21"/>
  <c r="AV102" i="21"/>
  <c r="AU102" i="21"/>
  <c r="AV101" i="21"/>
  <c r="AU101" i="21"/>
  <c r="AV100" i="21"/>
  <c r="AU100" i="21"/>
  <c r="AV99" i="21"/>
  <c r="AU99" i="21"/>
  <c r="AV98" i="21"/>
  <c r="AU98" i="21"/>
  <c r="AV97" i="21"/>
  <c r="AU97" i="21"/>
  <c r="AV96" i="21"/>
  <c r="AU96" i="21"/>
  <c r="AV95" i="21"/>
  <c r="AU95" i="21"/>
  <c r="AV94" i="21"/>
  <c r="AU94" i="21"/>
  <c r="AV93" i="21"/>
  <c r="AU93" i="21"/>
  <c r="AV92" i="21"/>
  <c r="AU92" i="21"/>
  <c r="AV91" i="21"/>
  <c r="AU91" i="21"/>
  <c r="AV90" i="21"/>
  <c r="AU90" i="21"/>
  <c r="AV89" i="21"/>
  <c r="AU89" i="21"/>
  <c r="AV88" i="21"/>
  <c r="AU88" i="21"/>
  <c r="AV87" i="21"/>
  <c r="AU87" i="21"/>
  <c r="AV86" i="21"/>
  <c r="AU86" i="21"/>
  <c r="AV85" i="21"/>
  <c r="AU85" i="21"/>
  <c r="AV84" i="21"/>
  <c r="AU84" i="21"/>
  <c r="AV83" i="21"/>
  <c r="AU83" i="21"/>
  <c r="AV82" i="21"/>
  <c r="AU82" i="21"/>
  <c r="AV81" i="21"/>
  <c r="AU81" i="21"/>
  <c r="AV80" i="21"/>
  <c r="AU80" i="21"/>
  <c r="AV79" i="21"/>
  <c r="AU79" i="21"/>
  <c r="AV78" i="21"/>
  <c r="AU78" i="21"/>
  <c r="AV77" i="21"/>
  <c r="AU77" i="21"/>
  <c r="AV76" i="21"/>
  <c r="AU76" i="21"/>
  <c r="AV75" i="21"/>
  <c r="AU75" i="21"/>
  <c r="AV74" i="21"/>
  <c r="AU74" i="21"/>
  <c r="AV73" i="21"/>
  <c r="AU73" i="21"/>
  <c r="AV72" i="21"/>
  <c r="AU72" i="21"/>
  <c r="AV71" i="21"/>
  <c r="AU71" i="21"/>
  <c r="AV70" i="21"/>
  <c r="AU70" i="21"/>
  <c r="AV69" i="21"/>
  <c r="AU69" i="21"/>
  <c r="AV68" i="21"/>
  <c r="AU68" i="21"/>
  <c r="AV67" i="21"/>
  <c r="AU67" i="21"/>
  <c r="AV66" i="21"/>
  <c r="AU66" i="21"/>
  <c r="AV65" i="21"/>
  <c r="AU65" i="21"/>
  <c r="AV64" i="21"/>
  <c r="AU64" i="21"/>
  <c r="AV63" i="21"/>
  <c r="AU63" i="21"/>
  <c r="AV62" i="21"/>
  <c r="AU62" i="21"/>
  <c r="AV61" i="21"/>
  <c r="AU61" i="21"/>
  <c r="AV60" i="21"/>
  <c r="AU60" i="21"/>
  <c r="AV59" i="21"/>
  <c r="AU59" i="21"/>
  <c r="AV58" i="21"/>
  <c r="AU58" i="21"/>
  <c r="AV57" i="21"/>
  <c r="AU57" i="21"/>
  <c r="AV56" i="21"/>
  <c r="AU56" i="21"/>
  <c r="AV55" i="21"/>
  <c r="AU55" i="21"/>
  <c r="AV54" i="21"/>
  <c r="AU54" i="21"/>
  <c r="AV53" i="21"/>
  <c r="AU53" i="21"/>
  <c r="AV52" i="21"/>
  <c r="AU52" i="21"/>
  <c r="AV51" i="21"/>
  <c r="AU51" i="21"/>
  <c r="AV50" i="21"/>
  <c r="AU50" i="21"/>
  <c r="AV49" i="21"/>
  <c r="AU49" i="21"/>
  <c r="AV48" i="21"/>
  <c r="AU48" i="21"/>
  <c r="AV47" i="21"/>
  <c r="AU47" i="21"/>
  <c r="AV46" i="21"/>
  <c r="AU46" i="21"/>
  <c r="AV45" i="21"/>
  <c r="AU45" i="21"/>
  <c r="AV44" i="21"/>
  <c r="AU44" i="21"/>
  <c r="AV43" i="21"/>
  <c r="AU43" i="21"/>
  <c r="AV42" i="21"/>
  <c r="AU42" i="21"/>
  <c r="AV41" i="21"/>
  <c r="AU41" i="21"/>
  <c r="AV40" i="21"/>
  <c r="AU40" i="21"/>
  <c r="AV39" i="21"/>
  <c r="AU39" i="21"/>
  <c r="AV38" i="21"/>
  <c r="AU38" i="21"/>
  <c r="AV37" i="21"/>
  <c r="AU37" i="21"/>
  <c r="AV36" i="21"/>
  <c r="AU36" i="21"/>
  <c r="AV35" i="21"/>
  <c r="AU35" i="21"/>
  <c r="AV34" i="21"/>
  <c r="AU34" i="21"/>
  <c r="AV33" i="21"/>
  <c r="AU33" i="21"/>
  <c r="AV32" i="21"/>
  <c r="AU32" i="21"/>
  <c r="AV31" i="21"/>
  <c r="AU31" i="21"/>
  <c r="AV30" i="21"/>
  <c r="AU30" i="21"/>
  <c r="AV29" i="21"/>
  <c r="AU29" i="21"/>
  <c r="AV28" i="21"/>
  <c r="AU28" i="21"/>
  <c r="AV27" i="21"/>
  <c r="AU27" i="21"/>
  <c r="AV26" i="21"/>
  <c r="AU26" i="21"/>
  <c r="AV25" i="21"/>
  <c r="AU25" i="21"/>
  <c r="AV24" i="21"/>
  <c r="AU24" i="21"/>
  <c r="AV23" i="21"/>
  <c r="AU23" i="21"/>
  <c r="AV22" i="21"/>
  <c r="AU22" i="21"/>
  <c r="AV21" i="21"/>
  <c r="AU21" i="21"/>
  <c r="AV20" i="21"/>
  <c r="AU20" i="21"/>
  <c r="AV19" i="21"/>
  <c r="AU19" i="21"/>
  <c r="AV18" i="21"/>
  <c r="AU18" i="21"/>
  <c r="AV17" i="21"/>
  <c r="AU17" i="21"/>
  <c r="AV16" i="21"/>
  <c r="AU16" i="21"/>
  <c r="AV15" i="21"/>
  <c r="AU15" i="21"/>
  <c r="AV14" i="21"/>
  <c r="AU14" i="21"/>
  <c r="AV13" i="21"/>
  <c r="AU13" i="21"/>
  <c r="AV12" i="21"/>
  <c r="AU12" i="21"/>
  <c r="AV11" i="21"/>
  <c r="AU11" i="21"/>
  <c r="AV10" i="21"/>
  <c r="AU10" i="21"/>
  <c r="AV9" i="21"/>
  <c r="AU9" i="21"/>
  <c r="AV8" i="21"/>
  <c r="AU8" i="21"/>
  <c r="AV7" i="21"/>
  <c r="AU7" i="21"/>
  <c r="AU3" i="22"/>
  <c r="AY3" i="24"/>
  <c r="P2" i="3"/>
  <c r="AY3" i="3" s="1"/>
  <c r="P2" i="14"/>
  <c r="AY3" i="14" s="1"/>
  <c r="P2" i="15"/>
  <c r="AY3" i="15" s="1"/>
  <c r="P2" i="19"/>
  <c r="AY3" i="19" s="1"/>
  <c r="P2" i="20"/>
  <c r="AY3" i="20" s="1"/>
  <c r="O2" i="21"/>
  <c r="AU3" i="21" s="1"/>
  <c r="P2" i="7"/>
  <c r="AY3" i="7" s="1"/>
  <c r="AZ10" i="14" l="1"/>
  <c r="AZ14" i="14"/>
  <c r="AZ18" i="14"/>
  <c r="AY23" i="14"/>
  <c r="AZ28" i="14"/>
  <c r="AZ35" i="14"/>
  <c r="AY42" i="14"/>
  <c r="AY48" i="14"/>
  <c r="AY55" i="14"/>
  <c r="AZ60" i="14"/>
  <c r="AZ67" i="14"/>
  <c r="AY74" i="14"/>
  <c r="AY80" i="14"/>
  <c r="AY87" i="14"/>
  <c r="AZ92" i="14"/>
  <c r="AZ99" i="14"/>
  <c r="AY106" i="14"/>
  <c r="AY112" i="14"/>
  <c r="AY119" i="14"/>
  <c r="AZ124" i="14"/>
  <c r="AZ131" i="14"/>
  <c r="AY7" i="14"/>
  <c r="AY11" i="14"/>
  <c r="AY15" i="14"/>
  <c r="AY19" i="14"/>
  <c r="AZ23" i="14"/>
  <c r="AY30" i="14"/>
  <c r="AY36" i="14"/>
  <c r="AY43" i="14"/>
  <c r="AZ48" i="14"/>
  <c r="AZ55" i="14"/>
  <c r="AY62" i="14"/>
  <c r="AY68" i="14"/>
  <c r="AY75" i="14"/>
  <c r="AZ80" i="14"/>
  <c r="AZ87" i="14"/>
  <c r="AY94" i="14"/>
  <c r="AY100" i="14"/>
  <c r="AY107" i="14"/>
  <c r="AZ112" i="14"/>
  <c r="AZ119" i="14"/>
  <c r="AY126" i="14"/>
  <c r="AY132" i="14"/>
  <c r="AZ7" i="14"/>
  <c r="AZ11" i="14"/>
  <c r="AZ15" i="14"/>
  <c r="AZ19" i="14"/>
  <c r="AY24" i="14"/>
  <c r="AY31" i="14"/>
  <c r="AZ36" i="14"/>
  <c r="AZ43" i="14"/>
  <c r="AY50" i="14"/>
  <c r="AY56" i="14"/>
  <c r="AY63" i="14"/>
  <c r="AZ68" i="14"/>
  <c r="AZ75" i="14"/>
  <c r="AY82" i="14"/>
  <c r="AY88" i="14"/>
  <c r="AY95" i="14"/>
  <c r="AZ100" i="14"/>
  <c r="AZ107" i="14"/>
  <c r="AY114" i="14"/>
  <c r="AY120" i="14"/>
  <c r="AY127" i="14"/>
  <c r="AZ132" i="14"/>
  <c r="AY8" i="14"/>
  <c r="AY12" i="14"/>
  <c r="AY16" i="14"/>
  <c r="AY20" i="14"/>
  <c r="AZ24" i="14"/>
  <c r="AZ31" i="14"/>
  <c r="AY38" i="14"/>
  <c r="AY44" i="14"/>
  <c r="AY51" i="14"/>
  <c r="AZ56" i="14"/>
  <c r="AZ63" i="14"/>
  <c r="AY70" i="14"/>
  <c r="AY76" i="14"/>
  <c r="AY83" i="14"/>
  <c r="AZ88" i="14"/>
  <c r="AZ95" i="14"/>
  <c r="AY102" i="14"/>
  <c r="AY108" i="14"/>
  <c r="AY115" i="14"/>
  <c r="AZ120" i="14"/>
  <c r="AZ127" i="14"/>
  <c r="AY9" i="14"/>
  <c r="AY13" i="14"/>
  <c r="AY17" i="14"/>
  <c r="AY21" i="14"/>
  <c r="AY27" i="14"/>
  <c r="AZ32" i="14"/>
  <c r="AZ39" i="14"/>
  <c r="AY46" i="14"/>
  <c r="AY52" i="14"/>
  <c r="AY59" i="14"/>
  <c r="AZ64" i="14"/>
  <c r="AZ71" i="14"/>
  <c r="AY78" i="14"/>
  <c r="AY84" i="14"/>
  <c r="AY91" i="14"/>
  <c r="AZ96" i="14"/>
  <c r="AZ103" i="14"/>
  <c r="AY110" i="14"/>
  <c r="AY116" i="14"/>
  <c r="AY123" i="14"/>
  <c r="AZ128" i="14"/>
  <c r="AY10" i="14"/>
  <c r="AY14" i="14"/>
  <c r="AY18" i="14"/>
  <c r="AY22" i="14"/>
  <c r="AY28" i="14"/>
  <c r="AY35" i="14"/>
  <c r="AZ40" i="14"/>
  <c r="AZ47" i="14"/>
  <c r="AY54" i="14"/>
  <c r="AY60" i="14"/>
  <c r="AY67" i="14"/>
  <c r="AZ72" i="14"/>
  <c r="AZ79" i="14"/>
  <c r="AY86" i="14"/>
  <c r="AY92" i="14"/>
  <c r="AY99" i="14"/>
  <c r="AZ104" i="14"/>
  <c r="AZ111" i="14"/>
  <c r="AY118" i="14"/>
  <c r="AY124" i="14"/>
  <c r="AY131" i="14"/>
  <c r="AY7" i="20"/>
  <c r="AZ11" i="20"/>
  <c r="AY17" i="20"/>
  <c r="AY22" i="20"/>
  <c r="AZ27" i="20"/>
  <c r="AY33" i="20"/>
  <c r="AY38" i="20"/>
  <c r="AZ43" i="20"/>
  <c r="AY49" i="20"/>
  <c r="AY54" i="20"/>
  <c r="AZ59" i="20"/>
  <c r="AY65" i="20"/>
  <c r="AY70" i="20"/>
  <c r="AZ75" i="20"/>
  <c r="AY81" i="20"/>
  <c r="AY86" i="20"/>
  <c r="AZ91" i="20"/>
  <c r="AY97" i="20"/>
  <c r="AY102" i="20"/>
  <c r="AZ107" i="20"/>
  <c r="AY113" i="20"/>
  <c r="AY118" i="20"/>
  <c r="AZ123" i="20"/>
  <c r="AY129" i="20"/>
  <c r="AY26" i="3"/>
  <c r="AZ7" i="20"/>
  <c r="AY12" i="20"/>
  <c r="AZ17" i="20"/>
  <c r="AY23" i="20"/>
  <c r="AY28" i="20"/>
  <c r="AZ33" i="20"/>
  <c r="AY39" i="20"/>
  <c r="AY44" i="20"/>
  <c r="AZ49" i="20"/>
  <c r="AY55" i="20"/>
  <c r="AY60" i="20"/>
  <c r="AZ65" i="20"/>
  <c r="AY71" i="20"/>
  <c r="AY76" i="20"/>
  <c r="AZ81" i="20"/>
  <c r="AY87" i="20"/>
  <c r="AY92" i="20"/>
  <c r="AZ97" i="20"/>
  <c r="AY103" i="20"/>
  <c r="AY108" i="20"/>
  <c r="AZ113" i="20"/>
  <c r="AY119" i="20"/>
  <c r="AY124" i="20"/>
  <c r="AZ129" i="20"/>
  <c r="AY32" i="3"/>
  <c r="AZ8" i="20"/>
  <c r="AZ13" i="20"/>
  <c r="AY19" i="20"/>
  <c r="AY24" i="20"/>
  <c r="AZ29" i="20"/>
  <c r="AY35" i="20"/>
  <c r="AY40" i="20"/>
  <c r="AZ45" i="20"/>
  <c r="AY51" i="20"/>
  <c r="AY56" i="20"/>
  <c r="AZ61" i="20"/>
  <c r="AY67" i="20"/>
  <c r="AY72" i="20"/>
  <c r="AZ77" i="20"/>
  <c r="AY83" i="20"/>
  <c r="AY88" i="20"/>
  <c r="AZ93" i="20"/>
  <c r="AY99" i="20"/>
  <c r="AY104" i="20"/>
  <c r="AZ109" i="20"/>
  <c r="AY115" i="20"/>
  <c r="AY120" i="20"/>
  <c r="AZ125" i="20"/>
  <c r="AY131" i="20"/>
  <c r="AY9" i="20"/>
  <c r="AY14" i="20"/>
  <c r="AZ19" i="20"/>
  <c r="AY25" i="20"/>
  <c r="AY30" i="20"/>
  <c r="AZ35" i="20"/>
  <c r="AY41" i="20"/>
  <c r="AY46" i="20"/>
  <c r="AZ51" i="20"/>
  <c r="AY57" i="20"/>
  <c r="AY62" i="20"/>
  <c r="AZ67" i="20"/>
  <c r="AY73" i="20"/>
  <c r="AY78" i="20"/>
  <c r="AZ83" i="20"/>
  <c r="AY89" i="20"/>
  <c r="AY94" i="20"/>
  <c r="AZ99" i="20"/>
  <c r="AY105" i="20"/>
  <c r="AY110" i="20"/>
  <c r="AZ115" i="20"/>
  <c r="AY121" i="20"/>
  <c r="AY126" i="20"/>
  <c r="AZ131" i="20"/>
  <c r="AY66" i="3"/>
  <c r="AZ9" i="20"/>
  <c r="AY15" i="20"/>
  <c r="AY20" i="20"/>
  <c r="AZ25" i="20"/>
  <c r="AY31" i="20"/>
  <c r="AY36" i="20"/>
  <c r="AZ41" i="20"/>
  <c r="AY47" i="20"/>
  <c r="AY52" i="20"/>
  <c r="AZ57" i="20"/>
  <c r="AY63" i="20"/>
  <c r="AY68" i="20"/>
  <c r="AZ73" i="20"/>
  <c r="AY79" i="20"/>
  <c r="AY84" i="20"/>
  <c r="AZ89" i="20"/>
  <c r="AY95" i="20"/>
  <c r="AY100" i="20"/>
  <c r="AZ105" i="20"/>
  <c r="AY111" i="20"/>
  <c r="AY116" i="20"/>
  <c r="AZ121" i="20"/>
  <c r="AY127" i="20"/>
  <c r="AY132" i="20"/>
  <c r="AZ84" i="3"/>
  <c r="AY10" i="20"/>
  <c r="AZ15" i="20"/>
  <c r="AY21" i="20"/>
  <c r="AY26" i="20"/>
  <c r="AZ31" i="20"/>
  <c r="AY37" i="20"/>
  <c r="AY42" i="20"/>
  <c r="AZ47" i="20"/>
  <c r="AY53" i="20"/>
  <c r="AY58" i="20"/>
  <c r="AZ63" i="20"/>
  <c r="AY69" i="20"/>
  <c r="AY74" i="20"/>
  <c r="AZ79" i="20"/>
  <c r="AY85" i="20"/>
  <c r="AY90" i="20"/>
  <c r="AZ95" i="20"/>
  <c r="AY101" i="20"/>
  <c r="AY106" i="20"/>
  <c r="AZ111" i="20"/>
  <c r="AY117" i="20"/>
  <c r="AY122" i="20"/>
  <c r="AZ127" i="20"/>
  <c r="AY9" i="3"/>
  <c r="AZ20" i="3"/>
  <c r="AY34" i="3"/>
  <c r="AZ52" i="3"/>
  <c r="AY90" i="3"/>
  <c r="AY130" i="3"/>
  <c r="AZ9" i="3"/>
  <c r="AY22" i="3"/>
  <c r="AY35" i="3"/>
  <c r="AZ59" i="3"/>
  <c r="AZ91" i="3"/>
  <c r="AY11" i="3"/>
  <c r="AZ23" i="3"/>
  <c r="AY39" i="3"/>
  <c r="AY64" i="3"/>
  <c r="AY98" i="3"/>
  <c r="AY15" i="3"/>
  <c r="AZ27" i="3"/>
  <c r="AZ40" i="3"/>
  <c r="AY72" i="3"/>
  <c r="AZ104" i="3"/>
  <c r="AZ15" i="3"/>
  <c r="AY28" i="3"/>
  <c r="AY43" i="3"/>
  <c r="AZ76" i="3"/>
  <c r="AY112" i="3"/>
  <c r="AZ16" i="3"/>
  <c r="AY30" i="3"/>
  <c r="AY47" i="3"/>
  <c r="AY79" i="3"/>
  <c r="AY118" i="3"/>
  <c r="AZ47" i="3"/>
  <c r="AY60" i="3"/>
  <c r="AZ72" i="3"/>
  <c r="AY86" i="3"/>
  <c r="AY99" i="3"/>
  <c r="AZ112" i="3"/>
  <c r="AZ131" i="3"/>
  <c r="AY36" i="3"/>
  <c r="AZ48" i="3"/>
  <c r="AY62" i="3"/>
  <c r="AY75" i="3"/>
  <c r="AZ87" i="3"/>
  <c r="AY100" i="3"/>
  <c r="AZ115" i="3"/>
  <c r="AY54" i="3"/>
  <c r="AY67" i="3"/>
  <c r="AZ79" i="3"/>
  <c r="AY92" i="3"/>
  <c r="AY106" i="3"/>
  <c r="AY122" i="3"/>
  <c r="AZ55" i="3"/>
  <c r="AY68" i="3"/>
  <c r="AZ80" i="3"/>
  <c r="AY94" i="3"/>
  <c r="AY108" i="3"/>
  <c r="AZ123" i="3"/>
  <c r="AZ44" i="3"/>
  <c r="AY58" i="3"/>
  <c r="AY71" i="3"/>
  <c r="AZ83" i="3"/>
  <c r="AY96" i="3"/>
  <c r="AY111" i="3"/>
  <c r="AY126" i="3"/>
  <c r="AZ8" i="15"/>
  <c r="AZ12" i="15"/>
  <c r="AZ16" i="15"/>
  <c r="AZ20" i="15"/>
  <c r="AZ24" i="15"/>
  <c r="AZ28" i="15"/>
  <c r="AZ32" i="15"/>
  <c r="AZ36" i="15"/>
  <c r="AZ40" i="15"/>
  <c r="AZ44" i="15"/>
  <c r="AZ48" i="15"/>
  <c r="AZ52" i="15"/>
  <c r="AZ56" i="15"/>
  <c r="AZ60" i="15"/>
  <c r="AZ64" i="15"/>
  <c r="AZ68" i="15"/>
  <c r="AZ72" i="15"/>
  <c r="AZ76" i="15"/>
  <c r="AZ80" i="15"/>
  <c r="AZ84" i="15"/>
  <c r="AZ88" i="15"/>
  <c r="AZ92" i="15"/>
  <c r="AZ96" i="15"/>
  <c r="AZ100" i="15"/>
  <c r="AZ104" i="15"/>
  <c r="AZ108" i="15"/>
  <c r="AZ112" i="15"/>
  <c r="AZ116" i="15"/>
  <c r="AZ120" i="15"/>
  <c r="AZ124" i="15"/>
  <c r="AZ128" i="15"/>
  <c r="AZ132" i="15"/>
  <c r="AZ11" i="3"/>
  <c r="AY18" i="3"/>
  <c r="AY24" i="3"/>
  <c r="AY31" i="3"/>
  <c r="AZ36" i="3"/>
  <c r="AZ43" i="3"/>
  <c r="AY50" i="3"/>
  <c r="AY56" i="3"/>
  <c r="AY63" i="3"/>
  <c r="AZ68" i="3"/>
  <c r="AZ75" i="3"/>
  <c r="AY82" i="3"/>
  <c r="AY88" i="3"/>
  <c r="AY95" i="3"/>
  <c r="AY102" i="3"/>
  <c r="AZ108" i="3"/>
  <c r="AY116" i="3"/>
  <c r="AY124" i="3"/>
  <c r="AY132" i="3"/>
  <c r="AY9" i="15"/>
  <c r="AY13" i="15"/>
  <c r="AY17" i="15"/>
  <c r="AY21" i="15"/>
  <c r="AY25" i="15"/>
  <c r="AY29" i="15"/>
  <c r="AY33" i="15"/>
  <c r="AY37" i="15"/>
  <c r="AY41" i="15"/>
  <c r="AY45" i="15"/>
  <c r="AY49" i="15"/>
  <c r="AY53" i="15"/>
  <c r="AY57" i="15"/>
  <c r="AY61" i="15"/>
  <c r="AY65" i="15"/>
  <c r="AY69" i="15"/>
  <c r="AY73" i="15"/>
  <c r="AY77" i="15"/>
  <c r="AY81" i="15"/>
  <c r="AY85" i="15"/>
  <c r="AY89" i="15"/>
  <c r="AY93" i="15"/>
  <c r="AY97" i="15"/>
  <c r="AY101" i="15"/>
  <c r="AY105" i="15"/>
  <c r="AY109" i="15"/>
  <c r="AY113" i="15"/>
  <c r="AY117" i="15"/>
  <c r="AY121" i="15"/>
  <c r="AY125" i="15"/>
  <c r="AY129" i="15"/>
  <c r="AY12" i="3"/>
  <c r="AY19" i="3"/>
  <c r="AZ24" i="3"/>
  <c r="AZ31" i="3"/>
  <c r="AY38" i="3"/>
  <c r="AY44" i="3"/>
  <c r="AY51" i="3"/>
  <c r="AZ56" i="3"/>
  <c r="AZ63" i="3"/>
  <c r="AY70" i="3"/>
  <c r="AY76" i="3"/>
  <c r="AY83" i="3"/>
  <c r="AZ88" i="3"/>
  <c r="AZ95" i="3"/>
  <c r="AY103" i="3"/>
  <c r="AY110" i="3"/>
  <c r="AZ116" i="3"/>
  <c r="AZ124" i="3"/>
  <c r="AZ9" i="15"/>
  <c r="AZ13" i="15"/>
  <c r="AZ17" i="15"/>
  <c r="AZ21" i="15"/>
  <c r="AZ25" i="15"/>
  <c r="AZ29" i="15"/>
  <c r="AZ33" i="15"/>
  <c r="AZ37" i="15"/>
  <c r="AZ41" i="15"/>
  <c r="AZ45" i="15"/>
  <c r="AZ49" i="15"/>
  <c r="AZ53" i="15"/>
  <c r="AZ57" i="15"/>
  <c r="AZ61" i="15"/>
  <c r="AZ65" i="15"/>
  <c r="AZ69" i="15"/>
  <c r="AZ73" i="15"/>
  <c r="AZ77" i="15"/>
  <c r="AZ81" i="15"/>
  <c r="AZ85" i="15"/>
  <c r="AZ89" i="15"/>
  <c r="AZ93" i="15"/>
  <c r="AZ97" i="15"/>
  <c r="AZ101" i="15"/>
  <c r="AZ105" i="15"/>
  <c r="AZ109" i="15"/>
  <c r="AZ113" i="15"/>
  <c r="AZ117" i="15"/>
  <c r="AZ121" i="15"/>
  <c r="AZ125" i="15"/>
  <c r="AZ129" i="15"/>
  <c r="AY10" i="15"/>
  <c r="AY14" i="15"/>
  <c r="AY18" i="15"/>
  <c r="AY22" i="15"/>
  <c r="AY26" i="15"/>
  <c r="AY30" i="15"/>
  <c r="AY34" i="15"/>
  <c r="AY38" i="15"/>
  <c r="AY42" i="15"/>
  <c r="AY46" i="15"/>
  <c r="AY50" i="15"/>
  <c r="AY54" i="15"/>
  <c r="AY58" i="15"/>
  <c r="AY62" i="15"/>
  <c r="AY66" i="15"/>
  <c r="AY70" i="15"/>
  <c r="AY74" i="15"/>
  <c r="AY78" i="15"/>
  <c r="AY82" i="15"/>
  <c r="AY86" i="15"/>
  <c r="AY90" i="15"/>
  <c r="AY94" i="15"/>
  <c r="AY98" i="15"/>
  <c r="AY102" i="15"/>
  <c r="AY106" i="15"/>
  <c r="AY110" i="15"/>
  <c r="AY114" i="15"/>
  <c r="AY118" i="15"/>
  <c r="AY122" i="15"/>
  <c r="AY126" i="15"/>
  <c r="AY130" i="15"/>
  <c r="AZ8" i="3"/>
  <c r="AY14" i="3"/>
  <c r="AY20" i="3"/>
  <c r="AY27" i="3"/>
  <c r="AZ32" i="3"/>
  <c r="AZ39" i="3"/>
  <c r="AY46" i="3"/>
  <c r="AY52" i="3"/>
  <c r="AY59" i="3"/>
  <c r="AZ64" i="3"/>
  <c r="AZ71" i="3"/>
  <c r="AY78" i="3"/>
  <c r="AY84" i="3"/>
  <c r="AY91" i="3"/>
  <c r="AZ96" i="3"/>
  <c r="AY104" i="3"/>
  <c r="AZ111" i="3"/>
  <c r="AY119" i="3"/>
  <c r="AY128" i="3"/>
  <c r="AZ10" i="15"/>
  <c r="AZ14" i="15"/>
  <c r="AZ18" i="15"/>
  <c r="AZ22" i="15"/>
  <c r="AZ26" i="15"/>
  <c r="AZ30" i="15"/>
  <c r="AZ34" i="15"/>
  <c r="AZ38" i="15"/>
  <c r="AZ42" i="15"/>
  <c r="AZ46" i="15"/>
  <c r="AZ50" i="15"/>
  <c r="AZ54" i="15"/>
  <c r="AZ58" i="15"/>
  <c r="AZ62" i="15"/>
  <c r="AZ66" i="15"/>
  <c r="AZ70" i="15"/>
  <c r="AZ74" i="15"/>
  <c r="AZ78" i="15"/>
  <c r="AZ82" i="15"/>
  <c r="AZ86" i="15"/>
  <c r="AZ90" i="15"/>
  <c r="AZ94" i="15"/>
  <c r="AZ98" i="15"/>
  <c r="AZ102" i="15"/>
  <c r="AZ106" i="15"/>
  <c r="AZ110" i="15"/>
  <c r="AZ114" i="15"/>
  <c r="AZ118" i="15"/>
  <c r="AZ122" i="15"/>
  <c r="AZ126" i="15"/>
  <c r="AZ130" i="15"/>
  <c r="AZ128" i="3"/>
  <c r="AZ7" i="15"/>
  <c r="AZ11" i="15"/>
  <c r="AZ15" i="15"/>
  <c r="AZ19" i="15"/>
  <c r="AZ23" i="15"/>
  <c r="AZ27" i="15"/>
  <c r="AZ31" i="15"/>
  <c r="AZ35" i="15"/>
  <c r="AZ39" i="15"/>
  <c r="AZ43" i="15"/>
  <c r="AZ47" i="15"/>
  <c r="AZ51" i="15"/>
  <c r="AZ55" i="15"/>
  <c r="AZ59" i="15"/>
  <c r="AZ63" i="15"/>
  <c r="AZ67" i="15"/>
  <c r="AZ71" i="15"/>
  <c r="AZ75" i="15"/>
  <c r="AZ79" i="15"/>
  <c r="AZ83" i="15"/>
  <c r="AZ87" i="15"/>
  <c r="AZ91" i="15"/>
  <c r="AZ95" i="15"/>
  <c r="AZ99" i="15"/>
  <c r="AZ103" i="15"/>
  <c r="AZ107" i="15"/>
  <c r="AZ111" i="15"/>
  <c r="AZ115" i="15"/>
  <c r="AZ119" i="15"/>
  <c r="AZ123" i="15"/>
  <c r="AZ127" i="15"/>
  <c r="AZ131" i="15"/>
  <c r="AZ10" i="3"/>
  <c r="AY16" i="3"/>
  <c r="AY23" i="3"/>
  <c r="AZ28" i="3"/>
  <c r="AZ35" i="3"/>
  <c r="AY42" i="3"/>
  <c r="AY48" i="3"/>
  <c r="AY55" i="3"/>
  <c r="AZ60" i="3"/>
  <c r="AZ67" i="3"/>
  <c r="AY74" i="3"/>
  <c r="AY80" i="3"/>
  <c r="AY87" i="3"/>
  <c r="AZ92" i="3"/>
  <c r="AZ99" i="3"/>
  <c r="AY107" i="3"/>
  <c r="AY115" i="3"/>
  <c r="AY123" i="3"/>
  <c r="AY131" i="3"/>
  <c r="AY48" i="15"/>
  <c r="AY52" i="15"/>
  <c r="AY56" i="15"/>
  <c r="AY60" i="15"/>
  <c r="AY64" i="15"/>
  <c r="AY68" i="15"/>
  <c r="AY72" i="15"/>
  <c r="AY76" i="15"/>
  <c r="AY80" i="15"/>
  <c r="AY84" i="15"/>
  <c r="AY88" i="15"/>
  <c r="AY92" i="15"/>
  <c r="AY96" i="15"/>
  <c r="AY100" i="15"/>
  <c r="AY104" i="15"/>
  <c r="AY108" i="15"/>
  <c r="AY112" i="15"/>
  <c r="AY116" i="15"/>
  <c r="AY120" i="15"/>
  <c r="AY124" i="15"/>
  <c r="AY128" i="15"/>
  <c r="AY132" i="15"/>
  <c r="AZ12" i="20"/>
  <c r="AZ16" i="20"/>
  <c r="AZ20" i="20"/>
  <c r="AZ24" i="20"/>
  <c r="AZ28" i="20"/>
  <c r="AZ32" i="20"/>
  <c r="AZ36" i="20"/>
  <c r="AZ40" i="20"/>
  <c r="AZ44" i="20"/>
  <c r="AZ48" i="20"/>
  <c r="AZ52" i="20"/>
  <c r="AZ56" i="20"/>
  <c r="AZ60" i="20"/>
  <c r="AZ64" i="20"/>
  <c r="AZ68" i="20"/>
  <c r="AZ72" i="20"/>
  <c r="AZ76" i="20"/>
  <c r="AZ80" i="20"/>
  <c r="AZ84" i="20"/>
  <c r="AZ88" i="20"/>
  <c r="AZ92" i="20"/>
  <c r="AZ96" i="20"/>
  <c r="AZ100" i="20"/>
  <c r="AZ104" i="20"/>
  <c r="AZ108" i="20"/>
  <c r="AZ112" i="20"/>
  <c r="AZ116" i="20"/>
  <c r="AZ120" i="20"/>
  <c r="AZ124" i="20"/>
  <c r="AZ128" i="20"/>
  <c r="AZ132" i="20"/>
  <c r="AZ10" i="20"/>
  <c r="AZ14" i="20"/>
  <c r="AZ18" i="20"/>
  <c r="AZ22" i="20"/>
  <c r="AZ26" i="20"/>
  <c r="AZ30" i="20"/>
  <c r="AZ34" i="20"/>
  <c r="AZ38" i="20"/>
  <c r="AZ42" i="20"/>
  <c r="AZ46" i="20"/>
  <c r="AZ50" i="20"/>
  <c r="AZ54" i="20"/>
  <c r="AZ58" i="20"/>
  <c r="AZ62" i="20"/>
  <c r="AZ66" i="20"/>
  <c r="AZ70" i="20"/>
  <c r="AZ74" i="20"/>
  <c r="AZ78" i="20"/>
  <c r="AZ82" i="20"/>
  <c r="AZ86" i="20"/>
  <c r="AZ90" i="20"/>
  <c r="AZ94" i="20"/>
  <c r="AZ98" i="20"/>
  <c r="AZ102" i="20"/>
  <c r="AZ106" i="20"/>
  <c r="AZ110" i="20"/>
  <c r="AZ114" i="20"/>
  <c r="AZ118" i="20"/>
  <c r="AZ122" i="20"/>
  <c r="AZ126" i="20"/>
  <c r="AW131" i="21"/>
  <c r="AW123" i="21"/>
  <c r="AW115" i="21"/>
  <c r="AW107" i="21"/>
  <c r="AW99" i="21"/>
  <c r="AW91" i="21"/>
  <c r="AW83" i="21"/>
  <c r="AW130" i="21"/>
  <c r="AW122" i="21"/>
  <c r="AW114" i="21"/>
  <c r="AW106" i="21"/>
  <c r="AW98" i="21"/>
  <c r="AW90" i="21"/>
  <c r="AW82" i="21"/>
  <c r="AW129" i="21"/>
  <c r="AW121" i="21"/>
  <c r="AW113" i="21"/>
  <c r="AW105" i="21"/>
  <c r="AW97" i="21"/>
  <c r="AW89" i="21"/>
  <c r="AW81" i="21"/>
  <c r="AW128" i="21"/>
  <c r="AW120" i="21"/>
  <c r="AW112" i="21"/>
  <c r="AW104" i="21"/>
  <c r="AW96" i="21"/>
  <c r="AW88" i="21"/>
  <c r="AW80" i="21"/>
  <c r="AW127" i="21"/>
  <c r="AW119" i="21"/>
  <c r="AW111" i="21"/>
  <c r="AW103" i="21"/>
  <c r="AW95" i="21"/>
  <c r="AW87" i="21"/>
  <c r="AW79" i="21"/>
  <c r="AW126" i="21"/>
  <c r="AW118" i="21"/>
  <c r="AW110" i="21"/>
  <c r="AW102" i="21"/>
  <c r="AW94" i="21"/>
  <c r="AW86" i="21"/>
  <c r="AW78" i="21"/>
  <c r="AW125" i="21"/>
  <c r="AW117" i="21"/>
  <c r="AW109" i="21"/>
  <c r="AW101" i="21"/>
  <c r="AW93" i="21"/>
  <c r="AW85" i="21"/>
  <c r="AW132" i="21"/>
  <c r="AW124" i="21"/>
  <c r="AW116" i="21"/>
  <c r="AW108" i="21"/>
  <c r="AW100" i="21"/>
  <c r="AW92" i="21"/>
  <c r="AW84" i="21"/>
  <c r="AW12" i="21"/>
  <c r="AW20" i="21"/>
  <c r="AW28" i="21"/>
  <c r="AW36" i="21"/>
  <c r="AW44" i="21"/>
  <c r="AW52" i="21"/>
  <c r="AW60" i="21"/>
  <c r="AW68" i="21"/>
  <c r="AW76" i="21"/>
  <c r="BA126" i="20"/>
  <c r="BA118" i="20"/>
  <c r="BA110" i="20"/>
  <c r="BA102" i="20"/>
  <c r="BA94" i="20"/>
  <c r="BA86" i="20"/>
  <c r="BA78" i="20"/>
  <c r="BA70" i="20"/>
  <c r="BA62" i="20"/>
  <c r="BA54" i="20"/>
  <c r="BA46" i="20"/>
  <c r="BA38" i="20"/>
  <c r="BA30" i="20"/>
  <c r="BA22" i="20"/>
  <c r="BA14" i="20"/>
  <c r="BA125" i="20"/>
  <c r="BA117" i="20"/>
  <c r="BA109" i="20"/>
  <c r="BA101" i="20"/>
  <c r="BA93" i="20"/>
  <c r="BA85" i="20"/>
  <c r="BA77" i="20"/>
  <c r="BA69" i="20"/>
  <c r="BA61" i="20"/>
  <c r="BA53" i="20"/>
  <c r="BA45" i="20"/>
  <c r="BA37" i="20"/>
  <c r="BA29" i="20"/>
  <c r="BA21" i="20"/>
  <c r="BA13" i="20"/>
  <c r="BA132" i="20"/>
  <c r="BA124" i="20"/>
  <c r="BA116" i="20"/>
  <c r="BA108" i="20"/>
  <c r="BA100" i="20"/>
  <c r="BA92" i="20"/>
  <c r="BA84" i="20"/>
  <c r="BA76" i="20"/>
  <c r="BA68" i="20"/>
  <c r="BA60" i="20"/>
  <c r="BA52" i="20"/>
  <c r="BA44" i="20"/>
  <c r="BA36" i="20"/>
  <c r="BA28" i="20"/>
  <c r="BA20" i="20"/>
  <c r="BA12" i="20"/>
  <c r="BA131" i="20"/>
  <c r="BA123" i="20"/>
  <c r="BA115" i="20"/>
  <c r="BA107" i="20"/>
  <c r="BA99" i="20"/>
  <c r="BA91" i="20"/>
  <c r="BA83" i="20"/>
  <c r="BA75" i="20"/>
  <c r="BA67" i="20"/>
  <c r="BA59" i="20"/>
  <c r="BA51" i="20"/>
  <c r="BA43" i="20"/>
  <c r="BA35" i="20"/>
  <c r="BA27" i="20"/>
  <c r="BA19" i="20"/>
  <c r="BA11" i="20"/>
  <c r="BA130" i="20"/>
  <c r="BA122" i="20"/>
  <c r="BA114" i="20"/>
  <c r="BA106" i="20"/>
  <c r="BA98" i="20"/>
  <c r="BA90" i="20"/>
  <c r="BA82" i="20"/>
  <c r="BA74" i="20"/>
  <c r="BA66" i="20"/>
  <c r="BA58" i="20"/>
  <c r="BA50" i="20"/>
  <c r="BA42" i="20"/>
  <c r="BA34" i="20"/>
  <c r="BA26" i="20"/>
  <c r="BA18" i="20"/>
  <c r="BA10" i="20"/>
  <c r="BA129" i="20"/>
  <c r="BA121" i="20"/>
  <c r="BA113" i="20"/>
  <c r="BA105" i="20"/>
  <c r="BA97" i="20"/>
  <c r="BA89" i="20"/>
  <c r="BA81" i="20"/>
  <c r="BA73" i="20"/>
  <c r="BA65" i="20"/>
  <c r="BA57" i="20"/>
  <c r="BA49" i="20"/>
  <c r="BA41" i="20"/>
  <c r="BA33" i="20"/>
  <c r="BA25" i="20"/>
  <c r="BA17" i="20"/>
  <c r="BA9" i="20"/>
  <c r="BA128" i="20"/>
  <c r="BA120" i="20"/>
  <c r="BA112" i="20"/>
  <c r="BA104" i="20"/>
  <c r="BA96" i="20"/>
  <c r="BA88" i="20"/>
  <c r="BA80" i="20"/>
  <c r="BA72" i="20"/>
  <c r="BA64" i="20"/>
  <c r="BA56" i="20"/>
  <c r="BA48" i="20"/>
  <c r="BA40" i="20"/>
  <c r="BA32" i="20"/>
  <c r="BA24" i="20"/>
  <c r="BA16" i="20"/>
  <c r="BA8" i="20"/>
  <c r="BA127" i="20"/>
  <c r="BA119" i="20"/>
  <c r="BA111" i="20"/>
  <c r="BA103" i="20"/>
  <c r="BA95" i="20"/>
  <c r="BA87" i="20"/>
  <c r="BA79" i="20"/>
  <c r="BA71" i="20"/>
  <c r="BA63" i="20"/>
  <c r="BA55" i="20"/>
  <c r="BA47" i="20"/>
  <c r="BA39" i="20"/>
  <c r="BA31" i="20"/>
  <c r="BA23" i="20"/>
  <c r="BA15" i="20"/>
  <c r="AW13" i="21"/>
  <c r="AW21" i="21"/>
  <c r="AW29" i="21"/>
  <c r="AW37" i="21"/>
  <c r="AW45" i="21"/>
  <c r="AW53" i="21"/>
  <c r="AW61" i="21"/>
  <c r="AW69" i="21"/>
  <c r="AW77" i="21"/>
  <c r="BA129" i="19"/>
  <c r="BA121" i="19"/>
  <c r="BA113" i="19"/>
  <c r="BA105" i="19"/>
  <c r="BA97" i="19"/>
  <c r="BA89" i="19"/>
  <c r="BA81" i="19"/>
  <c r="BA73" i="19"/>
  <c r="BA65" i="19"/>
  <c r="BA57" i="19"/>
  <c r="BA49" i="19"/>
  <c r="BA41" i="19"/>
  <c r="BA33" i="19"/>
  <c r="BA25" i="19"/>
  <c r="BA17" i="19"/>
  <c r="BA9" i="19"/>
  <c r="BA128" i="19"/>
  <c r="BA120" i="19"/>
  <c r="BA112" i="19"/>
  <c r="BA104" i="19"/>
  <c r="BA96" i="19"/>
  <c r="BA88" i="19"/>
  <c r="BA80" i="19"/>
  <c r="BA72" i="19"/>
  <c r="BA64" i="19"/>
  <c r="BA56" i="19"/>
  <c r="BA48" i="19"/>
  <c r="BA40" i="19"/>
  <c r="BA32" i="19"/>
  <c r="BA24" i="19"/>
  <c r="BA16" i="19"/>
  <c r="BA8" i="19"/>
  <c r="BA127" i="19"/>
  <c r="BA119" i="19"/>
  <c r="BA111" i="19"/>
  <c r="BA103" i="19"/>
  <c r="BA95" i="19"/>
  <c r="BA87" i="19"/>
  <c r="BA79" i="19"/>
  <c r="BA71" i="19"/>
  <c r="BA63" i="19"/>
  <c r="BA55" i="19"/>
  <c r="BA47" i="19"/>
  <c r="BA39" i="19"/>
  <c r="BA31" i="19"/>
  <c r="BA23" i="19"/>
  <c r="BA15" i="19"/>
  <c r="BA126" i="19"/>
  <c r="BA118" i="19"/>
  <c r="BA110" i="19"/>
  <c r="BA102" i="19"/>
  <c r="BA94" i="19"/>
  <c r="BA86" i="19"/>
  <c r="BA78" i="19"/>
  <c r="BA70" i="19"/>
  <c r="BA62" i="19"/>
  <c r="BA54" i="19"/>
  <c r="BA46" i="19"/>
  <c r="BA38" i="19"/>
  <c r="BA30" i="19"/>
  <c r="BA22" i="19"/>
  <c r="BA14" i="19"/>
  <c r="BA125" i="19"/>
  <c r="BA117" i="19"/>
  <c r="BA109" i="19"/>
  <c r="BA101" i="19"/>
  <c r="BA93" i="19"/>
  <c r="BA85" i="19"/>
  <c r="BA77" i="19"/>
  <c r="BA69" i="19"/>
  <c r="BA61" i="19"/>
  <c r="BA53" i="19"/>
  <c r="BA45" i="19"/>
  <c r="BA37" i="19"/>
  <c r="BA29" i="19"/>
  <c r="BA21" i="19"/>
  <c r="BA13" i="19"/>
  <c r="BA132" i="19"/>
  <c r="BA124" i="19"/>
  <c r="BA116" i="19"/>
  <c r="BA108" i="19"/>
  <c r="BA100" i="19"/>
  <c r="BA92" i="19"/>
  <c r="BA84" i="19"/>
  <c r="BA76" i="19"/>
  <c r="BA68" i="19"/>
  <c r="BA60" i="19"/>
  <c r="BA52" i="19"/>
  <c r="BA44" i="19"/>
  <c r="BA36" i="19"/>
  <c r="BA28" i="19"/>
  <c r="BA20" i="19"/>
  <c r="BA12" i="19"/>
  <c r="BA131" i="19"/>
  <c r="BA123" i="19"/>
  <c r="BA115" i="19"/>
  <c r="BA107" i="19"/>
  <c r="BA99" i="19"/>
  <c r="BA91" i="19"/>
  <c r="BA83" i="19"/>
  <c r="BA75" i="19"/>
  <c r="BA67" i="19"/>
  <c r="BA59" i="19"/>
  <c r="BA51" i="19"/>
  <c r="BA43" i="19"/>
  <c r="BA35" i="19"/>
  <c r="BA27" i="19"/>
  <c r="BA19" i="19"/>
  <c r="BA11" i="19"/>
  <c r="BA130" i="19"/>
  <c r="BA122" i="19"/>
  <c r="BA114" i="19"/>
  <c r="BA106" i="19"/>
  <c r="BA98" i="19"/>
  <c r="BA90" i="19"/>
  <c r="BA82" i="19"/>
  <c r="BA74" i="19"/>
  <c r="BA66" i="19"/>
  <c r="BA58" i="19"/>
  <c r="BA50" i="19"/>
  <c r="BA42" i="19"/>
  <c r="BA34" i="19"/>
  <c r="BA26" i="19"/>
  <c r="BA18" i="19"/>
  <c r="BA10" i="19"/>
  <c r="AW14" i="21"/>
  <c r="AW22" i="21"/>
  <c r="AW30" i="21"/>
  <c r="AW38" i="21"/>
  <c r="AW46" i="21"/>
  <c r="AW54" i="21"/>
  <c r="AW62" i="21"/>
  <c r="AW70" i="21"/>
  <c r="BA132" i="15"/>
  <c r="BA124" i="15"/>
  <c r="BA116" i="15"/>
  <c r="BA108" i="15"/>
  <c r="BA100" i="15"/>
  <c r="BA92" i="15"/>
  <c r="BA84" i="15"/>
  <c r="BA76" i="15"/>
  <c r="BA68" i="15"/>
  <c r="BA60" i="15"/>
  <c r="BA52" i="15"/>
  <c r="BA44" i="15"/>
  <c r="BA36" i="15"/>
  <c r="BA28" i="15"/>
  <c r="BA20" i="15"/>
  <c r="BA12" i="15"/>
  <c r="BA131" i="15"/>
  <c r="BA123" i="15"/>
  <c r="BA115" i="15"/>
  <c r="BA107" i="15"/>
  <c r="BA99" i="15"/>
  <c r="BA91" i="15"/>
  <c r="BA83" i="15"/>
  <c r="BA75" i="15"/>
  <c r="BA67" i="15"/>
  <c r="BA59" i="15"/>
  <c r="BA51" i="15"/>
  <c r="BA43" i="15"/>
  <c r="BA35" i="15"/>
  <c r="BA27" i="15"/>
  <c r="BA19" i="15"/>
  <c r="BA11" i="15"/>
  <c r="BA130" i="15"/>
  <c r="BA122" i="15"/>
  <c r="BA114" i="15"/>
  <c r="BA106" i="15"/>
  <c r="BA98" i="15"/>
  <c r="BA90" i="15"/>
  <c r="BA82" i="15"/>
  <c r="BA74" i="15"/>
  <c r="BA66" i="15"/>
  <c r="BA58" i="15"/>
  <c r="BA50" i="15"/>
  <c r="BA42" i="15"/>
  <c r="BA34" i="15"/>
  <c r="BA26" i="15"/>
  <c r="BA18" i="15"/>
  <c r="BA10" i="15"/>
  <c r="BA129" i="15"/>
  <c r="BA121" i="15"/>
  <c r="BA113" i="15"/>
  <c r="BA105" i="15"/>
  <c r="BA97" i="15"/>
  <c r="BA89" i="15"/>
  <c r="BA81" i="15"/>
  <c r="BA73" i="15"/>
  <c r="BA65" i="15"/>
  <c r="BA57" i="15"/>
  <c r="BA49" i="15"/>
  <c r="BA41" i="15"/>
  <c r="BA33" i="15"/>
  <c r="BA25" i="15"/>
  <c r="BA17" i="15"/>
  <c r="BA9" i="15"/>
  <c r="BA128" i="15"/>
  <c r="BA120" i="15"/>
  <c r="BA112" i="15"/>
  <c r="BA104" i="15"/>
  <c r="BA96" i="15"/>
  <c r="BA88" i="15"/>
  <c r="BA80" i="15"/>
  <c r="BA72" i="15"/>
  <c r="BA64" i="15"/>
  <c r="BA56" i="15"/>
  <c r="BA48" i="15"/>
  <c r="BA40" i="15"/>
  <c r="BA32" i="15"/>
  <c r="BA24" i="15"/>
  <c r="BA16" i="15"/>
  <c r="BA8" i="15"/>
  <c r="BA127" i="15"/>
  <c r="BA119" i="15"/>
  <c r="BA111" i="15"/>
  <c r="BA103" i="15"/>
  <c r="BA95" i="15"/>
  <c r="BA87" i="15"/>
  <c r="BA79" i="15"/>
  <c r="BA71" i="15"/>
  <c r="BA63" i="15"/>
  <c r="BA55" i="15"/>
  <c r="BA47" i="15"/>
  <c r="BA39" i="15"/>
  <c r="BA31" i="15"/>
  <c r="BA23" i="15"/>
  <c r="BA15" i="15"/>
  <c r="BA126" i="15"/>
  <c r="BA118" i="15"/>
  <c r="BA110" i="15"/>
  <c r="BA102" i="15"/>
  <c r="BA94" i="15"/>
  <c r="BA86" i="15"/>
  <c r="BA78" i="15"/>
  <c r="BA70" i="15"/>
  <c r="BA62" i="15"/>
  <c r="BA54" i="15"/>
  <c r="BA46" i="15"/>
  <c r="BA38" i="15"/>
  <c r="BA30" i="15"/>
  <c r="BA22" i="15"/>
  <c r="BA14" i="15"/>
  <c r="BA125" i="15"/>
  <c r="BA117" i="15"/>
  <c r="BA109" i="15"/>
  <c r="BA101" i="15"/>
  <c r="BA93" i="15"/>
  <c r="BA85" i="15"/>
  <c r="BA77" i="15"/>
  <c r="BA69" i="15"/>
  <c r="BA61" i="15"/>
  <c r="BA53" i="15"/>
  <c r="BA45" i="15"/>
  <c r="BA37" i="15"/>
  <c r="BA29" i="15"/>
  <c r="BA21" i="15"/>
  <c r="BA13" i="15"/>
  <c r="AW15" i="21"/>
  <c r="AW23" i="21"/>
  <c r="AW31" i="21"/>
  <c r="AW39" i="21"/>
  <c r="AW47" i="21"/>
  <c r="AW55" i="21"/>
  <c r="AW63" i="21"/>
  <c r="AW71" i="21"/>
  <c r="AZ130" i="14"/>
  <c r="BA127" i="14"/>
  <c r="BA119" i="14"/>
  <c r="BA111" i="14"/>
  <c r="BA103" i="14"/>
  <c r="BA95" i="14"/>
  <c r="BA87" i="14"/>
  <c r="BA79" i="14"/>
  <c r="BA71" i="14"/>
  <c r="BA63" i="14"/>
  <c r="BA55" i="14"/>
  <c r="BA47" i="14"/>
  <c r="BA39" i="14"/>
  <c r="BA31" i="14"/>
  <c r="BA23" i="14"/>
  <c r="BA15" i="14"/>
  <c r="BA126" i="14"/>
  <c r="BA118" i="14"/>
  <c r="BA110" i="14"/>
  <c r="BA102" i="14"/>
  <c r="BA94" i="14"/>
  <c r="BA86" i="14"/>
  <c r="BA78" i="14"/>
  <c r="BA70" i="14"/>
  <c r="BA62" i="14"/>
  <c r="BA54" i="14"/>
  <c r="BA46" i="14"/>
  <c r="BA38" i="14"/>
  <c r="BA30" i="14"/>
  <c r="BA22" i="14"/>
  <c r="BA14" i="14"/>
  <c r="BA125" i="14"/>
  <c r="BA117" i="14"/>
  <c r="BA109" i="14"/>
  <c r="BA101" i="14"/>
  <c r="BA93" i="14"/>
  <c r="BA85" i="14"/>
  <c r="BA77" i="14"/>
  <c r="BA69" i="14"/>
  <c r="BA61" i="14"/>
  <c r="BA53" i="14"/>
  <c r="BA45" i="14"/>
  <c r="BA37" i="14"/>
  <c r="BA29" i="14"/>
  <c r="BA21" i="14"/>
  <c r="BA13" i="14"/>
  <c r="BA132" i="14"/>
  <c r="BA124" i="14"/>
  <c r="BA116" i="14"/>
  <c r="BA108" i="14"/>
  <c r="BA100" i="14"/>
  <c r="BA92" i="14"/>
  <c r="BA84" i="14"/>
  <c r="BA76" i="14"/>
  <c r="BA68" i="14"/>
  <c r="BA60" i="14"/>
  <c r="BA52" i="14"/>
  <c r="BA44" i="14"/>
  <c r="BA36" i="14"/>
  <c r="BA28" i="14"/>
  <c r="BA20" i="14"/>
  <c r="BA12" i="14"/>
  <c r="BA131" i="14"/>
  <c r="BA123" i="14"/>
  <c r="BA115" i="14"/>
  <c r="BA107" i="14"/>
  <c r="BA99" i="14"/>
  <c r="BA91" i="14"/>
  <c r="BA83" i="14"/>
  <c r="BA75" i="14"/>
  <c r="BA67" i="14"/>
  <c r="BA59" i="14"/>
  <c r="BA51" i="14"/>
  <c r="BA43" i="14"/>
  <c r="BA35" i="14"/>
  <c r="BA27" i="14"/>
  <c r="BA19" i="14"/>
  <c r="BA11" i="14"/>
  <c r="BA130" i="14"/>
  <c r="BA122" i="14"/>
  <c r="BA114" i="14"/>
  <c r="BA106" i="14"/>
  <c r="BA98" i="14"/>
  <c r="BA90" i="14"/>
  <c r="BA82" i="14"/>
  <c r="BA74" i="14"/>
  <c r="BA66" i="14"/>
  <c r="BA58" i="14"/>
  <c r="BA50" i="14"/>
  <c r="BA42" i="14"/>
  <c r="BA34" i="14"/>
  <c r="BA26" i="14"/>
  <c r="BA18" i="14"/>
  <c r="BA10" i="14"/>
  <c r="BA129" i="14"/>
  <c r="BA121" i="14"/>
  <c r="BA113" i="14"/>
  <c r="BA105" i="14"/>
  <c r="BA97" i="14"/>
  <c r="BA89" i="14"/>
  <c r="BA81" i="14"/>
  <c r="BA73" i="14"/>
  <c r="BA65" i="14"/>
  <c r="BA57" i="14"/>
  <c r="BA49" i="14"/>
  <c r="BA41" i="14"/>
  <c r="BA33" i="14"/>
  <c r="BA25" i="14"/>
  <c r="BA17" i="14"/>
  <c r="BA9" i="14"/>
  <c r="BA128" i="14"/>
  <c r="BA120" i="14"/>
  <c r="BA112" i="14"/>
  <c r="BA104" i="14"/>
  <c r="BA96" i="14"/>
  <c r="BA88" i="14"/>
  <c r="BA80" i="14"/>
  <c r="BA72" i="14"/>
  <c r="BA64" i="14"/>
  <c r="BA56" i="14"/>
  <c r="BA48" i="14"/>
  <c r="BA40" i="14"/>
  <c r="BA32" i="14"/>
  <c r="BA24" i="14"/>
  <c r="BA16" i="14"/>
  <c r="BA8" i="14"/>
  <c r="AW8" i="21"/>
  <c r="AW16" i="21"/>
  <c r="AW24" i="21"/>
  <c r="AW32" i="21"/>
  <c r="AW40" i="21"/>
  <c r="AW48" i="21"/>
  <c r="AW56" i="21"/>
  <c r="AW64" i="21"/>
  <c r="AW72" i="21"/>
  <c r="AZ130" i="3"/>
  <c r="BA130" i="3"/>
  <c r="BA122" i="3"/>
  <c r="BA114" i="3"/>
  <c r="BA106" i="3"/>
  <c r="BA98" i="3"/>
  <c r="BA90" i="3"/>
  <c r="BA82" i="3"/>
  <c r="BA74" i="3"/>
  <c r="BA66" i="3"/>
  <c r="BA58" i="3"/>
  <c r="BA50" i="3"/>
  <c r="BA42" i="3"/>
  <c r="BA34" i="3"/>
  <c r="BA26" i="3"/>
  <c r="BA18" i="3"/>
  <c r="BA10" i="3"/>
  <c r="BA129" i="3"/>
  <c r="BA121" i="3"/>
  <c r="BA113" i="3"/>
  <c r="BA105" i="3"/>
  <c r="BA97" i="3"/>
  <c r="BA89" i="3"/>
  <c r="BA81" i="3"/>
  <c r="BA73" i="3"/>
  <c r="BA65" i="3"/>
  <c r="BA57" i="3"/>
  <c r="BA49" i="3"/>
  <c r="BA41" i="3"/>
  <c r="BA33" i="3"/>
  <c r="BA25" i="3"/>
  <c r="BA17" i="3"/>
  <c r="BA9" i="3"/>
  <c r="BA128" i="3"/>
  <c r="BA120" i="3"/>
  <c r="BA112" i="3"/>
  <c r="BA104" i="3"/>
  <c r="BA96" i="3"/>
  <c r="BA88" i="3"/>
  <c r="BA80" i="3"/>
  <c r="BA72" i="3"/>
  <c r="BA64" i="3"/>
  <c r="BA56" i="3"/>
  <c r="BA48" i="3"/>
  <c r="BA40" i="3"/>
  <c r="BA32" i="3"/>
  <c r="BA24" i="3"/>
  <c r="BA16" i="3"/>
  <c r="BA8" i="3"/>
  <c r="BA127" i="3"/>
  <c r="BA119" i="3"/>
  <c r="BA111" i="3"/>
  <c r="BA103" i="3"/>
  <c r="BA95" i="3"/>
  <c r="BA87" i="3"/>
  <c r="BA79" i="3"/>
  <c r="BA71" i="3"/>
  <c r="BA63" i="3"/>
  <c r="BA55" i="3"/>
  <c r="BA47" i="3"/>
  <c r="BA39" i="3"/>
  <c r="BA31" i="3"/>
  <c r="BA23" i="3"/>
  <c r="BA15" i="3"/>
  <c r="BA126" i="3"/>
  <c r="BA118" i="3"/>
  <c r="BA110" i="3"/>
  <c r="BA102" i="3"/>
  <c r="BA94" i="3"/>
  <c r="BA86" i="3"/>
  <c r="BA78" i="3"/>
  <c r="BA70" i="3"/>
  <c r="BA62" i="3"/>
  <c r="BA54" i="3"/>
  <c r="BA46" i="3"/>
  <c r="BA38" i="3"/>
  <c r="BA30" i="3"/>
  <c r="BA22" i="3"/>
  <c r="BA14" i="3"/>
  <c r="BA125" i="3"/>
  <c r="BA117" i="3"/>
  <c r="BA109" i="3"/>
  <c r="BA101" i="3"/>
  <c r="BA93" i="3"/>
  <c r="BA85" i="3"/>
  <c r="BA77" i="3"/>
  <c r="BA69" i="3"/>
  <c r="BA61" i="3"/>
  <c r="BA53" i="3"/>
  <c r="BA45" i="3"/>
  <c r="BA37" i="3"/>
  <c r="BA29" i="3"/>
  <c r="BA21" i="3"/>
  <c r="BA13" i="3"/>
  <c r="BA132" i="3"/>
  <c r="BA124" i="3"/>
  <c r="BA116" i="3"/>
  <c r="BA108" i="3"/>
  <c r="BA100" i="3"/>
  <c r="BA92" i="3"/>
  <c r="BA84" i="3"/>
  <c r="BA76" i="3"/>
  <c r="BA68" i="3"/>
  <c r="BA60" i="3"/>
  <c r="BA52" i="3"/>
  <c r="BA44" i="3"/>
  <c r="BA36" i="3"/>
  <c r="BA28" i="3"/>
  <c r="BA20" i="3"/>
  <c r="BA12" i="3"/>
  <c r="BA131" i="3"/>
  <c r="BA123" i="3"/>
  <c r="BA115" i="3"/>
  <c r="BA107" i="3"/>
  <c r="BA99" i="3"/>
  <c r="BA91" i="3"/>
  <c r="BA83" i="3"/>
  <c r="BA75" i="3"/>
  <c r="BA67" i="3"/>
  <c r="BA59" i="3"/>
  <c r="BA51" i="3"/>
  <c r="BA43" i="3"/>
  <c r="BA35" i="3"/>
  <c r="BA27" i="3"/>
  <c r="BA19" i="3"/>
  <c r="BA11" i="3"/>
  <c r="AW9" i="21"/>
  <c r="AW17" i="21"/>
  <c r="AW25" i="21"/>
  <c r="AW33" i="21"/>
  <c r="AW41" i="21"/>
  <c r="AW49" i="21"/>
  <c r="AW57" i="21"/>
  <c r="AW65" i="21"/>
  <c r="AW73" i="21"/>
  <c r="AZ100" i="3"/>
  <c r="AZ107" i="3"/>
  <c r="AY114" i="3"/>
  <c r="AY120" i="3"/>
  <c r="AY127" i="3"/>
  <c r="AZ132" i="3"/>
  <c r="AW7" i="21"/>
  <c r="AW10" i="21"/>
  <c r="AW18" i="21"/>
  <c r="AW26" i="21"/>
  <c r="AW34" i="21"/>
  <c r="AW42" i="21"/>
  <c r="AW50" i="21"/>
  <c r="AW58" i="21"/>
  <c r="AW66" i="21"/>
  <c r="AW74" i="21"/>
  <c r="AZ120" i="3"/>
  <c r="AZ127" i="3"/>
  <c r="BA7" i="20"/>
  <c r="AW11" i="21"/>
  <c r="AW19" i="21"/>
  <c r="AW27" i="21"/>
  <c r="AW35" i="21"/>
  <c r="AW43" i="21"/>
  <c r="AW51" i="21"/>
  <c r="AW59" i="21"/>
  <c r="AW67" i="21"/>
  <c r="AW75" i="21"/>
  <c r="AY25" i="14"/>
  <c r="AY29" i="14"/>
  <c r="AY33" i="14"/>
  <c r="AY37" i="14"/>
  <c r="AY41" i="14"/>
  <c r="AY45" i="14"/>
  <c r="AY49" i="14"/>
  <c r="AY53" i="14"/>
  <c r="AY57" i="14"/>
  <c r="AY61" i="14"/>
  <c r="AY65" i="14"/>
  <c r="AY69" i="14"/>
  <c r="AY73" i="14"/>
  <c r="AY77" i="14"/>
  <c r="AY81" i="14"/>
  <c r="AY85" i="14"/>
  <c r="AY89" i="14"/>
  <c r="AY93" i="14"/>
  <c r="AY97" i="14"/>
  <c r="AY101" i="14"/>
  <c r="AY105" i="14"/>
  <c r="AY109" i="14"/>
  <c r="AY113" i="14"/>
  <c r="AY117" i="14"/>
  <c r="AY121" i="14"/>
  <c r="AY125" i="14"/>
  <c r="AY129" i="14"/>
  <c r="AY7" i="3"/>
  <c r="AY13" i="3"/>
  <c r="AY17" i="3"/>
  <c r="AY21" i="3"/>
  <c r="AY25" i="3"/>
  <c r="AY29" i="3"/>
  <c r="AY33" i="3"/>
  <c r="AY37" i="3"/>
  <c r="AY41" i="3"/>
  <c r="AY45" i="3"/>
  <c r="AY49" i="3"/>
  <c r="AY53" i="3"/>
  <c r="AY57" i="3"/>
  <c r="AY61" i="3"/>
  <c r="AY65" i="3"/>
  <c r="AY69" i="3"/>
  <c r="AY73" i="3"/>
  <c r="AY77" i="3"/>
  <c r="AY81" i="3"/>
  <c r="AY85" i="3"/>
  <c r="AY89" i="3"/>
  <c r="AY93" i="3"/>
  <c r="AY97" i="3"/>
  <c r="AY101" i="3"/>
  <c r="AY105" i="3"/>
  <c r="AY109" i="3"/>
  <c r="AY113" i="3"/>
  <c r="AY117" i="3"/>
  <c r="AY121" i="3"/>
  <c r="AY125" i="3"/>
  <c r="AY129" i="3"/>
  <c r="AZ25" i="14"/>
  <c r="AZ29" i="14"/>
  <c r="AZ33" i="14"/>
  <c r="AZ37" i="14"/>
  <c r="AZ41" i="14"/>
  <c r="AZ45" i="14"/>
  <c r="AZ49" i="14"/>
  <c r="AZ53" i="14"/>
  <c r="AZ57" i="14"/>
  <c r="AZ61" i="14"/>
  <c r="AZ65" i="14"/>
  <c r="AZ69" i="14"/>
  <c r="AZ73" i="14"/>
  <c r="AZ77" i="14"/>
  <c r="AZ81" i="14"/>
  <c r="AZ85" i="14"/>
  <c r="AZ89" i="14"/>
  <c r="AZ93" i="14"/>
  <c r="AZ97" i="14"/>
  <c r="AZ101" i="14"/>
  <c r="AZ105" i="14"/>
  <c r="AZ109" i="14"/>
  <c r="AZ113" i="14"/>
  <c r="AZ117" i="14"/>
  <c r="AZ121" i="14"/>
  <c r="AZ125" i="14"/>
  <c r="AZ129" i="14"/>
  <c r="AZ7" i="3"/>
  <c r="AY10" i="3"/>
  <c r="AZ13" i="3"/>
  <c r="AZ17" i="3"/>
  <c r="AZ21" i="3"/>
  <c r="AZ25" i="3"/>
  <c r="AZ29" i="3"/>
  <c r="AZ33" i="3"/>
  <c r="AZ37" i="3"/>
  <c r="AZ41" i="3"/>
  <c r="AZ45" i="3"/>
  <c r="AZ49" i="3"/>
  <c r="AZ53" i="3"/>
  <c r="AZ57" i="3"/>
  <c r="AZ61" i="3"/>
  <c r="AZ65" i="3"/>
  <c r="AZ69" i="3"/>
  <c r="AZ73" i="3"/>
  <c r="AZ77" i="3"/>
  <c r="AZ81" i="3"/>
  <c r="AZ85" i="3"/>
  <c r="AZ89" i="3"/>
  <c r="AZ93" i="3"/>
  <c r="AZ97" i="3"/>
  <c r="AZ101" i="3"/>
  <c r="AZ105" i="3"/>
  <c r="AZ109" i="3"/>
  <c r="AZ113" i="3"/>
  <c r="AZ117" i="3"/>
  <c r="AZ121" i="3"/>
  <c r="AZ125" i="3"/>
  <c r="AZ129" i="3"/>
  <c r="AZ22" i="14"/>
  <c r="AZ26" i="14"/>
  <c r="AZ30" i="14"/>
  <c r="AZ34" i="14"/>
  <c r="AZ38" i="14"/>
  <c r="AZ42" i="14"/>
  <c r="AZ46" i="14"/>
  <c r="AZ50" i="14"/>
  <c r="AZ54" i="14"/>
  <c r="AZ58" i="14"/>
  <c r="AZ62" i="14"/>
  <c r="AZ66" i="14"/>
  <c r="AZ70" i="14"/>
  <c r="AZ74" i="14"/>
  <c r="AZ78" i="14"/>
  <c r="AZ82" i="14"/>
  <c r="AZ86" i="14"/>
  <c r="AZ90" i="14"/>
  <c r="AZ94" i="14"/>
  <c r="AZ98" i="14"/>
  <c r="AZ102" i="14"/>
  <c r="AZ106" i="14"/>
  <c r="AZ110" i="14"/>
  <c r="AZ114" i="14"/>
  <c r="AZ118" i="14"/>
  <c r="AZ122" i="14"/>
  <c r="AZ126" i="14"/>
  <c r="AY8" i="3"/>
  <c r="AZ14" i="3"/>
  <c r="AZ18" i="3"/>
  <c r="AZ22" i="3"/>
  <c r="AZ26" i="3"/>
  <c r="AZ30" i="3"/>
  <c r="AZ34" i="3"/>
  <c r="AZ38" i="3"/>
  <c r="AZ42" i="3"/>
  <c r="AZ46" i="3"/>
  <c r="AZ50" i="3"/>
  <c r="AZ54" i="3"/>
  <c r="AZ58" i="3"/>
  <c r="AZ62" i="3"/>
  <c r="AZ66" i="3"/>
  <c r="AZ70" i="3"/>
  <c r="AZ74" i="3"/>
  <c r="AZ78" i="3"/>
  <c r="AZ82" i="3"/>
  <c r="AZ86" i="3"/>
  <c r="AZ90" i="3"/>
  <c r="AZ94" i="3"/>
  <c r="AZ98" i="3"/>
  <c r="AZ102" i="3"/>
  <c r="AZ106" i="3"/>
  <c r="AZ110" i="3"/>
  <c r="AZ114" i="3"/>
  <c r="AZ118" i="3"/>
  <c r="AZ122" i="3"/>
  <c r="AZ126" i="3"/>
  <c r="D32" i="25" a="1"/>
  <c r="D34" i="25" s="1"/>
  <c r="D8" i="25" a="1"/>
  <c r="D8" i="25" s="1"/>
  <c r="E8" i="25" s="1"/>
  <c r="D46" i="25" l="1"/>
  <c r="E46" i="25" s="1"/>
  <c r="D38" i="25"/>
  <c r="E38" i="25" s="1"/>
  <c r="D33" i="25"/>
  <c r="E33" i="25" s="1"/>
  <c r="D32" i="25"/>
  <c r="D47" i="25"/>
  <c r="D45" i="25"/>
  <c r="D37" i="25"/>
  <c r="E37" i="25" s="1"/>
  <c r="D41" i="25"/>
  <c r="E41" i="25" s="1"/>
  <c r="D48" i="25"/>
  <c r="E48" i="25" s="1"/>
  <c r="D39" i="25"/>
  <c r="E39" i="25" s="1"/>
  <c r="D52" i="25"/>
  <c r="E52" i="25" s="1"/>
  <c r="D44" i="25"/>
  <c r="E44" i="25" s="1"/>
  <c r="D36" i="25"/>
  <c r="E36" i="25" s="1"/>
  <c r="D49" i="25"/>
  <c r="E49" i="25" s="1"/>
  <c r="D40" i="25"/>
  <c r="D51" i="25"/>
  <c r="E51" i="25" s="1"/>
  <c r="D43" i="25"/>
  <c r="E43" i="25" s="1"/>
  <c r="D35" i="25"/>
  <c r="E35" i="25" s="1"/>
  <c r="D50" i="25"/>
  <c r="E50" i="25" s="1"/>
  <c r="D42" i="25"/>
  <c r="E42" i="25" s="1"/>
  <c r="E47" i="25"/>
  <c r="E45" i="25"/>
  <c r="E32" i="25"/>
  <c r="E40" i="25"/>
  <c r="E34" i="25"/>
  <c r="F8" i="25"/>
  <c r="D22" i="25"/>
  <c r="E22" i="25" s="1"/>
  <c r="D13" i="25"/>
  <c r="E13" i="25" s="1"/>
  <c r="D9" i="25"/>
  <c r="E9" i="25" s="1"/>
  <c r="F9" i="25" s="1"/>
  <c r="D23" i="25"/>
  <c r="E23" i="25" s="1"/>
  <c r="D15" i="25"/>
  <c r="E15" i="25" s="1"/>
  <c r="D14" i="25"/>
  <c r="E14" i="25" s="1"/>
  <c r="D21" i="25"/>
  <c r="E21" i="25" s="1"/>
  <c r="D28" i="25"/>
  <c r="E28" i="25" s="1"/>
  <c r="D20" i="25"/>
  <c r="E20" i="25" s="1"/>
  <c r="D12" i="25"/>
  <c r="E12" i="25" s="1"/>
  <c r="D27" i="25"/>
  <c r="E27" i="25" s="1"/>
  <c r="D19" i="25"/>
  <c r="E19" i="25" s="1"/>
  <c r="D11" i="25"/>
  <c r="E11" i="25" s="1"/>
  <c r="D26" i="25"/>
  <c r="E26" i="25" s="1"/>
  <c r="D18" i="25"/>
  <c r="E18" i="25" s="1"/>
  <c r="D10" i="25"/>
  <c r="E10" i="25" s="1"/>
  <c r="D25" i="25"/>
  <c r="E25" i="25" s="1"/>
  <c r="D17" i="25"/>
  <c r="E17" i="25" s="1"/>
  <c r="D24" i="25"/>
  <c r="E24" i="25" s="1"/>
  <c r="D16" i="25"/>
  <c r="E16" i="25" s="1"/>
  <c r="F11" i="25" l="1"/>
  <c r="F28" i="25"/>
  <c r="W11" i="25" s="1"/>
  <c r="F13" i="25"/>
  <c r="H11" i="25" s="1"/>
  <c r="F17" i="25"/>
  <c r="L11" i="25" s="1"/>
  <c r="F40" i="25"/>
  <c r="F48" i="25"/>
  <c r="F49" i="25"/>
  <c r="F47" i="25"/>
  <c r="F33" i="25"/>
  <c r="F41" i="25"/>
  <c r="F38" i="25"/>
  <c r="F34" i="25"/>
  <c r="F42" i="25"/>
  <c r="F50" i="25"/>
  <c r="F35" i="25"/>
  <c r="F43" i="25"/>
  <c r="F51" i="25"/>
  <c r="F46" i="25"/>
  <c r="F36" i="25"/>
  <c r="F44" i="25"/>
  <c r="F52" i="25"/>
  <c r="F37" i="25"/>
  <c r="F45" i="25"/>
  <c r="F32" i="25"/>
  <c r="F39" i="25"/>
  <c r="F19" i="25"/>
  <c r="N9" i="25" s="1"/>
  <c r="F21" i="25"/>
  <c r="P11" i="25" s="1"/>
  <c r="F23" i="25"/>
  <c r="R11" i="25" s="1"/>
  <c r="F26" i="25"/>
  <c r="F22" i="25"/>
  <c r="Q11" i="25" s="1"/>
  <c r="F20" i="25"/>
  <c r="O11" i="25" s="1"/>
  <c r="F10" i="25"/>
  <c r="F24" i="25"/>
  <c r="S11" i="25" s="1"/>
  <c r="F18" i="25"/>
  <c r="M8" i="25" s="1"/>
  <c r="F12" i="25"/>
  <c r="F15" i="25"/>
  <c r="J9" i="25" s="1"/>
  <c r="F16" i="25"/>
  <c r="K11" i="25" s="1"/>
  <c r="F25" i="25"/>
  <c r="F27" i="25"/>
  <c r="V11" i="25" s="1"/>
  <c r="F14" i="25"/>
  <c r="I8" i="25" s="1"/>
  <c r="O9" i="25" l="1"/>
  <c r="W9" i="25"/>
  <c r="V9" i="25"/>
  <c r="K9" i="25"/>
  <c r="L8" i="25"/>
  <c r="H8" i="25"/>
  <c r="R9" i="25"/>
  <c r="S8" i="25"/>
  <c r="W8" i="25"/>
  <c r="K8" i="25"/>
  <c r="O8" i="25"/>
  <c r="M25" i="25"/>
  <c r="U25" i="25"/>
  <c r="N25" i="25"/>
  <c r="V25" i="25"/>
  <c r="H25" i="25"/>
  <c r="P25" i="25"/>
  <c r="G25" i="25"/>
  <c r="I25" i="25"/>
  <c r="Q25" i="25"/>
  <c r="O25" i="25"/>
  <c r="J25" i="25"/>
  <c r="R25" i="25"/>
  <c r="K25" i="25"/>
  <c r="S25" i="25"/>
  <c r="L25" i="25"/>
  <c r="T25" i="25"/>
  <c r="W25" i="25"/>
  <c r="M16" i="25"/>
  <c r="U16" i="25"/>
  <c r="N16" i="25"/>
  <c r="V16" i="25"/>
  <c r="O16" i="25"/>
  <c r="W16" i="25"/>
  <c r="H16" i="25"/>
  <c r="P16" i="25"/>
  <c r="I16" i="25"/>
  <c r="Q16" i="25"/>
  <c r="G16" i="25"/>
  <c r="J16" i="25"/>
  <c r="R16" i="25"/>
  <c r="K16" i="25"/>
  <c r="S16" i="25"/>
  <c r="L16" i="25"/>
  <c r="T16" i="25"/>
  <c r="M17" i="25"/>
  <c r="U17" i="25"/>
  <c r="N17" i="25"/>
  <c r="V17" i="25"/>
  <c r="W17" i="25"/>
  <c r="O17" i="25"/>
  <c r="H17" i="25"/>
  <c r="P17" i="25"/>
  <c r="G17" i="25"/>
  <c r="I17" i="25"/>
  <c r="Q17" i="25"/>
  <c r="J17" i="25"/>
  <c r="R17" i="25"/>
  <c r="K17" i="25"/>
  <c r="S17" i="25"/>
  <c r="L17" i="25"/>
  <c r="T17" i="25"/>
  <c r="M12" i="25"/>
  <c r="U12" i="25"/>
  <c r="N12" i="25"/>
  <c r="V12" i="25"/>
  <c r="O12" i="25"/>
  <c r="W12" i="25"/>
  <c r="H12" i="25"/>
  <c r="P12" i="25"/>
  <c r="I12" i="25"/>
  <c r="Q12" i="25"/>
  <c r="J12" i="25"/>
  <c r="R12" i="25"/>
  <c r="K12" i="25"/>
  <c r="S12" i="25"/>
  <c r="G12" i="25"/>
  <c r="L12" i="25"/>
  <c r="T12" i="25"/>
  <c r="M21" i="25"/>
  <c r="U21" i="25"/>
  <c r="N21" i="25"/>
  <c r="V21" i="25"/>
  <c r="O21" i="25"/>
  <c r="W21" i="25"/>
  <c r="H21" i="25"/>
  <c r="P21" i="25"/>
  <c r="I21" i="25"/>
  <c r="Q21" i="25"/>
  <c r="J21" i="25"/>
  <c r="R21" i="25"/>
  <c r="K21" i="25"/>
  <c r="S21" i="25"/>
  <c r="L21" i="25"/>
  <c r="T21" i="25"/>
  <c r="G21" i="25"/>
  <c r="M13" i="25"/>
  <c r="U13" i="25"/>
  <c r="N13" i="25"/>
  <c r="V13" i="25"/>
  <c r="O13" i="25"/>
  <c r="W13" i="25"/>
  <c r="H13" i="25"/>
  <c r="P13" i="25"/>
  <c r="I13" i="25"/>
  <c r="Q13" i="25"/>
  <c r="J13" i="25"/>
  <c r="R13" i="25"/>
  <c r="K13" i="25"/>
  <c r="S13" i="25"/>
  <c r="L13" i="25"/>
  <c r="T13" i="25"/>
  <c r="G13" i="25"/>
  <c r="Q9" i="25"/>
  <c r="R8" i="25"/>
  <c r="V8" i="25"/>
  <c r="G11" i="25"/>
  <c r="M26" i="25"/>
  <c r="U26" i="25"/>
  <c r="N26" i="25"/>
  <c r="V26" i="25"/>
  <c r="W26" i="25"/>
  <c r="H26" i="25"/>
  <c r="P26" i="25"/>
  <c r="O26" i="25"/>
  <c r="I26" i="25"/>
  <c r="Q26" i="25"/>
  <c r="G26" i="25"/>
  <c r="J26" i="25"/>
  <c r="R26" i="25"/>
  <c r="K26" i="25"/>
  <c r="S26" i="25"/>
  <c r="L26" i="25"/>
  <c r="T26" i="25"/>
  <c r="M15" i="25"/>
  <c r="U15" i="25"/>
  <c r="N15" i="25"/>
  <c r="V15" i="25"/>
  <c r="G15" i="25"/>
  <c r="O15" i="25"/>
  <c r="W15" i="25"/>
  <c r="H15" i="25"/>
  <c r="P15" i="25"/>
  <c r="I15" i="25"/>
  <c r="Q15" i="25"/>
  <c r="J15" i="25"/>
  <c r="R15" i="25"/>
  <c r="K15" i="25"/>
  <c r="S15" i="25"/>
  <c r="L15" i="25"/>
  <c r="T15" i="25"/>
  <c r="M19" i="25"/>
  <c r="U19" i="25"/>
  <c r="N19" i="25"/>
  <c r="V19" i="25"/>
  <c r="H19" i="25"/>
  <c r="P19" i="25"/>
  <c r="W19" i="25"/>
  <c r="I19" i="25"/>
  <c r="Q19" i="25"/>
  <c r="J19" i="25"/>
  <c r="R19" i="25"/>
  <c r="G19" i="25"/>
  <c r="K19" i="25"/>
  <c r="S19" i="25"/>
  <c r="O19" i="25"/>
  <c r="L19" i="25"/>
  <c r="T19" i="25"/>
  <c r="M28" i="25"/>
  <c r="U28" i="25"/>
  <c r="N28" i="25"/>
  <c r="V28" i="25"/>
  <c r="H28" i="25"/>
  <c r="P28" i="25"/>
  <c r="I28" i="25"/>
  <c r="Q28" i="25"/>
  <c r="J28" i="25"/>
  <c r="R28" i="25"/>
  <c r="O28" i="25"/>
  <c r="K28" i="25"/>
  <c r="S28" i="25"/>
  <c r="G28" i="25"/>
  <c r="W28" i="25"/>
  <c r="L28" i="25"/>
  <c r="T28" i="25"/>
  <c r="I9" i="25"/>
  <c r="U9" i="25"/>
  <c r="J8" i="25"/>
  <c r="N8" i="25"/>
  <c r="M23" i="25"/>
  <c r="U23" i="25"/>
  <c r="N23" i="25"/>
  <c r="V23" i="25"/>
  <c r="G23" i="25"/>
  <c r="W23" i="25"/>
  <c r="O23" i="25"/>
  <c r="H23" i="25"/>
  <c r="P23" i="25"/>
  <c r="I23" i="25"/>
  <c r="Q23" i="25"/>
  <c r="J23" i="25"/>
  <c r="R23" i="25"/>
  <c r="K23" i="25"/>
  <c r="S23" i="25"/>
  <c r="L23" i="25"/>
  <c r="T23" i="25"/>
  <c r="T9" i="25"/>
  <c r="G9" i="25"/>
  <c r="M9" i="25"/>
  <c r="Q8" i="25"/>
  <c r="U8" i="25"/>
  <c r="J11" i="25"/>
  <c r="N11" i="25"/>
  <c r="M24" i="25"/>
  <c r="U24" i="25"/>
  <c r="N24" i="25"/>
  <c r="V24" i="25"/>
  <c r="G24" i="25"/>
  <c r="H24" i="25"/>
  <c r="P24" i="25"/>
  <c r="I24" i="25"/>
  <c r="Q24" i="25"/>
  <c r="J24" i="25"/>
  <c r="R24" i="25"/>
  <c r="O24" i="25"/>
  <c r="K24" i="25"/>
  <c r="S24" i="25"/>
  <c r="W24" i="25"/>
  <c r="L24" i="25"/>
  <c r="T24" i="25"/>
  <c r="M10" i="25"/>
  <c r="U10" i="25"/>
  <c r="N10" i="25"/>
  <c r="V10" i="25"/>
  <c r="O10" i="25"/>
  <c r="W10" i="25"/>
  <c r="H10" i="25"/>
  <c r="P10" i="25"/>
  <c r="I10" i="25"/>
  <c r="Q10" i="25"/>
  <c r="G10" i="25"/>
  <c r="J10" i="25"/>
  <c r="R10" i="25"/>
  <c r="K10" i="25"/>
  <c r="S10" i="25"/>
  <c r="L10" i="25"/>
  <c r="T10" i="25"/>
  <c r="L9" i="25"/>
  <c r="P9" i="25"/>
  <c r="G8" i="25"/>
  <c r="U11" i="25"/>
  <c r="M22" i="25"/>
  <c r="U22" i="25"/>
  <c r="G22" i="25"/>
  <c r="N22" i="25"/>
  <c r="V22" i="25"/>
  <c r="O22" i="25"/>
  <c r="H22" i="25"/>
  <c r="P22" i="25"/>
  <c r="I22" i="25"/>
  <c r="Q22" i="25"/>
  <c r="J22" i="25"/>
  <c r="R22" i="25"/>
  <c r="K22" i="25"/>
  <c r="S22" i="25"/>
  <c r="W22" i="25"/>
  <c r="L22" i="25"/>
  <c r="T22" i="25"/>
  <c r="M18" i="25"/>
  <c r="U18" i="25"/>
  <c r="N18" i="25"/>
  <c r="V18" i="25"/>
  <c r="O18" i="25"/>
  <c r="H18" i="25"/>
  <c r="P18" i="25"/>
  <c r="I18" i="25"/>
  <c r="Q18" i="25"/>
  <c r="G18" i="25"/>
  <c r="J18" i="25"/>
  <c r="R18" i="25"/>
  <c r="K18" i="25"/>
  <c r="S18" i="25"/>
  <c r="L18" i="25"/>
  <c r="T18" i="25"/>
  <c r="W18" i="25"/>
  <c r="M14" i="25"/>
  <c r="U14" i="25"/>
  <c r="G14" i="25"/>
  <c r="N14" i="25"/>
  <c r="V14" i="25"/>
  <c r="O14" i="25"/>
  <c r="W14" i="25"/>
  <c r="H14" i="25"/>
  <c r="P14" i="25"/>
  <c r="I14" i="25"/>
  <c r="Q14" i="25"/>
  <c r="J14" i="25"/>
  <c r="R14" i="25"/>
  <c r="K14" i="25"/>
  <c r="S14" i="25"/>
  <c r="L14" i="25"/>
  <c r="T14" i="25"/>
  <c r="M27" i="25"/>
  <c r="U27" i="25"/>
  <c r="N27" i="25"/>
  <c r="V27" i="25"/>
  <c r="W27" i="25"/>
  <c r="H27" i="25"/>
  <c r="P27" i="25"/>
  <c r="I27" i="25"/>
  <c r="Q27" i="25"/>
  <c r="J27" i="25"/>
  <c r="R27" i="25"/>
  <c r="G27" i="25"/>
  <c r="K27" i="25"/>
  <c r="S27" i="25"/>
  <c r="O27" i="25"/>
  <c r="L27" i="25"/>
  <c r="T27" i="25"/>
  <c r="M20" i="25"/>
  <c r="U20" i="25"/>
  <c r="N20" i="25"/>
  <c r="V20" i="25"/>
  <c r="H20" i="25"/>
  <c r="P20" i="25"/>
  <c r="I20" i="25"/>
  <c r="Q20" i="25"/>
  <c r="W20" i="25"/>
  <c r="J20" i="25"/>
  <c r="R20" i="25"/>
  <c r="O20" i="25"/>
  <c r="K20" i="25"/>
  <c r="S20" i="25"/>
  <c r="G20" i="25"/>
  <c r="L20" i="25"/>
  <c r="T20" i="25"/>
  <c r="S9" i="25"/>
  <c r="H9" i="25"/>
  <c r="T8" i="25"/>
  <c r="P8" i="25"/>
  <c r="T11" i="25"/>
  <c r="I11" i="25"/>
  <c r="M11" i="25"/>
  <c r="U46" i="25"/>
  <c r="M46" i="25"/>
  <c r="T46" i="25"/>
  <c r="L46" i="25"/>
  <c r="V46" i="25"/>
  <c r="S46" i="25"/>
  <c r="K46" i="25"/>
  <c r="R46" i="25"/>
  <c r="J46" i="25"/>
  <c r="W46" i="25"/>
  <c r="Q46" i="25"/>
  <c r="I46" i="25"/>
  <c r="P46" i="25"/>
  <c r="H46" i="25"/>
  <c r="G46" i="25"/>
  <c r="O46" i="25"/>
  <c r="N46" i="25"/>
  <c r="T52" i="25"/>
  <c r="M52" i="25"/>
  <c r="L52" i="25"/>
  <c r="J52" i="25"/>
  <c r="I52" i="25"/>
  <c r="U52" i="25"/>
  <c r="Q52" i="25"/>
  <c r="K52" i="25"/>
  <c r="S52" i="25"/>
  <c r="H52" i="25"/>
  <c r="P52" i="25"/>
  <c r="G52" i="25"/>
  <c r="R52" i="25"/>
  <c r="N52" i="25"/>
  <c r="O52" i="25"/>
  <c r="V52" i="25"/>
  <c r="W52" i="25"/>
  <c r="K45" i="25"/>
  <c r="Q40" i="25"/>
  <c r="I40" i="25"/>
  <c r="G40" i="25"/>
  <c r="J40" i="25"/>
  <c r="L40" i="25"/>
  <c r="O40" i="25"/>
  <c r="H40" i="25"/>
  <c r="R40" i="25"/>
  <c r="K40" i="25"/>
  <c r="T40" i="25"/>
  <c r="W40" i="25"/>
  <c r="S40" i="25"/>
  <c r="M40" i="25"/>
  <c r="N40" i="25"/>
  <c r="P40" i="25"/>
  <c r="U40" i="25"/>
  <c r="V40" i="25"/>
  <c r="U44" i="25"/>
  <c r="L44" i="25"/>
  <c r="T44" i="25"/>
  <c r="J44" i="25"/>
  <c r="W44" i="25"/>
  <c r="R44" i="25"/>
  <c r="I44" i="25"/>
  <c r="Q44" i="25"/>
  <c r="H44" i="25"/>
  <c r="M44" i="25"/>
  <c r="P44" i="25"/>
  <c r="G44" i="25"/>
  <c r="O44" i="25"/>
  <c r="V44" i="25"/>
  <c r="N44" i="25"/>
  <c r="K44" i="25"/>
  <c r="S44" i="25"/>
  <c r="R34" i="25"/>
  <c r="J34" i="25"/>
  <c r="I34" i="25"/>
  <c r="Q34" i="25"/>
  <c r="L34" i="25"/>
  <c r="S34" i="25"/>
  <c r="P34" i="25"/>
  <c r="H34" i="25"/>
  <c r="K34" i="25"/>
  <c r="W34" i="25"/>
  <c r="O34" i="25"/>
  <c r="G34" i="25"/>
  <c r="V34" i="25"/>
  <c r="N34" i="25"/>
  <c r="U34" i="25"/>
  <c r="M34" i="25"/>
  <c r="T34" i="25"/>
  <c r="R39" i="25"/>
  <c r="I39" i="25"/>
  <c r="Q39" i="25"/>
  <c r="H39" i="25"/>
  <c r="U39" i="25"/>
  <c r="J39" i="25"/>
  <c r="T39" i="25"/>
  <c r="P39" i="25"/>
  <c r="G39" i="25"/>
  <c r="O39" i="25"/>
  <c r="W39" i="25"/>
  <c r="N39" i="25"/>
  <c r="V39" i="25"/>
  <c r="L39" i="25"/>
  <c r="M39" i="25"/>
  <c r="S39" i="25"/>
  <c r="K39" i="25"/>
  <c r="M47" i="25"/>
  <c r="R42" i="25"/>
  <c r="I42" i="25"/>
  <c r="H42" i="25"/>
  <c r="Q42" i="25"/>
  <c r="P42" i="25"/>
  <c r="G42" i="25"/>
  <c r="L42" i="25"/>
  <c r="T42" i="25"/>
  <c r="O42" i="25"/>
  <c r="W42" i="25"/>
  <c r="N42" i="25"/>
  <c r="V42" i="25"/>
  <c r="M42" i="25"/>
  <c r="U42" i="25"/>
  <c r="J42" i="25"/>
  <c r="S42" i="25"/>
  <c r="K42" i="25"/>
  <c r="Q36" i="25"/>
  <c r="H36" i="25"/>
  <c r="P36" i="25"/>
  <c r="G36" i="25"/>
  <c r="U36" i="25"/>
  <c r="R36" i="25"/>
  <c r="O36" i="25"/>
  <c r="T36" i="25"/>
  <c r="W36" i="25"/>
  <c r="N36" i="25"/>
  <c r="V36" i="25"/>
  <c r="M36" i="25"/>
  <c r="J36" i="25"/>
  <c r="L36" i="25"/>
  <c r="I36" i="25"/>
  <c r="S36" i="25"/>
  <c r="K36" i="25"/>
  <c r="S38" i="25"/>
  <c r="R38" i="25"/>
  <c r="J38" i="25"/>
  <c r="I38" i="25"/>
  <c r="Q38" i="25"/>
  <c r="M38" i="25"/>
  <c r="P38" i="25"/>
  <c r="H38" i="25"/>
  <c r="W38" i="25"/>
  <c r="O38" i="25"/>
  <c r="G38" i="25"/>
  <c r="L38" i="25"/>
  <c r="V38" i="25"/>
  <c r="N38" i="25"/>
  <c r="U38" i="25"/>
  <c r="T38" i="25"/>
  <c r="K38" i="25"/>
  <c r="Q51" i="25"/>
  <c r="N51" i="25"/>
  <c r="M51" i="25"/>
  <c r="T51" i="25"/>
  <c r="R51" i="25"/>
  <c r="L51" i="25"/>
  <c r="J51" i="25"/>
  <c r="V51" i="25"/>
  <c r="U51" i="25"/>
  <c r="G51" i="25"/>
  <c r="H51" i="25"/>
  <c r="K51" i="25"/>
  <c r="I51" i="25"/>
  <c r="S51" i="25"/>
  <c r="W51" i="25"/>
  <c r="P51" i="25"/>
  <c r="O51" i="25"/>
  <c r="R32" i="25"/>
  <c r="I32" i="25"/>
  <c r="Q32" i="25"/>
  <c r="H32" i="25"/>
  <c r="M32" i="25"/>
  <c r="T32" i="25"/>
  <c r="J32" i="25"/>
  <c r="P32" i="25"/>
  <c r="G32" i="25"/>
  <c r="L32" i="25"/>
  <c r="O32" i="25"/>
  <c r="W32" i="25"/>
  <c r="N32" i="25"/>
  <c r="V32" i="25"/>
  <c r="U32" i="25"/>
  <c r="K32" i="25"/>
  <c r="S32" i="25"/>
  <c r="T43" i="25"/>
  <c r="J43" i="25"/>
  <c r="I43" i="25"/>
  <c r="V43" i="25"/>
  <c r="U43" i="25"/>
  <c r="R43" i="25"/>
  <c r="L43" i="25"/>
  <c r="Q43" i="25"/>
  <c r="H43" i="25"/>
  <c r="P43" i="25"/>
  <c r="G43" i="25"/>
  <c r="M43" i="25"/>
  <c r="O43" i="25"/>
  <c r="W43" i="25"/>
  <c r="N43" i="25"/>
  <c r="S43" i="25"/>
  <c r="K43" i="25"/>
  <c r="N47" i="25"/>
  <c r="L47" i="25"/>
  <c r="O47" i="25"/>
  <c r="W47" i="25"/>
  <c r="J47" i="25"/>
  <c r="P47" i="25"/>
  <c r="V47" i="25"/>
  <c r="I47" i="25"/>
  <c r="R47" i="25"/>
  <c r="H47" i="25"/>
  <c r="Q47" i="25"/>
  <c r="G47" i="25"/>
  <c r="K47" i="25"/>
  <c r="S47" i="25"/>
  <c r="T47" i="25"/>
  <c r="U47" i="25"/>
  <c r="Q41" i="25"/>
  <c r="H41" i="25"/>
  <c r="P41" i="25"/>
  <c r="G41" i="25"/>
  <c r="J41" i="25"/>
  <c r="O41" i="25"/>
  <c r="W41" i="25"/>
  <c r="N41" i="25"/>
  <c r="R41" i="25"/>
  <c r="V41" i="25"/>
  <c r="M41" i="25"/>
  <c r="L41" i="25"/>
  <c r="I41" i="25"/>
  <c r="U41" i="25"/>
  <c r="T41" i="25"/>
  <c r="K41" i="25"/>
  <c r="S41" i="25"/>
  <c r="R33" i="25"/>
  <c r="J33" i="25"/>
  <c r="Q33" i="25"/>
  <c r="U33" i="25"/>
  <c r="I33" i="25"/>
  <c r="P33" i="25"/>
  <c r="H33" i="25"/>
  <c r="O33" i="25"/>
  <c r="G33" i="25"/>
  <c r="L33" i="25"/>
  <c r="W33" i="25"/>
  <c r="N33" i="25"/>
  <c r="M33" i="25"/>
  <c r="K33" i="25"/>
  <c r="V33" i="25"/>
  <c r="T33" i="25"/>
  <c r="S33" i="25"/>
  <c r="V45" i="25"/>
  <c r="M45" i="25"/>
  <c r="U45" i="25"/>
  <c r="O45" i="25"/>
  <c r="L45" i="25"/>
  <c r="N45" i="25"/>
  <c r="T45" i="25"/>
  <c r="J45" i="25"/>
  <c r="R45" i="25"/>
  <c r="I45" i="25"/>
  <c r="W45" i="25"/>
  <c r="Q45" i="25"/>
  <c r="H45" i="25"/>
  <c r="P45" i="25"/>
  <c r="G45" i="25"/>
  <c r="S45" i="25"/>
  <c r="Q35" i="25"/>
  <c r="I35" i="25"/>
  <c r="H35" i="25"/>
  <c r="K35" i="25"/>
  <c r="J35" i="25"/>
  <c r="P35" i="25"/>
  <c r="W35" i="25"/>
  <c r="O35" i="25"/>
  <c r="G35" i="25"/>
  <c r="V35" i="25"/>
  <c r="N35" i="25"/>
  <c r="L35" i="25"/>
  <c r="U35" i="25"/>
  <c r="M35" i="25"/>
  <c r="T35" i="25"/>
  <c r="R35" i="25"/>
  <c r="S35" i="25"/>
  <c r="S49" i="25"/>
  <c r="T49" i="25"/>
  <c r="P49" i="25"/>
  <c r="V49" i="25"/>
  <c r="O49" i="25"/>
  <c r="U49" i="25"/>
  <c r="N49" i="25"/>
  <c r="M49" i="25"/>
  <c r="W49" i="25"/>
  <c r="G49" i="25"/>
  <c r="L49" i="25"/>
  <c r="H49" i="25"/>
  <c r="Q49" i="25"/>
  <c r="R49" i="25"/>
  <c r="K49" i="25"/>
  <c r="I49" i="25"/>
  <c r="J49" i="25"/>
  <c r="R37" i="25"/>
  <c r="I37" i="25"/>
  <c r="Q37" i="25"/>
  <c r="U37" i="25"/>
  <c r="H37" i="25"/>
  <c r="L37" i="25"/>
  <c r="T37" i="25"/>
  <c r="P37" i="25"/>
  <c r="G37" i="25"/>
  <c r="V37" i="25"/>
  <c r="O37" i="25"/>
  <c r="J37" i="25"/>
  <c r="W37" i="25"/>
  <c r="N37" i="25"/>
  <c r="M37" i="25"/>
  <c r="K37" i="25"/>
  <c r="S37" i="25"/>
  <c r="R50" i="25"/>
  <c r="O50" i="25"/>
  <c r="N50" i="25"/>
  <c r="M50" i="25"/>
  <c r="L50" i="25"/>
  <c r="T50" i="25"/>
  <c r="W50" i="25"/>
  <c r="G50" i="25"/>
  <c r="V50" i="25"/>
  <c r="U50" i="25"/>
  <c r="H50" i="25"/>
  <c r="I50" i="25"/>
  <c r="J50" i="25"/>
  <c r="K50" i="25"/>
  <c r="P50" i="25"/>
  <c r="Q50" i="25"/>
  <c r="S50" i="25"/>
  <c r="P48" i="25"/>
  <c r="Q48" i="25"/>
  <c r="I48" i="25"/>
  <c r="M48" i="25"/>
  <c r="N48" i="25"/>
  <c r="U48" i="25"/>
  <c r="V48" i="25"/>
  <c r="J48" i="25"/>
  <c r="K48" i="25"/>
  <c r="G48" i="25"/>
  <c r="H48" i="25"/>
  <c r="R48" i="25"/>
  <c r="S48" i="25"/>
  <c r="L48" i="25"/>
  <c r="O48" i="25"/>
  <c r="T48" i="25"/>
  <c r="W48" i="25"/>
  <c r="Q4" i="14" l="1"/>
  <c r="P4" i="21"/>
  <c r="Q4" i="15"/>
  <c r="Q4" i="24"/>
  <c r="Q4" i="7"/>
  <c r="Q4" i="19"/>
  <c r="Q4" i="3"/>
  <c r="Q4" i="20"/>
  <c r="P4" i="15"/>
  <c r="P4" i="24"/>
  <c r="P4" i="7"/>
  <c r="P4" i="19"/>
  <c r="P4" i="3"/>
  <c r="P4" i="20"/>
  <c r="P4" i="14"/>
  <c r="O4" i="21"/>
  <c r="V4" i="7"/>
  <c r="V4" i="19"/>
  <c r="V4" i="3"/>
  <c r="V4" i="20"/>
  <c r="V4" i="14"/>
  <c r="U4" i="21"/>
  <c r="V4" i="15"/>
  <c r="V4" i="24"/>
  <c r="S4" i="3"/>
  <c r="S4" i="20"/>
  <c r="S4" i="14"/>
  <c r="R4" i="21"/>
  <c r="S4" i="15"/>
  <c r="S4" i="24"/>
  <c r="S4" i="7"/>
  <c r="S4" i="19"/>
  <c r="W4" i="15"/>
  <c r="W4" i="24"/>
  <c r="W4" i="7"/>
  <c r="W4" i="19"/>
  <c r="W4" i="3"/>
  <c r="W4" i="20"/>
  <c r="W4" i="14"/>
  <c r="V4" i="21"/>
  <c r="W4" i="21"/>
  <c r="U4" i="7"/>
  <c r="U4" i="19"/>
  <c r="U4" i="3"/>
  <c r="U4" i="20"/>
  <c r="U4" i="14"/>
  <c r="T4" i="21"/>
  <c r="U4" i="15"/>
  <c r="U4" i="24"/>
  <c r="T4" i="3"/>
  <c r="T4" i="20"/>
  <c r="T4" i="14"/>
  <c r="S4" i="21"/>
  <c r="T4" i="15"/>
  <c r="T4" i="24"/>
  <c r="T4" i="7"/>
  <c r="T4" i="19"/>
  <c r="O4" i="15"/>
  <c r="O4" i="24"/>
  <c r="O4" i="7"/>
  <c r="O4" i="19"/>
  <c r="O4" i="3"/>
  <c r="O4" i="20"/>
  <c r="O4" i="14"/>
  <c r="N4" i="21"/>
  <c r="R4" i="14"/>
  <c r="Q4" i="21"/>
  <c r="R4" i="15"/>
  <c r="R4" i="24"/>
  <c r="R4" i="7"/>
  <c r="R4" i="19"/>
  <c r="R4" i="3"/>
  <c r="R4" i="20"/>
  <c r="T132" i="19" l="1"/>
  <c r="T128" i="19"/>
  <c r="T124" i="19"/>
  <c r="T120" i="19"/>
  <c r="T116" i="19"/>
  <c r="T112" i="19"/>
  <c r="T108" i="19"/>
  <c r="T104" i="19"/>
  <c r="T100" i="19"/>
  <c r="T96" i="19"/>
  <c r="T92" i="19"/>
  <c r="T88" i="19"/>
  <c r="T84" i="19"/>
  <c r="T80" i="19"/>
  <c r="T76" i="19"/>
  <c r="T72" i="19"/>
  <c r="T68" i="19"/>
  <c r="T64" i="19"/>
  <c r="T60" i="19"/>
  <c r="T127" i="19"/>
  <c r="T118" i="19"/>
  <c r="T113" i="19"/>
  <c r="T99" i="19"/>
  <c r="T83" i="19"/>
  <c r="T67" i="19"/>
  <c r="T123" i="19"/>
  <c r="T114" i="19"/>
  <c r="T109" i="19"/>
  <c r="T86" i="19"/>
  <c r="T85" i="19"/>
  <c r="T70" i="19"/>
  <c r="T69" i="19"/>
  <c r="T56" i="19"/>
  <c r="T52" i="19"/>
  <c r="T48" i="19"/>
  <c r="T44" i="19"/>
  <c r="T40" i="19"/>
  <c r="T36" i="19"/>
  <c r="T32" i="19"/>
  <c r="T28" i="19"/>
  <c r="T24" i="19"/>
  <c r="T20" i="19"/>
  <c r="T16" i="19"/>
  <c r="T12" i="19"/>
  <c r="T8" i="19"/>
  <c r="T119" i="19"/>
  <c r="T110" i="19"/>
  <c r="T105" i="19"/>
  <c r="T115" i="19"/>
  <c r="T106" i="19"/>
  <c r="T101" i="19"/>
  <c r="T90" i="19"/>
  <c r="T89" i="19"/>
  <c r="T74" i="19"/>
  <c r="T73" i="19"/>
  <c r="T55" i="19"/>
  <c r="T51" i="19"/>
  <c r="T47" i="19"/>
  <c r="T43" i="19"/>
  <c r="T39" i="19"/>
  <c r="T35" i="19"/>
  <c r="T129" i="19"/>
  <c r="T111" i="19"/>
  <c r="T102" i="19"/>
  <c r="T91" i="19"/>
  <c r="T75" i="19"/>
  <c r="T59" i="19"/>
  <c r="T130" i="19"/>
  <c r="T125" i="19"/>
  <c r="T107" i="19"/>
  <c r="T94" i="19"/>
  <c r="T93" i="19"/>
  <c r="T78" i="19"/>
  <c r="T77" i="19"/>
  <c r="T62" i="19"/>
  <c r="T61" i="19"/>
  <c r="T58" i="19"/>
  <c r="T54" i="19"/>
  <c r="T50" i="19"/>
  <c r="T46" i="19"/>
  <c r="T42" i="19"/>
  <c r="T38" i="19"/>
  <c r="T34" i="19"/>
  <c r="T30" i="19"/>
  <c r="T26" i="19"/>
  <c r="T22" i="19"/>
  <c r="T18" i="19"/>
  <c r="T14" i="19"/>
  <c r="T10" i="19"/>
  <c r="T126" i="19"/>
  <c r="T121" i="19"/>
  <c r="T131" i="19"/>
  <c r="T95" i="19"/>
  <c r="T41" i="19"/>
  <c r="T19" i="19"/>
  <c r="T66" i="19"/>
  <c r="T63" i="19"/>
  <c r="T45" i="19"/>
  <c r="T29" i="19"/>
  <c r="T15" i="19"/>
  <c r="T103" i="19"/>
  <c r="T49" i="19"/>
  <c r="T25" i="19"/>
  <c r="T11" i="19"/>
  <c r="T98" i="19"/>
  <c r="T71" i="19"/>
  <c r="T53" i="19"/>
  <c r="T21" i="19"/>
  <c r="T7" i="19"/>
  <c r="T82" i="19"/>
  <c r="T79" i="19"/>
  <c r="T65" i="19"/>
  <c r="T57" i="19"/>
  <c r="T17" i="19"/>
  <c r="T117" i="19"/>
  <c r="T97" i="19"/>
  <c r="T13" i="19"/>
  <c r="T87" i="19"/>
  <c r="T33" i="19"/>
  <c r="T31" i="19"/>
  <c r="T27" i="19"/>
  <c r="T9" i="19"/>
  <c r="T122" i="19"/>
  <c r="T23" i="19"/>
  <c r="T81" i="19"/>
  <c r="T37" i="19"/>
  <c r="U129" i="24"/>
  <c r="U125" i="24"/>
  <c r="U121" i="24"/>
  <c r="U117" i="24"/>
  <c r="U113" i="24"/>
  <c r="U109" i="24"/>
  <c r="U105" i="24"/>
  <c r="U101" i="24"/>
  <c r="U97" i="24"/>
  <c r="U93" i="24"/>
  <c r="U89" i="24"/>
  <c r="U85" i="24"/>
  <c r="U81" i="24"/>
  <c r="U128" i="24"/>
  <c r="U112" i="24"/>
  <c r="U96" i="24"/>
  <c r="U80" i="24"/>
  <c r="U77" i="24"/>
  <c r="U73" i="24"/>
  <c r="U69" i="24"/>
  <c r="U65" i="24"/>
  <c r="U61" i="24"/>
  <c r="U57" i="24"/>
  <c r="U53" i="24"/>
  <c r="U49" i="24"/>
  <c r="U45" i="24"/>
  <c r="U41" i="24"/>
  <c r="U37" i="24"/>
  <c r="U33" i="24"/>
  <c r="U29" i="24"/>
  <c r="U25" i="24"/>
  <c r="U21" i="24"/>
  <c r="U17" i="24"/>
  <c r="U13" i="24"/>
  <c r="U9" i="24"/>
  <c r="U131" i="24"/>
  <c r="U130" i="24"/>
  <c r="U115" i="24"/>
  <c r="U114" i="24"/>
  <c r="U99" i="24"/>
  <c r="U98" i="24"/>
  <c r="U83" i="24"/>
  <c r="U82" i="24"/>
  <c r="U48" i="24"/>
  <c r="U44" i="24"/>
  <c r="U40" i="24"/>
  <c r="U32" i="24"/>
  <c r="U28" i="24"/>
  <c r="U16" i="24"/>
  <c r="U12" i="24"/>
  <c r="U8" i="24"/>
  <c r="U50" i="24"/>
  <c r="U34" i="24"/>
  <c r="U18" i="24"/>
  <c r="U132" i="24"/>
  <c r="U116" i="24"/>
  <c r="U100" i="24"/>
  <c r="U84" i="24"/>
  <c r="U76" i="24"/>
  <c r="U72" i="24"/>
  <c r="U68" i="24"/>
  <c r="U64" i="24"/>
  <c r="U60" i="24"/>
  <c r="U56" i="24"/>
  <c r="U52" i="24"/>
  <c r="U36" i="24"/>
  <c r="U24" i="24"/>
  <c r="U20" i="24"/>
  <c r="U26" i="24"/>
  <c r="U119" i="24"/>
  <c r="U118" i="24"/>
  <c r="U103" i="24"/>
  <c r="U102" i="24"/>
  <c r="U87" i="24"/>
  <c r="U86" i="24"/>
  <c r="U66" i="24"/>
  <c r="U58" i="24"/>
  <c r="U54" i="24"/>
  <c r="U30" i="24"/>
  <c r="U120" i="24"/>
  <c r="U104" i="24"/>
  <c r="U88" i="24"/>
  <c r="U75" i="24"/>
  <c r="U71" i="24"/>
  <c r="U67" i="24"/>
  <c r="U63" i="24"/>
  <c r="U59" i="24"/>
  <c r="U55" i="24"/>
  <c r="U51" i="24"/>
  <c r="U47" i="24"/>
  <c r="U43" i="24"/>
  <c r="U39" i="24"/>
  <c r="U35" i="24"/>
  <c r="U31" i="24"/>
  <c r="U27" i="24"/>
  <c r="U23" i="24"/>
  <c r="U19" i="24"/>
  <c r="U15" i="24"/>
  <c r="U11" i="24"/>
  <c r="U7" i="24"/>
  <c r="U70" i="24"/>
  <c r="U62" i="24"/>
  <c r="U123" i="24"/>
  <c r="U122" i="24"/>
  <c r="U107" i="24"/>
  <c r="U106" i="24"/>
  <c r="U91" i="24"/>
  <c r="U90" i="24"/>
  <c r="U124" i="24"/>
  <c r="U108" i="24"/>
  <c r="U46" i="24"/>
  <c r="U38" i="24"/>
  <c r="U22" i="24"/>
  <c r="U10" i="24"/>
  <c r="U92" i="24"/>
  <c r="U74" i="24"/>
  <c r="U42" i="24"/>
  <c r="U14" i="24"/>
  <c r="U79" i="24"/>
  <c r="U95" i="24"/>
  <c r="U78" i="24"/>
  <c r="U111" i="24"/>
  <c r="U94" i="24"/>
  <c r="U127" i="24"/>
  <c r="U110" i="24"/>
  <c r="U126" i="24"/>
  <c r="W130" i="21"/>
  <c r="W126" i="21"/>
  <c r="W122" i="21"/>
  <c r="W118" i="21"/>
  <c r="W114" i="21"/>
  <c r="W110" i="21"/>
  <c r="W106" i="21"/>
  <c r="W102" i="21"/>
  <c r="W98" i="21"/>
  <c r="W94" i="21"/>
  <c r="W90" i="21"/>
  <c r="W86" i="21"/>
  <c r="W82" i="21"/>
  <c r="W78" i="21"/>
  <c r="W74" i="21"/>
  <c r="W70" i="21"/>
  <c r="W66" i="21"/>
  <c r="W62" i="21"/>
  <c r="W58" i="21"/>
  <c r="W54" i="21"/>
  <c r="W50" i="21"/>
  <c r="W46" i="21"/>
  <c r="W42" i="21"/>
  <c r="W38" i="21"/>
  <c r="W34" i="21"/>
  <c r="W30" i="21"/>
  <c r="W26" i="21"/>
  <c r="W22" i="21"/>
  <c r="W18" i="21"/>
  <c r="W14" i="21"/>
  <c r="W10" i="21"/>
  <c r="W124" i="21"/>
  <c r="W109" i="21"/>
  <c r="W107" i="21"/>
  <c r="W99" i="21"/>
  <c r="W91" i="21"/>
  <c r="W88" i="21"/>
  <c r="W83" i="21"/>
  <c r="W65" i="21"/>
  <c r="W56" i="21"/>
  <c r="W51" i="21"/>
  <c r="W33" i="21"/>
  <c r="W24" i="21"/>
  <c r="W19" i="21"/>
  <c r="W105" i="21"/>
  <c r="W55" i="21"/>
  <c r="W128" i="21"/>
  <c r="W113" i="21"/>
  <c r="W111" i="21"/>
  <c r="W84" i="21"/>
  <c r="W79" i="21"/>
  <c r="W61" i="21"/>
  <c r="W52" i="21"/>
  <c r="W47" i="21"/>
  <c r="W29" i="21"/>
  <c r="W20" i="21"/>
  <c r="W15" i="21"/>
  <c r="W8" i="21"/>
  <c r="W7" i="21"/>
  <c r="W28" i="21"/>
  <c r="W132" i="21"/>
  <c r="W117" i="21"/>
  <c r="W115" i="21"/>
  <c r="W97" i="21"/>
  <c r="W89" i="21"/>
  <c r="W80" i="21"/>
  <c r="W75" i="21"/>
  <c r="W57" i="21"/>
  <c r="W48" i="21"/>
  <c r="W43" i="21"/>
  <c r="W25" i="21"/>
  <c r="W16" i="21"/>
  <c r="W9" i="21"/>
  <c r="W87" i="21"/>
  <c r="W121" i="21"/>
  <c r="W119" i="21"/>
  <c r="W104" i="21"/>
  <c r="W100" i="21"/>
  <c r="W92" i="21"/>
  <c r="W85" i="21"/>
  <c r="W76" i="21"/>
  <c r="W71" i="21"/>
  <c r="W53" i="21"/>
  <c r="W44" i="21"/>
  <c r="W39" i="21"/>
  <c r="W21" i="21"/>
  <c r="W12" i="21"/>
  <c r="W11" i="21"/>
  <c r="W96" i="21"/>
  <c r="W69" i="21"/>
  <c r="W37" i="21"/>
  <c r="W125" i="21"/>
  <c r="W123" i="21"/>
  <c r="W108" i="21"/>
  <c r="W95" i="21"/>
  <c r="W81" i="21"/>
  <c r="W72" i="21"/>
  <c r="W67" i="21"/>
  <c r="W49" i="21"/>
  <c r="W40" i="21"/>
  <c r="W35" i="21"/>
  <c r="W17" i="21"/>
  <c r="W129" i="21"/>
  <c r="W127" i="21"/>
  <c r="W112" i="21"/>
  <c r="W77" i="21"/>
  <c r="W68" i="21"/>
  <c r="W63" i="21"/>
  <c r="W45" i="21"/>
  <c r="W36" i="21"/>
  <c r="W31" i="21"/>
  <c r="W13" i="21"/>
  <c r="W60" i="21"/>
  <c r="W131" i="21"/>
  <c r="W116" i="21"/>
  <c r="W101" i="21"/>
  <c r="W93" i="21"/>
  <c r="W73" i="21"/>
  <c r="W64" i="21"/>
  <c r="W59" i="21"/>
  <c r="W41" i="21"/>
  <c r="W32" i="21"/>
  <c r="W27" i="21"/>
  <c r="W120" i="21"/>
  <c r="W103" i="21"/>
  <c r="W23" i="21"/>
  <c r="V132" i="21"/>
  <c r="V128" i="21"/>
  <c r="V124" i="21"/>
  <c r="V120" i="21"/>
  <c r="V116" i="21"/>
  <c r="V112" i="21"/>
  <c r="V108" i="21"/>
  <c r="V104" i="21"/>
  <c r="V100" i="21"/>
  <c r="V96" i="21"/>
  <c r="V92" i="21"/>
  <c r="V131" i="21"/>
  <c r="V127" i="21"/>
  <c r="V123" i="21"/>
  <c r="V119" i="21"/>
  <c r="V115" i="21"/>
  <c r="V111" i="21"/>
  <c r="V107" i="21"/>
  <c r="V103" i="21"/>
  <c r="V130" i="21"/>
  <c r="V126" i="21"/>
  <c r="V122" i="21"/>
  <c r="V118" i="21"/>
  <c r="V114" i="21"/>
  <c r="V110" i="21"/>
  <c r="V106" i="21"/>
  <c r="V102" i="21"/>
  <c r="V98" i="21"/>
  <c r="V94" i="21"/>
  <c r="V90" i="21"/>
  <c r="V86" i="21"/>
  <c r="V82" i="21"/>
  <c r="V78" i="21"/>
  <c r="V74" i="21"/>
  <c r="V70" i="21"/>
  <c r="V66" i="21"/>
  <c r="V62" i="21"/>
  <c r="V58" i="21"/>
  <c r="V54" i="21"/>
  <c r="V50" i="21"/>
  <c r="V46" i="21"/>
  <c r="V42" i="21"/>
  <c r="V38" i="21"/>
  <c r="V34" i="21"/>
  <c r="V30" i="21"/>
  <c r="V26" i="21"/>
  <c r="V22" i="21"/>
  <c r="V18" i="21"/>
  <c r="V14" i="21"/>
  <c r="V129" i="21"/>
  <c r="V125" i="21"/>
  <c r="V121" i="21"/>
  <c r="V117" i="21"/>
  <c r="V113" i="21"/>
  <c r="V109" i="21"/>
  <c r="V105" i="21"/>
  <c r="V101" i="21"/>
  <c r="V97" i="21"/>
  <c r="V93" i="21"/>
  <c r="V89" i="21"/>
  <c r="V85" i="21"/>
  <c r="V81" i="21"/>
  <c r="V77" i="21"/>
  <c r="V73" i="21"/>
  <c r="V69" i="21"/>
  <c r="V65" i="21"/>
  <c r="V61" i="21"/>
  <c r="V57" i="21"/>
  <c r="V53" i="21"/>
  <c r="V49" i="21"/>
  <c r="V45" i="21"/>
  <c r="V41" i="21"/>
  <c r="V37" i="21"/>
  <c r="V33" i="21"/>
  <c r="V29" i="21"/>
  <c r="V25" i="21"/>
  <c r="V21" i="21"/>
  <c r="V17" i="21"/>
  <c r="V13" i="21"/>
  <c r="V9" i="21"/>
  <c r="V87" i="21"/>
  <c r="V60" i="21"/>
  <c r="V55" i="21"/>
  <c r="V28" i="21"/>
  <c r="V23" i="21"/>
  <c r="V59" i="21"/>
  <c r="V99" i="21"/>
  <c r="V91" i="21"/>
  <c r="V88" i="21"/>
  <c r="V83" i="21"/>
  <c r="V56" i="21"/>
  <c r="V51" i="21"/>
  <c r="V24" i="21"/>
  <c r="V19" i="21"/>
  <c r="V84" i="21"/>
  <c r="V79" i="21"/>
  <c r="V52" i="21"/>
  <c r="V47" i="21"/>
  <c r="V20" i="21"/>
  <c r="V15" i="21"/>
  <c r="V8" i="21"/>
  <c r="V7" i="21"/>
  <c r="V64" i="21"/>
  <c r="V80" i="21"/>
  <c r="V75" i="21"/>
  <c r="V48" i="21"/>
  <c r="V43" i="21"/>
  <c r="V16" i="21"/>
  <c r="V10" i="21"/>
  <c r="V32" i="21"/>
  <c r="V76" i="21"/>
  <c r="V71" i="21"/>
  <c r="V44" i="21"/>
  <c r="V39" i="21"/>
  <c r="V12" i="21"/>
  <c r="V11" i="21"/>
  <c r="V95" i="21"/>
  <c r="V72" i="21"/>
  <c r="V67" i="21"/>
  <c r="V40" i="21"/>
  <c r="V35" i="21"/>
  <c r="V68" i="21"/>
  <c r="V63" i="21"/>
  <c r="V36" i="21"/>
  <c r="V31" i="21"/>
  <c r="V27" i="21"/>
  <c r="S129" i="19"/>
  <c r="S125" i="19"/>
  <c r="S121" i="19"/>
  <c r="S117" i="19"/>
  <c r="S113" i="19"/>
  <c r="S109" i="19"/>
  <c r="S105" i="19"/>
  <c r="S101" i="19"/>
  <c r="S131" i="19"/>
  <c r="S127" i="19"/>
  <c r="S123" i="19"/>
  <c r="S119" i="19"/>
  <c r="S115" i="19"/>
  <c r="S111" i="19"/>
  <c r="S107" i="19"/>
  <c r="S103" i="19"/>
  <c r="S99" i="19"/>
  <c r="S95" i="19"/>
  <c r="S91" i="19"/>
  <c r="S87" i="19"/>
  <c r="S83" i="19"/>
  <c r="S79" i="19"/>
  <c r="S75" i="19"/>
  <c r="S71" i="19"/>
  <c r="S67" i="19"/>
  <c r="S63" i="19"/>
  <c r="S59" i="19"/>
  <c r="S122" i="19"/>
  <c r="S104" i="19"/>
  <c r="S98" i="19"/>
  <c r="S97" i="19"/>
  <c r="S82" i="19"/>
  <c r="S81" i="19"/>
  <c r="S66" i="19"/>
  <c r="S65" i="19"/>
  <c r="S57" i="19"/>
  <c r="S53" i="19"/>
  <c r="S49" i="19"/>
  <c r="S45" i="19"/>
  <c r="S41" i="19"/>
  <c r="S37" i="19"/>
  <c r="S33" i="19"/>
  <c r="S132" i="19"/>
  <c r="S118" i="19"/>
  <c r="S100" i="19"/>
  <c r="S84" i="19"/>
  <c r="S68" i="19"/>
  <c r="S128" i="19"/>
  <c r="S114" i="19"/>
  <c r="S124" i="19"/>
  <c r="S110" i="19"/>
  <c r="S88" i="19"/>
  <c r="S72" i="19"/>
  <c r="S120" i="19"/>
  <c r="S106" i="19"/>
  <c r="S90" i="19"/>
  <c r="S89" i="19"/>
  <c r="S74" i="19"/>
  <c r="S73" i="19"/>
  <c r="S55" i="19"/>
  <c r="S51" i="19"/>
  <c r="S47" i="19"/>
  <c r="S43" i="19"/>
  <c r="S39" i="19"/>
  <c r="S35" i="19"/>
  <c r="S31" i="19"/>
  <c r="S27" i="19"/>
  <c r="S23" i="19"/>
  <c r="S19" i="19"/>
  <c r="S15" i="19"/>
  <c r="S11" i="19"/>
  <c r="S7" i="19"/>
  <c r="S116" i="19"/>
  <c r="S102" i="19"/>
  <c r="S92" i="19"/>
  <c r="S76" i="19"/>
  <c r="S60" i="19"/>
  <c r="S130" i="19"/>
  <c r="S58" i="19"/>
  <c r="S56" i="19"/>
  <c r="S28" i="19"/>
  <c r="S10" i="19"/>
  <c r="S86" i="19"/>
  <c r="S69" i="19"/>
  <c r="S24" i="19"/>
  <c r="S94" i="19"/>
  <c r="S80" i="19"/>
  <c r="S77" i="19"/>
  <c r="S34" i="19"/>
  <c r="S32" i="19"/>
  <c r="S29" i="19"/>
  <c r="S20" i="19"/>
  <c r="S108" i="19"/>
  <c r="S38" i="19"/>
  <c r="S36" i="19"/>
  <c r="S30" i="19"/>
  <c r="S25" i="19"/>
  <c r="S16" i="19"/>
  <c r="S126" i="19"/>
  <c r="S112" i="19"/>
  <c r="S85" i="19"/>
  <c r="S62" i="19"/>
  <c r="S42" i="19"/>
  <c r="S40" i="19"/>
  <c r="S26" i="19"/>
  <c r="S21" i="19"/>
  <c r="S12" i="19"/>
  <c r="S93" i="19"/>
  <c r="S46" i="19"/>
  <c r="S44" i="19"/>
  <c r="S22" i="19"/>
  <c r="S17" i="19"/>
  <c r="S8" i="19"/>
  <c r="S70" i="19"/>
  <c r="S50" i="19"/>
  <c r="S48" i="19"/>
  <c r="S18" i="19"/>
  <c r="S13" i="19"/>
  <c r="S96" i="19"/>
  <c r="S64" i="19"/>
  <c r="S9" i="19"/>
  <c r="S52" i="19"/>
  <c r="S61" i="19"/>
  <c r="S78" i="19"/>
  <c r="S54" i="19"/>
  <c r="S14" i="19"/>
  <c r="V131" i="24"/>
  <c r="V127" i="24"/>
  <c r="V123" i="24"/>
  <c r="V119" i="24"/>
  <c r="V115" i="24"/>
  <c r="V111" i="24"/>
  <c r="V107" i="24"/>
  <c r="V103" i="24"/>
  <c r="V99" i="24"/>
  <c r="V95" i="24"/>
  <c r="V91" i="24"/>
  <c r="V87" i="24"/>
  <c r="V83" i="24"/>
  <c r="V79" i="24"/>
  <c r="V130" i="24"/>
  <c r="V129" i="24"/>
  <c r="V114" i="24"/>
  <c r="V113" i="24"/>
  <c r="V98" i="24"/>
  <c r="V97" i="24"/>
  <c r="V82" i="24"/>
  <c r="V81" i="24"/>
  <c r="V132" i="24"/>
  <c r="V116" i="24"/>
  <c r="V100" i="24"/>
  <c r="V84" i="24"/>
  <c r="V76" i="24"/>
  <c r="V72" i="24"/>
  <c r="V68" i="24"/>
  <c r="V64" i="24"/>
  <c r="V60" i="24"/>
  <c r="V56" i="24"/>
  <c r="V52" i="24"/>
  <c r="V48" i="24"/>
  <c r="V44" i="24"/>
  <c r="V40" i="24"/>
  <c r="V36" i="24"/>
  <c r="V32" i="24"/>
  <c r="V28" i="24"/>
  <c r="V24" i="24"/>
  <c r="V20" i="24"/>
  <c r="V16" i="24"/>
  <c r="V12" i="24"/>
  <c r="V8" i="24"/>
  <c r="V118" i="24"/>
  <c r="V117" i="24"/>
  <c r="V102" i="24"/>
  <c r="V101" i="24"/>
  <c r="V86" i="24"/>
  <c r="V85" i="24"/>
  <c r="V120" i="24"/>
  <c r="V104" i="24"/>
  <c r="V88" i="24"/>
  <c r="V75" i="24"/>
  <c r="V71" i="24"/>
  <c r="V67" i="24"/>
  <c r="V63" i="24"/>
  <c r="V59" i="24"/>
  <c r="V55" i="24"/>
  <c r="V51" i="24"/>
  <c r="V47" i="24"/>
  <c r="V43" i="24"/>
  <c r="V39" i="24"/>
  <c r="V35" i="24"/>
  <c r="V31" i="24"/>
  <c r="V27" i="24"/>
  <c r="V23" i="24"/>
  <c r="V19" i="24"/>
  <c r="V15" i="24"/>
  <c r="V11" i="24"/>
  <c r="V7" i="24"/>
  <c r="V122" i="24"/>
  <c r="V121" i="24"/>
  <c r="V106" i="24"/>
  <c r="V105" i="24"/>
  <c r="V90" i="24"/>
  <c r="V89" i="24"/>
  <c r="V93" i="24"/>
  <c r="V78" i="24"/>
  <c r="V124" i="24"/>
  <c r="V108" i="24"/>
  <c r="V92" i="24"/>
  <c r="V74" i="24"/>
  <c r="V70" i="24"/>
  <c r="V66" i="24"/>
  <c r="V62" i="24"/>
  <c r="V58" i="24"/>
  <c r="V54" i="24"/>
  <c r="V50" i="24"/>
  <c r="V46" i="24"/>
  <c r="V42" i="24"/>
  <c r="V38" i="24"/>
  <c r="V34" i="24"/>
  <c r="V30" i="24"/>
  <c r="V26" i="24"/>
  <c r="V22" i="24"/>
  <c r="V18" i="24"/>
  <c r="V14" i="24"/>
  <c r="V10" i="24"/>
  <c r="V125" i="24"/>
  <c r="V110" i="24"/>
  <c r="V94" i="24"/>
  <c r="V126" i="24"/>
  <c r="V109" i="24"/>
  <c r="V80" i="24"/>
  <c r="V73" i="24"/>
  <c r="V41" i="24"/>
  <c r="V9" i="24"/>
  <c r="V96" i="24"/>
  <c r="V53" i="24"/>
  <c r="V21" i="24"/>
  <c r="V112" i="24"/>
  <c r="V65" i="24"/>
  <c r="V33" i="24"/>
  <c r="V128" i="24"/>
  <c r="V77" i="24"/>
  <c r="V45" i="24"/>
  <c r="V13" i="24"/>
  <c r="V57" i="24"/>
  <c r="V25" i="24"/>
  <c r="V69" i="24"/>
  <c r="V37" i="24"/>
  <c r="V49" i="24"/>
  <c r="V17" i="24"/>
  <c r="V61" i="24"/>
  <c r="V29" i="24"/>
  <c r="O130" i="21"/>
  <c r="O126" i="21"/>
  <c r="O122" i="21"/>
  <c r="O118" i="21"/>
  <c r="O114" i="21"/>
  <c r="O110" i="21"/>
  <c r="O106" i="21"/>
  <c r="O102" i="21"/>
  <c r="O98" i="21"/>
  <c r="O94" i="21"/>
  <c r="O90" i="21"/>
  <c r="O86" i="21"/>
  <c r="O82" i="21"/>
  <c r="O78" i="21"/>
  <c r="O74" i="21"/>
  <c r="O70" i="21"/>
  <c r="O66" i="21"/>
  <c r="O62" i="21"/>
  <c r="O58" i="21"/>
  <c r="O54" i="21"/>
  <c r="O50" i="21"/>
  <c r="O46" i="21"/>
  <c r="O42" i="21"/>
  <c r="O38" i="21"/>
  <c r="O34" i="21"/>
  <c r="O30" i="21"/>
  <c r="O26" i="21"/>
  <c r="O22" i="21"/>
  <c r="O18" i="21"/>
  <c r="O14" i="21"/>
  <c r="O10" i="21"/>
  <c r="O129" i="21"/>
  <c r="O127" i="21"/>
  <c r="O112" i="21"/>
  <c r="O95" i="21"/>
  <c r="O85" i="21"/>
  <c r="O76" i="21"/>
  <c r="O71" i="21"/>
  <c r="O53" i="21"/>
  <c r="O44" i="21"/>
  <c r="O39" i="21"/>
  <c r="O21" i="21"/>
  <c r="O9" i="21"/>
  <c r="O125" i="21"/>
  <c r="O92" i="21"/>
  <c r="O43" i="21"/>
  <c r="O25" i="21"/>
  <c r="O131" i="21"/>
  <c r="O116" i="21"/>
  <c r="O81" i="21"/>
  <c r="O72" i="21"/>
  <c r="O67" i="21"/>
  <c r="O49" i="21"/>
  <c r="O40" i="21"/>
  <c r="O35" i="21"/>
  <c r="O17" i="21"/>
  <c r="O12" i="21"/>
  <c r="O11" i="21"/>
  <c r="O120" i="21"/>
  <c r="O105" i="21"/>
  <c r="O103" i="21"/>
  <c r="O101" i="21"/>
  <c r="O93" i="21"/>
  <c r="O77" i="21"/>
  <c r="O68" i="21"/>
  <c r="O63" i="21"/>
  <c r="O45" i="21"/>
  <c r="O36" i="21"/>
  <c r="O31" i="21"/>
  <c r="O13" i="21"/>
  <c r="O123" i="21"/>
  <c r="O100" i="21"/>
  <c r="O124" i="21"/>
  <c r="O109" i="21"/>
  <c r="O107" i="21"/>
  <c r="O96" i="21"/>
  <c r="O73" i="21"/>
  <c r="O64" i="21"/>
  <c r="O59" i="21"/>
  <c r="O41" i="21"/>
  <c r="O32" i="21"/>
  <c r="O27" i="21"/>
  <c r="O80" i="21"/>
  <c r="O75" i="21"/>
  <c r="O48" i="21"/>
  <c r="O128" i="21"/>
  <c r="O113" i="21"/>
  <c r="O111" i="21"/>
  <c r="O99" i="21"/>
  <c r="O91" i="21"/>
  <c r="O87" i="21"/>
  <c r="O69" i="21"/>
  <c r="O60" i="21"/>
  <c r="O55" i="21"/>
  <c r="O37" i="21"/>
  <c r="O28" i="21"/>
  <c r="O23" i="21"/>
  <c r="O20" i="21"/>
  <c r="O132" i="21"/>
  <c r="O117" i="21"/>
  <c r="O115" i="21"/>
  <c r="O88" i="21"/>
  <c r="O83" i="21"/>
  <c r="O65" i="21"/>
  <c r="O56" i="21"/>
  <c r="O51" i="21"/>
  <c r="O33" i="21"/>
  <c r="O24" i="21"/>
  <c r="O19" i="21"/>
  <c r="O104" i="21"/>
  <c r="O29" i="21"/>
  <c r="O15" i="21"/>
  <c r="O108" i="21"/>
  <c r="O121" i="21"/>
  <c r="O119" i="21"/>
  <c r="O97" i="21"/>
  <c r="O84" i="21"/>
  <c r="O79" i="21"/>
  <c r="O61" i="21"/>
  <c r="O52" i="21"/>
  <c r="O47" i="21"/>
  <c r="O89" i="21"/>
  <c r="O57" i="21"/>
  <c r="O7" i="21"/>
  <c r="O16" i="21"/>
  <c r="O8" i="21"/>
  <c r="Q131" i="20"/>
  <c r="Q127" i="20"/>
  <c r="Q123" i="20"/>
  <c r="Q119" i="20"/>
  <c r="Q115" i="20"/>
  <c r="Q111" i="20"/>
  <c r="Q107" i="20"/>
  <c r="Q103" i="20"/>
  <c r="Q99" i="20"/>
  <c r="Q95" i="20"/>
  <c r="Q91" i="20"/>
  <c r="Q87" i="20"/>
  <c r="Q83" i="20"/>
  <c r="Q79" i="20"/>
  <c r="Q75" i="20"/>
  <c r="Q71" i="20"/>
  <c r="Q67" i="20"/>
  <c r="Q63" i="20"/>
  <c r="Q59" i="20"/>
  <c r="Q129" i="20"/>
  <c r="Q125" i="20"/>
  <c r="Q121" i="20"/>
  <c r="Q117" i="20"/>
  <c r="Q113" i="20"/>
  <c r="Q109" i="20"/>
  <c r="Q105" i="20"/>
  <c r="Q101" i="20"/>
  <c r="Q97" i="20"/>
  <c r="Q93" i="20"/>
  <c r="Q89" i="20"/>
  <c r="Q85" i="20"/>
  <c r="Q81" i="20"/>
  <c r="Q77" i="20"/>
  <c r="Q73" i="20"/>
  <c r="Q69" i="20"/>
  <c r="Q65" i="20"/>
  <c r="Q61" i="20"/>
  <c r="Q126" i="20"/>
  <c r="Q104" i="20"/>
  <c r="Q88" i="20"/>
  <c r="Q72" i="20"/>
  <c r="Q122" i="20"/>
  <c r="Q106" i="20"/>
  <c r="Q90" i="20"/>
  <c r="Q74" i="20"/>
  <c r="Q132" i="20"/>
  <c r="Q118" i="20"/>
  <c r="Q108" i="20"/>
  <c r="Q92" i="20"/>
  <c r="Q76" i="20"/>
  <c r="Q60" i="20"/>
  <c r="Q128" i="20"/>
  <c r="Q110" i="20"/>
  <c r="Q94" i="20"/>
  <c r="Q78" i="20"/>
  <c r="Q62" i="20"/>
  <c r="Q56" i="20"/>
  <c r="Q52" i="20"/>
  <c r="Q48" i="20"/>
  <c r="Q44" i="20"/>
  <c r="Q40" i="20"/>
  <c r="Q36" i="20"/>
  <c r="Q32" i="20"/>
  <c r="Q28" i="20"/>
  <c r="Q24" i="20"/>
  <c r="Q20" i="20"/>
  <c r="Q16" i="20"/>
  <c r="Q12" i="20"/>
  <c r="Q8" i="20"/>
  <c r="Q124" i="20"/>
  <c r="Q112" i="20"/>
  <c r="Q96" i="20"/>
  <c r="Q80" i="20"/>
  <c r="Q64" i="20"/>
  <c r="Q120" i="20"/>
  <c r="Q114" i="20"/>
  <c r="Q98" i="20"/>
  <c r="Q82" i="20"/>
  <c r="Q66" i="20"/>
  <c r="Q55" i="20"/>
  <c r="Q51" i="20"/>
  <c r="Q116" i="20"/>
  <c r="Q100" i="20"/>
  <c r="Q84" i="20"/>
  <c r="Q68" i="20"/>
  <c r="Q58" i="20"/>
  <c r="Q35" i="20"/>
  <c r="Q33" i="20"/>
  <c r="Q18" i="20"/>
  <c r="Q46" i="20"/>
  <c r="Q54" i="20"/>
  <c r="Q39" i="20"/>
  <c r="Q37" i="20"/>
  <c r="Q22" i="20"/>
  <c r="Q7" i="20"/>
  <c r="Q29" i="20"/>
  <c r="Q57" i="20"/>
  <c r="Q43" i="20"/>
  <c r="Q41" i="20"/>
  <c r="Q26" i="20"/>
  <c r="Q11" i="20"/>
  <c r="Q9" i="20"/>
  <c r="Q14" i="20"/>
  <c r="Q50" i="20"/>
  <c r="Q47" i="20"/>
  <c r="Q45" i="20"/>
  <c r="Q30" i="20"/>
  <c r="Q15" i="20"/>
  <c r="Q13" i="20"/>
  <c r="Q31" i="20"/>
  <c r="Q70" i="20"/>
  <c r="Q53" i="20"/>
  <c r="Q34" i="20"/>
  <c r="Q19" i="20"/>
  <c r="Q17" i="20"/>
  <c r="Q86" i="20"/>
  <c r="Q38" i="20"/>
  <c r="Q23" i="20"/>
  <c r="Q21" i="20"/>
  <c r="Q130" i="20"/>
  <c r="Q102" i="20"/>
  <c r="Q49" i="20"/>
  <c r="Q42" i="20"/>
  <c r="Q27" i="20"/>
  <c r="Q25" i="20"/>
  <c r="Q10" i="20"/>
  <c r="O132" i="14"/>
  <c r="O128" i="14"/>
  <c r="O124" i="14"/>
  <c r="O123" i="14"/>
  <c r="O118" i="14"/>
  <c r="O114" i="14"/>
  <c r="O110" i="14"/>
  <c r="O106" i="14"/>
  <c r="O102" i="14"/>
  <c r="O98" i="14"/>
  <c r="O94" i="14"/>
  <c r="O90" i="14"/>
  <c r="O86" i="14"/>
  <c r="O82" i="14"/>
  <c r="O78" i="14"/>
  <c r="O74" i="14"/>
  <c r="O70" i="14"/>
  <c r="O66" i="14"/>
  <c r="O62" i="14"/>
  <c r="O58" i="14"/>
  <c r="O54" i="14"/>
  <c r="O50" i="14"/>
  <c r="O46" i="14"/>
  <c r="O42" i="14"/>
  <c r="O130" i="14"/>
  <c r="O129" i="14"/>
  <c r="O120" i="14"/>
  <c r="O116" i="14"/>
  <c r="O112" i="14"/>
  <c r="O108" i="14"/>
  <c r="O104" i="14"/>
  <c r="O100" i="14"/>
  <c r="O96" i="14"/>
  <c r="O92" i="14"/>
  <c r="O88" i="14"/>
  <c r="O84" i="14"/>
  <c r="O80" i="14"/>
  <c r="O76" i="14"/>
  <c r="O72" i="14"/>
  <c r="O68" i="14"/>
  <c r="O64" i="14"/>
  <c r="O60" i="14"/>
  <c r="O56" i="14"/>
  <c r="O52" i="14"/>
  <c r="O48" i="14"/>
  <c r="O44" i="14"/>
  <c r="O40" i="14"/>
  <c r="O127" i="14"/>
  <c r="O73" i="14"/>
  <c r="O57" i="14"/>
  <c r="O41" i="14"/>
  <c r="O39" i="14"/>
  <c r="O35" i="14"/>
  <c r="O31" i="14"/>
  <c r="O27" i="14"/>
  <c r="O23" i="14"/>
  <c r="O19" i="14"/>
  <c r="O15" i="14"/>
  <c r="O11" i="14"/>
  <c r="O122" i="14"/>
  <c r="O81" i="14"/>
  <c r="O75" i="14"/>
  <c r="O59" i="14"/>
  <c r="O43" i="14"/>
  <c r="O115" i="14"/>
  <c r="O107" i="14"/>
  <c r="O99" i="14"/>
  <c r="O91" i="14"/>
  <c r="O63" i="14"/>
  <c r="O47" i="14"/>
  <c r="O121" i="14"/>
  <c r="O103" i="14"/>
  <c r="O85" i="14"/>
  <c r="O51" i="14"/>
  <c r="O34" i="14"/>
  <c r="O17" i="14"/>
  <c r="O16" i="14"/>
  <c r="O113" i="14"/>
  <c r="O95" i="14"/>
  <c r="O61" i="14"/>
  <c r="O49" i="14"/>
  <c r="O30" i="14"/>
  <c r="O18" i="14"/>
  <c r="O126" i="14"/>
  <c r="O105" i="14"/>
  <c r="O87" i="14"/>
  <c r="O21" i="14"/>
  <c r="O20" i="14"/>
  <c r="O97" i="14"/>
  <c r="O71" i="14"/>
  <c r="O22" i="14"/>
  <c r="O131" i="14"/>
  <c r="O125" i="14"/>
  <c r="O117" i="14"/>
  <c r="O89" i="14"/>
  <c r="O69" i="14"/>
  <c r="O45" i="14"/>
  <c r="O36" i="14"/>
  <c r="O25" i="14"/>
  <c r="O24" i="14"/>
  <c r="O9" i="14"/>
  <c r="O8" i="14"/>
  <c r="O109" i="14"/>
  <c r="O67" i="14"/>
  <c r="O37" i="14"/>
  <c r="O32" i="14"/>
  <c r="O26" i="14"/>
  <c r="O10" i="14"/>
  <c r="O119" i="14"/>
  <c r="O101" i="14"/>
  <c r="O83" i="14"/>
  <c r="O79" i="14"/>
  <c r="O77" i="14"/>
  <c r="O65" i="14"/>
  <c r="O55" i="14"/>
  <c r="O33" i="14"/>
  <c r="O28" i="14"/>
  <c r="O13" i="14"/>
  <c r="O12" i="14"/>
  <c r="O14" i="14"/>
  <c r="O53" i="14"/>
  <c r="O29" i="14"/>
  <c r="O38" i="14"/>
  <c r="O93" i="14"/>
  <c r="O111" i="14"/>
  <c r="O7" i="14"/>
  <c r="U132" i="15"/>
  <c r="U128" i="15"/>
  <c r="U124" i="15"/>
  <c r="U120" i="15"/>
  <c r="U121" i="15"/>
  <c r="U123" i="15"/>
  <c r="U122" i="15"/>
  <c r="U119" i="15"/>
  <c r="U115" i="15"/>
  <c r="U111" i="15"/>
  <c r="U107" i="15"/>
  <c r="U103" i="15"/>
  <c r="U99" i="15"/>
  <c r="U95" i="15"/>
  <c r="U91" i="15"/>
  <c r="U87" i="15"/>
  <c r="U83" i="15"/>
  <c r="U79" i="15"/>
  <c r="U75" i="15"/>
  <c r="U71" i="15"/>
  <c r="U67" i="15"/>
  <c r="U63" i="15"/>
  <c r="U59" i="15"/>
  <c r="U55" i="15"/>
  <c r="U51" i="15"/>
  <c r="U47" i="15"/>
  <c r="U43" i="15"/>
  <c r="U39" i="15"/>
  <c r="U35" i="15"/>
  <c r="U31" i="15"/>
  <c r="U27" i="15"/>
  <c r="U23" i="15"/>
  <c r="U19" i="15"/>
  <c r="U15" i="15"/>
  <c r="U11" i="15"/>
  <c r="U7" i="15"/>
  <c r="U125" i="15"/>
  <c r="U127" i="15"/>
  <c r="U126" i="15"/>
  <c r="U118" i="15"/>
  <c r="U114" i="15"/>
  <c r="U110" i="15"/>
  <c r="U106" i="15"/>
  <c r="U102" i="15"/>
  <c r="U98" i="15"/>
  <c r="U94" i="15"/>
  <c r="U90" i="15"/>
  <c r="U86" i="15"/>
  <c r="U82" i="15"/>
  <c r="U78" i="15"/>
  <c r="U74" i="15"/>
  <c r="U70" i="15"/>
  <c r="U66" i="15"/>
  <c r="U62" i="15"/>
  <c r="U58" i="15"/>
  <c r="U54" i="15"/>
  <c r="U50" i="15"/>
  <c r="U46" i="15"/>
  <c r="U42" i="15"/>
  <c r="U38" i="15"/>
  <c r="U34" i="15"/>
  <c r="U30" i="15"/>
  <c r="U26" i="15"/>
  <c r="U22" i="15"/>
  <c r="U18" i="15"/>
  <c r="U14" i="15"/>
  <c r="U10" i="15"/>
  <c r="U129" i="15"/>
  <c r="U131" i="15"/>
  <c r="U130" i="15"/>
  <c r="U117" i="15"/>
  <c r="U113" i="15"/>
  <c r="U109" i="15"/>
  <c r="U105" i="15"/>
  <c r="U101" i="15"/>
  <c r="U97" i="15"/>
  <c r="U93" i="15"/>
  <c r="U116" i="15"/>
  <c r="U96" i="15"/>
  <c r="U108" i="15"/>
  <c r="U89" i="15"/>
  <c r="U81" i="15"/>
  <c r="U73" i="15"/>
  <c r="U65" i="15"/>
  <c r="U57" i="15"/>
  <c r="U49" i="15"/>
  <c r="U41" i="15"/>
  <c r="U33" i="15"/>
  <c r="U25" i="15"/>
  <c r="U17" i="15"/>
  <c r="U9" i="15"/>
  <c r="U84" i="15"/>
  <c r="U76" i="15"/>
  <c r="U68" i="15"/>
  <c r="U60" i="15"/>
  <c r="U52" i="15"/>
  <c r="U44" i="15"/>
  <c r="U36" i="15"/>
  <c r="U28" i="15"/>
  <c r="U20" i="15"/>
  <c r="U12" i="15"/>
  <c r="U100" i="15"/>
  <c r="U112" i="15"/>
  <c r="U92" i="15"/>
  <c r="U85" i="15"/>
  <c r="U77" i="15"/>
  <c r="U69" i="15"/>
  <c r="U61" i="15"/>
  <c r="U53" i="15"/>
  <c r="U45" i="15"/>
  <c r="U37" i="15"/>
  <c r="U29" i="15"/>
  <c r="U21" i="15"/>
  <c r="U13" i="15"/>
  <c r="U104" i="15"/>
  <c r="U56" i="15"/>
  <c r="U80" i="15"/>
  <c r="U16" i="15"/>
  <c r="U40" i="15"/>
  <c r="U64" i="15"/>
  <c r="U88" i="15"/>
  <c r="U24" i="15"/>
  <c r="U48" i="15"/>
  <c r="U72" i="15"/>
  <c r="U8" i="15"/>
  <c r="U32" i="15"/>
  <c r="W132" i="14"/>
  <c r="W128" i="14"/>
  <c r="W124" i="14"/>
  <c r="W125" i="14"/>
  <c r="W118" i="14"/>
  <c r="W114" i="14"/>
  <c r="W110" i="14"/>
  <c r="W106" i="14"/>
  <c r="W102" i="14"/>
  <c r="W98" i="14"/>
  <c r="W94" i="14"/>
  <c r="W90" i="14"/>
  <c r="W86" i="14"/>
  <c r="W82" i="14"/>
  <c r="W78" i="14"/>
  <c r="W74" i="14"/>
  <c r="W70" i="14"/>
  <c r="W66" i="14"/>
  <c r="W62" i="14"/>
  <c r="W58" i="14"/>
  <c r="W54" i="14"/>
  <c r="W50" i="14"/>
  <c r="W46" i="14"/>
  <c r="W42" i="14"/>
  <c r="W131" i="14"/>
  <c r="W121" i="14"/>
  <c r="W130" i="14"/>
  <c r="W120" i="14"/>
  <c r="W116" i="14"/>
  <c r="W112" i="14"/>
  <c r="W108" i="14"/>
  <c r="W104" i="14"/>
  <c r="W100" i="14"/>
  <c r="W96" i="14"/>
  <c r="W92" i="14"/>
  <c r="W88" i="14"/>
  <c r="W84" i="14"/>
  <c r="W80" i="14"/>
  <c r="W76" i="14"/>
  <c r="W72" i="14"/>
  <c r="W68" i="14"/>
  <c r="W64" i="14"/>
  <c r="W60" i="14"/>
  <c r="W56" i="14"/>
  <c r="W52" i="14"/>
  <c r="W48" i="14"/>
  <c r="W44" i="14"/>
  <c r="W40" i="14"/>
  <c r="W129" i="14"/>
  <c r="W79" i="14"/>
  <c r="W69" i="14"/>
  <c r="W53" i="14"/>
  <c r="W35" i="14"/>
  <c r="W31" i="14"/>
  <c r="W27" i="14"/>
  <c r="W23" i="14"/>
  <c r="W19" i="14"/>
  <c r="W15" i="14"/>
  <c r="W11" i="14"/>
  <c r="W7" i="14"/>
  <c r="W123" i="14"/>
  <c r="W71" i="14"/>
  <c r="W55" i="14"/>
  <c r="W39" i="14"/>
  <c r="W119" i="14"/>
  <c r="W111" i="14"/>
  <c r="W103" i="14"/>
  <c r="W95" i="14"/>
  <c r="W87" i="14"/>
  <c r="W75" i="14"/>
  <c r="W59" i="14"/>
  <c r="W43" i="14"/>
  <c r="W115" i="14"/>
  <c r="W97" i="14"/>
  <c r="W57" i="14"/>
  <c r="W45" i="14"/>
  <c r="W37" i="14"/>
  <c r="W32" i="14"/>
  <c r="W13" i="14"/>
  <c r="W12" i="14"/>
  <c r="W107" i="14"/>
  <c r="W89" i="14"/>
  <c r="W33" i="14"/>
  <c r="W28" i="14"/>
  <c r="W14" i="14"/>
  <c r="W117" i="14"/>
  <c r="W99" i="14"/>
  <c r="W67" i="14"/>
  <c r="W38" i="14"/>
  <c r="W29" i="14"/>
  <c r="W17" i="14"/>
  <c r="W16" i="14"/>
  <c r="W122" i="14"/>
  <c r="W109" i="14"/>
  <c r="W91" i="14"/>
  <c r="W81" i="14"/>
  <c r="W77" i="14"/>
  <c r="W65" i="14"/>
  <c r="W41" i="14"/>
  <c r="W34" i="14"/>
  <c r="W18" i="14"/>
  <c r="W101" i="14"/>
  <c r="W83" i="14"/>
  <c r="W63" i="14"/>
  <c r="W30" i="14"/>
  <c r="W21" i="14"/>
  <c r="W20" i="14"/>
  <c r="W127" i="14"/>
  <c r="W93" i="14"/>
  <c r="W73" i="14"/>
  <c r="W61" i="14"/>
  <c r="W51" i="14"/>
  <c r="W22" i="14"/>
  <c r="W113" i="14"/>
  <c r="W85" i="14"/>
  <c r="W49" i="14"/>
  <c r="W25" i="14"/>
  <c r="W24" i="14"/>
  <c r="W9" i="14"/>
  <c r="W8" i="14"/>
  <c r="W126" i="14"/>
  <c r="W105" i="14"/>
  <c r="W10" i="14"/>
  <c r="W36" i="14"/>
  <c r="W26" i="14"/>
  <c r="W47" i="14"/>
  <c r="S130" i="7"/>
  <c r="S126" i="7"/>
  <c r="S122" i="7"/>
  <c r="S118" i="7"/>
  <c r="S114" i="7"/>
  <c r="S110" i="7"/>
  <c r="S106" i="7"/>
  <c r="S102" i="7"/>
  <c r="AY102" i="7" s="1"/>
  <c r="S98" i="7"/>
  <c r="S94" i="7"/>
  <c r="S90" i="7"/>
  <c r="S86" i="7"/>
  <c r="S82" i="7"/>
  <c r="S78" i="7"/>
  <c r="S74" i="7"/>
  <c r="S125" i="7"/>
  <c r="S115" i="7"/>
  <c r="S104" i="7"/>
  <c r="S93" i="7"/>
  <c r="S124" i="7"/>
  <c r="S113" i="7"/>
  <c r="S103" i="7"/>
  <c r="S92" i="7"/>
  <c r="S123" i="7"/>
  <c r="S112" i="7"/>
  <c r="S101" i="7"/>
  <c r="S91" i="7"/>
  <c r="S132" i="7"/>
  <c r="S121" i="7"/>
  <c r="S111" i="7"/>
  <c r="S128" i="7"/>
  <c r="S117" i="7"/>
  <c r="S97" i="7"/>
  <c r="S84" i="7"/>
  <c r="S79" i="7"/>
  <c r="S88" i="7"/>
  <c r="S77" i="7"/>
  <c r="S71" i="7"/>
  <c r="S67" i="7"/>
  <c r="S63" i="7"/>
  <c r="S59" i="7"/>
  <c r="S55" i="7"/>
  <c r="S51" i="7"/>
  <c r="S47" i="7"/>
  <c r="S43" i="7"/>
  <c r="S39" i="7"/>
  <c r="S35" i="7"/>
  <c r="S129" i="7"/>
  <c r="AY129" i="7" s="1"/>
  <c r="S89" i="7"/>
  <c r="S75" i="7"/>
  <c r="S70" i="7"/>
  <c r="S66" i="7"/>
  <c r="S62" i="7"/>
  <c r="S58" i="7"/>
  <c r="S54" i="7"/>
  <c r="S50" i="7"/>
  <c r="S46" i="7"/>
  <c r="S42" i="7"/>
  <c r="S38" i="7"/>
  <c r="S34" i="7"/>
  <c r="S107" i="7"/>
  <c r="S95" i="7"/>
  <c r="S127" i="7"/>
  <c r="S116" i="7"/>
  <c r="AY116" i="7" s="1"/>
  <c r="S105" i="7"/>
  <c r="S99" i="7"/>
  <c r="S73" i="7"/>
  <c r="S69" i="7"/>
  <c r="S65" i="7"/>
  <c r="S61" i="7"/>
  <c r="S57" i="7"/>
  <c r="S53" i="7"/>
  <c r="AY53" i="7" s="1"/>
  <c r="S49" i="7"/>
  <c r="S64" i="7"/>
  <c r="S21" i="7"/>
  <c r="S20" i="7"/>
  <c r="S100" i="7"/>
  <c r="S96" i="7"/>
  <c r="S72" i="7"/>
  <c r="S25" i="7"/>
  <c r="AY25" i="7" s="1"/>
  <c r="S24" i="7"/>
  <c r="S9" i="7"/>
  <c r="S8" i="7"/>
  <c r="S76" i="7"/>
  <c r="S29" i="7"/>
  <c r="S28" i="7"/>
  <c r="S13" i="7"/>
  <c r="S12" i="7"/>
  <c r="S119" i="7"/>
  <c r="S85" i="7"/>
  <c r="S52" i="7"/>
  <c r="S41" i="7"/>
  <c r="S36" i="7"/>
  <c r="S16" i="7"/>
  <c r="S80" i="7"/>
  <c r="S33" i="7"/>
  <c r="AY33" i="7" s="1"/>
  <c r="S31" i="7"/>
  <c r="S26" i="7"/>
  <c r="S14" i="7"/>
  <c r="S109" i="7"/>
  <c r="S48" i="7"/>
  <c r="S19" i="7"/>
  <c r="S7" i="7"/>
  <c r="S131" i="7"/>
  <c r="S120" i="7"/>
  <c r="S56" i="7"/>
  <c r="S45" i="7"/>
  <c r="S37" i="7"/>
  <c r="S22" i="7"/>
  <c r="S60" i="7"/>
  <c r="S40" i="7"/>
  <c r="S32" i="7"/>
  <c r="S10" i="7"/>
  <c r="S81" i="7"/>
  <c r="S44" i="7"/>
  <c r="S15" i="7"/>
  <c r="S27" i="7"/>
  <c r="S18" i="7"/>
  <c r="S11" i="7"/>
  <c r="S87" i="7"/>
  <c r="AY87" i="7" s="1"/>
  <c r="S68" i="7"/>
  <c r="S17" i="7"/>
  <c r="S108" i="7"/>
  <c r="S83" i="7"/>
  <c r="S30" i="7"/>
  <c r="S23" i="7"/>
  <c r="V129" i="15"/>
  <c r="V125" i="15"/>
  <c r="V121" i="15"/>
  <c r="V123" i="15"/>
  <c r="V122" i="15"/>
  <c r="V119" i="15"/>
  <c r="V115" i="15"/>
  <c r="V111" i="15"/>
  <c r="V107" i="15"/>
  <c r="V103" i="15"/>
  <c r="V99" i="15"/>
  <c r="V95" i="15"/>
  <c r="V124" i="15"/>
  <c r="V127" i="15"/>
  <c r="V126" i="15"/>
  <c r="V118" i="15"/>
  <c r="V114" i="15"/>
  <c r="V110" i="15"/>
  <c r="V106" i="15"/>
  <c r="V102" i="15"/>
  <c r="V98" i="15"/>
  <c r="V94" i="15"/>
  <c r="V90" i="15"/>
  <c r="V86" i="15"/>
  <c r="V82" i="15"/>
  <c r="V78" i="15"/>
  <c r="V74" i="15"/>
  <c r="V70" i="15"/>
  <c r="V66" i="15"/>
  <c r="V62" i="15"/>
  <c r="V58" i="15"/>
  <c r="V54" i="15"/>
  <c r="V50" i="15"/>
  <c r="V46" i="15"/>
  <c r="V42" i="15"/>
  <c r="V38" i="15"/>
  <c r="V34" i="15"/>
  <c r="V30" i="15"/>
  <c r="V26" i="15"/>
  <c r="V22" i="15"/>
  <c r="V18" i="15"/>
  <c r="V14" i="15"/>
  <c r="V10" i="15"/>
  <c r="V128" i="15"/>
  <c r="V131" i="15"/>
  <c r="V130" i="15"/>
  <c r="V117" i="15"/>
  <c r="V113" i="15"/>
  <c r="V109" i="15"/>
  <c r="V105" i="15"/>
  <c r="V101" i="15"/>
  <c r="V97" i="15"/>
  <c r="V93" i="15"/>
  <c r="V132" i="15"/>
  <c r="V116" i="15"/>
  <c r="V112" i="15"/>
  <c r="V108" i="15"/>
  <c r="V104" i="15"/>
  <c r="V100" i="15"/>
  <c r="V96" i="15"/>
  <c r="V92" i="15"/>
  <c r="V88" i="15"/>
  <c r="V84" i="15"/>
  <c r="V80" i="15"/>
  <c r="V76" i="15"/>
  <c r="V72" i="15"/>
  <c r="V68" i="15"/>
  <c r="V64" i="15"/>
  <c r="V60" i="15"/>
  <c r="V56" i="15"/>
  <c r="V52" i="15"/>
  <c r="V48" i="15"/>
  <c r="V44" i="15"/>
  <c r="V40" i="15"/>
  <c r="V36" i="15"/>
  <c r="V32" i="15"/>
  <c r="V28" i="15"/>
  <c r="V24" i="15"/>
  <c r="V20" i="15"/>
  <c r="V16" i="15"/>
  <c r="V12" i="15"/>
  <c r="V8" i="15"/>
  <c r="V91" i="15"/>
  <c r="V83" i="15"/>
  <c r="V75" i="15"/>
  <c r="V67" i="15"/>
  <c r="V59" i="15"/>
  <c r="V51" i="15"/>
  <c r="V43" i="15"/>
  <c r="V35" i="15"/>
  <c r="V27" i="15"/>
  <c r="V19" i="15"/>
  <c r="V11" i="15"/>
  <c r="V89" i="15"/>
  <c r="V81" i="15"/>
  <c r="V73" i="15"/>
  <c r="V65" i="15"/>
  <c r="V57" i="15"/>
  <c r="V49" i="15"/>
  <c r="V41" i="15"/>
  <c r="V33" i="15"/>
  <c r="V25" i="15"/>
  <c r="V17" i="15"/>
  <c r="V9" i="15"/>
  <c r="V120" i="15"/>
  <c r="V87" i="15"/>
  <c r="V79" i="15"/>
  <c r="V71" i="15"/>
  <c r="V63" i="15"/>
  <c r="V55" i="15"/>
  <c r="V47" i="15"/>
  <c r="V39" i="15"/>
  <c r="V31" i="15"/>
  <c r="V23" i="15"/>
  <c r="V15" i="15"/>
  <c r="V7" i="15"/>
  <c r="V85" i="15"/>
  <c r="V77" i="15"/>
  <c r="V69" i="15"/>
  <c r="V61" i="15"/>
  <c r="V53" i="15"/>
  <c r="V45" i="15"/>
  <c r="V37" i="15"/>
  <c r="V29" i="15"/>
  <c r="V21" i="15"/>
  <c r="V13" i="15"/>
  <c r="P122" i="14"/>
  <c r="P129" i="14"/>
  <c r="P120" i="14"/>
  <c r="P116" i="14"/>
  <c r="P112" i="14"/>
  <c r="P108" i="14"/>
  <c r="P104" i="14"/>
  <c r="P100" i="14"/>
  <c r="P96" i="14"/>
  <c r="P92" i="14"/>
  <c r="P88" i="14"/>
  <c r="P84" i="14"/>
  <c r="P80" i="14"/>
  <c r="P128" i="14"/>
  <c r="P127" i="14"/>
  <c r="P126" i="14"/>
  <c r="P119" i="14"/>
  <c r="P115" i="14"/>
  <c r="P111" i="14"/>
  <c r="P107" i="14"/>
  <c r="P103" i="14"/>
  <c r="P99" i="14"/>
  <c r="P95" i="14"/>
  <c r="P91" i="14"/>
  <c r="P87" i="14"/>
  <c r="P124" i="14"/>
  <c r="P114" i="14"/>
  <c r="P106" i="14"/>
  <c r="P98" i="14"/>
  <c r="P90" i="14"/>
  <c r="P81" i="14"/>
  <c r="P75" i="14"/>
  <c r="P74" i="14"/>
  <c r="P59" i="14"/>
  <c r="P58" i="14"/>
  <c r="P43" i="14"/>
  <c r="P42" i="14"/>
  <c r="P131" i="14"/>
  <c r="P117" i="14"/>
  <c r="P109" i="14"/>
  <c r="P101" i="14"/>
  <c r="P93" i="14"/>
  <c r="P85" i="14"/>
  <c r="P77" i="14"/>
  <c r="P76" i="14"/>
  <c r="P61" i="14"/>
  <c r="P60" i="14"/>
  <c r="P45" i="14"/>
  <c r="P44" i="14"/>
  <c r="P38" i="14"/>
  <c r="P34" i="14"/>
  <c r="P30" i="14"/>
  <c r="P125" i="14"/>
  <c r="P83" i="14"/>
  <c r="P78" i="14"/>
  <c r="P65" i="14"/>
  <c r="P64" i="14"/>
  <c r="P49" i="14"/>
  <c r="P48" i="14"/>
  <c r="P37" i="14"/>
  <c r="P33" i="14"/>
  <c r="P29" i="14"/>
  <c r="P25" i="14"/>
  <c r="P21" i="14"/>
  <c r="P17" i="14"/>
  <c r="P13" i="14"/>
  <c r="P9" i="14"/>
  <c r="P118" i="14"/>
  <c r="P113" i="14"/>
  <c r="P68" i="14"/>
  <c r="P18" i="14"/>
  <c r="P132" i="14"/>
  <c r="P123" i="14"/>
  <c r="P110" i="14"/>
  <c r="P105" i="14"/>
  <c r="P73" i="14"/>
  <c r="P66" i="14"/>
  <c r="P56" i="14"/>
  <c r="P39" i="14"/>
  <c r="P20" i="14"/>
  <c r="P19" i="14"/>
  <c r="P102" i="14"/>
  <c r="P97" i="14"/>
  <c r="P82" i="14"/>
  <c r="P71" i="14"/>
  <c r="P54" i="14"/>
  <c r="P47" i="14"/>
  <c r="P35" i="14"/>
  <c r="P22" i="14"/>
  <c r="P94" i="14"/>
  <c r="P89" i="14"/>
  <c r="P69" i="14"/>
  <c r="P52" i="14"/>
  <c r="P36" i="14"/>
  <c r="P31" i="14"/>
  <c r="P24" i="14"/>
  <c r="P23" i="14"/>
  <c r="P8" i="14"/>
  <c r="P7" i="14"/>
  <c r="P86" i="14"/>
  <c r="P67" i="14"/>
  <c r="P62" i="14"/>
  <c r="P57" i="14"/>
  <c r="P50" i="14"/>
  <c r="P40" i="14"/>
  <c r="P32" i="14"/>
  <c r="P26" i="14"/>
  <c r="P10" i="14"/>
  <c r="P79" i="14"/>
  <c r="P55" i="14"/>
  <c r="P28" i="14"/>
  <c r="P27" i="14"/>
  <c r="P12" i="14"/>
  <c r="P11" i="14"/>
  <c r="P72" i="14"/>
  <c r="P53" i="14"/>
  <c r="P14" i="14"/>
  <c r="P130" i="14"/>
  <c r="P15" i="14"/>
  <c r="P70" i="14"/>
  <c r="P41" i="14"/>
  <c r="P121" i="14"/>
  <c r="P51" i="14"/>
  <c r="P63" i="14"/>
  <c r="P46" i="14"/>
  <c r="P16" i="14"/>
  <c r="Q130" i="3"/>
  <c r="Q126" i="3"/>
  <c r="Q122" i="3"/>
  <c r="Q118" i="3"/>
  <c r="Q114" i="3"/>
  <c r="Q110" i="3"/>
  <c r="Q106" i="3"/>
  <c r="Q132" i="3"/>
  <c r="Q128" i="3"/>
  <c r="Q124" i="3"/>
  <c r="Q120" i="3"/>
  <c r="Q116" i="3"/>
  <c r="Q112" i="3"/>
  <c r="Q108" i="3"/>
  <c r="Q104" i="3"/>
  <c r="Q129" i="3"/>
  <c r="Q113" i="3"/>
  <c r="Q117" i="3"/>
  <c r="Q121" i="3"/>
  <c r="Q105" i="3"/>
  <c r="Q125" i="3"/>
  <c r="Q99" i="3"/>
  <c r="Q90" i="3"/>
  <c r="Q85" i="3"/>
  <c r="Q76" i="3"/>
  <c r="Q70" i="3"/>
  <c r="Q69" i="3"/>
  <c r="Q46" i="3"/>
  <c r="Q123" i="3"/>
  <c r="Q95" i="3"/>
  <c r="Q86" i="3"/>
  <c r="Q81" i="3"/>
  <c r="Q72" i="3"/>
  <c r="Q71" i="3"/>
  <c r="Q56" i="3"/>
  <c r="Q55" i="3"/>
  <c r="Q45" i="3"/>
  <c r="Q44" i="3"/>
  <c r="Q38" i="3"/>
  <c r="Q34" i="3"/>
  <c r="Q30" i="3"/>
  <c r="Q26" i="3"/>
  <c r="Q22" i="3"/>
  <c r="Q18" i="3"/>
  <c r="Q14" i="3"/>
  <c r="Q10" i="3"/>
  <c r="Q111" i="3"/>
  <c r="Q100" i="3"/>
  <c r="Q91" i="3"/>
  <c r="Q82" i="3"/>
  <c r="Q77" i="3"/>
  <c r="Q58" i="3"/>
  <c r="Q57" i="3"/>
  <c r="Q54" i="3"/>
  <c r="Q43" i="3"/>
  <c r="Q127" i="3"/>
  <c r="Q96" i="3"/>
  <c r="Q92" i="3"/>
  <c r="Q88" i="3"/>
  <c r="Q84" i="3"/>
  <c r="Q80" i="3"/>
  <c r="Q65" i="3"/>
  <c r="Q49" i="3"/>
  <c r="Q107" i="3"/>
  <c r="Q102" i="3"/>
  <c r="Q98" i="3"/>
  <c r="Q94" i="3"/>
  <c r="Q63" i="3"/>
  <c r="Q131" i="3"/>
  <c r="Q115" i="3"/>
  <c r="Q109" i="3"/>
  <c r="Q87" i="3"/>
  <c r="Q83" i="3"/>
  <c r="Q79" i="3"/>
  <c r="Q75" i="3"/>
  <c r="Q66" i="3"/>
  <c r="Q59" i="3"/>
  <c r="Q47" i="3"/>
  <c r="Q41" i="3"/>
  <c r="Q29" i="3"/>
  <c r="Q28" i="3"/>
  <c r="Q27" i="3"/>
  <c r="Q13" i="3"/>
  <c r="Q12" i="3"/>
  <c r="Q11" i="3"/>
  <c r="Q64" i="3"/>
  <c r="Q51" i="3"/>
  <c r="Q101" i="3"/>
  <c r="Q97" i="3"/>
  <c r="Q93" i="3"/>
  <c r="Q89" i="3"/>
  <c r="Q62" i="3"/>
  <c r="Q48" i="3"/>
  <c r="Q42" i="3"/>
  <c r="Q33" i="3"/>
  <c r="Q32" i="3"/>
  <c r="Q31" i="3"/>
  <c r="Q17" i="3"/>
  <c r="Q16" i="3"/>
  <c r="Q15" i="3"/>
  <c r="Q74" i="3"/>
  <c r="Q60" i="3"/>
  <c r="Q37" i="3"/>
  <c r="Q35" i="3"/>
  <c r="Q20" i="3"/>
  <c r="Q53" i="3"/>
  <c r="Q39" i="3"/>
  <c r="Q24" i="3"/>
  <c r="Q9" i="3"/>
  <c r="Q7" i="3"/>
  <c r="Q68" i="3"/>
  <c r="Q52" i="3"/>
  <c r="Q119" i="3"/>
  <c r="Q61" i="3"/>
  <c r="Q50" i="3"/>
  <c r="Q67" i="3"/>
  <c r="Q40" i="3"/>
  <c r="Q23" i="3"/>
  <c r="Q73" i="3"/>
  <c r="Q36" i="3"/>
  <c r="Q19" i="3"/>
  <c r="Q25" i="3"/>
  <c r="Q8" i="3"/>
  <c r="Q78" i="3"/>
  <c r="Q21" i="3"/>
  <c r="Q103" i="3"/>
  <c r="R129" i="19"/>
  <c r="R125" i="19"/>
  <c r="R121" i="19"/>
  <c r="R117" i="19"/>
  <c r="R113" i="19"/>
  <c r="R109" i="19"/>
  <c r="R105" i="19"/>
  <c r="R101" i="19"/>
  <c r="R97" i="19"/>
  <c r="R93" i="19"/>
  <c r="R89" i="19"/>
  <c r="R85" i="19"/>
  <c r="R81" i="19"/>
  <c r="R77" i="19"/>
  <c r="R73" i="19"/>
  <c r="R69" i="19"/>
  <c r="R65" i="19"/>
  <c r="R61" i="19"/>
  <c r="R131" i="19"/>
  <c r="R126" i="19"/>
  <c r="R108" i="19"/>
  <c r="R96" i="19"/>
  <c r="R80" i="19"/>
  <c r="R64" i="19"/>
  <c r="R127" i="19"/>
  <c r="R122" i="19"/>
  <c r="R104" i="19"/>
  <c r="R99" i="19"/>
  <c r="R98" i="19"/>
  <c r="R83" i="19"/>
  <c r="R82" i="19"/>
  <c r="R67" i="19"/>
  <c r="R66" i="19"/>
  <c r="R57" i="19"/>
  <c r="R53" i="19"/>
  <c r="R49" i="19"/>
  <c r="R45" i="19"/>
  <c r="R41" i="19"/>
  <c r="R37" i="19"/>
  <c r="R33" i="19"/>
  <c r="R29" i="19"/>
  <c r="R25" i="19"/>
  <c r="R21" i="19"/>
  <c r="R17" i="19"/>
  <c r="R13" i="19"/>
  <c r="R9" i="19"/>
  <c r="R132" i="19"/>
  <c r="R123" i="19"/>
  <c r="R118" i="19"/>
  <c r="R100" i="19"/>
  <c r="R128" i="19"/>
  <c r="R119" i="19"/>
  <c r="R114" i="19"/>
  <c r="R87" i="19"/>
  <c r="R86" i="19"/>
  <c r="R71" i="19"/>
  <c r="R70" i="19"/>
  <c r="R56" i="19"/>
  <c r="R52" i="19"/>
  <c r="R48" i="19"/>
  <c r="R44" i="19"/>
  <c r="R40" i="19"/>
  <c r="R36" i="19"/>
  <c r="R32" i="19"/>
  <c r="R124" i="19"/>
  <c r="R115" i="19"/>
  <c r="R110" i="19"/>
  <c r="R88" i="19"/>
  <c r="R72" i="19"/>
  <c r="R120" i="19"/>
  <c r="R111" i="19"/>
  <c r="R106" i="19"/>
  <c r="R91" i="19"/>
  <c r="R90" i="19"/>
  <c r="R75" i="19"/>
  <c r="R74" i="19"/>
  <c r="R59" i="19"/>
  <c r="R55" i="19"/>
  <c r="R51" i="19"/>
  <c r="R47" i="19"/>
  <c r="R43" i="19"/>
  <c r="R39" i="19"/>
  <c r="R35" i="19"/>
  <c r="R31" i="19"/>
  <c r="R27" i="19"/>
  <c r="R23" i="19"/>
  <c r="R19" i="19"/>
  <c r="R15" i="19"/>
  <c r="R11" i="19"/>
  <c r="R7" i="19"/>
  <c r="R92" i="19"/>
  <c r="R78" i="19"/>
  <c r="R54" i="19"/>
  <c r="R14" i="19"/>
  <c r="R130" i="19"/>
  <c r="R95" i="19"/>
  <c r="R58" i="19"/>
  <c r="R28" i="19"/>
  <c r="R10" i="19"/>
  <c r="R63" i="19"/>
  <c r="R60" i="19"/>
  <c r="R24" i="19"/>
  <c r="R103" i="19"/>
  <c r="R94" i="19"/>
  <c r="R34" i="19"/>
  <c r="R20" i="19"/>
  <c r="R107" i="19"/>
  <c r="R102" i="19"/>
  <c r="R68" i="19"/>
  <c r="R38" i="19"/>
  <c r="R30" i="19"/>
  <c r="R16" i="19"/>
  <c r="R112" i="19"/>
  <c r="R79" i="19"/>
  <c r="R76" i="19"/>
  <c r="R62" i="19"/>
  <c r="R42" i="19"/>
  <c r="R26" i="19"/>
  <c r="R12" i="19"/>
  <c r="R116" i="19"/>
  <c r="R46" i="19"/>
  <c r="R22" i="19"/>
  <c r="R8" i="19"/>
  <c r="R50" i="19"/>
  <c r="R84" i="19"/>
  <c r="R18" i="19"/>
  <c r="O132" i="20"/>
  <c r="O128" i="20"/>
  <c r="O124" i="20"/>
  <c r="O120" i="20"/>
  <c r="O116" i="20"/>
  <c r="O112" i="20"/>
  <c r="O108" i="20"/>
  <c r="O104" i="20"/>
  <c r="O100" i="20"/>
  <c r="O96" i="20"/>
  <c r="O92" i="20"/>
  <c r="O88" i="20"/>
  <c r="O84" i="20"/>
  <c r="O80" i="20"/>
  <c r="O76" i="20"/>
  <c r="O72" i="20"/>
  <c r="O68" i="20"/>
  <c r="O64" i="20"/>
  <c r="O60" i="20"/>
  <c r="O130" i="20"/>
  <c r="O126" i="20"/>
  <c r="O122" i="20"/>
  <c r="O118" i="20"/>
  <c r="O114" i="20"/>
  <c r="O110" i="20"/>
  <c r="O106" i="20"/>
  <c r="O102" i="20"/>
  <c r="O98" i="20"/>
  <c r="O94" i="20"/>
  <c r="O90" i="20"/>
  <c r="O86" i="20"/>
  <c r="O82" i="20"/>
  <c r="O78" i="20"/>
  <c r="O74" i="20"/>
  <c r="O70" i="20"/>
  <c r="O66" i="20"/>
  <c r="O62" i="20"/>
  <c r="O58" i="20"/>
  <c r="O121" i="20"/>
  <c r="O101" i="20"/>
  <c r="O85" i="20"/>
  <c r="O69" i="20"/>
  <c r="O117" i="20"/>
  <c r="O103" i="20"/>
  <c r="O87" i="20"/>
  <c r="O71" i="20"/>
  <c r="O131" i="20"/>
  <c r="O105" i="20"/>
  <c r="O89" i="20"/>
  <c r="O73" i="20"/>
  <c r="O127" i="20"/>
  <c r="O107" i="20"/>
  <c r="O91" i="20"/>
  <c r="O75" i="20"/>
  <c r="O59" i="20"/>
  <c r="O57" i="20"/>
  <c r="O53" i="20"/>
  <c r="O49" i="20"/>
  <c r="O45" i="20"/>
  <c r="O41" i="20"/>
  <c r="O37" i="20"/>
  <c r="O33" i="20"/>
  <c r="O29" i="20"/>
  <c r="O25" i="20"/>
  <c r="O21" i="20"/>
  <c r="O17" i="20"/>
  <c r="O13" i="20"/>
  <c r="O9" i="20"/>
  <c r="O123" i="20"/>
  <c r="O109" i="20"/>
  <c r="O93" i="20"/>
  <c r="O77" i="20"/>
  <c r="O61" i="20"/>
  <c r="O119" i="20"/>
  <c r="O111" i="20"/>
  <c r="O95" i="20"/>
  <c r="O79" i="20"/>
  <c r="O63" i="20"/>
  <c r="O56" i="20"/>
  <c r="O52" i="20"/>
  <c r="O48" i="20"/>
  <c r="O129" i="20"/>
  <c r="O113" i="20"/>
  <c r="O97" i="20"/>
  <c r="O81" i="20"/>
  <c r="O65" i="20"/>
  <c r="O83" i="20"/>
  <c r="O46" i="20"/>
  <c r="O31" i="20"/>
  <c r="O16" i="20"/>
  <c r="O14" i="20"/>
  <c r="O99" i="20"/>
  <c r="O51" i="20"/>
  <c r="O35" i="20"/>
  <c r="O20" i="20"/>
  <c r="O18" i="20"/>
  <c r="O42" i="20"/>
  <c r="O125" i="20"/>
  <c r="O115" i="20"/>
  <c r="O54" i="20"/>
  <c r="O39" i="20"/>
  <c r="O24" i="20"/>
  <c r="O22" i="20"/>
  <c r="O27" i="20"/>
  <c r="O43" i="20"/>
  <c r="O28" i="20"/>
  <c r="O26" i="20"/>
  <c r="O11" i="20"/>
  <c r="O55" i="20"/>
  <c r="O44" i="20"/>
  <c r="O50" i="20"/>
  <c r="O47" i="20"/>
  <c r="O32" i="20"/>
  <c r="O30" i="20"/>
  <c r="O15" i="20"/>
  <c r="O36" i="20"/>
  <c r="O34" i="20"/>
  <c r="O19" i="20"/>
  <c r="O12" i="20"/>
  <c r="O40" i="20"/>
  <c r="O38" i="20"/>
  <c r="O23" i="20"/>
  <c r="O8" i="20"/>
  <c r="O67" i="20"/>
  <c r="O10" i="20"/>
  <c r="O7" i="20"/>
  <c r="T132" i="24"/>
  <c r="T128" i="24"/>
  <c r="T124" i="24"/>
  <c r="T120" i="24"/>
  <c r="T116" i="24"/>
  <c r="T112" i="24"/>
  <c r="T108" i="24"/>
  <c r="T104" i="24"/>
  <c r="T100" i="24"/>
  <c r="T96" i="24"/>
  <c r="T92" i="24"/>
  <c r="T88" i="24"/>
  <c r="T84" i="24"/>
  <c r="T80" i="24"/>
  <c r="T127" i="24"/>
  <c r="T126" i="24"/>
  <c r="T111" i="24"/>
  <c r="T110" i="24"/>
  <c r="T95" i="24"/>
  <c r="T94" i="24"/>
  <c r="T79" i="24"/>
  <c r="T78" i="24"/>
  <c r="T129" i="24"/>
  <c r="T113" i="24"/>
  <c r="T97" i="24"/>
  <c r="T81" i="24"/>
  <c r="T77" i="24"/>
  <c r="T73" i="24"/>
  <c r="T69" i="24"/>
  <c r="T65" i="24"/>
  <c r="T61" i="24"/>
  <c r="T57" i="24"/>
  <c r="T53" i="24"/>
  <c r="T49" i="24"/>
  <c r="T45" i="24"/>
  <c r="T41" i="24"/>
  <c r="T37" i="24"/>
  <c r="T33" i="24"/>
  <c r="T29" i="24"/>
  <c r="T25" i="24"/>
  <c r="T21" i="24"/>
  <c r="T17" i="24"/>
  <c r="T13" i="24"/>
  <c r="T9" i="24"/>
  <c r="T131" i="24"/>
  <c r="T130" i="24"/>
  <c r="T115" i="24"/>
  <c r="T114" i="24"/>
  <c r="T99" i="24"/>
  <c r="T98" i="24"/>
  <c r="T83" i="24"/>
  <c r="T82" i="24"/>
  <c r="T91" i="24"/>
  <c r="T117" i="24"/>
  <c r="T101" i="24"/>
  <c r="T85" i="24"/>
  <c r="T76" i="24"/>
  <c r="T72" i="24"/>
  <c r="T68" i="24"/>
  <c r="T64" i="24"/>
  <c r="T60" i="24"/>
  <c r="T56" i="24"/>
  <c r="T52" i="24"/>
  <c r="T48" i="24"/>
  <c r="T44" i="24"/>
  <c r="T40" i="24"/>
  <c r="T36" i="24"/>
  <c r="T32" i="24"/>
  <c r="T28" i="24"/>
  <c r="T24" i="24"/>
  <c r="T20" i="24"/>
  <c r="T16" i="24"/>
  <c r="T12" i="24"/>
  <c r="T8" i="24"/>
  <c r="T119" i="24"/>
  <c r="T118" i="24"/>
  <c r="T103" i="24"/>
  <c r="T102" i="24"/>
  <c r="T87" i="24"/>
  <c r="T86" i="24"/>
  <c r="T122" i="24"/>
  <c r="T107" i="24"/>
  <c r="T121" i="24"/>
  <c r="T105" i="24"/>
  <c r="T89" i="24"/>
  <c r="T75" i="24"/>
  <c r="T71" i="24"/>
  <c r="T67" i="24"/>
  <c r="T63" i="24"/>
  <c r="T59" i="24"/>
  <c r="T55" i="24"/>
  <c r="T51" i="24"/>
  <c r="T47" i="24"/>
  <c r="T43" i="24"/>
  <c r="T39" i="24"/>
  <c r="T35" i="24"/>
  <c r="T31" i="24"/>
  <c r="T27" i="24"/>
  <c r="T23" i="24"/>
  <c r="T19" i="24"/>
  <c r="T15" i="24"/>
  <c r="T11" i="24"/>
  <c r="T7" i="24"/>
  <c r="T90" i="24"/>
  <c r="T123" i="24"/>
  <c r="T106" i="24"/>
  <c r="T54" i="24"/>
  <c r="T22" i="24"/>
  <c r="T66" i="24"/>
  <c r="T34" i="24"/>
  <c r="T46" i="24"/>
  <c r="T14" i="24"/>
  <c r="T58" i="24"/>
  <c r="T26" i="24"/>
  <c r="T93" i="24"/>
  <c r="T70" i="24"/>
  <c r="T38" i="24"/>
  <c r="T109" i="24"/>
  <c r="T50" i="24"/>
  <c r="T18" i="24"/>
  <c r="T74" i="24"/>
  <c r="T42" i="24"/>
  <c r="T10" i="24"/>
  <c r="T125" i="24"/>
  <c r="T62" i="24"/>
  <c r="T30" i="24"/>
  <c r="T129" i="21"/>
  <c r="T125" i="21"/>
  <c r="T121" i="21"/>
  <c r="T117" i="21"/>
  <c r="T113" i="21"/>
  <c r="T109" i="21"/>
  <c r="T105" i="21"/>
  <c r="T101" i="21"/>
  <c r="T97" i="21"/>
  <c r="T93" i="21"/>
  <c r="T132" i="21"/>
  <c r="T128" i="21"/>
  <c r="T124" i="21"/>
  <c r="T120" i="21"/>
  <c r="T116" i="21"/>
  <c r="T112" i="21"/>
  <c r="T108" i="21"/>
  <c r="T104" i="21"/>
  <c r="T131" i="21"/>
  <c r="T127" i="21"/>
  <c r="T123" i="21"/>
  <c r="T119" i="21"/>
  <c r="T115" i="21"/>
  <c r="T111" i="21"/>
  <c r="T107" i="21"/>
  <c r="T103" i="21"/>
  <c r="T99" i="21"/>
  <c r="T95" i="21"/>
  <c r="T91" i="21"/>
  <c r="T87" i="21"/>
  <c r="T83" i="21"/>
  <c r="T79" i="21"/>
  <c r="T75" i="21"/>
  <c r="T71" i="21"/>
  <c r="T67" i="21"/>
  <c r="T63" i="21"/>
  <c r="T59" i="21"/>
  <c r="T55" i="21"/>
  <c r="T51" i="21"/>
  <c r="T47" i="21"/>
  <c r="T43" i="21"/>
  <c r="T39" i="21"/>
  <c r="T35" i="21"/>
  <c r="T31" i="21"/>
  <c r="T27" i="21"/>
  <c r="T23" i="21"/>
  <c r="T19" i="21"/>
  <c r="T15" i="21"/>
  <c r="T130" i="21"/>
  <c r="T126" i="21"/>
  <c r="T122" i="21"/>
  <c r="T118" i="21"/>
  <c r="T114" i="21"/>
  <c r="T110" i="21"/>
  <c r="T106" i="21"/>
  <c r="T102" i="21"/>
  <c r="T98" i="21"/>
  <c r="T94" i="21"/>
  <c r="T90" i="21"/>
  <c r="T86" i="21"/>
  <c r="T82" i="21"/>
  <c r="T78" i="21"/>
  <c r="T74" i="21"/>
  <c r="T70" i="21"/>
  <c r="T66" i="21"/>
  <c r="T62" i="21"/>
  <c r="T58" i="21"/>
  <c r="T54" i="21"/>
  <c r="T50" i="21"/>
  <c r="T46" i="21"/>
  <c r="T42" i="21"/>
  <c r="T38" i="21"/>
  <c r="T34" i="21"/>
  <c r="T30" i="21"/>
  <c r="T26" i="21"/>
  <c r="T22" i="21"/>
  <c r="T18" i="21"/>
  <c r="T14" i="21"/>
  <c r="T10" i="21"/>
  <c r="T73" i="21"/>
  <c r="T68" i="21"/>
  <c r="T41" i="21"/>
  <c r="T36" i="21"/>
  <c r="T96" i="21"/>
  <c r="T69" i="21"/>
  <c r="T64" i="21"/>
  <c r="T37" i="21"/>
  <c r="T32" i="21"/>
  <c r="T40" i="21"/>
  <c r="T65" i="21"/>
  <c r="T60" i="21"/>
  <c r="T33" i="21"/>
  <c r="T28" i="21"/>
  <c r="T77" i="21"/>
  <c r="T88" i="21"/>
  <c r="T61" i="21"/>
  <c r="T56" i="21"/>
  <c r="T29" i="21"/>
  <c r="T24" i="21"/>
  <c r="T7" i="21"/>
  <c r="T89" i="21"/>
  <c r="T84" i="21"/>
  <c r="T57" i="21"/>
  <c r="T52" i="21"/>
  <c r="T25" i="21"/>
  <c r="T20" i="21"/>
  <c r="T9" i="21"/>
  <c r="T8" i="21"/>
  <c r="T100" i="21"/>
  <c r="T92" i="21"/>
  <c r="T85" i="21"/>
  <c r="T80" i="21"/>
  <c r="T53" i="21"/>
  <c r="T48" i="21"/>
  <c r="T21" i="21"/>
  <c r="T16" i="21"/>
  <c r="T11" i="21"/>
  <c r="T12" i="21"/>
  <c r="T72" i="21"/>
  <c r="T81" i="21"/>
  <c r="T76" i="21"/>
  <c r="T49" i="21"/>
  <c r="T44" i="21"/>
  <c r="T17" i="21"/>
  <c r="T45" i="21"/>
  <c r="T13" i="21"/>
  <c r="X130" i="20"/>
  <c r="X126" i="20"/>
  <c r="X122" i="20"/>
  <c r="X118" i="20"/>
  <c r="X129" i="20"/>
  <c r="X124" i="20"/>
  <c r="X115" i="20"/>
  <c r="X114" i="20"/>
  <c r="X99" i="20"/>
  <c r="X98" i="20"/>
  <c r="X83" i="20"/>
  <c r="X82" i="20"/>
  <c r="X67" i="20"/>
  <c r="X66" i="20"/>
  <c r="X54" i="20"/>
  <c r="X50" i="20"/>
  <c r="X46" i="20"/>
  <c r="X42" i="20"/>
  <c r="X38" i="20"/>
  <c r="X34" i="20"/>
  <c r="X30" i="20"/>
  <c r="X26" i="20"/>
  <c r="X22" i="20"/>
  <c r="X18" i="20"/>
  <c r="X14" i="20"/>
  <c r="X10" i="20"/>
  <c r="X125" i="20"/>
  <c r="X120" i="20"/>
  <c r="X101" i="20"/>
  <c r="X100" i="20"/>
  <c r="X85" i="20"/>
  <c r="X84" i="20"/>
  <c r="X69" i="20"/>
  <c r="X68" i="20"/>
  <c r="X121" i="20"/>
  <c r="X116" i="20"/>
  <c r="X103" i="20"/>
  <c r="X102" i="20"/>
  <c r="X87" i="20"/>
  <c r="X86" i="20"/>
  <c r="X71" i="20"/>
  <c r="X70" i="20"/>
  <c r="X53" i="20"/>
  <c r="X49" i="20"/>
  <c r="X45" i="20"/>
  <c r="X41" i="20"/>
  <c r="X37" i="20"/>
  <c r="X33" i="20"/>
  <c r="X29" i="20"/>
  <c r="X25" i="20"/>
  <c r="X21" i="20"/>
  <c r="X17" i="20"/>
  <c r="X13" i="20"/>
  <c r="X9" i="20"/>
  <c r="X117" i="20"/>
  <c r="X105" i="20"/>
  <c r="X104" i="20"/>
  <c r="X89" i="20"/>
  <c r="X88" i="20"/>
  <c r="X73" i="20"/>
  <c r="X72" i="20"/>
  <c r="X57" i="20"/>
  <c r="X131" i="20"/>
  <c r="X107" i="20"/>
  <c r="X106" i="20"/>
  <c r="X91" i="20"/>
  <c r="X90" i="20"/>
  <c r="X75" i="20"/>
  <c r="X74" i="20"/>
  <c r="X59" i="20"/>
  <c r="X58" i="20"/>
  <c r="X56" i="20"/>
  <c r="X52" i="20"/>
  <c r="X48" i="20"/>
  <c r="X44" i="20"/>
  <c r="X40" i="20"/>
  <c r="X36" i="20"/>
  <c r="X32" i="20"/>
  <c r="X28" i="20"/>
  <c r="X24" i="20"/>
  <c r="X20" i="20"/>
  <c r="X16" i="20"/>
  <c r="X12" i="20"/>
  <c r="X8" i="20"/>
  <c r="X127" i="20"/>
  <c r="X109" i="20"/>
  <c r="X108" i="20"/>
  <c r="X93" i="20"/>
  <c r="X92" i="20"/>
  <c r="X77" i="20"/>
  <c r="X76" i="20"/>
  <c r="X61" i="20"/>
  <c r="X60" i="20"/>
  <c r="X132" i="20"/>
  <c r="X123" i="20"/>
  <c r="X111" i="20"/>
  <c r="X110" i="20"/>
  <c r="X95" i="20"/>
  <c r="X94" i="20"/>
  <c r="X79" i="20"/>
  <c r="X78" i="20"/>
  <c r="X63" i="20"/>
  <c r="X62" i="20"/>
  <c r="X55" i="20"/>
  <c r="X51" i="20"/>
  <c r="X47" i="20"/>
  <c r="X43" i="20"/>
  <c r="X39" i="20"/>
  <c r="X35" i="20"/>
  <c r="X31" i="20"/>
  <c r="X27" i="20"/>
  <c r="X23" i="20"/>
  <c r="X19" i="20"/>
  <c r="X15" i="20"/>
  <c r="X11" i="20"/>
  <c r="X7" i="20"/>
  <c r="X81" i="20"/>
  <c r="X65" i="20"/>
  <c r="X97" i="20"/>
  <c r="X80" i="20"/>
  <c r="X113" i="20"/>
  <c r="X96" i="20"/>
  <c r="X64" i="20"/>
  <c r="X112" i="20"/>
  <c r="X119" i="20"/>
  <c r="X128" i="20"/>
  <c r="W132" i="20"/>
  <c r="W128" i="20"/>
  <c r="W124" i="20"/>
  <c r="W120" i="20"/>
  <c r="W116" i="20"/>
  <c r="W112" i="20"/>
  <c r="W108" i="20"/>
  <c r="W104" i="20"/>
  <c r="W100" i="20"/>
  <c r="W96" i="20"/>
  <c r="W92" i="20"/>
  <c r="W88" i="20"/>
  <c r="W84" i="20"/>
  <c r="W80" i="20"/>
  <c r="W76" i="20"/>
  <c r="W72" i="20"/>
  <c r="W68" i="20"/>
  <c r="W64" i="20"/>
  <c r="W60" i="20"/>
  <c r="W130" i="20"/>
  <c r="W126" i="20"/>
  <c r="W122" i="20"/>
  <c r="W118" i="20"/>
  <c r="W114" i="20"/>
  <c r="W110" i="20"/>
  <c r="W106" i="20"/>
  <c r="W102" i="20"/>
  <c r="W98" i="20"/>
  <c r="W94" i="20"/>
  <c r="W90" i="20"/>
  <c r="W86" i="20"/>
  <c r="W82" i="20"/>
  <c r="W78" i="20"/>
  <c r="W74" i="20"/>
  <c r="W70" i="20"/>
  <c r="W66" i="20"/>
  <c r="W62" i="20"/>
  <c r="W58" i="20"/>
  <c r="W119" i="20"/>
  <c r="W113" i="20"/>
  <c r="W97" i="20"/>
  <c r="W81" i="20"/>
  <c r="W65" i="20"/>
  <c r="W129" i="20"/>
  <c r="W115" i="20"/>
  <c r="W99" i="20"/>
  <c r="W83" i="20"/>
  <c r="W67" i="20"/>
  <c r="W125" i="20"/>
  <c r="W101" i="20"/>
  <c r="W85" i="20"/>
  <c r="W69" i="20"/>
  <c r="W121" i="20"/>
  <c r="W103" i="20"/>
  <c r="W87" i="20"/>
  <c r="W71" i="20"/>
  <c r="W53" i="20"/>
  <c r="W49" i="20"/>
  <c r="W45" i="20"/>
  <c r="W41" i="20"/>
  <c r="W37" i="20"/>
  <c r="W33" i="20"/>
  <c r="W29" i="20"/>
  <c r="W25" i="20"/>
  <c r="W21" i="20"/>
  <c r="W17" i="20"/>
  <c r="W13" i="20"/>
  <c r="W9" i="20"/>
  <c r="W117" i="20"/>
  <c r="W105" i="20"/>
  <c r="W89" i="20"/>
  <c r="W73" i="20"/>
  <c r="W57" i="20"/>
  <c r="W131" i="20"/>
  <c r="W107" i="20"/>
  <c r="W91" i="20"/>
  <c r="W75" i="20"/>
  <c r="W59" i="20"/>
  <c r="W56" i="20"/>
  <c r="W52" i="20"/>
  <c r="W48" i="20"/>
  <c r="W127" i="20"/>
  <c r="W109" i="20"/>
  <c r="W93" i="20"/>
  <c r="W77" i="20"/>
  <c r="W61" i="20"/>
  <c r="W54" i="20"/>
  <c r="W43" i="20"/>
  <c r="W28" i="20"/>
  <c r="W26" i="20"/>
  <c r="W11" i="20"/>
  <c r="W7" i="20"/>
  <c r="W47" i="20"/>
  <c r="W32" i="20"/>
  <c r="W30" i="20"/>
  <c r="W15" i="20"/>
  <c r="W50" i="20"/>
  <c r="W36" i="20"/>
  <c r="W34" i="20"/>
  <c r="W19" i="20"/>
  <c r="W123" i="20"/>
  <c r="W79" i="20"/>
  <c r="W40" i="20"/>
  <c r="W38" i="20"/>
  <c r="W23" i="20"/>
  <c r="W8" i="20"/>
  <c r="W95" i="20"/>
  <c r="W44" i="20"/>
  <c r="W42" i="20"/>
  <c r="W27" i="20"/>
  <c r="W12" i="20"/>
  <c r="W10" i="20"/>
  <c r="W111" i="20"/>
  <c r="W63" i="20"/>
  <c r="W55" i="20"/>
  <c r="W46" i="20"/>
  <c r="W31" i="20"/>
  <c r="W16" i="20"/>
  <c r="W14" i="20"/>
  <c r="W22" i="20"/>
  <c r="W35" i="20"/>
  <c r="W20" i="20"/>
  <c r="W18" i="20"/>
  <c r="W51" i="20"/>
  <c r="W39" i="20"/>
  <c r="W24" i="20"/>
  <c r="S130" i="24"/>
  <c r="S126" i="24"/>
  <c r="S122" i="24"/>
  <c r="S118" i="24"/>
  <c r="S114" i="24"/>
  <c r="S110" i="24"/>
  <c r="S106" i="24"/>
  <c r="S102" i="24"/>
  <c r="S98" i="24"/>
  <c r="S94" i="24"/>
  <c r="S90" i="24"/>
  <c r="S86" i="24"/>
  <c r="S82" i="24"/>
  <c r="S78" i="24"/>
  <c r="S125" i="24"/>
  <c r="S109" i="24"/>
  <c r="S93" i="24"/>
  <c r="S74" i="24"/>
  <c r="S70" i="24"/>
  <c r="S66" i="24"/>
  <c r="S62" i="24"/>
  <c r="S58" i="24"/>
  <c r="S54" i="24"/>
  <c r="S50" i="24"/>
  <c r="S46" i="24"/>
  <c r="S42" i="24"/>
  <c r="S38" i="24"/>
  <c r="S34" i="24"/>
  <c r="S30" i="24"/>
  <c r="S26" i="24"/>
  <c r="S22" i="24"/>
  <c r="S18" i="24"/>
  <c r="S14" i="24"/>
  <c r="S10" i="24"/>
  <c r="S9" i="24"/>
  <c r="S39" i="24"/>
  <c r="S128" i="24"/>
  <c r="S127" i="24"/>
  <c r="S112" i="24"/>
  <c r="S111" i="24"/>
  <c r="S96" i="24"/>
  <c r="S95" i="24"/>
  <c r="S80" i="24"/>
  <c r="S79" i="24"/>
  <c r="S77" i="24"/>
  <c r="S57" i="24"/>
  <c r="S37" i="24"/>
  <c r="S33" i="24"/>
  <c r="S25" i="24"/>
  <c r="S21" i="24"/>
  <c r="S17" i="24"/>
  <c r="S129" i="24"/>
  <c r="S113" i="24"/>
  <c r="S97" i="24"/>
  <c r="S81" i="24"/>
  <c r="S73" i="24"/>
  <c r="S69" i="24"/>
  <c r="S65" i="24"/>
  <c r="S61" i="24"/>
  <c r="S53" i="24"/>
  <c r="S49" i="24"/>
  <c r="S45" i="24"/>
  <c r="S41" i="24"/>
  <c r="S29" i="24"/>
  <c r="S13" i="24"/>
  <c r="S43" i="24"/>
  <c r="S15" i="24"/>
  <c r="S132" i="24"/>
  <c r="S131" i="24"/>
  <c r="S116" i="24"/>
  <c r="S115" i="24"/>
  <c r="S100" i="24"/>
  <c r="S99" i="24"/>
  <c r="S84" i="24"/>
  <c r="S83" i="24"/>
  <c r="S63" i="24"/>
  <c r="S47" i="24"/>
  <c r="S27" i="24"/>
  <c r="S11" i="24"/>
  <c r="S117" i="24"/>
  <c r="S101" i="24"/>
  <c r="S85" i="24"/>
  <c r="S76" i="24"/>
  <c r="S72" i="24"/>
  <c r="S68" i="24"/>
  <c r="S64" i="24"/>
  <c r="S60" i="24"/>
  <c r="S56" i="24"/>
  <c r="S52" i="24"/>
  <c r="S48" i="24"/>
  <c r="S44" i="24"/>
  <c r="S40" i="24"/>
  <c r="S36" i="24"/>
  <c r="S32" i="24"/>
  <c r="S28" i="24"/>
  <c r="S24" i="24"/>
  <c r="S20" i="24"/>
  <c r="S16" i="24"/>
  <c r="S12" i="24"/>
  <c r="S8" i="24"/>
  <c r="S89" i="24"/>
  <c r="S59" i="24"/>
  <c r="S55" i="24"/>
  <c r="S51" i="24"/>
  <c r="S120" i="24"/>
  <c r="S119" i="24"/>
  <c r="S104" i="24"/>
  <c r="S103" i="24"/>
  <c r="S88" i="24"/>
  <c r="S87" i="24"/>
  <c r="S121" i="24"/>
  <c r="S105" i="24"/>
  <c r="S75" i="24"/>
  <c r="S67" i="24"/>
  <c r="S35" i="24"/>
  <c r="S31" i="24"/>
  <c r="S19" i="24"/>
  <c r="S7" i="24"/>
  <c r="S71" i="24"/>
  <c r="S23" i="24"/>
  <c r="S123" i="24"/>
  <c r="S92" i="24"/>
  <c r="S108" i="24"/>
  <c r="S91" i="24"/>
  <c r="S124" i="24"/>
  <c r="S107" i="24"/>
  <c r="U131" i="21"/>
  <c r="U127" i="21"/>
  <c r="U123" i="21"/>
  <c r="U119" i="21"/>
  <c r="U115" i="21"/>
  <c r="U111" i="21"/>
  <c r="U107" i="21"/>
  <c r="U103" i="21"/>
  <c r="U99" i="21"/>
  <c r="U95" i="21"/>
  <c r="U91" i="21"/>
  <c r="U87" i="21"/>
  <c r="U83" i="21"/>
  <c r="U79" i="21"/>
  <c r="U75" i="21"/>
  <c r="U71" i="21"/>
  <c r="U67" i="21"/>
  <c r="U63" i="21"/>
  <c r="U59" i="21"/>
  <c r="U55" i="21"/>
  <c r="U51" i="21"/>
  <c r="U47" i="21"/>
  <c r="U43" i="21"/>
  <c r="U39" i="21"/>
  <c r="U35" i="21"/>
  <c r="U31" i="21"/>
  <c r="U27" i="21"/>
  <c r="U23" i="21"/>
  <c r="U19" i="21"/>
  <c r="U15" i="21"/>
  <c r="U11" i="21"/>
  <c r="U7" i="21"/>
  <c r="U122" i="21"/>
  <c r="U120" i="21"/>
  <c r="U105" i="21"/>
  <c r="U96" i="21"/>
  <c r="U78" i="21"/>
  <c r="U69" i="21"/>
  <c r="U64" i="21"/>
  <c r="U46" i="21"/>
  <c r="U37" i="21"/>
  <c r="U32" i="21"/>
  <c r="U14" i="21"/>
  <c r="U36" i="21"/>
  <c r="U126" i="21"/>
  <c r="U124" i="21"/>
  <c r="U109" i="21"/>
  <c r="U74" i="21"/>
  <c r="U65" i="21"/>
  <c r="U60" i="21"/>
  <c r="U42" i="21"/>
  <c r="U33" i="21"/>
  <c r="U28" i="21"/>
  <c r="U73" i="21"/>
  <c r="U130" i="21"/>
  <c r="U128" i="21"/>
  <c r="U113" i="21"/>
  <c r="U94" i="21"/>
  <c r="U88" i="21"/>
  <c r="U70" i="21"/>
  <c r="U61" i="21"/>
  <c r="U56" i="21"/>
  <c r="U38" i="21"/>
  <c r="U29" i="21"/>
  <c r="U24" i="21"/>
  <c r="U41" i="21"/>
  <c r="U132" i="21"/>
  <c r="U117" i="21"/>
  <c r="U102" i="21"/>
  <c r="U97" i="21"/>
  <c r="U89" i="21"/>
  <c r="U84" i="21"/>
  <c r="U66" i="21"/>
  <c r="U57" i="21"/>
  <c r="U52" i="21"/>
  <c r="U34" i="21"/>
  <c r="U25" i="21"/>
  <c r="U20" i="21"/>
  <c r="U9" i="21"/>
  <c r="U8" i="21"/>
  <c r="U118" i="21"/>
  <c r="U101" i="21"/>
  <c r="U121" i="21"/>
  <c r="U106" i="21"/>
  <c r="U104" i="21"/>
  <c r="U100" i="21"/>
  <c r="U92" i="21"/>
  <c r="U85" i="21"/>
  <c r="U80" i="21"/>
  <c r="U62" i="21"/>
  <c r="U53" i="21"/>
  <c r="U48" i="21"/>
  <c r="U30" i="21"/>
  <c r="U21" i="21"/>
  <c r="U16" i="21"/>
  <c r="U10" i="21"/>
  <c r="U86" i="21"/>
  <c r="U116" i="21"/>
  <c r="U68" i="21"/>
  <c r="U125" i="21"/>
  <c r="U110" i="21"/>
  <c r="U108" i="21"/>
  <c r="U81" i="21"/>
  <c r="U76" i="21"/>
  <c r="U58" i="21"/>
  <c r="U49" i="21"/>
  <c r="U44" i="21"/>
  <c r="U26" i="21"/>
  <c r="U17" i="21"/>
  <c r="U12" i="21"/>
  <c r="U93" i="21"/>
  <c r="U82" i="21"/>
  <c r="U50" i="21"/>
  <c r="U129" i="21"/>
  <c r="U114" i="21"/>
  <c r="U112" i="21"/>
  <c r="U98" i="21"/>
  <c r="U90" i="21"/>
  <c r="U77" i="21"/>
  <c r="U72" i="21"/>
  <c r="U54" i="21"/>
  <c r="U45" i="21"/>
  <c r="U40" i="21"/>
  <c r="U22" i="21"/>
  <c r="U13" i="21"/>
  <c r="U18" i="21"/>
  <c r="P130" i="20"/>
  <c r="P126" i="20"/>
  <c r="P122" i="20"/>
  <c r="P118" i="20"/>
  <c r="P117" i="20"/>
  <c r="P103" i="20"/>
  <c r="P102" i="20"/>
  <c r="P87" i="20"/>
  <c r="P86" i="20"/>
  <c r="P71" i="20"/>
  <c r="P70" i="20"/>
  <c r="P54" i="20"/>
  <c r="P50" i="20"/>
  <c r="P46" i="20"/>
  <c r="P42" i="20"/>
  <c r="P38" i="20"/>
  <c r="P34" i="20"/>
  <c r="P30" i="20"/>
  <c r="P26" i="20"/>
  <c r="P22" i="20"/>
  <c r="P18" i="20"/>
  <c r="P14" i="20"/>
  <c r="P10" i="20"/>
  <c r="P131" i="20"/>
  <c r="P105" i="20"/>
  <c r="P104" i="20"/>
  <c r="P89" i="20"/>
  <c r="P88" i="20"/>
  <c r="P73" i="20"/>
  <c r="P72" i="20"/>
  <c r="P127" i="20"/>
  <c r="P107" i="20"/>
  <c r="P106" i="20"/>
  <c r="P91" i="20"/>
  <c r="P90" i="20"/>
  <c r="P75" i="20"/>
  <c r="P74" i="20"/>
  <c r="P59" i="20"/>
  <c r="P58" i="20"/>
  <c r="P57" i="20"/>
  <c r="P53" i="20"/>
  <c r="P49" i="20"/>
  <c r="P45" i="20"/>
  <c r="P41" i="20"/>
  <c r="P37" i="20"/>
  <c r="P33" i="20"/>
  <c r="P29" i="20"/>
  <c r="P25" i="20"/>
  <c r="P21" i="20"/>
  <c r="P17" i="20"/>
  <c r="P13" i="20"/>
  <c r="P9" i="20"/>
  <c r="P132" i="20"/>
  <c r="P123" i="20"/>
  <c r="P109" i="20"/>
  <c r="P108" i="20"/>
  <c r="P93" i="20"/>
  <c r="P92" i="20"/>
  <c r="P77" i="20"/>
  <c r="P76" i="20"/>
  <c r="P61" i="20"/>
  <c r="P60" i="20"/>
  <c r="P128" i="20"/>
  <c r="P119" i="20"/>
  <c r="P111" i="20"/>
  <c r="P110" i="20"/>
  <c r="P95" i="20"/>
  <c r="P94" i="20"/>
  <c r="P79" i="20"/>
  <c r="P78" i="20"/>
  <c r="P63" i="20"/>
  <c r="P62" i="20"/>
  <c r="P56" i="20"/>
  <c r="P52" i="20"/>
  <c r="P48" i="20"/>
  <c r="P44" i="20"/>
  <c r="P40" i="20"/>
  <c r="P36" i="20"/>
  <c r="P32" i="20"/>
  <c r="P28" i="20"/>
  <c r="P24" i="20"/>
  <c r="P20" i="20"/>
  <c r="P16" i="20"/>
  <c r="P12" i="20"/>
  <c r="P8" i="20"/>
  <c r="P129" i="20"/>
  <c r="P124" i="20"/>
  <c r="P113" i="20"/>
  <c r="P112" i="20"/>
  <c r="P97" i="20"/>
  <c r="P96" i="20"/>
  <c r="P81" i="20"/>
  <c r="P80" i="20"/>
  <c r="P65" i="20"/>
  <c r="P64" i="20"/>
  <c r="P125" i="20"/>
  <c r="P120" i="20"/>
  <c r="P115" i="20"/>
  <c r="P114" i="20"/>
  <c r="P99" i="20"/>
  <c r="P98" i="20"/>
  <c r="P83" i="20"/>
  <c r="P82" i="20"/>
  <c r="P67" i="20"/>
  <c r="P66" i="20"/>
  <c r="P55" i="20"/>
  <c r="P51" i="20"/>
  <c r="P47" i="20"/>
  <c r="P43" i="20"/>
  <c r="P39" i="20"/>
  <c r="P35" i="20"/>
  <c r="P31" i="20"/>
  <c r="P27" i="20"/>
  <c r="P23" i="20"/>
  <c r="P19" i="20"/>
  <c r="P15" i="20"/>
  <c r="P11" i="20"/>
  <c r="P7" i="20"/>
  <c r="P100" i="20"/>
  <c r="P116" i="20"/>
  <c r="P84" i="20"/>
  <c r="P121" i="20"/>
  <c r="P69" i="20"/>
  <c r="P85" i="20"/>
  <c r="P68" i="20"/>
  <c r="P101" i="20"/>
  <c r="Q130" i="19"/>
  <c r="Q126" i="19"/>
  <c r="Q122" i="19"/>
  <c r="Q118" i="19"/>
  <c r="Q114" i="19"/>
  <c r="Q110" i="19"/>
  <c r="Q106" i="19"/>
  <c r="Q102" i="19"/>
  <c r="Q132" i="19"/>
  <c r="Q128" i="19"/>
  <c r="Q124" i="19"/>
  <c r="Q120" i="19"/>
  <c r="Q116" i="19"/>
  <c r="Q112" i="19"/>
  <c r="Q108" i="19"/>
  <c r="Q104" i="19"/>
  <c r="Q100" i="19"/>
  <c r="Q96" i="19"/>
  <c r="Q92" i="19"/>
  <c r="Q88" i="19"/>
  <c r="Q84" i="19"/>
  <c r="Q80" i="19"/>
  <c r="Q76" i="19"/>
  <c r="Q72" i="19"/>
  <c r="Q68" i="19"/>
  <c r="Q64" i="19"/>
  <c r="Q60" i="19"/>
  <c r="Q117" i="19"/>
  <c r="Q103" i="19"/>
  <c r="Q95" i="19"/>
  <c r="Q94" i="19"/>
  <c r="Q79" i="19"/>
  <c r="Q78" i="19"/>
  <c r="Q63" i="19"/>
  <c r="Q62" i="19"/>
  <c r="Q58" i="19"/>
  <c r="Q54" i="19"/>
  <c r="Q50" i="19"/>
  <c r="Q46" i="19"/>
  <c r="Q42" i="19"/>
  <c r="Q38" i="19"/>
  <c r="Q34" i="19"/>
  <c r="Q131" i="19"/>
  <c r="Q113" i="19"/>
  <c r="Q97" i="19"/>
  <c r="Q81" i="19"/>
  <c r="Q65" i="19"/>
  <c r="Q127" i="19"/>
  <c r="Q109" i="19"/>
  <c r="Q99" i="19"/>
  <c r="Q98" i="19"/>
  <c r="Q123" i="19"/>
  <c r="Q105" i="19"/>
  <c r="Q85" i="19"/>
  <c r="Q69" i="19"/>
  <c r="Q119" i="19"/>
  <c r="Q101" i="19"/>
  <c r="Q87" i="19"/>
  <c r="Q86" i="19"/>
  <c r="Q71" i="19"/>
  <c r="Q70" i="19"/>
  <c r="Q56" i="19"/>
  <c r="Q52" i="19"/>
  <c r="Q48" i="19"/>
  <c r="Q44" i="19"/>
  <c r="Q40" i="19"/>
  <c r="Q36" i="19"/>
  <c r="Q32" i="19"/>
  <c r="Q28" i="19"/>
  <c r="Q24" i="19"/>
  <c r="Q20" i="19"/>
  <c r="Q16" i="19"/>
  <c r="Q12" i="19"/>
  <c r="Q8" i="19"/>
  <c r="Q129" i="19"/>
  <c r="Q115" i="19"/>
  <c r="Q89" i="19"/>
  <c r="Q73" i="19"/>
  <c r="Q125" i="19"/>
  <c r="Q121" i="19"/>
  <c r="Q75" i="19"/>
  <c r="Q61" i="19"/>
  <c r="Q39" i="19"/>
  <c r="Q37" i="19"/>
  <c r="Q23" i="19"/>
  <c r="Q18" i="19"/>
  <c r="Q9" i="19"/>
  <c r="Q43" i="19"/>
  <c r="Q41" i="19"/>
  <c r="Q19" i="19"/>
  <c r="Q14" i="19"/>
  <c r="Q83" i="19"/>
  <c r="Q66" i="19"/>
  <c r="Q47" i="19"/>
  <c r="Q45" i="19"/>
  <c r="Q15" i="19"/>
  <c r="Q10" i="19"/>
  <c r="Q91" i="19"/>
  <c r="Q77" i="19"/>
  <c r="Q74" i="19"/>
  <c r="Q51" i="19"/>
  <c r="Q49" i="19"/>
  <c r="Q29" i="19"/>
  <c r="Q11" i="19"/>
  <c r="Q55" i="19"/>
  <c r="Q53" i="19"/>
  <c r="Q25" i="19"/>
  <c r="Q7" i="19"/>
  <c r="Q107" i="19"/>
  <c r="Q82" i="19"/>
  <c r="Q59" i="19"/>
  <c r="Q57" i="19"/>
  <c r="Q30" i="19"/>
  <c r="Q21" i="19"/>
  <c r="Q111" i="19"/>
  <c r="Q93" i="19"/>
  <c r="Q90" i="19"/>
  <c r="Q26" i="19"/>
  <c r="Q17" i="19"/>
  <c r="Q33" i="19"/>
  <c r="Q22" i="19"/>
  <c r="Q67" i="19"/>
  <c r="Q31" i="19"/>
  <c r="Q27" i="19"/>
  <c r="Q13" i="19"/>
  <c r="Q35" i="19"/>
  <c r="T124" i="7"/>
  <c r="T114" i="7"/>
  <c r="T113" i="7"/>
  <c r="T103" i="7"/>
  <c r="T92" i="7"/>
  <c r="T123" i="7"/>
  <c r="T112" i="7"/>
  <c r="T102" i="7"/>
  <c r="T101" i="7"/>
  <c r="T91" i="7"/>
  <c r="T132" i="7"/>
  <c r="T122" i="7"/>
  <c r="T121" i="7"/>
  <c r="T111" i="7"/>
  <c r="T100" i="7"/>
  <c r="T90" i="7"/>
  <c r="T89" i="7"/>
  <c r="T131" i="7"/>
  <c r="T120" i="7"/>
  <c r="T110" i="7"/>
  <c r="T109" i="7"/>
  <c r="T106" i="7"/>
  <c r="T88" i="7"/>
  <c r="T78" i="7"/>
  <c r="T77" i="7"/>
  <c r="T71" i="7"/>
  <c r="T67" i="7"/>
  <c r="T63" i="7"/>
  <c r="T59" i="7"/>
  <c r="T55" i="7"/>
  <c r="T51" i="7"/>
  <c r="T47" i="7"/>
  <c r="T43" i="7"/>
  <c r="T39" i="7"/>
  <c r="T35" i="7"/>
  <c r="T31" i="7"/>
  <c r="T27" i="7"/>
  <c r="T23" i="7"/>
  <c r="T19" i="7"/>
  <c r="T15" i="7"/>
  <c r="T11" i="7"/>
  <c r="T7" i="7"/>
  <c r="T126" i="7"/>
  <c r="T115" i="7"/>
  <c r="T94" i="7"/>
  <c r="T85" i="7"/>
  <c r="T76" i="7"/>
  <c r="T118" i="7"/>
  <c r="T107" i="7"/>
  <c r="T95" i="7"/>
  <c r="T74" i="7"/>
  <c r="T127" i="7"/>
  <c r="T116" i="7"/>
  <c r="T105" i="7"/>
  <c r="T99" i="7"/>
  <c r="T86" i="7"/>
  <c r="T73" i="7"/>
  <c r="T69" i="7"/>
  <c r="T65" i="7"/>
  <c r="T61" i="7"/>
  <c r="T57" i="7"/>
  <c r="T53" i="7"/>
  <c r="T49" i="7"/>
  <c r="T45" i="7"/>
  <c r="T41" i="7"/>
  <c r="T37" i="7"/>
  <c r="T33" i="7"/>
  <c r="T29" i="7"/>
  <c r="T25" i="7"/>
  <c r="T21" i="7"/>
  <c r="T17" i="7"/>
  <c r="T13" i="7"/>
  <c r="T9" i="7"/>
  <c r="T125" i="7"/>
  <c r="T96" i="7"/>
  <c r="T81" i="7"/>
  <c r="T129" i="7"/>
  <c r="T119" i="7"/>
  <c r="T97" i="7"/>
  <c r="T93" i="7"/>
  <c r="T82" i="7"/>
  <c r="T68" i="7"/>
  <c r="T66" i="7"/>
  <c r="T44" i="7"/>
  <c r="T36" i="7"/>
  <c r="T22" i="7"/>
  <c r="T128" i="7"/>
  <c r="T108" i="7"/>
  <c r="T104" i="7"/>
  <c r="T79" i="7"/>
  <c r="T42" i="7"/>
  <c r="T34" i="7"/>
  <c r="T26" i="7"/>
  <c r="T10" i="7"/>
  <c r="T117" i="7"/>
  <c r="T87" i="7"/>
  <c r="T52" i="7"/>
  <c r="T50" i="7"/>
  <c r="T48" i="7"/>
  <c r="T40" i="7"/>
  <c r="T30" i="7"/>
  <c r="T14" i="7"/>
  <c r="T80" i="7"/>
  <c r="T46" i="7"/>
  <c r="T84" i="7"/>
  <c r="T72" i="7"/>
  <c r="T62" i="7"/>
  <c r="T38" i="7"/>
  <c r="T83" i="7"/>
  <c r="T58" i="7"/>
  <c r="T24" i="7"/>
  <c r="T12" i="7"/>
  <c r="T130" i="7"/>
  <c r="T56" i="7"/>
  <c r="T28" i="7"/>
  <c r="T32" i="7"/>
  <c r="T16" i="7"/>
  <c r="T75" i="7"/>
  <c r="T70" i="7"/>
  <c r="T64" i="7"/>
  <c r="T18" i="7"/>
  <c r="T98" i="7"/>
  <c r="T60" i="7"/>
  <c r="T20" i="7"/>
  <c r="T54" i="7"/>
  <c r="T8" i="7"/>
  <c r="R127" i="7"/>
  <c r="R126" i="7"/>
  <c r="R116" i="7"/>
  <c r="R105" i="7"/>
  <c r="R95" i="7"/>
  <c r="R94" i="7"/>
  <c r="R125" i="7"/>
  <c r="R115" i="7"/>
  <c r="R114" i="7"/>
  <c r="R104" i="7"/>
  <c r="R93" i="7"/>
  <c r="R83" i="7"/>
  <c r="R82" i="7"/>
  <c r="R124" i="7"/>
  <c r="R113" i="7"/>
  <c r="R103" i="7"/>
  <c r="R102" i="7"/>
  <c r="R92" i="7"/>
  <c r="R123" i="7"/>
  <c r="R122" i="7"/>
  <c r="R112" i="7"/>
  <c r="R119" i="7"/>
  <c r="R108" i="7"/>
  <c r="R100" i="7"/>
  <c r="R87" i="7"/>
  <c r="R80" i="7"/>
  <c r="R72" i="7"/>
  <c r="R68" i="7"/>
  <c r="R64" i="7"/>
  <c r="R60" i="7"/>
  <c r="R56" i="7"/>
  <c r="R52" i="7"/>
  <c r="R48" i="7"/>
  <c r="R44" i="7"/>
  <c r="R40" i="7"/>
  <c r="R36" i="7"/>
  <c r="R32" i="7"/>
  <c r="R28" i="7"/>
  <c r="R24" i="7"/>
  <c r="R20" i="7"/>
  <c r="R16" i="7"/>
  <c r="R12" i="7"/>
  <c r="R8" i="7"/>
  <c r="R128" i="7"/>
  <c r="R117" i="7"/>
  <c r="R106" i="7"/>
  <c r="R97" i="7"/>
  <c r="R91" i="7"/>
  <c r="R84" i="7"/>
  <c r="R79" i="7"/>
  <c r="R78" i="7"/>
  <c r="R131" i="7"/>
  <c r="R120" i="7"/>
  <c r="R109" i="7"/>
  <c r="R98" i="7"/>
  <c r="R85" i="7"/>
  <c r="R76" i="7"/>
  <c r="R129" i="7"/>
  <c r="R118" i="7"/>
  <c r="R89" i="7"/>
  <c r="R75" i="7"/>
  <c r="R74" i="7"/>
  <c r="R70" i="7"/>
  <c r="R66" i="7"/>
  <c r="R62" i="7"/>
  <c r="R58" i="7"/>
  <c r="R54" i="7"/>
  <c r="R50" i="7"/>
  <c r="R46" i="7"/>
  <c r="R42" i="7"/>
  <c r="R38" i="7"/>
  <c r="R34" i="7"/>
  <c r="R30" i="7"/>
  <c r="R26" i="7"/>
  <c r="R22" i="7"/>
  <c r="R18" i="7"/>
  <c r="R14" i="7"/>
  <c r="R10" i="7"/>
  <c r="R107" i="7"/>
  <c r="R86" i="7"/>
  <c r="R101" i="7"/>
  <c r="R49" i="7"/>
  <c r="R41" i="7"/>
  <c r="R33" i="7"/>
  <c r="R19" i="7"/>
  <c r="R57" i="7"/>
  <c r="R55" i="7"/>
  <c r="R47" i="7"/>
  <c r="R39" i="7"/>
  <c r="R23" i="7"/>
  <c r="R7" i="7"/>
  <c r="R99" i="7"/>
  <c r="R81" i="7"/>
  <c r="R65" i="7"/>
  <c r="R63" i="7"/>
  <c r="R45" i="7"/>
  <c r="R37" i="7"/>
  <c r="R27" i="7"/>
  <c r="R11" i="7"/>
  <c r="R111" i="7"/>
  <c r="R69" i="7"/>
  <c r="R59" i="7"/>
  <c r="R110" i="7"/>
  <c r="R90" i="7"/>
  <c r="R21" i="7"/>
  <c r="R9" i="7"/>
  <c r="R132" i="7"/>
  <c r="R96" i="7"/>
  <c r="R43" i="7"/>
  <c r="R31" i="7"/>
  <c r="R73" i="7"/>
  <c r="R67" i="7"/>
  <c r="R61" i="7"/>
  <c r="R17" i="7"/>
  <c r="R130" i="7"/>
  <c r="R25" i="7"/>
  <c r="R77" i="7"/>
  <c r="R29" i="7"/>
  <c r="R13" i="7"/>
  <c r="R53" i="7"/>
  <c r="R35" i="7"/>
  <c r="R121" i="7"/>
  <c r="R88" i="7"/>
  <c r="R71" i="7"/>
  <c r="R51" i="7"/>
  <c r="R15" i="7"/>
  <c r="O131" i="3"/>
  <c r="O127" i="3"/>
  <c r="O123" i="3"/>
  <c r="O119" i="3"/>
  <c r="O115" i="3"/>
  <c r="O111" i="3"/>
  <c r="O107" i="3"/>
  <c r="O129" i="3"/>
  <c r="O125" i="3"/>
  <c r="O121" i="3"/>
  <c r="O117" i="3"/>
  <c r="O113" i="3"/>
  <c r="O109" i="3"/>
  <c r="O105" i="3"/>
  <c r="O126" i="3"/>
  <c r="O110" i="3"/>
  <c r="O130" i="3"/>
  <c r="O114" i="3"/>
  <c r="O118" i="3"/>
  <c r="O132" i="3"/>
  <c r="O120" i="3"/>
  <c r="O103" i="3"/>
  <c r="O98" i="3"/>
  <c r="O89" i="3"/>
  <c r="O80" i="3"/>
  <c r="O67" i="3"/>
  <c r="O66" i="3"/>
  <c r="O48" i="3"/>
  <c r="O108" i="3"/>
  <c r="O99" i="3"/>
  <c r="O94" i="3"/>
  <c r="O85" i="3"/>
  <c r="O76" i="3"/>
  <c r="O69" i="3"/>
  <c r="O68" i="3"/>
  <c r="O47" i="3"/>
  <c r="O39" i="3"/>
  <c r="O35" i="3"/>
  <c r="O31" i="3"/>
  <c r="O27" i="3"/>
  <c r="O23" i="3"/>
  <c r="O19" i="3"/>
  <c r="O15" i="3"/>
  <c r="O11" i="3"/>
  <c r="O106" i="3"/>
  <c r="O95" i="3"/>
  <c r="O90" i="3"/>
  <c r="O81" i="3"/>
  <c r="O71" i="3"/>
  <c r="O70" i="3"/>
  <c r="O46" i="3"/>
  <c r="O45" i="3"/>
  <c r="O86" i="3"/>
  <c r="O82" i="3"/>
  <c r="O78" i="3"/>
  <c r="O74" i="3"/>
  <c r="O60" i="3"/>
  <c r="O52" i="3"/>
  <c r="O124" i="3"/>
  <c r="O100" i="3"/>
  <c r="O96" i="3"/>
  <c r="O92" i="3"/>
  <c r="O88" i="3"/>
  <c r="O84" i="3"/>
  <c r="O65" i="3"/>
  <c r="O102" i="3"/>
  <c r="O77" i="3"/>
  <c r="O73" i="3"/>
  <c r="O61" i="3"/>
  <c r="O44" i="3"/>
  <c r="O40" i="3"/>
  <c r="O26" i="3"/>
  <c r="O25" i="3"/>
  <c r="O24" i="3"/>
  <c r="O10" i="3"/>
  <c r="O9" i="3"/>
  <c r="O8" i="3"/>
  <c r="O128" i="3"/>
  <c r="O112" i="3"/>
  <c r="O91" i="3"/>
  <c r="O87" i="3"/>
  <c r="O83" i="3"/>
  <c r="O79" i="3"/>
  <c r="O75" i="3"/>
  <c r="O59" i="3"/>
  <c r="O50" i="3"/>
  <c r="O41" i="3"/>
  <c r="O57" i="3"/>
  <c r="O54" i="3"/>
  <c r="O30" i="3"/>
  <c r="O29" i="3"/>
  <c r="O28" i="3"/>
  <c r="O14" i="3"/>
  <c r="O13" i="3"/>
  <c r="O12" i="3"/>
  <c r="O104" i="3"/>
  <c r="O116" i="3"/>
  <c r="O42" i="3"/>
  <c r="O33" i="3"/>
  <c r="O18" i="3"/>
  <c r="O16" i="3"/>
  <c r="O101" i="3"/>
  <c r="O37" i="3"/>
  <c r="O22" i="3"/>
  <c r="O20" i="3"/>
  <c r="O122" i="3"/>
  <c r="O93" i="3"/>
  <c r="O49" i="3"/>
  <c r="O72" i="3"/>
  <c r="O58" i="3"/>
  <c r="O53" i="3"/>
  <c r="O36" i="3"/>
  <c r="O64" i="3"/>
  <c r="O43" i="3"/>
  <c r="O32" i="3"/>
  <c r="O97" i="3"/>
  <c r="O63" i="3"/>
  <c r="O56" i="3"/>
  <c r="O38" i="3"/>
  <c r="O21" i="3"/>
  <c r="O62" i="3"/>
  <c r="O55" i="3"/>
  <c r="O51" i="3"/>
  <c r="O17" i="3"/>
  <c r="O34" i="3"/>
  <c r="O7" i="3"/>
  <c r="T130" i="15"/>
  <c r="T126" i="15"/>
  <c r="T122" i="15"/>
  <c r="T120" i="15"/>
  <c r="T116" i="15"/>
  <c r="T112" i="15"/>
  <c r="T108" i="15"/>
  <c r="T104" i="15"/>
  <c r="T100" i="15"/>
  <c r="T96" i="15"/>
  <c r="T92" i="15"/>
  <c r="T121" i="15"/>
  <c r="T124" i="15"/>
  <c r="T123" i="15"/>
  <c r="T119" i="15"/>
  <c r="T115" i="15"/>
  <c r="T111" i="15"/>
  <c r="T107" i="15"/>
  <c r="T103" i="15"/>
  <c r="T99" i="15"/>
  <c r="T95" i="15"/>
  <c r="T91" i="15"/>
  <c r="T87" i="15"/>
  <c r="T83" i="15"/>
  <c r="T79" i="15"/>
  <c r="T75" i="15"/>
  <c r="T71" i="15"/>
  <c r="T67" i="15"/>
  <c r="T63" i="15"/>
  <c r="T59" i="15"/>
  <c r="T55" i="15"/>
  <c r="T51" i="15"/>
  <c r="T47" i="15"/>
  <c r="T43" i="15"/>
  <c r="T39" i="15"/>
  <c r="T35" i="15"/>
  <c r="T31" i="15"/>
  <c r="T27" i="15"/>
  <c r="T23" i="15"/>
  <c r="T19" i="15"/>
  <c r="T15" i="15"/>
  <c r="T11" i="15"/>
  <c r="T7" i="15"/>
  <c r="T125" i="15"/>
  <c r="T128" i="15"/>
  <c r="T127" i="15"/>
  <c r="T118" i="15"/>
  <c r="T114" i="15"/>
  <c r="T110" i="15"/>
  <c r="T106" i="15"/>
  <c r="T102" i="15"/>
  <c r="T98" i="15"/>
  <c r="T94" i="15"/>
  <c r="T129" i="15"/>
  <c r="T132" i="15"/>
  <c r="T131" i="15"/>
  <c r="T117" i="15"/>
  <c r="T113" i="15"/>
  <c r="T109" i="15"/>
  <c r="T105" i="15"/>
  <c r="T101" i="15"/>
  <c r="T97" i="15"/>
  <c r="T93" i="15"/>
  <c r="T89" i="15"/>
  <c r="T85" i="15"/>
  <c r="T81" i="15"/>
  <c r="T77" i="15"/>
  <c r="T73" i="15"/>
  <c r="T69" i="15"/>
  <c r="T65" i="15"/>
  <c r="T61" i="15"/>
  <c r="T57" i="15"/>
  <c r="T53" i="15"/>
  <c r="T49" i="15"/>
  <c r="T45" i="15"/>
  <c r="T41" i="15"/>
  <c r="T37" i="15"/>
  <c r="T33" i="15"/>
  <c r="T29" i="15"/>
  <c r="T25" i="15"/>
  <c r="T21" i="15"/>
  <c r="T17" i="15"/>
  <c r="T13" i="15"/>
  <c r="T9" i="15"/>
  <c r="T88" i="15"/>
  <c r="T80" i="15"/>
  <c r="T72" i="15"/>
  <c r="T64" i="15"/>
  <c r="T56" i="15"/>
  <c r="T48" i="15"/>
  <c r="T40" i="15"/>
  <c r="T32" i="15"/>
  <c r="T24" i="15"/>
  <c r="T16" i="15"/>
  <c r="T8" i="15"/>
  <c r="T86" i="15"/>
  <c r="T78" i="15"/>
  <c r="T70" i="15"/>
  <c r="T62" i="15"/>
  <c r="T54" i="15"/>
  <c r="T46" i="15"/>
  <c r="T38" i="15"/>
  <c r="T30" i="15"/>
  <c r="T22" i="15"/>
  <c r="T14" i="15"/>
  <c r="T84" i="15"/>
  <c r="T76" i="15"/>
  <c r="T68" i="15"/>
  <c r="T60" i="15"/>
  <c r="T52" i="15"/>
  <c r="T44" i="15"/>
  <c r="T36" i="15"/>
  <c r="T28" i="15"/>
  <c r="T20" i="15"/>
  <c r="T12" i="15"/>
  <c r="T90" i="15"/>
  <c r="T82" i="15"/>
  <c r="T74" i="15"/>
  <c r="T66" i="15"/>
  <c r="T58" i="15"/>
  <c r="T50" i="15"/>
  <c r="T42" i="15"/>
  <c r="T34" i="15"/>
  <c r="T26" i="15"/>
  <c r="T18" i="15"/>
  <c r="T10" i="15"/>
  <c r="U129" i="14"/>
  <c r="U125" i="14"/>
  <c r="U121" i="14"/>
  <c r="U127" i="14"/>
  <c r="U119" i="14"/>
  <c r="U115" i="14"/>
  <c r="U111" i="14"/>
  <c r="U107" i="14"/>
  <c r="U103" i="14"/>
  <c r="U99" i="14"/>
  <c r="U95" i="14"/>
  <c r="U91" i="14"/>
  <c r="U87" i="14"/>
  <c r="U83" i="14"/>
  <c r="U79" i="14"/>
  <c r="U75" i="14"/>
  <c r="U71" i="14"/>
  <c r="U67" i="14"/>
  <c r="U63" i="14"/>
  <c r="U59" i="14"/>
  <c r="U55" i="14"/>
  <c r="U51" i="14"/>
  <c r="U47" i="14"/>
  <c r="U43" i="14"/>
  <c r="U39" i="14"/>
  <c r="U123" i="14"/>
  <c r="U132" i="14"/>
  <c r="U122" i="14"/>
  <c r="U117" i="14"/>
  <c r="U113" i="14"/>
  <c r="U109" i="14"/>
  <c r="U105" i="14"/>
  <c r="U101" i="14"/>
  <c r="U97" i="14"/>
  <c r="U93" i="14"/>
  <c r="U89" i="14"/>
  <c r="U85" i="14"/>
  <c r="U81" i="14"/>
  <c r="U77" i="14"/>
  <c r="U73" i="14"/>
  <c r="U69" i="14"/>
  <c r="U65" i="14"/>
  <c r="U61" i="14"/>
  <c r="U57" i="14"/>
  <c r="U53" i="14"/>
  <c r="U49" i="14"/>
  <c r="U45" i="14"/>
  <c r="U41" i="14"/>
  <c r="U131" i="14"/>
  <c r="U78" i="14"/>
  <c r="U66" i="14"/>
  <c r="U50" i="14"/>
  <c r="U36" i="14"/>
  <c r="U32" i="14"/>
  <c r="U28" i="14"/>
  <c r="U24" i="14"/>
  <c r="U20" i="14"/>
  <c r="U16" i="14"/>
  <c r="U12" i="14"/>
  <c r="U8" i="14"/>
  <c r="U68" i="14"/>
  <c r="U52" i="14"/>
  <c r="U130" i="14"/>
  <c r="U116" i="14"/>
  <c r="U108" i="14"/>
  <c r="U100" i="14"/>
  <c r="U92" i="14"/>
  <c r="U84" i="14"/>
  <c r="U80" i="14"/>
  <c r="U72" i="14"/>
  <c r="U56" i="14"/>
  <c r="U40" i="14"/>
  <c r="U126" i="14"/>
  <c r="U110" i="14"/>
  <c r="U76" i="14"/>
  <c r="U26" i="14"/>
  <c r="U25" i="14"/>
  <c r="U10" i="14"/>
  <c r="U9" i="14"/>
  <c r="U120" i="14"/>
  <c r="U102" i="14"/>
  <c r="U82" i="14"/>
  <c r="U74" i="14"/>
  <c r="U64" i="14"/>
  <c r="U27" i="14"/>
  <c r="U11" i="14"/>
  <c r="U128" i="14"/>
  <c r="U112" i="14"/>
  <c r="U94" i="14"/>
  <c r="U62" i="14"/>
  <c r="U37" i="14"/>
  <c r="U14" i="14"/>
  <c r="U13" i="14"/>
  <c r="U104" i="14"/>
  <c r="U86" i="14"/>
  <c r="U60" i="14"/>
  <c r="U38" i="14"/>
  <c r="U33" i="14"/>
  <c r="U15" i="14"/>
  <c r="U114" i="14"/>
  <c r="U96" i="14"/>
  <c r="U70" i="14"/>
  <c r="U58" i="14"/>
  <c r="U48" i="14"/>
  <c r="U34" i="14"/>
  <c r="U29" i="14"/>
  <c r="U18" i="14"/>
  <c r="U17" i="14"/>
  <c r="U106" i="14"/>
  <c r="U88" i="14"/>
  <c r="U46" i="14"/>
  <c r="U30" i="14"/>
  <c r="U19" i="14"/>
  <c r="U124" i="14"/>
  <c r="U98" i="14"/>
  <c r="U44" i="14"/>
  <c r="U35" i="14"/>
  <c r="U22" i="14"/>
  <c r="U21" i="14"/>
  <c r="U23" i="14"/>
  <c r="U42" i="14"/>
  <c r="U31" i="14"/>
  <c r="U54" i="14"/>
  <c r="U118" i="14"/>
  <c r="U7" i="14"/>
  <c r="U90" i="14"/>
  <c r="W131" i="3"/>
  <c r="W127" i="3"/>
  <c r="W123" i="3"/>
  <c r="W119" i="3"/>
  <c r="W115" i="3"/>
  <c r="W111" i="3"/>
  <c r="W107" i="3"/>
  <c r="W103" i="3"/>
  <c r="W129" i="3"/>
  <c r="W125" i="3"/>
  <c r="W121" i="3"/>
  <c r="W117" i="3"/>
  <c r="W113" i="3"/>
  <c r="W109" i="3"/>
  <c r="W105" i="3"/>
  <c r="W122" i="3"/>
  <c r="W106" i="3"/>
  <c r="W126" i="3"/>
  <c r="W110" i="3"/>
  <c r="W130" i="3"/>
  <c r="W114" i="3"/>
  <c r="W104" i="3"/>
  <c r="W101" i="3"/>
  <c r="W92" i="3"/>
  <c r="W83" i="3"/>
  <c r="W78" i="3"/>
  <c r="W63" i="3"/>
  <c r="W62" i="3"/>
  <c r="W50" i="3"/>
  <c r="W49" i="3"/>
  <c r="W97" i="3"/>
  <c r="W88" i="3"/>
  <c r="W79" i="3"/>
  <c r="W74" i="3"/>
  <c r="W65" i="3"/>
  <c r="W64" i="3"/>
  <c r="W48" i="3"/>
  <c r="W39" i="3"/>
  <c r="W35" i="3"/>
  <c r="W31" i="3"/>
  <c r="W27" i="3"/>
  <c r="W23" i="3"/>
  <c r="W19" i="3"/>
  <c r="W15" i="3"/>
  <c r="W11" i="3"/>
  <c r="W7" i="3"/>
  <c r="W124" i="3"/>
  <c r="W112" i="3"/>
  <c r="W102" i="3"/>
  <c r="W93" i="3"/>
  <c r="W84" i="3"/>
  <c r="W75" i="3"/>
  <c r="W67" i="3"/>
  <c r="W66" i="3"/>
  <c r="W47" i="3"/>
  <c r="W118" i="3"/>
  <c r="W71" i="3"/>
  <c r="W61" i="3"/>
  <c r="W41" i="3"/>
  <c r="W89" i="3"/>
  <c r="W85" i="3"/>
  <c r="W81" i="3"/>
  <c r="W77" i="3"/>
  <c r="W73" i="3"/>
  <c r="W69" i="3"/>
  <c r="W59" i="3"/>
  <c r="W128" i="3"/>
  <c r="W55" i="3"/>
  <c r="W42" i="3"/>
  <c r="W38" i="3"/>
  <c r="W37" i="3"/>
  <c r="W36" i="3"/>
  <c r="W22" i="3"/>
  <c r="W21" i="3"/>
  <c r="W20" i="3"/>
  <c r="W80" i="3"/>
  <c r="W76" i="3"/>
  <c r="W72" i="3"/>
  <c r="W52" i="3"/>
  <c r="W46" i="3"/>
  <c r="W108" i="3"/>
  <c r="W70" i="3"/>
  <c r="W60" i="3"/>
  <c r="W43" i="3"/>
  <c r="W26" i="3"/>
  <c r="W25" i="3"/>
  <c r="W24" i="3"/>
  <c r="W10" i="3"/>
  <c r="W9" i="3"/>
  <c r="W8" i="3"/>
  <c r="W132" i="3"/>
  <c r="W96" i="3"/>
  <c r="W90" i="3"/>
  <c r="W56" i="3"/>
  <c r="W44" i="3"/>
  <c r="W30" i="3"/>
  <c r="W28" i="3"/>
  <c r="W13" i="3"/>
  <c r="W95" i="3"/>
  <c r="W68" i="3"/>
  <c r="W34" i="3"/>
  <c r="W32" i="3"/>
  <c r="W17" i="3"/>
  <c r="W120" i="3"/>
  <c r="W99" i="3"/>
  <c r="W58" i="3"/>
  <c r="W40" i="3"/>
  <c r="W54" i="3"/>
  <c r="W33" i="3"/>
  <c r="W16" i="3"/>
  <c r="W100" i="3"/>
  <c r="W82" i="3"/>
  <c r="W29" i="3"/>
  <c r="W12" i="3"/>
  <c r="W116" i="3"/>
  <c r="W98" i="3"/>
  <c r="W91" i="3"/>
  <c r="W53" i="3"/>
  <c r="W18" i="3"/>
  <c r="W57" i="3"/>
  <c r="W14" i="3"/>
  <c r="W87" i="3"/>
  <c r="W94" i="3"/>
  <c r="W86" i="3"/>
  <c r="W51" i="3"/>
  <c r="W45" i="3"/>
  <c r="S129" i="15"/>
  <c r="S125" i="15"/>
  <c r="S121" i="15"/>
  <c r="S120" i="15"/>
  <c r="S116" i="15"/>
  <c r="S112" i="15"/>
  <c r="S108" i="15"/>
  <c r="S104" i="15"/>
  <c r="S100" i="15"/>
  <c r="S96" i="15"/>
  <c r="S92" i="15"/>
  <c r="S88" i="15"/>
  <c r="S84" i="15"/>
  <c r="S80" i="15"/>
  <c r="S76" i="15"/>
  <c r="S72" i="15"/>
  <c r="S68" i="15"/>
  <c r="S64" i="15"/>
  <c r="S60" i="15"/>
  <c r="S56" i="15"/>
  <c r="S52" i="15"/>
  <c r="S48" i="15"/>
  <c r="S44" i="15"/>
  <c r="S40" i="15"/>
  <c r="S36" i="15"/>
  <c r="S32" i="15"/>
  <c r="S28" i="15"/>
  <c r="S24" i="15"/>
  <c r="S20" i="15"/>
  <c r="S16" i="15"/>
  <c r="S12" i="15"/>
  <c r="S8" i="15"/>
  <c r="S122" i="15"/>
  <c r="S124" i="15"/>
  <c r="S123" i="15"/>
  <c r="S119" i="15"/>
  <c r="S115" i="15"/>
  <c r="S111" i="15"/>
  <c r="S107" i="15"/>
  <c r="S103" i="15"/>
  <c r="S99" i="15"/>
  <c r="S95" i="15"/>
  <c r="S91" i="15"/>
  <c r="S87" i="15"/>
  <c r="S83" i="15"/>
  <c r="S79" i="15"/>
  <c r="S75" i="15"/>
  <c r="S71" i="15"/>
  <c r="S67" i="15"/>
  <c r="S63" i="15"/>
  <c r="S59" i="15"/>
  <c r="S55" i="15"/>
  <c r="S51" i="15"/>
  <c r="S47" i="15"/>
  <c r="S43" i="15"/>
  <c r="S39" i="15"/>
  <c r="S35" i="15"/>
  <c r="S31" i="15"/>
  <c r="S27" i="15"/>
  <c r="S23" i="15"/>
  <c r="S19" i="15"/>
  <c r="S15" i="15"/>
  <c r="S11" i="15"/>
  <c r="S7" i="15"/>
  <c r="S126" i="15"/>
  <c r="S128" i="15"/>
  <c r="S127" i="15"/>
  <c r="S118" i="15"/>
  <c r="S114" i="15"/>
  <c r="S110" i="15"/>
  <c r="S106" i="15"/>
  <c r="S102" i="15"/>
  <c r="S98" i="15"/>
  <c r="S94" i="15"/>
  <c r="S130" i="15"/>
  <c r="S132" i="15"/>
  <c r="S97" i="15"/>
  <c r="S131" i="15"/>
  <c r="S109" i="15"/>
  <c r="S86" i="15"/>
  <c r="S78" i="15"/>
  <c r="S70" i="15"/>
  <c r="S62" i="15"/>
  <c r="S54" i="15"/>
  <c r="S46" i="15"/>
  <c r="S38" i="15"/>
  <c r="S30" i="15"/>
  <c r="S22" i="15"/>
  <c r="S14" i="15"/>
  <c r="S101" i="15"/>
  <c r="S89" i="15"/>
  <c r="S81" i="15"/>
  <c r="S73" i="15"/>
  <c r="S65" i="15"/>
  <c r="S57" i="15"/>
  <c r="S49" i="15"/>
  <c r="S41" i="15"/>
  <c r="S33" i="15"/>
  <c r="S25" i="15"/>
  <c r="S17" i="15"/>
  <c r="S9" i="15"/>
  <c r="S113" i="15"/>
  <c r="S93" i="15"/>
  <c r="S105" i="15"/>
  <c r="S90" i="15"/>
  <c r="S82" i="15"/>
  <c r="S74" i="15"/>
  <c r="S66" i="15"/>
  <c r="S58" i="15"/>
  <c r="S50" i="15"/>
  <c r="S42" i="15"/>
  <c r="S34" i="15"/>
  <c r="S26" i="15"/>
  <c r="S18" i="15"/>
  <c r="S10" i="15"/>
  <c r="S69" i="15"/>
  <c r="S29" i="15"/>
  <c r="S53" i="15"/>
  <c r="S77" i="15"/>
  <c r="S13" i="15"/>
  <c r="S37" i="15"/>
  <c r="S61" i="15"/>
  <c r="S117" i="15"/>
  <c r="S85" i="15"/>
  <c r="S21" i="15"/>
  <c r="S45" i="15"/>
  <c r="V126" i="14"/>
  <c r="V132" i="14"/>
  <c r="V122" i="14"/>
  <c r="V117" i="14"/>
  <c r="V113" i="14"/>
  <c r="V109" i="14"/>
  <c r="V105" i="14"/>
  <c r="V101" i="14"/>
  <c r="V97" i="14"/>
  <c r="V93" i="14"/>
  <c r="V89" i="14"/>
  <c r="V85" i="14"/>
  <c r="V81" i="14"/>
  <c r="V77" i="14"/>
  <c r="V131" i="14"/>
  <c r="V121" i="14"/>
  <c r="V130" i="14"/>
  <c r="V120" i="14"/>
  <c r="V116" i="14"/>
  <c r="V112" i="14"/>
  <c r="V108" i="14"/>
  <c r="V104" i="14"/>
  <c r="V100" i="14"/>
  <c r="V96" i="14"/>
  <c r="V92" i="14"/>
  <c r="V88" i="14"/>
  <c r="V84" i="14"/>
  <c r="V127" i="14"/>
  <c r="V115" i="14"/>
  <c r="V107" i="14"/>
  <c r="V99" i="14"/>
  <c r="V91" i="14"/>
  <c r="V83" i="14"/>
  <c r="V68" i="14"/>
  <c r="V67" i="14"/>
  <c r="V52" i="14"/>
  <c r="V51" i="14"/>
  <c r="V125" i="14"/>
  <c r="V118" i="14"/>
  <c r="V110" i="14"/>
  <c r="V102" i="14"/>
  <c r="V94" i="14"/>
  <c r="V86" i="14"/>
  <c r="V79" i="14"/>
  <c r="V70" i="14"/>
  <c r="V69" i="14"/>
  <c r="V54" i="14"/>
  <c r="V53" i="14"/>
  <c r="V35" i="14"/>
  <c r="V31" i="14"/>
  <c r="V128" i="14"/>
  <c r="V74" i="14"/>
  <c r="V73" i="14"/>
  <c r="V58" i="14"/>
  <c r="V57" i="14"/>
  <c r="V42" i="14"/>
  <c r="V41" i="14"/>
  <c r="V38" i="14"/>
  <c r="V34" i="14"/>
  <c r="V30" i="14"/>
  <c r="V26" i="14"/>
  <c r="V22" i="14"/>
  <c r="V18" i="14"/>
  <c r="V14" i="14"/>
  <c r="V10" i="14"/>
  <c r="V129" i="14"/>
  <c r="V123" i="14"/>
  <c r="V82" i="14"/>
  <c r="V78" i="14"/>
  <c r="V64" i="14"/>
  <c r="V47" i="14"/>
  <c r="V40" i="14"/>
  <c r="V36" i="14"/>
  <c r="V27" i="14"/>
  <c r="V11" i="14"/>
  <c r="V62" i="14"/>
  <c r="V45" i="14"/>
  <c r="V37" i="14"/>
  <c r="V32" i="14"/>
  <c r="V13" i="14"/>
  <c r="V12" i="14"/>
  <c r="V72" i="14"/>
  <c r="V60" i="14"/>
  <c r="V55" i="14"/>
  <c r="V50" i="14"/>
  <c r="V43" i="14"/>
  <c r="V33" i="14"/>
  <c r="V28" i="14"/>
  <c r="V15" i="14"/>
  <c r="V119" i="14"/>
  <c r="V114" i="14"/>
  <c r="V48" i="14"/>
  <c r="V29" i="14"/>
  <c r="V17" i="14"/>
  <c r="V16" i="14"/>
  <c r="V111" i="14"/>
  <c r="V106" i="14"/>
  <c r="V75" i="14"/>
  <c r="V65" i="14"/>
  <c r="V46" i="14"/>
  <c r="V19" i="14"/>
  <c r="V124" i="14"/>
  <c r="V103" i="14"/>
  <c r="V98" i="14"/>
  <c r="V63" i="14"/>
  <c r="V56" i="14"/>
  <c r="V44" i="14"/>
  <c r="V39" i="14"/>
  <c r="V21" i="14"/>
  <c r="V20" i="14"/>
  <c r="V95" i="14"/>
  <c r="V90" i="14"/>
  <c r="V61" i="14"/>
  <c r="V23" i="14"/>
  <c r="V7" i="14"/>
  <c r="V87" i="14"/>
  <c r="V71" i="14"/>
  <c r="V80" i="14"/>
  <c r="V66" i="14"/>
  <c r="V76" i="14"/>
  <c r="V49" i="14"/>
  <c r="V9" i="14"/>
  <c r="V25" i="14"/>
  <c r="V8" i="14"/>
  <c r="V24" i="14"/>
  <c r="V59" i="14"/>
  <c r="P128" i="3"/>
  <c r="P127" i="3"/>
  <c r="P112" i="3"/>
  <c r="P111" i="3"/>
  <c r="P101" i="3"/>
  <c r="P97" i="3"/>
  <c r="P93" i="3"/>
  <c r="P89" i="3"/>
  <c r="P85" i="3"/>
  <c r="P81" i="3"/>
  <c r="P77" i="3"/>
  <c r="P73" i="3"/>
  <c r="P69" i="3"/>
  <c r="P65" i="3"/>
  <c r="P61" i="3"/>
  <c r="P57" i="3"/>
  <c r="P53" i="3"/>
  <c r="P49" i="3"/>
  <c r="P45" i="3"/>
  <c r="P41" i="3"/>
  <c r="P132" i="3"/>
  <c r="P131" i="3"/>
  <c r="P116" i="3"/>
  <c r="P115" i="3"/>
  <c r="P100" i="3"/>
  <c r="P96" i="3"/>
  <c r="P92" i="3"/>
  <c r="P88" i="3"/>
  <c r="P84" i="3"/>
  <c r="P80" i="3"/>
  <c r="P76" i="3"/>
  <c r="P120" i="3"/>
  <c r="P119" i="3"/>
  <c r="P104" i="3"/>
  <c r="P103" i="3"/>
  <c r="P99" i="3"/>
  <c r="P95" i="3"/>
  <c r="P91" i="3"/>
  <c r="P87" i="3"/>
  <c r="P83" i="3"/>
  <c r="P79" i="3"/>
  <c r="P75" i="3"/>
  <c r="P71" i="3"/>
  <c r="P67" i="3"/>
  <c r="P63" i="3"/>
  <c r="P59" i="3"/>
  <c r="P108" i="3"/>
  <c r="P94" i="3"/>
  <c r="P68" i="3"/>
  <c r="P47" i="3"/>
  <c r="P130" i="3"/>
  <c r="P125" i="3"/>
  <c r="P118" i="3"/>
  <c r="P113" i="3"/>
  <c r="P106" i="3"/>
  <c r="P90" i="3"/>
  <c r="P70" i="3"/>
  <c r="P46" i="3"/>
  <c r="P123" i="3"/>
  <c r="P86" i="3"/>
  <c r="P72" i="3"/>
  <c r="P56" i="3"/>
  <c r="P55" i="3"/>
  <c r="P44" i="3"/>
  <c r="P38" i="3"/>
  <c r="P34" i="3"/>
  <c r="P30" i="3"/>
  <c r="P26" i="3"/>
  <c r="P22" i="3"/>
  <c r="P18" i="3"/>
  <c r="P14" i="3"/>
  <c r="P10" i="3"/>
  <c r="P124" i="3"/>
  <c r="P121" i="3"/>
  <c r="P105" i="3"/>
  <c r="P58" i="3"/>
  <c r="P43" i="3"/>
  <c r="P37" i="3"/>
  <c r="P36" i="3"/>
  <c r="P35" i="3"/>
  <c r="P21" i="3"/>
  <c r="P20" i="3"/>
  <c r="P19" i="3"/>
  <c r="P50" i="3"/>
  <c r="P109" i="3"/>
  <c r="P66" i="3"/>
  <c r="P54" i="3"/>
  <c r="P29" i="3"/>
  <c r="P28" i="3"/>
  <c r="P27" i="3"/>
  <c r="P13" i="3"/>
  <c r="P12" i="3"/>
  <c r="P11" i="3"/>
  <c r="P117" i="3"/>
  <c r="P114" i="3"/>
  <c r="P64" i="3"/>
  <c r="P51" i="3"/>
  <c r="P126" i="3"/>
  <c r="P102" i="3"/>
  <c r="P122" i="3"/>
  <c r="P74" i="3"/>
  <c r="P60" i="3"/>
  <c r="P129" i="3"/>
  <c r="P107" i="3"/>
  <c r="P78" i="3"/>
  <c r="P32" i="3"/>
  <c r="P17" i="3"/>
  <c r="P15" i="3"/>
  <c r="P82" i="3"/>
  <c r="P40" i="3"/>
  <c r="P33" i="3"/>
  <c r="P23" i="3"/>
  <c r="P16" i="3"/>
  <c r="P9" i="3"/>
  <c r="P98" i="3"/>
  <c r="P52" i="3"/>
  <c r="P48" i="3"/>
  <c r="P39" i="3"/>
  <c r="P110" i="3"/>
  <c r="P25" i="3"/>
  <c r="P8" i="3"/>
  <c r="P62" i="3"/>
  <c r="P42" i="3"/>
  <c r="P31" i="3"/>
  <c r="P24" i="3"/>
  <c r="P7" i="3"/>
  <c r="Q131" i="7"/>
  <c r="Q127" i="7"/>
  <c r="Q123" i="7"/>
  <c r="Q119" i="7"/>
  <c r="Q115" i="7"/>
  <c r="Q111" i="7"/>
  <c r="Q107" i="7"/>
  <c r="Q103" i="7"/>
  <c r="Q99" i="7"/>
  <c r="Q95" i="7"/>
  <c r="Q91" i="7"/>
  <c r="Q87" i="7"/>
  <c r="Q83" i="7"/>
  <c r="Q79" i="7"/>
  <c r="Q75" i="7"/>
  <c r="Q128" i="7"/>
  <c r="Q117" i="7"/>
  <c r="Q106" i="7"/>
  <c r="Q96" i="7"/>
  <c r="Q85" i="7"/>
  <c r="Q126" i="7"/>
  <c r="Q116" i="7"/>
  <c r="Q105" i="7"/>
  <c r="Q94" i="7"/>
  <c r="Q84" i="7"/>
  <c r="Q125" i="7"/>
  <c r="Q114" i="7"/>
  <c r="Q104" i="7"/>
  <c r="Q93" i="7"/>
  <c r="Q124" i="7"/>
  <c r="Q113" i="7"/>
  <c r="Q130" i="7"/>
  <c r="Q81" i="7"/>
  <c r="Q108" i="7"/>
  <c r="Q100" i="7"/>
  <c r="Q80" i="7"/>
  <c r="Q72" i="7"/>
  <c r="Q68" i="7"/>
  <c r="Q64" i="7"/>
  <c r="Q60" i="7"/>
  <c r="Q56" i="7"/>
  <c r="Q52" i="7"/>
  <c r="Q48" i="7"/>
  <c r="Q44" i="7"/>
  <c r="Q40" i="7"/>
  <c r="Q36" i="7"/>
  <c r="Q101" i="7"/>
  <c r="Q88" i="7"/>
  <c r="Q77" i="7"/>
  <c r="Q71" i="7"/>
  <c r="Q67" i="7"/>
  <c r="Q63" i="7"/>
  <c r="Q59" i="7"/>
  <c r="Q55" i="7"/>
  <c r="Q51" i="7"/>
  <c r="Q47" i="7"/>
  <c r="Q43" i="7"/>
  <c r="Q39" i="7"/>
  <c r="Q35" i="7"/>
  <c r="Q120" i="7"/>
  <c r="Q109" i="7"/>
  <c r="Q98" i="7"/>
  <c r="Q92" i="7"/>
  <c r="Q76" i="7"/>
  <c r="Q129" i="7"/>
  <c r="Q118" i="7"/>
  <c r="Q102" i="7"/>
  <c r="Q89" i="7"/>
  <c r="Q74" i="7"/>
  <c r="Q70" i="7"/>
  <c r="Q66" i="7"/>
  <c r="Q62" i="7"/>
  <c r="Q58" i="7"/>
  <c r="Q54" i="7"/>
  <c r="Q50" i="7"/>
  <c r="Q110" i="7"/>
  <c r="Q18" i="7"/>
  <c r="Q17" i="7"/>
  <c r="Q53" i="7"/>
  <c r="Q22" i="7"/>
  <c r="Q21" i="7"/>
  <c r="Q132" i="7"/>
  <c r="Q122" i="7"/>
  <c r="Q112" i="7"/>
  <c r="Q61" i="7"/>
  <c r="Q26" i="7"/>
  <c r="Q25" i="7"/>
  <c r="Q10" i="7"/>
  <c r="Q9" i="7"/>
  <c r="Q73" i="7"/>
  <c r="Q49" i="7"/>
  <c r="Q28" i="7"/>
  <c r="Q23" i="7"/>
  <c r="Q11" i="7"/>
  <c r="Q97" i="7"/>
  <c r="Q69" i="7"/>
  <c r="Q46" i="7"/>
  <c r="Q41" i="7"/>
  <c r="Q16" i="7"/>
  <c r="Q90" i="7"/>
  <c r="Q65" i="7"/>
  <c r="Q38" i="7"/>
  <c r="Q33" i="7"/>
  <c r="Q14" i="7"/>
  <c r="Q42" i="7"/>
  <c r="Q34" i="7"/>
  <c r="Q20" i="7"/>
  <c r="Q86" i="7"/>
  <c r="Q78" i="7"/>
  <c r="Q30" i="7"/>
  <c r="Q27" i="7"/>
  <c r="Q24" i="7"/>
  <c r="Q8" i="7"/>
  <c r="Q82" i="7"/>
  <c r="Q32" i="7"/>
  <c r="Q29" i="7"/>
  <c r="Q13" i="7"/>
  <c r="Q7" i="7"/>
  <c r="Q15" i="7"/>
  <c r="Q12" i="7"/>
  <c r="Q45" i="7"/>
  <c r="Q19" i="7"/>
  <c r="Q121" i="7"/>
  <c r="Q57" i="7"/>
  <c r="Q31" i="7"/>
  <c r="Q37" i="7"/>
  <c r="N132" i="21"/>
  <c r="N128" i="21"/>
  <c r="N124" i="21"/>
  <c r="N120" i="21"/>
  <c r="N116" i="21"/>
  <c r="N112" i="21"/>
  <c r="N108" i="21"/>
  <c r="N104" i="21"/>
  <c r="N100" i="21"/>
  <c r="N96" i="21"/>
  <c r="N92" i="21"/>
  <c r="N131" i="21"/>
  <c r="N127" i="21"/>
  <c r="N123" i="21"/>
  <c r="N119" i="21"/>
  <c r="N115" i="21"/>
  <c r="N111" i="21"/>
  <c r="N107" i="21"/>
  <c r="N103" i="21"/>
  <c r="N130" i="21"/>
  <c r="N126" i="21"/>
  <c r="N122" i="21"/>
  <c r="N118" i="21"/>
  <c r="N114" i="21"/>
  <c r="N110" i="21"/>
  <c r="N106" i="21"/>
  <c r="N102" i="21"/>
  <c r="N98" i="21"/>
  <c r="N94" i="21"/>
  <c r="N90" i="21"/>
  <c r="N86" i="21"/>
  <c r="N82" i="21"/>
  <c r="N78" i="21"/>
  <c r="N74" i="21"/>
  <c r="N70" i="21"/>
  <c r="N66" i="21"/>
  <c r="N62" i="21"/>
  <c r="N58" i="21"/>
  <c r="N54" i="21"/>
  <c r="N50" i="21"/>
  <c r="N46" i="21"/>
  <c r="N42" i="21"/>
  <c r="N38" i="21"/>
  <c r="N34" i="21"/>
  <c r="N30" i="21"/>
  <c r="N26" i="21"/>
  <c r="N22" i="21"/>
  <c r="N18" i="21"/>
  <c r="N14" i="21"/>
  <c r="N129" i="21"/>
  <c r="N125" i="21"/>
  <c r="N121" i="21"/>
  <c r="N117" i="21"/>
  <c r="N113" i="21"/>
  <c r="N109" i="21"/>
  <c r="N105" i="21"/>
  <c r="N101" i="21"/>
  <c r="N97" i="21"/>
  <c r="N93" i="21"/>
  <c r="N89" i="21"/>
  <c r="N85" i="21"/>
  <c r="N81" i="21"/>
  <c r="N77" i="21"/>
  <c r="N73" i="21"/>
  <c r="N69" i="21"/>
  <c r="N65" i="21"/>
  <c r="N61" i="21"/>
  <c r="N57" i="21"/>
  <c r="N53" i="21"/>
  <c r="N49" i="21"/>
  <c r="N45" i="21"/>
  <c r="N41" i="21"/>
  <c r="N37" i="21"/>
  <c r="N33" i="21"/>
  <c r="N29" i="21"/>
  <c r="N25" i="21"/>
  <c r="N21" i="21"/>
  <c r="N17" i="21"/>
  <c r="N13" i="21"/>
  <c r="N9" i="21"/>
  <c r="N80" i="21"/>
  <c r="N75" i="21"/>
  <c r="N48" i="21"/>
  <c r="N43" i="21"/>
  <c r="N16" i="21"/>
  <c r="N8" i="21"/>
  <c r="N7" i="21"/>
  <c r="N47" i="21"/>
  <c r="N95" i="21"/>
  <c r="N76" i="21"/>
  <c r="N71" i="21"/>
  <c r="N44" i="21"/>
  <c r="N39" i="21"/>
  <c r="N10" i="21"/>
  <c r="N84" i="21"/>
  <c r="N52" i="21"/>
  <c r="N72" i="21"/>
  <c r="N67" i="21"/>
  <c r="N40" i="21"/>
  <c r="N35" i="21"/>
  <c r="N12" i="21"/>
  <c r="N11" i="21"/>
  <c r="N68" i="21"/>
  <c r="N63" i="21"/>
  <c r="N36" i="21"/>
  <c r="N31" i="21"/>
  <c r="N64" i="21"/>
  <c r="N59" i="21"/>
  <c r="N32" i="21"/>
  <c r="N27" i="21"/>
  <c r="N99" i="21"/>
  <c r="N91" i="21"/>
  <c r="N87" i="21"/>
  <c r="N60" i="21"/>
  <c r="N55" i="21"/>
  <c r="N28" i="21"/>
  <c r="N23" i="21"/>
  <c r="N24" i="21"/>
  <c r="N19" i="21"/>
  <c r="N88" i="21"/>
  <c r="N83" i="21"/>
  <c r="N56" i="21"/>
  <c r="N51" i="21"/>
  <c r="N79" i="21"/>
  <c r="N15" i="21"/>
  <c r="N20" i="21"/>
  <c r="O131" i="19"/>
  <c r="O127" i="19"/>
  <c r="O123" i="19"/>
  <c r="O119" i="19"/>
  <c r="O115" i="19"/>
  <c r="O111" i="19"/>
  <c r="O107" i="19"/>
  <c r="O103" i="19"/>
  <c r="O129" i="19"/>
  <c r="O125" i="19"/>
  <c r="O121" i="19"/>
  <c r="O117" i="19"/>
  <c r="O113" i="19"/>
  <c r="O109" i="19"/>
  <c r="O105" i="19"/>
  <c r="O101" i="19"/>
  <c r="O97" i="19"/>
  <c r="O93" i="19"/>
  <c r="O89" i="19"/>
  <c r="O85" i="19"/>
  <c r="O81" i="19"/>
  <c r="O77" i="19"/>
  <c r="O73" i="19"/>
  <c r="O69" i="19"/>
  <c r="O65" i="19"/>
  <c r="O61" i="19"/>
  <c r="O130" i="19"/>
  <c r="O116" i="19"/>
  <c r="O92" i="19"/>
  <c r="O91" i="19"/>
  <c r="O76" i="19"/>
  <c r="O75" i="19"/>
  <c r="O60" i="19"/>
  <c r="O59" i="19"/>
  <c r="O55" i="19"/>
  <c r="O51" i="19"/>
  <c r="O47" i="19"/>
  <c r="O43" i="19"/>
  <c r="O39" i="19"/>
  <c r="O35" i="19"/>
  <c r="O31" i="19"/>
  <c r="O126" i="19"/>
  <c r="O112" i="19"/>
  <c r="O94" i="19"/>
  <c r="O78" i="19"/>
  <c r="O62" i="19"/>
  <c r="O122" i="19"/>
  <c r="O108" i="19"/>
  <c r="O96" i="19"/>
  <c r="O95" i="19"/>
  <c r="O118" i="19"/>
  <c r="O104" i="19"/>
  <c r="O98" i="19"/>
  <c r="O82" i="19"/>
  <c r="O66" i="19"/>
  <c r="O132" i="19"/>
  <c r="O114" i="19"/>
  <c r="O100" i="19"/>
  <c r="O99" i="19"/>
  <c r="O84" i="19"/>
  <c r="O83" i="19"/>
  <c r="O68" i="19"/>
  <c r="O67" i="19"/>
  <c r="O57" i="19"/>
  <c r="O53" i="19"/>
  <c r="O49" i="19"/>
  <c r="O45" i="19"/>
  <c r="O41" i="19"/>
  <c r="O37" i="19"/>
  <c r="O33" i="19"/>
  <c r="O29" i="19"/>
  <c r="O25" i="19"/>
  <c r="O21" i="19"/>
  <c r="O17" i="19"/>
  <c r="O13" i="19"/>
  <c r="O9" i="19"/>
  <c r="O128" i="19"/>
  <c r="O110" i="19"/>
  <c r="O86" i="19"/>
  <c r="O70" i="19"/>
  <c r="O124" i="19"/>
  <c r="O64" i="19"/>
  <c r="O52" i="19"/>
  <c r="O50" i="19"/>
  <c r="O22" i="19"/>
  <c r="O120" i="19"/>
  <c r="O72" i="19"/>
  <c r="O56" i="19"/>
  <c r="O54" i="19"/>
  <c r="O27" i="19"/>
  <c r="O18" i="19"/>
  <c r="O58" i="19"/>
  <c r="O28" i="19"/>
  <c r="O23" i="19"/>
  <c r="O14" i="19"/>
  <c r="O80" i="19"/>
  <c r="O63" i="19"/>
  <c r="O32" i="19"/>
  <c r="O24" i="19"/>
  <c r="O19" i="19"/>
  <c r="O10" i="19"/>
  <c r="O88" i="19"/>
  <c r="O74" i="19"/>
  <c r="O71" i="19"/>
  <c r="O36" i="19"/>
  <c r="O34" i="19"/>
  <c r="O20" i="19"/>
  <c r="O15" i="19"/>
  <c r="O102" i="19"/>
  <c r="O40" i="19"/>
  <c r="O38" i="19"/>
  <c r="O16" i="19"/>
  <c r="O11" i="19"/>
  <c r="O106" i="19"/>
  <c r="O79" i="19"/>
  <c r="O44" i="19"/>
  <c r="O42" i="19"/>
  <c r="O30" i="19"/>
  <c r="O12" i="19"/>
  <c r="O90" i="19"/>
  <c r="O48" i="19"/>
  <c r="O7" i="19"/>
  <c r="O87" i="19"/>
  <c r="O46" i="19"/>
  <c r="O8" i="19"/>
  <c r="O26" i="19"/>
  <c r="S132" i="21"/>
  <c r="S128" i="21"/>
  <c r="S124" i="21"/>
  <c r="S120" i="21"/>
  <c r="S116" i="21"/>
  <c r="S112" i="21"/>
  <c r="S108" i="21"/>
  <c r="S104" i="21"/>
  <c r="S100" i="21"/>
  <c r="S96" i="21"/>
  <c r="S92" i="21"/>
  <c r="S88" i="21"/>
  <c r="S84" i="21"/>
  <c r="S80" i="21"/>
  <c r="S76" i="21"/>
  <c r="S72" i="21"/>
  <c r="S68" i="21"/>
  <c r="S64" i="21"/>
  <c r="S60" i="21"/>
  <c r="S56" i="21"/>
  <c r="S52" i="21"/>
  <c r="S48" i="21"/>
  <c r="S44" i="21"/>
  <c r="S40" i="21"/>
  <c r="S36" i="21"/>
  <c r="S32" i="21"/>
  <c r="S28" i="21"/>
  <c r="S24" i="21"/>
  <c r="S20" i="21"/>
  <c r="S16" i="21"/>
  <c r="S12" i="21"/>
  <c r="S8" i="21"/>
  <c r="S118" i="21"/>
  <c r="S103" i="21"/>
  <c r="S101" i="21"/>
  <c r="S93" i="21"/>
  <c r="S82" i="21"/>
  <c r="S77" i="21"/>
  <c r="S59" i="21"/>
  <c r="S50" i="21"/>
  <c r="S45" i="21"/>
  <c r="S27" i="21"/>
  <c r="S18" i="21"/>
  <c r="S13" i="21"/>
  <c r="S114" i="21"/>
  <c r="S98" i="21"/>
  <c r="S86" i="21"/>
  <c r="S81" i="21"/>
  <c r="S49" i="21"/>
  <c r="S31" i="21"/>
  <c r="S122" i="21"/>
  <c r="S107" i="21"/>
  <c r="S105" i="21"/>
  <c r="S87" i="21"/>
  <c r="S78" i="21"/>
  <c r="S73" i="21"/>
  <c r="S55" i="21"/>
  <c r="S46" i="21"/>
  <c r="S41" i="21"/>
  <c r="S23" i="21"/>
  <c r="S14" i="21"/>
  <c r="S129" i="21"/>
  <c r="S126" i="21"/>
  <c r="S111" i="21"/>
  <c r="S109" i="21"/>
  <c r="S99" i="21"/>
  <c r="S91" i="21"/>
  <c r="S83" i="21"/>
  <c r="S74" i="21"/>
  <c r="S69" i="21"/>
  <c r="S51" i="21"/>
  <c r="S42" i="21"/>
  <c r="S37" i="21"/>
  <c r="S19" i="21"/>
  <c r="S130" i="21"/>
  <c r="S115" i="21"/>
  <c r="S113" i="21"/>
  <c r="S94" i="21"/>
  <c r="S79" i="21"/>
  <c r="S70" i="21"/>
  <c r="S65" i="21"/>
  <c r="S47" i="21"/>
  <c r="S38" i="21"/>
  <c r="S33" i="21"/>
  <c r="S15" i="21"/>
  <c r="S131" i="21"/>
  <c r="S90" i="21"/>
  <c r="S63" i="21"/>
  <c r="S54" i="21"/>
  <c r="S22" i="21"/>
  <c r="S119" i="21"/>
  <c r="S117" i="21"/>
  <c r="S102" i="21"/>
  <c r="S97" i="21"/>
  <c r="S75" i="21"/>
  <c r="S66" i="21"/>
  <c r="S61" i="21"/>
  <c r="S43" i="21"/>
  <c r="S34" i="21"/>
  <c r="S29" i="21"/>
  <c r="S7" i="21"/>
  <c r="S123" i="21"/>
  <c r="S121" i="21"/>
  <c r="S106" i="21"/>
  <c r="S89" i="21"/>
  <c r="S71" i="21"/>
  <c r="S62" i="21"/>
  <c r="S57" i="21"/>
  <c r="S39" i="21"/>
  <c r="S30" i="21"/>
  <c r="S25" i="21"/>
  <c r="S10" i="21"/>
  <c r="S9" i="21"/>
  <c r="S21" i="21"/>
  <c r="S127" i="21"/>
  <c r="S125" i="21"/>
  <c r="S110" i="21"/>
  <c r="S95" i="21"/>
  <c r="S85" i="21"/>
  <c r="S67" i="21"/>
  <c r="S58" i="21"/>
  <c r="S53" i="21"/>
  <c r="S35" i="21"/>
  <c r="S26" i="21"/>
  <c r="S11" i="21"/>
  <c r="S17" i="21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131" i="20"/>
  <c r="U127" i="20"/>
  <c r="U123" i="20"/>
  <c r="U119" i="20"/>
  <c r="U115" i="20"/>
  <c r="U111" i="20"/>
  <c r="U107" i="20"/>
  <c r="U103" i="20"/>
  <c r="U99" i="20"/>
  <c r="U95" i="20"/>
  <c r="U91" i="20"/>
  <c r="U87" i="20"/>
  <c r="U83" i="20"/>
  <c r="U79" i="20"/>
  <c r="U75" i="20"/>
  <c r="U71" i="20"/>
  <c r="U67" i="20"/>
  <c r="U63" i="20"/>
  <c r="U59" i="20"/>
  <c r="U132" i="20"/>
  <c r="U110" i="20"/>
  <c r="U94" i="20"/>
  <c r="U78" i="20"/>
  <c r="U62" i="20"/>
  <c r="U128" i="20"/>
  <c r="U112" i="20"/>
  <c r="U96" i="20"/>
  <c r="U80" i="20"/>
  <c r="U124" i="20"/>
  <c r="U114" i="20"/>
  <c r="U98" i="20"/>
  <c r="U82" i="20"/>
  <c r="U66" i="20"/>
  <c r="U120" i="20"/>
  <c r="U100" i="20"/>
  <c r="U84" i="20"/>
  <c r="U68" i="20"/>
  <c r="U54" i="20"/>
  <c r="U50" i="20"/>
  <c r="U46" i="20"/>
  <c r="U42" i="20"/>
  <c r="U38" i="20"/>
  <c r="U34" i="20"/>
  <c r="U30" i="20"/>
  <c r="U26" i="20"/>
  <c r="U22" i="20"/>
  <c r="U18" i="20"/>
  <c r="U14" i="20"/>
  <c r="U10" i="20"/>
  <c r="U130" i="20"/>
  <c r="U116" i="20"/>
  <c r="U102" i="20"/>
  <c r="U86" i="20"/>
  <c r="U70" i="20"/>
  <c r="U126" i="20"/>
  <c r="U104" i="20"/>
  <c r="U88" i="20"/>
  <c r="U72" i="20"/>
  <c r="U53" i="20"/>
  <c r="U49" i="20"/>
  <c r="U122" i="20"/>
  <c r="U106" i="20"/>
  <c r="U90" i="20"/>
  <c r="U74" i="20"/>
  <c r="U58" i="20"/>
  <c r="U108" i="20"/>
  <c r="U51" i="20"/>
  <c r="U41" i="20"/>
  <c r="U39" i="20"/>
  <c r="U24" i="20"/>
  <c r="U9" i="20"/>
  <c r="U7" i="20"/>
  <c r="U20" i="20"/>
  <c r="U45" i="20"/>
  <c r="U43" i="20"/>
  <c r="U28" i="20"/>
  <c r="U13" i="20"/>
  <c r="U11" i="20"/>
  <c r="U47" i="20"/>
  <c r="U32" i="20"/>
  <c r="U17" i="20"/>
  <c r="U15" i="20"/>
  <c r="U118" i="20"/>
  <c r="U92" i="20"/>
  <c r="U48" i="20"/>
  <c r="U37" i="20"/>
  <c r="U60" i="20"/>
  <c r="U56" i="20"/>
  <c r="U36" i="20"/>
  <c r="U21" i="20"/>
  <c r="U19" i="20"/>
  <c r="U64" i="20"/>
  <c r="U40" i="20"/>
  <c r="U25" i="20"/>
  <c r="U23" i="20"/>
  <c r="U8" i="20"/>
  <c r="U52" i="20"/>
  <c r="U44" i="20"/>
  <c r="U29" i="20"/>
  <c r="U27" i="20"/>
  <c r="U12" i="20"/>
  <c r="U35" i="20"/>
  <c r="U76" i="20"/>
  <c r="U55" i="20"/>
  <c r="U33" i="20"/>
  <c r="U31" i="20"/>
  <c r="U16" i="20"/>
  <c r="W131" i="19"/>
  <c r="W127" i="19"/>
  <c r="W123" i="19"/>
  <c r="W119" i="19"/>
  <c r="W115" i="19"/>
  <c r="W111" i="19"/>
  <c r="W107" i="19"/>
  <c r="W103" i="19"/>
  <c r="W129" i="19"/>
  <c r="W125" i="19"/>
  <c r="W121" i="19"/>
  <c r="W117" i="19"/>
  <c r="W113" i="19"/>
  <c r="W109" i="19"/>
  <c r="W105" i="19"/>
  <c r="W101" i="19"/>
  <c r="W97" i="19"/>
  <c r="W93" i="19"/>
  <c r="W89" i="19"/>
  <c r="W85" i="19"/>
  <c r="W81" i="19"/>
  <c r="W77" i="19"/>
  <c r="W73" i="19"/>
  <c r="W69" i="19"/>
  <c r="W65" i="19"/>
  <c r="W61" i="19"/>
  <c r="W132" i="19"/>
  <c r="W128" i="19"/>
  <c r="W110" i="19"/>
  <c r="W88" i="19"/>
  <c r="W87" i="19"/>
  <c r="W72" i="19"/>
  <c r="W71" i="19"/>
  <c r="W55" i="19"/>
  <c r="W51" i="19"/>
  <c r="W47" i="19"/>
  <c r="W43" i="19"/>
  <c r="W39" i="19"/>
  <c r="W35" i="19"/>
  <c r="W31" i="19"/>
  <c r="W124" i="19"/>
  <c r="W106" i="19"/>
  <c r="W90" i="19"/>
  <c r="W74" i="19"/>
  <c r="W120" i="19"/>
  <c r="W102" i="19"/>
  <c r="W130" i="19"/>
  <c r="W116" i="19"/>
  <c r="W94" i="19"/>
  <c r="W78" i="19"/>
  <c r="W62" i="19"/>
  <c r="W126" i="19"/>
  <c r="W112" i="19"/>
  <c r="W96" i="19"/>
  <c r="W95" i="19"/>
  <c r="W80" i="19"/>
  <c r="W79" i="19"/>
  <c r="W64" i="19"/>
  <c r="W63" i="19"/>
  <c r="W57" i="19"/>
  <c r="W53" i="19"/>
  <c r="W49" i="19"/>
  <c r="W45" i="19"/>
  <c r="W41" i="19"/>
  <c r="W37" i="19"/>
  <c r="W33" i="19"/>
  <c r="W29" i="19"/>
  <c r="W25" i="19"/>
  <c r="W21" i="19"/>
  <c r="W17" i="19"/>
  <c r="W13" i="19"/>
  <c r="W9" i="19"/>
  <c r="W122" i="19"/>
  <c r="W108" i="19"/>
  <c r="W98" i="19"/>
  <c r="W82" i="19"/>
  <c r="W66" i="19"/>
  <c r="W104" i="19"/>
  <c r="W99" i="19"/>
  <c r="W86" i="19"/>
  <c r="W83" i="19"/>
  <c r="W32" i="19"/>
  <c r="W16" i="19"/>
  <c r="W11" i="19"/>
  <c r="W114" i="19"/>
  <c r="W60" i="19"/>
  <c r="W36" i="19"/>
  <c r="W34" i="19"/>
  <c r="W30" i="19"/>
  <c r="W12" i="19"/>
  <c r="W7" i="19"/>
  <c r="W118" i="19"/>
  <c r="W91" i="19"/>
  <c r="W68" i="19"/>
  <c r="W40" i="19"/>
  <c r="W38" i="19"/>
  <c r="W26" i="19"/>
  <c r="W8" i="19"/>
  <c r="W44" i="19"/>
  <c r="W42" i="19"/>
  <c r="W22" i="19"/>
  <c r="W76" i="19"/>
  <c r="W59" i="19"/>
  <c r="W48" i="19"/>
  <c r="W46" i="19"/>
  <c r="W27" i="19"/>
  <c r="W18" i="19"/>
  <c r="W84" i="19"/>
  <c r="W70" i="19"/>
  <c r="W67" i="19"/>
  <c r="W52" i="19"/>
  <c r="W50" i="19"/>
  <c r="W28" i="19"/>
  <c r="W23" i="19"/>
  <c r="W14" i="19"/>
  <c r="W56" i="19"/>
  <c r="W54" i="19"/>
  <c r="W24" i="19"/>
  <c r="W19" i="19"/>
  <c r="W10" i="19"/>
  <c r="W92" i="19"/>
  <c r="W20" i="19"/>
  <c r="W58" i="19"/>
  <c r="W15" i="19"/>
  <c r="W100" i="19"/>
  <c r="W75" i="19"/>
  <c r="R130" i="21"/>
  <c r="R126" i="21"/>
  <c r="R122" i="21"/>
  <c r="R118" i="21"/>
  <c r="R114" i="21"/>
  <c r="R110" i="21"/>
  <c r="R106" i="21"/>
  <c r="R102" i="21"/>
  <c r="R98" i="21"/>
  <c r="R94" i="21"/>
  <c r="R90" i="21"/>
  <c r="R129" i="21"/>
  <c r="R125" i="21"/>
  <c r="R121" i="21"/>
  <c r="R117" i="21"/>
  <c r="R113" i="21"/>
  <c r="R109" i="21"/>
  <c r="R105" i="21"/>
  <c r="R132" i="21"/>
  <c r="R128" i="21"/>
  <c r="R124" i="21"/>
  <c r="R120" i="21"/>
  <c r="R116" i="21"/>
  <c r="R112" i="21"/>
  <c r="R108" i="21"/>
  <c r="R104" i="21"/>
  <c r="R100" i="21"/>
  <c r="R96" i="21"/>
  <c r="R92" i="21"/>
  <c r="R88" i="21"/>
  <c r="R84" i="21"/>
  <c r="R80" i="21"/>
  <c r="R76" i="21"/>
  <c r="R72" i="21"/>
  <c r="R68" i="21"/>
  <c r="R64" i="21"/>
  <c r="R60" i="21"/>
  <c r="R56" i="21"/>
  <c r="R52" i="21"/>
  <c r="R48" i="21"/>
  <c r="R44" i="21"/>
  <c r="R40" i="21"/>
  <c r="R36" i="21"/>
  <c r="R32" i="21"/>
  <c r="R28" i="21"/>
  <c r="R24" i="21"/>
  <c r="R20" i="21"/>
  <c r="R16" i="21"/>
  <c r="R131" i="21"/>
  <c r="R127" i="21"/>
  <c r="R123" i="21"/>
  <c r="R119" i="21"/>
  <c r="R115" i="21"/>
  <c r="R111" i="21"/>
  <c r="R107" i="21"/>
  <c r="R103" i="21"/>
  <c r="R99" i="21"/>
  <c r="R95" i="21"/>
  <c r="R91" i="21"/>
  <c r="R87" i="21"/>
  <c r="R83" i="21"/>
  <c r="R79" i="21"/>
  <c r="R75" i="21"/>
  <c r="R71" i="21"/>
  <c r="R67" i="21"/>
  <c r="R63" i="21"/>
  <c r="R59" i="21"/>
  <c r="R55" i="21"/>
  <c r="R51" i="21"/>
  <c r="R47" i="21"/>
  <c r="R43" i="21"/>
  <c r="R39" i="21"/>
  <c r="R35" i="21"/>
  <c r="R31" i="21"/>
  <c r="R27" i="21"/>
  <c r="R23" i="21"/>
  <c r="R19" i="21"/>
  <c r="R15" i="21"/>
  <c r="R11" i="21"/>
  <c r="R7" i="21"/>
  <c r="R86" i="21"/>
  <c r="R81" i="21"/>
  <c r="R54" i="21"/>
  <c r="R49" i="21"/>
  <c r="R22" i="21"/>
  <c r="R17" i="21"/>
  <c r="R101" i="21"/>
  <c r="R93" i="21"/>
  <c r="R82" i="21"/>
  <c r="R77" i="21"/>
  <c r="R50" i="21"/>
  <c r="R45" i="21"/>
  <c r="R18" i="21"/>
  <c r="R13" i="21"/>
  <c r="R78" i="21"/>
  <c r="R73" i="21"/>
  <c r="R46" i="21"/>
  <c r="R41" i="21"/>
  <c r="R14" i="21"/>
  <c r="R53" i="21"/>
  <c r="R74" i="21"/>
  <c r="R69" i="21"/>
  <c r="R42" i="21"/>
  <c r="R37" i="21"/>
  <c r="R25" i="21"/>
  <c r="R85" i="21"/>
  <c r="R58" i="21"/>
  <c r="R26" i="21"/>
  <c r="R70" i="21"/>
  <c r="R65" i="21"/>
  <c r="R38" i="21"/>
  <c r="R33" i="21"/>
  <c r="R97" i="21"/>
  <c r="R66" i="21"/>
  <c r="R61" i="21"/>
  <c r="R34" i="21"/>
  <c r="R29" i="21"/>
  <c r="R8" i="21"/>
  <c r="R10" i="21"/>
  <c r="R9" i="21"/>
  <c r="R89" i="21"/>
  <c r="R62" i="21"/>
  <c r="R57" i="21"/>
  <c r="R30" i="21"/>
  <c r="R12" i="21"/>
  <c r="R21" i="21"/>
  <c r="V131" i="20"/>
  <c r="V127" i="20"/>
  <c r="V123" i="20"/>
  <c r="V119" i="20"/>
  <c r="V128" i="20"/>
  <c r="V112" i="20"/>
  <c r="V111" i="20"/>
  <c r="V96" i="20"/>
  <c r="V95" i="20"/>
  <c r="V80" i="20"/>
  <c r="V79" i="20"/>
  <c r="V64" i="20"/>
  <c r="V63" i="20"/>
  <c r="V55" i="20"/>
  <c r="V51" i="20"/>
  <c r="V47" i="20"/>
  <c r="V43" i="20"/>
  <c r="V39" i="20"/>
  <c r="V35" i="20"/>
  <c r="V31" i="20"/>
  <c r="V27" i="20"/>
  <c r="V23" i="20"/>
  <c r="V19" i="20"/>
  <c r="V15" i="20"/>
  <c r="V11" i="20"/>
  <c r="V7" i="20"/>
  <c r="V124" i="20"/>
  <c r="V114" i="20"/>
  <c r="V113" i="20"/>
  <c r="V98" i="20"/>
  <c r="V97" i="20"/>
  <c r="V82" i="20"/>
  <c r="V81" i="20"/>
  <c r="V129" i="20"/>
  <c r="V120" i="20"/>
  <c r="V115" i="20"/>
  <c r="V100" i="20"/>
  <c r="V99" i="20"/>
  <c r="V84" i="20"/>
  <c r="V83" i="20"/>
  <c r="V68" i="20"/>
  <c r="V67" i="20"/>
  <c r="V54" i="20"/>
  <c r="V50" i="20"/>
  <c r="V46" i="20"/>
  <c r="V42" i="20"/>
  <c r="V38" i="20"/>
  <c r="V34" i="20"/>
  <c r="V30" i="20"/>
  <c r="V26" i="20"/>
  <c r="V22" i="20"/>
  <c r="V18" i="20"/>
  <c r="V14" i="20"/>
  <c r="V10" i="20"/>
  <c r="V130" i="20"/>
  <c r="V125" i="20"/>
  <c r="V116" i="20"/>
  <c r="V102" i="20"/>
  <c r="V101" i="20"/>
  <c r="V86" i="20"/>
  <c r="V85" i="20"/>
  <c r="V70" i="20"/>
  <c r="V69" i="20"/>
  <c r="V126" i="20"/>
  <c r="V121" i="20"/>
  <c r="V104" i="20"/>
  <c r="V103" i="20"/>
  <c r="V88" i="20"/>
  <c r="V87" i="20"/>
  <c r="V72" i="20"/>
  <c r="V71" i="20"/>
  <c r="V53" i="20"/>
  <c r="V49" i="20"/>
  <c r="V45" i="20"/>
  <c r="V41" i="20"/>
  <c r="V37" i="20"/>
  <c r="V33" i="20"/>
  <c r="V29" i="20"/>
  <c r="V25" i="20"/>
  <c r="V21" i="20"/>
  <c r="V17" i="20"/>
  <c r="V13" i="20"/>
  <c r="V9" i="20"/>
  <c r="V122" i="20"/>
  <c r="V117" i="20"/>
  <c r="V106" i="20"/>
  <c r="V105" i="20"/>
  <c r="V90" i="20"/>
  <c r="V89" i="20"/>
  <c r="V74" i="20"/>
  <c r="V73" i="20"/>
  <c r="V58" i="20"/>
  <c r="V57" i="20"/>
  <c r="V118" i="20"/>
  <c r="V108" i="20"/>
  <c r="V107" i="20"/>
  <c r="V92" i="20"/>
  <c r="V91" i="20"/>
  <c r="V76" i="20"/>
  <c r="V75" i="20"/>
  <c r="V60" i="20"/>
  <c r="V59" i="20"/>
  <c r="V56" i="20"/>
  <c r="V52" i="20"/>
  <c r="V48" i="20"/>
  <c r="V44" i="20"/>
  <c r="V40" i="20"/>
  <c r="V36" i="20"/>
  <c r="V32" i="20"/>
  <c r="V28" i="20"/>
  <c r="V24" i="20"/>
  <c r="V20" i="20"/>
  <c r="V16" i="20"/>
  <c r="V12" i="20"/>
  <c r="V8" i="20"/>
  <c r="V66" i="20"/>
  <c r="V61" i="20"/>
  <c r="V65" i="20"/>
  <c r="V62" i="20"/>
  <c r="V109" i="20"/>
  <c r="V132" i="20"/>
  <c r="V78" i="20"/>
  <c r="V94" i="20"/>
  <c r="V77" i="20"/>
  <c r="V110" i="20"/>
  <c r="V93" i="20"/>
  <c r="P130" i="19"/>
  <c r="P126" i="19"/>
  <c r="P122" i="19"/>
  <c r="P118" i="19"/>
  <c r="P114" i="19"/>
  <c r="P110" i="19"/>
  <c r="P106" i="19"/>
  <c r="P102" i="19"/>
  <c r="P98" i="19"/>
  <c r="P94" i="19"/>
  <c r="P90" i="19"/>
  <c r="P86" i="19"/>
  <c r="P82" i="19"/>
  <c r="P78" i="19"/>
  <c r="P74" i="19"/>
  <c r="P70" i="19"/>
  <c r="P66" i="19"/>
  <c r="P62" i="19"/>
  <c r="P121" i="19"/>
  <c r="P112" i="19"/>
  <c r="P107" i="19"/>
  <c r="P93" i="19"/>
  <c r="P77" i="19"/>
  <c r="P61" i="19"/>
  <c r="P117" i="19"/>
  <c r="P108" i="19"/>
  <c r="P103" i="19"/>
  <c r="P96" i="19"/>
  <c r="P95" i="19"/>
  <c r="P80" i="19"/>
  <c r="P79" i="19"/>
  <c r="P64" i="19"/>
  <c r="P63" i="19"/>
  <c r="P58" i="19"/>
  <c r="P54" i="19"/>
  <c r="P50" i="19"/>
  <c r="P46" i="19"/>
  <c r="P42" i="19"/>
  <c r="P38" i="19"/>
  <c r="P34" i="19"/>
  <c r="P30" i="19"/>
  <c r="P26" i="19"/>
  <c r="P22" i="19"/>
  <c r="P18" i="19"/>
  <c r="P14" i="19"/>
  <c r="P10" i="19"/>
  <c r="P131" i="19"/>
  <c r="P113" i="19"/>
  <c r="P104" i="19"/>
  <c r="P97" i="19"/>
  <c r="P132" i="19"/>
  <c r="P127" i="19"/>
  <c r="P109" i="19"/>
  <c r="P100" i="19"/>
  <c r="P99" i="19"/>
  <c r="P84" i="19"/>
  <c r="P83" i="19"/>
  <c r="P68" i="19"/>
  <c r="P67" i="19"/>
  <c r="P57" i="19"/>
  <c r="P53" i="19"/>
  <c r="P49" i="19"/>
  <c r="P45" i="19"/>
  <c r="P41" i="19"/>
  <c r="P37" i="19"/>
  <c r="P33" i="19"/>
  <c r="P128" i="19"/>
  <c r="P123" i="19"/>
  <c r="P105" i="19"/>
  <c r="P85" i="19"/>
  <c r="P69" i="19"/>
  <c r="P124" i="19"/>
  <c r="P119" i="19"/>
  <c r="P101" i="19"/>
  <c r="P88" i="19"/>
  <c r="P87" i="19"/>
  <c r="P72" i="19"/>
  <c r="P71" i="19"/>
  <c r="P56" i="19"/>
  <c r="P52" i="19"/>
  <c r="P48" i="19"/>
  <c r="P44" i="19"/>
  <c r="P40" i="19"/>
  <c r="P36" i="19"/>
  <c r="P32" i="19"/>
  <c r="P28" i="19"/>
  <c r="P24" i="19"/>
  <c r="P20" i="19"/>
  <c r="P16" i="19"/>
  <c r="P12" i="19"/>
  <c r="P8" i="19"/>
  <c r="P129" i="19"/>
  <c r="P120" i="19"/>
  <c r="P115" i="19"/>
  <c r="P81" i="19"/>
  <c r="P35" i="19"/>
  <c r="P31" i="19"/>
  <c r="P27" i="19"/>
  <c r="P13" i="19"/>
  <c r="P92" i="19"/>
  <c r="P89" i="19"/>
  <c r="P75" i="19"/>
  <c r="P39" i="19"/>
  <c r="P23" i="19"/>
  <c r="P9" i="19"/>
  <c r="P43" i="19"/>
  <c r="P19" i="19"/>
  <c r="P60" i="19"/>
  <c r="P47" i="19"/>
  <c r="P15" i="19"/>
  <c r="P91" i="19"/>
  <c r="P51" i="19"/>
  <c r="P29" i="19"/>
  <c r="P11" i="19"/>
  <c r="P125" i="19"/>
  <c r="P65" i="19"/>
  <c r="P55" i="19"/>
  <c r="P25" i="19"/>
  <c r="P7" i="19"/>
  <c r="P76" i="19"/>
  <c r="P73" i="19"/>
  <c r="P59" i="19"/>
  <c r="P21" i="19"/>
  <c r="P116" i="19"/>
  <c r="P111" i="19"/>
  <c r="P17" i="19"/>
  <c r="Q131" i="24"/>
  <c r="Q127" i="24"/>
  <c r="Q123" i="24"/>
  <c r="Q119" i="24"/>
  <c r="Q115" i="24"/>
  <c r="Q111" i="24"/>
  <c r="Q107" i="24"/>
  <c r="Q103" i="24"/>
  <c r="Q99" i="24"/>
  <c r="Q95" i="24"/>
  <c r="Q91" i="24"/>
  <c r="Q87" i="24"/>
  <c r="Q83" i="24"/>
  <c r="Q83" i="12" s="1"/>
  <c r="Q79" i="24"/>
  <c r="Q122" i="24"/>
  <c r="Q106" i="24"/>
  <c r="Q90" i="24"/>
  <c r="Q75" i="24"/>
  <c r="Q71" i="24"/>
  <c r="Q67" i="24"/>
  <c r="Q63" i="24"/>
  <c r="Q59" i="24"/>
  <c r="Q59" i="12" s="1"/>
  <c r="Q55" i="24"/>
  <c r="Q51" i="24"/>
  <c r="Q47" i="24"/>
  <c r="Q43" i="24"/>
  <c r="Q39" i="24"/>
  <c r="Q35" i="24"/>
  <c r="Q31" i="24"/>
  <c r="Q27" i="24"/>
  <c r="Q23" i="24"/>
  <c r="Q19" i="24"/>
  <c r="Q15" i="24"/>
  <c r="Q11" i="24"/>
  <c r="Q7" i="24"/>
  <c r="Q125" i="24"/>
  <c r="Q125" i="12" s="1"/>
  <c r="Q124" i="24"/>
  <c r="Q109" i="24"/>
  <c r="Q108" i="24"/>
  <c r="Q93" i="24"/>
  <c r="Q92" i="24"/>
  <c r="Q54" i="24"/>
  <c r="Q50" i="24"/>
  <c r="Q46" i="24"/>
  <c r="Q42" i="24"/>
  <c r="Q38" i="24"/>
  <c r="Q30" i="24"/>
  <c r="Q26" i="24"/>
  <c r="Q22" i="24"/>
  <c r="Q14" i="24"/>
  <c r="Q24" i="24"/>
  <c r="Q16" i="24"/>
  <c r="Q126" i="24"/>
  <c r="Q126" i="12" s="1"/>
  <c r="Q110" i="24"/>
  <c r="Q94" i="24"/>
  <c r="Q78" i="24"/>
  <c r="Q74" i="24"/>
  <c r="Q70" i="24"/>
  <c r="Q66" i="24"/>
  <c r="Q62" i="24"/>
  <c r="Q58" i="24"/>
  <c r="Q58" i="12" s="1"/>
  <c r="Q34" i="24"/>
  <c r="Q18" i="24"/>
  <c r="Q10" i="24"/>
  <c r="Q129" i="24"/>
  <c r="Q128" i="24"/>
  <c r="Q113" i="24"/>
  <c r="Q112" i="24"/>
  <c r="Q97" i="24"/>
  <c r="Q96" i="24"/>
  <c r="Q81" i="24"/>
  <c r="Q80" i="24"/>
  <c r="Q72" i="24"/>
  <c r="Q72" i="12" s="1"/>
  <c r="Q56" i="24"/>
  <c r="Q52" i="24"/>
  <c r="Q130" i="24"/>
  <c r="Q130" i="12" s="1"/>
  <c r="Q114" i="24"/>
  <c r="Q98" i="24"/>
  <c r="Q82" i="24"/>
  <c r="Q77" i="24"/>
  <c r="Q73" i="24"/>
  <c r="Q69" i="24"/>
  <c r="Q65" i="24"/>
  <c r="Q61" i="24"/>
  <c r="Q61" i="12" s="1"/>
  <c r="Q57" i="24"/>
  <c r="Q53" i="24"/>
  <c r="Q49" i="24"/>
  <c r="Q45" i="24"/>
  <c r="Q41" i="24"/>
  <c r="Q37" i="24"/>
  <c r="Q33" i="24"/>
  <c r="Q29" i="24"/>
  <c r="Q25" i="24"/>
  <c r="Q21" i="24"/>
  <c r="Q21" i="12" s="1"/>
  <c r="Q17" i="24"/>
  <c r="Q13" i="24"/>
  <c r="Q9" i="24"/>
  <c r="Q9" i="12" s="1"/>
  <c r="Q76" i="24"/>
  <c r="Q68" i="24"/>
  <c r="Q20" i="24"/>
  <c r="Q12" i="24"/>
  <c r="Q132" i="24"/>
  <c r="Q117" i="24"/>
  <c r="Q116" i="24"/>
  <c r="Q116" i="12" s="1"/>
  <c r="Q101" i="24"/>
  <c r="Q100" i="24"/>
  <c r="Q85" i="24"/>
  <c r="Q85" i="12" s="1"/>
  <c r="Q84" i="24"/>
  <c r="Q84" i="12" s="1"/>
  <c r="Q118" i="24"/>
  <c r="Q118" i="12" s="1"/>
  <c r="Q86" i="24"/>
  <c r="Q86" i="12" s="1"/>
  <c r="Q64" i="24"/>
  <c r="Q60" i="24"/>
  <c r="Q44" i="24"/>
  <c r="Q40" i="24"/>
  <c r="Q40" i="12" s="1"/>
  <c r="Q32" i="24"/>
  <c r="Q28" i="24"/>
  <c r="Q28" i="12" s="1"/>
  <c r="Q102" i="24"/>
  <c r="Q48" i="24"/>
  <c r="Q36" i="24"/>
  <c r="Q8" i="24"/>
  <c r="Q89" i="24"/>
  <c r="Q105" i="24"/>
  <c r="Q88" i="24"/>
  <c r="Q121" i="24"/>
  <c r="Q104" i="24"/>
  <c r="Q104" i="12" s="1"/>
  <c r="Q120" i="24"/>
  <c r="R129" i="20"/>
  <c r="R125" i="20"/>
  <c r="R121" i="20"/>
  <c r="R117" i="20"/>
  <c r="R131" i="20"/>
  <c r="R122" i="20"/>
  <c r="R106" i="20"/>
  <c r="R105" i="20"/>
  <c r="R90" i="20"/>
  <c r="R89" i="20"/>
  <c r="R74" i="20"/>
  <c r="R73" i="20"/>
  <c r="R58" i="20"/>
  <c r="R57" i="20"/>
  <c r="R53" i="20"/>
  <c r="R49" i="20"/>
  <c r="R45" i="20"/>
  <c r="R41" i="20"/>
  <c r="R37" i="20"/>
  <c r="R33" i="20"/>
  <c r="R29" i="20"/>
  <c r="R25" i="20"/>
  <c r="R21" i="20"/>
  <c r="R17" i="20"/>
  <c r="R13" i="20"/>
  <c r="R9" i="20"/>
  <c r="R132" i="20"/>
  <c r="R127" i="20"/>
  <c r="R118" i="20"/>
  <c r="R108" i="20"/>
  <c r="R107" i="20"/>
  <c r="R92" i="20"/>
  <c r="R91" i="20"/>
  <c r="R76" i="20"/>
  <c r="R75" i="20"/>
  <c r="R128" i="20"/>
  <c r="R123" i="20"/>
  <c r="R110" i="20"/>
  <c r="R109" i="20"/>
  <c r="R94" i="20"/>
  <c r="R93" i="20"/>
  <c r="R78" i="20"/>
  <c r="R77" i="20"/>
  <c r="R62" i="20"/>
  <c r="R61" i="20"/>
  <c r="R56" i="20"/>
  <c r="R52" i="20"/>
  <c r="R48" i="20"/>
  <c r="R44" i="20"/>
  <c r="R40" i="20"/>
  <c r="R36" i="20"/>
  <c r="R32" i="20"/>
  <c r="R28" i="20"/>
  <c r="R24" i="20"/>
  <c r="R20" i="20"/>
  <c r="R16" i="20"/>
  <c r="R12" i="20"/>
  <c r="R8" i="20"/>
  <c r="R124" i="20"/>
  <c r="R119" i="20"/>
  <c r="R112" i="20"/>
  <c r="R111" i="20"/>
  <c r="R96" i="20"/>
  <c r="R95" i="20"/>
  <c r="R80" i="20"/>
  <c r="R79" i="20"/>
  <c r="R64" i="20"/>
  <c r="R63" i="20"/>
  <c r="R120" i="20"/>
  <c r="R114" i="20"/>
  <c r="R113" i="20"/>
  <c r="R98" i="20"/>
  <c r="R97" i="20"/>
  <c r="R82" i="20"/>
  <c r="R81" i="20"/>
  <c r="R66" i="20"/>
  <c r="R65" i="20"/>
  <c r="R55" i="20"/>
  <c r="R51" i="20"/>
  <c r="R47" i="20"/>
  <c r="R43" i="20"/>
  <c r="R39" i="20"/>
  <c r="R35" i="20"/>
  <c r="R31" i="20"/>
  <c r="R27" i="20"/>
  <c r="R23" i="20"/>
  <c r="R19" i="20"/>
  <c r="R15" i="20"/>
  <c r="R11" i="20"/>
  <c r="R7" i="20"/>
  <c r="R116" i="20"/>
  <c r="R115" i="20"/>
  <c r="R100" i="20"/>
  <c r="R99" i="20"/>
  <c r="R84" i="20"/>
  <c r="R83" i="20"/>
  <c r="R68" i="20"/>
  <c r="R67" i="20"/>
  <c r="R130" i="20"/>
  <c r="R102" i="20"/>
  <c r="R101" i="20"/>
  <c r="R86" i="20"/>
  <c r="R85" i="20"/>
  <c r="R70" i="20"/>
  <c r="R69" i="20"/>
  <c r="R54" i="20"/>
  <c r="R50" i="20"/>
  <c r="R46" i="20"/>
  <c r="R42" i="20"/>
  <c r="R38" i="20"/>
  <c r="R34" i="20"/>
  <c r="R30" i="20"/>
  <c r="R26" i="20"/>
  <c r="R22" i="20"/>
  <c r="R18" i="20"/>
  <c r="R14" i="20"/>
  <c r="R10" i="20"/>
  <c r="R126" i="20"/>
  <c r="R72" i="20"/>
  <c r="R88" i="20"/>
  <c r="R71" i="20"/>
  <c r="R104" i="20"/>
  <c r="R87" i="20"/>
  <c r="R60" i="20"/>
  <c r="R103" i="20"/>
  <c r="R59" i="20"/>
  <c r="R131" i="15"/>
  <c r="R127" i="15"/>
  <c r="R123" i="15"/>
  <c r="R132" i="15"/>
  <c r="R117" i="15"/>
  <c r="R113" i="15"/>
  <c r="R109" i="15"/>
  <c r="R105" i="15"/>
  <c r="R101" i="15"/>
  <c r="R97" i="15"/>
  <c r="R93" i="15"/>
  <c r="R121" i="15"/>
  <c r="R120" i="15"/>
  <c r="R116" i="15"/>
  <c r="R112" i="15"/>
  <c r="R108" i="15"/>
  <c r="R104" i="15"/>
  <c r="R100" i="15"/>
  <c r="R96" i="15"/>
  <c r="R92" i="15"/>
  <c r="R88" i="15"/>
  <c r="R84" i="15"/>
  <c r="R80" i="15"/>
  <c r="R76" i="15"/>
  <c r="R72" i="15"/>
  <c r="R68" i="15"/>
  <c r="R64" i="15"/>
  <c r="R60" i="15"/>
  <c r="R56" i="15"/>
  <c r="R52" i="15"/>
  <c r="R48" i="15"/>
  <c r="R44" i="15"/>
  <c r="R40" i="15"/>
  <c r="R36" i="15"/>
  <c r="R32" i="15"/>
  <c r="R28" i="15"/>
  <c r="R24" i="15"/>
  <c r="R20" i="15"/>
  <c r="R16" i="15"/>
  <c r="R12" i="15"/>
  <c r="R8" i="15"/>
  <c r="R122" i="15"/>
  <c r="R125" i="15"/>
  <c r="R124" i="15"/>
  <c r="R119" i="15"/>
  <c r="R115" i="15"/>
  <c r="R111" i="15"/>
  <c r="R107" i="15"/>
  <c r="R103" i="15"/>
  <c r="R99" i="15"/>
  <c r="R95" i="15"/>
  <c r="R126" i="15"/>
  <c r="R129" i="15"/>
  <c r="R128" i="15"/>
  <c r="R118" i="15"/>
  <c r="R114" i="15"/>
  <c r="R110" i="15"/>
  <c r="R106" i="15"/>
  <c r="R102" i="15"/>
  <c r="R98" i="15"/>
  <c r="R94" i="15"/>
  <c r="R90" i="15"/>
  <c r="R86" i="15"/>
  <c r="R82" i="15"/>
  <c r="R78" i="15"/>
  <c r="R74" i="15"/>
  <c r="R70" i="15"/>
  <c r="R66" i="15"/>
  <c r="R62" i="15"/>
  <c r="R58" i="15"/>
  <c r="R54" i="15"/>
  <c r="R50" i="15"/>
  <c r="R46" i="15"/>
  <c r="R42" i="15"/>
  <c r="R38" i="15"/>
  <c r="R34" i="15"/>
  <c r="R30" i="15"/>
  <c r="R26" i="15"/>
  <c r="R22" i="15"/>
  <c r="R18" i="15"/>
  <c r="R14" i="15"/>
  <c r="R10" i="15"/>
  <c r="R85" i="15"/>
  <c r="R77" i="15"/>
  <c r="R69" i="15"/>
  <c r="R61" i="15"/>
  <c r="R53" i="15"/>
  <c r="R45" i="15"/>
  <c r="R37" i="15"/>
  <c r="R29" i="15"/>
  <c r="R21" i="15"/>
  <c r="R13" i="15"/>
  <c r="R91" i="15"/>
  <c r="R83" i="15"/>
  <c r="R75" i="15"/>
  <c r="R67" i="15"/>
  <c r="R59" i="15"/>
  <c r="R51" i="15"/>
  <c r="R43" i="15"/>
  <c r="R35" i="15"/>
  <c r="R27" i="15"/>
  <c r="R19" i="15"/>
  <c r="R11" i="15"/>
  <c r="R130" i="15"/>
  <c r="R89" i="15"/>
  <c r="R81" i="15"/>
  <c r="R73" i="15"/>
  <c r="R65" i="15"/>
  <c r="R57" i="15"/>
  <c r="R49" i="15"/>
  <c r="R41" i="15"/>
  <c r="R33" i="15"/>
  <c r="R25" i="15"/>
  <c r="R17" i="15"/>
  <c r="R9" i="15"/>
  <c r="R87" i="15"/>
  <c r="R79" i="15"/>
  <c r="R71" i="15"/>
  <c r="R63" i="15"/>
  <c r="R55" i="15"/>
  <c r="R47" i="15"/>
  <c r="R39" i="15"/>
  <c r="R31" i="15"/>
  <c r="R23" i="15"/>
  <c r="R15" i="15"/>
  <c r="R7" i="15"/>
  <c r="T128" i="14"/>
  <c r="T124" i="14"/>
  <c r="T118" i="14"/>
  <c r="T114" i="14"/>
  <c r="T110" i="14"/>
  <c r="T106" i="14"/>
  <c r="T102" i="14"/>
  <c r="T98" i="14"/>
  <c r="T94" i="14"/>
  <c r="T90" i="14"/>
  <c r="T86" i="14"/>
  <c r="T82" i="14"/>
  <c r="T78" i="14"/>
  <c r="T123" i="14"/>
  <c r="T132" i="14"/>
  <c r="T122" i="14"/>
  <c r="T121" i="14"/>
  <c r="T117" i="14"/>
  <c r="T113" i="14"/>
  <c r="T109" i="14"/>
  <c r="T105" i="14"/>
  <c r="T101" i="14"/>
  <c r="T97" i="14"/>
  <c r="T93" i="14"/>
  <c r="T89" i="14"/>
  <c r="T85" i="14"/>
  <c r="T129" i="14"/>
  <c r="T120" i="14"/>
  <c r="T112" i="14"/>
  <c r="T104" i="14"/>
  <c r="T96" i="14"/>
  <c r="T88" i="14"/>
  <c r="T65" i="14"/>
  <c r="T64" i="14"/>
  <c r="T49" i="14"/>
  <c r="T48" i="14"/>
  <c r="T127" i="14"/>
  <c r="T115" i="14"/>
  <c r="T107" i="14"/>
  <c r="T99" i="14"/>
  <c r="T91" i="14"/>
  <c r="T83" i="14"/>
  <c r="T67" i="14"/>
  <c r="T66" i="14"/>
  <c r="T51" i="14"/>
  <c r="T50" i="14"/>
  <c r="T36" i="14"/>
  <c r="T32" i="14"/>
  <c r="T28" i="14"/>
  <c r="T71" i="14"/>
  <c r="T70" i="14"/>
  <c r="T55" i="14"/>
  <c r="T54" i="14"/>
  <c r="T39" i="14"/>
  <c r="T35" i="14"/>
  <c r="T31" i="14"/>
  <c r="T27" i="14"/>
  <c r="T23" i="14"/>
  <c r="T19" i="14"/>
  <c r="T15" i="14"/>
  <c r="T11" i="14"/>
  <c r="T7" i="14"/>
  <c r="T92" i="14"/>
  <c r="T87" i="14"/>
  <c r="T80" i="14"/>
  <c r="T59" i="14"/>
  <c r="T42" i="14"/>
  <c r="T24" i="14"/>
  <c r="T8" i="14"/>
  <c r="T126" i="14"/>
  <c r="T84" i="14"/>
  <c r="T76" i="14"/>
  <c r="T69" i="14"/>
  <c r="T57" i="14"/>
  <c r="T52" i="14"/>
  <c r="T47" i="14"/>
  <c r="T40" i="14"/>
  <c r="T26" i="14"/>
  <c r="T25" i="14"/>
  <c r="T10" i="14"/>
  <c r="T9" i="14"/>
  <c r="T74" i="14"/>
  <c r="T45" i="14"/>
  <c r="T12" i="14"/>
  <c r="T131" i="14"/>
  <c r="T125" i="14"/>
  <c r="T72" i="14"/>
  <c r="T62" i="14"/>
  <c r="T43" i="14"/>
  <c r="T37" i="14"/>
  <c r="T14" i="14"/>
  <c r="T13" i="14"/>
  <c r="T119" i="14"/>
  <c r="T81" i="14"/>
  <c r="T79" i="14"/>
  <c r="T77" i="14"/>
  <c r="T60" i="14"/>
  <c r="T53" i="14"/>
  <c r="T41" i="14"/>
  <c r="T38" i="14"/>
  <c r="T33" i="14"/>
  <c r="T16" i="14"/>
  <c r="T130" i="14"/>
  <c r="T116" i="14"/>
  <c r="T111" i="14"/>
  <c r="T75" i="14"/>
  <c r="T58" i="14"/>
  <c r="T34" i="14"/>
  <c r="T29" i="14"/>
  <c r="T18" i="14"/>
  <c r="T17" i="14"/>
  <c r="T108" i="14"/>
  <c r="T103" i="14"/>
  <c r="T73" i="14"/>
  <c r="T68" i="14"/>
  <c r="T63" i="14"/>
  <c r="T56" i="14"/>
  <c r="T46" i="14"/>
  <c r="T30" i="14"/>
  <c r="T20" i="14"/>
  <c r="T44" i="14"/>
  <c r="T22" i="14"/>
  <c r="T21" i="14"/>
  <c r="T100" i="14"/>
  <c r="T95" i="14"/>
  <c r="T61" i="14"/>
  <c r="U132" i="3"/>
  <c r="U128" i="3"/>
  <c r="U124" i="3"/>
  <c r="U120" i="3"/>
  <c r="U116" i="3"/>
  <c r="U112" i="3"/>
  <c r="U108" i="3"/>
  <c r="U104" i="3"/>
  <c r="U130" i="3"/>
  <c r="U126" i="3"/>
  <c r="U122" i="3"/>
  <c r="U118" i="3"/>
  <c r="U114" i="3"/>
  <c r="U110" i="3"/>
  <c r="U106" i="3"/>
  <c r="U119" i="3"/>
  <c r="U103" i="3"/>
  <c r="U123" i="3"/>
  <c r="U107" i="3"/>
  <c r="U127" i="3"/>
  <c r="U111" i="3"/>
  <c r="U96" i="3"/>
  <c r="U91" i="3"/>
  <c r="U82" i="3"/>
  <c r="U73" i="3"/>
  <c r="U60" i="3"/>
  <c r="U59" i="3"/>
  <c r="U52" i="3"/>
  <c r="U41" i="3"/>
  <c r="U121" i="3"/>
  <c r="U109" i="3"/>
  <c r="U101" i="3"/>
  <c r="U92" i="3"/>
  <c r="U87" i="3"/>
  <c r="U78" i="3"/>
  <c r="U62" i="3"/>
  <c r="U61" i="3"/>
  <c r="U51" i="3"/>
  <c r="U50" i="3"/>
  <c r="U40" i="3"/>
  <c r="U36" i="3"/>
  <c r="U32" i="3"/>
  <c r="U28" i="3"/>
  <c r="U24" i="3"/>
  <c r="U20" i="3"/>
  <c r="U16" i="3"/>
  <c r="U12" i="3"/>
  <c r="U8" i="3"/>
  <c r="U131" i="3"/>
  <c r="U97" i="3"/>
  <c r="U88" i="3"/>
  <c r="U83" i="3"/>
  <c r="U74" i="3"/>
  <c r="U64" i="3"/>
  <c r="U63" i="3"/>
  <c r="U49" i="3"/>
  <c r="U100" i="3"/>
  <c r="U66" i="3"/>
  <c r="U56" i="3"/>
  <c r="U53" i="3"/>
  <c r="U47" i="3"/>
  <c r="U115" i="3"/>
  <c r="U79" i="3"/>
  <c r="U75" i="3"/>
  <c r="U117" i="3"/>
  <c r="U69" i="3"/>
  <c r="U45" i="3"/>
  <c r="U35" i="3"/>
  <c r="U34" i="3"/>
  <c r="U33" i="3"/>
  <c r="U19" i="3"/>
  <c r="U18" i="3"/>
  <c r="U17" i="3"/>
  <c r="U125" i="3"/>
  <c r="U99" i="3"/>
  <c r="U95" i="3"/>
  <c r="U67" i="3"/>
  <c r="U57" i="3"/>
  <c r="U42" i="3"/>
  <c r="U84" i="3"/>
  <c r="U80" i="3"/>
  <c r="U76" i="3"/>
  <c r="U72" i="3"/>
  <c r="U65" i="3"/>
  <c r="U55" i="3"/>
  <c r="U46" i="3"/>
  <c r="U39" i="3"/>
  <c r="U38" i="3"/>
  <c r="U37" i="3"/>
  <c r="U23" i="3"/>
  <c r="U22" i="3"/>
  <c r="U21" i="3"/>
  <c r="U7" i="3"/>
  <c r="U85" i="3"/>
  <c r="U26" i="3"/>
  <c r="U11" i="3"/>
  <c r="U9" i="3"/>
  <c r="U129" i="3"/>
  <c r="U90" i="3"/>
  <c r="U44" i="3"/>
  <c r="U30" i="3"/>
  <c r="U15" i="3"/>
  <c r="U13" i="3"/>
  <c r="U113" i="3"/>
  <c r="U105" i="3"/>
  <c r="U94" i="3"/>
  <c r="U102" i="3"/>
  <c r="U54" i="3"/>
  <c r="U58" i="3"/>
  <c r="U29" i="3"/>
  <c r="U98" i="3"/>
  <c r="U89" i="3"/>
  <c r="U81" i="3"/>
  <c r="U48" i="3"/>
  <c r="U43" i="3"/>
  <c r="U25" i="3"/>
  <c r="U71" i="3"/>
  <c r="U70" i="3"/>
  <c r="U31" i="3"/>
  <c r="U14" i="3"/>
  <c r="U77" i="3"/>
  <c r="U27" i="3"/>
  <c r="U10" i="3"/>
  <c r="U68" i="3"/>
  <c r="U93" i="3"/>
  <c r="U86" i="3"/>
  <c r="W132" i="7"/>
  <c r="BA132" i="7" s="1"/>
  <c r="W128" i="7"/>
  <c r="BA128" i="7" s="1"/>
  <c r="W124" i="7"/>
  <c r="BA124" i="7" s="1"/>
  <c r="W120" i="7"/>
  <c r="BA120" i="7" s="1"/>
  <c r="W116" i="7"/>
  <c r="BA116" i="7" s="1"/>
  <c r="W112" i="7"/>
  <c r="BA112" i="7" s="1"/>
  <c r="W108" i="7"/>
  <c r="BA108" i="7" s="1"/>
  <c r="W104" i="7"/>
  <c r="BA104" i="7" s="1"/>
  <c r="W100" i="7"/>
  <c r="BA100" i="7" s="1"/>
  <c r="W96" i="7"/>
  <c r="BA96" i="7" s="1"/>
  <c r="W92" i="7"/>
  <c r="BA92" i="7" s="1"/>
  <c r="W88" i="7"/>
  <c r="BA88" i="7" s="1"/>
  <c r="W84" i="7"/>
  <c r="BA84" i="7" s="1"/>
  <c r="W80" i="7"/>
  <c r="BA80" i="7" s="1"/>
  <c r="W76" i="7"/>
  <c r="BA76" i="7" s="1"/>
  <c r="W131" i="7"/>
  <c r="BA131" i="7" s="1"/>
  <c r="W121" i="7"/>
  <c r="BA121" i="7" s="1"/>
  <c r="W110" i="7"/>
  <c r="BA110" i="7" s="1"/>
  <c r="W99" i="7"/>
  <c r="BA99" i="7" s="1"/>
  <c r="W89" i="7"/>
  <c r="BA89" i="7" s="1"/>
  <c r="W130" i="7"/>
  <c r="BA130" i="7" s="1"/>
  <c r="W119" i="7"/>
  <c r="BA119" i="7" s="1"/>
  <c r="W109" i="7"/>
  <c r="BA109" i="7" s="1"/>
  <c r="W98" i="7"/>
  <c r="BA98" i="7" s="1"/>
  <c r="W87" i="7"/>
  <c r="BA87" i="7" s="1"/>
  <c r="W129" i="7"/>
  <c r="BA129" i="7" s="1"/>
  <c r="W118" i="7"/>
  <c r="BA118" i="7" s="1"/>
  <c r="W107" i="7"/>
  <c r="BA107" i="7" s="1"/>
  <c r="W97" i="7"/>
  <c r="BA97" i="7" s="1"/>
  <c r="W86" i="7"/>
  <c r="BA86" i="7" s="1"/>
  <c r="W127" i="7"/>
  <c r="BA127" i="7" s="1"/>
  <c r="W117" i="7"/>
  <c r="BA117" i="7" s="1"/>
  <c r="W106" i="7"/>
  <c r="BA106" i="7" s="1"/>
  <c r="W113" i="7"/>
  <c r="BA113" i="7" s="1"/>
  <c r="W95" i="7"/>
  <c r="BA95" i="7" s="1"/>
  <c r="W74" i="7"/>
  <c r="BA74" i="7" s="1"/>
  <c r="W122" i="7"/>
  <c r="BA122" i="7" s="1"/>
  <c r="W111" i="7"/>
  <c r="BA111" i="7" s="1"/>
  <c r="W101" i="7"/>
  <c r="BA101" i="7" s="1"/>
  <c r="W73" i="7"/>
  <c r="BA73" i="7" s="1"/>
  <c r="W69" i="7"/>
  <c r="BA69" i="7" s="1"/>
  <c r="W65" i="7"/>
  <c r="BA65" i="7" s="1"/>
  <c r="W61" i="7"/>
  <c r="BA61" i="7" s="1"/>
  <c r="W57" i="7"/>
  <c r="BA57" i="7" s="1"/>
  <c r="W53" i="7"/>
  <c r="BA53" i="7" s="1"/>
  <c r="W49" i="7"/>
  <c r="BA49" i="7" s="1"/>
  <c r="W45" i="7"/>
  <c r="BA45" i="7" s="1"/>
  <c r="W41" i="7"/>
  <c r="BA41" i="7" s="1"/>
  <c r="W37" i="7"/>
  <c r="BA37" i="7" s="1"/>
  <c r="W33" i="7"/>
  <c r="BA33" i="7" s="1"/>
  <c r="W125" i="7"/>
  <c r="BA125" i="7" s="1"/>
  <c r="W114" i="7"/>
  <c r="BA114" i="7" s="1"/>
  <c r="W102" i="7"/>
  <c r="BA102" i="7" s="1"/>
  <c r="W83" i="7"/>
  <c r="BA83" i="7" s="1"/>
  <c r="W82" i="7"/>
  <c r="BA82" i="7" s="1"/>
  <c r="W81" i="7"/>
  <c r="BA81" i="7" s="1"/>
  <c r="W72" i="7"/>
  <c r="BA72" i="7" s="1"/>
  <c r="W68" i="7"/>
  <c r="BA68" i="7" s="1"/>
  <c r="W64" i="7"/>
  <c r="BA64" i="7" s="1"/>
  <c r="W60" i="7"/>
  <c r="BA60" i="7" s="1"/>
  <c r="W56" i="7"/>
  <c r="BA56" i="7" s="1"/>
  <c r="W52" i="7"/>
  <c r="BA52" i="7" s="1"/>
  <c r="W48" i="7"/>
  <c r="BA48" i="7" s="1"/>
  <c r="W44" i="7"/>
  <c r="BA44" i="7" s="1"/>
  <c r="W40" i="7"/>
  <c r="BA40" i="7" s="1"/>
  <c r="W36" i="7"/>
  <c r="BA36" i="7" s="1"/>
  <c r="W32" i="7"/>
  <c r="BA32" i="7" s="1"/>
  <c r="W123" i="7"/>
  <c r="BA123" i="7" s="1"/>
  <c r="W93" i="7"/>
  <c r="BA93" i="7" s="1"/>
  <c r="W79" i="7"/>
  <c r="BA79" i="7" s="1"/>
  <c r="W103" i="7"/>
  <c r="BA103" i="7" s="1"/>
  <c r="W90" i="7"/>
  <c r="BA90" i="7" s="1"/>
  <c r="W78" i="7"/>
  <c r="BA78" i="7" s="1"/>
  <c r="W71" i="7"/>
  <c r="BA71" i="7" s="1"/>
  <c r="W67" i="7"/>
  <c r="BA67" i="7" s="1"/>
  <c r="W63" i="7"/>
  <c r="BA63" i="7" s="1"/>
  <c r="W59" i="7"/>
  <c r="BA59" i="7" s="1"/>
  <c r="W55" i="7"/>
  <c r="BA55" i="7" s="1"/>
  <c r="W51" i="7"/>
  <c r="BA51" i="7" s="1"/>
  <c r="W85" i="7"/>
  <c r="BA85" i="7" s="1"/>
  <c r="W70" i="7"/>
  <c r="BA70" i="7" s="1"/>
  <c r="W27" i="7"/>
  <c r="BA27" i="7" s="1"/>
  <c r="W26" i="7"/>
  <c r="BA26" i="7" s="1"/>
  <c r="W11" i="7"/>
  <c r="BA11" i="7" s="1"/>
  <c r="W10" i="7"/>
  <c r="BA10" i="7" s="1"/>
  <c r="W31" i="7"/>
  <c r="BA31" i="7" s="1"/>
  <c r="W30" i="7"/>
  <c r="BA30" i="7" s="1"/>
  <c r="W15" i="7"/>
  <c r="BA15" i="7" s="1"/>
  <c r="W14" i="7"/>
  <c r="BA14" i="7" s="1"/>
  <c r="W126" i="7"/>
  <c r="BA126" i="7" s="1"/>
  <c r="W91" i="7"/>
  <c r="BA91" i="7" s="1"/>
  <c r="W54" i="7"/>
  <c r="BA54" i="7" s="1"/>
  <c r="W19" i="7"/>
  <c r="BA19" i="7" s="1"/>
  <c r="W18" i="7"/>
  <c r="BA18" i="7" s="1"/>
  <c r="W62" i="7"/>
  <c r="BA62" i="7" s="1"/>
  <c r="W43" i="7"/>
  <c r="BA43" i="7" s="1"/>
  <c r="W38" i="7"/>
  <c r="BA38" i="7" s="1"/>
  <c r="W7" i="7"/>
  <c r="W58" i="7"/>
  <c r="BA58" i="7" s="1"/>
  <c r="W35" i="7"/>
  <c r="BA35" i="7" s="1"/>
  <c r="W29" i="7"/>
  <c r="BA29" i="7" s="1"/>
  <c r="W24" i="7"/>
  <c r="BA24" i="7" s="1"/>
  <c r="W17" i="7"/>
  <c r="BA17" i="7" s="1"/>
  <c r="W12" i="7"/>
  <c r="BA12" i="7" s="1"/>
  <c r="W75" i="7"/>
  <c r="BA75" i="7" s="1"/>
  <c r="W22" i="7"/>
  <c r="BA22" i="7" s="1"/>
  <c r="W94" i="7"/>
  <c r="BA94" i="7" s="1"/>
  <c r="W50" i="7"/>
  <c r="BA50" i="7" s="1"/>
  <c r="W46" i="7"/>
  <c r="BA46" i="7" s="1"/>
  <c r="W115" i="7"/>
  <c r="BA115" i="7" s="1"/>
  <c r="W105" i="7"/>
  <c r="BA105" i="7" s="1"/>
  <c r="W8" i="7"/>
  <c r="BA8" i="7" s="1"/>
  <c r="W21" i="7"/>
  <c r="BA21" i="7" s="1"/>
  <c r="W47" i="7"/>
  <c r="BA47" i="7" s="1"/>
  <c r="W39" i="7"/>
  <c r="BA39" i="7" s="1"/>
  <c r="W23" i="7"/>
  <c r="BA23" i="7" s="1"/>
  <c r="W20" i="7"/>
  <c r="BA20" i="7" s="1"/>
  <c r="W34" i="7"/>
  <c r="BA34" i="7" s="1"/>
  <c r="W25" i="7"/>
  <c r="BA25" i="7" s="1"/>
  <c r="W42" i="7"/>
  <c r="BA42" i="7" s="1"/>
  <c r="W16" i="7"/>
  <c r="BA16" i="7" s="1"/>
  <c r="W9" i="7"/>
  <c r="BA9" i="7" s="1"/>
  <c r="W13" i="7"/>
  <c r="BA13" i="7" s="1"/>
  <c r="W77" i="7"/>
  <c r="BA77" i="7" s="1"/>
  <c r="W28" i="7"/>
  <c r="BA28" i="7" s="1"/>
  <c r="W66" i="7"/>
  <c r="BA66" i="7" s="1"/>
  <c r="S130" i="14"/>
  <c r="S126" i="14"/>
  <c r="S122" i="14"/>
  <c r="S129" i="14"/>
  <c r="S120" i="14"/>
  <c r="S116" i="14"/>
  <c r="S112" i="14"/>
  <c r="S108" i="14"/>
  <c r="S104" i="14"/>
  <c r="S100" i="14"/>
  <c r="S96" i="14"/>
  <c r="S92" i="14"/>
  <c r="S88" i="14"/>
  <c r="S84" i="14"/>
  <c r="S80" i="14"/>
  <c r="S76" i="14"/>
  <c r="S72" i="14"/>
  <c r="S68" i="14"/>
  <c r="S64" i="14"/>
  <c r="S60" i="14"/>
  <c r="S56" i="14"/>
  <c r="S52" i="14"/>
  <c r="S48" i="14"/>
  <c r="S44" i="14"/>
  <c r="S40" i="14"/>
  <c r="S125" i="14"/>
  <c r="S124" i="14"/>
  <c r="S118" i="14"/>
  <c r="S114" i="14"/>
  <c r="S110" i="14"/>
  <c r="S106" i="14"/>
  <c r="S102" i="14"/>
  <c r="S98" i="14"/>
  <c r="S94" i="14"/>
  <c r="S90" i="14"/>
  <c r="S86" i="14"/>
  <c r="S82" i="14"/>
  <c r="S78" i="14"/>
  <c r="S74" i="14"/>
  <c r="S70" i="14"/>
  <c r="S66" i="14"/>
  <c r="S62" i="14"/>
  <c r="S58" i="14"/>
  <c r="S54" i="14"/>
  <c r="S50" i="14"/>
  <c r="S46" i="14"/>
  <c r="S42" i="14"/>
  <c r="S123" i="14"/>
  <c r="S131" i="14"/>
  <c r="S63" i="14"/>
  <c r="S47" i="14"/>
  <c r="S37" i="14"/>
  <c r="S33" i="14"/>
  <c r="S29" i="14"/>
  <c r="S25" i="14"/>
  <c r="S21" i="14"/>
  <c r="S17" i="14"/>
  <c r="S13" i="14"/>
  <c r="S9" i="14"/>
  <c r="S65" i="14"/>
  <c r="S49" i="14"/>
  <c r="S132" i="14"/>
  <c r="S121" i="14"/>
  <c r="S113" i="14"/>
  <c r="S105" i="14"/>
  <c r="S97" i="14"/>
  <c r="S89" i="14"/>
  <c r="S79" i="14"/>
  <c r="S69" i="14"/>
  <c r="S53" i="14"/>
  <c r="S95" i="14"/>
  <c r="S71" i="14"/>
  <c r="S61" i="14"/>
  <c r="S31" i="14"/>
  <c r="S23" i="14"/>
  <c r="S22" i="14"/>
  <c r="S7" i="14"/>
  <c r="S115" i="14"/>
  <c r="S87" i="14"/>
  <c r="S59" i="14"/>
  <c r="S36" i="14"/>
  <c r="S24" i="14"/>
  <c r="S8" i="14"/>
  <c r="S107" i="14"/>
  <c r="S57" i="14"/>
  <c r="S32" i="14"/>
  <c r="S27" i="14"/>
  <c r="S26" i="14"/>
  <c r="S11" i="14"/>
  <c r="S10" i="14"/>
  <c r="S128" i="14"/>
  <c r="S117" i="14"/>
  <c r="S99" i="14"/>
  <c r="S67" i="14"/>
  <c r="S55" i="14"/>
  <c r="S45" i="14"/>
  <c r="S28" i="14"/>
  <c r="S12" i="14"/>
  <c r="S109" i="14"/>
  <c r="S91" i="14"/>
  <c r="S43" i="14"/>
  <c r="S15" i="14"/>
  <c r="S14" i="14"/>
  <c r="S119" i="14"/>
  <c r="S101" i="14"/>
  <c r="S83" i="14"/>
  <c r="S81" i="14"/>
  <c r="S77" i="14"/>
  <c r="S41" i="14"/>
  <c r="S38" i="14"/>
  <c r="S16" i="14"/>
  <c r="S127" i="14"/>
  <c r="S111" i="14"/>
  <c r="S93" i="14"/>
  <c r="S75" i="14"/>
  <c r="S51" i="14"/>
  <c r="S39" i="14"/>
  <c r="S34" i="14"/>
  <c r="S19" i="14"/>
  <c r="S18" i="14"/>
  <c r="S85" i="14"/>
  <c r="S103" i="14"/>
  <c r="S30" i="14"/>
  <c r="S20" i="14"/>
  <c r="S35" i="14"/>
  <c r="S73" i="14"/>
  <c r="V121" i="3"/>
  <c r="V120" i="3"/>
  <c r="V105" i="3"/>
  <c r="V104" i="3"/>
  <c r="V102" i="3"/>
  <c r="V98" i="3"/>
  <c r="V94" i="3"/>
  <c r="V90" i="3"/>
  <c r="V86" i="3"/>
  <c r="V82" i="3"/>
  <c r="V78" i="3"/>
  <c r="V74" i="3"/>
  <c r="V70" i="3"/>
  <c r="V66" i="3"/>
  <c r="V62" i="3"/>
  <c r="V58" i="3"/>
  <c r="V54" i="3"/>
  <c r="V50" i="3"/>
  <c r="V46" i="3"/>
  <c r="V42" i="3"/>
  <c r="V125" i="3"/>
  <c r="V124" i="3"/>
  <c r="V109" i="3"/>
  <c r="V108" i="3"/>
  <c r="V101" i="3"/>
  <c r="V97" i="3"/>
  <c r="V93" i="3"/>
  <c r="V89" i="3"/>
  <c r="V85" i="3"/>
  <c r="V81" i="3"/>
  <c r="V77" i="3"/>
  <c r="V73" i="3"/>
  <c r="V129" i="3"/>
  <c r="V128" i="3"/>
  <c r="V113" i="3"/>
  <c r="V112" i="3"/>
  <c r="V100" i="3"/>
  <c r="V96" i="3"/>
  <c r="V92" i="3"/>
  <c r="V88" i="3"/>
  <c r="V84" i="3"/>
  <c r="V80" i="3"/>
  <c r="V76" i="3"/>
  <c r="V72" i="3"/>
  <c r="V68" i="3"/>
  <c r="V64" i="3"/>
  <c r="V60" i="3"/>
  <c r="V56" i="3"/>
  <c r="V116" i="3"/>
  <c r="V87" i="3"/>
  <c r="V61" i="3"/>
  <c r="V51" i="3"/>
  <c r="V40" i="3"/>
  <c r="V131" i="3"/>
  <c r="V126" i="3"/>
  <c r="V114" i="3"/>
  <c r="V83" i="3"/>
  <c r="V63" i="3"/>
  <c r="V49" i="3"/>
  <c r="V119" i="3"/>
  <c r="V107" i="3"/>
  <c r="V79" i="3"/>
  <c r="V65" i="3"/>
  <c r="V48" i="3"/>
  <c r="V39" i="3"/>
  <c r="V35" i="3"/>
  <c r="V31" i="3"/>
  <c r="V27" i="3"/>
  <c r="V23" i="3"/>
  <c r="V19" i="3"/>
  <c r="V15" i="3"/>
  <c r="V11" i="3"/>
  <c r="V7" i="3"/>
  <c r="V115" i="3"/>
  <c r="V75" i="3"/>
  <c r="V44" i="3"/>
  <c r="V30" i="3"/>
  <c r="V29" i="3"/>
  <c r="V28" i="3"/>
  <c r="V14" i="3"/>
  <c r="V13" i="3"/>
  <c r="V12" i="3"/>
  <c r="V118" i="3"/>
  <c r="V71" i="3"/>
  <c r="V99" i="3"/>
  <c r="V95" i="3"/>
  <c r="V91" i="3"/>
  <c r="V67" i="3"/>
  <c r="V57" i="3"/>
  <c r="V122" i="3"/>
  <c r="V106" i="3"/>
  <c r="V103" i="3"/>
  <c r="V55" i="3"/>
  <c r="V38" i="3"/>
  <c r="V37" i="3"/>
  <c r="V36" i="3"/>
  <c r="V22" i="3"/>
  <c r="V21" i="3"/>
  <c r="V20" i="3"/>
  <c r="V130" i="3"/>
  <c r="V127" i="3"/>
  <c r="V111" i="3"/>
  <c r="V52" i="3"/>
  <c r="V123" i="3"/>
  <c r="V69" i="3"/>
  <c r="V53" i="3"/>
  <c r="V47" i="3"/>
  <c r="V41" i="3"/>
  <c r="V43" i="3"/>
  <c r="V25" i="3"/>
  <c r="V10" i="3"/>
  <c r="V8" i="3"/>
  <c r="V45" i="3"/>
  <c r="V117" i="3"/>
  <c r="V59" i="3"/>
  <c r="V33" i="3"/>
  <c r="V26" i="3"/>
  <c r="V16" i="3"/>
  <c r="V9" i="3"/>
  <c r="V132" i="3"/>
  <c r="V32" i="3"/>
  <c r="V110" i="3"/>
  <c r="V18" i="3"/>
  <c r="V34" i="3"/>
  <c r="V24" i="3"/>
  <c r="V17" i="3"/>
  <c r="P129" i="7"/>
  <c r="P118" i="7"/>
  <c r="P108" i="7"/>
  <c r="P107" i="7"/>
  <c r="P97" i="7"/>
  <c r="P86" i="7"/>
  <c r="P128" i="7"/>
  <c r="P127" i="7"/>
  <c r="P117" i="7"/>
  <c r="P106" i="7"/>
  <c r="P96" i="7"/>
  <c r="P95" i="7"/>
  <c r="P85" i="7"/>
  <c r="P126" i="7"/>
  <c r="P116" i="7"/>
  <c r="P115" i="7"/>
  <c r="P105" i="7"/>
  <c r="P94" i="7"/>
  <c r="P84" i="7"/>
  <c r="P125" i="7"/>
  <c r="P114" i="7"/>
  <c r="P132" i="7"/>
  <c r="P121" i="7"/>
  <c r="P110" i="7"/>
  <c r="P103" i="7"/>
  <c r="P90" i="7"/>
  <c r="P83" i="7"/>
  <c r="P82" i="7"/>
  <c r="P73" i="7"/>
  <c r="P69" i="7"/>
  <c r="P65" i="7"/>
  <c r="P61" i="7"/>
  <c r="P57" i="7"/>
  <c r="P53" i="7"/>
  <c r="P49" i="7"/>
  <c r="P45" i="7"/>
  <c r="P41" i="7"/>
  <c r="P37" i="7"/>
  <c r="P33" i="7"/>
  <c r="P29" i="7"/>
  <c r="P25" i="7"/>
  <c r="P21" i="7"/>
  <c r="P17" i="7"/>
  <c r="P13" i="7"/>
  <c r="P9" i="7"/>
  <c r="P130" i="7"/>
  <c r="P119" i="7"/>
  <c r="P87" i="7"/>
  <c r="P81" i="7"/>
  <c r="P122" i="7"/>
  <c r="P111" i="7"/>
  <c r="P104" i="7"/>
  <c r="P78" i="7"/>
  <c r="P131" i="7"/>
  <c r="P101" i="7"/>
  <c r="P88" i="7"/>
  <c r="P77" i="7"/>
  <c r="P71" i="7"/>
  <c r="P67" i="7"/>
  <c r="P63" i="7"/>
  <c r="P59" i="7"/>
  <c r="P55" i="7"/>
  <c r="P51" i="7"/>
  <c r="P47" i="7"/>
  <c r="P43" i="7"/>
  <c r="P39" i="7"/>
  <c r="P35" i="7"/>
  <c r="P31" i="7"/>
  <c r="P27" i="7"/>
  <c r="P23" i="7"/>
  <c r="P19" i="7"/>
  <c r="P15" i="7"/>
  <c r="P11" i="7"/>
  <c r="P7" i="7"/>
  <c r="P120" i="7"/>
  <c r="P109" i="7"/>
  <c r="P98" i="7"/>
  <c r="P92" i="7"/>
  <c r="P76" i="7"/>
  <c r="P75" i="7"/>
  <c r="P80" i="7"/>
  <c r="P62" i="7"/>
  <c r="P60" i="7"/>
  <c r="P46" i="7"/>
  <c r="P38" i="7"/>
  <c r="P32" i="7"/>
  <c r="P16" i="7"/>
  <c r="P123" i="7"/>
  <c r="P70" i="7"/>
  <c r="P68" i="7"/>
  <c r="P44" i="7"/>
  <c r="P36" i="7"/>
  <c r="P20" i="7"/>
  <c r="P42" i="7"/>
  <c r="P34" i="7"/>
  <c r="P24" i="7"/>
  <c r="P8" i="7"/>
  <c r="P91" i="7"/>
  <c r="P66" i="7"/>
  <c r="P56" i="7"/>
  <c r="P30" i="7"/>
  <c r="P18" i="7"/>
  <c r="P52" i="7"/>
  <c r="P28" i="7"/>
  <c r="P102" i="7"/>
  <c r="P72" i="7"/>
  <c r="P26" i="7"/>
  <c r="P50" i="7"/>
  <c r="P14" i="7"/>
  <c r="P93" i="7"/>
  <c r="P54" i="7"/>
  <c r="P124" i="7"/>
  <c r="P113" i="7"/>
  <c r="P48" i="7"/>
  <c r="P40" i="7"/>
  <c r="P112" i="7"/>
  <c r="P100" i="7"/>
  <c r="P89" i="7"/>
  <c r="P64" i="7"/>
  <c r="P58" i="7"/>
  <c r="P10" i="7"/>
  <c r="P79" i="7"/>
  <c r="P22" i="7"/>
  <c r="P74" i="7"/>
  <c r="P12" i="7"/>
  <c r="P99" i="7"/>
  <c r="Q130" i="15"/>
  <c r="Q126" i="15"/>
  <c r="Q122" i="15"/>
  <c r="Q131" i="15"/>
  <c r="Q132" i="15"/>
  <c r="Q117" i="15"/>
  <c r="Q113" i="15"/>
  <c r="Q109" i="15"/>
  <c r="Q105" i="15"/>
  <c r="Q101" i="15"/>
  <c r="Q97" i="15"/>
  <c r="Q93" i="15"/>
  <c r="Q89" i="15"/>
  <c r="Q85" i="15"/>
  <c r="Q81" i="15"/>
  <c r="Q77" i="15"/>
  <c r="Q73" i="15"/>
  <c r="Q69" i="15"/>
  <c r="Q65" i="15"/>
  <c r="Q61" i="15"/>
  <c r="Q57" i="15"/>
  <c r="Q53" i="15"/>
  <c r="Q49" i="15"/>
  <c r="Q45" i="15"/>
  <c r="Q41" i="15"/>
  <c r="Q37" i="15"/>
  <c r="Q33" i="15"/>
  <c r="Q29" i="15"/>
  <c r="Q25" i="15"/>
  <c r="Q21" i="15"/>
  <c r="Q17" i="15"/>
  <c r="Q13" i="15"/>
  <c r="Q9" i="15"/>
  <c r="Q121" i="15"/>
  <c r="Q120" i="15"/>
  <c r="Q116" i="15"/>
  <c r="Q112" i="15"/>
  <c r="Q108" i="15"/>
  <c r="Q104" i="15"/>
  <c r="Q100" i="15"/>
  <c r="Q96" i="15"/>
  <c r="Q92" i="15"/>
  <c r="Q88" i="15"/>
  <c r="Q84" i="15"/>
  <c r="Q80" i="15"/>
  <c r="Q76" i="15"/>
  <c r="Q72" i="15"/>
  <c r="Q68" i="15"/>
  <c r="Q64" i="15"/>
  <c r="Q60" i="15"/>
  <c r="Q56" i="15"/>
  <c r="Q52" i="15"/>
  <c r="Q48" i="15"/>
  <c r="Q44" i="15"/>
  <c r="Q40" i="15"/>
  <c r="Q36" i="15"/>
  <c r="Q32" i="15"/>
  <c r="Q28" i="15"/>
  <c r="Q24" i="15"/>
  <c r="Q20" i="15"/>
  <c r="Q16" i="15"/>
  <c r="Q12" i="15"/>
  <c r="Q8" i="15"/>
  <c r="Q123" i="15"/>
  <c r="Q125" i="15"/>
  <c r="Q124" i="15"/>
  <c r="Q119" i="15"/>
  <c r="Q115" i="15"/>
  <c r="Q111" i="15"/>
  <c r="Q107" i="15"/>
  <c r="Q103" i="15"/>
  <c r="Q99" i="15"/>
  <c r="Q95" i="15"/>
  <c r="Q127" i="15"/>
  <c r="Q110" i="15"/>
  <c r="Q102" i="15"/>
  <c r="Q91" i="15"/>
  <c r="Q83" i="15"/>
  <c r="Q75" i="15"/>
  <c r="Q67" i="15"/>
  <c r="Q59" i="15"/>
  <c r="Q51" i="15"/>
  <c r="Q43" i="15"/>
  <c r="Q35" i="15"/>
  <c r="Q27" i="15"/>
  <c r="Q19" i="15"/>
  <c r="Q11" i="15"/>
  <c r="Q129" i="15"/>
  <c r="Q114" i="15"/>
  <c r="Q86" i="15"/>
  <c r="Q78" i="15"/>
  <c r="Q70" i="15"/>
  <c r="Q62" i="15"/>
  <c r="Q54" i="15"/>
  <c r="Q46" i="15"/>
  <c r="Q38" i="15"/>
  <c r="Q30" i="15"/>
  <c r="Q22" i="15"/>
  <c r="Q14" i="15"/>
  <c r="Q128" i="15"/>
  <c r="Q94" i="15"/>
  <c r="Q106" i="15"/>
  <c r="Q118" i="15"/>
  <c r="Q87" i="15"/>
  <c r="Q79" i="15"/>
  <c r="Q71" i="15"/>
  <c r="Q63" i="15"/>
  <c r="Q55" i="15"/>
  <c r="Q47" i="15"/>
  <c r="Q39" i="15"/>
  <c r="Q31" i="15"/>
  <c r="Q23" i="15"/>
  <c r="Q15" i="15"/>
  <c r="Q7" i="15"/>
  <c r="Q82" i="15"/>
  <c r="Q18" i="15"/>
  <c r="Q98" i="15"/>
  <c r="Q42" i="15"/>
  <c r="Q66" i="15"/>
  <c r="Q90" i="15"/>
  <c r="Q26" i="15"/>
  <c r="Q50" i="15"/>
  <c r="Q74" i="15"/>
  <c r="Q10" i="15"/>
  <c r="Q34" i="15"/>
  <c r="Q58" i="15"/>
  <c r="R129" i="24"/>
  <c r="R125" i="24"/>
  <c r="R121" i="24"/>
  <c r="R117" i="24"/>
  <c r="R113" i="24"/>
  <c r="R109" i="24"/>
  <c r="R105" i="24"/>
  <c r="R101" i="24"/>
  <c r="R97" i="24"/>
  <c r="R93" i="24"/>
  <c r="R89" i="24"/>
  <c r="R85" i="24"/>
  <c r="R81" i="24"/>
  <c r="R124" i="24"/>
  <c r="R123" i="24"/>
  <c r="R108" i="24"/>
  <c r="R107" i="24"/>
  <c r="R92" i="24"/>
  <c r="R91" i="24"/>
  <c r="R126" i="24"/>
  <c r="R110" i="24"/>
  <c r="R94" i="24"/>
  <c r="R78" i="24"/>
  <c r="R74" i="24"/>
  <c r="R70" i="24"/>
  <c r="R66" i="24"/>
  <c r="R62" i="24"/>
  <c r="R58" i="24"/>
  <c r="R54" i="24"/>
  <c r="R50" i="24"/>
  <c r="R46" i="24"/>
  <c r="R42" i="24"/>
  <c r="R38" i="24"/>
  <c r="R34" i="24"/>
  <c r="R30" i="24"/>
  <c r="R26" i="24"/>
  <c r="R22" i="24"/>
  <c r="R18" i="24"/>
  <c r="R14" i="24"/>
  <c r="R10" i="24"/>
  <c r="R128" i="24"/>
  <c r="R127" i="24"/>
  <c r="R112" i="24"/>
  <c r="R111" i="24"/>
  <c r="R96" i="24"/>
  <c r="R95" i="24"/>
  <c r="R80" i="24"/>
  <c r="R79" i="24"/>
  <c r="R130" i="24"/>
  <c r="R114" i="24"/>
  <c r="R98" i="24"/>
  <c r="R82" i="24"/>
  <c r="R77" i="24"/>
  <c r="R73" i="24"/>
  <c r="R69" i="24"/>
  <c r="R65" i="24"/>
  <c r="R61" i="24"/>
  <c r="R57" i="24"/>
  <c r="R53" i="24"/>
  <c r="R49" i="24"/>
  <c r="R45" i="24"/>
  <c r="R41" i="24"/>
  <c r="R37" i="24"/>
  <c r="R33" i="24"/>
  <c r="R29" i="24"/>
  <c r="R25" i="24"/>
  <c r="R21" i="24"/>
  <c r="R17" i="24"/>
  <c r="R13" i="24"/>
  <c r="R9" i="24"/>
  <c r="R87" i="24"/>
  <c r="R132" i="24"/>
  <c r="R131" i="24"/>
  <c r="R116" i="24"/>
  <c r="R115" i="24"/>
  <c r="R100" i="24"/>
  <c r="R99" i="24"/>
  <c r="R84" i="24"/>
  <c r="R83" i="24"/>
  <c r="R103" i="24"/>
  <c r="R118" i="24"/>
  <c r="R102" i="24"/>
  <c r="R86" i="24"/>
  <c r="R76" i="24"/>
  <c r="R72" i="24"/>
  <c r="R68" i="24"/>
  <c r="R64" i="24"/>
  <c r="R60" i="24"/>
  <c r="R56" i="24"/>
  <c r="R52" i="24"/>
  <c r="R48" i="24"/>
  <c r="R44" i="24"/>
  <c r="R40" i="24"/>
  <c r="R36" i="24"/>
  <c r="R32" i="24"/>
  <c r="R28" i="24"/>
  <c r="R24" i="24"/>
  <c r="R20" i="24"/>
  <c r="R16" i="24"/>
  <c r="R12" i="24"/>
  <c r="R8" i="24"/>
  <c r="R120" i="24"/>
  <c r="R104" i="24"/>
  <c r="R119" i="24"/>
  <c r="R88" i="24"/>
  <c r="R106" i="24"/>
  <c r="R67" i="24"/>
  <c r="R35" i="24"/>
  <c r="R122" i="24"/>
  <c r="R47" i="24"/>
  <c r="R15" i="24"/>
  <c r="R59" i="24"/>
  <c r="R27" i="24"/>
  <c r="R71" i="24"/>
  <c r="R39" i="24"/>
  <c r="R7" i="24"/>
  <c r="R51" i="24"/>
  <c r="R19" i="24"/>
  <c r="R63" i="24"/>
  <c r="R31" i="24"/>
  <c r="R90" i="24"/>
  <c r="R55" i="24"/>
  <c r="R23" i="24"/>
  <c r="R75" i="24"/>
  <c r="R43" i="24"/>
  <c r="R11" i="24"/>
  <c r="Q129" i="21"/>
  <c r="Q125" i="21"/>
  <c r="Q121" i="21"/>
  <c r="Q117" i="21"/>
  <c r="Q113" i="21"/>
  <c r="Q109" i="21"/>
  <c r="Q105" i="21"/>
  <c r="Q101" i="21"/>
  <c r="Q97" i="21"/>
  <c r="Q93" i="21"/>
  <c r="Q89" i="21"/>
  <c r="Q85" i="21"/>
  <c r="Q81" i="21"/>
  <c r="Q77" i="21"/>
  <c r="Q73" i="21"/>
  <c r="Q69" i="21"/>
  <c r="Q65" i="21"/>
  <c r="Q61" i="21"/>
  <c r="Q57" i="21"/>
  <c r="Q53" i="21"/>
  <c r="Q49" i="21"/>
  <c r="Q45" i="21"/>
  <c r="Q41" i="21"/>
  <c r="Q37" i="21"/>
  <c r="Q33" i="21"/>
  <c r="Q29" i="21"/>
  <c r="Q25" i="21"/>
  <c r="Q21" i="21"/>
  <c r="Q17" i="21"/>
  <c r="Q13" i="21"/>
  <c r="Q9" i="21"/>
  <c r="Q131" i="21"/>
  <c r="Q116" i="21"/>
  <c r="Q114" i="21"/>
  <c r="Q98" i="21"/>
  <c r="Q90" i="21"/>
  <c r="Q72" i="21"/>
  <c r="Q63" i="21"/>
  <c r="Q58" i="21"/>
  <c r="Q40" i="21"/>
  <c r="Q31" i="21"/>
  <c r="Q26" i="21"/>
  <c r="Q12" i="21"/>
  <c r="Q76" i="21"/>
  <c r="Q120" i="21"/>
  <c r="Q118" i="21"/>
  <c r="Q103" i="21"/>
  <c r="Q86" i="21"/>
  <c r="Q68" i="21"/>
  <c r="Q59" i="21"/>
  <c r="Q54" i="21"/>
  <c r="Q36" i="21"/>
  <c r="Q27" i="21"/>
  <c r="Q22" i="21"/>
  <c r="Q110" i="21"/>
  <c r="Q95" i="21"/>
  <c r="Q62" i="21"/>
  <c r="Q124" i="21"/>
  <c r="Q122" i="21"/>
  <c r="Q107" i="21"/>
  <c r="Q96" i="21"/>
  <c r="Q87" i="21"/>
  <c r="Q82" i="21"/>
  <c r="Q64" i="21"/>
  <c r="Q55" i="21"/>
  <c r="Q50" i="21"/>
  <c r="Q32" i="21"/>
  <c r="Q23" i="21"/>
  <c r="Q18" i="21"/>
  <c r="Q30" i="21"/>
  <c r="Q128" i="21"/>
  <c r="Q126" i="21"/>
  <c r="Q111" i="21"/>
  <c r="Q99" i="21"/>
  <c r="Q91" i="21"/>
  <c r="Q83" i="21"/>
  <c r="Q78" i="21"/>
  <c r="Q60" i="21"/>
  <c r="Q51" i="21"/>
  <c r="Q46" i="21"/>
  <c r="Q28" i="21"/>
  <c r="Q19" i="21"/>
  <c r="Q14" i="21"/>
  <c r="Q112" i="21"/>
  <c r="Q44" i="21"/>
  <c r="Q132" i="21"/>
  <c r="Q130" i="21"/>
  <c r="Q115" i="21"/>
  <c r="Q94" i="21"/>
  <c r="Q88" i="21"/>
  <c r="Q79" i="21"/>
  <c r="Q74" i="21"/>
  <c r="Q56" i="21"/>
  <c r="Q47" i="21"/>
  <c r="Q42" i="21"/>
  <c r="Q24" i="21"/>
  <c r="Q15" i="21"/>
  <c r="Q119" i="21"/>
  <c r="Q104" i="21"/>
  <c r="Q102" i="21"/>
  <c r="Q84" i="21"/>
  <c r="Q75" i="21"/>
  <c r="Q70" i="21"/>
  <c r="Q52" i="21"/>
  <c r="Q43" i="21"/>
  <c r="Q38" i="21"/>
  <c r="Q20" i="21"/>
  <c r="Q7" i="21"/>
  <c r="Q16" i="21"/>
  <c r="Q127" i="21"/>
  <c r="Q123" i="21"/>
  <c r="Q108" i="21"/>
  <c r="Q106" i="21"/>
  <c r="Q100" i="21"/>
  <c r="Q92" i="21"/>
  <c r="Q80" i="21"/>
  <c r="Q71" i="21"/>
  <c r="Q66" i="21"/>
  <c r="Q48" i="21"/>
  <c r="Q39" i="21"/>
  <c r="Q34" i="21"/>
  <c r="Q8" i="21"/>
  <c r="Q67" i="21"/>
  <c r="Q35" i="21"/>
  <c r="Q11" i="21"/>
  <c r="Q10" i="21"/>
  <c r="O132" i="24"/>
  <c r="O128" i="24"/>
  <c r="O124" i="24"/>
  <c r="O120" i="24"/>
  <c r="O116" i="24"/>
  <c r="O112" i="24"/>
  <c r="O108" i="24"/>
  <c r="O104" i="24"/>
  <c r="O100" i="24"/>
  <c r="O96" i="24"/>
  <c r="O92" i="24"/>
  <c r="O88" i="24"/>
  <c r="O84" i="24"/>
  <c r="O80" i="24"/>
  <c r="O119" i="24"/>
  <c r="O103" i="24"/>
  <c r="O87" i="24"/>
  <c r="O76" i="24"/>
  <c r="O72" i="24"/>
  <c r="O68" i="24"/>
  <c r="O64" i="24"/>
  <c r="O60" i="24"/>
  <c r="O56" i="24"/>
  <c r="O52" i="24"/>
  <c r="O48" i="24"/>
  <c r="O44" i="24"/>
  <c r="O40" i="24"/>
  <c r="O36" i="24"/>
  <c r="O32" i="24"/>
  <c r="O28" i="24"/>
  <c r="O24" i="24"/>
  <c r="O20" i="24"/>
  <c r="O16" i="24"/>
  <c r="O12" i="24"/>
  <c r="O8" i="24"/>
  <c r="O21" i="24"/>
  <c r="O122" i="24"/>
  <c r="O121" i="24"/>
  <c r="O106" i="24"/>
  <c r="O105" i="24"/>
  <c r="O90" i="24"/>
  <c r="O89" i="24"/>
  <c r="O7" i="24"/>
  <c r="O47" i="24"/>
  <c r="O43" i="24"/>
  <c r="O35" i="24"/>
  <c r="O31" i="24"/>
  <c r="O19" i="24"/>
  <c r="O15" i="24"/>
  <c r="O11" i="24"/>
  <c r="O13" i="24"/>
  <c r="O123" i="24"/>
  <c r="O107" i="24"/>
  <c r="O91" i="24"/>
  <c r="O75" i="24"/>
  <c r="O71" i="24"/>
  <c r="O67" i="24"/>
  <c r="O63" i="24"/>
  <c r="O59" i="24"/>
  <c r="O55" i="24"/>
  <c r="O51" i="24"/>
  <c r="O39" i="24"/>
  <c r="O27" i="24"/>
  <c r="O23" i="24"/>
  <c r="O9" i="24"/>
  <c r="O126" i="24"/>
  <c r="O125" i="24"/>
  <c r="O110" i="24"/>
  <c r="O109" i="24"/>
  <c r="O94" i="24"/>
  <c r="O93" i="24"/>
  <c r="O61" i="24"/>
  <c r="O49" i="24"/>
  <c r="O45" i="24"/>
  <c r="O41" i="24"/>
  <c r="O17" i="24"/>
  <c r="O127" i="24"/>
  <c r="O111" i="24"/>
  <c r="O95" i="24"/>
  <c r="O79" i="24"/>
  <c r="O78" i="24"/>
  <c r="O74" i="24"/>
  <c r="O70" i="24"/>
  <c r="O66" i="24"/>
  <c r="O62" i="24"/>
  <c r="O58" i="24"/>
  <c r="O54" i="24"/>
  <c r="O50" i="24"/>
  <c r="O46" i="24"/>
  <c r="O42" i="24"/>
  <c r="O38" i="24"/>
  <c r="O34" i="24"/>
  <c r="O30" i="24"/>
  <c r="O26" i="24"/>
  <c r="O22" i="24"/>
  <c r="O18" i="24"/>
  <c r="O14" i="24"/>
  <c r="O10" i="24"/>
  <c r="O99" i="24"/>
  <c r="O37" i="24"/>
  <c r="O33" i="24"/>
  <c r="O29" i="24"/>
  <c r="O25" i="24"/>
  <c r="O130" i="24"/>
  <c r="O129" i="24"/>
  <c r="O114" i="24"/>
  <c r="O113" i="24"/>
  <c r="O98" i="24"/>
  <c r="O97" i="24"/>
  <c r="O82" i="24"/>
  <c r="O81" i="24"/>
  <c r="O73" i="24"/>
  <c r="O57" i="24"/>
  <c r="O53" i="24"/>
  <c r="O131" i="24"/>
  <c r="O115" i="24"/>
  <c r="O83" i="24"/>
  <c r="O77" i="24"/>
  <c r="O69" i="24"/>
  <c r="O65" i="24"/>
  <c r="O86" i="24"/>
  <c r="O102" i="24"/>
  <c r="O85" i="24"/>
  <c r="O118" i="24"/>
  <c r="O101" i="24"/>
  <c r="O117" i="24"/>
  <c r="T132" i="20"/>
  <c r="T128" i="20"/>
  <c r="T124" i="20"/>
  <c r="T120" i="20"/>
  <c r="T116" i="20"/>
  <c r="T123" i="20"/>
  <c r="T118" i="20"/>
  <c r="T109" i="20"/>
  <c r="T108" i="20"/>
  <c r="T93" i="20"/>
  <c r="T92" i="20"/>
  <c r="T77" i="20"/>
  <c r="T76" i="20"/>
  <c r="T61" i="20"/>
  <c r="T60" i="20"/>
  <c r="T56" i="20"/>
  <c r="T52" i="20"/>
  <c r="T48" i="20"/>
  <c r="T44" i="20"/>
  <c r="T40" i="20"/>
  <c r="T36" i="20"/>
  <c r="T32" i="20"/>
  <c r="T28" i="20"/>
  <c r="T24" i="20"/>
  <c r="T20" i="20"/>
  <c r="T16" i="20"/>
  <c r="T12" i="20"/>
  <c r="T8" i="20"/>
  <c r="T119" i="20"/>
  <c r="T111" i="20"/>
  <c r="T110" i="20"/>
  <c r="T95" i="20"/>
  <c r="T94" i="20"/>
  <c r="T79" i="20"/>
  <c r="T78" i="20"/>
  <c r="T113" i="20"/>
  <c r="T112" i="20"/>
  <c r="T97" i="20"/>
  <c r="T96" i="20"/>
  <c r="T81" i="20"/>
  <c r="T80" i="20"/>
  <c r="T65" i="20"/>
  <c r="T64" i="20"/>
  <c r="T55" i="20"/>
  <c r="T51" i="20"/>
  <c r="T47" i="20"/>
  <c r="T43" i="20"/>
  <c r="T39" i="20"/>
  <c r="T35" i="20"/>
  <c r="T31" i="20"/>
  <c r="T27" i="20"/>
  <c r="T23" i="20"/>
  <c r="T19" i="20"/>
  <c r="T15" i="20"/>
  <c r="T11" i="20"/>
  <c r="T7" i="20"/>
  <c r="T129" i="20"/>
  <c r="T115" i="20"/>
  <c r="T114" i="20"/>
  <c r="T99" i="20"/>
  <c r="T98" i="20"/>
  <c r="T83" i="20"/>
  <c r="T82" i="20"/>
  <c r="T67" i="20"/>
  <c r="T66" i="20"/>
  <c r="T125" i="20"/>
  <c r="T101" i="20"/>
  <c r="T100" i="20"/>
  <c r="T85" i="20"/>
  <c r="T84" i="20"/>
  <c r="T69" i="20"/>
  <c r="T68" i="20"/>
  <c r="T54" i="20"/>
  <c r="T50" i="20"/>
  <c r="T46" i="20"/>
  <c r="T42" i="20"/>
  <c r="T38" i="20"/>
  <c r="T34" i="20"/>
  <c r="T30" i="20"/>
  <c r="T26" i="20"/>
  <c r="T22" i="20"/>
  <c r="T18" i="20"/>
  <c r="T14" i="20"/>
  <c r="T10" i="20"/>
  <c r="T130" i="20"/>
  <c r="T121" i="20"/>
  <c r="T103" i="20"/>
  <c r="T102" i="20"/>
  <c r="T87" i="20"/>
  <c r="T86" i="20"/>
  <c r="T71" i="20"/>
  <c r="T70" i="20"/>
  <c r="T131" i="20"/>
  <c r="T126" i="20"/>
  <c r="T117" i="20"/>
  <c r="T105" i="20"/>
  <c r="T104" i="20"/>
  <c r="T89" i="20"/>
  <c r="T88" i="20"/>
  <c r="T73" i="20"/>
  <c r="T72" i="20"/>
  <c r="T57" i="20"/>
  <c r="T53" i="20"/>
  <c r="T49" i="20"/>
  <c r="T45" i="20"/>
  <c r="T41" i="20"/>
  <c r="T37" i="20"/>
  <c r="T33" i="20"/>
  <c r="T29" i="20"/>
  <c r="T25" i="20"/>
  <c r="T21" i="20"/>
  <c r="T17" i="20"/>
  <c r="T13" i="20"/>
  <c r="T9" i="20"/>
  <c r="T127" i="20"/>
  <c r="T91" i="20"/>
  <c r="T74" i="20"/>
  <c r="T62" i="20"/>
  <c r="T75" i="20"/>
  <c r="T107" i="20"/>
  <c r="T90" i="20"/>
  <c r="T106" i="20"/>
  <c r="T122" i="20"/>
  <c r="T59" i="20"/>
  <c r="T58" i="20"/>
  <c r="T63" i="20"/>
  <c r="U132" i="19"/>
  <c r="U128" i="19"/>
  <c r="U124" i="19"/>
  <c r="U120" i="19"/>
  <c r="U116" i="19"/>
  <c r="U112" i="19"/>
  <c r="U108" i="19"/>
  <c r="U104" i="19"/>
  <c r="U100" i="19"/>
  <c r="U130" i="19"/>
  <c r="U126" i="19"/>
  <c r="U122" i="19"/>
  <c r="U118" i="19"/>
  <c r="U114" i="19"/>
  <c r="U110" i="19"/>
  <c r="U106" i="19"/>
  <c r="U102" i="19"/>
  <c r="U98" i="19"/>
  <c r="U94" i="19"/>
  <c r="U90" i="19"/>
  <c r="U86" i="19"/>
  <c r="U82" i="19"/>
  <c r="U78" i="19"/>
  <c r="U74" i="19"/>
  <c r="U70" i="19"/>
  <c r="U66" i="19"/>
  <c r="U62" i="19"/>
  <c r="U123" i="19"/>
  <c r="U109" i="19"/>
  <c r="U85" i="19"/>
  <c r="U84" i="19"/>
  <c r="U69" i="19"/>
  <c r="U68" i="19"/>
  <c r="U56" i="19"/>
  <c r="U52" i="19"/>
  <c r="U48" i="19"/>
  <c r="U44" i="19"/>
  <c r="U40" i="19"/>
  <c r="U36" i="19"/>
  <c r="U32" i="19"/>
  <c r="U119" i="19"/>
  <c r="U105" i="19"/>
  <c r="U87" i="19"/>
  <c r="U71" i="19"/>
  <c r="U115" i="19"/>
  <c r="U101" i="19"/>
  <c r="U129" i="19"/>
  <c r="U111" i="19"/>
  <c r="U91" i="19"/>
  <c r="U75" i="19"/>
  <c r="U59" i="19"/>
  <c r="U125" i="19"/>
  <c r="U107" i="19"/>
  <c r="U93" i="19"/>
  <c r="U92" i="19"/>
  <c r="U77" i="19"/>
  <c r="U76" i="19"/>
  <c r="U61" i="19"/>
  <c r="U60" i="19"/>
  <c r="U58" i="19"/>
  <c r="U54" i="19"/>
  <c r="U50" i="19"/>
  <c r="U46" i="19"/>
  <c r="U42" i="19"/>
  <c r="U38" i="19"/>
  <c r="U34" i="19"/>
  <c r="U30" i="19"/>
  <c r="U26" i="19"/>
  <c r="U22" i="19"/>
  <c r="U18" i="19"/>
  <c r="U14" i="19"/>
  <c r="U10" i="19"/>
  <c r="U121" i="19"/>
  <c r="U103" i="19"/>
  <c r="U95" i="19"/>
  <c r="U79" i="19"/>
  <c r="U63" i="19"/>
  <c r="U131" i="19"/>
  <c r="U89" i="19"/>
  <c r="U72" i="19"/>
  <c r="U45" i="19"/>
  <c r="U43" i="19"/>
  <c r="U29" i="19"/>
  <c r="U24" i="19"/>
  <c r="U15" i="19"/>
  <c r="U99" i="19"/>
  <c r="U83" i="19"/>
  <c r="U80" i="19"/>
  <c r="U49" i="19"/>
  <c r="U47" i="19"/>
  <c r="U25" i="19"/>
  <c r="U20" i="19"/>
  <c r="U11" i="19"/>
  <c r="U53" i="19"/>
  <c r="U51" i="19"/>
  <c r="U21" i="19"/>
  <c r="U16" i="19"/>
  <c r="U7" i="19"/>
  <c r="U127" i="19"/>
  <c r="U113" i="19"/>
  <c r="U88" i="19"/>
  <c r="U65" i="19"/>
  <c r="U57" i="19"/>
  <c r="U55" i="19"/>
  <c r="U17" i="19"/>
  <c r="U12" i="19"/>
  <c r="U117" i="19"/>
  <c r="U97" i="19"/>
  <c r="U13" i="19"/>
  <c r="U8" i="19"/>
  <c r="U73" i="19"/>
  <c r="U33" i="19"/>
  <c r="U31" i="19"/>
  <c r="U27" i="19"/>
  <c r="U9" i="19"/>
  <c r="U96" i="19"/>
  <c r="U81" i="19"/>
  <c r="U67" i="19"/>
  <c r="U64" i="19"/>
  <c r="U37" i="19"/>
  <c r="U35" i="19"/>
  <c r="U23" i="19"/>
  <c r="U19" i="19"/>
  <c r="U28" i="19"/>
  <c r="U41" i="19"/>
  <c r="U39" i="19"/>
  <c r="W132" i="24"/>
  <c r="W128" i="24"/>
  <c r="W124" i="24"/>
  <c r="W120" i="24"/>
  <c r="W116" i="24"/>
  <c r="W112" i="24"/>
  <c r="W108" i="24"/>
  <c r="W104" i="24"/>
  <c r="W100" i="24"/>
  <c r="W96" i="24"/>
  <c r="W92" i="24"/>
  <c r="W88" i="24"/>
  <c r="W84" i="24"/>
  <c r="W80" i="24"/>
  <c r="W131" i="24"/>
  <c r="W115" i="24"/>
  <c r="W99" i="24"/>
  <c r="W83" i="24"/>
  <c r="W76" i="24"/>
  <c r="W72" i="24"/>
  <c r="W72" i="12" s="1"/>
  <c r="W68" i="24"/>
  <c r="W64" i="24"/>
  <c r="W60" i="24"/>
  <c r="W56" i="24"/>
  <c r="W52" i="24"/>
  <c r="W48" i="24"/>
  <c r="W44" i="24"/>
  <c r="W40" i="24"/>
  <c r="W36" i="24"/>
  <c r="W32" i="24"/>
  <c r="W28" i="24"/>
  <c r="W24" i="24"/>
  <c r="W20" i="24"/>
  <c r="W16" i="24"/>
  <c r="W12" i="24"/>
  <c r="W8" i="24"/>
  <c r="W95" i="24"/>
  <c r="W118" i="24"/>
  <c r="W117" i="24"/>
  <c r="W102" i="24"/>
  <c r="W101" i="24"/>
  <c r="W86" i="24"/>
  <c r="W85" i="24"/>
  <c r="W51" i="24"/>
  <c r="W39" i="24"/>
  <c r="W35" i="24"/>
  <c r="W27" i="24"/>
  <c r="W23" i="24"/>
  <c r="W19" i="24"/>
  <c r="W11" i="24"/>
  <c r="W9" i="24"/>
  <c r="W9" i="12" s="1"/>
  <c r="W119" i="24"/>
  <c r="W103" i="24"/>
  <c r="W87" i="24"/>
  <c r="W75" i="24"/>
  <c r="W71" i="24"/>
  <c r="W67" i="24"/>
  <c r="W63" i="24"/>
  <c r="W59" i="24"/>
  <c r="W55" i="24"/>
  <c r="W47" i="24"/>
  <c r="W43" i="24"/>
  <c r="W31" i="24"/>
  <c r="W15" i="24"/>
  <c r="W7" i="24"/>
  <c r="W122" i="24"/>
  <c r="W121" i="24"/>
  <c r="W106" i="24"/>
  <c r="W106" i="12" s="1"/>
  <c r="W105" i="24"/>
  <c r="W90" i="24"/>
  <c r="W89" i="24"/>
  <c r="W37" i="24"/>
  <c r="W37" i="12" s="1"/>
  <c r="W33" i="24"/>
  <c r="W21" i="24"/>
  <c r="W21" i="12" s="1"/>
  <c r="W123" i="24"/>
  <c r="W107" i="24"/>
  <c r="W107" i="12" s="1"/>
  <c r="W91" i="24"/>
  <c r="W74" i="24"/>
  <c r="W70" i="24"/>
  <c r="W66" i="24"/>
  <c r="W62" i="24"/>
  <c r="W58" i="24"/>
  <c r="W54" i="24"/>
  <c r="W50" i="24"/>
  <c r="W46" i="24"/>
  <c r="W42" i="24"/>
  <c r="W38" i="24"/>
  <c r="W34" i="24"/>
  <c r="W30" i="24"/>
  <c r="W26" i="24"/>
  <c r="W22" i="24"/>
  <c r="W18" i="24"/>
  <c r="W14" i="24"/>
  <c r="W10" i="24"/>
  <c r="W73" i="24"/>
  <c r="W65" i="24"/>
  <c r="W45" i="24"/>
  <c r="W41" i="24"/>
  <c r="W126" i="24"/>
  <c r="W126" i="12" s="1"/>
  <c r="W125" i="24"/>
  <c r="W110" i="24"/>
  <c r="W109" i="24"/>
  <c r="W94" i="24"/>
  <c r="W93" i="24"/>
  <c r="W78" i="24"/>
  <c r="W78" i="12" s="1"/>
  <c r="W127" i="24"/>
  <c r="W77" i="24"/>
  <c r="W77" i="12" s="1"/>
  <c r="W69" i="24"/>
  <c r="W69" i="12" s="1"/>
  <c r="W49" i="24"/>
  <c r="W25" i="24"/>
  <c r="W17" i="24"/>
  <c r="W13" i="24"/>
  <c r="W111" i="24"/>
  <c r="W111" i="12" s="1"/>
  <c r="W79" i="24"/>
  <c r="W79" i="12" s="1"/>
  <c r="W61" i="24"/>
  <c r="W57" i="24"/>
  <c r="W53" i="24"/>
  <c r="W29" i="24"/>
  <c r="W114" i="24"/>
  <c r="W114" i="12" s="1"/>
  <c r="W97" i="24"/>
  <c r="W130" i="24"/>
  <c r="W113" i="24"/>
  <c r="W113" i="12" s="1"/>
  <c r="W129" i="24"/>
  <c r="W129" i="12" s="1"/>
  <c r="W82" i="24"/>
  <c r="W98" i="24"/>
  <c r="W81" i="24"/>
  <c r="S130" i="20"/>
  <c r="S126" i="20"/>
  <c r="S122" i="20"/>
  <c r="S118" i="20"/>
  <c r="S114" i="20"/>
  <c r="S110" i="20"/>
  <c r="S106" i="20"/>
  <c r="S102" i="20"/>
  <c r="S98" i="20"/>
  <c r="S94" i="20"/>
  <c r="S90" i="20"/>
  <c r="S86" i="20"/>
  <c r="S82" i="20"/>
  <c r="S78" i="20"/>
  <c r="S74" i="20"/>
  <c r="S70" i="20"/>
  <c r="S66" i="20"/>
  <c r="S62" i="20"/>
  <c r="S58" i="20"/>
  <c r="S132" i="20"/>
  <c r="S128" i="20"/>
  <c r="S124" i="20"/>
  <c r="S120" i="20"/>
  <c r="S116" i="20"/>
  <c r="S112" i="20"/>
  <c r="S108" i="20"/>
  <c r="S104" i="20"/>
  <c r="S100" i="20"/>
  <c r="S96" i="20"/>
  <c r="S92" i="20"/>
  <c r="S88" i="20"/>
  <c r="S84" i="20"/>
  <c r="S80" i="20"/>
  <c r="S76" i="20"/>
  <c r="S72" i="20"/>
  <c r="S68" i="20"/>
  <c r="S64" i="20"/>
  <c r="S60" i="20"/>
  <c r="S127" i="20"/>
  <c r="S107" i="20"/>
  <c r="S91" i="20"/>
  <c r="S75" i="20"/>
  <c r="S59" i="20"/>
  <c r="S123" i="20"/>
  <c r="S109" i="20"/>
  <c r="S93" i="20"/>
  <c r="S77" i="20"/>
  <c r="S119" i="20"/>
  <c r="S111" i="20"/>
  <c r="S95" i="20"/>
  <c r="S79" i="20"/>
  <c r="S63" i="20"/>
  <c r="S113" i="20"/>
  <c r="S97" i="20"/>
  <c r="S81" i="20"/>
  <c r="S65" i="20"/>
  <c r="S55" i="20"/>
  <c r="S51" i="20"/>
  <c r="S47" i="20"/>
  <c r="S43" i="20"/>
  <c r="S39" i="20"/>
  <c r="S35" i="20"/>
  <c r="S31" i="20"/>
  <c r="S27" i="20"/>
  <c r="S23" i="20"/>
  <c r="S19" i="20"/>
  <c r="S15" i="20"/>
  <c r="S11" i="20"/>
  <c r="S7" i="20"/>
  <c r="S129" i="20"/>
  <c r="S115" i="20"/>
  <c r="S99" i="20"/>
  <c r="S83" i="20"/>
  <c r="S67" i="20"/>
  <c r="S125" i="20"/>
  <c r="S101" i="20"/>
  <c r="S85" i="20"/>
  <c r="S69" i="20"/>
  <c r="S54" i="20"/>
  <c r="S50" i="20"/>
  <c r="S121" i="20"/>
  <c r="S103" i="20"/>
  <c r="S87" i="20"/>
  <c r="S71" i="20"/>
  <c r="S117" i="20"/>
  <c r="S48" i="20"/>
  <c r="S37" i="20"/>
  <c r="S22" i="20"/>
  <c r="S20" i="20"/>
  <c r="S33" i="20"/>
  <c r="S73" i="20"/>
  <c r="S57" i="20"/>
  <c r="S41" i="20"/>
  <c r="S26" i="20"/>
  <c r="S24" i="20"/>
  <c r="S9" i="20"/>
  <c r="S16" i="20"/>
  <c r="S89" i="20"/>
  <c r="S61" i="20"/>
  <c r="S45" i="20"/>
  <c r="S30" i="20"/>
  <c r="S28" i="20"/>
  <c r="S13" i="20"/>
  <c r="S105" i="20"/>
  <c r="S53" i="20"/>
  <c r="S34" i="20"/>
  <c r="S32" i="20"/>
  <c r="S17" i="20"/>
  <c r="S18" i="20"/>
  <c r="S56" i="20"/>
  <c r="S38" i="20"/>
  <c r="S36" i="20"/>
  <c r="S21" i="20"/>
  <c r="S131" i="20"/>
  <c r="S49" i="20"/>
  <c r="S42" i="20"/>
  <c r="S40" i="20"/>
  <c r="S25" i="20"/>
  <c r="S10" i="20"/>
  <c r="S8" i="20"/>
  <c r="S52" i="20"/>
  <c r="S46" i="20"/>
  <c r="S44" i="20"/>
  <c r="S29" i="20"/>
  <c r="S14" i="20"/>
  <c r="S12" i="20"/>
  <c r="V132" i="19"/>
  <c r="V131" i="19"/>
  <c r="V127" i="19"/>
  <c r="V123" i="19"/>
  <c r="V119" i="19"/>
  <c r="V115" i="19"/>
  <c r="V111" i="19"/>
  <c r="V107" i="19"/>
  <c r="V103" i="19"/>
  <c r="V99" i="19"/>
  <c r="V95" i="19"/>
  <c r="V91" i="19"/>
  <c r="V87" i="19"/>
  <c r="V83" i="19"/>
  <c r="V79" i="19"/>
  <c r="V75" i="19"/>
  <c r="V71" i="19"/>
  <c r="V67" i="19"/>
  <c r="V63" i="19"/>
  <c r="V59" i="19"/>
  <c r="V114" i="19"/>
  <c r="V105" i="19"/>
  <c r="V100" i="19"/>
  <c r="V86" i="19"/>
  <c r="V70" i="19"/>
  <c r="V128" i="19"/>
  <c r="V110" i="19"/>
  <c r="V101" i="19"/>
  <c r="V89" i="19"/>
  <c r="V88" i="19"/>
  <c r="V73" i="19"/>
  <c r="V72" i="19"/>
  <c r="V55" i="19"/>
  <c r="V51" i="19"/>
  <c r="V47" i="19"/>
  <c r="V43" i="19"/>
  <c r="V39" i="19"/>
  <c r="V35" i="19"/>
  <c r="V31" i="19"/>
  <c r="V27" i="19"/>
  <c r="V23" i="19"/>
  <c r="V19" i="19"/>
  <c r="V15" i="19"/>
  <c r="V11" i="19"/>
  <c r="V7" i="19"/>
  <c r="V129" i="19"/>
  <c r="V124" i="19"/>
  <c r="V106" i="19"/>
  <c r="V125" i="19"/>
  <c r="V120" i="19"/>
  <c r="V102" i="19"/>
  <c r="V93" i="19"/>
  <c r="V92" i="19"/>
  <c r="V77" i="19"/>
  <c r="V76" i="19"/>
  <c r="V61" i="19"/>
  <c r="V60" i="19"/>
  <c r="V58" i="19"/>
  <c r="V54" i="19"/>
  <c r="V50" i="19"/>
  <c r="V46" i="19"/>
  <c r="V42" i="19"/>
  <c r="V38" i="19"/>
  <c r="V34" i="19"/>
  <c r="V130" i="19"/>
  <c r="V121" i="19"/>
  <c r="V116" i="19"/>
  <c r="V94" i="19"/>
  <c r="V78" i="19"/>
  <c r="V62" i="19"/>
  <c r="V126" i="19"/>
  <c r="V117" i="19"/>
  <c r="V112" i="19"/>
  <c r="V97" i="19"/>
  <c r="V96" i="19"/>
  <c r="V81" i="19"/>
  <c r="V80" i="19"/>
  <c r="V65" i="19"/>
  <c r="V64" i="19"/>
  <c r="V57" i="19"/>
  <c r="V53" i="19"/>
  <c r="V49" i="19"/>
  <c r="V45" i="19"/>
  <c r="V41" i="19"/>
  <c r="V37" i="19"/>
  <c r="V33" i="19"/>
  <c r="V29" i="19"/>
  <c r="V25" i="19"/>
  <c r="V21" i="19"/>
  <c r="V17" i="19"/>
  <c r="V13" i="19"/>
  <c r="V9" i="19"/>
  <c r="V122" i="19"/>
  <c r="V69" i="19"/>
  <c r="V66" i="19"/>
  <c r="V20" i="19"/>
  <c r="V109" i="19"/>
  <c r="V104" i="19"/>
  <c r="V32" i="19"/>
  <c r="V16" i="19"/>
  <c r="V113" i="19"/>
  <c r="V108" i="19"/>
  <c r="V98" i="19"/>
  <c r="V74" i="19"/>
  <c r="V36" i="19"/>
  <c r="V30" i="19"/>
  <c r="V12" i="19"/>
  <c r="V118" i="19"/>
  <c r="V85" i="19"/>
  <c r="V82" i="19"/>
  <c r="V68" i="19"/>
  <c r="V40" i="19"/>
  <c r="V26" i="19"/>
  <c r="V8" i="19"/>
  <c r="V44" i="19"/>
  <c r="V22" i="19"/>
  <c r="V90" i="19"/>
  <c r="V48" i="19"/>
  <c r="V18" i="19"/>
  <c r="V84" i="19"/>
  <c r="V52" i="19"/>
  <c r="V28" i="19"/>
  <c r="V14" i="19"/>
  <c r="V10" i="19"/>
  <c r="V56" i="19"/>
  <c r="V24" i="19"/>
  <c r="P130" i="24"/>
  <c r="P126" i="24"/>
  <c r="P122" i="24"/>
  <c r="P118" i="24"/>
  <c r="P114" i="24"/>
  <c r="P110" i="24"/>
  <c r="P106" i="24"/>
  <c r="P102" i="24"/>
  <c r="P98" i="24"/>
  <c r="P94" i="24"/>
  <c r="P90" i="24"/>
  <c r="P86" i="24"/>
  <c r="P82" i="24"/>
  <c r="P121" i="24"/>
  <c r="P121" i="12" s="1"/>
  <c r="P120" i="24"/>
  <c r="P120" i="12" s="1"/>
  <c r="P105" i="24"/>
  <c r="P104" i="24"/>
  <c r="P89" i="24"/>
  <c r="P88" i="24"/>
  <c r="P123" i="24"/>
  <c r="P123" i="12" s="1"/>
  <c r="P107" i="24"/>
  <c r="P91" i="24"/>
  <c r="P75" i="24"/>
  <c r="P71" i="24"/>
  <c r="P67" i="24"/>
  <c r="P63" i="24"/>
  <c r="P59" i="24"/>
  <c r="P55" i="24"/>
  <c r="P51" i="24"/>
  <c r="P47" i="24"/>
  <c r="P43" i="24"/>
  <c r="P39" i="24"/>
  <c r="P35" i="24"/>
  <c r="P31" i="24"/>
  <c r="P27" i="24"/>
  <c r="P23" i="24"/>
  <c r="P19" i="24"/>
  <c r="P15" i="24"/>
  <c r="P11" i="24"/>
  <c r="P7" i="24"/>
  <c r="P100" i="24"/>
  <c r="P125" i="24"/>
  <c r="P124" i="24"/>
  <c r="P109" i="24"/>
  <c r="P108" i="24"/>
  <c r="P93" i="24"/>
  <c r="P92" i="24"/>
  <c r="P127" i="24"/>
  <c r="P111" i="24"/>
  <c r="P111" i="12" s="1"/>
  <c r="P95" i="24"/>
  <c r="P79" i="24"/>
  <c r="P78" i="24"/>
  <c r="P74" i="24"/>
  <c r="P70" i="24"/>
  <c r="P66" i="24"/>
  <c r="P62" i="24"/>
  <c r="P58" i="24"/>
  <c r="P54" i="24"/>
  <c r="P50" i="24"/>
  <c r="P46" i="24"/>
  <c r="P42" i="24"/>
  <c r="P38" i="24"/>
  <c r="P34" i="24"/>
  <c r="P30" i="24"/>
  <c r="P26" i="24"/>
  <c r="P22" i="24"/>
  <c r="P18" i="24"/>
  <c r="P14" i="24"/>
  <c r="P10" i="24"/>
  <c r="P129" i="24"/>
  <c r="P128" i="24"/>
  <c r="P113" i="24"/>
  <c r="P112" i="24"/>
  <c r="P112" i="12" s="1"/>
  <c r="P97" i="24"/>
  <c r="P96" i="24"/>
  <c r="P81" i="24"/>
  <c r="P80" i="24"/>
  <c r="P85" i="24"/>
  <c r="P131" i="24"/>
  <c r="P115" i="24"/>
  <c r="P115" i="12" s="1"/>
  <c r="P99" i="24"/>
  <c r="P83" i="24"/>
  <c r="P77" i="24"/>
  <c r="P73" i="24"/>
  <c r="P69" i="24"/>
  <c r="P65" i="24"/>
  <c r="P61" i="24"/>
  <c r="P57" i="24"/>
  <c r="P53" i="24"/>
  <c r="P53" i="12" s="1"/>
  <c r="P49" i="24"/>
  <c r="P45" i="24"/>
  <c r="P41" i="24"/>
  <c r="P37" i="24"/>
  <c r="P33" i="24"/>
  <c r="P33" i="12" s="1"/>
  <c r="P29" i="24"/>
  <c r="P25" i="24"/>
  <c r="P21" i="24"/>
  <c r="P17" i="24"/>
  <c r="P13" i="24"/>
  <c r="P9" i="24"/>
  <c r="P132" i="24"/>
  <c r="P117" i="24"/>
  <c r="P116" i="24"/>
  <c r="P116" i="12" s="1"/>
  <c r="P101" i="24"/>
  <c r="P84" i="24"/>
  <c r="P84" i="12" s="1"/>
  <c r="P68" i="24"/>
  <c r="P48" i="24"/>
  <c r="P48" i="12" s="1"/>
  <c r="P16" i="24"/>
  <c r="P60" i="24"/>
  <c r="P28" i="24"/>
  <c r="P87" i="24"/>
  <c r="P72" i="24"/>
  <c r="P40" i="24"/>
  <c r="P8" i="24"/>
  <c r="P103" i="24"/>
  <c r="P52" i="24"/>
  <c r="P52" i="12" s="1"/>
  <c r="P20" i="24"/>
  <c r="P119" i="24"/>
  <c r="P64" i="24"/>
  <c r="P64" i="12" s="1"/>
  <c r="P32" i="24"/>
  <c r="P76" i="24"/>
  <c r="P76" i="12" s="1"/>
  <c r="P44" i="24"/>
  <c r="P12" i="24"/>
  <c r="P36" i="24"/>
  <c r="P56" i="24"/>
  <c r="P24" i="24"/>
  <c r="P24" i="12" s="1"/>
  <c r="P131" i="21"/>
  <c r="P127" i="21"/>
  <c r="P123" i="21"/>
  <c r="P119" i="21"/>
  <c r="P115" i="21"/>
  <c r="P111" i="21"/>
  <c r="P107" i="21"/>
  <c r="P103" i="21"/>
  <c r="P99" i="21"/>
  <c r="P95" i="21"/>
  <c r="P91" i="21"/>
  <c r="P130" i="21"/>
  <c r="P126" i="21"/>
  <c r="P122" i="21"/>
  <c r="P118" i="21"/>
  <c r="P114" i="21"/>
  <c r="P110" i="21"/>
  <c r="P106" i="21"/>
  <c r="P102" i="21"/>
  <c r="P129" i="21"/>
  <c r="P125" i="21"/>
  <c r="P121" i="21"/>
  <c r="P117" i="21"/>
  <c r="P113" i="21"/>
  <c r="P109" i="21"/>
  <c r="P105" i="21"/>
  <c r="P101" i="21"/>
  <c r="P97" i="21"/>
  <c r="P93" i="21"/>
  <c r="P89" i="21"/>
  <c r="P85" i="21"/>
  <c r="P81" i="21"/>
  <c r="P77" i="21"/>
  <c r="P73" i="21"/>
  <c r="P69" i="21"/>
  <c r="P65" i="21"/>
  <c r="P61" i="21"/>
  <c r="P57" i="21"/>
  <c r="P53" i="21"/>
  <c r="P49" i="21"/>
  <c r="P45" i="21"/>
  <c r="P41" i="21"/>
  <c r="P37" i="21"/>
  <c r="P33" i="21"/>
  <c r="P29" i="21"/>
  <c r="P25" i="21"/>
  <c r="P21" i="21"/>
  <c r="P17" i="21"/>
  <c r="P13" i="21"/>
  <c r="P132" i="21"/>
  <c r="P128" i="21"/>
  <c r="P124" i="21"/>
  <c r="P120" i="21"/>
  <c r="P116" i="21"/>
  <c r="P112" i="21"/>
  <c r="P108" i="21"/>
  <c r="P104" i="21"/>
  <c r="P100" i="21"/>
  <c r="P96" i="21"/>
  <c r="P92" i="21"/>
  <c r="P88" i="21"/>
  <c r="P84" i="21"/>
  <c r="P80" i="21"/>
  <c r="P76" i="21"/>
  <c r="P72" i="21"/>
  <c r="P68" i="21"/>
  <c r="P64" i="21"/>
  <c r="P60" i="21"/>
  <c r="P56" i="21"/>
  <c r="P52" i="21"/>
  <c r="P48" i="21"/>
  <c r="P44" i="21"/>
  <c r="P40" i="21"/>
  <c r="P36" i="21"/>
  <c r="P32" i="21"/>
  <c r="P28" i="21"/>
  <c r="P24" i="21"/>
  <c r="P20" i="21"/>
  <c r="P16" i="21"/>
  <c r="P12" i="21"/>
  <c r="P8" i="21"/>
  <c r="P67" i="21"/>
  <c r="P62" i="21"/>
  <c r="P35" i="21"/>
  <c r="P30" i="21"/>
  <c r="P11" i="21"/>
  <c r="P10" i="21"/>
  <c r="P71" i="21"/>
  <c r="P66" i="21"/>
  <c r="P98" i="21"/>
  <c r="P90" i="21"/>
  <c r="P63" i="21"/>
  <c r="P58" i="21"/>
  <c r="P31" i="21"/>
  <c r="P26" i="21"/>
  <c r="P86" i="21"/>
  <c r="P59" i="21"/>
  <c r="P54" i="21"/>
  <c r="P27" i="21"/>
  <c r="P22" i="21"/>
  <c r="P87" i="21"/>
  <c r="P82" i="21"/>
  <c r="P55" i="21"/>
  <c r="P50" i="21"/>
  <c r="P23" i="21"/>
  <c r="P18" i="21"/>
  <c r="P83" i="21"/>
  <c r="P78" i="21"/>
  <c r="P51" i="21"/>
  <c r="P46" i="21"/>
  <c r="P19" i="21"/>
  <c r="P14" i="21"/>
  <c r="P94" i="21"/>
  <c r="P79" i="21"/>
  <c r="P74" i="21"/>
  <c r="P47" i="21"/>
  <c r="P42" i="21"/>
  <c r="P15" i="21"/>
  <c r="P38" i="21"/>
  <c r="P7" i="21"/>
  <c r="P39" i="21"/>
  <c r="P75" i="21"/>
  <c r="P70" i="21"/>
  <c r="P43" i="21"/>
  <c r="P34" i="21"/>
  <c r="P9" i="21"/>
  <c r="R131" i="3"/>
  <c r="R130" i="3"/>
  <c r="R115" i="3"/>
  <c r="R114" i="3"/>
  <c r="R100" i="3"/>
  <c r="R96" i="3"/>
  <c r="R92" i="3"/>
  <c r="R88" i="3"/>
  <c r="R84" i="3"/>
  <c r="R80" i="3"/>
  <c r="R76" i="3"/>
  <c r="R72" i="3"/>
  <c r="R68" i="3"/>
  <c r="R64" i="3"/>
  <c r="R60" i="3"/>
  <c r="R56" i="3"/>
  <c r="R52" i="3"/>
  <c r="R48" i="3"/>
  <c r="R44" i="3"/>
  <c r="R119" i="3"/>
  <c r="R118" i="3"/>
  <c r="R103" i="3"/>
  <c r="R99" i="3"/>
  <c r="R95" i="3"/>
  <c r="R91" i="3"/>
  <c r="R87" i="3"/>
  <c r="R83" i="3"/>
  <c r="R79" i="3"/>
  <c r="R75" i="3"/>
  <c r="R123" i="3"/>
  <c r="R122" i="3"/>
  <c r="R107" i="3"/>
  <c r="R106" i="3"/>
  <c r="R102" i="3"/>
  <c r="R98" i="3"/>
  <c r="R94" i="3"/>
  <c r="R90" i="3"/>
  <c r="R86" i="3"/>
  <c r="R82" i="3"/>
  <c r="R78" i="3"/>
  <c r="R74" i="3"/>
  <c r="R70" i="3"/>
  <c r="R66" i="3"/>
  <c r="R62" i="3"/>
  <c r="R58" i="3"/>
  <c r="R113" i="3"/>
  <c r="R81" i="3"/>
  <c r="R71" i="3"/>
  <c r="R55" i="3"/>
  <c r="R45" i="3"/>
  <c r="R111" i="3"/>
  <c r="R77" i="3"/>
  <c r="R57" i="3"/>
  <c r="R54" i="3"/>
  <c r="R43" i="3"/>
  <c r="R128" i="3"/>
  <c r="R121" i="3"/>
  <c r="R116" i="3"/>
  <c r="R109" i="3"/>
  <c r="R104" i="3"/>
  <c r="R73" i="3"/>
  <c r="R59" i="3"/>
  <c r="R53" i="3"/>
  <c r="R42" i="3"/>
  <c r="R37" i="3"/>
  <c r="R33" i="3"/>
  <c r="R29" i="3"/>
  <c r="R25" i="3"/>
  <c r="R21" i="3"/>
  <c r="R17" i="3"/>
  <c r="R13" i="3"/>
  <c r="R9" i="3"/>
  <c r="R63" i="3"/>
  <c r="R46" i="3"/>
  <c r="R40" i="3"/>
  <c r="R39" i="3"/>
  <c r="R38" i="3"/>
  <c r="R24" i="3"/>
  <c r="R23" i="3"/>
  <c r="R22" i="3"/>
  <c r="R8" i="3"/>
  <c r="R7" i="3"/>
  <c r="R132" i="3"/>
  <c r="R129" i="3"/>
  <c r="R126" i="3"/>
  <c r="R110" i="3"/>
  <c r="R61" i="3"/>
  <c r="R112" i="3"/>
  <c r="R51" i="3"/>
  <c r="R120" i="3"/>
  <c r="R117" i="3"/>
  <c r="R101" i="3"/>
  <c r="R97" i="3"/>
  <c r="R93" i="3"/>
  <c r="R89" i="3"/>
  <c r="R85" i="3"/>
  <c r="R32" i="3"/>
  <c r="R31" i="3"/>
  <c r="R30" i="3"/>
  <c r="R16" i="3"/>
  <c r="R15" i="3"/>
  <c r="R14" i="3"/>
  <c r="R125" i="3"/>
  <c r="R69" i="3"/>
  <c r="R65" i="3"/>
  <c r="R108" i="3"/>
  <c r="R50" i="3"/>
  <c r="R36" i="3"/>
  <c r="R34" i="3"/>
  <c r="R19" i="3"/>
  <c r="R67" i="3"/>
  <c r="R27" i="3"/>
  <c r="R20" i="3"/>
  <c r="R10" i="3"/>
  <c r="R49" i="3"/>
  <c r="R26" i="3"/>
  <c r="R12" i="3"/>
  <c r="R127" i="3"/>
  <c r="R47" i="3"/>
  <c r="R35" i="3"/>
  <c r="R28" i="3"/>
  <c r="R18" i="3"/>
  <c r="R11" i="3"/>
  <c r="R105" i="3"/>
  <c r="R124" i="3"/>
  <c r="R41" i="3"/>
  <c r="O132" i="7"/>
  <c r="O128" i="7"/>
  <c r="O124" i="7"/>
  <c r="O120" i="7"/>
  <c r="O116" i="7"/>
  <c r="O112" i="7"/>
  <c r="O108" i="7"/>
  <c r="O104" i="7"/>
  <c r="O100" i="7"/>
  <c r="O96" i="7"/>
  <c r="O92" i="7"/>
  <c r="O88" i="7"/>
  <c r="O84" i="7"/>
  <c r="O80" i="7"/>
  <c r="O76" i="7"/>
  <c r="O130" i="7"/>
  <c r="O119" i="7"/>
  <c r="O109" i="7"/>
  <c r="O98" i="7"/>
  <c r="O87" i="7"/>
  <c r="O129" i="7"/>
  <c r="O118" i="7"/>
  <c r="O107" i="7"/>
  <c r="O97" i="7"/>
  <c r="O86" i="7"/>
  <c r="O127" i="7"/>
  <c r="O117" i="7"/>
  <c r="O106" i="7"/>
  <c r="O95" i="7"/>
  <c r="O85" i="7"/>
  <c r="O126" i="7"/>
  <c r="O115" i="7"/>
  <c r="O99" i="7"/>
  <c r="O93" i="7"/>
  <c r="O121" i="7"/>
  <c r="O110" i="7"/>
  <c r="O103" i="7"/>
  <c r="O90" i="7"/>
  <c r="O83" i="7"/>
  <c r="O82" i="7"/>
  <c r="O73" i="7"/>
  <c r="O69" i="7"/>
  <c r="O65" i="7"/>
  <c r="O61" i="7"/>
  <c r="O57" i="7"/>
  <c r="O53" i="7"/>
  <c r="O49" i="7"/>
  <c r="O45" i="7"/>
  <c r="O41" i="7"/>
  <c r="O37" i="7"/>
  <c r="O113" i="7"/>
  <c r="O91" i="7"/>
  <c r="O79" i="7"/>
  <c r="O72" i="7"/>
  <c r="O68" i="7"/>
  <c r="O64" i="7"/>
  <c r="O60" i="7"/>
  <c r="O56" i="7"/>
  <c r="O52" i="7"/>
  <c r="O48" i="7"/>
  <c r="O44" i="7"/>
  <c r="O40" i="7"/>
  <c r="O36" i="7"/>
  <c r="O122" i="7"/>
  <c r="O111" i="7"/>
  <c r="O78" i="7"/>
  <c r="O131" i="7"/>
  <c r="O101" i="7"/>
  <c r="O77" i="7"/>
  <c r="O71" i="7"/>
  <c r="O67" i="7"/>
  <c r="O63" i="7"/>
  <c r="O59" i="7"/>
  <c r="O55" i="7"/>
  <c r="O51" i="7"/>
  <c r="O105" i="7"/>
  <c r="O75" i="7"/>
  <c r="O58" i="7"/>
  <c r="O31" i="7"/>
  <c r="O30" i="7"/>
  <c r="O15" i="7"/>
  <c r="O14" i="7"/>
  <c r="O89" i="7"/>
  <c r="O66" i="7"/>
  <c r="O33" i="7"/>
  <c r="O19" i="7"/>
  <c r="O18" i="7"/>
  <c r="O74" i="7"/>
  <c r="O23" i="7"/>
  <c r="O22" i="7"/>
  <c r="O13" i="7"/>
  <c r="O11" i="7"/>
  <c r="O125" i="7"/>
  <c r="O62" i="7"/>
  <c r="O46" i="7"/>
  <c r="O28" i="7"/>
  <c r="O21" i="7"/>
  <c r="O16" i="7"/>
  <c r="O9" i="7"/>
  <c r="O38" i="7"/>
  <c r="O12" i="7"/>
  <c r="O42" i="7"/>
  <c r="O34" i="7"/>
  <c r="O20" i="7"/>
  <c r="O17" i="7"/>
  <c r="O114" i="7"/>
  <c r="O102" i="7"/>
  <c r="O54" i="7"/>
  <c r="O27" i="7"/>
  <c r="O24" i="7"/>
  <c r="O8" i="7"/>
  <c r="O123" i="7"/>
  <c r="O70" i="7"/>
  <c r="O50" i="7"/>
  <c r="O39" i="7"/>
  <c r="O29" i="7"/>
  <c r="O47" i="7"/>
  <c r="O35" i="7"/>
  <c r="O94" i="7"/>
  <c r="O26" i="7"/>
  <c r="O43" i="7"/>
  <c r="O32" i="7"/>
  <c r="O25" i="7"/>
  <c r="O10" i="7"/>
  <c r="O81" i="7"/>
  <c r="O7" i="7"/>
  <c r="R131" i="14"/>
  <c r="R130" i="14"/>
  <c r="R127" i="14"/>
  <c r="R126" i="14"/>
  <c r="R119" i="14"/>
  <c r="R115" i="14"/>
  <c r="R111" i="14"/>
  <c r="R107" i="14"/>
  <c r="R103" i="14"/>
  <c r="R99" i="14"/>
  <c r="R95" i="14"/>
  <c r="R91" i="14"/>
  <c r="R87" i="14"/>
  <c r="R83" i="14"/>
  <c r="R79" i="14"/>
  <c r="R125" i="14"/>
  <c r="R124" i="14"/>
  <c r="R118" i="14"/>
  <c r="R114" i="14"/>
  <c r="R110" i="14"/>
  <c r="R106" i="14"/>
  <c r="R102" i="14"/>
  <c r="R98" i="14"/>
  <c r="R94" i="14"/>
  <c r="R90" i="14"/>
  <c r="R86" i="14"/>
  <c r="R117" i="14"/>
  <c r="R109" i="14"/>
  <c r="R101" i="14"/>
  <c r="R93" i="14"/>
  <c r="R85" i="14"/>
  <c r="R82" i="14"/>
  <c r="R77" i="14"/>
  <c r="R62" i="14"/>
  <c r="R61" i="14"/>
  <c r="R46" i="14"/>
  <c r="R45" i="14"/>
  <c r="R129" i="14"/>
  <c r="R120" i="14"/>
  <c r="R112" i="14"/>
  <c r="R104" i="14"/>
  <c r="R96" i="14"/>
  <c r="R88" i="14"/>
  <c r="R78" i="14"/>
  <c r="R64" i="14"/>
  <c r="R63" i="14"/>
  <c r="R48" i="14"/>
  <c r="R47" i="14"/>
  <c r="R37" i="14"/>
  <c r="R33" i="14"/>
  <c r="R29" i="14"/>
  <c r="R123" i="14"/>
  <c r="R68" i="14"/>
  <c r="R67" i="14"/>
  <c r="R52" i="14"/>
  <c r="R51" i="14"/>
  <c r="R36" i="14"/>
  <c r="R32" i="14"/>
  <c r="R28" i="14"/>
  <c r="R24" i="14"/>
  <c r="R20" i="14"/>
  <c r="R16" i="14"/>
  <c r="R12" i="14"/>
  <c r="R8" i="14"/>
  <c r="R132" i="14"/>
  <c r="R105" i="14"/>
  <c r="R100" i="14"/>
  <c r="R73" i="14"/>
  <c r="R66" i="14"/>
  <c r="R54" i="14"/>
  <c r="R49" i="14"/>
  <c r="R44" i="14"/>
  <c r="R35" i="14"/>
  <c r="R30" i="14"/>
  <c r="R21" i="14"/>
  <c r="R97" i="14"/>
  <c r="R92" i="14"/>
  <c r="R80" i="14"/>
  <c r="R71" i="14"/>
  <c r="R42" i="14"/>
  <c r="R31" i="14"/>
  <c r="R23" i="14"/>
  <c r="R22" i="14"/>
  <c r="R7" i="14"/>
  <c r="R89" i="14"/>
  <c r="R84" i="14"/>
  <c r="R76" i="14"/>
  <c r="R69" i="14"/>
  <c r="R59" i="14"/>
  <c r="R40" i="14"/>
  <c r="R25" i="14"/>
  <c r="R9" i="14"/>
  <c r="R74" i="14"/>
  <c r="R57" i="14"/>
  <c r="R50" i="14"/>
  <c r="R27" i="14"/>
  <c r="R26" i="14"/>
  <c r="R11" i="14"/>
  <c r="R10" i="14"/>
  <c r="R128" i="14"/>
  <c r="R122" i="14"/>
  <c r="R72" i="14"/>
  <c r="R55" i="14"/>
  <c r="R13" i="14"/>
  <c r="R70" i="14"/>
  <c r="R65" i="14"/>
  <c r="R60" i="14"/>
  <c r="R53" i="14"/>
  <c r="R43" i="14"/>
  <c r="R15" i="14"/>
  <c r="R14" i="14"/>
  <c r="R121" i="14"/>
  <c r="R116" i="14"/>
  <c r="R81" i="14"/>
  <c r="R58" i="14"/>
  <c r="R41" i="14"/>
  <c r="R38" i="14"/>
  <c r="R17" i="14"/>
  <c r="R108" i="14"/>
  <c r="R56" i="14"/>
  <c r="R39" i="14"/>
  <c r="R19" i="14"/>
  <c r="R18" i="14"/>
  <c r="R113" i="14"/>
  <c r="R75" i="14"/>
  <c r="R34" i="14"/>
  <c r="O131" i="15"/>
  <c r="O127" i="15"/>
  <c r="O123" i="15"/>
  <c r="O128" i="15"/>
  <c r="O130" i="15"/>
  <c r="O129" i="15"/>
  <c r="O118" i="15"/>
  <c r="O114" i="15"/>
  <c r="O110" i="15"/>
  <c r="O106" i="15"/>
  <c r="O102" i="15"/>
  <c r="O98" i="15"/>
  <c r="O94" i="15"/>
  <c r="O90" i="15"/>
  <c r="O86" i="15"/>
  <c r="O82" i="15"/>
  <c r="O78" i="15"/>
  <c r="O74" i="15"/>
  <c r="O70" i="15"/>
  <c r="O66" i="15"/>
  <c r="O62" i="15"/>
  <c r="O58" i="15"/>
  <c r="O54" i="15"/>
  <c r="O50" i="15"/>
  <c r="O46" i="15"/>
  <c r="O42" i="15"/>
  <c r="O38" i="15"/>
  <c r="O34" i="15"/>
  <c r="O30" i="15"/>
  <c r="O26" i="15"/>
  <c r="O22" i="15"/>
  <c r="O18" i="15"/>
  <c r="O14" i="15"/>
  <c r="O10" i="15"/>
  <c r="O132" i="15"/>
  <c r="O117" i="15"/>
  <c r="O113" i="15"/>
  <c r="O109" i="15"/>
  <c r="O105" i="15"/>
  <c r="O101" i="15"/>
  <c r="O97" i="15"/>
  <c r="O93" i="15"/>
  <c r="O89" i="15"/>
  <c r="O85" i="15"/>
  <c r="O81" i="15"/>
  <c r="O77" i="15"/>
  <c r="O73" i="15"/>
  <c r="O69" i="15"/>
  <c r="O65" i="15"/>
  <c r="O61" i="15"/>
  <c r="O57" i="15"/>
  <c r="O53" i="15"/>
  <c r="O49" i="15"/>
  <c r="O45" i="15"/>
  <c r="O41" i="15"/>
  <c r="O37" i="15"/>
  <c r="O33" i="15"/>
  <c r="O29" i="15"/>
  <c r="O25" i="15"/>
  <c r="O21" i="15"/>
  <c r="O17" i="15"/>
  <c r="O13" i="15"/>
  <c r="O9" i="15"/>
  <c r="O122" i="15"/>
  <c r="O121" i="15"/>
  <c r="O120" i="15"/>
  <c r="O116" i="15"/>
  <c r="O112" i="15"/>
  <c r="O108" i="15"/>
  <c r="O104" i="15"/>
  <c r="O100" i="15"/>
  <c r="O96" i="15"/>
  <c r="O92" i="15"/>
  <c r="O124" i="15"/>
  <c r="O103" i="15"/>
  <c r="O115" i="15"/>
  <c r="O88" i="15"/>
  <c r="O80" i="15"/>
  <c r="O72" i="15"/>
  <c r="O64" i="15"/>
  <c r="O56" i="15"/>
  <c r="O48" i="15"/>
  <c r="O40" i="15"/>
  <c r="O32" i="15"/>
  <c r="O24" i="15"/>
  <c r="O16" i="15"/>
  <c r="O8" i="15"/>
  <c r="O95" i="15"/>
  <c r="O91" i="15"/>
  <c r="O83" i="15"/>
  <c r="O75" i="15"/>
  <c r="O67" i="15"/>
  <c r="O59" i="15"/>
  <c r="O51" i="15"/>
  <c r="O43" i="15"/>
  <c r="O35" i="15"/>
  <c r="O27" i="15"/>
  <c r="O19" i="15"/>
  <c r="O11" i="15"/>
  <c r="O107" i="15"/>
  <c r="O119" i="15"/>
  <c r="O126" i="15"/>
  <c r="O99" i="15"/>
  <c r="O84" i="15"/>
  <c r="O76" i="15"/>
  <c r="O68" i="15"/>
  <c r="O60" i="15"/>
  <c r="O52" i="15"/>
  <c r="O44" i="15"/>
  <c r="O36" i="15"/>
  <c r="O28" i="15"/>
  <c r="O20" i="15"/>
  <c r="O12" i="15"/>
  <c r="O31" i="15"/>
  <c r="O55" i="15"/>
  <c r="O79" i="15"/>
  <c r="O15" i="15"/>
  <c r="O39" i="15"/>
  <c r="O63" i="15"/>
  <c r="O125" i="15"/>
  <c r="O87" i="15"/>
  <c r="O23" i="15"/>
  <c r="O47" i="15"/>
  <c r="O111" i="15"/>
  <c r="O71" i="15"/>
  <c r="O7" i="15"/>
  <c r="T118" i="3"/>
  <c r="T117" i="3"/>
  <c r="T99" i="3"/>
  <c r="T95" i="3"/>
  <c r="T91" i="3"/>
  <c r="T87" i="3"/>
  <c r="T83" i="3"/>
  <c r="T79" i="3"/>
  <c r="T75" i="3"/>
  <c r="T71" i="3"/>
  <c r="T67" i="3"/>
  <c r="T63" i="3"/>
  <c r="T59" i="3"/>
  <c r="T55" i="3"/>
  <c r="T51" i="3"/>
  <c r="T47" i="3"/>
  <c r="T43" i="3"/>
  <c r="T122" i="3"/>
  <c r="T121" i="3"/>
  <c r="T106" i="3"/>
  <c r="T105" i="3"/>
  <c r="T102" i="3"/>
  <c r="T98" i="3"/>
  <c r="T94" i="3"/>
  <c r="T90" i="3"/>
  <c r="T86" i="3"/>
  <c r="T82" i="3"/>
  <c r="T78" i="3"/>
  <c r="T74" i="3"/>
  <c r="T126" i="3"/>
  <c r="T125" i="3"/>
  <c r="T110" i="3"/>
  <c r="T109" i="3"/>
  <c r="T101" i="3"/>
  <c r="T97" i="3"/>
  <c r="T93" i="3"/>
  <c r="T89" i="3"/>
  <c r="T85" i="3"/>
  <c r="T81" i="3"/>
  <c r="T77" i="3"/>
  <c r="T73" i="3"/>
  <c r="T69" i="3"/>
  <c r="T65" i="3"/>
  <c r="T61" i="3"/>
  <c r="T57" i="3"/>
  <c r="T128" i="3"/>
  <c r="T123" i="3"/>
  <c r="T111" i="3"/>
  <c r="T100" i="3"/>
  <c r="T58" i="3"/>
  <c r="T53" i="3"/>
  <c r="T42" i="3"/>
  <c r="T116" i="3"/>
  <c r="T104" i="3"/>
  <c r="T96" i="3"/>
  <c r="T60" i="3"/>
  <c r="T52" i="3"/>
  <c r="T41" i="3"/>
  <c r="T114" i="3"/>
  <c r="T92" i="3"/>
  <c r="T62" i="3"/>
  <c r="T50" i="3"/>
  <c r="T40" i="3"/>
  <c r="T36" i="3"/>
  <c r="T32" i="3"/>
  <c r="T28" i="3"/>
  <c r="T24" i="3"/>
  <c r="T20" i="3"/>
  <c r="T16" i="3"/>
  <c r="T12" i="3"/>
  <c r="T8" i="3"/>
  <c r="T132" i="3"/>
  <c r="T129" i="3"/>
  <c r="T113" i="3"/>
  <c r="T107" i="3"/>
  <c r="T68" i="3"/>
  <c r="T27" i="3"/>
  <c r="T26" i="3"/>
  <c r="T25" i="3"/>
  <c r="T11" i="3"/>
  <c r="T10" i="3"/>
  <c r="T9" i="3"/>
  <c r="T112" i="3"/>
  <c r="T66" i="3"/>
  <c r="T120" i="3"/>
  <c r="T54" i="3"/>
  <c r="T48" i="3"/>
  <c r="T45" i="3"/>
  <c r="T35" i="3"/>
  <c r="T34" i="3"/>
  <c r="T33" i="3"/>
  <c r="T19" i="3"/>
  <c r="T18" i="3"/>
  <c r="T17" i="3"/>
  <c r="T119" i="3"/>
  <c r="T103" i="3"/>
  <c r="T49" i="3"/>
  <c r="T130" i="3"/>
  <c r="T108" i="3"/>
  <c r="T115" i="3"/>
  <c r="T84" i="3"/>
  <c r="T64" i="3"/>
  <c r="T56" i="3"/>
  <c r="T127" i="3"/>
  <c r="T88" i="3"/>
  <c r="T72" i="3"/>
  <c r="T46" i="3"/>
  <c r="T38" i="3"/>
  <c r="T23" i="3"/>
  <c r="T21" i="3"/>
  <c r="T37" i="3"/>
  <c r="T30" i="3"/>
  <c r="T13" i="3"/>
  <c r="T44" i="3"/>
  <c r="T39" i="3"/>
  <c r="T29" i="3"/>
  <c r="T22" i="3"/>
  <c r="T15" i="3"/>
  <c r="T131" i="3"/>
  <c r="T80" i="3"/>
  <c r="T124" i="3"/>
  <c r="T70" i="3"/>
  <c r="T31" i="3"/>
  <c r="T14" i="3"/>
  <c r="T7" i="3"/>
  <c r="T76" i="3"/>
  <c r="U129" i="7"/>
  <c r="U125" i="7"/>
  <c r="U121" i="7"/>
  <c r="U117" i="7"/>
  <c r="U113" i="7"/>
  <c r="U109" i="7"/>
  <c r="U105" i="7"/>
  <c r="U101" i="7"/>
  <c r="U97" i="7"/>
  <c r="U93" i="7"/>
  <c r="AZ93" i="7" s="1"/>
  <c r="U89" i="7"/>
  <c r="U85" i="7"/>
  <c r="U81" i="7"/>
  <c r="U77" i="7"/>
  <c r="U123" i="7"/>
  <c r="U112" i="7"/>
  <c r="U102" i="7"/>
  <c r="U91" i="7"/>
  <c r="U132" i="7"/>
  <c r="U122" i="7"/>
  <c r="U111" i="7"/>
  <c r="U100" i="7"/>
  <c r="U90" i="7"/>
  <c r="U131" i="7"/>
  <c r="U120" i="7"/>
  <c r="U110" i="7"/>
  <c r="U99" i="7"/>
  <c r="U88" i="7"/>
  <c r="U130" i="7"/>
  <c r="U119" i="7"/>
  <c r="U108" i="7"/>
  <c r="U126" i="7"/>
  <c r="U115" i="7"/>
  <c r="U94" i="7"/>
  <c r="AZ94" i="7" s="1"/>
  <c r="U76" i="7"/>
  <c r="U124" i="7"/>
  <c r="U104" i="7"/>
  <c r="U98" i="7"/>
  <c r="U75" i="7"/>
  <c r="U70" i="7"/>
  <c r="U66" i="7"/>
  <c r="U62" i="7"/>
  <c r="AZ62" i="7" s="1"/>
  <c r="U58" i="7"/>
  <c r="U54" i="7"/>
  <c r="U50" i="7"/>
  <c r="U46" i="7"/>
  <c r="U42" i="7"/>
  <c r="U38" i="7"/>
  <c r="U34" i="7"/>
  <c r="U127" i="7"/>
  <c r="AZ127" i="7" s="1"/>
  <c r="U116" i="7"/>
  <c r="U92" i="7"/>
  <c r="U86" i="7"/>
  <c r="U73" i="7"/>
  <c r="U69" i="7"/>
  <c r="U65" i="7"/>
  <c r="U61" i="7"/>
  <c r="U57" i="7"/>
  <c r="AZ57" i="7" s="1"/>
  <c r="U53" i="7"/>
  <c r="U49" i="7"/>
  <c r="U45" i="7"/>
  <c r="U41" i="7"/>
  <c r="U37" i="7"/>
  <c r="U33" i="7"/>
  <c r="U96" i="7"/>
  <c r="U114" i="7"/>
  <c r="AZ114" i="7" s="1"/>
  <c r="U87" i="7"/>
  <c r="U83" i="7"/>
  <c r="U82" i="7"/>
  <c r="U80" i="7"/>
  <c r="U72" i="7"/>
  <c r="U68" i="7"/>
  <c r="U64" i="7"/>
  <c r="U60" i="7"/>
  <c r="AZ60" i="7" s="1"/>
  <c r="U56" i="7"/>
  <c r="U52" i="7"/>
  <c r="U51" i="7"/>
  <c r="U24" i="7"/>
  <c r="U23" i="7"/>
  <c r="U8" i="7"/>
  <c r="U7" i="7"/>
  <c r="U118" i="7"/>
  <c r="AZ118" i="7" s="1"/>
  <c r="U84" i="7"/>
  <c r="U74" i="7"/>
  <c r="U59" i="7"/>
  <c r="U28" i="7"/>
  <c r="U27" i="7"/>
  <c r="U12" i="7"/>
  <c r="U11" i="7"/>
  <c r="U107" i="7"/>
  <c r="AZ107" i="7" s="1"/>
  <c r="U103" i="7"/>
  <c r="U95" i="7"/>
  <c r="U67" i="7"/>
  <c r="U32" i="7"/>
  <c r="U31" i="7"/>
  <c r="U16" i="7"/>
  <c r="U15" i="7"/>
  <c r="U26" i="7"/>
  <c r="AZ26" i="7" s="1"/>
  <c r="U21" i="7"/>
  <c r="U14" i="7"/>
  <c r="U9" i="7"/>
  <c r="U55" i="7"/>
  <c r="U48" i="7"/>
  <c r="U43" i="7"/>
  <c r="U19" i="7"/>
  <c r="U79" i="7"/>
  <c r="AZ79" i="7" s="1"/>
  <c r="U40" i="7"/>
  <c r="U35" i="7"/>
  <c r="U29" i="7"/>
  <c r="U17" i="7"/>
  <c r="U106" i="7"/>
  <c r="U78" i="7"/>
  <c r="U25" i="7"/>
  <c r="U22" i="7"/>
  <c r="AZ22" i="7" s="1"/>
  <c r="U71" i="7"/>
  <c r="U30" i="7"/>
  <c r="U13" i="7"/>
  <c r="U10" i="7"/>
  <c r="U44" i="7"/>
  <c r="U36" i="7"/>
  <c r="U18" i="7"/>
  <c r="U63" i="7"/>
  <c r="AZ63" i="7" s="1"/>
  <c r="U128" i="7"/>
  <c r="U47" i="7"/>
  <c r="U39" i="7"/>
  <c r="U20" i="7"/>
  <c r="W131" i="15"/>
  <c r="W127" i="15"/>
  <c r="W123" i="15"/>
  <c r="W124" i="15"/>
  <c r="W126" i="15"/>
  <c r="W125" i="15"/>
  <c r="W118" i="15"/>
  <c r="W114" i="15"/>
  <c r="W110" i="15"/>
  <c r="W106" i="15"/>
  <c r="W102" i="15"/>
  <c r="W98" i="15"/>
  <c r="W94" i="15"/>
  <c r="W90" i="15"/>
  <c r="W86" i="15"/>
  <c r="W82" i="15"/>
  <c r="W78" i="15"/>
  <c r="W74" i="15"/>
  <c r="W70" i="15"/>
  <c r="W66" i="15"/>
  <c r="W62" i="15"/>
  <c r="W58" i="15"/>
  <c r="W54" i="15"/>
  <c r="W50" i="15"/>
  <c r="W46" i="15"/>
  <c r="W42" i="15"/>
  <c r="W38" i="15"/>
  <c r="W34" i="15"/>
  <c r="W30" i="15"/>
  <c r="W26" i="15"/>
  <c r="W22" i="15"/>
  <c r="W18" i="15"/>
  <c r="W14" i="15"/>
  <c r="W10" i="15"/>
  <c r="W128" i="15"/>
  <c r="W130" i="15"/>
  <c r="W129" i="15"/>
  <c r="W117" i="15"/>
  <c r="W113" i="15"/>
  <c r="W109" i="15"/>
  <c r="W105" i="15"/>
  <c r="W101" i="15"/>
  <c r="W97" i="15"/>
  <c r="W93" i="15"/>
  <c r="W89" i="15"/>
  <c r="W85" i="15"/>
  <c r="W81" i="15"/>
  <c r="W77" i="15"/>
  <c r="W73" i="15"/>
  <c r="W69" i="15"/>
  <c r="W65" i="15"/>
  <c r="W61" i="15"/>
  <c r="W57" i="15"/>
  <c r="W53" i="15"/>
  <c r="W49" i="15"/>
  <c r="W45" i="15"/>
  <c r="W41" i="15"/>
  <c r="W37" i="15"/>
  <c r="W33" i="15"/>
  <c r="W29" i="15"/>
  <c r="W25" i="15"/>
  <c r="W21" i="15"/>
  <c r="W17" i="15"/>
  <c r="W13" i="15"/>
  <c r="W9" i="15"/>
  <c r="W132" i="15"/>
  <c r="W116" i="15"/>
  <c r="W112" i="15"/>
  <c r="W108" i="15"/>
  <c r="W104" i="15"/>
  <c r="W100" i="15"/>
  <c r="W96" i="15"/>
  <c r="W92" i="15"/>
  <c r="W120" i="15"/>
  <c r="W103" i="15"/>
  <c r="W122" i="15"/>
  <c r="W115" i="15"/>
  <c r="W121" i="15"/>
  <c r="W95" i="15"/>
  <c r="W84" i="15"/>
  <c r="W76" i="15"/>
  <c r="W68" i="15"/>
  <c r="W60" i="15"/>
  <c r="W52" i="15"/>
  <c r="W44" i="15"/>
  <c r="W36" i="15"/>
  <c r="W28" i="15"/>
  <c r="W20" i="15"/>
  <c r="W12" i="15"/>
  <c r="W107" i="15"/>
  <c r="W87" i="15"/>
  <c r="W79" i="15"/>
  <c r="W71" i="15"/>
  <c r="W63" i="15"/>
  <c r="W55" i="15"/>
  <c r="W47" i="15"/>
  <c r="W39" i="15"/>
  <c r="W31" i="15"/>
  <c r="W23" i="15"/>
  <c r="W15" i="15"/>
  <c r="W7" i="15"/>
  <c r="W119" i="15"/>
  <c r="W99" i="15"/>
  <c r="W111" i="15"/>
  <c r="W88" i="15"/>
  <c r="W80" i="15"/>
  <c r="W72" i="15"/>
  <c r="W64" i="15"/>
  <c r="W56" i="15"/>
  <c r="W48" i="15"/>
  <c r="W40" i="15"/>
  <c r="W32" i="15"/>
  <c r="W24" i="15"/>
  <c r="W16" i="15"/>
  <c r="W8" i="15"/>
  <c r="W43" i="15"/>
  <c r="W67" i="15"/>
  <c r="W91" i="15"/>
  <c r="W27" i="15"/>
  <c r="W51" i="15"/>
  <c r="W75" i="15"/>
  <c r="W11" i="15"/>
  <c r="W35" i="15"/>
  <c r="W59" i="15"/>
  <c r="W19" i="15"/>
  <c r="W83" i="15"/>
  <c r="S129" i="3"/>
  <c r="S125" i="3"/>
  <c r="S121" i="3"/>
  <c r="S117" i="3"/>
  <c r="S113" i="3"/>
  <c r="S109" i="3"/>
  <c r="S105" i="3"/>
  <c r="S131" i="3"/>
  <c r="S127" i="3"/>
  <c r="S123" i="3"/>
  <c r="S119" i="3"/>
  <c r="S115" i="3"/>
  <c r="S111" i="3"/>
  <c r="S107" i="3"/>
  <c r="S103" i="3"/>
  <c r="S132" i="3"/>
  <c r="S116" i="3"/>
  <c r="S120" i="3"/>
  <c r="S104" i="3"/>
  <c r="S124" i="3"/>
  <c r="S108" i="3"/>
  <c r="S130" i="3"/>
  <c r="S118" i="3"/>
  <c r="S106" i="3"/>
  <c r="S95" i="3"/>
  <c r="S86" i="3"/>
  <c r="S77" i="3"/>
  <c r="S72" i="3"/>
  <c r="S57" i="3"/>
  <c r="S56" i="3"/>
  <c r="S54" i="3"/>
  <c r="S44" i="3"/>
  <c r="S43" i="3"/>
  <c r="S128" i="3"/>
  <c r="S100" i="3"/>
  <c r="S91" i="3"/>
  <c r="S82" i="3"/>
  <c r="S73" i="3"/>
  <c r="S59" i="3"/>
  <c r="S58" i="3"/>
  <c r="S53" i="3"/>
  <c r="S42" i="3"/>
  <c r="S37" i="3"/>
  <c r="S33" i="3"/>
  <c r="S29" i="3"/>
  <c r="S25" i="3"/>
  <c r="S21" i="3"/>
  <c r="S17" i="3"/>
  <c r="S13" i="3"/>
  <c r="S9" i="3"/>
  <c r="S126" i="3"/>
  <c r="S101" i="3"/>
  <c r="S96" i="3"/>
  <c r="S87" i="3"/>
  <c r="S78" i="3"/>
  <c r="S61" i="3"/>
  <c r="S60" i="3"/>
  <c r="S52" i="3"/>
  <c r="S51" i="3"/>
  <c r="S41" i="3"/>
  <c r="S110" i="3"/>
  <c r="S102" i="3"/>
  <c r="S98" i="3"/>
  <c r="S94" i="3"/>
  <c r="S90" i="3"/>
  <c r="S70" i="3"/>
  <c r="S50" i="3"/>
  <c r="S68" i="3"/>
  <c r="S97" i="3"/>
  <c r="S93" i="3"/>
  <c r="S89" i="3"/>
  <c r="S85" i="3"/>
  <c r="S81" i="3"/>
  <c r="S71" i="3"/>
  <c r="S64" i="3"/>
  <c r="S32" i="3"/>
  <c r="S31" i="3"/>
  <c r="S30" i="3"/>
  <c r="S16" i="3"/>
  <c r="S15" i="3"/>
  <c r="S14" i="3"/>
  <c r="S114" i="3"/>
  <c r="S69" i="3"/>
  <c r="S62" i="3"/>
  <c r="S48" i="3"/>
  <c r="S122" i="3"/>
  <c r="S99" i="3"/>
  <c r="S74" i="3"/>
  <c r="S67" i="3"/>
  <c r="S45" i="3"/>
  <c r="S36" i="3"/>
  <c r="S35" i="3"/>
  <c r="S34" i="3"/>
  <c r="S20" i="3"/>
  <c r="S19" i="3"/>
  <c r="S18" i="3"/>
  <c r="S80" i="3"/>
  <c r="S39" i="3"/>
  <c r="S24" i="3"/>
  <c r="S22" i="3"/>
  <c r="S7" i="3"/>
  <c r="S79" i="3"/>
  <c r="S47" i="3"/>
  <c r="S28" i="3"/>
  <c r="S26" i="3"/>
  <c r="S11" i="3"/>
  <c r="S83" i="3"/>
  <c r="S63" i="3"/>
  <c r="S55" i="3"/>
  <c r="S49" i="3"/>
  <c r="S84" i="3"/>
  <c r="S76" i="3"/>
  <c r="S40" i="3"/>
  <c r="S23" i="3"/>
  <c r="S92" i="3"/>
  <c r="S75" i="3"/>
  <c r="S66" i="3"/>
  <c r="S12" i="3"/>
  <c r="S112" i="3"/>
  <c r="S65" i="3"/>
  <c r="S8" i="3"/>
  <c r="S88" i="3"/>
  <c r="S38" i="3"/>
  <c r="S46" i="3"/>
  <c r="S27" i="3"/>
  <c r="S10" i="3"/>
  <c r="V132" i="7"/>
  <c r="V122" i="7"/>
  <c r="V111" i="7"/>
  <c r="V101" i="7"/>
  <c r="V100" i="7"/>
  <c r="V90" i="7"/>
  <c r="V131" i="7"/>
  <c r="V121" i="7"/>
  <c r="V120" i="7"/>
  <c r="V110" i="7"/>
  <c r="V99" i="7"/>
  <c r="V89" i="7"/>
  <c r="V88" i="7"/>
  <c r="V130" i="7"/>
  <c r="V119" i="7"/>
  <c r="V109" i="7"/>
  <c r="V108" i="7"/>
  <c r="V98" i="7"/>
  <c r="V87" i="7"/>
  <c r="V129" i="7"/>
  <c r="V128" i="7"/>
  <c r="V118" i="7"/>
  <c r="V107" i="7"/>
  <c r="V124" i="7"/>
  <c r="V104" i="7"/>
  <c r="V91" i="7"/>
  <c r="V85" i="7"/>
  <c r="V75" i="7"/>
  <c r="V70" i="7"/>
  <c r="V66" i="7"/>
  <c r="V62" i="7"/>
  <c r="V58" i="7"/>
  <c r="V54" i="7"/>
  <c r="V50" i="7"/>
  <c r="V46" i="7"/>
  <c r="V42" i="7"/>
  <c r="V38" i="7"/>
  <c r="V34" i="7"/>
  <c r="V30" i="7"/>
  <c r="V26" i="7"/>
  <c r="V22" i="7"/>
  <c r="V18" i="7"/>
  <c r="V14" i="7"/>
  <c r="V10" i="7"/>
  <c r="V113" i="7"/>
  <c r="V95" i="7"/>
  <c r="V74" i="7"/>
  <c r="V105" i="7"/>
  <c r="V96" i="7"/>
  <c r="V125" i="7"/>
  <c r="V114" i="7"/>
  <c r="V102" i="7"/>
  <c r="V83" i="7"/>
  <c r="V82" i="7"/>
  <c r="V81" i="7"/>
  <c r="V80" i="7"/>
  <c r="V72" i="7"/>
  <c r="V68" i="7"/>
  <c r="V64" i="7"/>
  <c r="V60" i="7"/>
  <c r="V56" i="7"/>
  <c r="V52" i="7"/>
  <c r="V48" i="7"/>
  <c r="V44" i="7"/>
  <c r="V40" i="7"/>
  <c r="V36" i="7"/>
  <c r="V32" i="7"/>
  <c r="V28" i="7"/>
  <c r="V24" i="7"/>
  <c r="V20" i="7"/>
  <c r="V16" i="7"/>
  <c r="V12" i="7"/>
  <c r="V8" i="7"/>
  <c r="V123" i="7"/>
  <c r="V112" i="7"/>
  <c r="V93" i="7"/>
  <c r="V84" i="7"/>
  <c r="V79" i="7"/>
  <c r="V77" i="7"/>
  <c r="V55" i="7"/>
  <c r="V53" i="7"/>
  <c r="V47" i="7"/>
  <c r="V39" i="7"/>
  <c r="V25" i="7"/>
  <c r="V9" i="7"/>
  <c r="V92" i="7"/>
  <c r="V63" i="7"/>
  <c r="V61" i="7"/>
  <c r="V45" i="7"/>
  <c r="V37" i="7"/>
  <c r="V29" i="7"/>
  <c r="V13" i="7"/>
  <c r="V78" i="7"/>
  <c r="V71" i="7"/>
  <c r="V69" i="7"/>
  <c r="V43" i="7"/>
  <c r="V35" i="7"/>
  <c r="V17" i="7"/>
  <c r="V126" i="7"/>
  <c r="V103" i="7"/>
  <c r="V97" i="7"/>
  <c r="V76" i="7"/>
  <c r="V33" i="7"/>
  <c r="V31" i="7"/>
  <c r="V19" i="7"/>
  <c r="V117" i="7"/>
  <c r="V65" i="7"/>
  <c r="V7" i="7"/>
  <c r="V116" i="7"/>
  <c r="V51" i="7"/>
  <c r="V86" i="7"/>
  <c r="V94" i="7"/>
  <c r="V27" i="7"/>
  <c r="V11" i="7"/>
  <c r="V127" i="7"/>
  <c r="V49" i="7"/>
  <c r="V59" i="7"/>
  <c r="V21" i="7"/>
  <c r="V15" i="7"/>
  <c r="V73" i="7"/>
  <c r="V57" i="7"/>
  <c r="V115" i="7"/>
  <c r="V67" i="7"/>
  <c r="V41" i="7"/>
  <c r="V23" i="7"/>
  <c r="V106" i="7"/>
  <c r="P132" i="15"/>
  <c r="P128" i="15"/>
  <c r="P124" i="15"/>
  <c r="P130" i="15"/>
  <c r="P129" i="15"/>
  <c r="P118" i="15"/>
  <c r="P114" i="15"/>
  <c r="P110" i="15"/>
  <c r="P106" i="15"/>
  <c r="P102" i="15"/>
  <c r="P98" i="15"/>
  <c r="P94" i="15"/>
  <c r="P131" i="15"/>
  <c r="P117" i="15"/>
  <c r="P113" i="15"/>
  <c r="P109" i="15"/>
  <c r="P105" i="15"/>
  <c r="P101" i="15"/>
  <c r="P97" i="15"/>
  <c r="P93" i="15"/>
  <c r="P89" i="15"/>
  <c r="P85" i="15"/>
  <c r="P81" i="15"/>
  <c r="P77" i="15"/>
  <c r="P73" i="15"/>
  <c r="P69" i="15"/>
  <c r="P65" i="15"/>
  <c r="P61" i="15"/>
  <c r="P57" i="15"/>
  <c r="P53" i="15"/>
  <c r="P49" i="15"/>
  <c r="P45" i="15"/>
  <c r="P41" i="15"/>
  <c r="P37" i="15"/>
  <c r="P33" i="15"/>
  <c r="P29" i="15"/>
  <c r="P25" i="15"/>
  <c r="P21" i="15"/>
  <c r="P17" i="15"/>
  <c r="P13" i="15"/>
  <c r="P9" i="15"/>
  <c r="P122" i="15"/>
  <c r="P121" i="15"/>
  <c r="P120" i="15"/>
  <c r="P116" i="15"/>
  <c r="P112" i="15"/>
  <c r="P108" i="15"/>
  <c r="P104" i="15"/>
  <c r="P100" i="15"/>
  <c r="P96" i="15"/>
  <c r="P92" i="15"/>
  <c r="P123" i="15"/>
  <c r="P126" i="15"/>
  <c r="P125" i="15"/>
  <c r="P119" i="15"/>
  <c r="P115" i="15"/>
  <c r="P111" i="15"/>
  <c r="P107" i="15"/>
  <c r="P103" i="15"/>
  <c r="P99" i="15"/>
  <c r="P95" i="15"/>
  <c r="P91" i="15"/>
  <c r="P87" i="15"/>
  <c r="P83" i="15"/>
  <c r="P79" i="15"/>
  <c r="P75" i="15"/>
  <c r="P71" i="15"/>
  <c r="P67" i="15"/>
  <c r="P63" i="15"/>
  <c r="P59" i="15"/>
  <c r="P55" i="15"/>
  <c r="P51" i="15"/>
  <c r="P47" i="15"/>
  <c r="P43" i="15"/>
  <c r="P39" i="15"/>
  <c r="P35" i="15"/>
  <c r="P31" i="15"/>
  <c r="P27" i="15"/>
  <c r="P23" i="15"/>
  <c r="P19" i="15"/>
  <c r="P15" i="15"/>
  <c r="P11" i="15"/>
  <c r="P7" i="15"/>
  <c r="P90" i="15"/>
  <c r="P82" i="15"/>
  <c r="P74" i="15"/>
  <c r="P66" i="15"/>
  <c r="P58" i="15"/>
  <c r="P50" i="15"/>
  <c r="P42" i="15"/>
  <c r="P34" i="15"/>
  <c r="P26" i="15"/>
  <c r="P18" i="15"/>
  <c r="P10" i="15"/>
  <c r="P88" i="15"/>
  <c r="P80" i="15"/>
  <c r="P72" i="15"/>
  <c r="P64" i="15"/>
  <c r="P56" i="15"/>
  <c r="P48" i="15"/>
  <c r="P40" i="15"/>
  <c r="P32" i="15"/>
  <c r="P24" i="15"/>
  <c r="P16" i="15"/>
  <c r="P8" i="15"/>
  <c r="P86" i="15"/>
  <c r="P78" i="15"/>
  <c r="P70" i="15"/>
  <c r="P62" i="15"/>
  <c r="P54" i="15"/>
  <c r="P46" i="15"/>
  <c r="P38" i="15"/>
  <c r="P30" i="15"/>
  <c r="P22" i="15"/>
  <c r="P14" i="15"/>
  <c r="P127" i="15"/>
  <c r="P84" i="15"/>
  <c r="P76" i="15"/>
  <c r="P68" i="15"/>
  <c r="P60" i="15"/>
  <c r="P52" i="15"/>
  <c r="P44" i="15"/>
  <c r="P36" i="15"/>
  <c r="P28" i="15"/>
  <c r="P20" i="15"/>
  <c r="P12" i="15"/>
  <c r="Q131" i="14"/>
  <c r="Q127" i="14"/>
  <c r="Q123" i="14"/>
  <c r="Q132" i="14"/>
  <c r="Q121" i="14"/>
  <c r="Q117" i="14"/>
  <c r="Q113" i="14"/>
  <c r="Q109" i="14"/>
  <c r="Q105" i="14"/>
  <c r="Q101" i="14"/>
  <c r="Q97" i="14"/>
  <c r="Q93" i="14"/>
  <c r="Q89" i="14"/>
  <c r="Q85" i="14"/>
  <c r="Q81" i="14"/>
  <c r="Q77" i="14"/>
  <c r="Q73" i="14"/>
  <c r="Q69" i="14"/>
  <c r="Q65" i="14"/>
  <c r="Q61" i="14"/>
  <c r="Q61" i="27" s="1"/>
  <c r="Q57" i="14"/>
  <c r="Q53" i="14"/>
  <c r="Q49" i="14"/>
  <c r="Q45" i="14"/>
  <c r="Q41" i="14"/>
  <c r="Q128" i="14"/>
  <c r="Q126" i="14"/>
  <c r="Q126" i="27" s="1"/>
  <c r="Q119" i="14"/>
  <c r="Q115" i="14"/>
  <c r="Q111" i="14"/>
  <c r="Q107" i="14"/>
  <c r="Q103" i="14"/>
  <c r="Q99" i="14"/>
  <c r="Q95" i="14"/>
  <c r="Q91" i="14"/>
  <c r="Q87" i="14"/>
  <c r="Q83" i="14"/>
  <c r="Q79" i="14"/>
  <c r="Q75" i="14"/>
  <c r="Q71" i="14"/>
  <c r="Q67" i="14"/>
  <c r="Q63" i="14"/>
  <c r="Q59" i="14"/>
  <c r="Q55" i="14"/>
  <c r="Q51" i="14"/>
  <c r="Q47" i="14"/>
  <c r="Q43" i="14"/>
  <c r="Q125" i="14"/>
  <c r="Q125" i="27" s="1"/>
  <c r="Q122" i="14"/>
  <c r="Q76" i="14"/>
  <c r="Q60" i="14"/>
  <c r="Q44" i="14"/>
  <c r="Q38" i="14"/>
  <c r="Q34" i="14"/>
  <c r="Q30" i="14"/>
  <c r="Q26" i="14"/>
  <c r="Q22" i="14"/>
  <c r="Q18" i="14"/>
  <c r="Q14" i="14"/>
  <c r="Q10" i="14"/>
  <c r="Q82" i="14"/>
  <c r="Q62" i="14"/>
  <c r="Q46" i="14"/>
  <c r="Q118" i="14"/>
  <c r="Q118" i="27" s="1"/>
  <c r="Q110" i="14"/>
  <c r="Q102" i="14"/>
  <c r="Q94" i="14"/>
  <c r="Q86" i="14"/>
  <c r="Q66" i="14"/>
  <c r="Q50" i="14"/>
  <c r="Q108" i="14"/>
  <c r="Q90" i="14"/>
  <c r="Q56" i="14"/>
  <c r="Q39" i="14"/>
  <c r="Q20" i="14"/>
  <c r="Q19" i="14"/>
  <c r="Q129" i="14"/>
  <c r="Q100" i="14"/>
  <c r="Q78" i="14"/>
  <c r="Q54" i="14"/>
  <c r="Q35" i="14"/>
  <c r="Q21" i="14"/>
  <c r="Q120" i="14"/>
  <c r="Q92" i="14"/>
  <c r="Q80" i="14"/>
  <c r="Q64" i="14"/>
  <c r="Q52" i="14"/>
  <c r="Q42" i="14"/>
  <c r="Q36" i="14"/>
  <c r="Q31" i="14"/>
  <c r="Q24" i="14"/>
  <c r="Q23" i="14"/>
  <c r="Q8" i="14"/>
  <c r="Q7" i="14"/>
  <c r="Q112" i="14"/>
  <c r="Q84" i="14"/>
  <c r="Q84" i="27" s="1"/>
  <c r="Q40" i="14"/>
  <c r="Q40" i="27" s="1"/>
  <c r="Q32" i="14"/>
  <c r="Q25" i="14"/>
  <c r="Q9" i="14"/>
  <c r="Q9" i="27" s="1"/>
  <c r="Q104" i="14"/>
  <c r="Q74" i="14"/>
  <c r="Q37" i="14"/>
  <c r="Q28" i="14"/>
  <c r="Q28" i="27" s="1"/>
  <c r="Q27" i="14"/>
  <c r="Q12" i="14"/>
  <c r="Q11" i="14"/>
  <c r="Q114" i="14"/>
  <c r="Q96" i="14"/>
  <c r="Q72" i="14"/>
  <c r="Q48" i="14"/>
  <c r="Q33" i="14"/>
  <c r="Q13" i="14"/>
  <c r="Q130" i="14"/>
  <c r="Q130" i="27" s="1"/>
  <c r="Q106" i="14"/>
  <c r="Q88" i="14"/>
  <c r="Q70" i="14"/>
  <c r="Q29" i="14"/>
  <c r="Q16" i="14"/>
  <c r="Q15" i="14"/>
  <c r="Q58" i="14"/>
  <c r="Q58" i="27" s="1"/>
  <c r="Q124" i="14"/>
  <c r="Q68" i="14"/>
  <c r="Q98" i="14"/>
  <c r="Q116" i="14"/>
  <c r="Q116" i="27" s="1"/>
  <c r="Q17" i="14"/>
  <c r="W86" i="12" l="1"/>
  <c r="W130" i="12"/>
  <c r="W89" i="12"/>
  <c r="W75" i="12"/>
  <c r="W81" i="12"/>
  <c r="W81" i="27" s="1"/>
  <c r="W90" i="12"/>
  <c r="W90" i="27" s="1"/>
  <c r="Q21" i="27"/>
  <c r="P44" i="12"/>
  <c r="P68" i="12"/>
  <c r="P83" i="12"/>
  <c r="P83" i="31" s="1"/>
  <c r="P22" i="12"/>
  <c r="P95" i="12"/>
  <c r="P95" i="31" s="1"/>
  <c r="W18" i="12"/>
  <c r="W18" i="16" s="1"/>
  <c r="Q120" i="12"/>
  <c r="Q72" i="27"/>
  <c r="Q85" i="27"/>
  <c r="P28" i="12"/>
  <c r="P28" i="31" s="1"/>
  <c r="W97" i="12"/>
  <c r="W97" i="27" s="1"/>
  <c r="W93" i="12"/>
  <c r="W93" i="31" s="1"/>
  <c r="W66" i="12"/>
  <c r="W23" i="12"/>
  <c r="W23" i="16" s="1"/>
  <c r="W102" i="12"/>
  <c r="Q56" i="12"/>
  <c r="Q56" i="27" s="1"/>
  <c r="Q104" i="27"/>
  <c r="Q83" i="27"/>
  <c r="P74" i="12"/>
  <c r="P108" i="12"/>
  <c r="W70" i="12"/>
  <c r="W28" i="12"/>
  <c r="W28" i="27" s="1"/>
  <c r="Q89" i="12"/>
  <c r="Q89" i="27" s="1"/>
  <c r="Q41" i="12"/>
  <c r="Q41" i="27" s="1"/>
  <c r="Q92" i="12"/>
  <c r="Q92" i="27" s="1"/>
  <c r="P36" i="12"/>
  <c r="P36" i="31" s="1"/>
  <c r="P9" i="12"/>
  <c r="P9" i="31" s="1"/>
  <c r="P73" i="12"/>
  <c r="P109" i="12"/>
  <c r="W29" i="12"/>
  <c r="W29" i="16" s="1"/>
  <c r="W25" i="12"/>
  <c r="W109" i="12"/>
  <c r="Q13" i="12"/>
  <c r="Q13" i="27" s="1"/>
  <c r="Q93" i="12"/>
  <c r="Q93" i="27" s="1"/>
  <c r="W53" i="12"/>
  <c r="W53" i="27" s="1"/>
  <c r="W49" i="12"/>
  <c r="W49" i="31" s="1"/>
  <c r="W84" i="12"/>
  <c r="W116" i="12"/>
  <c r="W116" i="16" s="1"/>
  <c r="Q117" i="12"/>
  <c r="Q117" i="27" s="1"/>
  <c r="S145" i="3"/>
  <c r="P11" i="12"/>
  <c r="P11" i="27" s="1"/>
  <c r="Q105" i="12"/>
  <c r="Q105" i="27" s="1"/>
  <c r="P76" i="31"/>
  <c r="P84" i="31"/>
  <c r="P53" i="31"/>
  <c r="P112" i="31"/>
  <c r="P111" i="31"/>
  <c r="W129" i="31"/>
  <c r="W77" i="31"/>
  <c r="W126" i="31"/>
  <c r="P52" i="31"/>
  <c r="P73" i="31"/>
  <c r="P109" i="31"/>
  <c r="W81" i="31"/>
  <c r="W25" i="31"/>
  <c r="P44" i="31"/>
  <c r="P68" i="31"/>
  <c r="P22" i="31"/>
  <c r="W69" i="31"/>
  <c r="W107" i="31"/>
  <c r="W106" i="31"/>
  <c r="W72" i="31"/>
  <c r="Q120" i="31"/>
  <c r="Q86" i="31"/>
  <c r="Q21" i="31"/>
  <c r="Q98" i="12"/>
  <c r="Q98" i="31" s="1"/>
  <c r="Q59" i="31"/>
  <c r="Q79" i="12"/>
  <c r="Q79" i="31" s="1"/>
  <c r="Q111" i="12"/>
  <c r="Q111" i="31" s="1"/>
  <c r="P121" i="27"/>
  <c r="P115" i="27"/>
  <c r="W49" i="27"/>
  <c r="W9" i="31"/>
  <c r="Q104" i="31"/>
  <c r="Q118" i="31"/>
  <c r="Q58" i="31"/>
  <c r="Q126" i="31"/>
  <c r="Q83" i="31"/>
  <c r="P115" i="31"/>
  <c r="W113" i="31"/>
  <c r="W79" i="31"/>
  <c r="W21" i="31"/>
  <c r="W86" i="31"/>
  <c r="Q28" i="31"/>
  <c r="Q84" i="31"/>
  <c r="Q61" i="31"/>
  <c r="Q130" i="31"/>
  <c r="Q125" i="31"/>
  <c r="O138" i="15"/>
  <c r="O144" i="15"/>
  <c r="P64" i="16"/>
  <c r="P64" i="31"/>
  <c r="P87" i="12"/>
  <c r="P87" i="31" s="1"/>
  <c r="P116" i="31"/>
  <c r="P29" i="12"/>
  <c r="P29" i="31" s="1"/>
  <c r="P61" i="12"/>
  <c r="P61" i="31" s="1"/>
  <c r="P75" i="12"/>
  <c r="P120" i="31"/>
  <c r="W130" i="16"/>
  <c r="W130" i="31"/>
  <c r="W111" i="16"/>
  <c r="W111" i="31"/>
  <c r="W78" i="31"/>
  <c r="W45" i="12"/>
  <c r="W45" i="31" s="1"/>
  <c r="W62" i="12"/>
  <c r="W62" i="27" s="1"/>
  <c r="W33" i="12"/>
  <c r="W101" i="12"/>
  <c r="W101" i="31" s="1"/>
  <c r="Q85" i="31"/>
  <c r="Q52" i="12"/>
  <c r="Q52" i="31" s="1"/>
  <c r="Q39" i="12"/>
  <c r="Q39" i="31" s="1"/>
  <c r="Q71" i="12"/>
  <c r="Q71" i="31" s="1"/>
  <c r="R146" i="7"/>
  <c r="Q145" i="3"/>
  <c r="P24" i="31"/>
  <c r="P33" i="31"/>
  <c r="P85" i="12"/>
  <c r="P85" i="31" s="1"/>
  <c r="P15" i="12"/>
  <c r="P15" i="31" s="1"/>
  <c r="P47" i="12"/>
  <c r="P47" i="31" s="1"/>
  <c r="P121" i="31"/>
  <c r="W66" i="31"/>
  <c r="W37" i="31"/>
  <c r="W71" i="12"/>
  <c r="W71" i="31" s="1"/>
  <c r="W102" i="31"/>
  <c r="Q40" i="31"/>
  <c r="Q37" i="12"/>
  <c r="Q37" i="31" s="1"/>
  <c r="Q56" i="31"/>
  <c r="Q70" i="12"/>
  <c r="Q70" i="31" s="1"/>
  <c r="W146" i="21"/>
  <c r="Q70" i="27"/>
  <c r="P20" i="12"/>
  <c r="P20" i="31" s="1"/>
  <c r="P74" i="31"/>
  <c r="P108" i="31"/>
  <c r="W114" i="31"/>
  <c r="W70" i="31"/>
  <c r="W89" i="31"/>
  <c r="W75" i="31"/>
  <c r="W28" i="31"/>
  <c r="R122" i="12"/>
  <c r="R122" i="31" s="1"/>
  <c r="R99" i="12"/>
  <c r="R99" i="31" s="1"/>
  <c r="Q144" i="15"/>
  <c r="P140" i="7"/>
  <c r="Q89" i="31"/>
  <c r="Q9" i="31"/>
  <c r="Q41" i="31"/>
  <c r="Q73" i="12"/>
  <c r="Q73" i="31" s="1"/>
  <c r="Q72" i="31"/>
  <c r="P123" i="31"/>
  <c r="W29" i="31"/>
  <c r="W109" i="31"/>
  <c r="W90" i="31"/>
  <c r="Q116" i="31"/>
  <c r="Q93" i="31"/>
  <c r="P12" i="12"/>
  <c r="P12" i="31" s="1"/>
  <c r="P48" i="31"/>
  <c r="P124" i="12"/>
  <c r="P124" i="31" s="1"/>
  <c r="P88" i="12"/>
  <c r="P88" i="31" s="1"/>
  <c r="W53" i="31"/>
  <c r="W105" i="12"/>
  <c r="W105" i="31" s="1"/>
  <c r="W68" i="12"/>
  <c r="W68" i="31" s="1"/>
  <c r="W84" i="31"/>
  <c r="Q36" i="12"/>
  <c r="Q36" i="31" s="1"/>
  <c r="Q17" i="12"/>
  <c r="Q17" i="31" s="1"/>
  <c r="Q82" i="12"/>
  <c r="Q82" i="31" s="1"/>
  <c r="Q30" i="12"/>
  <c r="Q30" i="31" s="1"/>
  <c r="Q122" i="12"/>
  <c r="Q122" i="31" s="1"/>
  <c r="Q79" i="27"/>
  <c r="Q111" i="27"/>
  <c r="Q86" i="27"/>
  <c r="Q120" i="27"/>
  <c r="Q59" i="27"/>
  <c r="P22" i="27"/>
  <c r="P123" i="27"/>
  <c r="P64" i="27"/>
  <c r="P44" i="27"/>
  <c r="P74" i="27"/>
  <c r="P87" i="27"/>
  <c r="W33" i="27"/>
  <c r="W69" i="27"/>
  <c r="W130" i="27"/>
  <c r="P24" i="27"/>
  <c r="P109" i="27"/>
  <c r="P75" i="27"/>
  <c r="W113" i="27"/>
  <c r="W21" i="27"/>
  <c r="W29" i="27"/>
  <c r="W89" i="27"/>
  <c r="W111" i="27"/>
  <c r="W79" i="27"/>
  <c r="W66" i="27"/>
  <c r="P28" i="27"/>
  <c r="P47" i="27"/>
  <c r="W126" i="27"/>
  <c r="W77" i="27"/>
  <c r="W107" i="27"/>
  <c r="W129" i="27"/>
  <c r="W70" i="27"/>
  <c r="W102" i="27"/>
  <c r="P36" i="27"/>
  <c r="P68" i="27"/>
  <c r="P29" i="27"/>
  <c r="P83" i="27"/>
  <c r="P61" i="27"/>
  <c r="P108" i="27"/>
  <c r="W72" i="27"/>
  <c r="W106" i="27"/>
  <c r="P52" i="27"/>
  <c r="P33" i="27"/>
  <c r="P76" i="27"/>
  <c r="P112" i="27"/>
  <c r="W9" i="27"/>
  <c r="W78" i="27"/>
  <c r="P53" i="27"/>
  <c r="P73" i="27"/>
  <c r="P84" i="27"/>
  <c r="P116" i="27"/>
  <c r="W109" i="27"/>
  <c r="W75" i="27"/>
  <c r="W114" i="27"/>
  <c r="P9" i="27"/>
  <c r="P48" i="27"/>
  <c r="P111" i="27"/>
  <c r="P120" i="27"/>
  <c r="W25" i="27"/>
  <c r="W93" i="27"/>
  <c r="W37" i="27"/>
  <c r="W84" i="27"/>
  <c r="W116" i="27"/>
  <c r="W86" i="27"/>
  <c r="W45" i="16"/>
  <c r="P146" i="14"/>
  <c r="S140" i="14"/>
  <c r="T146" i="20"/>
  <c r="T138" i="20"/>
  <c r="O139" i="20"/>
  <c r="R140" i="20"/>
  <c r="P17" i="12"/>
  <c r="P49" i="12"/>
  <c r="P54" i="12"/>
  <c r="P125" i="12"/>
  <c r="P31" i="12"/>
  <c r="P63" i="12"/>
  <c r="P63" i="31" s="1"/>
  <c r="P94" i="12"/>
  <c r="W50" i="12"/>
  <c r="W55" i="12"/>
  <c r="W40" i="12"/>
  <c r="Q132" i="12"/>
  <c r="Q38" i="12"/>
  <c r="Q109" i="12"/>
  <c r="P21" i="12"/>
  <c r="P21" i="16" s="1"/>
  <c r="P26" i="12"/>
  <c r="P58" i="12"/>
  <c r="P100" i="12"/>
  <c r="P35" i="12"/>
  <c r="P104" i="12"/>
  <c r="P98" i="12"/>
  <c r="W22" i="12"/>
  <c r="W54" i="12"/>
  <c r="W54" i="16" s="1"/>
  <c r="W123" i="12"/>
  <c r="W121" i="12"/>
  <c r="W59" i="12"/>
  <c r="W76" i="12"/>
  <c r="Q124" i="12"/>
  <c r="Q31" i="12"/>
  <c r="P72" i="12"/>
  <c r="P101" i="12"/>
  <c r="P101" i="31" s="1"/>
  <c r="P62" i="12"/>
  <c r="P71" i="12"/>
  <c r="W11" i="12"/>
  <c r="W16" i="12"/>
  <c r="W16" i="31" s="1"/>
  <c r="W83" i="12"/>
  <c r="W83" i="16" s="1"/>
  <c r="Q29" i="12"/>
  <c r="Q112" i="12"/>
  <c r="Q62" i="12"/>
  <c r="Q62" i="16" s="1"/>
  <c r="Q46" i="12"/>
  <c r="Q87" i="12"/>
  <c r="Q87" i="27" s="1"/>
  <c r="P128" i="12"/>
  <c r="P106" i="12"/>
  <c r="W19" i="12"/>
  <c r="W20" i="12"/>
  <c r="W52" i="12"/>
  <c r="W99" i="12"/>
  <c r="W100" i="12"/>
  <c r="W132" i="12"/>
  <c r="Q68" i="12"/>
  <c r="Q68" i="31" s="1"/>
  <c r="Q33" i="12"/>
  <c r="Q113" i="12"/>
  <c r="Q66" i="12"/>
  <c r="Q66" i="31" s="1"/>
  <c r="W24" i="12"/>
  <c r="W56" i="12"/>
  <c r="W56" i="16" s="1"/>
  <c r="W115" i="12"/>
  <c r="Q11" i="12"/>
  <c r="P19" i="12"/>
  <c r="P107" i="12"/>
  <c r="P82" i="12"/>
  <c r="W38" i="12"/>
  <c r="Q101" i="12"/>
  <c r="Q129" i="12"/>
  <c r="Q129" i="16" s="1"/>
  <c r="Q74" i="12"/>
  <c r="Q131" i="12"/>
  <c r="P41" i="12"/>
  <c r="P14" i="12"/>
  <c r="P46" i="12"/>
  <c r="P46" i="31" s="1"/>
  <c r="P23" i="12"/>
  <c r="P55" i="12"/>
  <c r="P86" i="12"/>
  <c r="P86" i="16" s="1"/>
  <c r="P118" i="12"/>
  <c r="W10" i="12"/>
  <c r="W42" i="12"/>
  <c r="W74" i="12"/>
  <c r="W87" i="12"/>
  <c r="W87" i="31" s="1"/>
  <c r="W35" i="12"/>
  <c r="W80" i="12"/>
  <c r="W112" i="12"/>
  <c r="W112" i="16" s="1"/>
  <c r="Q45" i="12"/>
  <c r="Q77" i="12"/>
  <c r="Q80" i="12"/>
  <c r="Q78" i="12"/>
  <c r="Q26" i="12"/>
  <c r="Q26" i="31" s="1"/>
  <c r="Q19" i="12"/>
  <c r="Q106" i="12"/>
  <c r="P13" i="12"/>
  <c r="P13" i="31" s="1"/>
  <c r="P45" i="12"/>
  <c r="P50" i="12"/>
  <c r="P79" i="12"/>
  <c r="P90" i="12"/>
  <c r="P122" i="12"/>
  <c r="W14" i="12"/>
  <c r="W47" i="12"/>
  <c r="Q49" i="12"/>
  <c r="Q81" i="12"/>
  <c r="Q18" i="12"/>
  <c r="Q55" i="12"/>
  <c r="Q107" i="12"/>
  <c r="AZ110" i="7"/>
  <c r="AY131" i="7"/>
  <c r="AY123" i="7"/>
  <c r="AZ18" i="7"/>
  <c r="AZ25" i="7"/>
  <c r="AZ19" i="7"/>
  <c r="AZ15" i="7"/>
  <c r="AZ11" i="7"/>
  <c r="AZ64" i="7"/>
  <c r="AZ96" i="7"/>
  <c r="AZ61" i="7"/>
  <c r="AZ34" i="7"/>
  <c r="AZ66" i="7"/>
  <c r="AZ115" i="7"/>
  <c r="AZ120" i="7"/>
  <c r="AZ102" i="7"/>
  <c r="AZ97" i="7"/>
  <c r="AZ129" i="7"/>
  <c r="AY11" i="7"/>
  <c r="AY40" i="7"/>
  <c r="AY80" i="7"/>
  <c r="AY13" i="7"/>
  <c r="AY72" i="7"/>
  <c r="AY57" i="7"/>
  <c r="AY127" i="7"/>
  <c r="AY54" i="7"/>
  <c r="AY35" i="7"/>
  <c r="AY67" i="7"/>
  <c r="AY128" i="7"/>
  <c r="AY92" i="7"/>
  <c r="AY74" i="7"/>
  <c r="AY106" i="7"/>
  <c r="AY32" i="7"/>
  <c r="AY12" i="7"/>
  <c r="AY50" i="7"/>
  <c r="AY117" i="7"/>
  <c r="AZ36" i="7"/>
  <c r="AZ78" i="7"/>
  <c r="AZ43" i="7"/>
  <c r="AZ16" i="7"/>
  <c r="AZ12" i="7"/>
  <c r="AZ68" i="7"/>
  <c r="AZ33" i="7"/>
  <c r="AZ65" i="7"/>
  <c r="AZ38" i="7"/>
  <c r="AZ70" i="7"/>
  <c r="AZ126" i="7"/>
  <c r="AZ131" i="7"/>
  <c r="AZ112" i="7"/>
  <c r="AZ101" i="7"/>
  <c r="AY23" i="7"/>
  <c r="AY18" i="7"/>
  <c r="AY60" i="7"/>
  <c r="AY19" i="7"/>
  <c r="AY16" i="7"/>
  <c r="AY28" i="7"/>
  <c r="AY96" i="7"/>
  <c r="AY61" i="7"/>
  <c r="AY95" i="7"/>
  <c r="AY58" i="7"/>
  <c r="AY39" i="7"/>
  <c r="AY71" i="7"/>
  <c r="AY111" i="7"/>
  <c r="AY103" i="7"/>
  <c r="AY78" i="7"/>
  <c r="AY110" i="7"/>
  <c r="AZ44" i="7"/>
  <c r="AZ106" i="7"/>
  <c r="AZ48" i="7"/>
  <c r="AZ31" i="7"/>
  <c r="AZ27" i="7"/>
  <c r="AZ23" i="7"/>
  <c r="AZ72" i="7"/>
  <c r="AZ37" i="7"/>
  <c r="AZ69" i="7"/>
  <c r="AZ42" i="7"/>
  <c r="AZ75" i="7"/>
  <c r="AZ108" i="7"/>
  <c r="AZ90" i="7"/>
  <c r="AZ123" i="7"/>
  <c r="AZ105" i="7"/>
  <c r="AY30" i="7"/>
  <c r="AY27" i="7"/>
  <c r="AY22" i="7"/>
  <c r="AY48" i="7"/>
  <c r="AY36" i="7"/>
  <c r="AY29" i="7"/>
  <c r="AY100" i="7"/>
  <c r="AY65" i="7"/>
  <c r="AY107" i="7"/>
  <c r="AY62" i="7"/>
  <c r="AY43" i="7"/>
  <c r="AY77" i="7"/>
  <c r="AY121" i="7"/>
  <c r="AY113" i="7"/>
  <c r="AY82" i="7"/>
  <c r="AY114" i="7"/>
  <c r="AZ125" i="7"/>
  <c r="AZ20" i="7"/>
  <c r="AZ10" i="7"/>
  <c r="AZ17" i="7"/>
  <c r="AZ55" i="7"/>
  <c r="AZ32" i="7"/>
  <c r="AZ28" i="7"/>
  <c r="AZ24" i="7"/>
  <c r="AZ80" i="7"/>
  <c r="AZ41" i="7"/>
  <c r="AZ73" i="7"/>
  <c r="AZ46" i="7"/>
  <c r="AZ98" i="7"/>
  <c r="AZ119" i="7"/>
  <c r="AZ100" i="7"/>
  <c r="AZ77" i="7"/>
  <c r="AZ109" i="7"/>
  <c r="AY83" i="7"/>
  <c r="AY15" i="7"/>
  <c r="AY37" i="7"/>
  <c r="AY109" i="7"/>
  <c r="AY41" i="7"/>
  <c r="AY76" i="7"/>
  <c r="AY20" i="7"/>
  <c r="AY69" i="7"/>
  <c r="AY34" i="7"/>
  <c r="AY66" i="7"/>
  <c r="AY47" i="7"/>
  <c r="AY88" i="7"/>
  <c r="AY132" i="7"/>
  <c r="AY124" i="7"/>
  <c r="AY86" i="7"/>
  <c r="AY118" i="7"/>
  <c r="AZ39" i="7"/>
  <c r="AZ13" i="7"/>
  <c r="AZ29" i="7"/>
  <c r="AZ9" i="7"/>
  <c r="AZ67" i="7"/>
  <c r="AZ59" i="7"/>
  <c r="AZ51" i="7"/>
  <c r="AZ82" i="7"/>
  <c r="AZ45" i="7"/>
  <c r="AZ86" i="7"/>
  <c r="AZ50" i="7"/>
  <c r="AZ104" i="7"/>
  <c r="AZ130" i="7"/>
  <c r="AZ111" i="7"/>
  <c r="AZ81" i="7"/>
  <c r="AZ113" i="7"/>
  <c r="O86" i="12"/>
  <c r="O46" i="12"/>
  <c r="O49" i="12"/>
  <c r="O9" i="12"/>
  <c r="O15" i="12"/>
  <c r="O48" i="12"/>
  <c r="O87" i="12"/>
  <c r="O87" i="16" s="1"/>
  <c r="O100" i="12"/>
  <c r="O132" i="12"/>
  <c r="AY108" i="7"/>
  <c r="AY44" i="7"/>
  <c r="AY45" i="7"/>
  <c r="AY14" i="7"/>
  <c r="AY52" i="7"/>
  <c r="AY8" i="7"/>
  <c r="AY21" i="7"/>
  <c r="AY73" i="7"/>
  <c r="AY38" i="7"/>
  <c r="AY70" i="7"/>
  <c r="AY51" i="7"/>
  <c r="AY79" i="7"/>
  <c r="AY91" i="7"/>
  <c r="AY93" i="7"/>
  <c r="AY90" i="7"/>
  <c r="AY122" i="7"/>
  <c r="AZ91" i="7"/>
  <c r="AY63" i="7"/>
  <c r="AY125" i="7"/>
  <c r="AZ47" i="7"/>
  <c r="AZ30" i="7"/>
  <c r="AZ35" i="7"/>
  <c r="AZ14" i="7"/>
  <c r="AZ95" i="7"/>
  <c r="AZ74" i="7"/>
  <c r="AZ52" i="7"/>
  <c r="AZ83" i="7"/>
  <c r="AZ49" i="7"/>
  <c r="AZ92" i="7"/>
  <c r="AZ54" i="7"/>
  <c r="AZ124" i="7"/>
  <c r="AZ88" i="7"/>
  <c r="AZ122" i="7"/>
  <c r="AZ85" i="7"/>
  <c r="AZ117" i="7"/>
  <c r="AY17" i="7"/>
  <c r="AY81" i="7"/>
  <c r="AY56" i="7"/>
  <c r="AY26" i="7"/>
  <c r="AY85" i="7"/>
  <c r="AY9" i="7"/>
  <c r="AY64" i="7"/>
  <c r="AY99" i="7"/>
  <c r="AY42" i="7"/>
  <c r="AY75" i="7"/>
  <c r="AY55" i="7"/>
  <c r="AY84" i="7"/>
  <c r="AY101" i="7"/>
  <c r="AY104" i="7"/>
  <c r="AY94" i="7"/>
  <c r="AY126" i="7"/>
  <c r="AZ128" i="7"/>
  <c r="AZ71" i="7"/>
  <c r="AZ40" i="7"/>
  <c r="AZ21" i="7"/>
  <c r="AZ103" i="7"/>
  <c r="AZ84" i="7"/>
  <c r="AZ56" i="7"/>
  <c r="AZ87" i="7"/>
  <c r="AZ53" i="7"/>
  <c r="AZ116" i="7"/>
  <c r="AZ58" i="7"/>
  <c r="AZ76" i="7"/>
  <c r="AZ99" i="7"/>
  <c r="AZ132" i="7"/>
  <c r="AZ89" i="7"/>
  <c r="AZ121" i="7"/>
  <c r="AY68" i="7"/>
  <c r="AY10" i="7"/>
  <c r="AY120" i="7"/>
  <c r="AY31" i="7"/>
  <c r="AY119" i="7"/>
  <c r="AY24" i="7"/>
  <c r="AY49" i="7"/>
  <c r="AY105" i="7"/>
  <c r="AY46" i="7"/>
  <c r="AY89" i="7"/>
  <c r="AY59" i="7"/>
  <c r="AY97" i="7"/>
  <c r="AY112" i="7"/>
  <c r="AY115" i="7"/>
  <c r="AY98" i="7"/>
  <c r="AY130" i="7"/>
  <c r="V138" i="7"/>
  <c r="P18" i="12"/>
  <c r="P18" i="31" s="1"/>
  <c r="P59" i="12"/>
  <c r="W98" i="12"/>
  <c r="W46" i="12"/>
  <c r="W46" i="16" s="1"/>
  <c r="W103" i="12"/>
  <c r="W36" i="12"/>
  <c r="Q88" i="12"/>
  <c r="Q65" i="12"/>
  <c r="Q24" i="12"/>
  <c r="X138" i="20"/>
  <c r="V140" i="15"/>
  <c r="S146" i="7"/>
  <c r="O145" i="21"/>
  <c r="P97" i="12"/>
  <c r="P89" i="12"/>
  <c r="P126" i="12"/>
  <c r="W82" i="12"/>
  <c r="W82" i="16" s="1"/>
  <c r="W57" i="12"/>
  <c r="W57" i="16" s="1"/>
  <c r="W88" i="12"/>
  <c r="W120" i="12"/>
  <c r="Q76" i="12"/>
  <c r="Q69" i="12"/>
  <c r="Q128" i="12"/>
  <c r="Q14" i="12"/>
  <c r="Q14" i="31" s="1"/>
  <c r="Q54" i="12"/>
  <c r="Q95" i="12"/>
  <c r="P99" i="12"/>
  <c r="P130" i="12"/>
  <c r="P130" i="16" s="1"/>
  <c r="W85" i="12"/>
  <c r="W12" i="12"/>
  <c r="W44" i="12"/>
  <c r="Q44" i="12"/>
  <c r="Q22" i="12"/>
  <c r="Q47" i="12"/>
  <c r="Q47" i="16" s="1"/>
  <c r="Q99" i="12"/>
  <c r="P40" i="12"/>
  <c r="P40" i="31" s="1"/>
  <c r="P32" i="12"/>
  <c r="P39" i="12"/>
  <c r="W122" i="12"/>
  <c r="Q60" i="12"/>
  <c r="Q10" i="12"/>
  <c r="Q103" i="12"/>
  <c r="Q103" i="16" s="1"/>
  <c r="Q138" i="14"/>
  <c r="P145" i="15"/>
  <c r="S141" i="3"/>
  <c r="W144" i="15"/>
  <c r="U142" i="7"/>
  <c r="P131" i="12"/>
  <c r="P66" i="12"/>
  <c r="P11" i="16"/>
  <c r="P106" i="16"/>
  <c r="Q141" i="21"/>
  <c r="Q145" i="15"/>
  <c r="T145" i="14"/>
  <c r="T137" i="14"/>
  <c r="R140" i="15"/>
  <c r="Q64" i="12"/>
  <c r="Q94" i="12"/>
  <c r="Q108" i="12"/>
  <c r="Q23" i="12"/>
  <c r="Q23" i="16" s="1"/>
  <c r="V137" i="20"/>
  <c r="U137" i="20"/>
  <c r="N146" i="21"/>
  <c r="Q142" i="7"/>
  <c r="P137" i="3"/>
  <c r="P141" i="3"/>
  <c r="O141" i="3"/>
  <c r="T141" i="7"/>
  <c r="Q141" i="19"/>
  <c r="P141" i="20"/>
  <c r="P143" i="20"/>
  <c r="X140" i="20"/>
  <c r="T140" i="21"/>
  <c r="R137" i="19"/>
  <c r="R144" i="19"/>
  <c r="V139" i="15"/>
  <c r="U137" i="15"/>
  <c r="U139" i="15"/>
  <c r="Q142" i="14"/>
  <c r="T142" i="3"/>
  <c r="P144" i="21"/>
  <c r="P116" i="16"/>
  <c r="P92" i="12"/>
  <c r="W30" i="12"/>
  <c r="Q144" i="21"/>
  <c r="Q140" i="15"/>
  <c r="P65" i="12"/>
  <c r="P93" i="12"/>
  <c r="P91" i="12"/>
  <c r="W15" i="12"/>
  <c r="W104" i="12"/>
  <c r="Q144" i="14"/>
  <c r="U141" i="7"/>
  <c r="O138" i="7"/>
  <c r="P137" i="21"/>
  <c r="V145" i="19"/>
  <c r="P56" i="12"/>
  <c r="P60" i="12"/>
  <c r="P132" i="12"/>
  <c r="P37" i="12"/>
  <c r="P69" i="12"/>
  <c r="P42" i="12"/>
  <c r="W73" i="12"/>
  <c r="W31" i="12"/>
  <c r="W117" i="12"/>
  <c r="W131" i="12"/>
  <c r="Q12" i="12"/>
  <c r="Q42" i="12"/>
  <c r="Q115" i="12"/>
  <c r="P146" i="15"/>
  <c r="T146" i="3"/>
  <c r="P16" i="12"/>
  <c r="P16" i="31" s="1"/>
  <c r="P81" i="12"/>
  <c r="P78" i="12"/>
  <c r="V137" i="19"/>
  <c r="W118" i="12"/>
  <c r="W32" i="12"/>
  <c r="W64" i="12"/>
  <c r="W64" i="16" s="1"/>
  <c r="U138" i="19"/>
  <c r="U146" i="3"/>
  <c r="Q121" i="12"/>
  <c r="Q20" i="12"/>
  <c r="Q16" i="12"/>
  <c r="Q35" i="12"/>
  <c r="P103" i="12"/>
  <c r="P77" i="12"/>
  <c r="S143" i="19"/>
  <c r="W125" i="12"/>
  <c r="Q75" i="12"/>
  <c r="Q15" i="12"/>
  <c r="R138" i="14"/>
  <c r="R145" i="3"/>
  <c r="P25" i="12"/>
  <c r="P57" i="12"/>
  <c r="P113" i="12"/>
  <c r="P30" i="12"/>
  <c r="P105" i="12"/>
  <c r="P102" i="12"/>
  <c r="W41" i="12"/>
  <c r="W26" i="12"/>
  <c r="W26" i="16" s="1"/>
  <c r="W58" i="12"/>
  <c r="W63" i="12"/>
  <c r="W63" i="16" s="1"/>
  <c r="W48" i="12"/>
  <c r="W128" i="12"/>
  <c r="U145" i="3"/>
  <c r="W140" i="3"/>
  <c r="Q146" i="20"/>
  <c r="Q139" i="20"/>
  <c r="P117" i="12"/>
  <c r="P129" i="12"/>
  <c r="P38" i="12"/>
  <c r="P70" i="12"/>
  <c r="W13" i="12"/>
  <c r="W13" i="16" s="1"/>
  <c r="W65" i="12"/>
  <c r="Q53" i="12"/>
  <c r="S146" i="19"/>
  <c r="W140" i="21"/>
  <c r="P114" i="12"/>
  <c r="W17" i="12"/>
  <c r="W60" i="12"/>
  <c r="W60" i="31" s="1"/>
  <c r="W108" i="12"/>
  <c r="Q25" i="12"/>
  <c r="Q97" i="12"/>
  <c r="S139" i="19"/>
  <c r="V145" i="21"/>
  <c r="T138" i="19"/>
  <c r="U146" i="7"/>
  <c r="U144" i="7"/>
  <c r="T144" i="3"/>
  <c r="O136" i="15"/>
  <c r="O133" i="15"/>
  <c r="O141" i="15"/>
  <c r="R136" i="14"/>
  <c r="R133" i="14"/>
  <c r="R144" i="14"/>
  <c r="O146" i="7"/>
  <c r="O143" i="7"/>
  <c r="R138" i="3"/>
  <c r="P36" i="16"/>
  <c r="P52" i="16"/>
  <c r="P16" i="16"/>
  <c r="P9" i="16"/>
  <c r="P41" i="16"/>
  <c r="P73" i="16"/>
  <c r="P14" i="16"/>
  <c r="P46" i="16"/>
  <c r="P109" i="16"/>
  <c r="P23" i="16"/>
  <c r="P123" i="16"/>
  <c r="P118" i="16"/>
  <c r="V141" i="19"/>
  <c r="V142" i="19"/>
  <c r="S137" i="20"/>
  <c r="S138" i="20"/>
  <c r="S145" i="20"/>
  <c r="W25" i="16"/>
  <c r="W109" i="16"/>
  <c r="W42" i="16"/>
  <c r="W74" i="16"/>
  <c r="W90" i="16"/>
  <c r="W43" i="12"/>
  <c r="W140" i="24"/>
  <c r="W35" i="16"/>
  <c r="W80" i="16"/>
  <c r="U136" i="19"/>
  <c r="U133" i="19"/>
  <c r="U140" i="19"/>
  <c r="U139" i="19"/>
  <c r="T142" i="20"/>
  <c r="T133" i="20"/>
  <c r="T136" i="20"/>
  <c r="O117" i="12"/>
  <c r="O77" i="12"/>
  <c r="O82" i="12"/>
  <c r="O29" i="12"/>
  <c r="O26" i="12"/>
  <c r="O58" i="12"/>
  <c r="O111" i="12"/>
  <c r="O111" i="27" s="1"/>
  <c r="O94" i="12"/>
  <c r="O39" i="12"/>
  <c r="O91" i="12"/>
  <c r="O35" i="12"/>
  <c r="O121" i="12"/>
  <c r="O28" i="12"/>
  <c r="O60" i="12"/>
  <c r="O80" i="12"/>
  <c r="O112" i="12"/>
  <c r="Q136" i="21"/>
  <c r="Q133" i="21"/>
  <c r="R55" i="12"/>
  <c r="R71" i="12"/>
  <c r="R106" i="12"/>
  <c r="R20" i="12"/>
  <c r="R52" i="12"/>
  <c r="R102" i="12"/>
  <c r="R116" i="12"/>
  <c r="R25" i="12"/>
  <c r="R57" i="12"/>
  <c r="R114" i="12"/>
  <c r="R127" i="12"/>
  <c r="R146" i="24"/>
  <c r="R34" i="12"/>
  <c r="R34" i="31" s="1"/>
  <c r="R139" i="24"/>
  <c r="R66" i="12"/>
  <c r="R92" i="12"/>
  <c r="R93" i="12"/>
  <c r="R125" i="12"/>
  <c r="Q142" i="15"/>
  <c r="V139" i="3"/>
  <c r="V138" i="3"/>
  <c r="V145" i="3"/>
  <c r="V141" i="3"/>
  <c r="W137" i="7"/>
  <c r="W140" i="7"/>
  <c r="R142" i="15"/>
  <c r="R144" i="20"/>
  <c r="Q121" i="16"/>
  <c r="Q28" i="16"/>
  <c r="Q84" i="16"/>
  <c r="Q29" i="16"/>
  <c r="Q61" i="16"/>
  <c r="Q130" i="16"/>
  <c r="Q46" i="16"/>
  <c r="Q125" i="16"/>
  <c r="Q67" i="12"/>
  <c r="Q142" i="24"/>
  <c r="Q119" i="12"/>
  <c r="Q145" i="24"/>
  <c r="P140" i="19"/>
  <c r="P138" i="19"/>
  <c r="V139" i="20"/>
  <c r="V143" i="20"/>
  <c r="R137" i="21"/>
  <c r="R144" i="21"/>
  <c r="W145" i="19"/>
  <c r="U144" i="20"/>
  <c r="O141" i="19"/>
  <c r="O145" i="19"/>
  <c r="N142" i="21"/>
  <c r="N143" i="21"/>
  <c r="P136" i="3"/>
  <c r="P133" i="3"/>
  <c r="V137" i="14"/>
  <c r="V146" i="14"/>
  <c r="S143" i="15"/>
  <c r="U137" i="14"/>
  <c r="U146" i="14"/>
  <c r="T140" i="15"/>
  <c r="T143" i="15"/>
  <c r="O138" i="3"/>
  <c r="O144" i="3"/>
  <c r="R145" i="7"/>
  <c r="T139" i="7"/>
  <c r="T146" i="7"/>
  <c r="T144" i="7"/>
  <c r="Q142" i="19"/>
  <c r="Q137" i="19"/>
  <c r="Q139" i="19"/>
  <c r="Q143" i="19"/>
  <c r="Q139" i="14"/>
  <c r="W145" i="15"/>
  <c r="Q137" i="14"/>
  <c r="P139" i="15"/>
  <c r="V137" i="7"/>
  <c r="W142" i="15"/>
  <c r="W136" i="15"/>
  <c r="W133" i="15"/>
  <c r="U136" i="7"/>
  <c r="U133" i="7"/>
  <c r="U143" i="7"/>
  <c r="U139" i="7"/>
  <c r="T145" i="3"/>
  <c r="T137" i="3"/>
  <c r="T143" i="3"/>
  <c r="T141" i="3"/>
  <c r="O145" i="15"/>
  <c r="R146" i="14"/>
  <c r="O140" i="7"/>
  <c r="O145" i="7"/>
  <c r="R142" i="3"/>
  <c r="R140" i="3"/>
  <c r="P139" i="21"/>
  <c r="P141" i="21"/>
  <c r="P12" i="16"/>
  <c r="P48" i="16"/>
  <c r="P45" i="16"/>
  <c r="P77" i="16"/>
  <c r="P96" i="12"/>
  <c r="P143" i="24"/>
  <c r="P18" i="16"/>
  <c r="P79" i="16"/>
  <c r="P124" i="16"/>
  <c r="P27" i="12"/>
  <c r="P138" i="24"/>
  <c r="P90" i="16"/>
  <c r="P122" i="16"/>
  <c r="S146" i="20"/>
  <c r="W53" i="16"/>
  <c r="W49" i="16"/>
  <c r="W110" i="12"/>
  <c r="W144" i="24"/>
  <c r="W14" i="16"/>
  <c r="W91" i="12"/>
  <c r="W105" i="16"/>
  <c r="W103" i="16"/>
  <c r="W39" i="12"/>
  <c r="W95" i="12"/>
  <c r="W68" i="16"/>
  <c r="W84" i="16"/>
  <c r="U145" i="19"/>
  <c r="T140" i="20"/>
  <c r="T143" i="20"/>
  <c r="T144" i="20"/>
  <c r="O101" i="12"/>
  <c r="O83" i="12"/>
  <c r="O97" i="12"/>
  <c r="O33" i="12"/>
  <c r="O30" i="12"/>
  <c r="O62" i="12"/>
  <c r="O127" i="12"/>
  <c r="O146" i="24"/>
  <c r="O109" i="12"/>
  <c r="O51" i="12"/>
  <c r="O141" i="24"/>
  <c r="O107" i="12"/>
  <c r="O43" i="12"/>
  <c r="O140" i="24"/>
  <c r="O122" i="12"/>
  <c r="O32" i="12"/>
  <c r="O64" i="12"/>
  <c r="O84" i="12"/>
  <c r="O116" i="12"/>
  <c r="Q142" i="21"/>
  <c r="R90" i="12"/>
  <c r="R27" i="12"/>
  <c r="R27" i="31" s="1"/>
  <c r="R138" i="24"/>
  <c r="R88" i="12"/>
  <c r="R24" i="12"/>
  <c r="R56" i="12"/>
  <c r="R118" i="12"/>
  <c r="R131" i="12"/>
  <c r="R29" i="12"/>
  <c r="R61" i="12"/>
  <c r="R130" i="12"/>
  <c r="R130" i="27" s="1"/>
  <c r="R128" i="12"/>
  <c r="R38" i="12"/>
  <c r="R70" i="12"/>
  <c r="R107" i="12"/>
  <c r="R97" i="12"/>
  <c r="R129" i="12"/>
  <c r="Q137" i="15"/>
  <c r="P138" i="7"/>
  <c r="W141" i="7"/>
  <c r="W146" i="7"/>
  <c r="U140" i="3"/>
  <c r="T140" i="14"/>
  <c r="T138" i="14"/>
  <c r="R138" i="20"/>
  <c r="Q32" i="12"/>
  <c r="Q85" i="16"/>
  <c r="Q68" i="16"/>
  <c r="Q33" i="16"/>
  <c r="Q52" i="16"/>
  <c r="Q113" i="16"/>
  <c r="Q66" i="16"/>
  <c r="Q24" i="16"/>
  <c r="Q50" i="12"/>
  <c r="Q7" i="12"/>
  <c r="Q136" i="24"/>
  <c r="Q133" i="24"/>
  <c r="Q39" i="16"/>
  <c r="Q71" i="16"/>
  <c r="Q91" i="12"/>
  <c r="Q123" i="12"/>
  <c r="P145" i="19"/>
  <c r="V141" i="20"/>
  <c r="R141" i="21"/>
  <c r="W133" i="19"/>
  <c r="W136" i="19"/>
  <c r="W141" i="19"/>
  <c r="U138" i="20"/>
  <c r="U145" i="20"/>
  <c r="S144" i="21"/>
  <c r="S136" i="21"/>
  <c r="S133" i="21"/>
  <c r="N144" i="21"/>
  <c r="Q138" i="7"/>
  <c r="Q141" i="7"/>
  <c r="P140" i="3"/>
  <c r="V136" i="14"/>
  <c r="V133" i="14"/>
  <c r="V139" i="14"/>
  <c r="V142" i="14"/>
  <c r="S142" i="15"/>
  <c r="T144" i="15"/>
  <c r="R141" i="7"/>
  <c r="R140" i="7"/>
  <c r="T143" i="7"/>
  <c r="T142" i="7"/>
  <c r="P146" i="20"/>
  <c r="P142" i="15"/>
  <c r="Q141" i="14"/>
  <c r="P136" i="15"/>
  <c r="P133" i="15"/>
  <c r="V143" i="7"/>
  <c r="P140" i="15"/>
  <c r="V140" i="7"/>
  <c r="W139" i="15"/>
  <c r="U140" i="7"/>
  <c r="U137" i="7"/>
  <c r="O142" i="15"/>
  <c r="O139" i="15"/>
  <c r="R143" i="14"/>
  <c r="R146" i="3"/>
  <c r="R144" i="3"/>
  <c r="R143" i="3"/>
  <c r="P140" i="21"/>
  <c r="P145" i="21"/>
  <c r="P44" i="16"/>
  <c r="P8" i="12"/>
  <c r="P137" i="24"/>
  <c r="P68" i="16"/>
  <c r="P17" i="16"/>
  <c r="P49" i="16"/>
  <c r="P83" i="16"/>
  <c r="P22" i="16"/>
  <c r="P54" i="16"/>
  <c r="P95" i="16"/>
  <c r="P125" i="16"/>
  <c r="P94" i="16"/>
  <c r="V139" i="19"/>
  <c r="V138" i="19"/>
  <c r="S144" i="20"/>
  <c r="W69" i="16"/>
  <c r="W125" i="16"/>
  <c r="W107" i="16"/>
  <c r="W106" i="16"/>
  <c r="W55" i="16"/>
  <c r="W119" i="12"/>
  <c r="W145" i="24"/>
  <c r="W51" i="12"/>
  <c r="W141" i="24"/>
  <c r="W8" i="12"/>
  <c r="W8" i="31" s="1"/>
  <c r="W137" i="24"/>
  <c r="W40" i="16"/>
  <c r="W72" i="16"/>
  <c r="T139" i="20"/>
  <c r="O118" i="12"/>
  <c r="O115" i="12"/>
  <c r="O115" i="27" s="1"/>
  <c r="O98" i="12"/>
  <c r="O37" i="12"/>
  <c r="O34" i="12"/>
  <c r="O139" i="24"/>
  <c r="O66" i="12"/>
  <c r="O17" i="12"/>
  <c r="O110" i="12"/>
  <c r="O144" i="24"/>
  <c r="O55" i="12"/>
  <c r="O55" i="27" s="1"/>
  <c r="O123" i="12"/>
  <c r="O47" i="12"/>
  <c r="O21" i="12"/>
  <c r="O36" i="12"/>
  <c r="O68" i="12"/>
  <c r="O88" i="12"/>
  <c r="O120" i="12"/>
  <c r="Q137" i="21"/>
  <c r="Q145" i="21"/>
  <c r="R31" i="12"/>
  <c r="R59" i="12"/>
  <c r="R119" i="12"/>
  <c r="R145" i="24"/>
  <c r="R28" i="12"/>
  <c r="R60" i="12"/>
  <c r="R103" i="12"/>
  <c r="R132" i="12"/>
  <c r="R33" i="12"/>
  <c r="R65" i="12"/>
  <c r="R79" i="12"/>
  <c r="R10" i="12"/>
  <c r="R42" i="12"/>
  <c r="R74" i="12"/>
  <c r="R108" i="12"/>
  <c r="R101" i="12"/>
  <c r="V144" i="3"/>
  <c r="S146" i="14"/>
  <c r="S145" i="14"/>
  <c r="W139" i="7"/>
  <c r="W145" i="7"/>
  <c r="U138" i="3"/>
  <c r="R136" i="15"/>
  <c r="R133" i="15"/>
  <c r="R145" i="20"/>
  <c r="R146" i="20"/>
  <c r="Q105" i="16"/>
  <c r="Q40" i="16"/>
  <c r="Q100" i="12"/>
  <c r="Q100" i="27" s="1"/>
  <c r="Q37" i="16"/>
  <c r="Q56" i="16"/>
  <c r="Q128" i="16"/>
  <c r="Q70" i="16"/>
  <c r="Q14" i="16"/>
  <c r="Q43" i="12"/>
  <c r="Q140" i="24"/>
  <c r="Q75" i="16"/>
  <c r="Q127" i="12"/>
  <c r="Q146" i="24"/>
  <c r="P141" i="19"/>
  <c r="P139" i="19"/>
  <c r="R139" i="21"/>
  <c r="R145" i="21"/>
  <c r="R143" i="21"/>
  <c r="W138" i="19"/>
  <c r="W137" i="19"/>
  <c r="W146" i="19"/>
  <c r="U140" i="20"/>
  <c r="U141" i="20"/>
  <c r="U139" i="20"/>
  <c r="U143" i="20"/>
  <c r="O133" i="19"/>
  <c r="O136" i="19"/>
  <c r="O139" i="19"/>
  <c r="O138" i="19"/>
  <c r="O146" i="19"/>
  <c r="Q136" i="7"/>
  <c r="Q133" i="7"/>
  <c r="P142" i="3"/>
  <c r="V145" i="14"/>
  <c r="V138" i="14"/>
  <c r="S139" i="15"/>
  <c r="S136" i="15"/>
  <c r="S133" i="15"/>
  <c r="S137" i="15"/>
  <c r="W136" i="3"/>
  <c r="W133" i="3"/>
  <c r="U144" i="14"/>
  <c r="U142" i="14"/>
  <c r="T141" i="15"/>
  <c r="O136" i="3"/>
  <c r="O133" i="3"/>
  <c r="R143" i="7"/>
  <c r="T136" i="7"/>
  <c r="T133" i="7"/>
  <c r="Q140" i="19"/>
  <c r="Q145" i="19"/>
  <c r="Q136" i="14"/>
  <c r="Q133" i="14"/>
  <c r="V144" i="7"/>
  <c r="Q143" i="14"/>
  <c r="Q145" i="14"/>
  <c r="P143" i="15"/>
  <c r="W140" i="15"/>
  <c r="P137" i="15"/>
  <c r="V145" i="7"/>
  <c r="S138" i="3"/>
  <c r="S136" i="3"/>
  <c r="S133" i="3"/>
  <c r="S139" i="3"/>
  <c r="S144" i="3"/>
  <c r="S143" i="3"/>
  <c r="W137" i="15"/>
  <c r="U138" i="7"/>
  <c r="T136" i="3"/>
  <c r="T133" i="3"/>
  <c r="T138" i="3"/>
  <c r="O137" i="7"/>
  <c r="O139" i="7"/>
  <c r="O142" i="7"/>
  <c r="R139" i="3"/>
  <c r="P138" i="21"/>
  <c r="P143" i="21"/>
  <c r="P76" i="16"/>
  <c r="P84" i="16"/>
  <c r="P53" i="16"/>
  <c r="P112" i="16"/>
  <c r="P26" i="16"/>
  <c r="P111" i="16"/>
  <c r="P100" i="16"/>
  <c r="P35" i="16"/>
  <c r="P67" i="12"/>
  <c r="P142" i="24"/>
  <c r="P104" i="16"/>
  <c r="P98" i="16"/>
  <c r="S133" i="20"/>
  <c r="S136" i="20"/>
  <c r="S143" i="20"/>
  <c r="W129" i="16"/>
  <c r="W61" i="12"/>
  <c r="W77" i="16"/>
  <c r="W126" i="16"/>
  <c r="W123" i="16"/>
  <c r="W59" i="16"/>
  <c r="W9" i="16"/>
  <c r="W76" i="16"/>
  <c r="W92" i="12"/>
  <c r="W124" i="12"/>
  <c r="U141" i="19"/>
  <c r="U144" i="19"/>
  <c r="T141" i="20"/>
  <c r="T145" i="20"/>
  <c r="O85" i="12"/>
  <c r="O131" i="12"/>
  <c r="O113" i="12"/>
  <c r="O99" i="12"/>
  <c r="O38" i="12"/>
  <c r="O70" i="12"/>
  <c r="O41" i="12"/>
  <c r="O125" i="12"/>
  <c r="O59" i="12"/>
  <c r="O13" i="12"/>
  <c r="O7" i="12"/>
  <c r="O136" i="24"/>
  <c r="O133" i="24"/>
  <c r="O8" i="12"/>
  <c r="O137" i="24"/>
  <c r="O40" i="12"/>
  <c r="O72" i="12"/>
  <c r="O92" i="12"/>
  <c r="O124" i="12"/>
  <c r="Q139" i="21"/>
  <c r="Q140" i="21"/>
  <c r="R63" i="12"/>
  <c r="R15" i="12"/>
  <c r="R104" i="12"/>
  <c r="R32" i="12"/>
  <c r="R64" i="12"/>
  <c r="R83" i="12"/>
  <c r="R87" i="12"/>
  <c r="R37" i="12"/>
  <c r="R69" i="12"/>
  <c r="R80" i="12"/>
  <c r="R14" i="12"/>
  <c r="R14" i="27" s="1"/>
  <c r="R46" i="12"/>
  <c r="R78" i="12"/>
  <c r="R123" i="12"/>
  <c r="R105" i="12"/>
  <c r="Q139" i="15"/>
  <c r="Q138" i="15"/>
  <c r="P142" i="7"/>
  <c r="P143" i="7"/>
  <c r="V136" i="3"/>
  <c r="V133" i="3"/>
  <c r="S138" i="14"/>
  <c r="T143" i="14"/>
  <c r="R138" i="15"/>
  <c r="R145" i="15"/>
  <c r="Q89" i="16"/>
  <c r="Q9" i="16"/>
  <c r="Q41" i="16"/>
  <c r="Q73" i="16"/>
  <c r="Q72" i="16"/>
  <c r="Q74" i="16"/>
  <c r="Q92" i="16"/>
  <c r="Q90" i="12"/>
  <c r="P136" i="19"/>
  <c r="P133" i="19"/>
  <c r="V144" i="20"/>
  <c r="V138" i="20"/>
  <c r="R138" i="21"/>
  <c r="U146" i="20"/>
  <c r="S146" i="21"/>
  <c r="S139" i="21"/>
  <c r="S145" i="21"/>
  <c r="O143" i="19"/>
  <c r="N136" i="21"/>
  <c r="N133" i="21"/>
  <c r="N145" i="21"/>
  <c r="S140" i="15"/>
  <c r="W141" i="3"/>
  <c r="W139" i="3"/>
  <c r="W142" i="3"/>
  <c r="U139" i="14"/>
  <c r="T137" i="15"/>
  <c r="T145" i="15"/>
  <c r="O139" i="3"/>
  <c r="O137" i="3"/>
  <c r="O143" i="3"/>
  <c r="R136" i="7"/>
  <c r="R133" i="7"/>
  <c r="R137" i="7"/>
  <c r="Q146" i="14"/>
  <c r="P141" i="15"/>
  <c r="P144" i="15"/>
  <c r="V141" i="7"/>
  <c r="V139" i="7"/>
  <c r="W146" i="15"/>
  <c r="U145" i="7"/>
  <c r="O146" i="15"/>
  <c r="R137" i="14"/>
  <c r="R141" i="14"/>
  <c r="O136" i="7"/>
  <c r="O133" i="7"/>
  <c r="P142" i="21"/>
  <c r="P146" i="21"/>
  <c r="P101" i="16"/>
  <c r="P57" i="16"/>
  <c r="P115" i="16"/>
  <c r="P113" i="16"/>
  <c r="P30" i="16"/>
  <c r="P62" i="16"/>
  <c r="P127" i="12"/>
  <c r="P146" i="24"/>
  <c r="P7" i="12"/>
  <c r="P136" i="24"/>
  <c r="P133" i="24"/>
  <c r="S140" i="20"/>
  <c r="W113" i="16"/>
  <c r="W79" i="16"/>
  <c r="W127" i="12"/>
  <c r="W146" i="24"/>
  <c r="W41" i="16"/>
  <c r="W21" i="16"/>
  <c r="W11" i="16"/>
  <c r="W86" i="16"/>
  <c r="W16" i="16"/>
  <c r="W48" i="16"/>
  <c r="W96" i="12"/>
  <c r="W143" i="24"/>
  <c r="W128" i="16"/>
  <c r="U142" i="19"/>
  <c r="U137" i="19"/>
  <c r="T137" i="20"/>
  <c r="O102" i="12"/>
  <c r="O53" i="12"/>
  <c r="O114" i="12"/>
  <c r="O10" i="12"/>
  <c r="O42" i="12"/>
  <c r="O42" i="27" s="1"/>
  <c r="O74" i="12"/>
  <c r="O45" i="12"/>
  <c r="O126" i="12"/>
  <c r="O63" i="12"/>
  <c r="O11" i="12"/>
  <c r="O89" i="12"/>
  <c r="O12" i="12"/>
  <c r="O44" i="12"/>
  <c r="O76" i="12"/>
  <c r="O96" i="12"/>
  <c r="O143" i="24"/>
  <c r="O128" i="12"/>
  <c r="R11" i="12"/>
  <c r="R19" i="12"/>
  <c r="R47" i="12"/>
  <c r="R120" i="12"/>
  <c r="R36" i="12"/>
  <c r="R68" i="12"/>
  <c r="R84" i="12"/>
  <c r="R9" i="12"/>
  <c r="R41" i="12"/>
  <c r="R73" i="12"/>
  <c r="R95" i="12"/>
  <c r="R18" i="12"/>
  <c r="R50" i="12"/>
  <c r="R94" i="12"/>
  <c r="R124" i="12"/>
  <c r="R109" i="12"/>
  <c r="P136" i="7"/>
  <c r="P133" i="7"/>
  <c r="V137" i="3"/>
  <c r="V142" i="3"/>
  <c r="S139" i="14"/>
  <c r="S142" i="14"/>
  <c r="S144" i="14"/>
  <c r="U137" i="3"/>
  <c r="T136" i="14"/>
  <c r="T133" i="14"/>
  <c r="R139" i="15"/>
  <c r="R142" i="20"/>
  <c r="R136" i="20"/>
  <c r="R133" i="20"/>
  <c r="R137" i="20"/>
  <c r="Q8" i="12"/>
  <c r="Q137" i="24"/>
  <c r="Q116" i="16"/>
  <c r="Q13" i="16"/>
  <c r="Q45" i="16"/>
  <c r="Q80" i="16"/>
  <c r="Q10" i="16"/>
  <c r="Q78" i="16"/>
  <c r="Q26" i="16"/>
  <c r="Q93" i="16"/>
  <c r="Q19" i="16"/>
  <c r="Q51" i="12"/>
  <c r="Q141" i="24"/>
  <c r="P144" i="19"/>
  <c r="V145" i="20"/>
  <c r="R146" i="21"/>
  <c r="W139" i="19"/>
  <c r="U142" i="20"/>
  <c r="S140" i="21"/>
  <c r="S138" i="21"/>
  <c r="S143" i="21"/>
  <c r="N138" i="21"/>
  <c r="N137" i="21"/>
  <c r="Q144" i="7"/>
  <c r="Q145" i="7"/>
  <c r="P138" i="3"/>
  <c r="P139" i="3"/>
  <c r="P143" i="3"/>
  <c r="P146" i="3"/>
  <c r="V144" i="14"/>
  <c r="V143" i="14"/>
  <c r="S144" i="15"/>
  <c r="W143" i="3"/>
  <c r="W145" i="3"/>
  <c r="U140" i="14"/>
  <c r="T146" i="15"/>
  <c r="T138" i="15"/>
  <c r="O145" i="3"/>
  <c r="R138" i="7"/>
  <c r="Q144" i="19"/>
  <c r="U146" i="21"/>
  <c r="S23" i="12"/>
  <c r="S105" i="12"/>
  <c r="S51" i="12"/>
  <c r="S141" i="24"/>
  <c r="S24" i="12"/>
  <c r="S56" i="12"/>
  <c r="S117" i="12"/>
  <c r="S100" i="12"/>
  <c r="S29" i="12"/>
  <c r="S73" i="12"/>
  <c r="S73" i="31" s="1"/>
  <c r="S33" i="12"/>
  <c r="S111" i="12"/>
  <c r="S18" i="12"/>
  <c r="S50" i="12"/>
  <c r="P87" i="16"/>
  <c r="P29" i="16"/>
  <c r="P34" i="12"/>
  <c r="P139" i="24"/>
  <c r="V136" i="19"/>
  <c r="V133" i="19"/>
  <c r="O57" i="12"/>
  <c r="O129" i="12"/>
  <c r="O14" i="12"/>
  <c r="O46" i="16"/>
  <c r="O78" i="12"/>
  <c r="O67" i="12"/>
  <c r="O142" i="24"/>
  <c r="O90" i="12"/>
  <c r="O16" i="12"/>
  <c r="O48" i="16"/>
  <c r="R43" i="12"/>
  <c r="R43" i="31" s="1"/>
  <c r="R140" i="24"/>
  <c r="R51" i="12"/>
  <c r="R141" i="24"/>
  <c r="R8" i="12"/>
  <c r="R137" i="24"/>
  <c r="R40" i="12"/>
  <c r="R72" i="12"/>
  <c r="R99" i="16"/>
  <c r="R13" i="12"/>
  <c r="R45" i="12"/>
  <c r="R77" i="12"/>
  <c r="R96" i="12"/>
  <c r="R143" i="24"/>
  <c r="R22" i="12"/>
  <c r="R54" i="12"/>
  <c r="R110" i="12"/>
  <c r="R110" i="31" s="1"/>
  <c r="R144" i="24"/>
  <c r="R81" i="12"/>
  <c r="R113" i="12"/>
  <c r="P137" i="7"/>
  <c r="S133" i="14"/>
  <c r="S136" i="14"/>
  <c r="W142" i="7"/>
  <c r="T141" i="14"/>
  <c r="T146" i="14"/>
  <c r="T144" i="14"/>
  <c r="R143" i="15"/>
  <c r="Q36" i="16"/>
  <c r="Q117" i="16"/>
  <c r="Q17" i="16"/>
  <c r="Q49" i="16"/>
  <c r="Q82" i="16"/>
  <c r="Q81" i="16"/>
  <c r="Q30" i="16"/>
  <c r="Q108" i="16"/>
  <c r="Q55" i="16"/>
  <c r="Q122" i="16"/>
  <c r="Q107" i="16"/>
  <c r="R142" i="21"/>
  <c r="U136" i="20"/>
  <c r="U133" i="20"/>
  <c r="O142" i="19"/>
  <c r="Q143" i="7"/>
  <c r="P145" i="3"/>
  <c r="S141" i="15"/>
  <c r="W144" i="3"/>
  <c r="U142" i="21"/>
  <c r="S71" i="12"/>
  <c r="S121" i="12"/>
  <c r="S55" i="12"/>
  <c r="S28" i="12"/>
  <c r="S60" i="12"/>
  <c r="S11" i="12"/>
  <c r="S115" i="12"/>
  <c r="S41" i="12"/>
  <c r="S81" i="12"/>
  <c r="S37" i="12"/>
  <c r="S112" i="12"/>
  <c r="S22" i="12"/>
  <c r="S54" i="12"/>
  <c r="S125" i="12"/>
  <c r="S106" i="12"/>
  <c r="T139" i="21"/>
  <c r="T50" i="12"/>
  <c r="T46" i="12"/>
  <c r="T7" i="12"/>
  <c r="T133" i="24"/>
  <c r="T136" i="24"/>
  <c r="T39" i="12"/>
  <c r="T71" i="12"/>
  <c r="T87" i="12"/>
  <c r="T20" i="12"/>
  <c r="T52" i="12"/>
  <c r="T52" i="27" s="1"/>
  <c r="T101" i="12"/>
  <c r="T115" i="12"/>
  <c r="T29" i="12"/>
  <c r="T61" i="12"/>
  <c r="T129" i="12"/>
  <c r="T127" i="12"/>
  <c r="T146" i="24"/>
  <c r="T108" i="12"/>
  <c r="O141" i="20"/>
  <c r="P61" i="16"/>
  <c r="P66" i="16"/>
  <c r="P43" i="12"/>
  <c r="P140" i="24"/>
  <c r="P120" i="16"/>
  <c r="W67" i="12"/>
  <c r="W142" i="24"/>
  <c r="V136" i="7"/>
  <c r="V133" i="7"/>
  <c r="W143" i="15"/>
  <c r="T139" i="3"/>
  <c r="O143" i="15"/>
  <c r="R139" i="14"/>
  <c r="R142" i="14"/>
  <c r="O144" i="7"/>
  <c r="R136" i="3"/>
  <c r="R133" i="3"/>
  <c r="P136" i="21"/>
  <c r="P133" i="21"/>
  <c r="P24" i="16"/>
  <c r="P119" i="12"/>
  <c r="P145" i="24"/>
  <c r="P28" i="16"/>
  <c r="P33" i="16"/>
  <c r="P65" i="16"/>
  <c r="P85" i="16"/>
  <c r="P129" i="16"/>
  <c r="P93" i="16"/>
  <c r="P15" i="16"/>
  <c r="P47" i="16"/>
  <c r="P91" i="16"/>
  <c r="P121" i="16"/>
  <c r="P110" i="12"/>
  <c r="P144" i="24"/>
  <c r="V140" i="19"/>
  <c r="S139" i="20"/>
  <c r="S142" i="20"/>
  <c r="S141" i="20"/>
  <c r="W97" i="16"/>
  <c r="W93" i="16"/>
  <c r="W34" i="12"/>
  <c r="W139" i="24"/>
  <c r="W66" i="16"/>
  <c r="W37" i="16"/>
  <c r="W102" i="16"/>
  <c r="W115" i="16"/>
  <c r="W104" i="16"/>
  <c r="U143" i="19"/>
  <c r="O65" i="12"/>
  <c r="O73" i="12"/>
  <c r="O130" i="12"/>
  <c r="O18" i="12"/>
  <c r="O50" i="12"/>
  <c r="O79" i="12"/>
  <c r="O61" i="12"/>
  <c r="O23" i="12"/>
  <c r="O71" i="12"/>
  <c r="O19" i="12"/>
  <c r="O105" i="12"/>
  <c r="O20" i="12"/>
  <c r="O52" i="12"/>
  <c r="O103" i="12"/>
  <c r="O104" i="12"/>
  <c r="Q146" i="21"/>
  <c r="R75" i="12"/>
  <c r="R7" i="12"/>
  <c r="R133" i="24"/>
  <c r="R136" i="24"/>
  <c r="R35" i="12"/>
  <c r="R12" i="12"/>
  <c r="R44" i="12"/>
  <c r="R76" i="12"/>
  <c r="R100" i="12"/>
  <c r="R17" i="12"/>
  <c r="R49" i="12"/>
  <c r="R82" i="12"/>
  <c r="R111" i="12"/>
  <c r="R26" i="12"/>
  <c r="R58" i="12"/>
  <c r="R126" i="12"/>
  <c r="R85" i="12"/>
  <c r="R117" i="12"/>
  <c r="Q136" i="15"/>
  <c r="Q133" i="15"/>
  <c r="Q141" i="15"/>
  <c r="Q146" i="15"/>
  <c r="P144" i="7"/>
  <c r="P146" i="7"/>
  <c r="V143" i="3"/>
  <c r="S141" i="14"/>
  <c r="W136" i="7"/>
  <c r="W133" i="7"/>
  <c r="W138" i="7"/>
  <c r="W144" i="7"/>
  <c r="W143" i="7"/>
  <c r="U141" i="3"/>
  <c r="U143" i="3"/>
  <c r="U144" i="3"/>
  <c r="T139" i="14"/>
  <c r="R141" i="15"/>
  <c r="R146" i="15"/>
  <c r="Q120" i="16"/>
  <c r="Q48" i="12"/>
  <c r="Q86" i="16"/>
  <c r="Q132" i="16"/>
  <c r="Q21" i="16"/>
  <c r="Q53" i="16"/>
  <c r="Q98" i="16"/>
  <c r="Q96" i="12"/>
  <c r="Q143" i="24"/>
  <c r="Q34" i="12"/>
  <c r="Q139" i="24"/>
  <c r="Q110" i="12"/>
  <c r="Q144" i="24"/>
  <c r="Q38" i="16"/>
  <c r="Q27" i="12"/>
  <c r="Q138" i="24"/>
  <c r="Q59" i="16"/>
  <c r="Q79" i="16"/>
  <c r="Q111" i="16"/>
  <c r="P146" i="19"/>
  <c r="P143" i="19"/>
  <c r="V142" i="20"/>
  <c r="V136" i="20"/>
  <c r="V133" i="20"/>
  <c r="V146" i="20"/>
  <c r="R133" i="21"/>
  <c r="R136" i="21"/>
  <c r="W142" i="19"/>
  <c r="W143" i="19"/>
  <c r="S142" i="21"/>
  <c r="S137" i="21"/>
  <c r="O144" i="19"/>
  <c r="O140" i="19"/>
  <c r="N140" i="21"/>
  <c r="N139" i="21"/>
  <c r="Q139" i="7"/>
  <c r="Q146" i="7"/>
  <c r="V140" i="14"/>
  <c r="S145" i="15"/>
  <c r="W137" i="3"/>
  <c r="W146" i="3"/>
  <c r="U141" i="14"/>
  <c r="T142" i="15"/>
  <c r="O140" i="3"/>
  <c r="O142" i="3"/>
  <c r="O146" i="3"/>
  <c r="R142" i="7"/>
  <c r="R139" i="7"/>
  <c r="W78" i="16"/>
  <c r="W7" i="12"/>
  <c r="W136" i="24"/>
  <c r="W133" i="24"/>
  <c r="P138" i="15"/>
  <c r="W141" i="15"/>
  <c r="Q140" i="14"/>
  <c r="V142" i="7"/>
  <c r="V146" i="7"/>
  <c r="S137" i="3"/>
  <c r="S142" i="3"/>
  <c r="S140" i="3"/>
  <c r="S146" i="3"/>
  <c r="W138" i="15"/>
  <c r="T140" i="3"/>
  <c r="O140" i="15"/>
  <c r="O137" i="15"/>
  <c r="R140" i="14"/>
  <c r="R145" i="14"/>
  <c r="O141" i="7"/>
  <c r="R141" i="3"/>
  <c r="R137" i="3"/>
  <c r="P20" i="16"/>
  <c r="P132" i="16"/>
  <c r="P80" i="12"/>
  <c r="P10" i="12"/>
  <c r="P42" i="16"/>
  <c r="P74" i="16"/>
  <c r="P108" i="16"/>
  <c r="P19" i="16"/>
  <c r="P51" i="12"/>
  <c r="P141" i="24"/>
  <c r="P107" i="16"/>
  <c r="P82" i="16"/>
  <c r="P114" i="16"/>
  <c r="V143" i="19"/>
  <c r="V144" i="19"/>
  <c r="V146" i="19"/>
  <c r="W114" i="16"/>
  <c r="W17" i="16"/>
  <c r="W94" i="12"/>
  <c r="W73" i="16"/>
  <c r="W38" i="16"/>
  <c r="W70" i="16"/>
  <c r="W89" i="16"/>
  <c r="W31" i="16"/>
  <c r="W75" i="16"/>
  <c r="W27" i="12"/>
  <c r="W27" i="31" s="1"/>
  <c r="W138" i="24"/>
  <c r="W28" i="16"/>
  <c r="W60" i="16"/>
  <c r="U146" i="19"/>
  <c r="O69" i="12"/>
  <c r="O81" i="12"/>
  <c r="O81" i="27" s="1"/>
  <c r="O25" i="12"/>
  <c r="O22" i="12"/>
  <c r="O54" i="12"/>
  <c r="O95" i="12"/>
  <c r="O93" i="12"/>
  <c r="O27" i="12"/>
  <c r="O138" i="24"/>
  <c r="O75" i="12"/>
  <c r="O31" i="12"/>
  <c r="O106" i="12"/>
  <c r="O24" i="12"/>
  <c r="O56" i="12"/>
  <c r="O119" i="12"/>
  <c r="O145" i="24"/>
  <c r="O108" i="12"/>
  <c r="Q143" i="21"/>
  <c r="Q138" i="21"/>
  <c r="R23" i="12"/>
  <c r="R39" i="12"/>
  <c r="R67" i="12"/>
  <c r="R142" i="24"/>
  <c r="R16" i="12"/>
  <c r="R48" i="12"/>
  <c r="R86" i="12"/>
  <c r="R115" i="12"/>
  <c r="R21" i="12"/>
  <c r="R53" i="12"/>
  <c r="R98" i="12"/>
  <c r="R112" i="12"/>
  <c r="R30" i="12"/>
  <c r="R62" i="12"/>
  <c r="R91" i="12"/>
  <c r="R89" i="12"/>
  <c r="R121" i="12"/>
  <c r="Q143" i="15"/>
  <c r="P139" i="7"/>
  <c r="P141" i="7"/>
  <c r="P145" i="7"/>
  <c r="V140" i="3"/>
  <c r="V146" i="3"/>
  <c r="S137" i="14"/>
  <c r="S143" i="14"/>
  <c r="U136" i="3"/>
  <c r="U133" i="3"/>
  <c r="U142" i="3"/>
  <c r="U139" i="3"/>
  <c r="T142" i="14"/>
  <c r="R144" i="15"/>
  <c r="R137" i="15"/>
  <c r="R139" i="20"/>
  <c r="R141" i="20"/>
  <c r="R143" i="20"/>
  <c r="Q104" i="16"/>
  <c r="Q102" i="12"/>
  <c r="Q118" i="16"/>
  <c r="Q12" i="16"/>
  <c r="Q57" i="12"/>
  <c r="Q114" i="12"/>
  <c r="Q97" i="16"/>
  <c r="Q58" i="16"/>
  <c r="Q126" i="16"/>
  <c r="Q124" i="16"/>
  <c r="Q31" i="16"/>
  <c r="Q63" i="12"/>
  <c r="Q83" i="16"/>
  <c r="P137" i="19"/>
  <c r="P142" i="19"/>
  <c r="V140" i="20"/>
  <c r="R140" i="21"/>
  <c r="W140" i="19"/>
  <c r="W144" i="19"/>
  <c r="S141" i="21"/>
  <c r="O137" i="19"/>
  <c r="N141" i="21"/>
  <c r="Q137" i="7"/>
  <c r="Q140" i="7"/>
  <c r="P144" i="3"/>
  <c r="V141" i="14"/>
  <c r="S146" i="15"/>
  <c r="S138" i="15"/>
  <c r="W138" i="3"/>
  <c r="U136" i="14"/>
  <c r="U133" i="14"/>
  <c r="U143" i="14"/>
  <c r="U138" i="14"/>
  <c r="U145" i="14"/>
  <c r="T139" i="15"/>
  <c r="T136" i="15"/>
  <c r="T133" i="15"/>
  <c r="R144" i="7"/>
  <c r="P142" i="20"/>
  <c r="P145" i="20"/>
  <c r="S91" i="12"/>
  <c r="S31" i="12"/>
  <c r="S103" i="12"/>
  <c r="S8" i="12"/>
  <c r="S137" i="24"/>
  <c r="S40" i="12"/>
  <c r="S72" i="12"/>
  <c r="S63" i="12"/>
  <c r="S132" i="12"/>
  <c r="S53" i="12"/>
  <c r="S129" i="12"/>
  <c r="S79" i="12"/>
  <c r="S39" i="12"/>
  <c r="S34" i="12"/>
  <c r="S139" i="24"/>
  <c r="S66" i="12"/>
  <c r="S86" i="12"/>
  <c r="S118" i="12"/>
  <c r="W137" i="20"/>
  <c r="W146" i="20"/>
  <c r="W143" i="20"/>
  <c r="T144" i="21"/>
  <c r="T145" i="21"/>
  <c r="T125" i="12"/>
  <c r="T70" i="12"/>
  <c r="T22" i="12"/>
  <c r="T19" i="12"/>
  <c r="T51" i="12"/>
  <c r="T141" i="24"/>
  <c r="T105" i="12"/>
  <c r="T118" i="12"/>
  <c r="T32" i="12"/>
  <c r="T64" i="12"/>
  <c r="T82" i="12"/>
  <c r="T9" i="12"/>
  <c r="T41" i="12"/>
  <c r="T73" i="12"/>
  <c r="T94" i="12"/>
  <c r="T88" i="12"/>
  <c r="T120" i="12"/>
  <c r="O145" i="20"/>
  <c r="O143" i="20"/>
  <c r="R142" i="19"/>
  <c r="Q133" i="3"/>
  <c r="Q136" i="3"/>
  <c r="Q144" i="3"/>
  <c r="P140" i="14"/>
  <c r="V137" i="15"/>
  <c r="V144" i="15"/>
  <c r="U144" i="15"/>
  <c r="O142" i="14"/>
  <c r="O140" i="14"/>
  <c r="O146" i="14"/>
  <c r="O136" i="21"/>
  <c r="O133" i="21"/>
  <c r="O143" i="21"/>
  <c r="O142" i="21"/>
  <c r="V37" i="12"/>
  <c r="V33" i="12"/>
  <c r="V73" i="12"/>
  <c r="V14" i="12"/>
  <c r="V46" i="12"/>
  <c r="V92" i="12"/>
  <c r="V106" i="12"/>
  <c r="V27" i="12"/>
  <c r="V138" i="24"/>
  <c r="V59" i="12"/>
  <c r="V85" i="12"/>
  <c r="V16" i="12"/>
  <c r="V48" i="12"/>
  <c r="V84" i="12"/>
  <c r="V113" i="12"/>
  <c r="V95" i="12"/>
  <c r="V127" i="12"/>
  <c r="V146" i="24"/>
  <c r="S136" i="19"/>
  <c r="S133" i="19"/>
  <c r="V138" i="21"/>
  <c r="V136" i="21"/>
  <c r="V133" i="21"/>
  <c r="W145" i="21"/>
  <c r="U111" i="12"/>
  <c r="U10" i="12"/>
  <c r="U106" i="12"/>
  <c r="U15" i="12"/>
  <c r="U47" i="12"/>
  <c r="U88" i="12"/>
  <c r="U87" i="12"/>
  <c r="U36" i="12"/>
  <c r="U84" i="12"/>
  <c r="U12" i="12"/>
  <c r="U83" i="12"/>
  <c r="U13" i="12"/>
  <c r="U45" i="12"/>
  <c r="U77" i="12"/>
  <c r="U93" i="12"/>
  <c r="U125" i="12"/>
  <c r="U144" i="21"/>
  <c r="U141" i="21"/>
  <c r="S108" i="12"/>
  <c r="S35" i="12"/>
  <c r="S104" i="12"/>
  <c r="S104" i="27" s="1"/>
  <c r="S12" i="12"/>
  <c r="S44" i="12"/>
  <c r="S76" i="12"/>
  <c r="S83" i="12"/>
  <c r="S15" i="12"/>
  <c r="S61" i="12"/>
  <c r="S61" i="27" s="1"/>
  <c r="S17" i="12"/>
  <c r="S80" i="12"/>
  <c r="S9" i="12"/>
  <c r="S38" i="12"/>
  <c r="S70" i="12"/>
  <c r="S90" i="12"/>
  <c r="S122" i="12"/>
  <c r="W144" i="20"/>
  <c r="T138" i="21"/>
  <c r="T10" i="12"/>
  <c r="T93" i="12"/>
  <c r="T54" i="12"/>
  <c r="T23" i="12"/>
  <c r="T55" i="12"/>
  <c r="T121" i="12"/>
  <c r="T119" i="12"/>
  <c r="T145" i="24"/>
  <c r="T36" i="12"/>
  <c r="T68" i="12"/>
  <c r="T83" i="12"/>
  <c r="T13" i="12"/>
  <c r="T45" i="12"/>
  <c r="T77" i="12"/>
  <c r="T95" i="12"/>
  <c r="T92" i="12"/>
  <c r="T92" i="27" s="1"/>
  <c r="T124" i="12"/>
  <c r="O140" i="20"/>
  <c r="O144" i="20"/>
  <c r="R141" i="19"/>
  <c r="P141" i="14"/>
  <c r="P136" i="14"/>
  <c r="P133" i="14"/>
  <c r="P139" i="14"/>
  <c r="S136" i="7"/>
  <c r="S133" i="7"/>
  <c r="S142" i="7"/>
  <c r="U141" i="15"/>
  <c r="O138" i="14"/>
  <c r="O144" i="14"/>
  <c r="Q137" i="20"/>
  <c r="Q144" i="20"/>
  <c r="V69" i="12"/>
  <c r="V65" i="12"/>
  <c r="V80" i="12"/>
  <c r="V18" i="12"/>
  <c r="V50" i="12"/>
  <c r="V108" i="12"/>
  <c r="V121" i="12"/>
  <c r="V31" i="12"/>
  <c r="V63" i="12"/>
  <c r="V86" i="12"/>
  <c r="V20" i="12"/>
  <c r="V52" i="12"/>
  <c r="V100" i="12"/>
  <c r="V114" i="12"/>
  <c r="V99" i="12"/>
  <c r="V131" i="12"/>
  <c r="S140" i="19"/>
  <c r="V137" i="21"/>
  <c r="V146" i="21"/>
  <c r="W138" i="21"/>
  <c r="W136" i="21"/>
  <c r="W133" i="21"/>
  <c r="U78" i="12"/>
  <c r="U22" i="12"/>
  <c r="U107" i="12"/>
  <c r="U19" i="12"/>
  <c r="U51" i="12"/>
  <c r="U141" i="24"/>
  <c r="U104" i="12"/>
  <c r="U102" i="12"/>
  <c r="U52" i="12"/>
  <c r="U52" i="27" s="1"/>
  <c r="U100" i="12"/>
  <c r="U16" i="12"/>
  <c r="U98" i="12"/>
  <c r="U17" i="12"/>
  <c r="U49" i="12"/>
  <c r="U80" i="12"/>
  <c r="U97" i="12"/>
  <c r="U129" i="12"/>
  <c r="T144" i="19"/>
  <c r="Q146" i="19"/>
  <c r="P136" i="20"/>
  <c r="P133" i="20"/>
  <c r="U139" i="21"/>
  <c r="U143" i="21"/>
  <c r="U145" i="21"/>
  <c r="S92" i="12"/>
  <c r="S67" i="12"/>
  <c r="S142" i="24"/>
  <c r="S119" i="12"/>
  <c r="S145" i="24"/>
  <c r="S16" i="12"/>
  <c r="S48" i="12"/>
  <c r="S85" i="12"/>
  <c r="S84" i="12"/>
  <c r="S43" i="12"/>
  <c r="S140" i="24"/>
  <c r="S65" i="12"/>
  <c r="S21" i="12"/>
  <c r="S95" i="12"/>
  <c r="S10" i="12"/>
  <c r="S42" i="12"/>
  <c r="S74" i="12"/>
  <c r="S74" i="27" s="1"/>
  <c r="S94" i="12"/>
  <c r="S126" i="12"/>
  <c r="W140" i="20"/>
  <c r="W142" i="20"/>
  <c r="T137" i="21"/>
  <c r="T136" i="21"/>
  <c r="T133" i="21"/>
  <c r="T143" i="21"/>
  <c r="T146" i="21"/>
  <c r="T42" i="12"/>
  <c r="T26" i="12"/>
  <c r="T106" i="12"/>
  <c r="T27" i="12"/>
  <c r="T138" i="24"/>
  <c r="T59" i="12"/>
  <c r="T107" i="12"/>
  <c r="T8" i="12"/>
  <c r="T8" i="31" s="1"/>
  <c r="T137" i="24"/>
  <c r="T40" i="12"/>
  <c r="T72" i="12"/>
  <c r="T98" i="12"/>
  <c r="T17" i="12"/>
  <c r="T49" i="12"/>
  <c r="T81" i="12"/>
  <c r="T110" i="12"/>
  <c r="T110" i="31" s="1"/>
  <c r="T144" i="24"/>
  <c r="T96" i="12"/>
  <c r="T143" i="24"/>
  <c r="T128" i="12"/>
  <c r="O138" i="20"/>
  <c r="R143" i="19"/>
  <c r="Q142" i="3"/>
  <c r="P137" i="14"/>
  <c r="P144" i="14"/>
  <c r="V141" i="15"/>
  <c r="S143" i="7"/>
  <c r="S144" i="7"/>
  <c r="W146" i="14"/>
  <c r="W139" i="14"/>
  <c r="W136" i="14"/>
  <c r="W133" i="14"/>
  <c r="U145" i="15"/>
  <c r="O136" i="14"/>
  <c r="O133" i="14"/>
  <c r="O137" i="14"/>
  <c r="Q138" i="20"/>
  <c r="Q145" i="20"/>
  <c r="O141" i="21"/>
  <c r="O138" i="21"/>
  <c r="V25" i="12"/>
  <c r="V25" i="27" s="1"/>
  <c r="V112" i="12"/>
  <c r="V109" i="12"/>
  <c r="V22" i="12"/>
  <c r="V54" i="12"/>
  <c r="V124" i="12"/>
  <c r="V122" i="12"/>
  <c r="V35" i="12"/>
  <c r="V67" i="12"/>
  <c r="V142" i="24"/>
  <c r="V101" i="12"/>
  <c r="V24" i="12"/>
  <c r="V56" i="12"/>
  <c r="V116" i="12"/>
  <c r="V129" i="12"/>
  <c r="V103" i="12"/>
  <c r="V141" i="21"/>
  <c r="V139" i="21"/>
  <c r="W142" i="21"/>
  <c r="W137" i="21"/>
  <c r="U95" i="12"/>
  <c r="U38" i="12"/>
  <c r="U122" i="12"/>
  <c r="U23" i="12"/>
  <c r="U55" i="12"/>
  <c r="U120" i="12"/>
  <c r="U103" i="12"/>
  <c r="U56" i="12"/>
  <c r="U116" i="12"/>
  <c r="U28" i="12"/>
  <c r="U99" i="12"/>
  <c r="U21" i="12"/>
  <c r="U53" i="12"/>
  <c r="U96" i="12"/>
  <c r="U143" i="24"/>
  <c r="U101" i="12"/>
  <c r="T145" i="19"/>
  <c r="T140" i="7"/>
  <c r="P140" i="20"/>
  <c r="P137" i="20"/>
  <c r="U138" i="21"/>
  <c r="S123" i="12"/>
  <c r="S75" i="12"/>
  <c r="S120" i="12"/>
  <c r="S20" i="12"/>
  <c r="S52" i="12"/>
  <c r="S101" i="12"/>
  <c r="S99" i="12"/>
  <c r="S13" i="12"/>
  <c r="S69" i="12"/>
  <c r="S25" i="12"/>
  <c r="S96" i="12"/>
  <c r="S143" i="24"/>
  <c r="S14" i="12"/>
  <c r="S46" i="12"/>
  <c r="S93" i="12"/>
  <c r="S98" i="12"/>
  <c r="S130" i="12"/>
  <c r="W145" i="20"/>
  <c r="X145" i="20"/>
  <c r="X146" i="20"/>
  <c r="X142" i="20"/>
  <c r="T142" i="21"/>
  <c r="T74" i="12"/>
  <c r="T74" i="27" s="1"/>
  <c r="T58" i="12"/>
  <c r="T123" i="12"/>
  <c r="T31" i="12"/>
  <c r="T63" i="12"/>
  <c r="T122" i="12"/>
  <c r="T12" i="12"/>
  <c r="T44" i="12"/>
  <c r="T76" i="12"/>
  <c r="T99" i="12"/>
  <c r="T21" i="12"/>
  <c r="T53" i="12"/>
  <c r="T97" i="12"/>
  <c r="T111" i="12"/>
  <c r="T100" i="12"/>
  <c r="T132" i="12"/>
  <c r="R138" i="19"/>
  <c r="Q137" i="3"/>
  <c r="P145" i="14"/>
  <c r="P143" i="14"/>
  <c r="S138" i="7"/>
  <c r="S140" i="7"/>
  <c r="U143" i="15"/>
  <c r="U138" i="15"/>
  <c r="O145" i="14"/>
  <c r="O146" i="21"/>
  <c r="O139" i="21"/>
  <c r="V57" i="12"/>
  <c r="V21" i="12"/>
  <c r="V126" i="12"/>
  <c r="V26" i="12"/>
  <c r="V58" i="12"/>
  <c r="V78" i="12"/>
  <c r="V7" i="12"/>
  <c r="V133" i="24"/>
  <c r="V136" i="24"/>
  <c r="V39" i="12"/>
  <c r="V71" i="12"/>
  <c r="V102" i="12"/>
  <c r="V28" i="12"/>
  <c r="V60" i="12"/>
  <c r="V132" i="12"/>
  <c r="V130" i="12"/>
  <c r="V107" i="12"/>
  <c r="S141" i="19"/>
  <c r="V140" i="21"/>
  <c r="W143" i="21"/>
  <c r="W141" i="21"/>
  <c r="W139" i="21"/>
  <c r="U79" i="12"/>
  <c r="U46" i="12"/>
  <c r="U123" i="12"/>
  <c r="U27" i="12"/>
  <c r="U138" i="24"/>
  <c r="U59" i="12"/>
  <c r="U30" i="12"/>
  <c r="U118" i="12"/>
  <c r="U118" i="27" s="1"/>
  <c r="U60" i="12"/>
  <c r="U132" i="12"/>
  <c r="U32" i="12"/>
  <c r="U114" i="12"/>
  <c r="U25" i="12"/>
  <c r="U57" i="12"/>
  <c r="U112" i="12"/>
  <c r="U112" i="27" s="1"/>
  <c r="U105" i="12"/>
  <c r="T136" i="19"/>
  <c r="T133" i="19"/>
  <c r="T137" i="19"/>
  <c r="S109" i="12"/>
  <c r="S102" i="12"/>
  <c r="W138" i="20"/>
  <c r="X136" i="20"/>
  <c r="X133" i="20"/>
  <c r="X137" i="20"/>
  <c r="X139" i="20"/>
  <c r="T18" i="12"/>
  <c r="T14" i="12"/>
  <c r="T90" i="12"/>
  <c r="T35" i="12"/>
  <c r="T67" i="12"/>
  <c r="T142" i="24"/>
  <c r="T86" i="12"/>
  <c r="T16" i="12"/>
  <c r="T48" i="12"/>
  <c r="T85" i="12"/>
  <c r="T114" i="12"/>
  <c r="T25" i="12"/>
  <c r="T57" i="12"/>
  <c r="T113" i="12"/>
  <c r="T126" i="12"/>
  <c r="T104" i="12"/>
  <c r="O136" i="20"/>
  <c r="O133" i="20"/>
  <c r="R145" i="19"/>
  <c r="Q138" i="3"/>
  <c r="P138" i="14"/>
  <c r="V142" i="15"/>
  <c r="V146" i="15"/>
  <c r="V145" i="15"/>
  <c r="S139" i="7"/>
  <c r="W143" i="14"/>
  <c r="U146" i="15"/>
  <c r="Q140" i="20"/>
  <c r="V29" i="12"/>
  <c r="V13" i="12"/>
  <c r="V53" i="12"/>
  <c r="V94" i="12"/>
  <c r="V30" i="12"/>
  <c r="V62" i="12"/>
  <c r="V93" i="12"/>
  <c r="V11" i="12"/>
  <c r="V43" i="12"/>
  <c r="V140" i="24"/>
  <c r="V75" i="12"/>
  <c r="V117" i="12"/>
  <c r="V32" i="12"/>
  <c r="V64" i="12"/>
  <c r="V81" i="12"/>
  <c r="V79" i="12"/>
  <c r="V111" i="12"/>
  <c r="S145" i="19"/>
  <c r="V143" i="21"/>
  <c r="U126" i="12"/>
  <c r="U14" i="12"/>
  <c r="U108" i="12"/>
  <c r="U62" i="12"/>
  <c r="U31" i="12"/>
  <c r="U63" i="12"/>
  <c r="U54" i="12"/>
  <c r="U119" i="12"/>
  <c r="U145" i="24"/>
  <c r="U64" i="12"/>
  <c r="U18" i="12"/>
  <c r="U40" i="12"/>
  <c r="U115" i="12"/>
  <c r="U29" i="12"/>
  <c r="U61" i="12"/>
  <c r="U128" i="12"/>
  <c r="U109" i="12"/>
  <c r="T146" i="19"/>
  <c r="Q143" i="3"/>
  <c r="S137" i="7"/>
  <c r="S141" i="7"/>
  <c r="W145" i="14"/>
  <c r="U142" i="15"/>
  <c r="O139" i="14"/>
  <c r="Q141" i="20"/>
  <c r="Q142" i="20"/>
  <c r="V61" i="12"/>
  <c r="V45" i="12"/>
  <c r="V96" i="12"/>
  <c r="V96" i="31" s="1"/>
  <c r="V143" i="24"/>
  <c r="V110" i="12"/>
  <c r="V144" i="24"/>
  <c r="V34" i="12"/>
  <c r="V34" i="31" s="1"/>
  <c r="V139" i="24"/>
  <c r="V66" i="12"/>
  <c r="V89" i="12"/>
  <c r="V15" i="12"/>
  <c r="V47" i="12"/>
  <c r="V88" i="12"/>
  <c r="V118" i="12"/>
  <c r="V36" i="12"/>
  <c r="V68" i="12"/>
  <c r="V82" i="12"/>
  <c r="V83" i="12"/>
  <c r="V115" i="12"/>
  <c r="S138" i="19"/>
  <c r="S144" i="19"/>
  <c r="V144" i="21"/>
  <c r="U110" i="12"/>
  <c r="U144" i="24"/>
  <c r="U42" i="12"/>
  <c r="U124" i="12"/>
  <c r="U70" i="12"/>
  <c r="U35" i="12"/>
  <c r="U67" i="12"/>
  <c r="U142" i="24"/>
  <c r="U58" i="12"/>
  <c r="U26" i="12"/>
  <c r="U68" i="12"/>
  <c r="U34" i="12"/>
  <c r="U34" i="31" s="1"/>
  <c r="U139" i="24"/>
  <c r="U44" i="12"/>
  <c r="U130" i="12"/>
  <c r="U33" i="12"/>
  <c r="U65" i="12"/>
  <c r="U81" i="12"/>
  <c r="U113" i="12"/>
  <c r="T139" i="19"/>
  <c r="T140" i="19"/>
  <c r="T137" i="7"/>
  <c r="T145" i="7"/>
  <c r="Q138" i="19"/>
  <c r="Q136" i="19"/>
  <c r="Q133" i="19"/>
  <c r="P144" i="20"/>
  <c r="U137" i="21"/>
  <c r="U136" i="21"/>
  <c r="U133" i="21"/>
  <c r="S107" i="12"/>
  <c r="S7" i="12"/>
  <c r="S133" i="24"/>
  <c r="S136" i="24"/>
  <c r="S87" i="12"/>
  <c r="S59" i="12"/>
  <c r="S32" i="12"/>
  <c r="S64" i="12"/>
  <c r="S27" i="12"/>
  <c r="S138" i="24"/>
  <c r="S116" i="12"/>
  <c r="S45" i="12"/>
  <c r="S97" i="12"/>
  <c r="S57" i="12"/>
  <c r="S127" i="12"/>
  <c r="S146" i="24"/>
  <c r="S26" i="12"/>
  <c r="S26" i="27" s="1"/>
  <c r="S58" i="12"/>
  <c r="S78" i="12"/>
  <c r="S110" i="12"/>
  <c r="S144" i="24"/>
  <c r="W141" i="20"/>
  <c r="W136" i="20"/>
  <c r="W133" i="20"/>
  <c r="X143" i="20"/>
  <c r="T30" i="12"/>
  <c r="T109" i="12"/>
  <c r="T34" i="12"/>
  <c r="T139" i="24"/>
  <c r="T11" i="12"/>
  <c r="T43" i="12"/>
  <c r="T140" i="24"/>
  <c r="T75" i="12"/>
  <c r="T102" i="12"/>
  <c r="T24" i="12"/>
  <c r="T56" i="12"/>
  <c r="T117" i="12"/>
  <c r="T130" i="12"/>
  <c r="T33" i="12"/>
  <c r="T65" i="12"/>
  <c r="T78" i="12"/>
  <c r="T80" i="12"/>
  <c r="T112" i="12"/>
  <c r="O142" i="20"/>
  <c r="R136" i="19"/>
  <c r="R133" i="19"/>
  <c r="Q146" i="3"/>
  <c r="Q139" i="3"/>
  <c r="V136" i="15"/>
  <c r="V133" i="15"/>
  <c r="V143" i="15"/>
  <c r="W137" i="14"/>
  <c r="W141" i="14"/>
  <c r="W142" i="14"/>
  <c r="W140" i="14"/>
  <c r="U136" i="15"/>
  <c r="U133" i="15"/>
  <c r="O141" i="14"/>
  <c r="Q143" i="20"/>
  <c r="O137" i="21"/>
  <c r="O140" i="21"/>
  <c r="O144" i="21"/>
  <c r="V17" i="12"/>
  <c r="V77" i="12"/>
  <c r="V9" i="12"/>
  <c r="V125" i="12"/>
  <c r="V38" i="12"/>
  <c r="V70" i="12"/>
  <c r="V90" i="12"/>
  <c r="V19" i="12"/>
  <c r="V51" i="12"/>
  <c r="V141" i="24"/>
  <c r="V104" i="12"/>
  <c r="V8" i="12"/>
  <c r="V8" i="31" s="1"/>
  <c r="V137" i="24"/>
  <c r="V40" i="12"/>
  <c r="V72" i="12"/>
  <c r="V97" i="12"/>
  <c r="V87" i="12"/>
  <c r="V119" i="12"/>
  <c r="V145" i="24"/>
  <c r="W144" i="21"/>
  <c r="U127" i="12"/>
  <c r="U146" i="24"/>
  <c r="U74" i="12"/>
  <c r="U90" i="12"/>
  <c r="U7" i="12"/>
  <c r="U7" i="31" s="1"/>
  <c r="U136" i="24"/>
  <c r="U133" i="24"/>
  <c r="U39" i="12"/>
  <c r="U71" i="12"/>
  <c r="U66" i="12"/>
  <c r="U20" i="12"/>
  <c r="U72" i="12"/>
  <c r="U50" i="12"/>
  <c r="U48" i="12"/>
  <c r="U131" i="12"/>
  <c r="U37" i="12"/>
  <c r="U69" i="12"/>
  <c r="U69" i="27" s="1"/>
  <c r="U85" i="12"/>
  <c r="U117" i="12"/>
  <c r="T143" i="19"/>
  <c r="T138" i="7"/>
  <c r="P138" i="20"/>
  <c r="P139" i="20"/>
  <c r="U140" i="21"/>
  <c r="S124" i="12"/>
  <c r="S19" i="12"/>
  <c r="S88" i="12"/>
  <c r="S89" i="12"/>
  <c r="S36" i="12"/>
  <c r="S68" i="12"/>
  <c r="S47" i="12"/>
  <c r="S47" i="27" s="1"/>
  <c r="S131" i="12"/>
  <c r="S49" i="12"/>
  <c r="S113" i="12"/>
  <c r="S77" i="12"/>
  <c r="S128" i="12"/>
  <c r="S30" i="12"/>
  <c r="S62" i="12"/>
  <c r="S82" i="12"/>
  <c r="S114" i="12"/>
  <c r="W139" i="20"/>
  <c r="X141" i="20"/>
  <c r="X144" i="20"/>
  <c r="T141" i="21"/>
  <c r="T62" i="12"/>
  <c r="T38" i="12"/>
  <c r="T66" i="12"/>
  <c r="T15" i="12"/>
  <c r="T47" i="12"/>
  <c r="T89" i="12"/>
  <c r="T103" i="12"/>
  <c r="T28" i="12"/>
  <c r="T60" i="12"/>
  <c r="T91" i="12"/>
  <c r="T131" i="12"/>
  <c r="T37" i="12"/>
  <c r="T69" i="12"/>
  <c r="T79" i="12"/>
  <c r="T84" i="12"/>
  <c r="T116" i="12"/>
  <c r="O137" i="20"/>
  <c r="O146" i="20"/>
  <c r="R139" i="19"/>
  <c r="R140" i="19"/>
  <c r="R146" i="19"/>
  <c r="Q141" i="3"/>
  <c r="Q140" i="3"/>
  <c r="P142" i="14"/>
  <c r="V138" i="15"/>
  <c r="S145" i="7"/>
  <c r="W138" i="14"/>
  <c r="W144" i="14"/>
  <c r="U140" i="15"/>
  <c r="O143" i="14"/>
  <c r="Q136" i="20"/>
  <c r="Q133" i="20"/>
  <c r="V49" i="12"/>
  <c r="V128" i="12"/>
  <c r="V41" i="12"/>
  <c r="V10" i="12"/>
  <c r="V42" i="12"/>
  <c r="V74" i="12"/>
  <c r="V105" i="12"/>
  <c r="V23" i="12"/>
  <c r="V55" i="12"/>
  <c r="V120" i="12"/>
  <c r="V12" i="12"/>
  <c r="V44" i="12"/>
  <c r="V76" i="12"/>
  <c r="V98" i="12"/>
  <c r="V91" i="12"/>
  <c r="V123" i="12"/>
  <c r="S137" i="19"/>
  <c r="S142" i="19"/>
  <c r="V142" i="21"/>
  <c r="U94" i="12"/>
  <c r="U92" i="12"/>
  <c r="U92" i="27" s="1"/>
  <c r="U91" i="12"/>
  <c r="U11" i="12"/>
  <c r="U43" i="12"/>
  <c r="U43" i="31" s="1"/>
  <c r="U140" i="24"/>
  <c r="U75" i="12"/>
  <c r="U86" i="12"/>
  <c r="U24" i="12"/>
  <c r="U76" i="12"/>
  <c r="U8" i="12"/>
  <c r="U137" i="24"/>
  <c r="U82" i="12"/>
  <c r="U9" i="12"/>
  <c r="U9" i="27" s="1"/>
  <c r="U41" i="12"/>
  <c r="U73" i="12"/>
  <c r="U89" i="12"/>
  <c r="U121" i="12"/>
  <c r="U121" i="27" s="1"/>
  <c r="T141" i="19"/>
  <c r="T142" i="19"/>
  <c r="W116" i="31" l="1"/>
  <c r="W23" i="31"/>
  <c r="W87" i="16"/>
  <c r="W23" i="27"/>
  <c r="W81" i="16"/>
  <c r="W18" i="31"/>
  <c r="W18" i="27"/>
  <c r="W71" i="16"/>
  <c r="R122" i="16"/>
  <c r="P11" i="31"/>
  <c r="Q105" i="31"/>
  <c r="P20" i="27"/>
  <c r="P95" i="27"/>
  <c r="Q13" i="31"/>
  <c r="W71" i="27"/>
  <c r="Q117" i="31"/>
  <c r="Q98" i="27"/>
  <c r="W97" i="31"/>
  <c r="Q92" i="31"/>
  <c r="P85" i="27"/>
  <c r="W68" i="27"/>
  <c r="P13" i="16"/>
  <c r="W101" i="27"/>
  <c r="W105" i="27"/>
  <c r="P40" i="16"/>
  <c r="P63" i="16"/>
  <c r="W101" i="16"/>
  <c r="P88" i="16"/>
  <c r="P88" i="27"/>
  <c r="P15" i="27"/>
  <c r="P12" i="27"/>
  <c r="U73" i="27"/>
  <c r="U73" i="31"/>
  <c r="U41" i="16"/>
  <c r="U41" i="31"/>
  <c r="V55" i="16"/>
  <c r="V55" i="31"/>
  <c r="V49" i="16"/>
  <c r="V49" i="31"/>
  <c r="T60" i="16"/>
  <c r="T60" i="31"/>
  <c r="T62" i="16"/>
  <c r="T62" i="31"/>
  <c r="S30" i="16"/>
  <c r="S30" i="31"/>
  <c r="S36" i="16"/>
  <c r="S36" i="31"/>
  <c r="U50" i="16"/>
  <c r="U50" i="31"/>
  <c r="U136" i="31"/>
  <c r="V87" i="16"/>
  <c r="V87" i="31"/>
  <c r="V51" i="27"/>
  <c r="V51" i="31"/>
  <c r="V17" i="16"/>
  <c r="V17" i="31"/>
  <c r="T33" i="16"/>
  <c r="T33" i="31"/>
  <c r="T43" i="27"/>
  <c r="T43" i="31"/>
  <c r="S127" i="16"/>
  <c r="S127" i="31"/>
  <c r="S32" i="16"/>
  <c r="S32" i="31"/>
  <c r="U70" i="16"/>
  <c r="U70" i="31"/>
  <c r="V115" i="16"/>
  <c r="V115" i="31"/>
  <c r="V15" i="16"/>
  <c r="V15" i="31"/>
  <c r="U115" i="16"/>
  <c r="U115" i="31"/>
  <c r="U31" i="16"/>
  <c r="U31" i="31"/>
  <c r="V79" i="16"/>
  <c r="V79" i="31"/>
  <c r="V11" i="16"/>
  <c r="V11" i="31"/>
  <c r="T25" i="16"/>
  <c r="T25" i="31"/>
  <c r="T35" i="16"/>
  <c r="T35" i="31"/>
  <c r="U57" i="16"/>
  <c r="U57" i="31"/>
  <c r="U59" i="16"/>
  <c r="U59" i="31"/>
  <c r="V102" i="16"/>
  <c r="V102" i="31"/>
  <c r="V26" i="16"/>
  <c r="V26" i="31"/>
  <c r="T100" i="16"/>
  <c r="T100" i="31"/>
  <c r="T12" i="16"/>
  <c r="T12" i="31"/>
  <c r="S14" i="16"/>
  <c r="S14" i="31"/>
  <c r="S52" i="16"/>
  <c r="S52" i="31"/>
  <c r="U28" i="16"/>
  <c r="U28" i="31"/>
  <c r="U38" i="16"/>
  <c r="U38" i="31"/>
  <c r="V116" i="16"/>
  <c r="V116" i="31"/>
  <c r="V124" i="16"/>
  <c r="V124" i="31"/>
  <c r="T49" i="16"/>
  <c r="T49" i="31"/>
  <c r="T59" i="16"/>
  <c r="T59" i="31"/>
  <c r="S42" i="16"/>
  <c r="S42" i="31"/>
  <c r="S85" i="16"/>
  <c r="S85" i="31"/>
  <c r="U97" i="16"/>
  <c r="U97" i="31"/>
  <c r="U102" i="16"/>
  <c r="U102" i="31"/>
  <c r="V114" i="16"/>
  <c r="V114" i="31"/>
  <c r="V108" i="16"/>
  <c r="V108" i="31"/>
  <c r="T77" i="16"/>
  <c r="T77" i="31"/>
  <c r="T121" i="16"/>
  <c r="T121" i="31"/>
  <c r="S122" i="16"/>
  <c r="S122" i="31"/>
  <c r="S15" i="16"/>
  <c r="S15" i="31"/>
  <c r="U12" i="16"/>
  <c r="U12" i="31"/>
  <c r="U10" i="16"/>
  <c r="U10" i="31"/>
  <c r="V59" i="16"/>
  <c r="V59" i="31"/>
  <c r="V33" i="16"/>
  <c r="V33" i="31"/>
  <c r="T9" i="16"/>
  <c r="T9" i="31"/>
  <c r="T19" i="16"/>
  <c r="T19" i="31"/>
  <c r="S129" i="16"/>
  <c r="S129" i="31"/>
  <c r="S103" i="16"/>
  <c r="S103" i="31"/>
  <c r="R62" i="16"/>
  <c r="R62" i="31"/>
  <c r="R48" i="16"/>
  <c r="R48" i="31"/>
  <c r="O108" i="16"/>
  <c r="O108" i="31"/>
  <c r="O69" i="16"/>
  <c r="O69" i="31"/>
  <c r="R117" i="16"/>
  <c r="R117" i="31"/>
  <c r="R17" i="16"/>
  <c r="R17" i="31"/>
  <c r="R7" i="27"/>
  <c r="R7" i="31"/>
  <c r="O19" i="16"/>
  <c r="O19" i="31"/>
  <c r="O73" i="27"/>
  <c r="O73" i="31"/>
  <c r="W194" i="12"/>
  <c r="W67" i="31"/>
  <c r="T20" i="16"/>
  <c r="T20" i="31"/>
  <c r="T50" i="16"/>
  <c r="T50" i="31"/>
  <c r="S81" i="16"/>
  <c r="S81" i="31"/>
  <c r="S71" i="16"/>
  <c r="S71" i="31"/>
  <c r="R13" i="16"/>
  <c r="R13" i="31"/>
  <c r="O78" i="16"/>
  <c r="O78" i="31"/>
  <c r="S105" i="16"/>
  <c r="S105" i="31"/>
  <c r="Q51" i="27"/>
  <c r="Q51" i="31"/>
  <c r="R95" i="16"/>
  <c r="R95" i="31"/>
  <c r="R47" i="16"/>
  <c r="R47" i="31"/>
  <c r="O12" i="16"/>
  <c r="O12" i="31"/>
  <c r="O10" i="16"/>
  <c r="O10" i="31"/>
  <c r="R123" i="16"/>
  <c r="R123" i="31"/>
  <c r="R83" i="16"/>
  <c r="R83" i="31"/>
  <c r="O124" i="16"/>
  <c r="O124" i="31"/>
  <c r="O7" i="27"/>
  <c r="O7" i="31"/>
  <c r="O113" i="16"/>
  <c r="O113" i="31"/>
  <c r="W92" i="16"/>
  <c r="W92" i="31"/>
  <c r="W61" i="16"/>
  <c r="W61" i="31"/>
  <c r="Q43" i="27"/>
  <c r="Q43" i="31"/>
  <c r="R79" i="16"/>
  <c r="R79" i="31"/>
  <c r="R119" i="27"/>
  <c r="R119" i="31"/>
  <c r="O36" i="16"/>
  <c r="O36" i="31"/>
  <c r="O66" i="16"/>
  <c r="O66" i="31"/>
  <c r="R38" i="16"/>
  <c r="R38" i="31"/>
  <c r="R24" i="16"/>
  <c r="R24" i="31"/>
  <c r="O64" i="16"/>
  <c r="O64" i="31"/>
  <c r="O109" i="16"/>
  <c r="O109" i="31"/>
  <c r="O101" i="16"/>
  <c r="O101" i="31"/>
  <c r="W95" i="16"/>
  <c r="W95" i="31"/>
  <c r="W110" i="27"/>
  <c r="W110" i="31"/>
  <c r="P27" i="27"/>
  <c r="P27" i="31"/>
  <c r="R125" i="16"/>
  <c r="R125" i="31"/>
  <c r="R114" i="16"/>
  <c r="R114" i="31"/>
  <c r="R71" i="16"/>
  <c r="R71" i="31"/>
  <c r="O121" i="16"/>
  <c r="O121" i="31"/>
  <c r="O29" i="16"/>
  <c r="O29" i="31"/>
  <c r="P117" i="16"/>
  <c r="P117" i="31"/>
  <c r="W58" i="16"/>
  <c r="W58" i="31"/>
  <c r="P25" i="16"/>
  <c r="P25" i="31"/>
  <c r="P103" i="16"/>
  <c r="P103" i="31"/>
  <c r="W32" i="16"/>
  <c r="W32" i="31"/>
  <c r="Q115" i="16"/>
  <c r="Q115" i="31"/>
  <c r="P69" i="16"/>
  <c r="P69" i="31"/>
  <c r="P32" i="16"/>
  <c r="P32" i="31"/>
  <c r="W85" i="16"/>
  <c r="W85" i="31"/>
  <c r="Q76" i="16"/>
  <c r="Q76" i="31"/>
  <c r="W103" i="27"/>
  <c r="W103" i="31"/>
  <c r="O46" i="27"/>
  <c r="O46" i="31"/>
  <c r="Q81" i="27"/>
  <c r="Q81" i="31"/>
  <c r="P45" i="27"/>
  <c r="P45" i="31"/>
  <c r="Q45" i="27"/>
  <c r="Q45" i="31"/>
  <c r="P118" i="27"/>
  <c r="P118" i="31"/>
  <c r="Q74" i="27"/>
  <c r="Q74" i="31"/>
  <c r="W115" i="27"/>
  <c r="W115" i="31"/>
  <c r="W100" i="16"/>
  <c r="W100" i="31"/>
  <c r="Q46" i="27"/>
  <c r="Q46" i="31"/>
  <c r="P62" i="27"/>
  <c r="P62" i="31"/>
  <c r="W123" i="27"/>
  <c r="W123" i="31"/>
  <c r="P26" i="27"/>
  <c r="P26" i="31"/>
  <c r="P94" i="27"/>
  <c r="P94" i="31"/>
  <c r="P46" i="27"/>
  <c r="O109" i="27"/>
  <c r="R110" i="27"/>
  <c r="R43" i="27"/>
  <c r="Q26" i="27"/>
  <c r="V96" i="27"/>
  <c r="Q52" i="27"/>
  <c r="T38" i="16"/>
  <c r="T38" i="31"/>
  <c r="S62" i="16"/>
  <c r="S62" i="31"/>
  <c r="U9" i="16"/>
  <c r="U9" i="31"/>
  <c r="V123" i="16"/>
  <c r="V123" i="31"/>
  <c r="T116" i="16"/>
  <c r="T116" i="31"/>
  <c r="T28" i="16"/>
  <c r="T28" i="31"/>
  <c r="S128" i="27"/>
  <c r="S128" i="31"/>
  <c r="S89" i="16"/>
  <c r="S89" i="31"/>
  <c r="U72" i="16"/>
  <c r="U72" i="31"/>
  <c r="U90" i="16"/>
  <c r="U90" i="31"/>
  <c r="V97" i="16"/>
  <c r="V97" i="31"/>
  <c r="V19" i="16"/>
  <c r="V19" i="31"/>
  <c r="T130" i="16"/>
  <c r="T130" i="31"/>
  <c r="T11" i="16"/>
  <c r="T11" i="31"/>
  <c r="S57" i="16"/>
  <c r="S57" i="31"/>
  <c r="S59" i="16"/>
  <c r="S59" i="31"/>
  <c r="U124" i="16"/>
  <c r="U124" i="31"/>
  <c r="V83" i="16"/>
  <c r="V83" i="31"/>
  <c r="V89" i="16"/>
  <c r="V89" i="31"/>
  <c r="V45" i="16"/>
  <c r="V45" i="31"/>
  <c r="U40" i="16"/>
  <c r="U40" i="31"/>
  <c r="U62" i="16"/>
  <c r="U62" i="31"/>
  <c r="V81" i="16"/>
  <c r="V81" i="31"/>
  <c r="V93" i="16"/>
  <c r="V93" i="31"/>
  <c r="T114" i="16"/>
  <c r="T114" i="31"/>
  <c r="T90" i="16"/>
  <c r="T90" i="31"/>
  <c r="S102" i="16"/>
  <c r="S102" i="31"/>
  <c r="U25" i="16"/>
  <c r="U25" i="31"/>
  <c r="V71" i="16"/>
  <c r="V71" i="31"/>
  <c r="V126" i="16"/>
  <c r="V126" i="31"/>
  <c r="T111" i="16"/>
  <c r="T111" i="31"/>
  <c r="T122" i="16"/>
  <c r="T122" i="31"/>
  <c r="S20" i="16"/>
  <c r="S20" i="31"/>
  <c r="U116" i="16"/>
  <c r="U116" i="31"/>
  <c r="U95" i="16"/>
  <c r="U95" i="31"/>
  <c r="V56" i="16"/>
  <c r="V56" i="31"/>
  <c r="V54" i="16"/>
  <c r="V54" i="31"/>
  <c r="T17" i="16"/>
  <c r="T17" i="31"/>
  <c r="S10" i="16"/>
  <c r="S10" i="31"/>
  <c r="S48" i="16"/>
  <c r="S48" i="31"/>
  <c r="U80" i="16"/>
  <c r="U80" i="31"/>
  <c r="U104" i="16"/>
  <c r="U104" i="31"/>
  <c r="V100" i="16"/>
  <c r="V100" i="31"/>
  <c r="V50" i="16"/>
  <c r="V50" i="31"/>
  <c r="T45" i="16"/>
  <c r="T45" i="31"/>
  <c r="T55" i="16"/>
  <c r="T55" i="31"/>
  <c r="S90" i="16"/>
  <c r="S90" i="31"/>
  <c r="S83" i="16"/>
  <c r="S83" i="31"/>
  <c r="U84" i="16"/>
  <c r="U84" i="31"/>
  <c r="U111" i="16"/>
  <c r="U111" i="31"/>
  <c r="V127" i="27"/>
  <c r="V127" i="31"/>
  <c r="V37" i="16"/>
  <c r="V37" i="31"/>
  <c r="T82" i="16"/>
  <c r="T82" i="31"/>
  <c r="T22" i="16"/>
  <c r="T22" i="31"/>
  <c r="S118" i="16"/>
  <c r="S118" i="31"/>
  <c r="S53" i="16"/>
  <c r="S53" i="31"/>
  <c r="S31" i="16"/>
  <c r="S31" i="31"/>
  <c r="Q102" i="16"/>
  <c r="Q102" i="31"/>
  <c r="R30" i="16"/>
  <c r="R30" i="31"/>
  <c r="R16" i="16"/>
  <c r="R16" i="31"/>
  <c r="O27" i="27"/>
  <c r="O27" i="31"/>
  <c r="Q110" i="27"/>
  <c r="Q110" i="31"/>
  <c r="R85" i="16"/>
  <c r="R85" i="31"/>
  <c r="R100" i="16"/>
  <c r="R100" i="31"/>
  <c r="R75" i="16"/>
  <c r="R75" i="31"/>
  <c r="O71" i="16"/>
  <c r="O71" i="31"/>
  <c r="O65" i="16"/>
  <c r="O65" i="31"/>
  <c r="P119" i="27"/>
  <c r="P119" i="31"/>
  <c r="T127" i="27"/>
  <c r="T127" i="31"/>
  <c r="T87" i="16"/>
  <c r="T87" i="31"/>
  <c r="S41" i="16"/>
  <c r="S41" i="31"/>
  <c r="P34" i="27"/>
  <c r="P34" i="31"/>
  <c r="S29" i="16"/>
  <c r="S29" i="31"/>
  <c r="S23" i="16"/>
  <c r="S23" i="31"/>
  <c r="R73" i="27"/>
  <c r="R73" i="31"/>
  <c r="R19" i="16"/>
  <c r="R19" i="31"/>
  <c r="O89" i="16"/>
  <c r="O89" i="31"/>
  <c r="O114" i="16"/>
  <c r="O114" i="31"/>
  <c r="W96" i="27"/>
  <c r="W96" i="31"/>
  <c r="R78" i="16"/>
  <c r="R78" i="31"/>
  <c r="R64" i="16"/>
  <c r="R64" i="31"/>
  <c r="O92" i="16"/>
  <c r="O92" i="31"/>
  <c r="O13" i="16"/>
  <c r="O13" i="31"/>
  <c r="O131" i="16"/>
  <c r="O131" i="31"/>
  <c r="P67" i="27"/>
  <c r="P67" i="31"/>
  <c r="R65" i="16"/>
  <c r="R65" i="31"/>
  <c r="R59" i="16"/>
  <c r="R59" i="31"/>
  <c r="O21" i="16"/>
  <c r="O21" i="31"/>
  <c r="R128" i="16"/>
  <c r="R128" i="31"/>
  <c r="R88" i="16"/>
  <c r="R88" i="31"/>
  <c r="O32" i="16"/>
  <c r="O32" i="31"/>
  <c r="W39" i="16"/>
  <c r="W39" i="31"/>
  <c r="R93" i="16"/>
  <c r="R93" i="31"/>
  <c r="R57" i="16"/>
  <c r="R57" i="31"/>
  <c r="R55" i="16"/>
  <c r="R55" i="31"/>
  <c r="O35" i="16"/>
  <c r="O35" i="31"/>
  <c r="O82" i="16"/>
  <c r="O82" i="31"/>
  <c r="W43" i="16"/>
  <c r="W43" i="31"/>
  <c r="W26" i="27"/>
  <c r="W26" i="31"/>
  <c r="Q35" i="16"/>
  <c r="Q35" i="31"/>
  <c r="W118" i="16"/>
  <c r="W118" i="31"/>
  <c r="Q42" i="16"/>
  <c r="Q42" i="31"/>
  <c r="P37" i="16"/>
  <c r="P37" i="31"/>
  <c r="W30" i="16"/>
  <c r="W30" i="31"/>
  <c r="Q23" i="27"/>
  <c r="Q23" i="31"/>
  <c r="P130" i="27"/>
  <c r="P130" i="31"/>
  <c r="W120" i="16"/>
  <c r="W120" i="31"/>
  <c r="W46" i="27"/>
  <c r="W46" i="31"/>
  <c r="O132" i="16"/>
  <c r="O132" i="31"/>
  <c r="O86" i="16"/>
  <c r="O86" i="31"/>
  <c r="Q49" i="27"/>
  <c r="Q49" i="31"/>
  <c r="W112" i="27"/>
  <c r="W112" i="31"/>
  <c r="P86" i="27"/>
  <c r="P86" i="31"/>
  <c r="Q129" i="27"/>
  <c r="Q129" i="31"/>
  <c r="W56" i="27"/>
  <c r="W56" i="31"/>
  <c r="W99" i="16"/>
  <c r="W99" i="31"/>
  <c r="Q62" i="27"/>
  <c r="Q62" i="31"/>
  <c r="W54" i="27"/>
  <c r="W54" i="31"/>
  <c r="P21" i="27"/>
  <c r="P21" i="31"/>
  <c r="W118" i="27"/>
  <c r="U7" i="27"/>
  <c r="U136" i="27" s="1"/>
  <c r="V108" i="27"/>
  <c r="P101" i="27"/>
  <c r="U34" i="27"/>
  <c r="Q14" i="27"/>
  <c r="Q66" i="27"/>
  <c r="W120" i="27"/>
  <c r="T100" i="27"/>
  <c r="Q37" i="27"/>
  <c r="P124" i="27"/>
  <c r="V76" i="16"/>
  <c r="V76" i="31"/>
  <c r="U89" i="16"/>
  <c r="U89" i="31"/>
  <c r="U94" i="16"/>
  <c r="U94" i="31"/>
  <c r="V10" i="16"/>
  <c r="V10" i="31"/>
  <c r="T37" i="16"/>
  <c r="T37" i="31"/>
  <c r="S131" i="16"/>
  <c r="S131" i="31"/>
  <c r="U39" i="16"/>
  <c r="U39" i="31"/>
  <c r="U86" i="16"/>
  <c r="U86" i="31"/>
  <c r="U75" i="16"/>
  <c r="U75" i="31"/>
  <c r="U82" i="16"/>
  <c r="U82" i="31"/>
  <c r="U11" i="27"/>
  <c r="U11" i="31"/>
  <c r="V91" i="16"/>
  <c r="V91" i="31"/>
  <c r="V105" i="16"/>
  <c r="V105" i="31"/>
  <c r="T84" i="16"/>
  <c r="T84" i="31"/>
  <c r="T103" i="16"/>
  <c r="T103" i="31"/>
  <c r="S77" i="16"/>
  <c r="S77" i="31"/>
  <c r="U20" i="16"/>
  <c r="U20" i="31"/>
  <c r="V90" i="16"/>
  <c r="V90" i="31"/>
  <c r="T117" i="16"/>
  <c r="T117" i="31"/>
  <c r="S97" i="16"/>
  <c r="S97" i="31"/>
  <c r="S87" i="16"/>
  <c r="S87" i="31"/>
  <c r="U113" i="16"/>
  <c r="U113" i="31"/>
  <c r="U68" i="16"/>
  <c r="U68" i="31"/>
  <c r="U42" i="16"/>
  <c r="U42" i="31"/>
  <c r="V82" i="16"/>
  <c r="V82" i="31"/>
  <c r="V66" i="16"/>
  <c r="V66" i="31"/>
  <c r="V61" i="16"/>
  <c r="V61" i="31"/>
  <c r="U18" i="16"/>
  <c r="U18" i="31"/>
  <c r="U108" i="16"/>
  <c r="U108" i="31"/>
  <c r="V64" i="16"/>
  <c r="V64" i="31"/>
  <c r="V62" i="16"/>
  <c r="V62" i="31"/>
  <c r="T85" i="16"/>
  <c r="T85" i="31"/>
  <c r="T14" i="16"/>
  <c r="T14" i="31"/>
  <c r="S109" i="16"/>
  <c r="S109" i="31"/>
  <c r="U114" i="16"/>
  <c r="U114" i="31"/>
  <c r="U27" i="27"/>
  <c r="U27" i="31"/>
  <c r="V39" i="16"/>
  <c r="V39" i="31"/>
  <c r="V21" i="16"/>
  <c r="V21" i="31"/>
  <c r="T97" i="16"/>
  <c r="T97" i="31"/>
  <c r="T63" i="16"/>
  <c r="T63" i="31"/>
  <c r="S96" i="27"/>
  <c r="S96" i="31"/>
  <c r="S120" i="16"/>
  <c r="S120" i="31"/>
  <c r="U101" i="16"/>
  <c r="U101" i="31"/>
  <c r="U56" i="16"/>
  <c r="U56" i="31"/>
  <c r="V24" i="16"/>
  <c r="V24" i="31"/>
  <c r="V22" i="16"/>
  <c r="V22" i="31"/>
  <c r="T128" i="16"/>
  <c r="T128" i="31"/>
  <c r="T98" i="16"/>
  <c r="T98" i="31"/>
  <c r="T27" i="27"/>
  <c r="T27" i="31"/>
  <c r="S95" i="16"/>
  <c r="S95" i="31"/>
  <c r="S16" i="16"/>
  <c r="S16" i="31"/>
  <c r="U49" i="16"/>
  <c r="U49" i="31"/>
  <c r="V52" i="16"/>
  <c r="V52" i="31"/>
  <c r="V18" i="16"/>
  <c r="V18" i="31"/>
  <c r="T13" i="16"/>
  <c r="T13" i="31"/>
  <c r="T23" i="16"/>
  <c r="T23" i="31"/>
  <c r="S70" i="16"/>
  <c r="S70" i="31"/>
  <c r="S76" i="16"/>
  <c r="S76" i="31"/>
  <c r="U125" i="16"/>
  <c r="U125" i="31"/>
  <c r="U36" i="16"/>
  <c r="U36" i="31"/>
  <c r="V95" i="16"/>
  <c r="V95" i="31"/>
  <c r="V27" i="27"/>
  <c r="V27" i="31"/>
  <c r="T64" i="16"/>
  <c r="T64" i="31"/>
  <c r="T70" i="16"/>
  <c r="T70" i="31"/>
  <c r="S86" i="16"/>
  <c r="S86" i="31"/>
  <c r="S132" i="16"/>
  <c r="S132" i="31"/>
  <c r="S91" i="16"/>
  <c r="S91" i="31"/>
  <c r="R112" i="16"/>
  <c r="R112" i="31"/>
  <c r="O119" i="27"/>
  <c r="O119" i="31"/>
  <c r="O93" i="16"/>
  <c r="O93" i="31"/>
  <c r="R126" i="16"/>
  <c r="R126" i="31"/>
  <c r="R76" i="16"/>
  <c r="R76" i="31"/>
  <c r="O23" i="16"/>
  <c r="O23" i="31"/>
  <c r="T129" i="16"/>
  <c r="T129" i="31"/>
  <c r="T71" i="16"/>
  <c r="T71" i="31"/>
  <c r="S106" i="16"/>
  <c r="S106" i="31"/>
  <c r="S115" i="16"/>
  <c r="S115" i="31"/>
  <c r="R54" i="16"/>
  <c r="R54" i="31"/>
  <c r="R72" i="16"/>
  <c r="R72" i="31"/>
  <c r="O14" i="16"/>
  <c r="O14" i="31"/>
  <c r="S100" i="16"/>
  <c r="S100" i="31"/>
  <c r="R41" i="16"/>
  <c r="R41" i="31"/>
  <c r="R11" i="16"/>
  <c r="R11" i="31"/>
  <c r="O11" i="16"/>
  <c r="O11" i="31"/>
  <c r="O53" i="16"/>
  <c r="O53" i="31"/>
  <c r="P7" i="27"/>
  <c r="P136" i="27" s="1"/>
  <c r="P7" i="31"/>
  <c r="R46" i="16"/>
  <c r="R46" i="31"/>
  <c r="R32" i="16"/>
  <c r="R32" i="31"/>
  <c r="O72" i="16"/>
  <c r="O72" i="31"/>
  <c r="O59" i="16"/>
  <c r="O59" i="31"/>
  <c r="O85" i="16"/>
  <c r="O85" i="31"/>
  <c r="R33" i="16"/>
  <c r="R33" i="31"/>
  <c r="R31" i="16"/>
  <c r="R31" i="31"/>
  <c r="O47" i="16"/>
  <c r="O47" i="31"/>
  <c r="O34" i="27"/>
  <c r="O34" i="31"/>
  <c r="Q7" i="27"/>
  <c r="Q7" i="31"/>
  <c r="R130" i="16"/>
  <c r="R130" i="31"/>
  <c r="O122" i="16"/>
  <c r="O122" i="31"/>
  <c r="O127" i="27"/>
  <c r="O127" i="31"/>
  <c r="R92" i="16"/>
  <c r="R92" i="31"/>
  <c r="R25" i="16"/>
  <c r="R25" i="31"/>
  <c r="O91" i="16"/>
  <c r="O91" i="31"/>
  <c r="O77" i="16"/>
  <c r="O77" i="31"/>
  <c r="Q97" i="27"/>
  <c r="Q97" i="31"/>
  <c r="Q53" i="27"/>
  <c r="Q53" i="31"/>
  <c r="W41" i="27"/>
  <c r="W41" i="31"/>
  <c r="Q16" i="16"/>
  <c r="Q16" i="31"/>
  <c r="Q12" i="27"/>
  <c r="Q12" i="31"/>
  <c r="P132" i="27"/>
  <c r="P132" i="31"/>
  <c r="W104" i="27"/>
  <c r="W104" i="31"/>
  <c r="P92" i="16"/>
  <c r="P92" i="31"/>
  <c r="Q108" i="27"/>
  <c r="Q108" i="31"/>
  <c r="Q99" i="27"/>
  <c r="Q99" i="31"/>
  <c r="P99" i="27"/>
  <c r="P99" i="31"/>
  <c r="W88" i="16"/>
  <c r="W88" i="31"/>
  <c r="W98" i="16"/>
  <c r="W98" i="31"/>
  <c r="O100" i="27"/>
  <c r="O100" i="31"/>
  <c r="W47" i="16"/>
  <c r="W47" i="31"/>
  <c r="Q106" i="16"/>
  <c r="Q106" i="31"/>
  <c r="W80" i="27"/>
  <c r="W80" i="31"/>
  <c r="P55" i="16"/>
  <c r="P55" i="31"/>
  <c r="Q101" i="27"/>
  <c r="Q101" i="31"/>
  <c r="W24" i="27"/>
  <c r="W24" i="31"/>
  <c r="W52" i="16"/>
  <c r="W52" i="31"/>
  <c r="Q112" i="16"/>
  <c r="Q112" i="31"/>
  <c r="P72" i="27"/>
  <c r="P72" i="31"/>
  <c r="W22" i="16"/>
  <c r="W22" i="31"/>
  <c r="Q109" i="27"/>
  <c r="Q109" i="31"/>
  <c r="P31" i="16"/>
  <c r="P31" i="31"/>
  <c r="V126" i="27"/>
  <c r="P63" i="27"/>
  <c r="W27" i="27"/>
  <c r="V34" i="27"/>
  <c r="P16" i="27"/>
  <c r="V50" i="27"/>
  <c r="V54" i="27"/>
  <c r="W16" i="27"/>
  <c r="S100" i="27"/>
  <c r="Q17" i="27"/>
  <c r="Q71" i="27"/>
  <c r="S114" i="16"/>
  <c r="S114" i="31"/>
  <c r="V23" i="16"/>
  <c r="V23" i="31"/>
  <c r="S88" i="16"/>
  <c r="S88" i="31"/>
  <c r="U117" i="16"/>
  <c r="U117" i="31"/>
  <c r="U74" i="16"/>
  <c r="U74" i="31"/>
  <c r="V72" i="16"/>
  <c r="V72" i="31"/>
  <c r="U8" i="16"/>
  <c r="U8" i="31"/>
  <c r="U91" i="16"/>
  <c r="U91" i="31"/>
  <c r="V98" i="16"/>
  <c r="V98" i="31"/>
  <c r="V74" i="16"/>
  <c r="V74" i="31"/>
  <c r="T79" i="16"/>
  <c r="T79" i="31"/>
  <c r="T89" i="16"/>
  <c r="T89" i="31"/>
  <c r="S113" i="16"/>
  <c r="S113" i="31"/>
  <c r="S19" i="16"/>
  <c r="S19" i="31"/>
  <c r="U85" i="16"/>
  <c r="U85" i="31"/>
  <c r="U66" i="16"/>
  <c r="U66" i="31"/>
  <c r="V40" i="16"/>
  <c r="V40" i="31"/>
  <c r="V70" i="16"/>
  <c r="V70" i="31"/>
  <c r="T56" i="16"/>
  <c r="T56" i="31"/>
  <c r="T34" i="27"/>
  <c r="T34" i="31"/>
  <c r="S110" i="27"/>
  <c r="S110" i="31"/>
  <c r="S45" i="16"/>
  <c r="S45" i="31"/>
  <c r="U81" i="16"/>
  <c r="U81" i="31"/>
  <c r="U26" i="16"/>
  <c r="U26" i="31"/>
  <c r="V68" i="16"/>
  <c r="V68" i="31"/>
  <c r="U64" i="16"/>
  <c r="U64" i="31"/>
  <c r="U14" i="16"/>
  <c r="U14" i="31"/>
  <c r="V32" i="16"/>
  <c r="V32" i="31"/>
  <c r="V30" i="16"/>
  <c r="V30" i="31"/>
  <c r="T48" i="16"/>
  <c r="T48" i="31"/>
  <c r="T18" i="16"/>
  <c r="T18" i="31"/>
  <c r="U32" i="16"/>
  <c r="U32" i="31"/>
  <c r="U123" i="16"/>
  <c r="U123" i="31"/>
  <c r="V107" i="16"/>
  <c r="V107" i="31"/>
  <c r="V57" i="16"/>
  <c r="V57" i="31"/>
  <c r="T53" i="16"/>
  <c r="T53" i="31"/>
  <c r="T31" i="16"/>
  <c r="T31" i="31"/>
  <c r="S25" i="16"/>
  <c r="S25" i="31"/>
  <c r="S75" i="16"/>
  <c r="S75" i="31"/>
  <c r="U103" i="16"/>
  <c r="U103" i="31"/>
  <c r="V101" i="16"/>
  <c r="V101" i="31"/>
  <c r="V109" i="16"/>
  <c r="V109" i="31"/>
  <c r="T72" i="16"/>
  <c r="T72" i="31"/>
  <c r="T106" i="16"/>
  <c r="T106" i="31"/>
  <c r="S21" i="16"/>
  <c r="S21" i="31"/>
  <c r="U17" i="16"/>
  <c r="U17" i="31"/>
  <c r="U51" i="27"/>
  <c r="U51" i="31"/>
  <c r="V20" i="16"/>
  <c r="V20" i="31"/>
  <c r="V80" i="16"/>
  <c r="V80" i="31"/>
  <c r="T83" i="16"/>
  <c r="T83" i="31"/>
  <c r="T54" i="16"/>
  <c r="T54" i="31"/>
  <c r="S38" i="16"/>
  <c r="S38" i="31"/>
  <c r="S44" i="16"/>
  <c r="S44" i="31"/>
  <c r="U93" i="16"/>
  <c r="U93" i="31"/>
  <c r="U87" i="16"/>
  <c r="U87" i="31"/>
  <c r="V113" i="16"/>
  <c r="V113" i="31"/>
  <c r="V106" i="16"/>
  <c r="V106" i="31"/>
  <c r="T120" i="16"/>
  <c r="T120" i="31"/>
  <c r="T32" i="16"/>
  <c r="T32" i="31"/>
  <c r="T125" i="16"/>
  <c r="T125" i="31"/>
  <c r="S66" i="16"/>
  <c r="S66" i="31"/>
  <c r="S63" i="16"/>
  <c r="S63" i="31"/>
  <c r="R98" i="16"/>
  <c r="R98" i="31"/>
  <c r="R67" i="27"/>
  <c r="R67" i="31"/>
  <c r="O56" i="16"/>
  <c r="O56" i="31"/>
  <c r="O95" i="16"/>
  <c r="O95" i="31"/>
  <c r="P10" i="16"/>
  <c r="P10" i="31"/>
  <c r="W7" i="27"/>
  <c r="W7" i="31"/>
  <c r="Q34" i="16"/>
  <c r="Q34" i="31"/>
  <c r="Q48" i="16"/>
  <c r="Q48" i="31"/>
  <c r="R58" i="16"/>
  <c r="R58" i="31"/>
  <c r="R44" i="16"/>
  <c r="R44" i="31"/>
  <c r="O104" i="16"/>
  <c r="O104" i="31"/>
  <c r="O61" i="16"/>
  <c r="O61" i="31"/>
  <c r="P43" i="27"/>
  <c r="P43" i="31"/>
  <c r="T61" i="16"/>
  <c r="T61" i="31"/>
  <c r="T39" i="16"/>
  <c r="T39" i="31"/>
  <c r="S125" i="16"/>
  <c r="S125" i="31"/>
  <c r="S11" i="16"/>
  <c r="S11" i="31"/>
  <c r="R22" i="16"/>
  <c r="R22" i="31"/>
  <c r="R40" i="16"/>
  <c r="R40" i="31"/>
  <c r="O129" i="16"/>
  <c r="O129" i="31"/>
  <c r="S117" i="16"/>
  <c r="S117" i="31"/>
  <c r="Q8" i="27"/>
  <c r="Q8" i="31"/>
  <c r="R109" i="16"/>
  <c r="R109" i="31"/>
  <c r="R9" i="16"/>
  <c r="R9" i="31"/>
  <c r="O128" i="16"/>
  <c r="O128" i="31"/>
  <c r="O63" i="16"/>
  <c r="O63" i="31"/>
  <c r="O102" i="16"/>
  <c r="O102" i="31"/>
  <c r="Q90" i="16"/>
  <c r="Q90" i="31"/>
  <c r="R14" i="16"/>
  <c r="R14" i="31"/>
  <c r="R104" i="16"/>
  <c r="R104" i="31"/>
  <c r="O40" i="16"/>
  <c r="O40" i="31"/>
  <c r="O125" i="16"/>
  <c r="O125" i="31"/>
  <c r="R101" i="16"/>
  <c r="R101" i="31"/>
  <c r="R132" i="16"/>
  <c r="R132" i="31"/>
  <c r="O123" i="16"/>
  <c r="O123" i="31"/>
  <c r="O37" i="16"/>
  <c r="O37" i="31"/>
  <c r="Q50" i="16"/>
  <c r="Q50" i="31"/>
  <c r="Q32" i="16"/>
  <c r="Q32" i="31"/>
  <c r="R61" i="16"/>
  <c r="R61" i="31"/>
  <c r="O62" i="16"/>
  <c r="O62" i="31"/>
  <c r="Q119" i="27"/>
  <c r="Q119" i="31"/>
  <c r="R66" i="16"/>
  <c r="R66" i="31"/>
  <c r="R116" i="16"/>
  <c r="R116" i="31"/>
  <c r="O39" i="16"/>
  <c r="O39" i="31"/>
  <c r="O117" i="16"/>
  <c r="O117" i="31"/>
  <c r="Q25" i="27"/>
  <c r="Q25" i="31"/>
  <c r="W65" i="27"/>
  <c r="W65" i="31"/>
  <c r="P102" i="16"/>
  <c r="P102" i="31"/>
  <c r="Q15" i="16"/>
  <c r="Q15" i="31"/>
  <c r="Q20" i="16"/>
  <c r="Q20" i="31"/>
  <c r="P78" i="16"/>
  <c r="P78" i="31"/>
  <c r="W131" i="16"/>
  <c r="W131" i="31"/>
  <c r="P60" i="16"/>
  <c r="P60" i="31"/>
  <c r="W15" i="16"/>
  <c r="W15" i="31"/>
  <c r="Q94" i="16"/>
  <c r="Q94" i="31"/>
  <c r="Q103" i="27"/>
  <c r="Q103" i="31"/>
  <c r="Q47" i="27"/>
  <c r="Q47" i="31"/>
  <c r="Q95" i="16"/>
  <c r="Q95" i="31"/>
  <c r="W57" i="27"/>
  <c r="W57" i="31"/>
  <c r="P59" i="16"/>
  <c r="P59" i="31"/>
  <c r="O87" i="27"/>
  <c r="O87" i="31"/>
  <c r="W14" i="27"/>
  <c r="W14" i="31"/>
  <c r="Q19" i="27"/>
  <c r="Q19" i="31"/>
  <c r="W35" i="27"/>
  <c r="W35" i="31"/>
  <c r="P23" i="27"/>
  <c r="P23" i="31"/>
  <c r="W38" i="27"/>
  <c r="W38" i="31"/>
  <c r="W20" i="16"/>
  <c r="W20" i="31"/>
  <c r="Q29" i="27"/>
  <c r="Q29" i="31"/>
  <c r="Q31" i="27"/>
  <c r="Q31" i="31"/>
  <c r="P98" i="27"/>
  <c r="P98" i="31"/>
  <c r="Q38" i="27"/>
  <c r="Q38" i="31"/>
  <c r="P125" i="27"/>
  <c r="P125" i="31"/>
  <c r="V10" i="27"/>
  <c r="U8" i="27"/>
  <c r="W8" i="27"/>
  <c r="P18" i="27"/>
  <c r="T121" i="27"/>
  <c r="W60" i="27"/>
  <c r="T56" i="27"/>
  <c r="Q68" i="27"/>
  <c r="R11" i="27"/>
  <c r="S63" i="27"/>
  <c r="R122" i="27"/>
  <c r="Q73" i="27"/>
  <c r="T69" i="16"/>
  <c r="T69" i="31"/>
  <c r="T47" i="16"/>
  <c r="T47" i="31"/>
  <c r="S49" i="16"/>
  <c r="S49" i="31"/>
  <c r="S124" i="16"/>
  <c r="S124" i="31"/>
  <c r="U69" i="16"/>
  <c r="U69" i="31"/>
  <c r="U71" i="16"/>
  <c r="U71" i="31"/>
  <c r="U127" i="27"/>
  <c r="U127" i="31"/>
  <c r="V38" i="16"/>
  <c r="V38" i="31"/>
  <c r="T112" i="16"/>
  <c r="T112" i="31"/>
  <c r="T24" i="16"/>
  <c r="T24" i="31"/>
  <c r="T109" i="16"/>
  <c r="T109" i="31"/>
  <c r="S78" i="16"/>
  <c r="S78" i="31"/>
  <c r="S116" i="16"/>
  <c r="S116" i="31"/>
  <c r="U65" i="16"/>
  <c r="U65" i="31"/>
  <c r="U58" i="16"/>
  <c r="U58" i="31"/>
  <c r="U110" i="27"/>
  <c r="U110" i="31"/>
  <c r="V36" i="16"/>
  <c r="V36" i="31"/>
  <c r="U109" i="16"/>
  <c r="U109" i="31"/>
  <c r="U126" i="16"/>
  <c r="U126" i="31"/>
  <c r="V117" i="16"/>
  <c r="V117" i="31"/>
  <c r="V94" i="16"/>
  <c r="V94" i="31"/>
  <c r="T104" i="16"/>
  <c r="T104" i="31"/>
  <c r="T16" i="16"/>
  <c r="T16" i="31"/>
  <c r="U132" i="16"/>
  <c r="U132" i="31"/>
  <c r="U46" i="16"/>
  <c r="U46" i="31"/>
  <c r="V130" i="16"/>
  <c r="V130" i="31"/>
  <c r="T21" i="16"/>
  <c r="T21" i="31"/>
  <c r="T123" i="16"/>
  <c r="T123" i="31"/>
  <c r="S130" i="16"/>
  <c r="S130" i="31"/>
  <c r="S69" i="16"/>
  <c r="S69" i="31"/>
  <c r="S123" i="16"/>
  <c r="S123" i="31"/>
  <c r="U96" i="27"/>
  <c r="U96" i="31"/>
  <c r="U120" i="16"/>
  <c r="U120" i="31"/>
  <c r="V112" i="16"/>
  <c r="V112" i="31"/>
  <c r="T96" i="27"/>
  <c r="T96" i="31"/>
  <c r="T40" i="16"/>
  <c r="T40" i="31"/>
  <c r="T26" i="16"/>
  <c r="T26" i="31"/>
  <c r="S65" i="16"/>
  <c r="S65" i="31"/>
  <c r="S119" i="27"/>
  <c r="S119" i="31"/>
  <c r="U98" i="16"/>
  <c r="U98" i="31"/>
  <c r="U19" i="16"/>
  <c r="U19" i="31"/>
  <c r="V86" i="16"/>
  <c r="V86" i="31"/>
  <c r="V65" i="16"/>
  <c r="V65" i="31"/>
  <c r="T68" i="16"/>
  <c r="T68" i="31"/>
  <c r="T93" i="16"/>
  <c r="T93" i="31"/>
  <c r="S9" i="16"/>
  <c r="S9" i="31"/>
  <c r="S12" i="16"/>
  <c r="S12" i="31"/>
  <c r="U77" i="16"/>
  <c r="U77" i="31"/>
  <c r="U88" i="16"/>
  <c r="U88" i="31"/>
  <c r="V84" i="16"/>
  <c r="V84" i="31"/>
  <c r="V92" i="16"/>
  <c r="V92" i="31"/>
  <c r="T88" i="16"/>
  <c r="T88" i="31"/>
  <c r="T118" i="16"/>
  <c r="T118" i="31"/>
  <c r="S72" i="16"/>
  <c r="S72" i="31"/>
  <c r="R53" i="16"/>
  <c r="R53" i="31"/>
  <c r="R39" i="16"/>
  <c r="R39" i="31"/>
  <c r="O24" i="16"/>
  <c r="O24" i="31"/>
  <c r="O54" i="16"/>
  <c r="O54" i="31"/>
  <c r="W94" i="16"/>
  <c r="W94" i="31"/>
  <c r="P80" i="16"/>
  <c r="P80" i="31"/>
  <c r="R26" i="16"/>
  <c r="R26" i="31"/>
  <c r="R12" i="16"/>
  <c r="R12" i="31"/>
  <c r="O103" i="16"/>
  <c r="O103" i="31"/>
  <c r="O79" i="16"/>
  <c r="O79" i="31"/>
  <c r="W34" i="27"/>
  <c r="W34" i="31"/>
  <c r="T29" i="16"/>
  <c r="T29" i="31"/>
  <c r="S54" i="16"/>
  <c r="S54" i="31"/>
  <c r="S60" i="16"/>
  <c r="S60" i="31"/>
  <c r="O16" i="16"/>
  <c r="O16" i="31"/>
  <c r="O57" i="16"/>
  <c r="O57" i="31"/>
  <c r="S50" i="16"/>
  <c r="S50" i="31"/>
  <c r="S56" i="16"/>
  <c r="S56" i="31"/>
  <c r="R124" i="16"/>
  <c r="R124" i="31"/>
  <c r="R84" i="16"/>
  <c r="R84" i="31"/>
  <c r="O126" i="16"/>
  <c r="O126" i="31"/>
  <c r="W127" i="27"/>
  <c r="W127" i="31"/>
  <c r="P127" i="27"/>
  <c r="P127" i="31"/>
  <c r="R80" i="16"/>
  <c r="R80" i="31"/>
  <c r="R15" i="16"/>
  <c r="R15" i="31"/>
  <c r="O41" i="16"/>
  <c r="O41" i="31"/>
  <c r="R108" i="16"/>
  <c r="R108" i="31"/>
  <c r="R103" i="16"/>
  <c r="R103" i="31"/>
  <c r="O55" i="16"/>
  <c r="O55" i="31"/>
  <c r="O98" i="16"/>
  <c r="O98" i="31"/>
  <c r="Q123" i="16"/>
  <c r="Q123" i="31"/>
  <c r="R129" i="16"/>
  <c r="R129" i="31"/>
  <c r="R29" i="16"/>
  <c r="R29" i="31"/>
  <c r="R90" i="16"/>
  <c r="R90" i="31"/>
  <c r="O43" i="16"/>
  <c r="O43" i="31"/>
  <c r="O30" i="16"/>
  <c r="O30" i="31"/>
  <c r="W91" i="16"/>
  <c r="W91" i="31"/>
  <c r="R102" i="16"/>
  <c r="R102" i="31"/>
  <c r="O112" i="16"/>
  <c r="O112" i="31"/>
  <c r="O94" i="16"/>
  <c r="O94" i="31"/>
  <c r="W108" i="16"/>
  <c r="W108" i="31"/>
  <c r="W13" i="27"/>
  <c r="W13" i="31"/>
  <c r="P105" i="16"/>
  <c r="P105" i="31"/>
  <c r="Q75" i="27"/>
  <c r="Q75" i="31"/>
  <c r="Q121" i="27"/>
  <c r="Q121" i="31"/>
  <c r="P81" i="16"/>
  <c r="P81" i="31"/>
  <c r="W117" i="16"/>
  <c r="W117" i="31"/>
  <c r="P56" i="16"/>
  <c r="P56" i="31"/>
  <c r="P91" i="27"/>
  <c r="P91" i="31"/>
  <c r="Q64" i="16"/>
  <c r="Q64" i="31"/>
  <c r="P66" i="27"/>
  <c r="P66" i="31"/>
  <c r="Q10" i="27"/>
  <c r="Q10" i="31"/>
  <c r="Q22" i="16"/>
  <c r="Q22" i="31"/>
  <c r="Q54" i="16"/>
  <c r="Q54" i="31"/>
  <c r="W82" i="27"/>
  <c r="W82" i="31"/>
  <c r="Q24" i="27"/>
  <c r="Q24" i="31"/>
  <c r="O48" i="27"/>
  <c r="O48" i="31"/>
  <c r="P122" i="27"/>
  <c r="P122" i="31"/>
  <c r="P82" i="27"/>
  <c r="P82" i="31"/>
  <c r="Q113" i="27"/>
  <c r="Q113" i="31"/>
  <c r="W19" i="16"/>
  <c r="W19" i="31"/>
  <c r="W83" i="27"/>
  <c r="W83" i="31"/>
  <c r="Q124" i="27"/>
  <c r="Q124" i="31"/>
  <c r="P104" i="27"/>
  <c r="P104" i="31"/>
  <c r="Q132" i="27"/>
  <c r="Q132" i="31"/>
  <c r="P54" i="27"/>
  <c r="P54" i="31"/>
  <c r="T110" i="27"/>
  <c r="U90" i="27"/>
  <c r="O82" i="27"/>
  <c r="U43" i="27"/>
  <c r="P13" i="27"/>
  <c r="T72" i="27"/>
  <c r="T20" i="27"/>
  <c r="T60" i="27"/>
  <c r="S44" i="27"/>
  <c r="Q82" i="27"/>
  <c r="Q36" i="27"/>
  <c r="W33" i="16"/>
  <c r="W33" i="31"/>
  <c r="U92" i="16"/>
  <c r="U92" i="31"/>
  <c r="U24" i="16"/>
  <c r="U24" i="31"/>
  <c r="V44" i="16"/>
  <c r="V44" i="31"/>
  <c r="T15" i="16"/>
  <c r="T15" i="31"/>
  <c r="U37" i="16"/>
  <c r="U37" i="31"/>
  <c r="V125" i="16"/>
  <c r="V125" i="31"/>
  <c r="T80" i="16"/>
  <c r="T80" i="31"/>
  <c r="T102" i="16"/>
  <c r="T102" i="31"/>
  <c r="T30" i="16"/>
  <c r="T30" i="31"/>
  <c r="S58" i="16"/>
  <c r="S58" i="31"/>
  <c r="S7" i="27"/>
  <c r="S136" i="27" s="1"/>
  <c r="S7" i="31"/>
  <c r="U33" i="16"/>
  <c r="U33" i="31"/>
  <c r="V118" i="16"/>
  <c r="V118" i="31"/>
  <c r="U128" i="16"/>
  <c r="U128" i="31"/>
  <c r="U119" i="27"/>
  <c r="U119" i="31"/>
  <c r="V75" i="16"/>
  <c r="V75" i="31"/>
  <c r="V53" i="16"/>
  <c r="V53" i="31"/>
  <c r="T126" i="16"/>
  <c r="T126" i="31"/>
  <c r="T86" i="16"/>
  <c r="T86" i="31"/>
  <c r="U60" i="16"/>
  <c r="U60" i="31"/>
  <c r="U79" i="16"/>
  <c r="U79" i="31"/>
  <c r="V132" i="16"/>
  <c r="V132" i="31"/>
  <c r="V7" i="27"/>
  <c r="V7" i="31"/>
  <c r="T99" i="16"/>
  <c r="T99" i="31"/>
  <c r="T58" i="16"/>
  <c r="T58" i="31"/>
  <c r="S98" i="16"/>
  <c r="S98" i="31"/>
  <c r="S13" i="16"/>
  <c r="S13" i="31"/>
  <c r="U53" i="16"/>
  <c r="U53" i="31"/>
  <c r="U55" i="16"/>
  <c r="U55" i="31"/>
  <c r="V67" i="27"/>
  <c r="V67" i="31"/>
  <c r="V25" i="16"/>
  <c r="V25" i="31"/>
  <c r="T42" i="16"/>
  <c r="T42" i="31"/>
  <c r="S126" i="16"/>
  <c r="S126" i="31"/>
  <c r="U16" i="16"/>
  <c r="U16" i="31"/>
  <c r="U107" i="16"/>
  <c r="U107" i="31"/>
  <c r="V63" i="16"/>
  <c r="V63" i="31"/>
  <c r="V69" i="16"/>
  <c r="V69" i="31"/>
  <c r="T124" i="16"/>
  <c r="T124" i="31"/>
  <c r="T36" i="16"/>
  <c r="T36" i="31"/>
  <c r="T10" i="16"/>
  <c r="T10" i="31"/>
  <c r="S80" i="16"/>
  <c r="S80" i="31"/>
  <c r="S104" i="16"/>
  <c r="S104" i="31"/>
  <c r="U45" i="16"/>
  <c r="U45" i="31"/>
  <c r="U47" i="16"/>
  <c r="U47" i="31"/>
  <c r="V48" i="16"/>
  <c r="V48" i="31"/>
  <c r="V46" i="16"/>
  <c r="V46" i="31"/>
  <c r="T94" i="16"/>
  <c r="T94" i="31"/>
  <c r="T105" i="16"/>
  <c r="T105" i="31"/>
  <c r="S34" i="27"/>
  <c r="S34" i="31"/>
  <c r="S40" i="16"/>
  <c r="S40" i="31"/>
  <c r="Q114" i="16"/>
  <c r="Q114" i="31"/>
  <c r="R121" i="16"/>
  <c r="R121" i="31"/>
  <c r="R21" i="16"/>
  <c r="R21" i="31"/>
  <c r="R23" i="16"/>
  <c r="R23" i="31"/>
  <c r="O106" i="16"/>
  <c r="O106" i="31"/>
  <c r="O22" i="16"/>
  <c r="O22" i="31"/>
  <c r="Q96" i="16"/>
  <c r="Q96" i="31"/>
  <c r="R111" i="16"/>
  <c r="R111" i="31"/>
  <c r="R35" i="16"/>
  <c r="R35" i="31"/>
  <c r="O52" i="16"/>
  <c r="O52" i="31"/>
  <c r="O50" i="16"/>
  <c r="O50" i="31"/>
  <c r="P110" i="27"/>
  <c r="P110" i="31"/>
  <c r="T115" i="16"/>
  <c r="T115" i="31"/>
  <c r="S22" i="16"/>
  <c r="S22" i="31"/>
  <c r="S28" i="27"/>
  <c r="S28" i="31"/>
  <c r="R96" i="27"/>
  <c r="R96" i="31"/>
  <c r="R8" i="27"/>
  <c r="R8" i="31"/>
  <c r="O90" i="16"/>
  <c r="O90" i="31"/>
  <c r="S18" i="16"/>
  <c r="S18" i="31"/>
  <c r="S24" i="16"/>
  <c r="S24" i="31"/>
  <c r="R94" i="16"/>
  <c r="R94" i="31"/>
  <c r="R68" i="16"/>
  <c r="R68" i="31"/>
  <c r="O96" i="27"/>
  <c r="O96" i="31"/>
  <c r="O45" i="16"/>
  <c r="O45" i="31"/>
  <c r="R69" i="16"/>
  <c r="R69" i="31"/>
  <c r="R63" i="16"/>
  <c r="R63" i="31"/>
  <c r="O8" i="27"/>
  <c r="O8" i="31"/>
  <c r="O70" i="16"/>
  <c r="O70" i="31"/>
  <c r="Q127" i="27"/>
  <c r="Q127" i="31"/>
  <c r="R74" i="16"/>
  <c r="R74" i="31"/>
  <c r="R60" i="16"/>
  <c r="R60" i="31"/>
  <c r="O120" i="16"/>
  <c r="O120" i="31"/>
  <c r="O115" i="16"/>
  <c r="O115" i="31"/>
  <c r="W51" i="27"/>
  <c r="W51" i="31"/>
  <c r="Q91" i="16"/>
  <c r="Q91" i="31"/>
  <c r="R97" i="16"/>
  <c r="R97" i="31"/>
  <c r="R131" i="16"/>
  <c r="R131" i="31"/>
  <c r="O107" i="16"/>
  <c r="O107" i="31"/>
  <c r="O33" i="16"/>
  <c r="O33" i="31"/>
  <c r="P96" i="27"/>
  <c r="P96" i="31"/>
  <c r="Q67" i="27"/>
  <c r="Q67" i="31"/>
  <c r="R52" i="16"/>
  <c r="R52" i="31"/>
  <c r="O80" i="16"/>
  <c r="O80" i="31"/>
  <c r="O111" i="16"/>
  <c r="O111" i="31"/>
  <c r="P70" i="16"/>
  <c r="P70" i="31"/>
  <c r="W128" i="27"/>
  <c r="W128" i="31"/>
  <c r="P30" i="27"/>
  <c r="P30" i="31"/>
  <c r="W125" i="27"/>
  <c r="W125" i="31"/>
  <c r="W31" i="27"/>
  <c r="W31" i="31"/>
  <c r="P93" i="27"/>
  <c r="P93" i="31"/>
  <c r="P131" i="16"/>
  <c r="P131" i="31"/>
  <c r="Q60" i="16"/>
  <c r="Q60" i="31"/>
  <c r="Q44" i="16"/>
  <c r="Q44" i="31"/>
  <c r="P126" i="16"/>
  <c r="P126" i="31"/>
  <c r="Q65" i="16"/>
  <c r="Q65" i="31"/>
  <c r="O15" i="16"/>
  <c r="O15" i="31"/>
  <c r="Q107" i="27"/>
  <c r="Q107" i="31"/>
  <c r="P90" i="27"/>
  <c r="P90" i="31"/>
  <c r="Q78" i="27"/>
  <c r="Q78" i="31"/>
  <c r="W74" i="27"/>
  <c r="W74" i="31"/>
  <c r="P14" i="27"/>
  <c r="P14" i="31"/>
  <c r="P107" i="27"/>
  <c r="P107" i="31"/>
  <c r="Q33" i="27"/>
  <c r="Q33" i="31"/>
  <c r="P106" i="27"/>
  <c r="P106" i="31"/>
  <c r="W76" i="27"/>
  <c r="W76" i="31"/>
  <c r="P35" i="27"/>
  <c r="P35" i="31"/>
  <c r="W40" i="27"/>
  <c r="W40" i="31"/>
  <c r="P49" i="27"/>
  <c r="P49" i="31"/>
  <c r="W87" i="27"/>
  <c r="T8" i="27"/>
  <c r="V38" i="27"/>
  <c r="O39" i="27"/>
  <c r="V30" i="27"/>
  <c r="O113" i="27"/>
  <c r="S75" i="27"/>
  <c r="T125" i="27"/>
  <c r="S114" i="27"/>
  <c r="S73" i="27"/>
  <c r="R103" i="27"/>
  <c r="W62" i="16"/>
  <c r="W62" i="31"/>
  <c r="P75" i="16"/>
  <c r="P75" i="31"/>
  <c r="W45" i="27"/>
  <c r="R99" i="27"/>
  <c r="U121" i="16"/>
  <c r="U121" i="31"/>
  <c r="V42" i="16"/>
  <c r="V42" i="31"/>
  <c r="V12" i="16"/>
  <c r="V12" i="31"/>
  <c r="V41" i="16"/>
  <c r="V41" i="31"/>
  <c r="T131" i="16"/>
  <c r="T131" i="31"/>
  <c r="T66" i="16"/>
  <c r="T66" i="31"/>
  <c r="S82" i="16"/>
  <c r="S82" i="31"/>
  <c r="S47" i="16"/>
  <c r="S47" i="31"/>
  <c r="U131" i="16"/>
  <c r="U131" i="31"/>
  <c r="V104" i="16"/>
  <c r="V104" i="31"/>
  <c r="V9" i="16"/>
  <c r="V9" i="31"/>
  <c r="T78" i="16"/>
  <c r="T78" i="31"/>
  <c r="T75" i="16"/>
  <c r="T75" i="31"/>
  <c r="S26" i="16"/>
  <c r="S26" i="31"/>
  <c r="S27" i="16"/>
  <c r="S27" i="31"/>
  <c r="S107" i="16"/>
  <c r="S107" i="31"/>
  <c r="U130" i="16"/>
  <c r="U130" i="31"/>
  <c r="U67" i="27"/>
  <c r="U67" i="31"/>
  <c r="V88" i="16"/>
  <c r="V88" i="31"/>
  <c r="V110" i="27"/>
  <c r="V110" i="31"/>
  <c r="U61" i="16"/>
  <c r="U61" i="31"/>
  <c r="U54" i="16"/>
  <c r="U54" i="31"/>
  <c r="V13" i="16"/>
  <c r="V13" i="31"/>
  <c r="T113" i="16"/>
  <c r="T113" i="31"/>
  <c r="U105" i="16"/>
  <c r="U105" i="31"/>
  <c r="U118" i="16"/>
  <c r="U118" i="31"/>
  <c r="V60" i="16"/>
  <c r="V60" i="31"/>
  <c r="V78" i="16"/>
  <c r="V78" i="31"/>
  <c r="T76" i="16"/>
  <c r="T76" i="31"/>
  <c r="T74" i="16"/>
  <c r="T74" i="31"/>
  <c r="S93" i="16"/>
  <c r="S93" i="31"/>
  <c r="S99" i="16"/>
  <c r="S99" i="31"/>
  <c r="U21" i="16"/>
  <c r="U21" i="31"/>
  <c r="U23" i="16"/>
  <c r="U23" i="31"/>
  <c r="V103" i="16"/>
  <c r="V103" i="31"/>
  <c r="V35" i="16"/>
  <c r="V35" i="31"/>
  <c r="S94" i="16"/>
  <c r="S94" i="31"/>
  <c r="S43" i="27"/>
  <c r="S43" i="31"/>
  <c r="S67" i="27"/>
  <c r="S67" i="31"/>
  <c r="U100" i="16"/>
  <c r="U100" i="31"/>
  <c r="U22" i="16"/>
  <c r="U22" i="31"/>
  <c r="V131" i="16"/>
  <c r="V131" i="31"/>
  <c r="V31" i="16"/>
  <c r="V31" i="31"/>
  <c r="T92" i="16"/>
  <c r="T92" i="31"/>
  <c r="S17" i="16"/>
  <c r="S17" i="31"/>
  <c r="S35" i="16"/>
  <c r="S35" i="31"/>
  <c r="U13" i="16"/>
  <c r="U13" i="31"/>
  <c r="U15" i="16"/>
  <c r="U15" i="31"/>
  <c r="V16" i="16"/>
  <c r="V16" i="31"/>
  <c r="V14" i="16"/>
  <c r="V14" i="31"/>
  <c r="T73" i="27"/>
  <c r="T73" i="31"/>
  <c r="S39" i="16"/>
  <c r="S39" i="31"/>
  <c r="Q57" i="16"/>
  <c r="Q57" i="31"/>
  <c r="R89" i="16"/>
  <c r="R89" i="31"/>
  <c r="R115" i="16"/>
  <c r="R115" i="31"/>
  <c r="O31" i="16"/>
  <c r="O31" i="31"/>
  <c r="O25" i="16"/>
  <c r="O25" i="31"/>
  <c r="P51" i="27"/>
  <c r="P51" i="31"/>
  <c r="Q27" i="27"/>
  <c r="Q27" i="31"/>
  <c r="R82" i="16"/>
  <c r="R82" i="31"/>
  <c r="O20" i="16"/>
  <c r="O20" i="31"/>
  <c r="O18" i="16"/>
  <c r="O18" i="31"/>
  <c r="T101" i="16"/>
  <c r="T101" i="31"/>
  <c r="T7" i="27"/>
  <c r="T136" i="27" s="1"/>
  <c r="T7" i="31"/>
  <c r="S112" i="16"/>
  <c r="S112" i="31"/>
  <c r="S55" i="16"/>
  <c r="S55" i="31"/>
  <c r="R113" i="16"/>
  <c r="R113" i="31"/>
  <c r="R77" i="16"/>
  <c r="R77" i="31"/>
  <c r="S111" i="16"/>
  <c r="S111" i="31"/>
  <c r="R50" i="16"/>
  <c r="R50" i="31"/>
  <c r="R36" i="16"/>
  <c r="R36" i="31"/>
  <c r="O76" i="16"/>
  <c r="O76" i="31"/>
  <c r="O74" i="16"/>
  <c r="O74" i="31"/>
  <c r="R37" i="16"/>
  <c r="R37" i="31"/>
  <c r="O38" i="16"/>
  <c r="O38" i="31"/>
  <c r="Q100" i="16"/>
  <c r="Q100" i="31"/>
  <c r="R42" i="16"/>
  <c r="R42" i="31"/>
  <c r="R28" i="16"/>
  <c r="R28" i="31"/>
  <c r="O88" i="16"/>
  <c r="O88" i="31"/>
  <c r="O110" i="27"/>
  <c r="O110" i="31"/>
  <c r="O118" i="16"/>
  <c r="O118" i="31"/>
  <c r="P8" i="27"/>
  <c r="P8" i="31"/>
  <c r="R107" i="16"/>
  <c r="R107" i="31"/>
  <c r="R118" i="16"/>
  <c r="R118" i="31"/>
  <c r="O116" i="16"/>
  <c r="O116" i="31"/>
  <c r="O97" i="16"/>
  <c r="O97" i="31"/>
  <c r="R20" i="16"/>
  <c r="R20" i="31"/>
  <c r="O60" i="16"/>
  <c r="O60" i="31"/>
  <c r="O58" i="16"/>
  <c r="O58" i="31"/>
  <c r="W17" i="27"/>
  <c r="W17" i="31"/>
  <c r="P38" i="16"/>
  <c r="P38" i="31"/>
  <c r="W48" i="27"/>
  <c r="W48" i="31"/>
  <c r="P113" i="27"/>
  <c r="P113" i="31"/>
  <c r="W73" i="27"/>
  <c r="W73" i="31"/>
  <c r="P65" i="27"/>
  <c r="P65" i="31"/>
  <c r="W122" i="16"/>
  <c r="W122" i="31"/>
  <c r="W44" i="16"/>
  <c r="W44" i="31"/>
  <c r="Q128" i="27"/>
  <c r="Q128" i="31"/>
  <c r="P89" i="16"/>
  <c r="P89" i="31"/>
  <c r="Q88" i="16"/>
  <c r="Q88" i="31"/>
  <c r="O9" i="16"/>
  <c r="O9" i="31"/>
  <c r="Q55" i="27"/>
  <c r="Q55" i="31"/>
  <c r="P79" i="27"/>
  <c r="P79" i="31"/>
  <c r="Q80" i="27"/>
  <c r="Q80" i="31"/>
  <c r="W42" i="27"/>
  <c r="W42" i="31"/>
  <c r="P41" i="27"/>
  <c r="P41" i="31"/>
  <c r="P19" i="27"/>
  <c r="P19" i="31"/>
  <c r="P128" i="16"/>
  <c r="P128" i="31"/>
  <c r="W11" i="27"/>
  <c r="W11" i="31"/>
  <c r="W59" i="27"/>
  <c r="W59" i="31"/>
  <c r="P100" i="27"/>
  <c r="P100" i="31"/>
  <c r="W55" i="27"/>
  <c r="W55" i="31"/>
  <c r="P17" i="27"/>
  <c r="P17" i="31"/>
  <c r="O15" i="27"/>
  <c r="V9" i="27"/>
  <c r="O33" i="27"/>
  <c r="V8" i="27"/>
  <c r="W19" i="27"/>
  <c r="V107" i="27"/>
  <c r="W20" i="27"/>
  <c r="P40" i="27"/>
  <c r="R29" i="27"/>
  <c r="S60" i="27"/>
  <c r="S99" i="27"/>
  <c r="R34" i="27"/>
  <c r="S14" i="27"/>
  <c r="R82" i="27"/>
  <c r="R35" i="27"/>
  <c r="Q39" i="27"/>
  <c r="U76" i="16"/>
  <c r="U76" i="31"/>
  <c r="V120" i="16"/>
  <c r="V120" i="31"/>
  <c r="V128" i="16"/>
  <c r="V128" i="31"/>
  <c r="T91" i="16"/>
  <c r="T91" i="31"/>
  <c r="S68" i="27"/>
  <c r="S68" i="31"/>
  <c r="U48" i="16"/>
  <c r="U48" i="31"/>
  <c r="V119" i="27"/>
  <c r="V119" i="31"/>
  <c r="V77" i="16"/>
  <c r="V77" i="31"/>
  <c r="T65" i="16"/>
  <c r="T65" i="31"/>
  <c r="S64" i="16"/>
  <c r="S64" i="31"/>
  <c r="U44" i="16"/>
  <c r="U44" i="31"/>
  <c r="U35" i="16"/>
  <c r="U35" i="31"/>
  <c r="V47" i="16"/>
  <c r="V47" i="31"/>
  <c r="U29" i="16"/>
  <c r="U29" i="31"/>
  <c r="U63" i="16"/>
  <c r="U63" i="31"/>
  <c r="V111" i="16"/>
  <c r="V111" i="31"/>
  <c r="V43" i="27"/>
  <c r="V43" i="31"/>
  <c r="V29" i="16"/>
  <c r="V29" i="31"/>
  <c r="T57" i="16"/>
  <c r="T57" i="31"/>
  <c r="T67" i="27"/>
  <c r="T67" i="31"/>
  <c r="U112" i="16"/>
  <c r="U112" i="31"/>
  <c r="U30" i="16"/>
  <c r="U30" i="31"/>
  <c r="V28" i="16"/>
  <c r="V28" i="31"/>
  <c r="V58" i="16"/>
  <c r="V58" i="31"/>
  <c r="T132" i="16"/>
  <c r="T132" i="31"/>
  <c r="T44" i="16"/>
  <c r="T44" i="31"/>
  <c r="S46" i="16"/>
  <c r="S46" i="31"/>
  <c r="S101" i="16"/>
  <c r="S101" i="31"/>
  <c r="U99" i="16"/>
  <c r="U99" i="31"/>
  <c r="U122" i="16"/>
  <c r="U122" i="31"/>
  <c r="V129" i="16"/>
  <c r="V129" i="31"/>
  <c r="V122" i="16"/>
  <c r="V122" i="31"/>
  <c r="T81" i="16"/>
  <c r="T81" i="31"/>
  <c r="T107" i="16"/>
  <c r="T107" i="31"/>
  <c r="S74" i="16"/>
  <c r="S74" i="31"/>
  <c r="S84" i="16"/>
  <c r="S84" i="31"/>
  <c r="S92" i="16"/>
  <c r="S92" i="31"/>
  <c r="U129" i="16"/>
  <c r="U129" i="31"/>
  <c r="U52" i="16"/>
  <c r="U52" i="31"/>
  <c r="U78" i="16"/>
  <c r="U78" i="31"/>
  <c r="V99" i="16"/>
  <c r="V99" i="31"/>
  <c r="V121" i="16"/>
  <c r="V121" i="31"/>
  <c r="T95" i="16"/>
  <c r="T95" i="31"/>
  <c r="T119" i="27"/>
  <c r="T119" i="31"/>
  <c r="S61" i="16"/>
  <c r="S61" i="31"/>
  <c r="S108" i="16"/>
  <c r="S108" i="31"/>
  <c r="U83" i="16"/>
  <c r="U83" i="31"/>
  <c r="U106" i="16"/>
  <c r="U106" i="31"/>
  <c r="V85" i="16"/>
  <c r="V85" i="31"/>
  <c r="V73" i="27"/>
  <c r="V73" i="31"/>
  <c r="T41" i="16"/>
  <c r="T41" i="31"/>
  <c r="T51" i="27"/>
  <c r="T51" i="31"/>
  <c r="S79" i="16"/>
  <c r="S79" i="31"/>
  <c r="S8" i="27"/>
  <c r="S8" i="31"/>
  <c r="Q63" i="16"/>
  <c r="Q63" i="31"/>
  <c r="R91" i="16"/>
  <c r="R91" i="31"/>
  <c r="R86" i="16"/>
  <c r="R86" i="31"/>
  <c r="O75" i="16"/>
  <c r="O75" i="31"/>
  <c r="O81" i="16"/>
  <c r="O81" i="31"/>
  <c r="R49" i="16"/>
  <c r="R49" i="31"/>
  <c r="O105" i="16"/>
  <c r="O105" i="31"/>
  <c r="O130" i="16"/>
  <c r="O130" i="31"/>
  <c r="T108" i="16"/>
  <c r="T108" i="31"/>
  <c r="T52" i="16"/>
  <c r="T52" i="31"/>
  <c r="T46" i="16"/>
  <c r="T46" i="31"/>
  <c r="S37" i="16"/>
  <c r="S37" i="31"/>
  <c r="S121" i="16"/>
  <c r="S121" i="31"/>
  <c r="R81" i="16"/>
  <c r="R81" i="31"/>
  <c r="R45" i="16"/>
  <c r="R45" i="31"/>
  <c r="R51" i="27"/>
  <c r="R51" i="31"/>
  <c r="O67" i="27"/>
  <c r="O67" i="31"/>
  <c r="S33" i="16"/>
  <c r="S33" i="31"/>
  <c r="S51" i="27"/>
  <c r="S51" i="31"/>
  <c r="R18" i="16"/>
  <c r="R18" i="31"/>
  <c r="R120" i="16"/>
  <c r="R120" i="31"/>
  <c r="O44" i="16"/>
  <c r="O44" i="31"/>
  <c r="O42" i="16"/>
  <c r="O42" i="31"/>
  <c r="R105" i="16"/>
  <c r="R105" i="31"/>
  <c r="R87" i="16"/>
  <c r="R87" i="31"/>
  <c r="O99" i="16"/>
  <c r="O99" i="31"/>
  <c r="W124" i="16"/>
  <c r="W124" i="31"/>
  <c r="R10" i="16"/>
  <c r="R10" i="31"/>
  <c r="O68" i="16"/>
  <c r="O68" i="31"/>
  <c r="O17" i="16"/>
  <c r="O17" i="31"/>
  <c r="W119" i="27"/>
  <c r="W119" i="31"/>
  <c r="R70" i="16"/>
  <c r="R70" i="31"/>
  <c r="R56" i="16"/>
  <c r="R56" i="31"/>
  <c r="O84" i="16"/>
  <c r="O84" i="31"/>
  <c r="O51" i="27"/>
  <c r="O51" i="31"/>
  <c r="O83" i="16"/>
  <c r="O83" i="31"/>
  <c r="R127" i="27"/>
  <c r="R127" i="31"/>
  <c r="R106" i="16"/>
  <c r="R106" i="31"/>
  <c r="O28" i="16"/>
  <c r="O28" i="31"/>
  <c r="O26" i="16"/>
  <c r="O26" i="31"/>
  <c r="P114" i="27"/>
  <c r="P114" i="31"/>
  <c r="P129" i="27"/>
  <c r="P129" i="31"/>
  <c r="W63" i="27"/>
  <c r="W63" i="31"/>
  <c r="P57" i="27"/>
  <c r="P57" i="31"/>
  <c r="P77" i="27"/>
  <c r="P77" i="31"/>
  <c r="W64" i="27"/>
  <c r="W64" i="31"/>
  <c r="P42" i="27"/>
  <c r="P42" i="31"/>
  <c r="P39" i="16"/>
  <c r="P39" i="31"/>
  <c r="W12" i="16"/>
  <c r="W12" i="31"/>
  <c r="Q69" i="16"/>
  <c r="Q69" i="31"/>
  <c r="P97" i="16"/>
  <c r="P97" i="31"/>
  <c r="W36" i="16"/>
  <c r="W36" i="31"/>
  <c r="O49" i="16"/>
  <c r="O49" i="31"/>
  <c r="Q18" i="16"/>
  <c r="Q18" i="31"/>
  <c r="P50" i="16"/>
  <c r="P50" i="31"/>
  <c r="Q77" i="16"/>
  <c r="Q77" i="31"/>
  <c r="W10" i="16"/>
  <c r="W10" i="31"/>
  <c r="Q131" i="16"/>
  <c r="Q131" i="31"/>
  <c r="Q11" i="16"/>
  <c r="Q11" i="31"/>
  <c r="W132" i="16"/>
  <c r="W132" i="31"/>
  <c r="Q87" i="16"/>
  <c r="Q87" i="31"/>
  <c r="P71" i="16"/>
  <c r="P71" i="31"/>
  <c r="W121" i="16"/>
  <c r="W121" i="31"/>
  <c r="P58" i="16"/>
  <c r="P58" i="31"/>
  <c r="W50" i="27"/>
  <c r="W50" i="31"/>
  <c r="O132" i="27"/>
  <c r="O29" i="27"/>
  <c r="P37" i="27"/>
  <c r="O41" i="27"/>
  <c r="T87" i="27"/>
  <c r="U79" i="27"/>
  <c r="P126" i="27"/>
  <c r="V17" i="27"/>
  <c r="R58" i="27"/>
  <c r="S107" i="27"/>
  <c r="R45" i="27"/>
  <c r="R48" i="27"/>
  <c r="R27" i="27"/>
  <c r="W58" i="27"/>
  <c r="Q30" i="27"/>
  <c r="Q122" i="27"/>
  <c r="Q136" i="27"/>
  <c r="W136" i="27"/>
  <c r="V136" i="27"/>
  <c r="R136" i="27"/>
  <c r="O136" i="27"/>
  <c r="Q25" i="16"/>
  <c r="Q109" i="16"/>
  <c r="W24" i="16"/>
  <c r="W65" i="16"/>
  <c r="P72" i="16"/>
  <c r="P99" i="16"/>
  <c r="O100" i="16"/>
  <c r="O77" i="27"/>
  <c r="U66" i="27"/>
  <c r="U98" i="27"/>
  <c r="V35" i="27"/>
  <c r="V61" i="27"/>
  <c r="T54" i="27"/>
  <c r="O60" i="27"/>
  <c r="O32" i="27"/>
  <c r="P10" i="27"/>
  <c r="U57" i="27"/>
  <c r="U17" i="27"/>
  <c r="V94" i="27"/>
  <c r="V56" i="27"/>
  <c r="T50" i="27"/>
  <c r="O88" i="27"/>
  <c r="O25" i="27"/>
  <c r="U53" i="27"/>
  <c r="U106" i="27"/>
  <c r="V86" i="27"/>
  <c r="V44" i="27"/>
  <c r="T36" i="27"/>
  <c r="O84" i="27"/>
  <c r="O24" i="27"/>
  <c r="P55" i="27"/>
  <c r="U49" i="27"/>
  <c r="U88" i="27"/>
  <c r="V79" i="27"/>
  <c r="V39" i="27"/>
  <c r="T32" i="27"/>
  <c r="W30" i="27"/>
  <c r="P78" i="27"/>
  <c r="U130" i="27"/>
  <c r="V113" i="27"/>
  <c r="V78" i="27"/>
  <c r="T128" i="27"/>
  <c r="T80" i="27"/>
  <c r="O75" i="27"/>
  <c r="W15" i="27"/>
  <c r="U107" i="27"/>
  <c r="U40" i="27"/>
  <c r="V77" i="27"/>
  <c r="V37" i="27"/>
  <c r="T90" i="27"/>
  <c r="O21" i="27"/>
  <c r="U39" i="27"/>
  <c r="U94" i="27"/>
  <c r="V99" i="27"/>
  <c r="V16" i="27"/>
  <c r="T49" i="27"/>
  <c r="T33" i="27"/>
  <c r="S90" i="27"/>
  <c r="S109" i="27"/>
  <c r="R61" i="27"/>
  <c r="R10" i="27"/>
  <c r="Q11" i="27"/>
  <c r="O79" i="27"/>
  <c r="T15" i="27"/>
  <c r="Q32" i="27"/>
  <c r="S129" i="27"/>
  <c r="S79" i="27"/>
  <c r="R126" i="27"/>
  <c r="W95" i="27"/>
  <c r="T48" i="27"/>
  <c r="Q102" i="27"/>
  <c r="S88" i="27"/>
  <c r="R106" i="27"/>
  <c r="R89" i="27"/>
  <c r="U16" i="27"/>
  <c r="S93" i="27"/>
  <c r="T116" i="27"/>
  <c r="S46" i="27"/>
  <c r="S38" i="27"/>
  <c r="R63" i="27"/>
  <c r="R15" i="27"/>
  <c r="T114" i="27"/>
  <c r="T9" i="27"/>
  <c r="S48" i="27"/>
  <c r="S27" i="27"/>
  <c r="R85" i="27"/>
  <c r="R50" i="27"/>
  <c r="O74" i="27"/>
  <c r="V13" i="27"/>
  <c r="T59" i="27"/>
  <c r="S108" i="27"/>
  <c r="S71" i="27"/>
  <c r="R125" i="27"/>
  <c r="R42" i="27"/>
  <c r="O68" i="27"/>
  <c r="V76" i="27"/>
  <c r="Q63" i="27"/>
  <c r="T21" i="27"/>
  <c r="S17" i="27"/>
  <c r="S85" i="27"/>
  <c r="R36" i="27"/>
  <c r="R39" i="27"/>
  <c r="U123" i="27"/>
  <c r="S126" i="27"/>
  <c r="Q99" i="16"/>
  <c r="O19" i="27"/>
  <c r="O53" i="27"/>
  <c r="U12" i="27"/>
  <c r="U54" i="27"/>
  <c r="V41" i="27"/>
  <c r="V49" i="27"/>
  <c r="T11" i="27"/>
  <c r="O57" i="27"/>
  <c r="O65" i="27"/>
  <c r="U50" i="27"/>
  <c r="U44" i="27"/>
  <c r="V31" i="27"/>
  <c r="V23" i="27"/>
  <c r="T39" i="27"/>
  <c r="O56" i="27"/>
  <c r="O26" i="27"/>
  <c r="W44" i="27"/>
  <c r="W61" i="27"/>
  <c r="U36" i="27"/>
  <c r="U35" i="27"/>
  <c r="V128" i="27"/>
  <c r="T35" i="27"/>
  <c r="O52" i="27"/>
  <c r="O10" i="27"/>
  <c r="U32" i="27"/>
  <c r="U22" i="27"/>
  <c r="V74" i="27"/>
  <c r="V87" i="27"/>
  <c r="T31" i="27"/>
  <c r="O35" i="27"/>
  <c r="O28" i="27"/>
  <c r="W22" i="27"/>
  <c r="P25" i="27"/>
  <c r="U111" i="27"/>
  <c r="U56" i="27"/>
  <c r="V81" i="27"/>
  <c r="V45" i="27"/>
  <c r="T94" i="27"/>
  <c r="O114" i="27"/>
  <c r="O47" i="27"/>
  <c r="U75" i="27"/>
  <c r="U120" i="27"/>
  <c r="V104" i="27"/>
  <c r="T117" i="27"/>
  <c r="O104" i="27"/>
  <c r="O89" i="27"/>
  <c r="W92" i="27"/>
  <c r="U101" i="27"/>
  <c r="U38" i="27"/>
  <c r="V118" i="27"/>
  <c r="V103" i="27"/>
  <c r="T29" i="27"/>
  <c r="S58" i="27"/>
  <c r="S81" i="27"/>
  <c r="R88" i="27"/>
  <c r="R60" i="27"/>
  <c r="Q60" i="27"/>
  <c r="Q106" i="27"/>
  <c r="T26" i="27"/>
  <c r="S92" i="27"/>
  <c r="S22" i="27"/>
  <c r="R91" i="27"/>
  <c r="R97" i="27"/>
  <c r="Q114" i="27"/>
  <c r="T47" i="27"/>
  <c r="T25" i="27"/>
  <c r="S56" i="27"/>
  <c r="S57" i="27"/>
  <c r="R101" i="27"/>
  <c r="R74" i="27"/>
  <c r="Q48" i="27"/>
  <c r="U124" i="27"/>
  <c r="R62" i="27"/>
  <c r="T108" i="27"/>
  <c r="S29" i="27"/>
  <c r="R17" i="27"/>
  <c r="Q50" i="27"/>
  <c r="T13" i="27"/>
  <c r="S106" i="27"/>
  <c r="S55" i="27"/>
  <c r="R120" i="27"/>
  <c r="R55" i="27"/>
  <c r="O103" i="27"/>
  <c r="T120" i="27"/>
  <c r="T57" i="27"/>
  <c r="S76" i="27"/>
  <c r="S59" i="27"/>
  <c r="R94" i="27"/>
  <c r="R69" i="27"/>
  <c r="O14" i="27"/>
  <c r="T55" i="27"/>
  <c r="S130" i="27"/>
  <c r="S105" i="27"/>
  <c r="R131" i="27"/>
  <c r="R132" i="27"/>
  <c r="Q131" i="27"/>
  <c r="O61" i="27"/>
  <c r="U82" i="27"/>
  <c r="S31" i="27"/>
  <c r="U68" i="27"/>
  <c r="O72" i="27"/>
  <c r="V95" i="27"/>
  <c r="T38" i="27"/>
  <c r="R16" i="27"/>
  <c r="Q101" i="16"/>
  <c r="O102" i="27"/>
  <c r="O85" i="27"/>
  <c r="P105" i="27"/>
  <c r="U95" i="27"/>
  <c r="U76" i="27"/>
  <c r="V97" i="27"/>
  <c r="V36" i="27"/>
  <c r="T78" i="27"/>
  <c r="O128" i="27"/>
  <c r="O107" i="27"/>
  <c r="U84" i="27"/>
  <c r="V132" i="27"/>
  <c r="V129" i="27"/>
  <c r="T106" i="27"/>
  <c r="T126" i="27"/>
  <c r="O11" i="27"/>
  <c r="O38" i="27"/>
  <c r="U80" i="27"/>
  <c r="V122" i="27"/>
  <c r="V123" i="27"/>
  <c r="T102" i="27"/>
  <c r="T84" i="27"/>
  <c r="O122" i="27"/>
  <c r="O93" i="27"/>
  <c r="W39" i="27"/>
  <c r="U115" i="27"/>
  <c r="U72" i="27"/>
  <c r="V117" i="27"/>
  <c r="V82" i="27"/>
  <c r="T98" i="27"/>
  <c r="O118" i="27"/>
  <c r="O63" i="27"/>
  <c r="W132" i="27"/>
  <c r="P39" i="27"/>
  <c r="U47" i="27"/>
  <c r="U128" i="27"/>
  <c r="V115" i="27"/>
  <c r="V29" i="27"/>
  <c r="T89" i="27"/>
  <c r="O50" i="27"/>
  <c r="U105" i="27"/>
  <c r="U60" i="27"/>
  <c r="V125" i="27"/>
  <c r="V124" i="27"/>
  <c r="T64" i="27"/>
  <c r="O40" i="27"/>
  <c r="O83" i="27"/>
  <c r="W85" i="27"/>
  <c r="U131" i="27"/>
  <c r="U19" i="27"/>
  <c r="V57" i="27"/>
  <c r="V66" i="27"/>
  <c r="T19" i="27"/>
  <c r="T95" i="27"/>
  <c r="S9" i="27"/>
  <c r="S30" i="27"/>
  <c r="R28" i="27"/>
  <c r="R18" i="27"/>
  <c r="Q94" i="27"/>
  <c r="Q88" i="27"/>
  <c r="U65" i="27"/>
  <c r="S83" i="27"/>
  <c r="T81" i="27"/>
  <c r="S118" i="27"/>
  <c r="S117" i="27"/>
  <c r="R109" i="27"/>
  <c r="R9" i="27"/>
  <c r="U99" i="27"/>
  <c r="T79" i="27"/>
  <c r="S82" i="27"/>
  <c r="S41" i="27"/>
  <c r="R64" i="27"/>
  <c r="R38" i="27"/>
  <c r="O20" i="27"/>
  <c r="V111" i="27"/>
  <c r="Q69" i="27"/>
  <c r="S116" i="27"/>
  <c r="S53" i="27"/>
  <c r="R115" i="27"/>
  <c r="R54" i="27"/>
  <c r="Q64" i="27"/>
  <c r="S12" i="27"/>
  <c r="T111" i="27"/>
  <c r="S42" i="27"/>
  <c r="S16" i="27"/>
  <c r="R52" i="27"/>
  <c r="R108" i="27"/>
  <c r="S24" i="27"/>
  <c r="T37" i="27"/>
  <c r="S102" i="27"/>
  <c r="S45" i="27"/>
  <c r="R112" i="27"/>
  <c r="R13" i="27"/>
  <c r="Q90" i="27"/>
  <c r="W36" i="27"/>
  <c r="S94" i="27"/>
  <c r="T45" i="27"/>
  <c r="S72" i="27"/>
  <c r="S36" i="27"/>
  <c r="R124" i="27"/>
  <c r="R31" i="27"/>
  <c r="V40" i="27"/>
  <c r="R105" i="27"/>
  <c r="W98" i="27"/>
  <c r="S62" i="27"/>
  <c r="P102" i="27"/>
  <c r="R194" i="12"/>
  <c r="O70" i="27"/>
  <c r="O49" i="27"/>
  <c r="P97" i="27"/>
  <c r="U63" i="27"/>
  <c r="U74" i="27"/>
  <c r="V130" i="27"/>
  <c r="V12" i="27"/>
  <c r="T105" i="27"/>
  <c r="O98" i="27"/>
  <c r="W32" i="27"/>
  <c r="U91" i="27"/>
  <c r="U26" i="27"/>
  <c r="V93" i="27"/>
  <c r="T123" i="27"/>
  <c r="O124" i="27"/>
  <c r="O99" i="27"/>
  <c r="P80" i="27"/>
  <c r="U87" i="27"/>
  <c r="U25" i="27"/>
  <c r="V89" i="27"/>
  <c r="V11" i="27"/>
  <c r="T132" i="27"/>
  <c r="O123" i="27"/>
  <c r="O91" i="27"/>
  <c r="W43" i="27"/>
  <c r="P128" i="27"/>
  <c r="P56" i="27"/>
  <c r="U83" i="27"/>
  <c r="U10" i="27"/>
  <c r="V85" i="27"/>
  <c r="V62" i="27"/>
  <c r="T122" i="27"/>
  <c r="O86" i="27"/>
  <c r="O16" i="27"/>
  <c r="U109" i="27"/>
  <c r="U86" i="27"/>
  <c r="V19" i="27"/>
  <c r="T65" i="27"/>
  <c r="O108" i="27"/>
  <c r="O117" i="27"/>
  <c r="W121" i="27"/>
  <c r="U48" i="27"/>
  <c r="V69" i="27"/>
  <c r="V20" i="27"/>
  <c r="T83" i="27"/>
  <c r="O12" i="27"/>
  <c r="W10" i="27"/>
  <c r="U20" i="27"/>
  <c r="U42" i="27"/>
  <c r="V18" i="27"/>
  <c r="T118" i="27"/>
  <c r="T42" i="27"/>
  <c r="S122" i="27"/>
  <c r="S89" i="27"/>
  <c r="R100" i="27"/>
  <c r="Q123" i="27"/>
  <c r="Q20" i="27"/>
  <c r="U29" i="27"/>
  <c r="R118" i="27"/>
  <c r="T16" i="27"/>
  <c r="S86" i="27"/>
  <c r="S91" i="27"/>
  <c r="R46" i="27"/>
  <c r="R128" i="27"/>
  <c r="Q44" i="27"/>
  <c r="Q16" i="27"/>
  <c r="S10" i="27"/>
  <c r="T130" i="27"/>
  <c r="S50" i="27"/>
  <c r="S39" i="27"/>
  <c r="R68" i="27"/>
  <c r="R75" i="27"/>
  <c r="T66" i="27"/>
  <c r="T76" i="27"/>
  <c r="S84" i="27"/>
  <c r="S115" i="27"/>
  <c r="R83" i="27"/>
  <c r="R80" i="27"/>
  <c r="R86" i="27"/>
  <c r="T103" i="27"/>
  <c r="S25" i="27"/>
  <c r="S19" i="27"/>
  <c r="R12" i="27"/>
  <c r="R40" i="27"/>
  <c r="T53" i="27"/>
  <c r="S70" i="27"/>
  <c r="R47" i="27"/>
  <c r="R121" i="27"/>
  <c r="Q54" i="27"/>
  <c r="P59" i="27"/>
  <c r="S97" i="27"/>
  <c r="T14" i="27"/>
  <c r="S40" i="27"/>
  <c r="S11" i="27"/>
  <c r="R90" i="27"/>
  <c r="R59" i="27"/>
  <c r="Q22" i="27"/>
  <c r="V90" i="27"/>
  <c r="R19" i="27"/>
  <c r="W47" i="27"/>
  <c r="T85" i="27"/>
  <c r="T70" i="27"/>
  <c r="V91" i="27"/>
  <c r="S132" i="27"/>
  <c r="W88" i="27"/>
  <c r="W195" i="12"/>
  <c r="O130" i="27"/>
  <c r="O97" i="27"/>
  <c r="W122" i="27"/>
  <c r="P89" i="27"/>
  <c r="U132" i="27"/>
  <c r="U37" i="27"/>
  <c r="V92" i="27"/>
  <c r="V15" i="27"/>
  <c r="T112" i="27"/>
  <c r="O66" i="27"/>
  <c r="O30" i="27"/>
  <c r="W117" i="27"/>
  <c r="U59" i="27"/>
  <c r="U64" i="27"/>
  <c r="V120" i="27"/>
  <c r="V72" i="27"/>
  <c r="T101" i="27"/>
  <c r="O94" i="27"/>
  <c r="P103" i="27"/>
  <c r="P71" i="27"/>
  <c r="U55" i="27"/>
  <c r="V116" i="27"/>
  <c r="V60" i="27"/>
  <c r="T97" i="27"/>
  <c r="O90" i="27"/>
  <c r="O17" i="27"/>
  <c r="W12" i="27"/>
  <c r="V112" i="27"/>
  <c r="V55" i="27"/>
  <c r="T93" i="27"/>
  <c r="O54" i="27"/>
  <c r="O105" i="27"/>
  <c r="P81" i="27"/>
  <c r="P31" i="27"/>
  <c r="U77" i="27"/>
  <c r="U58" i="27"/>
  <c r="V70" i="27"/>
  <c r="V21" i="27"/>
  <c r="T91" i="27"/>
  <c r="O76" i="27"/>
  <c r="P50" i="27"/>
  <c r="U41" i="27"/>
  <c r="U30" i="27"/>
  <c r="V58" i="27"/>
  <c r="V80" i="27"/>
  <c r="T71" i="27"/>
  <c r="O59" i="27"/>
  <c r="W124" i="27"/>
  <c r="U129" i="27"/>
  <c r="U108" i="27"/>
  <c r="V105" i="27"/>
  <c r="V47" i="27"/>
  <c r="T86" i="27"/>
  <c r="T40" i="27"/>
  <c r="S23" i="27"/>
  <c r="R95" i="27"/>
  <c r="R21" i="27"/>
  <c r="Q112" i="27"/>
  <c r="R32" i="27"/>
  <c r="T18" i="27"/>
  <c r="S54" i="27"/>
  <c r="S77" i="27"/>
  <c r="R78" i="27"/>
  <c r="R53" i="27"/>
  <c r="O23" i="27"/>
  <c r="V101" i="27"/>
  <c r="R33" i="27"/>
  <c r="T17" i="27"/>
  <c r="S33" i="27"/>
  <c r="S35" i="27"/>
  <c r="R20" i="27"/>
  <c r="P38" i="27"/>
  <c r="T12" i="27"/>
  <c r="T10" i="27"/>
  <c r="S52" i="27"/>
  <c r="S32" i="27"/>
  <c r="R102" i="27"/>
  <c r="R84" i="27"/>
  <c r="U100" i="27"/>
  <c r="R30" i="27"/>
  <c r="T44" i="27"/>
  <c r="S121" i="27"/>
  <c r="R111" i="27"/>
  <c r="R49" i="27"/>
  <c r="U97" i="27"/>
  <c r="Q95" i="27"/>
  <c r="T75" i="27"/>
  <c r="S123" i="27"/>
  <c r="S127" i="27"/>
  <c r="R56" i="27"/>
  <c r="Q42" i="27"/>
  <c r="U78" i="27"/>
  <c r="S103" i="27"/>
  <c r="T41" i="27"/>
  <c r="S98" i="27"/>
  <c r="R77" i="27"/>
  <c r="R26" i="27"/>
  <c r="P92" i="27"/>
  <c r="T109" i="27"/>
  <c r="O45" i="27"/>
  <c r="P58" i="27"/>
  <c r="U93" i="27"/>
  <c r="U15" i="27"/>
  <c r="V83" i="27"/>
  <c r="V106" i="27"/>
  <c r="O129" i="27"/>
  <c r="O71" i="27"/>
  <c r="P69" i="27"/>
  <c r="U122" i="27"/>
  <c r="U14" i="27"/>
  <c r="V88" i="27"/>
  <c r="T104" i="27"/>
  <c r="O62" i="27"/>
  <c r="O18" i="27"/>
  <c r="W99" i="27"/>
  <c r="U117" i="27"/>
  <c r="U13" i="27"/>
  <c r="V84" i="27"/>
  <c r="V114" i="27"/>
  <c r="O58" i="27"/>
  <c r="O126" i="27"/>
  <c r="W67" i="27"/>
  <c r="U113" i="27"/>
  <c r="U104" i="27"/>
  <c r="V48" i="27"/>
  <c r="T88" i="27"/>
  <c r="O112" i="27"/>
  <c r="O125" i="27"/>
  <c r="W131" i="27"/>
  <c r="P117" i="27"/>
  <c r="U45" i="27"/>
  <c r="U46" i="27"/>
  <c r="V71" i="27"/>
  <c r="T28" i="27"/>
  <c r="O44" i="27"/>
  <c r="O101" i="27"/>
  <c r="U24" i="27"/>
  <c r="U23" i="27"/>
  <c r="V22" i="27"/>
  <c r="V59" i="27"/>
  <c r="O121" i="27"/>
  <c r="W94" i="27"/>
  <c r="U103" i="27"/>
  <c r="U126" i="27"/>
  <c r="V131" i="27"/>
  <c r="V32" i="27"/>
  <c r="T113" i="27"/>
  <c r="T131" i="27"/>
  <c r="S64" i="27"/>
  <c r="R114" i="27"/>
  <c r="R22" i="27"/>
  <c r="Q65" i="27"/>
  <c r="O106" i="27"/>
  <c r="V28" i="27"/>
  <c r="R65" i="27"/>
  <c r="T46" i="27"/>
  <c r="S37" i="27"/>
  <c r="R123" i="27"/>
  <c r="R41" i="27"/>
  <c r="O69" i="27"/>
  <c r="V14" i="27"/>
  <c r="R23" i="27"/>
  <c r="T30" i="27"/>
  <c r="S49" i="27"/>
  <c r="R66" i="27"/>
  <c r="Q57" i="27"/>
  <c r="Q96" i="27"/>
  <c r="S125" i="27"/>
  <c r="T62" i="27"/>
  <c r="R93" i="27"/>
  <c r="R57" i="27"/>
  <c r="U31" i="27"/>
  <c r="S112" i="27"/>
  <c r="S95" i="27"/>
  <c r="R79" i="27"/>
  <c r="R71" i="27"/>
  <c r="U62" i="27"/>
  <c r="S21" i="27"/>
  <c r="S18" i="27"/>
  <c r="U33" i="27"/>
  <c r="T58" i="27"/>
  <c r="S66" i="27"/>
  <c r="S101" i="27"/>
  <c r="R104" i="27"/>
  <c r="R70" i="27"/>
  <c r="Q35" i="27"/>
  <c r="T24" i="27"/>
  <c r="Q18" i="27"/>
  <c r="O64" i="27"/>
  <c r="O37" i="27"/>
  <c r="W52" i="27"/>
  <c r="U61" i="27"/>
  <c r="U18" i="27"/>
  <c r="V102" i="27"/>
  <c r="V63" i="27"/>
  <c r="O92" i="27"/>
  <c r="O36" i="27"/>
  <c r="U89" i="27"/>
  <c r="U114" i="27"/>
  <c r="V68" i="27"/>
  <c r="V75" i="27"/>
  <c r="T115" i="27"/>
  <c r="O120" i="27"/>
  <c r="O22" i="27"/>
  <c r="W108" i="27"/>
  <c r="W91" i="27"/>
  <c r="U85" i="27"/>
  <c r="V65" i="27"/>
  <c r="T107" i="27"/>
  <c r="O116" i="27"/>
  <c r="O131" i="27"/>
  <c r="P131" i="27"/>
  <c r="U81" i="27"/>
  <c r="U70" i="27"/>
  <c r="V52" i="27"/>
  <c r="V46" i="27"/>
  <c r="T99" i="27"/>
  <c r="O80" i="27"/>
  <c r="O9" i="27"/>
  <c r="W100" i="27"/>
  <c r="P60" i="27"/>
  <c r="U28" i="27"/>
  <c r="U21" i="27"/>
  <c r="V26" i="27"/>
  <c r="V24" i="27"/>
  <c r="O31" i="27"/>
  <c r="O13" i="27"/>
  <c r="P70" i="27"/>
  <c r="U116" i="27"/>
  <c r="V109" i="27"/>
  <c r="V64" i="27"/>
  <c r="T124" i="27"/>
  <c r="O78" i="27"/>
  <c r="O95" i="27"/>
  <c r="U71" i="27"/>
  <c r="U102" i="27"/>
  <c r="V100" i="27"/>
  <c r="V33" i="27"/>
  <c r="T129" i="27"/>
  <c r="S124" i="27"/>
  <c r="R117" i="27"/>
  <c r="R25" i="27"/>
  <c r="Q91" i="27"/>
  <c r="O43" i="27"/>
  <c r="T82" i="27"/>
  <c r="Q76" i="27"/>
  <c r="T61" i="27"/>
  <c r="S65" i="27"/>
  <c r="S20" i="27"/>
  <c r="R24" i="27"/>
  <c r="R113" i="27"/>
  <c r="V98" i="27"/>
  <c r="S120" i="27"/>
  <c r="S69" i="27"/>
  <c r="R87" i="27"/>
  <c r="R92" i="27"/>
  <c r="Q115" i="27"/>
  <c r="U125" i="27"/>
  <c r="S13" i="27"/>
  <c r="T77" i="27"/>
  <c r="S78" i="27"/>
  <c r="S15" i="27"/>
  <c r="R129" i="27"/>
  <c r="R72" i="27"/>
  <c r="Q34" i="27"/>
  <c r="V42" i="27"/>
  <c r="T69" i="27"/>
  <c r="S80" i="27"/>
  <c r="S87" i="27"/>
  <c r="R98" i="27"/>
  <c r="R76" i="27"/>
  <c r="V121" i="27"/>
  <c r="T23" i="27"/>
  <c r="T22" i="27"/>
  <c r="S113" i="27"/>
  <c r="R107" i="27"/>
  <c r="R44" i="27"/>
  <c r="Q77" i="27"/>
  <c r="Q15" i="27"/>
  <c r="V53" i="27"/>
  <c r="R81" i="27"/>
  <c r="T68" i="27"/>
  <c r="S131" i="27"/>
  <c r="S111" i="27"/>
  <c r="R37" i="27"/>
  <c r="R116" i="27"/>
  <c r="P32" i="27"/>
  <c r="T63" i="27"/>
  <c r="W140" i="12"/>
  <c r="W50" i="16"/>
  <c r="Q194" i="12"/>
  <c r="P194" i="12"/>
  <c r="Q195" i="12"/>
  <c r="P195" i="12"/>
  <c r="V194" i="12"/>
  <c r="U73" i="16"/>
  <c r="U195" i="12"/>
  <c r="U194" i="12"/>
  <c r="S67" i="16"/>
  <c r="S194" i="12"/>
  <c r="T73" i="16"/>
  <c r="T195" i="12"/>
  <c r="T194" i="12"/>
  <c r="V73" i="16"/>
  <c r="V195" i="12"/>
  <c r="O194" i="12"/>
  <c r="S73" i="16"/>
  <c r="S195" i="12"/>
  <c r="O73" i="16"/>
  <c r="O195" i="12"/>
  <c r="R73" i="16"/>
  <c r="R195" i="12"/>
  <c r="T147" i="15"/>
  <c r="U147" i="20"/>
  <c r="W147" i="7"/>
  <c r="O147" i="20"/>
  <c r="R147" i="21"/>
  <c r="V147" i="15"/>
  <c r="Q133" i="12"/>
  <c r="Q147" i="20"/>
  <c r="Q147" i="3"/>
  <c r="W147" i="20"/>
  <c r="U137" i="12"/>
  <c r="U11" i="16"/>
  <c r="T140" i="12"/>
  <c r="T43" i="16"/>
  <c r="U145" i="12"/>
  <c r="U119" i="16"/>
  <c r="V136" i="12"/>
  <c r="V7" i="16"/>
  <c r="V133" i="12"/>
  <c r="U146" i="12"/>
  <c r="U127" i="16"/>
  <c r="U146" i="16" s="1"/>
  <c r="R147" i="19"/>
  <c r="V137" i="12"/>
  <c r="V8" i="16"/>
  <c r="T139" i="12"/>
  <c r="T34" i="16"/>
  <c r="S144" i="12"/>
  <c r="S110" i="16"/>
  <c r="S147" i="24"/>
  <c r="V147" i="24"/>
  <c r="V140" i="12"/>
  <c r="V43" i="16"/>
  <c r="T142" i="12"/>
  <c r="T67" i="16"/>
  <c r="X147" i="20"/>
  <c r="T144" i="12"/>
  <c r="T110" i="16"/>
  <c r="T137" i="12"/>
  <c r="T8" i="16"/>
  <c r="S140" i="12"/>
  <c r="S43" i="16"/>
  <c r="W147" i="24"/>
  <c r="P145" i="12"/>
  <c r="P119" i="16"/>
  <c r="P145" i="16" s="1"/>
  <c r="R144" i="12"/>
  <c r="R110" i="16"/>
  <c r="R140" i="12"/>
  <c r="R43" i="16"/>
  <c r="P147" i="7"/>
  <c r="P146" i="12"/>
  <c r="P127" i="16"/>
  <c r="O137" i="12"/>
  <c r="O8" i="16"/>
  <c r="O147" i="3"/>
  <c r="Q140" i="12"/>
  <c r="Q43" i="16"/>
  <c r="Q139" i="16"/>
  <c r="R145" i="12"/>
  <c r="R119" i="16"/>
  <c r="V147" i="14"/>
  <c r="O146" i="12"/>
  <c r="O127" i="16"/>
  <c r="U147" i="7"/>
  <c r="R139" i="12"/>
  <c r="R34" i="16"/>
  <c r="V143" i="12"/>
  <c r="V96" i="16"/>
  <c r="U144" i="12"/>
  <c r="U110" i="16"/>
  <c r="V139" i="12"/>
  <c r="V34" i="16"/>
  <c r="V139" i="16" s="1"/>
  <c r="W147" i="14"/>
  <c r="V147" i="21"/>
  <c r="W133" i="12"/>
  <c r="W136" i="12"/>
  <c r="W7" i="16"/>
  <c r="Q147" i="7"/>
  <c r="Q138" i="12"/>
  <c r="Q27" i="16"/>
  <c r="Q138" i="16" s="1"/>
  <c r="P144" i="12"/>
  <c r="P110" i="16"/>
  <c r="P144" i="16" s="1"/>
  <c r="W142" i="12"/>
  <c r="W67" i="16"/>
  <c r="S141" i="12"/>
  <c r="S51" i="16"/>
  <c r="Q147" i="15"/>
  <c r="S147" i="15"/>
  <c r="Q139" i="12"/>
  <c r="R147" i="15"/>
  <c r="W141" i="12"/>
  <c r="W51" i="16"/>
  <c r="P147" i="15"/>
  <c r="R138" i="12"/>
  <c r="R27" i="16"/>
  <c r="R147" i="14"/>
  <c r="U139" i="12"/>
  <c r="U34" i="16"/>
  <c r="S142" i="12"/>
  <c r="S68" i="16"/>
  <c r="U147" i="24"/>
  <c r="V145" i="12"/>
  <c r="V119" i="16"/>
  <c r="U147" i="15"/>
  <c r="S136" i="12"/>
  <c r="S7" i="16"/>
  <c r="S133" i="12"/>
  <c r="S147" i="7"/>
  <c r="O147" i="21"/>
  <c r="T146" i="12"/>
  <c r="T127" i="16"/>
  <c r="S147" i="14"/>
  <c r="O140" i="12"/>
  <c r="Q141" i="12"/>
  <c r="Q51" i="16"/>
  <c r="R147" i="20"/>
  <c r="N147" i="21"/>
  <c r="O147" i="24"/>
  <c r="P142" i="12"/>
  <c r="P67" i="16"/>
  <c r="O139" i="12"/>
  <c r="O34" i="16"/>
  <c r="W144" i="12"/>
  <c r="W110" i="16"/>
  <c r="P143" i="12"/>
  <c r="P96" i="16"/>
  <c r="P147" i="21"/>
  <c r="Q142" i="12"/>
  <c r="Q67" i="16"/>
  <c r="R146" i="12"/>
  <c r="R127" i="16"/>
  <c r="U143" i="12"/>
  <c r="U96" i="16"/>
  <c r="U140" i="12"/>
  <c r="U43" i="16"/>
  <c r="U136" i="12"/>
  <c r="U7" i="16"/>
  <c r="U133" i="12"/>
  <c r="V141" i="12"/>
  <c r="V51" i="16"/>
  <c r="U142" i="12"/>
  <c r="U67" i="16"/>
  <c r="V144" i="12"/>
  <c r="V110" i="16"/>
  <c r="U138" i="12"/>
  <c r="U27" i="16"/>
  <c r="S143" i="12"/>
  <c r="S96" i="16"/>
  <c r="T147" i="21"/>
  <c r="W147" i="21"/>
  <c r="S139" i="12"/>
  <c r="S34" i="16"/>
  <c r="U147" i="14"/>
  <c r="R147" i="24"/>
  <c r="P139" i="12"/>
  <c r="P34" i="16"/>
  <c r="P139" i="16" s="1"/>
  <c r="O143" i="12"/>
  <c r="O96" i="16"/>
  <c r="O133" i="12"/>
  <c r="O7" i="16"/>
  <c r="O136" i="12"/>
  <c r="O147" i="19"/>
  <c r="W145" i="12"/>
  <c r="W119" i="16"/>
  <c r="W147" i="19"/>
  <c r="Q147" i="14"/>
  <c r="V147" i="20"/>
  <c r="S146" i="12"/>
  <c r="S128" i="16"/>
  <c r="T138" i="12"/>
  <c r="T27" i="16"/>
  <c r="U147" i="21"/>
  <c r="T145" i="12"/>
  <c r="T119" i="16"/>
  <c r="T145" i="16" s="1"/>
  <c r="S147" i="19"/>
  <c r="P140" i="12"/>
  <c r="P43" i="16"/>
  <c r="R143" i="12"/>
  <c r="R96" i="16"/>
  <c r="R137" i="12"/>
  <c r="R8" i="16"/>
  <c r="W146" i="12"/>
  <c r="W127" i="16"/>
  <c r="R147" i="7"/>
  <c r="S147" i="20"/>
  <c r="Q146" i="12"/>
  <c r="Q127" i="16"/>
  <c r="P138" i="12"/>
  <c r="P27" i="16"/>
  <c r="P138" i="16" s="1"/>
  <c r="O147" i="15"/>
  <c r="O147" i="14"/>
  <c r="U141" i="12"/>
  <c r="U51" i="16"/>
  <c r="P147" i="14"/>
  <c r="T141" i="12"/>
  <c r="T51" i="16"/>
  <c r="S137" i="12"/>
  <c r="S8" i="16"/>
  <c r="O138" i="12"/>
  <c r="O27" i="16"/>
  <c r="Q144" i="12"/>
  <c r="Q110" i="16"/>
  <c r="R136" i="12"/>
  <c r="R7" i="16"/>
  <c r="R136" i="16" s="1"/>
  <c r="R133" i="12"/>
  <c r="R147" i="3"/>
  <c r="T147" i="24"/>
  <c r="P147" i="24"/>
  <c r="O147" i="7"/>
  <c r="P147" i="19"/>
  <c r="V147" i="3"/>
  <c r="T147" i="7"/>
  <c r="O141" i="12"/>
  <c r="O51" i="16"/>
  <c r="W147" i="15"/>
  <c r="Q147" i="19"/>
  <c r="U147" i="19"/>
  <c r="V142" i="12"/>
  <c r="V67" i="16"/>
  <c r="T143" i="12"/>
  <c r="T96" i="16"/>
  <c r="S145" i="12"/>
  <c r="S119" i="16"/>
  <c r="P147" i="20"/>
  <c r="V146" i="12"/>
  <c r="V127" i="16"/>
  <c r="Q143" i="12"/>
  <c r="O145" i="12"/>
  <c r="O119" i="16"/>
  <c r="W138" i="12"/>
  <c r="W27" i="16"/>
  <c r="Q147" i="24"/>
  <c r="S138" i="12"/>
  <c r="S28" i="16"/>
  <c r="R141" i="12"/>
  <c r="R51" i="16"/>
  <c r="T147" i="14"/>
  <c r="P133" i="12"/>
  <c r="P7" i="16"/>
  <c r="P136" i="12"/>
  <c r="W147" i="3"/>
  <c r="O144" i="12"/>
  <c r="O110" i="16"/>
  <c r="S147" i="21"/>
  <c r="Q136" i="12"/>
  <c r="Q7" i="16"/>
  <c r="Q136" i="16" s="1"/>
  <c r="Q147" i="21"/>
  <c r="T147" i="19"/>
  <c r="V138" i="12"/>
  <c r="V27" i="16"/>
  <c r="V138" i="16" s="1"/>
  <c r="U147" i="3"/>
  <c r="R142" i="12"/>
  <c r="R67" i="16"/>
  <c r="P141" i="12"/>
  <c r="P51" i="16"/>
  <c r="W139" i="12"/>
  <c r="W34" i="16"/>
  <c r="V147" i="7"/>
  <c r="T136" i="12"/>
  <c r="T7" i="16"/>
  <c r="T133" i="12"/>
  <c r="O142" i="12"/>
  <c r="O67" i="16"/>
  <c r="Q137" i="12"/>
  <c r="Q8" i="16"/>
  <c r="W143" i="12"/>
  <c r="W96" i="16"/>
  <c r="T147" i="3"/>
  <c r="S147" i="3"/>
  <c r="W137" i="12"/>
  <c r="W8" i="16"/>
  <c r="V147" i="19"/>
  <c r="P137" i="12"/>
  <c r="P8" i="16"/>
  <c r="P137" i="16" s="1"/>
  <c r="P147" i="3"/>
  <c r="Q145" i="12"/>
  <c r="Q119" i="16"/>
  <c r="Q145" i="16" s="1"/>
  <c r="T147" i="20"/>
  <c r="S144" i="16" l="1"/>
  <c r="T144" i="31"/>
  <c r="P145" i="27"/>
  <c r="Q146" i="16"/>
  <c r="R143" i="16"/>
  <c r="P144" i="27"/>
  <c r="W142" i="16"/>
  <c r="V140" i="31"/>
  <c r="W144" i="16"/>
  <c r="P141" i="16"/>
  <c r="W146" i="16"/>
  <c r="V145" i="16"/>
  <c r="O146" i="16"/>
  <c r="T144" i="16"/>
  <c r="O144" i="16"/>
  <c r="R146" i="16"/>
  <c r="T139" i="16"/>
  <c r="R145" i="16"/>
  <c r="S138" i="16"/>
  <c r="S140" i="16"/>
  <c r="Q140" i="16"/>
  <c r="U140" i="16"/>
  <c r="W137" i="16"/>
  <c r="W138" i="16"/>
  <c r="W138" i="31"/>
  <c r="W139" i="16"/>
  <c r="W146" i="27"/>
  <c r="Q145" i="27"/>
  <c r="U144" i="16"/>
  <c r="O137" i="16"/>
  <c r="T143" i="16"/>
  <c r="R137" i="16"/>
  <c r="U143" i="16"/>
  <c r="O145" i="16"/>
  <c r="Q143" i="16"/>
  <c r="W140" i="16"/>
  <c r="O140" i="16"/>
  <c r="T137" i="31"/>
  <c r="R142" i="16"/>
  <c r="O141" i="16"/>
  <c r="S137" i="16"/>
  <c r="P143" i="16"/>
  <c r="S141" i="16"/>
  <c r="R144" i="16"/>
  <c r="W141" i="27"/>
  <c r="R138" i="31"/>
  <c r="W143" i="16"/>
  <c r="R141" i="16"/>
  <c r="T141" i="16"/>
  <c r="W145" i="16"/>
  <c r="S143" i="16"/>
  <c r="V141" i="16"/>
  <c r="W141" i="16"/>
  <c r="U137" i="16"/>
  <c r="U139" i="31"/>
  <c r="T138" i="16"/>
  <c r="Q141" i="16"/>
  <c r="V143" i="16"/>
  <c r="P146" i="16"/>
  <c r="W144" i="27"/>
  <c r="Q137" i="16"/>
  <c r="V146" i="16"/>
  <c r="Q144" i="16"/>
  <c r="U138" i="16"/>
  <c r="O139" i="16"/>
  <c r="U139" i="16"/>
  <c r="O144" i="31"/>
  <c r="P140" i="16"/>
  <c r="S146" i="16"/>
  <c r="Q142" i="16"/>
  <c r="R139" i="16"/>
  <c r="W139" i="27"/>
  <c r="Q146" i="27"/>
  <c r="O138" i="16"/>
  <c r="S139" i="16"/>
  <c r="V144" i="16"/>
  <c r="R140" i="16"/>
  <c r="V140" i="16"/>
  <c r="V137" i="16"/>
  <c r="S137" i="31"/>
  <c r="U141" i="16"/>
  <c r="S145" i="16"/>
  <c r="T146" i="16"/>
  <c r="R138" i="16"/>
  <c r="T137" i="16"/>
  <c r="P139" i="27"/>
  <c r="Q140" i="27"/>
  <c r="S142" i="27"/>
  <c r="U138" i="27"/>
  <c r="T138" i="27"/>
  <c r="O141" i="31"/>
  <c r="S141" i="31"/>
  <c r="S144" i="27"/>
  <c r="T145" i="31"/>
  <c r="T142" i="27"/>
  <c r="Q138" i="27"/>
  <c r="U145" i="16"/>
  <c r="P140" i="27"/>
  <c r="P143" i="27"/>
  <c r="W137" i="31"/>
  <c r="R146" i="31"/>
  <c r="V139" i="31"/>
  <c r="T140" i="16"/>
  <c r="W145" i="27"/>
  <c r="Q138" i="31"/>
  <c r="S139" i="27"/>
  <c r="T145" i="27"/>
  <c r="V137" i="31"/>
  <c r="U140" i="27"/>
  <c r="P137" i="31"/>
  <c r="R140" i="31"/>
  <c r="V143" i="31"/>
  <c r="W137" i="27"/>
  <c r="U133" i="31"/>
  <c r="Q144" i="27"/>
  <c r="U140" i="31"/>
  <c r="V145" i="31"/>
  <c r="R139" i="31"/>
  <c r="V145" i="27"/>
  <c r="R144" i="31"/>
  <c r="Q139" i="31"/>
  <c r="T143" i="27"/>
  <c r="P146" i="27"/>
  <c r="R146" i="27"/>
  <c r="T133" i="27"/>
  <c r="O139" i="27"/>
  <c r="T139" i="27"/>
  <c r="O142" i="27"/>
  <c r="P141" i="27"/>
  <c r="T141" i="31"/>
  <c r="T142" i="31"/>
  <c r="U142" i="31"/>
  <c r="O137" i="31"/>
  <c r="O143" i="31"/>
  <c r="Q143" i="31"/>
  <c r="O145" i="31"/>
  <c r="T138" i="31"/>
  <c r="S143" i="31"/>
  <c r="S146" i="31"/>
  <c r="V141" i="31"/>
  <c r="V141" i="27"/>
  <c r="O144" i="27"/>
  <c r="Q141" i="27"/>
  <c r="W140" i="27"/>
  <c r="P142" i="27"/>
  <c r="O143" i="27"/>
  <c r="Q142" i="27"/>
  <c r="U146" i="27"/>
  <c r="V146" i="27"/>
  <c r="Q137" i="27"/>
  <c r="S139" i="31"/>
  <c r="W146" i="31"/>
  <c r="U143" i="31"/>
  <c r="P142" i="31"/>
  <c r="Q144" i="31"/>
  <c r="W144" i="31"/>
  <c r="S140" i="27"/>
  <c r="T144" i="27"/>
  <c r="V144" i="27"/>
  <c r="R133" i="27"/>
  <c r="U142" i="27"/>
  <c r="U139" i="27"/>
  <c r="R139" i="27"/>
  <c r="W138" i="27"/>
  <c r="O142" i="31"/>
  <c r="T136" i="31"/>
  <c r="T133" i="31"/>
  <c r="W141" i="31"/>
  <c r="U144" i="31"/>
  <c r="S144" i="31"/>
  <c r="Q136" i="31"/>
  <c r="Q133" i="31"/>
  <c r="U138" i="31"/>
  <c r="T140" i="31"/>
  <c r="R140" i="27"/>
  <c r="S145" i="27"/>
  <c r="U133" i="27"/>
  <c r="S143" i="27"/>
  <c r="U143" i="27"/>
  <c r="V142" i="27"/>
  <c r="U141" i="27"/>
  <c r="R142" i="27"/>
  <c r="W133" i="27"/>
  <c r="S145" i="31"/>
  <c r="T143" i="31"/>
  <c r="P139" i="31"/>
  <c r="T146" i="31"/>
  <c r="O138" i="31"/>
  <c r="R145" i="31"/>
  <c r="V143" i="27"/>
  <c r="O140" i="27"/>
  <c r="R138" i="27"/>
  <c r="O146" i="27"/>
  <c r="U145" i="27"/>
  <c r="U144" i="27"/>
  <c r="T137" i="27"/>
  <c r="V140" i="27"/>
  <c r="V139" i="27"/>
  <c r="R141" i="31"/>
  <c r="S142" i="31"/>
  <c r="V144" i="31"/>
  <c r="Q142" i="31"/>
  <c r="Q146" i="31"/>
  <c r="R137" i="31"/>
  <c r="U146" i="31"/>
  <c r="Q145" i="31"/>
  <c r="Q137" i="31"/>
  <c r="W136" i="31"/>
  <c r="W133" i="31"/>
  <c r="R142" i="31"/>
  <c r="T139" i="31"/>
  <c r="O146" i="31"/>
  <c r="O139" i="31"/>
  <c r="S133" i="27"/>
  <c r="O137" i="27"/>
  <c r="O145" i="27"/>
  <c r="R144" i="27"/>
  <c r="S141" i="27"/>
  <c r="T141" i="27"/>
  <c r="U137" i="27"/>
  <c r="V133" i="27"/>
  <c r="W143" i="27"/>
  <c r="R145" i="27"/>
  <c r="T146" i="27"/>
  <c r="V136" i="31"/>
  <c r="V133" i="31"/>
  <c r="U145" i="31"/>
  <c r="S136" i="31"/>
  <c r="S133" i="31"/>
  <c r="W143" i="31"/>
  <c r="P145" i="31"/>
  <c r="R136" i="31"/>
  <c r="R133" i="31"/>
  <c r="V138" i="27"/>
  <c r="P138" i="27"/>
  <c r="S137" i="27"/>
  <c r="W145" i="31"/>
  <c r="P141" i="31"/>
  <c r="S140" i="31"/>
  <c r="S138" i="31"/>
  <c r="P143" i="31"/>
  <c r="R143" i="31"/>
  <c r="P144" i="31"/>
  <c r="P140" i="31"/>
  <c r="U141" i="31"/>
  <c r="U137" i="31"/>
  <c r="P136" i="31"/>
  <c r="P133" i="31"/>
  <c r="V138" i="31"/>
  <c r="Q139" i="27"/>
  <c r="T140" i="27"/>
  <c r="R141" i="27"/>
  <c r="R143" i="27"/>
  <c r="O138" i="27"/>
  <c r="O141" i="27"/>
  <c r="P133" i="27"/>
  <c r="V142" i="31"/>
  <c r="O140" i="31"/>
  <c r="P146" i="31"/>
  <c r="W139" i="31"/>
  <c r="W140" i="31"/>
  <c r="V146" i="31"/>
  <c r="P138" i="31"/>
  <c r="Q140" i="31"/>
  <c r="O136" i="31"/>
  <c r="O133" i="31"/>
  <c r="Q141" i="31"/>
  <c r="W142" i="31"/>
  <c r="P142" i="16"/>
  <c r="S142" i="16"/>
  <c r="Q143" i="27"/>
  <c r="P137" i="27"/>
  <c r="O133" i="27"/>
  <c r="R137" i="27"/>
  <c r="Q133" i="27"/>
  <c r="S138" i="27"/>
  <c r="W142" i="27"/>
  <c r="O143" i="16"/>
  <c r="S146" i="27"/>
  <c r="V137" i="27"/>
  <c r="V142" i="16"/>
  <c r="U142" i="16"/>
  <c r="T142" i="16"/>
  <c r="O142" i="16"/>
  <c r="T147" i="12"/>
  <c r="R133" i="16"/>
  <c r="W147" i="12"/>
  <c r="V136" i="16"/>
  <c r="V133" i="16"/>
  <c r="V147" i="12"/>
  <c r="Q133" i="16"/>
  <c r="S136" i="16"/>
  <c r="S133" i="16"/>
  <c r="R147" i="12"/>
  <c r="O147" i="12"/>
  <c r="S147" i="12"/>
  <c r="O133" i="16"/>
  <c r="O136" i="16"/>
  <c r="P147" i="12"/>
  <c r="U136" i="16"/>
  <c r="U133" i="16"/>
  <c r="T136" i="16"/>
  <c r="T133" i="16"/>
  <c r="P133" i="16"/>
  <c r="P136" i="16"/>
  <c r="U147" i="12"/>
  <c r="Q147" i="12"/>
  <c r="W133" i="16"/>
  <c r="W136" i="16"/>
  <c r="R147" i="16" l="1"/>
  <c r="Q147" i="16"/>
  <c r="W147" i="16"/>
  <c r="P147" i="16"/>
  <c r="U147" i="27"/>
  <c r="V147" i="27"/>
  <c r="P147" i="27"/>
  <c r="Q147" i="27"/>
  <c r="R147" i="31"/>
  <c r="S147" i="27"/>
  <c r="T147" i="27"/>
  <c r="W147" i="31"/>
  <c r="O147" i="27"/>
  <c r="U147" i="31"/>
  <c r="W147" i="27"/>
  <c r="V147" i="31"/>
  <c r="P147" i="31"/>
  <c r="R147" i="27"/>
  <c r="T147" i="31"/>
  <c r="S147" i="31"/>
  <c r="Q147" i="31"/>
  <c r="O147" i="31"/>
  <c r="S147" i="16"/>
  <c r="V147" i="16"/>
  <c r="U147" i="16"/>
  <c r="O147" i="16"/>
  <c r="T147" i="16"/>
  <c r="AN7" i="24"/>
  <c r="AO7" i="24"/>
  <c r="AP7" i="24"/>
  <c r="AQ7" i="24"/>
  <c r="AR7" i="24"/>
  <c r="AS7" i="24"/>
  <c r="AT7" i="24"/>
  <c r="AU7" i="24"/>
  <c r="BE7" i="24"/>
  <c r="BF7" i="24" s="1"/>
  <c r="BH7" i="24"/>
  <c r="BI7" i="24" s="1"/>
  <c r="CE7" i="24"/>
  <c r="CF7" i="24"/>
  <c r="CF136" i="24" s="1"/>
  <c r="CG7" i="24"/>
  <c r="CG136" i="24" s="1"/>
  <c r="CH7" i="24"/>
  <c r="CH136" i="24" s="1"/>
  <c r="CI7" i="24"/>
  <c r="CJ7" i="24"/>
  <c r="CJ136" i="24" s="1"/>
  <c r="CK7" i="24"/>
  <c r="CK136" i="24" s="1"/>
  <c r="CL7" i="24"/>
  <c r="AN8" i="24"/>
  <c r="AO8" i="24"/>
  <c r="AP8" i="24"/>
  <c r="AQ8" i="24"/>
  <c r="AR8" i="24"/>
  <c r="AS8" i="24"/>
  <c r="AT8" i="24"/>
  <c r="AU8" i="24"/>
  <c r="BE8" i="24"/>
  <c r="BF8" i="24" s="1"/>
  <c r="BH8" i="24"/>
  <c r="BI8" i="24" s="1"/>
  <c r="AN9" i="24"/>
  <c r="AO9" i="24"/>
  <c r="AP9" i="24"/>
  <c r="AQ9" i="24"/>
  <c r="AR9" i="24"/>
  <c r="AS9" i="24"/>
  <c r="AT9" i="24"/>
  <c r="AU9" i="24"/>
  <c r="BE9" i="24"/>
  <c r="BF9" i="24" s="1"/>
  <c r="BH9" i="24"/>
  <c r="BP9" i="24" s="1"/>
  <c r="AN10" i="24"/>
  <c r="AO10" i="24"/>
  <c r="AP10" i="24"/>
  <c r="AQ10" i="24"/>
  <c r="AR10" i="24"/>
  <c r="AS10" i="24"/>
  <c r="AT10" i="24"/>
  <c r="AU10" i="24"/>
  <c r="BE10" i="24"/>
  <c r="BF10" i="24" s="1"/>
  <c r="BH10" i="24"/>
  <c r="AN11" i="24"/>
  <c r="AO11" i="24"/>
  <c r="AP11" i="24"/>
  <c r="AQ11" i="24"/>
  <c r="AR11" i="24"/>
  <c r="AS11" i="24"/>
  <c r="AT11" i="24"/>
  <c r="AU11" i="24"/>
  <c r="BE11" i="24"/>
  <c r="BF11" i="24" s="1"/>
  <c r="BH11" i="24"/>
  <c r="BI11" i="24" s="1"/>
  <c r="AN12" i="24"/>
  <c r="AO12" i="24"/>
  <c r="AP12" i="24"/>
  <c r="AQ12" i="24"/>
  <c r="AR12" i="24"/>
  <c r="AS12" i="24"/>
  <c r="AT12" i="24"/>
  <c r="AU12" i="24"/>
  <c r="BE12" i="24"/>
  <c r="BF12" i="24" s="1"/>
  <c r="BH12" i="24"/>
  <c r="BI12" i="24" s="1"/>
  <c r="AN13" i="24"/>
  <c r="AO13" i="24"/>
  <c r="AP13" i="24"/>
  <c r="AQ13" i="24"/>
  <c r="AR13" i="24"/>
  <c r="AS13" i="24"/>
  <c r="AT13" i="24"/>
  <c r="AU13" i="24"/>
  <c r="BE13" i="24"/>
  <c r="BF13" i="24" s="1"/>
  <c r="BH13" i="24"/>
  <c r="BI13" i="24" s="1"/>
  <c r="AN14" i="24"/>
  <c r="AO14" i="24"/>
  <c r="AP14" i="24"/>
  <c r="AQ14" i="24"/>
  <c r="AR14" i="24"/>
  <c r="AS14" i="24"/>
  <c r="AT14" i="24"/>
  <c r="AU14" i="24"/>
  <c r="BE14" i="24"/>
  <c r="BF14" i="24" s="1"/>
  <c r="BH14" i="24"/>
  <c r="BP14" i="24" s="1"/>
  <c r="AN15" i="24"/>
  <c r="AO15" i="24"/>
  <c r="AP15" i="24"/>
  <c r="AQ15" i="24"/>
  <c r="AR15" i="24"/>
  <c r="AS15" i="24"/>
  <c r="AT15" i="24"/>
  <c r="AU15" i="24"/>
  <c r="BE15" i="24"/>
  <c r="BF15" i="24" s="1"/>
  <c r="BH15" i="24"/>
  <c r="BI15" i="24" s="1"/>
  <c r="AN16" i="24"/>
  <c r="AO16" i="24"/>
  <c r="AP16" i="24"/>
  <c r="AQ16" i="24"/>
  <c r="AR16" i="24"/>
  <c r="AS16" i="24"/>
  <c r="AT16" i="24"/>
  <c r="AU16" i="24"/>
  <c r="BE16" i="24"/>
  <c r="BF16" i="24" s="1"/>
  <c r="BH16" i="24"/>
  <c r="BP16" i="24" s="1"/>
  <c r="AN17" i="24"/>
  <c r="AO17" i="24"/>
  <c r="AP17" i="24"/>
  <c r="AQ17" i="24"/>
  <c r="AR17" i="24"/>
  <c r="AS17" i="24"/>
  <c r="AT17" i="24"/>
  <c r="AU17" i="24"/>
  <c r="BE17" i="24"/>
  <c r="BF17" i="24" s="1"/>
  <c r="BH17" i="24"/>
  <c r="AN18" i="24"/>
  <c r="AO18" i="24"/>
  <c r="AP18" i="24"/>
  <c r="AQ18" i="24"/>
  <c r="AR18" i="24"/>
  <c r="AS18" i="24"/>
  <c r="AT18" i="24"/>
  <c r="AU18" i="24"/>
  <c r="BE18" i="24"/>
  <c r="BF18" i="24" s="1"/>
  <c r="BH18" i="24"/>
  <c r="BI18" i="24" s="1"/>
  <c r="BJ18" i="24" s="1"/>
  <c r="AN19" i="24"/>
  <c r="AO19" i="24"/>
  <c r="AP19" i="24"/>
  <c r="AQ19" i="24"/>
  <c r="AR19" i="24"/>
  <c r="AS19" i="24"/>
  <c r="AT19" i="24"/>
  <c r="AU19" i="24"/>
  <c r="BE19" i="24"/>
  <c r="BF19" i="24" s="1"/>
  <c r="BH19" i="24"/>
  <c r="BI19" i="24" s="1"/>
  <c r="BJ19" i="24" s="1"/>
  <c r="AN20" i="24"/>
  <c r="AO20" i="24"/>
  <c r="AP20" i="24"/>
  <c r="AQ20" i="24"/>
  <c r="AR20" i="24"/>
  <c r="AS20" i="24"/>
  <c r="AT20" i="24"/>
  <c r="AU20" i="24"/>
  <c r="BE20" i="24"/>
  <c r="BF20" i="24" s="1"/>
  <c r="BH20" i="24"/>
  <c r="BP20" i="24" s="1"/>
  <c r="AN21" i="24"/>
  <c r="AO21" i="24"/>
  <c r="AP21" i="24"/>
  <c r="AQ21" i="24"/>
  <c r="AR21" i="24"/>
  <c r="AS21" i="24"/>
  <c r="AT21" i="24"/>
  <c r="AU21" i="24"/>
  <c r="BE21" i="24"/>
  <c r="BH21" i="24"/>
  <c r="BI21" i="24" s="1"/>
  <c r="AN22" i="24"/>
  <c r="AO22" i="24"/>
  <c r="AP22" i="24"/>
  <c r="AQ22" i="24"/>
  <c r="AR22" i="24"/>
  <c r="AS22" i="24"/>
  <c r="AT22" i="24"/>
  <c r="AU22" i="24"/>
  <c r="BE22" i="24"/>
  <c r="BF22" i="24" s="1"/>
  <c r="BH22" i="24"/>
  <c r="AN23" i="24"/>
  <c r="AO23" i="24"/>
  <c r="AP23" i="24"/>
  <c r="AQ23" i="24"/>
  <c r="AR23" i="24"/>
  <c r="AS23" i="24"/>
  <c r="AT23" i="24"/>
  <c r="AU23" i="24"/>
  <c r="BE23" i="24"/>
  <c r="BF23" i="24" s="1"/>
  <c r="BN23" i="24" s="1"/>
  <c r="BH23" i="24"/>
  <c r="BI23" i="24" s="1"/>
  <c r="BJ23" i="24" s="1"/>
  <c r="BR23" i="24" s="1"/>
  <c r="AN24" i="24"/>
  <c r="AO24" i="24"/>
  <c r="AP24" i="24"/>
  <c r="AQ24" i="24"/>
  <c r="AR24" i="24"/>
  <c r="AS24" i="24"/>
  <c r="AT24" i="24"/>
  <c r="AU24" i="24"/>
  <c r="BE24" i="24"/>
  <c r="BF24" i="24" s="1"/>
  <c r="BN24" i="24" s="1"/>
  <c r="BH24" i="24"/>
  <c r="BP24" i="24" s="1"/>
  <c r="AN25" i="24"/>
  <c r="AO25" i="24"/>
  <c r="AP25" i="24"/>
  <c r="AQ25" i="24"/>
  <c r="AR25" i="24"/>
  <c r="AS25" i="24"/>
  <c r="AT25" i="24"/>
  <c r="AU25" i="24"/>
  <c r="BE25" i="24"/>
  <c r="BH25" i="24"/>
  <c r="BI25" i="24" s="1"/>
  <c r="AN26" i="24"/>
  <c r="AO26" i="24"/>
  <c r="AP26" i="24"/>
  <c r="AQ26" i="24"/>
  <c r="AR26" i="24"/>
  <c r="AS26" i="24"/>
  <c r="AT26" i="24"/>
  <c r="AU26" i="24"/>
  <c r="BE26" i="24"/>
  <c r="BF26" i="24" s="1"/>
  <c r="BN26" i="24" s="1"/>
  <c r="BH26" i="24"/>
  <c r="AN27" i="24"/>
  <c r="AO27" i="24"/>
  <c r="AP27" i="24"/>
  <c r="AQ27" i="24"/>
  <c r="AR27" i="24"/>
  <c r="AS27" i="24"/>
  <c r="AT27" i="24"/>
  <c r="AU27" i="24"/>
  <c r="BE27" i="24"/>
  <c r="BM27" i="24" s="1"/>
  <c r="BH27" i="24"/>
  <c r="BI27" i="24" s="1"/>
  <c r="AN28" i="24"/>
  <c r="AO28" i="24"/>
  <c r="AP28" i="24"/>
  <c r="AQ28" i="24"/>
  <c r="AR28" i="24"/>
  <c r="AS28" i="24"/>
  <c r="AT28" i="24"/>
  <c r="AU28" i="24"/>
  <c r="BE28" i="24"/>
  <c r="BF28" i="24" s="1"/>
  <c r="BH28" i="24"/>
  <c r="BI28" i="24" s="1"/>
  <c r="AN29" i="24"/>
  <c r="AO29" i="24"/>
  <c r="AP29" i="24"/>
  <c r="AQ29" i="24"/>
  <c r="AR29" i="24"/>
  <c r="AS29" i="24"/>
  <c r="AT29" i="24"/>
  <c r="AU29" i="24"/>
  <c r="BE29" i="24"/>
  <c r="BF29" i="24" s="1"/>
  <c r="BH29" i="24"/>
  <c r="BI29" i="24" s="1"/>
  <c r="AN30" i="24"/>
  <c r="AO30" i="24"/>
  <c r="AP30" i="24"/>
  <c r="AQ30" i="24"/>
  <c r="AR30" i="24"/>
  <c r="AS30" i="24"/>
  <c r="AT30" i="24"/>
  <c r="AU30" i="24"/>
  <c r="BE30" i="24"/>
  <c r="BF30" i="24" s="1"/>
  <c r="BH30" i="24"/>
  <c r="AN31" i="24"/>
  <c r="AO31" i="24"/>
  <c r="AP31" i="24"/>
  <c r="AQ31" i="24"/>
  <c r="AR31" i="24"/>
  <c r="AS31" i="24"/>
  <c r="AT31" i="24"/>
  <c r="AU31" i="24"/>
  <c r="BE31" i="24"/>
  <c r="BM31" i="24" s="1"/>
  <c r="BH31" i="24"/>
  <c r="AN32" i="24"/>
  <c r="AO32" i="24"/>
  <c r="AP32" i="24"/>
  <c r="AQ32" i="24"/>
  <c r="AR32" i="24"/>
  <c r="AS32" i="24"/>
  <c r="AT32" i="24"/>
  <c r="AU32" i="24"/>
  <c r="BE32" i="24"/>
  <c r="BF32" i="24" s="1"/>
  <c r="BH32" i="24"/>
  <c r="AN33" i="24"/>
  <c r="AO33" i="24"/>
  <c r="AP33" i="24"/>
  <c r="AQ33" i="24"/>
  <c r="AR33" i="24"/>
  <c r="AS33" i="24"/>
  <c r="AT33" i="24"/>
  <c r="AU33" i="24"/>
  <c r="BE33" i="24"/>
  <c r="BF33" i="24" s="1"/>
  <c r="BH33" i="24"/>
  <c r="BI33" i="24" s="1"/>
  <c r="AN34" i="24"/>
  <c r="AO34" i="24"/>
  <c r="AP34" i="24"/>
  <c r="AQ34" i="24"/>
  <c r="AR34" i="24"/>
  <c r="AS34" i="24"/>
  <c r="AT34" i="24"/>
  <c r="AU34" i="24"/>
  <c r="BE34" i="24"/>
  <c r="BF34" i="24" s="1"/>
  <c r="BH34" i="24"/>
  <c r="BP34" i="24" s="1"/>
  <c r="AN35" i="24"/>
  <c r="AO35" i="24"/>
  <c r="AP35" i="24"/>
  <c r="AQ35" i="24"/>
  <c r="AR35" i="24"/>
  <c r="AS35" i="24"/>
  <c r="AT35" i="24"/>
  <c r="AU35" i="24"/>
  <c r="BE35" i="24"/>
  <c r="BF35" i="24" s="1"/>
  <c r="BH35" i="24"/>
  <c r="BI35" i="24" s="1"/>
  <c r="AN36" i="24"/>
  <c r="AO36" i="24"/>
  <c r="AP36" i="24"/>
  <c r="AQ36" i="24"/>
  <c r="AR36" i="24"/>
  <c r="AS36" i="24"/>
  <c r="AT36" i="24"/>
  <c r="AU36" i="24"/>
  <c r="BE36" i="24"/>
  <c r="BM36" i="24" s="1"/>
  <c r="BH36" i="24"/>
  <c r="BP36" i="24" s="1"/>
  <c r="AN37" i="24"/>
  <c r="AO37" i="24"/>
  <c r="AP37" i="24"/>
  <c r="AQ37" i="24"/>
  <c r="AR37" i="24"/>
  <c r="AS37" i="24"/>
  <c r="AT37" i="24"/>
  <c r="AU37" i="24"/>
  <c r="BE37" i="24"/>
  <c r="BM37" i="24" s="1"/>
  <c r="BH37" i="24"/>
  <c r="BI37" i="24" s="1"/>
  <c r="AN38" i="24"/>
  <c r="AO38" i="24"/>
  <c r="AP38" i="24"/>
  <c r="AQ38" i="24"/>
  <c r="AR38" i="24"/>
  <c r="AS38" i="24"/>
  <c r="AT38" i="24"/>
  <c r="AU38" i="24"/>
  <c r="BE38" i="24"/>
  <c r="BM38" i="24" s="1"/>
  <c r="BH38" i="24"/>
  <c r="AN39" i="24"/>
  <c r="AO39" i="24"/>
  <c r="AP39" i="24"/>
  <c r="AQ39" i="24"/>
  <c r="AR39" i="24"/>
  <c r="AS39" i="24"/>
  <c r="AT39" i="24"/>
  <c r="AU39" i="24"/>
  <c r="BE39" i="24"/>
  <c r="BM39" i="24" s="1"/>
  <c r="BH39" i="24"/>
  <c r="BI39" i="24" s="1"/>
  <c r="AN40" i="24"/>
  <c r="AO40" i="24"/>
  <c r="AP40" i="24"/>
  <c r="AQ40" i="24"/>
  <c r="AR40" i="24"/>
  <c r="AS40" i="24"/>
  <c r="AT40" i="24"/>
  <c r="AU40" i="24"/>
  <c r="BE40" i="24"/>
  <c r="BH40" i="24"/>
  <c r="BI40" i="24" s="1"/>
  <c r="AN41" i="24"/>
  <c r="AO41" i="24"/>
  <c r="AP41" i="24"/>
  <c r="AQ41" i="24"/>
  <c r="AR41" i="24"/>
  <c r="AS41" i="24"/>
  <c r="AT41" i="24"/>
  <c r="AU41" i="24"/>
  <c r="BE41" i="24"/>
  <c r="BM41" i="24" s="1"/>
  <c r="BH41" i="24"/>
  <c r="BI41" i="24" s="1"/>
  <c r="AN42" i="24"/>
  <c r="AO42" i="24"/>
  <c r="AP42" i="24"/>
  <c r="AQ42" i="24"/>
  <c r="AR42" i="24"/>
  <c r="AS42" i="24"/>
  <c r="AT42" i="24"/>
  <c r="AU42" i="24"/>
  <c r="BE42" i="24"/>
  <c r="BH42" i="24"/>
  <c r="BI42" i="24" s="1"/>
  <c r="AN43" i="24"/>
  <c r="AO43" i="24"/>
  <c r="AP43" i="24"/>
  <c r="AQ43" i="24"/>
  <c r="AR43" i="24"/>
  <c r="AS43" i="24"/>
  <c r="AT43" i="24"/>
  <c r="AU43" i="24"/>
  <c r="BE43" i="24"/>
  <c r="BF43" i="24" s="1"/>
  <c r="BH43" i="24"/>
  <c r="BP43" i="24" s="1"/>
  <c r="AN44" i="24"/>
  <c r="AO44" i="24"/>
  <c r="AP44" i="24"/>
  <c r="AQ44" i="24"/>
  <c r="AR44" i="24"/>
  <c r="AS44" i="24"/>
  <c r="AT44" i="24"/>
  <c r="AU44" i="24"/>
  <c r="BE44" i="24"/>
  <c r="BF44" i="24" s="1"/>
  <c r="BH44" i="24"/>
  <c r="BI44" i="24" s="1"/>
  <c r="AN45" i="24"/>
  <c r="AO45" i="24"/>
  <c r="AP45" i="24"/>
  <c r="AQ45" i="24"/>
  <c r="AR45" i="24"/>
  <c r="AS45" i="24"/>
  <c r="AT45" i="24"/>
  <c r="AU45" i="24"/>
  <c r="BE45" i="24"/>
  <c r="BH45" i="24"/>
  <c r="BP45" i="24" s="1"/>
  <c r="AN46" i="24"/>
  <c r="AO46" i="24"/>
  <c r="AP46" i="24"/>
  <c r="AQ46" i="24"/>
  <c r="AR46" i="24"/>
  <c r="AS46" i="24"/>
  <c r="AT46" i="24"/>
  <c r="AU46" i="24"/>
  <c r="BE46" i="24"/>
  <c r="BF46" i="24" s="1"/>
  <c r="BH46" i="24"/>
  <c r="BI46" i="24" s="1"/>
  <c r="AN47" i="24"/>
  <c r="AO47" i="24"/>
  <c r="AP47" i="24"/>
  <c r="AQ47" i="24"/>
  <c r="AR47" i="24"/>
  <c r="AS47" i="24"/>
  <c r="AT47" i="24"/>
  <c r="AU47" i="24"/>
  <c r="BE47" i="24"/>
  <c r="BM47" i="24" s="1"/>
  <c r="BH47" i="24"/>
  <c r="BP47" i="24" s="1"/>
  <c r="AN48" i="24"/>
  <c r="AO48" i="24"/>
  <c r="AP48" i="24"/>
  <c r="AQ48" i="24"/>
  <c r="AR48" i="24"/>
  <c r="AS48" i="24"/>
  <c r="AT48" i="24"/>
  <c r="AU48" i="24"/>
  <c r="BE48" i="24"/>
  <c r="BF48" i="24" s="1"/>
  <c r="BN48" i="24" s="1"/>
  <c r="BH48" i="24"/>
  <c r="BI48" i="24" s="1"/>
  <c r="AN49" i="24"/>
  <c r="AO49" i="24"/>
  <c r="AP49" i="24"/>
  <c r="AQ49" i="24"/>
  <c r="AR49" i="24"/>
  <c r="AS49" i="24"/>
  <c r="AT49" i="24"/>
  <c r="AU49" i="24"/>
  <c r="BE49" i="24"/>
  <c r="BF49" i="24" s="1"/>
  <c r="BN49" i="24" s="1"/>
  <c r="BH49" i="24"/>
  <c r="BP49" i="24" s="1"/>
  <c r="AN50" i="24"/>
  <c r="AO50" i="24"/>
  <c r="AP50" i="24"/>
  <c r="AQ50" i="24"/>
  <c r="AR50" i="24"/>
  <c r="AS50" i="24"/>
  <c r="AT50" i="24"/>
  <c r="AU50" i="24"/>
  <c r="BE50" i="24"/>
  <c r="BF50" i="24" s="1"/>
  <c r="BH50" i="24"/>
  <c r="BI50" i="24" s="1"/>
  <c r="AN51" i="24"/>
  <c r="AO51" i="24"/>
  <c r="AP51" i="24"/>
  <c r="AQ51" i="24"/>
  <c r="AR51" i="24"/>
  <c r="AS51" i="24"/>
  <c r="AT51" i="24"/>
  <c r="AU51" i="24"/>
  <c r="BE51" i="24"/>
  <c r="BF51" i="24" s="1"/>
  <c r="BH51" i="24"/>
  <c r="BI51" i="24" s="1"/>
  <c r="BQ51" i="24" s="1"/>
  <c r="AN52" i="24"/>
  <c r="AO52" i="24"/>
  <c r="AP52" i="24"/>
  <c r="AQ52" i="24"/>
  <c r="AR52" i="24"/>
  <c r="AS52" i="24"/>
  <c r="AT52" i="24"/>
  <c r="AU52" i="24"/>
  <c r="BE52" i="24"/>
  <c r="BH52" i="24"/>
  <c r="BI52" i="24" s="1"/>
  <c r="AN53" i="24"/>
  <c r="AO53" i="24"/>
  <c r="AP53" i="24"/>
  <c r="AQ53" i="24"/>
  <c r="AR53" i="24"/>
  <c r="AS53" i="24"/>
  <c r="AT53" i="24"/>
  <c r="AU53" i="24"/>
  <c r="BE53" i="24"/>
  <c r="BF53" i="24" s="1"/>
  <c r="BH53" i="24"/>
  <c r="BI53" i="24" s="1"/>
  <c r="BQ53" i="24" s="1"/>
  <c r="AN54" i="24"/>
  <c r="AO54" i="24"/>
  <c r="AP54" i="24"/>
  <c r="AQ54" i="24"/>
  <c r="AR54" i="24"/>
  <c r="AS54" i="24"/>
  <c r="AT54" i="24"/>
  <c r="AU54" i="24"/>
  <c r="BE54" i="24"/>
  <c r="BF54" i="24" s="1"/>
  <c r="BH54" i="24"/>
  <c r="BI54" i="24" s="1"/>
  <c r="BQ54" i="24" s="1"/>
  <c r="AN55" i="24"/>
  <c r="AO55" i="24"/>
  <c r="AP55" i="24"/>
  <c r="AQ55" i="24"/>
  <c r="AR55" i="24"/>
  <c r="AS55" i="24"/>
  <c r="AT55" i="24"/>
  <c r="AU55" i="24"/>
  <c r="BE55" i="24"/>
  <c r="BF55" i="24" s="1"/>
  <c r="BH55" i="24"/>
  <c r="AN56" i="24"/>
  <c r="AO56" i="24"/>
  <c r="AP56" i="24"/>
  <c r="AQ56" i="24"/>
  <c r="AR56" i="24"/>
  <c r="AS56" i="24"/>
  <c r="AT56" i="24"/>
  <c r="AU56" i="24"/>
  <c r="BE56" i="24"/>
  <c r="BM56" i="24" s="1"/>
  <c r="BH56" i="24"/>
  <c r="AN57" i="24"/>
  <c r="AO57" i="24"/>
  <c r="AP57" i="24"/>
  <c r="AQ57" i="24"/>
  <c r="AR57" i="24"/>
  <c r="AS57" i="24"/>
  <c r="AT57" i="24"/>
  <c r="AU57" i="24"/>
  <c r="BE57" i="24"/>
  <c r="BF57" i="24" s="1"/>
  <c r="BH57" i="24"/>
  <c r="BI57" i="24" s="1"/>
  <c r="BQ57" i="24" s="1"/>
  <c r="AN58" i="24"/>
  <c r="AO58" i="24"/>
  <c r="AP58" i="24"/>
  <c r="AQ58" i="24"/>
  <c r="AR58" i="24"/>
  <c r="AS58" i="24"/>
  <c r="AT58" i="24"/>
  <c r="AU58" i="24"/>
  <c r="BE58" i="24"/>
  <c r="BM58" i="24" s="1"/>
  <c r="BH58" i="24"/>
  <c r="BP58" i="24" s="1"/>
  <c r="AN59" i="24"/>
  <c r="AO59" i="24"/>
  <c r="AP59" i="24"/>
  <c r="AQ59" i="24"/>
  <c r="AR59" i="24"/>
  <c r="AS59" i="24"/>
  <c r="AT59" i="24"/>
  <c r="AU59" i="24"/>
  <c r="BE59" i="24"/>
  <c r="BH59" i="24"/>
  <c r="BP59" i="24" s="1"/>
  <c r="AN60" i="24"/>
  <c r="AO60" i="24"/>
  <c r="AP60" i="24"/>
  <c r="AQ60" i="24"/>
  <c r="AR60" i="24"/>
  <c r="AS60" i="24"/>
  <c r="AT60" i="24"/>
  <c r="AU60" i="24"/>
  <c r="BE60" i="24"/>
  <c r="BM60" i="24" s="1"/>
  <c r="BH60" i="24"/>
  <c r="AN61" i="24"/>
  <c r="AO61" i="24"/>
  <c r="AP61" i="24"/>
  <c r="AQ61" i="24"/>
  <c r="AR61" i="24"/>
  <c r="AS61" i="24"/>
  <c r="AT61" i="24"/>
  <c r="AU61" i="24"/>
  <c r="BE61" i="24"/>
  <c r="BF61" i="24" s="1"/>
  <c r="BH61" i="24"/>
  <c r="BI61" i="24" s="1"/>
  <c r="AN62" i="24"/>
  <c r="AO62" i="24"/>
  <c r="AP62" i="24"/>
  <c r="AQ62" i="24"/>
  <c r="AR62" i="24"/>
  <c r="AS62" i="24"/>
  <c r="AT62" i="24"/>
  <c r="AU62" i="24"/>
  <c r="BE62" i="24"/>
  <c r="BH62" i="24"/>
  <c r="BI62" i="24" s="1"/>
  <c r="AN63" i="24"/>
  <c r="AO63" i="24"/>
  <c r="AP63" i="24"/>
  <c r="AQ63" i="24"/>
  <c r="AR63" i="24"/>
  <c r="AS63" i="24"/>
  <c r="AT63" i="24"/>
  <c r="AU63" i="24"/>
  <c r="BE63" i="24"/>
  <c r="BF63" i="24" s="1"/>
  <c r="BH63" i="24"/>
  <c r="BI63" i="24" s="1"/>
  <c r="BJ63" i="24" s="1"/>
  <c r="AN64" i="24"/>
  <c r="AO64" i="24"/>
  <c r="AP64" i="24"/>
  <c r="AQ64" i="24"/>
  <c r="AR64" i="24"/>
  <c r="AS64" i="24"/>
  <c r="AT64" i="24"/>
  <c r="AU64" i="24"/>
  <c r="BE64" i="24"/>
  <c r="BM64" i="24" s="1"/>
  <c r="BH64" i="24"/>
  <c r="BI64" i="24" s="1"/>
  <c r="BJ64" i="24" s="1"/>
  <c r="AN65" i="24"/>
  <c r="AO65" i="24"/>
  <c r="AP65" i="24"/>
  <c r="AQ65" i="24"/>
  <c r="AR65" i="24"/>
  <c r="AS65" i="24"/>
  <c r="AT65" i="24"/>
  <c r="AU65" i="24"/>
  <c r="BE65" i="24"/>
  <c r="BF65" i="24" s="1"/>
  <c r="BH65" i="24"/>
  <c r="BI65" i="24" s="1"/>
  <c r="AN66" i="24"/>
  <c r="AO66" i="24"/>
  <c r="AP66" i="24"/>
  <c r="AQ66" i="24"/>
  <c r="AR66" i="24"/>
  <c r="AS66" i="24"/>
  <c r="AT66" i="24"/>
  <c r="AU66" i="24"/>
  <c r="BE66" i="24"/>
  <c r="BM66" i="24" s="1"/>
  <c r="BH66" i="24"/>
  <c r="BP66" i="24" s="1"/>
  <c r="AN67" i="24"/>
  <c r="AO67" i="24"/>
  <c r="AP67" i="24"/>
  <c r="AQ67" i="24"/>
  <c r="AR67" i="24"/>
  <c r="AS67" i="24"/>
  <c r="AT67" i="24"/>
  <c r="AU67" i="24"/>
  <c r="BE67" i="24"/>
  <c r="BF67" i="24" s="1"/>
  <c r="BH67" i="24"/>
  <c r="BI67" i="24" s="1"/>
  <c r="BJ67" i="24" s="1"/>
  <c r="AN68" i="24"/>
  <c r="AO68" i="24"/>
  <c r="AP68" i="24"/>
  <c r="AQ68" i="24"/>
  <c r="AR68" i="24"/>
  <c r="AS68" i="24"/>
  <c r="AT68" i="24"/>
  <c r="AU68" i="24"/>
  <c r="BE68" i="24"/>
  <c r="BH68" i="24"/>
  <c r="BI68" i="24" s="1"/>
  <c r="AN69" i="24"/>
  <c r="AO69" i="24"/>
  <c r="AP69" i="24"/>
  <c r="AQ69" i="24"/>
  <c r="AR69" i="24"/>
  <c r="AS69" i="24"/>
  <c r="AT69" i="24"/>
  <c r="AU69" i="24"/>
  <c r="BE69" i="24"/>
  <c r="BF69" i="24" s="1"/>
  <c r="BH69" i="24"/>
  <c r="BI69" i="24" s="1"/>
  <c r="AN70" i="24"/>
  <c r="AO70" i="24"/>
  <c r="AP70" i="24"/>
  <c r="AQ70" i="24"/>
  <c r="AR70" i="24"/>
  <c r="AS70" i="24"/>
  <c r="AT70" i="24"/>
  <c r="AU70" i="24"/>
  <c r="BE70" i="24"/>
  <c r="BH70" i="24"/>
  <c r="BI70" i="24" s="1"/>
  <c r="BJ70" i="24" s="1"/>
  <c r="AN71" i="24"/>
  <c r="AO71" i="24"/>
  <c r="AP71" i="24"/>
  <c r="AQ71" i="24"/>
  <c r="AR71" i="24"/>
  <c r="AS71" i="24"/>
  <c r="AT71" i="24"/>
  <c r="AU71" i="24"/>
  <c r="BE71" i="24"/>
  <c r="BF71" i="24" s="1"/>
  <c r="BH71" i="24"/>
  <c r="BP71" i="24" s="1"/>
  <c r="AN72" i="24"/>
  <c r="AO72" i="24"/>
  <c r="AP72" i="24"/>
  <c r="AQ72" i="24"/>
  <c r="AR72" i="24"/>
  <c r="AS72" i="24"/>
  <c r="AT72" i="24"/>
  <c r="AU72" i="24"/>
  <c r="BE72" i="24"/>
  <c r="BF72" i="24" s="1"/>
  <c r="BH72" i="24"/>
  <c r="AN73" i="24"/>
  <c r="AO73" i="24"/>
  <c r="AP73" i="24"/>
  <c r="AQ73" i="24"/>
  <c r="AR73" i="24"/>
  <c r="AS73" i="24"/>
  <c r="AT73" i="24"/>
  <c r="AU73" i="24"/>
  <c r="BE73" i="24"/>
  <c r="BH73" i="24"/>
  <c r="BI73" i="24" s="1"/>
  <c r="AN74" i="24"/>
  <c r="AO74" i="24"/>
  <c r="AP74" i="24"/>
  <c r="AQ74" i="24"/>
  <c r="AR74" i="24"/>
  <c r="AS74" i="24"/>
  <c r="AT74" i="24"/>
  <c r="AU74" i="24"/>
  <c r="BE74" i="24"/>
  <c r="BM74" i="24" s="1"/>
  <c r="BH74" i="24"/>
  <c r="BP74" i="24" s="1"/>
  <c r="AN75" i="24"/>
  <c r="AO75" i="24"/>
  <c r="AP75" i="24"/>
  <c r="AQ75" i="24"/>
  <c r="AR75" i="24"/>
  <c r="AS75" i="24"/>
  <c r="AT75" i="24"/>
  <c r="AU75" i="24"/>
  <c r="BE75" i="24"/>
  <c r="BF75" i="24" s="1"/>
  <c r="BN75" i="24" s="1"/>
  <c r="BH75" i="24"/>
  <c r="BI75" i="24" s="1"/>
  <c r="AN76" i="24"/>
  <c r="AO76" i="24"/>
  <c r="AP76" i="24"/>
  <c r="AQ76" i="24"/>
  <c r="AR76" i="24"/>
  <c r="AS76" i="24"/>
  <c r="AT76" i="24"/>
  <c r="AU76" i="24"/>
  <c r="BE76" i="24"/>
  <c r="BM76" i="24" s="1"/>
  <c r="BH76" i="24"/>
  <c r="BP76" i="24" s="1"/>
  <c r="AN77" i="24"/>
  <c r="AO77" i="24"/>
  <c r="AP77" i="24"/>
  <c r="AQ77" i="24"/>
  <c r="AR77" i="24"/>
  <c r="AS77" i="24"/>
  <c r="AT77" i="24"/>
  <c r="AU77" i="24"/>
  <c r="BE77" i="24"/>
  <c r="BF77" i="24" s="1"/>
  <c r="BN77" i="24" s="1"/>
  <c r="BH77" i="24"/>
  <c r="BP77" i="24" s="1"/>
  <c r="AN78" i="24"/>
  <c r="AO78" i="24"/>
  <c r="AP78" i="24"/>
  <c r="AQ78" i="24"/>
  <c r="AR78" i="24"/>
  <c r="AS78" i="24"/>
  <c r="AT78" i="24"/>
  <c r="AU78" i="24"/>
  <c r="BE78" i="24"/>
  <c r="BM78" i="24" s="1"/>
  <c r="BH78" i="24"/>
  <c r="BP78" i="24" s="1"/>
  <c r="AN79" i="24"/>
  <c r="AO79" i="24"/>
  <c r="AP79" i="24"/>
  <c r="AQ79" i="24"/>
  <c r="AR79" i="24"/>
  <c r="AS79" i="24"/>
  <c r="AT79" i="24"/>
  <c r="AU79" i="24"/>
  <c r="BE79" i="24"/>
  <c r="BF79" i="24" s="1"/>
  <c r="BH79" i="24"/>
  <c r="BI79" i="24" s="1"/>
  <c r="AN80" i="24"/>
  <c r="AO80" i="24"/>
  <c r="AP80" i="24"/>
  <c r="AQ80" i="24"/>
  <c r="AR80" i="24"/>
  <c r="AS80" i="24"/>
  <c r="AT80" i="24"/>
  <c r="AU80" i="24"/>
  <c r="BE80" i="24"/>
  <c r="BF80" i="24" s="1"/>
  <c r="BN80" i="24" s="1"/>
  <c r="BH80" i="24"/>
  <c r="BP80" i="24" s="1"/>
  <c r="AN81" i="24"/>
  <c r="AO81" i="24"/>
  <c r="AP81" i="24"/>
  <c r="AQ81" i="24"/>
  <c r="AR81" i="24"/>
  <c r="AS81" i="24"/>
  <c r="AT81" i="24"/>
  <c r="AU81" i="24"/>
  <c r="BE81" i="24"/>
  <c r="BF81" i="24" s="1"/>
  <c r="BH81" i="24"/>
  <c r="BI81" i="24" s="1"/>
  <c r="AN82" i="24"/>
  <c r="AO82" i="24"/>
  <c r="AP82" i="24"/>
  <c r="AQ82" i="24"/>
  <c r="AR82" i="24"/>
  <c r="AS82" i="24"/>
  <c r="AT82" i="24"/>
  <c r="AU82" i="24"/>
  <c r="BE82" i="24"/>
  <c r="BM82" i="24" s="1"/>
  <c r="BH82" i="24"/>
  <c r="BP82" i="24" s="1"/>
  <c r="AN83" i="24"/>
  <c r="AO83" i="24"/>
  <c r="AP83" i="24"/>
  <c r="AQ83" i="24"/>
  <c r="AR83" i="24"/>
  <c r="AS83" i="24"/>
  <c r="AT83" i="24"/>
  <c r="AU83" i="24"/>
  <c r="BE83" i="24"/>
  <c r="BF83" i="24" s="1"/>
  <c r="BH83" i="24"/>
  <c r="BI83" i="24" s="1"/>
  <c r="AN84" i="24"/>
  <c r="AO84" i="24"/>
  <c r="AP84" i="24"/>
  <c r="AQ84" i="24"/>
  <c r="AR84" i="24"/>
  <c r="AS84" i="24"/>
  <c r="AT84" i="24"/>
  <c r="AU84" i="24"/>
  <c r="BE84" i="24"/>
  <c r="BM84" i="24" s="1"/>
  <c r="BH84" i="24"/>
  <c r="BP84" i="24" s="1"/>
  <c r="AN85" i="24"/>
  <c r="AO85" i="24"/>
  <c r="AP85" i="24"/>
  <c r="AQ85" i="24"/>
  <c r="AR85" i="24"/>
  <c r="AS85" i="24"/>
  <c r="AT85" i="24"/>
  <c r="AU85" i="24"/>
  <c r="BE85" i="24"/>
  <c r="BF85" i="24" s="1"/>
  <c r="BH85" i="24"/>
  <c r="BI85" i="24" s="1"/>
  <c r="AN86" i="24"/>
  <c r="AO86" i="24"/>
  <c r="AP86" i="24"/>
  <c r="AQ86" i="24"/>
  <c r="AR86" i="24"/>
  <c r="AS86" i="24"/>
  <c r="AT86" i="24"/>
  <c r="AU86" i="24"/>
  <c r="BE86" i="24"/>
  <c r="BM86" i="24" s="1"/>
  <c r="BH86" i="24"/>
  <c r="BI86" i="24" s="1"/>
  <c r="BJ86" i="24" s="1"/>
  <c r="AN87" i="24"/>
  <c r="AO87" i="24"/>
  <c r="AP87" i="24"/>
  <c r="AQ87" i="24"/>
  <c r="AR87" i="24"/>
  <c r="AS87" i="24"/>
  <c r="AT87" i="24"/>
  <c r="AU87" i="24"/>
  <c r="BE87" i="24"/>
  <c r="BF87" i="24" s="1"/>
  <c r="BH87" i="24"/>
  <c r="BI87" i="24" s="1"/>
  <c r="AN88" i="24"/>
  <c r="AO88" i="24"/>
  <c r="AP88" i="24"/>
  <c r="AQ88" i="24"/>
  <c r="AR88" i="24"/>
  <c r="AS88" i="24"/>
  <c r="AT88" i="24"/>
  <c r="AU88" i="24"/>
  <c r="BE88" i="24"/>
  <c r="BF88" i="24" s="1"/>
  <c r="BH88" i="24"/>
  <c r="AN89" i="24"/>
  <c r="AO89" i="24"/>
  <c r="AP89" i="24"/>
  <c r="AQ89" i="24"/>
  <c r="AR89" i="24"/>
  <c r="AS89" i="24"/>
  <c r="AT89" i="24"/>
  <c r="AU89" i="24"/>
  <c r="BE89" i="24"/>
  <c r="BF89" i="24" s="1"/>
  <c r="BH89" i="24"/>
  <c r="BI89" i="24" s="1"/>
  <c r="AN90" i="24"/>
  <c r="AO90" i="24"/>
  <c r="AP90" i="24"/>
  <c r="AQ90" i="24"/>
  <c r="AR90" i="24"/>
  <c r="AS90" i="24"/>
  <c r="AT90" i="24"/>
  <c r="AU90" i="24"/>
  <c r="BE90" i="24"/>
  <c r="BF90" i="24" s="1"/>
  <c r="BH90" i="24"/>
  <c r="BP90" i="24" s="1"/>
  <c r="AN91" i="24"/>
  <c r="AO91" i="24"/>
  <c r="AP91" i="24"/>
  <c r="AQ91" i="24"/>
  <c r="AR91" i="24"/>
  <c r="AS91" i="24"/>
  <c r="AT91" i="24"/>
  <c r="AU91" i="24"/>
  <c r="BE91" i="24"/>
  <c r="BF91" i="24" s="1"/>
  <c r="BH91" i="24"/>
  <c r="AN92" i="24"/>
  <c r="AO92" i="24"/>
  <c r="AP92" i="24"/>
  <c r="AQ92" i="24"/>
  <c r="AR92" i="24"/>
  <c r="AS92" i="24"/>
  <c r="AT92" i="24"/>
  <c r="AU92" i="24"/>
  <c r="BE92" i="24"/>
  <c r="BM92" i="24" s="1"/>
  <c r="BH92" i="24"/>
  <c r="AN93" i="24"/>
  <c r="AO93" i="24"/>
  <c r="AP93" i="24"/>
  <c r="AQ93" i="24"/>
  <c r="AR93" i="24"/>
  <c r="AS93" i="24"/>
  <c r="AT93" i="24"/>
  <c r="AU93" i="24"/>
  <c r="BE93" i="24"/>
  <c r="BF93" i="24" s="1"/>
  <c r="BH93" i="24"/>
  <c r="BI93" i="24" s="1"/>
  <c r="AN94" i="24"/>
  <c r="AO94" i="24"/>
  <c r="AP94" i="24"/>
  <c r="AQ94" i="24"/>
  <c r="AR94" i="24"/>
  <c r="AS94" i="24"/>
  <c r="AT94" i="24"/>
  <c r="AU94" i="24"/>
  <c r="BE94" i="24"/>
  <c r="BM94" i="24" s="1"/>
  <c r="BH94" i="24"/>
  <c r="BP94" i="24" s="1"/>
  <c r="AN95" i="24"/>
  <c r="AO95" i="24"/>
  <c r="AP95" i="24"/>
  <c r="AQ95" i="24"/>
  <c r="AR95" i="24"/>
  <c r="AS95" i="24"/>
  <c r="AT95" i="24"/>
  <c r="AU95" i="24"/>
  <c r="BE95" i="24"/>
  <c r="BF95" i="24" s="1"/>
  <c r="BH95" i="24"/>
  <c r="BI95" i="24" s="1"/>
  <c r="AN96" i="24"/>
  <c r="AO96" i="24"/>
  <c r="AP96" i="24"/>
  <c r="AQ96" i="24"/>
  <c r="AR96" i="24"/>
  <c r="AS96" i="24"/>
  <c r="AT96" i="24"/>
  <c r="AU96" i="24"/>
  <c r="BE96" i="24"/>
  <c r="BF96" i="24" s="1"/>
  <c r="BH96" i="24"/>
  <c r="BP96" i="24" s="1"/>
  <c r="AN97" i="24"/>
  <c r="AO97" i="24"/>
  <c r="AP97" i="24"/>
  <c r="AQ97" i="24"/>
  <c r="AR97" i="24"/>
  <c r="AS97" i="24"/>
  <c r="AT97" i="24"/>
  <c r="AU97" i="24"/>
  <c r="BE97" i="24"/>
  <c r="BF97" i="24" s="1"/>
  <c r="BH97" i="24"/>
  <c r="BI97" i="24" s="1"/>
  <c r="AN98" i="24"/>
  <c r="AO98" i="24"/>
  <c r="AP98" i="24"/>
  <c r="AQ98" i="24"/>
  <c r="AR98" i="24"/>
  <c r="AS98" i="24"/>
  <c r="AT98" i="24"/>
  <c r="AU98" i="24"/>
  <c r="BE98" i="24"/>
  <c r="BF98" i="24" s="1"/>
  <c r="BH98" i="24"/>
  <c r="BP98" i="24" s="1"/>
  <c r="AN99" i="24"/>
  <c r="AO99" i="24"/>
  <c r="AP99" i="24"/>
  <c r="AQ99" i="24"/>
  <c r="AR99" i="24"/>
  <c r="AS99" i="24"/>
  <c r="AT99" i="24"/>
  <c r="AU99" i="24"/>
  <c r="BE99" i="24"/>
  <c r="BH99" i="24"/>
  <c r="BI99" i="24" s="1"/>
  <c r="BQ99" i="24" s="1"/>
  <c r="AN100" i="24"/>
  <c r="AO100" i="24"/>
  <c r="AP100" i="24"/>
  <c r="AQ100" i="24"/>
  <c r="AR100" i="24"/>
  <c r="AS100" i="24"/>
  <c r="AT100" i="24"/>
  <c r="AU100" i="24"/>
  <c r="BE100" i="24"/>
  <c r="BF100" i="24" s="1"/>
  <c r="BH100" i="24"/>
  <c r="BP100" i="24" s="1"/>
  <c r="AN101" i="24"/>
  <c r="AO101" i="24"/>
  <c r="AP101" i="24"/>
  <c r="AQ101" i="24"/>
  <c r="AR101" i="24"/>
  <c r="AS101" i="24"/>
  <c r="AT101" i="24"/>
  <c r="AU101" i="24"/>
  <c r="BE101" i="24"/>
  <c r="BF101" i="24" s="1"/>
  <c r="BG101" i="24" s="1"/>
  <c r="BO101" i="24" s="1"/>
  <c r="BH101" i="24"/>
  <c r="BI101" i="24" s="1"/>
  <c r="BQ101" i="24" s="1"/>
  <c r="AN102" i="24"/>
  <c r="AO102" i="24"/>
  <c r="AP102" i="24"/>
  <c r="AQ102" i="24"/>
  <c r="AR102" i="24"/>
  <c r="AS102" i="24"/>
  <c r="AT102" i="24"/>
  <c r="AU102" i="24"/>
  <c r="BE102" i="24"/>
  <c r="BM102" i="24" s="1"/>
  <c r="BH102" i="24"/>
  <c r="AN103" i="24"/>
  <c r="AO103" i="24"/>
  <c r="AP103" i="24"/>
  <c r="AQ103" i="24"/>
  <c r="AR103" i="24"/>
  <c r="AS103" i="24"/>
  <c r="AT103" i="24"/>
  <c r="AU103" i="24"/>
  <c r="BE103" i="24"/>
  <c r="BM103" i="24" s="1"/>
  <c r="BH103" i="24"/>
  <c r="BI103" i="24" s="1"/>
  <c r="BQ103" i="24" s="1"/>
  <c r="AN104" i="24"/>
  <c r="AO104" i="24"/>
  <c r="AP104" i="24"/>
  <c r="AQ104" i="24"/>
  <c r="AR104" i="24"/>
  <c r="AS104" i="24"/>
  <c r="AT104" i="24"/>
  <c r="AU104" i="24"/>
  <c r="BE104" i="24"/>
  <c r="BF104" i="24" s="1"/>
  <c r="BN104" i="24" s="1"/>
  <c r="BH104" i="24"/>
  <c r="BP104" i="24" s="1"/>
  <c r="AN105" i="24"/>
  <c r="AO105" i="24"/>
  <c r="AP105" i="24"/>
  <c r="AQ105" i="24"/>
  <c r="AR105" i="24"/>
  <c r="AS105" i="24"/>
  <c r="AT105" i="24"/>
  <c r="AU105" i="24"/>
  <c r="BE105" i="24"/>
  <c r="BM105" i="24" s="1"/>
  <c r="BH105" i="24"/>
  <c r="BI105" i="24" s="1"/>
  <c r="BQ105" i="24" s="1"/>
  <c r="AN106" i="24"/>
  <c r="AO106" i="24"/>
  <c r="AP106" i="24"/>
  <c r="AQ106" i="24"/>
  <c r="AR106" i="24"/>
  <c r="AS106" i="24"/>
  <c r="AT106" i="24"/>
  <c r="AU106" i="24"/>
  <c r="BE106" i="24"/>
  <c r="BF106" i="24" s="1"/>
  <c r="BH106" i="24"/>
  <c r="BP106" i="24" s="1"/>
  <c r="AN107" i="24"/>
  <c r="AO107" i="24"/>
  <c r="AP107" i="24"/>
  <c r="AQ107" i="24"/>
  <c r="AR107" i="24"/>
  <c r="AS107" i="24"/>
  <c r="AT107" i="24"/>
  <c r="AU107" i="24"/>
  <c r="BE107" i="24"/>
  <c r="BM107" i="24" s="1"/>
  <c r="BH107" i="24"/>
  <c r="BI107" i="24" s="1"/>
  <c r="BQ107" i="24" s="1"/>
  <c r="AN108" i="24"/>
  <c r="AO108" i="24"/>
  <c r="AP108" i="24"/>
  <c r="AQ108" i="24"/>
  <c r="AR108" i="24"/>
  <c r="AS108" i="24"/>
  <c r="AT108" i="24"/>
  <c r="AU108" i="24"/>
  <c r="BE108" i="24"/>
  <c r="BF108" i="24" s="1"/>
  <c r="BN108" i="24" s="1"/>
  <c r="BH108" i="24"/>
  <c r="BP108" i="24" s="1"/>
  <c r="AN109" i="24"/>
  <c r="AO109" i="24"/>
  <c r="AP109" i="24"/>
  <c r="AQ109" i="24"/>
  <c r="AR109" i="24"/>
  <c r="AS109" i="24"/>
  <c r="AT109" i="24"/>
  <c r="AU109" i="24"/>
  <c r="BE109" i="24"/>
  <c r="BF109" i="24" s="1"/>
  <c r="BH109" i="24"/>
  <c r="BI109" i="24" s="1"/>
  <c r="BQ109" i="24" s="1"/>
  <c r="AN110" i="24"/>
  <c r="AO110" i="24"/>
  <c r="AP110" i="24"/>
  <c r="AQ110" i="24"/>
  <c r="AR110" i="24"/>
  <c r="AS110" i="24"/>
  <c r="AT110" i="24"/>
  <c r="AU110" i="24"/>
  <c r="BE110" i="24"/>
  <c r="BF110" i="24" s="1"/>
  <c r="BH110" i="24"/>
  <c r="BI110" i="24" s="1"/>
  <c r="CE110" i="24"/>
  <c r="CF110" i="24"/>
  <c r="CG110" i="24"/>
  <c r="CH110" i="24"/>
  <c r="CI110" i="24"/>
  <c r="CJ110" i="24"/>
  <c r="CK110" i="24"/>
  <c r="CL110" i="24"/>
  <c r="AN111" i="24"/>
  <c r="AO111" i="24"/>
  <c r="AP111" i="24"/>
  <c r="AQ111" i="24"/>
  <c r="AR111" i="24"/>
  <c r="AS111" i="24"/>
  <c r="AT111" i="24"/>
  <c r="AU111" i="24"/>
  <c r="BE111" i="24"/>
  <c r="BF111" i="24" s="1"/>
  <c r="BH111" i="24"/>
  <c r="BI111" i="24" s="1"/>
  <c r="CE111" i="24"/>
  <c r="CF111" i="24"/>
  <c r="CG111" i="24"/>
  <c r="CH111" i="24"/>
  <c r="CI111" i="24"/>
  <c r="CJ111" i="24"/>
  <c r="CK111" i="24"/>
  <c r="CL111" i="24"/>
  <c r="AN112" i="24"/>
  <c r="AO112" i="24"/>
  <c r="AP112" i="24"/>
  <c r="AQ112" i="24"/>
  <c r="AR112" i="24"/>
  <c r="AS112" i="24"/>
  <c r="AT112" i="24"/>
  <c r="AU112" i="24"/>
  <c r="BE112" i="24"/>
  <c r="BF112" i="24" s="1"/>
  <c r="BH112" i="24"/>
  <c r="BI112" i="24" s="1"/>
  <c r="CE112" i="24"/>
  <c r="CF112" i="24"/>
  <c r="CG112" i="24"/>
  <c r="CH112" i="24"/>
  <c r="CI112" i="24"/>
  <c r="CJ112" i="24"/>
  <c r="CK112" i="24"/>
  <c r="CL112" i="24"/>
  <c r="AN113" i="24"/>
  <c r="AO113" i="24"/>
  <c r="AP113" i="24"/>
  <c r="AQ113" i="24"/>
  <c r="AR113" i="24"/>
  <c r="AS113" i="24"/>
  <c r="AT113" i="24"/>
  <c r="AU113" i="24"/>
  <c r="BE113" i="24"/>
  <c r="BM113" i="24" s="1"/>
  <c r="BH113" i="24"/>
  <c r="BI113" i="24" s="1"/>
  <c r="CE113" i="24"/>
  <c r="CF113" i="24"/>
  <c r="CG113" i="24"/>
  <c r="CH113" i="24"/>
  <c r="CI113" i="24"/>
  <c r="CJ113" i="24"/>
  <c r="CK113" i="24"/>
  <c r="CL113" i="24"/>
  <c r="AN114" i="24"/>
  <c r="AO114" i="24"/>
  <c r="AP114" i="24"/>
  <c r="AQ114" i="24"/>
  <c r="AR114" i="24"/>
  <c r="AS114" i="24"/>
  <c r="AT114" i="24"/>
  <c r="AU114" i="24"/>
  <c r="BE114" i="24"/>
  <c r="BF114" i="24" s="1"/>
  <c r="BH114" i="24"/>
  <c r="BI114" i="24" s="1"/>
  <c r="CE114" i="24"/>
  <c r="CF114" i="24"/>
  <c r="CG114" i="24"/>
  <c r="CH114" i="24"/>
  <c r="CI114" i="24"/>
  <c r="CJ114" i="24"/>
  <c r="CK114" i="24"/>
  <c r="CL114" i="24"/>
  <c r="AN115" i="24"/>
  <c r="AO115" i="24"/>
  <c r="AP115" i="24"/>
  <c r="AQ115" i="24"/>
  <c r="AR115" i="24"/>
  <c r="AS115" i="24"/>
  <c r="AT115" i="24"/>
  <c r="AU115" i="24"/>
  <c r="BE115" i="24"/>
  <c r="BF115" i="24" s="1"/>
  <c r="BH115" i="24"/>
  <c r="BI115" i="24" s="1"/>
  <c r="CE115" i="24"/>
  <c r="CF115" i="24"/>
  <c r="CG115" i="24"/>
  <c r="CH115" i="24"/>
  <c r="CI115" i="24"/>
  <c r="CJ115" i="24"/>
  <c r="CK115" i="24"/>
  <c r="CL115" i="24"/>
  <c r="AN116" i="24"/>
  <c r="AO116" i="24"/>
  <c r="AP116" i="24"/>
  <c r="AQ116" i="24"/>
  <c r="AR116" i="24"/>
  <c r="AS116" i="24"/>
  <c r="AT116" i="24"/>
  <c r="AU116" i="24"/>
  <c r="BE116" i="24"/>
  <c r="BF116" i="24" s="1"/>
  <c r="BH116" i="24"/>
  <c r="BI116" i="24" s="1"/>
  <c r="CE116" i="24"/>
  <c r="CF116" i="24"/>
  <c r="CG116" i="24"/>
  <c r="CH116" i="24"/>
  <c r="CI116" i="24"/>
  <c r="CJ116" i="24"/>
  <c r="CK116" i="24"/>
  <c r="CL116" i="24"/>
  <c r="AN117" i="24"/>
  <c r="AO117" i="24"/>
  <c r="AP117" i="24"/>
  <c r="AQ117" i="24"/>
  <c r="AR117" i="24"/>
  <c r="AS117" i="24"/>
  <c r="AT117" i="24"/>
  <c r="AU117" i="24"/>
  <c r="BE117" i="24"/>
  <c r="BF117" i="24" s="1"/>
  <c r="BH117" i="24"/>
  <c r="BI117" i="24" s="1"/>
  <c r="CE117" i="24"/>
  <c r="CF117" i="24"/>
  <c r="CG117" i="24"/>
  <c r="CH117" i="24"/>
  <c r="CI117" i="24"/>
  <c r="CJ117" i="24"/>
  <c r="CK117" i="24"/>
  <c r="CL117" i="24"/>
  <c r="AN118" i="24"/>
  <c r="AO118" i="24"/>
  <c r="AP118" i="24"/>
  <c r="AQ118" i="24"/>
  <c r="AR118" i="24"/>
  <c r="AS118" i="24"/>
  <c r="AT118" i="24"/>
  <c r="AU118" i="24"/>
  <c r="BE118" i="24"/>
  <c r="BF118" i="24" s="1"/>
  <c r="BH118" i="24"/>
  <c r="BI118" i="24" s="1"/>
  <c r="CE118" i="24"/>
  <c r="CF118" i="24"/>
  <c r="CG118" i="24"/>
  <c r="CH118" i="24"/>
  <c r="CI118" i="24"/>
  <c r="CJ118" i="24"/>
  <c r="CK118" i="24"/>
  <c r="CL118" i="24"/>
  <c r="AN119" i="24"/>
  <c r="AO119" i="24"/>
  <c r="AP119" i="24"/>
  <c r="AQ119" i="24"/>
  <c r="AR119" i="24"/>
  <c r="AS119" i="24"/>
  <c r="AT119" i="24"/>
  <c r="AU119" i="24"/>
  <c r="BE119" i="24"/>
  <c r="BF119" i="24" s="1"/>
  <c r="BG119" i="24" s="1"/>
  <c r="BO119" i="24" s="1"/>
  <c r="BH119" i="24"/>
  <c r="BI119" i="24" s="1"/>
  <c r="AN120" i="24"/>
  <c r="AO120" i="24"/>
  <c r="AP120" i="24"/>
  <c r="AQ120" i="24"/>
  <c r="AR120" i="24"/>
  <c r="AS120" i="24"/>
  <c r="AT120" i="24"/>
  <c r="AU120" i="24"/>
  <c r="BE120" i="24"/>
  <c r="BF120" i="24" s="1"/>
  <c r="BH120" i="24"/>
  <c r="BI120" i="24" s="1"/>
  <c r="AN121" i="24"/>
  <c r="AO121" i="24"/>
  <c r="AP121" i="24"/>
  <c r="AQ121" i="24"/>
  <c r="AR121" i="24"/>
  <c r="AS121" i="24"/>
  <c r="AT121" i="24"/>
  <c r="AU121" i="24"/>
  <c r="BE121" i="24"/>
  <c r="BM121" i="24" s="1"/>
  <c r="BH121" i="24"/>
  <c r="BI121" i="24" s="1"/>
  <c r="AN122" i="24"/>
  <c r="AO122" i="24"/>
  <c r="AP122" i="24"/>
  <c r="AQ122" i="24"/>
  <c r="AR122" i="24"/>
  <c r="AS122" i="24"/>
  <c r="AT122" i="24"/>
  <c r="AU122" i="24"/>
  <c r="BE122" i="24"/>
  <c r="BF122" i="24" s="1"/>
  <c r="BH122" i="24"/>
  <c r="BI122" i="24" s="1"/>
  <c r="AN123" i="24"/>
  <c r="AO123" i="24"/>
  <c r="AP123" i="24"/>
  <c r="AQ123" i="24"/>
  <c r="AR123" i="24"/>
  <c r="AS123" i="24"/>
  <c r="AT123" i="24"/>
  <c r="AU123" i="24"/>
  <c r="BE123" i="24"/>
  <c r="BM123" i="24" s="1"/>
  <c r="BH123" i="24"/>
  <c r="BI123" i="24" s="1"/>
  <c r="AN124" i="24"/>
  <c r="AO124" i="24"/>
  <c r="AP124" i="24"/>
  <c r="AQ124" i="24"/>
  <c r="AR124" i="24"/>
  <c r="AS124" i="24"/>
  <c r="AT124" i="24"/>
  <c r="AU124" i="24"/>
  <c r="BE124" i="24"/>
  <c r="BF124" i="24" s="1"/>
  <c r="BH124" i="24"/>
  <c r="BI124" i="24" s="1"/>
  <c r="AN125" i="24"/>
  <c r="AO125" i="24"/>
  <c r="AP125" i="24"/>
  <c r="AQ125" i="24"/>
  <c r="AR125" i="24"/>
  <c r="AS125" i="24"/>
  <c r="AT125" i="24"/>
  <c r="AU125" i="24"/>
  <c r="BE125" i="24"/>
  <c r="BF125" i="24" s="1"/>
  <c r="BH125" i="24"/>
  <c r="BI125" i="24" s="1"/>
  <c r="AN126" i="24"/>
  <c r="AO126" i="24"/>
  <c r="AP126" i="24"/>
  <c r="AQ126" i="24"/>
  <c r="AR126" i="24"/>
  <c r="AS126" i="24"/>
  <c r="AT126" i="24"/>
  <c r="AU126" i="24"/>
  <c r="BE126" i="24"/>
  <c r="BF126" i="24" s="1"/>
  <c r="BH126" i="24"/>
  <c r="BI126" i="24" s="1"/>
  <c r="AN127" i="24"/>
  <c r="AO127" i="24"/>
  <c r="AP127" i="24"/>
  <c r="AQ127" i="24"/>
  <c r="AR127" i="24"/>
  <c r="AS127" i="24"/>
  <c r="AT127" i="24"/>
  <c r="AU127" i="24"/>
  <c r="BE127" i="24"/>
  <c r="BF127" i="24" s="1"/>
  <c r="BH127" i="24"/>
  <c r="BP127" i="24" s="1"/>
  <c r="AN128" i="24"/>
  <c r="AO128" i="24"/>
  <c r="AP128" i="24"/>
  <c r="AQ128" i="24"/>
  <c r="AR128" i="24"/>
  <c r="AS128" i="24"/>
  <c r="AT128" i="24"/>
  <c r="AU128" i="24"/>
  <c r="BE128" i="24"/>
  <c r="BF128" i="24" s="1"/>
  <c r="BH128" i="24"/>
  <c r="BI128" i="24" s="1"/>
  <c r="AN129" i="24"/>
  <c r="AO129" i="24"/>
  <c r="AP129" i="24"/>
  <c r="AQ129" i="24"/>
  <c r="AR129" i="24"/>
  <c r="AS129" i="24"/>
  <c r="AT129" i="24"/>
  <c r="AU129" i="24"/>
  <c r="BE129" i="24"/>
  <c r="BM129" i="24" s="1"/>
  <c r="BH129" i="24"/>
  <c r="BP129" i="24" s="1"/>
  <c r="AN130" i="24"/>
  <c r="AO130" i="24"/>
  <c r="AP130" i="24"/>
  <c r="AQ130" i="24"/>
  <c r="AR130" i="24"/>
  <c r="AS130" i="24"/>
  <c r="AT130" i="24"/>
  <c r="AU130" i="24"/>
  <c r="BE130" i="24"/>
  <c r="BF130" i="24" s="1"/>
  <c r="BH130" i="24"/>
  <c r="BI130" i="24" s="1"/>
  <c r="AN131" i="24"/>
  <c r="AO131" i="24"/>
  <c r="AP131" i="24"/>
  <c r="AQ131" i="24"/>
  <c r="AR131" i="24"/>
  <c r="AS131" i="24"/>
  <c r="AT131" i="24"/>
  <c r="AU131" i="24"/>
  <c r="BE131" i="24"/>
  <c r="BF131" i="24" s="1"/>
  <c r="BH131" i="24"/>
  <c r="BI131" i="24" s="1"/>
  <c r="AN132" i="24"/>
  <c r="AO132" i="24"/>
  <c r="AP132" i="24"/>
  <c r="AQ132" i="24"/>
  <c r="AR132" i="24"/>
  <c r="AS132" i="24"/>
  <c r="AT132" i="24"/>
  <c r="AU132" i="24"/>
  <c r="BE132" i="24"/>
  <c r="BF132" i="24" s="1"/>
  <c r="BH132" i="24"/>
  <c r="BI132" i="24" s="1"/>
  <c r="D133" i="24"/>
  <c r="E133" i="24"/>
  <c r="F133" i="24"/>
  <c r="G133" i="24"/>
  <c r="H133" i="24"/>
  <c r="I133" i="24"/>
  <c r="J133" i="24"/>
  <c r="K133" i="24"/>
  <c r="D136" i="24"/>
  <c r="E136" i="24"/>
  <c r="F136" i="24"/>
  <c r="G136" i="24"/>
  <c r="H136" i="24"/>
  <c r="I136" i="24"/>
  <c r="J136" i="24"/>
  <c r="K136" i="24"/>
  <c r="L136" i="24"/>
  <c r="Z136" i="24"/>
  <c r="AA136" i="24"/>
  <c r="AB136" i="24"/>
  <c r="AC136" i="24"/>
  <c r="AD136" i="24"/>
  <c r="AE136" i="24"/>
  <c r="AF136" i="24"/>
  <c r="AG136" i="24"/>
  <c r="AH136" i="24"/>
  <c r="CE136" i="24"/>
  <c r="CI136" i="24"/>
  <c r="D137" i="24"/>
  <c r="E137" i="24"/>
  <c r="F137" i="24"/>
  <c r="G137" i="24"/>
  <c r="H137" i="24"/>
  <c r="I137" i="24"/>
  <c r="J137" i="24"/>
  <c r="K137" i="24"/>
  <c r="L137" i="24"/>
  <c r="Z137" i="24"/>
  <c r="AA137" i="24"/>
  <c r="AB137" i="24"/>
  <c r="AC137" i="24"/>
  <c r="AD137" i="24"/>
  <c r="AE137" i="24"/>
  <c r="AF137" i="24"/>
  <c r="AG137" i="24"/>
  <c r="AH137" i="24"/>
  <c r="D138" i="24"/>
  <c r="E138" i="24"/>
  <c r="F138" i="24"/>
  <c r="G138" i="24"/>
  <c r="H138" i="24"/>
  <c r="I138" i="24"/>
  <c r="J138" i="24"/>
  <c r="K138" i="24"/>
  <c r="L138" i="24"/>
  <c r="Z138" i="24"/>
  <c r="AA138" i="24"/>
  <c r="AB138" i="24"/>
  <c r="AC138" i="24"/>
  <c r="AD138" i="24"/>
  <c r="AE138" i="24"/>
  <c r="AF138" i="24"/>
  <c r="AG138" i="24"/>
  <c r="AH138" i="24"/>
  <c r="D139" i="24"/>
  <c r="E139" i="24"/>
  <c r="F139" i="24"/>
  <c r="G139" i="24"/>
  <c r="H139" i="24"/>
  <c r="I139" i="24"/>
  <c r="J139" i="24"/>
  <c r="K139" i="24"/>
  <c r="L139" i="24"/>
  <c r="Z139" i="24"/>
  <c r="AA139" i="24"/>
  <c r="AB139" i="24"/>
  <c r="AC139" i="24"/>
  <c r="AD139" i="24"/>
  <c r="AE139" i="24"/>
  <c r="AF139" i="24"/>
  <c r="AG139" i="24"/>
  <c r="AH139" i="24"/>
  <c r="D140" i="24"/>
  <c r="E140" i="24"/>
  <c r="F140" i="24"/>
  <c r="G140" i="24"/>
  <c r="H140" i="24"/>
  <c r="I140" i="24"/>
  <c r="J140" i="24"/>
  <c r="K140" i="24"/>
  <c r="L140" i="24"/>
  <c r="Z140" i="24"/>
  <c r="AA140" i="24"/>
  <c r="AB140" i="24"/>
  <c r="AC140" i="24"/>
  <c r="AD140" i="24"/>
  <c r="AE140" i="24"/>
  <c r="AF140" i="24"/>
  <c r="AG140" i="24"/>
  <c r="AH140" i="24"/>
  <c r="D141" i="24"/>
  <c r="E141" i="24"/>
  <c r="F141" i="24"/>
  <c r="G141" i="24"/>
  <c r="H141" i="24"/>
  <c r="I141" i="24"/>
  <c r="J141" i="24"/>
  <c r="K141" i="24"/>
  <c r="L141" i="24"/>
  <c r="Z141" i="24"/>
  <c r="AA141" i="24"/>
  <c r="AB141" i="24"/>
  <c r="AC141" i="24"/>
  <c r="AD141" i="24"/>
  <c r="AE141" i="24"/>
  <c r="AF141" i="24"/>
  <c r="AG141" i="24"/>
  <c r="AH141" i="24"/>
  <c r="D142" i="24"/>
  <c r="E142" i="24"/>
  <c r="F142" i="24"/>
  <c r="G142" i="24"/>
  <c r="H142" i="24"/>
  <c r="I142" i="24"/>
  <c r="J142" i="24"/>
  <c r="K142" i="24"/>
  <c r="L142" i="24"/>
  <c r="Z142" i="24"/>
  <c r="AA142" i="24"/>
  <c r="AB142" i="24"/>
  <c r="AC142" i="24"/>
  <c r="AD142" i="24"/>
  <c r="AE142" i="24"/>
  <c r="AF142" i="24"/>
  <c r="AG142" i="24"/>
  <c r="AH142" i="24"/>
  <c r="D143" i="24"/>
  <c r="E143" i="24"/>
  <c r="F143" i="24"/>
  <c r="G143" i="24"/>
  <c r="H143" i="24"/>
  <c r="I143" i="24"/>
  <c r="J143" i="24"/>
  <c r="K143" i="24"/>
  <c r="L143" i="24"/>
  <c r="Z143" i="24"/>
  <c r="AA143" i="24"/>
  <c r="AB143" i="24"/>
  <c r="AC143" i="24"/>
  <c r="AD143" i="24"/>
  <c r="AE143" i="24"/>
  <c r="AF143" i="24"/>
  <c r="AG143" i="24"/>
  <c r="AH143" i="24"/>
  <c r="D144" i="24"/>
  <c r="E144" i="24"/>
  <c r="F144" i="24"/>
  <c r="G144" i="24"/>
  <c r="H144" i="24"/>
  <c r="I144" i="24"/>
  <c r="J144" i="24"/>
  <c r="K144" i="24"/>
  <c r="L144" i="24"/>
  <c r="Z144" i="24"/>
  <c r="AA144" i="24"/>
  <c r="AB144" i="24"/>
  <c r="AC144" i="24"/>
  <c r="AD144" i="24"/>
  <c r="AE144" i="24"/>
  <c r="AF144" i="24"/>
  <c r="AG144" i="24"/>
  <c r="AH144" i="24"/>
  <c r="D145" i="24"/>
  <c r="E145" i="24"/>
  <c r="F145" i="24"/>
  <c r="G145" i="24"/>
  <c r="H145" i="24"/>
  <c r="I145" i="24"/>
  <c r="J145" i="24"/>
  <c r="K145" i="24"/>
  <c r="L145" i="24"/>
  <c r="Z145" i="24"/>
  <c r="AA145" i="24"/>
  <c r="AB145" i="24"/>
  <c r="AC145" i="24"/>
  <c r="AD145" i="24"/>
  <c r="AE145" i="24"/>
  <c r="AF145" i="24"/>
  <c r="AG145" i="24"/>
  <c r="AH145" i="24"/>
  <c r="D146" i="24"/>
  <c r="E146" i="24"/>
  <c r="F146" i="24"/>
  <c r="G146" i="24"/>
  <c r="H146" i="24"/>
  <c r="I146" i="24"/>
  <c r="J146" i="24"/>
  <c r="K146" i="24"/>
  <c r="L146" i="24"/>
  <c r="Z146" i="24"/>
  <c r="AA146" i="24"/>
  <c r="AB146" i="24"/>
  <c r="AC146" i="24"/>
  <c r="AD146" i="24"/>
  <c r="AE146" i="24"/>
  <c r="AF146" i="24"/>
  <c r="AG146" i="24"/>
  <c r="AH146" i="24"/>
  <c r="BP13" i="24" l="1"/>
  <c r="BG75" i="24"/>
  <c r="BO75" i="24" s="1"/>
  <c r="BF76" i="24"/>
  <c r="BN76" i="24" s="1"/>
  <c r="BF31" i="24"/>
  <c r="BG31" i="24" s="1"/>
  <c r="BO31" i="24" s="1"/>
  <c r="Z135" i="24"/>
  <c r="BM49" i="24"/>
  <c r="H147" i="24"/>
  <c r="BI49" i="24"/>
  <c r="BI47" i="24"/>
  <c r="BJ47" i="24" s="1"/>
  <c r="BP42" i="24"/>
  <c r="BM11" i="24"/>
  <c r="BF82" i="24"/>
  <c r="BN82" i="24" s="1"/>
  <c r="BM112" i="24"/>
  <c r="BM85" i="24"/>
  <c r="AE135" i="24"/>
  <c r="BM106" i="24"/>
  <c r="BI9" i="24"/>
  <c r="BJ9" i="24" s="1"/>
  <c r="BF41" i="24"/>
  <c r="BN41" i="24" s="1"/>
  <c r="BG26" i="24"/>
  <c r="BO26" i="24" s="1"/>
  <c r="BM130" i="24"/>
  <c r="BF123" i="24"/>
  <c r="BN123" i="24" s="1"/>
  <c r="BM80" i="24"/>
  <c r="BF60" i="24"/>
  <c r="BG60" i="24" s="1"/>
  <c r="BO60" i="24" s="1"/>
  <c r="AF135" i="24"/>
  <c r="BP124" i="24"/>
  <c r="BM104" i="24"/>
  <c r="BF86" i="24"/>
  <c r="BG86" i="24" s="1"/>
  <c r="BO86" i="24" s="1"/>
  <c r="BF84" i="24"/>
  <c r="BN84" i="24" s="1"/>
  <c r="BF27" i="24"/>
  <c r="BN27" i="24" s="1"/>
  <c r="BP7" i="24"/>
  <c r="CJ144" i="24"/>
  <c r="BM114" i="24"/>
  <c r="BM100" i="24"/>
  <c r="BI43" i="24"/>
  <c r="BQ43" i="24" s="1"/>
  <c r="BP123" i="24"/>
  <c r="BP116" i="24"/>
  <c r="BM69" i="24"/>
  <c r="BP64" i="24"/>
  <c r="BP19" i="24"/>
  <c r="BM108" i="24"/>
  <c r="BM117" i="24"/>
  <c r="BI77" i="24"/>
  <c r="BQ77" i="24" s="1"/>
  <c r="BI58" i="24"/>
  <c r="BJ58" i="24" s="1"/>
  <c r="BK58" i="24" s="1"/>
  <c r="BF56" i="24"/>
  <c r="BN56" i="24" s="1"/>
  <c r="BM23" i="24"/>
  <c r="BP81" i="24"/>
  <c r="BP40" i="24"/>
  <c r="BG106" i="24"/>
  <c r="BO106" i="24" s="1"/>
  <c r="BN106" i="24"/>
  <c r="BJ12" i="24"/>
  <c r="BQ12" i="24"/>
  <c r="BJ7" i="24"/>
  <c r="BQ7" i="24"/>
  <c r="BP122" i="24"/>
  <c r="BP119" i="24"/>
  <c r="BI94" i="24"/>
  <c r="BJ94" i="24" s="1"/>
  <c r="BP86" i="24"/>
  <c r="BM16" i="24"/>
  <c r="BM97" i="24"/>
  <c r="BM53" i="24"/>
  <c r="BF36" i="24"/>
  <c r="BN36" i="24" s="1"/>
  <c r="BM28" i="24"/>
  <c r="BP18" i="24"/>
  <c r="BI16" i="24"/>
  <c r="BJ16" i="24" s="1"/>
  <c r="BR16" i="24" s="1"/>
  <c r="BP12" i="24"/>
  <c r="BP121" i="24"/>
  <c r="BM77" i="24"/>
  <c r="BM57" i="24"/>
  <c r="BF38" i="24"/>
  <c r="BP25" i="24"/>
  <c r="BP23" i="24"/>
  <c r="BM9" i="24"/>
  <c r="BP8" i="24"/>
  <c r="BM8" i="24"/>
  <c r="BI127" i="24"/>
  <c r="BJ127" i="24" s="1"/>
  <c r="BR127" i="24" s="1"/>
  <c r="CK144" i="24"/>
  <c r="CE144" i="24"/>
  <c r="CH144" i="24"/>
  <c r="CL136" i="24"/>
  <c r="BQ28" i="24"/>
  <c r="BJ28" i="24"/>
  <c r="BN32" i="24"/>
  <c r="BG32" i="24"/>
  <c r="BO32" i="24" s="1"/>
  <c r="BJ29" i="24"/>
  <c r="BQ29" i="24"/>
  <c r="BN46" i="24"/>
  <c r="BG46" i="24"/>
  <c r="BO46" i="24" s="1"/>
  <c r="BG44" i="24"/>
  <c r="BO44" i="24" s="1"/>
  <c r="BN44" i="24"/>
  <c r="F147" i="24"/>
  <c r="CF144" i="24"/>
  <c r="L147" i="24"/>
  <c r="D147" i="24"/>
  <c r="BM124" i="24"/>
  <c r="BP118" i="24"/>
  <c r="BP107" i="24"/>
  <c r="BM87" i="24"/>
  <c r="BI66" i="24"/>
  <c r="BJ54" i="24"/>
  <c r="BJ53" i="24"/>
  <c r="BM19" i="24"/>
  <c r="BP117" i="24"/>
  <c r="BP110" i="24"/>
  <c r="BJ107" i="24"/>
  <c r="BR107" i="24" s="1"/>
  <c r="BF94" i="24"/>
  <c r="BG77" i="24"/>
  <c r="BO77" i="24" s="1"/>
  <c r="BM55" i="24"/>
  <c r="BM46" i="24"/>
  <c r="BF39" i="24"/>
  <c r="BG39" i="24" s="1"/>
  <c r="BO39" i="24" s="1"/>
  <c r="BM32" i="24"/>
  <c r="BP28" i="24"/>
  <c r="BM13" i="24"/>
  <c r="K147" i="24"/>
  <c r="CI144" i="24"/>
  <c r="BP67" i="24"/>
  <c r="BM43" i="24"/>
  <c r="BP29" i="24"/>
  <c r="BI14" i="24"/>
  <c r="BJ14" i="24" s="1"/>
  <c r="I147" i="24"/>
  <c r="AD135" i="24"/>
  <c r="J147" i="24"/>
  <c r="BM119" i="24"/>
  <c r="BP83" i="24"/>
  <c r="BI74" i="24"/>
  <c r="BJ74" i="24" s="1"/>
  <c r="BR74" i="24" s="1"/>
  <c r="BQ64" i="24"/>
  <c r="BP63" i="24"/>
  <c r="BP51" i="24"/>
  <c r="BM44" i="24"/>
  <c r="BP41" i="24"/>
  <c r="BM34" i="24"/>
  <c r="BP33" i="24"/>
  <c r="BM29" i="24"/>
  <c r="BP130" i="24"/>
  <c r="BM120" i="24"/>
  <c r="BM88" i="24"/>
  <c r="BI84" i="24"/>
  <c r="BJ84" i="24" s="1"/>
  <c r="BK84" i="24" s="1"/>
  <c r="BM83" i="24"/>
  <c r="BI82" i="24"/>
  <c r="BQ82" i="24" s="1"/>
  <c r="BM81" i="24"/>
  <c r="BP79" i="24"/>
  <c r="BM75" i="24"/>
  <c r="BP70" i="24"/>
  <c r="BM63" i="24"/>
  <c r="BM51" i="24"/>
  <c r="BP48" i="24"/>
  <c r="BF47" i="24"/>
  <c r="BN47" i="24" s="1"/>
  <c r="BM33" i="24"/>
  <c r="BP27" i="24"/>
  <c r="CL144" i="24"/>
  <c r="BM101" i="24"/>
  <c r="BP89" i="24"/>
  <c r="BI80" i="24"/>
  <c r="BJ80" i="24" s="1"/>
  <c r="BM79" i="24"/>
  <c r="BI76" i="24"/>
  <c r="BJ76" i="24" s="1"/>
  <c r="BR76" i="24" s="1"/>
  <c r="BM65" i="24"/>
  <c r="BP52" i="24"/>
  <c r="BI34" i="24"/>
  <c r="BG111" i="24"/>
  <c r="BO111" i="24" s="1"/>
  <c r="BN111" i="24"/>
  <c r="BG125" i="24"/>
  <c r="BO125" i="24" s="1"/>
  <c r="BN125" i="24"/>
  <c r="BG131" i="24"/>
  <c r="BO131" i="24" s="1"/>
  <c r="BN131" i="24"/>
  <c r="BG127" i="24"/>
  <c r="BO127" i="24" s="1"/>
  <c r="BN127" i="24"/>
  <c r="BG117" i="24"/>
  <c r="BO117" i="24" s="1"/>
  <c r="BN117" i="24"/>
  <c r="BG115" i="24"/>
  <c r="BO115" i="24" s="1"/>
  <c r="BN115" i="24"/>
  <c r="BG98" i="24"/>
  <c r="BO98" i="24" s="1"/>
  <c r="BN98" i="24"/>
  <c r="BG96" i="24"/>
  <c r="BO96" i="24" s="1"/>
  <c r="BN96" i="24"/>
  <c r="BF73" i="24"/>
  <c r="BN73" i="24" s="1"/>
  <c r="BM73" i="24"/>
  <c r="BF68" i="24"/>
  <c r="BG68" i="24" s="1"/>
  <c r="BO68" i="24" s="1"/>
  <c r="BM68" i="24"/>
  <c r="BF42" i="24"/>
  <c r="BM42" i="24"/>
  <c r="E147" i="24"/>
  <c r="AC135" i="24"/>
  <c r="BP131" i="24"/>
  <c r="BM125" i="24"/>
  <c r="BM122" i="24"/>
  <c r="BF121" i="24"/>
  <c r="BM115" i="24"/>
  <c r="BP114" i="24"/>
  <c r="BP111" i="24"/>
  <c r="BM109" i="24"/>
  <c r="BI104" i="24"/>
  <c r="BP102" i="24"/>
  <c r="BI102" i="24"/>
  <c r="BI91" i="24"/>
  <c r="BP91" i="24"/>
  <c r="BJ49" i="24"/>
  <c r="BQ49" i="24"/>
  <c r="BI31" i="24"/>
  <c r="BP31" i="24"/>
  <c r="BF21" i="24"/>
  <c r="BN21" i="24" s="1"/>
  <c r="BM21" i="24"/>
  <c r="AB135" i="24"/>
  <c r="BF129" i="24"/>
  <c r="BM127" i="24"/>
  <c r="BP126" i="24"/>
  <c r="BF113" i="24"/>
  <c r="BG108" i="24"/>
  <c r="BO108" i="24" s="1"/>
  <c r="BI106" i="24"/>
  <c r="BQ106" i="24" s="1"/>
  <c r="BP105" i="24"/>
  <c r="BI88" i="24"/>
  <c r="BP88" i="24"/>
  <c r="BJ62" i="24"/>
  <c r="BK62" i="24" s="1"/>
  <c r="BQ62" i="24"/>
  <c r="BI60" i="24"/>
  <c r="BJ60" i="24" s="1"/>
  <c r="BK60" i="24" s="1"/>
  <c r="BP60" i="24"/>
  <c r="BF52" i="24"/>
  <c r="BM52" i="24"/>
  <c r="BN51" i="24"/>
  <c r="BG51" i="24"/>
  <c r="BO51" i="24" s="1"/>
  <c r="BI32" i="24"/>
  <c r="BP32" i="24"/>
  <c r="BJ11" i="24"/>
  <c r="BQ11" i="24"/>
  <c r="BN88" i="24"/>
  <c r="BG88" i="24"/>
  <c r="BO88" i="24" s="1"/>
  <c r="BI72" i="24"/>
  <c r="BP72" i="24"/>
  <c r="BF62" i="24"/>
  <c r="BG62" i="24" s="1"/>
  <c r="BO62" i="24" s="1"/>
  <c r="BM62" i="24"/>
  <c r="BP26" i="24"/>
  <c r="BI26" i="24"/>
  <c r="CG144" i="24"/>
  <c r="BM131" i="24"/>
  <c r="BN119" i="24"/>
  <c r="BM116" i="24"/>
  <c r="BP113" i="24"/>
  <c r="BM111" i="24"/>
  <c r="BM110" i="24"/>
  <c r="BF99" i="24"/>
  <c r="BM99" i="24"/>
  <c r="BQ80" i="24"/>
  <c r="BN57" i="24"/>
  <c r="BG57" i="24"/>
  <c r="BO57" i="24" s="1"/>
  <c r="BI55" i="24"/>
  <c r="BQ55" i="24" s="1"/>
  <c r="BP55" i="24"/>
  <c r="BG54" i="24"/>
  <c r="BO54" i="24" s="1"/>
  <c r="BN54" i="24"/>
  <c r="BN53" i="24"/>
  <c r="BG53" i="24"/>
  <c r="BO53" i="24" s="1"/>
  <c r="BN43" i="24"/>
  <c r="BG43" i="24"/>
  <c r="BO43" i="24" s="1"/>
  <c r="BQ41" i="24"/>
  <c r="BJ41" i="24"/>
  <c r="BF40" i="24"/>
  <c r="BM40" i="24"/>
  <c r="BI38" i="24"/>
  <c r="BP38" i="24"/>
  <c r="BP17" i="24"/>
  <c r="BI17" i="24"/>
  <c r="BJ17" i="24" s="1"/>
  <c r="BQ9" i="24"/>
  <c r="BJ8" i="24"/>
  <c r="BK8" i="24" s="1"/>
  <c r="BQ8" i="24"/>
  <c r="BG100" i="24"/>
  <c r="BO100" i="24" s="1"/>
  <c r="BN100" i="24"/>
  <c r="BJ61" i="24"/>
  <c r="BK61" i="24" s="1"/>
  <c r="BS61" i="24" s="1"/>
  <c r="BQ61" i="24"/>
  <c r="BG50" i="24"/>
  <c r="BO50" i="24" s="1"/>
  <c r="BN50" i="24"/>
  <c r="BP22" i="24"/>
  <c r="BI22" i="24"/>
  <c r="BJ22" i="24" s="1"/>
  <c r="BR22" i="24" s="1"/>
  <c r="BP125" i="24"/>
  <c r="BP120" i="24"/>
  <c r="BM118" i="24"/>
  <c r="BP115" i="24"/>
  <c r="BP112" i="24"/>
  <c r="BI92" i="24"/>
  <c r="BJ92" i="24" s="1"/>
  <c r="BR92" i="24" s="1"/>
  <c r="BP92" i="24"/>
  <c r="BG90" i="24"/>
  <c r="BO90" i="24" s="1"/>
  <c r="BN90" i="24"/>
  <c r="BK47" i="24"/>
  <c r="BL47" i="24" s="1"/>
  <c r="BT47" i="24" s="1"/>
  <c r="BR47" i="24"/>
  <c r="BF45" i="24"/>
  <c r="BM45" i="24"/>
  <c r="BN34" i="24"/>
  <c r="BG34" i="24"/>
  <c r="BO34" i="24" s="1"/>
  <c r="BI30" i="24"/>
  <c r="BP30" i="24"/>
  <c r="BJ27" i="24"/>
  <c r="BR27" i="24" s="1"/>
  <c r="BQ27" i="24"/>
  <c r="BI10" i="24"/>
  <c r="BP10" i="24"/>
  <c r="G147" i="24"/>
  <c r="BI129" i="24"/>
  <c r="BJ129" i="24" s="1"/>
  <c r="BR129" i="24" s="1"/>
  <c r="BF103" i="24"/>
  <c r="BG103" i="24" s="1"/>
  <c r="BO103" i="24" s="1"/>
  <c r="BF70" i="24"/>
  <c r="BM70" i="24"/>
  <c r="BJ68" i="24"/>
  <c r="BR68" i="24" s="1"/>
  <c r="BQ68" i="24"/>
  <c r="BF59" i="24"/>
  <c r="BN59" i="24" s="1"/>
  <c r="BM59" i="24"/>
  <c r="BG29" i="24"/>
  <c r="BO29" i="24" s="1"/>
  <c r="BN29" i="24"/>
  <c r="BQ18" i="24"/>
  <c r="BP95" i="24"/>
  <c r="BM98" i="24"/>
  <c r="BM96" i="24"/>
  <c r="BM95" i="24"/>
  <c r="BF92" i="24"/>
  <c r="BM90" i="24"/>
  <c r="BG80" i="24"/>
  <c r="BO80" i="24" s="1"/>
  <c r="BI78" i="24"/>
  <c r="BF58" i="24"/>
  <c r="BG58" i="24" s="1"/>
  <c r="BO58" i="24" s="1"/>
  <c r="BJ57" i="24"/>
  <c r="BM54" i="24"/>
  <c r="BJ51" i="24"/>
  <c r="BG49" i="24"/>
  <c r="BO49" i="24" s="1"/>
  <c r="BM48" i="24"/>
  <c r="BJ43" i="24"/>
  <c r="BM14" i="24"/>
  <c r="BM12" i="24"/>
  <c r="BP11" i="24"/>
  <c r="BM7" i="24"/>
  <c r="BI20" i="24"/>
  <c r="BJ20" i="24" s="1"/>
  <c r="BP68" i="24"/>
  <c r="BF64" i="24"/>
  <c r="BG64" i="24" s="1"/>
  <c r="BO64" i="24" s="1"/>
  <c r="BP62" i="24"/>
  <c r="BP61" i="24"/>
  <c r="BM50" i="24"/>
  <c r="BI45" i="24"/>
  <c r="BM30" i="24"/>
  <c r="BF102" i="24"/>
  <c r="BJ99" i="24"/>
  <c r="BR99" i="24" s="1"/>
  <c r="BP73" i="24"/>
  <c r="BP57" i="24"/>
  <c r="BP53" i="24"/>
  <c r="BP21" i="24"/>
  <c r="BM72" i="24"/>
  <c r="BM22" i="24"/>
  <c r="BM10" i="24"/>
  <c r="BM91" i="24"/>
  <c r="BQ86" i="24"/>
  <c r="BP46" i="24"/>
  <c r="BM35" i="24"/>
  <c r="BJ131" i="24"/>
  <c r="BQ131" i="24"/>
  <c r="AA135" i="24"/>
  <c r="BP132" i="24"/>
  <c r="BN130" i="24"/>
  <c r="BG130" i="24"/>
  <c r="BO130" i="24" s="1"/>
  <c r="BQ125" i="24"/>
  <c r="BJ125" i="24"/>
  <c r="BJ120" i="24"/>
  <c r="BQ120" i="24"/>
  <c r="BN118" i="24"/>
  <c r="BG118" i="24"/>
  <c r="BO118" i="24" s="1"/>
  <c r="BQ113" i="24"/>
  <c r="BJ113" i="24"/>
  <c r="BJ112" i="24"/>
  <c r="BQ112" i="24"/>
  <c r="BM132" i="24"/>
  <c r="BJ126" i="24"/>
  <c r="BQ126" i="24"/>
  <c r="BQ123" i="24"/>
  <c r="BJ123" i="24"/>
  <c r="BN120" i="24"/>
  <c r="BG120" i="24"/>
  <c r="BO120" i="24" s="1"/>
  <c r="BN112" i="24"/>
  <c r="BG112" i="24"/>
  <c r="BO112" i="24" s="1"/>
  <c r="BJ128" i="24"/>
  <c r="BQ128" i="24"/>
  <c r="BN126" i="24"/>
  <c r="BG126" i="24"/>
  <c r="BO126" i="24" s="1"/>
  <c r="BJ122" i="24"/>
  <c r="BQ122" i="24"/>
  <c r="BQ115" i="24"/>
  <c r="BJ115" i="24"/>
  <c r="BN128" i="24"/>
  <c r="BG128" i="24"/>
  <c r="BO128" i="24" s="1"/>
  <c r="BN122" i="24"/>
  <c r="BG122" i="24"/>
  <c r="BO122" i="24" s="1"/>
  <c r="BJ114" i="24"/>
  <c r="BQ114" i="24"/>
  <c r="BG109" i="24"/>
  <c r="BO109" i="24" s="1"/>
  <c r="BN109" i="24"/>
  <c r="BJ132" i="24"/>
  <c r="BQ132" i="24"/>
  <c r="BJ124" i="24"/>
  <c r="BQ124" i="24"/>
  <c r="BQ117" i="24"/>
  <c r="BJ117" i="24"/>
  <c r="BN114" i="24"/>
  <c r="BG114" i="24"/>
  <c r="BO114" i="24" s="1"/>
  <c r="BN132" i="24"/>
  <c r="BG132" i="24"/>
  <c r="BO132" i="24" s="1"/>
  <c r="BN124" i="24"/>
  <c r="BG124" i="24"/>
  <c r="BO124" i="24" s="1"/>
  <c r="BJ116" i="24"/>
  <c r="BQ116" i="24"/>
  <c r="BQ111" i="24"/>
  <c r="BJ111" i="24"/>
  <c r="BJ110" i="24"/>
  <c r="BQ110" i="24"/>
  <c r="BP128" i="24"/>
  <c r="BQ119" i="24"/>
  <c r="BJ119" i="24"/>
  <c r="BN116" i="24"/>
  <c r="BG116" i="24"/>
  <c r="BO116" i="24" s="1"/>
  <c r="BN110" i="24"/>
  <c r="BG110" i="24"/>
  <c r="BO110" i="24" s="1"/>
  <c r="BJ130" i="24"/>
  <c r="BQ130" i="24"/>
  <c r="BM128" i="24"/>
  <c r="BK127" i="24"/>
  <c r="BM126" i="24"/>
  <c r="BQ121" i="24"/>
  <c r="BJ121" i="24"/>
  <c r="BJ118" i="24"/>
  <c r="BQ118" i="24"/>
  <c r="BJ109" i="24"/>
  <c r="BG104" i="24"/>
  <c r="BO104" i="24" s="1"/>
  <c r="BN101" i="24"/>
  <c r="BI100" i="24"/>
  <c r="BP99" i="24"/>
  <c r="BI98" i="24"/>
  <c r="BQ94" i="24"/>
  <c r="BP93" i="24"/>
  <c r="BN91" i="24"/>
  <c r="BG91" i="24"/>
  <c r="BO91" i="24" s="1"/>
  <c r="BN83" i="24"/>
  <c r="BG83" i="24"/>
  <c r="BO83" i="24" s="1"/>
  <c r="BJ95" i="24"/>
  <c r="BQ95" i="24"/>
  <c r="BM93" i="24"/>
  <c r="BJ87" i="24"/>
  <c r="BQ87" i="24"/>
  <c r="BR84" i="24"/>
  <c r="BQ75" i="24"/>
  <c r="BJ75" i="24"/>
  <c r="BG72" i="24"/>
  <c r="BO72" i="24" s="1"/>
  <c r="BN72" i="24"/>
  <c r="BJ105" i="24"/>
  <c r="BP97" i="24"/>
  <c r="BN95" i="24"/>
  <c r="BG95" i="24"/>
  <c r="BO95" i="24" s="1"/>
  <c r="BJ89" i="24"/>
  <c r="BQ89" i="24"/>
  <c r="BN87" i="24"/>
  <c r="BG87" i="24"/>
  <c r="BO87" i="24" s="1"/>
  <c r="BJ81" i="24"/>
  <c r="BQ81" i="24"/>
  <c r="BJ79" i="24"/>
  <c r="BQ79" i="24"/>
  <c r="BP109" i="24"/>
  <c r="BF107" i="24"/>
  <c r="BJ103" i="24"/>
  <c r="BI96" i="24"/>
  <c r="BN89" i="24"/>
  <c r="BG89" i="24"/>
  <c r="BO89" i="24" s="1"/>
  <c r="BP85" i="24"/>
  <c r="BN81" i="24"/>
  <c r="BG81" i="24"/>
  <c r="BO81" i="24" s="1"/>
  <c r="BN79" i="24"/>
  <c r="BG79" i="24"/>
  <c r="BO79" i="24" s="1"/>
  <c r="BJ65" i="24"/>
  <c r="BQ65" i="24"/>
  <c r="BI108" i="24"/>
  <c r="BF105" i="24"/>
  <c r="BJ101" i="24"/>
  <c r="BJ93" i="24"/>
  <c r="BQ93" i="24"/>
  <c r="BI90" i="24"/>
  <c r="BR86" i="24"/>
  <c r="BK86" i="24"/>
  <c r="BK63" i="24"/>
  <c r="BR63" i="24"/>
  <c r="BN93" i="24"/>
  <c r="BG93" i="24"/>
  <c r="BO93" i="24" s="1"/>
  <c r="BQ69" i="24"/>
  <c r="BJ69" i="24"/>
  <c r="BK67" i="24"/>
  <c r="BR67" i="24"/>
  <c r="BP103" i="24"/>
  <c r="BJ97" i="24"/>
  <c r="BQ97" i="24"/>
  <c r="BR94" i="24"/>
  <c r="BK94" i="24"/>
  <c r="BP87" i="24"/>
  <c r="BJ85" i="24"/>
  <c r="BQ85" i="24"/>
  <c r="BP101" i="24"/>
  <c r="BN97" i="24"/>
  <c r="BG97" i="24"/>
  <c r="BO97" i="24" s="1"/>
  <c r="BJ91" i="24"/>
  <c r="BQ91" i="24"/>
  <c r="BM89" i="24"/>
  <c r="BN85" i="24"/>
  <c r="BG85" i="24"/>
  <c r="BO85" i="24" s="1"/>
  <c r="BJ83" i="24"/>
  <c r="BQ83" i="24"/>
  <c r="BJ73" i="24"/>
  <c r="BQ73" i="24"/>
  <c r="BK76" i="24"/>
  <c r="BP75" i="24"/>
  <c r="BM71" i="24"/>
  <c r="BP69" i="24"/>
  <c r="BQ67" i="24"/>
  <c r="BG63" i="24"/>
  <c r="BO63" i="24" s="1"/>
  <c r="BN63" i="24"/>
  <c r="BI59" i="24"/>
  <c r="BN55" i="24"/>
  <c r="BG55" i="24"/>
  <c r="BO55" i="24" s="1"/>
  <c r="BG61" i="24"/>
  <c r="BO61" i="24" s="1"/>
  <c r="BN61" i="24"/>
  <c r="BQ76" i="24"/>
  <c r="BI71" i="24"/>
  <c r="BQ70" i="24"/>
  <c r="BM67" i="24"/>
  <c r="BP65" i="24"/>
  <c r="BK64" i="24"/>
  <c r="BR64" i="24"/>
  <c r="BQ63" i="24"/>
  <c r="BN58" i="24"/>
  <c r="BI56" i="24"/>
  <c r="BP56" i="24"/>
  <c r="BF78" i="24"/>
  <c r="BJ77" i="24"/>
  <c r="BG76" i="24"/>
  <c r="BO76" i="24" s="1"/>
  <c r="BF74" i="24"/>
  <c r="BF66" i="24"/>
  <c r="BG71" i="24"/>
  <c r="BO71" i="24" s="1"/>
  <c r="BN71" i="24"/>
  <c r="BG69" i="24"/>
  <c r="BO69" i="24" s="1"/>
  <c r="BN69" i="24"/>
  <c r="BM61" i="24"/>
  <c r="BG67" i="24"/>
  <c r="BO67" i="24" s="1"/>
  <c r="BN67" i="24"/>
  <c r="BL61" i="24"/>
  <c r="BT61" i="24" s="1"/>
  <c r="BK70" i="24"/>
  <c r="BR70" i="24"/>
  <c r="BG65" i="24"/>
  <c r="BO65" i="24" s="1"/>
  <c r="BN65" i="24"/>
  <c r="BQ52" i="24"/>
  <c r="BJ52" i="24"/>
  <c r="BP44" i="24"/>
  <c r="BQ50" i="24"/>
  <c r="BJ50" i="24"/>
  <c r="BG35" i="24"/>
  <c r="BO35" i="24" s="1"/>
  <c r="BN35" i="24"/>
  <c r="BQ48" i="24"/>
  <c r="BJ48" i="24"/>
  <c r="BQ42" i="24"/>
  <c r="BJ42" i="24"/>
  <c r="BJ55" i="24"/>
  <c r="BG48" i="24"/>
  <c r="BO48" i="24" s="1"/>
  <c r="BQ46" i="24"/>
  <c r="BJ46" i="24"/>
  <c r="BP50" i="24"/>
  <c r="BQ44" i="24"/>
  <c r="BJ44" i="24"/>
  <c r="BG33" i="24"/>
  <c r="BO33" i="24" s="1"/>
  <c r="BN33" i="24"/>
  <c r="BJ40" i="24"/>
  <c r="BQ40" i="24"/>
  <c r="BP54" i="24"/>
  <c r="BN30" i="24"/>
  <c r="BG30" i="24"/>
  <c r="BO30" i="24" s="1"/>
  <c r="BI24" i="24"/>
  <c r="BQ37" i="24"/>
  <c r="BJ37" i="24"/>
  <c r="BQ33" i="24"/>
  <c r="BJ33" i="24"/>
  <c r="BN31" i="24"/>
  <c r="BJ25" i="24"/>
  <c r="BQ25" i="24"/>
  <c r="BP35" i="24"/>
  <c r="BN28" i="24"/>
  <c r="BG28" i="24"/>
  <c r="BO28" i="24" s="1"/>
  <c r="BF25" i="24"/>
  <c r="BM25" i="24"/>
  <c r="BP37" i="24"/>
  <c r="BF37" i="24"/>
  <c r="BQ31" i="24"/>
  <c r="BJ31" i="24"/>
  <c r="BJ13" i="24"/>
  <c r="BQ13" i="24"/>
  <c r="BQ39" i="24"/>
  <c r="BJ39" i="24"/>
  <c r="BI36" i="24"/>
  <c r="BR29" i="24"/>
  <c r="BK29" i="24"/>
  <c r="BJ21" i="24"/>
  <c r="BQ21" i="24"/>
  <c r="BJ15" i="24"/>
  <c r="BQ15" i="24"/>
  <c r="BP39" i="24"/>
  <c r="BQ35" i="24"/>
  <c r="BJ35" i="24"/>
  <c r="BK19" i="24"/>
  <c r="BR19" i="24"/>
  <c r="BN17" i="24"/>
  <c r="BG17" i="24"/>
  <c r="BO17" i="24" s="1"/>
  <c r="BG22" i="24"/>
  <c r="BO22" i="24" s="1"/>
  <c r="BN22" i="24"/>
  <c r="BM18" i="24"/>
  <c r="BP15" i="24"/>
  <c r="BG14" i="24"/>
  <c r="BO14" i="24" s="1"/>
  <c r="BN14" i="24"/>
  <c r="BR12" i="24"/>
  <c r="BK12" i="24"/>
  <c r="BG10" i="24"/>
  <c r="BO10" i="24" s="1"/>
  <c r="BN10" i="24"/>
  <c r="BM26" i="24"/>
  <c r="BM24" i="24"/>
  <c r="BQ23" i="24"/>
  <c r="BG23" i="24"/>
  <c r="BO23" i="24" s="1"/>
  <c r="BN19" i="24"/>
  <c r="BG19" i="24"/>
  <c r="BO19" i="24" s="1"/>
  <c r="BM15" i="24"/>
  <c r="BN9" i="24"/>
  <c r="BG9" i="24"/>
  <c r="BO9" i="24" s="1"/>
  <c r="BR8" i="24"/>
  <c r="BQ22" i="24"/>
  <c r="BM20" i="24"/>
  <c r="BR18" i="24"/>
  <c r="BK18" i="24"/>
  <c r="BG16" i="24"/>
  <c r="BO16" i="24" s="1"/>
  <c r="BN16" i="24"/>
  <c r="BQ14" i="24"/>
  <c r="BG12" i="24"/>
  <c r="BO12" i="24" s="1"/>
  <c r="BN12" i="24"/>
  <c r="BK7" i="24"/>
  <c r="BR7" i="24"/>
  <c r="BQ19" i="24"/>
  <c r="BM17" i="24"/>
  <c r="BN13" i="24"/>
  <c r="BG13" i="24"/>
  <c r="BO13" i="24" s="1"/>
  <c r="BK11" i="24"/>
  <c r="BR11" i="24"/>
  <c r="BG8" i="24"/>
  <c r="BO8" i="24" s="1"/>
  <c r="BN8" i="24"/>
  <c r="BG18" i="24"/>
  <c r="BO18" i="24" s="1"/>
  <c r="BN18" i="24"/>
  <c r="BN7" i="24"/>
  <c r="BG7" i="24"/>
  <c r="BO7" i="24" s="1"/>
  <c r="BK17" i="24"/>
  <c r="BR17" i="24"/>
  <c r="BN15" i="24"/>
  <c r="BG15" i="24"/>
  <c r="BO15" i="24" s="1"/>
  <c r="BN11" i="24"/>
  <c r="BG11" i="24"/>
  <c r="BO11" i="24" s="1"/>
  <c r="BG24" i="24"/>
  <c r="BO24" i="24" s="1"/>
  <c r="BK23" i="24"/>
  <c r="BG20" i="24"/>
  <c r="BO20" i="24" s="1"/>
  <c r="BN20" i="24"/>
  <c r="BR14" i="24"/>
  <c r="BK14" i="24"/>
  <c r="BG59" i="24" l="1"/>
  <c r="BO59" i="24" s="1"/>
  <c r="BN64" i="24"/>
  <c r="BN62" i="24"/>
  <c r="BJ82" i="24"/>
  <c r="BR82" i="24" s="1"/>
  <c r="BG21" i="24"/>
  <c r="BO21" i="24" s="1"/>
  <c r="BN60" i="24"/>
  <c r="BN39" i="24"/>
  <c r="BK9" i="24"/>
  <c r="BS9" i="24" s="1"/>
  <c r="BR9" i="24"/>
  <c r="BR61" i="24"/>
  <c r="BG73" i="24"/>
  <c r="BO73" i="24" s="1"/>
  <c r="BG82" i="24"/>
  <c r="BO82" i="24" s="1"/>
  <c r="BG56" i="24"/>
  <c r="BO56" i="24" s="1"/>
  <c r="BQ17" i="24"/>
  <c r="BG123" i="24"/>
  <c r="BO123" i="24" s="1"/>
  <c r="BK68" i="24"/>
  <c r="BS68" i="24" s="1"/>
  <c r="BQ16" i="24"/>
  <c r="BG27" i="24"/>
  <c r="BO27" i="24" s="1"/>
  <c r="BQ47" i="24"/>
  <c r="BG41" i="24"/>
  <c r="BO41" i="24" s="1"/>
  <c r="BN86" i="24"/>
  <c r="BR58" i="24"/>
  <c r="BR62" i="24"/>
  <c r="BK107" i="24"/>
  <c r="BL107" i="24" s="1"/>
  <c r="BT107" i="24" s="1"/>
  <c r="BG84" i="24"/>
  <c r="BO84" i="24" s="1"/>
  <c r="BG36" i="24"/>
  <c r="BO36" i="24" s="1"/>
  <c r="BQ58" i="24"/>
  <c r="BG47" i="24"/>
  <c r="BO47" i="24" s="1"/>
  <c r="BS47" i="24"/>
  <c r="BR80" i="24"/>
  <c r="BK80" i="24"/>
  <c r="BS80" i="24" s="1"/>
  <c r="BN103" i="24"/>
  <c r="BQ127" i="24"/>
  <c r="BK99" i="24"/>
  <c r="BS99" i="24" s="1"/>
  <c r="BK27" i="24"/>
  <c r="BS27" i="24" s="1"/>
  <c r="BQ20" i="24"/>
  <c r="BN68" i="24"/>
  <c r="BK22" i="24"/>
  <c r="BL22" i="24" s="1"/>
  <c r="BT22" i="24" s="1"/>
  <c r="BQ129" i="24"/>
  <c r="BK129" i="24"/>
  <c r="BS129" i="24" s="1"/>
  <c r="BQ92" i="24"/>
  <c r="BN38" i="24"/>
  <c r="BG38" i="24"/>
  <c r="BO38" i="24" s="1"/>
  <c r="BK92" i="24"/>
  <c r="BS92" i="24" s="1"/>
  <c r="BJ106" i="24"/>
  <c r="BK106" i="24" s="1"/>
  <c r="BR53" i="24"/>
  <c r="BK53" i="24"/>
  <c r="BR60" i="24"/>
  <c r="BQ34" i="24"/>
  <c r="BJ34" i="24"/>
  <c r="BN94" i="24"/>
  <c r="BG94" i="24"/>
  <c r="BO94" i="24" s="1"/>
  <c r="BK54" i="24"/>
  <c r="BR54" i="24"/>
  <c r="BQ60" i="24"/>
  <c r="BQ74" i="24"/>
  <c r="BK74" i="24"/>
  <c r="BL74" i="24" s="1"/>
  <c r="BT74" i="24" s="1"/>
  <c r="BK16" i="24"/>
  <c r="BS16" i="24" s="1"/>
  <c r="BQ84" i="24"/>
  <c r="BJ66" i="24"/>
  <c r="BQ66" i="24"/>
  <c r="BR28" i="24"/>
  <c r="BK28" i="24"/>
  <c r="BN129" i="24"/>
  <c r="BG129" i="24"/>
  <c r="BO129" i="24" s="1"/>
  <c r="BQ104" i="24"/>
  <c r="BJ104" i="24"/>
  <c r="BR57" i="24"/>
  <c r="BK57" i="24"/>
  <c r="BJ10" i="24"/>
  <c r="BQ10" i="24"/>
  <c r="BG52" i="24"/>
  <c r="BO52" i="24" s="1"/>
  <c r="BN52" i="24"/>
  <c r="BN113" i="24"/>
  <c r="BG113" i="24"/>
  <c r="BO113" i="24" s="1"/>
  <c r="BK49" i="24"/>
  <c r="BR49" i="24"/>
  <c r="BN102" i="24"/>
  <c r="BG102" i="24"/>
  <c r="BO102" i="24" s="1"/>
  <c r="BG45" i="24"/>
  <c r="BO45" i="24" s="1"/>
  <c r="BN45" i="24"/>
  <c r="BJ38" i="24"/>
  <c r="BQ38" i="24"/>
  <c r="BG42" i="24"/>
  <c r="BO42" i="24" s="1"/>
  <c r="BN42" i="24"/>
  <c r="BN92" i="24"/>
  <c r="BG92" i="24"/>
  <c r="BO92" i="24" s="1"/>
  <c r="BG70" i="24"/>
  <c r="BO70" i="24" s="1"/>
  <c r="BN70" i="24"/>
  <c r="BN121" i="24"/>
  <c r="BG121" i="24"/>
  <c r="BO121" i="24" s="1"/>
  <c r="BR51" i="24"/>
  <c r="BK51" i="24"/>
  <c r="BJ30" i="24"/>
  <c r="BQ30" i="24"/>
  <c r="BG40" i="24"/>
  <c r="BO40" i="24" s="1"/>
  <c r="BN40" i="24"/>
  <c r="BJ72" i="24"/>
  <c r="BQ72" i="24"/>
  <c r="BJ32" i="24"/>
  <c r="BQ32" i="24"/>
  <c r="BJ88" i="24"/>
  <c r="BQ88" i="24"/>
  <c r="BQ45" i="24"/>
  <c r="BJ45" i="24"/>
  <c r="BJ78" i="24"/>
  <c r="BQ78" i="24"/>
  <c r="BK41" i="24"/>
  <c r="BR41" i="24"/>
  <c r="BQ102" i="24"/>
  <c r="BJ102" i="24"/>
  <c r="BK43" i="24"/>
  <c r="BR43" i="24"/>
  <c r="BG99" i="24"/>
  <c r="BO99" i="24" s="1"/>
  <c r="BN99" i="24"/>
  <c r="BQ26" i="24"/>
  <c r="BJ26" i="24"/>
  <c r="BS22" i="24"/>
  <c r="BR25" i="24"/>
  <c r="BK25" i="24"/>
  <c r="BJ96" i="24"/>
  <c r="BQ96" i="24"/>
  <c r="BR116" i="24"/>
  <c r="BK116" i="24"/>
  <c r="BS17" i="24"/>
  <c r="BL17" i="24"/>
  <c r="BT17" i="24" s="1"/>
  <c r="BS29" i="24"/>
  <c r="BL29" i="24"/>
  <c r="BT29" i="24" s="1"/>
  <c r="BK65" i="24"/>
  <c r="BR65" i="24"/>
  <c r="BR132" i="24"/>
  <c r="BK132" i="24"/>
  <c r="BR114" i="24"/>
  <c r="BK114" i="24"/>
  <c r="BR123" i="24"/>
  <c r="BK123" i="24"/>
  <c r="BR120" i="24"/>
  <c r="BK120" i="24"/>
  <c r="BR42" i="24"/>
  <c r="BK42" i="24"/>
  <c r="BR93" i="24"/>
  <c r="BK93" i="24"/>
  <c r="BR79" i="24"/>
  <c r="BK79" i="24"/>
  <c r="BR31" i="24"/>
  <c r="BK31" i="24"/>
  <c r="BR46" i="24"/>
  <c r="BK46" i="24"/>
  <c r="BS58" i="24"/>
  <c r="BL58" i="24"/>
  <c r="BT58" i="24" s="1"/>
  <c r="BR83" i="24"/>
  <c r="BK83" i="24"/>
  <c r="BS14" i="24"/>
  <c r="BL14" i="24"/>
  <c r="BT14" i="24" s="1"/>
  <c r="BS23" i="24"/>
  <c r="BL23" i="24"/>
  <c r="BT23" i="24" s="1"/>
  <c r="BS11" i="24"/>
  <c r="BL11" i="24"/>
  <c r="BT11" i="24" s="1"/>
  <c r="BS7" i="24"/>
  <c r="BL7" i="24"/>
  <c r="BT7" i="24" s="1"/>
  <c r="BS18" i="24"/>
  <c r="BL18" i="24"/>
  <c r="BT18" i="24" s="1"/>
  <c r="BK15" i="24"/>
  <c r="BR15" i="24"/>
  <c r="BR33" i="24"/>
  <c r="BK33" i="24"/>
  <c r="BS60" i="24"/>
  <c r="BL60" i="24"/>
  <c r="BT60" i="24" s="1"/>
  <c r="BG66" i="24"/>
  <c r="BO66" i="24" s="1"/>
  <c r="BN66" i="24"/>
  <c r="BJ59" i="24"/>
  <c r="BQ59" i="24"/>
  <c r="BS67" i="24"/>
  <c r="BL67" i="24"/>
  <c r="BT67" i="24" s="1"/>
  <c r="BR101" i="24"/>
  <c r="BK101" i="24"/>
  <c r="BR103" i="24"/>
  <c r="BK103" i="24"/>
  <c r="BR81" i="24"/>
  <c r="BK81" i="24"/>
  <c r="BR105" i="24"/>
  <c r="BK105" i="24"/>
  <c r="BR122" i="24"/>
  <c r="BK122" i="24"/>
  <c r="BR39" i="24"/>
  <c r="BK39" i="24"/>
  <c r="BN25" i="24"/>
  <c r="BG25" i="24"/>
  <c r="BO25" i="24" s="1"/>
  <c r="BS62" i="24"/>
  <c r="BL62" i="24"/>
  <c r="BT62" i="24" s="1"/>
  <c r="BN78" i="24"/>
  <c r="BG78" i="24"/>
  <c r="BO78" i="24" s="1"/>
  <c r="BR117" i="24"/>
  <c r="BK117" i="24"/>
  <c r="BR91" i="24"/>
  <c r="BK91" i="24"/>
  <c r="BS94" i="24"/>
  <c r="BL94" i="24"/>
  <c r="BT94" i="24" s="1"/>
  <c r="BS63" i="24"/>
  <c r="BL63" i="24"/>
  <c r="BT63" i="24" s="1"/>
  <c r="BR121" i="24"/>
  <c r="BK121" i="24"/>
  <c r="BR40" i="24"/>
  <c r="BK40" i="24"/>
  <c r="BR44" i="24"/>
  <c r="BK44" i="24"/>
  <c r="BR48" i="24"/>
  <c r="BK48" i="24"/>
  <c r="BS64" i="24"/>
  <c r="BL64" i="24"/>
  <c r="BT64" i="24" s="1"/>
  <c r="BK69" i="24"/>
  <c r="BR69" i="24"/>
  <c r="BS86" i="24"/>
  <c r="BL86" i="24"/>
  <c r="BT86" i="24" s="1"/>
  <c r="BG107" i="24"/>
  <c r="BO107" i="24" s="1"/>
  <c r="BN107" i="24"/>
  <c r="BS84" i="24"/>
  <c r="BL84" i="24"/>
  <c r="BT84" i="24" s="1"/>
  <c r="BR95" i="24"/>
  <c r="BK95" i="24"/>
  <c r="BR130" i="24"/>
  <c r="BK130" i="24"/>
  <c r="BR115" i="24"/>
  <c r="BK115" i="24"/>
  <c r="BR131" i="24"/>
  <c r="BK131" i="24"/>
  <c r="BK21" i="24"/>
  <c r="BR21" i="24"/>
  <c r="BK13" i="24"/>
  <c r="BR13" i="24"/>
  <c r="BN37" i="24"/>
  <c r="BG37" i="24"/>
  <c r="BO37" i="24" s="1"/>
  <c r="BR37" i="24"/>
  <c r="BK37" i="24"/>
  <c r="BS70" i="24"/>
  <c r="BL70" i="24"/>
  <c r="BT70" i="24" s="1"/>
  <c r="BG74" i="24"/>
  <c r="BO74" i="24" s="1"/>
  <c r="BN74" i="24"/>
  <c r="BQ56" i="24"/>
  <c r="BJ56" i="24"/>
  <c r="BL76" i="24"/>
  <c r="BT76" i="24" s="1"/>
  <c r="BS76" i="24"/>
  <c r="BG105" i="24"/>
  <c r="BO105" i="24" s="1"/>
  <c r="BN105" i="24"/>
  <c r="BK109" i="24"/>
  <c r="BR109" i="24"/>
  <c r="BR119" i="24"/>
  <c r="BK119" i="24"/>
  <c r="BR110" i="24"/>
  <c r="BK110" i="24"/>
  <c r="BR124" i="24"/>
  <c r="BK124" i="24"/>
  <c r="BR126" i="24"/>
  <c r="BK126" i="24"/>
  <c r="BR125" i="24"/>
  <c r="BK125" i="24"/>
  <c r="BR55" i="24"/>
  <c r="BK55" i="24"/>
  <c r="BK52" i="24"/>
  <c r="BR52" i="24"/>
  <c r="BR85" i="24"/>
  <c r="BK85" i="24"/>
  <c r="BR97" i="24"/>
  <c r="BK97" i="24"/>
  <c r="BJ90" i="24"/>
  <c r="BQ90" i="24"/>
  <c r="BJ98" i="24"/>
  <c r="BQ98" i="24"/>
  <c r="BR111" i="24"/>
  <c r="BK111" i="24"/>
  <c r="BS8" i="24"/>
  <c r="BL8" i="24"/>
  <c r="BT8" i="24" s="1"/>
  <c r="BS12" i="24"/>
  <c r="BL12" i="24"/>
  <c r="BT12" i="24" s="1"/>
  <c r="BR35" i="24"/>
  <c r="BK35" i="24"/>
  <c r="BQ36" i="24"/>
  <c r="BJ36" i="24"/>
  <c r="BR20" i="24"/>
  <c r="BK20" i="24"/>
  <c r="BR89" i="24"/>
  <c r="BK89" i="24"/>
  <c r="BR87" i="24"/>
  <c r="BK87" i="24"/>
  <c r="BR128" i="24"/>
  <c r="BK128" i="24"/>
  <c r="BR112" i="24"/>
  <c r="BK112" i="24"/>
  <c r="BS19" i="24"/>
  <c r="BL19" i="24"/>
  <c r="BT19" i="24" s="1"/>
  <c r="BJ24" i="24"/>
  <c r="BQ24" i="24"/>
  <c r="BR50" i="24"/>
  <c r="BK50" i="24"/>
  <c r="BR77" i="24"/>
  <c r="BK77" i="24"/>
  <c r="BQ71" i="24"/>
  <c r="BJ71" i="24"/>
  <c r="BL68" i="24"/>
  <c r="BT68" i="24" s="1"/>
  <c r="BK73" i="24"/>
  <c r="BR73" i="24"/>
  <c r="BQ108" i="24"/>
  <c r="BJ108" i="24"/>
  <c r="BR75" i="24"/>
  <c r="BK75" i="24"/>
  <c r="BJ100" i="24"/>
  <c r="BQ100" i="24"/>
  <c r="BR118" i="24"/>
  <c r="BK118" i="24"/>
  <c r="BS127" i="24"/>
  <c r="BL127" i="24"/>
  <c r="BT127" i="24" s="1"/>
  <c r="BR113" i="24"/>
  <c r="BK113" i="24"/>
  <c r="BK82" i="24" l="1"/>
  <c r="BL82" i="24" s="1"/>
  <c r="BT82" i="24" s="1"/>
  <c r="BS82" i="24"/>
  <c r="BL80" i="24"/>
  <c r="BT80" i="24" s="1"/>
  <c r="BR106" i="24"/>
  <c r="BL92" i="24"/>
  <c r="BT92" i="24" s="1"/>
  <c r="BL9" i="24"/>
  <c r="BT9" i="24" s="1"/>
  <c r="BS107" i="24"/>
  <c r="BL129" i="24"/>
  <c r="BT129" i="24" s="1"/>
  <c r="BL16" i="24"/>
  <c r="BT16" i="24" s="1"/>
  <c r="BL99" i="24"/>
  <c r="BT99" i="24" s="1"/>
  <c r="BL27" i="24"/>
  <c r="BT27" i="24" s="1"/>
  <c r="BS74" i="24"/>
  <c r="BK34" i="24"/>
  <c r="BR34" i="24"/>
  <c r="BL28" i="24"/>
  <c r="BT28" i="24" s="1"/>
  <c r="BS28" i="24"/>
  <c r="BS53" i="24"/>
  <c r="BL53" i="24"/>
  <c r="BT53" i="24" s="1"/>
  <c r="BK66" i="24"/>
  <c r="BR66" i="24"/>
  <c r="BL54" i="24"/>
  <c r="BT54" i="24" s="1"/>
  <c r="BS54" i="24"/>
  <c r="BK88" i="24"/>
  <c r="BR88" i="24"/>
  <c r="BR30" i="24"/>
  <c r="BK30" i="24"/>
  <c r="BR38" i="24"/>
  <c r="BK38" i="24"/>
  <c r="BL51" i="24"/>
  <c r="BT51" i="24" s="1"/>
  <c r="BS51" i="24"/>
  <c r="BS57" i="24"/>
  <c r="BL57" i="24"/>
  <c r="BT57" i="24" s="1"/>
  <c r="BS41" i="24"/>
  <c r="BL41" i="24"/>
  <c r="BT41" i="24" s="1"/>
  <c r="BR32" i="24"/>
  <c r="BK32" i="24"/>
  <c r="BS43" i="24"/>
  <c r="BL43" i="24"/>
  <c r="BT43" i="24" s="1"/>
  <c r="BR78" i="24"/>
  <c r="BK78" i="24"/>
  <c r="BR72" i="24"/>
  <c r="BK72" i="24"/>
  <c r="BK104" i="24"/>
  <c r="BR104" i="24"/>
  <c r="BK102" i="24"/>
  <c r="BR102" i="24"/>
  <c r="BK45" i="24"/>
  <c r="BR45" i="24"/>
  <c r="BK26" i="24"/>
  <c r="BR26" i="24"/>
  <c r="BS49" i="24"/>
  <c r="BL49" i="24"/>
  <c r="BT49" i="24" s="1"/>
  <c r="BR10" i="24"/>
  <c r="BK10" i="24"/>
  <c r="BK36" i="24"/>
  <c r="BR36" i="24"/>
  <c r="BS115" i="24"/>
  <c r="BL115" i="24"/>
  <c r="BT115" i="24" s="1"/>
  <c r="BL48" i="24"/>
  <c r="BT48" i="24" s="1"/>
  <c r="BS48" i="24"/>
  <c r="BS105" i="24"/>
  <c r="BL105" i="24"/>
  <c r="BT105" i="24" s="1"/>
  <c r="BS65" i="24"/>
  <c r="BL65" i="24"/>
  <c r="BT65" i="24" s="1"/>
  <c r="BK100" i="24"/>
  <c r="BR100" i="24"/>
  <c r="BS73" i="24"/>
  <c r="BL73" i="24"/>
  <c r="BT73" i="24" s="1"/>
  <c r="BL97" i="24"/>
  <c r="BT97" i="24" s="1"/>
  <c r="BS97" i="24"/>
  <c r="BL95" i="24"/>
  <c r="BT95" i="24" s="1"/>
  <c r="BS95" i="24"/>
  <c r="BS113" i="24"/>
  <c r="BL113" i="24"/>
  <c r="BT113" i="24" s="1"/>
  <c r="BL75" i="24"/>
  <c r="BT75" i="24" s="1"/>
  <c r="BS75" i="24"/>
  <c r="BS119" i="24"/>
  <c r="BL119" i="24"/>
  <c r="BT119" i="24" s="1"/>
  <c r="BK56" i="24"/>
  <c r="BR56" i="24"/>
  <c r="BS13" i="24"/>
  <c r="BL13" i="24"/>
  <c r="BT13" i="24" s="1"/>
  <c r="BS69" i="24"/>
  <c r="BL69" i="24"/>
  <c r="BT69" i="24" s="1"/>
  <c r="BS15" i="24"/>
  <c r="BL15" i="24"/>
  <c r="BT15" i="24" s="1"/>
  <c r="BS83" i="24"/>
  <c r="BL83" i="24"/>
  <c r="BT83" i="24" s="1"/>
  <c r="BS132" i="24"/>
  <c r="BL132" i="24"/>
  <c r="BT132" i="24" s="1"/>
  <c r="BS116" i="24"/>
  <c r="BL116" i="24"/>
  <c r="BT116" i="24" s="1"/>
  <c r="BL35" i="24"/>
  <c r="BT35" i="24" s="1"/>
  <c r="BS35" i="24"/>
  <c r="BL85" i="24"/>
  <c r="BT85" i="24" s="1"/>
  <c r="BS85" i="24"/>
  <c r="BS55" i="24"/>
  <c r="BL55" i="24"/>
  <c r="BT55" i="24" s="1"/>
  <c r="BS126" i="24"/>
  <c r="BL126" i="24"/>
  <c r="BT126" i="24" s="1"/>
  <c r="BL37" i="24"/>
  <c r="BT37" i="24" s="1"/>
  <c r="BS37" i="24"/>
  <c r="BL130" i="24"/>
  <c r="BT130" i="24" s="1"/>
  <c r="BS130" i="24"/>
  <c r="BS81" i="24"/>
  <c r="BL81" i="24"/>
  <c r="BT81" i="24" s="1"/>
  <c r="BK71" i="24"/>
  <c r="BR71" i="24"/>
  <c r="BK98" i="24"/>
  <c r="BR98" i="24"/>
  <c r="BS21" i="24"/>
  <c r="BL21" i="24"/>
  <c r="BT21" i="24" s="1"/>
  <c r="BS117" i="24"/>
  <c r="BL117" i="24"/>
  <c r="BT117" i="24" s="1"/>
  <c r="BL33" i="24"/>
  <c r="BT33" i="24" s="1"/>
  <c r="BS33" i="24"/>
  <c r="BS79" i="24"/>
  <c r="BL79" i="24"/>
  <c r="BT79" i="24" s="1"/>
  <c r="BS120" i="24"/>
  <c r="BL120" i="24"/>
  <c r="BT120" i="24" s="1"/>
  <c r="BS25" i="24"/>
  <c r="BL25" i="24"/>
  <c r="BT25" i="24" s="1"/>
  <c r="BS118" i="24"/>
  <c r="BL118" i="24"/>
  <c r="BT118" i="24" s="1"/>
  <c r="BK108" i="24"/>
  <c r="BR108" i="24"/>
  <c r="BR24" i="24"/>
  <c r="BK24" i="24"/>
  <c r="BL109" i="24"/>
  <c r="BT109" i="24" s="1"/>
  <c r="BS109" i="24"/>
  <c r="BL44" i="24"/>
  <c r="BT44" i="24" s="1"/>
  <c r="BS44" i="24"/>
  <c r="BS39" i="24"/>
  <c r="BL39" i="24"/>
  <c r="BT39" i="24" s="1"/>
  <c r="BS103" i="24"/>
  <c r="BL103" i="24"/>
  <c r="BT103" i="24" s="1"/>
  <c r="BS112" i="24"/>
  <c r="BL112" i="24"/>
  <c r="BT112" i="24" s="1"/>
  <c r="BL77" i="24"/>
  <c r="BT77" i="24" s="1"/>
  <c r="BS77" i="24"/>
  <c r="BL87" i="24"/>
  <c r="BT87" i="24" s="1"/>
  <c r="BS87" i="24"/>
  <c r="BS106" i="24"/>
  <c r="BL106" i="24"/>
  <c r="BT106" i="24" s="1"/>
  <c r="BS124" i="24"/>
  <c r="BL124" i="24"/>
  <c r="BT124" i="24" s="1"/>
  <c r="BS131" i="24"/>
  <c r="BL131" i="24"/>
  <c r="BT131" i="24" s="1"/>
  <c r="BS121" i="24"/>
  <c r="BL121" i="24"/>
  <c r="BT121" i="24" s="1"/>
  <c r="BL91" i="24"/>
  <c r="BT91" i="24" s="1"/>
  <c r="BS91" i="24"/>
  <c r="BL46" i="24"/>
  <c r="BT46" i="24" s="1"/>
  <c r="BS46" i="24"/>
  <c r="BS93" i="24"/>
  <c r="BL93" i="24"/>
  <c r="BT93" i="24" s="1"/>
  <c r="BS123" i="24"/>
  <c r="BL123" i="24"/>
  <c r="BT123" i="24" s="1"/>
  <c r="BS20" i="24"/>
  <c r="BL20" i="24"/>
  <c r="BT20" i="24" s="1"/>
  <c r="BS111" i="24"/>
  <c r="BL111" i="24"/>
  <c r="BT111" i="24" s="1"/>
  <c r="BS40" i="24"/>
  <c r="BL40" i="24"/>
  <c r="BT40" i="24" s="1"/>
  <c r="BS122" i="24"/>
  <c r="BL122" i="24"/>
  <c r="BT122" i="24" s="1"/>
  <c r="BS101" i="24"/>
  <c r="BL101" i="24"/>
  <c r="BT101" i="24" s="1"/>
  <c r="BR96" i="24"/>
  <c r="BK96" i="24"/>
  <c r="BL50" i="24"/>
  <c r="BT50" i="24" s="1"/>
  <c r="BS50" i="24"/>
  <c r="BS128" i="24"/>
  <c r="BL128" i="24"/>
  <c r="BT128" i="24" s="1"/>
  <c r="BS89" i="24"/>
  <c r="BL89" i="24"/>
  <c r="BT89" i="24" s="1"/>
  <c r="BR90" i="24"/>
  <c r="BK90" i="24"/>
  <c r="BL52" i="24"/>
  <c r="BT52" i="24" s="1"/>
  <c r="BS52" i="24"/>
  <c r="BS125" i="24"/>
  <c r="BL125" i="24"/>
  <c r="BT125" i="24" s="1"/>
  <c r="BS110" i="24"/>
  <c r="BL110" i="24"/>
  <c r="BT110" i="24" s="1"/>
  <c r="BK59" i="24"/>
  <c r="BR59" i="24"/>
  <c r="BL31" i="24"/>
  <c r="BT31" i="24" s="1"/>
  <c r="BS31" i="24"/>
  <c r="BL42" i="24"/>
  <c r="BT42" i="24" s="1"/>
  <c r="BS42" i="24"/>
  <c r="BS114" i="24"/>
  <c r="BL114" i="24"/>
  <c r="BT114" i="24" s="1"/>
  <c r="BS66" i="24" l="1"/>
  <c r="BL66" i="24"/>
  <c r="BT66" i="24" s="1"/>
  <c r="BS34" i="24"/>
  <c r="BL34" i="24"/>
  <c r="BT34" i="24" s="1"/>
  <c r="BS45" i="24"/>
  <c r="BL45" i="24"/>
  <c r="BT45" i="24" s="1"/>
  <c r="BS78" i="24"/>
  <c r="BL78" i="24"/>
  <c r="BT78" i="24" s="1"/>
  <c r="BL26" i="24"/>
  <c r="BT26" i="24" s="1"/>
  <c r="BS26" i="24"/>
  <c r="BS102" i="24"/>
  <c r="BL102" i="24"/>
  <c r="BT102" i="24" s="1"/>
  <c r="BS38" i="24"/>
  <c r="BL38" i="24"/>
  <c r="BT38" i="24" s="1"/>
  <c r="BS10" i="24"/>
  <c r="BL10" i="24"/>
  <c r="BT10" i="24" s="1"/>
  <c r="BL30" i="24"/>
  <c r="BT30" i="24" s="1"/>
  <c r="BS30" i="24"/>
  <c r="BS104" i="24"/>
  <c r="BL104" i="24"/>
  <c r="BT104" i="24" s="1"/>
  <c r="BS72" i="24"/>
  <c r="BL72" i="24"/>
  <c r="BT72" i="24" s="1"/>
  <c r="BS32" i="24"/>
  <c r="BL32" i="24"/>
  <c r="BT32" i="24" s="1"/>
  <c r="BL88" i="24"/>
  <c r="BT88" i="24" s="1"/>
  <c r="BS88" i="24"/>
  <c r="BS108" i="24"/>
  <c r="BL108" i="24"/>
  <c r="BT108" i="24" s="1"/>
  <c r="BS71" i="24"/>
  <c r="BL71" i="24"/>
  <c r="BT71" i="24" s="1"/>
  <c r="BS100" i="24"/>
  <c r="BL100" i="24"/>
  <c r="BT100" i="24" s="1"/>
  <c r="BS59" i="24"/>
  <c r="BL59" i="24"/>
  <c r="BT59" i="24" s="1"/>
  <c r="BL24" i="24"/>
  <c r="BT24" i="24" s="1"/>
  <c r="BS24" i="24"/>
  <c r="BL56" i="24"/>
  <c r="BT56" i="24" s="1"/>
  <c r="BS56" i="24"/>
  <c r="BS90" i="24"/>
  <c r="BL90" i="24"/>
  <c r="BT90" i="24" s="1"/>
  <c r="BS98" i="24"/>
  <c r="BL98" i="24"/>
  <c r="BT98" i="24" s="1"/>
  <c r="BS36" i="24"/>
  <c r="BL36" i="24"/>
  <c r="BT36" i="24" s="1"/>
  <c r="BS96" i="24"/>
  <c r="BL96" i="24"/>
  <c r="BT96" i="24" s="1"/>
  <c r="E16" i="23" l="1"/>
  <c r="K16" i="23" s="1"/>
  <c r="F16" i="23"/>
  <c r="L16" i="23" s="1"/>
  <c r="G16" i="23"/>
  <c r="M16" i="23" s="1"/>
  <c r="H16" i="23"/>
  <c r="I16" i="23"/>
  <c r="D16" i="23"/>
  <c r="O16" i="23" s="1"/>
  <c r="AM138" i="22"/>
  <c r="AK138" i="22"/>
  <c r="AJ138" i="22"/>
  <c r="AN7" i="22"/>
  <c r="AN138" i="22" s="1"/>
  <c r="O15" i="23"/>
  <c r="N15" i="23"/>
  <c r="M15" i="23"/>
  <c r="L15" i="23"/>
  <c r="K15" i="23"/>
  <c r="J15" i="23"/>
  <c r="O14" i="23"/>
  <c r="N14" i="23"/>
  <c r="M14" i="23"/>
  <c r="L14" i="23"/>
  <c r="K14" i="23"/>
  <c r="J14" i="23"/>
  <c r="O13" i="23"/>
  <c r="N13" i="23"/>
  <c r="M13" i="23"/>
  <c r="L13" i="23"/>
  <c r="K13" i="23"/>
  <c r="J13" i="23"/>
  <c r="O12" i="23"/>
  <c r="N12" i="23"/>
  <c r="M12" i="23"/>
  <c r="L12" i="23"/>
  <c r="K12" i="23"/>
  <c r="J12" i="23"/>
  <c r="O11" i="23"/>
  <c r="N11" i="23"/>
  <c r="M11" i="23"/>
  <c r="L11" i="23"/>
  <c r="K11" i="23"/>
  <c r="J11" i="23"/>
  <c r="O10" i="23"/>
  <c r="N10" i="23"/>
  <c r="M10" i="23"/>
  <c r="L10" i="23"/>
  <c r="K10" i="23"/>
  <c r="J10" i="23"/>
  <c r="O9" i="23"/>
  <c r="N9" i="23"/>
  <c r="M9" i="23"/>
  <c r="L9" i="23"/>
  <c r="K9" i="23"/>
  <c r="J9" i="23"/>
  <c r="O8" i="23"/>
  <c r="N8" i="23"/>
  <c r="M8" i="23"/>
  <c r="L8" i="23"/>
  <c r="K8" i="23"/>
  <c r="J8" i="23"/>
  <c r="O7" i="23"/>
  <c r="N7" i="23"/>
  <c r="M7" i="23"/>
  <c r="L7" i="23"/>
  <c r="K7" i="23"/>
  <c r="J7" i="23"/>
  <c r="O6" i="23"/>
  <c r="N6" i="23"/>
  <c r="M6" i="23"/>
  <c r="L6" i="23"/>
  <c r="K6" i="23"/>
  <c r="J6" i="23"/>
  <c r="J16" i="23" l="1"/>
  <c r="N16" i="23"/>
  <c r="AE132" i="22"/>
  <c r="AD132" i="22"/>
  <c r="AC132" i="22"/>
  <c r="Z132" i="22"/>
  <c r="Y132" i="22"/>
  <c r="X132" i="22"/>
  <c r="U132" i="22"/>
  <c r="T132" i="22"/>
  <c r="S132" i="22"/>
  <c r="P132" i="22"/>
  <c r="O132" i="22"/>
  <c r="N132" i="22"/>
  <c r="AE131" i="22"/>
  <c r="AD131" i="22"/>
  <c r="AC131" i="22"/>
  <c r="Z131" i="22"/>
  <c r="Y131" i="22"/>
  <c r="X131" i="22"/>
  <c r="U131" i="22"/>
  <c r="T131" i="22"/>
  <c r="S131" i="22"/>
  <c r="P131" i="22"/>
  <c r="O131" i="22"/>
  <c r="N131" i="22"/>
  <c r="AE130" i="22"/>
  <c r="AD130" i="22"/>
  <c r="AC130" i="22"/>
  <c r="Z130" i="22"/>
  <c r="Y130" i="22"/>
  <c r="X130" i="22"/>
  <c r="U130" i="22"/>
  <c r="T130" i="22"/>
  <c r="S130" i="22"/>
  <c r="P130" i="22"/>
  <c r="O130" i="22"/>
  <c r="N130" i="22"/>
  <c r="AE129" i="22"/>
  <c r="AD129" i="22"/>
  <c r="AC129" i="22"/>
  <c r="Z129" i="22"/>
  <c r="Y129" i="22"/>
  <c r="X129" i="22"/>
  <c r="U129" i="22"/>
  <c r="T129" i="22"/>
  <c r="S129" i="22"/>
  <c r="P129" i="22"/>
  <c r="O129" i="22"/>
  <c r="N129" i="22"/>
  <c r="AE128" i="22"/>
  <c r="AD128" i="22"/>
  <c r="AC128" i="22"/>
  <c r="Z128" i="22"/>
  <c r="Y128" i="22"/>
  <c r="X128" i="22"/>
  <c r="U128" i="22"/>
  <c r="T128" i="22"/>
  <c r="S128" i="22"/>
  <c r="P128" i="22"/>
  <c r="O128" i="22"/>
  <c r="N128" i="22"/>
  <c r="AE127" i="22"/>
  <c r="AD127" i="22"/>
  <c r="AC127" i="22"/>
  <c r="Z127" i="22"/>
  <c r="Y127" i="22"/>
  <c r="X127" i="22"/>
  <c r="U127" i="22"/>
  <c r="T127" i="22"/>
  <c r="S127" i="22"/>
  <c r="P127" i="22"/>
  <c r="O127" i="22"/>
  <c r="N127" i="22"/>
  <c r="AE126" i="22"/>
  <c r="AD126" i="22"/>
  <c r="AC126" i="22"/>
  <c r="Z126" i="22"/>
  <c r="Y126" i="22"/>
  <c r="X126" i="22"/>
  <c r="U126" i="22"/>
  <c r="T126" i="22"/>
  <c r="S126" i="22"/>
  <c r="P126" i="22"/>
  <c r="O126" i="22"/>
  <c r="N126" i="22"/>
  <c r="AE125" i="22"/>
  <c r="AD125" i="22"/>
  <c r="AC125" i="22"/>
  <c r="Z125" i="22"/>
  <c r="Y125" i="22"/>
  <c r="X125" i="22"/>
  <c r="U125" i="22"/>
  <c r="T125" i="22"/>
  <c r="S125" i="22"/>
  <c r="P125" i="22"/>
  <c r="O125" i="22"/>
  <c r="N125" i="22"/>
  <c r="AE124" i="22"/>
  <c r="AD124" i="22"/>
  <c r="AC124" i="22"/>
  <c r="Z124" i="22"/>
  <c r="Y124" i="22"/>
  <c r="X124" i="22"/>
  <c r="U124" i="22"/>
  <c r="T124" i="22"/>
  <c r="S124" i="22"/>
  <c r="P124" i="22"/>
  <c r="O124" i="22"/>
  <c r="N124" i="22"/>
  <c r="AE123" i="22"/>
  <c r="AD123" i="22"/>
  <c r="AC123" i="22"/>
  <c r="Z123" i="22"/>
  <c r="Y123" i="22"/>
  <c r="X123" i="22"/>
  <c r="U123" i="22"/>
  <c r="T123" i="22"/>
  <c r="S123" i="22"/>
  <c r="P123" i="22"/>
  <c r="O123" i="22"/>
  <c r="N123" i="22"/>
  <c r="AE122" i="22"/>
  <c r="AD122" i="22"/>
  <c r="AC122" i="22"/>
  <c r="Z122" i="22"/>
  <c r="Y122" i="22"/>
  <c r="X122" i="22"/>
  <c r="U122" i="22"/>
  <c r="T122" i="22"/>
  <c r="S122" i="22"/>
  <c r="P122" i="22"/>
  <c r="O122" i="22"/>
  <c r="N122" i="22"/>
  <c r="AE121" i="22"/>
  <c r="AD121" i="22"/>
  <c r="AC121" i="22"/>
  <c r="Z121" i="22"/>
  <c r="Y121" i="22"/>
  <c r="X121" i="22"/>
  <c r="U121" i="22"/>
  <c r="T121" i="22"/>
  <c r="S121" i="22"/>
  <c r="P121" i="22"/>
  <c r="O121" i="22"/>
  <c r="N121" i="22"/>
  <c r="AE120" i="22"/>
  <c r="AD120" i="22"/>
  <c r="AC120" i="22"/>
  <c r="Z120" i="22"/>
  <c r="Y120" i="22"/>
  <c r="X120" i="22"/>
  <c r="U120" i="22"/>
  <c r="T120" i="22"/>
  <c r="S120" i="22"/>
  <c r="P120" i="22"/>
  <c r="O120" i="22"/>
  <c r="N120" i="22"/>
  <c r="AE119" i="22"/>
  <c r="AD119" i="22"/>
  <c r="AC119" i="22"/>
  <c r="Z119" i="22"/>
  <c r="Y119" i="22"/>
  <c r="X119" i="22"/>
  <c r="U119" i="22"/>
  <c r="T119" i="22"/>
  <c r="S119" i="22"/>
  <c r="P119" i="22"/>
  <c r="O119" i="22"/>
  <c r="N119" i="22"/>
  <c r="AE118" i="22"/>
  <c r="AD118" i="22"/>
  <c r="AC118" i="22"/>
  <c r="Z118" i="22"/>
  <c r="Y118" i="22"/>
  <c r="X118" i="22"/>
  <c r="U118" i="22"/>
  <c r="T118" i="22"/>
  <c r="S118" i="22"/>
  <c r="P118" i="22"/>
  <c r="O118" i="22"/>
  <c r="N118" i="22"/>
  <c r="AE117" i="22"/>
  <c r="AD117" i="22"/>
  <c r="AC117" i="22"/>
  <c r="Z117" i="22"/>
  <c r="Y117" i="22"/>
  <c r="X117" i="22"/>
  <c r="U117" i="22"/>
  <c r="T117" i="22"/>
  <c r="S117" i="22"/>
  <c r="P117" i="22"/>
  <c r="O117" i="22"/>
  <c r="N117" i="22"/>
  <c r="AE116" i="22"/>
  <c r="AD116" i="22"/>
  <c r="AC116" i="22"/>
  <c r="Z116" i="22"/>
  <c r="Y116" i="22"/>
  <c r="X116" i="22"/>
  <c r="U116" i="22"/>
  <c r="T116" i="22"/>
  <c r="S116" i="22"/>
  <c r="P116" i="22"/>
  <c r="O116" i="22"/>
  <c r="N116" i="22"/>
  <c r="AE115" i="22"/>
  <c r="AD115" i="22"/>
  <c r="AC115" i="22"/>
  <c r="Z115" i="22"/>
  <c r="Y115" i="22"/>
  <c r="X115" i="22"/>
  <c r="U115" i="22"/>
  <c r="T115" i="22"/>
  <c r="S115" i="22"/>
  <c r="P115" i="22"/>
  <c r="O115" i="22"/>
  <c r="N115" i="22"/>
  <c r="AE114" i="22"/>
  <c r="AD114" i="22"/>
  <c r="AC114" i="22"/>
  <c r="Z114" i="22"/>
  <c r="Y114" i="22"/>
  <c r="X114" i="22"/>
  <c r="U114" i="22"/>
  <c r="T114" i="22"/>
  <c r="S114" i="22"/>
  <c r="P114" i="22"/>
  <c r="O114" i="22"/>
  <c r="N114" i="22"/>
  <c r="AE113" i="22"/>
  <c r="AD113" i="22"/>
  <c r="AC113" i="22"/>
  <c r="Z113" i="22"/>
  <c r="Y113" i="22"/>
  <c r="X113" i="22"/>
  <c r="U113" i="22"/>
  <c r="T113" i="22"/>
  <c r="S113" i="22"/>
  <c r="P113" i="22"/>
  <c r="O113" i="22"/>
  <c r="N113" i="22"/>
  <c r="AE112" i="22"/>
  <c r="AD112" i="22"/>
  <c r="AC112" i="22"/>
  <c r="Z112" i="22"/>
  <c r="Y112" i="22"/>
  <c r="X112" i="22"/>
  <c r="U112" i="22"/>
  <c r="T112" i="22"/>
  <c r="S112" i="22"/>
  <c r="P112" i="22"/>
  <c r="O112" i="22"/>
  <c r="N112" i="22"/>
  <c r="AE111" i="22"/>
  <c r="AD111" i="22"/>
  <c r="AC111" i="22"/>
  <c r="Z111" i="22"/>
  <c r="Y111" i="22"/>
  <c r="X111" i="22"/>
  <c r="U111" i="22"/>
  <c r="T111" i="22"/>
  <c r="S111" i="22"/>
  <c r="P111" i="22"/>
  <c r="O111" i="22"/>
  <c r="N111" i="22"/>
  <c r="AE110" i="22"/>
  <c r="AD110" i="22"/>
  <c r="AC110" i="22"/>
  <c r="Z110" i="22"/>
  <c r="Y110" i="22"/>
  <c r="X110" i="22"/>
  <c r="U110" i="22"/>
  <c r="T110" i="22"/>
  <c r="S110" i="22"/>
  <c r="P110" i="22"/>
  <c r="O110" i="22"/>
  <c r="N110" i="22"/>
  <c r="AE109" i="22"/>
  <c r="AD109" i="22"/>
  <c r="AC109" i="22"/>
  <c r="Z109" i="22"/>
  <c r="Y109" i="22"/>
  <c r="X109" i="22"/>
  <c r="U109" i="22"/>
  <c r="T109" i="22"/>
  <c r="S109" i="22"/>
  <c r="P109" i="22"/>
  <c r="O109" i="22"/>
  <c r="N109" i="22"/>
  <c r="AE108" i="22"/>
  <c r="AD108" i="22"/>
  <c r="AC108" i="22"/>
  <c r="Z108" i="22"/>
  <c r="Y108" i="22"/>
  <c r="X108" i="22"/>
  <c r="U108" i="22"/>
  <c r="T108" i="22"/>
  <c r="S108" i="22"/>
  <c r="P108" i="22"/>
  <c r="O108" i="22"/>
  <c r="N108" i="22"/>
  <c r="AE107" i="22"/>
  <c r="AD107" i="22"/>
  <c r="AC107" i="22"/>
  <c r="Z107" i="22"/>
  <c r="Y107" i="22"/>
  <c r="X107" i="22"/>
  <c r="U107" i="22"/>
  <c r="T107" i="22"/>
  <c r="S107" i="22"/>
  <c r="P107" i="22"/>
  <c r="O107" i="22"/>
  <c r="N107" i="22"/>
  <c r="AE106" i="22"/>
  <c r="AD106" i="22"/>
  <c r="AC106" i="22"/>
  <c r="Z106" i="22"/>
  <c r="Y106" i="22"/>
  <c r="X106" i="22"/>
  <c r="U106" i="22"/>
  <c r="T106" i="22"/>
  <c r="S106" i="22"/>
  <c r="P106" i="22"/>
  <c r="O106" i="22"/>
  <c r="N106" i="22"/>
  <c r="AE105" i="22"/>
  <c r="AD105" i="22"/>
  <c r="AC105" i="22"/>
  <c r="Z105" i="22"/>
  <c r="Y105" i="22"/>
  <c r="X105" i="22"/>
  <c r="U105" i="22"/>
  <c r="T105" i="22"/>
  <c r="S105" i="22"/>
  <c r="P105" i="22"/>
  <c r="O105" i="22"/>
  <c r="N105" i="22"/>
  <c r="AE104" i="22"/>
  <c r="AD104" i="22"/>
  <c r="AC104" i="22"/>
  <c r="Z104" i="22"/>
  <c r="Y104" i="22"/>
  <c r="X104" i="22"/>
  <c r="U104" i="22"/>
  <c r="T104" i="22"/>
  <c r="S104" i="22"/>
  <c r="P104" i="22"/>
  <c r="O104" i="22"/>
  <c r="N104" i="22"/>
  <c r="AE103" i="22"/>
  <c r="AD103" i="22"/>
  <c r="AC103" i="22"/>
  <c r="Z103" i="22"/>
  <c r="Y103" i="22"/>
  <c r="X103" i="22"/>
  <c r="U103" i="22"/>
  <c r="T103" i="22"/>
  <c r="S103" i="22"/>
  <c r="P103" i="22"/>
  <c r="O103" i="22"/>
  <c r="N103" i="22"/>
  <c r="AE102" i="22"/>
  <c r="AD102" i="22"/>
  <c r="AC102" i="22"/>
  <c r="Z102" i="22"/>
  <c r="Y102" i="22"/>
  <c r="X102" i="22"/>
  <c r="U102" i="22"/>
  <c r="T102" i="22"/>
  <c r="S102" i="22"/>
  <c r="P102" i="22"/>
  <c r="O102" i="22"/>
  <c r="N102" i="22"/>
  <c r="AE101" i="22"/>
  <c r="AD101" i="22"/>
  <c r="AC101" i="22"/>
  <c r="Z101" i="22"/>
  <c r="Y101" i="22"/>
  <c r="X101" i="22"/>
  <c r="U101" i="22"/>
  <c r="T101" i="22"/>
  <c r="S101" i="22"/>
  <c r="P101" i="22"/>
  <c r="O101" i="22"/>
  <c r="N101" i="22"/>
  <c r="AE100" i="22"/>
  <c r="AD100" i="22"/>
  <c r="AC100" i="22"/>
  <c r="Z100" i="22"/>
  <c r="Y100" i="22"/>
  <c r="X100" i="22"/>
  <c r="U100" i="22"/>
  <c r="T100" i="22"/>
  <c r="S100" i="22"/>
  <c r="P100" i="22"/>
  <c r="O100" i="22"/>
  <c r="N100" i="22"/>
  <c r="AE99" i="22"/>
  <c r="AD99" i="22"/>
  <c r="AC99" i="22"/>
  <c r="Z99" i="22"/>
  <c r="Y99" i="22"/>
  <c r="X99" i="22"/>
  <c r="U99" i="22"/>
  <c r="T99" i="22"/>
  <c r="S99" i="22"/>
  <c r="P99" i="22"/>
  <c r="O99" i="22"/>
  <c r="N99" i="22"/>
  <c r="AE98" i="22"/>
  <c r="AD98" i="22"/>
  <c r="AC98" i="22"/>
  <c r="Z98" i="22"/>
  <c r="Y98" i="22"/>
  <c r="X98" i="22"/>
  <c r="U98" i="22"/>
  <c r="T98" i="22"/>
  <c r="S98" i="22"/>
  <c r="P98" i="22"/>
  <c r="O98" i="22"/>
  <c r="N98" i="22"/>
  <c r="AE97" i="22"/>
  <c r="AD97" i="22"/>
  <c r="AC97" i="22"/>
  <c r="Z97" i="22"/>
  <c r="Y97" i="22"/>
  <c r="X97" i="22"/>
  <c r="U97" i="22"/>
  <c r="T97" i="22"/>
  <c r="S97" i="22"/>
  <c r="P97" i="22"/>
  <c r="O97" i="22"/>
  <c r="N97" i="22"/>
  <c r="AE96" i="22"/>
  <c r="AD96" i="22"/>
  <c r="AC96" i="22"/>
  <c r="Z96" i="22"/>
  <c r="Y96" i="22"/>
  <c r="X96" i="22"/>
  <c r="U96" i="22"/>
  <c r="T96" i="22"/>
  <c r="S96" i="22"/>
  <c r="P96" i="22"/>
  <c r="O96" i="22"/>
  <c r="N96" i="22"/>
  <c r="AE95" i="22"/>
  <c r="AD95" i="22"/>
  <c r="AC95" i="22"/>
  <c r="Z95" i="22"/>
  <c r="Y95" i="22"/>
  <c r="X95" i="22"/>
  <c r="U95" i="22"/>
  <c r="T95" i="22"/>
  <c r="S95" i="22"/>
  <c r="P95" i="22"/>
  <c r="O95" i="22"/>
  <c r="N95" i="22"/>
  <c r="AE94" i="22"/>
  <c r="AD94" i="22"/>
  <c r="AC94" i="22"/>
  <c r="Z94" i="22"/>
  <c r="Y94" i="22"/>
  <c r="X94" i="22"/>
  <c r="U94" i="22"/>
  <c r="T94" i="22"/>
  <c r="S94" i="22"/>
  <c r="P94" i="22"/>
  <c r="O94" i="22"/>
  <c r="N94" i="22"/>
  <c r="AE93" i="22"/>
  <c r="AD93" i="22"/>
  <c r="AC93" i="22"/>
  <c r="Z93" i="22"/>
  <c r="Y93" i="22"/>
  <c r="X93" i="22"/>
  <c r="U93" i="22"/>
  <c r="T93" i="22"/>
  <c r="S93" i="22"/>
  <c r="P93" i="22"/>
  <c r="O93" i="22"/>
  <c r="N93" i="22"/>
  <c r="AE92" i="22"/>
  <c r="AD92" i="22"/>
  <c r="AC92" i="22"/>
  <c r="Z92" i="22"/>
  <c r="Y92" i="22"/>
  <c r="X92" i="22"/>
  <c r="U92" i="22"/>
  <c r="T92" i="22"/>
  <c r="S92" i="22"/>
  <c r="P92" i="22"/>
  <c r="O92" i="22"/>
  <c r="N92" i="22"/>
  <c r="AE91" i="22"/>
  <c r="AD91" i="22"/>
  <c r="AC91" i="22"/>
  <c r="Z91" i="22"/>
  <c r="Y91" i="22"/>
  <c r="X91" i="22"/>
  <c r="U91" i="22"/>
  <c r="T91" i="22"/>
  <c r="S91" i="22"/>
  <c r="P91" i="22"/>
  <c r="O91" i="22"/>
  <c r="N91" i="22"/>
  <c r="AE90" i="22"/>
  <c r="AD90" i="22"/>
  <c r="AC90" i="22"/>
  <c r="Z90" i="22"/>
  <c r="Y90" i="22"/>
  <c r="X90" i="22"/>
  <c r="U90" i="22"/>
  <c r="T90" i="22"/>
  <c r="S90" i="22"/>
  <c r="P90" i="22"/>
  <c r="O90" i="22"/>
  <c r="N90" i="22"/>
  <c r="AE89" i="22"/>
  <c r="AD89" i="22"/>
  <c r="AC89" i="22"/>
  <c r="Z89" i="22"/>
  <c r="Y89" i="22"/>
  <c r="X89" i="22"/>
  <c r="U89" i="22"/>
  <c r="T89" i="22"/>
  <c r="S89" i="22"/>
  <c r="P89" i="22"/>
  <c r="O89" i="22"/>
  <c r="N89" i="22"/>
  <c r="AE88" i="22"/>
  <c r="AD88" i="22"/>
  <c r="AC88" i="22"/>
  <c r="Z88" i="22"/>
  <c r="Y88" i="22"/>
  <c r="X88" i="22"/>
  <c r="U88" i="22"/>
  <c r="T88" i="22"/>
  <c r="S88" i="22"/>
  <c r="P88" i="22"/>
  <c r="O88" i="22"/>
  <c r="N88" i="22"/>
  <c r="AE87" i="22"/>
  <c r="AD87" i="22"/>
  <c r="AC87" i="22"/>
  <c r="Z87" i="22"/>
  <c r="Y87" i="22"/>
  <c r="X87" i="22"/>
  <c r="U87" i="22"/>
  <c r="T87" i="22"/>
  <c r="S87" i="22"/>
  <c r="P87" i="22"/>
  <c r="O87" i="22"/>
  <c r="N87" i="22"/>
  <c r="AE86" i="22"/>
  <c r="AD86" i="22"/>
  <c r="AC86" i="22"/>
  <c r="Z86" i="22"/>
  <c r="Y86" i="22"/>
  <c r="X86" i="22"/>
  <c r="U86" i="22"/>
  <c r="T86" i="22"/>
  <c r="S86" i="22"/>
  <c r="P86" i="22"/>
  <c r="O86" i="22"/>
  <c r="N86" i="22"/>
  <c r="AE85" i="22"/>
  <c r="AD85" i="22"/>
  <c r="AC85" i="22"/>
  <c r="Z85" i="22"/>
  <c r="Y85" i="22"/>
  <c r="X85" i="22"/>
  <c r="U85" i="22"/>
  <c r="T85" i="22"/>
  <c r="S85" i="22"/>
  <c r="P85" i="22"/>
  <c r="O85" i="22"/>
  <c r="N85" i="22"/>
  <c r="AE84" i="22"/>
  <c r="AD84" i="22"/>
  <c r="AC84" i="22"/>
  <c r="Z84" i="22"/>
  <c r="Y84" i="22"/>
  <c r="X84" i="22"/>
  <c r="U84" i="22"/>
  <c r="T84" i="22"/>
  <c r="S84" i="22"/>
  <c r="P84" i="22"/>
  <c r="O84" i="22"/>
  <c r="N84" i="22"/>
  <c r="AE83" i="22"/>
  <c r="AD83" i="22"/>
  <c r="AC83" i="22"/>
  <c r="Z83" i="22"/>
  <c r="Y83" i="22"/>
  <c r="X83" i="22"/>
  <c r="U83" i="22"/>
  <c r="T83" i="22"/>
  <c r="S83" i="22"/>
  <c r="P83" i="22"/>
  <c r="O83" i="22"/>
  <c r="N83" i="22"/>
  <c r="AE82" i="22"/>
  <c r="AD82" i="22"/>
  <c r="AC82" i="22"/>
  <c r="Z82" i="22"/>
  <c r="Y82" i="22"/>
  <c r="X82" i="22"/>
  <c r="U82" i="22"/>
  <c r="T82" i="22"/>
  <c r="S82" i="22"/>
  <c r="P82" i="22"/>
  <c r="O82" i="22"/>
  <c r="N82" i="22"/>
  <c r="AE81" i="22"/>
  <c r="AD81" i="22"/>
  <c r="AC81" i="22"/>
  <c r="Z81" i="22"/>
  <c r="Y81" i="22"/>
  <c r="X81" i="22"/>
  <c r="U81" i="22"/>
  <c r="T81" i="22"/>
  <c r="S81" i="22"/>
  <c r="P81" i="22"/>
  <c r="O81" i="22"/>
  <c r="N81" i="22"/>
  <c r="AE80" i="22"/>
  <c r="AD80" i="22"/>
  <c r="AC80" i="22"/>
  <c r="Z80" i="22"/>
  <c r="Y80" i="22"/>
  <c r="X80" i="22"/>
  <c r="U80" i="22"/>
  <c r="T80" i="22"/>
  <c r="S80" i="22"/>
  <c r="P80" i="22"/>
  <c r="O80" i="22"/>
  <c r="N80" i="22"/>
  <c r="AE79" i="22"/>
  <c r="AD79" i="22"/>
  <c r="AC79" i="22"/>
  <c r="Z79" i="22"/>
  <c r="Y79" i="22"/>
  <c r="X79" i="22"/>
  <c r="U79" i="22"/>
  <c r="T79" i="22"/>
  <c r="S79" i="22"/>
  <c r="P79" i="22"/>
  <c r="O79" i="22"/>
  <c r="N79" i="22"/>
  <c r="AE78" i="22"/>
  <c r="AD78" i="22"/>
  <c r="AC78" i="22"/>
  <c r="Z78" i="22"/>
  <c r="Y78" i="22"/>
  <c r="X78" i="22"/>
  <c r="U78" i="22"/>
  <c r="T78" i="22"/>
  <c r="S78" i="22"/>
  <c r="P78" i="22"/>
  <c r="O78" i="22"/>
  <c r="N78" i="22"/>
  <c r="AE77" i="22"/>
  <c r="AD77" i="22"/>
  <c r="AC77" i="22"/>
  <c r="Z77" i="22"/>
  <c r="Y77" i="22"/>
  <c r="X77" i="22"/>
  <c r="U77" i="22"/>
  <c r="T77" i="22"/>
  <c r="S77" i="22"/>
  <c r="P77" i="22"/>
  <c r="O77" i="22"/>
  <c r="N77" i="22"/>
  <c r="AE76" i="22"/>
  <c r="AD76" i="22"/>
  <c r="AC76" i="22"/>
  <c r="Z76" i="22"/>
  <c r="Y76" i="22"/>
  <c r="X76" i="22"/>
  <c r="U76" i="22"/>
  <c r="T76" i="22"/>
  <c r="S76" i="22"/>
  <c r="P76" i="22"/>
  <c r="O76" i="22"/>
  <c r="N76" i="22"/>
  <c r="AE75" i="22"/>
  <c r="AD75" i="22"/>
  <c r="AC75" i="22"/>
  <c r="Z75" i="22"/>
  <c r="Y75" i="22"/>
  <c r="X75" i="22"/>
  <c r="U75" i="22"/>
  <c r="T75" i="22"/>
  <c r="S75" i="22"/>
  <c r="P75" i="22"/>
  <c r="O75" i="22"/>
  <c r="N75" i="22"/>
  <c r="AE74" i="22"/>
  <c r="AD74" i="22"/>
  <c r="AC74" i="22"/>
  <c r="Z74" i="22"/>
  <c r="Y74" i="22"/>
  <c r="X74" i="22"/>
  <c r="U74" i="22"/>
  <c r="T74" i="22"/>
  <c r="S74" i="22"/>
  <c r="P74" i="22"/>
  <c r="O74" i="22"/>
  <c r="N74" i="22"/>
  <c r="AE73" i="22"/>
  <c r="AD73" i="22"/>
  <c r="AC73" i="22"/>
  <c r="Z73" i="22"/>
  <c r="Y73" i="22"/>
  <c r="X73" i="22"/>
  <c r="U73" i="22"/>
  <c r="T73" i="22"/>
  <c r="S73" i="22"/>
  <c r="P73" i="22"/>
  <c r="O73" i="22"/>
  <c r="N73" i="22"/>
  <c r="AE72" i="22"/>
  <c r="AD72" i="22"/>
  <c r="AC72" i="22"/>
  <c r="Z72" i="22"/>
  <c r="Y72" i="22"/>
  <c r="X72" i="22"/>
  <c r="U72" i="22"/>
  <c r="T72" i="22"/>
  <c r="S72" i="22"/>
  <c r="P72" i="22"/>
  <c r="O72" i="22"/>
  <c r="N72" i="22"/>
  <c r="AE71" i="22"/>
  <c r="AD71" i="22"/>
  <c r="AC71" i="22"/>
  <c r="Z71" i="22"/>
  <c r="Y71" i="22"/>
  <c r="X71" i="22"/>
  <c r="U71" i="22"/>
  <c r="T71" i="22"/>
  <c r="S71" i="22"/>
  <c r="P71" i="22"/>
  <c r="O71" i="22"/>
  <c r="N71" i="22"/>
  <c r="AE70" i="22"/>
  <c r="AD70" i="22"/>
  <c r="AC70" i="22"/>
  <c r="Z70" i="22"/>
  <c r="Y70" i="22"/>
  <c r="X70" i="22"/>
  <c r="U70" i="22"/>
  <c r="T70" i="22"/>
  <c r="S70" i="22"/>
  <c r="P70" i="22"/>
  <c r="O70" i="22"/>
  <c r="N70" i="22"/>
  <c r="AE69" i="22"/>
  <c r="AD69" i="22"/>
  <c r="AC69" i="22"/>
  <c r="Z69" i="22"/>
  <c r="Y69" i="22"/>
  <c r="X69" i="22"/>
  <c r="U69" i="22"/>
  <c r="T69" i="22"/>
  <c r="S69" i="22"/>
  <c r="P69" i="22"/>
  <c r="O69" i="22"/>
  <c r="N69" i="22"/>
  <c r="AE68" i="22"/>
  <c r="AD68" i="22"/>
  <c r="AC68" i="22"/>
  <c r="Z68" i="22"/>
  <c r="Y68" i="22"/>
  <c r="X68" i="22"/>
  <c r="U68" i="22"/>
  <c r="T68" i="22"/>
  <c r="S68" i="22"/>
  <c r="P68" i="22"/>
  <c r="O68" i="22"/>
  <c r="N68" i="22"/>
  <c r="AE67" i="22"/>
  <c r="AD67" i="22"/>
  <c r="AC67" i="22"/>
  <c r="Z67" i="22"/>
  <c r="Y67" i="22"/>
  <c r="X67" i="22"/>
  <c r="U67" i="22"/>
  <c r="T67" i="22"/>
  <c r="S67" i="22"/>
  <c r="P67" i="22"/>
  <c r="O67" i="22"/>
  <c r="N67" i="22"/>
  <c r="AE66" i="22"/>
  <c r="AD66" i="22"/>
  <c r="AC66" i="22"/>
  <c r="Z66" i="22"/>
  <c r="Y66" i="22"/>
  <c r="X66" i="22"/>
  <c r="U66" i="22"/>
  <c r="T66" i="22"/>
  <c r="S66" i="22"/>
  <c r="P66" i="22"/>
  <c r="O66" i="22"/>
  <c r="N66" i="22"/>
  <c r="AE65" i="22"/>
  <c r="AD65" i="22"/>
  <c r="AC65" i="22"/>
  <c r="Z65" i="22"/>
  <c r="Y65" i="22"/>
  <c r="X65" i="22"/>
  <c r="U65" i="22"/>
  <c r="T65" i="22"/>
  <c r="S65" i="22"/>
  <c r="P65" i="22"/>
  <c r="O65" i="22"/>
  <c r="N65" i="22"/>
  <c r="AE64" i="22"/>
  <c r="AD64" i="22"/>
  <c r="AC64" i="22"/>
  <c r="Z64" i="22"/>
  <c r="Y64" i="22"/>
  <c r="X64" i="22"/>
  <c r="U64" i="22"/>
  <c r="T64" i="22"/>
  <c r="S64" i="22"/>
  <c r="P64" i="22"/>
  <c r="O64" i="22"/>
  <c r="N64" i="22"/>
  <c r="AE63" i="22"/>
  <c r="AD63" i="22"/>
  <c r="AC63" i="22"/>
  <c r="Z63" i="22"/>
  <c r="Y63" i="22"/>
  <c r="X63" i="22"/>
  <c r="U63" i="22"/>
  <c r="T63" i="22"/>
  <c r="S63" i="22"/>
  <c r="P63" i="22"/>
  <c r="O63" i="22"/>
  <c r="N63" i="22"/>
  <c r="AE62" i="22"/>
  <c r="AD62" i="22"/>
  <c r="AC62" i="22"/>
  <c r="Z62" i="22"/>
  <c r="Y62" i="22"/>
  <c r="X62" i="22"/>
  <c r="U62" i="22"/>
  <c r="T62" i="22"/>
  <c r="S62" i="22"/>
  <c r="P62" i="22"/>
  <c r="O62" i="22"/>
  <c r="N62" i="22"/>
  <c r="AE61" i="22"/>
  <c r="AD61" i="22"/>
  <c r="AC61" i="22"/>
  <c r="Z61" i="22"/>
  <c r="Y61" i="22"/>
  <c r="X61" i="22"/>
  <c r="U61" i="22"/>
  <c r="T61" i="22"/>
  <c r="S61" i="22"/>
  <c r="P61" i="22"/>
  <c r="O61" i="22"/>
  <c r="N61" i="22"/>
  <c r="AE60" i="22"/>
  <c r="AD60" i="22"/>
  <c r="AC60" i="22"/>
  <c r="Z60" i="22"/>
  <c r="Y60" i="22"/>
  <c r="X60" i="22"/>
  <c r="U60" i="22"/>
  <c r="T60" i="22"/>
  <c r="S60" i="22"/>
  <c r="P60" i="22"/>
  <c r="O60" i="22"/>
  <c r="N60" i="22"/>
  <c r="AE59" i="22"/>
  <c r="AD59" i="22"/>
  <c r="AC59" i="22"/>
  <c r="Z59" i="22"/>
  <c r="Y59" i="22"/>
  <c r="X59" i="22"/>
  <c r="U59" i="22"/>
  <c r="T59" i="22"/>
  <c r="S59" i="22"/>
  <c r="P59" i="22"/>
  <c r="O59" i="22"/>
  <c r="N59" i="22"/>
  <c r="AE58" i="22"/>
  <c r="AD58" i="22"/>
  <c r="AC58" i="22"/>
  <c r="Z58" i="22"/>
  <c r="Y58" i="22"/>
  <c r="X58" i="22"/>
  <c r="U58" i="22"/>
  <c r="T58" i="22"/>
  <c r="S58" i="22"/>
  <c r="P58" i="22"/>
  <c r="O58" i="22"/>
  <c r="N58" i="22"/>
  <c r="AE57" i="22"/>
  <c r="AD57" i="22"/>
  <c r="AC57" i="22"/>
  <c r="Z57" i="22"/>
  <c r="Y57" i="22"/>
  <c r="X57" i="22"/>
  <c r="U57" i="22"/>
  <c r="T57" i="22"/>
  <c r="S57" i="22"/>
  <c r="P57" i="22"/>
  <c r="O57" i="22"/>
  <c r="N57" i="22"/>
  <c r="AE56" i="22"/>
  <c r="AD56" i="22"/>
  <c r="AC56" i="22"/>
  <c r="Z56" i="22"/>
  <c r="Y56" i="22"/>
  <c r="X56" i="22"/>
  <c r="U56" i="22"/>
  <c r="T56" i="22"/>
  <c r="S56" i="22"/>
  <c r="P56" i="22"/>
  <c r="O56" i="22"/>
  <c r="N56" i="22"/>
  <c r="AE55" i="22"/>
  <c r="AD55" i="22"/>
  <c r="AC55" i="22"/>
  <c r="Z55" i="22"/>
  <c r="Y55" i="22"/>
  <c r="X55" i="22"/>
  <c r="U55" i="22"/>
  <c r="T55" i="22"/>
  <c r="S55" i="22"/>
  <c r="P55" i="22"/>
  <c r="O55" i="22"/>
  <c r="N55" i="22"/>
  <c r="AE54" i="22"/>
  <c r="AD54" i="22"/>
  <c r="AC54" i="22"/>
  <c r="Z54" i="22"/>
  <c r="Y54" i="22"/>
  <c r="X54" i="22"/>
  <c r="U54" i="22"/>
  <c r="T54" i="22"/>
  <c r="S54" i="22"/>
  <c r="P54" i="22"/>
  <c r="O54" i="22"/>
  <c r="N54" i="22"/>
  <c r="AE53" i="22"/>
  <c r="AD53" i="22"/>
  <c r="AC53" i="22"/>
  <c r="Z53" i="22"/>
  <c r="Y53" i="22"/>
  <c r="X53" i="22"/>
  <c r="U53" i="22"/>
  <c r="T53" i="22"/>
  <c r="S53" i="22"/>
  <c r="P53" i="22"/>
  <c r="O53" i="22"/>
  <c r="N53" i="22"/>
  <c r="AE52" i="22"/>
  <c r="AD52" i="22"/>
  <c r="AC52" i="22"/>
  <c r="Z52" i="22"/>
  <c r="Y52" i="22"/>
  <c r="X52" i="22"/>
  <c r="U52" i="22"/>
  <c r="T52" i="22"/>
  <c r="S52" i="22"/>
  <c r="P52" i="22"/>
  <c r="O52" i="22"/>
  <c r="N52" i="22"/>
  <c r="AE51" i="22"/>
  <c r="AD51" i="22"/>
  <c r="AC51" i="22"/>
  <c r="Z51" i="22"/>
  <c r="Y51" i="22"/>
  <c r="X51" i="22"/>
  <c r="U51" i="22"/>
  <c r="T51" i="22"/>
  <c r="S51" i="22"/>
  <c r="P51" i="22"/>
  <c r="O51" i="22"/>
  <c r="N51" i="22"/>
  <c r="AE50" i="22"/>
  <c r="AD50" i="22"/>
  <c r="AC50" i="22"/>
  <c r="Z50" i="22"/>
  <c r="Y50" i="22"/>
  <c r="X50" i="22"/>
  <c r="U50" i="22"/>
  <c r="T50" i="22"/>
  <c r="S50" i="22"/>
  <c r="P50" i="22"/>
  <c r="O50" i="22"/>
  <c r="N50" i="22"/>
  <c r="AE49" i="22"/>
  <c r="AD49" i="22"/>
  <c r="AC49" i="22"/>
  <c r="Z49" i="22"/>
  <c r="Y49" i="22"/>
  <c r="X49" i="22"/>
  <c r="U49" i="22"/>
  <c r="T49" i="22"/>
  <c r="S49" i="22"/>
  <c r="P49" i="22"/>
  <c r="O49" i="22"/>
  <c r="N49" i="22"/>
  <c r="AE48" i="22"/>
  <c r="AD48" i="22"/>
  <c r="AC48" i="22"/>
  <c r="Z48" i="22"/>
  <c r="Y48" i="22"/>
  <c r="X48" i="22"/>
  <c r="U48" i="22"/>
  <c r="T48" i="22"/>
  <c r="S48" i="22"/>
  <c r="P48" i="22"/>
  <c r="O48" i="22"/>
  <c r="N48" i="22"/>
  <c r="AE47" i="22"/>
  <c r="AD47" i="22"/>
  <c r="AC47" i="22"/>
  <c r="Z47" i="22"/>
  <c r="Y47" i="22"/>
  <c r="X47" i="22"/>
  <c r="U47" i="22"/>
  <c r="T47" i="22"/>
  <c r="S47" i="22"/>
  <c r="P47" i="22"/>
  <c r="O47" i="22"/>
  <c r="N47" i="22"/>
  <c r="AE46" i="22"/>
  <c r="AD46" i="22"/>
  <c r="AC46" i="22"/>
  <c r="Z46" i="22"/>
  <c r="Y46" i="22"/>
  <c r="X46" i="22"/>
  <c r="U46" i="22"/>
  <c r="T46" i="22"/>
  <c r="S46" i="22"/>
  <c r="P46" i="22"/>
  <c r="O46" i="22"/>
  <c r="N46" i="22"/>
  <c r="AE45" i="22"/>
  <c r="AD45" i="22"/>
  <c r="AC45" i="22"/>
  <c r="Z45" i="22"/>
  <c r="Y45" i="22"/>
  <c r="X45" i="22"/>
  <c r="U45" i="22"/>
  <c r="T45" i="22"/>
  <c r="S45" i="22"/>
  <c r="P45" i="22"/>
  <c r="O45" i="22"/>
  <c r="N45" i="22"/>
  <c r="AE44" i="22"/>
  <c r="AD44" i="22"/>
  <c r="AC44" i="22"/>
  <c r="Z44" i="22"/>
  <c r="Y44" i="22"/>
  <c r="X44" i="22"/>
  <c r="U44" i="22"/>
  <c r="T44" i="22"/>
  <c r="S44" i="22"/>
  <c r="P44" i="22"/>
  <c r="O44" i="22"/>
  <c r="N44" i="22"/>
  <c r="AE43" i="22"/>
  <c r="AD43" i="22"/>
  <c r="AC43" i="22"/>
  <c r="Z43" i="22"/>
  <c r="Y43" i="22"/>
  <c r="X43" i="22"/>
  <c r="U43" i="22"/>
  <c r="T43" i="22"/>
  <c r="S43" i="22"/>
  <c r="P43" i="22"/>
  <c r="O43" i="22"/>
  <c r="N43" i="22"/>
  <c r="AE42" i="22"/>
  <c r="AD42" i="22"/>
  <c r="AC42" i="22"/>
  <c r="Z42" i="22"/>
  <c r="Y42" i="22"/>
  <c r="X42" i="22"/>
  <c r="U42" i="22"/>
  <c r="T42" i="22"/>
  <c r="S42" i="22"/>
  <c r="P42" i="22"/>
  <c r="O42" i="22"/>
  <c r="N42" i="22"/>
  <c r="AE41" i="22"/>
  <c r="AD41" i="22"/>
  <c r="AC41" i="22"/>
  <c r="Z41" i="22"/>
  <c r="Y41" i="22"/>
  <c r="X41" i="22"/>
  <c r="U41" i="22"/>
  <c r="T41" i="22"/>
  <c r="S41" i="22"/>
  <c r="P41" i="22"/>
  <c r="O41" i="22"/>
  <c r="N41" i="22"/>
  <c r="AE40" i="22"/>
  <c r="AD40" i="22"/>
  <c r="AC40" i="22"/>
  <c r="Z40" i="22"/>
  <c r="Y40" i="22"/>
  <c r="X40" i="22"/>
  <c r="U40" i="22"/>
  <c r="T40" i="22"/>
  <c r="S40" i="22"/>
  <c r="P40" i="22"/>
  <c r="O40" i="22"/>
  <c r="N40" i="22"/>
  <c r="AE39" i="22"/>
  <c r="AD39" i="22"/>
  <c r="AC39" i="22"/>
  <c r="Z39" i="22"/>
  <c r="Y39" i="22"/>
  <c r="X39" i="22"/>
  <c r="U39" i="22"/>
  <c r="T39" i="22"/>
  <c r="S39" i="22"/>
  <c r="P39" i="22"/>
  <c r="O39" i="22"/>
  <c r="N39" i="22"/>
  <c r="AE38" i="22"/>
  <c r="AD38" i="22"/>
  <c r="AC38" i="22"/>
  <c r="Z38" i="22"/>
  <c r="Y38" i="22"/>
  <c r="X38" i="22"/>
  <c r="U38" i="22"/>
  <c r="T38" i="22"/>
  <c r="S38" i="22"/>
  <c r="P38" i="22"/>
  <c r="O38" i="22"/>
  <c r="N38" i="22"/>
  <c r="AE37" i="22"/>
  <c r="AD37" i="22"/>
  <c r="AC37" i="22"/>
  <c r="Z37" i="22"/>
  <c r="Y37" i="22"/>
  <c r="X37" i="22"/>
  <c r="U37" i="22"/>
  <c r="T37" i="22"/>
  <c r="S37" i="22"/>
  <c r="P37" i="22"/>
  <c r="O37" i="22"/>
  <c r="N37" i="22"/>
  <c r="AE36" i="22"/>
  <c r="AD36" i="22"/>
  <c r="AC36" i="22"/>
  <c r="Z36" i="22"/>
  <c r="Y36" i="22"/>
  <c r="X36" i="22"/>
  <c r="U36" i="22"/>
  <c r="T36" i="22"/>
  <c r="S36" i="22"/>
  <c r="P36" i="22"/>
  <c r="O36" i="22"/>
  <c r="N36" i="22"/>
  <c r="AE35" i="22"/>
  <c r="AD35" i="22"/>
  <c r="AC35" i="22"/>
  <c r="Z35" i="22"/>
  <c r="Y35" i="22"/>
  <c r="X35" i="22"/>
  <c r="U35" i="22"/>
  <c r="T35" i="22"/>
  <c r="S35" i="22"/>
  <c r="P35" i="22"/>
  <c r="O35" i="22"/>
  <c r="N35" i="22"/>
  <c r="AE34" i="22"/>
  <c r="AD34" i="22"/>
  <c r="AC34" i="22"/>
  <c r="Z34" i="22"/>
  <c r="Y34" i="22"/>
  <c r="X34" i="22"/>
  <c r="U34" i="22"/>
  <c r="T34" i="22"/>
  <c r="S34" i="22"/>
  <c r="P34" i="22"/>
  <c r="O34" i="22"/>
  <c r="N34" i="22"/>
  <c r="AE33" i="22"/>
  <c r="AD33" i="22"/>
  <c r="AC33" i="22"/>
  <c r="Z33" i="22"/>
  <c r="Y33" i="22"/>
  <c r="X33" i="22"/>
  <c r="U33" i="22"/>
  <c r="T33" i="22"/>
  <c r="S33" i="22"/>
  <c r="P33" i="22"/>
  <c r="O33" i="22"/>
  <c r="N33" i="22"/>
  <c r="AE32" i="22"/>
  <c r="AD32" i="22"/>
  <c r="AC32" i="22"/>
  <c r="Z32" i="22"/>
  <c r="Y32" i="22"/>
  <c r="X32" i="22"/>
  <c r="U32" i="22"/>
  <c r="T32" i="22"/>
  <c r="S32" i="22"/>
  <c r="P32" i="22"/>
  <c r="O32" i="22"/>
  <c r="N32" i="22"/>
  <c r="AE31" i="22"/>
  <c r="AD31" i="22"/>
  <c r="AC31" i="22"/>
  <c r="Z31" i="22"/>
  <c r="Y31" i="22"/>
  <c r="X31" i="22"/>
  <c r="T31" i="22"/>
  <c r="S31" i="22"/>
  <c r="P31" i="22"/>
  <c r="O31" i="22"/>
  <c r="N31" i="22"/>
  <c r="AE30" i="22"/>
  <c r="AD30" i="22"/>
  <c r="AC30" i="22"/>
  <c r="Z30" i="22"/>
  <c r="Y30" i="22"/>
  <c r="X30" i="22"/>
  <c r="T30" i="22"/>
  <c r="S30" i="22"/>
  <c r="O30" i="22"/>
  <c r="N30" i="22"/>
  <c r="AE29" i="22"/>
  <c r="AD29" i="22"/>
  <c r="AC29" i="22"/>
  <c r="Z29" i="22"/>
  <c r="Y29" i="22"/>
  <c r="X29" i="22"/>
  <c r="T29" i="22"/>
  <c r="S29" i="22"/>
  <c r="O29" i="22"/>
  <c r="N29" i="22"/>
  <c r="AE28" i="22"/>
  <c r="AD28" i="22"/>
  <c r="AC28" i="22"/>
  <c r="Z28" i="22"/>
  <c r="Y28" i="22"/>
  <c r="X28" i="22"/>
  <c r="T28" i="22"/>
  <c r="S28" i="22"/>
  <c r="O28" i="22"/>
  <c r="N28" i="22"/>
  <c r="AE27" i="22"/>
  <c r="AD27" i="22"/>
  <c r="AC27" i="22"/>
  <c r="Z27" i="22"/>
  <c r="Y27" i="22"/>
  <c r="X27" i="22"/>
  <c r="T27" i="22"/>
  <c r="S27" i="22"/>
  <c r="O27" i="22"/>
  <c r="N27" i="22"/>
  <c r="AE26" i="22"/>
  <c r="AD26" i="22"/>
  <c r="AC26" i="22"/>
  <c r="Z26" i="22"/>
  <c r="Y26" i="22"/>
  <c r="X26" i="22"/>
  <c r="U26" i="22"/>
  <c r="T26" i="22"/>
  <c r="S26" i="22"/>
  <c r="P26" i="22"/>
  <c r="O26" i="22"/>
  <c r="N26" i="22"/>
  <c r="AE25" i="22"/>
  <c r="AD25" i="22"/>
  <c r="AC25" i="22"/>
  <c r="Z25" i="22"/>
  <c r="Y25" i="22"/>
  <c r="X25" i="22"/>
  <c r="U25" i="22"/>
  <c r="T25" i="22"/>
  <c r="S25" i="22"/>
  <c r="P25" i="22"/>
  <c r="O25" i="22"/>
  <c r="N25" i="22"/>
  <c r="AE24" i="22"/>
  <c r="AD24" i="22"/>
  <c r="AC24" i="22"/>
  <c r="Z24" i="22"/>
  <c r="Y24" i="22"/>
  <c r="X24" i="22"/>
  <c r="U24" i="22"/>
  <c r="T24" i="22"/>
  <c r="S24" i="22"/>
  <c r="P24" i="22"/>
  <c r="O24" i="22"/>
  <c r="N24" i="22"/>
  <c r="AE23" i="22"/>
  <c r="AD23" i="22"/>
  <c r="AC23" i="22"/>
  <c r="Z23" i="22"/>
  <c r="Y23" i="22"/>
  <c r="X23" i="22"/>
  <c r="U23" i="22"/>
  <c r="T23" i="22"/>
  <c r="S23" i="22"/>
  <c r="P23" i="22"/>
  <c r="O23" i="22"/>
  <c r="N23" i="22"/>
  <c r="AE22" i="22"/>
  <c r="AD22" i="22"/>
  <c r="AC22" i="22"/>
  <c r="Z22" i="22"/>
  <c r="Y22" i="22"/>
  <c r="X22" i="22"/>
  <c r="U22" i="22"/>
  <c r="T22" i="22"/>
  <c r="S22" i="22"/>
  <c r="P22" i="22"/>
  <c r="O22" i="22"/>
  <c r="N22" i="22"/>
  <c r="AE21" i="22"/>
  <c r="AD21" i="22"/>
  <c r="AC21" i="22"/>
  <c r="Z21" i="22"/>
  <c r="Y21" i="22"/>
  <c r="X21" i="22"/>
  <c r="U21" i="22"/>
  <c r="T21" i="22"/>
  <c r="S21" i="22"/>
  <c r="P21" i="22"/>
  <c r="O21" i="22"/>
  <c r="N21" i="22"/>
  <c r="AE20" i="22"/>
  <c r="AD20" i="22"/>
  <c r="AC20" i="22"/>
  <c r="Z20" i="22"/>
  <c r="Y20" i="22"/>
  <c r="X20" i="22"/>
  <c r="U20" i="22"/>
  <c r="T20" i="22"/>
  <c r="S20" i="22"/>
  <c r="P20" i="22"/>
  <c r="O20" i="22"/>
  <c r="N20" i="22"/>
  <c r="AE19" i="22"/>
  <c r="AD19" i="22"/>
  <c r="AC19" i="22"/>
  <c r="Z19" i="22"/>
  <c r="Y19" i="22"/>
  <c r="X19" i="22"/>
  <c r="U19" i="22"/>
  <c r="T19" i="22"/>
  <c r="S19" i="22"/>
  <c r="P19" i="22"/>
  <c r="O19" i="22"/>
  <c r="N19" i="22"/>
  <c r="AE18" i="22"/>
  <c r="AD18" i="22"/>
  <c r="AC18" i="22"/>
  <c r="Z18" i="22"/>
  <c r="Y18" i="22"/>
  <c r="X18" i="22"/>
  <c r="U18" i="22"/>
  <c r="T18" i="22"/>
  <c r="S18" i="22"/>
  <c r="P18" i="22"/>
  <c r="O18" i="22"/>
  <c r="N18" i="22"/>
  <c r="AE17" i="22"/>
  <c r="AD17" i="22"/>
  <c r="AC17" i="22"/>
  <c r="Z17" i="22"/>
  <c r="Y17" i="22"/>
  <c r="X17" i="22"/>
  <c r="U17" i="22"/>
  <c r="T17" i="22"/>
  <c r="S17" i="22"/>
  <c r="P17" i="22"/>
  <c r="O17" i="22"/>
  <c r="N17" i="22"/>
  <c r="AE16" i="22"/>
  <c r="AD16" i="22"/>
  <c r="AC16" i="22"/>
  <c r="Z16" i="22"/>
  <c r="Y16" i="22"/>
  <c r="X16" i="22"/>
  <c r="U16" i="22"/>
  <c r="T16" i="22"/>
  <c r="S16" i="22"/>
  <c r="P16" i="22"/>
  <c r="O16" i="22"/>
  <c r="N16" i="22"/>
  <c r="AE15" i="22"/>
  <c r="AD15" i="22"/>
  <c r="AC15" i="22"/>
  <c r="Z15" i="22"/>
  <c r="Y15" i="22"/>
  <c r="X15" i="22"/>
  <c r="U15" i="22"/>
  <c r="T15" i="22"/>
  <c r="S15" i="22"/>
  <c r="P15" i="22"/>
  <c r="O15" i="22"/>
  <c r="N15" i="22"/>
  <c r="AE14" i="22"/>
  <c r="AD14" i="22"/>
  <c r="AC14" i="22"/>
  <c r="Z14" i="22"/>
  <c r="Y14" i="22"/>
  <c r="X14" i="22"/>
  <c r="U14" i="22"/>
  <c r="T14" i="22"/>
  <c r="S14" i="22"/>
  <c r="P14" i="22"/>
  <c r="O14" i="22"/>
  <c r="N14" i="22"/>
  <c r="AE13" i="22"/>
  <c r="AD13" i="22"/>
  <c r="AC13" i="22"/>
  <c r="Z13" i="22"/>
  <c r="Y13" i="22"/>
  <c r="X13" i="22"/>
  <c r="U13" i="22"/>
  <c r="T13" i="22"/>
  <c r="S13" i="22"/>
  <c r="P13" i="22"/>
  <c r="O13" i="22"/>
  <c r="N13" i="22"/>
  <c r="AE12" i="22"/>
  <c r="AD12" i="22"/>
  <c r="AC12" i="22"/>
  <c r="Z12" i="22"/>
  <c r="Y12" i="22"/>
  <c r="X12" i="22"/>
  <c r="U12" i="22"/>
  <c r="T12" i="22"/>
  <c r="S12" i="22"/>
  <c r="O12" i="22"/>
  <c r="N12" i="22"/>
  <c r="AE11" i="22"/>
  <c r="AD11" i="22"/>
  <c r="AC11" i="22"/>
  <c r="Z11" i="22"/>
  <c r="Y11" i="22"/>
  <c r="X11" i="22"/>
  <c r="U11" i="22"/>
  <c r="T11" i="22"/>
  <c r="S11" i="22"/>
  <c r="O11" i="22"/>
  <c r="N11" i="22"/>
  <c r="AE10" i="22"/>
  <c r="AD10" i="22"/>
  <c r="AC10" i="22"/>
  <c r="Z10" i="22"/>
  <c r="Y10" i="22"/>
  <c r="X10" i="22"/>
  <c r="U10" i="22"/>
  <c r="T10" i="22"/>
  <c r="S10" i="22"/>
  <c r="O10" i="22"/>
  <c r="N10" i="22"/>
  <c r="AE9" i="22"/>
  <c r="AD9" i="22"/>
  <c r="AC9" i="22"/>
  <c r="Z9" i="22"/>
  <c r="Y9" i="22"/>
  <c r="X9" i="22"/>
  <c r="U9" i="22"/>
  <c r="T9" i="22"/>
  <c r="S9" i="22"/>
  <c r="O9" i="22"/>
  <c r="N9" i="22"/>
  <c r="AE8" i="22"/>
  <c r="AD8" i="22"/>
  <c r="AC8" i="22"/>
  <c r="Z8" i="22"/>
  <c r="Y8" i="22"/>
  <c r="X8" i="22"/>
  <c r="U8" i="22"/>
  <c r="T8" i="22"/>
  <c r="S8" i="22"/>
  <c r="O8" i="22"/>
  <c r="N8" i="22"/>
  <c r="P7" i="22"/>
  <c r="U7" i="22"/>
  <c r="Z7" i="22"/>
  <c r="AE7" i="22"/>
  <c r="AD7" i="22"/>
  <c r="Y7" i="22"/>
  <c r="T7" i="22"/>
  <c r="O7" i="22"/>
  <c r="J7" i="22"/>
  <c r="AC7" i="22"/>
  <c r="X7" i="22"/>
  <c r="S7" i="22"/>
  <c r="N7" i="22"/>
  <c r="K132" i="22"/>
  <c r="K131" i="22"/>
  <c r="K130" i="22"/>
  <c r="K129" i="22"/>
  <c r="K128" i="22"/>
  <c r="K127" i="22"/>
  <c r="K126" i="22"/>
  <c r="K125" i="22"/>
  <c r="K124" i="22"/>
  <c r="K123" i="22"/>
  <c r="K122" i="22"/>
  <c r="K121" i="22"/>
  <c r="K120" i="22"/>
  <c r="K119" i="22"/>
  <c r="K118" i="22"/>
  <c r="K117" i="22"/>
  <c r="K116" i="22"/>
  <c r="K115" i="22"/>
  <c r="K114" i="22"/>
  <c r="K113" i="22"/>
  <c r="K112" i="22"/>
  <c r="K111" i="22"/>
  <c r="K110" i="22"/>
  <c r="K109" i="22"/>
  <c r="K108" i="22"/>
  <c r="K107" i="22"/>
  <c r="K106" i="22"/>
  <c r="K105" i="22"/>
  <c r="K104" i="22"/>
  <c r="K103" i="22"/>
  <c r="K102" i="22"/>
  <c r="K101" i="22"/>
  <c r="K100" i="22"/>
  <c r="K99" i="22"/>
  <c r="K98" i="22"/>
  <c r="K97" i="22"/>
  <c r="K96" i="22"/>
  <c r="K95" i="22"/>
  <c r="K94" i="22"/>
  <c r="K93" i="22"/>
  <c r="K92" i="22"/>
  <c r="K91" i="22"/>
  <c r="K90" i="22"/>
  <c r="K89" i="22"/>
  <c r="K88" i="22"/>
  <c r="K87" i="22"/>
  <c r="K86" i="22"/>
  <c r="K85" i="22"/>
  <c r="K84" i="22"/>
  <c r="K83" i="22"/>
  <c r="K82" i="22"/>
  <c r="K81" i="22"/>
  <c r="K80" i="22"/>
  <c r="K79" i="22"/>
  <c r="K78" i="22"/>
  <c r="K77" i="22"/>
  <c r="K76" i="22"/>
  <c r="K75" i="22"/>
  <c r="K74" i="22"/>
  <c r="K73" i="22"/>
  <c r="K72" i="22"/>
  <c r="K71" i="22"/>
  <c r="K70" i="22"/>
  <c r="K69" i="22"/>
  <c r="K68" i="22"/>
  <c r="K67" i="22"/>
  <c r="K66" i="22"/>
  <c r="K65" i="22"/>
  <c r="K64" i="22"/>
  <c r="K63" i="22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40" i="22"/>
  <c r="K39" i="22"/>
  <c r="K38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J132" i="22"/>
  <c r="I132" i="22"/>
  <c r="J131" i="22"/>
  <c r="I131" i="22"/>
  <c r="J130" i="22"/>
  <c r="I130" i="22"/>
  <c r="J129" i="22"/>
  <c r="I129" i="22"/>
  <c r="J128" i="22"/>
  <c r="I128" i="22"/>
  <c r="J127" i="22"/>
  <c r="I127" i="22"/>
  <c r="J126" i="22"/>
  <c r="I126" i="22"/>
  <c r="J125" i="22"/>
  <c r="I125" i="22"/>
  <c r="J124" i="22"/>
  <c r="I124" i="22"/>
  <c r="J123" i="22"/>
  <c r="I123" i="22"/>
  <c r="J122" i="22"/>
  <c r="I122" i="22"/>
  <c r="J121" i="22"/>
  <c r="I121" i="22"/>
  <c r="J120" i="22"/>
  <c r="I120" i="22"/>
  <c r="J119" i="22"/>
  <c r="I119" i="22"/>
  <c r="J118" i="22"/>
  <c r="I118" i="22"/>
  <c r="J117" i="22"/>
  <c r="I117" i="22"/>
  <c r="J116" i="22"/>
  <c r="I116" i="22"/>
  <c r="J115" i="22"/>
  <c r="I115" i="22"/>
  <c r="J114" i="22"/>
  <c r="I114" i="22"/>
  <c r="J113" i="22"/>
  <c r="I113" i="22"/>
  <c r="J112" i="22"/>
  <c r="I112" i="22"/>
  <c r="J111" i="22"/>
  <c r="I111" i="22"/>
  <c r="J110" i="22"/>
  <c r="I110" i="22"/>
  <c r="J109" i="22"/>
  <c r="I109" i="22"/>
  <c r="J108" i="22"/>
  <c r="I108" i="22"/>
  <c r="J107" i="22"/>
  <c r="I107" i="22"/>
  <c r="J106" i="22"/>
  <c r="I106" i="22"/>
  <c r="J105" i="22"/>
  <c r="I105" i="22"/>
  <c r="J104" i="22"/>
  <c r="I104" i="22"/>
  <c r="J103" i="22"/>
  <c r="I103" i="22"/>
  <c r="J102" i="22"/>
  <c r="I102" i="22"/>
  <c r="J101" i="22"/>
  <c r="I101" i="22"/>
  <c r="J100" i="22"/>
  <c r="I100" i="22"/>
  <c r="J99" i="22"/>
  <c r="I99" i="22"/>
  <c r="J98" i="22"/>
  <c r="I98" i="22"/>
  <c r="J97" i="22"/>
  <c r="I97" i="22"/>
  <c r="J96" i="22"/>
  <c r="I96" i="22"/>
  <c r="J95" i="22"/>
  <c r="I95" i="22"/>
  <c r="J94" i="22"/>
  <c r="I94" i="22"/>
  <c r="J93" i="22"/>
  <c r="I93" i="22"/>
  <c r="J92" i="22"/>
  <c r="I92" i="22"/>
  <c r="J91" i="22"/>
  <c r="I91" i="22"/>
  <c r="J90" i="22"/>
  <c r="I90" i="22"/>
  <c r="J89" i="22"/>
  <c r="I89" i="22"/>
  <c r="J88" i="22"/>
  <c r="I88" i="22"/>
  <c r="J87" i="22"/>
  <c r="I87" i="22"/>
  <c r="J86" i="22"/>
  <c r="I86" i="22"/>
  <c r="J85" i="22"/>
  <c r="I85" i="22"/>
  <c r="J84" i="22"/>
  <c r="I84" i="22"/>
  <c r="J83" i="22"/>
  <c r="I83" i="22"/>
  <c r="J82" i="22"/>
  <c r="I82" i="22"/>
  <c r="J81" i="22"/>
  <c r="I81" i="22"/>
  <c r="J80" i="22"/>
  <c r="I80" i="22"/>
  <c r="J79" i="22"/>
  <c r="I79" i="22"/>
  <c r="J78" i="22"/>
  <c r="I78" i="22"/>
  <c r="J77" i="22"/>
  <c r="I77" i="22"/>
  <c r="J76" i="22"/>
  <c r="I76" i="22"/>
  <c r="J75" i="22"/>
  <c r="I75" i="22"/>
  <c r="J74" i="22"/>
  <c r="I74" i="22"/>
  <c r="J73" i="22"/>
  <c r="I73" i="22"/>
  <c r="J72" i="22"/>
  <c r="I72" i="22"/>
  <c r="J71" i="22"/>
  <c r="I71" i="22"/>
  <c r="J70" i="22"/>
  <c r="I70" i="22"/>
  <c r="J69" i="22"/>
  <c r="I69" i="22"/>
  <c r="J68" i="22"/>
  <c r="I68" i="22"/>
  <c r="J67" i="22"/>
  <c r="I67" i="22"/>
  <c r="J66" i="22"/>
  <c r="I66" i="22"/>
  <c r="J65" i="22"/>
  <c r="I65" i="22"/>
  <c r="J64" i="22"/>
  <c r="I64" i="22"/>
  <c r="J63" i="22"/>
  <c r="I63" i="22"/>
  <c r="J62" i="22"/>
  <c r="I62" i="22"/>
  <c r="J61" i="22"/>
  <c r="I61" i="22"/>
  <c r="J60" i="22"/>
  <c r="I60" i="22"/>
  <c r="J59" i="22"/>
  <c r="I59" i="22"/>
  <c r="J58" i="22"/>
  <c r="I58" i="22"/>
  <c r="J57" i="22"/>
  <c r="I57" i="22"/>
  <c r="J56" i="22"/>
  <c r="I56" i="22"/>
  <c r="J55" i="22"/>
  <c r="I55" i="22"/>
  <c r="J54" i="22"/>
  <c r="I54" i="22"/>
  <c r="J53" i="22"/>
  <c r="I53" i="22"/>
  <c r="J52" i="22"/>
  <c r="I52" i="22"/>
  <c r="J51" i="22"/>
  <c r="I51" i="22"/>
  <c r="J50" i="22"/>
  <c r="I50" i="22"/>
  <c r="J49" i="22"/>
  <c r="I49" i="22"/>
  <c r="J48" i="22"/>
  <c r="I48" i="22"/>
  <c r="J47" i="22"/>
  <c r="I47" i="22"/>
  <c r="J46" i="22"/>
  <c r="I46" i="22"/>
  <c r="J45" i="22"/>
  <c r="I45" i="22"/>
  <c r="J44" i="22"/>
  <c r="I44" i="22"/>
  <c r="J43" i="22"/>
  <c r="I43" i="22"/>
  <c r="J42" i="22"/>
  <c r="I42" i="22"/>
  <c r="J41" i="22"/>
  <c r="I41" i="22"/>
  <c r="J40" i="22"/>
  <c r="I40" i="22"/>
  <c r="J39" i="22"/>
  <c r="I39" i="22"/>
  <c r="J38" i="22"/>
  <c r="I38" i="22"/>
  <c r="J37" i="22"/>
  <c r="I37" i="22"/>
  <c r="J36" i="22"/>
  <c r="I36" i="22"/>
  <c r="J35" i="22"/>
  <c r="I35" i="22"/>
  <c r="J34" i="22"/>
  <c r="I34" i="22"/>
  <c r="J33" i="22"/>
  <c r="I33" i="22"/>
  <c r="J32" i="22"/>
  <c r="I32" i="22"/>
  <c r="J31" i="22"/>
  <c r="I31" i="22"/>
  <c r="J30" i="22"/>
  <c r="I30" i="22"/>
  <c r="J29" i="22"/>
  <c r="I29" i="22"/>
  <c r="J28" i="22"/>
  <c r="I28" i="22"/>
  <c r="J27" i="22"/>
  <c r="I27" i="22"/>
  <c r="J26" i="22"/>
  <c r="I26" i="22"/>
  <c r="J25" i="22"/>
  <c r="I25" i="22"/>
  <c r="J24" i="22"/>
  <c r="I24" i="22"/>
  <c r="J23" i="22"/>
  <c r="I23" i="22"/>
  <c r="J22" i="22"/>
  <c r="I22" i="22"/>
  <c r="J21" i="22"/>
  <c r="I21" i="22"/>
  <c r="J20" i="22"/>
  <c r="I20" i="22"/>
  <c r="J19" i="22"/>
  <c r="I19" i="22"/>
  <c r="J18" i="22"/>
  <c r="I18" i="22"/>
  <c r="J17" i="22"/>
  <c r="I17" i="22"/>
  <c r="J16" i="22"/>
  <c r="I16" i="22"/>
  <c r="J15" i="22"/>
  <c r="I15" i="22"/>
  <c r="J14" i="22"/>
  <c r="I14" i="22"/>
  <c r="J13" i="22"/>
  <c r="I13" i="22"/>
  <c r="J12" i="22"/>
  <c r="I12" i="22"/>
  <c r="J11" i="22"/>
  <c r="I11" i="22"/>
  <c r="J10" i="22"/>
  <c r="I10" i="22"/>
  <c r="J9" i="22"/>
  <c r="I9" i="22"/>
  <c r="J8" i="22"/>
  <c r="I8" i="22"/>
  <c r="I7" i="22"/>
  <c r="F132" i="22"/>
  <c r="F131" i="22"/>
  <c r="F130" i="22"/>
  <c r="F129" i="22"/>
  <c r="F128" i="22"/>
  <c r="F127" i="22"/>
  <c r="F126" i="22"/>
  <c r="F125" i="22"/>
  <c r="F124" i="22"/>
  <c r="F123" i="22"/>
  <c r="F122" i="22"/>
  <c r="F120" i="22"/>
  <c r="F119" i="22"/>
  <c r="F118" i="22"/>
  <c r="F117" i="22"/>
  <c r="F116" i="22"/>
  <c r="F115" i="22"/>
  <c r="F114" i="22"/>
  <c r="F113" i="22"/>
  <c r="F112" i="22"/>
  <c r="F111" i="22"/>
  <c r="F110" i="22"/>
  <c r="F109" i="22"/>
  <c r="F108" i="22"/>
  <c r="F107" i="22"/>
  <c r="F106" i="22"/>
  <c r="F105" i="22"/>
  <c r="F104" i="22"/>
  <c r="F103" i="22"/>
  <c r="F102" i="22"/>
  <c r="F101" i="22"/>
  <c r="F100" i="22"/>
  <c r="F99" i="22"/>
  <c r="F98" i="22"/>
  <c r="F97" i="22"/>
  <c r="F96" i="22"/>
  <c r="F95" i="22"/>
  <c r="F94" i="22"/>
  <c r="F93" i="22"/>
  <c r="F92" i="22"/>
  <c r="F91" i="22"/>
  <c r="F90" i="22"/>
  <c r="F89" i="22"/>
  <c r="F88" i="22"/>
  <c r="F87" i="22"/>
  <c r="F86" i="22"/>
  <c r="F85" i="22"/>
  <c r="F84" i="22"/>
  <c r="F83" i="22"/>
  <c r="F82" i="22"/>
  <c r="F81" i="22"/>
  <c r="F80" i="22"/>
  <c r="F79" i="22"/>
  <c r="F78" i="22"/>
  <c r="F77" i="22"/>
  <c r="F76" i="22"/>
  <c r="F75" i="22"/>
  <c r="F74" i="22"/>
  <c r="F73" i="22"/>
  <c r="F72" i="22"/>
  <c r="F71" i="22"/>
  <c r="F70" i="22"/>
  <c r="F69" i="22"/>
  <c r="F68" i="22"/>
  <c r="F67" i="22"/>
  <c r="F66" i="22"/>
  <c r="F65" i="22"/>
  <c r="F64" i="22"/>
  <c r="F63" i="22"/>
  <c r="F62" i="22"/>
  <c r="F61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F39" i="22"/>
  <c r="F38" i="22"/>
  <c r="F37" i="22"/>
  <c r="F36" i="22"/>
  <c r="F35" i="22"/>
  <c r="F33" i="22"/>
  <c r="F32" i="22"/>
  <c r="F31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E132" i="22"/>
  <c r="D132" i="22"/>
  <c r="E131" i="22"/>
  <c r="D131" i="22"/>
  <c r="E130" i="22"/>
  <c r="D130" i="22"/>
  <c r="E129" i="22"/>
  <c r="D129" i="22"/>
  <c r="E128" i="22"/>
  <c r="D128" i="22"/>
  <c r="E127" i="22"/>
  <c r="D127" i="22"/>
  <c r="E126" i="22"/>
  <c r="D126" i="22"/>
  <c r="E125" i="22"/>
  <c r="D125" i="22"/>
  <c r="E124" i="22"/>
  <c r="D124" i="22"/>
  <c r="E123" i="22"/>
  <c r="D123" i="22"/>
  <c r="E122" i="22"/>
  <c r="D122" i="22"/>
  <c r="E121" i="22"/>
  <c r="D121" i="22"/>
  <c r="E120" i="22"/>
  <c r="D120" i="22"/>
  <c r="E119" i="22"/>
  <c r="D119" i="22"/>
  <c r="E118" i="22"/>
  <c r="D118" i="22"/>
  <c r="E117" i="22"/>
  <c r="D117" i="22"/>
  <c r="E116" i="22"/>
  <c r="D116" i="22"/>
  <c r="E115" i="22"/>
  <c r="D115" i="22"/>
  <c r="E114" i="22"/>
  <c r="D114" i="22"/>
  <c r="E113" i="22"/>
  <c r="D113" i="22"/>
  <c r="E112" i="22"/>
  <c r="D112" i="22"/>
  <c r="E111" i="22"/>
  <c r="D111" i="22"/>
  <c r="E110" i="22"/>
  <c r="D110" i="22"/>
  <c r="E109" i="22"/>
  <c r="D109" i="22"/>
  <c r="E108" i="22"/>
  <c r="D108" i="22"/>
  <c r="E107" i="22"/>
  <c r="D107" i="22"/>
  <c r="E106" i="22"/>
  <c r="D106" i="22"/>
  <c r="E105" i="22"/>
  <c r="D105" i="22"/>
  <c r="E104" i="22"/>
  <c r="D104" i="22"/>
  <c r="E103" i="22"/>
  <c r="D103" i="22"/>
  <c r="E102" i="22"/>
  <c r="D102" i="22"/>
  <c r="E101" i="22"/>
  <c r="D101" i="22"/>
  <c r="E100" i="22"/>
  <c r="D100" i="22"/>
  <c r="E99" i="22"/>
  <c r="D99" i="22"/>
  <c r="E98" i="22"/>
  <c r="D98" i="22"/>
  <c r="E97" i="22"/>
  <c r="D97" i="22"/>
  <c r="E96" i="22"/>
  <c r="D96" i="22"/>
  <c r="E95" i="22"/>
  <c r="D95" i="22"/>
  <c r="E94" i="22"/>
  <c r="D94" i="22"/>
  <c r="E93" i="22"/>
  <c r="D93" i="22"/>
  <c r="E92" i="22"/>
  <c r="D92" i="22"/>
  <c r="E91" i="22"/>
  <c r="D91" i="22"/>
  <c r="E90" i="22"/>
  <c r="D90" i="22"/>
  <c r="E89" i="22"/>
  <c r="D89" i="22"/>
  <c r="E88" i="22"/>
  <c r="D88" i="22"/>
  <c r="E87" i="22"/>
  <c r="D87" i="22"/>
  <c r="E86" i="22"/>
  <c r="D86" i="22"/>
  <c r="E85" i="22"/>
  <c r="D85" i="22"/>
  <c r="E84" i="22"/>
  <c r="D84" i="22"/>
  <c r="E83" i="22"/>
  <c r="D83" i="22"/>
  <c r="E82" i="22"/>
  <c r="D82" i="22"/>
  <c r="E81" i="22"/>
  <c r="D81" i="22"/>
  <c r="E80" i="22"/>
  <c r="D80" i="22"/>
  <c r="E79" i="22"/>
  <c r="D79" i="22"/>
  <c r="E78" i="22"/>
  <c r="D78" i="22"/>
  <c r="E77" i="22"/>
  <c r="D77" i="22"/>
  <c r="E76" i="22"/>
  <c r="D76" i="22"/>
  <c r="E75" i="22"/>
  <c r="D75" i="22"/>
  <c r="E74" i="22"/>
  <c r="D74" i="22"/>
  <c r="E73" i="22"/>
  <c r="D73" i="22"/>
  <c r="E72" i="22"/>
  <c r="D72" i="22"/>
  <c r="E71" i="22"/>
  <c r="D71" i="22"/>
  <c r="E70" i="22"/>
  <c r="D70" i="22"/>
  <c r="E69" i="22"/>
  <c r="D69" i="22"/>
  <c r="E68" i="22"/>
  <c r="D68" i="22"/>
  <c r="E67" i="22"/>
  <c r="D67" i="22"/>
  <c r="E66" i="22"/>
  <c r="D66" i="22"/>
  <c r="E65" i="22"/>
  <c r="D65" i="22"/>
  <c r="E64" i="22"/>
  <c r="D64" i="22"/>
  <c r="E63" i="22"/>
  <c r="D63" i="22"/>
  <c r="E62" i="22"/>
  <c r="D62" i="22"/>
  <c r="E61" i="22"/>
  <c r="D61" i="22"/>
  <c r="E60" i="22"/>
  <c r="D60" i="22"/>
  <c r="E59" i="22"/>
  <c r="D59" i="22"/>
  <c r="E58" i="22"/>
  <c r="D58" i="22"/>
  <c r="E57" i="22"/>
  <c r="D57" i="22"/>
  <c r="E56" i="22"/>
  <c r="D56" i="22"/>
  <c r="E55" i="22"/>
  <c r="D55" i="22"/>
  <c r="E54" i="22"/>
  <c r="D54" i="22"/>
  <c r="E53" i="22"/>
  <c r="D53" i="22"/>
  <c r="E52" i="22"/>
  <c r="D52" i="22"/>
  <c r="E51" i="22"/>
  <c r="D51" i="22"/>
  <c r="E50" i="22"/>
  <c r="D50" i="22"/>
  <c r="E49" i="22"/>
  <c r="D49" i="22"/>
  <c r="E48" i="22"/>
  <c r="D48" i="22"/>
  <c r="E47" i="22"/>
  <c r="D47" i="22"/>
  <c r="E46" i="22"/>
  <c r="D46" i="22"/>
  <c r="E45" i="22"/>
  <c r="D45" i="22"/>
  <c r="E44" i="22"/>
  <c r="D44" i="22"/>
  <c r="E43" i="22"/>
  <c r="D43" i="22"/>
  <c r="E42" i="22"/>
  <c r="D42" i="22"/>
  <c r="E41" i="22"/>
  <c r="D41" i="22"/>
  <c r="E40" i="22"/>
  <c r="D40" i="22"/>
  <c r="E39" i="22"/>
  <c r="D39" i="22"/>
  <c r="E38" i="22"/>
  <c r="D38" i="22"/>
  <c r="E37" i="22"/>
  <c r="D37" i="22"/>
  <c r="E36" i="22"/>
  <c r="D36" i="22"/>
  <c r="E35" i="22"/>
  <c r="D35" i="22"/>
  <c r="E34" i="22"/>
  <c r="D34" i="22"/>
  <c r="E33" i="22"/>
  <c r="D33" i="22"/>
  <c r="E32" i="22"/>
  <c r="D32" i="22"/>
  <c r="E31" i="22"/>
  <c r="D31" i="22"/>
  <c r="E30" i="22"/>
  <c r="D30" i="22"/>
  <c r="E29" i="22"/>
  <c r="D29" i="22"/>
  <c r="E28" i="22"/>
  <c r="D28" i="22"/>
  <c r="E27" i="22"/>
  <c r="D27" i="22"/>
  <c r="E26" i="22"/>
  <c r="D26" i="22"/>
  <c r="E25" i="22"/>
  <c r="D25" i="22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7" i="22"/>
  <c r="D17" i="22"/>
  <c r="E16" i="22"/>
  <c r="D16" i="22"/>
  <c r="E15" i="22"/>
  <c r="D15" i="22"/>
  <c r="E14" i="22"/>
  <c r="D14" i="22"/>
  <c r="E13" i="22"/>
  <c r="D13" i="22"/>
  <c r="E12" i="22"/>
  <c r="D12" i="22"/>
  <c r="E11" i="22"/>
  <c r="D11" i="22"/>
  <c r="E10" i="22"/>
  <c r="D10" i="22"/>
  <c r="E9" i="22"/>
  <c r="D9" i="22"/>
  <c r="E8" i="22"/>
  <c r="D8" i="22"/>
  <c r="E7" i="22"/>
  <c r="D7" i="22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AH146" i="7" l="1"/>
  <c r="AG146" i="7"/>
  <c r="AF146" i="7"/>
  <c r="AE146" i="7"/>
  <c r="AD146" i="7"/>
  <c r="AC146" i="7"/>
  <c r="AB146" i="7"/>
  <c r="AA146" i="7"/>
  <c r="Z146" i="7"/>
  <c r="L146" i="7"/>
  <c r="K146" i="7"/>
  <c r="J146" i="7"/>
  <c r="I146" i="7"/>
  <c r="H146" i="7"/>
  <c r="G146" i="7"/>
  <c r="F146" i="7"/>
  <c r="E146" i="7"/>
  <c r="D146" i="7"/>
  <c r="AH145" i="7"/>
  <c r="AG145" i="7"/>
  <c r="AF145" i="7"/>
  <c r="AE145" i="7"/>
  <c r="AD145" i="7"/>
  <c r="AC145" i="7"/>
  <c r="AB145" i="7"/>
  <c r="AA145" i="7"/>
  <c r="Z145" i="7"/>
  <c r="L145" i="7"/>
  <c r="K145" i="7"/>
  <c r="J145" i="7"/>
  <c r="I145" i="7"/>
  <c r="H145" i="7"/>
  <c r="G145" i="7"/>
  <c r="F145" i="7"/>
  <c r="E145" i="7"/>
  <c r="D145" i="7"/>
  <c r="AH144" i="7"/>
  <c r="AG144" i="7"/>
  <c r="AF144" i="7"/>
  <c r="AE144" i="7"/>
  <c r="AD144" i="7"/>
  <c r="AC144" i="7"/>
  <c r="AB144" i="7"/>
  <c r="AA144" i="7"/>
  <c r="Z144" i="7"/>
  <c r="L144" i="7"/>
  <c r="K144" i="7"/>
  <c r="J144" i="7"/>
  <c r="I144" i="7"/>
  <c r="H144" i="7"/>
  <c r="G144" i="7"/>
  <c r="F144" i="7"/>
  <c r="E144" i="7"/>
  <c r="D144" i="7"/>
  <c r="AH143" i="7"/>
  <c r="AG143" i="7"/>
  <c r="AF143" i="7"/>
  <c r="AE143" i="7"/>
  <c r="AD143" i="7"/>
  <c r="AC143" i="7"/>
  <c r="AB143" i="7"/>
  <c r="AA143" i="7"/>
  <c r="Z143" i="7"/>
  <c r="L143" i="7"/>
  <c r="K143" i="7"/>
  <c r="J143" i="7"/>
  <c r="I143" i="7"/>
  <c r="H143" i="7"/>
  <c r="G143" i="7"/>
  <c r="F143" i="7"/>
  <c r="E143" i="7"/>
  <c r="D143" i="7"/>
  <c r="AH142" i="7"/>
  <c r="AG142" i="7"/>
  <c r="AF142" i="7"/>
  <c r="AE142" i="7"/>
  <c r="AD142" i="7"/>
  <c r="AC142" i="7"/>
  <c r="AB142" i="7"/>
  <c r="AA142" i="7"/>
  <c r="Z142" i="7"/>
  <c r="L142" i="7"/>
  <c r="K142" i="7"/>
  <c r="J142" i="7"/>
  <c r="I142" i="7"/>
  <c r="H142" i="7"/>
  <c r="G142" i="7"/>
  <c r="F142" i="7"/>
  <c r="E142" i="7"/>
  <c r="D142" i="7"/>
  <c r="AH141" i="7"/>
  <c r="AG141" i="7"/>
  <c r="AF141" i="7"/>
  <c r="AE141" i="7"/>
  <c r="AD141" i="7"/>
  <c r="AC141" i="7"/>
  <c r="AB141" i="7"/>
  <c r="AA141" i="7"/>
  <c r="Z141" i="7"/>
  <c r="L141" i="7"/>
  <c r="K141" i="7"/>
  <c r="J141" i="7"/>
  <c r="I141" i="7"/>
  <c r="H141" i="7"/>
  <c r="G141" i="7"/>
  <c r="F141" i="7"/>
  <c r="E141" i="7"/>
  <c r="D141" i="7"/>
  <c r="AH140" i="7"/>
  <c r="AG140" i="7"/>
  <c r="AF140" i="7"/>
  <c r="AE140" i="7"/>
  <c r="AD140" i="7"/>
  <c r="AC140" i="7"/>
  <c r="AB140" i="7"/>
  <c r="AA140" i="7"/>
  <c r="Z140" i="7"/>
  <c r="L140" i="7"/>
  <c r="K140" i="7"/>
  <c r="J140" i="7"/>
  <c r="I140" i="7"/>
  <c r="H140" i="7"/>
  <c r="G140" i="7"/>
  <c r="F140" i="7"/>
  <c r="E140" i="7"/>
  <c r="D140" i="7"/>
  <c r="AH139" i="7"/>
  <c r="AG139" i="7"/>
  <c r="AF139" i="7"/>
  <c r="AE139" i="7"/>
  <c r="AD139" i="7"/>
  <c r="AC139" i="7"/>
  <c r="AB139" i="7"/>
  <c r="AA139" i="7"/>
  <c r="Z139" i="7"/>
  <c r="L139" i="7"/>
  <c r="K139" i="7"/>
  <c r="J139" i="7"/>
  <c r="I139" i="7"/>
  <c r="H139" i="7"/>
  <c r="G139" i="7"/>
  <c r="F139" i="7"/>
  <c r="E139" i="7"/>
  <c r="D139" i="7"/>
  <c r="AH138" i="7"/>
  <c r="AG138" i="7"/>
  <c r="AF138" i="7"/>
  <c r="AE138" i="7"/>
  <c r="AD138" i="7"/>
  <c r="AC138" i="7"/>
  <c r="AB138" i="7"/>
  <c r="AA138" i="7"/>
  <c r="Z138" i="7"/>
  <c r="L138" i="7"/>
  <c r="K138" i="7"/>
  <c r="J138" i="7"/>
  <c r="I138" i="7"/>
  <c r="H138" i="7"/>
  <c r="G138" i="7"/>
  <c r="F138" i="7"/>
  <c r="E138" i="7"/>
  <c r="D138" i="7"/>
  <c r="AH137" i="7"/>
  <c r="AG137" i="7"/>
  <c r="AF137" i="7"/>
  <c r="AE137" i="7"/>
  <c r="AD137" i="7"/>
  <c r="AC137" i="7"/>
  <c r="AB137" i="7"/>
  <c r="AA137" i="7"/>
  <c r="Z137" i="7"/>
  <c r="L137" i="7"/>
  <c r="K137" i="7"/>
  <c r="J137" i="7"/>
  <c r="I137" i="7"/>
  <c r="H137" i="7"/>
  <c r="G137" i="7"/>
  <c r="F137" i="7"/>
  <c r="E137" i="7"/>
  <c r="D137" i="7"/>
  <c r="AD136" i="7"/>
  <c r="AC136" i="7"/>
  <c r="AB136" i="7"/>
  <c r="AA136" i="7"/>
  <c r="Z136" i="7"/>
  <c r="L136" i="7"/>
  <c r="K136" i="7"/>
  <c r="J136" i="7"/>
  <c r="I136" i="7"/>
  <c r="H136" i="7"/>
  <c r="G136" i="7"/>
  <c r="F136" i="7"/>
  <c r="E136" i="7"/>
  <c r="D136" i="7"/>
  <c r="AH146" i="3"/>
  <c r="AG146" i="3"/>
  <c r="AF146" i="3"/>
  <c r="AE146" i="3"/>
  <c r="AD146" i="3"/>
  <c r="AC146" i="3"/>
  <c r="AB146" i="3"/>
  <c r="AA146" i="3"/>
  <c r="Z146" i="3"/>
  <c r="L146" i="3"/>
  <c r="K146" i="3"/>
  <c r="J146" i="3"/>
  <c r="I146" i="3"/>
  <c r="H146" i="3"/>
  <c r="G146" i="3"/>
  <c r="F146" i="3"/>
  <c r="E146" i="3"/>
  <c r="D146" i="3"/>
  <c r="AH145" i="3"/>
  <c r="AG145" i="3"/>
  <c r="AF145" i="3"/>
  <c r="AE145" i="3"/>
  <c r="AD145" i="3"/>
  <c r="AC145" i="3"/>
  <c r="AB145" i="3"/>
  <c r="AA145" i="3"/>
  <c r="Z145" i="3"/>
  <c r="L145" i="3"/>
  <c r="K145" i="3"/>
  <c r="J145" i="3"/>
  <c r="I145" i="3"/>
  <c r="H145" i="3"/>
  <c r="G145" i="3"/>
  <c r="F145" i="3"/>
  <c r="E145" i="3"/>
  <c r="D145" i="3"/>
  <c r="AH144" i="3"/>
  <c r="AG144" i="3"/>
  <c r="AF144" i="3"/>
  <c r="AE144" i="3"/>
  <c r="AD144" i="3"/>
  <c r="AC144" i="3"/>
  <c r="AB144" i="3"/>
  <c r="AA144" i="3"/>
  <c r="Z144" i="3"/>
  <c r="L144" i="3"/>
  <c r="K144" i="3"/>
  <c r="J144" i="3"/>
  <c r="I144" i="3"/>
  <c r="H144" i="3"/>
  <c r="G144" i="3"/>
  <c r="F144" i="3"/>
  <c r="E144" i="3"/>
  <c r="D144" i="3"/>
  <c r="AH143" i="3"/>
  <c r="AG143" i="3"/>
  <c r="AF143" i="3"/>
  <c r="AE143" i="3"/>
  <c r="AD143" i="3"/>
  <c r="AC143" i="3"/>
  <c r="AB143" i="3"/>
  <c r="AA143" i="3"/>
  <c r="Z143" i="3"/>
  <c r="L143" i="3"/>
  <c r="K143" i="3"/>
  <c r="J143" i="3"/>
  <c r="I143" i="3"/>
  <c r="H143" i="3"/>
  <c r="G143" i="3"/>
  <c r="F143" i="3"/>
  <c r="E143" i="3"/>
  <c r="D143" i="3"/>
  <c r="AH142" i="3"/>
  <c r="AG142" i="3"/>
  <c r="AF142" i="3"/>
  <c r="AE142" i="3"/>
  <c r="AD142" i="3"/>
  <c r="AC142" i="3"/>
  <c r="AB142" i="3"/>
  <c r="AA142" i="3"/>
  <c r="Z142" i="3"/>
  <c r="L142" i="3"/>
  <c r="K142" i="3"/>
  <c r="J142" i="3"/>
  <c r="I142" i="3"/>
  <c r="H142" i="3"/>
  <c r="G142" i="3"/>
  <c r="F142" i="3"/>
  <c r="E142" i="3"/>
  <c r="D142" i="3"/>
  <c r="AH141" i="3"/>
  <c r="AG141" i="3"/>
  <c r="AF141" i="3"/>
  <c r="AE141" i="3"/>
  <c r="AD141" i="3"/>
  <c r="AC141" i="3"/>
  <c r="AB141" i="3"/>
  <c r="AA141" i="3"/>
  <c r="Z141" i="3"/>
  <c r="L141" i="3"/>
  <c r="K141" i="3"/>
  <c r="J141" i="3"/>
  <c r="I141" i="3"/>
  <c r="H141" i="3"/>
  <c r="G141" i="3"/>
  <c r="F141" i="3"/>
  <c r="E141" i="3"/>
  <c r="D141" i="3"/>
  <c r="AH140" i="3"/>
  <c r="AG140" i="3"/>
  <c r="AF140" i="3"/>
  <c r="AE140" i="3"/>
  <c r="AD140" i="3"/>
  <c r="AC140" i="3"/>
  <c r="AB140" i="3"/>
  <c r="AA140" i="3"/>
  <c r="Z140" i="3"/>
  <c r="L140" i="3"/>
  <c r="K140" i="3"/>
  <c r="J140" i="3"/>
  <c r="I140" i="3"/>
  <c r="H140" i="3"/>
  <c r="G140" i="3"/>
  <c r="F140" i="3"/>
  <c r="E140" i="3"/>
  <c r="D140" i="3"/>
  <c r="AH139" i="3"/>
  <c r="AG139" i="3"/>
  <c r="AF139" i="3"/>
  <c r="AE139" i="3"/>
  <c r="AD139" i="3"/>
  <c r="AC139" i="3"/>
  <c r="AB139" i="3"/>
  <c r="AA139" i="3"/>
  <c r="Z139" i="3"/>
  <c r="L139" i="3"/>
  <c r="K139" i="3"/>
  <c r="J139" i="3"/>
  <c r="I139" i="3"/>
  <c r="H139" i="3"/>
  <c r="G139" i="3"/>
  <c r="F139" i="3"/>
  <c r="E139" i="3"/>
  <c r="D139" i="3"/>
  <c r="AH138" i="3"/>
  <c r="AG138" i="3"/>
  <c r="AF138" i="3"/>
  <c r="AE138" i="3"/>
  <c r="AD138" i="3"/>
  <c r="AC138" i="3"/>
  <c r="AB138" i="3"/>
  <c r="AA138" i="3"/>
  <c r="Z138" i="3"/>
  <c r="L138" i="3"/>
  <c r="K138" i="3"/>
  <c r="J138" i="3"/>
  <c r="I138" i="3"/>
  <c r="H138" i="3"/>
  <c r="G138" i="3"/>
  <c r="F138" i="3"/>
  <c r="E138" i="3"/>
  <c r="D138" i="3"/>
  <c r="AH137" i="3"/>
  <c r="AG137" i="3"/>
  <c r="AF137" i="3"/>
  <c r="AE137" i="3"/>
  <c r="AD137" i="3"/>
  <c r="AC137" i="3"/>
  <c r="AB137" i="3"/>
  <c r="AA137" i="3"/>
  <c r="Z137" i="3"/>
  <c r="L137" i="3"/>
  <c r="K137" i="3"/>
  <c r="J137" i="3"/>
  <c r="I137" i="3"/>
  <c r="H137" i="3"/>
  <c r="G137" i="3"/>
  <c r="F137" i="3"/>
  <c r="E137" i="3"/>
  <c r="D137" i="3"/>
  <c r="AH136" i="3"/>
  <c r="AG136" i="3"/>
  <c r="AF136" i="3"/>
  <c r="AE136" i="3"/>
  <c r="AD136" i="3"/>
  <c r="AC136" i="3"/>
  <c r="AB136" i="3"/>
  <c r="AA136" i="3"/>
  <c r="Z136" i="3"/>
  <c r="L136" i="3"/>
  <c r="K136" i="3"/>
  <c r="J136" i="3"/>
  <c r="I136" i="3"/>
  <c r="H136" i="3"/>
  <c r="G136" i="3"/>
  <c r="F136" i="3"/>
  <c r="F147" i="3" s="1"/>
  <c r="E136" i="3"/>
  <c r="D136" i="3"/>
  <c r="AH146" i="14"/>
  <c r="AG146" i="14"/>
  <c r="AF146" i="14"/>
  <c r="AE146" i="14"/>
  <c r="AD146" i="14"/>
  <c r="AC146" i="14"/>
  <c r="AB146" i="14"/>
  <c r="AA146" i="14"/>
  <c r="Z146" i="14"/>
  <c r="L146" i="14"/>
  <c r="K146" i="14"/>
  <c r="J146" i="14"/>
  <c r="I146" i="14"/>
  <c r="H146" i="14"/>
  <c r="G146" i="14"/>
  <c r="F146" i="14"/>
  <c r="E146" i="14"/>
  <c r="D146" i="14"/>
  <c r="AH145" i="14"/>
  <c r="AG145" i="14"/>
  <c r="AF145" i="14"/>
  <c r="AE145" i="14"/>
  <c r="AD145" i="14"/>
  <c r="AC145" i="14"/>
  <c r="AB145" i="14"/>
  <c r="AA145" i="14"/>
  <c r="Z145" i="14"/>
  <c r="L145" i="14"/>
  <c r="K145" i="14"/>
  <c r="J145" i="14"/>
  <c r="I145" i="14"/>
  <c r="H145" i="14"/>
  <c r="G145" i="14"/>
  <c r="F145" i="14"/>
  <c r="E145" i="14"/>
  <c r="D145" i="14"/>
  <c r="AH144" i="14"/>
  <c r="AG144" i="14"/>
  <c r="AF144" i="14"/>
  <c r="AE144" i="14"/>
  <c r="AD144" i="14"/>
  <c r="AC144" i="14"/>
  <c r="AB144" i="14"/>
  <c r="AA144" i="14"/>
  <c r="Z144" i="14"/>
  <c r="L144" i="14"/>
  <c r="K144" i="14"/>
  <c r="J144" i="14"/>
  <c r="I144" i="14"/>
  <c r="H144" i="14"/>
  <c r="G144" i="14"/>
  <c r="F144" i="14"/>
  <c r="E144" i="14"/>
  <c r="D144" i="14"/>
  <c r="AH143" i="14"/>
  <c r="AG143" i="14"/>
  <c r="AF143" i="14"/>
  <c r="AE143" i="14"/>
  <c r="AD143" i="14"/>
  <c r="AC143" i="14"/>
  <c r="AB143" i="14"/>
  <c r="AA143" i="14"/>
  <c r="Z143" i="14"/>
  <c r="L143" i="14"/>
  <c r="K143" i="14"/>
  <c r="J143" i="14"/>
  <c r="I143" i="14"/>
  <c r="H143" i="14"/>
  <c r="G143" i="14"/>
  <c r="F143" i="14"/>
  <c r="E143" i="14"/>
  <c r="D143" i="14"/>
  <c r="AH142" i="14"/>
  <c r="AG142" i="14"/>
  <c r="AF142" i="14"/>
  <c r="AE142" i="14"/>
  <c r="AD142" i="14"/>
  <c r="AC142" i="14"/>
  <c r="AB142" i="14"/>
  <c r="AA142" i="14"/>
  <c r="Z142" i="14"/>
  <c r="L142" i="14"/>
  <c r="K142" i="14"/>
  <c r="J142" i="14"/>
  <c r="I142" i="14"/>
  <c r="H142" i="14"/>
  <c r="G142" i="14"/>
  <c r="F142" i="14"/>
  <c r="E142" i="14"/>
  <c r="D142" i="14"/>
  <c r="AH141" i="14"/>
  <c r="AG141" i="14"/>
  <c r="AF141" i="14"/>
  <c r="AE141" i="14"/>
  <c r="AD141" i="14"/>
  <c r="AC141" i="14"/>
  <c r="AB141" i="14"/>
  <c r="AA141" i="14"/>
  <c r="Z141" i="14"/>
  <c r="L141" i="14"/>
  <c r="K141" i="14"/>
  <c r="J141" i="14"/>
  <c r="I141" i="14"/>
  <c r="H141" i="14"/>
  <c r="G141" i="14"/>
  <c r="F141" i="14"/>
  <c r="E141" i="14"/>
  <c r="D141" i="14"/>
  <c r="AH140" i="14"/>
  <c r="AG140" i="14"/>
  <c r="AF140" i="14"/>
  <c r="AE140" i="14"/>
  <c r="AD140" i="14"/>
  <c r="AC140" i="14"/>
  <c r="AB140" i="14"/>
  <c r="AA140" i="14"/>
  <c r="Z140" i="14"/>
  <c r="L140" i="14"/>
  <c r="K140" i="14"/>
  <c r="J140" i="14"/>
  <c r="I140" i="14"/>
  <c r="H140" i="14"/>
  <c r="G140" i="14"/>
  <c r="F140" i="14"/>
  <c r="E140" i="14"/>
  <c r="D140" i="14"/>
  <c r="AH139" i="14"/>
  <c r="AG139" i="14"/>
  <c r="AF139" i="14"/>
  <c r="AE139" i="14"/>
  <c r="AD139" i="14"/>
  <c r="AC139" i="14"/>
  <c r="AB139" i="14"/>
  <c r="AA139" i="14"/>
  <c r="Z139" i="14"/>
  <c r="L139" i="14"/>
  <c r="K139" i="14"/>
  <c r="J139" i="14"/>
  <c r="I139" i="14"/>
  <c r="H139" i="14"/>
  <c r="G139" i="14"/>
  <c r="F139" i="14"/>
  <c r="E139" i="14"/>
  <c r="D139" i="14"/>
  <c r="AH138" i="14"/>
  <c r="AG138" i="14"/>
  <c r="AF138" i="14"/>
  <c r="AE138" i="14"/>
  <c r="AD138" i="14"/>
  <c r="AC138" i="14"/>
  <c r="AB138" i="14"/>
  <c r="AA138" i="14"/>
  <c r="Z138" i="14"/>
  <c r="L138" i="14"/>
  <c r="K138" i="14"/>
  <c r="J138" i="14"/>
  <c r="I138" i="14"/>
  <c r="H138" i="14"/>
  <c r="G138" i="14"/>
  <c r="F138" i="14"/>
  <c r="E138" i="14"/>
  <c r="D138" i="14"/>
  <c r="AH137" i="14"/>
  <c r="AG137" i="14"/>
  <c r="AF137" i="14"/>
  <c r="AE137" i="14"/>
  <c r="AD137" i="14"/>
  <c r="AC137" i="14"/>
  <c r="AB137" i="14"/>
  <c r="AA137" i="14"/>
  <c r="Z137" i="14"/>
  <c r="L137" i="14"/>
  <c r="K137" i="14"/>
  <c r="J137" i="14"/>
  <c r="I137" i="14"/>
  <c r="H137" i="14"/>
  <c r="G137" i="14"/>
  <c r="F137" i="14"/>
  <c r="E137" i="14"/>
  <c r="D137" i="14"/>
  <c r="AH136" i="14"/>
  <c r="AG136" i="14"/>
  <c r="AF136" i="14"/>
  <c r="AE136" i="14"/>
  <c r="AD136" i="14"/>
  <c r="AC136" i="14"/>
  <c r="AB136" i="14"/>
  <c r="AA136" i="14"/>
  <c r="Z136" i="14"/>
  <c r="L136" i="14"/>
  <c r="K136" i="14"/>
  <c r="J136" i="14"/>
  <c r="I136" i="14"/>
  <c r="H136" i="14"/>
  <c r="G136" i="14"/>
  <c r="F136" i="14"/>
  <c r="E136" i="14"/>
  <c r="D136" i="14"/>
  <c r="AH146" i="19"/>
  <c r="AG146" i="19"/>
  <c r="AF146" i="19"/>
  <c r="AE146" i="19"/>
  <c r="AD146" i="19"/>
  <c r="AC146" i="19"/>
  <c r="AB146" i="19"/>
  <c r="AA146" i="19"/>
  <c r="Z146" i="19"/>
  <c r="L146" i="19"/>
  <c r="K146" i="19"/>
  <c r="J146" i="19"/>
  <c r="I146" i="19"/>
  <c r="H146" i="19"/>
  <c r="G146" i="19"/>
  <c r="F146" i="19"/>
  <c r="E146" i="19"/>
  <c r="D146" i="19"/>
  <c r="AH145" i="19"/>
  <c r="AG145" i="19"/>
  <c r="AF145" i="19"/>
  <c r="AE145" i="19"/>
  <c r="AD145" i="19"/>
  <c r="AC145" i="19"/>
  <c r="AB145" i="19"/>
  <c r="AA145" i="19"/>
  <c r="Z145" i="19"/>
  <c r="L145" i="19"/>
  <c r="K145" i="19"/>
  <c r="J145" i="19"/>
  <c r="I145" i="19"/>
  <c r="H145" i="19"/>
  <c r="G145" i="19"/>
  <c r="F145" i="19"/>
  <c r="E145" i="19"/>
  <c r="D145" i="19"/>
  <c r="AH144" i="19"/>
  <c r="AG144" i="19"/>
  <c r="AF144" i="19"/>
  <c r="AE144" i="19"/>
  <c r="AD144" i="19"/>
  <c r="AC144" i="19"/>
  <c r="AB144" i="19"/>
  <c r="AA144" i="19"/>
  <c r="Z144" i="19"/>
  <c r="L144" i="19"/>
  <c r="K144" i="19"/>
  <c r="J144" i="19"/>
  <c r="I144" i="19"/>
  <c r="H144" i="19"/>
  <c r="G144" i="19"/>
  <c r="F144" i="19"/>
  <c r="E144" i="19"/>
  <c r="D144" i="19"/>
  <c r="AH143" i="19"/>
  <c r="AG143" i="19"/>
  <c r="AF143" i="19"/>
  <c r="AE143" i="19"/>
  <c r="AD143" i="19"/>
  <c r="AC143" i="19"/>
  <c r="AB143" i="19"/>
  <c r="AA143" i="19"/>
  <c r="Z143" i="19"/>
  <c r="L143" i="19"/>
  <c r="K143" i="19"/>
  <c r="J143" i="19"/>
  <c r="I143" i="19"/>
  <c r="H143" i="19"/>
  <c r="G143" i="19"/>
  <c r="F143" i="19"/>
  <c r="E143" i="19"/>
  <c r="D143" i="19"/>
  <c r="AH142" i="19"/>
  <c r="AG142" i="19"/>
  <c r="AF142" i="19"/>
  <c r="AE142" i="19"/>
  <c r="AD142" i="19"/>
  <c r="AC142" i="19"/>
  <c r="AB142" i="19"/>
  <c r="AA142" i="19"/>
  <c r="Z142" i="19"/>
  <c r="L142" i="19"/>
  <c r="K142" i="19"/>
  <c r="J142" i="19"/>
  <c r="I142" i="19"/>
  <c r="H142" i="19"/>
  <c r="G142" i="19"/>
  <c r="F142" i="19"/>
  <c r="E142" i="19"/>
  <c r="D142" i="19"/>
  <c r="AH141" i="19"/>
  <c r="AG141" i="19"/>
  <c r="AF141" i="19"/>
  <c r="AE141" i="19"/>
  <c r="AD141" i="19"/>
  <c r="AC141" i="19"/>
  <c r="AB141" i="19"/>
  <c r="AA141" i="19"/>
  <c r="Z141" i="19"/>
  <c r="L141" i="19"/>
  <c r="K141" i="19"/>
  <c r="J141" i="19"/>
  <c r="I141" i="19"/>
  <c r="H141" i="19"/>
  <c r="G141" i="19"/>
  <c r="F141" i="19"/>
  <c r="E141" i="19"/>
  <c r="D141" i="19"/>
  <c r="AH140" i="19"/>
  <c r="AG140" i="19"/>
  <c r="AF140" i="19"/>
  <c r="AE140" i="19"/>
  <c r="AD140" i="19"/>
  <c r="AC140" i="19"/>
  <c r="AB140" i="19"/>
  <c r="AA140" i="19"/>
  <c r="Z140" i="19"/>
  <c r="L140" i="19"/>
  <c r="K140" i="19"/>
  <c r="J140" i="19"/>
  <c r="I140" i="19"/>
  <c r="H140" i="19"/>
  <c r="G140" i="19"/>
  <c r="F140" i="19"/>
  <c r="E140" i="19"/>
  <c r="D140" i="19"/>
  <c r="AH139" i="19"/>
  <c r="AG139" i="19"/>
  <c r="AF139" i="19"/>
  <c r="AE139" i="19"/>
  <c r="AD139" i="19"/>
  <c r="AC139" i="19"/>
  <c r="AB139" i="19"/>
  <c r="AA139" i="19"/>
  <c r="Z139" i="19"/>
  <c r="L139" i="19"/>
  <c r="K139" i="19"/>
  <c r="J139" i="19"/>
  <c r="I139" i="19"/>
  <c r="H139" i="19"/>
  <c r="G139" i="19"/>
  <c r="F139" i="19"/>
  <c r="E139" i="19"/>
  <c r="D139" i="19"/>
  <c r="AH138" i="19"/>
  <c r="AG138" i="19"/>
  <c r="AF138" i="19"/>
  <c r="AE138" i="19"/>
  <c r="AD138" i="19"/>
  <c r="AC138" i="19"/>
  <c r="AB138" i="19"/>
  <c r="AA138" i="19"/>
  <c r="Z138" i="19"/>
  <c r="L138" i="19"/>
  <c r="K138" i="19"/>
  <c r="J138" i="19"/>
  <c r="I138" i="19"/>
  <c r="H138" i="19"/>
  <c r="G138" i="19"/>
  <c r="F138" i="19"/>
  <c r="E138" i="19"/>
  <c r="D138" i="19"/>
  <c r="AH137" i="19"/>
  <c r="AG137" i="19"/>
  <c r="AF137" i="19"/>
  <c r="AE137" i="19"/>
  <c r="AD137" i="19"/>
  <c r="AC137" i="19"/>
  <c r="AB137" i="19"/>
  <c r="AA137" i="19"/>
  <c r="Z137" i="19"/>
  <c r="L137" i="19"/>
  <c r="K137" i="19"/>
  <c r="J137" i="19"/>
  <c r="I137" i="19"/>
  <c r="H137" i="19"/>
  <c r="G137" i="19"/>
  <c r="F137" i="19"/>
  <c r="E137" i="19"/>
  <c r="D137" i="19"/>
  <c r="AH136" i="19"/>
  <c r="AG136" i="19"/>
  <c r="AF136" i="19"/>
  <c r="AE136" i="19"/>
  <c r="AD136" i="19"/>
  <c r="AC136" i="19"/>
  <c r="AB136" i="19"/>
  <c r="AA136" i="19"/>
  <c r="Z136" i="19"/>
  <c r="L136" i="19"/>
  <c r="K136" i="19"/>
  <c r="J136" i="19"/>
  <c r="I136" i="19"/>
  <c r="H136" i="19"/>
  <c r="G136" i="19"/>
  <c r="F136" i="19"/>
  <c r="E136" i="19"/>
  <c r="D136" i="19"/>
  <c r="AH146" i="20"/>
  <c r="AG146" i="20"/>
  <c r="AF146" i="20"/>
  <c r="AE146" i="20"/>
  <c r="AD146" i="20"/>
  <c r="AC146" i="20"/>
  <c r="AB146" i="20"/>
  <c r="AA146" i="20"/>
  <c r="Z146" i="20"/>
  <c r="M146" i="20"/>
  <c r="L146" i="20"/>
  <c r="K146" i="20"/>
  <c r="J146" i="20"/>
  <c r="I146" i="20"/>
  <c r="H146" i="20"/>
  <c r="G146" i="20"/>
  <c r="F146" i="20"/>
  <c r="E146" i="20"/>
  <c r="D146" i="20"/>
  <c r="AH145" i="20"/>
  <c r="AG145" i="20"/>
  <c r="AF145" i="20"/>
  <c r="AE145" i="20"/>
  <c r="AD145" i="20"/>
  <c r="AC145" i="20"/>
  <c r="AB145" i="20"/>
  <c r="AA145" i="20"/>
  <c r="Z145" i="20"/>
  <c r="M145" i="20"/>
  <c r="L145" i="20"/>
  <c r="K145" i="20"/>
  <c r="J145" i="20"/>
  <c r="I145" i="20"/>
  <c r="H145" i="20"/>
  <c r="G145" i="20"/>
  <c r="F145" i="20"/>
  <c r="E145" i="20"/>
  <c r="D145" i="20"/>
  <c r="AH144" i="20"/>
  <c r="AG144" i="20"/>
  <c r="AF144" i="20"/>
  <c r="AE144" i="20"/>
  <c r="AD144" i="20"/>
  <c r="AC144" i="20"/>
  <c r="AB144" i="20"/>
  <c r="AA144" i="20"/>
  <c r="Z144" i="20"/>
  <c r="M144" i="20"/>
  <c r="L144" i="20"/>
  <c r="K144" i="20"/>
  <c r="J144" i="20"/>
  <c r="I144" i="20"/>
  <c r="H144" i="20"/>
  <c r="G144" i="20"/>
  <c r="F144" i="20"/>
  <c r="E144" i="20"/>
  <c r="D144" i="20"/>
  <c r="AH143" i="20"/>
  <c r="AG143" i="20"/>
  <c r="AF143" i="20"/>
  <c r="AE143" i="20"/>
  <c r="AD143" i="20"/>
  <c r="AC143" i="20"/>
  <c r="AB143" i="20"/>
  <c r="AA143" i="20"/>
  <c r="Z143" i="20"/>
  <c r="M143" i="20"/>
  <c r="L143" i="20"/>
  <c r="K143" i="20"/>
  <c r="J143" i="20"/>
  <c r="I143" i="20"/>
  <c r="H143" i="20"/>
  <c r="G143" i="20"/>
  <c r="F143" i="20"/>
  <c r="E143" i="20"/>
  <c r="D143" i="20"/>
  <c r="AH142" i="20"/>
  <c r="AG142" i="20"/>
  <c r="AF142" i="20"/>
  <c r="AE142" i="20"/>
  <c r="AD142" i="20"/>
  <c r="AC142" i="20"/>
  <c r="AB142" i="20"/>
  <c r="AA142" i="20"/>
  <c r="Z142" i="20"/>
  <c r="M142" i="20"/>
  <c r="L142" i="20"/>
  <c r="K142" i="20"/>
  <c r="J142" i="20"/>
  <c r="I142" i="20"/>
  <c r="H142" i="20"/>
  <c r="G142" i="20"/>
  <c r="F142" i="20"/>
  <c r="E142" i="20"/>
  <c r="D142" i="20"/>
  <c r="AH141" i="20"/>
  <c r="AG141" i="20"/>
  <c r="AF141" i="20"/>
  <c r="AE141" i="20"/>
  <c r="AD141" i="20"/>
  <c r="AC141" i="20"/>
  <c r="AB141" i="20"/>
  <c r="AA141" i="20"/>
  <c r="Z141" i="20"/>
  <c r="M141" i="20"/>
  <c r="L141" i="20"/>
  <c r="K141" i="20"/>
  <c r="J141" i="20"/>
  <c r="I141" i="20"/>
  <c r="H141" i="20"/>
  <c r="G141" i="20"/>
  <c r="F141" i="20"/>
  <c r="E141" i="20"/>
  <c r="D141" i="20"/>
  <c r="AH140" i="20"/>
  <c r="AG140" i="20"/>
  <c r="AF140" i="20"/>
  <c r="AE140" i="20"/>
  <c r="AD140" i="20"/>
  <c r="AC140" i="20"/>
  <c r="AB140" i="20"/>
  <c r="AA140" i="20"/>
  <c r="Z140" i="20"/>
  <c r="M140" i="20"/>
  <c r="L140" i="20"/>
  <c r="K140" i="20"/>
  <c r="J140" i="20"/>
  <c r="I140" i="20"/>
  <c r="H140" i="20"/>
  <c r="G140" i="20"/>
  <c r="F140" i="20"/>
  <c r="E140" i="20"/>
  <c r="D140" i="20"/>
  <c r="AH139" i="20"/>
  <c r="AG139" i="20"/>
  <c r="AF139" i="20"/>
  <c r="AE139" i="20"/>
  <c r="AD139" i="20"/>
  <c r="AC139" i="20"/>
  <c r="AB139" i="20"/>
  <c r="AA139" i="20"/>
  <c r="Z139" i="20"/>
  <c r="M139" i="20"/>
  <c r="L139" i="20"/>
  <c r="K139" i="20"/>
  <c r="J139" i="20"/>
  <c r="I139" i="20"/>
  <c r="H139" i="20"/>
  <c r="G139" i="20"/>
  <c r="F139" i="20"/>
  <c r="E139" i="20"/>
  <c r="D139" i="20"/>
  <c r="AH138" i="20"/>
  <c r="AG138" i="20"/>
  <c r="AF138" i="20"/>
  <c r="AE138" i="20"/>
  <c r="AD138" i="20"/>
  <c r="AC138" i="20"/>
  <c r="AB138" i="20"/>
  <c r="AA138" i="20"/>
  <c r="Z138" i="20"/>
  <c r="M138" i="20"/>
  <c r="L138" i="20"/>
  <c r="K138" i="20"/>
  <c r="J138" i="20"/>
  <c r="I138" i="20"/>
  <c r="H138" i="20"/>
  <c r="G138" i="20"/>
  <c r="F138" i="20"/>
  <c r="E138" i="20"/>
  <c r="D138" i="20"/>
  <c r="AH137" i="20"/>
  <c r="AG137" i="20"/>
  <c r="AF137" i="20"/>
  <c r="AE137" i="20"/>
  <c r="AD137" i="20"/>
  <c r="AC137" i="20"/>
  <c r="AB137" i="20"/>
  <c r="AA137" i="20"/>
  <c r="Z137" i="20"/>
  <c r="M137" i="20"/>
  <c r="L137" i="20"/>
  <c r="K137" i="20"/>
  <c r="J137" i="20"/>
  <c r="I137" i="20"/>
  <c r="H137" i="20"/>
  <c r="G137" i="20"/>
  <c r="F137" i="20"/>
  <c r="E137" i="20"/>
  <c r="D137" i="20"/>
  <c r="AH136" i="20"/>
  <c r="AG136" i="20"/>
  <c r="AF136" i="20"/>
  <c r="AE136" i="20"/>
  <c r="AD136" i="20"/>
  <c r="AC136" i="20"/>
  <c r="AB136" i="20"/>
  <c r="AA136" i="20"/>
  <c r="Z136" i="20"/>
  <c r="M136" i="20"/>
  <c r="L136" i="20"/>
  <c r="K136" i="20"/>
  <c r="J136" i="20"/>
  <c r="I136" i="20"/>
  <c r="H136" i="20"/>
  <c r="G136" i="20"/>
  <c r="F136" i="20"/>
  <c r="E136" i="20"/>
  <c r="D136" i="20"/>
  <c r="AG146" i="21"/>
  <c r="AF146" i="21"/>
  <c r="AE146" i="21"/>
  <c r="AD146" i="21"/>
  <c r="AC146" i="21"/>
  <c r="AB146" i="21"/>
  <c r="AA146" i="21"/>
  <c r="Z146" i="21"/>
  <c r="Y146" i="21"/>
  <c r="X146" i="21"/>
  <c r="M146" i="21"/>
  <c r="L146" i="21"/>
  <c r="K146" i="21"/>
  <c r="J146" i="21"/>
  <c r="I146" i="21"/>
  <c r="H146" i="21"/>
  <c r="G146" i="21"/>
  <c r="F146" i="21"/>
  <c r="E146" i="21"/>
  <c r="D146" i="21"/>
  <c r="AG145" i="21"/>
  <c r="AF145" i="21"/>
  <c r="AE145" i="21"/>
  <c r="AD145" i="21"/>
  <c r="AC145" i="21"/>
  <c r="AB145" i="21"/>
  <c r="AA145" i="21"/>
  <c r="Z145" i="21"/>
  <c r="Y145" i="21"/>
  <c r="X145" i="21"/>
  <c r="M145" i="21"/>
  <c r="L145" i="21"/>
  <c r="K145" i="21"/>
  <c r="J145" i="21"/>
  <c r="I145" i="21"/>
  <c r="H145" i="21"/>
  <c r="G145" i="21"/>
  <c r="F145" i="21"/>
  <c r="E145" i="21"/>
  <c r="D145" i="21"/>
  <c r="AG144" i="21"/>
  <c r="AF144" i="21"/>
  <c r="AE144" i="21"/>
  <c r="AD144" i="21"/>
  <c r="AC144" i="21"/>
  <c r="AB144" i="21"/>
  <c r="AA144" i="21"/>
  <c r="Z144" i="21"/>
  <c r="Y144" i="21"/>
  <c r="X144" i="21"/>
  <c r="M144" i="21"/>
  <c r="L144" i="21"/>
  <c r="K144" i="21"/>
  <c r="J144" i="21"/>
  <c r="I144" i="21"/>
  <c r="H144" i="21"/>
  <c r="G144" i="21"/>
  <c r="F144" i="21"/>
  <c r="E144" i="21"/>
  <c r="D144" i="21"/>
  <c r="AG143" i="21"/>
  <c r="AF143" i="21"/>
  <c r="AE143" i="21"/>
  <c r="AD143" i="21"/>
  <c r="AC143" i="21"/>
  <c r="AB143" i="21"/>
  <c r="AA143" i="21"/>
  <c r="Z143" i="21"/>
  <c r="Y143" i="21"/>
  <c r="X143" i="21"/>
  <c r="M143" i="21"/>
  <c r="L143" i="21"/>
  <c r="K143" i="21"/>
  <c r="J143" i="21"/>
  <c r="I143" i="21"/>
  <c r="H143" i="21"/>
  <c r="G143" i="21"/>
  <c r="F143" i="21"/>
  <c r="E143" i="21"/>
  <c r="D143" i="21"/>
  <c r="AG142" i="21"/>
  <c r="AF142" i="21"/>
  <c r="AE142" i="21"/>
  <c r="AD142" i="21"/>
  <c r="AC142" i="21"/>
  <c r="AB142" i="21"/>
  <c r="AA142" i="21"/>
  <c r="Z142" i="21"/>
  <c r="Y142" i="21"/>
  <c r="X142" i="21"/>
  <c r="M142" i="21"/>
  <c r="L142" i="21"/>
  <c r="K142" i="21"/>
  <c r="J142" i="21"/>
  <c r="I142" i="21"/>
  <c r="H142" i="21"/>
  <c r="G142" i="21"/>
  <c r="F142" i="21"/>
  <c r="E142" i="21"/>
  <c r="D142" i="21"/>
  <c r="AG141" i="21"/>
  <c r="AF141" i="21"/>
  <c r="AE141" i="21"/>
  <c r="AD141" i="21"/>
  <c r="AC141" i="21"/>
  <c r="AB141" i="21"/>
  <c r="AA141" i="21"/>
  <c r="Z141" i="21"/>
  <c r="Y141" i="21"/>
  <c r="X141" i="21"/>
  <c r="M141" i="21"/>
  <c r="L141" i="21"/>
  <c r="K141" i="21"/>
  <c r="J141" i="21"/>
  <c r="I141" i="21"/>
  <c r="H141" i="21"/>
  <c r="G141" i="21"/>
  <c r="F141" i="21"/>
  <c r="E141" i="21"/>
  <c r="D141" i="21"/>
  <c r="AG140" i="21"/>
  <c r="AF140" i="21"/>
  <c r="AE140" i="21"/>
  <c r="AD140" i="21"/>
  <c r="AC140" i="21"/>
  <c r="AB140" i="21"/>
  <c r="AA140" i="21"/>
  <c r="Z140" i="21"/>
  <c r="Y140" i="21"/>
  <c r="X140" i="21"/>
  <c r="M140" i="21"/>
  <c r="L140" i="21"/>
  <c r="K140" i="21"/>
  <c r="J140" i="21"/>
  <c r="I140" i="21"/>
  <c r="H140" i="21"/>
  <c r="G140" i="21"/>
  <c r="F140" i="21"/>
  <c r="E140" i="21"/>
  <c r="D140" i="21"/>
  <c r="AG139" i="21"/>
  <c r="AF139" i="21"/>
  <c r="AE139" i="21"/>
  <c r="AD139" i="21"/>
  <c r="AC139" i="21"/>
  <c r="AB139" i="21"/>
  <c r="AA139" i="21"/>
  <c r="Z139" i="21"/>
  <c r="Y139" i="21"/>
  <c r="X139" i="21"/>
  <c r="M139" i="21"/>
  <c r="L139" i="21"/>
  <c r="K139" i="21"/>
  <c r="J139" i="21"/>
  <c r="I139" i="21"/>
  <c r="H139" i="21"/>
  <c r="G139" i="21"/>
  <c r="F139" i="21"/>
  <c r="E139" i="21"/>
  <c r="D139" i="21"/>
  <c r="AG138" i="21"/>
  <c r="AF138" i="21"/>
  <c r="AE138" i="21"/>
  <c r="AD138" i="21"/>
  <c r="AC138" i="21"/>
  <c r="AB138" i="21"/>
  <c r="AA138" i="21"/>
  <c r="Z138" i="21"/>
  <c r="Y138" i="21"/>
  <c r="X138" i="21"/>
  <c r="M138" i="21"/>
  <c r="L138" i="21"/>
  <c r="K138" i="21"/>
  <c r="J138" i="21"/>
  <c r="I138" i="21"/>
  <c r="H138" i="21"/>
  <c r="G138" i="21"/>
  <c r="F138" i="21"/>
  <c r="E138" i="21"/>
  <c r="D138" i="21"/>
  <c r="AG137" i="21"/>
  <c r="AF137" i="21"/>
  <c r="AE137" i="21"/>
  <c r="AD137" i="21"/>
  <c r="AC137" i="21"/>
  <c r="AB137" i="21"/>
  <c r="AA137" i="21"/>
  <c r="Z137" i="21"/>
  <c r="Y137" i="21"/>
  <c r="X137" i="21"/>
  <c r="M137" i="21"/>
  <c r="L137" i="21"/>
  <c r="K137" i="21"/>
  <c r="J137" i="21"/>
  <c r="I137" i="21"/>
  <c r="H137" i="21"/>
  <c r="G137" i="21"/>
  <c r="F137" i="21"/>
  <c r="E137" i="21"/>
  <c r="D137" i="21"/>
  <c r="AG136" i="21"/>
  <c r="AF136" i="21"/>
  <c r="AE136" i="21"/>
  <c r="AD136" i="21"/>
  <c r="AC136" i="21"/>
  <c r="AB136" i="21"/>
  <c r="AA136" i="21"/>
  <c r="Z136" i="21"/>
  <c r="Y136" i="21"/>
  <c r="X136" i="21"/>
  <c r="M136" i="21"/>
  <c r="L136" i="21"/>
  <c r="K136" i="21"/>
  <c r="J136" i="21"/>
  <c r="J147" i="21" s="1"/>
  <c r="I136" i="21"/>
  <c r="I147" i="21" s="1"/>
  <c r="H136" i="21"/>
  <c r="H147" i="21" s="1"/>
  <c r="G136" i="21"/>
  <c r="G147" i="21" s="1"/>
  <c r="F136" i="21"/>
  <c r="E136" i="21"/>
  <c r="D136" i="21"/>
  <c r="AL132" i="7"/>
  <c r="AL131" i="7"/>
  <c r="AL130" i="7"/>
  <c r="AL129" i="7"/>
  <c r="AL128" i="7"/>
  <c r="AL127" i="7"/>
  <c r="AL126" i="7"/>
  <c r="AL125" i="7"/>
  <c r="AL124" i="7"/>
  <c r="AL123" i="7"/>
  <c r="AL122" i="7"/>
  <c r="AL121" i="7"/>
  <c r="AL120" i="7"/>
  <c r="AL119" i="7"/>
  <c r="AL118" i="7"/>
  <c r="AL117" i="7"/>
  <c r="AL116" i="7"/>
  <c r="AL115" i="7"/>
  <c r="AL114" i="7"/>
  <c r="AL113" i="7"/>
  <c r="AL112" i="7"/>
  <c r="AL111" i="7"/>
  <c r="AL110" i="7"/>
  <c r="AL109" i="7"/>
  <c r="AL108" i="7"/>
  <c r="AL107" i="7"/>
  <c r="AL106" i="7"/>
  <c r="AL105" i="7"/>
  <c r="AL104" i="7"/>
  <c r="AL103" i="7"/>
  <c r="AL102" i="7"/>
  <c r="AL101" i="7"/>
  <c r="AL100" i="7"/>
  <c r="AL99" i="7"/>
  <c r="AL98" i="7"/>
  <c r="AL97" i="7"/>
  <c r="AL96" i="7"/>
  <c r="AL95" i="7"/>
  <c r="AL94" i="7"/>
  <c r="AL93" i="7"/>
  <c r="AL92" i="7"/>
  <c r="AL91" i="7"/>
  <c r="AL90" i="7"/>
  <c r="AL89" i="7"/>
  <c r="AL88" i="7"/>
  <c r="AL87" i="7"/>
  <c r="AL86" i="7"/>
  <c r="AL85" i="7"/>
  <c r="AL84" i="7"/>
  <c r="AL83" i="7"/>
  <c r="AL82" i="7"/>
  <c r="AL81" i="7"/>
  <c r="AL80" i="7"/>
  <c r="AL79" i="7"/>
  <c r="AL78" i="7"/>
  <c r="AL77" i="7"/>
  <c r="AL76" i="7"/>
  <c r="AL75" i="7"/>
  <c r="AL74" i="7"/>
  <c r="AL73" i="7"/>
  <c r="AL72" i="7"/>
  <c r="AL71" i="7"/>
  <c r="AL70" i="7"/>
  <c r="AL69" i="7"/>
  <c r="AL68" i="7"/>
  <c r="AL67" i="7"/>
  <c r="AL66" i="7"/>
  <c r="AL65" i="7"/>
  <c r="AL64" i="7"/>
  <c r="AL63" i="7"/>
  <c r="AL62" i="7"/>
  <c r="AL61" i="7"/>
  <c r="AL60" i="7"/>
  <c r="AL59" i="7"/>
  <c r="AL58" i="7"/>
  <c r="AL57" i="7"/>
  <c r="AL56" i="7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11" i="7"/>
  <c r="AL10" i="7"/>
  <c r="AL9" i="7"/>
  <c r="AL8" i="7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11" i="3"/>
  <c r="AL10" i="3"/>
  <c r="AL9" i="3"/>
  <c r="AL8" i="3"/>
  <c r="AL132" i="14"/>
  <c r="AL131" i="14"/>
  <c r="AL130" i="14"/>
  <c r="AL129" i="14"/>
  <c r="AL128" i="14"/>
  <c r="AL127" i="14"/>
  <c r="AL126" i="14"/>
  <c r="AL125" i="14"/>
  <c r="AL124" i="14"/>
  <c r="AL123" i="14"/>
  <c r="AL122" i="14"/>
  <c r="AL121" i="14"/>
  <c r="AL120" i="14"/>
  <c r="AL119" i="14"/>
  <c r="AL118" i="14"/>
  <c r="AL117" i="14"/>
  <c r="AL116" i="14"/>
  <c r="AL115" i="14"/>
  <c r="AL114" i="14"/>
  <c r="AL113" i="14"/>
  <c r="AL112" i="14"/>
  <c r="AL111" i="14"/>
  <c r="AL110" i="14"/>
  <c r="AL109" i="14"/>
  <c r="AL108" i="14"/>
  <c r="AL107" i="14"/>
  <c r="AL106" i="14"/>
  <c r="AL105" i="14"/>
  <c r="AL104" i="14"/>
  <c r="AL103" i="14"/>
  <c r="AL102" i="14"/>
  <c r="AL101" i="14"/>
  <c r="AL100" i="14"/>
  <c r="AL99" i="14"/>
  <c r="AL98" i="14"/>
  <c r="AL97" i="14"/>
  <c r="AL96" i="14"/>
  <c r="AL95" i="14"/>
  <c r="AL94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8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132" i="15"/>
  <c r="AL131" i="15"/>
  <c r="AL130" i="15"/>
  <c r="AL129" i="15"/>
  <c r="AL128" i="15"/>
  <c r="AL127" i="15"/>
  <c r="AL126" i="15"/>
  <c r="AL125" i="15"/>
  <c r="AL124" i="15"/>
  <c r="AL123" i="15"/>
  <c r="AL122" i="15"/>
  <c r="AL121" i="15"/>
  <c r="AL120" i="15"/>
  <c r="AL119" i="15"/>
  <c r="AL118" i="15"/>
  <c r="AL117" i="15"/>
  <c r="AL116" i="15"/>
  <c r="AL115" i="15"/>
  <c r="AL114" i="15"/>
  <c r="AL113" i="15"/>
  <c r="AL112" i="15"/>
  <c r="AL111" i="15"/>
  <c r="AL110" i="15"/>
  <c r="AL109" i="15"/>
  <c r="AL108" i="15"/>
  <c r="AL107" i="15"/>
  <c r="AL106" i="15"/>
  <c r="AL105" i="15"/>
  <c r="AL104" i="15"/>
  <c r="AL103" i="15"/>
  <c r="AL102" i="15"/>
  <c r="AL101" i="15"/>
  <c r="AL100" i="15"/>
  <c r="AL99" i="15"/>
  <c r="AL98" i="15"/>
  <c r="AL97" i="15"/>
  <c r="AL96" i="15"/>
  <c r="AL95" i="15"/>
  <c r="AL94" i="15"/>
  <c r="AL93" i="15"/>
  <c r="AL92" i="15"/>
  <c r="AL91" i="15"/>
  <c r="AL90" i="15"/>
  <c r="AL89" i="15"/>
  <c r="AL88" i="15"/>
  <c r="AL87" i="15"/>
  <c r="AL86" i="15"/>
  <c r="AL85" i="15"/>
  <c r="AL84" i="15"/>
  <c r="AL83" i="15"/>
  <c r="AL82" i="15"/>
  <c r="AL81" i="15"/>
  <c r="AL80" i="15"/>
  <c r="AL79" i="15"/>
  <c r="AL78" i="15"/>
  <c r="AL77" i="15"/>
  <c r="AL76" i="15"/>
  <c r="AL75" i="15"/>
  <c r="AL74" i="15"/>
  <c r="AL73" i="15"/>
  <c r="AL72" i="15"/>
  <c r="AL71" i="15"/>
  <c r="AL70" i="15"/>
  <c r="AL69" i="15"/>
  <c r="AL68" i="15"/>
  <c r="AL67" i="15"/>
  <c r="AL66" i="15"/>
  <c r="AL65" i="15"/>
  <c r="AL64" i="15"/>
  <c r="AL63" i="15"/>
  <c r="AL62" i="15"/>
  <c r="AL61" i="15"/>
  <c r="AL60" i="15"/>
  <c r="AL59" i="15"/>
  <c r="AL58" i="15"/>
  <c r="AL57" i="15"/>
  <c r="AL56" i="15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L22" i="15"/>
  <c r="AL21" i="15"/>
  <c r="AL20" i="15"/>
  <c r="AL19" i="15"/>
  <c r="AL18" i="15"/>
  <c r="AL17" i="15"/>
  <c r="AL16" i="15"/>
  <c r="AL15" i="15"/>
  <c r="AL14" i="15"/>
  <c r="AL13" i="15"/>
  <c r="AL12" i="15"/>
  <c r="AL11" i="15"/>
  <c r="AL10" i="15"/>
  <c r="AL9" i="15"/>
  <c r="AL8" i="15"/>
  <c r="AL132" i="19"/>
  <c r="AL131" i="19"/>
  <c r="AL130" i="19"/>
  <c r="AL129" i="19"/>
  <c r="AL128" i="19"/>
  <c r="AL127" i="19"/>
  <c r="AL126" i="19"/>
  <c r="AL125" i="19"/>
  <c r="AL124" i="19"/>
  <c r="AL123" i="19"/>
  <c r="AL122" i="19"/>
  <c r="AL121" i="19"/>
  <c r="AL120" i="19"/>
  <c r="AL119" i="19"/>
  <c r="AL118" i="19"/>
  <c r="AL117" i="19"/>
  <c r="AL116" i="19"/>
  <c r="AL115" i="19"/>
  <c r="AL114" i="19"/>
  <c r="AL113" i="19"/>
  <c r="AL112" i="19"/>
  <c r="AL111" i="19"/>
  <c r="AL110" i="19"/>
  <c r="AL109" i="19"/>
  <c r="AL108" i="19"/>
  <c r="AL107" i="19"/>
  <c r="AL106" i="19"/>
  <c r="AL105" i="19"/>
  <c r="AL104" i="19"/>
  <c r="AL103" i="19"/>
  <c r="AL102" i="19"/>
  <c r="AL101" i="19"/>
  <c r="AL100" i="19"/>
  <c r="AL99" i="19"/>
  <c r="AL98" i="19"/>
  <c r="AL97" i="19"/>
  <c r="AL96" i="19"/>
  <c r="AL95" i="19"/>
  <c r="AL94" i="19"/>
  <c r="AL93" i="19"/>
  <c r="AL92" i="19"/>
  <c r="AL91" i="19"/>
  <c r="AL90" i="19"/>
  <c r="AL89" i="19"/>
  <c r="AL88" i="19"/>
  <c r="AL87" i="19"/>
  <c r="AL86" i="19"/>
  <c r="AL85" i="19"/>
  <c r="AL84" i="19"/>
  <c r="AL83" i="19"/>
  <c r="AL82" i="19"/>
  <c r="AL81" i="19"/>
  <c r="AL80" i="19"/>
  <c r="AL79" i="19"/>
  <c r="AL78" i="19"/>
  <c r="AL77" i="19"/>
  <c r="AL76" i="19"/>
  <c r="AL75" i="19"/>
  <c r="AL74" i="19"/>
  <c r="AL73" i="19"/>
  <c r="AL72" i="19"/>
  <c r="AL71" i="19"/>
  <c r="AL70" i="19"/>
  <c r="AL69" i="19"/>
  <c r="AL68" i="19"/>
  <c r="AL67" i="19"/>
  <c r="AL66" i="19"/>
  <c r="AL65" i="19"/>
  <c r="AL64" i="19"/>
  <c r="AL63" i="19"/>
  <c r="AL62" i="19"/>
  <c r="AL61" i="19"/>
  <c r="AL60" i="19"/>
  <c r="AL59" i="19"/>
  <c r="AL58" i="19"/>
  <c r="AL57" i="19"/>
  <c r="AL56" i="19"/>
  <c r="AL55" i="19"/>
  <c r="AL54" i="19"/>
  <c r="AL53" i="19"/>
  <c r="AL52" i="19"/>
  <c r="AL51" i="19"/>
  <c r="AL50" i="19"/>
  <c r="AL49" i="19"/>
  <c r="AL48" i="19"/>
  <c r="AL47" i="19"/>
  <c r="AL46" i="19"/>
  <c r="AL45" i="19"/>
  <c r="AL44" i="19"/>
  <c r="AL43" i="19"/>
  <c r="AL42" i="19"/>
  <c r="AL41" i="19"/>
  <c r="AL40" i="19"/>
  <c r="AL39" i="19"/>
  <c r="AL38" i="19"/>
  <c r="AL37" i="19"/>
  <c r="AL36" i="19"/>
  <c r="AL35" i="19"/>
  <c r="AL34" i="19"/>
  <c r="AL33" i="19"/>
  <c r="AL32" i="19"/>
  <c r="AL31" i="19"/>
  <c r="AL30" i="19"/>
  <c r="AL29" i="19"/>
  <c r="AL28" i="19"/>
  <c r="AL27" i="19"/>
  <c r="AL26" i="19"/>
  <c r="AL25" i="19"/>
  <c r="AL24" i="19"/>
  <c r="AL23" i="19"/>
  <c r="AL22" i="19"/>
  <c r="AL21" i="19"/>
  <c r="AL20" i="19"/>
  <c r="AL19" i="19"/>
  <c r="AL18" i="19"/>
  <c r="AL17" i="19"/>
  <c r="AL16" i="19"/>
  <c r="AL15" i="19"/>
  <c r="AL14" i="19"/>
  <c r="AL13" i="19"/>
  <c r="AL12" i="19"/>
  <c r="AL11" i="19"/>
  <c r="AL10" i="19"/>
  <c r="AL9" i="19"/>
  <c r="AL8" i="19"/>
  <c r="AL7" i="3"/>
  <c r="AL7" i="14"/>
  <c r="AL7" i="15"/>
  <c r="AL7" i="19"/>
  <c r="AF7" i="7"/>
  <c r="AG7" i="7"/>
  <c r="AG136" i="7" s="1"/>
  <c r="AH7" i="7"/>
  <c r="AE7" i="7"/>
  <c r="D147" i="20" l="1"/>
  <c r="L147" i="20"/>
  <c r="J147" i="19"/>
  <c r="G147" i="19"/>
  <c r="AE136" i="7"/>
  <c r="AY7" i="7"/>
  <c r="AH136" i="7"/>
  <c r="BA7" i="7"/>
  <c r="AF136" i="7"/>
  <c r="AZ7" i="7"/>
  <c r="H147" i="19"/>
  <c r="D147" i="3"/>
  <c r="L147" i="3"/>
  <c r="F147" i="7"/>
  <c r="I147" i="19"/>
  <c r="AL7" i="7"/>
  <c r="K147" i="21"/>
  <c r="G147" i="20"/>
  <c r="K147" i="19"/>
  <c r="E147" i="14"/>
  <c r="G147" i="3"/>
  <c r="H147" i="20"/>
  <c r="D147" i="19"/>
  <c r="L147" i="19"/>
  <c r="F147" i="14"/>
  <c r="L147" i="21"/>
  <c r="M147" i="21"/>
  <c r="E147" i="19"/>
  <c r="K147" i="7"/>
  <c r="D147" i="21"/>
  <c r="E147" i="21"/>
  <c r="I147" i="20"/>
  <c r="F147" i="21"/>
  <c r="J147" i="20"/>
  <c r="F147" i="19"/>
  <c r="H147" i="14"/>
  <c r="D147" i="7"/>
  <c r="L147" i="7"/>
  <c r="K147" i="20"/>
  <c r="I147" i="14"/>
  <c r="E147" i="7"/>
  <c r="E147" i="20"/>
  <c r="M147" i="20"/>
  <c r="K147" i="14"/>
  <c r="E147" i="3"/>
  <c r="F147" i="20"/>
  <c r="D147" i="14"/>
  <c r="L147" i="14"/>
  <c r="G147" i="14"/>
  <c r="J147" i="14"/>
  <c r="K147" i="3"/>
  <c r="J147" i="3"/>
  <c r="H147" i="3"/>
  <c r="I147" i="3"/>
  <c r="G147" i="7"/>
  <c r="H147" i="7"/>
  <c r="I147" i="7"/>
  <c r="J147" i="7"/>
  <c r="CW133" i="20"/>
  <c r="CV133" i="20"/>
  <c r="CT133" i="21"/>
  <c r="CS133" i="21"/>
  <c r="CR133" i="21"/>
  <c r="L133" i="21"/>
  <c r="K133" i="21"/>
  <c r="J133" i="21"/>
  <c r="I133" i="21"/>
  <c r="H133" i="21"/>
  <c r="G133" i="21"/>
  <c r="F133" i="21"/>
  <c r="E133" i="21"/>
  <c r="D133" i="21"/>
  <c r="BD132" i="21"/>
  <c r="BE132" i="21" s="1"/>
  <c r="BA132" i="21"/>
  <c r="BB132" i="21" s="1"/>
  <c r="CL132" i="21"/>
  <c r="AS132" i="21"/>
  <c r="AR132" i="21"/>
  <c r="AQ132" i="21"/>
  <c r="AP132" i="21"/>
  <c r="AO132" i="21"/>
  <c r="AN132" i="21"/>
  <c r="AM132" i="21"/>
  <c r="AL132" i="21"/>
  <c r="AK132" i="21"/>
  <c r="AJ132" i="21"/>
  <c r="AI132" i="21" a="1"/>
  <c r="AI132" i="21" s="1"/>
  <c r="AH132" i="21"/>
  <c r="BZ132" i="21" s="1"/>
  <c r="AT132" i="21"/>
  <c r="BD131" i="21"/>
  <c r="BA131" i="21"/>
  <c r="BB131" i="21" s="1"/>
  <c r="CL131" i="21"/>
  <c r="AS131" i="21"/>
  <c r="AR131" i="21"/>
  <c r="AQ131" i="21"/>
  <c r="AP131" i="21"/>
  <c r="AO131" i="21"/>
  <c r="AN131" i="21"/>
  <c r="AM131" i="21"/>
  <c r="AL131" i="21"/>
  <c r="AK131" i="21"/>
  <c r="AJ131" i="21"/>
  <c r="AI131" i="21" a="1"/>
  <c r="AI131" i="21" s="1"/>
  <c r="AH131" i="21"/>
  <c r="BZ131" i="21" s="1"/>
  <c r="AT131" i="21"/>
  <c r="BD130" i="21"/>
  <c r="BE130" i="21" s="1"/>
  <c r="BA130" i="21"/>
  <c r="CL130" i="21"/>
  <c r="AS130" i="21"/>
  <c r="AR130" i="21"/>
  <c r="AQ130" i="21"/>
  <c r="AP130" i="21"/>
  <c r="AO130" i="21"/>
  <c r="AN130" i="21"/>
  <c r="AM130" i="21"/>
  <c r="AL130" i="21"/>
  <c r="AK130" i="21"/>
  <c r="AJ130" i="21"/>
  <c r="AI130" i="21" a="1"/>
  <c r="AI130" i="21" s="1"/>
  <c r="AH130" i="21"/>
  <c r="BZ130" i="21" s="1"/>
  <c r="AT130" i="21"/>
  <c r="BD129" i="21"/>
  <c r="BA129" i="21"/>
  <c r="BB129" i="21" s="1"/>
  <c r="CL129" i="21"/>
  <c r="AT129" i="21"/>
  <c r="AS129" i="21"/>
  <c r="AR129" i="21"/>
  <c r="AQ129" i="21"/>
  <c r="AP129" i="21"/>
  <c r="AO129" i="21"/>
  <c r="AN129" i="21"/>
  <c r="AM129" i="21"/>
  <c r="AL129" i="21"/>
  <c r="AK129" i="21"/>
  <c r="AJ129" i="21"/>
  <c r="AI129" i="21" a="1"/>
  <c r="AI129" i="21" s="1"/>
  <c r="AH129" i="21"/>
  <c r="BZ129" i="21" s="1"/>
  <c r="BD128" i="21"/>
  <c r="BL128" i="21" s="1"/>
  <c r="BA128" i="21"/>
  <c r="CL128" i="21"/>
  <c r="AT128" i="21"/>
  <c r="AS128" i="21"/>
  <c r="AR128" i="21"/>
  <c r="AQ128" i="21"/>
  <c r="AP128" i="21"/>
  <c r="AO128" i="21"/>
  <c r="AN128" i="21"/>
  <c r="AM128" i="21"/>
  <c r="AL128" i="21"/>
  <c r="AK128" i="21"/>
  <c r="AJ128" i="21"/>
  <c r="AI128" i="21" a="1"/>
  <c r="AI128" i="21" s="1"/>
  <c r="AH128" i="21"/>
  <c r="BZ128" i="21" s="1"/>
  <c r="BD127" i="21"/>
  <c r="BL127" i="21" s="1"/>
  <c r="BA127" i="21"/>
  <c r="BI127" i="21" s="1"/>
  <c r="CL127" i="21"/>
  <c r="AS127" i="21"/>
  <c r="AR127" i="21"/>
  <c r="AQ127" i="21"/>
  <c r="AP127" i="21"/>
  <c r="AO127" i="21"/>
  <c r="AN127" i="21"/>
  <c r="AM127" i="21"/>
  <c r="AL127" i="21"/>
  <c r="AK127" i="21"/>
  <c r="AJ127" i="21"/>
  <c r="AI127" i="21" a="1"/>
  <c r="AI127" i="21" s="1"/>
  <c r="AH127" i="21"/>
  <c r="BZ127" i="21" s="1"/>
  <c r="AT127" i="21"/>
  <c r="BD126" i="21"/>
  <c r="BE126" i="21" s="1"/>
  <c r="BA126" i="21"/>
  <c r="BI126" i="21" s="1"/>
  <c r="CL126" i="21"/>
  <c r="AS126" i="21"/>
  <c r="AR126" i="21"/>
  <c r="AQ126" i="21"/>
  <c r="AP126" i="21"/>
  <c r="AO126" i="21"/>
  <c r="AN126" i="21"/>
  <c r="AM126" i="21"/>
  <c r="AL126" i="21"/>
  <c r="AK126" i="21"/>
  <c r="AJ126" i="21"/>
  <c r="AI126" i="21" a="1"/>
  <c r="AI126" i="21" s="1"/>
  <c r="AH126" i="21"/>
  <c r="BZ126" i="21" s="1"/>
  <c r="BD125" i="21"/>
  <c r="BE125" i="21" s="1"/>
  <c r="BA125" i="21"/>
  <c r="BB125" i="21" s="1"/>
  <c r="CL125" i="21"/>
  <c r="AS125" i="21"/>
  <c r="AR125" i="21"/>
  <c r="AQ125" i="21"/>
  <c r="AP125" i="21"/>
  <c r="AO125" i="21"/>
  <c r="AN125" i="21"/>
  <c r="AM125" i="21"/>
  <c r="AL125" i="21"/>
  <c r="AK125" i="21"/>
  <c r="AJ125" i="21"/>
  <c r="AI125" i="21" a="1"/>
  <c r="AI125" i="21" s="1"/>
  <c r="AH125" i="21"/>
  <c r="BZ125" i="21" s="1"/>
  <c r="AT125" i="21"/>
  <c r="BD124" i="21"/>
  <c r="BE124" i="21" s="1"/>
  <c r="BA124" i="21"/>
  <c r="BB124" i="21" s="1"/>
  <c r="CL124" i="21"/>
  <c r="AS124" i="21"/>
  <c r="AR124" i="21"/>
  <c r="AQ124" i="21"/>
  <c r="AP124" i="21"/>
  <c r="AO124" i="21"/>
  <c r="AN124" i="21"/>
  <c r="AM124" i="21"/>
  <c r="AL124" i="21"/>
  <c r="AK124" i="21"/>
  <c r="AJ124" i="21"/>
  <c r="AI124" i="21" a="1"/>
  <c r="AI124" i="21" s="1"/>
  <c r="AH124" i="21"/>
  <c r="BZ124" i="21" s="1"/>
  <c r="AT124" i="21"/>
  <c r="BD123" i="21"/>
  <c r="BL123" i="21" s="1"/>
  <c r="BA123" i="21"/>
  <c r="BB123" i="21" s="1"/>
  <c r="CL123" i="21"/>
  <c r="AS123" i="21"/>
  <c r="AR123" i="21"/>
  <c r="AQ123" i="21"/>
  <c r="AP123" i="21"/>
  <c r="AO123" i="21"/>
  <c r="AN123" i="21"/>
  <c r="AM123" i="21"/>
  <c r="AL123" i="21"/>
  <c r="AK123" i="21"/>
  <c r="AJ123" i="21"/>
  <c r="AI123" i="21" a="1"/>
  <c r="AI123" i="21" s="1"/>
  <c r="AH123" i="21"/>
  <c r="BZ123" i="21" s="1"/>
  <c r="AT123" i="21"/>
  <c r="BD122" i="21"/>
  <c r="BE122" i="21" s="1"/>
  <c r="BA122" i="21"/>
  <c r="CL122" i="21"/>
  <c r="AS122" i="21"/>
  <c r="AR122" i="21"/>
  <c r="AQ122" i="21"/>
  <c r="AP122" i="21"/>
  <c r="AO122" i="21"/>
  <c r="AN122" i="21"/>
  <c r="AM122" i="21"/>
  <c r="AL122" i="21"/>
  <c r="AK122" i="21"/>
  <c r="AJ122" i="21"/>
  <c r="AI122" i="21" a="1"/>
  <c r="AI122" i="21" s="1"/>
  <c r="AH122" i="21"/>
  <c r="BZ122" i="21" s="1"/>
  <c r="AT122" i="21"/>
  <c r="BD121" i="21"/>
  <c r="BL121" i="21" s="1"/>
  <c r="BA121" i="21"/>
  <c r="CL121" i="21"/>
  <c r="AT121" i="21"/>
  <c r="AS121" i="21"/>
  <c r="AR121" i="21"/>
  <c r="AQ121" i="21"/>
  <c r="AP121" i="21"/>
  <c r="AO121" i="21"/>
  <c r="AN121" i="21"/>
  <c r="AM121" i="21"/>
  <c r="AL121" i="21"/>
  <c r="AK121" i="21"/>
  <c r="AJ121" i="21"/>
  <c r="AI121" i="21" a="1"/>
  <c r="AI121" i="21" s="1"/>
  <c r="AH121" i="21"/>
  <c r="BZ121" i="21" s="1"/>
  <c r="BD120" i="21"/>
  <c r="BE120" i="21" s="1"/>
  <c r="BA120" i="21"/>
  <c r="BI120" i="21" s="1"/>
  <c r="CL120" i="21"/>
  <c r="AT120" i="21"/>
  <c r="AS120" i="21"/>
  <c r="AR120" i="21"/>
  <c r="AQ120" i="21"/>
  <c r="AP120" i="21"/>
  <c r="AO120" i="21"/>
  <c r="AN120" i="21"/>
  <c r="AM120" i="21"/>
  <c r="AL120" i="21"/>
  <c r="AK120" i="21"/>
  <c r="AJ120" i="21"/>
  <c r="AI120" i="21" a="1"/>
  <c r="AI120" i="21" s="1"/>
  <c r="AH120" i="21"/>
  <c r="BZ120" i="21" s="1"/>
  <c r="CA120" i="21" s="1"/>
  <c r="BD119" i="21"/>
  <c r="BL119" i="21" s="1"/>
  <c r="BA119" i="21"/>
  <c r="CL119" i="21"/>
  <c r="AS119" i="21"/>
  <c r="AR119" i="21"/>
  <c r="AQ119" i="21"/>
  <c r="AP119" i="21"/>
  <c r="AO119" i="21"/>
  <c r="AN119" i="21"/>
  <c r="AM119" i="21"/>
  <c r="AL119" i="21"/>
  <c r="AK119" i="21"/>
  <c r="AJ119" i="21"/>
  <c r="AI119" i="21" a="1"/>
  <c r="AI119" i="21" s="1"/>
  <c r="AH119" i="21"/>
  <c r="BZ119" i="21" s="1"/>
  <c r="CD119" i="21" s="1"/>
  <c r="BD118" i="21"/>
  <c r="BE118" i="21" s="1"/>
  <c r="BM118" i="21" s="1"/>
  <c r="BA118" i="21"/>
  <c r="BI118" i="21" s="1"/>
  <c r="CL118" i="21"/>
  <c r="AS118" i="21"/>
  <c r="AR118" i="21"/>
  <c r="AQ118" i="21"/>
  <c r="AP118" i="21"/>
  <c r="AO118" i="21"/>
  <c r="AN118" i="21"/>
  <c r="AM118" i="21"/>
  <c r="AL118" i="21"/>
  <c r="AK118" i="21"/>
  <c r="AJ118" i="21"/>
  <c r="AI118" i="21" a="1"/>
  <c r="AI118" i="21" s="1"/>
  <c r="AH118" i="21"/>
  <c r="BZ118" i="21" s="1"/>
  <c r="AT118" i="21"/>
  <c r="BD117" i="21"/>
  <c r="BA117" i="21"/>
  <c r="BB117" i="21" s="1"/>
  <c r="BJ117" i="21" s="1"/>
  <c r="CL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 a="1"/>
  <c r="AI117" i="21" s="1"/>
  <c r="AH117" i="21"/>
  <c r="BZ117" i="21" s="1"/>
  <c r="BD116" i="21"/>
  <c r="BL116" i="21" s="1"/>
  <c r="BA116" i="21"/>
  <c r="BB116" i="21" s="1"/>
  <c r="CL116" i="21"/>
  <c r="AS116" i="21"/>
  <c r="AR116" i="21"/>
  <c r="AQ116" i="21"/>
  <c r="AP116" i="21"/>
  <c r="AO116" i="21"/>
  <c r="AN116" i="21"/>
  <c r="AM116" i="21"/>
  <c r="AL116" i="21"/>
  <c r="AK116" i="21"/>
  <c r="AJ116" i="21"/>
  <c r="AI116" i="21" a="1"/>
  <c r="AI116" i="21" s="1"/>
  <c r="AH116" i="21"/>
  <c r="BZ116" i="21" s="1"/>
  <c r="AT116" i="21"/>
  <c r="BD115" i="21"/>
  <c r="BE115" i="21" s="1"/>
  <c r="BA115" i="21"/>
  <c r="BI115" i="21" s="1"/>
  <c r="CL115" i="21"/>
  <c r="AS115" i="21"/>
  <c r="AR115" i="21"/>
  <c r="AQ115" i="21"/>
  <c r="AP115" i="21"/>
  <c r="AO115" i="21"/>
  <c r="AN115" i="21"/>
  <c r="AM115" i="21"/>
  <c r="AL115" i="21"/>
  <c r="AK115" i="21"/>
  <c r="AJ115" i="21"/>
  <c r="AI115" i="21" a="1"/>
  <c r="AI115" i="21" s="1"/>
  <c r="AH115" i="21"/>
  <c r="BZ115" i="21" s="1"/>
  <c r="AT115" i="21"/>
  <c r="BD114" i="21"/>
  <c r="BE114" i="21" s="1"/>
  <c r="BA114" i="21"/>
  <c r="BB114" i="21" s="1"/>
  <c r="CL114" i="21"/>
  <c r="AS114" i="21"/>
  <c r="AR114" i="21"/>
  <c r="AQ114" i="21"/>
  <c r="AP114" i="21"/>
  <c r="AO114" i="21"/>
  <c r="AN114" i="21"/>
  <c r="AM114" i="21"/>
  <c r="AL114" i="21"/>
  <c r="AK114" i="21"/>
  <c r="AJ114" i="21"/>
  <c r="AI114" i="21" a="1"/>
  <c r="AI114" i="21" s="1"/>
  <c r="AH114" i="21"/>
  <c r="BZ114" i="21" s="1"/>
  <c r="AT114" i="21"/>
  <c r="BD113" i="21"/>
  <c r="BL113" i="21" s="1"/>
  <c r="BA113" i="21"/>
  <c r="BB113" i="21" s="1"/>
  <c r="CL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 a="1"/>
  <c r="AI113" i="21" s="1"/>
  <c r="AH113" i="21"/>
  <c r="BZ113" i="21" s="1"/>
  <c r="BD112" i="21"/>
  <c r="BL112" i="21" s="1"/>
  <c r="BA112" i="21"/>
  <c r="BI112" i="21" s="1"/>
  <c r="CL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 a="1"/>
  <c r="AI112" i="21" s="1"/>
  <c r="AH112" i="21"/>
  <c r="BZ112" i="21" s="1"/>
  <c r="CA112" i="21" s="1"/>
  <c r="BD111" i="21"/>
  <c r="BA111" i="21"/>
  <c r="CL111" i="21"/>
  <c r="AS111" i="21"/>
  <c r="AR111" i="21"/>
  <c r="AQ111" i="21"/>
  <c r="AP111" i="21"/>
  <c r="AO111" i="21"/>
  <c r="AN111" i="21"/>
  <c r="AM111" i="21"/>
  <c r="AL111" i="21"/>
  <c r="AK111" i="21"/>
  <c r="AJ111" i="21"/>
  <c r="AI111" i="21" a="1"/>
  <c r="AI111" i="21" s="1"/>
  <c r="AH111" i="21"/>
  <c r="BZ111" i="21" s="1"/>
  <c r="AT111" i="21"/>
  <c r="CL110" i="21"/>
  <c r="BD110" i="21"/>
  <c r="BE110" i="21" s="1"/>
  <c r="BF110" i="21" s="1"/>
  <c r="BA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 a="1"/>
  <c r="AI110" i="21" s="1"/>
  <c r="AH110" i="21"/>
  <c r="BZ110" i="21" s="1"/>
  <c r="BD109" i="21"/>
  <c r="BE109" i="21" s="1"/>
  <c r="BA109" i="21"/>
  <c r="BB109" i="21" s="1"/>
  <c r="BC109" i="21" s="1"/>
  <c r="BK109" i="21" s="1"/>
  <c r="CL109" i="21"/>
  <c r="AS109" i="21"/>
  <c r="AR109" i="21"/>
  <c r="AQ109" i="21"/>
  <c r="AP109" i="21"/>
  <c r="AO109" i="21"/>
  <c r="AN109" i="21"/>
  <c r="AM109" i="21"/>
  <c r="AL109" i="21"/>
  <c r="AK109" i="21"/>
  <c r="AJ109" i="21"/>
  <c r="AI109" i="21" a="1"/>
  <c r="AI109" i="21" s="1"/>
  <c r="AH109" i="21"/>
  <c r="BZ109" i="21" s="1"/>
  <c r="AT109" i="21"/>
  <c r="BD108" i="21"/>
  <c r="BA108" i="21"/>
  <c r="BB108" i="21" s="1"/>
  <c r="CL108" i="21"/>
  <c r="AS108" i="21"/>
  <c r="AR108" i="21"/>
  <c r="AQ108" i="21"/>
  <c r="AP108" i="21"/>
  <c r="AO108" i="21"/>
  <c r="AN108" i="21"/>
  <c r="AM108" i="21"/>
  <c r="AL108" i="21"/>
  <c r="AK108" i="21"/>
  <c r="AJ108" i="21"/>
  <c r="AI108" i="21" a="1"/>
  <c r="AI108" i="21" s="1"/>
  <c r="AH108" i="21"/>
  <c r="BZ108" i="21" s="1"/>
  <c r="BD107" i="21"/>
  <c r="BA107" i="21"/>
  <c r="BB107" i="21" s="1"/>
  <c r="BJ107" i="21" s="1"/>
  <c r="CL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 a="1"/>
  <c r="AI107" i="21" s="1"/>
  <c r="AH107" i="21"/>
  <c r="BZ107" i="21" s="1"/>
  <c r="CB107" i="21" s="1"/>
  <c r="BD106" i="21"/>
  <c r="BE106" i="21" s="1"/>
  <c r="BM106" i="21" s="1"/>
  <c r="BA106" i="21"/>
  <c r="CL106" i="21"/>
  <c r="AS106" i="21"/>
  <c r="AR106" i="21"/>
  <c r="AQ106" i="21"/>
  <c r="AP106" i="21"/>
  <c r="AO106" i="21"/>
  <c r="AN106" i="21"/>
  <c r="AM106" i="21"/>
  <c r="AL106" i="21"/>
  <c r="AK106" i="21"/>
  <c r="AJ106" i="21"/>
  <c r="AI106" i="21" a="1"/>
  <c r="AI106" i="21" s="1"/>
  <c r="AH106" i="21"/>
  <c r="BZ106" i="21" s="1"/>
  <c r="CE106" i="21" s="1"/>
  <c r="BD105" i="21"/>
  <c r="BA105" i="21"/>
  <c r="BB105" i="21" s="1"/>
  <c r="BJ105" i="21" s="1"/>
  <c r="CL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 a="1"/>
  <c r="AI105" i="21" s="1"/>
  <c r="AH105" i="21"/>
  <c r="BZ105" i="21" s="1"/>
  <c r="BD104" i="21"/>
  <c r="BA104" i="21"/>
  <c r="CL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 a="1"/>
  <c r="AI104" i="21" s="1"/>
  <c r="AH104" i="21"/>
  <c r="BZ104" i="21" s="1"/>
  <c r="BD103" i="21"/>
  <c r="BL103" i="21" s="1"/>
  <c r="BA103" i="21"/>
  <c r="CL103" i="21"/>
  <c r="AS103" i="21"/>
  <c r="AR103" i="21"/>
  <c r="AQ103" i="21"/>
  <c r="AP103" i="21"/>
  <c r="AO103" i="21"/>
  <c r="AN103" i="21"/>
  <c r="AM103" i="21"/>
  <c r="AL103" i="21"/>
  <c r="AK103" i="21"/>
  <c r="AJ103" i="21"/>
  <c r="AI103" i="21" a="1"/>
  <c r="AI103" i="21" s="1"/>
  <c r="AH103" i="21"/>
  <c r="BZ103" i="21" s="1"/>
  <c r="AT103" i="21"/>
  <c r="BD102" i="21"/>
  <c r="BA102" i="21"/>
  <c r="CL102" i="21"/>
  <c r="AS102" i="21"/>
  <c r="AR102" i="21"/>
  <c r="AQ102" i="21"/>
  <c r="AP102" i="21"/>
  <c r="AO102" i="21"/>
  <c r="AN102" i="21"/>
  <c r="AM102" i="21"/>
  <c r="AL102" i="21"/>
  <c r="AK102" i="21"/>
  <c r="AJ102" i="21"/>
  <c r="AI102" i="21" a="1"/>
  <c r="AI102" i="21" s="1"/>
  <c r="AH102" i="21"/>
  <c r="BZ102" i="21" s="1"/>
  <c r="AT102" i="21"/>
  <c r="BD101" i="21"/>
  <c r="BE101" i="21" s="1"/>
  <c r="BA101" i="21"/>
  <c r="BI101" i="21" s="1"/>
  <c r="CL101" i="21"/>
  <c r="AS101" i="21"/>
  <c r="AR101" i="21"/>
  <c r="AQ101" i="21"/>
  <c r="AP101" i="21"/>
  <c r="AO101" i="21"/>
  <c r="AN101" i="21"/>
  <c r="AM101" i="21"/>
  <c r="AL101" i="21"/>
  <c r="AK101" i="21"/>
  <c r="AJ101" i="21"/>
  <c r="AI101" i="21" a="1"/>
  <c r="AI101" i="21" s="1"/>
  <c r="AH101" i="21"/>
  <c r="BZ101" i="21" s="1"/>
  <c r="AT101" i="21"/>
  <c r="BD100" i="21"/>
  <c r="BE100" i="21" s="1"/>
  <c r="BA100" i="21"/>
  <c r="BB100" i="21" s="1"/>
  <c r="CL100" i="21"/>
  <c r="AS100" i="21"/>
  <c r="AR100" i="21"/>
  <c r="AQ100" i="21"/>
  <c r="AP100" i="21"/>
  <c r="AO100" i="21"/>
  <c r="AN100" i="21"/>
  <c r="AM100" i="21"/>
  <c r="AL100" i="21"/>
  <c r="AK100" i="21"/>
  <c r="AJ100" i="21"/>
  <c r="AI100" i="21" a="1"/>
  <c r="AI100" i="21" s="1"/>
  <c r="AH100" i="21"/>
  <c r="BZ100" i="21" s="1"/>
  <c r="AT100" i="21"/>
  <c r="BD99" i="21"/>
  <c r="BL99" i="21" s="1"/>
  <c r="BA99" i="21"/>
  <c r="BB99" i="21" s="1"/>
  <c r="CL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 a="1"/>
  <c r="AI99" i="21" s="1"/>
  <c r="AH99" i="21"/>
  <c r="BZ99" i="21" s="1"/>
  <c r="BF98" i="21"/>
  <c r="BD98" i="21"/>
  <c r="BE98" i="21" s="1"/>
  <c r="BM98" i="21" s="1"/>
  <c r="BA98" i="21"/>
  <c r="BB98" i="21" s="1"/>
  <c r="CL98" i="21"/>
  <c r="AS98" i="21"/>
  <c r="AR98" i="21"/>
  <c r="AQ98" i="21"/>
  <c r="AP98" i="21"/>
  <c r="AO98" i="21"/>
  <c r="AN98" i="21"/>
  <c r="AM98" i="21"/>
  <c r="AL98" i="21"/>
  <c r="AK98" i="21"/>
  <c r="AJ98" i="21"/>
  <c r="AI98" i="21" a="1"/>
  <c r="AI98" i="21" s="1"/>
  <c r="AH98" i="21"/>
  <c r="BZ98" i="21" s="1"/>
  <c r="BD97" i="21"/>
  <c r="BL97" i="21" s="1"/>
  <c r="BA97" i="21"/>
  <c r="BB97" i="21" s="1"/>
  <c r="BJ97" i="21" s="1"/>
  <c r="CL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 a="1"/>
  <c r="AI97" i="21" s="1"/>
  <c r="AH97" i="21"/>
  <c r="BZ97" i="21" s="1"/>
  <c r="BD96" i="21"/>
  <c r="BL96" i="21" s="1"/>
  <c r="BA96" i="21"/>
  <c r="BI96" i="21" s="1"/>
  <c r="CL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 a="1"/>
  <c r="AI96" i="21" s="1"/>
  <c r="AH96" i="21"/>
  <c r="BZ96" i="21" s="1"/>
  <c r="BD95" i="21"/>
  <c r="BL95" i="21" s="1"/>
  <c r="BA95" i="21"/>
  <c r="BB95" i="21" s="1"/>
  <c r="CL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 a="1"/>
  <c r="AI95" i="21" s="1"/>
  <c r="AH95" i="21"/>
  <c r="BZ95" i="21" s="1"/>
  <c r="BD94" i="21"/>
  <c r="BL94" i="21" s="1"/>
  <c r="BA94" i="21"/>
  <c r="CL94" i="21"/>
  <c r="AS94" i="21"/>
  <c r="AR94" i="21"/>
  <c r="AQ94" i="21"/>
  <c r="AP94" i="21"/>
  <c r="AO94" i="21"/>
  <c r="AN94" i="21"/>
  <c r="AM94" i="21"/>
  <c r="AL94" i="21"/>
  <c r="AK94" i="21"/>
  <c r="AJ94" i="21"/>
  <c r="AI94" i="21" a="1"/>
  <c r="AI94" i="21" s="1"/>
  <c r="AH94" i="21"/>
  <c r="BZ94" i="21" s="1"/>
  <c r="BD93" i="21"/>
  <c r="BL93" i="21" s="1"/>
  <c r="BA93" i="21"/>
  <c r="BI93" i="21" s="1"/>
  <c r="CL93" i="21"/>
  <c r="AS93" i="21"/>
  <c r="AR93" i="21"/>
  <c r="AQ93" i="21"/>
  <c r="AP93" i="21"/>
  <c r="AO93" i="21"/>
  <c r="AN93" i="21"/>
  <c r="AM93" i="21"/>
  <c r="AL93" i="21"/>
  <c r="AK93" i="21"/>
  <c r="AJ93" i="21"/>
  <c r="AI93" i="21" a="1"/>
  <c r="AI93" i="21" s="1"/>
  <c r="AH93" i="21"/>
  <c r="BZ93" i="21" s="1"/>
  <c r="AT93" i="21"/>
  <c r="BD92" i="21"/>
  <c r="BE92" i="21" s="1"/>
  <c r="BA92" i="21"/>
  <c r="CL92" i="21"/>
  <c r="AS92" i="21"/>
  <c r="AR92" i="21"/>
  <c r="AQ92" i="21"/>
  <c r="AP92" i="21"/>
  <c r="AO92" i="21"/>
  <c r="AN92" i="21"/>
  <c r="AM92" i="21"/>
  <c r="AL92" i="21"/>
  <c r="AK92" i="21"/>
  <c r="AJ92" i="21"/>
  <c r="AI92" i="21" a="1"/>
  <c r="AI92" i="21" s="1"/>
  <c r="AH92" i="21"/>
  <c r="BZ92" i="21" s="1"/>
  <c r="AT92" i="21"/>
  <c r="BD91" i="21"/>
  <c r="BE91" i="21" s="1"/>
  <c r="BA91" i="21"/>
  <c r="BB91" i="21" s="1"/>
  <c r="BJ91" i="21" s="1"/>
  <c r="CL91" i="21"/>
  <c r="AS91" i="21"/>
  <c r="AR91" i="21"/>
  <c r="AQ91" i="21"/>
  <c r="AP91" i="21"/>
  <c r="AO91" i="21"/>
  <c r="AN91" i="21"/>
  <c r="AM91" i="21"/>
  <c r="AL91" i="21"/>
  <c r="AK91" i="21"/>
  <c r="AJ91" i="21"/>
  <c r="AI91" i="21" a="1"/>
  <c r="AI91" i="21" s="1"/>
  <c r="AH91" i="21"/>
  <c r="BZ91" i="21" s="1"/>
  <c r="AT91" i="21"/>
  <c r="BD90" i="21"/>
  <c r="BL90" i="21" s="1"/>
  <c r="BA90" i="21"/>
  <c r="CL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 a="1"/>
  <c r="AI90" i="21" s="1"/>
  <c r="AH90" i="21"/>
  <c r="BZ90" i="21" s="1"/>
  <c r="BD89" i="21"/>
  <c r="BL89" i="21" s="1"/>
  <c r="BA89" i="21"/>
  <c r="BI89" i="21" s="1"/>
  <c r="CL89" i="21"/>
  <c r="AS89" i="21"/>
  <c r="AR89" i="21"/>
  <c r="AQ89" i="21"/>
  <c r="AP89" i="21"/>
  <c r="AO89" i="21"/>
  <c r="AN89" i="21"/>
  <c r="AM89" i="21"/>
  <c r="AL89" i="21"/>
  <c r="AK89" i="21"/>
  <c r="AJ89" i="21"/>
  <c r="AI89" i="21" a="1"/>
  <c r="AI89" i="21" s="1"/>
  <c r="AH89" i="21"/>
  <c r="BZ89" i="21" s="1"/>
  <c r="BD88" i="21"/>
  <c r="BE88" i="21" s="1"/>
  <c r="BM88" i="21" s="1"/>
  <c r="BB88" i="21"/>
  <c r="BA88" i="21"/>
  <c r="BI88" i="21" s="1"/>
  <c r="CL88" i="21"/>
  <c r="AS88" i="21"/>
  <c r="AR88" i="21"/>
  <c r="AQ88" i="21"/>
  <c r="AP88" i="21"/>
  <c r="AO88" i="21"/>
  <c r="AN88" i="21"/>
  <c r="AM88" i="21"/>
  <c r="AL88" i="21"/>
  <c r="AK88" i="21"/>
  <c r="AJ88" i="21"/>
  <c r="AI88" i="21" a="1"/>
  <c r="AI88" i="21" s="1"/>
  <c r="AH88" i="21"/>
  <c r="BZ88" i="21" s="1"/>
  <c r="AT88" i="21"/>
  <c r="BD87" i="21"/>
  <c r="BE87" i="21" s="1"/>
  <c r="BA87" i="21"/>
  <c r="BB87" i="21" s="1"/>
  <c r="BJ87" i="21" s="1"/>
  <c r="CL87" i="21"/>
  <c r="AS87" i="21"/>
  <c r="AR87" i="21"/>
  <c r="AQ87" i="21"/>
  <c r="AP87" i="21"/>
  <c r="AO87" i="21"/>
  <c r="AN87" i="21"/>
  <c r="AM87" i="21"/>
  <c r="AL87" i="21"/>
  <c r="AK87" i="21"/>
  <c r="AJ87" i="21"/>
  <c r="AI87" i="21" a="1"/>
  <c r="AI87" i="21" s="1"/>
  <c r="AH87" i="21"/>
  <c r="BZ87" i="21" s="1"/>
  <c r="AT87" i="21"/>
  <c r="BD86" i="21"/>
  <c r="BL86" i="21" s="1"/>
  <c r="BA86" i="21"/>
  <c r="CL86" i="21"/>
  <c r="AS86" i="21"/>
  <c r="AR86" i="21"/>
  <c r="AQ86" i="21"/>
  <c r="AP86" i="21"/>
  <c r="AO86" i="21"/>
  <c r="AN86" i="21"/>
  <c r="AM86" i="21"/>
  <c r="AL86" i="21"/>
  <c r="AK86" i="21"/>
  <c r="AJ86" i="21"/>
  <c r="AI86" i="21" a="1"/>
  <c r="AI86" i="21" s="1"/>
  <c r="AH86" i="21"/>
  <c r="BZ86" i="21" s="1"/>
  <c r="AT86" i="21"/>
  <c r="BD85" i="21"/>
  <c r="BL85" i="21" s="1"/>
  <c r="BA85" i="21"/>
  <c r="BI85" i="21" s="1"/>
  <c r="CL85" i="21"/>
  <c r="AS85" i="21"/>
  <c r="AR85" i="21"/>
  <c r="AQ85" i="21"/>
  <c r="AP85" i="21"/>
  <c r="AO85" i="21"/>
  <c r="AN85" i="21"/>
  <c r="AM85" i="21"/>
  <c r="AL85" i="21"/>
  <c r="AK85" i="21"/>
  <c r="AJ85" i="21"/>
  <c r="AI85" i="21" a="1"/>
  <c r="AI85" i="21" s="1"/>
  <c r="AH85" i="21"/>
  <c r="BZ85" i="21" s="1"/>
  <c r="CD85" i="21" s="1"/>
  <c r="AT85" i="21"/>
  <c r="BD84" i="21"/>
  <c r="BE84" i="21" s="1"/>
  <c r="BM84" i="21" s="1"/>
  <c r="BA84" i="21"/>
  <c r="CL84" i="21"/>
  <c r="AS84" i="21"/>
  <c r="AR84" i="21"/>
  <c r="AQ84" i="21"/>
  <c r="AP84" i="21"/>
  <c r="AO84" i="21"/>
  <c r="AN84" i="21"/>
  <c r="AM84" i="21"/>
  <c r="AL84" i="21"/>
  <c r="AK84" i="21"/>
  <c r="AJ84" i="21"/>
  <c r="AI84" i="21" a="1"/>
  <c r="AI84" i="21" s="1"/>
  <c r="AH84" i="21"/>
  <c r="BZ84" i="21" s="1"/>
  <c r="BE83" i="21"/>
  <c r="BF83" i="21" s="1"/>
  <c r="BN83" i="21" s="1"/>
  <c r="BD83" i="21"/>
  <c r="BL83" i="21" s="1"/>
  <c r="BA83" i="21"/>
  <c r="BB83" i="21" s="1"/>
  <c r="BJ83" i="21" s="1"/>
  <c r="CL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 a="1"/>
  <c r="AI83" i="21" s="1"/>
  <c r="AH83" i="21"/>
  <c r="BZ83" i="21" s="1"/>
  <c r="BD82" i="21"/>
  <c r="BA82" i="21"/>
  <c r="BI82" i="21" s="1"/>
  <c r="CL82" i="21"/>
  <c r="AS82" i="21"/>
  <c r="AR82" i="21"/>
  <c r="AQ82" i="21"/>
  <c r="AP82" i="21"/>
  <c r="AO82" i="21"/>
  <c r="AN82" i="21"/>
  <c r="AM82" i="21"/>
  <c r="AL82" i="21"/>
  <c r="AK82" i="21"/>
  <c r="AJ82" i="21"/>
  <c r="AI82" i="21" a="1"/>
  <c r="AI82" i="21" s="1"/>
  <c r="AH82" i="21"/>
  <c r="BZ82" i="21" s="1"/>
  <c r="AT82" i="21"/>
  <c r="BD81" i="21"/>
  <c r="BA81" i="21"/>
  <c r="BI81" i="21" s="1"/>
  <c r="CL81" i="21"/>
  <c r="AS81" i="21"/>
  <c r="AR81" i="21"/>
  <c r="AQ81" i="21"/>
  <c r="AP81" i="21"/>
  <c r="AO81" i="21"/>
  <c r="AN81" i="21"/>
  <c r="AM81" i="21"/>
  <c r="AL81" i="21"/>
  <c r="AK81" i="21"/>
  <c r="AJ81" i="21"/>
  <c r="AI81" i="21" a="1"/>
  <c r="AI81" i="21" s="1"/>
  <c r="AH81" i="21"/>
  <c r="BZ81" i="21" s="1"/>
  <c r="AT81" i="21"/>
  <c r="BD80" i="21"/>
  <c r="BA80" i="21"/>
  <c r="BB80" i="21" s="1"/>
  <c r="CL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 a="1"/>
  <c r="AI80" i="21" s="1"/>
  <c r="AH80" i="21"/>
  <c r="BZ80" i="21" s="1"/>
  <c r="CL79" i="21"/>
  <c r="BE79" i="21"/>
  <c r="BD79" i="21"/>
  <c r="BL79" i="21" s="1"/>
  <c r="BA79" i="21"/>
  <c r="BI79" i="21" s="1"/>
  <c r="AS79" i="21"/>
  <c r="AR79" i="21"/>
  <c r="AQ79" i="21"/>
  <c r="AP79" i="21"/>
  <c r="AO79" i="21"/>
  <c r="AN79" i="21"/>
  <c r="AM79" i="21"/>
  <c r="AL79" i="21"/>
  <c r="AK79" i="21"/>
  <c r="AJ79" i="21"/>
  <c r="AI79" i="21" a="1"/>
  <c r="AI79" i="21" s="1"/>
  <c r="AH79" i="21"/>
  <c r="BZ79" i="21" s="1"/>
  <c r="AT79" i="21"/>
  <c r="BZ78" i="21"/>
  <c r="BD78" i="21"/>
  <c r="BL78" i="21" s="1"/>
  <c r="BA78" i="21"/>
  <c r="BI78" i="21" s="1"/>
  <c r="CL78" i="21"/>
  <c r="AS78" i="21"/>
  <c r="AR78" i="21"/>
  <c r="AQ78" i="21"/>
  <c r="AP78" i="21"/>
  <c r="AO78" i="21"/>
  <c r="AN78" i="21"/>
  <c r="AM78" i="21"/>
  <c r="AL78" i="21"/>
  <c r="AK78" i="21"/>
  <c r="AJ78" i="21"/>
  <c r="AI78" i="21" a="1"/>
  <c r="AI78" i="21" s="1"/>
  <c r="AH78" i="21"/>
  <c r="AT78" i="21"/>
  <c r="BD77" i="21"/>
  <c r="BE77" i="21" s="1"/>
  <c r="BA77" i="21"/>
  <c r="CL77" i="21"/>
  <c r="AS77" i="21"/>
  <c r="AR77" i="21"/>
  <c r="AQ77" i="21"/>
  <c r="AP77" i="21"/>
  <c r="AO77" i="21"/>
  <c r="AN77" i="21"/>
  <c r="AM77" i="21"/>
  <c r="AL77" i="21"/>
  <c r="AK77" i="21"/>
  <c r="AJ77" i="21"/>
  <c r="AI77" i="21" a="1"/>
  <c r="AI77" i="21" s="1"/>
  <c r="AH77" i="21"/>
  <c r="BZ77" i="21" s="1"/>
  <c r="AT77" i="21"/>
  <c r="BE76" i="21"/>
  <c r="BF76" i="21" s="1"/>
  <c r="BD76" i="21"/>
  <c r="BL76" i="21" s="1"/>
  <c r="BA76" i="21"/>
  <c r="BB76" i="21" s="1"/>
  <c r="CL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 a="1"/>
  <c r="AI76" i="21" s="1"/>
  <c r="AH76" i="21"/>
  <c r="BZ76" i="21" s="1"/>
  <c r="BD75" i="21"/>
  <c r="BL75" i="21" s="1"/>
  <c r="BA75" i="21"/>
  <c r="BI75" i="21" s="1"/>
  <c r="CL75" i="21"/>
  <c r="AS75" i="21"/>
  <c r="AR75" i="21"/>
  <c r="AQ75" i="21"/>
  <c r="AP75" i="21"/>
  <c r="AO75" i="21"/>
  <c r="AN75" i="21"/>
  <c r="AM75" i="21"/>
  <c r="AL75" i="21"/>
  <c r="AK75" i="21"/>
  <c r="AJ75" i="21"/>
  <c r="AI75" i="21" a="1"/>
  <c r="AI75" i="21" s="1"/>
  <c r="AH75" i="21"/>
  <c r="BZ75" i="21" s="1"/>
  <c r="AT75" i="21"/>
  <c r="BD74" i="21"/>
  <c r="BA74" i="21"/>
  <c r="CL74" i="21"/>
  <c r="AS74" i="21"/>
  <c r="AR74" i="21"/>
  <c r="AQ74" i="21"/>
  <c r="AP74" i="21"/>
  <c r="AO74" i="21"/>
  <c r="AN74" i="21"/>
  <c r="AM74" i="21"/>
  <c r="AL74" i="21"/>
  <c r="AK74" i="21"/>
  <c r="AJ74" i="21"/>
  <c r="AI74" i="21" a="1"/>
  <c r="AI74" i="21" s="1"/>
  <c r="AH74" i="21"/>
  <c r="BZ74" i="21" s="1"/>
  <c r="BD73" i="21"/>
  <c r="BE73" i="21" s="1"/>
  <c r="BA73" i="21"/>
  <c r="BI73" i="21" s="1"/>
  <c r="CL73" i="21"/>
  <c r="AS73" i="21"/>
  <c r="AR73" i="21"/>
  <c r="AQ73" i="21"/>
  <c r="AP73" i="21"/>
  <c r="AO73" i="21"/>
  <c r="AN73" i="21"/>
  <c r="AM73" i="21"/>
  <c r="AL73" i="21"/>
  <c r="AK73" i="21"/>
  <c r="AJ73" i="21"/>
  <c r="AI73" i="21" a="1"/>
  <c r="AI73" i="21" s="1"/>
  <c r="AH73" i="21"/>
  <c r="BZ73" i="21" s="1"/>
  <c r="AT73" i="21"/>
  <c r="BD72" i="21"/>
  <c r="BA72" i="21"/>
  <c r="CL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 a="1"/>
  <c r="AI72" i="21" s="1"/>
  <c r="AH72" i="21"/>
  <c r="BZ72" i="21" s="1"/>
  <c r="BE71" i="21"/>
  <c r="BM71" i="21" s="1"/>
  <c r="BD71" i="21"/>
  <c r="BL71" i="21" s="1"/>
  <c r="BA71" i="21"/>
  <c r="CL71" i="21"/>
  <c r="AS71" i="21"/>
  <c r="AR71" i="21"/>
  <c r="AQ71" i="21"/>
  <c r="AP71" i="21"/>
  <c r="AO71" i="21"/>
  <c r="AN71" i="21"/>
  <c r="AM71" i="21"/>
  <c r="AL71" i="21"/>
  <c r="AK71" i="21"/>
  <c r="AJ71" i="21"/>
  <c r="AI71" i="21" a="1"/>
  <c r="AI71" i="21" s="1"/>
  <c r="AH71" i="21"/>
  <c r="BZ71" i="21" s="1"/>
  <c r="AT71" i="21"/>
  <c r="BD70" i="21"/>
  <c r="BL70" i="21" s="1"/>
  <c r="BA70" i="21"/>
  <c r="BI70" i="21" s="1"/>
  <c r="CL70" i="21"/>
  <c r="AS70" i="21"/>
  <c r="AR70" i="21"/>
  <c r="AQ70" i="21"/>
  <c r="AP70" i="21"/>
  <c r="AO70" i="21"/>
  <c r="AN70" i="21"/>
  <c r="AM70" i="21"/>
  <c r="AL70" i="21"/>
  <c r="AK70" i="21"/>
  <c r="AJ70" i="21"/>
  <c r="AI70" i="21" a="1"/>
  <c r="AI70" i="21" s="1"/>
  <c r="AH70" i="21"/>
  <c r="BZ70" i="21" s="1"/>
  <c r="AT70" i="21"/>
  <c r="BD69" i="21"/>
  <c r="BE69" i="21" s="1"/>
  <c r="BA69" i="21"/>
  <c r="BI69" i="21" s="1"/>
  <c r="CL69" i="21"/>
  <c r="AS69" i="21"/>
  <c r="AR69" i="21"/>
  <c r="AQ69" i="21"/>
  <c r="AP69" i="21"/>
  <c r="AO69" i="21"/>
  <c r="AN69" i="21"/>
  <c r="AM69" i="21"/>
  <c r="AL69" i="21"/>
  <c r="AK69" i="21"/>
  <c r="AJ69" i="21"/>
  <c r="AI69" i="21" a="1"/>
  <c r="AI69" i="21" s="1"/>
  <c r="AH69" i="21"/>
  <c r="BZ69" i="21" s="1"/>
  <c r="AT69" i="21"/>
  <c r="BD68" i="21"/>
  <c r="BL68" i="21" s="1"/>
  <c r="BA68" i="21"/>
  <c r="BB68" i="21" s="1"/>
  <c r="CL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 a="1"/>
  <c r="AI68" i="21" s="1"/>
  <c r="AH68" i="21"/>
  <c r="BZ68" i="21" s="1"/>
  <c r="CL67" i="21"/>
  <c r="BD67" i="21"/>
  <c r="BA67" i="21"/>
  <c r="BI67" i="21" s="1"/>
  <c r="AS67" i="21"/>
  <c r="AR67" i="21"/>
  <c r="AQ67" i="21"/>
  <c r="AP67" i="21"/>
  <c r="AO67" i="21"/>
  <c r="AN67" i="21"/>
  <c r="AM67" i="21"/>
  <c r="AL67" i="21"/>
  <c r="AK67" i="21"/>
  <c r="AJ67" i="21"/>
  <c r="AI67" i="21" a="1"/>
  <c r="AI67" i="21" s="1"/>
  <c r="AH67" i="21"/>
  <c r="BZ67" i="21" s="1"/>
  <c r="BD66" i="21"/>
  <c r="BL66" i="21" s="1"/>
  <c r="BA66" i="21"/>
  <c r="BI66" i="21" s="1"/>
  <c r="CL66" i="21"/>
  <c r="AS66" i="21"/>
  <c r="AR66" i="21"/>
  <c r="AQ66" i="21"/>
  <c r="AP66" i="21"/>
  <c r="AO66" i="21"/>
  <c r="AN66" i="21"/>
  <c r="AM66" i="21"/>
  <c r="AL66" i="21"/>
  <c r="AK66" i="21"/>
  <c r="AJ66" i="21"/>
  <c r="AI66" i="21" a="1"/>
  <c r="AI66" i="21" s="1"/>
  <c r="AH66" i="21"/>
  <c r="BZ66" i="21" s="1"/>
  <c r="AT66" i="21"/>
  <c r="BD65" i="21"/>
  <c r="BE65" i="21" s="1"/>
  <c r="BA65" i="21"/>
  <c r="BI65" i="21" s="1"/>
  <c r="CL65" i="21"/>
  <c r="AS65" i="21"/>
  <c r="AR65" i="21"/>
  <c r="AQ65" i="21"/>
  <c r="AP65" i="21"/>
  <c r="AO65" i="21"/>
  <c r="AN65" i="21"/>
  <c r="AM65" i="21"/>
  <c r="AL65" i="21"/>
  <c r="AK65" i="21"/>
  <c r="AJ65" i="21"/>
  <c r="AI65" i="21" a="1"/>
  <c r="AI65" i="21" s="1"/>
  <c r="AH65" i="21"/>
  <c r="BZ65" i="21" s="1"/>
  <c r="AT65" i="21"/>
  <c r="BD64" i="21"/>
  <c r="BA64" i="21"/>
  <c r="BB64" i="21" s="1"/>
  <c r="CL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 a="1"/>
  <c r="AI64" i="21" s="1"/>
  <c r="AH64" i="21"/>
  <c r="BZ64" i="21" s="1"/>
  <c r="BD63" i="21"/>
  <c r="BA63" i="21"/>
  <c r="BI63" i="21" s="1"/>
  <c r="CL63" i="21"/>
  <c r="AS63" i="21"/>
  <c r="AR63" i="21"/>
  <c r="AQ63" i="21"/>
  <c r="AP63" i="21"/>
  <c r="AO63" i="21"/>
  <c r="AN63" i="21"/>
  <c r="AM63" i="21"/>
  <c r="AL63" i="21"/>
  <c r="AK63" i="21"/>
  <c r="AJ63" i="21"/>
  <c r="AI63" i="21" a="1"/>
  <c r="AI63" i="21" s="1"/>
  <c r="AH63" i="21"/>
  <c r="BZ63" i="21" s="1"/>
  <c r="AT63" i="21"/>
  <c r="BD62" i="21"/>
  <c r="BL62" i="21" s="1"/>
  <c r="BA62" i="21"/>
  <c r="BI62" i="21" s="1"/>
  <c r="CL62" i="21"/>
  <c r="AS62" i="21"/>
  <c r="AR62" i="21"/>
  <c r="AQ62" i="21"/>
  <c r="AP62" i="21"/>
  <c r="AO62" i="21"/>
  <c r="AN62" i="21"/>
  <c r="AM62" i="21"/>
  <c r="AL62" i="21"/>
  <c r="AK62" i="21"/>
  <c r="AJ62" i="21"/>
  <c r="AI62" i="21" a="1"/>
  <c r="AI62" i="21" s="1"/>
  <c r="AH62" i="21"/>
  <c r="BZ62" i="21" s="1"/>
  <c r="BD61" i="21"/>
  <c r="BA61" i="21"/>
  <c r="BI61" i="21" s="1"/>
  <c r="CL61" i="21"/>
  <c r="AS61" i="21"/>
  <c r="AR61" i="21"/>
  <c r="AQ61" i="21"/>
  <c r="AP61" i="21"/>
  <c r="AO61" i="21"/>
  <c r="AN61" i="21"/>
  <c r="AM61" i="21"/>
  <c r="AL61" i="21"/>
  <c r="AK61" i="21"/>
  <c r="AJ61" i="21"/>
  <c r="AI61" i="21" a="1"/>
  <c r="AI61" i="21" s="1"/>
  <c r="AH61" i="21"/>
  <c r="BZ61" i="21" s="1"/>
  <c r="AT61" i="21"/>
  <c r="BD60" i="21"/>
  <c r="BA60" i="21"/>
  <c r="CL60" i="21"/>
  <c r="AS60" i="21"/>
  <c r="AR60" i="21"/>
  <c r="AQ60" i="21"/>
  <c r="AP60" i="21"/>
  <c r="AO60" i="21"/>
  <c r="AN60" i="21"/>
  <c r="AM60" i="21"/>
  <c r="AL60" i="21"/>
  <c r="AK60" i="21"/>
  <c r="AJ60" i="21"/>
  <c r="AI60" i="21" a="1"/>
  <c r="AI60" i="21" s="1"/>
  <c r="AH60" i="21"/>
  <c r="BZ60" i="21" s="1"/>
  <c r="AT60" i="21"/>
  <c r="BD59" i="21"/>
  <c r="BE59" i="21" s="1"/>
  <c r="BA59" i="21"/>
  <c r="CL59" i="21"/>
  <c r="AS59" i="21"/>
  <c r="AR59" i="21"/>
  <c r="AQ59" i="21"/>
  <c r="AP59" i="21"/>
  <c r="AO59" i="21"/>
  <c r="AN59" i="21"/>
  <c r="AM59" i="21"/>
  <c r="AL59" i="21"/>
  <c r="AK59" i="21"/>
  <c r="AJ59" i="21"/>
  <c r="AI59" i="21" a="1"/>
  <c r="AI59" i="21" s="1"/>
  <c r="AH59" i="21"/>
  <c r="BZ59" i="21" s="1"/>
  <c r="AT59" i="21"/>
  <c r="BZ58" i="21"/>
  <c r="BD58" i="21"/>
  <c r="BL58" i="21" s="1"/>
  <c r="BA58" i="21"/>
  <c r="BB58" i="21" s="1"/>
  <c r="CL58" i="21"/>
  <c r="AS58" i="21"/>
  <c r="AR58" i="21"/>
  <c r="AQ58" i="21"/>
  <c r="AP58" i="21"/>
  <c r="AO58" i="21"/>
  <c r="AN58" i="21"/>
  <c r="AM58" i="21"/>
  <c r="AL58" i="21"/>
  <c r="AK58" i="21"/>
  <c r="AJ58" i="21"/>
  <c r="AI58" i="21" a="1"/>
  <c r="AI58" i="21" s="1"/>
  <c r="AH58" i="21"/>
  <c r="AT58" i="21"/>
  <c r="BD57" i="21"/>
  <c r="BE57" i="21" s="1"/>
  <c r="BM57" i="21" s="1"/>
  <c r="BA57" i="21"/>
  <c r="BI57" i="21" s="1"/>
  <c r="CL57" i="21"/>
  <c r="AS57" i="21"/>
  <c r="AR57" i="21"/>
  <c r="AQ57" i="21"/>
  <c r="AP57" i="21"/>
  <c r="AO57" i="21"/>
  <c r="AN57" i="21"/>
  <c r="AM57" i="21"/>
  <c r="AL57" i="21"/>
  <c r="AK57" i="21"/>
  <c r="AJ57" i="21"/>
  <c r="AI57" i="21" a="1"/>
  <c r="AI57" i="21" s="1"/>
  <c r="AH57" i="21"/>
  <c r="BZ57" i="21" s="1"/>
  <c r="AT57" i="21"/>
  <c r="BD56" i="21"/>
  <c r="BC56" i="21"/>
  <c r="BK56" i="21" s="1"/>
  <c r="BA56" i="21"/>
  <c r="BB56" i="21" s="1"/>
  <c r="BJ56" i="21" s="1"/>
  <c r="CL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 a="1"/>
  <c r="AI56" i="21" s="1"/>
  <c r="AH56" i="21"/>
  <c r="BZ56" i="21" s="1"/>
  <c r="BD55" i="21"/>
  <c r="BE55" i="21" s="1"/>
  <c r="BM55" i="21" s="1"/>
  <c r="BA55" i="21"/>
  <c r="BI55" i="21" s="1"/>
  <c r="CL55" i="21"/>
  <c r="AS55" i="21"/>
  <c r="AR55" i="21"/>
  <c r="AQ55" i="21"/>
  <c r="AP55" i="21"/>
  <c r="AO55" i="21"/>
  <c r="AN55" i="21"/>
  <c r="AM55" i="21"/>
  <c r="AL55" i="21"/>
  <c r="AK55" i="21"/>
  <c r="AJ55" i="21"/>
  <c r="AI55" i="21" a="1"/>
  <c r="AI55" i="21" s="1"/>
  <c r="AH55" i="21"/>
  <c r="BZ55" i="21" s="1"/>
  <c r="AT55" i="21"/>
  <c r="BD54" i="21"/>
  <c r="BL54" i="21" s="1"/>
  <c r="BA54" i="21"/>
  <c r="CL54" i="21"/>
  <c r="AS54" i="21"/>
  <c r="AR54" i="21"/>
  <c r="AQ54" i="21"/>
  <c r="AP54" i="21"/>
  <c r="AO54" i="21"/>
  <c r="AN54" i="21"/>
  <c r="AM54" i="21"/>
  <c r="AL54" i="21"/>
  <c r="AK54" i="21"/>
  <c r="AJ54" i="21"/>
  <c r="AI54" i="21" a="1"/>
  <c r="AI54" i="21" s="1"/>
  <c r="AH54" i="21"/>
  <c r="BZ54" i="21" s="1"/>
  <c r="BL53" i="21"/>
  <c r="BD53" i="21"/>
  <c r="BE53" i="21" s="1"/>
  <c r="BM53" i="21" s="1"/>
  <c r="BA53" i="21"/>
  <c r="BI53" i="21" s="1"/>
  <c r="CL53" i="21"/>
  <c r="AS53" i="21"/>
  <c r="AR53" i="21"/>
  <c r="AQ53" i="21"/>
  <c r="AP53" i="21"/>
  <c r="AO53" i="21"/>
  <c r="AN53" i="21"/>
  <c r="AM53" i="21"/>
  <c r="AL53" i="21"/>
  <c r="AK53" i="21"/>
  <c r="AJ53" i="21"/>
  <c r="AI53" i="21" a="1"/>
  <c r="AI53" i="21" s="1"/>
  <c r="AH53" i="21"/>
  <c r="BZ53" i="21" s="1"/>
  <c r="BD52" i="21"/>
  <c r="BA52" i="21"/>
  <c r="CL52" i="21"/>
  <c r="AS52" i="21"/>
  <c r="AR52" i="21"/>
  <c r="AQ52" i="21"/>
  <c r="AP52" i="21"/>
  <c r="AO52" i="21"/>
  <c r="AN52" i="21"/>
  <c r="AM52" i="21"/>
  <c r="AL52" i="21"/>
  <c r="AK52" i="21"/>
  <c r="AJ52" i="21"/>
  <c r="AI52" i="21" a="1"/>
  <c r="AI52" i="21" s="1"/>
  <c r="AH52" i="21"/>
  <c r="BZ52" i="21" s="1"/>
  <c r="AT52" i="21"/>
  <c r="BD51" i="21"/>
  <c r="BA51" i="21"/>
  <c r="BI51" i="21" s="1"/>
  <c r="CL51" i="21"/>
  <c r="AS51" i="21"/>
  <c r="AR51" i="21"/>
  <c r="AQ51" i="21"/>
  <c r="AP51" i="21"/>
  <c r="AO51" i="21"/>
  <c r="AN51" i="21"/>
  <c r="AM51" i="21"/>
  <c r="AL51" i="21"/>
  <c r="AK51" i="21"/>
  <c r="AJ51" i="21"/>
  <c r="AI51" i="21" a="1"/>
  <c r="AI51" i="21" s="1"/>
  <c r="AH51" i="21"/>
  <c r="BZ51" i="21" s="1"/>
  <c r="AT51" i="21"/>
  <c r="BD50" i="21"/>
  <c r="BA50" i="21"/>
  <c r="BI50" i="21" s="1"/>
  <c r="CL50" i="21"/>
  <c r="AS50" i="21"/>
  <c r="AR50" i="21"/>
  <c r="AQ50" i="21"/>
  <c r="AP50" i="21"/>
  <c r="AO50" i="21"/>
  <c r="AN50" i="21"/>
  <c r="AM50" i="21"/>
  <c r="AL50" i="21"/>
  <c r="AK50" i="21"/>
  <c r="AJ50" i="21"/>
  <c r="AI50" i="21" a="1"/>
  <c r="AI50" i="21" s="1"/>
  <c r="AH50" i="21"/>
  <c r="BZ50" i="21" s="1"/>
  <c r="AT50" i="21"/>
  <c r="BD49" i="21"/>
  <c r="BL49" i="21" s="1"/>
  <c r="BA49" i="21"/>
  <c r="BI49" i="21" s="1"/>
  <c r="CL49" i="21"/>
  <c r="AS49" i="21"/>
  <c r="AR49" i="21"/>
  <c r="AQ49" i="21"/>
  <c r="AP49" i="21"/>
  <c r="AO49" i="21"/>
  <c r="AN49" i="21"/>
  <c r="AM49" i="21"/>
  <c r="AL49" i="21"/>
  <c r="AK49" i="21"/>
  <c r="AJ49" i="21"/>
  <c r="AI49" i="21" a="1"/>
  <c r="AI49" i="21" s="1"/>
  <c r="AH49" i="21"/>
  <c r="BZ49" i="21" s="1"/>
  <c r="BD48" i="21"/>
  <c r="BL48" i="21" s="1"/>
  <c r="BA48" i="21"/>
  <c r="BI48" i="21" s="1"/>
  <c r="CL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 a="1"/>
  <c r="AI48" i="21" s="1"/>
  <c r="AH48" i="21"/>
  <c r="BZ48" i="21" s="1"/>
  <c r="BD47" i="21"/>
  <c r="BB47" i="21"/>
  <c r="BA47" i="21"/>
  <c r="BI47" i="21" s="1"/>
  <c r="CL47" i="21"/>
  <c r="AS47" i="21"/>
  <c r="AR47" i="21"/>
  <c r="AQ47" i="21"/>
  <c r="AP47" i="21"/>
  <c r="AO47" i="21"/>
  <c r="AN47" i="21"/>
  <c r="AM47" i="21"/>
  <c r="AL47" i="21"/>
  <c r="AK47" i="21"/>
  <c r="AJ47" i="21"/>
  <c r="AI47" i="21" a="1"/>
  <c r="AI47" i="21" s="1"/>
  <c r="AH47" i="21"/>
  <c r="BZ47" i="21" s="1"/>
  <c r="BD46" i="21"/>
  <c r="BA46" i="21"/>
  <c r="BI46" i="21" s="1"/>
  <c r="CL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 a="1"/>
  <c r="AI46" i="21" s="1"/>
  <c r="AH46" i="21"/>
  <c r="BZ46" i="21" s="1"/>
  <c r="BD45" i="21"/>
  <c r="BA45" i="21"/>
  <c r="BI45" i="21" s="1"/>
  <c r="CL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 a="1"/>
  <c r="AI45" i="21" s="1"/>
  <c r="AH45" i="21"/>
  <c r="BZ45" i="21" s="1"/>
  <c r="BD44" i="21"/>
  <c r="BL44" i="21" s="1"/>
  <c r="BA44" i="21"/>
  <c r="BB44" i="21" s="1"/>
  <c r="CL44" i="21"/>
  <c r="AS44" i="21"/>
  <c r="AR44" i="21"/>
  <c r="AQ44" i="21"/>
  <c r="AP44" i="21"/>
  <c r="AO44" i="21"/>
  <c r="AN44" i="21"/>
  <c r="AM44" i="21"/>
  <c r="AL44" i="21"/>
  <c r="AK44" i="21"/>
  <c r="AJ44" i="21"/>
  <c r="AI44" i="21" a="1"/>
  <c r="AI44" i="21" s="1"/>
  <c r="AH44" i="21"/>
  <c r="BZ44" i="21" s="1"/>
  <c r="AT44" i="21"/>
  <c r="BD43" i="21"/>
  <c r="BL43" i="21" s="1"/>
  <c r="BA43" i="21"/>
  <c r="BI43" i="21" s="1"/>
  <c r="CL43" i="21"/>
  <c r="AS43" i="21"/>
  <c r="AR43" i="21"/>
  <c r="AQ43" i="21"/>
  <c r="AP43" i="21"/>
  <c r="AO43" i="21"/>
  <c r="AN43" i="21"/>
  <c r="AM43" i="21"/>
  <c r="AL43" i="21"/>
  <c r="AK43" i="21"/>
  <c r="AJ43" i="21"/>
  <c r="AI43" i="21" a="1"/>
  <c r="AI43" i="21" s="1"/>
  <c r="AH43" i="21"/>
  <c r="BZ43" i="21" s="1"/>
  <c r="BD42" i="21"/>
  <c r="BE42" i="21" s="1"/>
  <c r="BA42" i="21"/>
  <c r="BB42" i="21" s="1"/>
  <c r="CL42" i="21"/>
  <c r="AS42" i="21"/>
  <c r="AR42" i="21"/>
  <c r="AQ42" i="21"/>
  <c r="AP42" i="21"/>
  <c r="AO42" i="21"/>
  <c r="AN42" i="21"/>
  <c r="AM42" i="21"/>
  <c r="AL42" i="21"/>
  <c r="AK42" i="21"/>
  <c r="AJ42" i="21"/>
  <c r="AI42" i="21" a="1"/>
  <c r="AI42" i="21" s="1"/>
  <c r="AH42" i="21"/>
  <c r="BZ42" i="21" s="1"/>
  <c r="AT42" i="21"/>
  <c r="BD41" i="21"/>
  <c r="BE41" i="21" s="1"/>
  <c r="BA41" i="21"/>
  <c r="BB41" i="21" s="1"/>
  <c r="CL41" i="21"/>
  <c r="AS41" i="21"/>
  <c r="AR41" i="21"/>
  <c r="AQ41" i="21"/>
  <c r="AP41" i="21"/>
  <c r="AO41" i="21"/>
  <c r="AN41" i="21"/>
  <c r="AM41" i="21"/>
  <c r="AL41" i="21"/>
  <c r="AK41" i="21"/>
  <c r="AJ41" i="21"/>
  <c r="AI41" i="21" a="1"/>
  <c r="AI41" i="21" s="1"/>
  <c r="AH41" i="21"/>
  <c r="BZ41" i="21" s="1"/>
  <c r="AT41" i="21"/>
  <c r="BD40" i="21"/>
  <c r="BE40" i="21" s="1"/>
  <c r="BA40" i="21"/>
  <c r="BB40" i="21" s="1"/>
  <c r="CL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 a="1"/>
  <c r="AI40" i="21" s="1"/>
  <c r="AH40" i="21"/>
  <c r="BZ40" i="21" s="1"/>
  <c r="BD39" i="21"/>
  <c r="BL39" i="21" s="1"/>
  <c r="BB39" i="21"/>
  <c r="BJ39" i="21" s="1"/>
  <c r="BA39" i="21"/>
  <c r="BI39" i="21" s="1"/>
  <c r="CL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 a="1"/>
  <c r="AI39" i="21" s="1"/>
  <c r="AH39" i="21"/>
  <c r="BZ39" i="21" s="1"/>
  <c r="CL38" i="21"/>
  <c r="BD38" i="21"/>
  <c r="BL38" i="21" s="1"/>
  <c r="BA38" i="21"/>
  <c r="BI38" i="21" s="1"/>
  <c r="AS38" i="21"/>
  <c r="AR38" i="21"/>
  <c r="AQ38" i="21"/>
  <c r="AP38" i="21"/>
  <c r="AO38" i="21"/>
  <c r="AN38" i="21"/>
  <c r="AM38" i="21"/>
  <c r="AL38" i="21"/>
  <c r="AK38" i="21"/>
  <c r="AJ38" i="21"/>
  <c r="AI38" i="21" a="1"/>
  <c r="AI38" i="21" s="1"/>
  <c r="AH38" i="21"/>
  <c r="BZ38" i="21" s="1"/>
  <c r="AT38" i="21"/>
  <c r="BD37" i="21"/>
  <c r="BL37" i="21" s="1"/>
  <c r="BA37" i="21"/>
  <c r="BI37" i="21" s="1"/>
  <c r="CL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 a="1"/>
  <c r="AI37" i="21" s="1"/>
  <c r="AH37" i="21"/>
  <c r="BZ37" i="21" s="1"/>
  <c r="BD36" i="21"/>
  <c r="BE36" i="21" s="1"/>
  <c r="BA36" i="21"/>
  <c r="CL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 a="1"/>
  <c r="AI36" i="21" s="1"/>
  <c r="AH36" i="21"/>
  <c r="BZ36" i="21" s="1"/>
  <c r="BD35" i="21"/>
  <c r="BL35" i="21" s="1"/>
  <c r="BA35" i="21"/>
  <c r="BB35" i="21" s="1"/>
  <c r="CL35" i="21"/>
  <c r="AS35" i="21"/>
  <c r="AR35" i="21"/>
  <c r="AQ35" i="21"/>
  <c r="AP35" i="21"/>
  <c r="AO35" i="21"/>
  <c r="AN35" i="21"/>
  <c r="AM35" i="21"/>
  <c r="AL35" i="21"/>
  <c r="AK35" i="21"/>
  <c r="AJ35" i="21"/>
  <c r="AI35" i="21" a="1"/>
  <c r="AI35" i="21" s="1"/>
  <c r="AH35" i="21"/>
  <c r="BZ35" i="21" s="1"/>
  <c r="CD35" i="21" s="1"/>
  <c r="AT35" i="21"/>
  <c r="BD34" i="21"/>
  <c r="BE34" i="21" s="1"/>
  <c r="BA34" i="21"/>
  <c r="BI34" i="21" s="1"/>
  <c r="CL34" i="21"/>
  <c r="AS34" i="21"/>
  <c r="AR34" i="21"/>
  <c r="AQ34" i="21"/>
  <c r="AP34" i="21"/>
  <c r="AO34" i="21"/>
  <c r="AN34" i="21"/>
  <c r="AM34" i="21"/>
  <c r="AL34" i="21"/>
  <c r="AK34" i="21"/>
  <c r="AJ34" i="21"/>
  <c r="AI34" i="21" a="1"/>
  <c r="AI34" i="21" s="1"/>
  <c r="AH34" i="21"/>
  <c r="BZ34" i="21" s="1"/>
  <c r="BD33" i="21"/>
  <c r="BE33" i="21" s="1"/>
  <c r="BA33" i="21"/>
  <c r="CL33" i="21"/>
  <c r="AS33" i="21"/>
  <c r="AR33" i="21"/>
  <c r="AQ33" i="21"/>
  <c r="AP33" i="21"/>
  <c r="AO33" i="21"/>
  <c r="AN33" i="21"/>
  <c r="AM33" i="21"/>
  <c r="AL33" i="21"/>
  <c r="AK33" i="21"/>
  <c r="AJ33" i="21"/>
  <c r="AI33" i="21" a="1"/>
  <c r="AI33" i="21" s="1"/>
  <c r="AH33" i="21"/>
  <c r="BZ33" i="21" s="1"/>
  <c r="BD32" i="21"/>
  <c r="BE32" i="21" s="1"/>
  <c r="BM32" i="21" s="1"/>
  <c r="BA32" i="21"/>
  <c r="BB32" i="21" s="1"/>
  <c r="CL32" i="21"/>
  <c r="AS32" i="21"/>
  <c r="AR32" i="21"/>
  <c r="AQ32" i="21"/>
  <c r="AP32" i="21"/>
  <c r="AO32" i="21"/>
  <c r="AN32" i="21"/>
  <c r="AM32" i="21"/>
  <c r="AL32" i="21"/>
  <c r="AK32" i="21"/>
  <c r="AJ32" i="21"/>
  <c r="AI32" i="21" a="1"/>
  <c r="AI32" i="21" s="1"/>
  <c r="AH32" i="21"/>
  <c r="BZ32" i="21" s="1"/>
  <c r="AT32" i="21"/>
  <c r="BE31" i="21"/>
  <c r="BM31" i="21" s="1"/>
  <c r="BD31" i="21"/>
  <c r="BL31" i="21" s="1"/>
  <c r="BA31" i="21"/>
  <c r="BB31" i="21" s="1"/>
  <c r="BJ31" i="21" s="1"/>
  <c r="CL31" i="21"/>
  <c r="AS31" i="21"/>
  <c r="AR31" i="21"/>
  <c r="AQ31" i="21"/>
  <c r="AP31" i="21"/>
  <c r="AO31" i="21"/>
  <c r="AN31" i="21"/>
  <c r="AM31" i="21"/>
  <c r="AL31" i="21"/>
  <c r="AK31" i="21"/>
  <c r="AJ31" i="21"/>
  <c r="AI31" i="21" a="1"/>
  <c r="AI31" i="21" s="1"/>
  <c r="AH31" i="21"/>
  <c r="BZ31" i="21" s="1"/>
  <c r="AT31" i="21"/>
  <c r="BD30" i="21"/>
  <c r="BA30" i="21"/>
  <c r="BI30" i="21" s="1"/>
  <c r="CL30" i="21"/>
  <c r="AS30" i="21"/>
  <c r="AR30" i="21"/>
  <c r="AQ30" i="21"/>
  <c r="AP30" i="21"/>
  <c r="AO30" i="21"/>
  <c r="AN30" i="21"/>
  <c r="AM30" i="21"/>
  <c r="AL30" i="21"/>
  <c r="AK30" i="21"/>
  <c r="AJ30" i="21"/>
  <c r="AI30" i="21" a="1"/>
  <c r="AI30" i="21" s="1"/>
  <c r="AH30" i="21"/>
  <c r="BZ30" i="21" s="1"/>
  <c r="AT30" i="21"/>
  <c r="BD29" i="21"/>
  <c r="BL29" i="21" s="1"/>
  <c r="BB29" i="21"/>
  <c r="BA29" i="21"/>
  <c r="BI29" i="21" s="1"/>
  <c r="CL29" i="21"/>
  <c r="AS29" i="21"/>
  <c r="AR29" i="21"/>
  <c r="AQ29" i="21"/>
  <c r="AP29" i="21"/>
  <c r="AO29" i="21"/>
  <c r="AN29" i="21"/>
  <c r="AM29" i="21"/>
  <c r="AL29" i="21"/>
  <c r="AK29" i="21"/>
  <c r="AJ29" i="21"/>
  <c r="AI29" i="21" a="1"/>
  <c r="AI29" i="21" s="1"/>
  <c r="AH29" i="21"/>
  <c r="BZ29" i="21" s="1"/>
  <c r="AT29" i="21"/>
  <c r="BD28" i="21"/>
  <c r="BE28" i="21" s="1"/>
  <c r="BA28" i="21"/>
  <c r="BI28" i="21" s="1"/>
  <c r="CL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 a="1"/>
  <c r="AI28" i="21" s="1"/>
  <c r="AH28" i="21"/>
  <c r="BZ28" i="21" s="1"/>
  <c r="BD27" i="21"/>
  <c r="BL27" i="21" s="1"/>
  <c r="BA27" i="21"/>
  <c r="BI27" i="21" s="1"/>
  <c r="CL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 a="1"/>
  <c r="AI27" i="21" s="1"/>
  <c r="AH27" i="21"/>
  <c r="BZ27" i="21" s="1"/>
  <c r="BD26" i="21"/>
  <c r="BE26" i="21" s="1"/>
  <c r="BM26" i="21" s="1"/>
  <c r="BA26" i="21"/>
  <c r="BB26" i="21" s="1"/>
  <c r="CL26" i="21"/>
  <c r="AS26" i="21"/>
  <c r="AR26" i="21"/>
  <c r="AQ26" i="21"/>
  <c r="AP26" i="21"/>
  <c r="AO26" i="21"/>
  <c r="AN26" i="21"/>
  <c r="AM26" i="21"/>
  <c r="AL26" i="21"/>
  <c r="AK26" i="21"/>
  <c r="AJ26" i="21"/>
  <c r="AI26" i="21" a="1"/>
  <c r="AI26" i="21" s="1"/>
  <c r="AH26" i="21"/>
  <c r="BZ26" i="21" s="1"/>
  <c r="BE25" i="21"/>
  <c r="BF25" i="21" s="1"/>
  <c r="BG25" i="21" s="1"/>
  <c r="BD25" i="21"/>
  <c r="BL25" i="21" s="1"/>
  <c r="BA25" i="21"/>
  <c r="BB25" i="21" s="1"/>
  <c r="BJ25" i="21" s="1"/>
  <c r="CL25" i="21"/>
  <c r="AS25" i="21"/>
  <c r="AR25" i="21"/>
  <c r="AQ25" i="21"/>
  <c r="AP25" i="21"/>
  <c r="AO25" i="21"/>
  <c r="AN25" i="21"/>
  <c r="AM25" i="21"/>
  <c r="AL25" i="21"/>
  <c r="AK25" i="21"/>
  <c r="AJ25" i="21"/>
  <c r="AI25" i="21" a="1"/>
  <c r="AI25" i="21" s="1"/>
  <c r="AH25" i="21"/>
  <c r="BZ25" i="21" s="1"/>
  <c r="AT25" i="21"/>
  <c r="BD24" i="21"/>
  <c r="BA24" i="21"/>
  <c r="BB24" i="21" s="1"/>
  <c r="BJ24" i="21" s="1"/>
  <c r="CL24" i="21"/>
  <c r="AS24" i="21"/>
  <c r="AR24" i="21"/>
  <c r="AQ24" i="21"/>
  <c r="AP24" i="21"/>
  <c r="AO24" i="21"/>
  <c r="AN24" i="21"/>
  <c r="AM24" i="21"/>
  <c r="AL24" i="21"/>
  <c r="AK24" i="21"/>
  <c r="AJ24" i="21"/>
  <c r="AI24" i="21" a="1"/>
  <c r="AI24" i="21" s="1"/>
  <c r="AH24" i="21"/>
  <c r="BZ24" i="21" s="1"/>
  <c r="AT24" i="21"/>
  <c r="BD23" i="21"/>
  <c r="BL23" i="21" s="1"/>
  <c r="BA23" i="21"/>
  <c r="BB23" i="21" s="1"/>
  <c r="BJ23" i="21" s="1"/>
  <c r="CL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 a="1"/>
  <c r="AI23" i="21" s="1"/>
  <c r="AH23" i="21"/>
  <c r="BZ23" i="21" s="1"/>
  <c r="BD22" i="21"/>
  <c r="BE22" i="21" s="1"/>
  <c r="BA22" i="21"/>
  <c r="BI22" i="21" s="1"/>
  <c r="CL22" i="21"/>
  <c r="AS22" i="21"/>
  <c r="AR22" i="21"/>
  <c r="AQ22" i="21"/>
  <c r="AP22" i="21"/>
  <c r="AO22" i="21"/>
  <c r="AN22" i="21"/>
  <c r="AM22" i="21"/>
  <c r="AL22" i="21"/>
  <c r="AK22" i="21"/>
  <c r="AJ22" i="21"/>
  <c r="AI22" i="21" a="1"/>
  <c r="AI22" i="21" s="1"/>
  <c r="AH22" i="21"/>
  <c r="BZ22" i="21" s="1"/>
  <c r="AT22" i="21"/>
  <c r="BD21" i="21"/>
  <c r="BA21" i="21"/>
  <c r="BB21" i="21" s="1"/>
  <c r="CL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 a="1"/>
  <c r="AI21" i="21" s="1"/>
  <c r="AH21" i="21"/>
  <c r="BZ21" i="21" s="1"/>
  <c r="BZ20" i="21"/>
  <c r="BE20" i="21"/>
  <c r="BF20" i="21" s="1"/>
  <c r="BD20" i="21"/>
  <c r="BL20" i="21" s="1"/>
  <c r="BB20" i="21"/>
  <c r="BJ20" i="21" s="1"/>
  <c r="BA20" i="21"/>
  <c r="BI20" i="21" s="1"/>
  <c r="CL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 a="1"/>
  <c r="AI20" i="21" s="1"/>
  <c r="AH20" i="21"/>
  <c r="BD19" i="21"/>
  <c r="BL19" i="21" s="1"/>
  <c r="BA19" i="21"/>
  <c r="CL19" i="21"/>
  <c r="AS19" i="21"/>
  <c r="AR19" i="21"/>
  <c r="AQ19" i="21"/>
  <c r="AP19" i="21"/>
  <c r="AO19" i="21"/>
  <c r="AN19" i="21"/>
  <c r="AM19" i="21"/>
  <c r="AL19" i="21"/>
  <c r="AK19" i="21"/>
  <c r="AJ19" i="21"/>
  <c r="AI19" i="21" a="1"/>
  <c r="AI19" i="21" s="1"/>
  <c r="AH19" i="21"/>
  <c r="BZ19" i="21" s="1"/>
  <c r="CD19" i="21" s="1"/>
  <c r="AT19" i="21"/>
  <c r="BD18" i="21"/>
  <c r="BE18" i="21" s="1"/>
  <c r="BA18" i="21"/>
  <c r="BI18" i="21" s="1"/>
  <c r="CL18" i="21"/>
  <c r="AS18" i="21"/>
  <c r="AR18" i="21"/>
  <c r="AQ18" i="21"/>
  <c r="AP18" i="21"/>
  <c r="AO18" i="21"/>
  <c r="AN18" i="21"/>
  <c r="AM18" i="21"/>
  <c r="AL18" i="21"/>
  <c r="AK18" i="21"/>
  <c r="AJ18" i="21"/>
  <c r="AI18" i="21" a="1"/>
  <c r="AI18" i="21" s="1"/>
  <c r="AH18" i="21"/>
  <c r="BZ18" i="21" s="1"/>
  <c r="AT18" i="21"/>
  <c r="BD17" i="21"/>
  <c r="BE17" i="21" s="1"/>
  <c r="BA17" i="21"/>
  <c r="BI17" i="21" s="1"/>
  <c r="CL17" i="21"/>
  <c r="AS17" i="21"/>
  <c r="AR17" i="21"/>
  <c r="AQ17" i="21"/>
  <c r="AP17" i="21"/>
  <c r="AO17" i="21"/>
  <c r="AN17" i="21"/>
  <c r="AM17" i="21"/>
  <c r="AL17" i="21"/>
  <c r="AK17" i="21"/>
  <c r="AJ17" i="21"/>
  <c r="AI17" i="21" a="1"/>
  <c r="AI17" i="21" s="1"/>
  <c r="AH17" i="21"/>
  <c r="BZ17" i="21" s="1"/>
  <c r="AT17" i="21"/>
  <c r="BD16" i="21"/>
  <c r="BL16" i="21" s="1"/>
  <c r="BA16" i="21"/>
  <c r="BB16" i="21" s="1"/>
  <c r="CL16" i="21"/>
  <c r="AS16" i="21"/>
  <c r="AR16" i="21"/>
  <c r="AQ16" i="21"/>
  <c r="AP16" i="21"/>
  <c r="AO16" i="21"/>
  <c r="AN16" i="21"/>
  <c r="AM16" i="21"/>
  <c r="AL16" i="21"/>
  <c r="AK16" i="21"/>
  <c r="AJ16" i="21"/>
  <c r="AI16" i="21" a="1"/>
  <c r="AI16" i="21" s="1"/>
  <c r="AH16" i="21"/>
  <c r="BZ16" i="21" s="1"/>
  <c r="CD16" i="21" s="1"/>
  <c r="AT16" i="21"/>
  <c r="BD15" i="21"/>
  <c r="BL15" i="21" s="1"/>
  <c r="BA15" i="21"/>
  <c r="BI15" i="21" s="1"/>
  <c r="CL15" i="21"/>
  <c r="AS15" i="21"/>
  <c r="AR15" i="21"/>
  <c r="AQ15" i="21"/>
  <c r="AP15" i="21"/>
  <c r="AO15" i="21"/>
  <c r="AN15" i="21"/>
  <c r="AM15" i="21"/>
  <c r="AL15" i="21"/>
  <c r="AK15" i="21"/>
  <c r="AJ15" i="21"/>
  <c r="AI15" i="21" a="1"/>
  <c r="AI15" i="21" s="1"/>
  <c r="AH15" i="21"/>
  <c r="BZ15" i="21" s="1"/>
  <c r="AT15" i="21"/>
  <c r="BD14" i="21"/>
  <c r="BE14" i="21" s="1"/>
  <c r="BA14" i="21"/>
  <c r="BI14" i="21" s="1"/>
  <c r="CL14" i="21"/>
  <c r="AS14" i="21"/>
  <c r="AR14" i="21"/>
  <c r="AQ14" i="21"/>
  <c r="AP14" i="21"/>
  <c r="AO14" i="21"/>
  <c r="AN14" i="21"/>
  <c r="AM14" i="21"/>
  <c r="AL14" i="21"/>
  <c r="AK14" i="21"/>
  <c r="AJ14" i="21"/>
  <c r="AI14" i="21" a="1"/>
  <c r="AI14" i="21" s="1"/>
  <c r="AH14" i="21"/>
  <c r="BZ14" i="21" s="1"/>
  <c r="AT14" i="21"/>
  <c r="BD13" i="21"/>
  <c r="BA13" i="21"/>
  <c r="BB13" i="21" s="1"/>
  <c r="CL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 a="1"/>
  <c r="AI13" i="21" s="1"/>
  <c r="AH13" i="21"/>
  <c r="BZ13" i="21" s="1"/>
  <c r="BD12" i="21"/>
  <c r="BL12" i="21" s="1"/>
  <c r="BA12" i="21"/>
  <c r="BI12" i="21" s="1"/>
  <c r="CL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 a="1"/>
  <c r="AI12" i="21" s="1"/>
  <c r="AH12" i="21"/>
  <c r="BZ12" i="21" s="1"/>
  <c r="BD11" i="21"/>
  <c r="BA11" i="21"/>
  <c r="BI11" i="21" s="1"/>
  <c r="CL11" i="21"/>
  <c r="AS11" i="21"/>
  <c r="AR11" i="21"/>
  <c r="AQ11" i="21"/>
  <c r="AP11" i="21"/>
  <c r="AO11" i="21"/>
  <c r="AN11" i="21"/>
  <c r="AM11" i="21"/>
  <c r="AL11" i="21"/>
  <c r="AK11" i="21"/>
  <c r="AJ11" i="21"/>
  <c r="AI11" i="21" a="1"/>
  <c r="AI11" i="21" s="1"/>
  <c r="AH11" i="21"/>
  <c r="BZ11" i="21" s="1"/>
  <c r="AT11" i="21"/>
  <c r="BD10" i="21"/>
  <c r="BL10" i="21" s="1"/>
  <c r="BA10" i="21"/>
  <c r="BI10" i="21" s="1"/>
  <c r="CL10" i="21"/>
  <c r="AS10" i="21"/>
  <c r="AR10" i="21"/>
  <c r="AQ10" i="21"/>
  <c r="AP10" i="21"/>
  <c r="AO10" i="21"/>
  <c r="AN10" i="21"/>
  <c r="AM10" i="21"/>
  <c r="AL10" i="21"/>
  <c r="AK10" i="21"/>
  <c r="AJ10" i="21"/>
  <c r="AI10" i="21" a="1"/>
  <c r="AI10" i="21" s="1"/>
  <c r="AH10" i="21"/>
  <c r="BZ10" i="21" s="1"/>
  <c r="CD10" i="21" s="1"/>
  <c r="AT10" i="21"/>
  <c r="BD9" i="21"/>
  <c r="BE9" i="21" s="1"/>
  <c r="BA9" i="21"/>
  <c r="BB9" i="21" s="1"/>
  <c r="CL9" i="21"/>
  <c r="AS9" i="21"/>
  <c r="AR9" i="21"/>
  <c r="AQ9" i="21"/>
  <c r="AP9" i="21"/>
  <c r="AO9" i="21"/>
  <c r="AN9" i="21"/>
  <c r="AM9" i="21"/>
  <c r="AL9" i="21"/>
  <c r="AK9" i="21"/>
  <c r="AJ9" i="21"/>
  <c r="AI9" i="21" a="1"/>
  <c r="AI9" i="21" s="1"/>
  <c r="AH9" i="21"/>
  <c r="BZ9" i="21" s="1"/>
  <c r="AT9" i="21"/>
  <c r="BD8" i="21"/>
  <c r="BA8" i="21"/>
  <c r="BB8" i="21" s="1"/>
  <c r="CL8" i="21"/>
  <c r="AS8" i="21"/>
  <c r="AR8" i="21"/>
  <c r="AQ8" i="21"/>
  <c r="AP8" i="21"/>
  <c r="AO8" i="21"/>
  <c r="AN8" i="21"/>
  <c r="AM8" i="21"/>
  <c r="AL8" i="21"/>
  <c r="AK8" i="21"/>
  <c r="AJ8" i="21"/>
  <c r="AI8" i="21" a="1"/>
  <c r="AI8" i="21" s="1"/>
  <c r="AH8" i="21"/>
  <c r="BZ8" i="21" s="1"/>
  <c r="BI7" i="21"/>
  <c r="BD7" i="21"/>
  <c r="BM7" i="21" s="1"/>
  <c r="BA7" i="21"/>
  <c r="BJ7" i="21" s="1"/>
  <c r="CL7" i="21"/>
  <c r="CT136" i="21" s="1"/>
  <c r="AS7" i="21"/>
  <c r="AR7" i="21"/>
  <c r="AQ7" i="21"/>
  <c r="AP7" i="21"/>
  <c r="AO7" i="21"/>
  <c r="AN7" i="21"/>
  <c r="AM7" i="21"/>
  <c r="AL7" i="21"/>
  <c r="AK7" i="21"/>
  <c r="AJ7" i="21"/>
  <c r="AI7" i="21" a="1"/>
  <c r="AI7" i="21" s="1"/>
  <c r="AH7" i="21"/>
  <c r="BZ7" i="21" s="1"/>
  <c r="AT7" i="21"/>
  <c r="AF135" i="20"/>
  <c r="AE135" i="20"/>
  <c r="AC135" i="20"/>
  <c r="Z135" i="20"/>
  <c r="AB135" i="20"/>
  <c r="K133" i="20"/>
  <c r="J133" i="20"/>
  <c r="I133" i="20"/>
  <c r="H133" i="20"/>
  <c r="G133" i="20"/>
  <c r="F133" i="20"/>
  <c r="E133" i="20"/>
  <c r="D133" i="20"/>
  <c r="CL132" i="20"/>
  <c r="CK132" i="20"/>
  <c r="CJ132" i="20"/>
  <c r="CI132" i="20"/>
  <c r="CH132" i="20"/>
  <c r="CG132" i="20"/>
  <c r="CF132" i="20"/>
  <c r="CE132" i="20"/>
  <c r="BH132" i="20"/>
  <c r="BP132" i="20" s="1"/>
  <c r="BE132" i="20"/>
  <c r="BF132" i="20" s="1"/>
  <c r="CP132" i="20"/>
  <c r="AU132" i="20"/>
  <c r="AT132" i="20"/>
  <c r="AS132" i="20"/>
  <c r="AR132" i="20"/>
  <c r="AQ132" i="20"/>
  <c r="AP132" i="20"/>
  <c r="AO132" i="20"/>
  <c r="AN132" i="20"/>
  <c r="AM132" i="20"/>
  <c r="AL132" i="20" a="1"/>
  <c r="AL132" i="20" s="1"/>
  <c r="AK132" i="20"/>
  <c r="CD132" i="20" s="1"/>
  <c r="CL131" i="20"/>
  <c r="CK131" i="20"/>
  <c r="CJ131" i="20"/>
  <c r="CI131" i="20"/>
  <c r="CH131" i="20"/>
  <c r="CG131" i="20"/>
  <c r="CF131" i="20"/>
  <c r="CE131" i="20"/>
  <c r="BH131" i="20"/>
  <c r="BP131" i="20" s="1"/>
  <c r="BE131" i="20"/>
  <c r="BM131" i="20" s="1"/>
  <c r="CP131" i="20"/>
  <c r="AU131" i="20"/>
  <c r="AT131" i="20"/>
  <c r="AS131" i="20"/>
  <c r="AR131" i="20"/>
  <c r="AQ131" i="20"/>
  <c r="AP131" i="20"/>
  <c r="AO131" i="20"/>
  <c r="AN131" i="20"/>
  <c r="AM131" i="20"/>
  <c r="AL131" i="20" a="1"/>
  <c r="AL131" i="20" s="1"/>
  <c r="AK131" i="20"/>
  <c r="CD131" i="20" s="1"/>
  <c r="CL130" i="20"/>
  <c r="CK130" i="20"/>
  <c r="CJ130" i="20"/>
  <c r="CI130" i="20"/>
  <c r="CH130" i="20"/>
  <c r="CG130" i="20"/>
  <c r="CF130" i="20"/>
  <c r="CE130" i="20"/>
  <c r="BH130" i="20"/>
  <c r="BP130" i="20" s="1"/>
  <c r="BE130" i="20"/>
  <c r="BM130" i="20" s="1"/>
  <c r="CP130" i="20"/>
  <c r="AU130" i="20"/>
  <c r="AT130" i="20"/>
  <c r="AS130" i="20"/>
  <c r="AR130" i="20"/>
  <c r="AQ130" i="20"/>
  <c r="AP130" i="20"/>
  <c r="AO130" i="20"/>
  <c r="AN130" i="20"/>
  <c r="AM130" i="20"/>
  <c r="AL130" i="20" a="1"/>
  <c r="AL130" i="20" s="1"/>
  <c r="AK130" i="20"/>
  <c r="CD130" i="20" s="1"/>
  <c r="CL129" i="20"/>
  <c r="CK129" i="20"/>
  <c r="CJ129" i="20"/>
  <c r="CI129" i="20"/>
  <c r="CH129" i="20"/>
  <c r="CG129" i="20"/>
  <c r="CF129" i="20"/>
  <c r="CE129" i="20"/>
  <c r="BH129" i="20"/>
  <c r="BI129" i="20" s="1"/>
  <c r="BE129" i="20"/>
  <c r="BM129" i="20" s="1"/>
  <c r="CP129" i="20"/>
  <c r="AU129" i="20"/>
  <c r="AT129" i="20"/>
  <c r="AS129" i="20"/>
  <c r="AR129" i="20"/>
  <c r="AQ129" i="20"/>
  <c r="AP129" i="20"/>
  <c r="AO129" i="20"/>
  <c r="AN129" i="20"/>
  <c r="AM129" i="20"/>
  <c r="AL129" i="20" a="1"/>
  <c r="AL129" i="20" s="1"/>
  <c r="AK129" i="20"/>
  <c r="CD129" i="20" s="1"/>
  <c r="CL128" i="20"/>
  <c r="CK128" i="20"/>
  <c r="CJ128" i="20"/>
  <c r="CI128" i="20"/>
  <c r="CH128" i="20"/>
  <c r="CG128" i="20"/>
  <c r="CF128" i="20"/>
  <c r="CE128" i="20"/>
  <c r="BH128" i="20"/>
  <c r="BP128" i="20" s="1"/>
  <c r="BE128" i="20"/>
  <c r="CP128" i="20"/>
  <c r="AU128" i="20"/>
  <c r="AT128" i="20"/>
  <c r="AS128" i="20"/>
  <c r="AR128" i="20"/>
  <c r="AQ128" i="20"/>
  <c r="AP128" i="20"/>
  <c r="AO128" i="20"/>
  <c r="AN128" i="20"/>
  <c r="AM128" i="20"/>
  <c r="AL128" i="20" a="1"/>
  <c r="AL128" i="20" s="1"/>
  <c r="AK128" i="20"/>
  <c r="CD128" i="20" s="1"/>
  <c r="CL127" i="20"/>
  <c r="CK127" i="20"/>
  <c r="CJ127" i="20"/>
  <c r="CI127" i="20"/>
  <c r="CH127" i="20"/>
  <c r="CG127" i="20"/>
  <c r="CF127" i="20"/>
  <c r="CE127" i="20"/>
  <c r="BH127" i="20"/>
  <c r="BP127" i="20" s="1"/>
  <c r="BE127" i="20"/>
  <c r="BM127" i="20" s="1"/>
  <c r="CP127" i="20"/>
  <c r="AU127" i="20"/>
  <c r="AT127" i="20"/>
  <c r="AS127" i="20"/>
  <c r="AR127" i="20"/>
  <c r="AQ127" i="20"/>
  <c r="AP127" i="20"/>
  <c r="AO127" i="20"/>
  <c r="AN127" i="20"/>
  <c r="AM127" i="20"/>
  <c r="AL127" i="20" a="1"/>
  <c r="AL127" i="20" s="1"/>
  <c r="AK127" i="20"/>
  <c r="CD127" i="20" s="1"/>
  <c r="CL126" i="20"/>
  <c r="CK126" i="20"/>
  <c r="CJ126" i="20"/>
  <c r="CI126" i="20"/>
  <c r="CH126" i="20"/>
  <c r="CG126" i="20"/>
  <c r="CF126" i="20"/>
  <c r="CE126" i="20"/>
  <c r="BH126" i="20"/>
  <c r="BP126" i="20" s="1"/>
  <c r="BE126" i="20"/>
  <c r="BM126" i="20" s="1"/>
  <c r="CP126" i="20"/>
  <c r="AU126" i="20"/>
  <c r="AT126" i="20"/>
  <c r="AS126" i="20"/>
  <c r="AR126" i="20"/>
  <c r="AQ126" i="20"/>
  <c r="AP126" i="20"/>
  <c r="AO126" i="20"/>
  <c r="AN126" i="20"/>
  <c r="AM126" i="20"/>
  <c r="AL126" i="20" a="1"/>
  <c r="AL126" i="20" s="1"/>
  <c r="AK126" i="20"/>
  <c r="CD126" i="20" s="1"/>
  <c r="CG125" i="20"/>
  <c r="CF125" i="20"/>
  <c r="CE125" i="20"/>
  <c r="BH125" i="20"/>
  <c r="BI125" i="20" s="1"/>
  <c r="BE125" i="20"/>
  <c r="BM125" i="20" s="1"/>
  <c r="CP125" i="20"/>
  <c r="AU125" i="20"/>
  <c r="AT125" i="20"/>
  <c r="AS125" i="20"/>
  <c r="AR125" i="20"/>
  <c r="AQ125" i="20"/>
  <c r="AP125" i="20"/>
  <c r="AO125" i="20"/>
  <c r="AN125" i="20"/>
  <c r="AM125" i="20"/>
  <c r="AL125" i="20" a="1"/>
  <c r="AL125" i="20" s="1"/>
  <c r="AK125" i="20"/>
  <c r="CD125" i="20" s="1"/>
  <c r="CG124" i="20"/>
  <c r="CF124" i="20"/>
  <c r="CE124" i="20"/>
  <c r="BH124" i="20"/>
  <c r="BP124" i="20" s="1"/>
  <c r="BE124" i="20"/>
  <c r="BF124" i="20" s="1"/>
  <c r="CP124" i="20"/>
  <c r="AU124" i="20"/>
  <c r="AT124" i="20"/>
  <c r="AS124" i="20"/>
  <c r="AR124" i="20"/>
  <c r="AQ124" i="20"/>
  <c r="AP124" i="20"/>
  <c r="AO124" i="20"/>
  <c r="AN124" i="20"/>
  <c r="AM124" i="20"/>
  <c r="AL124" i="20" a="1"/>
  <c r="AL124" i="20" s="1"/>
  <c r="AK124" i="20"/>
  <c r="CD124" i="20" s="1"/>
  <c r="CG123" i="20"/>
  <c r="CF123" i="20"/>
  <c r="CE123" i="20"/>
  <c r="BH123" i="20"/>
  <c r="BI123" i="20" s="1"/>
  <c r="BQ123" i="20" s="1"/>
  <c r="BE123" i="20"/>
  <c r="BM123" i="20" s="1"/>
  <c r="CP123" i="20"/>
  <c r="AU123" i="20"/>
  <c r="AT123" i="20"/>
  <c r="AS123" i="20"/>
  <c r="AR123" i="20"/>
  <c r="AQ123" i="20"/>
  <c r="AP123" i="20"/>
  <c r="AO123" i="20"/>
  <c r="AN123" i="20"/>
  <c r="AM123" i="20"/>
  <c r="AL123" i="20" a="1"/>
  <c r="AL123" i="20" s="1"/>
  <c r="AK123" i="20"/>
  <c r="CD123" i="20" s="1"/>
  <c r="CG122" i="20"/>
  <c r="CF122" i="20"/>
  <c r="CE122" i="20"/>
  <c r="BH122" i="20"/>
  <c r="BP122" i="20" s="1"/>
  <c r="BE122" i="20"/>
  <c r="BF122" i="20" s="1"/>
  <c r="BN122" i="20" s="1"/>
  <c r="CP122" i="20"/>
  <c r="AU122" i="20"/>
  <c r="AT122" i="20"/>
  <c r="AS122" i="20"/>
  <c r="AR122" i="20"/>
  <c r="AQ122" i="20"/>
  <c r="AP122" i="20"/>
  <c r="AO122" i="20"/>
  <c r="AN122" i="20"/>
  <c r="AM122" i="20"/>
  <c r="AL122" i="20" a="1"/>
  <c r="AL122" i="20" s="1"/>
  <c r="AK122" i="20"/>
  <c r="CD122" i="20" s="1"/>
  <c r="CG121" i="20"/>
  <c r="CF121" i="20"/>
  <c r="CE121" i="20"/>
  <c r="BH121" i="20"/>
  <c r="BI121" i="20" s="1"/>
  <c r="BE121" i="20"/>
  <c r="BM121" i="20" s="1"/>
  <c r="CP121" i="20"/>
  <c r="AU121" i="20"/>
  <c r="AT121" i="20"/>
  <c r="AS121" i="20"/>
  <c r="AR121" i="20"/>
  <c r="AQ121" i="20"/>
  <c r="AP121" i="20"/>
  <c r="AO121" i="20"/>
  <c r="AN121" i="20"/>
  <c r="AM121" i="20"/>
  <c r="AL121" i="20" a="1"/>
  <c r="AL121" i="20" s="1"/>
  <c r="AK121" i="20"/>
  <c r="CD121" i="20" s="1"/>
  <c r="CG120" i="20"/>
  <c r="CF120" i="20"/>
  <c r="CE120" i="20"/>
  <c r="BH120" i="20"/>
  <c r="BP120" i="20" s="1"/>
  <c r="BE120" i="20"/>
  <c r="BF120" i="20" s="1"/>
  <c r="CP120" i="20"/>
  <c r="AU120" i="20"/>
  <c r="AT120" i="20"/>
  <c r="AS120" i="20"/>
  <c r="AR120" i="20"/>
  <c r="AQ120" i="20"/>
  <c r="AP120" i="20"/>
  <c r="AO120" i="20"/>
  <c r="AN120" i="20"/>
  <c r="AM120" i="20"/>
  <c r="AL120" i="20" a="1"/>
  <c r="AL120" i="20" s="1"/>
  <c r="AK120" i="20"/>
  <c r="CD120" i="20" s="1"/>
  <c r="CG119" i="20"/>
  <c r="CF119" i="20"/>
  <c r="CE119" i="20"/>
  <c r="BH119" i="20"/>
  <c r="BP119" i="20" s="1"/>
  <c r="BE119" i="20"/>
  <c r="BM119" i="20" s="1"/>
  <c r="CP119" i="20"/>
  <c r="AU119" i="20"/>
  <c r="AT119" i="20"/>
  <c r="AS119" i="20"/>
  <c r="AR119" i="20"/>
  <c r="AQ119" i="20"/>
  <c r="AP119" i="20"/>
  <c r="AO119" i="20"/>
  <c r="AN119" i="20"/>
  <c r="AM119" i="20"/>
  <c r="AL119" i="20" a="1"/>
  <c r="AL119" i="20" s="1"/>
  <c r="AK119" i="20"/>
  <c r="CD119" i="20" s="1"/>
  <c r="CL118" i="20"/>
  <c r="CK118" i="20"/>
  <c r="CJ118" i="20"/>
  <c r="CI118" i="20"/>
  <c r="CH118" i="20"/>
  <c r="CG118" i="20"/>
  <c r="CF118" i="20"/>
  <c r="CE118" i="20"/>
  <c r="BH118" i="20"/>
  <c r="BP118" i="20" s="1"/>
  <c r="BE118" i="20"/>
  <c r="BM118" i="20" s="1"/>
  <c r="CP118" i="20"/>
  <c r="AU118" i="20"/>
  <c r="AT118" i="20"/>
  <c r="AS118" i="20"/>
  <c r="AR118" i="20"/>
  <c r="AQ118" i="20"/>
  <c r="AP118" i="20"/>
  <c r="AO118" i="20"/>
  <c r="AN118" i="20"/>
  <c r="AM118" i="20"/>
  <c r="AL118" i="20" a="1"/>
  <c r="AL118" i="20" s="1"/>
  <c r="AK118" i="20"/>
  <c r="CD118" i="20" s="1"/>
  <c r="CL117" i="20"/>
  <c r="CK117" i="20"/>
  <c r="CJ117" i="20"/>
  <c r="CI117" i="20"/>
  <c r="CH117" i="20"/>
  <c r="CG117" i="20"/>
  <c r="CF117" i="20"/>
  <c r="CE117" i="20"/>
  <c r="BH117" i="20"/>
  <c r="BI117" i="20" s="1"/>
  <c r="BE117" i="20"/>
  <c r="BM117" i="20" s="1"/>
  <c r="CP117" i="20"/>
  <c r="AU117" i="20"/>
  <c r="AT117" i="20"/>
  <c r="AS117" i="20"/>
  <c r="AR117" i="20"/>
  <c r="AQ117" i="20"/>
  <c r="AP117" i="20"/>
  <c r="AO117" i="20"/>
  <c r="AN117" i="20"/>
  <c r="AM117" i="20"/>
  <c r="AL117" i="20" a="1"/>
  <c r="AL117" i="20" s="1"/>
  <c r="AK117" i="20"/>
  <c r="CD117" i="20" s="1"/>
  <c r="CL116" i="20"/>
  <c r="CK116" i="20"/>
  <c r="CJ116" i="20"/>
  <c r="CI116" i="20"/>
  <c r="CH116" i="20"/>
  <c r="CG116" i="20"/>
  <c r="CF116" i="20"/>
  <c r="CE116" i="20"/>
  <c r="BH116" i="20"/>
  <c r="BI116" i="20" s="1"/>
  <c r="BE116" i="20"/>
  <c r="BF116" i="20" s="1"/>
  <c r="CP116" i="20"/>
  <c r="AU116" i="20"/>
  <c r="AT116" i="20"/>
  <c r="AS116" i="20"/>
  <c r="AR116" i="20"/>
  <c r="AQ116" i="20"/>
  <c r="AP116" i="20"/>
  <c r="AO116" i="20"/>
  <c r="AN116" i="20"/>
  <c r="AM116" i="20"/>
  <c r="AL116" i="20" a="1"/>
  <c r="AL116" i="20" s="1"/>
  <c r="AK116" i="20"/>
  <c r="CD116" i="20" s="1"/>
  <c r="CL115" i="20"/>
  <c r="CK115" i="20"/>
  <c r="CJ115" i="20"/>
  <c r="CI115" i="20"/>
  <c r="CH115" i="20"/>
  <c r="CG115" i="20"/>
  <c r="CF115" i="20"/>
  <c r="CE115" i="20"/>
  <c r="BH115" i="20"/>
  <c r="BP115" i="20" s="1"/>
  <c r="BE115" i="20"/>
  <c r="BM115" i="20" s="1"/>
  <c r="CP115" i="20"/>
  <c r="AU115" i="20"/>
  <c r="AT115" i="20"/>
  <c r="AS115" i="20"/>
  <c r="AR115" i="20"/>
  <c r="AQ115" i="20"/>
  <c r="AP115" i="20"/>
  <c r="AO115" i="20"/>
  <c r="AN115" i="20"/>
  <c r="AM115" i="20"/>
  <c r="AL115" i="20" a="1"/>
  <c r="AL115" i="20" s="1"/>
  <c r="AK115" i="20"/>
  <c r="CD115" i="20" s="1"/>
  <c r="CL114" i="20"/>
  <c r="CK114" i="20"/>
  <c r="CJ114" i="20"/>
  <c r="CI114" i="20"/>
  <c r="CH114" i="20"/>
  <c r="CG114" i="20"/>
  <c r="CF114" i="20"/>
  <c r="CE114" i="20"/>
  <c r="BH114" i="20"/>
  <c r="BP114" i="20" s="1"/>
  <c r="BE114" i="20"/>
  <c r="BM114" i="20" s="1"/>
  <c r="CP114" i="20"/>
  <c r="AU114" i="20"/>
  <c r="AT114" i="20"/>
  <c r="AS114" i="20"/>
  <c r="AR114" i="20"/>
  <c r="AQ114" i="20"/>
  <c r="AP114" i="20"/>
  <c r="AO114" i="20"/>
  <c r="AN114" i="20"/>
  <c r="AM114" i="20"/>
  <c r="AL114" i="20" a="1"/>
  <c r="AL114" i="20" s="1"/>
  <c r="AK114" i="20"/>
  <c r="CD114" i="20" s="1"/>
  <c r="CL113" i="20"/>
  <c r="CK113" i="20"/>
  <c r="CJ113" i="20"/>
  <c r="CI113" i="20"/>
  <c r="CH113" i="20"/>
  <c r="CG113" i="20"/>
  <c r="CF113" i="20"/>
  <c r="CE113" i="20"/>
  <c r="BH113" i="20"/>
  <c r="BI113" i="20" s="1"/>
  <c r="BE113" i="20"/>
  <c r="BM113" i="20" s="1"/>
  <c r="CP113" i="20"/>
  <c r="AU113" i="20"/>
  <c r="AT113" i="20"/>
  <c r="AS113" i="20"/>
  <c r="AR113" i="20"/>
  <c r="AQ113" i="20"/>
  <c r="AP113" i="20"/>
  <c r="AO113" i="20"/>
  <c r="AN113" i="20"/>
  <c r="AM113" i="20"/>
  <c r="AL113" i="20" a="1"/>
  <c r="AL113" i="20" s="1"/>
  <c r="AK113" i="20"/>
  <c r="CD113" i="20" s="1"/>
  <c r="CL112" i="20"/>
  <c r="CK112" i="20"/>
  <c r="CJ112" i="20"/>
  <c r="CI112" i="20"/>
  <c r="CH112" i="20"/>
  <c r="CG112" i="20"/>
  <c r="CF112" i="20"/>
  <c r="CE112" i="20"/>
  <c r="BH112" i="20"/>
  <c r="BP112" i="20" s="1"/>
  <c r="BE112" i="20"/>
  <c r="BF112" i="20" s="1"/>
  <c r="CP112" i="20"/>
  <c r="AU112" i="20"/>
  <c r="AT112" i="20"/>
  <c r="AS112" i="20"/>
  <c r="AR112" i="20"/>
  <c r="AQ112" i="20"/>
  <c r="AP112" i="20"/>
  <c r="AO112" i="20"/>
  <c r="AN112" i="20"/>
  <c r="AM112" i="20"/>
  <c r="AL112" i="20" a="1"/>
  <c r="AL112" i="20" s="1"/>
  <c r="AK112" i="20"/>
  <c r="CD112" i="20" s="1"/>
  <c r="CL111" i="20"/>
  <c r="CK111" i="20"/>
  <c r="CJ111" i="20"/>
  <c r="CI111" i="20"/>
  <c r="CH111" i="20"/>
  <c r="CG111" i="20"/>
  <c r="CF111" i="20"/>
  <c r="CE111" i="20"/>
  <c r="BH111" i="20"/>
  <c r="BP111" i="20" s="1"/>
  <c r="BE111" i="20"/>
  <c r="BM111" i="20" s="1"/>
  <c r="CP111" i="20"/>
  <c r="AU111" i="20"/>
  <c r="AT111" i="20"/>
  <c r="AS111" i="20"/>
  <c r="AR111" i="20"/>
  <c r="AQ111" i="20"/>
  <c r="AP111" i="20"/>
  <c r="AO111" i="20"/>
  <c r="AN111" i="20"/>
  <c r="AM111" i="20"/>
  <c r="AL111" i="20" a="1"/>
  <c r="AL111" i="20" s="1"/>
  <c r="AK111" i="20"/>
  <c r="CD111" i="20" s="1"/>
  <c r="CL110" i="20"/>
  <c r="CK110" i="20"/>
  <c r="CJ110" i="20"/>
  <c r="CI110" i="20"/>
  <c r="CH110" i="20"/>
  <c r="CG110" i="20"/>
  <c r="CF110" i="20"/>
  <c r="CE110" i="20"/>
  <c r="BH110" i="20"/>
  <c r="BI110" i="20" s="1"/>
  <c r="BE110" i="20"/>
  <c r="BM110" i="20" s="1"/>
  <c r="CP110" i="20"/>
  <c r="AU110" i="20"/>
  <c r="AT110" i="20"/>
  <c r="AS110" i="20"/>
  <c r="AR110" i="20"/>
  <c r="AQ110" i="20"/>
  <c r="AP110" i="20"/>
  <c r="AO110" i="20"/>
  <c r="AN110" i="20"/>
  <c r="AM110" i="20"/>
  <c r="AL110" i="20" a="1"/>
  <c r="AL110" i="20" s="1"/>
  <c r="AK110" i="20"/>
  <c r="CD110" i="20" s="1"/>
  <c r="CE109" i="20"/>
  <c r="BH109" i="20"/>
  <c r="BI109" i="20" s="1"/>
  <c r="BE109" i="20"/>
  <c r="BF109" i="20" s="1"/>
  <c r="CP109" i="20"/>
  <c r="AU109" i="20"/>
  <c r="AT109" i="20"/>
  <c r="AS109" i="20"/>
  <c r="AR109" i="20"/>
  <c r="AQ109" i="20"/>
  <c r="AP109" i="20"/>
  <c r="AO109" i="20"/>
  <c r="AN109" i="20"/>
  <c r="AM109" i="20"/>
  <c r="AL109" i="20" a="1"/>
  <c r="AL109" i="20" s="1"/>
  <c r="AK109" i="20"/>
  <c r="CD109" i="20" s="1"/>
  <c r="CE108" i="20"/>
  <c r="BH108" i="20"/>
  <c r="BI108" i="20" s="1"/>
  <c r="BE108" i="20"/>
  <c r="BF108" i="20" s="1"/>
  <c r="BN108" i="20" s="1"/>
  <c r="CP108" i="20"/>
  <c r="AU108" i="20"/>
  <c r="AT108" i="20"/>
  <c r="AS108" i="20"/>
  <c r="AR108" i="20"/>
  <c r="AQ108" i="20"/>
  <c r="AP108" i="20"/>
  <c r="AO108" i="20"/>
  <c r="AN108" i="20"/>
  <c r="AM108" i="20"/>
  <c r="AL108" i="20" a="1"/>
  <c r="AL108" i="20" s="1"/>
  <c r="AK108" i="20"/>
  <c r="CD108" i="20" s="1"/>
  <c r="CE107" i="20"/>
  <c r="BH107" i="20"/>
  <c r="BP107" i="20" s="1"/>
  <c r="BE107" i="20"/>
  <c r="BM107" i="20" s="1"/>
  <c r="CP107" i="20"/>
  <c r="AU107" i="20"/>
  <c r="AT107" i="20"/>
  <c r="AS107" i="20"/>
  <c r="AR107" i="20"/>
  <c r="AQ107" i="20"/>
  <c r="AP107" i="20"/>
  <c r="AO107" i="20"/>
  <c r="AN107" i="20"/>
  <c r="AM107" i="20"/>
  <c r="AL107" i="20" a="1"/>
  <c r="AL107" i="20" s="1"/>
  <c r="AK107" i="20"/>
  <c r="CD107" i="20" s="1"/>
  <c r="CE106" i="20"/>
  <c r="BH106" i="20"/>
  <c r="BI106" i="20" s="1"/>
  <c r="BE106" i="20"/>
  <c r="BM106" i="20" s="1"/>
  <c r="CP106" i="20"/>
  <c r="AU106" i="20"/>
  <c r="AT106" i="20"/>
  <c r="AS106" i="20"/>
  <c r="AR106" i="20"/>
  <c r="AQ106" i="20"/>
  <c r="AP106" i="20"/>
  <c r="AO106" i="20"/>
  <c r="AN106" i="20"/>
  <c r="AM106" i="20"/>
  <c r="AL106" i="20" a="1"/>
  <c r="AL106" i="20" s="1"/>
  <c r="AK106" i="20"/>
  <c r="CD106" i="20" s="1"/>
  <c r="CE105" i="20"/>
  <c r="BH105" i="20"/>
  <c r="BI105" i="20" s="1"/>
  <c r="BJ105" i="20" s="1"/>
  <c r="BE105" i="20"/>
  <c r="BM105" i="20" s="1"/>
  <c r="CP105" i="20"/>
  <c r="AU105" i="20"/>
  <c r="AT105" i="20"/>
  <c r="AS105" i="20"/>
  <c r="AR105" i="20"/>
  <c r="AQ105" i="20"/>
  <c r="AP105" i="20"/>
  <c r="AO105" i="20"/>
  <c r="AN105" i="20"/>
  <c r="AM105" i="20"/>
  <c r="AL105" i="20" a="1"/>
  <c r="AL105" i="20" s="1"/>
  <c r="AK105" i="20"/>
  <c r="CD105" i="20" s="1"/>
  <c r="CE104" i="20"/>
  <c r="BH104" i="20"/>
  <c r="BP104" i="20" s="1"/>
  <c r="BE104" i="20"/>
  <c r="BF104" i="20" s="1"/>
  <c r="BG104" i="20" s="1"/>
  <c r="BO104" i="20" s="1"/>
  <c r="CP104" i="20"/>
  <c r="AU104" i="20"/>
  <c r="AT104" i="20"/>
  <c r="AS104" i="20"/>
  <c r="AR104" i="20"/>
  <c r="AQ104" i="20"/>
  <c r="AP104" i="20"/>
  <c r="AO104" i="20"/>
  <c r="AN104" i="20"/>
  <c r="AM104" i="20"/>
  <c r="AL104" i="20" a="1"/>
  <c r="AL104" i="20" s="1"/>
  <c r="AK104" i="20"/>
  <c r="CD104" i="20" s="1"/>
  <c r="CE103" i="20"/>
  <c r="BH103" i="20"/>
  <c r="BI103" i="20" s="1"/>
  <c r="BE103" i="20"/>
  <c r="BM103" i="20" s="1"/>
  <c r="CP103" i="20"/>
  <c r="AU103" i="20"/>
  <c r="AT103" i="20"/>
  <c r="AS103" i="20"/>
  <c r="AR103" i="20"/>
  <c r="AQ103" i="20"/>
  <c r="AP103" i="20"/>
  <c r="AO103" i="20"/>
  <c r="AN103" i="20"/>
  <c r="AM103" i="20"/>
  <c r="AL103" i="20" a="1"/>
  <c r="AL103" i="20" s="1"/>
  <c r="AK103" i="20"/>
  <c r="CD103" i="20" s="1"/>
  <c r="CE102" i="20"/>
  <c r="BH102" i="20"/>
  <c r="BI102" i="20" s="1"/>
  <c r="BQ102" i="20" s="1"/>
  <c r="BE102" i="20"/>
  <c r="BM102" i="20" s="1"/>
  <c r="CP102" i="20"/>
  <c r="AU102" i="20"/>
  <c r="AT102" i="20"/>
  <c r="AS102" i="20"/>
  <c r="AR102" i="20"/>
  <c r="AQ102" i="20"/>
  <c r="AP102" i="20"/>
  <c r="AO102" i="20"/>
  <c r="AN102" i="20"/>
  <c r="AM102" i="20"/>
  <c r="AL102" i="20" a="1"/>
  <c r="AL102" i="20" s="1"/>
  <c r="AK102" i="20"/>
  <c r="CD102" i="20" s="1"/>
  <c r="CE101" i="20"/>
  <c r="BH101" i="20"/>
  <c r="BI101" i="20" s="1"/>
  <c r="BJ101" i="20" s="1"/>
  <c r="BE101" i="20"/>
  <c r="CP101" i="20"/>
  <c r="AU101" i="20"/>
  <c r="AT101" i="20"/>
  <c r="AS101" i="20"/>
  <c r="AR101" i="20"/>
  <c r="AQ101" i="20"/>
  <c r="AP101" i="20"/>
  <c r="AO101" i="20"/>
  <c r="AN101" i="20"/>
  <c r="AM101" i="20"/>
  <c r="AL101" i="20" a="1"/>
  <c r="AL101" i="20" s="1"/>
  <c r="AK101" i="20"/>
  <c r="CD101" i="20" s="1"/>
  <c r="CE100" i="20"/>
  <c r="BH100" i="20"/>
  <c r="BP100" i="20" s="1"/>
  <c r="BE100" i="20"/>
  <c r="BM100" i="20" s="1"/>
  <c r="CP100" i="20"/>
  <c r="AU100" i="20"/>
  <c r="AT100" i="20"/>
  <c r="AS100" i="20"/>
  <c r="AR100" i="20"/>
  <c r="AQ100" i="20"/>
  <c r="AP100" i="20"/>
  <c r="AO100" i="20"/>
  <c r="AN100" i="20"/>
  <c r="AM100" i="20"/>
  <c r="AL100" i="20" a="1"/>
  <c r="AL100" i="20" s="1"/>
  <c r="AK100" i="20"/>
  <c r="CD100" i="20" s="1"/>
  <c r="CE99" i="20"/>
  <c r="BH99" i="20"/>
  <c r="BP99" i="20" s="1"/>
  <c r="BE99" i="20"/>
  <c r="BM99" i="20" s="1"/>
  <c r="CP99" i="20"/>
  <c r="AU99" i="20"/>
  <c r="AT99" i="20"/>
  <c r="AS99" i="20"/>
  <c r="AR99" i="20"/>
  <c r="AQ99" i="20"/>
  <c r="AP99" i="20"/>
  <c r="AO99" i="20"/>
  <c r="AN99" i="20"/>
  <c r="AM99" i="20"/>
  <c r="AL99" i="20" a="1"/>
  <c r="AL99" i="20" s="1"/>
  <c r="AK99" i="20"/>
  <c r="CD99" i="20" s="1"/>
  <c r="CE98" i="20"/>
  <c r="BH98" i="20"/>
  <c r="BI98" i="20" s="1"/>
  <c r="BE98" i="20"/>
  <c r="BM98" i="20" s="1"/>
  <c r="CP98" i="20"/>
  <c r="AU98" i="20"/>
  <c r="AT98" i="20"/>
  <c r="AS98" i="20"/>
  <c r="AR98" i="20"/>
  <c r="AQ98" i="20"/>
  <c r="AP98" i="20"/>
  <c r="AO98" i="20"/>
  <c r="AN98" i="20"/>
  <c r="AM98" i="20"/>
  <c r="AL98" i="20" a="1"/>
  <c r="AL98" i="20" s="1"/>
  <c r="AK98" i="20"/>
  <c r="CD98" i="20" s="1"/>
  <c r="CE97" i="20"/>
  <c r="BH97" i="20"/>
  <c r="BP97" i="20" s="1"/>
  <c r="BE97" i="20"/>
  <c r="BM97" i="20" s="1"/>
  <c r="CP97" i="20"/>
  <c r="AU97" i="20"/>
  <c r="AT97" i="20"/>
  <c r="AS97" i="20"/>
  <c r="AR97" i="20"/>
  <c r="AQ97" i="20"/>
  <c r="AP97" i="20"/>
  <c r="AO97" i="20"/>
  <c r="AN97" i="20"/>
  <c r="AM97" i="20"/>
  <c r="AL97" i="20" a="1"/>
  <c r="AL97" i="20" s="1"/>
  <c r="AK97" i="20"/>
  <c r="CD97" i="20" s="1"/>
  <c r="CE96" i="20"/>
  <c r="BH96" i="20"/>
  <c r="BI96" i="20" s="1"/>
  <c r="BE96" i="20"/>
  <c r="BM96" i="20" s="1"/>
  <c r="CP96" i="20"/>
  <c r="AU96" i="20"/>
  <c r="AT96" i="20"/>
  <c r="AS96" i="20"/>
  <c r="AR96" i="20"/>
  <c r="AQ96" i="20"/>
  <c r="AP96" i="20"/>
  <c r="AO96" i="20"/>
  <c r="AN96" i="20"/>
  <c r="AM96" i="20"/>
  <c r="AL96" i="20" a="1"/>
  <c r="AL96" i="20" s="1"/>
  <c r="AK96" i="20"/>
  <c r="CD96" i="20" s="1"/>
  <c r="CE95" i="20"/>
  <c r="BH95" i="20"/>
  <c r="BP95" i="20" s="1"/>
  <c r="BE95" i="20"/>
  <c r="BF95" i="20" s="1"/>
  <c r="CP95" i="20"/>
  <c r="AU95" i="20"/>
  <c r="AT95" i="20"/>
  <c r="AS95" i="20"/>
  <c r="AR95" i="20"/>
  <c r="AQ95" i="20"/>
  <c r="AP95" i="20"/>
  <c r="AO95" i="20"/>
  <c r="AN95" i="20"/>
  <c r="AM95" i="20"/>
  <c r="AL95" i="20" a="1"/>
  <c r="AL95" i="20" s="1"/>
  <c r="AK95" i="20"/>
  <c r="CD95" i="20" s="1"/>
  <c r="CE94" i="20"/>
  <c r="BH94" i="20"/>
  <c r="BE94" i="20"/>
  <c r="BM94" i="20" s="1"/>
  <c r="CP94" i="20"/>
  <c r="AU94" i="20"/>
  <c r="AT94" i="20"/>
  <c r="AS94" i="20"/>
  <c r="AR94" i="20"/>
  <c r="AQ94" i="20"/>
  <c r="AP94" i="20"/>
  <c r="AO94" i="20"/>
  <c r="AN94" i="20"/>
  <c r="AM94" i="20"/>
  <c r="AL94" i="20" a="1"/>
  <c r="AL94" i="20" s="1"/>
  <c r="AK94" i="20"/>
  <c r="CD94" i="20" s="1"/>
  <c r="CE93" i="20"/>
  <c r="BH93" i="20"/>
  <c r="BP93" i="20" s="1"/>
  <c r="BE93" i="20"/>
  <c r="CP93" i="20"/>
  <c r="AU93" i="20"/>
  <c r="AT93" i="20"/>
  <c r="AS93" i="20"/>
  <c r="AR93" i="20"/>
  <c r="AQ93" i="20"/>
  <c r="AP93" i="20"/>
  <c r="AO93" i="20"/>
  <c r="AN93" i="20"/>
  <c r="AM93" i="20"/>
  <c r="AL93" i="20" a="1"/>
  <c r="AL93" i="20" s="1"/>
  <c r="AK93" i="20"/>
  <c r="CD93" i="20" s="1"/>
  <c r="CE92" i="20"/>
  <c r="BH92" i="20"/>
  <c r="BI92" i="20" s="1"/>
  <c r="BQ92" i="20" s="1"/>
  <c r="BE92" i="20"/>
  <c r="BM92" i="20" s="1"/>
  <c r="CP92" i="20"/>
  <c r="AU92" i="20"/>
  <c r="AT92" i="20"/>
  <c r="AS92" i="20"/>
  <c r="AR92" i="20"/>
  <c r="AQ92" i="20"/>
  <c r="AP92" i="20"/>
  <c r="AO92" i="20"/>
  <c r="AN92" i="20"/>
  <c r="AM92" i="20"/>
  <c r="AL92" i="20" a="1"/>
  <c r="AL92" i="20" s="1"/>
  <c r="AK92" i="20"/>
  <c r="CD92" i="20" s="1"/>
  <c r="CE91" i="20"/>
  <c r="BH91" i="20"/>
  <c r="BP91" i="20" s="1"/>
  <c r="BE91" i="20"/>
  <c r="CP91" i="20"/>
  <c r="AU91" i="20"/>
  <c r="AT91" i="20"/>
  <c r="AS91" i="20"/>
  <c r="AR91" i="20"/>
  <c r="AQ91" i="20"/>
  <c r="AP91" i="20"/>
  <c r="AO91" i="20"/>
  <c r="AN91" i="20"/>
  <c r="AM91" i="20"/>
  <c r="AL91" i="20" a="1"/>
  <c r="AL91" i="20" s="1"/>
  <c r="AK91" i="20"/>
  <c r="CD91" i="20" s="1"/>
  <c r="CE90" i="20"/>
  <c r="BH90" i="20"/>
  <c r="BP90" i="20" s="1"/>
  <c r="BE90" i="20"/>
  <c r="BM90" i="20" s="1"/>
  <c r="CP90" i="20"/>
  <c r="AU90" i="20"/>
  <c r="AT90" i="20"/>
  <c r="AS90" i="20"/>
  <c r="AR90" i="20"/>
  <c r="AQ90" i="20"/>
  <c r="AP90" i="20"/>
  <c r="AO90" i="20"/>
  <c r="AN90" i="20"/>
  <c r="AM90" i="20"/>
  <c r="AL90" i="20" a="1"/>
  <c r="AL90" i="20" s="1"/>
  <c r="AK90" i="20"/>
  <c r="CD90" i="20" s="1"/>
  <c r="CE89" i="20"/>
  <c r="BH89" i="20"/>
  <c r="BP89" i="20" s="1"/>
  <c r="BE89" i="20"/>
  <c r="BF89" i="20" s="1"/>
  <c r="BG89" i="20" s="1"/>
  <c r="BO89" i="20" s="1"/>
  <c r="CP89" i="20"/>
  <c r="AU89" i="20"/>
  <c r="AT89" i="20"/>
  <c r="AS89" i="20"/>
  <c r="AR89" i="20"/>
  <c r="AQ89" i="20"/>
  <c r="AP89" i="20"/>
  <c r="AO89" i="20"/>
  <c r="AN89" i="20"/>
  <c r="AM89" i="20"/>
  <c r="AL89" i="20" a="1"/>
  <c r="AL89" i="20" s="1"/>
  <c r="AK89" i="20"/>
  <c r="CD89" i="20" s="1"/>
  <c r="CE88" i="20"/>
  <c r="BH88" i="20"/>
  <c r="BI88" i="20" s="1"/>
  <c r="BQ88" i="20" s="1"/>
  <c r="BE88" i="20"/>
  <c r="BM88" i="20" s="1"/>
  <c r="CP88" i="20"/>
  <c r="AU88" i="20"/>
  <c r="AT88" i="20"/>
  <c r="AS88" i="20"/>
  <c r="AR88" i="20"/>
  <c r="AQ88" i="20"/>
  <c r="AP88" i="20"/>
  <c r="AO88" i="20"/>
  <c r="AN88" i="20"/>
  <c r="AM88" i="20"/>
  <c r="AL88" i="20" a="1"/>
  <c r="AL88" i="20" s="1"/>
  <c r="AK88" i="20"/>
  <c r="CD88" i="20" s="1"/>
  <c r="CE87" i="20"/>
  <c r="BH87" i="20"/>
  <c r="BP87" i="20" s="1"/>
  <c r="BE87" i="20"/>
  <c r="BF87" i="20" s="1"/>
  <c r="BN87" i="20" s="1"/>
  <c r="CP87" i="20"/>
  <c r="AU87" i="20"/>
  <c r="AT87" i="20"/>
  <c r="AS87" i="20"/>
  <c r="AR87" i="20"/>
  <c r="AQ87" i="20"/>
  <c r="AP87" i="20"/>
  <c r="AO87" i="20"/>
  <c r="AN87" i="20"/>
  <c r="AM87" i="20"/>
  <c r="AL87" i="20" a="1"/>
  <c r="AL87" i="20" s="1"/>
  <c r="AK87" i="20"/>
  <c r="CD87" i="20" s="1"/>
  <c r="CE86" i="20"/>
  <c r="BH86" i="20"/>
  <c r="BI86" i="20" s="1"/>
  <c r="BQ86" i="20" s="1"/>
  <c r="BE86" i="20"/>
  <c r="BF86" i="20" s="1"/>
  <c r="BG86" i="20" s="1"/>
  <c r="BO86" i="20" s="1"/>
  <c r="CP86" i="20"/>
  <c r="AU86" i="20"/>
  <c r="AT86" i="20"/>
  <c r="AS86" i="20"/>
  <c r="AR86" i="20"/>
  <c r="AQ86" i="20"/>
  <c r="AP86" i="20"/>
  <c r="AO86" i="20"/>
  <c r="AN86" i="20"/>
  <c r="AM86" i="20"/>
  <c r="AL86" i="20" a="1"/>
  <c r="AL86" i="20" s="1"/>
  <c r="AK86" i="20"/>
  <c r="CD86" i="20" s="1"/>
  <c r="CE85" i="20"/>
  <c r="BH85" i="20"/>
  <c r="BP85" i="20" s="1"/>
  <c r="BE85" i="20"/>
  <c r="BF85" i="20" s="1"/>
  <c r="BN85" i="20" s="1"/>
  <c r="CP85" i="20"/>
  <c r="AU85" i="20"/>
  <c r="AT85" i="20"/>
  <c r="AS85" i="20"/>
  <c r="AR85" i="20"/>
  <c r="AQ85" i="20"/>
  <c r="AP85" i="20"/>
  <c r="AO85" i="20"/>
  <c r="AN85" i="20"/>
  <c r="AM85" i="20"/>
  <c r="AL85" i="20" a="1"/>
  <c r="AL85" i="20" s="1"/>
  <c r="AK85" i="20"/>
  <c r="CD85" i="20" s="1"/>
  <c r="CE84" i="20"/>
  <c r="BH84" i="20"/>
  <c r="BI84" i="20" s="1"/>
  <c r="BQ84" i="20" s="1"/>
  <c r="BE84" i="20"/>
  <c r="BM84" i="20" s="1"/>
  <c r="CP84" i="20"/>
  <c r="AU84" i="20"/>
  <c r="AT84" i="20"/>
  <c r="AS84" i="20"/>
  <c r="AR84" i="20"/>
  <c r="AQ84" i="20"/>
  <c r="AP84" i="20"/>
  <c r="AO84" i="20"/>
  <c r="AN84" i="20"/>
  <c r="AM84" i="20"/>
  <c r="AL84" i="20" a="1"/>
  <c r="AL84" i="20" s="1"/>
  <c r="AK84" i="20"/>
  <c r="CD84" i="20" s="1"/>
  <c r="CE83" i="20"/>
  <c r="BH83" i="20"/>
  <c r="BP83" i="20" s="1"/>
  <c r="BE83" i="20"/>
  <c r="BF83" i="20" s="1"/>
  <c r="BN83" i="20" s="1"/>
  <c r="CP83" i="20"/>
  <c r="AU83" i="20"/>
  <c r="AT83" i="20"/>
  <c r="AS83" i="20"/>
  <c r="AR83" i="20"/>
  <c r="AQ83" i="20"/>
  <c r="AP83" i="20"/>
  <c r="AO83" i="20"/>
  <c r="AN83" i="20"/>
  <c r="AM83" i="20"/>
  <c r="AL83" i="20" a="1"/>
  <c r="AL83" i="20" s="1"/>
  <c r="AK83" i="20"/>
  <c r="CD83" i="20" s="1"/>
  <c r="CE82" i="20"/>
  <c r="BH82" i="20"/>
  <c r="BP82" i="20" s="1"/>
  <c r="BE82" i="20"/>
  <c r="BF82" i="20" s="1"/>
  <c r="CP82" i="20"/>
  <c r="AU82" i="20"/>
  <c r="AT82" i="20"/>
  <c r="AS82" i="20"/>
  <c r="AR82" i="20"/>
  <c r="AQ82" i="20"/>
  <c r="AP82" i="20"/>
  <c r="AO82" i="20"/>
  <c r="AN82" i="20"/>
  <c r="AM82" i="20"/>
  <c r="AL82" i="20" a="1"/>
  <c r="AL82" i="20" s="1"/>
  <c r="AK82" i="20"/>
  <c r="CD82" i="20" s="1"/>
  <c r="CE81" i="20"/>
  <c r="BH81" i="20"/>
  <c r="BI81" i="20" s="1"/>
  <c r="BE81" i="20"/>
  <c r="BM81" i="20" s="1"/>
  <c r="CP81" i="20"/>
  <c r="AU81" i="20"/>
  <c r="AT81" i="20"/>
  <c r="AS81" i="20"/>
  <c r="AR81" i="20"/>
  <c r="AQ81" i="20"/>
  <c r="AP81" i="20"/>
  <c r="AO81" i="20"/>
  <c r="AN81" i="20"/>
  <c r="AM81" i="20"/>
  <c r="AL81" i="20" a="1"/>
  <c r="AL81" i="20" s="1"/>
  <c r="AK81" i="20"/>
  <c r="CD81" i="20" s="1"/>
  <c r="CE80" i="20"/>
  <c r="BH80" i="20"/>
  <c r="BP80" i="20" s="1"/>
  <c r="BE80" i="20"/>
  <c r="CP80" i="20"/>
  <c r="AU80" i="20"/>
  <c r="AT80" i="20"/>
  <c r="AS80" i="20"/>
  <c r="AR80" i="20"/>
  <c r="AQ80" i="20"/>
  <c r="AP80" i="20"/>
  <c r="AO80" i="20"/>
  <c r="AN80" i="20"/>
  <c r="AM80" i="20"/>
  <c r="AL80" i="20" a="1"/>
  <c r="AL80" i="20" s="1"/>
  <c r="AK80" i="20"/>
  <c r="CD80" i="20" s="1"/>
  <c r="CE79" i="20"/>
  <c r="BH79" i="20"/>
  <c r="BP79" i="20" s="1"/>
  <c r="BE79" i="20"/>
  <c r="BM79" i="20" s="1"/>
  <c r="CP79" i="20"/>
  <c r="AU79" i="20"/>
  <c r="AT79" i="20"/>
  <c r="AS79" i="20"/>
  <c r="AR79" i="20"/>
  <c r="AQ79" i="20"/>
  <c r="AP79" i="20"/>
  <c r="AO79" i="20"/>
  <c r="AN79" i="20"/>
  <c r="AM79" i="20"/>
  <c r="AL79" i="20" a="1"/>
  <c r="AL79" i="20" s="1"/>
  <c r="AK79" i="20"/>
  <c r="CD79" i="20" s="1"/>
  <c r="CE78" i="20"/>
  <c r="BH78" i="20"/>
  <c r="BP78" i="20" s="1"/>
  <c r="BE78" i="20"/>
  <c r="BM78" i="20" s="1"/>
  <c r="CP78" i="20"/>
  <c r="AU78" i="20"/>
  <c r="AT78" i="20"/>
  <c r="AS78" i="20"/>
  <c r="AR78" i="20"/>
  <c r="AQ78" i="20"/>
  <c r="AP78" i="20"/>
  <c r="AO78" i="20"/>
  <c r="AN78" i="20"/>
  <c r="AM78" i="20"/>
  <c r="AL78" i="20" a="1"/>
  <c r="AL78" i="20" s="1"/>
  <c r="AK78" i="20"/>
  <c r="CD78" i="20" s="1"/>
  <c r="CE77" i="20"/>
  <c r="BH77" i="20"/>
  <c r="BI77" i="20" s="1"/>
  <c r="BE77" i="20"/>
  <c r="BM77" i="20" s="1"/>
  <c r="CP77" i="20"/>
  <c r="AU77" i="20"/>
  <c r="AT77" i="20"/>
  <c r="AS77" i="20"/>
  <c r="AR77" i="20"/>
  <c r="AQ77" i="20"/>
  <c r="AP77" i="20"/>
  <c r="AO77" i="20"/>
  <c r="AN77" i="20"/>
  <c r="AM77" i="20"/>
  <c r="AL77" i="20" a="1"/>
  <c r="AL77" i="20" s="1"/>
  <c r="AK77" i="20"/>
  <c r="CD77" i="20" s="1"/>
  <c r="CE76" i="20"/>
  <c r="BH76" i="20"/>
  <c r="BP76" i="20" s="1"/>
  <c r="BE76" i="20"/>
  <c r="BF76" i="20" s="1"/>
  <c r="CP76" i="20"/>
  <c r="AU76" i="20"/>
  <c r="AT76" i="20"/>
  <c r="AS76" i="20"/>
  <c r="AR76" i="20"/>
  <c r="AQ76" i="20"/>
  <c r="AP76" i="20"/>
  <c r="AO76" i="20"/>
  <c r="AN76" i="20"/>
  <c r="AM76" i="20"/>
  <c r="AL76" i="20" a="1"/>
  <c r="AL76" i="20" s="1"/>
  <c r="AK76" i="20"/>
  <c r="CD76" i="20" s="1"/>
  <c r="CE75" i="20"/>
  <c r="BH75" i="20"/>
  <c r="BI75" i="20" s="1"/>
  <c r="BE75" i="20"/>
  <c r="BM75" i="20" s="1"/>
  <c r="CP75" i="20"/>
  <c r="AU75" i="20"/>
  <c r="AT75" i="20"/>
  <c r="AS75" i="20"/>
  <c r="AR75" i="20"/>
  <c r="AQ75" i="20"/>
  <c r="AP75" i="20"/>
  <c r="AO75" i="20"/>
  <c r="AN75" i="20"/>
  <c r="AM75" i="20"/>
  <c r="AL75" i="20" a="1"/>
  <c r="AL75" i="20" s="1"/>
  <c r="AK75" i="20"/>
  <c r="CD75" i="20" s="1"/>
  <c r="CE74" i="20"/>
  <c r="BH74" i="20"/>
  <c r="BP74" i="20" s="1"/>
  <c r="BE74" i="20"/>
  <c r="BF74" i="20" s="1"/>
  <c r="CP74" i="20"/>
  <c r="AU74" i="20"/>
  <c r="AT74" i="20"/>
  <c r="AS74" i="20"/>
  <c r="AR74" i="20"/>
  <c r="AQ74" i="20"/>
  <c r="AP74" i="20"/>
  <c r="AO74" i="20"/>
  <c r="AN74" i="20"/>
  <c r="AM74" i="20"/>
  <c r="AL74" i="20" a="1"/>
  <c r="AL74" i="20" s="1"/>
  <c r="AK74" i="20"/>
  <c r="CD74" i="20" s="1"/>
  <c r="CE73" i="20"/>
  <c r="BH73" i="20"/>
  <c r="BI73" i="20" s="1"/>
  <c r="BQ73" i="20" s="1"/>
  <c r="BE73" i="20"/>
  <c r="BM73" i="20" s="1"/>
  <c r="CP73" i="20"/>
  <c r="AU73" i="20"/>
  <c r="AT73" i="20"/>
  <c r="AS73" i="20"/>
  <c r="AR73" i="20"/>
  <c r="AQ73" i="20"/>
  <c r="AP73" i="20"/>
  <c r="AO73" i="20"/>
  <c r="AN73" i="20"/>
  <c r="AM73" i="20"/>
  <c r="AL73" i="20" a="1"/>
  <c r="AL73" i="20" s="1"/>
  <c r="AK73" i="20"/>
  <c r="CD73" i="20" s="1"/>
  <c r="CE72" i="20"/>
  <c r="BH72" i="20"/>
  <c r="BP72" i="20" s="1"/>
  <c r="BE72" i="20"/>
  <c r="BF72" i="20" s="1"/>
  <c r="BN72" i="20" s="1"/>
  <c r="CP72" i="20"/>
  <c r="AU72" i="20"/>
  <c r="AT72" i="20"/>
  <c r="AS72" i="20"/>
  <c r="AR72" i="20"/>
  <c r="AQ72" i="20"/>
  <c r="AP72" i="20"/>
  <c r="AO72" i="20"/>
  <c r="AN72" i="20"/>
  <c r="AM72" i="20"/>
  <c r="AL72" i="20" a="1"/>
  <c r="AL72" i="20" s="1"/>
  <c r="AK72" i="20"/>
  <c r="CD72" i="20" s="1"/>
  <c r="CE71" i="20"/>
  <c r="BH71" i="20"/>
  <c r="BP71" i="20" s="1"/>
  <c r="BE71" i="20"/>
  <c r="BM71" i="20" s="1"/>
  <c r="CP71" i="20"/>
  <c r="AU71" i="20"/>
  <c r="AT71" i="20"/>
  <c r="AS71" i="20"/>
  <c r="AR71" i="20"/>
  <c r="AQ71" i="20"/>
  <c r="AP71" i="20"/>
  <c r="AO71" i="20"/>
  <c r="AN71" i="20"/>
  <c r="AM71" i="20"/>
  <c r="AL71" i="20" a="1"/>
  <c r="AL71" i="20" s="1"/>
  <c r="AK71" i="20"/>
  <c r="CD71" i="20" s="1"/>
  <c r="CE70" i="20"/>
  <c r="BH70" i="20"/>
  <c r="BP70" i="20" s="1"/>
  <c r="BE70" i="20"/>
  <c r="BM70" i="20" s="1"/>
  <c r="CP70" i="20"/>
  <c r="AU70" i="20"/>
  <c r="AT70" i="20"/>
  <c r="AS70" i="20"/>
  <c r="AR70" i="20"/>
  <c r="AQ70" i="20"/>
  <c r="AP70" i="20"/>
  <c r="AO70" i="20"/>
  <c r="AN70" i="20"/>
  <c r="AM70" i="20"/>
  <c r="AL70" i="20" a="1"/>
  <c r="AL70" i="20" s="1"/>
  <c r="AK70" i="20"/>
  <c r="CD70" i="20" s="1"/>
  <c r="CE69" i="20"/>
  <c r="BH69" i="20"/>
  <c r="BI69" i="20" s="1"/>
  <c r="BQ69" i="20" s="1"/>
  <c r="BE69" i="20"/>
  <c r="BM69" i="20" s="1"/>
  <c r="CP69" i="20"/>
  <c r="AU69" i="20"/>
  <c r="AT69" i="20"/>
  <c r="AS69" i="20"/>
  <c r="AR69" i="20"/>
  <c r="AQ69" i="20"/>
  <c r="AP69" i="20"/>
  <c r="AO69" i="20"/>
  <c r="AN69" i="20"/>
  <c r="AM69" i="20"/>
  <c r="AL69" i="20" a="1"/>
  <c r="AL69" i="20" s="1"/>
  <c r="AK69" i="20"/>
  <c r="CD69" i="20" s="1"/>
  <c r="CE68" i="20"/>
  <c r="BH68" i="20"/>
  <c r="BP68" i="20" s="1"/>
  <c r="BE68" i="20"/>
  <c r="BF68" i="20" s="1"/>
  <c r="BN68" i="20" s="1"/>
  <c r="CP68" i="20"/>
  <c r="AU68" i="20"/>
  <c r="AT68" i="20"/>
  <c r="AS68" i="20"/>
  <c r="AR68" i="20"/>
  <c r="AQ68" i="20"/>
  <c r="AP68" i="20"/>
  <c r="AO68" i="20"/>
  <c r="AN68" i="20"/>
  <c r="AM68" i="20"/>
  <c r="AL68" i="20" a="1"/>
  <c r="AL68" i="20" s="1"/>
  <c r="AK68" i="20"/>
  <c r="CD68" i="20" s="1"/>
  <c r="CE67" i="20"/>
  <c r="BH67" i="20"/>
  <c r="BP67" i="20" s="1"/>
  <c r="BE67" i="20"/>
  <c r="BM67" i="20" s="1"/>
  <c r="CP67" i="20"/>
  <c r="AU67" i="20"/>
  <c r="AT67" i="20"/>
  <c r="AS67" i="20"/>
  <c r="AR67" i="20"/>
  <c r="AQ67" i="20"/>
  <c r="AP67" i="20"/>
  <c r="AO67" i="20"/>
  <c r="AN67" i="20"/>
  <c r="AM67" i="20"/>
  <c r="AL67" i="20" a="1"/>
  <c r="AL67" i="20" s="1"/>
  <c r="AK67" i="20"/>
  <c r="CD67" i="20" s="1"/>
  <c r="CE66" i="20"/>
  <c r="BH66" i="20"/>
  <c r="BP66" i="20" s="1"/>
  <c r="BE66" i="20"/>
  <c r="BF66" i="20" s="1"/>
  <c r="CP66" i="20"/>
  <c r="AU66" i="20"/>
  <c r="AT66" i="20"/>
  <c r="AS66" i="20"/>
  <c r="AR66" i="20"/>
  <c r="AQ66" i="20"/>
  <c r="AP66" i="20"/>
  <c r="AO66" i="20"/>
  <c r="AN66" i="20"/>
  <c r="AM66" i="20"/>
  <c r="AL66" i="20" a="1"/>
  <c r="AL66" i="20" s="1"/>
  <c r="AK66" i="20"/>
  <c r="CD66" i="20" s="1"/>
  <c r="CE65" i="20"/>
  <c r="BH65" i="20"/>
  <c r="BP65" i="20" s="1"/>
  <c r="BE65" i="20"/>
  <c r="BM65" i="20" s="1"/>
  <c r="CP65" i="20"/>
  <c r="AU65" i="20"/>
  <c r="AT65" i="20"/>
  <c r="AS65" i="20"/>
  <c r="AR65" i="20"/>
  <c r="AQ65" i="20"/>
  <c r="AP65" i="20"/>
  <c r="AO65" i="20"/>
  <c r="AN65" i="20"/>
  <c r="AM65" i="20"/>
  <c r="AL65" i="20" a="1"/>
  <c r="AL65" i="20" s="1"/>
  <c r="AK65" i="20"/>
  <c r="CD65" i="20" s="1"/>
  <c r="CE64" i="20"/>
  <c r="BH64" i="20"/>
  <c r="BI64" i="20" s="1"/>
  <c r="BE64" i="20"/>
  <c r="BM64" i="20" s="1"/>
  <c r="CP64" i="20"/>
  <c r="AU64" i="20"/>
  <c r="AT64" i="20"/>
  <c r="AS64" i="20"/>
  <c r="AR64" i="20"/>
  <c r="AQ64" i="20"/>
  <c r="AP64" i="20"/>
  <c r="AO64" i="20"/>
  <c r="AN64" i="20"/>
  <c r="AM64" i="20"/>
  <c r="AL64" i="20" a="1"/>
  <c r="AL64" i="20" s="1"/>
  <c r="AK64" i="20"/>
  <c r="CD64" i="20" s="1"/>
  <c r="CE63" i="20"/>
  <c r="BH63" i="20"/>
  <c r="BI63" i="20" s="1"/>
  <c r="BE63" i="20"/>
  <c r="BF63" i="20" s="1"/>
  <c r="CP63" i="20"/>
  <c r="AU63" i="20"/>
  <c r="AT63" i="20"/>
  <c r="AS63" i="20"/>
  <c r="AR63" i="20"/>
  <c r="AQ63" i="20"/>
  <c r="AP63" i="20"/>
  <c r="AO63" i="20"/>
  <c r="AN63" i="20"/>
  <c r="AM63" i="20"/>
  <c r="AL63" i="20" a="1"/>
  <c r="AL63" i="20" s="1"/>
  <c r="AK63" i="20"/>
  <c r="CD63" i="20" s="1"/>
  <c r="CE62" i="20"/>
  <c r="BH62" i="20"/>
  <c r="BP62" i="20" s="1"/>
  <c r="BE62" i="20"/>
  <c r="BF62" i="20" s="1"/>
  <c r="CP62" i="20"/>
  <c r="AU62" i="20"/>
  <c r="AT62" i="20"/>
  <c r="AS62" i="20"/>
  <c r="AR62" i="20"/>
  <c r="AQ62" i="20"/>
  <c r="AP62" i="20"/>
  <c r="AO62" i="20"/>
  <c r="AN62" i="20"/>
  <c r="AM62" i="20"/>
  <c r="AL62" i="20" a="1"/>
  <c r="AL62" i="20" s="1"/>
  <c r="AK62" i="20"/>
  <c r="CD62" i="20" s="1"/>
  <c r="CE61" i="20"/>
  <c r="BH61" i="20"/>
  <c r="BP61" i="20" s="1"/>
  <c r="BE61" i="20"/>
  <c r="BM61" i="20" s="1"/>
  <c r="CP61" i="20"/>
  <c r="AU61" i="20"/>
  <c r="AT61" i="20"/>
  <c r="AS61" i="20"/>
  <c r="AR61" i="20"/>
  <c r="AQ61" i="20"/>
  <c r="AP61" i="20"/>
  <c r="AO61" i="20"/>
  <c r="AN61" i="20"/>
  <c r="AM61" i="20"/>
  <c r="AL61" i="20" a="1"/>
  <c r="AL61" i="20" s="1"/>
  <c r="AK61" i="20"/>
  <c r="CD61" i="20" s="1"/>
  <c r="CE60" i="20"/>
  <c r="BH60" i="20"/>
  <c r="BP60" i="20" s="1"/>
  <c r="BE60" i="20"/>
  <c r="BM60" i="20" s="1"/>
  <c r="CP60" i="20"/>
  <c r="AU60" i="20"/>
  <c r="AT60" i="20"/>
  <c r="AS60" i="20"/>
  <c r="AR60" i="20"/>
  <c r="AQ60" i="20"/>
  <c r="AP60" i="20"/>
  <c r="AO60" i="20"/>
  <c r="AN60" i="20"/>
  <c r="AM60" i="20"/>
  <c r="AL60" i="20" a="1"/>
  <c r="AL60" i="20" s="1"/>
  <c r="AK60" i="20"/>
  <c r="CD60" i="20" s="1"/>
  <c r="CE59" i="20"/>
  <c r="BH59" i="20"/>
  <c r="BI59" i="20" s="1"/>
  <c r="BE59" i="20"/>
  <c r="BM59" i="20" s="1"/>
  <c r="CP59" i="20"/>
  <c r="AU59" i="20"/>
  <c r="AT59" i="20"/>
  <c r="AS59" i="20"/>
  <c r="AR59" i="20"/>
  <c r="AQ59" i="20"/>
  <c r="AP59" i="20"/>
  <c r="AO59" i="20"/>
  <c r="AN59" i="20"/>
  <c r="AM59" i="20"/>
  <c r="AL59" i="20" a="1"/>
  <c r="AL59" i="20" s="1"/>
  <c r="AK59" i="20"/>
  <c r="CD59" i="20" s="1"/>
  <c r="CE58" i="20"/>
  <c r="BH58" i="20"/>
  <c r="BI58" i="20" s="1"/>
  <c r="BE58" i="20"/>
  <c r="BF58" i="20" s="1"/>
  <c r="CP58" i="20"/>
  <c r="AU58" i="20"/>
  <c r="AT58" i="20"/>
  <c r="AS58" i="20"/>
  <c r="AR58" i="20"/>
  <c r="AQ58" i="20"/>
  <c r="AP58" i="20"/>
  <c r="AO58" i="20"/>
  <c r="AN58" i="20"/>
  <c r="AM58" i="20"/>
  <c r="AL58" i="20" a="1"/>
  <c r="AL58" i="20" s="1"/>
  <c r="AK58" i="20"/>
  <c r="CD58" i="20" s="1"/>
  <c r="CE57" i="20"/>
  <c r="BH57" i="20"/>
  <c r="BP57" i="20" s="1"/>
  <c r="BE57" i="20"/>
  <c r="BF57" i="20" s="1"/>
  <c r="CP57" i="20"/>
  <c r="AU57" i="20"/>
  <c r="AT57" i="20"/>
  <c r="AS57" i="20"/>
  <c r="AR57" i="20"/>
  <c r="AQ57" i="20"/>
  <c r="AP57" i="20"/>
  <c r="AO57" i="20"/>
  <c r="AN57" i="20"/>
  <c r="AM57" i="20"/>
  <c r="AL57" i="20" a="1"/>
  <c r="AL57" i="20" s="1"/>
  <c r="AK57" i="20"/>
  <c r="CD57" i="20" s="1"/>
  <c r="CE56" i="20"/>
  <c r="BH56" i="20"/>
  <c r="BI56" i="20" s="1"/>
  <c r="BE56" i="20"/>
  <c r="BM56" i="20" s="1"/>
  <c r="CP56" i="20"/>
  <c r="AU56" i="20"/>
  <c r="AT56" i="20"/>
  <c r="AS56" i="20"/>
  <c r="AR56" i="20"/>
  <c r="AQ56" i="20"/>
  <c r="AP56" i="20"/>
  <c r="AO56" i="20"/>
  <c r="AN56" i="20"/>
  <c r="AM56" i="20"/>
  <c r="AL56" i="20" a="1"/>
  <c r="AL56" i="20" s="1"/>
  <c r="AK56" i="20"/>
  <c r="CD56" i="20" s="1"/>
  <c r="CE55" i="20"/>
  <c r="BH55" i="20"/>
  <c r="BI55" i="20" s="1"/>
  <c r="BE55" i="20"/>
  <c r="BF55" i="20" s="1"/>
  <c r="CP55" i="20"/>
  <c r="AU55" i="20"/>
  <c r="AT55" i="20"/>
  <c r="AS55" i="20"/>
  <c r="AR55" i="20"/>
  <c r="AQ55" i="20"/>
  <c r="AP55" i="20"/>
  <c r="AO55" i="20"/>
  <c r="AN55" i="20"/>
  <c r="AM55" i="20"/>
  <c r="AL55" i="20" a="1"/>
  <c r="AL55" i="20" s="1"/>
  <c r="AK55" i="20"/>
  <c r="CD55" i="20" s="1"/>
  <c r="CE54" i="20"/>
  <c r="BH54" i="20"/>
  <c r="BP54" i="20" s="1"/>
  <c r="BE54" i="20"/>
  <c r="BF54" i="20" s="1"/>
  <c r="CP54" i="20"/>
  <c r="AU54" i="20"/>
  <c r="AT54" i="20"/>
  <c r="AS54" i="20"/>
  <c r="AR54" i="20"/>
  <c r="AQ54" i="20"/>
  <c r="AP54" i="20"/>
  <c r="AO54" i="20"/>
  <c r="AN54" i="20"/>
  <c r="AM54" i="20"/>
  <c r="AL54" i="20" a="1"/>
  <c r="AL54" i="20" s="1"/>
  <c r="AK54" i="20"/>
  <c r="CD54" i="20" s="1"/>
  <c r="CE53" i="20"/>
  <c r="BH53" i="20"/>
  <c r="BP53" i="20" s="1"/>
  <c r="BE53" i="20"/>
  <c r="BM53" i="20" s="1"/>
  <c r="CP53" i="20"/>
  <c r="AU53" i="20"/>
  <c r="AT53" i="20"/>
  <c r="AS53" i="20"/>
  <c r="AR53" i="20"/>
  <c r="AQ53" i="20"/>
  <c r="AP53" i="20"/>
  <c r="AO53" i="20"/>
  <c r="AN53" i="20"/>
  <c r="AM53" i="20"/>
  <c r="AL53" i="20" a="1"/>
  <c r="AL53" i="20" s="1"/>
  <c r="AK53" i="20"/>
  <c r="CD53" i="20" s="1"/>
  <c r="CE52" i="20"/>
  <c r="BH52" i="20"/>
  <c r="BP52" i="20" s="1"/>
  <c r="BE52" i="20"/>
  <c r="BM52" i="20" s="1"/>
  <c r="CP52" i="20"/>
  <c r="AU52" i="20"/>
  <c r="AT52" i="20"/>
  <c r="AS52" i="20"/>
  <c r="AR52" i="20"/>
  <c r="AQ52" i="20"/>
  <c r="AP52" i="20"/>
  <c r="AO52" i="20"/>
  <c r="AN52" i="20"/>
  <c r="AM52" i="20"/>
  <c r="AL52" i="20" a="1"/>
  <c r="AL52" i="20" s="1"/>
  <c r="AK52" i="20"/>
  <c r="CD52" i="20" s="1"/>
  <c r="CE51" i="20"/>
  <c r="BH51" i="20"/>
  <c r="BP51" i="20" s="1"/>
  <c r="BE51" i="20"/>
  <c r="BF51" i="20" s="1"/>
  <c r="BN51" i="20" s="1"/>
  <c r="CP51" i="20"/>
  <c r="AU51" i="20"/>
  <c r="AT51" i="20"/>
  <c r="AS51" i="20"/>
  <c r="AR51" i="20"/>
  <c r="AQ51" i="20"/>
  <c r="AP51" i="20"/>
  <c r="AO51" i="20"/>
  <c r="AN51" i="20"/>
  <c r="AM51" i="20"/>
  <c r="AL51" i="20" a="1"/>
  <c r="AL51" i="20" s="1"/>
  <c r="AK51" i="20"/>
  <c r="CD51" i="20" s="1"/>
  <c r="CE50" i="20"/>
  <c r="BH50" i="20"/>
  <c r="BE50" i="20"/>
  <c r="BM50" i="20" s="1"/>
  <c r="CP50" i="20"/>
  <c r="AU50" i="20"/>
  <c r="AT50" i="20"/>
  <c r="AS50" i="20"/>
  <c r="AR50" i="20"/>
  <c r="AQ50" i="20"/>
  <c r="AP50" i="20"/>
  <c r="AO50" i="20"/>
  <c r="AN50" i="20"/>
  <c r="AM50" i="20"/>
  <c r="AL50" i="20" a="1"/>
  <c r="AL50" i="20" s="1"/>
  <c r="AK50" i="20"/>
  <c r="CD50" i="20" s="1"/>
  <c r="CE49" i="20"/>
  <c r="BH49" i="20"/>
  <c r="BP49" i="20" s="1"/>
  <c r="BE49" i="20"/>
  <c r="BM49" i="20" s="1"/>
  <c r="CP49" i="20"/>
  <c r="AU49" i="20"/>
  <c r="AT49" i="20"/>
  <c r="AS49" i="20"/>
  <c r="AR49" i="20"/>
  <c r="AQ49" i="20"/>
  <c r="AP49" i="20"/>
  <c r="AO49" i="20"/>
  <c r="AN49" i="20"/>
  <c r="AM49" i="20"/>
  <c r="AL49" i="20" a="1"/>
  <c r="AL49" i="20" s="1"/>
  <c r="AK49" i="20"/>
  <c r="CD49" i="20" s="1"/>
  <c r="CE48" i="20"/>
  <c r="BH48" i="20"/>
  <c r="BI48" i="20" s="1"/>
  <c r="BQ48" i="20" s="1"/>
  <c r="BE48" i="20"/>
  <c r="BM48" i="20" s="1"/>
  <c r="CP48" i="20"/>
  <c r="AU48" i="20"/>
  <c r="AT48" i="20"/>
  <c r="AS48" i="20"/>
  <c r="AR48" i="20"/>
  <c r="AQ48" i="20"/>
  <c r="AP48" i="20"/>
  <c r="AO48" i="20"/>
  <c r="AN48" i="20"/>
  <c r="AM48" i="20"/>
  <c r="AL48" i="20" a="1"/>
  <c r="AL48" i="20" s="1"/>
  <c r="AK48" i="20"/>
  <c r="CD48" i="20" s="1"/>
  <c r="CE47" i="20"/>
  <c r="BH47" i="20"/>
  <c r="BI47" i="20" s="1"/>
  <c r="BE47" i="20"/>
  <c r="BF47" i="20" s="1"/>
  <c r="BN47" i="20" s="1"/>
  <c r="CP47" i="20"/>
  <c r="AU47" i="20"/>
  <c r="AT47" i="20"/>
  <c r="AS47" i="20"/>
  <c r="AR47" i="20"/>
  <c r="AQ47" i="20"/>
  <c r="AP47" i="20"/>
  <c r="AO47" i="20"/>
  <c r="AN47" i="20"/>
  <c r="AM47" i="20"/>
  <c r="AL47" i="20" a="1"/>
  <c r="AL47" i="20" s="1"/>
  <c r="AK47" i="20"/>
  <c r="CD47" i="20" s="1"/>
  <c r="CE46" i="20"/>
  <c r="BH46" i="20"/>
  <c r="BI46" i="20" s="1"/>
  <c r="BE46" i="20"/>
  <c r="BF46" i="20" s="1"/>
  <c r="CP46" i="20"/>
  <c r="AU46" i="20"/>
  <c r="AT46" i="20"/>
  <c r="AS46" i="20"/>
  <c r="AR46" i="20"/>
  <c r="AQ46" i="20"/>
  <c r="AP46" i="20"/>
  <c r="AO46" i="20"/>
  <c r="AN46" i="20"/>
  <c r="AM46" i="20"/>
  <c r="AL46" i="20" a="1"/>
  <c r="AL46" i="20" s="1"/>
  <c r="AK46" i="20"/>
  <c r="CD46" i="20" s="1"/>
  <c r="CE45" i="20"/>
  <c r="BH45" i="20"/>
  <c r="BP45" i="20" s="1"/>
  <c r="BE45" i="20"/>
  <c r="BF45" i="20" s="1"/>
  <c r="CP45" i="20"/>
  <c r="AU45" i="20"/>
  <c r="AT45" i="20"/>
  <c r="AS45" i="20"/>
  <c r="AR45" i="20"/>
  <c r="AQ45" i="20"/>
  <c r="AP45" i="20"/>
  <c r="AO45" i="20"/>
  <c r="AN45" i="20"/>
  <c r="AM45" i="20"/>
  <c r="AL45" i="20" a="1"/>
  <c r="AL45" i="20" s="1"/>
  <c r="AK45" i="20"/>
  <c r="CD45" i="20" s="1"/>
  <c r="CE44" i="20"/>
  <c r="BH44" i="20"/>
  <c r="BI44" i="20" s="1"/>
  <c r="BE44" i="20"/>
  <c r="BM44" i="20" s="1"/>
  <c r="CP44" i="20"/>
  <c r="AU44" i="20"/>
  <c r="AT44" i="20"/>
  <c r="AS44" i="20"/>
  <c r="AR44" i="20"/>
  <c r="AQ44" i="20"/>
  <c r="AP44" i="20"/>
  <c r="AO44" i="20"/>
  <c r="AN44" i="20"/>
  <c r="AM44" i="20"/>
  <c r="AL44" i="20" a="1"/>
  <c r="AL44" i="20" s="1"/>
  <c r="AK44" i="20"/>
  <c r="CD44" i="20" s="1"/>
  <c r="CE43" i="20"/>
  <c r="BH43" i="20"/>
  <c r="BI43" i="20" s="1"/>
  <c r="BE43" i="20"/>
  <c r="CP43" i="20"/>
  <c r="AU43" i="20"/>
  <c r="AT43" i="20"/>
  <c r="AS43" i="20"/>
  <c r="AR43" i="20"/>
  <c r="AQ43" i="20"/>
  <c r="AP43" i="20"/>
  <c r="AO43" i="20"/>
  <c r="AN43" i="20"/>
  <c r="AM43" i="20"/>
  <c r="AL43" i="20" a="1"/>
  <c r="AL43" i="20" s="1"/>
  <c r="AK43" i="20"/>
  <c r="CD43" i="20" s="1"/>
  <c r="CE42" i="20"/>
  <c r="BH42" i="20"/>
  <c r="BP42" i="20" s="1"/>
  <c r="BE42" i="20"/>
  <c r="BF42" i="20" s="1"/>
  <c r="CP42" i="20"/>
  <c r="AU42" i="20"/>
  <c r="AT42" i="20"/>
  <c r="AS42" i="20"/>
  <c r="AR42" i="20"/>
  <c r="AQ42" i="20"/>
  <c r="AP42" i="20"/>
  <c r="AO42" i="20"/>
  <c r="AN42" i="20"/>
  <c r="AM42" i="20"/>
  <c r="AL42" i="20" a="1"/>
  <c r="AL42" i="20" s="1"/>
  <c r="AK42" i="20"/>
  <c r="CD42" i="20" s="1"/>
  <c r="CE41" i="20"/>
  <c r="BH41" i="20"/>
  <c r="BP41" i="20" s="1"/>
  <c r="BE41" i="20"/>
  <c r="BM41" i="20" s="1"/>
  <c r="CP41" i="20"/>
  <c r="AU41" i="20"/>
  <c r="AT41" i="20"/>
  <c r="AS41" i="20"/>
  <c r="AR41" i="20"/>
  <c r="AQ41" i="20"/>
  <c r="AP41" i="20"/>
  <c r="AO41" i="20"/>
  <c r="AN41" i="20"/>
  <c r="AM41" i="20"/>
  <c r="AL41" i="20" a="1"/>
  <c r="AL41" i="20" s="1"/>
  <c r="AK41" i="20"/>
  <c r="CD41" i="20" s="1"/>
  <c r="CE40" i="20"/>
  <c r="BH40" i="20"/>
  <c r="BP40" i="20" s="1"/>
  <c r="BE40" i="20"/>
  <c r="BM40" i="20" s="1"/>
  <c r="CP40" i="20"/>
  <c r="AU40" i="20"/>
  <c r="AT40" i="20"/>
  <c r="AS40" i="20"/>
  <c r="AR40" i="20"/>
  <c r="AQ40" i="20"/>
  <c r="AP40" i="20"/>
  <c r="AO40" i="20"/>
  <c r="AN40" i="20"/>
  <c r="AM40" i="20"/>
  <c r="AL40" i="20" a="1"/>
  <c r="AL40" i="20" s="1"/>
  <c r="AK40" i="20"/>
  <c r="CD40" i="20" s="1"/>
  <c r="CE39" i="20"/>
  <c r="BH39" i="20"/>
  <c r="BP39" i="20" s="1"/>
  <c r="BE39" i="20"/>
  <c r="BM39" i="20" s="1"/>
  <c r="CP39" i="20"/>
  <c r="AU39" i="20"/>
  <c r="AT39" i="20"/>
  <c r="AS39" i="20"/>
  <c r="AR39" i="20"/>
  <c r="AQ39" i="20"/>
  <c r="AP39" i="20"/>
  <c r="AO39" i="20"/>
  <c r="AN39" i="20"/>
  <c r="AM39" i="20"/>
  <c r="AL39" i="20" a="1"/>
  <c r="AL39" i="20" s="1"/>
  <c r="AK39" i="20"/>
  <c r="CD39" i="20" s="1"/>
  <c r="CE38" i="20"/>
  <c r="BH38" i="20"/>
  <c r="BI38" i="20" s="1"/>
  <c r="BE38" i="20"/>
  <c r="BF38" i="20" s="1"/>
  <c r="CP38" i="20"/>
  <c r="AU38" i="20"/>
  <c r="AT38" i="20"/>
  <c r="AS38" i="20"/>
  <c r="AR38" i="20"/>
  <c r="AQ38" i="20"/>
  <c r="AP38" i="20"/>
  <c r="AO38" i="20"/>
  <c r="AN38" i="20"/>
  <c r="AM38" i="20"/>
  <c r="AL38" i="20" a="1"/>
  <c r="AL38" i="20" s="1"/>
  <c r="AK38" i="20"/>
  <c r="CD38" i="20" s="1"/>
  <c r="CE37" i="20"/>
  <c r="BH37" i="20"/>
  <c r="BI37" i="20" s="1"/>
  <c r="BQ37" i="20" s="1"/>
  <c r="BE37" i="20"/>
  <c r="CP37" i="20"/>
  <c r="AU37" i="20"/>
  <c r="AT37" i="20"/>
  <c r="AS37" i="20"/>
  <c r="AR37" i="20"/>
  <c r="AQ37" i="20"/>
  <c r="AP37" i="20"/>
  <c r="AO37" i="20"/>
  <c r="AN37" i="20"/>
  <c r="AM37" i="20"/>
  <c r="AL37" i="20" a="1"/>
  <c r="AL37" i="20" s="1"/>
  <c r="AK37" i="20"/>
  <c r="CD37" i="20" s="1"/>
  <c r="CE36" i="20"/>
  <c r="BH36" i="20"/>
  <c r="BI36" i="20" s="1"/>
  <c r="BQ36" i="20" s="1"/>
  <c r="BE36" i="20"/>
  <c r="CP36" i="20"/>
  <c r="AU36" i="20"/>
  <c r="AT36" i="20"/>
  <c r="AS36" i="20"/>
  <c r="AR36" i="20"/>
  <c r="AQ36" i="20"/>
  <c r="AP36" i="20"/>
  <c r="AO36" i="20"/>
  <c r="AN36" i="20"/>
  <c r="AM36" i="20"/>
  <c r="AL36" i="20" a="1"/>
  <c r="AL36" i="20" s="1"/>
  <c r="AK36" i="20"/>
  <c r="CD36" i="20" s="1"/>
  <c r="CE35" i="20"/>
  <c r="BH35" i="20"/>
  <c r="BI35" i="20" s="1"/>
  <c r="BQ35" i="20" s="1"/>
  <c r="BE35" i="20"/>
  <c r="BF35" i="20" s="1"/>
  <c r="BN35" i="20" s="1"/>
  <c r="CP35" i="20"/>
  <c r="AU35" i="20"/>
  <c r="AT35" i="20"/>
  <c r="AS35" i="20"/>
  <c r="AR35" i="20"/>
  <c r="AQ35" i="20"/>
  <c r="AP35" i="20"/>
  <c r="AO35" i="20"/>
  <c r="AN35" i="20"/>
  <c r="AM35" i="20"/>
  <c r="AL35" i="20" a="1"/>
  <c r="AL35" i="20" s="1"/>
  <c r="AK35" i="20"/>
  <c r="CD35" i="20" s="1"/>
  <c r="CE34" i="20"/>
  <c r="BH34" i="20"/>
  <c r="BP34" i="20" s="1"/>
  <c r="BE34" i="20"/>
  <c r="CP34" i="20"/>
  <c r="AU34" i="20"/>
  <c r="AT34" i="20"/>
  <c r="AS34" i="20"/>
  <c r="AR34" i="20"/>
  <c r="AQ34" i="20"/>
  <c r="AP34" i="20"/>
  <c r="AO34" i="20"/>
  <c r="AN34" i="20"/>
  <c r="AM34" i="20"/>
  <c r="AL34" i="20" a="1"/>
  <c r="AL34" i="20" s="1"/>
  <c r="AK34" i="20"/>
  <c r="CD34" i="20" s="1"/>
  <c r="CE33" i="20"/>
  <c r="BH33" i="20"/>
  <c r="BP33" i="20" s="1"/>
  <c r="BE33" i="20"/>
  <c r="BM33" i="20" s="1"/>
  <c r="CP33" i="20"/>
  <c r="AU33" i="20"/>
  <c r="AT33" i="20"/>
  <c r="AS33" i="20"/>
  <c r="AR33" i="20"/>
  <c r="AQ33" i="20"/>
  <c r="AP33" i="20"/>
  <c r="AO33" i="20"/>
  <c r="AN33" i="20"/>
  <c r="AM33" i="20"/>
  <c r="AL33" i="20" a="1"/>
  <c r="AL33" i="20" s="1"/>
  <c r="AK33" i="20"/>
  <c r="CD33" i="20" s="1"/>
  <c r="CE32" i="20"/>
  <c r="BH32" i="20"/>
  <c r="BE32" i="20"/>
  <c r="CP32" i="20"/>
  <c r="AU32" i="20"/>
  <c r="AT32" i="20"/>
  <c r="AS32" i="20"/>
  <c r="AR32" i="20"/>
  <c r="AQ32" i="20"/>
  <c r="AP32" i="20"/>
  <c r="AO32" i="20"/>
  <c r="AN32" i="20"/>
  <c r="AM32" i="20"/>
  <c r="AL32" i="20" a="1"/>
  <c r="AL32" i="20" s="1"/>
  <c r="AK32" i="20"/>
  <c r="CD32" i="20" s="1"/>
  <c r="CE31" i="20"/>
  <c r="BH31" i="20"/>
  <c r="BI31" i="20" s="1"/>
  <c r="BQ31" i="20" s="1"/>
  <c r="BE31" i="20"/>
  <c r="BF31" i="20" s="1"/>
  <c r="BN31" i="20" s="1"/>
  <c r="CP31" i="20"/>
  <c r="AU31" i="20"/>
  <c r="AT31" i="20"/>
  <c r="AS31" i="20"/>
  <c r="AR31" i="20"/>
  <c r="AQ31" i="20"/>
  <c r="AP31" i="20"/>
  <c r="AO31" i="20"/>
  <c r="AN31" i="20"/>
  <c r="AM31" i="20"/>
  <c r="AL31" i="20" a="1"/>
  <c r="AL31" i="20" s="1"/>
  <c r="AK31" i="20"/>
  <c r="CD31" i="20" s="1"/>
  <c r="CE30" i="20"/>
  <c r="BH30" i="20"/>
  <c r="BP30" i="20" s="1"/>
  <c r="BE30" i="20"/>
  <c r="BF30" i="20" s="1"/>
  <c r="BN30" i="20" s="1"/>
  <c r="CP30" i="20"/>
  <c r="AU30" i="20"/>
  <c r="AT30" i="20"/>
  <c r="AS30" i="20"/>
  <c r="AR30" i="20"/>
  <c r="AQ30" i="20"/>
  <c r="AP30" i="20"/>
  <c r="AO30" i="20"/>
  <c r="AN30" i="20"/>
  <c r="AM30" i="20"/>
  <c r="AL30" i="20" a="1"/>
  <c r="AL30" i="20" s="1"/>
  <c r="AK30" i="20"/>
  <c r="CD30" i="20" s="1"/>
  <c r="CE29" i="20"/>
  <c r="BH29" i="20"/>
  <c r="BP29" i="20" s="1"/>
  <c r="BE29" i="20"/>
  <c r="BM29" i="20" s="1"/>
  <c r="CP29" i="20"/>
  <c r="AU29" i="20"/>
  <c r="AT29" i="20"/>
  <c r="AS29" i="20"/>
  <c r="AR29" i="20"/>
  <c r="AQ29" i="20"/>
  <c r="AP29" i="20"/>
  <c r="AO29" i="20"/>
  <c r="AN29" i="20"/>
  <c r="AM29" i="20"/>
  <c r="AL29" i="20" a="1"/>
  <c r="AL29" i="20" s="1"/>
  <c r="AK29" i="20"/>
  <c r="CD29" i="20" s="1"/>
  <c r="CE28" i="20"/>
  <c r="BH28" i="20"/>
  <c r="BP28" i="20" s="1"/>
  <c r="BE28" i="20"/>
  <c r="BM28" i="20" s="1"/>
  <c r="CP28" i="20"/>
  <c r="AU28" i="20"/>
  <c r="AT28" i="20"/>
  <c r="AS28" i="20"/>
  <c r="AR28" i="20"/>
  <c r="AQ28" i="20"/>
  <c r="AP28" i="20"/>
  <c r="AO28" i="20"/>
  <c r="AN28" i="20"/>
  <c r="AM28" i="20"/>
  <c r="AL28" i="20" a="1"/>
  <c r="AL28" i="20" s="1"/>
  <c r="AK28" i="20"/>
  <c r="CD28" i="20" s="1"/>
  <c r="CE27" i="20"/>
  <c r="BH27" i="20"/>
  <c r="BI27" i="20" s="1"/>
  <c r="BE27" i="20"/>
  <c r="BM27" i="20" s="1"/>
  <c r="CP27" i="20"/>
  <c r="AU27" i="20"/>
  <c r="AT27" i="20"/>
  <c r="AS27" i="20"/>
  <c r="AR27" i="20"/>
  <c r="AQ27" i="20"/>
  <c r="AP27" i="20"/>
  <c r="AO27" i="20"/>
  <c r="AN27" i="20"/>
  <c r="AM27" i="20"/>
  <c r="AL27" i="20" a="1"/>
  <c r="AL27" i="20" s="1"/>
  <c r="AK27" i="20"/>
  <c r="CD27" i="20" s="1"/>
  <c r="CE26" i="20"/>
  <c r="BH26" i="20"/>
  <c r="BE26" i="20"/>
  <c r="BM26" i="20" s="1"/>
  <c r="CP26" i="20"/>
  <c r="AU26" i="20"/>
  <c r="AT26" i="20"/>
  <c r="AS26" i="20"/>
  <c r="AR26" i="20"/>
  <c r="AQ26" i="20"/>
  <c r="AP26" i="20"/>
  <c r="AO26" i="20"/>
  <c r="AN26" i="20"/>
  <c r="AM26" i="20"/>
  <c r="AL26" i="20" a="1"/>
  <c r="AL26" i="20" s="1"/>
  <c r="AK26" i="20"/>
  <c r="CD26" i="20" s="1"/>
  <c r="CE25" i="20"/>
  <c r="BH25" i="20"/>
  <c r="BI25" i="20" s="1"/>
  <c r="BQ25" i="20" s="1"/>
  <c r="BE25" i="20"/>
  <c r="BF25" i="20" s="1"/>
  <c r="BG25" i="20" s="1"/>
  <c r="BO25" i="20" s="1"/>
  <c r="CP25" i="20"/>
  <c r="AU25" i="20"/>
  <c r="AT25" i="20"/>
  <c r="AS25" i="20"/>
  <c r="AR25" i="20"/>
  <c r="AQ25" i="20"/>
  <c r="AP25" i="20"/>
  <c r="AO25" i="20"/>
  <c r="AN25" i="20"/>
  <c r="AM25" i="20"/>
  <c r="AL25" i="20" a="1"/>
  <c r="AL25" i="20" s="1"/>
  <c r="AK25" i="20"/>
  <c r="CD25" i="20" s="1"/>
  <c r="CE24" i="20"/>
  <c r="BH24" i="20"/>
  <c r="BI24" i="20" s="1"/>
  <c r="BQ24" i="20" s="1"/>
  <c r="BE24" i="20"/>
  <c r="CP24" i="20"/>
  <c r="AU24" i="20"/>
  <c r="AT24" i="20"/>
  <c r="AS24" i="20"/>
  <c r="AR24" i="20"/>
  <c r="AQ24" i="20"/>
  <c r="AP24" i="20"/>
  <c r="AO24" i="20"/>
  <c r="AN24" i="20"/>
  <c r="AM24" i="20"/>
  <c r="AL24" i="20" a="1"/>
  <c r="AL24" i="20" s="1"/>
  <c r="AK24" i="20"/>
  <c r="CD24" i="20" s="1"/>
  <c r="CE23" i="20"/>
  <c r="BH23" i="20"/>
  <c r="BE23" i="20"/>
  <c r="BF23" i="20" s="1"/>
  <c r="BN23" i="20" s="1"/>
  <c r="CP23" i="20"/>
  <c r="AU23" i="20"/>
  <c r="AT23" i="20"/>
  <c r="AS23" i="20"/>
  <c r="AR23" i="20"/>
  <c r="AQ23" i="20"/>
  <c r="AP23" i="20"/>
  <c r="AO23" i="20"/>
  <c r="AN23" i="20"/>
  <c r="AM23" i="20"/>
  <c r="AL23" i="20" a="1"/>
  <c r="AL23" i="20" s="1"/>
  <c r="AK23" i="20"/>
  <c r="CD23" i="20" s="1"/>
  <c r="CE22" i="20"/>
  <c r="BH22" i="20"/>
  <c r="BP22" i="20" s="1"/>
  <c r="BE22" i="20"/>
  <c r="BF22" i="20" s="1"/>
  <c r="BN22" i="20" s="1"/>
  <c r="CP22" i="20"/>
  <c r="AU22" i="20"/>
  <c r="AT22" i="20"/>
  <c r="AS22" i="20"/>
  <c r="AR22" i="20"/>
  <c r="AQ22" i="20"/>
  <c r="AP22" i="20"/>
  <c r="AO22" i="20"/>
  <c r="AN22" i="20"/>
  <c r="AM22" i="20"/>
  <c r="AL22" i="20" a="1"/>
  <c r="AL22" i="20" s="1"/>
  <c r="AK22" i="20"/>
  <c r="CD22" i="20" s="1"/>
  <c r="CE21" i="20"/>
  <c r="BH21" i="20"/>
  <c r="BP21" i="20" s="1"/>
  <c r="BE21" i="20"/>
  <c r="BM21" i="20" s="1"/>
  <c r="CP21" i="20"/>
  <c r="AU21" i="20"/>
  <c r="AT21" i="20"/>
  <c r="AS21" i="20"/>
  <c r="AR21" i="20"/>
  <c r="AQ21" i="20"/>
  <c r="AP21" i="20"/>
  <c r="AO21" i="20"/>
  <c r="AN21" i="20"/>
  <c r="AM21" i="20"/>
  <c r="AL21" i="20" a="1"/>
  <c r="AL21" i="20" s="1"/>
  <c r="AK21" i="20"/>
  <c r="CD21" i="20" s="1"/>
  <c r="CE20" i="20"/>
  <c r="BH20" i="20"/>
  <c r="BI20" i="20" s="1"/>
  <c r="BJ20" i="20" s="1"/>
  <c r="BE20" i="20"/>
  <c r="BM20" i="20" s="1"/>
  <c r="CP20" i="20"/>
  <c r="AU20" i="20"/>
  <c r="AT20" i="20"/>
  <c r="AS20" i="20"/>
  <c r="AR20" i="20"/>
  <c r="AQ20" i="20"/>
  <c r="AP20" i="20"/>
  <c r="AO20" i="20"/>
  <c r="AN20" i="20"/>
  <c r="AM20" i="20"/>
  <c r="AL20" i="20" a="1"/>
  <c r="AL20" i="20" s="1"/>
  <c r="AK20" i="20"/>
  <c r="CD20" i="20" s="1"/>
  <c r="CE19" i="20"/>
  <c r="BH19" i="20"/>
  <c r="BI19" i="20" s="1"/>
  <c r="BJ19" i="20" s="1"/>
  <c r="BE19" i="20"/>
  <c r="BM19" i="20" s="1"/>
  <c r="CP19" i="20"/>
  <c r="AU19" i="20"/>
  <c r="AT19" i="20"/>
  <c r="AS19" i="20"/>
  <c r="AR19" i="20"/>
  <c r="AQ19" i="20"/>
  <c r="AP19" i="20"/>
  <c r="AO19" i="20"/>
  <c r="AN19" i="20"/>
  <c r="AM19" i="20"/>
  <c r="AL19" i="20" a="1"/>
  <c r="AL19" i="20" s="1"/>
  <c r="AK19" i="20"/>
  <c r="CD19" i="20" s="1"/>
  <c r="CE18" i="20"/>
  <c r="BH18" i="20"/>
  <c r="BI18" i="20" s="1"/>
  <c r="BJ18" i="20" s="1"/>
  <c r="BE18" i="20"/>
  <c r="CP18" i="20"/>
  <c r="AU18" i="20"/>
  <c r="AT18" i="20"/>
  <c r="AS18" i="20"/>
  <c r="AR18" i="20"/>
  <c r="AQ18" i="20"/>
  <c r="AP18" i="20"/>
  <c r="AO18" i="20"/>
  <c r="AN18" i="20"/>
  <c r="AM18" i="20"/>
  <c r="AL18" i="20" a="1"/>
  <c r="AL18" i="20" s="1"/>
  <c r="AK18" i="20"/>
  <c r="CD18" i="20" s="1"/>
  <c r="CE17" i="20"/>
  <c r="BH17" i="20"/>
  <c r="BI17" i="20" s="1"/>
  <c r="BQ17" i="20" s="1"/>
  <c r="BE17" i="20"/>
  <c r="BM17" i="20" s="1"/>
  <c r="CP17" i="20"/>
  <c r="AU17" i="20"/>
  <c r="AT17" i="20"/>
  <c r="AS17" i="20"/>
  <c r="AR17" i="20"/>
  <c r="AQ17" i="20"/>
  <c r="AP17" i="20"/>
  <c r="AO17" i="20"/>
  <c r="AN17" i="20"/>
  <c r="AM17" i="20"/>
  <c r="AL17" i="20" a="1"/>
  <c r="AL17" i="20" s="1"/>
  <c r="AK17" i="20"/>
  <c r="CD17" i="20" s="1"/>
  <c r="CE16" i="20"/>
  <c r="BH16" i="20"/>
  <c r="BP16" i="20" s="1"/>
  <c r="BE16" i="20"/>
  <c r="BM16" i="20" s="1"/>
  <c r="CP16" i="20"/>
  <c r="AU16" i="20"/>
  <c r="AT16" i="20"/>
  <c r="AS16" i="20"/>
  <c r="AR16" i="20"/>
  <c r="AQ16" i="20"/>
  <c r="AP16" i="20"/>
  <c r="AO16" i="20"/>
  <c r="AN16" i="20"/>
  <c r="AM16" i="20"/>
  <c r="AL16" i="20" a="1"/>
  <c r="AL16" i="20" s="1"/>
  <c r="AK16" i="20"/>
  <c r="CD16" i="20" s="1"/>
  <c r="CE15" i="20"/>
  <c r="BH15" i="20"/>
  <c r="BP15" i="20" s="1"/>
  <c r="BE15" i="20"/>
  <c r="BM15" i="20" s="1"/>
  <c r="CP15" i="20"/>
  <c r="AU15" i="20"/>
  <c r="AT15" i="20"/>
  <c r="AS15" i="20"/>
  <c r="AR15" i="20"/>
  <c r="AQ15" i="20"/>
  <c r="AP15" i="20"/>
  <c r="AO15" i="20"/>
  <c r="AN15" i="20"/>
  <c r="AM15" i="20"/>
  <c r="AL15" i="20" a="1"/>
  <c r="AL15" i="20" s="1"/>
  <c r="AK15" i="20"/>
  <c r="CD15" i="20" s="1"/>
  <c r="CE14" i="20"/>
  <c r="BH14" i="20"/>
  <c r="BP14" i="20" s="1"/>
  <c r="BE14" i="20"/>
  <c r="BM14" i="20" s="1"/>
  <c r="CP14" i="20"/>
  <c r="AU14" i="20"/>
  <c r="AT14" i="20"/>
  <c r="AS14" i="20"/>
  <c r="AR14" i="20"/>
  <c r="AQ14" i="20"/>
  <c r="AP14" i="20"/>
  <c r="AO14" i="20"/>
  <c r="AN14" i="20"/>
  <c r="AM14" i="20"/>
  <c r="AL14" i="20" a="1"/>
  <c r="AL14" i="20" s="1"/>
  <c r="AK14" i="20"/>
  <c r="CD14" i="20" s="1"/>
  <c r="CE13" i="20"/>
  <c r="BH13" i="20"/>
  <c r="BI13" i="20" s="1"/>
  <c r="BE13" i="20"/>
  <c r="BM13" i="20" s="1"/>
  <c r="CP13" i="20"/>
  <c r="AU13" i="20"/>
  <c r="AT13" i="20"/>
  <c r="AS13" i="20"/>
  <c r="AR13" i="20"/>
  <c r="AQ13" i="20"/>
  <c r="AP13" i="20"/>
  <c r="AO13" i="20"/>
  <c r="AN13" i="20"/>
  <c r="AM13" i="20"/>
  <c r="AL13" i="20" a="1"/>
  <c r="AL13" i="20" s="1"/>
  <c r="AK13" i="20"/>
  <c r="CD13" i="20" s="1"/>
  <c r="CE12" i="20"/>
  <c r="BH12" i="20"/>
  <c r="BI12" i="20" s="1"/>
  <c r="BE12" i="20"/>
  <c r="BF12" i="20" s="1"/>
  <c r="CP12" i="20"/>
  <c r="AU12" i="20"/>
  <c r="AT12" i="20"/>
  <c r="AS12" i="20"/>
  <c r="AR12" i="20"/>
  <c r="AQ12" i="20"/>
  <c r="AP12" i="20"/>
  <c r="AO12" i="20"/>
  <c r="AN12" i="20"/>
  <c r="AM12" i="20"/>
  <c r="AL12" i="20" a="1"/>
  <c r="AL12" i="20" s="1"/>
  <c r="AK12" i="20"/>
  <c r="CD12" i="20" s="1"/>
  <c r="CE11" i="20"/>
  <c r="BH11" i="20"/>
  <c r="BP11" i="20" s="1"/>
  <c r="BE11" i="20"/>
  <c r="BM11" i="20" s="1"/>
  <c r="CP11" i="20"/>
  <c r="AU11" i="20"/>
  <c r="AT11" i="20"/>
  <c r="AS11" i="20"/>
  <c r="AR11" i="20"/>
  <c r="AQ11" i="20"/>
  <c r="AP11" i="20"/>
  <c r="AO11" i="20"/>
  <c r="AN11" i="20"/>
  <c r="AM11" i="20"/>
  <c r="AL11" i="20" a="1"/>
  <c r="AL11" i="20" s="1"/>
  <c r="AK11" i="20"/>
  <c r="CD11" i="20" s="1"/>
  <c r="CE10" i="20"/>
  <c r="BH10" i="20"/>
  <c r="BI10" i="20" s="1"/>
  <c r="BE10" i="20"/>
  <c r="BM10" i="20" s="1"/>
  <c r="CP10" i="20"/>
  <c r="AU10" i="20"/>
  <c r="AT10" i="20"/>
  <c r="AS10" i="20"/>
  <c r="AR10" i="20"/>
  <c r="AQ10" i="20"/>
  <c r="AP10" i="20"/>
  <c r="AO10" i="20"/>
  <c r="AN10" i="20"/>
  <c r="AM10" i="20"/>
  <c r="AL10" i="20" a="1"/>
  <c r="AL10" i="20" s="1"/>
  <c r="AK10" i="20"/>
  <c r="CD10" i="20" s="1"/>
  <c r="CE9" i="20"/>
  <c r="BH9" i="20"/>
  <c r="BP9" i="20" s="1"/>
  <c r="BE9" i="20"/>
  <c r="BF9" i="20" s="1"/>
  <c r="CP9" i="20"/>
  <c r="AU9" i="20"/>
  <c r="AT9" i="20"/>
  <c r="AS9" i="20"/>
  <c r="AR9" i="20"/>
  <c r="AQ9" i="20"/>
  <c r="AP9" i="20"/>
  <c r="AO9" i="20"/>
  <c r="AN9" i="20"/>
  <c r="AM9" i="20"/>
  <c r="AL9" i="20" a="1"/>
  <c r="AL9" i="20" s="1"/>
  <c r="AK9" i="20"/>
  <c r="CD9" i="20" s="1"/>
  <c r="CE8" i="20"/>
  <c r="BH8" i="20"/>
  <c r="BI8" i="20" s="1"/>
  <c r="BE8" i="20"/>
  <c r="BM8" i="20" s="1"/>
  <c r="CP8" i="20"/>
  <c r="AU8" i="20"/>
  <c r="AT8" i="20"/>
  <c r="AS8" i="20"/>
  <c r="AR8" i="20"/>
  <c r="AQ8" i="20"/>
  <c r="AP8" i="20"/>
  <c r="AO8" i="20"/>
  <c r="AN8" i="20"/>
  <c r="AM8" i="20"/>
  <c r="AL8" i="20" a="1"/>
  <c r="AL8" i="20" s="1"/>
  <c r="AK8" i="20"/>
  <c r="CD8" i="20" s="1"/>
  <c r="CE7" i="20"/>
  <c r="BM7" i="20"/>
  <c r="BH7" i="20"/>
  <c r="BI7" i="20" s="1"/>
  <c r="BE7" i="20"/>
  <c r="BF7" i="20" s="1"/>
  <c r="CP7" i="20"/>
  <c r="CW136" i="20" s="1"/>
  <c r="AU7" i="20"/>
  <c r="AT7" i="20"/>
  <c r="AS7" i="20"/>
  <c r="AR7" i="20"/>
  <c r="AQ7" i="20"/>
  <c r="AP7" i="20"/>
  <c r="AO7" i="20"/>
  <c r="AN7" i="20"/>
  <c r="AM7" i="20"/>
  <c r="AL7" i="20" a="1"/>
  <c r="AL7" i="20" s="1"/>
  <c r="AK7" i="20"/>
  <c r="CD7" i="20" s="1"/>
  <c r="CB83" i="21" l="1"/>
  <c r="DD132" i="20"/>
  <c r="DA132" i="20"/>
  <c r="DB132" i="20"/>
  <c r="DC132" i="20"/>
  <c r="DE132" i="20"/>
  <c r="BG87" i="20"/>
  <c r="BO87" i="20" s="1"/>
  <c r="BM89" i="20"/>
  <c r="BF71" i="20"/>
  <c r="BF127" i="20"/>
  <c r="BG127" i="20" s="1"/>
  <c r="BO127" i="20" s="1"/>
  <c r="CG136" i="20"/>
  <c r="CH136" i="20"/>
  <c r="CJ136" i="20"/>
  <c r="CK136" i="20"/>
  <c r="CI136" i="20"/>
  <c r="CL136" i="20"/>
  <c r="CE136" i="20"/>
  <c r="CF136" i="20"/>
  <c r="CA20" i="21"/>
  <c r="CD95" i="21"/>
  <c r="CA88" i="21"/>
  <c r="BB66" i="21"/>
  <c r="CD89" i="21"/>
  <c r="BB89" i="21"/>
  <c r="BC89" i="21" s="1"/>
  <c r="BK89" i="21" s="1"/>
  <c r="BI99" i="21"/>
  <c r="BP24" i="20"/>
  <c r="BF81" i="20"/>
  <c r="BN81" i="20" s="1"/>
  <c r="BI87" i="20"/>
  <c r="BC97" i="21"/>
  <c r="BK97" i="21" s="1"/>
  <c r="BG30" i="20"/>
  <c r="BO30" i="20" s="1"/>
  <c r="CE7" i="21"/>
  <c r="CA15" i="21"/>
  <c r="BB15" i="21"/>
  <c r="BJ15" i="21" s="1"/>
  <c r="CD37" i="21"/>
  <c r="CE98" i="21"/>
  <c r="BE37" i="21"/>
  <c r="BF37" i="21" s="1"/>
  <c r="BF26" i="21"/>
  <c r="BN26" i="21" s="1"/>
  <c r="BC91" i="21"/>
  <c r="BK91" i="21" s="1"/>
  <c r="BI83" i="20"/>
  <c r="BJ83" i="20" s="1"/>
  <c r="BR83" i="20" s="1"/>
  <c r="BE54" i="21"/>
  <c r="BM54" i="21" s="1"/>
  <c r="CE54" i="21" s="1"/>
  <c r="BC83" i="21"/>
  <c r="BK83" i="21" s="1"/>
  <c r="CC83" i="21" s="1"/>
  <c r="BF88" i="21"/>
  <c r="BG88" i="21" s="1"/>
  <c r="CA115" i="21"/>
  <c r="BE123" i="21"/>
  <c r="BM123" i="21" s="1"/>
  <c r="BF73" i="20"/>
  <c r="BN73" i="20" s="1"/>
  <c r="BF110" i="20"/>
  <c r="BN110" i="20" s="1"/>
  <c r="BF117" i="20"/>
  <c r="BG117" i="20" s="1"/>
  <c r="BO117" i="20" s="1"/>
  <c r="CA10" i="21"/>
  <c r="BE16" i="21"/>
  <c r="BM16" i="21" s="1"/>
  <c r="CE16" i="21" s="1"/>
  <c r="CA22" i="21"/>
  <c r="BB22" i="21"/>
  <c r="BL32" i="21"/>
  <c r="CD32" i="21" s="1"/>
  <c r="BB48" i="21"/>
  <c r="BJ48" i="21" s="1"/>
  <c r="CB48" i="21" s="1"/>
  <c r="BB55" i="21"/>
  <c r="BC55" i="21" s="1"/>
  <c r="BK55" i="21" s="1"/>
  <c r="BF57" i="21"/>
  <c r="BN57" i="21" s="1"/>
  <c r="CF57" i="21" s="1"/>
  <c r="CD83" i="21"/>
  <c r="CA93" i="21"/>
  <c r="BB93" i="21"/>
  <c r="BC93" i="21" s="1"/>
  <c r="BK93" i="21" s="1"/>
  <c r="CC93" i="21" s="1"/>
  <c r="BI107" i="21"/>
  <c r="BI70" i="20"/>
  <c r="BJ70" i="20" s="1"/>
  <c r="BR70" i="20" s="1"/>
  <c r="BF114" i="20"/>
  <c r="BN114" i="20" s="1"/>
  <c r="BP117" i="20"/>
  <c r="BB7" i="21"/>
  <c r="BC7" i="21" s="1"/>
  <c r="BL7" i="21" s="1"/>
  <c r="BL28" i="21"/>
  <c r="CD28" i="21" s="1"/>
  <c r="CD31" i="21"/>
  <c r="BC31" i="21"/>
  <c r="BK31" i="21" s="1"/>
  <c r="CC31" i="21" s="1"/>
  <c r="CA34" i="21"/>
  <c r="BB34" i="21"/>
  <c r="BC34" i="21" s="1"/>
  <c r="BK34" i="21" s="1"/>
  <c r="CA49" i="21"/>
  <c r="BB49" i="21"/>
  <c r="BI68" i="21"/>
  <c r="CA68" i="21" s="1"/>
  <c r="BE75" i="21"/>
  <c r="BE93" i="21"/>
  <c r="CA18" i="21"/>
  <c r="CD76" i="21"/>
  <c r="BI99" i="20"/>
  <c r="BF118" i="20"/>
  <c r="BN118" i="20" s="1"/>
  <c r="BG122" i="20"/>
  <c r="BO122" i="20" s="1"/>
  <c r="BI53" i="20"/>
  <c r="BJ53" i="20" s="1"/>
  <c r="BK53" i="20" s="1"/>
  <c r="BE15" i="21"/>
  <c r="BM15" i="21" s="1"/>
  <c r="BL18" i="21"/>
  <c r="BI31" i="21"/>
  <c r="CA38" i="21"/>
  <c r="BB38" i="21"/>
  <c r="BC38" i="21" s="1"/>
  <c r="BK38" i="21" s="1"/>
  <c r="BE44" i="21"/>
  <c r="BB67" i="21"/>
  <c r="CA73" i="21"/>
  <c r="BB82" i="21"/>
  <c r="BE97" i="21"/>
  <c r="BI89" i="20"/>
  <c r="BJ89" i="20" s="1"/>
  <c r="BR89" i="20" s="1"/>
  <c r="BF100" i="20"/>
  <c r="BN100" i="20" s="1"/>
  <c r="BI122" i="20"/>
  <c r="BQ122" i="20" s="1"/>
  <c r="BM76" i="21"/>
  <c r="CB87" i="21"/>
  <c r="BE95" i="21"/>
  <c r="BE103" i="21"/>
  <c r="BC107" i="21"/>
  <c r="BK107" i="21" s="1"/>
  <c r="BL110" i="21"/>
  <c r="BE121" i="21"/>
  <c r="BF121" i="21" s="1"/>
  <c r="BC25" i="21"/>
  <c r="BK25" i="21" s="1"/>
  <c r="BB30" i="21"/>
  <c r="BC30" i="21" s="1"/>
  <c r="BK30" i="21" s="1"/>
  <c r="BB45" i="21"/>
  <c r="CA51" i="21"/>
  <c r="BB51" i="21"/>
  <c r="BJ51" i="21" s="1"/>
  <c r="CB51" i="21" s="1"/>
  <c r="BI64" i="21"/>
  <c r="CA64" i="21" s="1"/>
  <c r="BF84" i="21"/>
  <c r="BG84" i="21" s="1"/>
  <c r="BL87" i="21"/>
  <c r="CD87" i="21" s="1"/>
  <c r="BB118" i="21"/>
  <c r="BC118" i="21" s="1"/>
  <c r="BK118" i="21" s="1"/>
  <c r="BI111" i="20"/>
  <c r="BQ111" i="20" s="1"/>
  <c r="BF27" i="20"/>
  <c r="BG27" i="20" s="1"/>
  <c r="BO27" i="20" s="1"/>
  <c r="BF69" i="20"/>
  <c r="BG69" i="20" s="1"/>
  <c r="BO69" i="20" s="1"/>
  <c r="BI78" i="20"/>
  <c r="BJ78" i="20" s="1"/>
  <c r="BJ84" i="20"/>
  <c r="BK84" i="20" s="1"/>
  <c r="BI100" i="20"/>
  <c r="BJ100" i="20" s="1"/>
  <c r="BR100" i="20" s="1"/>
  <c r="BM104" i="20"/>
  <c r="BF60" i="20"/>
  <c r="BG60" i="20" s="1"/>
  <c r="BO60" i="20" s="1"/>
  <c r="BN86" i="20"/>
  <c r="BP106" i="20"/>
  <c r="BI131" i="20"/>
  <c r="BQ131" i="20" s="1"/>
  <c r="CD15" i="21"/>
  <c r="CD53" i="21"/>
  <c r="CC56" i="21"/>
  <c r="CA30" i="21"/>
  <c r="CD113" i="21"/>
  <c r="CB7" i="21"/>
  <c r="CB20" i="21"/>
  <c r="CA43" i="21"/>
  <c r="CD48" i="21"/>
  <c r="CA62" i="21"/>
  <c r="CA53" i="21"/>
  <c r="CD78" i="21"/>
  <c r="CA81" i="21"/>
  <c r="CC38" i="21"/>
  <c r="CC97" i="21"/>
  <c r="CD18" i="21"/>
  <c r="CB24" i="21"/>
  <c r="CA69" i="21"/>
  <c r="CF83" i="21"/>
  <c r="CD93" i="21"/>
  <c r="CE118" i="21"/>
  <c r="CC25" i="21"/>
  <c r="CD27" i="21"/>
  <c r="CA45" i="21"/>
  <c r="CH146" i="20"/>
  <c r="CA11" i="21"/>
  <c r="CA48" i="21"/>
  <c r="CE57" i="21"/>
  <c r="CI146" i="20"/>
  <c r="CA61" i="21"/>
  <c r="CB39" i="21"/>
  <c r="CD68" i="21"/>
  <c r="CE71" i="21"/>
  <c r="CD97" i="21"/>
  <c r="CD112" i="21"/>
  <c r="CI137" i="20"/>
  <c r="CD12" i="21"/>
  <c r="CD23" i="21"/>
  <c r="CD39" i="21"/>
  <c r="CA55" i="21"/>
  <c r="CD90" i="21"/>
  <c r="BF13" i="20"/>
  <c r="BN13" i="20" s="1"/>
  <c r="CL138" i="20"/>
  <c r="BF52" i="20"/>
  <c r="CG146" i="20"/>
  <c r="BI14" i="20"/>
  <c r="BQ14" i="20" s="1"/>
  <c r="BP31" i="20"/>
  <c r="CG140" i="20"/>
  <c r="BI66" i="20"/>
  <c r="BJ66" i="20" s="1"/>
  <c r="BR66" i="20" s="1"/>
  <c r="BP18" i="20"/>
  <c r="BM25" i="20"/>
  <c r="CF139" i="20"/>
  <c r="BG35" i="20"/>
  <c r="BO35" i="20" s="1"/>
  <c r="BI41" i="20"/>
  <c r="CL142" i="20"/>
  <c r="CF145" i="20"/>
  <c r="BP12" i="20"/>
  <c r="BI15" i="20"/>
  <c r="BQ15" i="20" s="1"/>
  <c r="BF19" i="20"/>
  <c r="BG19" i="20" s="1"/>
  <c r="BO19" i="20" s="1"/>
  <c r="CH139" i="20"/>
  <c r="CL143" i="20"/>
  <c r="CE144" i="20"/>
  <c r="CJ138" i="20"/>
  <c r="BM46" i="20"/>
  <c r="CK141" i="20"/>
  <c r="CH145" i="20"/>
  <c r="BP36" i="20"/>
  <c r="BQ7" i="20"/>
  <c r="CJ137" i="20"/>
  <c r="BI16" i="20"/>
  <c r="BJ16" i="20" s="1"/>
  <c r="BP20" i="20"/>
  <c r="BM22" i="20"/>
  <c r="BP25" i="20"/>
  <c r="CE138" i="20"/>
  <c r="CI139" i="20"/>
  <c r="BM38" i="20"/>
  <c r="CH140" i="20"/>
  <c r="CL141" i="20"/>
  <c r="BI54" i="20"/>
  <c r="BJ54" i="20" s="1"/>
  <c r="BK54" i="20" s="1"/>
  <c r="BI65" i="20"/>
  <c r="CE142" i="20"/>
  <c r="BM87" i="20"/>
  <c r="BK89" i="20"/>
  <c r="BS89" i="20" s="1"/>
  <c r="CE143" i="20"/>
  <c r="BP101" i="20"/>
  <c r="BF105" i="20"/>
  <c r="BN105" i="20" s="1"/>
  <c r="CF144" i="20"/>
  <c r="BF119" i="20"/>
  <c r="BG119" i="20" s="1"/>
  <c r="BO119" i="20" s="1"/>
  <c r="CI145" i="20"/>
  <c r="BI126" i="20"/>
  <c r="BQ126" i="20" s="1"/>
  <c r="CJ146" i="20"/>
  <c r="BF130" i="20"/>
  <c r="BN130" i="20" s="1"/>
  <c r="BM132" i="20"/>
  <c r="CK137" i="20"/>
  <c r="CF138" i="20"/>
  <c r="CJ139" i="20"/>
  <c r="CI140" i="20"/>
  <c r="CE141" i="20"/>
  <c r="CF142" i="20"/>
  <c r="CF143" i="20"/>
  <c r="CG144" i="20"/>
  <c r="CJ145" i="20"/>
  <c r="CK146" i="20"/>
  <c r="CG138" i="20"/>
  <c r="BI28" i="20"/>
  <c r="CK139" i="20"/>
  <c r="BI42" i="20"/>
  <c r="BQ42" i="20" s="1"/>
  <c r="CJ140" i="20"/>
  <c r="BI49" i="20"/>
  <c r="CF141" i="20"/>
  <c r="CG142" i="20"/>
  <c r="BF88" i="20"/>
  <c r="BN88" i="20" s="1"/>
  <c r="BF92" i="20"/>
  <c r="BN92" i="20" s="1"/>
  <c r="CG143" i="20"/>
  <c r="BI97" i="20"/>
  <c r="BJ97" i="20" s="1"/>
  <c r="BR97" i="20" s="1"/>
  <c r="BF103" i="20"/>
  <c r="BG103" i="20" s="1"/>
  <c r="BO103" i="20" s="1"/>
  <c r="CH144" i="20"/>
  <c r="BI119" i="20"/>
  <c r="CK145" i="20"/>
  <c r="CL146" i="20"/>
  <c r="BI130" i="20"/>
  <c r="BQ130" i="20" s="1"/>
  <c r="CL139" i="20"/>
  <c r="CG141" i="20"/>
  <c r="CH142" i="20"/>
  <c r="CH143" i="20"/>
  <c r="CI144" i="20"/>
  <c r="CL145" i="20"/>
  <c r="CE146" i="20"/>
  <c r="CL137" i="20"/>
  <c r="CE137" i="20"/>
  <c r="BP19" i="20"/>
  <c r="CH138" i="20"/>
  <c r="CK140" i="20"/>
  <c r="CF137" i="20"/>
  <c r="BM12" i="20"/>
  <c r="BQ19" i="20"/>
  <c r="BG22" i="20"/>
  <c r="BO22" i="20" s="1"/>
  <c r="CI138" i="20"/>
  <c r="CE139" i="20"/>
  <c r="CL140" i="20"/>
  <c r="CH141" i="20"/>
  <c r="CI142" i="20"/>
  <c r="BF90" i="20"/>
  <c r="BG90" i="20" s="1"/>
  <c r="BO90" i="20" s="1"/>
  <c r="BI95" i="20"/>
  <c r="BJ95" i="20" s="1"/>
  <c r="BR95" i="20" s="1"/>
  <c r="CI143" i="20"/>
  <c r="BP109" i="20"/>
  <c r="CJ144" i="20"/>
  <c r="BF115" i="20"/>
  <c r="BG115" i="20" s="1"/>
  <c r="BO115" i="20" s="1"/>
  <c r="CE145" i="20"/>
  <c r="CF146" i="20"/>
  <c r="CG137" i="20"/>
  <c r="CE140" i="20"/>
  <c r="CJ142" i="20"/>
  <c r="CJ143" i="20"/>
  <c r="CK144" i="20"/>
  <c r="CI141" i="20"/>
  <c r="CH137" i="20"/>
  <c r="BI22" i="20"/>
  <c r="CK138" i="20"/>
  <c r="CG139" i="20"/>
  <c r="CF140" i="20"/>
  <c r="BF48" i="20"/>
  <c r="BG48" i="20" s="1"/>
  <c r="BO48" i="20" s="1"/>
  <c r="CJ141" i="20"/>
  <c r="BF56" i="20"/>
  <c r="BN56" i="20" s="1"/>
  <c r="BF65" i="20"/>
  <c r="BG65" i="20" s="1"/>
  <c r="BO65" i="20" s="1"/>
  <c r="CK142" i="20"/>
  <c r="BI72" i="20"/>
  <c r="BJ72" i="20" s="1"/>
  <c r="BR72" i="20" s="1"/>
  <c r="BI93" i="20"/>
  <c r="BQ93" i="20" s="1"/>
  <c r="BF96" i="20"/>
  <c r="BG96" i="20" s="1"/>
  <c r="BO96" i="20" s="1"/>
  <c r="CK143" i="20"/>
  <c r="CL144" i="20"/>
  <c r="BI115" i="20"/>
  <c r="BQ115" i="20" s="1"/>
  <c r="BG118" i="20"/>
  <c r="BO118" i="20" s="1"/>
  <c r="CG145" i="20"/>
  <c r="BI120" i="20"/>
  <c r="BJ120" i="20" s="1"/>
  <c r="BK120" i="20" s="1"/>
  <c r="BJ122" i="20"/>
  <c r="BR122" i="20" s="1"/>
  <c r="BF126" i="20"/>
  <c r="BN126" i="20" s="1"/>
  <c r="CD86" i="21"/>
  <c r="BJ99" i="21"/>
  <c r="CB99" i="21" s="1"/>
  <c r="BC99" i="21"/>
  <c r="BK99" i="21" s="1"/>
  <c r="CC99" i="21" s="1"/>
  <c r="CD116" i="21"/>
  <c r="CE123" i="21"/>
  <c r="BE12" i="21"/>
  <c r="BF12" i="21" s="1"/>
  <c r="BC15" i="21"/>
  <c r="BK15" i="21" s="1"/>
  <c r="CC15" i="21" s="1"/>
  <c r="BF16" i="21"/>
  <c r="BN16" i="21" s="1"/>
  <c r="CF16" i="21" s="1"/>
  <c r="CD20" i="21"/>
  <c r="CD29" i="21"/>
  <c r="BI42" i="21"/>
  <c r="CA42" i="21" s="1"/>
  <c r="BB61" i="21"/>
  <c r="BL73" i="21"/>
  <c r="CD73" i="21" s="1"/>
  <c r="BE78" i="21"/>
  <c r="BG83" i="21"/>
  <c r="BE85" i="21"/>
  <c r="BN88" i="21"/>
  <c r="CF88" i="21" s="1"/>
  <c r="BI98" i="21"/>
  <c r="CA98" i="21" s="1"/>
  <c r="BL101" i="21"/>
  <c r="CD101" i="21" s="1"/>
  <c r="BE112" i="21"/>
  <c r="BF112" i="21" s="1"/>
  <c r="BI124" i="21"/>
  <c r="CA124" i="21" s="1"/>
  <c r="BE127" i="21"/>
  <c r="BF127" i="21" s="1"/>
  <c r="CD7" i="21"/>
  <c r="BI9" i="21"/>
  <c r="CA9" i="21" s="1"/>
  <c r="CC34" i="21"/>
  <c r="BI40" i="21"/>
  <c r="CA40" i="21" s="1"/>
  <c r="CD54" i="21"/>
  <c r="BI80" i="21"/>
  <c r="CA80" i="21" s="1"/>
  <c r="CD110" i="21"/>
  <c r="CC118" i="21"/>
  <c r="CD123" i="21"/>
  <c r="CD128" i="21"/>
  <c r="CD25" i="21"/>
  <c r="CA28" i="21"/>
  <c r="CC30" i="21"/>
  <c r="CD38" i="21"/>
  <c r="CC89" i="21"/>
  <c r="BB10" i="21"/>
  <c r="BB28" i="21"/>
  <c r="BC28" i="21" s="1"/>
  <c r="BK28" i="21" s="1"/>
  <c r="CC28" i="21" s="1"/>
  <c r="BL34" i="21"/>
  <c r="CD34" i="21" s="1"/>
  <c r="CD43" i="21"/>
  <c r="BF54" i="21"/>
  <c r="BN54" i="21" s="1"/>
  <c r="CF54" i="21" s="1"/>
  <c r="BB62" i="21"/>
  <c r="BB70" i="21"/>
  <c r="BB75" i="21"/>
  <c r="CA79" i="21"/>
  <c r="BB79" i="21"/>
  <c r="BC79" i="21" s="1"/>
  <c r="BK79" i="21" s="1"/>
  <c r="CC79" i="21" s="1"/>
  <c r="CD96" i="21"/>
  <c r="BJ118" i="21"/>
  <c r="CB118" i="21" s="1"/>
  <c r="BF123" i="21"/>
  <c r="BB126" i="21"/>
  <c r="BC126" i="21" s="1"/>
  <c r="BK126" i="21" s="1"/>
  <c r="CC126" i="21" s="1"/>
  <c r="BE128" i="21"/>
  <c r="BM128" i="21" s="1"/>
  <c r="CE128" i="21" s="1"/>
  <c r="CA7" i="21"/>
  <c r="CA136" i="21" s="1"/>
  <c r="BB14" i="21"/>
  <c r="BJ14" i="21" s="1"/>
  <c r="CB14" i="21" s="1"/>
  <c r="CA17" i="21"/>
  <c r="BE19" i="21"/>
  <c r="BM19" i="21" s="1"/>
  <c r="CE19" i="21" s="1"/>
  <c r="BC24" i="21"/>
  <c r="BK24" i="21" s="1"/>
  <c r="CC24" i="21" s="1"/>
  <c r="CE26" i="21"/>
  <c r="BJ30" i="21"/>
  <c r="CB30" i="21" s="1"/>
  <c r="CA39" i="21"/>
  <c r="BE49" i="21"/>
  <c r="BM49" i="21" s="1"/>
  <c r="CE49" i="21" s="1"/>
  <c r="CA57" i="21"/>
  <c r="BB57" i="21"/>
  <c r="BE58" i="21"/>
  <c r="BL59" i="21"/>
  <c r="CD59" i="21" s="1"/>
  <c r="CA65" i="21"/>
  <c r="BB65" i="21"/>
  <c r="CD79" i="21"/>
  <c r="BB81" i="21"/>
  <c r="BJ81" i="21" s="1"/>
  <c r="CB81" i="21" s="1"/>
  <c r="CE84" i="21"/>
  <c r="BE86" i="21"/>
  <c r="BM86" i="21" s="1"/>
  <c r="CE86" i="21" s="1"/>
  <c r="BE89" i="21"/>
  <c r="BF89" i="21" s="1"/>
  <c r="BE96" i="21"/>
  <c r="BF96" i="21" s="1"/>
  <c r="BI100" i="21"/>
  <c r="CA100" i="21" s="1"/>
  <c r="CD103" i="21"/>
  <c r="BJ109" i="21"/>
  <c r="CB109" i="21" s="1"/>
  <c r="BE113" i="21"/>
  <c r="BI132" i="21"/>
  <c r="CA132" i="21" s="1"/>
  <c r="CF26" i="21"/>
  <c r="CA46" i="21"/>
  <c r="CA89" i="21"/>
  <c r="CD94" i="21"/>
  <c r="CD99" i="21"/>
  <c r="CC107" i="21"/>
  <c r="CA99" i="21"/>
  <c r="BB12" i="21"/>
  <c r="BJ12" i="21" s="1"/>
  <c r="CB12" i="21" s="1"/>
  <c r="CB25" i="21"/>
  <c r="BG26" i="21"/>
  <c r="BH26" i="21" s="1"/>
  <c r="BP26" i="21" s="1"/>
  <c r="CH26" i="21" s="1"/>
  <c r="BE35" i="21"/>
  <c r="BF35" i="21" s="1"/>
  <c r="BN35" i="21" s="1"/>
  <c r="CF35" i="21" s="1"/>
  <c r="BB46" i="21"/>
  <c r="BC48" i="21"/>
  <c r="BK48" i="21" s="1"/>
  <c r="CC48" i="21" s="1"/>
  <c r="BB50" i="21"/>
  <c r="CE53" i="21"/>
  <c r="BI58" i="21"/>
  <c r="CA58" i="21" s="1"/>
  <c r="CA63" i="21"/>
  <c r="CA66" i="21"/>
  <c r="BE70" i="21"/>
  <c r="BM70" i="21" s="1"/>
  <c r="CE70" i="21" s="1"/>
  <c r="BB73" i="21"/>
  <c r="BB78" i="21"/>
  <c r="BJ78" i="21" s="1"/>
  <c r="CB78" i="21" s="1"/>
  <c r="CE88" i="21"/>
  <c r="BE94" i="21"/>
  <c r="CB97" i="21"/>
  <c r="BE99" i="21"/>
  <c r="BB101" i="21"/>
  <c r="BB112" i="21"/>
  <c r="BE119" i="21"/>
  <c r="BM119" i="21" s="1"/>
  <c r="CE119" i="21" s="1"/>
  <c r="CD127" i="21"/>
  <c r="BB127" i="21"/>
  <c r="BN7" i="20"/>
  <c r="BI9" i="20"/>
  <c r="BF14" i="20"/>
  <c r="BF15" i="20"/>
  <c r="BF21" i="20"/>
  <c r="BG23" i="20"/>
  <c r="BO23" i="20" s="1"/>
  <c r="BN25" i="20"/>
  <c r="BI33" i="20"/>
  <c r="BI40" i="20"/>
  <c r="BM47" i="20"/>
  <c r="BF75" i="20"/>
  <c r="BG75" i="20" s="1"/>
  <c r="BO75" i="20" s="1"/>
  <c r="BI80" i="20"/>
  <c r="BJ80" i="20" s="1"/>
  <c r="BK80" i="20" s="1"/>
  <c r="BG83" i="20"/>
  <c r="BO83" i="20" s="1"/>
  <c r="BF98" i="20"/>
  <c r="BG98" i="20" s="1"/>
  <c r="BO98" i="20" s="1"/>
  <c r="BF102" i="20"/>
  <c r="BG102" i="20" s="1"/>
  <c r="BO102" i="20" s="1"/>
  <c r="BI104" i="20"/>
  <c r="BF107" i="20"/>
  <c r="BG110" i="20"/>
  <c r="BO110" i="20" s="1"/>
  <c r="BF113" i="20"/>
  <c r="BI114" i="20"/>
  <c r="BM120" i="20"/>
  <c r="BF123" i="20"/>
  <c r="BG123" i="20" s="1"/>
  <c r="BO123" i="20" s="1"/>
  <c r="BP125" i="20"/>
  <c r="BI128" i="20"/>
  <c r="BJ128" i="20" s="1"/>
  <c r="BR128" i="20" s="1"/>
  <c r="BF131" i="20"/>
  <c r="BG131" i="20" s="1"/>
  <c r="BO131" i="20" s="1"/>
  <c r="BI132" i="20"/>
  <c r="BJ132" i="20" s="1"/>
  <c r="AA135" i="20"/>
  <c r="BM31" i="20"/>
  <c r="BQ105" i="20"/>
  <c r="BM108" i="20"/>
  <c r="BF8" i="20"/>
  <c r="BF17" i="20"/>
  <c r="BF39" i="20"/>
  <c r="BG39" i="20" s="1"/>
  <c r="BO39" i="20" s="1"/>
  <c r="BI61" i="20"/>
  <c r="BJ61" i="20" s="1"/>
  <c r="BR61" i="20" s="1"/>
  <c r="BF64" i="20"/>
  <c r="BP73" i="20"/>
  <c r="BJ92" i="20"/>
  <c r="BK92" i="20" s="1"/>
  <c r="BF106" i="20"/>
  <c r="BI107" i="20"/>
  <c r="BI11" i="20"/>
  <c r="BF26" i="20"/>
  <c r="BP27" i="20"/>
  <c r="BF29" i="20"/>
  <c r="BG29" i="20" s="1"/>
  <c r="BO29" i="20" s="1"/>
  <c r="BI30" i="20"/>
  <c r="BM35" i="20"/>
  <c r="BJ48" i="20"/>
  <c r="BI57" i="20"/>
  <c r="BJ69" i="20"/>
  <c r="BQ70" i="20"/>
  <c r="BI76" i="20"/>
  <c r="BJ76" i="20" s="1"/>
  <c r="BK76" i="20" s="1"/>
  <c r="BF79" i="20"/>
  <c r="BG79" i="20" s="1"/>
  <c r="BO79" i="20" s="1"/>
  <c r="BG85" i="20"/>
  <c r="BO85" i="20" s="1"/>
  <c r="BJ88" i="20"/>
  <c r="BK88" i="20" s="1"/>
  <c r="BL88" i="20" s="1"/>
  <c r="BT88" i="20" s="1"/>
  <c r="BN89" i="20"/>
  <c r="BP92" i="20"/>
  <c r="BI112" i="20"/>
  <c r="BP116" i="20"/>
  <c r="BI118" i="20"/>
  <c r="BJ118" i="20" s="1"/>
  <c r="BI124" i="20"/>
  <c r="BJ124" i="20" s="1"/>
  <c r="BJ14" i="20"/>
  <c r="BJ37" i="20"/>
  <c r="BF41" i="20"/>
  <c r="BG41" i="20" s="1"/>
  <c r="BO41" i="20" s="1"/>
  <c r="BP88" i="20"/>
  <c r="BM112" i="20"/>
  <c r="BN127" i="20"/>
  <c r="BF20" i="20"/>
  <c r="BN20" i="20" s="1"/>
  <c r="BI21" i="20"/>
  <c r="BJ35" i="20"/>
  <c r="BK35" i="20" s="1"/>
  <c r="BS35" i="20" s="1"/>
  <c r="BK70" i="20"/>
  <c r="BG72" i="20"/>
  <c r="BO72" i="20" s="1"/>
  <c r="BI91" i="20"/>
  <c r="BJ91" i="20" s="1"/>
  <c r="BF97" i="20"/>
  <c r="BF99" i="20"/>
  <c r="BG99" i="20" s="1"/>
  <c r="BO99" i="20" s="1"/>
  <c r="BF111" i="20"/>
  <c r="BF121" i="20"/>
  <c r="BI127" i="20"/>
  <c r="BF129" i="20"/>
  <c r="BP48" i="20"/>
  <c r="BF10" i="20"/>
  <c r="BG10" i="20" s="1"/>
  <c r="BO10" i="20" s="1"/>
  <c r="BF16" i="20"/>
  <c r="BP17" i="20"/>
  <c r="BQ20" i="20"/>
  <c r="BF28" i="20"/>
  <c r="BI29" i="20"/>
  <c r="BF33" i="20"/>
  <c r="BI34" i="20"/>
  <c r="BJ34" i="20" s="1"/>
  <c r="BK34" i="20" s="1"/>
  <c r="BF40" i="20"/>
  <c r="BG40" i="20" s="1"/>
  <c r="BO40" i="20" s="1"/>
  <c r="BP44" i="20"/>
  <c r="BG47" i="20"/>
  <c r="BO47" i="20" s="1"/>
  <c r="BI68" i="20"/>
  <c r="BP69" i="20"/>
  <c r="BM72" i="20"/>
  <c r="BI74" i="20"/>
  <c r="BQ74" i="20" s="1"/>
  <c r="BF77" i="20"/>
  <c r="BG77" i="20" s="1"/>
  <c r="BO77" i="20" s="1"/>
  <c r="BI82" i="20"/>
  <c r="BQ82" i="20" s="1"/>
  <c r="BF84" i="20"/>
  <c r="BI85" i="20"/>
  <c r="BJ85" i="20" s="1"/>
  <c r="BG105" i="20"/>
  <c r="BO105" i="20" s="1"/>
  <c r="BJ111" i="20"/>
  <c r="BK111" i="20" s="1"/>
  <c r="BG114" i="20"/>
  <c r="BO114" i="20" s="1"/>
  <c r="BF125" i="20"/>
  <c r="BG125" i="20" s="1"/>
  <c r="BO125" i="20" s="1"/>
  <c r="BL102" i="21"/>
  <c r="CD102" i="21" s="1"/>
  <c r="BE102" i="21"/>
  <c r="BE23" i="21"/>
  <c r="CA37" i="21"/>
  <c r="BE43" i="21"/>
  <c r="BM44" i="21"/>
  <c r="CE44" i="21" s="1"/>
  <c r="BF44" i="21"/>
  <c r="BE52" i="21"/>
  <c r="BL52" i="21"/>
  <c r="CD52" i="21" s="1"/>
  <c r="BB63" i="21"/>
  <c r="BC82" i="21"/>
  <c r="BK82" i="21" s="1"/>
  <c r="CC82" i="21" s="1"/>
  <c r="BJ82" i="21"/>
  <c r="CB82" i="21" s="1"/>
  <c r="BE7" i="21"/>
  <c r="BN7" i="21" s="1"/>
  <c r="CF7" i="21" s="1"/>
  <c r="BL13" i="21"/>
  <c r="CD13" i="21" s="1"/>
  <c r="BE13" i="21"/>
  <c r="BM13" i="21" s="1"/>
  <c r="CE13" i="21" s="1"/>
  <c r="BC14" i="21"/>
  <c r="BK14" i="21" s="1"/>
  <c r="CC14" i="21" s="1"/>
  <c r="CB15" i="21"/>
  <c r="CB23" i="21"/>
  <c r="BM25" i="21"/>
  <c r="CE25" i="21" s="1"/>
  <c r="BB27" i="21"/>
  <c r="BC27" i="21" s="1"/>
  <c r="BK27" i="21" s="1"/>
  <c r="CC27" i="21" s="1"/>
  <c r="BL30" i="21"/>
  <c r="CD30" i="21" s="1"/>
  <c r="BE30" i="21"/>
  <c r="CE31" i="21"/>
  <c r="BC39" i="21"/>
  <c r="BK39" i="21" s="1"/>
  <c r="CC39" i="21" s="1"/>
  <c r="BB43" i="21"/>
  <c r="BJ43" i="21" s="1"/>
  <c r="CB43" i="21" s="1"/>
  <c r="BL46" i="21"/>
  <c r="CD46" i="21" s="1"/>
  <c r="BE46" i="21"/>
  <c r="BM46" i="21" s="1"/>
  <c r="CE46" i="21" s="1"/>
  <c r="CA47" i="21"/>
  <c r="BE51" i="21"/>
  <c r="BL51" i="21"/>
  <c r="CD51" i="21" s="1"/>
  <c r="BJ65" i="21"/>
  <c r="CB65" i="21" s="1"/>
  <c r="BC65" i="21"/>
  <c r="BK65" i="21" s="1"/>
  <c r="CC65" i="21" s="1"/>
  <c r="CA70" i="21"/>
  <c r="BJ22" i="21"/>
  <c r="CB22" i="21" s="1"/>
  <c r="BC22" i="21"/>
  <c r="BK22" i="21" s="1"/>
  <c r="CC22" i="21" s="1"/>
  <c r="CD44" i="21"/>
  <c r="BL21" i="21"/>
  <c r="CD21" i="21" s="1"/>
  <c r="BE21" i="21"/>
  <c r="BM21" i="21" s="1"/>
  <c r="CE21" i="21" s="1"/>
  <c r="BE27" i="21"/>
  <c r="BK7" i="21"/>
  <c r="CC7" i="21" s="1"/>
  <c r="BL8" i="21"/>
  <c r="CD8" i="21" s="1"/>
  <c r="BE8" i="21"/>
  <c r="CE15" i="21"/>
  <c r="BI24" i="21"/>
  <c r="CA24" i="21" s="1"/>
  <c r="CA29" i="21"/>
  <c r="CE32" i="21"/>
  <c r="BB37" i="21"/>
  <c r="BL40" i="21"/>
  <c r="CD40" i="21" s="1"/>
  <c r="BM41" i="21"/>
  <c r="CE41" i="21" s="1"/>
  <c r="BF41" i="21"/>
  <c r="BN41" i="21" s="1"/>
  <c r="CF41" i="21" s="1"/>
  <c r="CC55" i="21"/>
  <c r="BJ66" i="21"/>
  <c r="CB66" i="21" s="1"/>
  <c r="BC66" i="21"/>
  <c r="BK66" i="21" s="1"/>
  <c r="CC66" i="21" s="1"/>
  <c r="CD70" i="21"/>
  <c r="CA85" i="21"/>
  <c r="BE39" i="21"/>
  <c r="BF15" i="21"/>
  <c r="BG15" i="21" s="1"/>
  <c r="BB18" i="21"/>
  <c r="BJ29" i="21"/>
  <c r="CB29" i="21" s="1"/>
  <c r="BC29" i="21"/>
  <c r="BK29" i="21" s="1"/>
  <c r="CC29" i="21" s="1"/>
  <c r="CA31" i="21"/>
  <c r="BF32" i="21"/>
  <c r="BG32" i="21" s="1"/>
  <c r="BG35" i="21"/>
  <c r="BH35" i="21" s="1"/>
  <c r="BP35" i="21" s="1"/>
  <c r="CH35" i="21" s="1"/>
  <c r="CE55" i="21"/>
  <c r="CD66" i="21"/>
  <c r="CA67" i="21"/>
  <c r="BL111" i="21"/>
  <c r="CD111" i="21" s="1"/>
  <c r="BE111" i="21"/>
  <c r="BM111" i="21" s="1"/>
  <c r="CE111" i="21" s="1"/>
  <c r="BE24" i="21"/>
  <c r="BM24" i="21" s="1"/>
  <c r="CE24" i="21" s="1"/>
  <c r="BL24" i="21"/>
  <c r="CD24" i="21" s="1"/>
  <c r="BI36" i="21"/>
  <c r="CA36" i="21" s="1"/>
  <c r="BB36" i="21"/>
  <c r="BC36" i="21" s="1"/>
  <c r="BK36" i="21" s="1"/>
  <c r="CC36" i="21" s="1"/>
  <c r="BE48" i="21"/>
  <c r="BF48" i="21" s="1"/>
  <c r="BG48" i="21" s="1"/>
  <c r="BE68" i="21"/>
  <c r="BI19" i="21"/>
  <c r="CA19" i="21" s="1"/>
  <c r="BB19" i="21"/>
  <c r="BC19" i="21" s="1"/>
  <c r="BK19" i="21" s="1"/>
  <c r="CC19" i="21" s="1"/>
  <c r="CB31" i="21"/>
  <c r="BJ49" i="21"/>
  <c r="CB49" i="21" s="1"/>
  <c r="BC49" i="21"/>
  <c r="BK49" i="21" s="1"/>
  <c r="CC49" i="21" s="1"/>
  <c r="BL50" i="21"/>
  <c r="CD50" i="21" s="1"/>
  <c r="BE50" i="21"/>
  <c r="BL64" i="21"/>
  <c r="CD64" i="21" s="1"/>
  <c r="BE64" i="21"/>
  <c r="BM78" i="21"/>
  <c r="CE78" i="21" s="1"/>
  <c r="BF78" i="21"/>
  <c r="BB33" i="21"/>
  <c r="BI33" i="21"/>
  <c r="CA33" i="21" s="1"/>
  <c r="BB11" i="21"/>
  <c r="BC11" i="21" s="1"/>
  <c r="BK11" i="21" s="1"/>
  <c r="CC11" i="21" s="1"/>
  <c r="CA12" i="21"/>
  <c r="CA14" i="21"/>
  <c r="BE29" i="21"/>
  <c r="BF29" i="21" s="1"/>
  <c r="BE38" i="21"/>
  <c r="CD49" i="21"/>
  <c r="BL67" i="21"/>
  <c r="CD67" i="21" s="1"/>
  <c r="BE67" i="21"/>
  <c r="BI71" i="21"/>
  <c r="CA71" i="21" s="1"/>
  <c r="BB71" i="21"/>
  <c r="BM89" i="21"/>
  <c r="CE89" i="21" s="1"/>
  <c r="BL47" i="21"/>
  <c r="CD47" i="21" s="1"/>
  <c r="BE47" i="21"/>
  <c r="BL11" i="21"/>
  <c r="CD11" i="21" s="1"/>
  <c r="BE11" i="21"/>
  <c r="BC12" i="21"/>
  <c r="BK12" i="21" s="1"/>
  <c r="CC12" i="21" s="1"/>
  <c r="CA27" i="21"/>
  <c r="CB117" i="21"/>
  <c r="CB56" i="21"/>
  <c r="BI74" i="21"/>
  <c r="CA74" i="21" s="1"/>
  <c r="BB74" i="21"/>
  <c r="BM75" i="21"/>
  <c r="CE75" i="21" s="1"/>
  <c r="BF75" i="21"/>
  <c r="BG75" i="21" s="1"/>
  <c r="BM79" i="21"/>
  <c r="CE79" i="21" s="1"/>
  <c r="BF79" i="21"/>
  <c r="BM92" i="21"/>
  <c r="CE92" i="21" s="1"/>
  <c r="BF92" i="21"/>
  <c r="BF128" i="21"/>
  <c r="CD58" i="21"/>
  <c r="BJ61" i="21"/>
  <c r="CB61" i="21" s="1"/>
  <c r="BC61" i="21"/>
  <c r="BK61" i="21" s="1"/>
  <c r="CC61" i="21" s="1"/>
  <c r="CD62" i="21"/>
  <c r="BL63" i="21"/>
  <c r="CD63" i="21" s="1"/>
  <c r="BE63" i="21"/>
  <c r="BJ73" i="21"/>
  <c r="CB73" i="21" s="1"/>
  <c r="BC73" i="21"/>
  <c r="BK73" i="21" s="1"/>
  <c r="CC73" i="21" s="1"/>
  <c r="BI86" i="21"/>
  <c r="CA86" i="21" s="1"/>
  <c r="BB86" i="21"/>
  <c r="CC91" i="21"/>
  <c r="BG57" i="21"/>
  <c r="BO57" i="21" s="1"/>
  <c r="CG57" i="21" s="1"/>
  <c r="BB59" i="21"/>
  <c r="BC59" i="21" s="1"/>
  <c r="BK59" i="21" s="1"/>
  <c r="CC59" i="21" s="1"/>
  <c r="BI59" i="21"/>
  <c r="CA59" i="21" s="1"/>
  <c r="CD71" i="21"/>
  <c r="BB72" i="21"/>
  <c r="BI72" i="21"/>
  <c r="CA72" i="21" s="1"/>
  <c r="CA82" i="21"/>
  <c r="BC45" i="21"/>
  <c r="BK45" i="21" s="1"/>
  <c r="CC45" i="21" s="1"/>
  <c r="BJ45" i="21"/>
  <c r="CB45" i="21" s="1"/>
  <c r="BM59" i="21"/>
  <c r="CE59" i="21" s="1"/>
  <c r="BF59" i="21"/>
  <c r="BG59" i="21" s="1"/>
  <c r="BE60" i="21"/>
  <c r="BL60" i="21"/>
  <c r="CD60" i="21" s="1"/>
  <c r="BL72" i="21"/>
  <c r="CD72" i="21" s="1"/>
  <c r="BE72" i="21"/>
  <c r="BF72" i="21" s="1"/>
  <c r="CA75" i="21"/>
  <c r="BF49" i="21"/>
  <c r="CA50" i="21"/>
  <c r="BB54" i="21"/>
  <c r="BC54" i="21" s="1"/>
  <c r="BK54" i="21" s="1"/>
  <c r="CC54" i="21" s="1"/>
  <c r="BI54" i="21"/>
  <c r="CA54" i="21" s="1"/>
  <c r="CD75" i="21"/>
  <c r="BI84" i="21"/>
  <c r="CA84" i="21" s="1"/>
  <c r="BB84" i="21"/>
  <c r="BJ88" i="21"/>
  <c r="CB88" i="21" s="1"/>
  <c r="BC88" i="21"/>
  <c r="BK88" i="21" s="1"/>
  <c r="CC88" i="21" s="1"/>
  <c r="BI94" i="21"/>
  <c r="CA94" i="21" s="1"/>
  <c r="BB94" i="21"/>
  <c r="BC94" i="21" s="1"/>
  <c r="BK94" i="21" s="1"/>
  <c r="CC94" i="21" s="1"/>
  <c r="CA96" i="21"/>
  <c r="CA101" i="21"/>
  <c r="CE76" i="21"/>
  <c r="BI77" i="21"/>
  <c r="CA77" i="21" s="1"/>
  <c r="BB77" i="21"/>
  <c r="CA78" i="21"/>
  <c r="BL80" i="21"/>
  <c r="CD80" i="21" s="1"/>
  <c r="BE80" i="21"/>
  <c r="BF80" i="21" s="1"/>
  <c r="BG80" i="21" s="1"/>
  <c r="BO83" i="21"/>
  <c r="CG83" i="21" s="1"/>
  <c r="BH83" i="21"/>
  <c r="BP83" i="21" s="1"/>
  <c r="CH83" i="21" s="1"/>
  <c r="CA107" i="21"/>
  <c r="BI122" i="21"/>
  <c r="CA122" i="21" s="1"/>
  <c r="BB122" i="21"/>
  <c r="BL131" i="21"/>
  <c r="CD131" i="21" s="1"/>
  <c r="BE131" i="21"/>
  <c r="BB53" i="21"/>
  <c r="BC53" i="21" s="1"/>
  <c r="BK53" i="21" s="1"/>
  <c r="CC53" i="21" s="1"/>
  <c r="BE62" i="21"/>
  <c r="BL74" i="21"/>
  <c r="CD74" i="21" s="1"/>
  <c r="BE74" i="21"/>
  <c r="BC78" i="21"/>
  <c r="BK78" i="21" s="1"/>
  <c r="CC78" i="21" s="1"/>
  <c r="BH88" i="21"/>
  <c r="BP88" i="21" s="1"/>
  <c r="CH88" i="21" s="1"/>
  <c r="BO88" i="21"/>
  <c r="CG88" i="21" s="1"/>
  <c r="BM93" i="21"/>
  <c r="CE93" i="21" s="1"/>
  <c r="BF93" i="21"/>
  <c r="BM94" i="21"/>
  <c r="CE94" i="21" s="1"/>
  <c r="BF94" i="21"/>
  <c r="BN94" i="21" s="1"/>
  <c r="CF94" i="21" s="1"/>
  <c r="BF95" i="21"/>
  <c r="BM95" i="21"/>
  <c r="CE95" i="21" s="1"/>
  <c r="CB105" i="21"/>
  <c r="BI130" i="21"/>
  <c r="CA130" i="21" s="1"/>
  <c r="BB130" i="21"/>
  <c r="BE66" i="21"/>
  <c r="BB69" i="21"/>
  <c r="BF70" i="21"/>
  <c r="BF71" i="21"/>
  <c r="BC81" i="21"/>
  <c r="BK81" i="21" s="1"/>
  <c r="CC81" i="21" s="1"/>
  <c r="BM83" i="21"/>
  <c r="CE83" i="21" s="1"/>
  <c r="BB85" i="21"/>
  <c r="BL88" i="21"/>
  <c r="CD88" i="21" s="1"/>
  <c r="BJ93" i="21"/>
  <c r="CB93" i="21" s="1"/>
  <c r="BL105" i="21"/>
  <c r="CD105" i="21" s="1"/>
  <c r="BE105" i="21"/>
  <c r="BI119" i="21"/>
  <c r="CA119" i="21" s="1"/>
  <c r="BB119" i="21"/>
  <c r="BC119" i="21" s="1"/>
  <c r="BK119" i="21" s="1"/>
  <c r="CC119" i="21" s="1"/>
  <c r="BB120" i="21"/>
  <c r="CD121" i="21"/>
  <c r="BG123" i="21"/>
  <c r="BH123" i="21" s="1"/>
  <c r="BP123" i="21" s="1"/>
  <c r="CH123" i="21" s="1"/>
  <c r="BN123" i="21"/>
  <c r="CF123" i="21" s="1"/>
  <c r="BI102" i="21"/>
  <c r="CA102" i="21" s="1"/>
  <c r="BB102" i="21"/>
  <c r="BI103" i="21"/>
  <c r="CA103" i="21" s="1"/>
  <c r="BB103" i="21"/>
  <c r="BC103" i="21" s="1"/>
  <c r="BK103" i="21" s="1"/>
  <c r="CC103" i="21" s="1"/>
  <c r="BI104" i="21"/>
  <c r="CA104" i="21" s="1"/>
  <c r="BB104" i="21"/>
  <c r="CC109" i="21"/>
  <c r="CA118" i="21"/>
  <c r="CA127" i="21"/>
  <c r="BL82" i="21"/>
  <c r="CD82" i="21" s="1"/>
  <c r="BE82" i="21"/>
  <c r="BM85" i="21"/>
  <c r="CE85" i="21" s="1"/>
  <c r="BF85" i="21"/>
  <c r="BG85" i="21" s="1"/>
  <c r="BI90" i="21"/>
  <c r="CA90" i="21" s="1"/>
  <c r="BB90" i="21"/>
  <c r="BJ90" i="21" s="1"/>
  <c r="CB90" i="21" s="1"/>
  <c r="CB91" i="21"/>
  <c r="BI92" i="21"/>
  <c r="CA92" i="21" s="1"/>
  <c r="BB92" i="21"/>
  <c r="BI110" i="21"/>
  <c r="CA110" i="21" s="1"/>
  <c r="BB110" i="21"/>
  <c r="BC110" i="21" s="1"/>
  <c r="BK110" i="21" s="1"/>
  <c r="CC110" i="21" s="1"/>
  <c r="BI111" i="21"/>
  <c r="CA111" i="21" s="1"/>
  <c r="BB111" i="21"/>
  <c r="BC111" i="21" s="1"/>
  <c r="BK111" i="21" s="1"/>
  <c r="CC111" i="21" s="1"/>
  <c r="BF113" i="21"/>
  <c r="BG113" i="21" s="1"/>
  <c r="BM113" i="21"/>
  <c r="CE113" i="21" s="1"/>
  <c r="CA126" i="21"/>
  <c r="BI128" i="21"/>
  <c r="CA128" i="21" s="1"/>
  <c r="BB128" i="21"/>
  <c r="BC128" i="21" s="1"/>
  <c r="BK128" i="21" s="1"/>
  <c r="CC128" i="21" s="1"/>
  <c r="BL129" i="21"/>
  <c r="CD129" i="21" s="1"/>
  <c r="BE129" i="21"/>
  <c r="BF129" i="21" s="1"/>
  <c r="BL120" i="21"/>
  <c r="CD120" i="21" s="1"/>
  <c r="BI109" i="21"/>
  <c r="CA109" i="21" s="1"/>
  <c r="BM110" i="21"/>
  <c r="CE110" i="21" s="1"/>
  <c r="AD135" i="20"/>
  <c r="BF9" i="21"/>
  <c r="BM9" i="21"/>
  <c r="CE9" i="21" s="1"/>
  <c r="BC13" i="21"/>
  <c r="BK13" i="21" s="1"/>
  <c r="CC13" i="21" s="1"/>
  <c r="BJ13" i="21"/>
  <c r="CB13" i="21" s="1"/>
  <c r="BF14" i="21"/>
  <c r="BM14" i="21"/>
  <c r="CE14" i="21" s="1"/>
  <c r="BH15" i="21"/>
  <c r="BP15" i="21" s="1"/>
  <c r="CH15" i="21" s="1"/>
  <c r="BO15" i="21"/>
  <c r="CG15" i="21" s="1"/>
  <c r="BF17" i="21"/>
  <c r="BM17" i="21"/>
  <c r="CE17" i="21" s="1"/>
  <c r="BC21" i="21"/>
  <c r="BK21" i="21" s="1"/>
  <c r="CC21" i="21" s="1"/>
  <c r="BJ21" i="21"/>
  <c r="CB21" i="21" s="1"/>
  <c r="BF22" i="21"/>
  <c r="BM22" i="21"/>
  <c r="CE22" i="21" s="1"/>
  <c r="BG12" i="21"/>
  <c r="BN12" i="21"/>
  <c r="CF12" i="21" s="1"/>
  <c r="CO137" i="21"/>
  <c r="BC26" i="21"/>
  <c r="BK26" i="21" s="1"/>
  <c r="CC26" i="21" s="1"/>
  <c r="BJ26" i="21"/>
  <c r="CB26" i="21" s="1"/>
  <c r="BC8" i="21"/>
  <c r="BK8" i="21" s="1"/>
  <c r="CC8" i="21" s="1"/>
  <c r="BJ8" i="21"/>
  <c r="CB8" i="21" s="1"/>
  <c r="BC16" i="21"/>
  <c r="BK16" i="21" s="1"/>
  <c r="CC16" i="21" s="1"/>
  <c r="BJ16" i="21"/>
  <c r="CB16" i="21" s="1"/>
  <c r="BH25" i="21"/>
  <c r="BP25" i="21" s="1"/>
  <c r="CH25" i="21" s="1"/>
  <c r="BO25" i="21"/>
  <c r="CG25" i="21" s="1"/>
  <c r="CM136" i="21"/>
  <c r="BG20" i="21"/>
  <c r="BN20" i="21"/>
  <c r="CF20" i="21" s="1"/>
  <c r="BC9" i="21"/>
  <c r="BK9" i="21" s="1"/>
  <c r="CC9" i="21" s="1"/>
  <c r="BJ9" i="21"/>
  <c r="CB9" i="21" s="1"/>
  <c r="BF18" i="21"/>
  <c r="BM18" i="21"/>
  <c r="CE18" i="21" s="1"/>
  <c r="BF28" i="21"/>
  <c r="BM28" i="21"/>
  <c r="CE28" i="21" s="1"/>
  <c r="BC32" i="21"/>
  <c r="BK32" i="21" s="1"/>
  <c r="CC32" i="21" s="1"/>
  <c r="BJ32" i="21"/>
  <c r="CB32" i="21" s="1"/>
  <c r="BG41" i="21"/>
  <c r="CP140" i="21"/>
  <c r="BL56" i="21"/>
  <c r="CD56" i="21" s="1"/>
  <c r="BE56" i="21"/>
  <c r="BJ85" i="21"/>
  <c r="CB85" i="21" s="1"/>
  <c r="BC85" i="21"/>
  <c r="BK85" i="21" s="1"/>
  <c r="CC85" i="21" s="1"/>
  <c r="BE10" i="21"/>
  <c r="BG16" i="21"/>
  <c r="BB17" i="21"/>
  <c r="BC20" i="21"/>
  <c r="BK20" i="21" s="1"/>
  <c r="CC20" i="21" s="1"/>
  <c r="BN25" i="21"/>
  <c r="CF25" i="21" s="1"/>
  <c r="BI26" i="21"/>
  <c r="CA26" i="21" s="1"/>
  <c r="BF31" i="21"/>
  <c r="BO35" i="21"/>
  <c r="CG35" i="21" s="1"/>
  <c r="BF36" i="21"/>
  <c r="BM36" i="21"/>
  <c r="CE36" i="21" s="1"/>
  <c r="CP137" i="21"/>
  <c r="CN137" i="21"/>
  <c r="BI23" i="21"/>
  <c r="CA23" i="21" s="1"/>
  <c r="AT26" i="21"/>
  <c r="CO138" i="21"/>
  <c r="BH32" i="21"/>
  <c r="BP32" i="21" s="1"/>
  <c r="CH32" i="21" s="1"/>
  <c r="BO32" i="21"/>
  <c r="CG32" i="21" s="1"/>
  <c r="AT33" i="21"/>
  <c r="M133" i="21"/>
  <c r="BI8" i="21"/>
  <c r="CA8" i="21" s="1"/>
  <c r="BL9" i="21"/>
  <c r="CD9" i="21" s="1"/>
  <c r="BM12" i="21"/>
  <c r="CE12" i="21" s="1"/>
  <c r="BN15" i="21"/>
  <c r="CF15" i="21" s="1"/>
  <c r="BI16" i="21"/>
  <c r="CA16" i="21" s="1"/>
  <c r="BL17" i="21"/>
  <c r="CD17" i="21" s="1"/>
  <c r="BJ19" i="21"/>
  <c r="CB19" i="21" s="1"/>
  <c r="BM20" i="21"/>
  <c r="CE20" i="21" s="1"/>
  <c r="BL26" i="21"/>
  <c r="CD26" i="21" s="1"/>
  <c r="CQ138" i="21"/>
  <c r="CS138" i="21"/>
  <c r="BC33" i="21"/>
  <c r="BK33" i="21" s="1"/>
  <c r="CC33" i="21" s="1"/>
  <c r="BJ33" i="21"/>
  <c r="CB33" i="21" s="1"/>
  <c r="CN139" i="21"/>
  <c r="BJ40" i="21"/>
  <c r="CB40" i="21" s="1"/>
  <c r="BC40" i="21"/>
  <c r="BK40" i="21" s="1"/>
  <c r="CC40" i="21" s="1"/>
  <c r="BC47" i="21"/>
  <c r="BK47" i="21" s="1"/>
  <c r="CC47" i="21" s="1"/>
  <c r="BJ47" i="21"/>
  <c r="CB47" i="21" s="1"/>
  <c r="BI13" i="21"/>
  <c r="CA13" i="21" s="1"/>
  <c r="BL14" i="21"/>
  <c r="CD14" i="21" s="1"/>
  <c r="BI21" i="21"/>
  <c r="CA21" i="21" s="1"/>
  <c r="BL22" i="21"/>
  <c r="CD22" i="21" s="1"/>
  <c r="BC23" i="21"/>
  <c r="BK23" i="21" s="1"/>
  <c r="CC23" i="21" s="1"/>
  <c r="BN32" i="21"/>
  <c r="CF32" i="21" s="1"/>
  <c r="BF33" i="21"/>
  <c r="BM33" i="21"/>
  <c r="CE33" i="21" s="1"/>
  <c r="BG37" i="21"/>
  <c r="BN37" i="21"/>
  <c r="CF37" i="21" s="1"/>
  <c r="BM39" i="21"/>
  <c r="CE39" i="21" s="1"/>
  <c r="BF39" i="21"/>
  <c r="BF40" i="21"/>
  <c r="BM40" i="21"/>
  <c r="CE40" i="21" s="1"/>
  <c r="CR136" i="21"/>
  <c r="CM137" i="21"/>
  <c r="BF24" i="21"/>
  <c r="BI25" i="21"/>
  <c r="CA25" i="21" s="1"/>
  <c r="BO26" i="21"/>
  <c r="CG26" i="21" s="1"/>
  <c r="CT138" i="21"/>
  <c r="BC35" i="21"/>
  <c r="BK35" i="21" s="1"/>
  <c r="CC35" i="21" s="1"/>
  <c r="BJ35" i="21"/>
  <c r="CB35" i="21" s="1"/>
  <c r="BM37" i="21"/>
  <c r="CE37" i="21" s="1"/>
  <c r="BC42" i="21"/>
  <c r="BK42" i="21" s="1"/>
  <c r="CC42" i="21" s="1"/>
  <c r="BJ42" i="21"/>
  <c r="CB42" i="21" s="1"/>
  <c r="CS136" i="21"/>
  <c r="CR137" i="21"/>
  <c r="CN138" i="21"/>
  <c r="CT139" i="21"/>
  <c r="BE45" i="21"/>
  <c r="BL45" i="21"/>
  <c r="CD45" i="21" s="1"/>
  <c r="AT8" i="21"/>
  <c r="BF34" i="21"/>
  <c r="BM34" i="21"/>
  <c r="CE34" i="21" s="1"/>
  <c r="AT34" i="21"/>
  <c r="CQ140" i="21"/>
  <c r="CO140" i="21"/>
  <c r="BI44" i="21"/>
  <c r="CA44" i="21" s="1"/>
  <c r="BI35" i="21"/>
  <c r="CA35" i="21" s="1"/>
  <c r="BL36" i="21"/>
  <c r="CD36" i="21" s="1"/>
  <c r="BJ38" i="21"/>
  <c r="CB38" i="21" s="1"/>
  <c r="BB60" i="21"/>
  <c r="BI60" i="21"/>
  <c r="CA60" i="21" s="1"/>
  <c r="BH84" i="21"/>
  <c r="BP84" i="21" s="1"/>
  <c r="CH84" i="21" s="1"/>
  <c r="BO84" i="21"/>
  <c r="CG84" i="21" s="1"/>
  <c r="BI32" i="21"/>
  <c r="CA32" i="21" s="1"/>
  <c r="BL33" i="21"/>
  <c r="CD33" i="21" s="1"/>
  <c r="CQ139" i="21"/>
  <c r="BI41" i="21"/>
  <c r="CA41" i="21" s="1"/>
  <c r="BL42" i="21"/>
  <c r="CD42" i="21" s="1"/>
  <c r="BC43" i="21"/>
  <c r="BK43" i="21" s="1"/>
  <c r="CC43" i="21" s="1"/>
  <c r="BC44" i="21"/>
  <c r="BK44" i="21" s="1"/>
  <c r="CC44" i="21" s="1"/>
  <c r="BJ44" i="21"/>
  <c r="CB44" i="21" s="1"/>
  <c r="BC67" i="21"/>
  <c r="BK67" i="21" s="1"/>
  <c r="CC67" i="21" s="1"/>
  <c r="BJ67" i="21"/>
  <c r="CB67" i="21" s="1"/>
  <c r="BL41" i="21"/>
  <c r="CD41" i="21" s="1"/>
  <c r="CT140" i="21"/>
  <c r="BC51" i="21"/>
  <c r="BK51" i="21" s="1"/>
  <c r="CC51" i="21" s="1"/>
  <c r="BB52" i="21"/>
  <c r="BI52" i="21"/>
  <c r="CA52" i="21" s="1"/>
  <c r="AT54" i="21"/>
  <c r="BF55" i="21"/>
  <c r="BC58" i="21"/>
  <c r="BK58" i="21" s="1"/>
  <c r="CC58" i="21" s="1"/>
  <c r="BJ58" i="21"/>
  <c r="CB58" i="21" s="1"/>
  <c r="CS139" i="21"/>
  <c r="BC41" i="21"/>
  <c r="BK41" i="21" s="1"/>
  <c r="CC41" i="21" s="1"/>
  <c r="BJ41" i="21"/>
  <c r="CB41" i="21" s="1"/>
  <c r="BF42" i="21"/>
  <c r="BM42" i="21"/>
  <c r="CE42" i="21" s="1"/>
  <c r="AT43" i="21"/>
  <c r="AT47" i="21"/>
  <c r="AT49" i="21"/>
  <c r="BF51" i="21"/>
  <c r="BM51" i="21"/>
  <c r="CE51" i="21" s="1"/>
  <c r="BJ34" i="21"/>
  <c r="CB34" i="21" s="1"/>
  <c r="BM35" i="21"/>
  <c r="CE35" i="21" s="1"/>
  <c r="CM140" i="21"/>
  <c r="BF52" i="21"/>
  <c r="BM52" i="21"/>
  <c r="CE52" i="21" s="1"/>
  <c r="BE61" i="21"/>
  <c r="BL61" i="21"/>
  <c r="CD61" i="21" s="1"/>
  <c r="BC75" i="21"/>
  <c r="BK75" i="21" s="1"/>
  <c r="CC75" i="21" s="1"/>
  <c r="BJ75" i="21"/>
  <c r="CB75" i="21" s="1"/>
  <c r="CM139" i="21"/>
  <c r="BC71" i="21"/>
  <c r="BK71" i="21" s="1"/>
  <c r="CC71" i="21" s="1"/>
  <c r="BJ71" i="21"/>
  <c r="CB71" i="21" s="1"/>
  <c r="BF91" i="21"/>
  <c r="BM91" i="21"/>
  <c r="CE91" i="21" s="1"/>
  <c r="BF65" i="21"/>
  <c r="BM65" i="21"/>
  <c r="CE65" i="21" s="1"/>
  <c r="BF69" i="21"/>
  <c r="BM69" i="21"/>
  <c r="CE69" i="21" s="1"/>
  <c r="AT74" i="21"/>
  <c r="BC86" i="21"/>
  <c r="BK86" i="21" s="1"/>
  <c r="CC86" i="21" s="1"/>
  <c r="BJ86" i="21"/>
  <c r="CB86" i="21" s="1"/>
  <c r="CN141" i="21"/>
  <c r="BC64" i="21"/>
  <c r="BK64" i="21" s="1"/>
  <c r="CC64" i="21" s="1"/>
  <c r="BJ64" i="21"/>
  <c r="CB64" i="21" s="1"/>
  <c r="BC76" i="21"/>
  <c r="BK76" i="21" s="1"/>
  <c r="CC76" i="21" s="1"/>
  <c r="BJ76" i="21"/>
  <c r="CB76" i="21" s="1"/>
  <c r="BC80" i="21"/>
  <c r="BK80" i="21" s="1"/>
  <c r="CC80" i="21" s="1"/>
  <c r="BJ80" i="21"/>
  <c r="CB80" i="21" s="1"/>
  <c r="BH85" i="21"/>
  <c r="BP85" i="21" s="1"/>
  <c r="CH85" i="21" s="1"/>
  <c r="BO85" i="21"/>
  <c r="CG85" i="21" s="1"/>
  <c r="BC112" i="21"/>
  <c r="BK112" i="21" s="1"/>
  <c r="CC112" i="21" s="1"/>
  <c r="BJ112" i="21"/>
  <c r="CB112" i="21" s="1"/>
  <c r="CS141" i="21"/>
  <c r="BF53" i="21"/>
  <c r="BJ55" i="21"/>
  <c r="CB55" i="21" s="1"/>
  <c r="BI56" i="21"/>
  <c r="CA56" i="21" s="1"/>
  <c r="BL57" i="21"/>
  <c r="CD57" i="21" s="1"/>
  <c r="BN59" i="21"/>
  <c r="CF59" i="21" s="1"/>
  <c r="AT62" i="21"/>
  <c r="BL65" i="21"/>
  <c r="CD65" i="21" s="1"/>
  <c r="BL69" i="21"/>
  <c r="CD69" i="21" s="1"/>
  <c r="BC72" i="21"/>
  <c r="BK72" i="21" s="1"/>
  <c r="CC72" i="21" s="1"/>
  <c r="BJ72" i="21"/>
  <c r="CB72" i="21" s="1"/>
  <c r="BH75" i="21"/>
  <c r="BP75" i="21" s="1"/>
  <c r="CH75" i="21" s="1"/>
  <c r="BO75" i="21"/>
  <c r="CG75" i="21" s="1"/>
  <c r="BL55" i="21"/>
  <c r="CD55" i="21" s="1"/>
  <c r="BC68" i="21"/>
  <c r="BK68" i="21" s="1"/>
  <c r="CC68" i="21" s="1"/>
  <c r="BJ68" i="21"/>
  <c r="CB68" i="21" s="1"/>
  <c r="BG76" i="21"/>
  <c r="BN76" i="21"/>
  <c r="CF76" i="21" s="1"/>
  <c r="AT53" i="21"/>
  <c r="CR141" i="21"/>
  <c r="AT67" i="21"/>
  <c r="BG72" i="21"/>
  <c r="BN72" i="21"/>
  <c r="CF72" i="21" s="1"/>
  <c r="BF77" i="21"/>
  <c r="BM77" i="21"/>
  <c r="CE77" i="21" s="1"/>
  <c r="BL81" i="21"/>
  <c r="CD81" i="21" s="1"/>
  <c r="BE81" i="21"/>
  <c r="BF73" i="21"/>
  <c r="BM73" i="21"/>
  <c r="CE73" i="21" s="1"/>
  <c r="BM82" i="21"/>
  <c r="CE82" i="21" s="1"/>
  <c r="BF82" i="21"/>
  <c r="AT89" i="21"/>
  <c r="BI83" i="21"/>
  <c r="CA83" i="21" s="1"/>
  <c r="BL84" i="21"/>
  <c r="CD84" i="21" s="1"/>
  <c r="BI87" i="21"/>
  <c r="CA87" i="21" s="1"/>
  <c r="BJ89" i="21"/>
  <c r="CB89" i="21" s="1"/>
  <c r="BL91" i="21"/>
  <c r="CD91" i="21" s="1"/>
  <c r="BF100" i="21"/>
  <c r="BM100" i="21"/>
  <c r="CE100" i="21" s="1"/>
  <c r="BE108" i="21"/>
  <c r="BL108" i="21"/>
  <c r="CD108" i="21" s="1"/>
  <c r="BG110" i="21"/>
  <c r="BN110" i="21"/>
  <c r="CF110" i="21" s="1"/>
  <c r="BN84" i="21"/>
  <c r="CF84" i="21" s="1"/>
  <c r="BN85" i="21"/>
  <c r="CF85" i="21" s="1"/>
  <c r="BE90" i="21"/>
  <c r="BC98" i="21"/>
  <c r="BK98" i="21" s="1"/>
  <c r="CC98" i="21" s="1"/>
  <c r="BJ98" i="21"/>
  <c r="CB98" i="21" s="1"/>
  <c r="BM72" i="21"/>
  <c r="CE72" i="21" s="1"/>
  <c r="BN75" i="21"/>
  <c r="CF75" i="21" s="1"/>
  <c r="BI76" i="21"/>
  <c r="CA76" i="21" s="1"/>
  <c r="BL77" i="21"/>
  <c r="CD77" i="21" s="1"/>
  <c r="BJ79" i="21"/>
  <c r="CB79" i="21" s="1"/>
  <c r="BB96" i="21"/>
  <c r="BN98" i="21"/>
  <c r="CF98" i="21" s="1"/>
  <c r="BG98" i="21"/>
  <c r="BM103" i="21"/>
  <c r="CE103" i="21" s="1"/>
  <c r="BF103" i="21"/>
  <c r="BC127" i="21"/>
  <c r="BK127" i="21" s="1"/>
  <c r="CC127" i="21" s="1"/>
  <c r="BJ127" i="21"/>
  <c r="CB127" i="21" s="1"/>
  <c r="BC87" i="21"/>
  <c r="BK87" i="21" s="1"/>
  <c r="CC87" i="21" s="1"/>
  <c r="BG94" i="21"/>
  <c r="CS143" i="21"/>
  <c r="AT84" i="21"/>
  <c r="BF87" i="21"/>
  <c r="BM87" i="21"/>
  <c r="CE87" i="21" s="1"/>
  <c r="AT94" i="21"/>
  <c r="BG96" i="21"/>
  <c r="BN96" i="21"/>
  <c r="CF96" i="21" s="1"/>
  <c r="BM99" i="21"/>
  <c r="CE99" i="21" s="1"/>
  <c r="BF99" i="21"/>
  <c r="CN143" i="21"/>
  <c r="CR143" i="21"/>
  <c r="BJ101" i="21"/>
  <c r="CB101" i="21" s="1"/>
  <c r="BC101" i="21"/>
  <c r="BK101" i="21" s="1"/>
  <c r="CC101" i="21" s="1"/>
  <c r="CT143" i="21"/>
  <c r="BL104" i="21"/>
  <c r="CD104" i="21" s="1"/>
  <c r="BE104" i="21"/>
  <c r="BC113" i="21"/>
  <c r="BK113" i="21" s="1"/>
  <c r="CC113" i="21" s="1"/>
  <c r="BJ113" i="21"/>
  <c r="CB113" i="21" s="1"/>
  <c r="BC95" i="21"/>
  <c r="BK95" i="21" s="1"/>
  <c r="CC95" i="21" s="1"/>
  <c r="BJ95" i="21"/>
  <c r="CB95" i="21" s="1"/>
  <c r="BI106" i="21"/>
  <c r="CA106" i="21" s="1"/>
  <c r="BB106" i="21"/>
  <c r="BL107" i="21"/>
  <c r="CD107" i="21" s="1"/>
  <c r="BE107" i="21"/>
  <c r="BL100" i="21"/>
  <c r="CD100" i="21" s="1"/>
  <c r="CM144" i="21"/>
  <c r="BM96" i="21"/>
  <c r="CE96" i="21" s="1"/>
  <c r="AT98" i="21"/>
  <c r="BC100" i="21"/>
  <c r="BK100" i="21" s="1"/>
  <c r="CC100" i="21" s="1"/>
  <c r="BJ100" i="21"/>
  <c r="CB100" i="21" s="1"/>
  <c r="BF101" i="21"/>
  <c r="BM101" i="21"/>
  <c r="CE101" i="21" s="1"/>
  <c r="BG112" i="21"/>
  <c r="BN112" i="21"/>
  <c r="CF112" i="21" s="1"/>
  <c r="BN113" i="21"/>
  <c r="CF113" i="21" s="1"/>
  <c r="BF120" i="21"/>
  <c r="BM120" i="21"/>
  <c r="CE120" i="21" s="1"/>
  <c r="CO144" i="21"/>
  <c r="CT144" i="21"/>
  <c r="BI91" i="21"/>
  <c r="CA91" i="21" s="1"/>
  <c r="BL92" i="21"/>
  <c r="CD92" i="21" s="1"/>
  <c r="BI95" i="21"/>
  <c r="CA95" i="21" s="1"/>
  <c r="BC105" i="21"/>
  <c r="BK105" i="21" s="1"/>
  <c r="CC105" i="21" s="1"/>
  <c r="BF106" i="21"/>
  <c r="CN144" i="21"/>
  <c r="AT119" i="21"/>
  <c r="BF124" i="21"/>
  <c r="BM124" i="21"/>
  <c r="CE124" i="21" s="1"/>
  <c r="BC125" i="21"/>
  <c r="BK125" i="21" s="1"/>
  <c r="CC125" i="21" s="1"/>
  <c r="BJ125" i="21"/>
  <c r="CB125" i="21" s="1"/>
  <c r="BJ103" i="21"/>
  <c r="CB103" i="21" s="1"/>
  <c r="BF109" i="21"/>
  <c r="BM109" i="21"/>
  <c r="CE109" i="21" s="1"/>
  <c r="BC116" i="21"/>
  <c r="BK116" i="21" s="1"/>
  <c r="CC116" i="21" s="1"/>
  <c r="BJ116" i="21"/>
  <c r="CB116" i="21" s="1"/>
  <c r="AT106" i="21"/>
  <c r="AT108" i="21"/>
  <c r="BJ110" i="21"/>
  <c r="CB110" i="21" s="1"/>
  <c r="BC114" i="21"/>
  <c r="BK114" i="21" s="1"/>
  <c r="CC114" i="21" s="1"/>
  <c r="BJ114" i="21"/>
  <c r="CB114" i="21" s="1"/>
  <c r="BF115" i="21"/>
  <c r="BM115" i="21"/>
  <c r="CE115" i="21" s="1"/>
  <c r="BL117" i="21"/>
  <c r="CD117" i="21" s="1"/>
  <c r="BE117" i="21"/>
  <c r="CM143" i="21"/>
  <c r="BC108" i="21"/>
  <c r="BK108" i="21" s="1"/>
  <c r="CC108" i="21" s="1"/>
  <c r="BJ108" i="21"/>
  <c r="CB108" i="21" s="1"/>
  <c r="BF114" i="21"/>
  <c r="BM114" i="21"/>
  <c r="CE114" i="21" s="1"/>
  <c r="BF111" i="21"/>
  <c r="BB115" i="21"/>
  <c r="BE116" i="21"/>
  <c r="BC117" i="21"/>
  <c r="BK117" i="21" s="1"/>
  <c r="CC117" i="21" s="1"/>
  <c r="BF118" i="21"/>
  <c r="BF119" i="21"/>
  <c r="BC123" i="21"/>
  <c r="BK123" i="21" s="1"/>
  <c r="CC123" i="21" s="1"/>
  <c r="BJ123" i="21"/>
  <c r="CB123" i="21" s="1"/>
  <c r="BC124" i="21"/>
  <c r="BK124" i="21" s="1"/>
  <c r="CC124" i="21" s="1"/>
  <c r="BJ124" i="21"/>
  <c r="CB124" i="21" s="1"/>
  <c r="CT146" i="21"/>
  <c r="BI114" i="21"/>
  <c r="CA114" i="21" s="1"/>
  <c r="BL115" i="21"/>
  <c r="CD115" i="21" s="1"/>
  <c r="BG121" i="21"/>
  <c r="BN121" i="21"/>
  <c r="CF121" i="21" s="1"/>
  <c r="BF125" i="21"/>
  <c r="BM125" i="21"/>
  <c r="CE125" i="21" s="1"/>
  <c r="BF126" i="21"/>
  <c r="BM126" i="21"/>
  <c r="CE126" i="21" s="1"/>
  <c r="CP144" i="21"/>
  <c r="BJ119" i="21"/>
  <c r="CB119" i="21" s="1"/>
  <c r="BL125" i="21"/>
  <c r="CD125" i="21" s="1"/>
  <c r="BG127" i="21"/>
  <c r="BN127" i="21"/>
  <c r="CF127" i="21" s="1"/>
  <c r="BI108" i="21"/>
  <c r="CA108" i="21" s="1"/>
  <c r="BL109" i="21"/>
  <c r="CD109" i="21" s="1"/>
  <c r="BM112" i="21"/>
  <c r="CE112" i="21" s="1"/>
  <c r="BI116" i="21"/>
  <c r="CA116" i="21" s="1"/>
  <c r="BC129" i="21"/>
  <c r="BK129" i="21" s="1"/>
  <c r="CC129" i="21" s="1"/>
  <c r="BJ129" i="21"/>
  <c r="CB129" i="21" s="1"/>
  <c r="BI97" i="21"/>
  <c r="CA97" i="21" s="1"/>
  <c r="BL98" i="21"/>
  <c r="CD98" i="21" s="1"/>
  <c r="BI105" i="21"/>
  <c r="CA105" i="21" s="1"/>
  <c r="BL106" i="21"/>
  <c r="CD106" i="21" s="1"/>
  <c r="BI113" i="21"/>
  <c r="CA113" i="21" s="1"/>
  <c r="BL114" i="21"/>
  <c r="CD114" i="21" s="1"/>
  <c r="BI117" i="21"/>
  <c r="CA117" i="21" s="1"/>
  <c r="BL118" i="21"/>
  <c r="CD118" i="21" s="1"/>
  <c r="CQ145" i="21"/>
  <c r="BM121" i="21"/>
  <c r="CE121" i="21" s="1"/>
  <c r="CS144" i="21"/>
  <c r="AT126" i="21"/>
  <c r="CM146" i="21"/>
  <c r="CQ146" i="21"/>
  <c r="CO146" i="21"/>
  <c r="BG128" i="21"/>
  <c r="BN128" i="21"/>
  <c r="CF128" i="21" s="1"/>
  <c r="BG129" i="21"/>
  <c r="BN129" i="21"/>
  <c r="CF129" i="21" s="1"/>
  <c r="BC131" i="21"/>
  <c r="BK131" i="21" s="1"/>
  <c r="CC131" i="21" s="1"/>
  <c r="BJ131" i="21"/>
  <c r="CB131" i="21" s="1"/>
  <c r="BC132" i="21"/>
  <c r="BK132" i="21" s="1"/>
  <c r="CC132" i="21" s="1"/>
  <c r="BJ132" i="21"/>
  <c r="CB132" i="21" s="1"/>
  <c r="BB121" i="21"/>
  <c r="BI121" i="21"/>
  <c r="CA121" i="21" s="1"/>
  <c r="BF122" i="21"/>
  <c r="BM122" i="21"/>
  <c r="CE122" i="21" s="1"/>
  <c r="BF130" i="21"/>
  <c r="BM130" i="21"/>
  <c r="CE130" i="21" s="1"/>
  <c r="BF132" i="21"/>
  <c r="BM132" i="21"/>
  <c r="CE132" i="21" s="1"/>
  <c r="BL122" i="21"/>
  <c r="CD122" i="21" s="1"/>
  <c r="BI129" i="21"/>
  <c r="CA129" i="21" s="1"/>
  <c r="BL130" i="21"/>
  <c r="CD130" i="21" s="1"/>
  <c r="CN146" i="21"/>
  <c r="BI123" i="21"/>
  <c r="CA123" i="21" s="1"/>
  <c r="BL124" i="21"/>
  <c r="CD124" i="21" s="1"/>
  <c r="BJ126" i="21"/>
  <c r="CB126" i="21" s="1"/>
  <c r="BM127" i="21"/>
  <c r="CE127" i="21" s="1"/>
  <c r="BI131" i="21"/>
  <c r="CA131" i="21" s="1"/>
  <c r="BL132" i="21"/>
  <c r="CD132" i="21" s="1"/>
  <c r="CP146" i="21"/>
  <c r="BI125" i="21"/>
  <c r="CA125" i="21" s="1"/>
  <c r="BL126" i="21"/>
  <c r="CD126" i="21" s="1"/>
  <c r="BJ128" i="21"/>
  <c r="CB128" i="21" s="1"/>
  <c r="BM129" i="21"/>
  <c r="CE129" i="21" s="1"/>
  <c r="CR146" i="21"/>
  <c r="BJ8" i="20"/>
  <c r="BQ8" i="20"/>
  <c r="BJ10" i="20"/>
  <c r="BQ10" i="20"/>
  <c r="BK16" i="20"/>
  <c r="BR16" i="20"/>
  <c r="BJ41" i="20"/>
  <c r="BQ41" i="20"/>
  <c r="CV136" i="20"/>
  <c r="BJ13" i="20"/>
  <c r="BQ13" i="20"/>
  <c r="BQ16" i="20"/>
  <c r="BF18" i="20"/>
  <c r="BM18" i="20"/>
  <c r="BP26" i="20"/>
  <c r="BI26" i="20"/>
  <c r="BJ46" i="20"/>
  <c r="BQ46" i="20"/>
  <c r="BP8" i="20"/>
  <c r="BG9" i="20"/>
  <c r="BO9" i="20" s="1"/>
  <c r="BN9" i="20"/>
  <c r="BO7" i="20"/>
  <c r="BG7" i="20"/>
  <c r="BP7" i="20" s="1"/>
  <c r="BG12" i="20"/>
  <c r="BO12" i="20" s="1"/>
  <c r="BN12" i="20"/>
  <c r="BP13" i="20"/>
  <c r="BR20" i="20"/>
  <c r="BK20" i="20"/>
  <c r="BJ27" i="20"/>
  <c r="BQ27" i="20"/>
  <c r="BK18" i="20"/>
  <c r="BR18" i="20"/>
  <c r="BI23" i="20"/>
  <c r="BP23" i="20"/>
  <c r="BJ12" i="20"/>
  <c r="BQ12" i="20"/>
  <c r="BR7" i="20"/>
  <c r="BJ7" i="20"/>
  <c r="BF24" i="20"/>
  <c r="BM24" i="20"/>
  <c r="CX136" i="20"/>
  <c r="BR19" i="20"/>
  <c r="BK19" i="20"/>
  <c r="BG42" i="20"/>
  <c r="BO42" i="20" s="1"/>
  <c r="BN42" i="20"/>
  <c r="BG46" i="20"/>
  <c r="BO46" i="20" s="1"/>
  <c r="BN46" i="20"/>
  <c r="BJ47" i="20"/>
  <c r="BQ47" i="20"/>
  <c r="BF37" i="20"/>
  <c r="BM37" i="20"/>
  <c r="BM9" i="20"/>
  <c r="BP10" i="20"/>
  <c r="BQ18" i="20"/>
  <c r="BI39" i="20"/>
  <c r="BF34" i="20"/>
  <c r="BM34" i="20"/>
  <c r="BF36" i="20"/>
  <c r="BM36" i="20"/>
  <c r="BJ17" i="20"/>
  <c r="BM23" i="20"/>
  <c r="BJ24" i="20"/>
  <c r="BG31" i="20"/>
  <c r="BO31" i="20" s="1"/>
  <c r="BM32" i="20"/>
  <c r="BF32" i="20"/>
  <c r="BG38" i="20"/>
  <c r="BO38" i="20" s="1"/>
  <c r="BN38" i="20"/>
  <c r="BF43" i="20"/>
  <c r="BM43" i="20"/>
  <c r="BF11" i="20"/>
  <c r="BJ25" i="20"/>
  <c r="BM30" i="20"/>
  <c r="BJ31" i="20"/>
  <c r="BP32" i="20"/>
  <c r="BI32" i="20"/>
  <c r="BP35" i="20"/>
  <c r="BJ38" i="20"/>
  <c r="BQ38" i="20"/>
  <c r="BG82" i="20"/>
  <c r="BO82" i="20" s="1"/>
  <c r="BN82" i="20"/>
  <c r="BJ43" i="20"/>
  <c r="BQ43" i="20"/>
  <c r="BQ56" i="20"/>
  <c r="BJ56" i="20"/>
  <c r="BJ36" i="20"/>
  <c r="BP37" i="20"/>
  <c r="BP38" i="20"/>
  <c r="BG45" i="20"/>
  <c r="BO45" i="20" s="1"/>
  <c r="BN45" i="20"/>
  <c r="BN55" i="20"/>
  <c r="BG55" i="20"/>
  <c r="BO55" i="20" s="1"/>
  <c r="BJ44" i="20"/>
  <c r="BQ44" i="20"/>
  <c r="BG52" i="20"/>
  <c r="BO52" i="20" s="1"/>
  <c r="BN52" i="20"/>
  <c r="BP50" i="20"/>
  <c r="BI50" i="20"/>
  <c r="BK66" i="20"/>
  <c r="BF44" i="20"/>
  <c r="BI45" i="20"/>
  <c r="BF49" i="20"/>
  <c r="BF50" i="20"/>
  <c r="BI51" i="20"/>
  <c r="BF53" i="20"/>
  <c r="BJ58" i="20"/>
  <c r="BQ58" i="20"/>
  <c r="BF61" i="20"/>
  <c r="BM58" i="20"/>
  <c r="CQ141" i="20"/>
  <c r="BK61" i="20"/>
  <c r="BJ64" i="20"/>
  <c r="BQ64" i="20"/>
  <c r="BP47" i="20"/>
  <c r="BM51" i="20"/>
  <c r="BQ55" i="20"/>
  <c r="BJ55" i="20"/>
  <c r="BG57" i="20"/>
  <c r="BO57" i="20" s="1"/>
  <c r="BN57" i="20"/>
  <c r="BN62" i="20"/>
  <c r="BG62" i="20"/>
  <c r="BO62" i="20" s="1"/>
  <c r="BM66" i="20"/>
  <c r="BQ99" i="20"/>
  <c r="BJ99" i="20"/>
  <c r="BM45" i="20"/>
  <c r="BP46" i="20"/>
  <c r="BJ59" i="20"/>
  <c r="BQ59" i="20"/>
  <c r="BF80" i="20"/>
  <c r="BM80" i="20"/>
  <c r="BF91" i="20"/>
  <c r="BM91" i="20"/>
  <c r="BF93" i="20"/>
  <c r="BM93" i="20"/>
  <c r="BM42" i="20"/>
  <c r="BP43" i="20"/>
  <c r="BN54" i="20"/>
  <c r="BG54" i="20"/>
  <c r="BO54" i="20" s="1"/>
  <c r="BI62" i="20"/>
  <c r="BG63" i="20"/>
  <c r="BO63" i="20" s="1"/>
  <c r="BN63" i="20"/>
  <c r="BG71" i="20"/>
  <c r="BO71" i="20" s="1"/>
  <c r="BN71" i="20"/>
  <c r="BG51" i="20"/>
  <c r="BO51" i="20" s="1"/>
  <c r="BP59" i="20"/>
  <c r="BQ63" i="20"/>
  <c r="BJ63" i="20"/>
  <c r="BI67" i="20"/>
  <c r="BK78" i="20"/>
  <c r="BR78" i="20"/>
  <c r="BR84" i="20"/>
  <c r="BG58" i="20"/>
  <c r="BO58" i="20" s="1"/>
  <c r="BN58" i="20"/>
  <c r="BG66" i="20"/>
  <c r="BO66" i="20" s="1"/>
  <c r="BN66" i="20"/>
  <c r="BK72" i="20"/>
  <c r="BI52" i="20"/>
  <c r="BF59" i="20"/>
  <c r="BI60" i="20"/>
  <c r="BF67" i="20"/>
  <c r="BM68" i="20"/>
  <c r="BM55" i="20"/>
  <c r="BP56" i="20"/>
  <c r="BM63" i="20"/>
  <c r="BP64" i="20"/>
  <c r="BR80" i="20"/>
  <c r="BJ81" i="20"/>
  <c r="BQ81" i="20"/>
  <c r="BG68" i="20"/>
  <c r="BO68" i="20" s="1"/>
  <c r="BJ73" i="20"/>
  <c r="BG74" i="20"/>
  <c r="BO74" i="20" s="1"/>
  <c r="BN74" i="20"/>
  <c r="BP81" i="20"/>
  <c r="BJ87" i="20"/>
  <c r="BQ87" i="20"/>
  <c r="BM57" i="20"/>
  <c r="BP58" i="20"/>
  <c r="BG76" i="20"/>
  <c r="BO76" i="20" s="1"/>
  <c r="BN76" i="20"/>
  <c r="BM54" i="20"/>
  <c r="BP55" i="20"/>
  <c r="BM62" i="20"/>
  <c r="BP63" i="20"/>
  <c r="BN65" i="20"/>
  <c r="BQ66" i="20"/>
  <c r="BI94" i="20"/>
  <c r="BP94" i="20"/>
  <c r="BJ75" i="20"/>
  <c r="BQ75" i="20"/>
  <c r="BR76" i="20"/>
  <c r="BJ77" i="20"/>
  <c r="BQ77" i="20"/>
  <c r="BF70" i="20"/>
  <c r="BI71" i="20"/>
  <c r="BG73" i="20"/>
  <c r="BO73" i="20" s="1"/>
  <c r="BF78" i="20"/>
  <c r="BI79" i="20"/>
  <c r="BG81" i="20"/>
  <c r="BO81" i="20" s="1"/>
  <c r="BM86" i="20"/>
  <c r="BF94" i="20"/>
  <c r="BF101" i="20"/>
  <c r="BM101" i="20"/>
  <c r="BP86" i="20"/>
  <c r="BR92" i="20"/>
  <c r="BK97" i="20"/>
  <c r="BR105" i="20"/>
  <c r="BK105" i="20"/>
  <c r="BM74" i="20"/>
  <c r="BP75" i="20"/>
  <c r="BQ78" i="20"/>
  <c r="BM82" i="20"/>
  <c r="BJ96" i="20"/>
  <c r="BQ96" i="20"/>
  <c r="BK101" i="20"/>
  <c r="BR101" i="20"/>
  <c r="BJ108" i="20"/>
  <c r="BQ108" i="20"/>
  <c r="BI90" i="20"/>
  <c r="BG92" i="20"/>
  <c r="BO92" i="20" s="1"/>
  <c r="BG95" i="20"/>
  <c r="BO95" i="20" s="1"/>
  <c r="BN95" i="20"/>
  <c r="BG100" i="20"/>
  <c r="BO100" i="20" s="1"/>
  <c r="BP105" i="20"/>
  <c r="BM76" i="20"/>
  <c r="BP77" i="20"/>
  <c r="BP84" i="20"/>
  <c r="BQ89" i="20"/>
  <c r="BJ98" i="20"/>
  <c r="BQ98" i="20"/>
  <c r="BR111" i="20"/>
  <c r="BM83" i="20"/>
  <c r="BM85" i="20"/>
  <c r="BJ86" i="20"/>
  <c r="BL92" i="20"/>
  <c r="BT92" i="20" s="1"/>
  <c r="BS92" i="20"/>
  <c r="BK100" i="20"/>
  <c r="BJ103" i="20"/>
  <c r="BQ103" i="20"/>
  <c r="BJ106" i="20"/>
  <c r="BQ106" i="20"/>
  <c r="BN98" i="20"/>
  <c r="BQ101" i="20"/>
  <c r="BP102" i="20"/>
  <c r="BN103" i="20"/>
  <c r="BP108" i="20"/>
  <c r="BG112" i="20"/>
  <c r="BO112" i="20" s="1"/>
  <c r="BN112" i="20"/>
  <c r="BP98" i="20"/>
  <c r="BJ102" i="20"/>
  <c r="BP103" i="20"/>
  <c r="BN104" i="20"/>
  <c r="BG108" i="20"/>
  <c r="BO108" i="20" s="1"/>
  <c r="BJ110" i="20"/>
  <c r="BQ110" i="20"/>
  <c r="BN90" i="20"/>
  <c r="BQ91" i="20"/>
  <c r="BM95" i="20"/>
  <c r="BP96" i="20"/>
  <c r="BG109" i="20"/>
  <c r="BO109" i="20" s="1"/>
  <c r="BN109" i="20"/>
  <c r="BQ132" i="20"/>
  <c r="BJ109" i="20"/>
  <c r="BQ109" i="20"/>
  <c r="BF128" i="20"/>
  <c r="BM128" i="20"/>
  <c r="BJ113" i="20"/>
  <c r="BQ113" i="20"/>
  <c r="BJ116" i="20"/>
  <c r="BQ116" i="20"/>
  <c r="BM116" i="20"/>
  <c r="BJ123" i="20"/>
  <c r="BJ121" i="20"/>
  <c r="BQ121" i="20"/>
  <c r="BG124" i="20"/>
  <c r="BO124" i="20" s="1"/>
  <c r="BN124" i="20"/>
  <c r="BP113" i="20"/>
  <c r="BN115" i="20"/>
  <c r="BG116" i="20"/>
  <c r="BO116" i="20" s="1"/>
  <c r="BN116" i="20"/>
  <c r="BJ129" i="20"/>
  <c r="BQ129" i="20"/>
  <c r="BM109" i="20"/>
  <c r="BP110" i="20"/>
  <c r="BP121" i="20"/>
  <c r="BK124" i="20"/>
  <c r="BR124" i="20"/>
  <c r="BM124" i="20"/>
  <c r="BP129" i="20"/>
  <c r="BG132" i="20"/>
  <c r="BO132" i="20" s="1"/>
  <c r="BN132" i="20"/>
  <c r="BJ117" i="20"/>
  <c r="BQ117" i="20"/>
  <c r="BG120" i="20"/>
  <c r="BO120" i="20" s="1"/>
  <c r="BN120" i="20"/>
  <c r="BQ124" i="20"/>
  <c r="BJ125" i="20"/>
  <c r="BQ125" i="20"/>
  <c r="BM122" i="20"/>
  <c r="BP123" i="20"/>
  <c r="BS88" i="20" l="1"/>
  <c r="BN40" i="20"/>
  <c r="BG88" i="20"/>
  <c r="BO88" i="20" s="1"/>
  <c r="BQ53" i="20"/>
  <c r="BK83" i="20"/>
  <c r="BQ72" i="20"/>
  <c r="BR53" i="20"/>
  <c r="BJ131" i="20"/>
  <c r="BN117" i="20"/>
  <c r="BR120" i="20"/>
  <c r="BN69" i="20"/>
  <c r="BR54" i="20"/>
  <c r="BQ120" i="20"/>
  <c r="BQ61" i="20"/>
  <c r="BQ83" i="20"/>
  <c r="DF132" i="20"/>
  <c r="CC136" i="21"/>
  <c r="CF136" i="21"/>
  <c r="CD136" i="21"/>
  <c r="CE136" i="21"/>
  <c r="CB136" i="21"/>
  <c r="BK128" i="20"/>
  <c r="BR88" i="20"/>
  <c r="BK95" i="20"/>
  <c r="BL95" i="20" s="1"/>
  <c r="BT95" i="20" s="1"/>
  <c r="BQ80" i="20"/>
  <c r="BQ76" i="20"/>
  <c r="BN48" i="20"/>
  <c r="BJ15" i="20"/>
  <c r="BJ126" i="20"/>
  <c r="BR126" i="20" s="1"/>
  <c r="BG56" i="20"/>
  <c r="BO56" i="20" s="1"/>
  <c r="BG130" i="20"/>
  <c r="BO130" i="20" s="1"/>
  <c r="BQ118" i="20"/>
  <c r="BN79" i="20"/>
  <c r="BC90" i="21"/>
  <c r="BK90" i="21" s="1"/>
  <c r="CC90" i="21" s="1"/>
  <c r="BJ28" i="21"/>
  <c r="CB28" i="21" s="1"/>
  <c r="BF86" i="21"/>
  <c r="BF19" i="21"/>
  <c r="BF21" i="21"/>
  <c r="BM29" i="21"/>
  <c r="CE29" i="21" s="1"/>
  <c r="BF13" i="21"/>
  <c r="BN27" i="20"/>
  <c r="BM97" i="21"/>
  <c r="CE97" i="21" s="1"/>
  <c r="BF97" i="21"/>
  <c r="BJ82" i="20"/>
  <c r="BN60" i="20"/>
  <c r="BG13" i="20"/>
  <c r="BO13" i="20" s="1"/>
  <c r="BN131" i="20"/>
  <c r="BQ100" i="20"/>
  <c r="BQ97" i="20"/>
  <c r="BL89" i="20"/>
  <c r="BT89" i="20" s="1"/>
  <c r="BN19" i="20"/>
  <c r="BN96" i="20"/>
  <c r="BQ128" i="20"/>
  <c r="BN75" i="20"/>
  <c r="BJ130" i="20"/>
  <c r="BK130" i="20" s="1"/>
  <c r="BG126" i="20"/>
  <c r="BO126" i="20" s="1"/>
  <c r="BJ115" i="20"/>
  <c r="BK115" i="20" s="1"/>
  <c r="BL35" i="20"/>
  <c r="BT35" i="20" s="1"/>
  <c r="CA140" i="21"/>
  <c r="CD138" i="21"/>
  <c r="CA141" i="21"/>
  <c r="CD145" i="21"/>
  <c r="CA139" i="21"/>
  <c r="BQ54" i="20"/>
  <c r="BR35" i="20"/>
  <c r="BN29" i="20"/>
  <c r="BJ42" i="20"/>
  <c r="BK42" i="20" s="1"/>
  <c r="BK122" i="20"/>
  <c r="BS122" i="20" s="1"/>
  <c r="BN39" i="20"/>
  <c r="BN119" i="20"/>
  <c r="BJ28" i="20"/>
  <c r="BQ28" i="20"/>
  <c r="BQ65" i="20"/>
  <c r="BJ65" i="20"/>
  <c r="BN102" i="20"/>
  <c r="BG20" i="20"/>
  <c r="BO20" i="20" s="1"/>
  <c r="BN77" i="20"/>
  <c r="BJ93" i="20"/>
  <c r="BK93" i="20" s="1"/>
  <c r="BQ22" i="20"/>
  <c r="BJ22" i="20"/>
  <c r="BQ119" i="20"/>
  <c r="BJ119" i="20"/>
  <c r="BQ85" i="20"/>
  <c r="BQ95" i="20"/>
  <c r="BQ49" i="20"/>
  <c r="BJ49" i="20"/>
  <c r="CA146" i="21"/>
  <c r="CD141" i="21"/>
  <c r="BG54" i="21"/>
  <c r="CD140" i="21"/>
  <c r="CA143" i="21"/>
  <c r="CA142" i="21"/>
  <c r="BM58" i="21"/>
  <c r="CE58" i="21" s="1"/>
  <c r="BF58" i="21"/>
  <c r="CD143" i="21"/>
  <c r="CC138" i="21"/>
  <c r="BC57" i="21"/>
  <c r="BK57" i="21" s="1"/>
  <c r="CC57" i="21" s="1"/>
  <c r="BJ57" i="21"/>
  <c r="CB57" i="21" s="1"/>
  <c r="BJ10" i="21"/>
  <c r="CB10" i="21" s="1"/>
  <c r="BC10" i="21"/>
  <c r="BK10" i="21" s="1"/>
  <c r="CC10" i="21" s="1"/>
  <c r="CA137" i="21"/>
  <c r="CD142" i="21"/>
  <c r="CD146" i="21"/>
  <c r="BJ50" i="21"/>
  <c r="CB50" i="21" s="1"/>
  <c r="BC50" i="21"/>
  <c r="BK50" i="21" s="1"/>
  <c r="CC50" i="21" s="1"/>
  <c r="CD137" i="21"/>
  <c r="CE145" i="21"/>
  <c r="BJ70" i="21"/>
  <c r="CB70" i="21" s="1"/>
  <c r="BC70" i="21"/>
  <c r="BK70" i="21" s="1"/>
  <c r="CC70" i="21" s="1"/>
  <c r="CA144" i="21"/>
  <c r="CA145" i="21"/>
  <c r="CA138" i="21"/>
  <c r="CD139" i="21"/>
  <c r="BJ46" i="21"/>
  <c r="CB46" i="21" s="1"/>
  <c r="BC46" i="21"/>
  <c r="BK46" i="21" s="1"/>
  <c r="CC46" i="21" s="1"/>
  <c r="BJ62" i="21"/>
  <c r="CB62" i="21" s="1"/>
  <c r="BC62" i="21"/>
  <c r="BK62" i="21" s="1"/>
  <c r="CC62" i="21" s="1"/>
  <c r="CD144" i="21"/>
  <c r="BN123" i="20"/>
  <c r="BG33" i="20"/>
  <c r="BO33" i="20" s="1"/>
  <c r="BN33" i="20"/>
  <c r="BG97" i="20"/>
  <c r="BO97" i="20" s="1"/>
  <c r="BN97" i="20"/>
  <c r="BR37" i="20"/>
  <c r="BK37" i="20"/>
  <c r="BK69" i="20"/>
  <c r="BR69" i="20"/>
  <c r="BG26" i="20"/>
  <c r="BO26" i="20" s="1"/>
  <c r="BN26" i="20"/>
  <c r="BJ29" i="20"/>
  <c r="BQ29" i="20"/>
  <c r="BR91" i="20"/>
  <c r="BK91" i="20"/>
  <c r="BR14" i="20"/>
  <c r="BK14" i="20"/>
  <c r="BQ11" i="20"/>
  <c r="BJ11" i="20"/>
  <c r="BR115" i="20"/>
  <c r="BJ112" i="20"/>
  <c r="BQ112" i="20"/>
  <c r="BN64" i="20"/>
  <c r="BG64" i="20"/>
  <c r="BO64" i="20" s="1"/>
  <c r="BJ74" i="20"/>
  <c r="BR74" i="20" s="1"/>
  <c r="BR34" i="20"/>
  <c r="BJ68" i="20"/>
  <c r="BQ68" i="20"/>
  <c r="BN28" i="20"/>
  <c r="BG28" i="20"/>
  <c r="BO28" i="20" s="1"/>
  <c r="BN129" i="20"/>
  <c r="BG129" i="20"/>
  <c r="BO129" i="20" s="1"/>
  <c r="BJ57" i="20"/>
  <c r="BQ57" i="20"/>
  <c r="BK131" i="20"/>
  <c r="BR131" i="20"/>
  <c r="BQ114" i="20"/>
  <c r="BJ114" i="20"/>
  <c r="BN21" i="20"/>
  <c r="BG21" i="20"/>
  <c r="BO21" i="20" s="1"/>
  <c r="BJ33" i="20"/>
  <c r="BQ33" i="20"/>
  <c r="BN125" i="20"/>
  <c r="BK85" i="20"/>
  <c r="BR85" i="20"/>
  <c r="BQ127" i="20"/>
  <c r="BJ127" i="20"/>
  <c r="BL70" i="20"/>
  <c r="BT70" i="20" s="1"/>
  <c r="BS70" i="20"/>
  <c r="BK48" i="20"/>
  <c r="BR48" i="20"/>
  <c r="BQ107" i="20"/>
  <c r="BJ107" i="20"/>
  <c r="BN17" i="20"/>
  <c r="BG17" i="20"/>
  <c r="BO17" i="20" s="1"/>
  <c r="BN113" i="20"/>
  <c r="BG113" i="20"/>
  <c r="BO113" i="20" s="1"/>
  <c r="BG15" i="20"/>
  <c r="BO15" i="20" s="1"/>
  <c r="BN15" i="20"/>
  <c r="BN84" i="20"/>
  <c r="BG84" i="20"/>
  <c r="BO84" i="20" s="1"/>
  <c r="BN106" i="20"/>
  <c r="BG106" i="20"/>
  <c r="BO106" i="20" s="1"/>
  <c r="BN8" i="20"/>
  <c r="BG8" i="20"/>
  <c r="BO8" i="20" s="1"/>
  <c r="BG14" i="20"/>
  <c r="BO14" i="20" s="1"/>
  <c r="BN14" i="20"/>
  <c r="BN99" i="20"/>
  <c r="BN41" i="20"/>
  <c r="BN10" i="20"/>
  <c r="BN16" i="20"/>
  <c r="BG16" i="20"/>
  <c r="BO16" i="20" s="1"/>
  <c r="BN121" i="20"/>
  <c r="BG121" i="20"/>
  <c r="BO121" i="20" s="1"/>
  <c r="BJ21" i="20"/>
  <c r="BQ21" i="20"/>
  <c r="BR118" i="20"/>
  <c r="BK118" i="20"/>
  <c r="BJ30" i="20"/>
  <c r="BQ30" i="20"/>
  <c r="BN107" i="20"/>
  <c r="BG107" i="20"/>
  <c r="BO107" i="20" s="1"/>
  <c r="BQ9" i="20"/>
  <c r="BJ9" i="20"/>
  <c r="BQ34" i="20"/>
  <c r="BG111" i="20"/>
  <c r="BO111" i="20" s="1"/>
  <c r="BN111" i="20"/>
  <c r="BQ104" i="20"/>
  <c r="BJ104" i="20"/>
  <c r="BJ40" i="20"/>
  <c r="BQ40" i="20"/>
  <c r="BJ130" i="21"/>
  <c r="CB130" i="21" s="1"/>
  <c r="BC130" i="21"/>
  <c r="BK130" i="21" s="1"/>
  <c r="CC130" i="21" s="1"/>
  <c r="BF63" i="21"/>
  <c r="BM63" i="21"/>
  <c r="CE63" i="21" s="1"/>
  <c r="BM131" i="21"/>
  <c r="CE131" i="21" s="1"/>
  <c r="BF131" i="21"/>
  <c r="BN80" i="21"/>
  <c r="CF80" i="21" s="1"/>
  <c r="BJ11" i="21"/>
  <c r="CB11" i="21" s="1"/>
  <c r="BJ36" i="21"/>
  <c r="CB36" i="21" s="1"/>
  <c r="BC120" i="21"/>
  <c r="BK120" i="21" s="1"/>
  <c r="CC120" i="21" s="1"/>
  <c r="BJ120" i="21"/>
  <c r="CB120" i="21" s="1"/>
  <c r="BF60" i="21"/>
  <c r="BM60" i="21"/>
  <c r="CE60" i="21" s="1"/>
  <c r="BJ18" i="21"/>
  <c r="CB18" i="21" s="1"/>
  <c r="BC18" i="21"/>
  <c r="BK18" i="21" s="1"/>
  <c r="CC18" i="21" s="1"/>
  <c r="BM8" i="21"/>
  <c r="CE8" i="21" s="1"/>
  <c r="BF8" i="21"/>
  <c r="BM23" i="21"/>
  <c r="CE23" i="21" s="1"/>
  <c r="BF23" i="21"/>
  <c r="BM50" i="21"/>
  <c r="CE50" i="21" s="1"/>
  <c r="BF50" i="21"/>
  <c r="BJ104" i="21"/>
  <c r="CB104" i="21" s="1"/>
  <c r="BC104" i="21"/>
  <c r="BK104" i="21" s="1"/>
  <c r="CC104" i="21" s="1"/>
  <c r="BM67" i="21"/>
  <c r="CE67" i="21" s="1"/>
  <c r="BF67" i="21"/>
  <c r="BJ122" i="21"/>
  <c r="CB122" i="21" s="1"/>
  <c r="BC122" i="21"/>
  <c r="BK122" i="21" s="1"/>
  <c r="CC122" i="21" s="1"/>
  <c r="BJ77" i="21"/>
  <c r="CB77" i="21" s="1"/>
  <c r="BC77" i="21"/>
  <c r="BK77" i="21" s="1"/>
  <c r="CC77" i="21" s="1"/>
  <c r="BN49" i="21"/>
  <c r="CF49" i="21" s="1"/>
  <c r="BG49" i="21"/>
  <c r="BO59" i="21"/>
  <c r="CG59" i="21" s="1"/>
  <c r="BH59" i="21"/>
  <c r="BP59" i="21" s="1"/>
  <c r="CH59" i="21" s="1"/>
  <c r="BG79" i="21"/>
  <c r="BN79" i="21"/>
  <c r="CF79" i="21" s="1"/>
  <c r="BM47" i="21"/>
  <c r="CE47" i="21" s="1"/>
  <c r="BF47" i="21"/>
  <c r="BN19" i="21"/>
  <c r="CF19" i="21" s="1"/>
  <c r="BG19" i="21"/>
  <c r="BC63" i="21"/>
  <c r="BK63" i="21" s="1"/>
  <c r="CC63" i="21" s="1"/>
  <c r="BJ63" i="21"/>
  <c r="CB63" i="21" s="1"/>
  <c r="BM102" i="21"/>
  <c r="CE102" i="21" s="1"/>
  <c r="BF102" i="21"/>
  <c r="BM11" i="21"/>
  <c r="CE11" i="21" s="1"/>
  <c r="BF11" i="21"/>
  <c r="BM43" i="21"/>
  <c r="CE43" i="21" s="1"/>
  <c r="BF43" i="21"/>
  <c r="BN92" i="21"/>
  <c r="CF92" i="21" s="1"/>
  <c r="BG92" i="21"/>
  <c r="BM80" i="21"/>
  <c r="CE80" i="21" s="1"/>
  <c r="BH57" i="21"/>
  <c r="BP57" i="21" s="1"/>
  <c r="CH57" i="21" s="1"/>
  <c r="BN48" i="21"/>
  <c r="CF48" i="21" s="1"/>
  <c r="BJ59" i="21"/>
  <c r="CB59" i="21" s="1"/>
  <c r="BF46" i="21"/>
  <c r="BJ27" i="21"/>
  <c r="CB27" i="21" s="1"/>
  <c r="BG71" i="21"/>
  <c r="BN71" i="21"/>
  <c r="CF71" i="21" s="1"/>
  <c r="BG95" i="21"/>
  <c r="BN95" i="21"/>
  <c r="CF95" i="21" s="1"/>
  <c r="BC84" i="21"/>
  <c r="BK84" i="21" s="1"/>
  <c r="CC84" i="21" s="1"/>
  <c r="BJ84" i="21"/>
  <c r="CB84" i="21" s="1"/>
  <c r="BN78" i="21"/>
  <c r="CF78" i="21" s="1"/>
  <c r="BG78" i="21"/>
  <c r="BO123" i="21"/>
  <c r="CG123" i="21" s="1"/>
  <c r="BJ53" i="21"/>
  <c r="CB53" i="21" s="1"/>
  <c r="BJ92" i="21"/>
  <c r="CB92" i="21" s="1"/>
  <c r="BC92" i="21"/>
  <c r="BK92" i="21" s="1"/>
  <c r="CC92" i="21" s="1"/>
  <c r="BJ102" i="21"/>
  <c r="CB102" i="21" s="1"/>
  <c r="BC102" i="21"/>
  <c r="BK102" i="21" s="1"/>
  <c r="CC102" i="21" s="1"/>
  <c r="BM105" i="21"/>
  <c r="CE105" i="21" s="1"/>
  <c r="BF105" i="21"/>
  <c r="BN70" i="21"/>
  <c r="CF70" i="21" s="1"/>
  <c r="BG70" i="21"/>
  <c r="BM74" i="21"/>
  <c r="CE74" i="21" s="1"/>
  <c r="BF74" i="21"/>
  <c r="BM38" i="21"/>
  <c r="CE38" i="21" s="1"/>
  <c r="BF38" i="21"/>
  <c r="BJ37" i="21"/>
  <c r="CB37" i="21" s="1"/>
  <c r="BC37" i="21"/>
  <c r="BK37" i="21" s="1"/>
  <c r="CC37" i="21" s="1"/>
  <c r="BF27" i="21"/>
  <c r="BM27" i="21"/>
  <c r="CE27" i="21" s="1"/>
  <c r="BJ94" i="21"/>
  <c r="CB94" i="21" s="1"/>
  <c r="BM48" i="21"/>
  <c r="CE48" i="21" s="1"/>
  <c r="BJ54" i="21"/>
  <c r="CB54" i="21" s="1"/>
  <c r="BF7" i="21"/>
  <c r="BO7" i="21" s="1"/>
  <c r="CG7" i="21" s="1"/>
  <c r="BJ69" i="21"/>
  <c r="CB69" i="21" s="1"/>
  <c r="BC69" i="21"/>
  <c r="BK69" i="21" s="1"/>
  <c r="CC69" i="21" s="1"/>
  <c r="BN89" i="21"/>
  <c r="CF89" i="21" s="1"/>
  <c r="BG89" i="21"/>
  <c r="BN29" i="21"/>
  <c r="CF29" i="21" s="1"/>
  <c r="BG29" i="21"/>
  <c r="BF64" i="21"/>
  <c r="BM64" i="21"/>
  <c r="CE64" i="21" s="1"/>
  <c r="BM30" i="21"/>
  <c r="CE30" i="21" s="1"/>
  <c r="BF30" i="21"/>
  <c r="BG44" i="21"/>
  <c r="BN44" i="21"/>
  <c r="CF44" i="21" s="1"/>
  <c r="BJ111" i="21"/>
  <c r="CB111" i="21" s="1"/>
  <c r="BM66" i="21"/>
  <c r="CE66" i="21" s="1"/>
  <c r="BF66" i="21"/>
  <c r="BG93" i="21"/>
  <c r="BN93" i="21"/>
  <c r="CF93" i="21" s="1"/>
  <c r="BM62" i="21"/>
  <c r="CE62" i="21" s="1"/>
  <c r="BF62" i="21"/>
  <c r="BJ74" i="21"/>
  <c r="CB74" i="21" s="1"/>
  <c r="BC74" i="21"/>
  <c r="BK74" i="21" s="1"/>
  <c r="CC74" i="21" s="1"/>
  <c r="BF68" i="21"/>
  <c r="BM68" i="21"/>
  <c r="CE68" i="21" s="1"/>
  <c r="CT141" i="20"/>
  <c r="CU143" i="20"/>
  <c r="CS140" i="20"/>
  <c r="CS144" i="20"/>
  <c r="CX146" i="20"/>
  <c r="CR142" i="20"/>
  <c r="CV139" i="20"/>
  <c r="CV142" i="20"/>
  <c r="CU138" i="20"/>
  <c r="CT145" i="20"/>
  <c r="CU144" i="20"/>
  <c r="CS139" i="20"/>
  <c r="CV143" i="20"/>
  <c r="CS137" i="20"/>
  <c r="BO129" i="21"/>
  <c r="CG129" i="21" s="1"/>
  <c r="BH129" i="21"/>
  <c r="BP129" i="21" s="1"/>
  <c r="CH129" i="21" s="1"/>
  <c r="BG82" i="21"/>
  <c r="BN82" i="21"/>
  <c r="CF82" i="21" s="1"/>
  <c r="CQ142" i="21"/>
  <c r="CR142" i="21"/>
  <c r="BG34" i="21"/>
  <c r="BN34" i="21"/>
  <c r="CF34" i="21" s="1"/>
  <c r="BG18" i="21"/>
  <c r="BN18" i="21"/>
  <c r="CF18" i="21" s="1"/>
  <c r="CV144" i="20"/>
  <c r="CW141" i="20"/>
  <c r="CX142" i="20"/>
  <c r="CX140" i="20"/>
  <c r="BN118" i="21"/>
  <c r="CF118" i="21" s="1"/>
  <c r="BG118" i="21"/>
  <c r="BN114" i="21"/>
  <c r="CF114" i="21" s="1"/>
  <c r="BG114" i="21"/>
  <c r="BF117" i="21"/>
  <c r="BM117" i="21"/>
  <c r="CE117" i="21" s="1"/>
  <c r="CM145" i="21"/>
  <c r="CP143" i="21"/>
  <c r="BF104" i="21"/>
  <c r="BM104" i="21"/>
  <c r="CE104" i="21" s="1"/>
  <c r="BG99" i="21"/>
  <c r="BN99" i="21"/>
  <c r="CF99" i="21" s="1"/>
  <c r="CO143" i="21"/>
  <c r="BF90" i="21"/>
  <c r="BM90" i="21"/>
  <c r="CE90" i="21" s="1"/>
  <c r="BH72" i="21"/>
  <c r="BP72" i="21" s="1"/>
  <c r="CH72" i="21" s="1"/>
  <c r="BO72" i="21"/>
  <c r="CG72" i="21" s="1"/>
  <c r="CT141" i="21"/>
  <c r="BJ52" i="21"/>
  <c r="CB52" i="21" s="1"/>
  <c r="BC52" i="21"/>
  <c r="BK52" i="21" s="1"/>
  <c r="CC52" i="21" s="1"/>
  <c r="CP141" i="21"/>
  <c r="CO141" i="21"/>
  <c r="CS142" i="21"/>
  <c r="BF45" i="21"/>
  <c r="BM45" i="21"/>
  <c r="CE45" i="21" s="1"/>
  <c r="CM138" i="21"/>
  <c r="BG21" i="21"/>
  <c r="BN21" i="21"/>
  <c r="CF21" i="21" s="1"/>
  <c r="BF56" i="21"/>
  <c r="BM56" i="21"/>
  <c r="CE56" i="21" s="1"/>
  <c r="CU141" i="20"/>
  <c r="CN145" i="21"/>
  <c r="BG124" i="21"/>
  <c r="BN124" i="21"/>
  <c r="CF124" i="21" s="1"/>
  <c r="BN101" i="21"/>
  <c r="CF101" i="21" s="1"/>
  <c r="BG101" i="21"/>
  <c r="CM141" i="21"/>
  <c r="BG52" i="21"/>
  <c r="BN52" i="21"/>
  <c r="CF52" i="21" s="1"/>
  <c r="CS137" i="21"/>
  <c r="CW146" i="20"/>
  <c r="CR145" i="20"/>
  <c r="CX145" i="20"/>
  <c r="CQ146" i="20"/>
  <c r="CQ144" i="20"/>
  <c r="CT144" i="20"/>
  <c r="CW143" i="20"/>
  <c r="CW139" i="20"/>
  <c r="CV137" i="20"/>
  <c r="BH128" i="21"/>
  <c r="BP128" i="21" s="1"/>
  <c r="CH128" i="21" s="1"/>
  <c r="BO128" i="21"/>
  <c r="CG128" i="21" s="1"/>
  <c r="CR144" i="21"/>
  <c r="BH127" i="21"/>
  <c r="BP127" i="21" s="1"/>
  <c r="CH127" i="21" s="1"/>
  <c r="BO127" i="21"/>
  <c r="CG127" i="21" s="1"/>
  <c r="BH113" i="21"/>
  <c r="BP113" i="21" s="1"/>
  <c r="CH113" i="21" s="1"/>
  <c r="BO113" i="21"/>
  <c r="CG113" i="21" s="1"/>
  <c r="BO98" i="21"/>
  <c r="CG98" i="21" s="1"/>
  <c r="BH98" i="21"/>
  <c r="BP98" i="21" s="1"/>
  <c r="CH98" i="21" s="1"/>
  <c r="CO145" i="21"/>
  <c r="BH110" i="21"/>
  <c r="BP110" i="21" s="1"/>
  <c r="CH110" i="21" s="1"/>
  <c r="BO110" i="21"/>
  <c r="CG110" i="21" s="1"/>
  <c r="BG69" i="21"/>
  <c r="BN69" i="21"/>
  <c r="CF69" i="21" s="1"/>
  <c r="CQ141" i="21"/>
  <c r="BN91" i="21"/>
  <c r="CF91" i="21" s="1"/>
  <c r="BG91" i="21"/>
  <c r="CN140" i="21"/>
  <c r="CR139" i="21"/>
  <c r="CP139" i="21"/>
  <c r="CM142" i="21"/>
  <c r="BG24" i="21"/>
  <c r="BN24" i="21"/>
  <c r="CF24" i="21" s="1"/>
  <c r="CM133" i="21"/>
  <c r="CQ137" i="21"/>
  <c r="CW140" i="20"/>
  <c r="BG132" i="21"/>
  <c r="BN132" i="21"/>
  <c r="CF132" i="21" s="1"/>
  <c r="CR145" i="21"/>
  <c r="BG51" i="21"/>
  <c r="BN51" i="21"/>
  <c r="CF51" i="21" s="1"/>
  <c r="BN46" i="21"/>
  <c r="CF46" i="21" s="1"/>
  <c r="BG46" i="21"/>
  <c r="CP142" i="21"/>
  <c r="BH37" i="21"/>
  <c r="BP37" i="21" s="1"/>
  <c r="CH37" i="21" s="1"/>
  <c r="BO37" i="21"/>
  <c r="CG37" i="21" s="1"/>
  <c r="CP133" i="21"/>
  <c r="CP136" i="21"/>
  <c r="CO133" i="21"/>
  <c r="CO136" i="21"/>
  <c r="BC17" i="21"/>
  <c r="BK17" i="21" s="1"/>
  <c r="CC17" i="21" s="1"/>
  <c r="BJ17" i="21"/>
  <c r="CB17" i="21" s="1"/>
  <c r="BH20" i="21"/>
  <c r="BP20" i="21" s="1"/>
  <c r="CH20" i="21" s="1"/>
  <c r="BO20" i="21"/>
  <c r="CG20" i="21" s="1"/>
  <c r="BH12" i="21"/>
  <c r="BP12" i="21" s="1"/>
  <c r="CH12" i="21" s="1"/>
  <c r="BO12" i="21"/>
  <c r="CG12" i="21" s="1"/>
  <c r="BG22" i="21"/>
  <c r="BN22" i="21"/>
  <c r="CF22" i="21" s="1"/>
  <c r="BG14" i="21"/>
  <c r="BN14" i="21"/>
  <c r="CF14" i="21" s="1"/>
  <c r="CS143" i="20"/>
  <c r="CQ138" i="20"/>
  <c r="CQ139" i="20"/>
  <c r="BM116" i="21"/>
  <c r="CE116" i="21" s="1"/>
  <c r="BF116" i="21"/>
  <c r="CS145" i="21"/>
  <c r="BG73" i="21"/>
  <c r="BN73" i="21"/>
  <c r="CF73" i="21" s="1"/>
  <c r="CR137" i="20"/>
  <c r="CQ144" i="21"/>
  <c r="BJ115" i="21"/>
  <c r="CB115" i="21" s="1"/>
  <c r="BC115" i="21"/>
  <c r="BK115" i="21" s="1"/>
  <c r="CC115" i="21" s="1"/>
  <c r="BG120" i="21"/>
  <c r="BN120" i="21"/>
  <c r="CF120" i="21" s="1"/>
  <c r="BH112" i="21"/>
  <c r="BP112" i="21" s="1"/>
  <c r="CH112" i="21" s="1"/>
  <c r="BO112" i="21"/>
  <c r="CG112" i="21" s="1"/>
  <c r="BO96" i="21"/>
  <c r="CG96" i="21" s="1"/>
  <c r="BH96" i="21"/>
  <c r="BP96" i="21" s="1"/>
  <c r="CH96" i="21" s="1"/>
  <c r="CT145" i="21"/>
  <c r="BM108" i="21"/>
  <c r="CE108" i="21" s="1"/>
  <c r="BF108" i="21"/>
  <c r="BM81" i="21"/>
  <c r="CE81" i="21" s="1"/>
  <c r="BF81" i="21"/>
  <c r="CS140" i="21"/>
  <c r="BF61" i="21"/>
  <c r="BM61" i="21"/>
  <c r="CE61" i="21" s="1"/>
  <c r="BN42" i="21"/>
  <c r="CF42" i="21" s="1"/>
  <c r="BG42" i="21"/>
  <c r="CR138" i="21"/>
  <c r="CO139" i="21"/>
  <c r="BH16" i="21"/>
  <c r="BP16" i="21" s="1"/>
  <c r="CH16" i="21" s="1"/>
  <c r="BO16" i="21"/>
  <c r="CG16" i="21" s="1"/>
  <c r="BN126" i="21"/>
  <c r="CF126" i="21" s="1"/>
  <c r="BG126" i="21"/>
  <c r="BM107" i="21"/>
  <c r="CE107" i="21" s="1"/>
  <c r="BF107" i="21"/>
  <c r="BH94" i="21"/>
  <c r="BP94" i="21" s="1"/>
  <c r="CH94" i="21" s="1"/>
  <c r="BO94" i="21"/>
  <c r="CG94" i="21" s="1"/>
  <c r="CW145" i="20"/>
  <c r="CQ137" i="20"/>
  <c r="CX137" i="20"/>
  <c r="BG130" i="21"/>
  <c r="BN130" i="21"/>
  <c r="CF130" i="21" s="1"/>
  <c r="BG122" i="21"/>
  <c r="BN122" i="21"/>
  <c r="CF122" i="21" s="1"/>
  <c r="CS146" i="21"/>
  <c r="CQ143" i="21"/>
  <c r="BG125" i="21"/>
  <c r="BN125" i="21"/>
  <c r="CF125" i="21" s="1"/>
  <c r="BN111" i="21"/>
  <c r="CF111" i="21" s="1"/>
  <c r="BG111" i="21"/>
  <c r="BG115" i="21"/>
  <c r="BN115" i="21"/>
  <c r="CF115" i="21" s="1"/>
  <c r="BN109" i="21"/>
  <c r="CF109" i="21" s="1"/>
  <c r="BG109" i="21"/>
  <c r="BC106" i="21"/>
  <c r="BK106" i="21" s="1"/>
  <c r="CC106" i="21" s="1"/>
  <c r="BJ106" i="21"/>
  <c r="CB106" i="21" s="1"/>
  <c r="BH80" i="21"/>
  <c r="BP80" i="21" s="1"/>
  <c r="CH80" i="21" s="1"/>
  <c r="BO80" i="21"/>
  <c r="CG80" i="21" s="1"/>
  <c r="CR140" i="21"/>
  <c r="BG65" i="21"/>
  <c r="BN65" i="21"/>
  <c r="CF65" i="21" s="1"/>
  <c r="BN55" i="21"/>
  <c r="CF55" i="21" s="1"/>
  <c r="BG55" i="21"/>
  <c r="BJ60" i="21"/>
  <c r="CB60" i="21" s="1"/>
  <c r="BC60" i="21"/>
  <c r="BK60" i="21" s="1"/>
  <c r="CC60" i="21" s="1"/>
  <c r="CT142" i="21"/>
  <c r="BG40" i="21"/>
  <c r="BN40" i="21"/>
  <c r="CF40" i="21" s="1"/>
  <c r="CP138" i="21"/>
  <c r="CT137" i="21"/>
  <c r="BG31" i="21"/>
  <c r="BN31" i="21"/>
  <c r="CF31" i="21" s="1"/>
  <c r="BG13" i="21"/>
  <c r="BN13" i="21"/>
  <c r="CF13" i="21" s="1"/>
  <c r="BO41" i="21"/>
  <c r="CG41" i="21" s="1"/>
  <c r="BH41" i="21"/>
  <c r="BP41" i="21" s="1"/>
  <c r="CH41" i="21" s="1"/>
  <c r="BC96" i="21"/>
  <c r="BK96" i="21" s="1"/>
  <c r="CC96" i="21" s="1"/>
  <c r="BJ96" i="21"/>
  <c r="CB96" i="21" s="1"/>
  <c r="CN142" i="21"/>
  <c r="BG28" i="21"/>
  <c r="BN28" i="21"/>
  <c r="CF28" i="21" s="1"/>
  <c r="CT142" i="20"/>
  <c r="CS142" i="20"/>
  <c r="CV141" i="20"/>
  <c r="CX141" i="20"/>
  <c r="BJ121" i="21"/>
  <c r="CB121" i="21" s="1"/>
  <c r="BC121" i="21"/>
  <c r="BK121" i="21" s="1"/>
  <c r="CC121" i="21" s="1"/>
  <c r="BO121" i="21"/>
  <c r="CG121" i="21" s="1"/>
  <c r="BH121" i="21"/>
  <c r="BP121" i="21" s="1"/>
  <c r="CH121" i="21" s="1"/>
  <c r="BN119" i="21"/>
  <c r="CF119" i="21" s="1"/>
  <c r="BG119" i="21"/>
  <c r="CP145" i="21"/>
  <c r="BG106" i="21"/>
  <c r="BN106" i="21"/>
  <c r="CF106" i="21" s="1"/>
  <c r="BN87" i="21"/>
  <c r="CF87" i="21" s="1"/>
  <c r="BG87" i="21"/>
  <c r="BN103" i="21"/>
  <c r="CF103" i="21" s="1"/>
  <c r="BG103" i="21"/>
  <c r="BG100" i="21"/>
  <c r="BN100" i="21"/>
  <c r="CF100" i="21" s="1"/>
  <c r="BG77" i="21"/>
  <c r="BN77" i="21"/>
  <c r="CF77" i="21" s="1"/>
  <c r="BH76" i="21"/>
  <c r="BP76" i="21" s="1"/>
  <c r="CH76" i="21" s="1"/>
  <c r="BO76" i="21"/>
  <c r="CG76" i="21" s="1"/>
  <c r="BG53" i="21"/>
  <c r="BN53" i="21"/>
  <c r="CF53" i="21" s="1"/>
  <c r="BH48" i="21"/>
  <c r="BP48" i="21" s="1"/>
  <c r="CH48" i="21" s="1"/>
  <c r="BO48" i="21"/>
  <c r="CG48" i="21" s="1"/>
  <c r="CO142" i="21"/>
  <c r="BG39" i="21"/>
  <c r="BN39" i="21"/>
  <c r="CF39" i="21" s="1"/>
  <c r="BN33" i="21"/>
  <c r="CF33" i="21" s="1"/>
  <c r="BG33" i="21"/>
  <c r="CQ136" i="21"/>
  <c r="CQ133" i="21"/>
  <c r="BG36" i="21"/>
  <c r="BN36" i="21"/>
  <c r="CF36" i="21" s="1"/>
  <c r="BF10" i="21"/>
  <c r="BM10" i="21"/>
  <c r="CE10" i="21" s="1"/>
  <c r="CN133" i="21"/>
  <c r="CN136" i="21"/>
  <c r="BG17" i="21"/>
  <c r="BN17" i="21"/>
  <c r="CF17" i="21" s="1"/>
  <c r="BG9" i="21"/>
  <c r="BN9" i="21"/>
  <c r="CF9" i="21" s="1"/>
  <c r="BK123" i="20"/>
  <c r="BR123" i="20"/>
  <c r="BL120" i="20"/>
  <c r="BT120" i="20" s="1"/>
  <c r="BS120" i="20"/>
  <c r="BK125" i="20"/>
  <c r="BR125" i="20"/>
  <c r="CV146" i="20"/>
  <c r="CX144" i="20"/>
  <c r="BG128" i="20"/>
  <c r="BO128" i="20" s="1"/>
  <c r="BN128" i="20"/>
  <c r="BK102" i="20"/>
  <c r="BR102" i="20"/>
  <c r="BL105" i="20"/>
  <c r="BT105" i="20" s="1"/>
  <c r="BS105" i="20"/>
  <c r="BS54" i="20"/>
  <c r="BL54" i="20"/>
  <c r="BT54" i="20" s="1"/>
  <c r="CQ143" i="20"/>
  <c r="BK59" i="20"/>
  <c r="BR59" i="20"/>
  <c r="BS61" i="20"/>
  <c r="BL61" i="20"/>
  <c r="BT61" i="20" s="1"/>
  <c r="BK44" i="20"/>
  <c r="BR44" i="20"/>
  <c r="BK36" i="20"/>
  <c r="BR36" i="20"/>
  <c r="BR43" i="20"/>
  <c r="BK43" i="20"/>
  <c r="BK31" i="20"/>
  <c r="BR31" i="20"/>
  <c r="BG43" i="20"/>
  <c r="BO43" i="20" s="1"/>
  <c r="BN43" i="20"/>
  <c r="BR12" i="20"/>
  <c r="BK12" i="20"/>
  <c r="BK99" i="20"/>
  <c r="BR99" i="20"/>
  <c r="BK56" i="20"/>
  <c r="BR56" i="20"/>
  <c r="BK17" i="20"/>
  <c r="BR17" i="20"/>
  <c r="CS133" i="20"/>
  <c r="CS136" i="20"/>
  <c r="BQ23" i="20"/>
  <c r="BJ23" i="20"/>
  <c r="BK46" i="20"/>
  <c r="BR46" i="20"/>
  <c r="CU136" i="20"/>
  <c r="CU133" i="20"/>
  <c r="CQ136" i="20"/>
  <c r="CQ133" i="20"/>
  <c r="BK10" i="20"/>
  <c r="BR10" i="20"/>
  <c r="BL124" i="20"/>
  <c r="BT124" i="20" s="1"/>
  <c r="BS124" i="20"/>
  <c r="BK106" i="20"/>
  <c r="BR106" i="20"/>
  <c r="BR96" i="20"/>
  <c r="BK96" i="20"/>
  <c r="BS80" i="20"/>
  <c r="BL80" i="20"/>
  <c r="BT80" i="20" s="1"/>
  <c r="BS72" i="20"/>
  <c r="BL72" i="20"/>
  <c r="BT72" i="20" s="1"/>
  <c r="BN49" i="20"/>
  <c r="BG49" i="20"/>
  <c r="BO49" i="20" s="1"/>
  <c r="CU137" i="20"/>
  <c r="CR139" i="20"/>
  <c r="CS138" i="20"/>
  <c r="BL19" i="20"/>
  <c r="BT19" i="20" s="1"/>
  <c r="BS19" i="20"/>
  <c r="BS7" i="20"/>
  <c r="BK7" i="20"/>
  <c r="BJ26" i="20"/>
  <c r="BQ26" i="20"/>
  <c r="BS53" i="20"/>
  <c r="BL53" i="20"/>
  <c r="BT53" i="20" s="1"/>
  <c r="CS145" i="20"/>
  <c r="BR103" i="20"/>
  <c r="BK103" i="20"/>
  <c r="BN101" i="20"/>
  <c r="BG101" i="20"/>
  <c r="BO101" i="20" s="1"/>
  <c r="BN70" i="20"/>
  <c r="BG70" i="20"/>
  <c r="BO70" i="20" s="1"/>
  <c r="BL76" i="20"/>
  <c r="BT76" i="20" s="1"/>
  <c r="BS76" i="20"/>
  <c r="CR140" i="20"/>
  <c r="BG93" i="20"/>
  <c r="BO93" i="20" s="1"/>
  <c r="BN93" i="20"/>
  <c r="CS141" i="20"/>
  <c r="BJ50" i="20"/>
  <c r="BQ50" i="20"/>
  <c r="CU139" i="20"/>
  <c r="CW138" i="20"/>
  <c r="BN36" i="20"/>
  <c r="BG36" i="20"/>
  <c r="BO36" i="20" s="1"/>
  <c r="BN24" i="20"/>
  <c r="BG24" i="20"/>
  <c r="BO24" i="20" s="1"/>
  <c r="BL18" i="20"/>
  <c r="BT18" i="20" s="1"/>
  <c r="BS18" i="20"/>
  <c r="BG50" i="20"/>
  <c r="BO50" i="20" s="1"/>
  <c r="BN50" i="20"/>
  <c r="BQ71" i="20"/>
  <c r="BJ71" i="20"/>
  <c r="CV145" i="20"/>
  <c r="BR109" i="20"/>
  <c r="BK109" i="20"/>
  <c r="CX143" i="20"/>
  <c r="BK86" i="20"/>
  <c r="BR86" i="20"/>
  <c r="BJ90" i="20"/>
  <c r="BQ90" i="20"/>
  <c r="BK108" i="20"/>
  <c r="BR108" i="20"/>
  <c r="BL97" i="20"/>
  <c r="BT97" i="20" s="1"/>
  <c r="BS97" i="20"/>
  <c r="BR82" i="20"/>
  <c r="BK82" i="20"/>
  <c r="BG67" i="20"/>
  <c r="BO67" i="20" s="1"/>
  <c r="BN67" i="20"/>
  <c r="CW142" i="20"/>
  <c r="BR55" i="20"/>
  <c r="BK55" i="20"/>
  <c r="BK64" i="20"/>
  <c r="BR64" i="20"/>
  <c r="BQ45" i="20"/>
  <c r="BJ45" i="20"/>
  <c r="BK15" i="20"/>
  <c r="BR15" i="20"/>
  <c r="BS34" i="20"/>
  <c r="BL34" i="20"/>
  <c r="BT34" i="20" s="1"/>
  <c r="BK41" i="20"/>
  <c r="BR41" i="20"/>
  <c r="BK117" i="20"/>
  <c r="BR117" i="20"/>
  <c r="BL83" i="20"/>
  <c r="BT83" i="20" s="1"/>
  <c r="BS83" i="20"/>
  <c r="BR77" i="20"/>
  <c r="BK77" i="20"/>
  <c r="BG80" i="20"/>
  <c r="BO80" i="20" s="1"/>
  <c r="BN80" i="20"/>
  <c r="BR58" i="20"/>
  <c r="BK58" i="20"/>
  <c r="BJ67" i="20"/>
  <c r="BQ67" i="20"/>
  <c r="BK129" i="20"/>
  <c r="BR129" i="20"/>
  <c r="CU146" i="20"/>
  <c r="BL128" i="20"/>
  <c r="BT128" i="20" s="1"/>
  <c r="BS128" i="20"/>
  <c r="CQ145" i="20"/>
  <c r="BK113" i="20"/>
  <c r="BR113" i="20"/>
  <c r="CR143" i="20"/>
  <c r="BS100" i="20"/>
  <c r="BL100" i="20"/>
  <c r="BT100" i="20" s="1"/>
  <c r="BJ94" i="20"/>
  <c r="BQ94" i="20"/>
  <c r="BR87" i="20"/>
  <c r="BK87" i="20"/>
  <c r="CQ142" i="20"/>
  <c r="BQ60" i="20"/>
  <c r="BJ60" i="20"/>
  <c r="BR63" i="20"/>
  <c r="BK63" i="20"/>
  <c r="BJ62" i="20"/>
  <c r="BQ62" i="20"/>
  <c r="BN91" i="20"/>
  <c r="BG91" i="20"/>
  <c r="BO91" i="20" s="1"/>
  <c r="BG53" i="20"/>
  <c r="BO53" i="20" s="1"/>
  <c r="BN53" i="20"/>
  <c r="BN44" i="20"/>
  <c r="BG44" i="20"/>
  <c r="BO44" i="20" s="1"/>
  <c r="BS66" i="20"/>
  <c r="BL66" i="20"/>
  <c r="BT66" i="20" s="1"/>
  <c r="CV140" i="20"/>
  <c r="BR38" i="20"/>
  <c r="BK38" i="20"/>
  <c r="BG11" i="20"/>
  <c r="BO11" i="20" s="1"/>
  <c r="BN11" i="20"/>
  <c r="BN32" i="20"/>
  <c r="BG32" i="20"/>
  <c r="BO32" i="20" s="1"/>
  <c r="CR133" i="20"/>
  <c r="CR136" i="20"/>
  <c r="BN34" i="20"/>
  <c r="BG34" i="20"/>
  <c r="BO34" i="20" s="1"/>
  <c r="BR47" i="20"/>
  <c r="BK47" i="20"/>
  <c r="CV138" i="20"/>
  <c r="CT133" i="20"/>
  <c r="CT136" i="20"/>
  <c r="CT138" i="20"/>
  <c r="BL16" i="20"/>
  <c r="BT16" i="20" s="1"/>
  <c r="BS16" i="20"/>
  <c r="BK121" i="20"/>
  <c r="BR121" i="20"/>
  <c r="CU142" i="20"/>
  <c r="CU145" i="20"/>
  <c r="BK132" i="20"/>
  <c r="BR132" i="20"/>
  <c r="BR110" i="20"/>
  <c r="BK110" i="20"/>
  <c r="CR144" i="20"/>
  <c r="CT143" i="20"/>
  <c r="BR98" i="20"/>
  <c r="BK98" i="20"/>
  <c r="BL101" i="20"/>
  <c r="BT101" i="20" s="1"/>
  <c r="BS101" i="20"/>
  <c r="BG94" i="20"/>
  <c r="BO94" i="20" s="1"/>
  <c r="BN94" i="20"/>
  <c r="BQ79" i="20"/>
  <c r="BJ79" i="20"/>
  <c r="BK75" i="20"/>
  <c r="BR75" i="20"/>
  <c r="BN59" i="20"/>
  <c r="BG59" i="20"/>
  <c r="BO59" i="20" s="1"/>
  <c r="BG61" i="20"/>
  <c r="BO61" i="20" s="1"/>
  <c r="BN61" i="20"/>
  <c r="BJ51" i="20"/>
  <c r="BQ51" i="20"/>
  <c r="CQ140" i="20"/>
  <c r="BJ32" i="20"/>
  <c r="BQ32" i="20"/>
  <c r="CW137" i="20"/>
  <c r="BK24" i="20"/>
  <c r="BR24" i="20"/>
  <c r="CX138" i="20"/>
  <c r="CX139" i="20"/>
  <c r="BR27" i="20"/>
  <c r="BK27" i="20"/>
  <c r="CT137" i="20"/>
  <c r="BK13" i="20"/>
  <c r="BR13" i="20"/>
  <c r="BK8" i="20"/>
  <c r="BR8" i="20"/>
  <c r="BR116" i="20"/>
  <c r="BK116" i="20"/>
  <c r="BL78" i="20"/>
  <c r="BT78" i="20" s="1"/>
  <c r="BS78" i="20"/>
  <c r="BL111" i="20"/>
  <c r="BT111" i="20" s="1"/>
  <c r="BS111" i="20"/>
  <c r="CR146" i="20"/>
  <c r="CS146" i="20"/>
  <c r="CW144" i="20"/>
  <c r="BN78" i="20"/>
  <c r="BG78" i="20"/>
  <c r="BO78" i="20" s="1"/>
  <c r="BK73" i="20"/>
  <c r="BR73" i="20"/>
  <c r="BK81" i="20"/>
  <c r="BR81" i="20"/>
  <c r="BQ52" i="20"/>
  <c r="BJ52" i="20"/>
  <c r="BS84" i="20"/>
  <c r="BL84" i="20"/>
  <c r="BT84" i="20" s="1"/>
  <c r="CR141" i="20"/>
  <c r="CU140" i="20"/>
  <c r="CT140" i="20"/>
  <c r="BK25" i="20"/>
  <c r="BR25" i="20"/>
  <c r="CT139" i="20"/>
  <c r="BJ39" i="20"/>
  <c r="BQ39" i="20"/>
  <c r="BG37" i="20"/>
  <c r="BO37" i="20" s="1"/>
  <c r="BN37" i="20"/>
  <c r="CR138" i="20"/>
  <c r="BL20" i="20"/>
  <c r="BT20" i="20" s="1"/>
  <c r="BS20" i="20"/>
  <c r="BG18" i="20"/>
  <c r="BO18" i="20" s="1"/>
  <c r="BN18" i="20"/>
  <c r="CY133" i="20" l="1"/>
  <c r="BS95" i="20"/>
  <c r="BK126" i="20"/>
  <c r="BS126" i="20" s="1"/>
  <c r="BR130" i="20"/>
  <c r="BL122" i="20"/>
  <c r="BT122" i="20" s="1"/>
  <c r="CC146" i="21"/>
  <c r="CB146" i="21"/>
  <c r="CC144" i="21"/>
  <c r="CC139" i="21"/>
  <c r="CB138" i="21"/>
  <c r="CG136" i="21"/>
  <c r="CE146" i="21"/>
  <c r="CE139" i="21"/>
  <c r="BG86" i="21"/>
  <c r="BN86" i="21"/>
  <c r="CF86" i="21" s="1"/>
  <c r="BG97" i="21"/>
  <c r="BN97" i="21"/>
  <c r="CF97" i="21" s="1"/>
  <c r="BK74" i="20"/>
  <c r="BS74" i="20" s="1"/>
  <c r="BR42" i="20"/>
  <c r="CC142" i="21"/>
  <c r="CB142" i="21"/>
  <c r="CB140" i="21"/>
  <c r="CE144" i="21"/>
  <c r="CC141" i="21"/>
  <c r="CB141" i="21"/>
  <c r="CB143" i="21"/>
  <c r="CC137" i="21"/>
  <c r="CE143" i="21"/>
  <c r="CE141" i="21"/>
  <c r="CB145" i="21"/>
  <c r="CB144" i="21"/>
  <c r="CC145" i="21"/>
  <c r="CC140" i="21"/>
  <c r="CE138" i="21"/>
  <c r="CB139" i="21"/>
  <c r="CB137" i="21"/>
  <c r="BR93" i="20"/>
  <c r="BK65" i="20"/>
  <c r="BR65" i="20"/>
  <c r="BK22" i="20"/>
  <c r="BR22" i="20"/>
  <c r="BK49" i="20"/>
  <c r="BR49" i="20"/>
  <c r="BR28" i="20"/>
  <c r="BK28" i="20"/>
  <c r="BK119" i="20"/>
  <c r="BR119" i="20"/>
  <c r="CC143" i="21"/>
  <c r="CE142" i="21"/>
  <c r="CE137" i="21"/>
  <c r="BG58" i="21"/>
  <c r="BN58" i="21"/>
  <c r="CF58" i="21" s="1"/>
  <c r="CF145" i="21"/>
  <c r="BH54" i="21"/>
  <c r="BP54" i="21" s="1"/>
  <c r="CH54" i="21" s="1"/>
  <c r="BO54" i="21"/>
  <c r="CG54" i="21" s="1"/>
  <c r="CE140" i="21"/>
  <c r="BS131" i="20"/>
  <c r="BL131" i="20"/>
  <c r="BT131" i="20" s="1"/>
  <c r="BR68" i="20"/>
  <c r="BK68" i="20"/>
  <c r="BS69" i="20"/>
  <c r="BL69" i="20"/>
  <c r="BT69" i="20" s="1"/>
  <c r="BK30" i="20"/>
  <c r="BR30" i="20"/>
  <c r="BK33" i="20"/>
  <c r="BR33" i="20"/>
  <c r="BK57" i="20"/>
  <c r="BR57" i="20"/>
  <c r="BS115" i="20"/>
  <c r="BL115" i="20"/>
  <c r="BT115" i="20" s="1"/>
  <c r="BL48" i="20"/>
  <c r="BT48" i="20" s="1"/>
  <c r="BS48" i="20"/>
  <c r="BL130" i="20"/>
  <c r="BT130" i="20" s="1"/>
  <c r="BS130" i="20"/>
  <c r="BL118" i="20"/>
  <c r="BT118" i="20" s="1"/>
  <c r="BS118" i="20"/>
  <c r="BK11" i="20"/>
  <c r="BR11" i="20"/>
  <c r="BL37" i="20"/>
  <c r="BT37" i="20" s="1"/>
  <c r="BS37" i="20"/>
  <c r="BK127" i="20"/>
  <c r="BR127" i="20"/>
  <c r="BK29" i="20"/>
  <c r="BR29" i="20"/>
  <c r="BR40" i="20"/>
  <c r="BK40" i="20"/>
  <c r="BR9" i="20"/>
  <c r="BK9" i="20"/>
  <c r="BR114" i="20"/>
  <c r="BK114" i="20"/>
  <c r="BL14" i="20"/>
  <c r="BT14" i="20" s="1"/>
  <c r="BS14" i="20"/>
  <c r="BR104" i="20"/>
  <c r="BK104" i="20"/>
  <c r="BK21" i="20"/>
  <c r="BR21" i="20"/>
  <c r="BK107" i="20"/>
  <c r="BR107" i="20"/>
  <c r="BK112" i="20"/>
  <c r="BR112" i="20"/>
  <c r="BS85" i="20"/>
  <c r="BL85" i="20"/>
  <c r="BT85" i="20" s="1"/>
  <c r="BL93" i="20"/>
  <c r="BT93" i="20" s="1"/>
  <c r="BS93" i="20"/>
  <c r="BS91" i="20"/>
  <c r="BL91" i="20"/>
  <c r="BT91" i="20" s="1"/>
  <c r="BG30" i="21"/>
  <c r="BN30" i="21"/>
  <c r="CF30" i="21" s="1"/>
  <c r="BH78" i="21"/>
  <c r="BP78" i="21" s="1"/>
  <c r="CH78" i="21" s="1"/>
  <c r="BO78" i="21"/>
  <c r="CG78" i="21" s="1"/>
  <c r="BG131" i="21"/>
  <c r="BN131" i="21"/>
  <c r="CF131" i="21" s="1"/>
  <c r="BG7" i="21"/>
  <c r="BN66" i="21"/>
  <c r="CF66" i="21" s="1"/>
  <c r="BG66" i="21"/>
  <c r="BG64" i="21"/>
  <c r="BN64" i="21"/>
  <c r="CF64" i="21" s="1"/>
  <c r="BN60" i="21"/>
  <c r="CF60" i="21" s="1"/>
  <c r="BG60" i="21"/>
  <c r="BG68" i="21"/>
  <c r="BN68" i="21"/>
  <c r="CF68" i="21" s="1"/>
  <c r="BO29" i="21"/>
  <c r="CG29" i="21" s="1"/>
  <c r="BH29" i="21"/>
  <c r="BP29" i="21" s="1"/>
  <c r="CH29" i="21" s="1"/>
  <c r="BN74" i="21"/>
  <c r="CF74" i="21" s="1"/>
  <c r="BG74" i="21"/>
  <c r="BG102" i="21"/>
  <c r="BN102" i="21"/>
  <c r="CF102" i="21" s="1"/>
  <c r="BN23" i="21"/>
  <c r="CF23" i="21" s="1"/>
  <c r="BG23" i="21"/>
  <c r="BG63" i="21"/>
  <c r="BN63" i="21"/>
  <c r="CF63" i="21" s="1"/>
  <c r="BG38" i="21"/>
  <c r="BN38" i="21"/>
  <c r="CF38" i="21" s="1"/>
  <c r="BO95" i="21"/>
  <c r="CG95" i="21" s="1"/>
  <c r="BH95" i="21"/>
  <c r="BP95" i="21" s="1"/>
  <c r="CH95" i="21" s="1"/>
  <c r="BH79" i="21"/>
  <c r="BP79" i="21" s="1"/>
  <c r="CH79" i="21" s="1"/>
  <c r="BO79" i="21"/>
  <c r="CG79" i="21" s="1"/>
  <c r="BN11" i="21"/>
  <c r="CF11" i="21" s="1"/>
  <c r="BG11" i="21"/>
  <c r="BH89" i="21"/>
  <c r="BP89" i="21" s="1"/>
  <c r="CH89" i="21" s="1"/>
  <c r="BO89" i="21"/>
  <c r="CG89" i="21" s="1"/>
  <c r="BO70" i="21"/>
  <c r="CG70" i="21" s="1"/>
  <c r="BH70" i="21"/>
  <c r="BP70" i="21" s="1"/>
  <c r="CH70" i="21" s="1"/>
  <c r="BO92" i="21"/>
  <c r="CG92" i="21" s="1"/>
  <c r="BH92" i="21"/>
  <c r="BP92" i="21" s="1"/>
  <c r="CH92" i="21" s="1"/>
  <c r="BG67" i="21"/>
  <c r="BN67" i="21"/>
  <c r="CF67" i="21" s="1"/>
  <c r="BN8" i="21"/>
  <c r="CF8" i="21" s="1"/>
  <c r="BG8" i="21"/>
  <c r="BG62" i="21"/>
  <c r="BN62" i="21"/>
  <c r="CF62" i="21" s="1"/>
  <c r="BO44" i="21"/>
  <c r="CG44" i="21" s="1"/>
  <c r="BH44" i="21"/>
  <c r="BP44" i="21" s="1"/>
  <c r="CH44" i="21" s="1"/>
  <c r="BN27" i="21"/>
  <c r="CF27" i="21" s="1"/>
  <c r="BG27" i="21"/>
  <c r="BH71" i="21"/>
  <c r="BP71" i="21" s="1"/>
  <c r="CH71" i="21" s="1"/>
  <c r="BO71" i="21"/>
  <c r="CG71" i="21" s="1"/>
  <c r="BH93" i="21"/>
  <c r="BP93" i="21" s="1"/>
  <c r="CH93" i="21" s="1"/>
  <c r="BO93" i="21"/>
  <c r="CG93" i="21" s="1"/>
  <c r="BN47" i="21"/>
  <c r="CF47" i="21" s="1"/>
  <c r="BG47" i="21"/>
  <c r="BG50" i="21"/>
  <c r="BN50" i="21"/>
  <c r="CF50" i="21" s="1"/>
  <c r="BN105" i="21"/>
  <c r="CF105" i="21" s="1"/>
  <c r="BG105" i="21"/>
  <c r="BG43" i="21"/>
  <c r="BN43" i="21"/>
  <c r="CF43" i="21" s="1"/>
  <c r="BH19" i="21"/>
  <c r="BP19" i="21" s="1"/>
  <c r="CH19" i="21" s="1"/>
  <c r="BO19" i="21"/>
  <c r="CG19" i="21" s="1"/>
  <c r="BO49" i="21"/>
  <c r="CG49" i="21" s="1"/>
  <c r="BH49" i="21"/>
  <c r="BP49" i="21" s="1"/>
  <c r="CH49" i="21" s="1"/>
  <c r="CM147" i="21"/>
  <c r="CQ147" i="21"/>
  <c r="CN147" i="21"/>
  <c r="CR147" i="21"/>
  <c r="CS147" i="21"/>
  <c r="BH103" i="21"/>
  <c r="BP103" i="21" s="1"/>
  <c r="CH103" i="21" s="1"/>
  <c r="BO103" i="21"/>
  <c r="CG103" i="21" s="1"/>
  <c r="BH100" i="21"/>
  <c r="BP100" i="21" s="1"/>
  <c r="CH100" i="21" s="1"/>
  <c r="BO100" i="21"/>
  <c r="CG100" i="21" s="1"/>
  <c r="BH119" i="21"/>
  <c r="BP119" i="21" s="1"/>
  <c r="CH119" i="21" s="1"/>
  <c r="BO119" i="21"/>
  <c r="CG119" i="21" s="1"/>
  <c r="BH109" i="21"/>
  <c r="BP109" i="21" s="1"/>
  <c r="CH109" i="21" s="1"/>
  <c r="BO109" i="21"/>
  <c r="CG109" i="21" s="1"/>
  <c r="BH52" i="21"/>
  <c r="BP52" i="21" s="1"/>
  <c r="CH52" i="21" s="1"/>
  <c r="BO52" i="21"/>
  <c r="CG52" i="21" s="1"/>
  <c r="BG104" i="21"/>
  <c r="BN104" i="21"/>
  <c r="CF104" i="21" s="1"/>
  <c r="BH132" i="21"/>
  <c r="BP132" i="21" s="1"/>
  <c r="CH132" i="21" s="1"/>
  <c r="BO132" i="21"/>
  <c r="CG132" i="21" s="1"/>
  <c r="BO65" i="21"/>
  <c r="CG65" i="21" s="1"/>
  <c r="BH65" i="21"/>
  <c r="BP65" i="21" s="1"/>
  <c r="CH65" i="21" s="1"/>
  <c r="BO87" i="21"/>
  <c r="CG87" i="21" s="1"/>
  <c r="BH87" i="21"/>
  <c r="BP87" i="21" s="1"/>
  <c r="CH87" i="21" s="1"/>
  <c r="BO28" i="21"/>
  <c r="CG28" i="21" s="1"/>
  <c r="BH28" i="21"/>
  <c r="BP28" i="21" s="1"/>
  <c r="CH28" i="21" s="1"/>
  <c r="BH115" i="21"/>
  <c r="BP115" i="21" s="1"/>
  <c r="CH115" i="21" s="1"/>
  <c r="BO115" i="21"/>
  <c r="CG115" i="21" s="1"/>
  <c r="BO122" i="21"/>
  <c r="CG122" i="21" s="1"/>
  <c r="BH122" i="21"/>
  <c r="BP122" i="21" s="1"/>
  <c r="CH122" i="21" s="1"/>
  <c r="BG107" i="21"/>
  <c r="BN107" i="21"/>
  <c r="CF107" i="21" s="1"/>
  <c r="BN108" i="21"/>
  <c r="CF108" i="21" s="1"/>
  <c r="BG108" i="21"/>
  <c r="BO120" i="21"/>
  <c r="CG120" i="21" s="1"/>
  <c r="BH120" i="21"/>
  <c r="BP120" i="21" s="1"/>
  <c r="CH120" i="21" s="1"/>
  <c r="BH73" i="21"/>
  <c r="BP73" i="21" s="1"/>
  <c r="CH73" i="21" s="1"/>
  <c r="BO73" i="21"/>
  <c r="CG73" i="21" s="1"/>
  <c r="BO14" i="21"/>
  <c r="CG14" i="21" s="1"/>
  <c r="BH14" i="21"/>
  <c r="BP14" i="21" s="1"/>
  <c r="CH14" i="21" s="1"/>
  <c r="BH46" i="21"/>
  <c r="BP46" i="21" s="1"/>
  <c r="CH46" i="21" s="1"/>
  <c r="BO46" i="21"/>
  <c r="CG46" i="21" s="1"/>
  <c r="BO91" i="21"/>
  <c r="CG91" i="21" s="1"/>
  <c r="BH91" i="21"/>
  <c r="BP91" i="21" s="1"/>
  <c r="CH91" i="21" s="1"/>
  <c r="BG90" i="21"/>
  <c r="BN90" i="21"/>
  <c r="CF90" i="21" s="1"/>
  <c r="BH13" i="21"/>
  <c r="BP13" i="21" s="1"/>
  <c r="CH13" i="21" s="1"/>
  <c r="BO13" i="21"/>
  <c r="CG13" i="21" s="1"/>
  <c r="BH111" i="21"/>
  <c r="BP111" i="21" s="1"/>
  <c r="CH111" i="21" s="1"/>
  <c r="BO111" i="21"/>
  <c r="CG111" i="21" s="1"/>
  <c r="BH42" i="21"/>
  <c r="BP42" i="21" s="1"/>
  <c r="CH42" i="21" s="1"/>
  <c r="BO42" i="21"/>
  <c r="CG42" i="21" s="1"/>
  <c r="CO147" i="21"/>
  <c r="BN117" i="21"/>
  <c r="CF117" i="21" s="1"/>
  <c r="BG117" i="21"/>
  <c r="BG81" i="21"/>
  <c r="BN81" i="21"/>
  <c r="CF81" i="21" s="1"/>
  <c r="BH34" i="21"/>
  <c r="BP34" i="21" s="1"/>
  <c r="CH34" i="21" s="1"/>
  <c r="BO34" i="21"/>
  <c r="CG34" i="21" s="1"/>
  <c r="BH33" i="21"/>
  <c r="BP33" i="21" s="1"/>
  <c r="CH33" i="21" s="1"/>
  <c r="BO33" i="21"/>
  <c r="CG33" i="21" s="1"/>
  <c r="BH40" i="21"/>
  <c r="BP40" i="21" s="1"/>
  <c r="CH40" i="21" s="1"/>
  <c r="BO40" i="21"/>
  <c r="CG40" i="21" s="1"/>
  <c r="BH101" i="21"/>
  <c r="BP101" i="21" s="1"/>
  <c r="CH101" i="21" s="1"/>
  <c r="BO101" i="21"/>
  <c r="CG101" i="21" s="1"/>
  <c r="BN56" i="21"/>
  <c r="CF56" i="21" s="1"/>
  <c r="BG56" i="21"/>
  <c r="CX147" i="20"/>
  <c r="BH31" i="21"/>
  <c r="BP31" i="21" s="1"/>
  <c r="CH31" i="21" s="1"/>
  <c r="BO31" i="21"/>
  <c r="CG31" i="21" s="1"/>
  <c r="BG10" i="21"/>
  <c r="BN10" i="21"/>
  <c r="CF10" i="21" s="1"/>
  <c r="BH39" i="21"/>
  <c r="BP39" i="21" s="1"/>
  <c r="CH39" i="21" s="1"/>
  <c r="BO39" i="21"/>
  <c r="CG39" i="21" s="1"/>
  <c r="BP7" i="21"/>
  <c r="CH7" i="21" s="1"/>
  <c r="BH7" i="21"/>
  <c r="BH130" i="21"/>
  <c r="BP130" i="21" s="1"/>
  <c r="CH130" i="21" s="1"/>
  <c r="BO130" i="21"/>
  <c r="CG130" i="21" s="1"/>
  <c r="BH126" i="21"/>
  <c r="BP126" i="21" s="1"/>
  <c r="CH126" i="21" s="1"/>
  <c r="BO126" i="21"/>
  <c r="CG126" i="21" s="1"/>
  <c r="BG116" i="21"/>
  <c r="BN116" i="21"/>
  <c r="CF116" i="21" s="1"/>
  <c r="BO22" i="21"/>
  <c r="CG22" i="21" s="1"/>
  <c r="BH22" i="21"/>
  <c r="BP22" i="21" s="1"/>
  <c r="CH22" i="21" s="1"/>
  <c r="BH124" i="21"/>
  <c r="BP124" i="21" s="1"/>
  <c r="CH124" i="21" s="1"/>
  <c r="BO124" i="21"/>
  <c r="CG124" i="21" s="1"/>
  <c r="BO114" i="21"/>
  <c r="CG114" i="21" s="1"/>
  <c r="BH114" i="21"/>
  <c r="BP114" i="21" s="1"/>
  <c r="CH114" i="21" s="1"/>
  <c r="BO82" i="21"/>
  <c r="CG82" i="21" s="1"/>
  <c r="BH82" i="21"/>
  <c r="BP82" i="21" s="1"/>
  <c r="CH82" i="21" s="1"/>
  <c r="BO77" i="21"/>
  <c r="CG77" i="21" s="1"/>
  <c r="BH77" i="21"/>
  <c r="BP77" i="21" s="1"/>
  <c r="CH77" i="21" s="1"/>
  <c r="BH106" i="21"/>
  <c r="BP106" i="21" s="1"/>
  <c r="CH106" i="21" s="1"/>
  <c r="BO106" i="21"/>
  <c r="CG106" i="21" s="1"/>
  <c r="CP147" i="21"/>
  <c r="BO51" i="21"/>
  <c r="CG51" i="21" s="1"/>
  <c r="BH51" i="21"/>
  <c r="BP51" i="21" s="1"/>
  <c r="CH51" i="21" s="1"/>
  <c r="BO24" i="21"/>
  <c r="CG24" i="21" s="1"/>
  <c r="BH24" i="21"/>
  <c r="BP24" i="21" s="1"/>
  <c r="CH24" i="21" s="1"/>
  <c r="BH21" i="21"/>
  <c r="BP21" i="21" s="1"/>
  <c r="CH21" i="21" s="1"/>
  <c r="BO21" i="21"/>
  <c r="CG21" i="21" s="1"/>
  <c r="BH99" i="21"/>
  <c r="BP99" i="21" s="1"/>
  <c r="CH99" i="21" s="1"/>
  <c r="BO99" i="21"/>
  <c r="CG99" i="21" s="1"/>
  <c r="BH17" i="21"/>
  <c r="BP17" i="21" s="1"/>
  <c r="CH17" i="21" s="1"/>
  <c r="BO17" i="21"/>
  <c r="CG17" i="21" s="1"/>
  <c r="BG45" i="21"/>
  <c r="BN45" i="21"/>
  <c r="CF45" i="21" s="1"/>
  <c r="CV147" i="20"/>
  <c r="BH53" i="21"/>
  <c r="BP53" i="21" s="1"/>
  <c r="CH53" i="21" s="1"/>
  <c r="BO53" i="21"/>
  <c r="CG53" i="21" s="1"/>
  <c r="CR147" i="20"/>
  <c r="BH9" i="21"/>
  <c r="BP9" i="21" s="1"/>
  <c r="CH9" i="21" s="1"/>
  <c r="BO9" i="21"/>
  <c r="CG9" i="21" s="1"/>
  <c r="BH36" i="21"/>
  <c r="BP36" i="21" s="1"/>
  <c r="CH36" i="21" s="1"/>
  <c r="BO36" i="21"/>
  <c r="CG36" i="21" s="1"/>
  <c r="CT147" i="21"/>
  <c r="BH55" i="21"/>
  <c r="BP55" i="21" s="1"/>
  <c r="CH55" i="21" s="1"/>
  <c r="BO55" i="21"/>
  <c r="CG55" i="21" s="1"/>
  <c r="BH125" i="21"/>
  <c r="BP125" i="21" s="1"/>
  <c r="CH125" i="21" s="1"/>
  <c r="BO125" i="21"/>
  <c r="CG125" i="21" s="1"/>
  <c r="BN61" i="21"/>
  <c r="CF61" i="21" s="1"/>
  <c r="BG61" i="21"/>
  <c r="BO69" i="21"/>
  <c r="CG69" i="21" s="1"/>
  <c r="BH69" i="21"/>
  <c r="BP69" i="21" s="1"/>
  <c r="CH69" i="21" s="1"/>
  <c r="BO118" i="21"/>
  <c r="CG118" i="21" s="1"/>
  <c r="BH118" i="21"/>
  <c r="BP118" i="21" s="1"/>
  <c r="CH118" i="21" s="1"/>
  <c r="BH18" i="21"/>
  <c r="BP18" i="21" s="1"/>
  <c r="CH18" i="21" s="1"/>
  <c r="BO18" i="21"/>
  <c r="CG18" i="21" s="1"/>
  <c r="BS116" i="20"/>
  <c r="BL116" i="20"/>
  <c r="BT116" i="20" s="1"/>
  <c r="BR39" i="20"/>
  <c r="BK39" i="20"/>
  <c r="BR52" i="20"/>
  <c r="BK52" i="20"/>
  <c r="BS27" i="20"/>
  <c r="BL27" i="20"/>
  <c r="BT27" i="20" s="1"/>
  <c r="BR32" i="20"/>
  <c r="BK32" i="20"/>
  <c r="BS98" i="20"/>
  <c r="BL98" i="20"/>
  <c r="BT98" i="20" s="1"/>
  <c r="CT147" i="20"/>
  <c r="BL64" i="20"/>
  <c r="BT64" i="20" s="1"/>
  <c r="BS64" i="20"/>
  <c r="BL44" i="20"/>
  <c r="BT44" i="20" s="1"/>
  <c r="BS44" i="20"/>
  <c r="BS113" i="20"/>
  <c r="BL113" i="20"/>
  <c r="BT113" i="20" s="1"/>
  <c r="BK67" i="20"/>
  <c r="BR67" i="20"/>
  <c r="BS55" i="20"/>
  <c r="BL55" i="20"/>
  <c r="BT55" i="20" s="1"/>
  <c r="BS58" i="20"/>
  <c r="BL58" i="20"/>
  <c r="BT58" i="20" s="1"/>
  <c r="CU147" i="20"/>
  <c r="BS43" i="20"/>
  <c r="BL43" i="20"/>
  <c r="BT43" i="20" s="1"/>
  <c r="BL81" i="20"/>
  <c r="BT81" i="20" s="1"/>
  <c r="BS81" i="20"/>
  <c r="BR51" i="20"/>
  <c r="BK51" i="20"/>
  <c r="BS47" i="20"/>
  <c r="BL47" i="20"/>
  <c r="BT47" i="20" s="1"/>
  <c r="BS46" i="20"/>
  <c r="BL46" i="20"/>
  <c r="BT46" i="20" s="1"/>
  <c r="BL56" i="20"/>
  <c r="BT56" i="20" s="1"/>
  <c r="BS56" i="20"/>
  <c r="BS125" i="20"/>
  <c r="BL125" i="20"/>
  <c r="BT125" i="20" s="1"/>
  <c r="BK79" i="20"/>
  <c r="BR79" i="20"/>
  <c r="BK62" i="20"/>
  <c r="BR62" i="20"/>
  <c r="BL108" i="20"/>
  <c r="BT108" i="20" s="1"/>
  <c r="BS108" i="20"/>
  <c r="BS109" i="20"/>
  <c r="BL109" i="20"/>
  <c r="BT109" i="20" s="1"/>
  <c r="BK50" i="20"/>
  <c r="BR50" i="20"/>
  <c r="BS8" i="20"/>
  <c r="BL8" i="20"/>
  <c r="BT8" i="20" s="1"/>
  <c r="BL110" i="20"/>
  <c r="BT110" i="20" s="1"/>
  <c r="BS110" i="20"/>
  <c r="BS121" i="20"/>
  <c r="BL121" i="20"/>
  <c r="BT121" i="20" s="1"/>
  <c r="BL63" i="20"/>
  <c r="BT63" i="20" s="1"/>
  <c r="BS63" i="20"/>
  <c r="BK94" i="20"/>
  <c r="BR94" i="20"/>
  <c r="BS15" i="20"/>
  <c r="BL15" i="20"/>
  <c r="BT15" i="20" s="1"/>
  <c r="BR26" i="20"/>
  <c r="BK26" i="20"/>
  <c r="BK23" i="20"/>
  <c r="BR23" i="20"/>
  <c r="BL36" i="20"/>
  <c r="BT36" i="20" s="1"/>
  <c r="BS36" i="20"/>
  <c r="BL59" i="20"/>
  <c r="BT59" i="20" s="1"/>
  <c r="BS59" i="20"/>
  <c r="BL75" i="20"/>
  <c r="BT75" i="20" s="1"/>
  <c r="BS75" i="20"/>
  <c r="BL73" i="20"/>
  <c r="BT73" i="20" s="1"/>
  <c r="BS73" i="20"/>
  <c r="BL24" i="20"/>
  <c r="BT24" i="20" s="1"/>
  <c r="BS24" i="20"/>
  <c r="BS117" i="20"/>
  <c r="BL117" i="20"/>
  <c r="BT117" i="20" s="1"/>
  <c r="BR45" i="20"/>
  <c r="BK45" i="20"/>
  <c r="BK90" i="20"/>
  <c r="BR90" i="20"/>
  <c r="BT7" i="20"/>
  <c r="BL7" i="20"/>
  <c r="BL10" i="20"/>
  <c r="BT10" i="20" s="1"/>
  <c r="BS10" i="20"/>
  <c r="BL99" i="20"/>
  <c r="BT99" i="20" s="1"/>
  <c r="BS99" i="20"/>
  <c r="BL102" i="20"/>
  <c r="BT102" i="20" s="1"/>
  <c r="BS102" i="20"/>
  <c r="BL87" i="20"/>
  <c r="BT87" i="20" s="1"/>
  <c r="BS87" i="20"/>
  <c r="BL106" i="20"/>
  <c r="BT106" i="20" s="1"/>
  <c r="BS106" i="20"/>
  <c r="BL17" i="20"/>
  <c r="BT17" i="20" s="1"/>
  <c r="BS17" i="20"/>
  <c r="BL25" i="20"/>
  <c r="BT25" i="20" s="1"/>
  <c r="BS25" i="20"/>
  <c r="BL13" i="20"/>
  <c r="BT13" i="20" s="1"/>
  <c r="BS13" i="20"/>
  <c r="CW147" i="20"/>
  <c r="BK60" i="20"/>
  <c r="BR60" i="20"/>
  <c r="BS77" i="20"/>
  <c r="BL77" i="20"/>
  <c r="BT77" i="20" s="1"/>
  <c r="BL82" i="20"/>
  <c r="BT82" i="20" s="1"/>
  <c r="BS82" i="20"/>
  <c r="BK71" i="20"/>
  <c r="BR71" i="20"/>
  <c r="BL103" i="20"/>
  <c r="BT103" i="20" s="1"/>
  <c r="BS103" i="20"/>
  <c r="BS96" i="20"/>
  <c r="BL96" i="20"/>
  <c r="BT96" i="20" s="1"/>
  <c r="CS147" i="20"/>
  <c r="BS31" i="20"/>
  <c r="BL31" i="20"/>
  <c r="BT31" i="20" s="1"/>
  <c r="BL42" i="20"/>
  <c r="BT42" i="20" s="1"/>
  <c r="BS42" i="20"/>
  <c r="BL132" i="20"/>
  <c r="BT132" i="20" s="1"/>
  <c r="BS132" i="20"/>
  <c r="BL38" i="20"/>
  <c r="BT38" i="20" s="1"/>
  <c r="BS38" i="20"/>
  <c r="BS129" i="20"/>
  <c r="BL129" i="20"/>
  <c r="BT129" i="20" s="1"/>
  <c r="BS41" i="20"/>
  <c r="BL41" i="20"/>
  <c r="BT41" i="20" s="1"/>
  <c r="BS86" i="20"/>
  <c r="BL86" i="20"/>
  <c r="BT86" i="20" s="1"/>
  <c r="CQ147" i="20"/>
  <c r="BS12" i="20"/>
  <c r="BL12" i="20"/>
  <c r="BT12" i="20" s="1"/>
  <c r="BL123" i="20"/>
  <c r="BT123" i="20" s="1"/>
  <c r="BS123" i="20"/>
  <c r="BL126" i="20" l="1"/>
  <c r="BT126" i="20" s="1"/>
  <c r="CY147" i="20"/>
  <c r="BL74" i="20"/>
  <c r="BT74" i="20" s="1"/>
  <c r="CF146" i="21"/>
  <c r="CF139" i="21"/>
  <c r="CH136" i="21"/>
  <c r="CF144" i="21"/>
  <c r="CF138" i="21"/>
  <c r="BO86" i="21"/>
  <c r="CG86" i="21" s="1"/>
  <c r="BH86" i="21"/>
  <c r="BP86" i="21" s="1"/>
  <c r="CH86" i="21" s="1"/>
  <c r="BH97" i="21"/>
  <c r="BP97" i="21" s="1"/>
  <c r="CH97" i="21" s="1"/>
  <c r="BO97" i="21"/>
  <c r="CG97" i="21" s="1"/>
  <c r="CF143" i="21"/>
  <c r="CF141" i="21"/>
  <c r="BL49" i="20"/>
  <c r="BT49" i="20" s="1"/>
  <c r="BS49" i="20"/>
  <c r="BS22" i="20"/>
  <c r="BL22" i="20"/>
  <c r="BT22" i="20" s="1"/>
  <c r="BL119" i="20"/>
  <c r="BT119" i="20" s="1"/>
  <c r="BS119" i="20"/>
  <c r="BL65" i="20"/>
  <c r="BT65" i="20" s="1"/>
  <c r="BS65" i="20"/>
  <c r="BL28" i="20"/>
  <c r="BT28" i="20" s="1"/>
  <c r="BS28" i="20"/>
  <c r="BH58" i="21"/>
  <c r="BP58" i="21" s="1"/>
  <c r="CH58" i="21" s="1"/>
  <c r="BO58" i="21"/>
  <c r="CG58" i="21" s="1"/>
  <c r="CF140" i="21"/>
  <c r="CG145" i="21"/>
  <c r="CH145" i="21"/>
  <c r="CF137" i="21"/>
  <c r="CF142" i="21"/>
  <c r="BS21" i="20"/>
  <c r="BL21" i="20"/>
  <c r="BT21" i="20" s="1"/>
  <c r="BS30" i="20"/>
  <c r="BL30" i="20"/>
  <c r="BT30" i="20" s="1"/>
  <c r="BL104" i="20"/>
  <c r="BT104" i="20" s="1"/>
  <c r="BS104" i="20"/>
  <c r="BL40" i="20"/>
  <c r="BT40" i="20" s="1"/>
  <c r="BS40" i="20"/>
  <c r="BS112" i="20"/>
  <c r="BL112" i="20"/>
  <c r="BT112" i="20" s="1"/>
  <c r="BS29" i="20"/>
  <c r="BL29" i="20"/>
  <c r="BT29" i="20" s="1"/>
  <c r="BL57" i="20"/>
  <c r="BT57" i="20" s="1"/>
  <c r="BS57" i="20"/>
  <c r="BL11" i="20"/>
  <c r="BT11" i="20" s="1"/>
  <c r="BS11" i="20"/>
  <c r="BL114" i="20"/>
  <c r="BT114" i="20" s="1"/>
  <c r="BS114" i="20"/>
  <c r="BL68" i="20"/>
  <c r="BT68" i="20" s="1"/>
  <c r="BS68" i="20"/>
  <c r="BS107" i="20"/>
  <c r="BL107" i="20"/>
  <c r="BT107" i="20" s="1"/>
  <c r="BS127" i="20"/>
  <c r="BL127" i="20"/>
  <c r="BT127" i="20" s="1"/>
  <c r="BS33" i="20"/>
  <c r="BL33" i="20"/>
  <c r="BT33" i="20" s="1"/>
  <c r="BL9" i="20"/>
  <c r="BT9" i="20" s="1"/>
  <c r="BS9" i="20"/>
  <c r="BH50" i="21"/>
  <c r="BP50" i="21" s="1"/>
  <c r="CH50" i="21" s="1"/>
  <c r="BO50" i="21"/>
  <c r="CG50" i="21" s="1"/>
  <c r="BH8" i="21"/>
  <c r="BP8" i="21" s="1"/>
  <c r="CH8" i="21" s="1"/>
  <c r="BO8" i="21"/>
  <c r="CG8" i="21" s="1"/>
  <c r="BO47" i="21"/>
  <c r="CG47" i="21" s="1"/>
  <c r="BH47" i="21"/>
  <c r="BP47" i="21" s="1"/>
  <c r="CH47" i="21" s="1"/>
  <c r="BH27" i="21"/>
  <c r="BP27" i="21" s="1"/>
  <c r="CH27" i="21" s="1"/>
  <c r="BO27" i="21"/>
  <c r="CG27" i="21" s="1"/>
  <c r="BO102" i="21"/>
  <c r="CG102" i="21" s="1"/>
  <c r="BH102" i="21"/>
  <c r="BP102" i="21" s="1"/>
  <c r="CH102" i="21" s="1"/>
  <c r="BH43" i="21"/>
  <c r="BP43" i="21" s="1"/>
  <c r="CH43" i="21" s="1"/>
  <c r="BO43" i="21"/>
  <c r="CG43" i="21" s="1"/>
  <c r="BO11" i="21"/>
  <c r="CG11" i="21" s="1"/>
  <c r="BH11" i="21"/>
  <c r="BP11" i="21" s="1"/>
  <c r="CH11" i="21" s="1"/>
  <c r="BH74" i="21"/>
  <c r="BP74" i="21" s="1"/>
  <c r="CH74" i="21" s="1"/>
  <c r="BO74" i="21"/>
  <c r="CG74" i="21" s="1"/>
  <c r="BO105" i="21"/>
  <c r="CG105" i="21" s="1"/>
  <c r="BH105" i="21"/>
  <c r="BP105" i="21" s="1"/>
  <c r="CH105" i="21" s="1"/>
  <c r="BH67" i="21"/>
  <c r="BP67" i="21" s="1"/>
  <c r="CH67" i="21" s="1"/>
  <c r="BO67" i="21"/>
  <c r="CG67" i="21" s="1"/>
  <c r="BO38" i="21"/>
  <c r="CG38" i="21" s="1"/>
  <c r="BH38" i="21"/>
  <c r="BP38" i="21" s="1"/>
  <c r="CH38" i="21" s="1"/>
  <c r="BH60" i="21"/>
  <c r="BP60" i="21" s="1"/>
  <c r="CH60" i="21" s="1"/>
  <c r="BO60" i="21"/>
  <c r="CG60" i="21" s="1"/>
  <c r="BO30" i="21"/>
  <c r="CG30" i="21" s="1"/>
  <c r="BH30" i="21"/>
  <c r="BP30" i="21" s="1"/>
  <c r="CH30" i="21" s="1"/>
  <c r="BO63" i="21"/>
  <c r="CG63" i="21" s="1"/>
  <c r="BH63" i="21"/>
  <c r="BP63" i="21" s="1"/>
  <c r="CH63" i="21" s="1"/>
  <c r="BH131" i="21"/>
  <c r="BP131" i="21" s="1"/>
  <c r="CH131" i="21" s="1"/>
  <c r="BO131" i="21"/>
  <c r="CG131" i="21" s="1"/>
  <c r="BH62" i="21"/>
  <c r="BP62" i="21" s="1"/>
  <c r="CH62" i="21" s="1"/>
  <c r="BO62" i="21"/>
  <c r="CG62" i="21" s="1"/>
  <c r="BO23" i="21"/>
  <c r="CG23" i="21" s="1"/>
  <c r="BH23" i="21"/>
  <c r="BP23" i="21" s="1"/>
  <c r="CH23" i="21" s="1"/>
  <c r="BH64" i="21"/>
  <c r="BP64" i="21" s="1"/>
  <c r="CH64" i="21" s="1"/>
  <c r="BO64" i="21"/>
  <c r="CG64" i="21" s="1"/>
  <c r="BH68" i="21"/>
  <c r="BP68" i="21" s="1"/>
  <c r="CH68" i="21" s="1"/>
  <c r="BO68" i="21"/>
  <c r="CG68" i="21" s="1"/>
  <c r="BH66" i="21"/>
  <c r="BP66" i="21" s="1"/>
  <c r="CH66" i="21" s="1"/>
  <c r="BO66" i="21"/>
  <c r="CG66" i="21" s="1"/>
  <c r="BH108" i="21"/>
  <c r="BP108" i="21" s="1"/>
  <c r="CH108" i="21" s="1"/>
  <c r="BO108" i="21"/>
  <c r="CG108" i="21" s="1"/>
  <c r="BO90" i="21"/>
  <c r="CG90" i="21" s="1"/>
  <c r="BH90" i="21"/>
  <c r="BP90" i="21" s="1"/>
  <c r="CH90" i="21" s="1"/>
  <c r="BH56" i="21"/>
  <c r="BP56" i="21" s="1"/>
  <c r="CH56" i="21" s="1"/>
  <c r="BO56" i="21"/>
  <c r="CG56" i="21" s="1"/>
  <c r="BH45" i="21"/>
  <c r="BP45" i="21" s="1"/>
  <c r="CH45" i="21" s="1"/>
  <c r="BO45" i="21"/>
  <c r="CG45" i="21" s="1"/>
  <c r="BH116" i="21"/>
  <c r="BP116" i="21" s="1"/>
  <c r="CH116" i="21" s="1"/>
  <c r="BO116" i="21"/>
  <c r="CG116" i="21" s="1"/>
  <c r="BO104" i="21"/>
  <c r="CG104" i="21" s="1"/>
  <c r="BH104" i="21"/>
  <c r="BP104" i="21" s="1"/>
  <c r="CH104" i="21" s="1"/>
  <c r="BO61" i="21"/>
  <c r="CG61" i="21" s="1"/>
  <c r="BH61" i="21"/>
  <c r="BP61" i="21" s="1"/>
  <c r="CH61" i="21" s="1"/>
  <c r="BH81" i="21"/>
  <c r="BP81" i="21" s="1"/>
  <c r="CH81" i="21" s="1"/>
  <c r="BO81" i="21"/>
  <c r="CG81" i="21" s="1"/>
  <c r="BH10" i="21"/>
  <c r="BP10" i="21" s="1"/>
  <c r="CH10" i="21" s="1"/>
  <c r="BO10" i="21"/>
  <c r="CG10" i="21" s="1"/>
  <c r="BH117" i="21"/>
  <c r="BP117" i="21" s="1"/>
  <c r="CH117" i="21" s="1"/>
  <c r="BO117" i="21"/>
  <c r="CG117" i="21" s="1"/>
  <c r="BH107" i="21"/>
  <c r="BP107" i="21" s="1"/>
  <c r="CH107" i="21" s="1"/>
  <c r="BO107" i="21"/>
  <c r="CG107" i="21" s="1"/>
  <c r="BL26" i="20"/>
  <c r="BT26" i="20" s="1"/>
  <c r="BS26" i="20"/>
  <c r="BS51" i="20"/>
  <c r="BL51" i="20"/>
  <c r="BT51" i="20" s="1"/>
  <c r="BL60" i="20"/>
  <c r="BT60" i="20" s="1"/>
  <c r="BS60" i="20"/>
  <c r="BS71" i="20"/>
  <c r="BL71" i="20"/>
  <c r="BT71" i="20" s="1"/>
  <c r="BS67" i="20"/>
  <c r="BL67" i="20"/>
  <c r="BT67" i="20" s="1"/>
  <c r="BL94" i="20"/>
  <c r="BT94" i="20" s="1"/>
  <c r="BS94" i="20"/>
  <c r="BL62" i="20"/>
  <c r="BT62" i="20" s="1"/>
  <c r="BS62" i="20"/>
  <c r="BL39" i="20"/>
  <c r="BT39" i="20" s="1"/>
  <c r="BS39" i="20"/>
  <c r="BL52" i="20"/>
  <c r="BT52" i="20" s="1"/>
  <c r="BS52" i="20"/>
  <c r="BS90" i="20"/>
  <c r="BL90" i="20"/>
  <c r="BT90" i="20" s="1"/>
  <c r="BS23" i="20"/>
  <c r="BL23" i="20"/>
  <c r="BT23" i="20" s="1"/>
  <c r="BS50" i="20"/>
  <c r="BL50" i="20"/>
  <c r="BT50" i="20" s="1"/>
  <c r="BL79" i="20"/>
  <c r="BT79" i="20" s="1"/>
  <c r="BS79" i="20"/>
  <c r="BL45" i="20"/>
  <c r="BT45" i="20" s="1"/>
  <c r="BS45" i="20"/>
  <c r="BS32" i="20"/>
  <c r="BL32" i="20"/>
  <c r="BT32" i="20" s="1"/>
  <c r="CG146" i="21" l="1"/>
  <c r="CH139" i="21"/>
  <c r="CH146" i="21"/>
  <c r="CG139" i="21"/>
  <c r="CH144" i="21"/>
  <c r="CG141" i="21"/>
  <c r="CH143" i="21"/>
  <c r="CH138" i="21"/>
  <c r="CH141" i="21"/>
  <c r="CG144" i="21"/>
  <c r="CG143" i="21"/>
  <c r="CH137" i="21"/>
  <c r="CG138" i="21"/>
  <c r="CG142" i="21"/>
  <c r="CG140" i="21"/>
  <c r="CG137" i="21"/>
  <c r="CH142" i="21"/>
  <c r="CH140" i="21"/>
  <c r="X7" i="15" l="1"/>
  <c r="R8" i="17"/>
  <c r="S8" i="17" s="1"/>
  <c r="X8" i="15" s="1"/>
  <c r="AY7" i="24" l="1"/>
  <c r="AZ7" i="24"/>
  <c r="CP7" i="24" s="1"/>
  <c r="BA7" i="24"/>
  <c r="AK7" i="24"/>
  <c r="CD7" i="24" s="1"/>
  <c r="AL7" i="24"/>
  <c r="AM7" i="24"/>
  <c r="M136" i="14"/>
  <c r="X7" i="14"/>
  <c r="M136" i="19"/>
  <c r="X7" i="19"/>
  <c r="X7" i="24"/>
  <c r="M136" i="24"/>
  <c r="M136" i="3"/>
  <c r="X7" i="3"/>
  <c r="X136" i="15"/>
  <c r="M136" i="7"/>
  <c r="X7" i="7"/>
  <c r="X7" i="12" s="1"/>
  <c r="R9" i="17"/>
  <c r="AE8" i="17"/>
  <c r="AD8" i="17"/>
  <c r="AC8" i="17"/>
  <c r="AB8" i="17"/>
  <c r="AA8" i="17"/>
  <c r="Z8" i="17"/>
  <c r="T8" i="17"/>
  <c r="U8" i="17"/>
  <c r="X8" i="7" s="1"/>
  <c r="X8" i="12" s="1"/>
  <c r="V8" i="17"/>
  <c r="X8" i="3" s="1"/>
  <c r="W8" i="17"/>
  <c r="X8" i="19" s="1"/>
  <c r="X8" i="17"/>
  <c r="X8" i="14" s="1"/>
  <c r="X8" i="31" l="1"/>
  <c r="X8" i="27"/>
  <c r="X8" i="16"/>
  <c r="X7" i="31"/>
  <c r="X7" i="27"/>
  <c r="X136" i="12"/>
  <c r="X7" i="16"/>
  <c r="CX7" i="24"/>
  <c r="CX136" i="24" s="1"/>
  <c r="CT7" i="24"/>
  <c r="CT136" i="24" s="1"/>
  <c r="CV7" i="24"/>
  <c r="CV136" i="24" s="1"/>
  <c r="CU7" i="24"/>
  <c r="CU136" i="24" s="1"/>
  <c r="CW7" i="24"/>
  <c r="CW136" i="24" s="1"/>
  <c r="CQ7" i="24"/>
  <c r="CQ136" i="24" s="1"/>
  <c r="CR7" i="24"/>
  <c r="CR136" i="24" s="1"/>
  <c r="CS7" i="24"/>
  <c r="CS136" i="24" s="1"/>
  <c r="AZ8" i="24"/>
  <c r="CP8" i="24" s="1"/>
  <c r="BA8" i="24"/>
  <c r="AY8" i="24"/>
  <c r="AK8" i="24"/>
  <c r="CD8" i="24" s="1"/>
  <c r="AL8" i="24"/>
  <c r="AM8" i="24"/>
  <c r="X136" i="24"/>
  <c r="X8" i="24"/>
  <c r="X136" i="19"/>
  <c r="X136" i="14"/>
  <c r="X136" i="3"/>
  <c r="X136" i="7"/>
  <c r="R10" i="17"/>
  <c r="AE9" i="17"/>
  <c r="AD9" i="17"/>
  <c r="AC9" i="17"/>
  <c r="AB9" i="17"/>
  <c r="AA9" i="17"/>
  <c r="Z9" i="17"/>
  <c r="X9" i="17"/>
  <c r="X9" i="14" s="1"/>
  <c r="W9" i="17"/>
  <c r="X9" i="19" s="1"/>
  <c r="V9" i="17"/>
  <c r="X9" i="3" s="1"/>
  <c r="T9" i="17"/>
  <c r="U9" i="17"/>
  <c r="X9" i="7" s="1"/>
  <c r="X9" i="12" s="1"/>
  <c r="S9" i="17"/>
  <c r="X9" i="15" s="1"/>
  <c r="X136" i="31" l="1"/>
  <c r="X9" i="31"/>
  <c r="X9" i="27"/>
  <c r="X9" i="16"/>
  <c r="X136" i="16"/>
  <c r="X136" i="27"/>
  <c r="AK9" i="24"/>
  <c r="CD9" i="24" s="1"/>
  <c r="AL9" i="24"/>
  <c r="AM9" i="24"/>
  <c r="CH8" i="24"/>
  <c r="CT8" i="24" s="1"/>
  <c r="CE8" i="24"/>
  <c r="CQ8" i="24" s="1"/>
  <c r="CF8" i="24"/>
  <c r="CR8" i="24" s="1"/>
  <c r="CI8" i="24"/>
  <c r="CU8" i="24" s="1"/>
  <c r="CJ8" i="24"/>
  <c r="CV8" i="24" s="1"/>
  <c r="CG8" i="24"/>
  <c r="CS8" i="24" s="1"/>
  <c r="CL8" i="24"/>
  <c r="CK8" i="24"/>
  <c r="CW8" i="24" s="1"/>
  <c r="AZ9" i="24"/>
  <c r="CP9" i="24" s="1"/>
  <c r="BA9" i="24"/>
  <c r="AY9" i="24"/>
  <c r="X9" i="24"/>
  <c r="R11" i="17"/>
  <c r="AA10" i="17"/>
  <c r="Z10" i="17"/>
  <c r="AE10" i="17"/>
  <c r="AD10" i="17"/>
  <c r="AC10" i="17"/>
  <c r="AB10" i="17"/>
  <c r="T10" i="17"/>
  <c r="S10" i="17"/>
  <c r="X10" i="15" s="1"/>
  <c r="V10" i="17"/>
  <c r="X10" i="3" s="1"/>
  <c r="X10" i="17"/>
  <c r="X10" i="14" s="1"/>
  <c r="U10" i="17"/>
  <c r="X10" i="7" s="1"/>
  <c r="X10" i="12" s="1"/>
  <c r="W10" i="17"/>
  <c r="X10" i="19" s="1"/>
  <c r="X10" i="16" l="1"/>
  <c r="X10" i="31"/>
  <c r="X10" i="27"/>
  <c r="CX8" i="24"/>
  <c r="CE9" i="24"/>
  <c r="CQ9" i="24" s="1"/>
  <c r="CH9" i="24"/>
  <c r="CT9" i="24" s="1"/>
  <c r="CJ9" i="24"/>
  <c r="CV9" i="24" s="1"/>
  <c r="CG9" i="24"/>
  <c r="CS9" i="24" s="1"/>
  <c r="CI9" i="24"/>
  <c r="CU9" i="24" s="1"/>
  <c r="CF9" i="24"/>
  <c r="CR9" i="24" s="1"/>
  <c r="CK9" i="24"/>
  <c r="CW9" i="24" s="1"/>
  <c r="CL9" i="24"/>
  <c r="CX9" i="24" s="1"/>
  <c r="AM10" i="24"/>
  <c r="AK10" i="24"/>
  <c r="CD10" i="24" s="1"/>
  <c r="AL10" i="24"/>
  <c r="BA10" i="24"/>
  <c r="AY10" i="24"/>
  <c r="CP10" i="24" s="1"/>
  <c r="AZ10" i="24"/>
  <c r="X10" i="24"/>
  <c r="R12" i="17"/>
  <c r="AC11" i="17"/>
  <c r="AB11" i="17"/>
  <c r="AA11" i="17"/>
  <c r="Z11" i="17"/>
  <c r="AE11" i="17"/>
  <c r="AD11" i="17"/>
  <c r="V11" i="17"/>
  <c r="X11" i="3" s="1"/>
  <c r="U11" i="17"/>
  <c r="X11" i="7" s="1"/>
  <c r="T11" i="17"/>
  <c r="S11" i="17"/>
  <c r="X11" i="15" s="1"/>
  <c r="X11" i="17"/>
  <c r="X11" i="14" s="1"/>
  <c r="W11" i="17"/>
  <c r="X11" i="19" s="1"/>
  <c r="X11" i="12" l="1"/>
  <c r="BA11" i="24"/>
  <c r="AY11" i="24"/>
  <c r="AZ11" i="24"/>
  <c r="CP11" i="24" s="1"/>
  <c r="AK11" i="24"/>
  <c r="CD11" i="24" s="1"/>
  <c r="AL11" i="24"/>
  <c r="AM11" i="24"/>
  <c r="CE10" i="24"/>
  <c r="CG10" i="24"/>
  <c r="CF10" i="24"/>
  <c r="CH10" i="24"/>
  <c r="CI10" i="24"/>
  <c r="CJ10" i="24"/>
  <c r="CL10" i="24"/>
  <c r="CK10" i="24"/>
  <c r="X11" i="24"/>
  <c r="R13" i="17"/>
  <c r="AE12" i="17"/>
  <c r="T12" i="17"/>
  <c r="AD12" i="17"/>
  <c r="AC12" i="17"/>
  <c r="AB12" i="17"/>
  <c r="AA12" i="17"/>
  <c r="X12" i="17"/>
  <c r="X12" i="14" s="1"/>
  <c r="Z12" i="17"/>
  <c r="W12" i="17"/>
  <c r="X12" i="19" s="1"/>
  <c r="V12" i="17"/>
  <c r="X12" i="3" s="1"/>
  <c r="U12" i="17"/>
  <c r="X12" i="7" s="1"/>
  <c r="S12" i="17"/>
  <c r="X12" i="15" s="1"/>
  <c r="X11" i="16" l="1"/>
  <c r="X11" i="31"/>
  <c r="X11" i="27"/>
  <c r="X12" i="12"/>
  <c r="CS10" i="24"/>
  <c r="CQ10" i="24"/>
  <c r="BA12" i="24"/>
  <c r="AZ12" i="24"/>
  <c r="CP12" i="24" s="1"/>
  <c r="AY12" i="24"/>
  <c r="CV10" i="24"/>
  <c r="CW10" i="24"/>
  <c r="CE11" i="24"/>
  <c r="CQ11" i="24" s="1"/>
  <c r="CH11" i="24"/>
  <c r="CT11" i="24" s="1"/>
  <c r="CF11" i="24"/>
  <c r="CR11" i="24" s="1"/>
  <c r="CG11" i="24"/>
  <c r="CS11" i="24" s="1"/>
  <c r="CJ11" i="24"/>
  <c r="CV11" i="24" s="1"/>
  <c r="CI11" i="24"/>
  <c r="CU11" i="24" s="1"/>
  <c r="CL11" i="24"/>
  <c r="CX11" i="24" s="1"/>
  <c r="CK11" i="24"/>
  <c r="CW11" i="24" s="1"/>
  <c r="AM12" i="24"/>
  <c r="AK12" i="24"/>
  <c r="CD12" i="24" s="1"/>
  <c r="AL12" i="24"/>
  <c r="CU10" i="24"/>
  <c r="CX10" i="24"/>
  <c r="CT10" i="24"/>
  <c r="CR10" i="24"/>
  <c r="X12" i="24"/>
  <c r="R14" i="17"/>
  <c r="V13" i="17"/>
  <c r="X13" i="3" s="1"/>
  <c r="AE13" i="17"/>
  <c r="AD13" i="17"/>
  <c r="AC13" i="17"/>
  <c r="AB13" i="17"/>
  <c r="AA13" i="17"/>
  <c r="Z13" i="17"/>
  <c r="T13" i="17"/>
  <c r="S13" i="17"/>
  <c r="X13" i="15" s="1"/>
  <c r="W13" i="17"/>
  <c r="X13" i="19" s="1"/>
  <c r="U13" i="17"/>
  <c r="X13" i="7" s="1"/>
  <c r="X13" i="17"/>
  <c r="X13" i="14" s="1"/>
  <c r="X12" i="16" l="1"/>
  <c r="X12" i="31"/>
  <c r="X12" i="27"/>
  <c r="X13" i="12"/>
  <c r="CH12" i="24"/>
  <c r="CI12" i="24"/>
  <c r="CE12" i="24"/>
  <c r="CF12" i="24"/>
  <c r="CJ12" i="24"/>
  <c r="CG12" i="24"/>
  <c r="CL12" i="24"/>
  <c r="CK12" i="24"/>
  <c r="AK13" i="24"/>
  <c r="CD13" i="24" s="1"/>
  <c r="AL13" i="24"/>
  <c r="AM13" i="24"/>
  <c r="AZ13" i="24"/>
  <c r="CP13" i="24" s="1"/>
  <c r="BA13" i="24"/>
  <c r="AY13" i="24"/>
  <c r="X13" i="24"/>
  <c r="R15" i="17"/>
  <c r="AA14" i="17"/>
  <c r="X14" i="17"/>
  <c r="X14" i="14" s="1"/>
  <c r="Z14" i="17"/>
  <c r="AE14" i="17"/>
  <c r="T14" i="17"/>
  <c r="AD14" i="17"/>
  <c r="AC14" i="17"/>
  <c r="AB14" i="17"/>
  <c r="W14" i="17"/>
  <c r="X14" i="19" s="1"/>
  <c r="V14" i="17"/>
  <c r="X14" i="3" s="1"/>
  <c r="U14" i="17"/>
  <c r="X14" i="7" s="1"/>
  <c r="X14" i="12" s="1"/>
  <c r="S14" i="17"/>
  <c r="X14" i="15" s="1"/>
  <c r="X13" i="27" l="1"/>
  <c r="X13" i="16"/>
  <c r="X13" i="31"/>
  <c r="X14" i="31"/>
  <c r="X14" i="27"/>
  <c r="X14" i="16"/>
  <c r="CS12" i="24"/>
  <c r="CV12" i="24"/>
  <c r="CR12" i="24"/>
  <c r="CQ12" i="24"/>
  <c r="CU12" i="24"/>
  <c r="AK14" i="24"/>
  <c r="CD14" i="24" s="1"/>
  <c r="AL14" i="24"/>
  <c r="AM14" i="24"/>
  <c r="CE13" i="24"/>
  <c r="CQ13" i="24" s="1"/>
  <c r="CH13" i="24"/>
  <c r="CT13" i="24" s="1"/>
  <c r="CF13" i="24"/>
  <c r="CR13" i="24" s="1"/>
  <c r="CG13" i="24"/>
  <c r="CS13" i="24" s="1"/>
  <c r="CI13" i="24"/>
  <c r="CU13" i="24" s="1"/>
  <c r="CJ13" i="24"/>
  <c r="CV13" i="24" s="1"/>
  <c r="CK13" i="24"/>
  <c r="CW13" i="24" s="1"/>
  <c r="CL13" i="24"/>
  <c r="CX13" i="24" s="1"/>
  <c r="CT12" i="24"/>
  <c r="AY14" i="24"/>
  <c r="AZ14" i="24"/>
  <c r="CP14" i="24" s="1"/>
  <c r="BA14" i="24"/>
  <c r="CW12" i="24"/>
  <c r="CX12" i="24"/>
  <c r="X14" i="24"/>
  <c r="R16" i="17"/>
  <c r="AC15" i="17"/>
  <c r="AB15" i="17"/>
  <c r="AA15" i="17"/>
  <c r="Z15" i="17"/>
  <c r="V15" i="17"/>
  <c r="X15" i="3" s="1"/>
  <c r="AE15" i="17"/>
  <c r="AD15" i="17"/>
  <c r="S15" i="17"/>
  <c r="X15" i="15" s="1"/>
  <c r="T15" i="17"/>
  <c r="X15" i="17"/>
  <c r="X15" i="14" s="1"/>
  <c r="W15" i="17"/>
  <c r="X15" i="19" s="1"/>
  <c r="U15" i="17"/>
  <c r="X15" i="7" s="1"/>
  <c r="X15" i="12" s="1"/>
  <c r="X15" i="31" l="1"/>
  <c r="X15" i="27"/>
  <c r="X15" i="16"/>
  <c r="AY15" i="24"/>
  <c r="AZ15" i="24"/>
  <c r="CP15" i="24" s="1"/>
  <c r="BA15" i="24"/>
  <c r="CH14" i="24"/>
  <c r="CG14" i="24"/>
  <c r="CS14" i="24" s="1"/>
  <c r="CF14" i="24"/>
  <c r="CR14" i="24" s="1"/>
  <c r="CI14" i="24"/>
  <c r="CU14" i="24" s="1"/>
  <c r="CJ14" i="24"/>
  <c r="CV14" i="24" s="1"/>
  <c r="CE14" i="24"/>
  <c r="CK14" i="24"/>
  <c r="CL14" i="24"/>
  <c r="AK15" i="24"/>
  <c r="CD15" i="24" s="1"/>
  <c r="AL15" i="24"/>
  <c r="AM15" i="24"/>
  <c r="X15" i="24"/>
  <c r="R17" i="17"/>
  <c r="AE16" i="17"/>
  <c r="T16" i="17"/>
  <c r="AD16" i="17"/>
  <c r="AC16" i="17"/>
  <c r="AB16" i="17"/>
  <c r="AA16" i="17"/>
  <c r="X16" i="17"/>
  <c r="X16" i="14" s="1"/>
  <c r="Z16" i="17"/>
  <c r="W16" i="17"/>
  <c r="X16" i="19" s="1"/>
  <c r="V16" i="17"/>
  <c r="X16" i="3" s="1"/>
  <c r="U16" i="17"/>
  <c r="X16" i="7" s="1"/>
  <c r="X16" i="12" s="1"/>
  <c r="S16" i="17"/>
  <c r="X16" i="15" s="1"/>
  <c r="X16" i="31" l="1"/>
  <c r="X16" i="27"/>
  <c r="X16" i="16"/>
  <c r="CX14" i="24"/>
  <c r="CW14" i="24"/>
  <c r="CQ14" i="24"/>
  <c r="AL16" i="24"/>
  <c r="AM16" i="24"/>
  <c r="AK16" i="24"/>
  <c r="CD16" i="24" s="1"/>
  <c r="AZ16" i="24"/>
  <c r="CP16" i="24" s="1"/>
  <c r="BA16" i="24"/>
  <c r="AY16" i="24"/>
  <c r="CF15" i="24"/>
  <c r="CR15" i="24" s="1"/>
  <c r="CI15" i="24"/>
  <c r="CG15" i="24"/>
  <c r="CE15" i="24"/>
  <c r="CQ15" i="24" s="1"/>
  <c r="CH15" i="24"/>
  <c r="CT15" i="24" s="1"/>
  <c r="CJ15" i="24"/>
  <c r="CL15" i="24"/>
  <c r="CX15" i="24" s="1"/>
  <c r="CK15" i="24"/>
  <c r="CW15" i="24" s="1"/>
  <c r="CT14" i="24"/>
  <c r="X16" i="24"/>
  <c r="R18" i="17"/>
  <c r="V17" i="17"/>
  <c r="X17" i="3" s="1"/>
  <c r="AE17" i="17"/>
  <c r="AD17" i="17"/>
  <c r="AC17" i="17"/>
  <c r="AB17" i="17"/>
  <c r="AA17" i="17"/>
  <c r="Z17" i="17"/>
  <c r="S17" i="17"/>
  <c r="X17" i="15" s="1"/>
  <c r="X17" i="17"/>
  <c r="X17" i="14" s="1"/>
  <c r="W17" i="17"/>
  <c r="X17" i="19" s="1"/>
  <c r="T17" i="17"/>
  <c r="U17" i="17"/>
  <c r="X17" i="7" s="1"/>
  <c r="X17" i="12" s="1"/>
  <c r="X17" i="31" l="1"/>
  <c r="X17" i="27"/>
  <c r="X17" i="16"/>
  <c r="AK17" i="24"/>
  <c r="CD17" i="24" s="1"/>
  <c r="AL17" i="24"/>
  <c r="AM17" i="24"/>
  <c r="CS15" i="24"/>
  <c r="CU15" i="24"/>
  <c r="CV15" i="24"/>
  <c r="CE16" i="24"/>
  <c r="CH16" i="24"/>
  <c r="CF16" i="24"/>
  <c r="CI16" i="24"/>
  <c r="CU16" i="24" s="1"/>
  <c r="CJ16" i="24"/>
  <c r="CV16" i="24" s="1"/>
  <c r="CG16" i="24"/>
  <c r="CS16" i="24" s="1"/>
  <c r="CL16" i="24"/>
  <c r="CX16" i="24" s="1"/>
  <c r="CK16" i="24"/>
  <c r="CW16" i="24" s="1"/>
  <c r="AZ17" i="24"/>
  <c r="CP17" i="24" s="1"/>
  <c r="BA17" i="24"/>
  <c r="AY17" i="24"/>
  <c r="X17" i="24"/>
  <c r="R19" i="17"/>
  <c r="AA18" i="17"/>
  <c r="X18" i="17"/>
  <c r="X18" i="14" s="1"/>
  <c r="Z18" i="17"/>
  <c r="AE18" i="17"/>
  <c r="T18" i="17"/>
  <c r="AD18" i="17"/>
  <c r="AC18" i="17"/>
  <c r="AB18" i="17"/>
  <c r="V18" i="17"/>
  <c r="X18" i="3" s="1"/>
  <c r="U18" i="17"/>
  <c r="X18" i="7" s="1"/>
  <c r="X18" i="12" s="1"/>
  <c r="W18" i="17"/>
  <c r="X18" i="19" s="1"/>
  <c r="S18" i="17"/>
  <c r="X18" i="15" s="1"/>
  <c r="X18" i="16" l="1"/>
  <c r="X18" i="31"/>
  <c r="X18" i="27"/>
  <c r="CT16" i="24"/>
  <c r="CQ16" i="24"/>
  <c r="AL18" i="24"/>
  <c r="AM18" i="24"/>
  <c r="AK18" i="24"/>
  <c r="CD18" i="24" s="1"/>
  <c r="BA18" i="24"/>
  <c r="AY18" i="24"/>
  <c r="AZ18" i="24"/>
  <c r="CP18" i="24" s="1"/>
  <c r="CR16" i="24"/>
  <c r="CG17" i="24"/>
  <c r="CS17" i="24" s="1"/>
  <c r="CF17" i="24"/>
  <c r="CR17" i="24" s="1"/>
  <c r="CJ17" i="24"/>
  <c r="CI17" i="24"/>
  <c r="CE17" i="24"/>
  <c r="CQ17" i="24" s="1"/>
  <c r="CH17" i="24"/>
  <c r="CT17" i="24" s="1"/>
  <c r="CL17" i="24"/>
  <c r="CK17" i="24"/>
  <c r="CW17" i="24" s="1"/>
  <c r="X18" i="24"/>
  <c r="R20" i="17"/>
  <c r="AE19" i="17"/>
  <c r="AD19" i="17"/>
  <c r="AC19" i="17"/>
  <c r="AB19" i="17"/>
  <c r="AA19" i="17"/>
  <c r="Z19" i="17"/>
  <c r="V19" i="17"/>
  <c r="X19" i="3" s="1"/>
  <c r="X19" i="17"/>
  <c r="X19" i="14" s="1"/>
  <c r="W19" i="17"/>
  <c r="X19" i="19" s="1"/>
  <c r="U19" i="17"/>
  <c r="X19" i="7" s="1"/>
  <c r="X19" i="12" s="1"/>
  <c r="T19" i="17"/>
  <c r="S19" i="17"/>
  <c r="X19" i="15" s="1"/>
  <c r="X19" i="16" l="1"/>
  <c r="X19" i="31"/>
  <c r="X19" i="27"/>
  <c r="CX17" i="24"/>
  <c r="AK19" i="24"/>
  <c r="CD19" i="24" s="1"/>
  <c r="AL19" i="24"/>
  <c r="AM19" i="24"/>
  <c r="CU17" i="24"/>
  <c r="CI18" i="24"/>
  <c r="CU18" i="24" s="1"/>
  <c r="CH18" i="24"/>
  <c r="CT18" i="24" s="1"/>
  <c r="CJ18" i="24"/>
  <c r="CV18" i="24" s="1"/>
  <c r="CF18" i="24"/>
  <c r="CR18" i="24" s="1"/>
  <c r="CG18" i="24"/>
  <c r="CS18" i="24" s="1"/>
  <c r="CE18" i="24"/>
  <c r="CQ18" i="24" s="1"/>
  <c r="CK18" i="24"/>
  <c r="CW18" i="24" s="1"/>
  <c r="CL18" i="24"/>
  <c r="CX18" i="24" s="1"/>
  <c r="CV17" i="24"/>
  <c r="BA19" i="24"/>
  <c r="AY19" i="24"/>
  <c r="AZ19" i="24"/>
  <c r="CP19" i="24" s="1"/>
  <c r="X19" i="24"/>
  <c r="R21" i="17"/>
  <c r="AE20" i="17"/>
  <c r="AD20" i="17"/>
  <c r="AC20" i="17"/>
  <c r="AB20" i="17"/>
  <c r="AA20" i="17"/>
  <c r="Z20" i="17"/>
  <c r="T20" i="17"/>
  <c r="X20" i="17"/>
  <c r="X20" i="14" s="1"/>
  <c r="U20" i="17"/>
  <c r="X20" i="7" s="1"/>
  <c r="X20" i="12" s="1"/>
  <c r="S20" i="17"/>
  <c r="X20" i="15" s="1"/>
  <c r="W20" i="17"/>
  <c r="X20" i="19" s="1"/>
  <c r="V20" i="17"/>
  <c r="X20" i="3" s="1"/>
  <c r="X20" i="16" l="1"/>
  <c r="X20" i="31"/>
  <c r="X20" i="27"/>
  <c r="BA20" i="24"/>
  <c r="AY20" i="24"/>
  <c r="AZ20" i="24"/>
  <c r="CP20" i="24" s="1"/>
  <c r="CH19" i="24"/>
  <c r="CT19" i="24" s="1"/>
  <c r="CG19" i="24"/>
  <c r="CS19" i="24" s="1"/>
  <c r="CF19" i="24"/>
  <c r="CR19" i="24" s="1"/>
  <c r="CI19" i="24"/>
  <c r="CU19" i="24" s="1"/>
  <c r="CJ19" i="24"/>
  <c r="CV19" i="24" s="1"/>
  <c r="CE19" i="24"/>
  <c r="CQ19" i="24" s="1"/>
  <c r="CL19" i="24"/>
  <c r="CX19" i="24" s="1"/>
  <c r="CK19" i="24"/>
  <c r="CW19" i="24" s="1"/>
  <c r="AK20" i="24"/>
  <c r="CD20" i="24" s="1"/>
  <c r="AL20" i="24"/>
  <c r="AM20" i="24"/>
  <c r="X20" i="24"/>
  <c r="R22" i="17"/>
  <c r="AE21" i="17"/>
  <c r="AD21" i="17"/>
  <c r="AC21" i="17"/>
  <c r="AB21" i="17"/>
  <c r="AA21" i="17"/>
  <c r="Z21" i="17"/>
  <c r="V21" i="17"/>
  <c r="X21" i="3" s="1"/>
  <c r="X21" i="17"/>
  <c r="X21" i="14" s="1"/>
  <c r="W21" i="17"/>
  <c r="X21" i="19" s="1"/>
  <c r="U21" i="17"/>
  <c r="X21" i="7" s="1"/>
  <c r="X21" i="12" s="1"/>
  <c r="T21" i="17"/>
  <c r="S21" i="17"/>
  <c r="X21" i="15" s="1"/>
  <c r="X21" i="27" l="1"/>
  <c r="X21" i="16"/>
  <c r="X21" i="31"/>
  <c r="X21" i="24"/>
  <c r="AZ21" i="24"/>
  <c r="CP21" i="24" s="1"/>
  <c r="AY21" i="24"/>
  <c r="BA21" i="24"/>
  <c r="CH20" i="24"/>
  <c r="CT20" i="24" s="1"/>
  <c r="CF20" i="24"/>
  <c r="CR20" i="24" s="1"/>
  <c r="CI20" i="24"/>
  <c r="CU20" i="24" s="1"/>
  <c r="CE20" i="24"/>
  <c r="CQ20" i="24" s="1"/>
  <c r="CG20" i="24"/>
  <c r="CS20" i="24" s="1"/>
  <c r="CJ20" i="24"/>
  <c r="CV20" i="24" s="1"/>
  <c r="CK20" i="24"/>
  <c r="CW20" i="24" s="1"/>
  <c r="CL20" i="24"/>
  <c r="CX20" i="24" s="1"/>
  <c r="AL21" i="24"/>
  <c r="AM21" i="24"/>
  <c r="AK21" i="24"/>
  <c r="CD21" i="24" s="1"/>
  <c r="R23" i="17"/>
  <c r="AA22" i="17"/>
  <c r="Z22" i="17"/>
  <c r="AE22" i="17"/>
  <c r="AD22" i="17"/>
  <c r="AC22" i="17"/>
  <c r="AB22" i="17"/>
  <c r="X22" i="17"/>
  <c r="X22" i="14" s="1"/>
  <c r="T22" i="17"/>
  <c r="S22" i="17"/>
  <c r="X22" i="15" s="1"/>
  <c r="W22" i="17"/>
  <c r="X22" i="19" s="1"/>
  <c r="V22" i="17"/>
  <c r="X22" i="3" s="1"/>
  <c r="U22" i="17"/>
  <c r="X22" i="7" s="1"/>
  <c r="X22" i="12" s="1"/>
  <c r="X22" i="31" l="1"/>
  <c r="X22" i="27"/>
  <c r="X22" i="16"/>
  <c r="AY22" i="24"/>
  <c r="AZ22" i="24"/>
  <c r="CP22" i="24" s="1"/>
  <c r="BA22" i="24"/>
  <c r="AM22" i="24"/>
  <c r="AK22" i="24"/>
  <c r="CD22" i="24" s="1"/>
  <c r="AL22" i="24"/>
  <c r="CE21" i="24"/>
  <c r="CQ21" i="24" s="1"/>
  <c r="CI21" i="24"/>
  <c r="CU21" i="24" s="1"/>
  <c r="CG21" i="24"/>
  <c r="CS21" i="24" s="1"/>
  <c r="CF21" i="24"/>
  <c r="CR21" i="24" s="1"/>
  <c r="CH21" i="24"/>
  <c r="CT21" i="24" s="1"/>
  <c r="CJ21" i="24"/>
  <c r="CV21" i="24" s="1"/>
  <c r="CK21" i="24"/>
  <c r="CW21" i="24" s="1"/>
  <c r="CL21" i="24"/>
  <c r="CX21" i="24" s="1"/>
  <c r="X22" i="24"/>
  <c r="R24" i="17"/>
  <c r="AC23" i="17"/>
  <c r="AB23" i="17"/>
  <c r="AA23" i="17"/>
  <c r="Z23" i="17"/>
  <c r="AE23" i="17"/>
  <c r="AD23" i="17"/>
  <c r="V23" i="17"/>
  <c r="X23" i="3" s="1"/>
  <c r="X23" i="17"/>
  <c r="X23" i="14" s="1"/>
  <c r="W23" i="17"/>
  <c r="X23" i="19" s="1"/>
  <c r="U23" i="17"/>
  <c r="X23" i="7" s="1"/>
  <c r="X23" i="12" s="1"/>
  <c r="T23" i="17"/>
  <c r="S23" i="17"/>
  <c r="X23" i="15" s="1"/>
  <c r="X23" i="31" l="1"/>
  <c r="X23" i="27"/>
  <c r="X23" i="16"/>
  <c r="AK23" i="24"/>
  <c r="CD23" i="24" s="1"/>
  <c r="AL23" i="24"/>
  <c r="AM23" i="24"/>
  <c r="CJ22" i="24"/>
  <c r="CV22" i="24" s="1"/>
  <c r="CE22" i="24"/>
  <c r="CQ22" i="24" s="1"/>
  <c r="CG22" i="24"/>
  <c r="CS22" i="24" s="1"/>
  <c r="CF22" i="24"/>
  <c r="CR22" i="24" s="1"/>
  <c r="CH22" i="24"/>
  <c r="CT22" i="24" s="1"/>
  <c r="CI22" i="24"/>
  <c r="CU22" i="24" s="1"/>
  <c r="CL22" i="24"/>
  <c r="CX22" i="24" s="1"/>
  <c r="CK22" i="24"/>
  <c r="CW22" i="24" s="1"/>
  <c r="AY23" i="24"/>
  <c r="AZ23" i="24"/>
  <c r="CP23" i="24" s="1"/>
  <c r="BA23" i="24"/>
  <c r="X23" i="24"/>
  <c r="R25" i="17"/>
  <c r="AE24" i="17"/>
  <c r="AD24" i="17"/>
  <c r="AC24" i="17"/>
  <c r="AB24" i="17"/>
  <c r="AA24" i="17"/>
  <c r="Z24" i="17"/>
  <c r="T24" i="17"/>
  <c r="X24" i="17"/>
  <c r="X24" i="14" s="1"/>
  <c r="W24" i="17"/>
  <c r="X24" i="19" s="1"/>
  <c r="U24" i="17"/>
  <c r="X24" i="7" s="1"/>
  <c r="X24" i="12" s="1"/>
  <c r="S24" i="17"/>
  <c r="X24" i="15" s="1"/>
  <c r="V24" i="17"/>
  <c r="X24" i="3" s="1"/>
  <c r="X24" i="31" l="1"/>
  <c r="X24" i="27"/>
  <c r="X24" i="16"/>
  <c r="AZ24" i="24"/>
  <c r="CP24" i="24" s="1"/>
  <c r="BA24" i="24"/>
  <c r="AY24" i="24"/>
  <c r="AL24" i="24"/>
  <c r="AM24" i="24"/>
  <c r="AK24" i="24"/>
  <c r="CD24" i="24" s="1"/>
  <c r="CH23" i="24"/>
  <c r="CT23" i="24" s="1"/>
  <c r="CJ23" i="24"/>
  <c r="CV23" i="24" s="1"/>
  <c r="CF23" i="24"/>
  <c r="CR23" i="24" s="1"/>
  <c r="CE23" i="24"/>
  <c r="CQ23" i="24" s="1"/>
  <c r="CG23" i="24"/>
  <c r="CS23" i="24" s="1"/>
  <c r="CI23" i="24"/>
  <c r="CU23" i="24" s="1"/>
  <c r="CK23" i="24"/>
  <c r="CW23" i="24" s="1"/>
  <c r="CL23" i="24"/>
  <c r="CX23" i="24" s="1"/>
  <c r="X24" i="24"/>
  <c r="R26" i="17"/>
  <c r="AE25" i="17"/>
  <c r="AD25" i="17"/>
  <c r="AC25" i="17"/>
  <c r="AB25" i="17"/>
  <c r="AA25" i="17"/>
  <c r="Z25" i="17"/>
  <c r="V25" i="17"/>
  <c r="X25" i="3" s="1"/>
  <c r="W25" i="17"/>
  <c r="X25" i="19" s="1"/>
  <c r="U25" i="17"/>
  <c r="X25" i="7" s="1"/>
  <c r="X25" i="12" s="1"/>
  <c r="T25" i="17"/>
  <c r="S25" i="17"/>
  <c r="X25" i="15" s="1"/>
  <c r="X25" i="17"/>
  <c r="X25" i="14" s="1"/>
  <c r="X25" i="31" l="1"/>
  <c r="X25" i="27"/>
  <c r="X25" i="16"/>
  <c r="CH24" i="24"/>
  <c r="CT24" i="24" s="1"/>
  <c r="CF24" i="24"/>
  <c r="CR24" i="24" s="1"/>
  <c r="CG24" i="24"/>
  <c r="CS24" i="24" s="1"/>
  <c r="CE24" i="24"/>
  <c r="CQ24" i="24" s="1"/>
  <c r="CI24" i="24"/>
  <c r="CU24" i="24" s="1"/>
  <c r="CJ24" i="24"/>
  <c r="CV24" i="24" s="1"/>
  <c r="CK24" i="24"/>
  <c r="CW24" i="24" s="1"/>
  <c r="CL24" i="24"/>
  <c r="CX24" i="24" s="1"/>
  <c r="AM25" i="24"/>
  <c r="AK25" i="24"/>
  <c r="CD25" i="24" s="1"/>
  <c r="AL25" i="24"/>
  <c r="AZ25" i="24"/>
  <c r="CP25" i="24" s="1"/>
  <c r="BA25" i="24"/>
  <c r="AY25" i="24"/>
  <c r="X25" i="24"/>
  <c r="R27" i="17"/>
  <c r="AA26" i="17"/>
  <c r="Z26" i="17"/>
  <c r="AE26" i="17"/>
  <c r="AD26" i="17"/>
  <c r="AC26" i="17"/>
  <c r="AB26" i="17"/>
  <c r="X26" i="17"/>
  <c r="X26" i="14" s="1"/>
  <c r="T26" i="17"/>
  <c r="W26" i="17"/>
  <c r="X26" i="19" s="1"/>
  <c r="V26" i="17"/>
  <c r="X26" i="3" s="1"/>
  <c r="U26" i="17"/>
  <c r="X26" i="7" s="1"/>
  <c r="X26" i="12" s="1"/>
  <c r="S26" i="17"/>
  <c r="X26" i="15" s="1"/>
  <c r="X26" i="16" l="1"/>
  <c r="X26" i="31"/>
  <c r="X26" i="27"/>
  <c r="BA26" i="24"/>
  <c r="AY26" i="24"/>
  <c r="AZ26" i="24"/>
  <c r="CP26" i="24" s="1"/>
  <c r="AM26" i="24"/>
  <c r="AK26" i="24"/>
  <c r="CD26" i="24" s="1"/>
  <c r="AL26" i="24"/>
  <c r="CH25" i="24"/>
  <c r="CT25" i="24" s="1"/>
  <c r="CE25" i="24"/>
  <c r="CQ25" i="24" s="1"/>
  <c r="CI25" i="24"/>
  <c r="CU25" i="24" s="1"/>
  <c r="CG25" i="24"/>
  <c r="CS25" i="24" s="1"/>
  <c r="CJ25" i="24"/>
  <c r="CV25" i="24" s="1"/>
  <c r="CF25" i="24"/>
  <c r="CR25" i="24" s="1"/>
  <c r="CK25" i="24"/>
  <c r="CW25" i="24" s="1"/>
  <c r="CL25" i="24"/>
  <c r="CX25" i="24" s="1"/>
  <c r="X26" i="24"/>
  <c r="R28" i="17"/>
  <c r="AC27" i="17"/>
  <c r="AB27" i="17"/>
  <c r="AA27" i="17"/>
  <c r="Z27" i="17"/>
  <c r="AE27" i="17"/>
  <c r="AD27" i="17"/>
  <c r="V27" i="17"/>
  <c r="X27" i="3" s="1"/>
  <c r="U27" i="17"/>
  <c r="X27" i="7" s="1"/>
  <c r="X27" i="12" s="1"/>
  <c r="T27" i="17"/>
  <c r="S27" i="17"/>
  <c r="X27" i="15" s="1"/>
  <c r="X27" i="17"/>
  <c r="X27" i="14" s="1"/>
  <c r="W27" i="17"/>
  <c r="X27" i="19" s="1"/>
  <c r="X27" i="16" l="1"/>
  <c r="X27" i="31"/>
  <c r="X27" i="27"/>
  <c r="CG26" i="24"/>
  <c r="CS26" i="24" s="1"/>
  <c r="CF26" i="24"/>
  <c r="CR26" i="24" s="1"/>
  <c r="CE26" i="24"/>
  <c r="CQ26" i="24" s="1"/>
  <c r="CH26" i="24"/>
  <c r="CT26" i="24" s="1"/>
  <c r="CI26" i="24"/>
  <c r="CU26" i="24" s="1"/>
  <c r="CJ26" i="24"/>
  <c r="CV26" i="24" s="1"/>
  <c r="CK26" i="24"/>
  <c r="CW26" i="24" s="1"/>
  <c r="CL26" i="24"/>
  <c r="CX26" i="24" s="1"/>
  <c r="BA27" i="24"/>
  <c r="AY27" i="24"/>
  <c r="AZ27" i="24"/>
  <c r="CP27" i="24" s="1"/>
  <c r="AM27" i="24"/>
  <c r="AK27" i="24"/>
  <c r="CD27" i="24" s="1"/>
  <c r="AL27" i="24"/>
  <c r="X27" i="24"/>
  <c r="R29" i="17"/>
  <c r="AE28" i="17"/>
  <c r="AD28" i="17"/>
  <c r="AC28" i="17"/>
  <c r="AB28" i="17"/>
  <c r="AA28" i="17"/>
  <c r="Z28" i="17"/>
  <c r="T28" i="17"/>
  <c r="X28" i="17"/>
  <c r="X28" i="14" s="1"/>
  <c r="W28" i="17"/>
  <c r="X28" i="19" s="1"/>
  <c r="V28" i="17"/>
  <c r="X28" i="3" s="1"/>
  <c r="U28" i="17"/>
  <c r="X28" i="7" s="1"/>
  <c r="S28" i="17"/>
  <c r="X28" i="15" s="1"/>
  <c r="X28" i="12" l="1"/>
  <c r="AL28" i="24"/>
  <c r="AM28" i="24"/>
  <c r="AK28" i="24"/>
  <c r="CD28" i="24" s="1"/>
  <c r="CE27" i="24"/>
  <c r="CQ27" i="24" s="1"/>
  <c r="CF27" i="24"/>
  <c r="CR27" i="24" s="1"/>
  <c r="CH27" i="24"/>
  <c r="CT27" i="24" s="1"/>
  <c r="CJ27" i="24"/>
  <c r="CV27" i="24" s="1"/>
  <c r="CI27" i="24"/>
  <c r="CU27" i="24" s="1"/>
  <c r="CG27" i="24"/>
  <c r="CS27" i="24" s="1"/>
  <c r="CL27" i="24"/>
  <c r="CX27" i="24" s="1"/>
  <c r="CK27" i="24"/>
  <c r="CW27" i="24" s="1"/>
  <c r="BA28" i="24"/>
  <c r="AY28" i="24"/>
  <c r="AZ28" i="24"/>
  <c r="CP28" i="24" s="1"/>
  <c r="X28" i="24"/>
  <c r="R30" i="17"/>
  <c r="AE29" i="17"/>
  <c r="AD29" i="17"/>
  <c r="AC29" i="17"/>
  <c r="AB29" i="17"/>
  <c r="AA29" i="17"/>
  <c r="Z29" i="17"/>
  <c r="V29" i="17"/>
  <c r="X29" i="3" s="1"/>
  <c r="T29" i="17"/>
  <c r="S29" i="17"/>
  <c r="X29" i="15" s="1"/>
  <c r="W29" i="17"/>
  <c r="X29" i="19" s="1"/>
  <c r="U29" i="17"/>
  <c r="X29" i="7" s="1"/>
  <c r="X29" i="17"/>
  <c r="X29" i="14" s="1"/>
  <c r="X29" i="12" l="1"/>
  <c r="X28" i="16"/>
  <c r="X28" i="31"/>
  <c r="X28" i="27"/>
  <c r="AY29" i="24"/>
  <c r="AZ29" i="24"/>
  <c r="CP29" i="24" s="1"/>
  <c r="BA29" i="24"/>
  <c r="CE28" i="24"/>
  <c r="CI28" i="24"/>
  <c r="CG28" i="24"/>
  <c r="CF28" i="24"/>
  <c r="CH28" i="24"/>
  <c r="CJ28" i="24"/>
  <c r="CK28" i="24"/>
  <c r="CL28" i="24"/>
  <c r="AL29" i="24"/>
  <c r="AM29" i="24"/>
  <c r="AK29" i="24"/>
  <c r="CD29" i="24" s="1"/>
  <c r="X29" i="24"/>
  <c r="R31" i="17"/>
  <c r="AA30" i="17"/>
  <c r="Z30" i="17"/>
  <c r="AE30" i="17"/>
  <c r="AD30" i="17"/>
  <c r="AC30" i="17"/>
  <c r="AB30" i="17"/>
  <c r="X30" i="17"/>
  <c r="X30" i="14" s="1"/>
  <c r="T30" i="17"/>
  <c r="W30" i="17"/>
  <c r="X30" i="19" s="1"/>
  <c r="V30" i="17"/>
  <c r="X30" i="3" s="1"/>
  <c r="U30" i="17"/>
  <c r="X30" i="7" s="1"/>
  <c r="X30" i="12" s="1"/>
  <c r="S30" i="17"/>
  <c r="X30" i="15" s="1"/>
  <c r="X30" i="31" l="1"/>
  <c r="X30" i="27"/>
  <c r="X30" i="16"/>
  <c r="X29" i="27"/>
  <c r="X29" i="16"/>
  <c r="X29" i="31"/>
  <c r="CH29" i="24"/>
  <c r="CT29" i="24" s="1"/>
  <c r="CJ29" i="24"/>
  <c r="CV29" i="24" s="1"/>
  <c r="CF29" i="24"/>
  <c r="CR29" i="24" s="1"/>
  <c r="CG29" i="24"/>
  <c r="CS29" i="24" s="1"/>
  <c r="CE29" i="24"/>
  <c r="CQ29" i="24" s="1"/>
  <c r="CI29" i="24"/>
  <c r="CU29" i="24" s="1"/>
  <c r="CK29" i="24"/>
  <c r="CW29" i="24" s="1"/>
  <c r="CL29" i="24"/>
  <c r="CX29" i="24" s="1"/>
  <c r="CQ28" i="24"/>
  <c r="CQ137" i="24" s="1"/>
  <c r="CE137" i="24"/>
  <c r="AM30" i="24"/>
  <c r="AK30" i="24"/>
  <c r="CD30" i="24" s="1"/>
  <c r="AL30" i="24"/>
  <c r="CR28" i="24"/>
  <c r="CR137" i="24" s="1"/>
  <c r="CF137" i="24"/>
  <c r="CS28" i="24"/>
  <c r="CS137" i="24" s="1"/>
  <c r="CG137" i="24"/>
  <c r="AY30" i="24"/>
  <c r="AZ30" i="24"/>
  <c r="BA30" i="24"/>
  <c r="CT28" i="24"/>
  <c r="CT137" i="24" s="1"/>
  <c r="CH137" i="24"/>
  <c r="CU28" i="24"/>
  <c r="CU137" i="24" s="1"/>
  <c r="CI137" i="24"/>
  <c r="CX28" i="24"/>
  <c r="CX137" i="24" s="1"/>
  <c r="CL137" i="24"/>
  <c r="AG151" i="12" s="1"/>
  <c r="CW28" i="24"/>
  <c r="CW137" i="24" s="1"/>
  <c r="CK137" i="24"/>
  <c r="CV28" i="24"/>
  <c r="CV137" i="24" s="1"/>
  <c r="CJ137" i="24"/>
  <c r="X30" i="24"/>
  <c r="R32" i="17"/>
  <c r="AC31" i="17"/>
  <c r="AB31" i="17"/>
  <c r="AA31" i="17"/>
  <c r="Z31" i="17"/>
  <c r="AE31" i="17"/>
  <c r="AD31" i="17"/>
  <c r="V31" i="17"/>
  <c r="X31" i="3" s="1"/>
  <c r="U31" i="17"/>
  <c r="X31" i="7" s="1"/>
  <c r="X31" i="12" s="1"/>
  <c r="S31" i="17"/>
  <c r="X31" i="15" s="1"/>
  <c r="W31" i="17"/>
  <c r="X31" i="19" s="1"/>
  <c r="T31" i="17"/>
  <c r="X31" i="17"/>
  <c r="X31" i="14" s="1"/>
  <c r="X31" i="31" l="1"/>
  <c r="X31" i="27"/>
  <c r="X31" i="16"/>
  <c r="CE30" i="24"/>
  <c r="CH30" i="24"/>
  <c r="CG30" i="24"/>
  <c r="CF30" i="24"/>
  <c r="CI30" i="24"/>
  <c r="CJ30" i="24"/>
  <c r="CL30" i="24"/>
  <c r="CK30" i="24"/>
  <c r="AK31" i="24"/>
  <c r="CD31" i="24" s="1"/>
  <c r="AL31" i="24"/>
  <c r="AM31" i="24"/>
  <c r="AY31" i="24"/>
  <c r="AZ31" i="24"/>
  <c r="CP31" i="24" s="1"/>
  <c r="BA31" i="24"/>
  <c r="X31" i="24"/>
  <c r="R33" i="17"/>
  <c r="AE32" i="17"/>
  <c r="AD32" i="17"/>
  <c r="AC32" i="17"/>
  <c r="AB32" i="17"/>
  <c r="AA32" i="17"/>
  <c r="Z32" i="17"/>
  <c r="T32" i="17"/>
  <c r="S32" i="17"/>
  <c r="X32" i="15" s="1"/>
  <c r="X32" i="17"/>
  <c r="X32" i="14" s="1"/>
  <c r="W32" i="17"/>
  <c r="X32" i="19" s="1"/>
  <c r="V32" i="17"/>
  <c r="X32" i="3" s="1"/>
  <c r="U32" i="17"/>
  <c r="X32" i="7" s="1"/>
  <c r="X32" i="12" l="1"/>
  <c r="AZ32" i="24"/>
  <c r="CP32" i="24" s="1"/>
  <c r="BA32" i="24"/>
  <c r="AY32" i="24"/>
  <c r="AK32" i="24"/>
  <c r="CD32" i="24" s="1"/>
  <c r="AL32" i="24"/>
  <c r="AM32" i="24"/>
  <c r="CG31" i="24"/>
  <c r="CE31" i="24"/>
  <c r="CF31" i="24"/>
  <c r="CI31" i="24"/>
  <c r="CH31" i="24"/>
  <c r="CJ31" i="24"/>
  <c r="CL31" i="24"/>
  <c r="CK31" i="24"/>
  <c r="X32" i="24"/>
  <c r="R34" i="17"/>
  <c r="AE33" i="17"/>
  <c r="AD33" i="17"/>
  <c r="AC33" i="17"/>
  <c r="AB33" i="17"/>
  <c r="AA33" i="17"/>
  <c r="Z33" i="17"/>
  <c r="V33" i="17"/>
  <c r="X33" i="3" s="1"/>
  <c r="U33" i="17"/>
  <c r="X33" i="7" s="1"/>
  <c r="X33" i="12" s="1"/>
  <c r="T33" i="17"/>
  <c r="M138" i="24" s="1"/>
  <c r="S33" i="17"/>
  <c r="X33" i="15" s="1"/>
  <c r="X33" i="17"/>
  <c r="X33" i="14" s="1"/>
  <c r="W33" i="17"/>
  <c r="X33" i="19" s="1"/>
  <c r="X33" i="31" l="1"/>
  <c r="X33" i="27"/>
  <c r="X33" i="16"/>
  <c r="X32" i="31"/>
  <c r="X32" i="27"/>
  <c r="X32" i="16"/>
  <c r="X138" i="16" s="1"/>
  <c r="X138" i="12"/>
  <c r="CQ31" i="24"/>
  <c r="CS31" i="24"/>
  <c r="CW31" i="24"/>
  <c r="CX31" i="24"/>
  <c r="CV31" i="24"/>
  <c r="CE32" i="24"/>
  <c r="CQ32" i="24" s="1"/>
  <c r="CG32" i="24"/>
  <c r="CS32" i="24" s="1"/>
  <c r="CH32" i="24"/>
  <c r="CT32" i="24" s="1"/>
  <c r="CF32" i="24"/>
  <c r="CR32" i="24" s="1"/>
  <c r="CI32" i="24"/>
  <c r="CU32" i="24" s="1"/>
  <c r="CJ32" i="24"/>
  <c r="CV32" i="24" s="1"/>
  <c r="CL32" i="24"/>
  <c r="CX32" i="24" s="1"/>
  <c r="CK32" i="24"/>
  <c r="CW32" i="24" s="1"/>
  <c r="CT31" i="24"/>
  <c r="CU31" i="24"/>
  <c r="AZ33" i="24"/>
  <c r="CP33" i="24" s="1"/>
  <c r="BA33" i="24"/>
  <c r="AY33" i="24"/>
  <c r="AK33" i="24"/>
  <c r="CD33" i="24" s="1"/>
  <c r="AL33" i="24"/>
  <c r="AM33" i="24"/>
  <c r="CR31" i="24"/>
  <c r="X33" i="24"/>
  <c r="X138" i="7"/>
  <c r="R35" i="17"/>
  <c r="AA34" i="17"/>
  <c r="Z34" i="17"/>
  <c r="AE34" i="17"/>
  <c r="AD34" i="17"/>
  <c r="AC34" i="17"/>
  <c r="AB34" i="17"/>
  <c r="X34" i="17"/>
  <c r="X34" i="14" s="1"/>
  <c r="W34" i="17"/>
  <c r="X34" i="19" s="1"/>
  <c r="V34" i="17"/>
  <c r="X34" i="3" s="1"/>
  <c r="U34" i="17"/>
  <c r="X34" i="7" s="1"/>
  <c r="X34" i="12" s="1"/>
  <c r="T34" i="17"/>
  <c r="S34" i="17"/>
  <c r="X34" i="15" s="1"/>
  <c r="X34" i="16" l="1"/>
  <c r="X34" i="31"/>
  <c r="X34" i="27"/>
  <c r="AK34" i="24"/>
  <c r="CD34" i="24" s="1"/>
  <c r="AL34" i="24"/>
  <c r="AM34" i="24"/>
  <c r="CE33" i="24"/>
  <c r="CQ33" i="24" s="1"/>
  <c r="CG33" i="24"/>
  <c r="CS33" i="24" s="1"/>
  <c r="CF33" i="24"/>
  <c r="CH33" i="24"/>
  <c r="CI33" i="24"/>
  <c r="CJ33" i="24"/>
  <c r="CV33" i="24" s="1"/>
  <c r="CK33" i="24"/>
  <c r="CL33" i="24"/>
  <c r="CE138" i="24"/>
  <c r="X34" i="24"/>
  <c r="BA34" i="24"/>
  <c r="AY34" i="24"/>
  <c r="AZ34" i="24"/>
  <c r="CP34" i="24" s="1"/>
  <c r="R36" i="17"/>
  <c r="AC35" i="17"/>
  <c r="AB35" i="17"/>
  <c r="AA35" i="17"/>
  <c r="Z35" i="17"/>
  <c r="AE35" i="17"/>
  <c r="AD35" i="17"/>
  <c r="X35" i="17"/>
  <c r="X35" i="14" s="1"/>
  <c r="W35" i="17"/>
  <c r="X35" i="19" s="1"/>
  <c r="V35" i="17"/>
  <c r="X35" i="3" s="1"/>
  <c r="U35" i="17"/>
  <c r="X35" i="7" s="1"/>
  <c r="X35" i="12" s="1"/>
  <c r="S35" i="17"/>
  <c r="X35" i="15" s="1"/>
  <c r="T35" i="17"/>
  <c r="X35" i="16" l="1"/>
  <c r="X35" i="31"/>
  <c r="X35" i="27"/>
  <c r="CJ138" i="24"/>
  <c r="CG138" i="24"/>
  <c r="CT33" i="24"/>
  <c r="CH138" i="24"/>
  <c r="CR33" i="24"/>
  <c r="CF138" i="24"/>
  <c r="BA35" i="24"/>
  <c r="AY35" i="24"/>
  <c r="AZ35" i="24"/>
  <c r="CP35" i="24" s="1"/>
  <c r="AK35" i="24"/>
  <c r="CD35" i="24" s="1"/>
  <c r="AL35" i="24"/>
  <c r="AM35" i="24"/>
  <c r="CX33" i="24"/>
  <c r="CL138" i="24"/>
  <c r="CD183" i="12" s="1"/>
  <c r="CW33" i="24"/>
  <c r="CK138" i="24"/>
  <c r="CU33" i="24"/>
  <c r="CI138" i="24"/>
  <c r="CE34" i="24"/>
  <c r="CQ34" i="24" s="1"/>
  <c r="CH34" i="24"/>
  <c r="CT34" i="24" s="1"/>
  <c r="CF34" i="24"/>
  <c r="CR34" i="24" s="1"/>
  <c r="CG34" i="24"/>
  <c r="CS34" i="24" s="1"/>
  <c r="CI34" i="24"/>
  <c r="CU34" i="24" s="1"/>
  <c r="CJ34" i="24"/>
  <c r="CV34" i="24" s="1"/>
  <c r="CK34" i="24"/>
  <c r="CW34" i="24" s="1"/>
  <c r="CL34" i="24"/>
  <c r="CX34" i="24" s="1"/>
  <c r="X35" i="24"/>
  <c r="R37" i="17"/>
  <c r="AE36" i="17"/>
  <c r="AD36" i="17"/>
  <c r="AC36" i="17"/>
  <c r="AB36" i="17"/>
  <c r="AA36" i="17"/>
  <c r="Z36" i="17"/>
  <c r="T36" i="17"/>
  <c r="S36" i="17"/>
  <c r="X36" i="15" s="1"/>
  <c r="X36" i="17"/>
  <c r="X36" i="14" s="1"/>
  <c r="W36" i="17"/>
  <c r="X36" i="19" s="1"/>
  <c r="U36" i="17"/>
  <c r="X36" i="7" s="1"/>
  <c r="X36" i="12" s="1"/>
  <c r="V36" i="17"/>
  <c r="X36" i="3" s="1"/>
  <c r="X36" i="16" l="1"/>
  <c r="X36" i="31"/>
  <c r="X36" i="27"/>
  <c r="CF35" i="24"/>
  <c r="CR35" i="24" s="1"/>
  <c r="CI35" i="24"/>
  <c r="CU35" i="24" s="1"/>
  <c r="CH35" i="24"/>
  <c r="CT35" i="24" s="1"/>
  <c r="CE35" i="24"/>
  <c r="CQ35" i="24" s="1"/>
  <c r="CG35" i="24"/>
  <c r="CS35" i="24" s="1"/>
  <c r="CJ35" i="24"/>
  <c r="CV35" i="24" s="1"/>
  <c r="CK35" i="24"/>
  <c r="CW35" i="24" s="1"/>
  <c r="CL35" i="24"/>
  <c r="CX35" i="24" s="1"/>
  <c r="BA36" i="24"/>
  <c r="AY36" i="24"/>
  <c r="AZ36" i="24"/>
  <c r="CP36" i="24" s="1"/>
  <c r="AK36" i="24"/>
  <c r="CD36" i="24" s="1"/>
  <c r="AL36" i="24"/>
  <c r="AM36" i="24"/>
  <c r="X36" i="24"/>
  <c r="R38" i="17"/>
  <c r="AE37" i="17"/>
  <c r="AD37" i="17"/>
  <c r="AC37" i="17"/>
  <c r="AB37" i="17"/>
  <c r="AA37" i="17"/>
  <c r="Z37" i="17"/>
  <c r="V37" i="17"/>
  <c r="X37" i="3" s="1"/>
  <c r="U37" i="17"/>
  <c r="X37" i="7" s="1"/>
  <c r="X37" i="12" s="1"/>
  <c r="T37" i="17"/>
  <c r="S37" i="17"/>
  <c r="X37" i="15" s="1"/>
  <c r="X37" i="17"/>
  <c r="X37" i="14" s="1"/>
  <c r="W37" i="17"/>
  <c r="X37" i="19" s="1"/>
  <c r="X37" i="27" l="1"/>
  <c r="X37" i="16"/>
  <c r="X37" i="31"/>
  <c r="AY37" i="24"/>
  <c r="AZ37" i="24"/>
  <c r="CP37" i="24" s="1"/>
  <c r="BA37" i="24"/>
  <c r="CE36" i="24"/>
  <c r="CQ36" i="24" s="1"/>
  <c r="CF36" i="24"/>
  <c r="CR36" i="24" s="1"/>
  <c r="CH36" i="24"/>
  <c r="CT36" i="24" s="1"/>
  <c r="CG36" i="24"/>
  <c r="CS36" i="24" s="1"/>
  <c r="CI36" i="24"/>
  <c r="CU36" i="24" s="1"/>
  <c r="CJ36" i="24"/>
  <c r="CV36" i="24" s="1"/>
  <c r="CK36" i="24"/>
  <c r="CW36" i="24" s="1"/>
  <c r="CL36" i="24"/>
  <c r="CX36" i="24" s="1"/>
  <c r="AK37" i="24"/>
  <c r="CD37" i="24" s="1"/>
  <c r="AL37" i="24"/>
  <c r="AM37" i="24"/>
  <c r="X37" i="24"/>
  <c r="R39" i="17"/>
  <c r="AA38" i="17"/>
  <c r="Z38" i="17"/>
  <c r="AE38" i="17"/>
  <c r="AD38" i="17"/>
  <c r="AC38" i="17"/>
  <c r="AB38" i="17"/>
  <c r="X38" i="17"/>
  <c r="X38" i="14" s="1"/>
  <c r="W38" i="17"/>
  <c r="X38" i="19" s="1"/>
  <c r="V38" i="17"/>
  <c r="X38" i="3" s="1"/>
  <c r="U38" i="17"/>
  <c r="X38" i="7" s="1"/>
  <c r="X38" i="12" s="1"/>
  <c r="T38" i="17"/>
  <c r="S38" i="17"/>
  <c r="X38" i="15" s="1"/>
  <c r="X38" i="31" l="1"/>
  <c r="X38" i="27"/>
  <c r="X38" i="16"/>
  <c r="AL38" i="24"/>
  <c r="AM38" i="24"/>
  <c r="AK38" i="24"/>
  <c r="CD38" i="24" s="1"/>
  <c r="CE37" i="24"/>
  <c r="CI37" i="24"/>
  <c r="CH37" i="24"/>
  <c r="CJ37" i="24"/>
  <c r="CG37" i="24"/>
  <c r="CF37" i="24"/>
  <c r="CK37" i="24"/>
  <c r="CL37" i="24"/>
  <c r="AY38" i="24"/>
  <c r="AZ38" i="24"/>
  <c r="CP38" i="24" s="1"/>
  <c r="BA38" i="24"/>
  <c r="X38" i="24"/>
  <c r="R40" i="17"/>
  <c r="AC39" i="17"/>
  <c r="AB39" i="17"/>
  <c r="AA39" i="17"/>
  <c r="Z39" i="17"/>
  <c r="AE39" i="17"/>
  <c r="AD39" i="17"/>
  <c r="X39" i="17"/>
  <c r="X39" i="14" s="1"/>
  <c r="W39" i="17"/>
  <c r="X39" i="19" s="1"/>
  <c r="V39" i="17"/>
  <c r="X39" i="3" s="1"/>
  <c r="U39" i="17"/>
  <c r="X39" i="7" s="1"/>
  <c r="X39" i="12" s="1"/>
  <c r="T39" i="17"/>
  <c r="S39" i="17"/>
  <c r="X39" i="15" s="1"/>
  <c r="X39" i="31" l="1"/>
  <c r="X39" i="27"/>
  <c r="X39" i="16"/>
  <c r="CE38" i="24"/>
  <c r="CQ38" i="24" s="1"/>
  <c r="CH38" i="24"/>
  <c r="CT38" i="24" s="1"/>
  <c r="CF38" i="24"/>
  <c r="CR38" i="24" s="1"/>
  <c r="CI38" i="24"/>
  <c r="CU38" i="24" s="1"/>
  <c r="CG38" i="24"/>
  <c r="CS38" i="24" s="1"/>
  <c r="CJ38" i="24"/>
  <c r="CV38" i="24" s="1"/>
  <c r="CL38" i="24"/>
  <c r="CX38" i="24" s="1"/>
  <c r="CK38" i="24"/>
  <c r="CW38" i="24" s="1"/>
  <c r="CT37" i="24"/>
  <c r="CU37" i="24"/>
  <c r="CQ37" i="24"/>
  <c r="CW37" i="24"/>
  <c r="AK39" i="24"/>
  <c r="CD39" i="24" s="1"/>
  <c r="AL39" i="24"/>
  <c r="AM39" i="24"/>
  <c r="CX37" i="24"/>
  <c r="CS37" i="24"/>
  <c r="CR37" i="24"/>
  <c r="AY39" i="24"/>
  <c r="CP39" i="24" s="1"/>
  <c r="AZ39" i="24"/>
  <c r="BA39" i="24"/>
  <c r="CV37" i="24"/>
  <c r="X39" i="24"/>
  <c r="R41" i="17"/>
  <c r="AE40" i="17"/>
  <c r="AD40" i="17"/>
  <c r="AC40" i="17"/>
  <c r="AB40" i="17"/>
  <c r="AA40" i="17"/>
  <c r="Z40" i="17"/>
  <c r="T40" i="17"/>
  <c r="S40" i="17"/>
  <c r="X40" i="15" s="1"/>
  <c r="X40" i="17"/>
  <c r="X40" i="14" s="1"/>
  <c r="W40" i="17"/>
  <c r="X40" i="19" s="1"/>
  <c r="U40" i="17"/>
  <c r="X40" i="7" s="1"/>
  <c r="X40" i="12" s="1"/>
  <c r="V40" i="17"/>
  <c r="X40" i="3" s="1"/>
  <c r="X40" i="31" l="1"/>
  <c r="X40" i="27"/>
  <c r="X40" i="16"/>
  <c r="AZ40" i="24"/>
  <c r="CP40" i="24" s="1"/>
  <c r="BA40" i="24"/>
  <c r="AY40" i="24"/>
  <c r="AK40" i="24"/>
  <c r="CD40" i="24" s="1"/>
  <c r="AL40" i="24"/>
  <c r="AM40" i="24"/>
  <c r="CE39" i="24"/>
  <c r="CQ39" i="24" s="1"/>
  <c r="CF39" i="24"/>
  <c r="CR39" i="24" s="1"/>
  <c r="CI39" i="24"/>
  <c r="CU39" i="24" s="1"/>
  <c r="CH39" i="24"/>
  <c r="CT39" i="24" s="1"/>
  <c r="CG39" i="24"/>
  <c r="CS39" i="24" s="1"/>
  <c r="CJ39" i="24"/>
  <c r="CV39" i="24" s="1"/>
  <c r="CL39" i="24"/>
  <c r="CX39" i="24" s="1"/>
  <c r="CK39" i="24"/>
  <c r="CW39" i="24" s="1"/>
  <c r="X40" i="24"/>
  <c r="R42" i="17"/>
  <c r="AE41" i="17"/>
  <c r="AD41" i="17"/>
  <c r="AC41" i="17"/>
  <c r="AB41" i="17"/>
  <c r="AA41" i="17"/>
  <c r="Z41" i="17"/>
  <c r="V41" i="17"/>
  <c r="X41" i="3" s="1"/>
  <c r="U41" i="17"/>
  <c r="X41" i="7" s="1"/>
  <c r="X41" i="12" s="1"/>
  <c r="T41" i="17"/>
  <c r="S41" i="17"/>
  <c r="X41" i="15" s="1"/>
  <c r="W41" i="17"/>
  <c r="X41" i="19" s="1"/>
  <c r="X41" i="17"/>
  <c r="X41" i="14" s="1"/>
  <c r="X41" i="31" l="1"/>
  <c r="X41" i="27"/>
  <c r="X41" i="16"/>
  <c r="AZ41" i="24"/>
  <c r="CP41" i="24" s="1"/>
  <c r="BA41" i="24"/>
  <c r="AY41" i="24"/>
  <c r="CH40" i="24"/>
  <c r="CE40" i="24"/>
  <c r="CI40" i="24"/>
  <c r="CJ40" i="24"/>
  <c r="CG40" i="24"/>
  <c r="CF40" i="24"/>
  <c r="CK40" i="24"/>
  <c r="CL40" i="24"/>
  <c r="AK41" i="24"/>
  <c r="CD41" i="24" s="1"/>
  <c r="AL41" i="24"/>
  <c r="AM41" i="24"/>
  <c r="X41" i="24"/>
  <c r="R43" i="17"/>
  <c r="AA42" i="17"/>
  <c r="Z42" i="17"/>
  <c r="AE42" i="17"/>
  <c r="AD42" i="17"/>
  <c r="AC42" i="17"/>
  <c r="AB42" i="17"/>
  <c r="X42" i="17"/>
  <c r="X42" i="14" s="1"/>
  <c r="W42" i="17"/>
  <c r="X42" i="19" s="1"/>
  <c r="V42" i="17"/>
  <c r="X42" i="3" s="1"/>
  <c r="U42" i="17"/>
  <c r="X42" i="7" s="1"/>
  <c r="X42" i="12" s="1"/>
  <c r="T42" i="17"/>
  <c r="S42" i="17"/>
  <c r="X42" i="15" s="1"/>
  <c r="X42" i="16" l="1"/>
  <c r="X42" i="31"/>
  <c r="X42" i="27"/>
  <c r="CS40" i="24"/>
  <c r="CU40" i="24"/>
  <c r="CQ40" i="24"/>
  <c r="AK42" i="24"/>
  <c r="CD42" i="24" s="1"/>
  <c r="AL42" i="24"/>
  <c r="AM42" i="24"/>
  <c r="CV40" i="24"/>
  <c r="CT40" i="24"/>
  <c r="CX40" i="24"/>
  <c r="CH41" i="24"/>
  <c r="CT41" i="24" s="1"/>
  <c r="CE41" i="24"/>
  <c r="CQ41" i="24" s="1"/>
  <c r="CF41" i="24"/>
  <c r="CR41" i="24" s="1"/>
  <c r="CG41" i="24"/>
  <c r="CS41" i="24" s="1"/>
  <c r="CI41" i="24"/>
  <c r="CU41" i="24" s="1"/>
  <c r="CJ41" i="24"/>
  <c r="CV41" i="24" s="1"/>
  <c r="CL41" i="24"/>
  <c r="CX41" i="24" s="1"/>
  <c r="CK41" i="24"/>
  <c r="CW41" i="24" s="1"/>
  <c r="CW40" i="24"/>
  <c r="BA42" i="24"/>
  <c r="AY42" i="24"/>
  <c r="AZ42" i="24"/>
  <c r="CP42" i="24" s="1"/>
  <c r="CR40" i="24"/>
  <c r="X42" i="24"/>
  <c r="M139" i="24"/>
  <c r="X139" i="7"/>
  <c r="R44" i="17"/>
  <c r="AC43" i="17"/>
  <c r="AB43" i="17"/>
  <c r="AA43" i="17"/>
  <c r="Z43" i="17"/>
  <c r="AE43" i="17"/>
  <c r="AD43" i="17"/>
  <c r="X43" i="17"/>
  <c r="X43" i="14" s="1"/>
  <c r="W43" i="17"/>
  <c r="X43" i="19" s="1"/>
  <c r="V43" i="17"/>
  <c r="X43" i="3" s="1"/>
  <c r="U43" i="17"/>
  <c r="X43" i="7" s="1"/>
  <c r="X43" i="12" s="1"/>
  <c r="T43" i="17"/>
  <c r="S43" i="17"/>
  <c r="X43" i="15" s="1"/>
  <c r="X43" i="16" l="1"/>
  <c r="X43" i="31"/>
  <c r="X43" i="27"/>
  <c r="CH42" i="24"/>
  <c r="CI42" i="24"/>
  <c r="CU42" i="24" s="1"/>
  <c r="CU139" i="24" s="1"/>
  <c r="CE42" i="24"/>
  <c r="CG42" i="24"/>
  <c r="CS42" i="24" s="1"/>
  <c r="CS139" i="24" s="1"/>
  <c r="CJ42" i="24"/>
  <c r="CV42" i="24" s="1"/>
  <c r="CV139" i="24" s="1"/>
  <c r="CF42" i="24"/>
  <c r="CL42" i="24"/>
  <c r="CK42" i="24"/>
  <c r="CW42" i="24" s="1"/>
  <c r="CW139" i="24" s="1"/>
  <c r="AK43" i="24"/>
  <c r="CD43" i="24" s="1"/>
  <c r="AL43" i="24"/>
  <c r="AM43" i="24"/>
  <c r="BA43" i="24"/>
  <c r="AY43" i="24"/>
  <c r="AZ43" i="24"/>
  <c r="CP43" i="24" s="1"/>
  <c r="X43" i="24"/>
  <c r="R45" i="17"/>
  <c r="AE44" i="17"/>
  <c r="AD44" i="17"/>
  <c r="AC44" i="17"/>
  <c r="AB44" i="17"/>
  <c r="AA44" i="17"/>
  <c r="Z44" i="17"/>
  <c r="T44" i="17"/>
  <c r="S44" i="17"/>
  <c r="X44" i="15" s="1"/>
  <c r="X44" i="17"/>
  <c r="X44" i="14" s="1"/>
  <c r="W44" i="17"/>
  <c r="X44" i="19" s="1"/>
  <c r="V44" i="17"/>
  <c r="X44" i="3" s="1"/>
  <c r="U44" i="17"/>
  <c r="X44" i="7" s="1"/>
  <c r="X44" i="12" s="1"/>
  <c r="X44" i="16" l="1"/>
  <c r="X44" i="31"/>
  <c r="X44" i="27"/>
  <c r="CG139" i="24"/>
  <c r="CI139" i="24"/>
  <c r="CJ139" i="24"/>
  <c r="CK139" i="24"/>
  <c r="CQ42" i="24"/>
  <c r="CQ139" i="24" s="1"/>
  <c r="CE139" i="24"/>
  <c r="CI43" i="24"/>
  <c r="CU43" i="24" s="1"/>
  <c r="CH43" i="24"/>
  <c r="CT43" i="24" s="1"/>
  <c r="CF43" i="24"/>
  <c r="CR43" i="24" s="1"/>
  <c r="CE43" i="24"/>
  <c r="CQ43" i="24" s="1"/>
  <c r="CG43" i="24"/>
  <c r="CS43" i="24" s="1"/>
  <c r="CJ43" i="24"/>
  <c r="CV43" i="24" s="1"/>
  <c r="CK43" i="24"/>
  <c r="CW43" i="24" s="1"/>
  <c r="CL43" i="24"/>
  <c r="CX43" i="24" s="1"/>
  <c r="CT42" i="24"/>
  <c r="CH139" i="24"/>
  <c r="BA44" i="24"/>
  <c r="AY44" i="24"/>
  <c r="AZ44" i="24"/>
  <c r="CP44" i="24" s="1"/>
  <c r="AK44" i="24"/>
  <c r="CD44" i="24" s="1"/>
  <c r="AL44" i="24"/>
  <c r="AM44" i="24"/>
  <c r="CX42" i="24"/>
  <c r="CX139" i="24" s="1"/>
  <c r="CL139" i="24"/>
  <c r="AG167" i="12" s="1"/>
  <c r="CR42" i="24"/>
  <c r="CR139" i="24" s="1"/>
  <c r="CF139" i="24"/>
  <c r="X44" i="24"/>
  <c r="R46" i="17"/>
  <c r="AE45" i="17"/>
  <c r="AD45" i="17"/>
  <c r="AC45" i="17"/>
  <c r="AB45" i="17"/>
  <c r="AA45" i="17"/>
  <c r="Z45" i="17"/>
  <c r="V45" i="17"/>
  <c r="X45" i="3" s="1"/>
  <c r="U45" i="17"/>
  <c r="X45" i="7" s="1"/>
  <c r="T45" i="17"/>
  <c r="S45" i="17"/>
  <c r="X45" i="15" s="1"/>
  <c r="W45" i="17"/>
  <c r="X45" i="19" s="1"/>
  <c r="X45" i="17"/>
  <c r="X45" i="14" s="1"/>
  <c r="X45" i="12" l="1"/>
  <c r="CE44" i="24"/>
  <c r="CQ44" i="24" s="1"/>
  <c r="CF44" i="24"/>
  <c r="CR44" i="24" s="1"/>
  <c r="CI44" i="24"/>
  <c r="CU44" i="24" s="1"/>
  <c r="CH44" i="24"/>
  <c r="CT44" i="24" s="1"/>
  <c r="CG44" i="24"/>
  <c r="CS44" i="24" s="1"/>
  <c r="CJ44" i="24"/>
  <c r="CV44" i="24" s="1"/>
  <c r="CK44" i="24"/>
  <c r="CW44" i="24" s="1"/>
  <c r="CL44" i="24"/>
  <c r="CX44" i="24" s="1"/>
  <c r="AK45" i="24"/>
  <c r="CD45" i="24" s="1"/>
  <c r="AL45" i="24"/>
  <c r="AM45" i="24"/>
  <c r="AY45" i="24"/>
  <c r="AZ45" i="24"/>
  <c r="CP45" i="24" s="1"/>
  <c r="BA45" i="24"/>
  <c r="X45" i="24"/>
  <c r="R47" i="17"/>
  <c r="AA46" i="17"/>
  <c r="Z46" i="17"/>
  <c r="AE46" i="17"/>
  <c r="AD46" i="17"/>
  <c r="AC46" i="17"/>
  <c r="AB46" i="17"/>
  <c r="X46" i="17"/>
  <c r="X46" i="14" s="1"/>
  <c r="W46" i="17"/>
  <c r="X46" i="19" s="1"/>
  <c r="V46" i="17"/>
  <c r="X46" i="3" s="1"/>
  <c r="U46" i="17"/>
  <c r="X46" i="7" s="1"/>
  <c r="X46" i="12" s="1"/>
  <c r="T46" i="17"/>
  <c r="S46" i="17"/>
  <c r="X46" i="15" s="1"/>
  <c r="X46" i="31" l="1"/>
  <c r="X46" i="27"/>
  <c r="X46" i="16"/>
  <c r="X45" i="27"/>
  <c r="X45" i="16"/>
  <c r="X45" i="31"/>
  <c r="AY46" i="24"/>
  <c r="AZ46" i="24"/>
  <c r="CP46" i="24" s="1"/>
  <c r="BA46" i="24"/>
  <c r="CH45" i="24"/>
  <c r="CT45" i="24" s="1"/>
  <c r="CE45" i="24"/>
  <c r="CQ45" i="24" s="1"/>
  <c r="CI45" i="24"/>
  <c r="CU45" i="24" s="1"/>
  <c r="CF45" i="24"/>
  <c r="CR45" i="24" s="1"/>
  <c r="CG45" i="24"/>
  <c r="CS45" i="24" s="1"/>
  <c r="CJ45" i="24"/>
  <c r="CV45" i="24" s="1"/>
  <c r="CK45" i="24"/>
  <c r="CW45" i="24" s="1"/>
  <c r="CL45" i="24"/>
  <c r="CX45" i="24" s="1"/>
  <c r="AK46" i="24"/>
  <c r="CD46" i="24" s="1"/>
  <c r="AL46" i="24"/>
  <c r="AM46" i="24"/>
  <c r="X46" i="24"/>
  <c r="R48" i="17"/>
  <c r="AC47" i="17"/>
  <c r="AB47" i="17"/>
  <c r="AA47" i="17"/>
  <c r="Z47" i="17"/>
  <c r="AE47" i="17"/>
  <c r="AD47" i="17"/>
  <c r="X47" i="17"/>
  <c r="X47" i="14" s="1"/>
  <c r="W47" i="17"/>
  <c r="X47" i="19" s="1"/>
  <c r="V47" i="17"/>
  <c r="X47" i="3" s="1"/>
  <c r="U47" i="17"/>
  <c r="X47" i="7" s="1"/>
  <c r="T47" i="17"/>
  <c r="S47" i="17"/>
  <c r="X47" i="15" s="1"/>
  <c r="X47" i="12" l="1"/>
  <c r="CF46" i="24"/>
  <c r="CH46" i="24"/>
  <c r="CG46" i="24"/>
  <c r="CI46" i="24"/>
  <c r="CE46" i="24"/>
  <c r="CJ46" i="24"/>
  <c r="CK46" i="24"/>
  <c r="CL46" i="24"/>
  <c r="AY47" i="24"/>
  <c r="AZ47" i="24"/>
  <c r="CP47" i="24" s="1"/>
  <c r="BA47" i="24"/>
  <c r="AK47" i="24"/>
  <c r="CD47" i="24" s="1"/>
  <c r="AL47" i="24"/>
  <c r="AM47" i="24"/>
  <c r="X47" i="24"/>
  <c r="R49" i="17"/>
  <c r="AE48" i="17"/>
  <c r="AD48" i="17"/>
  <c r="AC48" i="17"/>
  <c r="AB48" i="17"/>
  <c r="AA48" i="17"/>
  <c r="Z48" i="17"/>
  <c r="T48" i="17"/>
  <c r="S48" i="17"/>
  <c r="X48" i="15" s="1"/>
  <c r="X48" i="17"/>
  <c r="X48" i="14" s="1"/>
  <c r="W48" i="17"/>
  <c r="X48" i="19" s="1"/>
  <c r="V48" i="17"/>
  <c r="X48" i="3" s="1"/>
  <c r="U48" i="17"/>
  <c r="X48" i="7" s="1"/>
  <c r="X48" i="12" s="1"/>
  <c r="X48" i="31" l="1"/>
  <c r="X48" i="27"/>
  <c r="X48" i="16"/>
  <c r="X47" i="31"/>
  <c r="X47" i="27"/>
  <c r="X47" i="16"/>
  <c r="CX46" i="24"/>
  <c r="CW46" i="24"/>
  <c r="CE47" i="24"/>
  <c r="CQ47" i="24" s="1"/>
  <c r="CH47" i="24"/>
  <c r="CT47" i="24" s="1"/>
  <c r="CL47" i="24"/>
  <c r="CX47" i="24" s="1"/>
  <c r="CI47" i="24"/>
  <c r="CU47" i="24" s="1"/>
  <c r="CG47" i="24"/>
  <c r="CS47" i="24" s="1"/>
  <c r="CK47" i="24"/>
  <c r="CW47" i="24" s="1"/>
  <c r="CJ47" i="24"/>
  <c r="CV47" i="24" s="1"/>
  <c r="CF47" i="24"/>
  <c r="CR47" i="24" s="1"/>
  <c r="CV46" i="24"/>
  <c r="AZ48" i="24"/>
  <c r="CP48" i="24" s="1"/>
  <c r="BA48" i="24"/>
  <c r="AY48" i="24"/>
  <c r="CQ46" i="24"/>
  <c r="CU46" i="24"/>
  <c r="CS46" i="24"/>
  <c r="CT46" i="24"/>
  <c r="AK48" i="24"/>
  <c r="CD48" i="24" s="1"/>
  <c r="AL48" i="24"/>
  <c r="AM48" i="24"/>
  <c r="CR46" i="24"/>
  <c r="X48" i="24"/>
  <c r="R50" i="17"/>
  <c r="AE49" i="17"/>
  <c r="AD49" i="17"/>
  <c r="AC49" i="17"/>
  <c r="AB49" i="17"/>
  <c r="AA49" i="17"/>
  <c r="Z49" i="17"/>
  <c r="V49" i="17"/>
  <c r="X49" i="3" s="1"/>
  <c r="U49" i="17"/>
  <c r="X49" i="7" s="1"/>
  <c r="X49" i="12" s="1"/>
  <c r="T49" i="17"/>
  <c r="S49" i="17"/>
  <c r="X49" i="15" s="1"/>
  <c r="X49" i="17"/>
  <c r="X49" i="14" s="1"/>
  <c r="W49" i="17"/>
  <c r="X49" i="19" s="1"/>
  <c r="AD135" i="19"/>
  <c r="AB135" i="19"/>
  <c r="Z135" i="19"/>
  <c r="K133" i="19"/>
  <c r="J133" i="19"/>
  <c r="I133" i="19"/>
  <c r="H133" i="19"/>
  <c r="G133" i="19"/>
  <c r="F133" i="19"/>
  <c r="E133" i="19"/>
  <c r="D133" i="19"/>
  <c r="BH132" i="19"/>
  <c r="BI132" i="19" s="1"/>
  <c r="BQ132" i="19" s="1"/>
  <c r="BE132" i="19"/>
  <c r="BF132" i="19" s="1"/>
  <c r="BG132" i="19" s="1"/>
  <c r="BO132" i="19" s="1"/>
  <c r="AU132" i="19"/>
  <c r="AT132" i="19"/>
  <c r="AS132" i="19"/>
  <c r="AR132" i="19"/>
  <c r="AQ132" i="19"/>
  <c r="AP132" i="19"/>
  <c r="AO132" i="19"/>
  <c r="AN132" i="19"/>
  <c r="AM132" i="19"/>
  <c r="AK132" i="19"/>
  <c r="CD132" i="19" s="1"/>
  <c r="BH131" i="19"/>
  <c r="BE131" i="19"/>
  <c r="BM131" i="19" s="1"/>
  <c r="AU131" i="19"/>
  <c r="AT131" i="19"/>
  <c r="AS131" i="19"/>
  <c r="AR131" i="19"/>
  <c r="AQ131" i="19"/>
  <c r="AP131" i="19"/>
  <c r="AO131" i="19"/>
  <c r="AN131" i="19"/>
  <c r="AM131" i="19"/>
  <c r="AK131" i="19"/>
  <c r="CD131" i="19" s="1"/>
  <c r="BH130" i="19"/>
  <c r="BE130" i="19"/>
  <c r="BM130" i="19" s="1"/>
  <c r="CP130" i="19"/>
  <c r="AF130" i="22" s="1"/>
  <c r="CE130" i="19"/>
  <c r="AU130" i="19"/>
  <c r="AT130" i="19"/>
  <c r="AS130" i="19"/>
  <c r="AR130" i="19"/>
  <c r="AQ130" i="19"/>
  <c r="AP130" i="19"/>
  <c r="AO130" i="19"/>
  <c r="AN130" i="19"/>
  <c r="AM130" i="19"/>
  <c r="AK130" i="19"/>
  <c r="CD130" i="19" s="1"/>
  <c r="BH129" i="19"/>
  <c r="BP129" i="19" s="1"/>
  <c r="BE129" i="19"/>
  <c r="BM129" i="19" s="1"/>
  <c r="CI129" i="19"/>
  <c r="AU129" i="19"/>
  <c r="AT129" i="19"/>
  <c r="AS129" i="19"/>
  <c r="AR129" i="19"/>
  <c r="AQ129" i="19"/>
  <c r="AP129" i="19"/>
  <c r="AO129" i="19"/>
  <c r="AN129" i="19"/>
  <c r="AM129" i="19"/>
  <c r="AK129" i="19"/>
  <c r="CD129" i="19" s="1"/>
  <c r="BH128" i="19"/>
  <c r="BP128" i="19" s="1"/>
  <c r="BE128" i="19"/>
  <c r="BF128" i="19" s="1"/>
  <c r="AU128" i="19"/>
  <c r="AT128" i="19"/>
  <c r="AS128" i="19"/>
  <c r="AR128" i="19"/>
  <c r="AQ128" i="19"/>
  <c r="AP128" i="19"/>
  <c r="AO128" i="19"/>
  <c r="AN128" i="19"/>
  <c r="AM128" i="19"/>
  <c r="AK128" i="19"/>
  <c r="CD128" i="19" s="1"/>
  <c r="BH127" i="19"/>
  <c r="BI127" i="19" s="1"/>
  <c r="BE127" i="19"/>
  <c r="BF127" i="19" s="1"/>
  <c r="BN127" i="19" s="1"/>
  <c r="AU127" i="19"/>
  <c r="AT127" i="19"/>
  <c r="AS127" i="19"/>
  <c r="AR127" i="19"/>
  <c r="AQ127" i="19"/>
  <c r="AP127" i="19"/>
  <c r="AO127" i="19"/>
  <c r="AN127" i="19"/>
  <c r="AM127" i="19"/>
  <c r="AK127" i="19"/>
  <c r="CD127" i="19" s="1"/>
  <c r="BH126" i="19"/>
  <c r="BE126" i="19"/>
  <c r="BF126" i="19" s="1"/>
  <c r="BN126" i="19" s="1"/>
  <c r="AU126" i="19"/>
  <c r="AT126" i="19"/>
  <c r="AS126" i="19"/>
  <c r="AR126" i="19"/>
  <c r="AQ126" i="19"/>
  <c r="AP126" i="19"/>
  <c r="AO126" i="19"/>
  <c r="AN126" i="19"/>
  <c r="AM126" i="19"/>
  <c r="AK126" i="19"/>
  <c r="CD126" i="19" s="1"/>
  <c r="BH125" i="19"/>
  <c r="BI125" i="19" s="1"/>
  <c r="BQ125" i="19" s="1"/>
  <c r="BE125" i="19"/>
  <c r="BM125" i="19" s="1"/>
  <c r="AU125" i="19"/>
  <c r="AT125" i="19"/>
  <c r="AS125" i="19"/>
  <c r="AR125" i="19"/>
  <c r="AQ125" i="19"/>
  <c r="AP125" i="19"/>
  <c r="AO125" i="19"/>
  <c r="AN125" i="19"/>
  <c r="AM125" i="19"/>
  <c r="AK125" i="19"/>
  <c r="CD125" i="19" s="1"/>
  <c r="BH124" i="19"/>
  <c r="BI124" i="19" s="1"/>
  <c r="BQ124" i="19" s="1"/>
  <c r="BE124" i="19"/>
  <c r="CI124" i="19"/>
  <c r="AU124" i="19"/>
  <c r="AT124" i="19"/>
  <c r="AS124" i="19"/>
  <c r="AR124" i="19"/>
  <c r="AQ124" i="19"/>
  <c r="AP124" i="19"/>
  <c r="AO124" i="19"/>
  <c r="AN124" i="19"/>
  <c r="AM124" i="19"/>
  <c r="AK124" i="19"/>
  <c r="CD124" i="19" s="1"/>
  <c r="BH123" i="19"/>
  <c r="BE123" i="19"/>
  <c r="BM123" i="19" s="1"/>
  <c r="AU123" i="19"/>
  <c r="AT123" i="19"/>
  <c r="AS123" i="19"/>
  <c r="AR123" i="19"/>
  <c r="AQ123" i="19"/>
  <c r="AP123" i="19"/>
  <c r="AO123" i="19"/>
  <c r="AN123" i="19"/>
  <c r="AM123" i="19"/>
  <c r="AK123" i="19"/>
  <c r="CD123" i="19" s="1"/>
  <c r="BH122" i="19"/>
  <c r="BP122" i="19" s="1"/>
  <c r="BE122" i="19"/>
  <c r="BM122" i="19" s="1"/>
  <c r="CE122" i="19"/>
  <c r="AU122" i="19"/>
  <c r="AT122" i="19"/>
  <c r="AS122" i="19"/>
  <c r="AR122" i="19"/>
  <c r="AQ122" i="19"/>
  <c r="AP122" i="19"/>
  <c r="AO122" i="19"/>
  <c r="AN122" i="19"/>
  <c r="AM122" i="19"/>
  <c r="AK122" i="19"/>
  <c r="CD122" i="19" s="1"/>
  <c r="BH121" i="19"/>
  <c r="BP121" i="19" s="1"/>
  <c r="BE121" i="19"/>
  <c r="BM121" i="19" s="1"/>
  <c r="CH121" i="19"/>
  <c r="AU121" i="19"/>
  <c r="AT121" i="19"/>
  <c r="AS121" i="19"/>
  <c r="AR121" i="19"/>
  <c r="AQ121" i="19"/>
  <c r="AP121" i="19"/>
  <c r="AO121" i="19"/>
  <c r="AN121" i="19"/>
  <c r="AM121" i="19"/>
  <c r="AK121" i="19"/>
  <c r="CD121" i="19" s="1"/>
  <c r="BH120" i="19"/>
  <c r="BP120" i="19" s="1"/>
  <c r="BE120" i="19"/>
  <c r="BF120" i="19" s="1"/>
  <c r="CF120" i="19"/>
  <c r="AU120" i="19"/>
  <c r="AT120" i="19"/>
  <c r="AS120" i="19"/>
  <c r="AR120" i="19"/>
  <c r="AQ120" i="19"/>
  <c r="AP120" i="19"/>
  <c r="AO120" i="19"/>
  <c r="AN120" i="19"/>
  <c r="AM120" i="19"/>
  <c r="AK120" i="19"/>
  <c r="CD120" i="19" s="1"/>
  <c r="BH119" i="19"/>
  <c r="BI119" i="19" s="1"/>
  <c r="BQ119" i="19" s="1"/>
  <c r="BE119" i="19"/>
  <c r="BF119" i="19" s="1"/>
  <c r="BN119" i="19" s="1"/>
  <c r="AU119" i="19"/>
  <c r="AT119" i="19"/>
  <c r="AS119" i="19"/>
  <c r="AR119" i="19"/>
  <c r="AQ119" i="19"/>
  <c r="AP119" i="19"/>
  <c r="AO119" i="19"/>
  <c r="AN119" i="19"/>
  <c r="AM119" i="19"/>
  <c r="AK119" i="19"/>
  <c r="CD119" i="19" s="1"/>
  <c r="BH118" i="19"/>
  <c r="BI118" i="19" s="1"/>
  <c r="BE118" i="19"/>
  <c r="BM118" i="19" s="1"/>
  <c r="CF118" i="19"/>
  <c r="AU118" i="19"/>
  <c r="AT118" i="19"/>
  <c r="AS118" i="19"/>
  <c r="AR118" i="19"/>
  <c r="AQ118" i="19"/>
  <c r="AP118" i="19"/>
  <c r="AO118" i="19"/>
  <c r="AN118" i="19"/>
  <c r="AM118" i="19"/>
  <c r="AK118" i="19"/>
  <c r="CD118" i="19" s="1"/>
  <c r="BH117" i="19"/>
  <c r="BI117" i="19" s="1"/>
  <c r="BE117" i="19"/>
  <c r="BF117" i="19" s="1"/>
  <c r="CP117" i="19"/>
  <c r="AF117" i="22" s="1"/>
  <c r="CH117" i="19"/>
  <c r="AU117" i="19"/>
  <c r="AT117" i="19"/>
  <c r="AS117" i="19"/>
  <c r="AR117" i="19"/>
  <c r="AQ117" i="19"/>
  <c r="AP117" i="19"/>
  <c r="AO117" i="19"/>
  <c r="AN117" i="19"/>
  <c r="AM117" i="19"/>
  <c r="AK117" i="19"/>
  <c r="CD117" i="19" s="1"/>
  <c r="BH116" i="19"/>
  <c r="BI116" i="19" s="1"/>
  <c r="BE116" i="19"/>
  <c r="BF116" i="19" s="1"/>
  <c r="AU116" i="19"/>
  <c r="AT116" i="19"/>
  <c r="AS116" i="19"/>
  <c r="AR116" i="19"/>
  <c r="AQ116" i="19"/>
  <c r="AP116" i="19"/>
  <c r="AO116" i="19"/>
  <c r="AN116" i="19"/>
  <c r="AM116" i="19"/>
  <c r="AK116" i="19"/>
  <c r="CD116" i="19" s="1"/>
  <c r="BH115" i="19"/>
  <c r="BI115" i="19" s="1"/>
  <c r="BE115" i="19"/>
  <c r="BM115" i="19" s="1"/>
  <c r="AU115" i="19"/>
  <c r="AT115" i="19"/>
  <c r="AS115" i="19"/>
  <c r="AR115" i="19"/>
  <c r="AQ115" i="19"/>
  <c r="AP115" i="19"/>
  <c r="AO115" i="19"/>
  <c r="AN115" i="19"/>
  <c r="AM115" i="19"/>
  <c r="AK115" i="19"/>
  <c r="CD115" i="19" s="1"/>
  <c r="BH114" i="19"/>
  <c r="BP114" i="19" s="1"/>
  <c r="BE114" i="19"/>
  <c r="BF114" i="19" s="1"/>
  <c r="CH114" i="19"/>
  <c r="AU114" i="19"/>
  <c r="AT114" i="19"/>
  <c r="AS114" i="19"/>
  <c r="AR114" i="19"/>
  <c r="AQ114" i="19"/>
  <c r="AP114" i="19"/>
  <c r="AO114" i="19"/>
  <c r="AN114" i="19"/>
  <c r="AM114" i="19"/>
  <c r="AK114" i="19"/>
  <c r="CD114" i="19" s="1"/>
  <c r="BH113" i="19"/>
  <c r="BI113" i="19" s="1"/>
  <c r="BJ113" i="19" s="1"/>
  <c r="BE113" i="19"/>
  <c r="AU113" i="19"/>
  <c r="AT113" i="19"/>
  <c r="AS113" i="19"/>
  <c r="AR113" i="19"/>
  <c r="AQ113" i="19"/>
  <c r="AP113" i="19"/>
  <c r="AO113" i="19"/>
  <c r="AN113" i="19"/>
  <c r="AM113" i="19"/>
  <c r="AK113" i="19"/>
  <c r="CD113" i="19" s="1"/>
  <c r="BH112" i="19"/>
  <c r="BE112" i="19"/>
  <c r="BF112" i="19" s="1"/>
  <c r="BN112" i="19" s="1"/>
  <c r="CF112" i="19"/>
  <c r="AU112" i="19"/>
  <c r="AT112" i="19"/>
  <c r="AS112" i="19"/>
  <c r="AR112" i="19"/>
  <c r="AQ112" i="19"/>
  <c r="AP112" i="19"/>
  <c r="AO112" i="19"/>
  <c r="AN112" i="19"/>
  <c r="AM112" i="19"/>
  <c r="AK112" i="19"/>
  <c r="CD112" i="19" s="1"/>
  <c r="BH111" i="19"/>
  <c r="BI111" i="19" s="1"/>
  <c r="BQ111" i="19" s="1"/>
  <c r="BE111" i="19"/>
  <c r="BM111" i="19" s="1"/>
  <c r="CP111" i="19"/>
  <c r="AF111" i="22" s="1"/>
  <c r="CI111" i="19"/>
  <c r="AU111" i="19"/>
  <c r="AT111" i="19"/>
  <c r="AS111" i="19"/>
  <c r="AR111" i="19"/>
  <c r="AQ111" i="19"/>
  <c r="AP111" i="19"/>
  <c r="AO111" i="19"/>
  <c r="AN111" i="19"/>
  <c r="AM111" i="19"/>
  <c r="AK111" i="19"/>
  <c r="CD111" i="19" s="1"/>
  <c r="BH110" i="19"/>
  <c r="BP110" i="19" s="1"/>
  <c r="BE110" i="19"/>
  <c r="CH110" i="19"/>
  <c r="AU110" i="19"/>
  <c r="AT110" i="19"/>
  <c r="AS110" i="19"/>
  <c r="AR110" i="19"/>
  <c r="AQ110" i="19"/>
  <c r="AP110" i="19"/>
  <c r="AO110" i="19"/>
  <c r="AN110" i="19"/>
  <c r="AM110" i="19"/>
  <c r="AK110" i="19"/>
  <c r="CD110" i="19" s="1"/>
  <c r="BH109" i="19"/>
  <c r="BI109" i="19" s="1"/>
  <c r="BE109" i="19"/>
  <c r="BF109" i="19" s="1"/>
  <c r="BG109" i="19" s="1"/>
  <c r="BO109" i="19" s="1"/>
  <c r="CH109" i="19"/>
  <c r="AU109" i="19"/>
  <c r="AT109" i="19"/>
  <c r="AS109" i="19"/>
  <c r="AR109" i="19"/>
  <c r="AQ109" i="19"/>
  <c r="AP109" i="19"/>
  <c r="AO109" i="19"/>
  <c r="AN109" i="19"/>
  <c r="AM109" i="19"/>
  <c r="AK109" i="19"/>
  <c r="CD109" i="19" s="1"/>
  <c r="BH108" i="19"/>
  <c r="BI108" i="19" s="1"/>
  <c r="BE108" i="19"/>
  <c r="BM108" i="19" s="1"/>
  <c r="AU108" i="19"/>
  <c r="AT108" i="19"/>
  <c r="AS108" i="19"/>
  <c r="AR108" i="19"/>
  <c r="AQ108" i="19"/>
  <c r="AP108" i="19"/>
  <c r="AO108" i="19"/>
  <c r="AN108" i="19"/>
  <c r="AM108" i="19"/>
  <c r="AK108" i="19"/>
  <c r="CD108" i="19" s="1"/>
  <c r="BH107" i="19"/>
  <c r="BP107" i="19" s="1"/>
  <c r="BE107" i="19"/>
  <c r="BM107" i="19" s="1"/>
  <c r="CH107" i="19"/>
  <c r="AU107" i="19"/>
  <c r="AT107" i="19"/>
  <c r="AS107" i="19"/>
  <c r="AR107" i="19"/>
  <c r="AQ107" i="19"/>
  <c r="AP107" i="19"/>
  <c r="AO107" i="19"/>
  <c r="AN107" i="19"/>
  <c r="AM107" i="19"/>
  <c r="AK107" i="19"/>
  <c r="CD107" i="19" s="1"/>
  <c r="BH106" i="19"/>
  <c r="BP106" i="19" s="1"/>
  <c r="BE106" i="19"/>
  <c r="BM106" i="19" s="1"/>
  <c r="CP106" i="19"/>
  <c r="AF106" i="22" s="1"/>
  <c r="AU106" i="19"/>
  <c r="AT106" i="19"/>
  <c r="AS106" i="19"/>
  <c r="AR106" i="19"/>
  <c r="AQ106" i="19"/>
  <c r="AP106" i="19"/>
  <c r="AO106" i="19"/>
  <c r="AN106" i="19"/>
  <c r="AM106" i="19"/>
  <c r="AK106" i="19"/>
  <c r="CD106" i="19" s="1"/>
  <c r="BH105" i="19"/>
  <c r="BI105" i="19" s="1"/>
  <c r="BJ105" i="19" s="1"/>
  <c r="BE105" i="19"/>
  <c r="AU105" i="19"/>
  <c r="AT105" i="19"/>
  <c r="AS105" i="19"/>
  <c r="AR105" i="19"/>
  <c r="AQ105" i="19"/>
  <c r="AP105" i="19"/>
  <c r="AO105" i="19"/>
  <c r="AN105" i="19"/>
  <c r="AM105" i="19"/>
  <c r="AK105" i="19"/>
  <c r="CD105" i="19" s="1"/>
  <c r="BH104" i="19"/>
  <c r="BI104" i="19" s="1"/>
  <c r="BQ104" i="19" s="1"/>
  <c r="BE104" i="19"/>
  <c r="BF104" i="19" s="1"/>
  <c r="CI104" i="19"/>
  <c r="AU104" i="19"/>
  <c r="AT104" i="19"/>
  <c r="AS104" i="19"/>
  <c r="AR104" i="19"/>
  <c r="AQ104" i="19"/>
  <c r="AP104" i="19"/>
  <c r="AO104" i="19"/>
  <c r="AN104" i="19"/>
  <c r="AM104" i="19"/>
  <c r="AK104" i="19"/>
  <c r="CD104" i="19" s="1"/>
  <c r="BH103" i="19"/>
  <c r="BE103" i="19"/>
  <c r="BF103" i="19" s="1"/>
  <c r="CE103" i="19"/>
  <c r="AU103" i="19"/>
  <c r="AT103" i="19"/>
  <c r="AS103" i="19"/>
  <c r="AR103" i="19"/>
  <c r="AQ103" i="19"/>
  <c r="AP103" i="19"/>
  <c r="AO103" i="19"/>
  <c r="AN103" i="19"/>
  <c r="AM103" i="19"/>
  <c r="AK103" i="19"/>
  <c r="CD103" i="19" s="1"/>
  <c r="BH102" i="19"/>
  <c r="BE102" i="19"/>
  <c r="BM102" i="19" s="1"/>
  <c r="CP102" i="19"/>
  <c r="AF102" i="22" s="1"/>
  <c r="AU102" i="19"/>
  <c r="AT102" i="19"/>
  <c r="AS102" i="19"/>
  <c r="AR102" i="19"/>
  <c r="AQ102" i="19"/>
  <c r="AP102" i="19"/>
  <c r="AO102" i="19"/>
  <c r="AN102" i="19"/>
  <c r="AM102" i="19"/>
  <c r="AK102" i="19"/>
  <c r="CD102" i="19" s="1"/>
  <c r="BH101" i="19"/>
  <c r="BI101" i="19" s="1"/>
  <c r="BJ101" i="19" s="1"/>
  <c r="BE101" i="19"/>
  <c r="BF101" i="19" s="1"/>
  <c r="CH101" i="19"/>
  <c r="AU101" i="19"/>
  <c r="AT101" i="19"/>
  <c r="AS101" i="19"/>
  <c r="AR101" i="19"/>
  <c r="AQ101" i="19"/>
  <c r="AP101" i="19"/>
  <c r="AO101" i="19"/>
  <c r="AN101" i="19"/>
  <c r="AM101" i="19"/>
  <c r="AK101" i="19"/>
  <c r="CD101" i="19" s="1"/>
  <c r="BH100" i="19"/>
  <c r="BP100" i="19" s="1"/>
  <c r="BE100" i="19"/>
  <c r="BF100" i="19" s="1"/>
  <c r="AU100" i="19"/>
  <c r="AT100" i="19"/>
  <c r="AS100" i="19"/>
  <c r="AR100" i="19"/>
  <c r="AQ100" i="19"/>
  <c r="AP100" i="19"/>
  <c r="AO100" i="19"/>
  <c r="AN100" i="19"/>
  <c r="AM100" i="19"/>
  <c r="AK100" i="19"/>
  <c r="CD100" i="19" s="1"/>
  <c r="BH99" i="19"/>
  <c r="BE99" i="19"/>
  <c r="BM99" i="19" s="1"/>
  <c r="CE99" i="19"/>
  <c r="AU99" i="19"/>
  <c r="AT99" i="19"/>
  <c r="AS99" i="19"/>
  <c r="AR99" i="19"/>
  <c r="AQ99" i="19"/>
  <c r="AP99" i="19"/>
  <c r="AO99" i="19"/>
  <c r="AN99" i="19"/>
  <c r="AM99" i="19"/>
  <c r="AK99" i="19"/>
  <c r="CD99" i="19" s="1"/>
  <c r="BH98" i="19"/>
  <c r="BP98" i="19" s="1"/>
  <c r="BE98" i="19"/>
  <c r="BM98" i="19" s="1"/>
  <c r="AU98" i="19"/>
  <c r="AT98" i="19"/>
  <c r="AS98" i="19"/>
  <c r="AR98" i="19"/>
  <c r="AQ98" i="19"/>
  <c r="AP98" i="19"/>
  <c r="AO98" i="19"/>
  <c r="AN98" i="19"/>
  <c r="AM98" i="19"/>
  <c r="AK98" i="19"/>
  <c r="CD98" i="19" s="1"/>
  <c r="BH97" i="19"/>
  <c r="BI97" i="19" s="1"/>
  <c r="BE97" i="19"/>
  <c r="BM97" i="19" s="1"/>
  <c r="AU97" i="19"/>
  <c r="AT97" i="19"/>
  <c r="AS97" i="19"/>
  <c r="AR97" i="19"/>
  <c r="AQ97" i="19"/>
  <c r="AP97" i="19"/>
  <c r="AO97" i="19"/>
  <c r="AN97" i="19"/>
  <c r="AM97" i="19"/>
  <c r="AK97" i="19"/>
  <c r="CD97" i="19" s="1"/>
  <c r="BH96" i="19"/>
  <c r="BP96" i="19" s="1"/>
  <c r="BE96" i="19"/>
  <c r="BF96" i="19" s="1"/>
  <c r="CJ96" i="19"/>
  <c r="AU96" i="19"/>
  <c r="AT96" i="19"/>
  <c r="AS96" i="19"/>
  <c r="AR96" i="19"/>
  <c r="AQ96" i="19"/>
  <c r="AP96" i="19"/>
  <c r="AO96" i="19"/>
  <c r="AN96" i="19"/>
  <c r="AM96" i="19"/>
  <c r="AK96" i="19"/>
  <c r="CD96" i="19" s="1"/>
  <c r="BH95" i="19"/>
  <c r="BI95" i="19" s="1"/>
  <c r="BE95" i="19"/>
  <c r="BM95" i="19" s="1"/>
  <c r="AU95" i="19"/>
  <c r="AT95" i="19"/>
  <c r="AS95" i="19"/>
  <c r="AR95" i="19"/>
  <c r="AQ95" i="19"/>
  <c r="AP95" i="19"/>
  <c r="AO95" i="19"/>
  <c r="AN95" i="19"/>
  <c r="AM95" i="19"/>
  <c r="AK95" i="19"/>
  <c r="CD95" i="19" s="1"/>
  <c r="BH94" i="19"/>
  <c r="BP94" i="19" s="1"/>
  <c r="BE94" i="19"/>
  <c r="BF94" i="19" s="1"/>
  <c r="AU94" i="19"/>
  <c r="AT94" i="19"/>
  <c r="AS94" i="19"/>
  <c r="AR94" i="19"/>
  <c r="AQ94" i="19"/>
  <c r="AP94" i="19"/>
  <c r="AO94" i="19"/>
  <c r="AN94" i="19"/>
  <c r="AM94" i="19"/>
  <c r="AK94" i="19"/>
  <c r="CD94" i="19" s="1"/>
  <c r="BH93" i="19"/>
  <c r="BI93" i="19" s="1"/>
  <c r="BE93" i="19"/>
  <c r="BM93" i="19" s="1"/>
  <c r="AU93" i="19"/>
  <c r="AT93" i="19"/>
  <c r="AS93" i="19"/>
  <c r="AR93" i="19"/>
  <c r="AQ93" i="19"/>
  <c r="AP93" i="19"/>
  <c r="AO93" i="19"/>
  <c r="AN93" i="19"/>
  <c r="AM93" i="19"/>
  <c r="AK93" i="19"/>
  <c r="CD93" i="19" s="1"/>
  <c r="BH92" i="19"/>
  <c r="BI92" i="19" s="1"/>
  <c r="BE92" i="19"/>
  <c r="BM92" i="19" s="1"/>
  <c r="AU92" i="19"/>
  <c r="AT92" i="19"/>
  <c r="AS92" i="19"/>
  <c r="AR92" i="19"/>
  <c r="AQ92" i="19"/>
  <c r="AP92" i="19"/>
  <c r="AO92" i="19"/>
  <c r="AN92" i="19"/>
  <c r="AM92" i="19"/>
  <c r="AK92" i="19"/>
  <c r="CD92" i="19" s="1"/>
  <c r="BH91" i="19"/>
  <c r="BP91" i="19" s="1"/>
  <c r="BE91" i="19"/>
  <c r="BF91" i="19" s="1"/>
  <c r="CI91" i="19"/>
  <c r="AU91" i="19"/>
  <c r="AT91" i="19"/>
  <c r="AS91" i="19"/>
  <c r="AR91" i="19"/>
  <c r="AQ91" i="19"/>
  <c r="AP91" i="19"/>
  <c r="AO91" i="19"/>
  <c r="AN91" i="19"/>
  <c r="AM91" i="19"/>
  <c r="AK91" i="19"/>
  <c r="CD91" i="19" s="1"/>
  <c r="BH90" i="19"/>
  <c r="BI90" i="19" s="1"/>
  <c r="BE90" i="19"/>
  <c r="BF90" i="19" s="1"/>
  <c r="AU90" i="19"/>
  <c r="AT90" i="19"/>
  <c r="AS90" i="19"/>
  <c r="AR90" i="19"/>
  <c r="AQ90" i="19"/>
  <c r="AP90" i="19"/>
  <c r="AO90" i="19"/>
  <c r="AN90" i="19"/>
  <c r="AM90" i="19"/>
  <c r="AK90" i="19"/>
  <c r="CD90" i="19" s="1"/>
  <c r="BH89" i="19"/>
  <c r="BI89" i="19" s="1"/>
  <c r="BJ89" i="19" s="1"/>
  <c r="BE89" i="19"/>
  <c r="BM89" i="19" s="1"/>
  <c r="CP89" i="19"/>
  <c r="AF89" i="22" s="1"/>
  <c r="CE89" i="19"/>
  <c r="AU89" i="19"/>
  <c r="AT89" i="19"/>
  <c r="AS89" i="19"/>
  <c r="AR89" i="19"/>
  <c r="AQ89" i="19"/>
  <c r="AP89" i="19"/>
  <c r="AO89" i="19"/>
  <c r="AN89" i="19"/>
  <c r="AM89" i="19"/>
  <c r="AK89" i="19"/>
  <c r="CD89" i="19" s="1"/>
  <c r="BH88" i="19"/>
  <c r="BP88" i="19" s="1"/>
  <c r="BE88" i="19"/>
  <c r="BF88" i="19" s="1"/>
  <c r="AU88" i="19"/>
  <c r="AT88" i="19"/>
  <c r="AS88" i="19"/>
  <c r="AR88" i="19"/>
  <c r="AQ88" i="19"/>
  <c r="AP88" i="19"/>
  <c r="AO88" i="19"/>
  <c r="AN88" i="19"/>
  <c r="AM88" i="19"/>
  <c r="AK88" i="19"/>
  <c r="CD88" i="19" s="1"/>
  <c r="BH87" i="19"/>
  <c r="BI87" i="19" s="1"/>
  <c r="BE87" i="19"/>
  <c r="BM87" i="19" s="1"/>
  <c r="AU87" i="19"/>
  <c r="AT87" i="19"/>
  <c r="AS87" i="19"/>
  <c r="AR87" i="19"/>
  <c r="AQ87" i="19"/>
  <c r="AP87" i="19"/>
  <c r="AO87" i="19"/>
  <c r="AN87" i="19"/>
  <c r="AM87" i="19"/>
  <c r="AK87" i="19"/>
  <c r="CD87" i="19" s="1"/>
  <c r="BH86" i="19"/>
  <c r="BP86" i="19" s="1"/>
  <c r="BE86" i="19"/>
  <c r="BM86" i="19" s="1"/>
  <c r="CF86" i="19"/>
  <c r="AU86" i="19"/>
  <c r="AT86" i="19"/>
  <c r="AS86" i="19"/>
  <c r="AR86" i="19"/>
  <c r="AQ86" i="19"/>
  <c r="AP86" i="19"/>
  <c r="AO86" i="19"/>
  <c r="AN86" i="19"/>
  <c r="AM86" i="19"/>
  <c r="AK86" i="19"/>
  <c r="CD86" i="19" s="1"/>
  <c r="BH85" i="19"/>
  <c r="BI85" i="19" s="1"/>
  <c r="BQ85" i="19" s="1"/>
  <c r="BE85" i="19"/>
  <c r="BF85" i="19" s="1"/>
  <c r="BG85" i="19" s="1"/>
  <c r="BO85" i="19" s="1"/>
  <c r="AU85" i="19"/>
  <c r="AT85" i="19"/>
  <c r="AS85" i="19"/>
  <c r="AR85" i="19"/>
  <c r="AQ85" i="19"/>
  <c r="AP85" i="19"/>
  <c r="AO85" i="19"/>
  <c r="AN85" i="19"/>
  <c r="AM85" i="19"/>
  <c r="AK85" i="19"/>
  <c r="CD85" i="19" s="1"/>
  <c r="BH84" i="19"/>
  <c r="BP84" i="19" s="1"/>
  <c r="BE84" i="19"/>
  <c r="BM84" i="19" s="1"/>
  <c r="CH84" i="19"/>
  <c r="AU84" i="19"/>
  <c r="AT84" i="19"/>
  <c r="AS84" i="19"/>
  <c r="AR84" i="19"/>
  <c r="AQ84" i="19"/>
  <c r="AP84" i="19"/>
  <c r="AO84" i="19"/>
  <c r="AN84" i="19"/>
  <c r="AM84" i="19"/>
  <c r="AK84" i="19"/>
  <c r="CD84" i="19" s="1"/>
  <c r="BH83" i="19"/>
  <c r="BP83" i="19" s="1"/>
  <c r="BE83" i="19"/>
  <c r="BF83" i="19" s="1"/>
  <c r="CH83" i="19"/>
  <c r="AU83" i="19"/>
  <c r="AT83" i="19"/>
  <c r="AS83" i="19"/>
  <c r="AR83" i="19"/>
  <c r="AQ83" i="19"/>
  <c r="AP83" i="19"/>
  <c r="AO83" i="19"/>
  <c r="AN83" i="19"/>
  <c r="AM83" i="19"/>
  <c r="AK83" i="19"/>
  <c r="CD83" i="19" s="1"/>
  <c r="BH82" i="19"/>
  <c r="BI82" i="19" s="1"/>
  <c r="BE82" i="19"/>
  <c r="BF82" i="19" s="1"/>
  <c r="AU82" i="19"/>
  <c r="AT82" i="19"/>
  <c r="AS82" i="19"/>
  <c r="AR82" i="19"/>
  <c r="AQ82" i="19"/>
  <c r="AP82" i="19"/>
  <c r="AO82" i="19"/>
  <c r="AN82" i="19"/>
  <c r="AM82" i="19"/>
  <c r="AK82" i="19"/>
  <c r="CD82" i="19" s="1"/>
  <c r="BH81" i="19"/>
  <c r="BI81" i="19" s="1"/>
  <c r="BE81" i="19"/>
  <c r="BM81" i="19" s="1"/>
  <c r="AU81" i="19"/>
  <c r="AT81" i="19"/>
  <c r="AS81" i="19"/>
  <c r="AR81" i="19"/>
  <c r="AQ81" i="19"/>
  <c r="AP81" i="19"/>
  <c r="AO81" i="19"/>
  <c r="AN81" i="19"/>
  <c r="AM81" i="19"/>
  <c r="AK81" i="19"/>
  <c r="CD81" i="19" s="1"/>
  <c r="BH80" i="19"/>
  <c r="BP80" i="19" s="1"/>
  <c r="BE80" i="19"/>
  <c r="BF80" i="19" s="1"/>
  <c r="CP80" i="19"/>
  <c r="AF80" i="22" s="1"/>
  <c r="CH80" i="19"/>
  <c r="AU80" i="19"/>
  <c r="AT80" i="19"/>
  <c r="AS80" i="19"/>
  <c r="AR80" i="19"/>
  <c r="AQ80" i="19"/>
  <c r="AP80" i="19"/>
  <c r="AO80" i="19"/>
  <c r="AN80" i="19"/>
  <c r="AM80" i="19"/>
  <c r="AK80" i="19"/>
  <c r="CD80" i="19" s="1"/>
  <c r="BH79" i="19"/>
  <c r="BI79" i="19" s="1"/>
  <c r="BE79" i="19"/>
  <c r="BF79" i="19" s="1"/>
  <c r="CP79" i="19"/>
  <c r="AF79" i="22" s="1"/>
  <c r="AU79" i="19"/>
  <c r="AT79" i="19"/>
  <c r="AS79" i="19"/>
  <c r="AR79" i="19"/>
  <c r="AQ79" i="19"/>
  <c r="AP79" i="19"/>
  <c r="AO79" i="19"/>
  <c r="AN79" i="19"/>
  <c r="AM79" i="19"/>
  <c r="AK79" i="19"/>
  <c r="CD79" i="19" s="1"/>
  <c r="BH78" i="19"/>
  <c r="BP78" i="19" s="1"/>
  <c r="BE78" i="19"/>
  <c r="BM78" i="19" s="1"/>
  <c r="CE78" i="19"/>
  <c r="AU78" i="19"/>
  <c r="AT78" i="19"/>
  <c r="AS78" i="19"/>
  <c r="AR78" i="19"/>
  <c r="AQ78" i="19"/>
  <c r="AP78" i="19"/>
  <c r="AO78" i="19"/>
  <c r="AN78" i="19"/>
  <c r="AM78" i="19"/>
  <c r="AK78" i="19"/>
  <c r="CD78" i="19" s="1"/>
  <c r="BH77" i="19"/>
  <c r="BP77" i="19" s="1"/>
  <c r="BE77" i="19"/>
  <c r="BF77" i="19" s="1"/>
  <c r="BN77" i="19" s="1"/>
  <c r="AU77" i="19"/>
  <c r="AT77" i="19"/>
  <c r="AS77" i="19"/>
  <c r="AR77" i="19"/>
  <c r="AQ77" i="19"/>
  <c r="AP77" i="19"/>
  <c r="AO77" i="19"/>
  <c r="AN77" i="19"/>
  <c r="AM77" i="19"/>
  <c r="AK77" i="19"/>
  <c r="CD77" i="19" s="1"/>
  <c r="BH76" i="19"/>
  <c r="BI76" i="19" s="1"/>
  <c r="BQ76" i="19" s="1"/>
  <c r="BE76" i="19"/>
  <c r="BF76" i="19" s="1"/>
  <c r="CI76" i="19"/>
  <c r="AU76" i="19"/>
  <c r="AT76" i="19"/>
  <c r="AS76" i="19"/>
  <c r="AR76" i="19"/>
  <c r="AQ76" i="19"/>
  <c r="AP76" i="19"/>
  <c r="AO76" i="19"/>
  <c r="AN76" i="19"/>
  <c r="AM76" i="19"/>
  <c r="AK76" i="19"/>
  <c r="CD76" i="19" s="1"/>
  <c r="BH75" i="19"/>
  <c r="BI75" i="19" s="1"/>
  <c r="BE75" i="19"/>
  <c r="BF75" i="19" s="1"/>
  <c r="BN75" i="19" s="1"/>
  <c r="AU75" i="19"/>
  <c r="AT75" i="19"/>
  <c r="AS75" i="19"/>
  <c r="AR75" i="19"/>
  <c r="AQ75" i="19"/>
  <c r="AP75" i="19"/>
  <c r="AO75" i="19"/>
  <c r="AN75" i="19"/>
  <c r="AM75" i="19"/>
  <c r="AK75" i="19"/>
  <c r="CD75" i="19" s="1"/>
  <c r="BH74" i="19"/>
  <c r="BI74" i="19" s="1"/>
  <c r="BQ74" i="19" s="1"/>
  <c r="CI74" i="19" s="1"/>
  <c r="BE74" i="19"/>
  <c r="BM74" i="19" s="1"/>
  <c r="CE74" i="19"/>
  <c r="AU74" i="19"/>
  <c r="AT74" i="19"/>
  <c r="AS74" i="19"/>
  <c r="AR74" i="19"/>
  <c r="AQ74" i="19"/>
  <c r="AP74" i="19"/>
  <c r="AO74" i="19"/>
  <c r="AN74" i="19"/>
  <c r="AM74" i="19"/>
  <c r="AK74" i="19"/>
  <c r="CD74" i="19" s="1"/>
  <c r="BH73" i="19"/>
  <c r="BI73" i="19" s="1"/>
  <c r="BE73" i="19"/>
  <c r="BM73" i="19" s="1"/>
  <c r="CE73" i="19"/>
  <c r="AU73" i="19"/>
  <c r="AT73" i="19"/>
  <c r="AS73" i="19"/>
  <c r="AR73" i="19"/>
  <c r="AQ73" i="19"/>
  <c r="AP73" i="19"/>
  <c r="AO73" i="19"/>
  <c r="AN73" i="19"/>
  <c r="AM73" i="19"/>
  <c r="AK73" i="19"/>
  <c r="CD73" i="19" s="1"/>
  <c r="BH72" i="19"/>
  <c r="BP72" i="19" s="1"/>
  <c r="BE72" i="19"/>
  <c r="BM72" i="19" s="1"/>
  <c r="AU72" i="19"/>
  <c r="AT72" i="19"/>
  <c r="AS72" i="19"/>
  <c r="AR72" i="19"/>
  <c r="AQ72" i="19"/>
  <c r="AP72" i="19"/>
  <c r="AO72" i="19"/>
  <c r="AN72" i="19"/>
  <c r="AM72" i="19"/>
  <c r="AK72" i="19"/>
  <c r="CD72" i="19" s="1"/>
  <c r="BH71" i="19"/>
  <c r="BP71" i="19" s="1"/>
  <c r="CH71" i="19" s="1"/>
  <c r="BE71" i="19"/>
  <c r="BM71" i="19" s="1"/>
  <c r="CP71" i="19"/>
  <c r="AF71" i="22" s="1"/>
  <c r="AU71" i="19"/>
  <c r="AT71" i="19"/>
  <c r="AS71" i="19"/>
  <c r="AR71" i="19"/>
  <c r="AQ71" i="19"/>
  <c r="AP71" i="19"/>
  <c r="AO71" i="19"/>
  <c r="AN71" i="19"/>
  <c r="AM71" i="19"/>
  <c r="AK71" i="19"/>
  <c r="CD71" i="19" s="1"/>
  <c r="CH70" i="19"/>
  <c r="BH70" i="19"/>
  <c r="BP70" i="19" s="1"/>
  <c r="BE70" i="19"/>
  <c r="BM70" i="19" s="1"/>
  <c r="CF70" i="19"/>
  <c r="AU70" i="19"/>
  <c r="AT70" i="19"/>
  <c r="AS70" i="19"/>
  <c r="AR70" i="19"/>
  <c r="AQ70" i="19"/>
  <c r="AP70" i="19"/>
  <c r="AO70" i="19"/>
  <c r="AN70" i="19"/>
  <c r="AM70" i="19"/>
  <c r="AK70" i="19"/>
  <c r="CD70" i="19" s="1"/>
  <c r="BH69" i="19"/>
  <c r="BP69" i="19" s="1"/>
  <c r="BE69" i="19"/>
  <c r="BF69" i="19" s="1"/>
  <c r="AU69" i="19"/>
  <c r="AT69" i="19"/>
  <c r="AS69" i="19"/>
  <c r="AR69" i="19"/>
  <c r="AQ69" i="19"/>
  <c r="AP69" i="19"/>
  <c r="AO69" i="19"/>
  <c r="AN69" i="19"/>
  <c r="AM69" i="19"/>
  <c r="AK69" i="19"/>
  <c r="CD69" i="19" s="1"/>
  <c r="BH68" i="19"/>
  <c r="BI68" i="19" s="1"/>
  <c r="BE68" i="19"/>
  <c r="BF68" i="19" s="1"/>
  <c r="BN68" i="19" s="1"/>
  <c r="CF68" i="19"/>
  <c r="AU68" i="19"/>
  <c r="AT68" i="19"/>
  <c r="AS68" i="19"/>
  <c r="AR68" i="19"/>
  <c r="AQ68" i="19"/>
  <c r="AP68" i="19"/>
  <c r="AO68" i="19"/>
  <c r="AN68" i="19"/>
  <c r="AM68" i="19"/>
  <c r="AK68" i="19"/>
  <c r="CD68" i="19" s="1"/>
  <c r="BH67" i="19"/>
  <c r="BI67" i="19" s="1"/>
  <c r="BE67" i="19"/>
  <c r="BM67" i="19" s="1"/>
  <c r="AU67" i="19"/>
  <c r="AT67" i="19"/>
  <c r="AS67" i="19"/>
  <c r="AR67" i="19"/>
  <c r="AQ67" i="19"/>
  <c r="AP67" i="19"/>
  <c r="AO67" i="19"/>
  <c r="AN67" i="19"/>
  <c r="AM67" i="19"/>
  <c r="AK67" i="19"/>
  <c r="CD67" i="19" s="1"/>
  <c r="BH66" i="19"/>
  <c r="BP66" i="19" s="1"/>
  <c r="BE66" i="19"/>
  <c r="BM66" i="19" s="1"/>
  <c r="AU66" i="19"/>
  <c r="AT66" i="19"/>
  <c r="AS66" i="19"/>
  <c r="AR66" i="19"/>
  <c r="AQ66" i="19"/>
  <c r="AP66" i="19"/>
  <c r="AO66" i="19"/>
  <c r="AN66" i="19"/>
  <c r="AM66" i="19"/>
  <c r="AK66" i="19"/>
  <c r="CD66" i="19" s="1"/>
  <c r="BH65" i="19"/>
  <c r="BP65" i="19" s="1"/>
  <c r="BE65" i="19"/>
  <c r="BF65" i="19" s="1"/>
  <c r="AU65" i="19"/>
  <c r="AT65" i="19"/>
  <c r="AS65" i="19"/>
  <c r="AR65" i="19"/>
  <c r="AQ65" i="19"/>
  <c r="AP65" i="19"/>
  <c r="AO65" i="19"/>
  <c r="AN65" i="19"/>
  <c r="AM65" i="19"/>
  <c r="AK65" i="19"/>
  <c r="CD65" i="19" s="1"/>
  <c r="BH64" i="19"/>
  <c r="BI64" i="19" s="1"/>
  <c r="BE64" i="19"/>
  <c r="BF64" i="19" s="1"/>
  <c r="AU64" i="19"/>
  <c r="AT64" i="19"/>
  <c r="AS64" i="19"/>
  <c r="AR64" i="19"/>
  <c r="AQ64" i="19"/>
  <c r="AP64" i="19"/>
  <c r="AO64" i="19"/>
  <c r="AN64" i="19"/>
  <c r="AM64" i="19"/>
  <c r="AK64" i="19"/>
  <c r="CD64" i="19" s="1"/>
  <c r="BH63" i="19"/>
  <c r="BI63" i="19" s="1"/>
  <c r="BE63" i="19"/>
  <c r="BM63" i="19" s="1"/>
  <c r="CP63" i="19"/>
  <c r="AF63" i="22" s="1"/>
  <c r="AU63" i="19"/>
  <c r="AT63" i="19"/>
  <c r="AS63" i="19"/>
  <c r="AR63" i="19"/>
  <c r="AQ63" i="19"/>
  <c r="AP63" i="19"/>
  <c r="AO63" i="19"/>
  <c r="AN63" i="19"/>
  <c r="AM63" i="19"/>
  <c r="AK63" i="19"/>
  <c r="CD63" i="19" s="1"/>
  <c r="BH62" i="19"/>
  <c r="BP62" i="19" s="1"/>
  <c r="BE62" i="19"/>
  <c r="BM62" i="19" s="1"/>
  <c r="AU62" i="19"/>
  <c r="AT62" i="19"/>
  <c r="AS62" i="19"/>
  <c r="AR62" i="19"/>
  <c r="AQ62" i="19"/>
  <c r="AP62" i="19"/>
  <c r="AO62" i="19"/>
  <c r="AN62" i="19"/>
  <c r="AM62" i="19"/>
  <c r="AK62" i="19"/>
  <c r="CD62" i="19" s="1"/>
  <c r="BH61" i="19"/>
  <c r="BP61" i="19" s="1"/>
  <c r="BE61" i="19"/>
  <c r="BM61" i="19" s="1"/>
  <c r="AU61" i="19"/>
  <c r="AT61" i="19"/>
  <c r="AS61" i="19"/>
  <c r="AR61" i="19"/>
  <c r="AQ61" i="19"/>
  <c r="AP61" i="19"/>
  <c r="AO61" i="19"/>
  <c r="AN61" i="19"/>
  <c r="AM61" i="19"/>
  <c r="AK61" i="19"/>
  <c r="CD61" i="19" s="1"/>
  <c r="BH60" i="19"/>
  <c r="BP60" i="19" s="1"/>
  <c r="BE60" i="19"/>
  <c r="BF60" i="19" s="1"/>
  <c r="BN60" i="19" s="1"/>
  <c r="AU60" i="19"/>
  <c r="AT60" i="19"/>
  <c r="AS60" i="19"/>
  <c r="AR60" i="19"/>
  <c r="AQ60" i="19"/>
  <c r="AP60" i="19"/>
  <c r="AO60" i="19"/>
  <c r="AN60" i="19"/>
  <c r="AM60" i="19"/>
  <c r="AK60" i="19"/>
  <c r="CD60" i="19" s="1"/>
  <c r="BH59" i="19"/>
  <c r="BI59" i="19" s="1"/>
  <c r="BQ59" i="19" s="1"/>
  <c r="BE59" i="19"/>
  <c r="BM59" i="19" s="1"/>
  <c r="CI59" i="19"/>
  <c r="AU59" i="19"/>
  <c r="AT59" i="19"/>
  <c r="AS59" i="19"/>
  <c r="AR59" i="19"/>
  <c r="AQ59" i="19"/>
  <c r="AP59" i="19"/>
  <c r="AO59" i="19"/>
  <c r="AN59" i="19"/>
  <c r="AM59" i="19"/>
  <c r="AK59" i="19"/>
  <c r="CD59" i="19" s="1"/>
  <c r="BH58" i="19"/>
  <c r="BP58" i="19" s="1"/>
  <c r="BE58" i="19"/>
  <c r="BF58" i="19" s="1"/>
  <c r="AU58" i="19"/>
  <c r="AT58" i="19"/>
  <c r="AS58" i="19"/>
  <c r="AR58" i="19"/>
  <c r="AQ58" i="19"/>
  <c r="AP58" i="19"/>
  <c r="AO58" i="19"/>
  <c r="AN58" i="19"/>
  <c r="AM58" i="19"/>
  <c r="AK58" i="19"/>
  <c r="CD58" i="19" s="1"/>
  <c r="BH57" i="19"/>
  <c r="BI57" i="19" s="1"/>
  <c r="BE57" i="19"/>
  <c r="BF57" i="19" s="1"/>
  <c r="CH57" i="19"/>
  <c r="AU57" i="19"/>
  <c r="AT57" i="19"/>
  <c r="AS57" i="19"/>
  <c r="AR57" i="19"/>
  <c r="AQ57" i="19"/>
  <c r="AP57" i="19"/>
  <c r="AO57" i="19"/>
  <c r="AN57" i="19"/>
  <c r="AM57" i="19"/>
  <c r="AK57" i="19"/>
  <c r="CD57" i="19" s="1"/>
  <c r="BH56" i="19"/>
  <c r="BI56" i="19" s="1"/>
  <c r="BE56" i="19"/>
  <c r="BF56" i="19" s="1"/>
  <c r="AU56" i="19"/>
  <c r="AT56" i="19"/>
  <c r="AS56" i="19"/>
  <c r="AR56" i="19"/>
  <c r="AQ56" i="19"/>
  <c r="AP56" i="19"/>
  <c r="AO56" i="19"/>
  <c r="AN56" i="19"/>
  <c r="AM56" i="19"/>
  <c r="AK56" i="19"/>
  <c r="CD56" i="19" s="1"/>
  <c r="BH55" i="19"/>
  <c r="BI55" i="19" s="1"/>
  <c r="BE55" i="19"/>
  <c r="BM55" i="19" s="1"/>
  <c r="CE55" i="19"/>
  <c r="AU55" i="19"/>
  <c r="AT55" i="19"/>
  <c r="AS55" i="19"/>
  <c r="AR55" i="19"/>
  <c r="AQ55" i="19"/>
  <c r="AP55" i="19"/>
  <c r="AO55" i="19"/>
  <c r="AN55" i="19"/>
  <c r="AM55" i="19"/>
  <c r="AK55" i="19"/>
  <c r="CD55" i="19" s="1"/>
  <c r="BH54" i="19"/>
  <c r="BI54" i="19" s="1"/>
  <c r="BE54" i="19"/>
  <c r="BF54" i="19" s="1"/>
  <c r="AU54" i="19"/>
  <c r="AT54" i="19"/>
  <c r="AS54" i="19"/>
  <c r="AR54" i="19"/>
  <c r="AQ54" i="19"/>
  <c r="AP54" i="19"/>
  <c r="AO54" i="19"/>
  <c r="AN54" i="19"/>
  <c r="AM54" i="19"/>
  <c r="AK54" i="19"/>
  <c r="CD54" i="19" s="1"/>
  <c r="BH53" i="19"/>
  <c r="BI53" i="19" s="1"/>
  <c r="BE53" i="19"/>
  <c r="BF53" i="19" s="1"/>
  <c r="AU53" i="19"/>
  <c r="AT53" i="19"/>
  <c r="AS53" i="19"/>
  <c r="AR53" i="19"/>
  <c r="AQ53" i="19"/>
  <c r="AP53" i="19"/>
  <c r="AO53" i="19"/>
  <c r="AN53" i="19"/>
  <c r="AM53" i="19"/>
  <c r="AK53" i="19"/>
  <c r="CD53" i="19" s="1"/>
  <c r="BH52" i="19"/>
  <c r="BI52" i="19" s="1"/>
  <c r="BE52" i="19"/>
  <c r="BF52" i="19" s="1"/>
  <c r="AU52" i="19"/>
  <c r="AT52" i="19"/>
  <c r="AS52" i="19"/>
  <c r="AR52" i="19"/>
  <c r="AQ52" i="19"/>
  <c r="AP52" i="19"/>
  <c r="AO52" i="19"/>
  <c r="AN52" i="19"/>
  <c r="AM52" i="19"/>
  <c r="AK52" i="19"/>
  <c r="CD52" i="19" s="1"/>
  <c r="BH51" i="19"/>
  <c r="BI51" i="19" s="1"/>
  <c r="BE51" i="19"/>
  <c r="BM51" i="19" s="1"/>
  <c r="AU51" i="19"/>
  <c r="AT51" i="19"/>
  <c r="AS51" i="19"/>
  <c r="AR51" i="19"/>
  <c r="AQ51" i="19"/>
  <c r="AP51" i="19"/>
  <c r="AO51" i="19"/>
  <c r="AN51" i="19"/>
  <c r="AM51" i="19"/>
  <c r="AK51" i="19"/>
  <c r="CD51" i="19" s="1"/>
  <c r="BH50" i="19"/>
  <c r="BP50" i="19" s="1"/>
  <c r="CH50" i="19" s="1"/>
  <c r="BE50" i="19"/>
  <c r="BM50" i="19" s="1"/>
  <c r="AU50" i="19"/>
  <c r="AT50" i="19"/>
  <c r="AS50" i="19"/>
  <c r="AR50" i="19"/>
  <c r="AQ50" i="19"/>
  <c r="AP50" i="19"/>
  <c r="AO50" i="19"/>
  <c r="AN50" i="19"/>
  <c r="AM50" i="19"/>
  <c r="AK50" i="19"/>
  <c r="CD50" i="19" s="1"/>
  <c r="BH49" i="19"/>
  <c r="BI49" i="19" s="1"/>
  <c r="BE49" i="19"/>
  <c r="BF49" i="19" s="1"/>
  <c r="AU49" i="19"/>
  <c r="AT49" i="19"/>
  <c r="AS49" i="19"/>
  <c r="AR49" i="19"/>
  <c r="AQ49" i="19"/>
  <c r="AP49" i="19"/>
  <c r="AO49" i="19"/>
  <c r="AN49" i="19"/>
  <c r="AM49" i="19"/>
  <c r="AK49" i="19"/>
  <c r="CD49" i="19" s="1"/>
  <c r="BH48" i="19"/>
  <c r="BI48" i="19" s="1"/>
  <c r="BE48" i="19"/>
  <c r="BM48" i="19" s="1"/>
  <c r="AU48" i="19"/>
  <c r="AT48" i="19"/>
  <c r="AS48" i="19"/>
  <c r="AR48" i="19"/>
  <c r="AQ48" i="19"/>
  <c r="AP48" i="19"/>
  <c r="AO48" i="19"/>
  <c r="AN48" i="19"/>
  <c r="AM48" i="19"/>
  <c r="AK48" i="19"/>
  <c r="CD48" i="19" s="1"/>
  <c r="BH47" i="19"/>
  <c r="BP47" i="19" s="1"/>
  <c r="BE47" i="19"/>
  <c r="BM47" i="19" s="1"/>
  <c r="AU47" i="19"/>
  <c r="AT47" i="19"/>
  <c r="AS47" i="19"/>
  <c r="AR47" i="19"/>
  <c r="AQ47" i="19"/>
  <c r="AP47" i="19"/>
  <c r="AO47" i="19"/>
  <c r="AN47" i="19"/>
  <c r="AM47" i="19"/>
  <c r="AK47" i="19"/>
  <c r="CD47" i="19" s="1"/>
  <c r="BH46" i="19"/>
  <c r="BP46" i="19" s="1"/>
  <c r="BE46" i="19"/>
  <c r="BM46" i="19" s="1"/>
  <c r="AU46" i="19"/>
  <c r="AT46" i="19"/>
  <c r="AS46" i="19"/>
  <c r="AR46" i="19"/>
  <c r="AQ46" i="19"/>
  <c r="AP46" i="19"/>
  <c r="AO46" i="19"/>
  <c r="AN46" i="19"/>
  <c r="AM46" i="19"/>
  <c r="AK46" i="19"/>
  <c r="CD46" i="19" s="1"/>
  <c r="BH45" i="19"/>
  <c r="BI45" i="19" s="1"/>
  <c r="BE45" i="19"/>
  <c r="BF45" i="19" s="1"/>
  <c r="AU45" i="19"/>
  <c r="AT45" i="19"/>
  <c r="AS45" i="19"/>
  <c r="AR45" i="19"/>
  <c r="AQ45" i="19"/>
  <c r="AP45" i="19"/>
  <c r="AO45" i="19"/>
  <c r="AN45" i="19"/>
  <c r="AM45" i="19"/>
  <c r="AK45" i="19"/>
  <c r="CD45" i="19" s="1"/>
  <c r="BH44" i="19"/>
  <c r="BI44" i="19" s="1"/>
  <c r="BE44" i="19"/>
  <c r="BF44" i="19" s="1"/>
  <c r="CP44" i="19"/>
  <c r="AF44" i="22" s="1"/>
  <c r="AU44" i="19"/>
  <c r="AT44" i="19"/>
  <c r="AS44" i="19"/>
  <c r="AR44" i="19"/>
  <c r="AQ44" i="19"/>
  <c r="AP44" i="19"/>
  <c r="AO44" i="19"/>
  <c r="AN44" i="19"/>
  <c r="AM44" i="19"/>
  <c r="AK44" i="19"/>
  <c r="CD44" i="19" s="1"/>
  <c r="BH43" i="19"/>
  <c r="BI43" i="19" s="1"/>
  <c r="BE43" i="19"/>
  <c r="BM43" i="19" s="1"/>
  <c r="AU43" i="19"/>
  <c r="AT43" i="19"/>
  <c r="AS43" i="19"/>
  <c r="AR43" i="19"/>
  <c r="AQ43" i="19"/>
  <c r="AP43" i="19"/>
  <c r="AO43" i="19"/>
  <c r="AN43" i="19"/>
  <c r="AM43" i="19"/>
  <c r="AK43" i="19"/>
  <c r="CD43" i="19" s="1"/>
  <c r="BH42" i="19"/>
  <c r="BP42" i="19" s="1"/>
  <c r="BE42" i="19"/>
  <c r="BM42" i="19" s="1"/>
  <c r="AU42" i="19"/>
  <c r="AT42" i="19"/>
  <c r="AS42" i="19"/>
  <c r="AR42" i="19"/>
  <c r="AQ42" i="19"/>
  <c r="AP42" i="19"/>
  <c r="AO42" i="19"/>
  <c r="AN42" i="19"/>
  <c r="AM42" i="19"/>
  <c r="AK42" i="19"/>
  <c r="CD42" i="19" s="1"/>
  <c r="BH41" i="19"/>
  <c r="BI41" i="19" s="1"/>
  <c r="BE41" i="19"/>
  <c r="AU41" i="19"/>
  <c r="AT41" i="19"/>
  <c r="AS41" i="19"/>
  <c r="AR41" i="19"/>
  <c r="AQ41" i="19"/>
  <c r="AP41" i="19"/>
  <c r="AO41" i="19"/>
  <c r="AN41" i="19"/>
  <c r="AM41" i="19"/>
  <c r="AK41" i="19"/>
  <c r="CD41" i="19" s="1"/>
  <c r="BH40" i="19"/>
  <c r="BI40" i="19" s="1"/>
  <c r="BE40" i="19"/>
  <c r="BM40" i="19" s="1"/>
  <c r="AU40" i="19"/>
  <c r="AT40" i="19"/>
  <c r="AS40" i="19"/>
  <c r="AR40" i="19"/>
  <c r="AQ40" i="19"/>
  <c r="AP40" i="19"/>
  <c r="AO40" i="19"/>
  <c r="AN40" i="19"/>
  <c r="AM40" i="19"/>
  <c r="AK40" i="19"/>
  <c r="CD40" i="19" s="1"/>
  <c r="BH39" i="19"/>
  <c r="BI39" i="19" s="1"/>
  <c r="BQ39" i="19" s="1"/>
  <c r="BE39" i="19"/>
  <c r="BM39" i="19" s="1"/>
  <c r="CI39" i="19"/>
  <c r="AU39" i="19"/>
  <c r="AT39" i="19"/>
  <c r="AS39" i="19"/>
  <c r="AR39" i="19"/>
  <c r="AQ39" i="19"/>
  <c r="AP39" i="19"/>
  <c r="AO39" i="19"/>
  <c r="AN39" i="19"/>
  <c r="AM39" i="19"/>
  <c r="AK39" i="19"/>
  <c r="CD39" i="19" s="1"/>
  <c r="BH38" i="19"/>
  <c r="BP38" i="19" s="1"/>
  <c r="BE38" i="19"/>
  <c r="BM38" i="19" s="1"/>
  <c r="AU38" i="19"/>
  <c r="AT38" i="19"/>
  <c r="AS38" i="19"/>
  <c r="AR38" i="19"/>
  <c r="AQ38" i="19"/>
  <c r="AP38" i="19"/>
  <c r="AO38" i="19"/>
  <c r="AN38" i="19"/>
  <c r="AM38" i="19"/>
  <c r="AK38" i="19"/>
  <c r="CD38" i="19" s="1"/>
  <c r="BH37" i="19"/>
  <c r="BP37" i="19" s="1"/>
  <c r="BE37" i="19"/>
  <c r="AU37" i="19"/>
  <c r="AT37" i="19"/>
  <c r="AS37" i="19"/>
  <c r="AR37" i="19"/>
  <c r="AQ37" i="19"/>
  <c r="AP37" i="19"/>
  <c r="AO37" i="19"/>
  <c r="AN37" i="19"/>
  <c r="AM37" i="19"/>
  <c r="AK37" i="19"/>
  <c r="CD37" i="19" s="1"/>
  <c r="BH36" i="19"/>
  <c r="BP36" i="19" s="1"/>
  <c r="BE36" i="19"/>
  <c r="BF36" i="19" s="1"/>
  <c r="BN36" i="19" s="1"/>
  <c r="CF36" i="19"/>
  <c r="AU36" i="19"/>
  <c r="AT36" i="19"/>
  <c r="AS36" i="19"/>
  <c r="AR36" i="19"/>
  <c r="AQ36" i="19"/>
  <c r="AP36" i="19"/>
  <c r="AO36" i="19"/>
  <c r="AN36" i="19"/>
  <c r="AM36" i="19"/>
  <c r="AK36" i="19"/>
  <c r="CD36" i="19" s="1"/>
  <c r="BH35" i="19"/>
  <c r="BI35" i="19" s="1"/>
  <c r="BQ35" i="19" s="1"/>
  <c r="BE35" i="19"/>
  <c r="BM35" i="19" s="1"/>
  <c r="AU35" i="19"/>
  <c r="AT35" i="19"/>
  <c r="AS35" i="19"/>
  <c r="AR35" i="19"/>
  <c r="AQ35" i="19"/>
  <c r="AP35" i="19"/>
  <c r="AO35" i="19"/>
  <c r="AN35" i="19"/>
  <c r="AM35" i="19"/>
  <c r="AK35" i="19"/>
  <c r="CD35" i="19" s="1"/>
  <c r="BH34" i="19"/>
  <c r="BP34" i="19" s="1"/>
  <c r="BE34" i="19"/>
  <c r="BM34" i="19" s="1"/>
  <c r="AU34" i="19"/>
  <c r="AT34" i="19"/>
  <c r="AS34" i="19"/>
  <c r="AR34" i="19"/>
  <c r="AQ34" i="19"/>
  <c r="AP34" i="19"/>
  <c r="AO34" i="19"/>
  <c r="AN34" i="19"/>
  <c r="AM34" i="19"/>
  <c r="AK34" i="19"/>
  <c r="CD34" i="19" s="1"/>
  <c r="BH33" i="19"/>
  <c r="BP33" i="19" s="1"/>
  <c r="BE33" i="19"/>
  <c r="BF33" i="19" s="1"/>
  <c r="AU33" i="19"/>
  <c r="AT33" i="19"/>
  <c r="AS33" i="19"/>
  <c r="AR33" i="19"/>
  <c r="AQ33" i="19"/>
  <c r="AP33" i="19"/>
  <c r="AO33" i="19"/>
  <c r="AN33" i="19"/>
  <c r="AM33" i="19"/>
  <c r="AK33" i="19"/>
  <c r="CD33" i="19" s="1"/>
  <c r="BH32" i="19"/>
  <c r="BI32" i="19" s="1"/>
  <c r="BE32" i="19"/>
  <c r="BF32" i="19" s="1"/>
  <c r="AU32" i="19"/>
  <c r="AT32" i="19"/>
  <c r="AS32" i="19"/>
  <c r="AR32" i="19"/>
  <c r="AQ32" i="19"/>
  <c r="AP32" i="19"/>
  <c r="AO32" i="19"/>
  <c r="AN32" i="19"/>
  <c r="AM32" i="19"/>
  <c r="AK32" i="19"/>
  <c r="CD32" i="19" s="1"/>
  <c r="BH31" i="19"/>
  <c r="BI31" i="19" s="1"/>
  <c r="BE31" i="19"/>
  <c r="BM31" i="19" s="1"/>
  <c r="AU31" i="19"/>
  <c r="AT31" i="19"/>
  <c r="AS31" i="19"/>
  <c r="AR31" i="19"/>
  <c r="AQ31" i="19"/>
  <c r="AP31" i="19"/>
  <c r="AO31" i="19"/>
  <c r="AN31" i="19"/>
  <c r="AM31" i="19"/>
  <c r="AK31" i="19"/>
  <c r="CD31" i="19" s="1"/>
  <c r="BH30" i="19"/>
  <c r="BP30" i="19" s="1"/>
  <c r="BE30" i="19"/>
  <c r="BM30" i="19" s="1"/>
  <c r="AU30" i="19"/>
  <c r="AT30" i="19"/>
  <c r="AS30" i="19"/>
  <c r="AR30" i="19"/>
  <c r="AQ30" i="19"/>
  <c r="AP30" i="19"/>
  <c r="AO30" i="19"/>
  <c r="AN30" i="19"/>
  <c r="AM30" i="19"/>
  <c r="AK30" i="19"/>
  <c r="CD30" i="19" s="1"/>
  <c r="BH29" i="19"/>
  <c r="BP29" i="19" s="1"/>
  <c r="BE29" i="19"/>
  <c r="BF29" i="19" s="1"/>
  <c r="AU29" i="19"/>
  <c r="AT29" i="19"/>
  <c r="AS29" i="19"/>
  <c r="AR29" i="19"/>
  <c r="AQ29" i="19"/>
  <c r="AP29" i="19"/>
  <c r="AO29" i="19"/>
  <c r="AN29" i="19"/>
  <c r="AM29" i="19"/>
  <c r="AK29" i="19"/>
  <c r="CD29" i="19" s="1"/>
  <c r="BH28" i="19"/>
  <c r="BI28" i="19" s="1"/>
  <c r="BE28" i="19"/>
  <c r="BF28" i="19" s="1"/>
  <c r="AU28" i="19"/>
  <c r="AT28" i="19"/>
  <c r="AS28" i="19"/>
  <c r="AR28" i="19"/>
  <c r="AQ28" i="19"/>
  <c r="AP28" i="19"/>
  <c r="AO28" i="19"/>
  <c r="AN28" i="19"/>
  <c r="AM28" i="19"/>
  <c r="AK28" i="19"/>
  <c r="CD28" i="19" s="1"/>
  <c r="BH27" i="19"/>
  <c r="BI27" i="19" s="1"/>
  <c r="BE27" i="19"/>
  <c r="BM27" i="19" s="1"/>
  <c r="AU27" i="19"/>
  <c r="AT27" i="19"/>
  <c r="AS27" i="19"/>
  <c r="AR27" i="19"/>
  <c r="AQ27" i="19"/>
  <c r="AP27" i="19"/>
  <c r="AO27" i="19"/>
  <c r="AN27" i="19"/>
  <c r="AM27" i="19"/>
  <c r="AK27" i="19"/>
  <c r="CD27" i="19" s="1"/>
  <c r="BH26" i="19"/>
  <c r="BP26" i="19" s="1"/>
  <c r="BE26" i="19"/>
  <c r="BM26" i="19" s="1"/>
  <c r="AU26" i="19"/>
  <c r="AT26" i="19"/>
  <c r="AS26" i="19"/>
  <c r="AR26" i="19"/>
  <c r="AQ26" i="19"/>
  <c r="AP26" i="19"/>
  <c r="AO26" i="19"/>
  <c r="AN26" i="19"/>
  <c r="AM26" i="19"/>
  <c r="AK26" i="19"/>
  <c r="CD26" i="19" s="1"/>
  <c r="BH25" i="19"/>
  <c r="BP25" i="19" s="1"/>
  <c r="BE25" i="19"/>
  <c r="BF25" i="19" s="1"/>
  <c r="AU25" i="19"/>
  <c r="AT25" i="19"/>
  <c r="AS25" i="19"/>
  <c r="AR25" i="19"/>
  <c r="AQ25" i="19"/>
  <c r="AP25" i="19"/>
  <c r="AO25" i="19"/>
  <c r="AN25" i="19"/>
  <c r="AM25" i="19"/>
  <c r="AK25" i="19"/>
  <c r="CD25" i="19" s="1"/>
  <c r="BH24" i="19"/>
  <c r="BI24" i="19" s="1"/>
  <c r="BE24" i="19"/>
  <c r="BF24" i="19" s="1"/>
  <c r="AU24" i="19"/>
  <c r="AT24" i="19"/>
  <c r="AS24" i="19"/>
  <c r="AR24" i="19"/>
  <c r="AQ24" i="19"/>
  <c r="AP24" i="19"/>
  <c r="AO24" i="19"/>
  <c r="AN24" i="19"/>
  <c r="AM24" i="19"/>
  <c r="AK24" i="19"/>
  <c r="CD24" i="19" s="1"/>
  <c r="BH23" i="19"/>
  <c r="BI23" i="19" s="1"/>
  <c r="BE23" i="19"/>
  <c r="BM23" i="19" s="1"/>
  <c r="AU23" i="19"/>
  <c r="AT23" i="19"/>
  <c r="AS23" i="19"/>
  <c r="AR23" i="19"/>
  <c r="AQ23" i="19"/>
  <c r="AP23" i="19"/>
  <c r="AO23" i="19"/>
  <c r="AN23" i="19"/>
  <c r="AM23" i="19"/>
  <c r="AK23" i="19"/>
  <c r="CD23" i="19" s="1"/>
  <c r="BH22" i="19"/>
  <c r="BI22" i="19" s="1"/>
  <c r="BE22" i="19"/>
  <c r="BM22" i="19" s="1"/>
  <c r="AU22" i="19"/>
  <c r="AT22" i="19"/>
  <c r="AS22" i="19"/>
  <c r="AR22" i="19"/>
  <c r="AQ22" i="19"/>
  <c r="AP22" i="19"/>
  <c r="AO22" i="19"/>
  <c r="AN22" i="19"/>
  <c r="AM22" i="19"/>
  <c r="AK22" i="19"/>
  <c r="CD22" i="19" s="1"/>
  <c r="BH21" i="19"/>
  <c r="BP21" i="19" s="1"/>
  <c r="BE21" i="19"/>
  <c r="BF21" i="19" s="1"/>
  <c r="AU21" i="19"/>
  <c r="AT21" i="19"/>
  <c r="AS21" i="19"/>
  <c r="AR21" i="19"/>
  <c r="AQ21" i="19"/>
  <c r="AP21" i="19"/>
  <c r="AO21" i="19"/>
  <c r="AN21" i="19"/>
  <c r="AM21" i="19"/>
  <c r="AK21" i="19"/>
  <c r="CD21" i="19" s="1"/>
  <c r="BH20" i="19"/>
  <c r="BI20" i="19" s="1"/>
  <c r="BE20" i="19"/>
  <c r="BF20" i="19" s="1"/>
  <c r="AU20" i="19"/>
  <c r="AT20" i="19"/>
  <c r="AS20" i="19"/>
  <c r="AR20" i="19"/>
  <c r="AQ20" i="19"/>
  <c r="AP20" i="19"/>
  <c r="AO20" i="19"/>
  <c r="AN20" i="19"/>
  <c r="AM20" i="19"/>
  <c r="AK20" i="19"/>
  <c r="CD20" i="19" s="1"/>
  <c r="BH19" i="19"/>
  <c r="BI19" i="19" s="1"/>
  <c r="BE19" i="19"/>
  <c r="BM19" i="19" s="1"/>
  <c r="AU19" i="19"/>
  <c r="AT19" i="19"/>
  <c r="AS19" i="19"/>
  <c r="AR19" i="19"/>
  <c r="AQ19" i="19"/>
  <c r="AP19" i="19"/>
  <c r="AO19" i="19"/>
  <c r="AN19" i="19"/>
  <c r="AM19" i="19"/>
  <c r="AK19" i="19"/>
  <c r="CD19" i="19" s="1"/>
  <c r="BH18" i="19"/>
  <c r="BP18" i="19" s="1"/>
  <c r="BE18" i="19"/>
  <c r="BM18" i="19" s="1"/>
  <c r="AU18" i="19"/>
  <c r="AT18" i="19"/>
  <c r="AS18" i="19"/>
  <c r="AR18" i="19"/>
  <c r="AQ18" i="19"/>
  <c r="AP18" i="19"/>
  <c r="AO18" i="19"/>
  <c r="AN18" i="19"/>
  <c r="AM18" i="19"/>
  <c r="AK18" i="19"/>
  <c r="CD18" i="19" s="1"/>
  <c r="BH17" i="19"/>
  <c r="BP17" i="19" s="1"/>
  <c r="BE17" i="19"/>
  <c r="BF17" i="19" s="1"/>
  <c r="AU17" i="19"/>
  <c r="AT17" i="19"/>
  <c r="AS17" i="19"/>
  <c r="AR17" i="19"/>
  <c r="AQ17" i="19"/>
  <c r="AP17" i="19"/>
  <c r="AO17" i="19"/>
  <c r="AN17" i="19"/>
  <c r="AM17" i="19"/>
  <c r="AK17" i="19"/>
  <c r="CD17" i="19" s="1"/>
  <c r="BH16" i="19"/>
  <c r="BI16" i="19" s="1"/>
  <c r="BE16" i="19"/>
  <c r="BF16" i="19" s="1"/>
  <c r="AU16" i="19"/>
  <c r="AT16" i="19"/>
  <c r="AS16" i="19"/>
  <c r="AR16" i="19"/>
  <c r="AQ16" i="19"/>
  <c r="AP16" i="19"/>
  <c r="AO16" i="19"/>
  <c r="AN16" i="19"/>
  <c r="AM16" i="19"/>
  <c r="AK16" i="19"/>
  <c r="CD16" i="19" s="1"/>
  <c r="BH15" i="19"/>
  <c r="BI15" i="19" s="1"/>
  <c r="BE15" i="19"/>
  <c r="BF15" i="19" s="1"/>
  <c r="AU15" i="19"/>
  <c r="AT15" i="19"/>
  <c r="AS15" i="19"/>
  <c r="AR15" i="19"/>
  <c r="AQ15" i="19"/>
  <c r="AP15" i="19"/>
  <c r="AO15" i="19"/>
  <c r="AN15" i="19"/>
  <c r="AM15" i="19"/>
  <c r="AK15" i="19"/>
  <c r="CD15" i="19" s="1"/>
  <c r="BH14" i="19"/>
  <c r="BI14" i="19" s="1"/>
  <c r="BE14" i="19"/>
  <c r="BM14" i="19" s="1"/>
  <c r="CP14" i="19"/>
  <c r="AF14" i="22" s="1"/>
  <c r="AU14" i="19"/>
  <c r="AT14" i="19"/>
  <c r="AS14" i="19"/>
  <c r="AR14" i="19"/>
  <c r="AQ14" i="19"/>
  <c r="AP14" i="19"/>
  <c r="AO14" i="19"/>
  <c r="AN14" i="19"/>
  <c r="AM14" i="19"/>
  <c r="AK14" i="19"/>
  <c r="CD14" i="19" s="1"/>
  <c r="BH13" i="19"/>
  <c r="BP13" i="19" s="1"/>
  <c r="BE13" i="19"/>
  <c r="BM13" i="19" s="1"/>
  <c r="AU13" i="19"/>
  <c r="AT13" i="19"/>
  <c r="AS13" i="19"/>
  <c r="AR13" i="19"/>
  <c r="AQ13" i="19"/>
  <c r="AP13" i="19"/>
  <c r="AO13" i="19"/>
  <c r="AN13" i="19"/>
  <c r="AM13" i="19"/>
  <c r="AK13" i="19"/>
  <c r="CD13" i="19" s="1"/>
  <c r="BH12" i="19"/>
  <c r="BI12" i="19" s="1"/>
  <c r="BE12" i="19"/>
  <c r="BF12" i="19" s="1"/>
  <c r="AU12" i="19"/>
  <c r="AT12" i="19"/>
  <c r="AS12" i="19"/>
  <c r="AR12" i="19"/>
  <c r="AQ12" i="19"/>
  <c r="AP12" i="19"/>
  <c r="AO12" i="19"/>
  <c r="AN12" i="19"/>
  <c r="AM12" i="19"/>
  <c r="AK12" i="19"/>
  <c r="CD12" i="19" s="1"/>
  <c r="BH11" i="19"/>
  <c r="BI11" i="19" s="1"/>
  <c r="BE11" i="19"/>
  <c r="BM11" i="19" s="1"/>
  <c r="AU11" i="19"/>
  <c r="AT11" i="19"/>
  <c r="AS11" i="19"/>
  <c r="AR11" i="19"/>
  <c r="AQ11" i="19"/>
  <c r="AP11" i="19"/>
  <c r="AO11" i="19"/>
  <c r="AN11" i="19"/>
  <c r="AM11" i="19"/>
  <c r="AK11" i="19"/>
  <c r="CD11" i="19" s="1"/>
  <c r="BH10" i="19"/>
  <c r="BP10" i="19" s="1"/>
  <c r="BE10" i="19"/>
  <c r="BM10" i="19" s="1"/>
  <c r="AU10" i="19"/>
  <c r="AT10" i="19"/>
  <c r="AS10" i="19"/>
  <c r="AR10" i="19"/>
  <c r="AQ10" i="19"/>
  <c r="AP10" i="19"/>
  <c r="AO10" i="19"/>
  <c r="AN10" i="19"/>
  <c r="AM10" i="19"/>
  <c r="AK10" i="19"/>
  <c r="CD10" i="19" s="1"/>
  <c r="BH9" i="19"/>
  <c r="BP9" i="19" s="1"/>
  <c r="BE9" i="19"/>
  <c r="BF9" i="19" s="1"/>
  <c r="AU9" i="19"/>
  <c r="AT9" i="19"/>
  <c r="AS9" i="19"/>
  <c r="AR9" i="19"/>
  <c r="AQ9" i="19"/>
  <c r="AP9" i="19"/>
  <c r="AO9" i="19"/>
  <c r="AN9" i="19"/>
  <c r="AM9" i="19"/>
  <c r="AK9" i="19"/>
  <c r="CD9" i="19" s="1"/>
  <c r="BH8" i="19"/>
  <c r="BI8" i="19" s="1"/>
  <c r="BE8" i="19"/>
  <c r="BF8" i="19" s="1"/>
  <c r="BN8" i="19" s="1"/>
  <c r="AU8" i="19"/>
  <c r="AT8" i="19"/>
  <c r="AS8" i="19"/>
  <c r="AR8" i="19"/>
  <c r="AQ8" i="19"/>
  <c r="AP8" i="19"/>
  <c r="AO8" i="19"/>
  <c r="AN8" i="19"/>
  <c r="AM8" i="19"/>
  <c r="AK8" i="19"/>
  <c r="CD8" i="19" s="1"/>
  <c r="CG7" i="19"/>
  <c r="CG136" i="19" s="1"/>
  <c r="CF7" i="19"/>
  <c r="CF136" i="19" s="1"/>
  <c r="CE7" i="19"/>
  <c r="CE136" i="19" s="1"/>
  <c r="BM7" i="19"/>
  <c r="BH7" i="19"/>
  <c r="BE7" i="19"/>
  <c r="BN7" i="19" s="1"/>
  <c r="AU7" i="19"/>
  <c r="AT7" i="19"/>
  <c r="AS7" i="19"/>
  <c r="AR7" i="19"/>
  <c r="AQ7" i="19"/>
  <c r="AP7" i="19"/>
  <c r="AO7" i="19"/>
  <c r="AN7" i="19"/>
  <c r="AM7" i="19"/>
  <c r="AK7" i="19"/>
  <c r="CD7" i="19" s="1"/>
  <c r="D133" i="14"/>
  <c r="E133" i="14"/>
  <c r="F133" i="14"/>
  <c r="G133" i="14"/>
  <c r="H133" i="14"/>
  <c r="I133" i="14"/>
  <c r="X49" i="31" l="1"/>
  <c r="X49" i="27"/>
  <c r="X49" i="16"/>
  <c r="BI83" i="19"/>
  <c r="BQ83" i="19" s="1"/>
  <c r="BI25" i="19"/>
  <c r="BJ25" i="19" s="1"/>
  <c r="BP55" i="19"/>
  <c r="BP101" i="19"/>
  <c r="BG8" i="19"/>
  <c r="BO8" i="19" s="1"/>
  <c r="BF30" i="19"/>
  <c r="BG30" i="19" s="1"/>
  <c r="BO30" i="19" s="1"/>
  <c r="BI84" i="19"/>
  <c r="BJ84" i="19" s="1"/>
  <c r="BR84" i="19" s="1"/>
  <c r="CJ84" i="19" s="1"/>
  <c r="BP104" i="19"/>
  <c r="BI21" i="19"/>
  <c r="BJ21" i="19" s="1"/>
  <c r="BF106" i="19"/>
  <c r="BG106" i="19" s="1"/>
  <c r="BO106" i="19" s="1"/>
  <c r="CG106" i="19" s="1"/>
  <c r="CS106" i="19" s="1"/>
  <c r="BI107" i="19"/>
  <c r="BF111" i="19"/>
  <c r="BF81" i="19"/>
  <c r="BF7" i="19"/>
  <c r="BO7" i="19" s="1"/>
  <c r="BF23" i="19"/>
  <c r="BN23" i="19" s="1"/>
  <c r="BJ76" i="19"/>
  <c r="BK76" i="19" s="1"/>
  <c r="BS76" i="19" s="1"/>
  <c r="BF102" i="19"/>
  <c r="BG102" i="19" s="1"/>
  <c r="BO102" i="19" s="1"/>
  <c r="BM80" i="19"/>
  <c r="BF125" i="19"/>
  <c r="BF39" i="19"/>
  <c r="BG39" i="19" s="1"/>
  <c r="BO39" i="19" s="1"/>
  <c r="BP40" i="19"/>
  <c r="BI70" i="19"/>
  <c r="BJ70" i="19" s="1"/>
  <c r="BM114" i="19"/>
  <c r="BI66" i="19"/>
  <c r="BQ66" i="19" s="1"/>
  <c r="BM90" i="19"/>
  <c r="BF99" i="19"/>
  <c r="BN99" i="19" s="1"/>
  <c r="BG127" i="19"/>
  <c r="BO127" i="19" s="1"/>
  <c r="BF26" i="19"/>
  <c r="BG26" i="19" s="1"/>
  <c r="BO26" i="19" s="1"/>
  <c r="BI69" i="19"/>
  <c r="BF70" i="19"/>
  <c r="BG70" i="19" s="1"/>
  <c r="BO70" i="19" s="1"/>
  <c r="BP76" i="19"/>
  <c r="BF89" i="19"/>
  <c r="BN89" i="19" s="1"/>
  <c r="BI96" i="19"/>
  <c r="BQ105" i="19"/>
  <c r="BG119" i="19"/>
  <c r="BO119" i="19" s="1"/>
  <c r="BF13" i="19"/>
  <c r="BG13" i="19" s="1"/>
  <c r="BO13" i="19" s="1"/>
  <c r="BF14" i="19"/>
  <c r="BG14" i="19" s="1"/>
  <c r="BO14" i="19" s="1"/>
  <c r="BF19" i="19"/>
  <c r="BN19" i="19" s="1"/>
  <c r="BG68" i="19"/>
  <c r="BO68" i="19" s="1"/>
  <c r="BM69" i="19"/>
  <c r="BF71" i="19"/>
  <c r="BN71" i="19" s="1"/>
  <c r="CF71" i="19" s="1"/>
  <c r="BI120" i="19"/>
  <c r="BI121" i="19"/>
  <c r="BJ121" i="19" s="1"/>
  <c r="BK121" i="19" s="1"/>
  <c r="BM119" i="19"/>
  <c r="BM58" i="19"/>
  <c r="BF108" i="19"/>
  <c r="BN108" i="19" s="1"/>
  <c r="BP118" i="19"/>
  <c r="BJ124" i="19"/>
  <c r="BP124" i="19"/>
  <c r="BI128" i="19"/>
  <c r="BQ128" i="19" s="1"/>
  <c r="BI17" i="19"/>
  <c r="BJ17" i="19" s="1"/>
  <c r="BF22" i="19"/>
  <c r="BG22" i="19" s="1"/>
  <c r="BO22" i="19" s="1"/>
  <c r="BF47" i="19"/>
  <c r="BG47" i="19" s="1"/>
  <c r="BO47" i="19" s="1"/>
  <c r="BP57" i="19"/>
  <c r="BG77" i="19"/>
  <c r="BO77" i="19" s="1"/>
  <c r="BP116" i="19"/>
  <c r="AZ49" i="24"/>
  <c r="CP49" i="24" s="1"/>
  <c r="BA49" i="24"/>
  <c r="AY49" i="24"/>
  <c r="AK49" i="24"/>
  <c r="CD49" i="24" s="1"/>
  <c r="AL49" i="24"/>
  <c r="AM49" i="24"/>
  <c r="CH48" i="24"/>
  <c r="CT48" i="24" s="1"/>
  <c r="CF48" i="24"/>
  <c r="CE48" i="24"/>
  <c r="CG48" i="24"/>
  <c r="CI48" i="24"/>
  <c r="CJ48" i="24"/>
  <c r="CK48" i="24"/>
  <c r="CL48" i="24"/>
  <c r="CX48" i="24" s="1"/>
  <c r="X49" i="24"/>
  <c r="CP11" i="19"/>
  <c r="AF11" i="22" s="1"/>
  <c r="BI13" i="19"/>
  <c r="BJ13" i="19" s="1"/>
  <c r="BI18" i="19"/>
  <c r="BI26" i="19"/>
  <c r="BQ26" i="19" s="1"/>
  <c r="CP29" i="19"/>
  <c r="AF29" i="22" s="1"/>
  <c r="BI38" i="19"/>
  <c r="BJ38" i="19" s="1"/>
  <c r="BR38" i="19" s="1"/>
  <c r="CJ38" i="19" s="1"/>
  <c r="BI42" i="19"/>
  <c r="BJ42" i="19" s="1"/>
  <c r="BI47" i="19"/>
  <c r="BI62" i="19"/>
  <c r="BQ62" i="19" s="1"/>
  <c r="BF63" i="19"/>
  <c r="BN63" i="19" s="1"/>
  <c r="BM85" i="19"/>
  <c r="BI114" i="19"/>
  <c r="BQ114" i="19" s="1"/>
  <c r="BI129" i="19"/>
  <c r="BJ129" i="19" s="1"/>
  <c r="BK129" i="19" s="1"/>
  <c r="BM77" i="19"/>
  <c r="BM88" i="19"/>
  <c r="BM132" i="19"/>
  <c r="BP132" i="19"/>
  <c r="BF11" i="19"/>
  <c r="BN11" i="19" s="1"/>
  <c r="CP26" i="19"/>
  <c r="AF26" i="22" s="1"/>
  <c r="BF35" i="19"/>
  <c r="BN35" i="19" s="1"/>
  <c r="BF40" i="19"/>
  <c r="BN40" i="19" s="1"/>
  <c r="BI50" i="19"/>
  <c r="BJ50" i="19" s="1"/>
  <c r="BF51" i="19"/>
  <c r="BG51" i="19" s="1"/>
  <c r="BO51" i="19" s="1"/>
  <c r="BF73" i="19"/>
  <c r="BG73" i="19" s="1"/>
  <c r="BO73" i="19" s="1"/>
  <c r="BF92" i="19"/>
  <c r="BN109" i="19"/>
  <c r="BM117" i="19"/>
  <c r="BM120" i="19"/>
  <c r="BJ125" i="19"/>
  <c r="BK125" i="19" s="1"/>
  <c r="CP128" i="19"/>
  <c r="AF128" i="22" s="1"/>
  <c r="CP22" i="19"/>
  <c r="AF22" i="22" s="1"/>
  <c r="BI29" i="19"/>
  <c r="BJ29" i="19" s="1"/>
  <c r="BF46" i="19"/>
  <c r="BG46" i="19" s="1"/>
  <c r="BO46" i="19" s="1"/>
  <c r="BM68" i="19"/>
  <c r="BM82" i="19"/>
  <c r="BM104" i="19"/>
  <c r="BI110" i="19"/>
  <c r="BP125" i="19"/>
  <c r="BG126" i="19"/>
  <c r="BO126" i="19" s="1"/>
  <c r="BP105" i="19"/>
  <c r="BG112" i="19"/>
  <c r="BO112" i="19" s="1"/>
  <c r="BI122" i="19"/>
  <c r="BJ122" i="19" s="1"/>
  <c r="BR122" i="19" s="1"/>
  <c r="BN120" i="19"/>
  <c r="BG120" i="19"/>
  <c r="BO120" i="19" s="1"/>
  <c r="BR101" i="19"/>
  <c r="BK101" i="19"/>
  <c r="BN103" i="19"/>
  <c r="BG103" i="19"/>
  <c r="BO103" i="19" s="1"/>
  <c r="BQ109" i="19"/>
  <c r="BJ109" i="19"/>
  <c r="BF10" i="19"/>
  <c r="BG10" i="19" s="1"/>
  <c r="BO10" i="19" s="1"/>
  <c r="BF27" i="19"/>
  <c r="BI30" i="19"/>
  <c r="BF34" i="19"/>
  <c r="BG34" i="19" s="1"/>
  <c r="BO34" i="19" s="1"/>
  <c r="BG36" i="19"/>
  <c r="BO36" i="19" s="1"/>
  <c r="BI37" i="19"/>
  <c r="BI46" i="19"/>
  <c r="BJ46" i="19" s="1"/>
  <c r="BM57" i="19"/>
  <c r="BF61" i="19"/>
  <c r="BG61" i="19" s="1"/>
  <c r="BO61" i="19" s="1"/>
  <c r="BI72" i="19"/>
  <c r="BP75" i="19"/>
  <c r="BI78" i="19"/>
  <c r="BP81" i="19"/>
  <c r="BI86" i="19"/>
  <c r="BF87" i="19"/>
  <c r="BN87" i="19" s="1"/>
  <c r="BP89" i="19"/>
  <c r="BF95" i="19"/>
  <c r="BM103" i="19"/>
  <c r="BF107" i="19"/>
  <c r="BM109" i="19"/>
  <c r="BF115" i="19"/>
  <c r="BP119" i="19"/>
  <c r="BQ122" i="19"/>
  <c r="BF123" i="19"/>
  <c r="BM128" i="19"/>
  <c r="BF129" i="19"/>
  <c r="BI10" i="19"/>
  <c r="BF18" i="19"/>
  <c r="BG18" i="19" s="1"/>
  <c r="BO18" i="19" s="1"/>
  <c r="BF31" i="19"/>
  <c r="BI34" i="19"/>
  <c r="BI36" i="19"/>
  <c r="BF38" i="19"/>
  <c r="BG38" i="19" s="1"/>
  <c r="BO38" i="19" s="1"/>
  <c r="BF43" i="19"/>
  <c r="BG43" i="19" s="1"/>
  <c r="BO43" i="19" s="1"/>
  <c r="BF55" i="19"/>
  <c r="BI58" i="19"/>
  <c r="BI61" i="19"/>
  <c r="BJ61" i="19" s="1"/>
  <c r="BF62" i="19"/>
  <c r="BG62" i="19" s="1"/>
  <c r="BO62" i="19" s="1"/>
  <c r="BN70" i="19"/>
  <c r="BM76" i="19"/>
  <c r="BP82" i="19"/>
  <c r="BJ85" i="19"/>
  <c r="BI88" i="19"/>
  <c r="BI91" i="19"/>
  <c r="BI98" i="19"/>
  <c r="BP109" i="19"/>
  <c r="BP115" i="19"/>
  <c r="BQ121" i="19"/>
  <c r="BF122" i="19"/>
  <c r="BN132" i="19"/>
  <c r="BG7" i="19"/>
  <c r="BP7" i="19" s="1"/>
  <c r="BQ70" i="19"/>
  <c r="BM101" i="19"/>
  <c r="BM116" i="19"/>
  <c r="BM83" i="19"/>
  <c r="BF130" i="19"/>
  <c r="BP8" i="19"/>
  <c r="BG11" i="19"/>
  <c r="BO11" i="19" s="1"/>
  <c r="BF48" i="19"/>
  <c r="BF59" i="19"/>
  <c r="BG71" i="19"/>
  <c r="BO71" i="19" s="1"/>
  <c r="BF74" i="19"/>
  <c r="BN74" i="19" s="1"/>
  <c r="BI77" i="19"/>
  <c r="BJ77" i="19" s="1"/>
  <c r="BR77" i="19" s="1"/>
  <c r="CJ77" i="19" s="1"/>
  <c r="BI80" i="19"/>
  <c r="BQ80" i="19" s="1"/>
  <c r="CI80" i="19" s="1"/>
  <c r="CU80" i="19" s="1"/>
  <c r="BF86" i="19"/>
  <c r="BG89" i="19"/>
  <c r="BO89" i="19" s="1"/>
  <c r="CG89" i="19" s="1"/>
  <c r="BF93" i="19"/>
  <c r="BG93" i="19" s="1"/>
  <c r="BO93" i="19" s="1"/>
  <c r="BF97" i="19"/>
  <c r="BP108" i="19"/>
  <c r="BJ119" i="19"/>
  <c r="BR119" i="19" s="1"/>
  <c r="CJ119" i="19" s="1"/>
  <c r="BF78" i="19"/>
  <c r="BI100" i="19"/>
  <c r="BI106" i="19"/>
  <c r="BJ111" i="19"/>
  <c r="BP117" i="19"/>
  <c r="BF118" i="19"/>
  <c r="BF121" i="19"/>
  <c r="BK122" i="19"/>
  <c r="BS122" i="19" s="1"/>
  <c r="CK122" i="19" s="1"/>
  <c r="BF131" i="19"/>
  <c r="BI9" i="19"/>
  <c r="BJ9" i="19" s="1"/>
  <c r="BK9" i="19" s="1"/>
  <c r="BG19" i="19"/>
  <c r="BO19" i="19" s="1"/>
  <c r="BJ26" i="19"/>
  <c r="BK26" i="19" s="1"/>
  <c r="BL26" i="19" s="1"/>
  <c r="BT26" i="19" s="1"/>
  <c r="CL26" i="19" s="1"/>
  <c r="BI33" i="19"/>
  <c r="BJ33" i="19" s="1"/>
  <c r="BR33" i="19" s="1"/>
  <c r="CJ33" i="19" s="1"/>
  <c r="BJ39" i="19"/>
  <c r="BF42" i="19"/>
  <c r="BG42" i="19" s="1"/>
  <c r="BO42" i="19" s="1"/>
  <c r="BF50" i="19"/>
  <c r="BG50" i="19" s="1"/>
  <c r="BO50" i="19" s="1"/>
  <c r="BP56" i="19"/>
  <c r="BG60" i="19"/>
  <c r="BO60" i="19" s="1"/>
  <c r="BJ66" i="19"/>
  <c r="BK66" i="19" s="1"/>
  <c r="BF67" i="19"/>
  <c r="BM75" i="19"/>
  <c r="BI94" i="19"/>
  <c r="BF98" i="19"/>
  <c r="BM100" i="19"/>
  <c r="CP94" i="19"/>
  <c r="AF94" i="22" s="1"/>
  <c r="CP118" i="19"/>
  <c r="AF118" i="22" s="1"/>
  <c r="CP121" i="19"/>
  <c r="AF121" i="22" s="1"/>
  <c r="CP131" i="19"/>
  <c r="AF131" i="22" s="1"/>
  <c r="CP49" i="19"/>
  <c r="AF49" i="22" s="1"/>
  <c r="CP50" i="19"/>
  <c r="AF50" i="22" s="1"/>
  <c r="CP57" i="19"/>
  <c r="CP60" i="19"/>
  <c r="AF60" i="22" s="1"/>
  <c r="CP67" i="19"/>
  <c r="AF67" i="22" s="1"/>
  <c r="CP72" i="19"/>
  <c r="AF72" i="22" s="1"/>
  <c r="CP98" i="19"/>
  <c r="AF98" i="22" s="1"/>
  <c r="CP39" i="19"/>
  <c r="AF39" i="22" s="1"/>
  <c r="CP88" i="19"/>
  <c r="AF88" i="22" s="1"/>
  <c r="CP91" i="19"/>
  <c r="AF91" i="22" s="1"/>
  <c r="CP32" i="19"/>
  <c r="AF32" i="22" s="1"/>
  <c r="CP51" i="19"/>
  <c r="AF51" i="22" s="1"/>
  <c r="CP58" i="19"/>
  <c r="AF58" i="22" s="1"/>
  <c r="CP68" i="19"/>
  <c r="AF68" i="22" s="1"/>
  <c r="CP99" i="19"/>
  <c r="AF99" i="22" s="1"/>
  <c r="CP108" i="19"/>
  <c r="AF108" i="22" s="1"/>
  <c r="CP113" i="19"/>
  <c r="AF113" i="22" s="1"/>
  <c r="CP45" i="19"/>
  <c r="AF45" i="22" s="1"/>
  <c r="CP48" i="19"/>
  <c r="CP101" i="19"/>
  <c r="AF101" i="22" s="1"/>
  <c r="CP10" i="19"/>
  <c r="AF10" i="22" s="1"/>
  <c r="CP12" i="19"/>
  <c r="AF12" i="22" s="1"/>
  <c r="CP17" i="19"/>
  <c r="AF17" i="22" s="1"/>
  <c r="CP27" i="19"/>
  <c r="AF27" i="22" s="1"/>
  <c r="CP34" i="19"/>
  <c r="AF34" i="22" s="1"/>
  <c r="CP36" i="19"/>
  <c r="CP112" i="19"/>
  <c r="AF112" i="22" s="1"/>
  <c r="CP126" i="19"/>
  <c r="AF126" i="22" s="1"/>
  <c r="CP18" i="19"/>
  <c r="AF18" i="22" s="1"/>
  <c r="CP21" i="19"/>
  <c r="AF21" i="22" s="1"/>
  <c r="CP25" i="19"/>
  <c r="AF25" i="22" s="1"/>
  <c r="CP31" i="19"/>
  <c r="AF31" i="22" s="1"/>
  <c r="CP38" i="19"/>
  <c r="AF38" i="22" s="1"/>
  <c r="CP43" i="19"/>
  <c r="AF43" i="22" s="1"/>
  <c r="CP69" i="19"/>
  <c r="AF69" i="22" s="1"/>
  <c r="CP77" i="19"/>
  <c r="AF77" i="22" s="1"/>
  <c r="CP114" i="19"/>
  <c r="AF114" i="22" s="1"/>
  <c r="CP7" i="19"/>
  <c r="AF7" i="22" s="1"/>
  <c r="CP13" i="19"/>
  <c r="AF13" i="22" s="1"/>
  <c r="CP20" i="19"/>
  <c r="AF20" i="22" s="1"/>
  <c r="CP24" i="19"/>
  <c r="AF24" i="22" s="1"/>
  <c r="CP40" i="19"/>
  <c r="AF40" i="22" s="1"/>
  <c r="CP47" i="19"/>
  <c r="AF47" i="22" s="1"/>
  <c r="CP61" i="19"/>
  <c r="AF61" i="22" s="1"/>
  <c r="CP76" i="19"/>
  <c r="AF76" i="22" s="1"/>
  <c r="CP82" i="19"/>
  <c r="AF82" i="22" s="1"/>
  <c r="CP85" i="19"/>
  <c r="AF85" i="22" s="1"/>
  <c r="CP87" i="19"/>
  <c r="AF87" i="22" s="1"/>
  <c r="CP90" i="19"/>
  <c r="AF90" i="22" s="1"/>
  <c r="CP95" i="19"/>
  <c r="AF95" i="22" s="1"/>
  <c r="CP104" i="19"/>
  <c r="CP107" i="19"/>
  <c r="CP115" i="19"/>
  <c r="AF115" i="22" s="1"/>
  <c r="CP120" i="19"/>
  <c r="AF120" i="22" s="1"/>
  <c r="CP123" i="19"/>
  <c r="AF123" i="22" s="1"/>
  <c r="CP129" i="19"/>
  <c r="AF129" i="22" s="1"/>
  <c r="CP132" i="19"/>
  <c r="AF132" i="22" s="1"/>
  <c r="CP28" i="19"/>
  <c r="AF28" i="22" s="1"/>
  <c r="CP52" i="19"/>
  <c r="AF52" i="22" s="1"/>
  <c r="CP53" i="19"/>
  <c r="AF53" i="22" s="1"/>
  <c r="CP54" i="19"/>
  <c r="AF54" i="22" s="1"/>
  <c r="CP55" i="19"/>
  <c r="AF55" i="22" s="1"/>
  <c r="CP62" i="19"/>
  <c r="AF62" i="22" s="1"/>
  <c r="CP83" i="19"/>
  <c r="CP96" i="19"/>
  <c r="CP105" i="19"/>
  <c r="AF105" i="22" s="1"/>
  <c r="CP110" i="19"/>
  <c r="AF110" i="22" s="1"/>
  <c r="CP116" i="19"/>
  <c r="AF116" i="22" s="1"/>
  <c r="CP122" i="19"/>
  <c r="AF122" i="22" s="1"/>
  <c r="CP124" i="19"/>
  <c r="CP35" i="19"/>
  <c r="AF35" i="22" s="1"/>
  <c r="CP73" i="19"/>
  <c r="AF73" i="22" s="1"/>
  <c r="CP92" i="19"/>
  <c r="AF92" i="22" s="1"/>
  <c r="CP119" i="19"/>
  <c r="AF119" i="22" s="1"/>
  <c r="CP127" i="19"/>
  <c r="AF127" i="22" s="1"/>
  <c r="CF8" i="19"/>
  <c r="CP8" i="19"/>
  <c r="AF8" i="22" s="1"/>
  <c r="CP9" i="19"/>
  <c r="AF9" i="22" s="1"/>
  <c r="CP15" i="19"/>
  <c r="AF15" i="22" s="1"/>
  <c r="CP19" i="19"/>
  <c r="AF19" i="22" s="1"/>
  <c r="CP23" i="19"/>
  <c r="AF23" i="22" s="1"/>
  <c r="CP30" i="19"/>
  <c r="AF30" i="22" s="1"/>
  <c r="CP33" i="19"/>
  <c r="AF33" i="22" s="1"/>
  <c r="CP41" i="19"/>
  <c r="AF41" i="22" s="1"/>
  <c r="CP46" i="19"/>
  <c r="AF46" i="22" s="1"/>
  <c r="CP59" i="19"/>
  <c r="AF59" i="22" s="1"/>
  <c r="CP64" i="19"/>
  <c r="AF64" i="22" s="1"/>
  <c r="CP65" i="19"/>
  <c r="AF65" i="22" s="1"/>
  <c r="CP66" i="19"/>
  <c r="AF66" i="22" s="1"/>
  <c r="CP74" i="19"/>
  <c r="CP84" i="19"/>
  <c r="CP86" i="19"/>
  <c r="CP93" i="19"/>
  <c r="AF93" i="22" s="1"/>
  <c r="CP97" i="19"/>
  <c r="AF97" i="22" s="1"/>
  <c r="CP100" i="19"/>
  <c r="AF100" i="22" s="1"/>
  <c r="CP103" i="19"/>
  <c r="AF103" i="22" s="1"/>
  <c r="CP109" i="19"/>
  <c r="CP125" i="19"/>
  <c r="AF125" i="22" s="1"/>
  <c r="CP16" i="19"/>
  <c r="AF16" i="22" s="1"/>
  <c r="CP37" i="19"/>
  <c r="AF37" i="22" s="1"/>
  <c r="CP42" i="19"/>
  <c r="AF42" i="22" s="1"/>
  <c r="CP56" i="19"/>
  <c r="AF56" i="22" s="1"/>
  <c r="CP70" i="19"/>
  <c r="AF70" i="22" s="1"/>
  <c r="CP75" i="19"/>
  <c r="AF75" i="22" s="1"/>
  <c r="CP78" i="19"/>
  <c r="CP81" i="19"/>
  <c r="AF81" i="22" s="1"/>
  <c r="R51" i="17"/>
  <c r="AA50" i="17"/>
  <c r="Z50" i="17"/>
  <c r="AE50" i="17"/>
  <c r="AD50" i="17"/>
  <c r="AC50" i="17"/>
  <c r="AB50" i="17"/>
  <c r="X50" i="17"/>
  <c r="X50" i="14" s="1"/>
  <c r="W50" i="17"/>
  <c r="X50" i="19" s="1"/>
  <c r="V50" i="17"/>
  <c r="X50" i="3" s="1"/>
  <c r="U50" i="17"/>
  <c r="X50" i="7" s="1"/>
  <c r="X50" i="12" s="1"/>
  <c r="T50" i="17"/>
  <c r="S50" i="17"/>
  <c r="X50" i="15" s="1"/>
  <c r="CQ130" i="19"/>
  <c r="CR71" i="19"/>
  <c r="CT71" i="19"/>
  <c r="CU111" i="19"/>
  <c r="CE47" i="19"/>
  <c r="CE102" i="19"/>
  <c r="CQ102" i="19" s="1"/>
  <c r="AA135" i="19"/>
  <c r="AE135" i="19"/>
  <c r="CF89" i="19"/>
  <c r="CR89" i="19" s="1"/>
  <c r="CG99" i="19"/>
  <c r="CG121" i="19"/>
  <c r="CE125" i="19"/>
  <c r="CJ39" i="19"/>
  <c r="CH115" i="19"/>
  <c r="CF122" i="19"/>
  <c r="CE18" i="19"/>
  <c r="CE71" i="19"/>
  <c r="CQ71" i="19" s="1"/>
  <c r="CE100" i="19"/>
  <c r="CE123" i="19"/>
  <c r="CE10" i="19"/>
  <c r="CE26" i="19"/>
  <c r="CG27" i="19"/>
  <c r="CG70" i="19"/>
  <c r="CG71" i="19"/>
  <c r="CS71" i="19" s="1"/>
  <c r="CF78" i="19"/>
  <c r="CG10" i="19"/>
  <c r="CG26" i="19"/>
  <c r="CF48" i="19"/>
  <c r="CG50" i="19"/>
  <c r="CF74" i="19"/>
  <c r="CT117" i="19"/>
  <c r="CH120" i="19"/>
  <c r="CF98" i="19"/>
  <c r="CF123" i="19"/>
  <c r="AF135" i="19"/>
  <c r="CE69" i="19"/>
  <c r="CG78" i="19"/>
  <c r="CT80" i="19"/>
  <c r="CE81" i="19"/>
  <c r="CK101" i="19"/>
  <c r="CE115" i="19"/>
  <c r="AC135" i="19"/>
  <c r="CE35" i="19"/>
  <c r="CG42" i="19"/>
  <c r="CE19" i="19"/>
  <c r="CH78" i="19"/>
  <c r="CK85" i="19"/>
  <c r="CE93" i="19"/>
  <c r="CL96" i="19"/>
  <c r="CE38" i="19"/>
  <c r="CE62" i="19"/>
  <c r="CI78" i="19"/>
  <c r="CG112" i="19"/>
  <c r="CI120" i="19"/>
  <c r="CJ72" i="19"/>
  <c r="CH72" i="19"/>
  <c r="CF119" i="19"/>
  <c r="CH119" i="19"/>
  <c r="CG38" i="19"/>
  <c r="CJ58" i="19"/>
  <c r="CH77" i="19"/>
  <c r="CF107" i="19"/>
  <c r="CG109" i="19"/>
  <c r="CE117" i="19"/>
  <c r="CQ117" i="19" s="1"/>
  <c r="CG119" i="19"/>
  <c r="CG127" i="19"/>
  <c r="CH46" i="19"/>
  <c r="CE57" i="19"/>
  <c r="CF60" i="19"/>
  <c r="CF19" i="19"/>
  <c r="CH26" i="19"/>
  <c r="CH33" i="19"/>
  <c r="CH38" i="19"/>
  <c r="CL39" i="19"/>
  <c r="CH42" i="19"/>
  <c r="CG60" i="19"/>
  <c r="CE66" i="19"/>
  <c r="CG67" i="19"/>
  <c r="CH69" i="19"/>
  <c r="CL72" i="19"/>
  <c r="CK76" i="19"/>
  <c r="CG85" i="19"/>
  <c r="CG86" i="19"/>
  <c r="CE92" i="19"/>
  <c r="CF95" i="19"/>
  <c r="CH98" i="19"/>
  <c r="CH100" i="19"/>
  <c r="CF103" i="19"/>
  <c r="CE104" i="19"/>
  <c r="CE106" i="19"/>
  <c r="CQ106" i="19" s="1"/>
  <c r="CK120" i="19"/>
  <c r="CG122" i="19"/>
  <c r="CG123" i="19"/>
  <c r="CG11" i="19"/>
  <c r="CS11" i="19" s="1"/>
  <c r="CH40" i="19"/>
  <c r="CI10" i="19"/>
  <c r="CG19" i="19"/>
  <c r="CH21" i="19"/>
  <c r="CE30" i="19"/>
  <c r="CG36" i="19"/>
  <c r="CH37" i="19"/>
  <c r="CH60" i="19"/>
  <c r="CH66" i="19"/>
  <c r="CF75" i="19"/>
  <c r="CE76" i="19"/>
  <c r="CL78" i="19"/>
  <c r="CH81" i="19"/>
  <c r="CH86" i="19"/>
  <c r="CS89" i="19"/>
  <c r="CE90" i="19"/>
  <c r="CF92" i="19"/>
  <c r="CG103" i="19"/>
  <c r="CE108" i="19"/>
  <c r="CE120" i="19"/>
  <c r="CH122" i="19"/>
  <c r="CE131" i="19"/>
  <c r="CG30" i="19"/>
  <c r="CE40" i="19"/>
  <c r="CI66" i="19"/>
  <c r="CI72" i="19"/>
  <c r="CI83" i="19"/>
  <c r="CI84" i="19"/>
  <c r="CH88" i="19"/>
  <c r="CG92" i="19"/>
  <c r="CH94" i="19"/>
  <c r="CF97" i="19"/>
  <c r="CI98" i="19"/>
  <c r="CH106" i="19"/>
  <c r="CT106" i="19" s="1"/>
  <c r="CF108" i="19"/>
  <c r="CI114" i="19"/>
  <c r="CE116" i="19"/>
  <c r="CE118" i="19"/>
  <c r="CI121" i="19"/>
  <c r="CE129" i="19"/>
  <c r="CG131" i="19"/>
  <c r="CH9" i="19"/>
  <c r="CE14" i="19"/>
  <c r="CQ14" i="19" s="1"/>
  <c r="CF55" i="19"/>
  <c r="CE11" i="19"/>
  <c r="CQ11" i="19" s="1"/>
  <c r="CF35" i="19"/>
  <c r="CG55" i="19"/>
  <c r="CH56" i="19"/>
  <c r="CF59" i="19"/>
  <c r="CG62" i="19"/>
  <c r="CG68" i="19"/>
  <c r="CI70" i="19"/>
  <c r="CE75" i="19"/>
  <c r="CI88" i="19"/>
  <c r="CI106" i="19"/>
  <c r="CU106" i="19" s="1"/>
  <c r="CE109" i="19"/>
  <c r="CI110" i="19"/>
  <c r="CH116" i="19"/>
  <c r="CF121" i="19"/>
  <c r="CF129" i="19"/>
  <c r="CG130" i="19"/>
  <c r="CS130" i="19" s="1"/>
  <c r="CH17" i="19"/>
  <c r="CG40" i="19"/>
  <c r="CE58" i="19"/>
  <c r="CH61" i="19"/>
  <c r="CG77" i="19"/>
  <c r="CE84" i="19"/>
  <c r="CG8" i="19"/>
  <c r="CG14" i="19"/>
  <c r="CS14" i="19" s="1"/>
  <c r="CH30" i="19"/>
  <c r="CI37" i="19"/>
  <c r="CF40" i="19"/>
  <c r="CH7" i="19"/>
  <c r="CH136" i="19" s="1"/>
  <c r="CF11" i="19"/>
  <c r="CR11" i="19" s="1"/>
  <c r="CE22" i="19"/>
  <c r="CE27" i="19"/>
  <c r="CI30" i="19"/>
  <c r="CG35" i="19"/>
  <c r="CJ36" i="19"/>
  <c r="CE39" i="19"/>
  <c r="CE46" i="19"/>
  <c r="CI58" i="19"/>
  <c r="CG59" i="19"/>
  <c r="CE61" i="19"/>
  <c r="CH62" i="19"/>
  <c r="CE70" i="19"/>
  <c r="CK78" i="19"/>
  <c r="CE87" i="19"/>
  <c r="CJ88" i="19"/>
  <c r="CH89" i="19"/>
  <c r="CT89" i="19" s="1"/>
  <c r="CH91" i="19"/>
  <c r="CI94" i="19"/>
  <c r="CF99" i="19"/>
  <c r="CG102" i="19"/>
  <c r="CS102" i="19" s="1"/>
  <c r="CH105" i="19"/>
  <c r="CK106" i="19"/>
  <c r="CW106" i="19" s="1"/>
  <c r="CG107" i="19"/>
  <c r="CH108" i="19"/>
  <c r="CF109" i="19"/>
  <c r="CG118" i="19"/>
  <c r="CI119" i="19"/>
  <c r="CG126" i="19"/>
  <c r="CG129" i="19"/>
  <c r="CF131" i="19"/>
  <c r="CH55" i="19"/>
  <c r="CG95" i="19"/>
  <c r="CF127" i="19"/>
  <c r="CH25" i="19"/>
  <c r="CH8" i="19"/>
  <c r="CG22" i="19"/>
  <c r="CF27" i="19"/>
  <c r="CH29" i="19"/>
  <c r="CI35" i="19"/>
  <c r="CK36" i="19"/>
  <c r="CG46" i="19"/>
  <c r="CG51" i="19"/>
  <c r="CG61" i="19"/>
  <c r="CI62" i="19"/>
  <c r="CE72" i="19"/>
  <c r="CF77" i="19"/>
  <c r="CE82" i="19"/>
  <c r="CF87" i="19"/>
  <c r="CR87" i="19" s="1"/>
  <c r="CQ89" i="19"/>
  <c r="CE95" i="19"/>
  <c r="CI105" i="19"/>
  <c r="CJ106" i="19"/>
  <c r="CV106" i="19" s="1"/>
  <c r="CG120" i="19"/>
  <c r="CE121" i="19"/>
  <c r="CH129" i="19"/>
  <c r="CF130" i="19"/>
  <c r="CR130" i="19" s="1"/>
  <c r="BG12" i="19"/>
  <c r="BO12" i="19" s="1"/>
  <c r="CG12" i="19" s="1"/>
  <c r="BN12" i="19"/>
  <c r="CF12" i="19" s="1"/>
  <c r="BG16" i="19"/>
  <c r="BO16" i="19" s="1"/>
  <c r="CG16" i="19" s="1"/>
  <c r="BN16" i="19"/>
  <c r="CF16" i="19" s="1"/>
  <c r="BJ22" i="19"/>
  <c r="BQ22" i="19"/>
  <c r="CI22" i="19" s="1"/>
  <c r="BJ24" i="19"/>
  <c r="BQ24" i="19"/>
  <c r="CI24" i="19" s="1"/>
  <c r="BJ31" i="19"/>
  <c r="BQ31" i="19"/>
  <c r="CI31" i="19" s="1"/>
  <c r="BR9" i="19"/>
  <c r="CJ9" i="19" s="1"/>
  <c r="BJ12" i="19"/>
  <c r="BQ12" i="19"/>
  <c r="CI12" i="19" s="1"/>
  <c r="BJ16" i="19"/>
  <c r="BQ16" i="19"/>
  <c r="CI16" i="19" s="1"/>
  <c r="BG21" i="19"/>
  <c r="BO21" i="19" s="1"/>
  <c r="CG21" i="19" s="1"/>
  <c r="BN21" i="19"/>
  <c r="CF21" i="19" s="1"/>
  <c r="BK29" i="19"/>
  <c r="BR29" i="19"/>
  <c r="CJ29" i="19" s="1"/>
  <c r="BG32" i="19"/>
  <c r="BO32" i="19" s="1"/>
  <c r="CG32" i="19" s="1"/>
  <c r="BN32" i="19"/>
  <c r="CF32" i="19" s="1"/>
  <c r="BQ7" i="19"/>
  <c r="CI7" i="19" s="1"/>
  <c r="CI136" i="19" s="1"/>
  <c r="BI7" i="19"/>
  <c r="BJ27" i="19"/>
  <c r="BQ27" i="19"/>
  <c r="CI27" i="19" s="1"/>
  <c r="BJ32" i="19"/>
  <c r="BQ32" i="19"/>
  <c r="CI32" i="19" s="1"/>
  <c r="CE34" i="19"/>
  <c r="BM9" i="19"/>
  <c r="CE9" i="19" s="1"/>
  <c r="CH10" i="19"/>
  <c r="CE13" i="19"/>
  <c r="BJ14" i="19"/>
  <c r="BQ14" i="19"/>
  <c r="CI14" i="19" s="1"/>
  <c r="CU14" i="19" s="1"/>
  <c r="CG18" i="19"/>
  <c r="BJ19" i="19"/>
  <c r="BQ19" i="19"/>
  <c r="CI19" i="19" s="1"/>
  <c r="BK21" i="19"/>
  <c r="BR21" i="19"/>
  <c r="CJ21" i="19" s="1"/>
  <c r="CE23" i="19"/>
  <c r="BG25" i="19"/>
  <c r="BO25" i="19" s="1"/>
  <c r="CG25" i="19" s="1"/>
  <c r="BN25" i="19"/>
  <c r="CF25" i="19" s="1"/>
  <c r="CG34" i="19"/>
  <c r="BJ11" i="19"/>
  <c r="BQ11" i="19"/>
  <c r="CI11" i="19" s="1"/>
  <c r="CU11" i="19" s="1"/>
  <c r="CG13" i="19"/>
  <c r="BG17" i="19"/>
  <c r="BO17" i="19" s="1"/>
  <c r="CG17" i="19" s="1"/>
  <c r="BN17" i="19"/>
  <c r="CF17" i="19" s="1"/>
  <c r="CH18" i="19"/>
  <c r="CF23" i="19"/>
  <c r="CI26" i="19"/>
  <c r="BG28" i="19"/>
  <c r="BO28" i="19" s="1"/>
  <c r="CG28" i="19" s="1"/>
  <c r="BN28" i="19"/>
  <c r="CF28" i="19" s="1"/>
  <c r="BG33" i="19"/>
  <c r="BO33" i="19" s="1"/>
  <c r="CG33" i="19" s="1"/>
  <c r="BN33" i="19"/>
  <c r="CF33" i="19" s="1"/>
  <c r="CH34" i="19"/>
  <c r="CH13" i="19"/>
  <c r="CI18" i="19"/>
  <c r="CG23" i="19"/>
  <c r="BK25" i="19"/>
  <c r="BR25" i="19"/>
  <c r="CJ25" i="19" s="1"/>
  <c r="BJ28" i="19"/>
  <c r="BQ28" i="19"/>
  <c r="CI28" i="19" s="1"/>
  <c r="CE31" i="19"/>
  <c r="CQ31" i="19" s="1"/>
  <c r="CI34" i="19"/>
  <c r="BJ8" i="19"/>
  <c r="BQ8" i="19"/>
  <c r="CI8" i="19" s="1"/>
  <c r="BK13" i="19"/>
  <c r="BR13" i="19"/>
  <c r="CJ13" i="19" s="1"/>
  <c r="BG15" i="19"/>
  <c r="BO15" i="19" s="1"/>
  <c r="CG15" i="19" s="1"/>
  <c r="BN15" i="19"/>
  <c r="CF15" i="19" s="1"/>
  <c r="BK17" i="19"/>
  <c r="BR17" i="19"/>
  <c r="CJ17" i="19" s="1"/>
  <c r="BG20" i="19"/>
  <c r="BO20" i="19" s="1"/>
  <c r="CG20" i="19" s="1"/>
  <c r="BN20" i="19"/>
  <c r="CF20" i="19" s="1"/>
  <c r="BJ23" i="19"/>
  <c r="BQ23" i="19"/>
  <c r="CI23" i="19" s="1"/>
  <c r="CF31" i="19"/>
  <c r="BK33" i="19"/>
  <c r="BG9" i="19"/>
  <c r="BO9" i="19" s="1"/>
  <c r="CG9" i="19" s="1"/>
  <c r="BN9" i="19"/>
  <c r="CF9" i="19" s="1"/>
  <c r="BJ15" i="19"/>
  <c r="BQ15" i="19"/>
  <c r="CI15" i="19" s="1"/>
  <c r="BJ20" i="19"/>
  <c r="BQ20" i="19"/>
  <c r="CI20" i="19" s="1"/>
  <c r="BG24" i="19"/>
  <c r="BO24" i="19" s="1"/>
  <c r="CG24" i="19" s="1"/>
  <c r="BN24" i="19"/>
  <c r="CF24" i="19" s="1"/>
  <c r="BG29" i="19"/>
  <c r="BO29" i="19" s="1"/>
  <c r="CG29" i="19" s="1"/>
  <c r="CS29" i="19" s="1"/>
  <c r="BN29" i="19"/>
  <c r="CF29" i="19" s="1"/>
  <c r="CG31" i="19"/>
  <c r="BQ13" i="19"/>
  <c r="CI13" i="19" s="1"/>
  <c r="BN14" i="19"/>
  <c r="CF14" i="19" s="1"/>
  <c r="CR14" i="19" s="1"/>
  <c r="BP16" i="19"/>
  <c r="CH16" i="19" s="1"/>
  <c r="BM17" i="19"/>
  <c r="CE17" i="19" s="1"/>
  <c r="BQ21" i="19"/>
  <c r="CI21" i="19" s="1"/>
  <c r="BN22" i="19"/>
  <c r="CF22" i="19" s="1"/>
  <c r="BP24" i="19"/>
  <c r="CH24" i="19" s="1"/>
  <c r="BM25" i="19"/>
  <c r="CE25" i="19" s="1"/>
  <c r="BQ29" i="19"/>
  <c r="CI29" i="19" s="1"/>
  <c r="BN30" i="19"/>
  <c r="CF30" i="19" s="1"/>
  <c r="BP32" i="19"/>
  <c r="CH32" i="19" s="1"/>
  <c r="BM33" i="19"/>
  <c r="CE33" i="19" s="1"/>
  <c r="BJ44" i="19"/>
  <c r="BQ44" i="19"/>
  <c r="CI44" i="19" s="1"/>
  <c r="CU44" i="19" s="1"/>
  <c r="BK46" i="19"/>
  <c r="BR46" i="19"/>
  <c r="CJ46" i="19" s="1"/>
  <c r="BG54" i="19"/>
  <c r="BO54" i="19" s="1"/>
  <c r="CG54" i="19" s="1"/>
  <c r="BN54" i="19"/>
  <c r="CF54" i="19" s="1"/>
  <c r="BP19" i="19"/>
  <c r="CH19" i="19" s="1"/>
  <c r="BM20" i="19"/>
  <c r="CE20" i="19" s="1"/>
  <c r="BP27" i="19"/>
  <c r="CH27" i="19" s="1"/>
  <c r="BM28" i="19"/>
  <c r="CE28" i="19" s="1"/>
  <c r="BJ35" i="19"/>
  <c r="BK42" i="19"/>
  <c r="BR42" i="19"/>
  <c r="CJ42" i="19" s="1"/>
  <c r="BJ51" i="19"/>
  <c r="BQ51" i="19"/>
  <c r="CI51" i="19" s="1"/>
  <c r="BJ54" i="19"/>
  <c r="BQ54" i="19"/>
  <c r="CI54" i="19" s="1"/>
  <c r="BG57" i="19"/>
  <c r="BO57" i="19" s="1"/>
  <c r="CG57" i="19" s="1"/>
  <c r="BN57" i="19"/>
  <c r="CF57" i="19" s="1"/>
  <c r="BP11" i="19"/>
  <c r="CH11" i="19" s="1"/>
  <c r="CT11" i="19" s="1"/>
  <c r="BM12" i="19"/>
  <c r="CE12" i="19" s="1"/>
  <c r="BP14" i="19"/>
  <c r="CH14" i="19" s="1"/>
  <c r="CT14" i="19" s="1"/>
  <c r="BM15" i="19"/>
  <c r="CE15" i="19" s="1"/>
  <c r="BP22" i="19"/>
  <c r="CH22" i="19" s="1"/>
  <c r="BF37" i="19"/>
  <c r="BM37" i="19"/>
  <c r="CE37" i="19" s="1"/>
  <c r="BJ40" i="19"/>
  <c r="BQ40" i="19"/>
  <c r="CI40" i="19" s="1"/>
  <c r="BF41" i="19"/>
  <c r="BM41" i="19"/>
  <c r="CE41" i="19" s="1"/>
  <c r="BG45" i="19"/>
  <c r="BO45" i="19" s="1"/>
  <c r="CG45" i="19" s="1"/>
  <c r="BN45" i="19"/>
  <c r="CF45" i="19" s="1"/>
  <c r="CE48" i="19"/>
  <c r="CE50" i="19"/>
  <c r="BJ57" i="19"/>
  <c r="BQ57" i="19"/>
  <c r="CI57" i="19" s="1"/>
  <c r="CH36" i="19"/>
  <c r="CT36" i="19" s="1"/>
  <c r="BJ41" i="19"/>
  <c r="BQ41" i="19"/>
  <c r="CI41" i="19" s="1"/>
  <c r="CE43" i="19"/>
  <c r="BJ45" i="19"/>
  <c r="BQ45" i="19"/>
  <c r="CI45" i="19" s="1"/>
  <c r="BG52" i="19"/>
  <c r="BO52" i="19" s="1"/>
  <c r="CG52" i="19" s="1"/>
  <c r="BN52" i="19"/>
  <c r="CF52" i="19" s="1"/>
  <c r="BP12" i="19"/>
  <c r="CH12" i="19" s="1"/>
  <c r="BQ17" i="19"/>
  <c r="CI17" i="19" s="1"/>
  <c r="BN18" i="19"/>
  <c r="CF18" i="19" s="1"/>
  <c r="BP20" i="19"/>
  <c r="CH20" i="19" s="1"/>
  <c r="BM21" i="19"/>
  <c r="CE21" i="19" s="1"/>
  <c r="BQ25" i="19"/>
  <c r="CI25" i="19" s="1"/>
  <c r="BN26" i="19"/>
  <c r="CF26" i="19" s="1"/>
  <c r="BP28" i="19"/>
  <c r="CH28" i="19" s="1"/>
  <c r="BM29" i="19"/>
  <c r="CE29" i="19" s="1"/>
  <c r="BN34" i="19"/>
  <c r="CF34" i="19" s="1"/>
  <c r="BN38" i="19"/>
  <c r="CF38" i="19" s="1"/>
  <c r="CG43" i="19"/>
  <c r="BJ52" i="19"/>
  <c r="BQ52" i="19"/>
  <c r="CI52" i="19" s="1"/>
  <c r="BM8" i="19"/>
  <c r="CE8" i="19" s="1"/>
  <c r="BN13" i="19"/>
  <c r="CF13" i="19" s="1"/>
  <c r="BP15" i="19"/>
  <c r="CH15" i="19" s="1"/>
  <c r="BM16" i="19"/>
  <c r="CE16" i="19" s="1"/>
  <c r="BP23" i="19"/>
  <c r="CH23" i="19" s="1"/>
  <c r="BM24" i="19"/>
  <c r="CE24" i="19" s="1"/>
  <c r="BP31" i="19"/>
  <c r="CH31" i="19" s="1"/>
  <c r="BM32" i="19"/>
  <c r="CE32" i="19" s="1"/>
  <c r="CG39" i="19"/>
  <c r="BJ43" i="19"/>
  <c r="BQ43" i="19"/>
  <c r="CI43" i="19" s="1"/>
  <c r="CG47" i="19"/>
  <c r="BJ48" i="19"/>
  <c r="BQ48" i="19"/>
  <c r="CI48" i="19" s="1"/>
  <c r="BK50" i="19"/>
  <c r="BR50" i="19"/>
  <c r="CJ50" i="19" s="1"/>
  <c r="CE42" i="19"/>
  <c r="CH47" i="19"/>
  <c r="BG49" i="19"/>
  <c r="BO49" i="19" s="1"/>
  <c r="CG49" i="19" s="1"/>
  <c r="CS49" i="19" s="1"/>
  <c r="BN49" i="19"/>
  <c r="CF49" i="19" s="1"/>
  <c r="BG53" i="19"/>
  <c r="BO53" i="19" s="1"/>
  <c r="CG53" i="19" s="1"/>
  <c r="BN53" i="19"/>
  <c r="CF53" i="19" s="1"/>
  <c r="BJ56" i="19"/>
  <c r="BQ56" i="19"/>
  <c r="CI56" i="19" s="1"/>
  <c r="BG58" i="19"/>
  <c r="BO58" i="19" s="1"/>
  <c r="CG58" i="19" s="1"/>
  <c r="BN58" i="19"/>
  <c r="CF58" i="19" s="1"/>
  <c r="BP35" i="19"/>
  <c r="CH35" i="19" s="1"/>
  <c r="BG44" i="19"/>
  <c r="BO44" i="19" s="1"/>
  <c r="CG44" i="19" s="1"/>
  <c r="CS44" i="19" s="1"/>
  <c r="BN44" i="19"/>
  <c r="CF44" i="19" s="1"/>
  <c r="CR44" i="19" s="1"/>
  <c r="CI47" i="19"/>
  <c r="BJ49" i="19"/>
  <c r="BQ49" i="19"/>
  <c r="CI49" i="19" s="1"/>
  <c r="CE51" i="19"/>
  <c r="BJ53" i="19"/>
  <c r="BQ53" i="19"/>
  <c r="CI53" i="19" s="1"/>
  <c r="BQ42" i="19"/>
  <c r="CI42" i="19" s="1"/>
  <c r="BP45" i="19"/>
  <c r="CH45" i="19" s="1"/>
  <c r="BQ50" i="19"/>
  <c r="CI50" i="19" s="1"/>
  <c r="BN51" i="19"/>
  <c r="CF51" i="19" s="1"/>
  <c r="BP53" i="19"/>
  <c r="CH53" i="19" s="1"/>
  <c r="BM54" i="19"/>
  <c r="CE54" i="19" s="1"/>
  <c r="BN46" i="19"/>
  <c r="CF46" i="19" s="1"/>
  <c r="BP48" i="19"/>
  <c r="CH48" i="19" s="1"/>
  <c r="BM49" i="19"/>
  <c r="CE49" i="19" s="1"/>
  <c r="BG56" i="19"/>
  <c r="BO56" i="19" s="1"/>
  <c r="CG56" i="19" s="1"/>
  <c r="BN56" i="19"/>
  <c r="CF56" i="19" s="1"/>
  <c r="BG64" i="19"/>
  <c r="BO64" i="19" s="1"/>
  <c r="CG64" i="19" s="1"/>
  <c r="BN64" i="19"/>
  <c r="CF64" i="19" s="1"/>
  <c r="BJ67" i="19"/>
  <c r="BQ67" i="19"/>
  <c r="CI67" i="19" s="1"/>
  <c r="BM36" i="19"/>
  <c r="CE36" i="19" s="1"/>
  <c r="BP43" i="19"/>
  <c r="CH43" i="19" s="1"/>
  <c r="BM44" i="19"/>
  <c r="CE44" i="19" s="1"/>
  <c r="CQ44" i="19" s="1"/>
  <c r="BP51" i="19"/>
  <c r="CH51" i="19" s="1"/>
  <c r="BM52" i="19"/>
  <c r="CE52" i="19" s="1"/>
  <c r="BJ55" i="19"/>
  <c r="BQ55" i="19"/>
  <c r="CI55" i="19" s="1"/>
  <c r="BI60" i="19"/>
  <c r="BJ64" i="19"/>
  <c r="BQ64" i="19"/>
  <c r="CI64" i="19" s="1"/>
  <c r="BL66" i="19"/>
  <c r="BT66" i="19" s="1"/>
  <c r="CL66" i="19" s="1"/>
  <c r="BS66" i="19"/>
  <c r="CK66" i="19" s="1"/>
  <c r="BK70" i="19"/>
  <c r="BR70" i="19"/>
  <c r="CJ70" i="19" s="1"/>
  <c r="BP54" i="19"/>
  <c r="CH54" i="19" s="1"/>
  <c r="BJ59" i="19"/>
  <c r="CI69" i="19"/>
  <c r="BN39" i="19"/>
  <c r="CF39" i="19" s="1"/>
  <c r="BP41" i="19"/>
  <c r="CH41" i="19" s="1"/>
  <c r="BQ46" i="19"/>
  <c r="CI46" i="19" s="1"/>
  <c r="BN47" i="19"/>
  <c r="CF47" i="19" s="1"/>
  <c r="BP49" i="19"/>
  <c r="CH49" i="19" s="1"/>
  <c r="BK61" i="19"/>
  <c r="BR61" i="19"/>
  <c r="CJ61" i="19" s="1"/>
  <c r="BG65" i="19"/>
  <c r="BO65" i="19" s="1"/>
  <c r="CG65" i="19" s="1"/>
  <c r="BN65" i="19"/>
  <c r="CF65" i="19" s="1"/>
  <c r="BJ68" i="19"/>
  <c r="BQ68" i="19"/>
  <c r="CI68" i="19" s="1"/>
  <c r="CG73" i="19"/>
  <c r="BN42" i="19"/>
  <c r="CF42" i="19" s="1"/>
  <c r="BP44" i="19"/>
  <c r="CH44" i="19" s="1"/>
  <c r="CT44" i="19" s="1"/>
  <c r="BM45" i="19"/>
  <c r="CE45" i="19" s="1"/>
  <c r="BN50" i="19"/>
  <c r="CF50" i="19" s="1"/>
  <c r="BP52" i="19"/>
  <c r="CH52" i="19" s="1"/>
  <c r="BM53" i="19"/>
  <c r="CE53" i="19" s="1"/>
  <c r="CH58" i="19"/>
  <c r="CE63" i="19"/>
  <c r="CQ63" i="19" s="1"/>
  <c r="CH65" i="19"/>
  <c r="BJ73" i="19"/>
  <c r="BQ73" i="19"/>
  <c r="CI73" i="19" s="1"/>
  <c r="BP39" i="19"/>
  <c r="CH39" i="19" s="1"/>
  <c r="CF63" i="19"/>
  <c r="CR63" i="19" s="1"/>
  <c r="CE67" i="19"/>
  <c r="BM56" i="19"/>
  <c r="CE56" i="19" s="1"/>
  <c r="CE59" i="19"/>
  <c r="BJ63" i="19"/>
  <c r="BQ63" i="19"/>
  <c r="CI63" i="19" s="1"/>
  <c r="CU63" i="19" s="1"/>
  <c r="CF67" i="19"/>
  <c r="BG69" i="19"/>
  <c r="BO69" i="19" s="1"/>
  <c r="CG69" i="19" s="1"/>
  <c r="BN69" i="19"/>
  <c r="CF69" i="19" s="1"/>
  <c r="BJ62" i="19"/>
  <c r="BG63" i="19"/>
  <c r="BO63" i="19" s="1"/>
  <c r="CG63" i="19" s="1"/>
  <c r="CS63" i="19" s="1"/>
  <c r="BI65" i="19"/>
  <c r="BF66" i="19"/>
  <c r="BG74" i="19"/>
  <c r="BO74" i="19" s="1"/>
  <c r="CG74" i="19" s="1"/>
  <c r="BL76" i="19"/>
  <c r="BT76" i="19" s="1"/>
  <c r="CL76" i="19" s="1"/>
  <c r="BG81" i="19"/>
  <c r="BO81" i="19" s="1"/>
  <c r="CG81" i="19" s="1"/>
  <c r="BN81" i="19"/>
  <c r="CF81" i="19" s="1"/>
  <c r="BN61" i="19"/>
  <c r="CF61" i="19" s="1"/>
  <c r="BP63" i="19"/>
  <c r="CH63" i="19" s="1"/>
  <c r="CT63" i="19" s="1"/>
  <c r="BM64" i="19"/>
  <c r="CE64" i="19" s="1"/>
  <c r="CE68" i="19"/>
  <c r="BI71" i="19"/>
  <c r="BF72" i="19"/>
  <c r="BK77" i="19"/>
  <c r="BJ81" i="19"/>
  <c r="BQ81" i="19"/>
  <c r="CI81" i="19" s="1"/>
  <c r="BN73" i="19"/>
  <c r="CF73" i="19" s="1"/>
  <c r="BJ74" i="19"/>
  <c r="CH75" i="19"/>
  <c r="CH76" i="19"/>
  <c r="CE77" i="19"/>
  <c r="CE80" i="19"/>
  <c r="CQ80" i="19" s="1"/>
  <c r="BP68" i="19"/>
  <c r="CH68" i="19" s="1"/>
  <c r="BP73" i="19"/>
  <c r="CH73" i="19" s="1"/>
  <c r="CT73" i="19" s="1"/>
  <c r="BR76" i="19"/>
  <c r="CJ76" i="19" s="1"/>
  <c r="BQ61" i="19"/>
  <c r="CI61" i="19" s="1"/>
  <c r="BN62" i="19"/>
  <c r="CF62" i="19" s="1"/>
  <c r="BP64" i="19"/>
  <c r="CH64" i="19" s="1"/>
  <c r="BM65" i="19"/>
  <c r="CE65" i="19" s="1"/>
  <c r="BR66" i="19"/>
  <c r="CJ66" i="19" s="1"/>
  <c r="BQ77" i="19"/>
  <c r="CI77" i="19" s="1"/>
  <c r="BG79" i="19"/>
  <c r="BO79" i="19" s="1"/>
  <c r="CG79" i="19" s="1"/>
  <c r="CS79" i="19" s="1"/>
  <c r="BN79" i="19"/>
  <c r="CF79" i="19" s="1"/>
  <c r="CR79" i="19" s="1"/>
  <c r="BP59" i="19"/>
  <c r="CH59" i="19" s="1"/>
  <c r="BM60" i="19"/>
  <c r="CE60" i="19" s="1"/>
  <c r="BP67" i="19"/>
  <c r="CH67" i="19" s="1"/>
  <c r="BG75" i="19"/>
  <c r="BO75" i="19" s="1"/>
  <c r="CG75" i="19" s="1"/>
  <c r="BG76" i="19"/>
  <c r="BO76" i="19" s="1"/>
  <c r="CG76" i="19" s="1"/>
  <c r="BN76" i="19"/>
  <c r="CF76" i="19" s="1"/>
  <c r="CJ78" i="19"/>
  <c r="BJ79" i="19"/>
  <c r="BQ79" i="19"/>
  <c r="CI79" i="19" s="1"/>
  <c r="CU79" i="19" s="1"/>
  <c r="CJ85" i="19"/>
  <c r="CI85" i="19"/>
  <c r="CE85" i="19"/>
  <c r="BJ86" i="19"/>
  <c r="BQ86" i="19"/>
  <c r="CI86" i="19" s="1"/>
  <c r="BP74" i="19"/>
  <c r="CH74" i="19" s="1"/>
  <c r="BJ75" i="19"/>
  <c r="BQ75" i="19"/>
  <c r="CI75" i="19" s="1"/>
  <c r="BM79" i="19"/>
  <c r="CE79" i="19" s="1"/>
  <c r="CQ79" i="19" s="1"/>
  <c r="BG80" i="19"/>
  <c r="BO80" i="19" s="1"/>
  <c r="CG80" i="19" s="1"/>
  <c r="CS80" i="19" s="1"/>
  <c r="BN80" i="19"/>
  <c r="CF80" i="19" s="1"/>
  <c r="CR80" i="19" s="1"/>
  <c r="BG82" i="19"/>
  <c r="BO82" i="19" s="1"/>
  <c r="CG82" i="19" s="1"/>
  <c r="BN82" i="19"/>
  <c r="CF82" i="19" s="1"/>
  <c r="BJ95" i="19"/>
  <c r="BQ95" i="19"/>
  <c r="CI95" i="19" s="1"/>
  <c r="BJ83" i="19"/>
  <c r="BF84" i="19"/>
  <c r="BP87" i="19"/>
  <c r="CH87" i="19" s="1"/>
  <c r="CG93" i="19"/>
  <c r="CS93" i="19" s="1"/>
  <c r="CG97" i="19"/>
  <c r="CG98" i="19"/>
  <c r="BJ100" i="19"/>
  <c r="BQ100" i="19"/>
  <c r="CI100" i="19" s="1"/>
  <c r="CJ101" i="19"/>
  <c r="BK89" i="19"/>
  <c r="BR89" i="19"/>
  <c r="CJ89" i="19" s="1"/>
  <c r="CV89" i="19" s="1"/>
  <c r="BJ92" i="19"/>
  <c r="BQ92" i="19"/>
  <c r="CI92" i="19" s="1"/>
  <c r="BQ93" i="19"/>
  <c r="CI93" i="19" s="1"/>
  <c r="BJ93" i="19"/>
  <c r="BJ97" i="19"/>
  <c r="BQ97" i="19"/>
  <c r="CI97" i="19" s="1"/>
  <c r="BP79" i="19"/>
  <c r="CH79" i="19" s="1"/>
  <c r="CT79" i="19" s="1"/>
  <c r="BN85" i="19"/>
  <c r="CF85" i="19" s="1"/>
  <c r="BG87" i="19"/>
  <c r="BO87" i="19" s="1"/>
  <c r="CG87" i="19" s="1"/>
  <c r="BP97" i="19"/>
  <c r="CH97" i="19" s="1"/>
  <c r="BI99" i="19"/>
  <c r="BP99" i="19"/>
  <c r="CH99" i="19" s="1"/>
  <c r="CL101" i="19"/>
  <c r="BP102" i="19"/>
  <c r="CH102" i="19" s="1"/>
  <c r="CT102" i="19" s="1"/>
  <c r="BI102" i="19"/>
  <c r="BI103" i="19"/>
  <c r="BP103" i="19"/>
  <c r="CH103" i="19" s="1"/>
  <c r="CE83" i="19"/>
  <c r="BJ87" i="19"/>
  <c r="BQ87" i="19"/>
  <c r="CI87" i="19" s="1"/>
  <c r="BQ107" i="19"/>
  <c r="CI107" i="19" s="1"/>
  <c r="BJ107" i="19"/>
  <c r="CH82" i="19"/>
  <c r="CE88" i="19"/>
  <c r="BF105" i="19"/>
  <c r="BM105" i="19"/>
  <c r="CE105" i="19" s="1"/>
  <c r="CQ105" i="19" s="1"/>
  <c r="BG83" i="19"/>
  <c r="BO83" i="19" s="1"/>
  <c r="CG83" i="19" s="1"/>
  <c r="BN83" i="19"/>
  <c r="CF83" i="19" s="1"/>
  <c r="CE86" i="19"/>
  <c r="BQ89" i="19"/>
  <c r="CI89" i="19" s="1"/>
  <c r="CU89" i="19" s="1"/>
  <c r="BG90" i="19"/>
  <c r="BO90" i="19" s="1"/>
  <c r="CG90" i="19" s="1"/>
  <c r="BN90" i="19"/>
  <c r="CF90" i="19" s="1"/>
  <c r="BG96" i="19"/>
  <c r="BO96" i="19" s="1"/>
  <c r="CG96" i="19" s="1"/>
  <c r="BN96" i="19"/>
  <c r="CF96" i="19" s="1"/>
  <c r="CE101" i="19"/>
  <c r="BK105" i="19"/>
  <c r="BR105" i="19"/>
  <c r="CJ105" i="19" s="1"/>
  <c r="CL128" i="19"/>
  <c r="CX128" i="19" s="1"/>
  <c r="BJ82" i="19"/>
  <c r="BQ82" i="19"/>
  <c r="CI82" i="19" s="1"/>
  <c r="BG88" i="19"/>
  <c r="BO88" i="19" s="1"/>
  <c r="CG88" i="19" s="1"/>
  <c r="BN88" i="19"/>
  <c r="CF88" i="19" s="1"/>
  <c r="CR88" i="19" s="1"/>
  <c r="BJ90" i="19"/>
  <c r="BQ90" i="19"/>
  <c r="CI90" i="19" s="1"/>
  <c r="BG91" i="19"/>
  <c r="BO91" i="19" s="1"/>
  <c r="CG91" i="19" s="1"/>
  <c r="BN91" i="19"/>
  <c r="CF91" i="19" s="1"/>
  <c r="BN94" i="19"/>
  <c r="CF94" i="19" s="1"/>
  <c r="BG94" i="19"/>
  <c r="BO94" i="19" s="1"/>
  <c r="CG94" i="19" s="1"/>
  <c r="CH96" i="19"/>
  <c r="CE97" i="19"/>
  <c r="CE98" i="19"/>
  <c r="BN100" i="19"/>
  <c r="CF100" i="19" s="1"/>
  <c r="BG100" i="19"/>
  <c r="BO100" i="19" s="1"/>
  <c r="CG100" i="19" s="1"/>
  <c r="BG101" i="19"/>
  <c r="BO101" i="19" s="1"/>
  <c r="CG101" i="19" s="1"/>
  <c r="BN101" i="19"/>
  <c r="CF101" i="19" s="1"/>
  <c r="CE128" i="19"/>
  <c r="CQ128" i="19" s="1"/>
  <c r="BR109" i="19"/>
  <c r="CJ109" i="19" s="1"/>
  <c r="BK109" i="19"/>
  <c r="CJ111" i="19"/>
  <c r="CV111" i="19" s="1"/>
  <c r="BP112" i="19"/>
  <c r="CH112" i="19" s="1"/>
  <c r="BI112" i="19"/>
  <c r="BJ115" i="19"/>
  <c r="BQ115" i="19"/>
  <c r="CI115" i="19" s="1"/>
  <c r="CH124" i="19"/>
  <c r="BI126" i="19"/>
  <c r="BP126" i="19"/>
  <c r="CH126" i="19" s="1"/>
  <c r="BJ127" i="19"/>
  <c r="BQ127" i="19"/>
  <c r="CI127" i="19" s="1"/>
  <c r="BK113" i="19"/>
  <c r="BR113" i="19"/>
  <c r="CJ113" i="19" s="1"/>
  <c r="BG114" i="19"/>
  <c r="BO114" i="19" s="1"/>
  <c r="CG114" i="19" s="1"/>
  <c r="BN114" i="19"/>
  <c r="CF114" i="19" s="1"/>
  <c r="BJ117" i="19"/>
  <c r="BQ117" i="19"/>
  <c r="CI117" i="19" s="1"/>
  <c r="CU117" i="19" s="1"/>
  <c r="BS121" i="19"/>
  <c r="CK121" i="19" s="1"/>
  <c r="BL121" i="19"/>
  <c r="BT121" i="19" s="1"/>
  <c r="CL121" i="19" s="1"/>
  <c r="BR125" i="19"/>
  <c r="CJ125" i="19" s="1"/>
  <c r="BP127" i="19"/>
  <c r="CH127" i="19" s="1"/>
  <c r="BP92" i="19"/>
  <c r="CH92" i="19" s="1"/>
  <c r="CH104" i="19"/>
  <c r="BG111" i="19"/>
  <c r="BO111" i="19" s="1"/>
  <c r="CG111" i="19" s="1"/>
  <c r="CS111" i="19" s="1"/>
  <c r="BN111" i="19"/>
  <c r="CF111" i="19" s="1"/>
  <c r="CR111" i="19" s="1"/>
  <c r="BQ113" i="19"/>
  <c r="CI113" i="19" s="1"/>
  <c r="BR121" i="19"/>
  <c r="CJ121" i="19" s="1"/>
  <c r="BP130" i="19"/>
  <c r="CH130" i="19" s="1"/>
  <c r="CT130" i="19" s="1"/>
  <c r="BI130" i="19"/>
  <c r="BP95" i="19"/>
  <c r="CH95" i="19" s="1"/>
  <c r="CT95" i="19" s="1"/>
  <c r="BM96" i="19"/>
  <c r="CE96" i="19" s="1"/>
  <c r="BG108" i="19"/>
  <c r="BO108" i="19" s="1"/>
  <c r="CG108" i="19" s="1"/>
  <c r="BP90" i="19"/>
  <c r="CH90" i="19" s="1"/>
  <c r="BM91" i="19"/>
  <c r="CE91" i="19" s="1"/>
  <c r="BG104" i="19"/>
  <c r="BO104" i="19" s="1"/>
  <c r="CG104" i="19" s="1"/>
  <c r="BN104" i="19"/>
  <c r="CF104" i="19" s="1"/>
  <c r="BJ108" i="19"/>
  <c r="BQ108" i="19"/>
  <c r="CI108" i="19" s="1"/>
  <c r="BM110" i="19"/>
  <c r="CE110" i="19" s="1"/>
  <c r="BF110" i="19"/>
  <c r="BM124" i="19"/>
  <c r="CE124" i="19" s="1"/>
  <c r="BF124" i="19"/>
  <c r="BP85" i="19"/>
  <c r="CH85" i="19" s="1"/>
  <c r="BP93" i="19"/>
  <c r="CH93" i="19" s="1"/>
  <c r="BM94" i="19"/>
  <c r="CE94" i="19" s="1"/>
  <c r="BQ101" i="19"/>
  <c r="CI101" i="19" s="1"/>
  <c r="BN102" i="19"/>
  <c r="CF102" i="19" s="1"/>
  <c r="CR102" i="19" s="1"/>
  <c r="CE107" i="19"/>
  <c r="CE114" i="19"/>
  <c r="BG116" i="19"/>
  <c r="BO116" i="19" s="1"/>
  <c r="CG116" i="19" s="1"/>
  <c r="BN116" i="19"/>
  <c r="CF116" i="19" s="1"/>
  <c r="BQ118" i="19"/>
  <c r="CI118" i="19" s="1"/>
  <c r="BJ118" i="19"/>
  <c r="BP123" i="19"/>
  <c r="CH123" i="19" s="1"/>
  <c r="BI123" i="19"/>
  <c r="CH132" i="19"/>
  <c r="CG132" i="19"/>
  <c r="BJ104" i="19"/>
  <c r="CI109" i="19"/>
  <c r="CE111" i="19"/>
  <c r="CQ111" i="19" s="1"/>
  <c r="BM113" i="19"/>
  <c r="CE113" i="19" s="1"/>
  <c r="BF113" i="19"/>
  <c r="CJ114" i="19"/>
  <c r="BN115" i="19"/>
  <c r="CF115" i="19" s="1"/>
  <c r="BG115" i="19"/>
  <c r="BO115" i="19" s="1"/>
  <c r="CG115" i="19" s="1"/>
  <c r="CI128" i="19"/>
  <c r="CU128" i="19" s="1"/>
  <c r="CF132" i="19"/>
  <c r="BP113" i="19"/>
  <c r="CH113" i="19" s="1"/>
  <c r="CE119" i="19"/>
  <c r="CJ122" i="19"/>
  <c r="BM127" i="19"/>
  <c r="CE127" i="19" s="1"/>
  <c r="CK128" i="19"/>
  <c r="CW128" i="19" s="1"/>
  <c r="BI131" i="19"/>
  <c r="BP131" i="19"/>
  <c r="CH131" i="19" s="1"/>
  <c r="CH125" i="19"/>
  <c r="BG117" i="19"/>
  <c r="BO117" i="19" s="1"/>
  <c r="CG117" i="19" s="1"/>
  <c r="CS117" i="19" s="1"/>
  <c r="BN117" i="19"/>
  <c r="CF117" i="19" s="1"/>
  <c r="CR117" i="19" s="1"/>
  <c r="BJ116" i="19"/>
  <c r="BQ116" i="19"/>
  <c r="CI116" i="19" s="1"/>
  <c r="CI122" i="19"/>
  <c r="BR124" i="19"/>
  <c r="CJ124" i="19" s="1"/>
  <c r="BK124" i="19"/>
  <c r="CI132" i="19"/>
  <c r="BN125" i="19"/>
  <c r="CF125" i="19" s="1"/>
  <c r="BG125" i="19"/>
  <c r="BO125" i="19" s="1"/>
  <c r="CG125" i="19" s="1"/>
  <c r="CF126" i="19"/>
  <c r="BG128" i="19"/>
  <c r="BO128" i="19" s="1"/>
  <c r="CG128" i="19" s="1"/>
  <c r="CS128" i="19" s="1"/>
  <c r="BN128" i="19"/>
  <c r="CF128" i="19" s="1"/>
  <c r="CR128" i="19" s="1"/>
  <c r="BJ132" i="19"/>
  <c r="CH118" i="19"/>
  <c r="BK119" i="19"/>
  <c r="CI125" i="19"/>
  <c r="CH128" i="19"/>
  <c r="CT128" i="19" s="1"/>
  <c r="CE132" i="19"/>
  <c r="BP111" i="19"/>
  <c r="CH111" i="19" s="1"/>
  <c r="CT111" i="19" s="1"/>
  <c r="BM112" i="19"/>
  <c r="CE112" i="19" s="1"/>
  <c r="BM126" i="19"/>
  <c r="CE126" i="19" s="1"/>
  <c r="X50" i="16" l="1"/>
  <c r="X50" i="31"/>
  <c r="X50" i="27"/>
  <c r="CU49" i="19"/>
  <c r="CQ88" i="19"/>
  <c r="CQ113" i="19"/>
  <c r="CR62" i="19"/>
  <c r="CV85" i="19"/>
  <c r="CR17" i="19"/>
  <c r="CS131" i="19"/>
  <c r="CS100" i="19"/>
  <c r="CQ17" i="19"/>
  <c r="CQ26" i="19"/>
  <c r="CQ13" i="19"/>
  <c r="CU17" i="19"/>
  <c r="CQ83" i="19"/>
  <c r="BK84" i="19"/>
  <c r="BG23" i="19"/>
  <c r="BO23" i="19" s="1"/>
  <c r="CT76" i="19"/>
  <c r="CU20" i="19"/>
  <c r="CS26" i="19"/>
  <c r="CU122" i="19"/>
  <c r="CQ73" i="19"/>
  <c r="BN10" i="19"/>
  <c r="CF10" i="19" s="1"/>
  <c r="CU26" i="19"/>
  <c r="BQ84" i="19"/>
  <c r="CR26" i="19"/>
  <c r="CU72" i="19"/>
  <c r="CR68" i="19"/>
  <c r="CT118" i="19"/>
  <c r="CS83" i="19"/>
  <c r="CT26" i="19"/>
  <c r="CX26" i="19"/>
  <c r="CR85" i="19"/>
  <c r="CU85" i="19"/>
  <c r="CT64" i="19"/>
  <c r="CT39" i="19"/>
  <c r="BQ38" i="19"/>
  <c r="CI38" i="19" s="1"/>
  <c r="CU64" i="19"/>
  <c r="CT13" i="19"/>
  <c r="CS25" i="19"/>
  <c r="CT108" i="19"/>
  <c r="CS62" i="19"/>
  <c r="CR100" i="19"/>
  <c r="CQ64" i="19"/>
  <c r="CT35" i="19"/>
  <c r="CV13" i="19"/>
  <c r="BS26" i="19"/>
  <c r="CK26" i="19" s="1"/>
  <c r="CW26" i="19" s="1"/>
  <c r="CS17" i="19"/>
  <c r="CR131" i="19"/>
  <c r="CQ39" i="19"/>
  <c r="CT131" i="19"/>
  <c r="CR13" i="19"/>
  <c r="CS13" i="19"/>
  <c r="CS123" i="19"/>
  <c r="BG99" i="19"/>
  <c r="BO99" i="19" s="1"/>
  <c r="CT85" i="19"/>
  <c r="BN106" i="19"/>
  <c r="CF106" i="19" s="1"/>
  <c r="CR106" i="19" s="1"/>
  <c r="CR64" i="19"/>
  <c r="CS39" i="19"/>
  <c r="BR26" i="19"/>
  <c r="CJ26" i="19" s="1"/>
  <c r="CV26" i="19" s="1"/>
  <c r="CU13" i="19"/>
  <c r="CU15" i="19"/>
  <c r="CV25" i="19"/>
  <c r="CS108" i="19"/>
  <c r="CS64" i="19"/>
  <c r="CU25" i="19"/>
  <c r="CQ25" i="19"/>
  <c r="CQ62" i="19"/>
  <c r="CV17" i="19"/>
  <c r="CX39" i="19"/>
  <c r="CT123" i="19"/>
  <c r="CU108" i="19"/>
  <c r="CQ85" i="19"/>
  <c r="CR39" i="19"/>
  <c r="CR25" i="19"/>
  <c r="CQ126" i="19"/>
  <c r="BQ96" i="19"/>
  <c r="CI96" i="19" s="1"/>
  <c r="BJ96" i="19"/>
  <c r="BJ128" i="19"/>
  <c r="BQ120" i="19"/>
  <c r="BJ120" i="19"/>
  <c r="BJ114" i="19"/>
  <c r="BK114" i="19" s="1"/>
  <c r="CT58" i="19"/>
  <c r="CR58" i="19"/>
  <c r="BJ69" i="19"/>
  <c r="BQ69" i="19"/>
  <c r="BN93" i="19"/>
  <c r="CF93" i="19" s="1"/>
  <c r="CR93" i="19" s="1"/>
  <c r="BQ9" i="19"/>
  <c r="CI9" i="19" s="1"/>
  <c r="CT49" i="19"/>
  <c r="CR49" i="19"/>
  <c r="CT91" i="19"/>
  <c r="CS19" i="19"/>
  <c r="CU129" i="19"/>
  <c r="CV113" i="19"/>
  <c r="CQ65" i="19"/>
  <c r="CR20" i="19"/>
  <c r="CR50" i="19"/>
  <c r="CS65" i="19"/>
  <c r="CS31" i="19"/>
  <c r="CS75" i="19"/>
  <c r="CU113" i="19"/>
  <c r="CQ103" i="19"/>
  <c r="CR83" i="19"/>
  <c r="CT75" i="19"/>
  <c r="CU73" i="19"/>
  <c r="CT20" i="19"/>
  <c r="CW76" i="19"/>
  <c r="CR114" i="19"/>
  <c r="CU10" i="19"/>
  <c r="CQ115" i="19"/>
  <c r="CT10" i="19"/>
  <c r="CQ18" i="19"/>
  <c r="CQ54" i="19"/>
  <c r="CQ42" i="19"/>
  <c r="CV42" i="19"/>
  <c r="CS54" i="19"/>
  <c r="CV46" i="19"/>
  <c r="CS115" i="19"/>
  <c r="CQ114" i="19"/>
  <c r="CQ46" i="19"/>
  <c r="CU100" i="19"/>
  <c r="CR70" i="19"/>
  <c r="CQ29" i="19"/>
  <c r="CU29" i="19"/>
  <c r="CT29" i="19"/>
  <c r="CR60" i="19"/>
  <c r="CV29" i="19"/>
  <c r="CS60" i="19"/>
  <c r="CR48" i="24"/>
  <c r="BA50" i="24"/>
  <c r="AY50" i="24"/>
  <c r="AZ50" i="24"/>
  <c r="CP50" i="24" s="1"/>
  <c r="AK50" i="24"/>
  <c r="CD50" i="24" s="1"/>
  <c r="AL50" i="24"/>
  <c r="AM50" i="24"/>
  <c r="CW48" i="24"/>
  <c r="CV48" i="24"/>
  <c r="CU48" i="24"/>
  <c r="CH49" i="24"/>
  <c r="CT49" i="24" s="1"/>
  <c r="CF49" i="24"/>
  <c r="CR49" i="24" s="1"/>
  <c r="CE49" i="24"/>
  <c r="CQ49" i="24" s="1"/>
  <c r="CI49" i="24"/>
  <c r="CU49" i="24" s="1"/>
  <c r="CG49" i="24"/>
  <c r="CS49" i="24" s="1"/>
  <c r="CJ49" i="24"/>
  <c r="CV49" i="24" s="1"/>
  <c r="CL49" i="24"/>
  <c r="CK49" i="24"/>
  <c r="CW49" i="24" s="1"/>
  <c r="CS48" i="24"/>
  <c r="CQ48" i="24"/>
  <c r="X50" i="24"/>
  <c r="M140" i="24"/>
  <c r="X140" i="7"/>
  <c r="CT9" i="19"/>
  <c r="CR98" i="19"/>
  <c r="CU9" i="19"/>
  <c r="CQ12" i="19"/>
  <c r="CV21" i="19"/>
  <c r="CT55" i="19"/>
  <c r="CV121" i="19"/>
  <c r="CX121" i="19"/>
  <c r="CQ82" i="19"/>
  <c r="CT126" i="19"/>
  <c r="CS94" i="19"/>
  <c r="CR61" i="19"/>
  <c r="CR15" i="19"/>
  <c r="CT70" i="19"/>
  <c r="CS85" i="19"/>
  <c r="CQ35" i="19"/>
  <c r="CQ123" i="19"/>
  <c r="CR126" i="19"/>
  <c r="CU107" i="19"/>
  <c r="CU94" i="19"/>
  <c r="CQ94" i="19"/>
  <c r="CR94" i="19"/>
  <c r="CU77" i="19"/>
  <c r="CV70" i="19"/>
  <c r="CT15" i="19"/>
  <c r="CQ15" i="19"/>
  <c r="CS15" i="19"/>
  <c r="CU58" i="19"/>
  <c r="CS77" i="19"/>
  <c r="CR116" i="19"/>
  <c r="CQ77" i="19"/>
  <c r="CS58" i="19"/>
  <c r="CR77" i="19"/>
  <c r="CQ58" i="19"/>
  <c r="CW85" i="19"/>
  <c r="CS126" i="19"/>
  <c r="CT94" i="19"/>
  <c r="CT77" i="19"/>
  <c r="CS61" i="19"/>
  <c r="CR35" i="19"/>
  <c r="CQ131" i="19"/>
  <c r="CT86" i="19"/>
  <c r="CV58" i="19"/>
  <c r="CV39" i="19"/>
  <c r="CU116" i="19"/>
  <c r="CU61" i="19"/>
  <c r="CV61" i="19"/>
  <c r="CQ61" i="19"/>
  <c r="CQ116" i="19"/>
  <c r="CT74" i="19"/>
  <c r="CU81" i="19"/>
  <c r="CT40" i="19"/>
  <c r="CU30" i="19"/>
  <c r="CR125" i="19"/>
  <c r="CQ95" i="19"/>
  <c r="CT46" i="19"/>
  <c r="CQ125" i="19"/>
  <c r="CU98" i="19"/>
  <c r="CT82" i="19"/>
  <c r="CQ9" i="19"/>
  <c r="CU22" i="19"/>
  <c r="CR115" i="19"/>
  <c r="CR120" i="19"/>
  <c r="CQ98" i="19"/>
  <c r="CQ68" i="19"/>
  <c r="CX76" i="19"/>
  <c r="CR56" i="19"/>
  <c r="CQ21" i="19"/>
  <c r="CS120" i="19"/>
  <c r="CQ72" i="19"/>
  <c r="CT56" i="19"/>
  <c r="CR97" i="19"/>
  <c r="CU76" i="19"/>
  <c r="CU56" i="19"/>
  <c r="CR59" i="19"/>
  <c r="CT120" i="19"/>
  <c r="CV122" i="19"/>
  <c r="CV114" i="19"/>
  <c r="CQ97" i="19"/>
  <c r="CU97" i="19"/>
  <c r="CT59" i="19"/>
  <c r="CS56" i="19"/>
  <c r="CR9" i="19"/>
  <c r="CV9" i="19"/>
  <c r="CS22" i="19"/>
  <c r="CS55" i="19"/>
  <c r="CU121" i="19"/>
  <c r="CQ99" i="19"/>
  <c r="CQ55" i="19"/>
  <c r="CR7" i="19"/>
  <c r="CR136" i="19" s="1"/>
  <c r="CT99" i="19"/>
  <c r="CV76" i="19"/>
  <c r="CR18" i="19"/>
  <c r="CU54" i="19"/>
  <c r="CR22" i="19"/>
  <c r="CS9" i="19"/>
  <c r="CU18" i="19"/>
  <c r="CS18" i="19"/>
  <c r="CR99" i="19"/>
  <c r="CQ118" i="19"/>
  <c r="CT98" i="19"/>
  <c r="CV72" i="19"/>
  <c r="CU59" i="19"/>
  <c r="CQ124" i="19"/>
  <c r="CU12" i="19"/>
  <c r="CQ121" i="19"/>
  <c r="CT124" i="19"/>
  <c r="CU82" i="19"/>
  <c r="CU21" i="19"/>
  <c r="CR21" i="19"/>
  <c r="CR12" i="19"/>
  <c r="CS118" i="19"/>
  <c r="CQ7" i="19"/>
  <c r="CQ136" i="19" s="1"/>
  <c r="CT121" i="19"/>
  <c r="CQ10" i="19"/>
  <c r="CT114" i="19"/>
  <c r="CW122" i="19"/>
  <c r="CW121" i="19"/>
  <c r="CR42" i="19"/>
  <c r="CT54" i="19"/>
  <c r="CU55" i="19"/>
  <c r="CU42" i="19"/>
  <c r="CT22" i="19"/>
  <c r="CU118" i="19"/>
  <c r="CT93" i="19"/>
  <c r="CS114" i="19"/>
  <c r="CU115" i="19"/>
  <c r="CT97" i="19"/>
  <c r="CU93" i="19"/>
  <c r="CS98" i="19"/>
  <c r="CR82" i="19"/>
  <c r="CR76" i="19"/>
  <c r="CT68" i="19"/>
  <c r="CQ59" i="19"/>
  <c r="CR46" i="19"/>
  <c r="CT12" i="19"/>
  <c r="CS7" i="19"/>
  <c r="CS136" i="19" s="1"/>
  <c r="CT18" i="19"/>
  <c r="CS21" i="19"/>
  <c r="CS12" i="19"/>
  <c r="CS46" i="19"/>
  <c r="CS59" i="19"/>
  <c r="CQ22" i="19"/>
  <c r="CR121" i="19"/>
  <c r="CR55" i="19"/>
  <c r="CU114" i="19"/>
  <c r="CQ120" i="19"/>
  <c r="CT21" i="19"/>
  <c r="CW120" i="19"/>
  <c r="CU120" i="19"/>
  <c r="CS121" i="19"/>
  <c r="CV77" i="19"/>
  <c r="CV124" i="19"/>
  <c r="CS97" i="19"/>
  <c r="CS82" i="19"/>
  <c r="CS76" i="19"/>
  <c r="CQ56" i="19"/>
  <c r="CU68" i="19"/>
  <c r="CU46" i="19"/>
  <c r="CR10" i="19"/>
  <c r="CR54" i="19"/>
  <c r="CS68" i="19"/>
  <c r="CQ76" i="19"/>
  <c r="CT42" i="19"/>
  <c r="CR118" i="19"/>
  <c r="CQ93" i="19"/>
  <c r="CQ122" i="19"/>
  <c r="CS10" i="19"/>
  <c r="CS99" i="19"/>
  <c r="BJ110" i="19"/>
  <c r="BQ110" i="19"/>
  <c r="CQ91" i="19"/>
  <c r="BJ80" i="19"/>
  <c r="BR80" i="19" s="1"/>
  <c r="CJ80" i="19" s="1"/>
  <c r="CV80" i="19" s="1"/>
  <c r="BK38" i="19"/>
  <c r="BL38" i="19" s="1"/>
  <c r="BT38" i="19" s="1"/>
  <c r="CL38" i="19" s="1"/>
  <c r="CX38" i="19" s="1"/>
  <c r="BG35" i="19"/>
  <c r="BO35" i="19" s="1"/>
  <c r="BQ47" i="19"/>
  <c r="BJ47" i="19"/>
  <c r="BL122" i="19"/>
  <c r="BT122" i="19" s="1"/>
  <c r="CL122" i="19" s="1"/>
  <c r="CX122" i="19" s="1"/>
  <c r="BR129" i="19"/>
  <c r="CJ129" i="19" s="1"/>
  <c r="CV129" i="19" s="1"/>
  <c r="CS88" i="19"/>
  <c r="CR73" i="19"/>
  <c r="BQ33" i="19"/>
  <c r="CI33" i="19" s="1"/>
  <c r="CI138" i="19" s="1"/>
  <c r="CU31" i="19"/>
  <c r="CT88" i="19"/>
  <c r="CQ38" i="19"/>
  <c r="CS42" i="19"/>
  <c r="CS50" i="19"/>
  <c r="CV50" i="19"/>
  <c r="CU91" i="19"/>
  <c r="BG40" i="19"/>
  <c r="BO40" i="19" s="1"/>
  <c r="CT113" i="19"/>
  <c r="CR91" i="19"/>
  <c r="CT103" i="19"/>
  <c r="CQ49" i="19"/>
  <c r="CT31" i="19"/>
  <c r="CT19" i="19"/>
  <c r="CR29" i="19"/>
  <c r="CT129" i="19"/>
  <c r="CS103" i="19"/>
  <c r="CR75" i="19"/>
  <c r="BQ129" i="19"/>
  <c r="CQ87" i="19"/>
  <c r="BQ18" i="19"/>
  <c r="BJ18" i="19"/>
  <c r="CS91" i="19"/>
  <c r="CT50" i="19"/>
  <c r="CT87" i="19"/>
  <c r="CS73" i="19"/>
  <c r="BN43" i="19"/>
  <c r="CF43" i="19" s="1"/>
  <c r="CR43" i="19" s="1"/>
  <c r="CU19" i="19"/>
  <c r="CS129" i="19"/>
  <c r="CQ129" i="19"/>
  <c r="BN92" i="19"/>
  <c r="BG92" i="19"/>
  <c r="BO92" i="19" s="1"/>
  <c r="CU50" i="19"/>
  <c r="CQ50" i="19"/>
  <c r="CU88" i="19"/>
  <c r="CS70" i="19"/>
  <c r="CU62" i="19"/>
  <c r="CQ70" i="19"/>
  <c r="CS35" i="19"/>
  <c r="CT17" i="19"/>
  <c r="CS30" i="19"/>
  <c r="CX72" i="19"/>
  <c r="BN97" i="19"/>
  <c r="BG97" i="19"/>
  <c r="BO97" i="19" s="1"/>
  <c r="BQ36" i="19"/>
  <c r="CI36" i="19" s="1"/>
  <c r="CU36" i="19" s="1"/>
  <c r="BJ36" i="19"/>
  <c r="BK111" i="19"/>
  <c r="BR111" i="19"/>
  <c r="BN59" i="19"/>
  <c r="BG59" i="19"/>
  <c r="BO59" i="19" s="1"/>
  <c r="BQ34" i="19"/>
  <c r="BJ34" i="19"/>
  <c r="CT25" i="19"/>
  <c r="CR129" i="19"/>
  <c r="CU70" i="19"/>
  <c r="CT122" i="19"/>
  <c r="CS122" i="19"/>
  <c r="CR19" i="19"/>
  <c r="CT72" i="19"/>
  <c r="CQ19" i="19"/>
  <c r="CU39" i="19"/>
  <c r="CR122" i="19"/>
  <c r="BQ106" i="19"/>
  <c r="BJ106" i="19"/>
  <c r="BN48" i="19"/>
  <c r="BG48" i="19"/>
  <c r="BO48" i="19" s="1"/>
  <c r="CG48" i="19" s="1"/>
  <c r="CS48" i="19" s="1"/>
  <c r="BJ98" i="19"/>
  <c r="BQ98" i="19"/>
  <c r="BN31" i="19"/>
  <c r="BG31" i="19"/>
  <c r="BO31" i="19" s="1"/>
  <c r="BJ37" i="19"/>
  <c r="BQ37" i="19"/>
  <c r="BG131" i="19"/>
  <c r="BO131" i="19" s="1"/>
  <c r="BN131" i="19"/>
  <c r="BQ91" i="19"/>
  <c r="BJ91" i="19"/>
  <c r="BQ58" i="19"/>
  <c r="BJ58" i="19"/>
  <c r="BN98" i="19"/>
  <c r="BG98" i="19"/>
  <c r="BO98" i="19" s="1"/>
  <c r="BG78" i="19"/>
  <c r="BO78" i="19" s="1"/>
  <c r="BN78" i="19"/>
  <c r="BN86" i="19"/>
  <c r="BG86" i="19"/>
  <c r="BO86" i="19" s="1"/>
  <c r="BQ88" i="19"/>
  <c r="BJ88" i="19"/>
  <c r="BN55" i="19"/>
  <c r="BG55" i="19"/>
  <c r="BO55" i="19" s="1"/>
  <c r="BQ10" i="19"/>
  <c r="BJ10" i="19"/>
  <c r="BN107" i="19"/>
  <c r="BG107" i="19"/>
  <c r="BO107" i="19" s="1"/>
  <c r="BQ78" i="19"/>
  <c r="BJ78" i="19"/>
  <c r="BS101" i="19"/>
  <c r="BL101" i="19"/>
  <c r="BT101" i="19" s="1"/>
  <c r="BJ94" i="19"/>
  <c r="BQ94" i="19"/>
  <c r="BR39" i="19"/>
  <c r="BK39" i="19"/>
  <c r="BR85" i="19"/>
  <c r="BK85" i="19"/>
  <c r="BN129" i="19"/>
  <c r="BG129" i="19"/>
  <c r="BO129" i="19" s="1"/>
  <c r="BQ30" i="19"/>
  <c r="BJ30" i="19"/>
  <c r="BN121" i="19"/>
  <c r="BG121" i="19"/>
  <c r="BO121" i="19" s="1"/>
  <c r="BR114" i="19"/>
  <c r="BG130" i="19"/>
  <c r="BO130" i="19" s="1"/>
  <c r="BN130" i="19"/>
  <c r="BN122" i="19"/>
  <c r="BG122" i="19"/>
  <c r="BO122" i="19" s="1"/>
  <c r="BG95" i="19"/>
  <c r="BO95" i="19" s="1"/>
  <c r="BN95" i="19"/>
  <c r="BJ72" i="19"/>
  <c r="BQ72" i="19"/>
  <c r="BN27" i="19"/>
  <c r="BG27" i="19"/>
  <c r="BO27" i="19" s="1"/>
  <c r="BN67" i="19"/>
  <c r="BG67" i="19"/>
  <c r="BO67" i="19" s="1"/>
  <c r="BG118" i="19"/>
  <c r="BO118" i="19" s="1"/>
  <c r="BN118" i="19"/>
  <c r="BG123" i="19"/>
  <c r="BO123" i="19" s="1"/>
  <c r="BN123" i="19"/>
  <c r="CV84" i="19"/>
  <c r="CQ112" i="19"/>
  <c r="CV101" i="19"/>
  <c r="CR101" i="19"/>
  <c r="CU69" i="19"/>
  <c r="CU52" i="19"/>
  <c r="CQ33" i="19"/>
  <c r="CT101" i="19"/>
  <c r="CQ104" i="19"/>
  <c r="CX101" i="19"/>
  <c r="CQ60" i="19"/>
  <c r="CR16" i="19"/>
  <c r="CR112" i="19"/>
  <c r="CU101" i="19"/>
  <c r="CT110" i="19"/>
  <c r="CS16" i="19"/>
  <c r="CQ101" i="19"/>
  <c r="CR47" i="19"/>
  <c r="CT16" i="19"/>
  <c r="CV33" i="19"/>
  <c r="CW101" i="19"/>
  <c r="CR69" i="19"/>
  <c r="CQ52" i="19"/>
  <c r="CS47" i="19"/>
  <c r="CQ16" i="19"/>
  <c r="CT69" i="19"/>
  <c r="CT112" i="19"/>
  <c r="CS69" i="19"/>
  <c r="CS33" i="19"/>
  <c r="CU16" i="19"/>
  <c r="CQ84" i="19"/>
  <c r="CU84" i="19"/>
  <c r="CS101" i="19"/>
  <c r="CR104" i="19"/>
  <c r="CS52" i="19"/>
  <c r="CT84" i="19"/>
  <c r="AF84" i="22"/>
  <c r="CU104" i="19"/>
  <c r="AF104" i="22"/>
  <c r="CU74" i="19"/>
  <c r="AF74" i="22"/>
  <c r="CR36" i="19"/>
  <c r="AF36" i="22"/>
  <c r="AF48" i="22"/>
  <c r="CT57" i="19"/>
  <c r="AF57" i="22"/>
  <c r="CQ78" i="19"/>
  <c r="AF78" i="22"/>
  <c r="CT109" i="19"/>
  <c r="AF109" i="22"/>
  <c r="CV96" i="19"/>
  <c r="AF96" i="22"/>
  <c r="CQ100" i="19"/>
  <c r="CT83" i="19"/>
  <c r="AF83" i="22"/>
  <c r="CU124" i="19"/>
  <c r="AF124" i="22"/>
  <c r="CR86" i="19"/>
  <c r="AF86" i="22"/>
  <c r="CR8" i="19"/>
  <c r="CT107" i="19"/>
  <c r="AF107" i="22"/>
  <c r="CT28" i="19"/>
  <c r="CQ28" i="19"/>
  <c r="CU105" i="19"/>
  <c r="CT30" i="19"/>
  <c r="CQ40" i="19"/>
  <c r="CV105" i="19"/>
  <c r="CS74" i="19"/>
  <c r="CU57" i="19"/>
  <c r="CU40" i="19"/>
  <c r="CR32" i="19"/>
  <c r="CQ74" i="19"/>
  <c r="CR28" i="19"/>
  <c r="CS32" i="19"/>
  <c r="CW36" i="19"/>
  <c r="CS36" i="19"/>
  <c r="CQ81" i="19"/>
  <c r="CQ36" i="19"/>
  <c r="CQ32" i="19"/>
  <c r="CU28" i="19"/>
  <c r="CS28" i="19"/>
  <c r="CU32" i="19"/>
  <c r="CS95" i="19"/>
  <c r="CT81" i="19"/>
  <c r="CQ30" i="19"/>
  <c r="CR95" i="19"/>
  <c r="CT125" i="19"/>
  <c r="CQ48" i="19"/>
  <c r="CR74" i="19"/>
  <c r="CR81" i="19"/>
  <c r="CS81" i="19"/>
  <c r="CT48" i="19"/>
  <c r="CU48" i="19"/>
  <c r="CR57" i="19"/>
  <c r="CT32" i="19"/>
  <c r="CR40" i="19"/>
  <c r="CU125" i="19"/>
  <c r="CS125" i="19"/>
  <c r="CV125" i="19"/>
  <c r="CU95" i="19"/>
  <c r="CS57" i="19"/>
  <c r="CR30" i="19"/>
  <c r="CT105" i="19"/>
  <c r="CV36" i="19"/>
  <c r="CS40" i="19"/>
  <c r="CQ57" i="19"/>
  <c r="CR48" i="19"/>
  <c r="CT116" i="19"/>
  <c r="CS116" i="19"/>
  <c r="CU87" i="19"/>
  <c r="CS87" i="19"/>
  <c r="CU75" i="19"/>
  <c r="CT65" i="19"/>
  <c r="CU47" i="19"/>
  <c r="CR53" i="19"/>
  <c r="CS20" i="19"/>
  <c r="CU35" i="19"/>
  <c r="CS107" i="19"/>
  <c r="CV88" i="19"/>
  <c r="CT61" i="19"/>
  <c r="CR108" i="19"/>
  <c r="CU83" i="19"/>
  <c r="CQ108" i="19"/>
  <c r="CR107" i="19"/>
  <c r="CS53" i="19"/>
  <c r="CU66" i="19"/>
  <c r="CS86" i="19"/>
  <c r="CQ47" i="19"/>
  <c r="CH146" i="19"/>
  <c r="CQ37" i="19"/>
  <c r="CQ41" i="19"/>
  <c r="CW78" i="19"/>
  <c r="CU37" i="19"/>
  <c r="CU132" i="19"/>
  <c r="CU86" i="19"/>
  <c r="CQ53" i="19"/>
  <c r="CR103" i="19"/>
  <c r="CQ69" i="19"/>
  <c r="CU41" i="19"/>
  <c r="CV78" i="19"/>
  <c r="CE145" i="19"/>
  <c r="CU96" i="19"/>
  <c r="CT41" i="19"/>
  <c r="CU53" i="19"/>
  <c r="CQ107" i="19"/>
  <c r="CS104" i="19"/>
  <c r="CT104" i="19"/>
  <c r="CQ86" i="19"/>
  <c r="CT52" i="19"/>
  <c r="CR65" i="19"/>
  <c r="CT53" i="19"/>
  <c r="CT47" i="19"/>
  <c r="CR52" i="19"/>
  <c r="CQ20" i="19"/>
  <c r="CR31" i="19"/>
  <c r="CR33" i="19"/>
  <c r="CT62" i="19"/>
  <c r="CQ75" i="19"/>
  <c r="CT60" i="19"/>
  <c r="CT100" i="19"/>
  <c r="CS112" i="19"/>
  <c r="CT37" i="19"/>
  <c r="CT33" i="19"/>
  <c r="CR123" i="19"/>
  <c r="CW66" i="19"/>
  <c r="CR38" i="19"/>
  <c r="CH138" i="19"/>
  <c r="CQ23" i="19"/>
  <c r="CR92" i="19"/>
  <c r="CS78" i="19"/>
  <c r="CV66" i="19"/>
  <c r="CX66" i="19"/>
  <c r="CQ90" i="19"/>
  <c r="CT66" i="19"/>
  <c r="CS38" i="19"/>
  <c r="CU38" i="19"/>
  <c r="CH140" i="19"/>
  <c r="CT24" i="19"/>
  <c r="CU23" i="19"/>
  <c r="CS23" i="19"/>
  <c r="CU24" i="19"/>
  <c r="CS92" i="19"/>
  <c r="CT38" i="19"/>
  <c r="CU109" i="19"/>
  <c r="CT92" i="19"/>
  <c r="CQ132" i="19"/>
  <c r="CS132" i="19"/>
  <c r="CV109" i="19"/>
  <c r="CQ45" i="19"/>
  <c r="CU45" i="19"/>
  <c r="CR109" i="19"/>
  <c r="CU90" i="19"/>
  <c r="CR132" i="19"/>
  <c r="CT90" i="19"/>
  <c r="CT132" i="19"/>
  <c r="CU92" i="19"/>
  <c r="CV38" i="19"/>
  <c r="CU78" i="19"/>
  <c r="CR90" i="19"/>
  <c r="CT45" i="19"/>
  <c r="CQ24" i="19"/>
  <c r="CR45" i="19"/>
  <c r="CR24" i="19"/>
  <c r="CX78" i="19"/>
  <c r="CS109" i="19"/>
  <c r="CT78" i="19"/>
  <c r="CS90" i="19"/>
  <c r="CT23" i="19"/>
  <c r="CS45" i="19"/>
  <c r="CS24" i="19"/>
  <c r="CR23" i="19"/>
  <c r="CQ109" i="19"/>
  <c r="CQ92" i="19"/>
  <c r="CQ66" i="19"/>
  <c r="CR78" i="19"/>
  <c r="CE142" i="19"/>
  <c r="CI140" i="19"/>
  <c r="CH139" i="19"/>
  <c r="CS51" i="19"/>
  <c r="CT8" i="19"/>
  <c r="CH137" i="19"/>
  <c r="CU119" i="19"/>
  <c r="CX96" i="19"/>
  <c r="CE141" i="19"/>
  <c r="CE137" i="19"/>
  <c r="CI139" i="19"/>
  <c r="CQ27" i="19"/>
  <c r="CE138" i="19"/>
  <c r="CS8" i="19"/>
  <c r="CG137" i="19"/>
  <c r="CS127" i="19"/>
  <c r="CG146" i="19"/>
  <c r="CS27" i="19"/>
  <c r="CG138" i="19"/>
  <c r="CH141" i="19"/>
  <c r="CI137" i="19"/>
  <c r="CH143" i="19"/>
  <c r="CH142" i="19"/>
  <c r="CE139" i="19"/>
  <c r="CR127" i="19"/>
  <c r="CF146" i="19"/>
  <c r="CS119" i="19"/>
  <c r="CT119" i="19"/>
  <c r="CH145" i="19"/>
  <c r="CT115" i="19"/>
  <c r="CH144" i="19"/>
  <c r="CE144" i="19"/>
  <c r="CR119" i="19"/>
  <c r="CE143" i="19"/>
  <c r="CE140" i="19"/>
  <c r="CU110" i="19"/>
  <c r="CS67" i="19"/>
  <c r="CE146" i="19"/>
  <c r="CG140" i="19"/>
  <c r="CR27" i="19"/>
  <c r="CF138" i="19"/>
  <c r="CF137" i="19"/>
  <c r="R52" i="17"/>
  <c r="AC51" i="17"/>
  <c r="AB51" i="17"/>
  <c r="AA51" i="17"/>
  <c r="Z51" i="17"/>
  <c r="AE51" i="17"/>
  <c r="AD51" i="17"/>
  <c r="X51" i="17"/>
  <c r="X51" i="14" s="1"/>
  <c r="W51" i="17"/>
  <c r="X51" i="19" s="1"/>
  <c r="V51" i="17"/>
  <c r="X51" i="3" s="1"/>
  <c r="U51" i="17"/>
  <c r="X51" i="7" s="1"/>
  <c r="X51" i="12" s="1"/>
  <c r="T51" i="17"/>
  <c r="S51" i="17"/>
  <c r="X51" i="15" s="1"/>
  <c r="CT7" i="19"/>
  <c r="CT136" i="19" s="1"/>
  <c r="CQ119" i="19"/>
  <c r="BR104" i="19"/>
  <c r="CJ104" i="19" s="1"/>
  <c r="CV104" i="19" s="1"/>
  <c r="BK104" i="19"/>
  <c r="BQ126" i="19"/>
  <c r="CI126" i="19" s="1"/>
  <c r="CU126" i="19" s="1"/>
  <c r="BJ126" i="19"/>
  <c r="BL89" i="19"/>
  <c r="BT89" i="19" s="1"/>
  <c r="CL89" i="19" s="1"/>
  <c r="CX89" i="19" s="1"/>
  <c r="BS89" i="19"/>
  <c r="CK89" i="19" s="1"/>
  <c r="CW89" i="19" s="1"/>
  <c r="BR83" i="19"/>
  <c r="CJ83" i="19" s="1"/>
  <c r="CV83" i="19" s="1"/>
  <c r="BK83" i="19"/>
  <c r="BG72" i="19"/>
  <c r="BO72" i="19" s="1"/>
  <c r="CG72" i="19" s="1"/>
  <c r="CS72" i="19" s="1"/>
  <c r="BN72" i="19"/>
  <c r="CF72" i="19" s="1"/>
  <c r="CR72" i="19" s="1"/>
  <c r="BJ65" i="19"/>
  <c r="BQ65" i="19"/>
  <c r="CI65" i="19" s="1"/>
  <c r="CU65" i="19" s="1"/>
  <c r="BR73" i="19"/>
  <c r="CJ73" i="19" s="1"/>
  <c r="CV73" i="19" s="1"/>
  <c r="BK73" i="19"/>
  <c r="CS43" i="19"/>
  <c r="CQ43" i="19"/>
  <c r="BL42" i="19"/>
  <c r="BT42" i="19" s="1"/>
  <c r="CL42" i="19" s="1"/>
  <c r="CX42" i="19" s="1"/>
  <c r="BS42" i="19"/>
  <c r="CK42" i="19" s="1"/>
  <c r="CW42" i="19" s="1"/>
  <c r="BK11" i="19"/>
  <c r="BR11" i="19"/>
  <c r="CJ11" i="19" s="1"/>
  <c r="CV11" i="19" s="1"/>
  <c r="BL21" i="19"/>
  <c r="BT21" i="19" s="1"/>
  <c r="CL21" i="19" s="1"/>
  <c r="CX21" i="19" s="1"/>
  <c r="BS21" i="19"/>
  <c r="CK21" i="19" s="1"/>
  <c r="CW21" i="19" s="1"/>
  <c r="BK93" i="19"/>
  <c r="BR93" i="19"/>
  <c r="CJ93" i="19" s="1"/>
  <c r="CV93" i="19" s="1"/>
  <c r="BR74" i="19"/>
  <c r="CJ74" i="19" s="1"/>
  <c r="CV74" i="19" s="1"/>
  <c r="BK74" i="19"/>
  <c r="BJ71" i="19"/>
  <c r="BQ71" i="19"/>
  <c r="CI71" i="19" s="1"/>
  <c r="CU71" i="19" s="1"/>
  <c r="CT43" i="19"/>
  <c r="CU43" i="19"/>
  <c r="BR44" i="19"/>
  <c r="CJ44" i="19" s="1"/>
  <c r="CV44" i="19" s="1"/>
  <c r="BK44" i="19"/>
  <c r="BK20" i="19"/>
  <c r="BR20" i="19"/>
  <c r="CJ20" i="19" s="1"/>
  <c r="CV20" i="19" s="1"/>
  <c r="BL33" i="19"/>
  <c r="BT33" i="19" s="1"/>
  <c r="CL33" i="19" s="1"/>
  <c r="CX33" i="19" s="1"/>
  <c r="BS33" i="19"/>
  <c r="CK33" i="19" s="1"/>
  <c r="CW33" i="19" s="1"/>
  <c r="CU8" i="19"/>
  <c r="BL29" i="19"/>
  <c r="BT29" i="19" s="1"/>
  <c r="CL29" i="19" s="1"/>
  <c r="CX29" i="19" s="1"/>
  <c r="BS29" i="19"/>
  <c r="CK29" i="19" s="1"/>
  <c r="CW29" i="19" s="1"/>
  <c r="BK12" i="19"/>
  <c r="BR12" i="19"/>
  <c r="CJ12" i="19" s="1"/>
  <c r="CV12" i="19" s="1"/>
  <c r="BN113" i="19"/>
  <c r="CF113" i="19" s="1"/>
  <c r="CR113" i="19" s="1"/>
  <c r="BG113" i="19"/>
  <c r="BO113" i="19" s="1"/>
  <c r="CG113" i="19" s="1"/>
  <c r="CS113" i="19" s="1"/>
  <c r="BL125" i="19"/>
  <c r="BT125" i="19" s="1"/>
  <c r="CL125" i="19" s="1"/>
  <c r="CX125" i="19" s="1"/>
  <c r="BS125" i="19"/>
  <c r="CK125" i="19" s="1"/>
  <c r="CW125" i="19" s="1"/>
  <c r="BL105" i="19"/>
  <c r="BT105" i="19" s="1"/>
  <c r="CL105" i="19" s="1"/>
  <c r="CX105" i="19" s="1"/>
  <c r="BS105" i="19"/>
  <c r="CK105" i="19" s="1"/>
  <c r="CW105" i="19" s="1"/>
  <c r="BN105" i="19"/>
  <c r="CF105" i="19" s="1"/>
  <c r="CR105" i="19" s="1"/>
  <c r="BG105" i="19"/>
  <c r="BO105" i="19" s="1"/>
  <c r="CG105" i="19" s="1"/>
  <c r="CS105" i="19" s="1"/>
  <c r="BJ130" i="19"/>
  <c r="BQ130" i="19"/>
  <c r="CI130" i="19" s="1"/>
  <c r="CU130" i="19" s="1"/>
  <c r="BS109" i="19"/>
  <c r="CK109" i="19" s="1"/>
  <c r="CW109" i="19" s="1"/>
  <c r="BL109" i="19"/>
  <c r="BT109" i="19" s="1"/>
  <c r="CL109" i="19" s="1"/>
  <c r="CX109" i="19" s="1"/>
  <c r="BR90" i="19"/>
  <c r="CJ90" i="19" s="1"/>
  <c r="CV90" i="19" s="1"/>
  <c r="BK90" i="19"/>
  <c r="BR75" i="19"/>
  <c r="CJ75" i="19" s="1"/>
  <c r="CV75" i="19" s="1"/>
  <c r="BK75" i="19"/>
  <c r="BK79" i="19"/>
  <c r="BR79" i="19"/>
  <c r="CJ79" i="19" s="1"/>
  <c r="CV79" i="19" s="1"/>
  <c r="BK62" i="19"/>
  <c r="BR62" i="19"/>
  <c r="CJ62" i="19" s="1"/>
  <c r="CV62" i="19" s="1"/>
  <c r="BL61" i="19"/>
  <c r="BT61" i="19" s="1"/>
  <c r="CL61" i="19" s="1"/>
  <c r="CX61" i="19" s="1"/>
  <c r="BS61" i="19"/>
  <c r="CK61" i="19" s="1"/>
  <c r="CW61" i="19" s="1"/>
  <c r="BR59" i="19"/>
  <c r="CJ59" i="19" s="1"/>
  <c r="CV59" i="19" s="1"/>
  <c r="BK59" i="19"/>
  <c r="BK64" i="19"/>
  <c r="BR64" i="19"/>
  <c r="CJ64" i="19" s="1"/>
  <c r="CV64" i="19" s="1"/>
  <c r="BK53" i="19"/>
  <c r="BR53" i="19"/>
  <c r="CJ53" i="19" s="1"/>
  <c r="CV53" i="19" s="1"/>
  <c r="BK43" i="19"/>
  <c r="BR43" i="19"/>
  <c r="CJ43" i="19" s="1"/>
  <c r="BK41" i="19"/>
  <c r="BR41" i="19"/>
  <c r="CJ41" i="19" s="1"/>
  <c r="CV41" i="19" s="1"/>
  <c r="BL17" i="19"/>
  <c r="BT17" i="19" s="1"/>
  <c r="CL17" i="19" s="1"/>
  <c r="CX17" i="19" s="1"/>
  <c r="BS17" i="19"/>
  <c r="CK17" i="19" s="1"/>
  <c r="CW17" i="19" s="1"/>
  <c r="BK8" i="19"/>
  <c r="BR8" i="19"/>
  <c r="CJ8" i="19" s="1"/>
  <c r="BL25" i="19"/>
  <c r="BT25" i="19" s="1"/>
  <c r="CL25" i="19" s="1"/>
  <c r="CX25" i="19" s="1"/>
  <c r="BS25" i="19"/>
  <c r="CK25" i="19" s="1"/>
  <c r="CW25" i="19" s="1"/>
  <c r="CS34" i="19"/>
  <c r="BK19" i="19"/>
  <c r="BR19" i="19"/>
  <c r="CJ19" i="19" s="1"/>
  <c r="CV19" i="19" s="1"/>
  <c r="BR7" i="19"/>
  <c r="CJ7" i="19" s="1"/>
  <c r="CJ136" i="19" s="1"/>
  <c r="BJ7" i="19"/>
  <c r="CQ127" i="19"/>
  <c r="CT127" i="19"/>
  <c r="BR132" i="19"/>
  <c r="CJ132" i="19" s="1"/>
  <c r="CV132" i="19" s="1"/>
  <c r="BK132" i="19"/>
  <c r="BL124" i="19"/>
  <c r="BT124" i="19" s="1"/>
  <c r="CL124" i="19" s="1"/>
  <c r="CX124" i="19" s="1"/>
  <c r="BS124" i="19"/>
  <c r="CK124" i="19" s="1"/>
  <c r="CW124" i="19" s="1"/>
  <c r="CT96" i="19"/>
  <c r="BK87" i="19"/>
  <c r="BR87" i="19"/>
  <c r="CJ87" i="19" s="1"/>
  <c r="CV87" i="19" s="1"/>
  <c r="BJ99" i="19"/>
  <c r="BQ99" i="19"/>
  <c r="CI99" i="19" s="1"/>
  <c r="CU99" i="19" s="1"/>
  <c r="BK95" i="19"/>
  <c r="BR95" i="19"/>
  <c r="CJ95" i="19" s="1"/>
  <c r="CV95" i="19" s="1"/>
  <c r="BJ60" i="19"/>
  <c r="BQ60" i="19"/>
  <c r="CI60" i="19" s="1"/>
  <c r="CU60" i="19" s="1"/>
  <c r="CR51" i="19"/>
  <c r="CQ51" i="19"/>
  <c r="CQ8" i="19"/>
  <c r="BG37" i="19"/>
  <c r="BO37" i="19" s="1"/>
  <c r="CG37" i="19" s="1"/>
  <c r="CS37" i="19" s="1"/>
  <c r="BN37" i="19"/>
  <c r="CF37" i="19" s="1"/>
  <c r="CR37" i="19" s="1"/>
  <c r="BK35" i="19"/>
  <c r="BR35" i="19"/>
  <c r="CJ35" i="19" s="1"/>
  <c r="CV35" i="19" s="1"/>
  <c r="BR15" i="19"/>
  <c r="CJ15" i="19" s="1"/>
  <c r="CV15" i="19" s="1"/>
  <c r="BK15" i="19"/>
  <c r="CU34" i="19"/>
  <c r="CQ34" i="19"/>
  <c r="CU7" i="19"/>
  <c r="BS9" i="19"/>
  <c r="CK9" i="19" s="1"/>
  <c r="CW9" i="19" s="1"/>
  <c r="BL9" i="19"/>
  <c r="BT9" i="19" s="1"/>
  <c r="CL9" i="19" s="1"/>
  <c r="CX9" i="19" s="1"/>
  <c r="BK24" i="19"/>
  <c r="BR24" i="19"/>
  <c r="CJ24" i="19" s="1"/>
  <c r="CV24" i="19" s="1"/>
  <c r="BS113" i="19"/>
  <c r="CK113" i="19" s="1"/>
  <c r="CW113" i="19" s="1"/>
  <c r="BL113" i="19"/>
  <c r="BT113" i="19" s="1"/>
  <c r="CL113" i="19" s="1"/>
  <c r="CX113" i="19" s="1"/>
  <c r="BK115" i="19"/>
  <c r="BR115" i="19"/>
  <c r="CJ115" i="19" s="1"/>
  <c r="CV115" i="19" s="1"/>
  <c r="CR96" i="19"/>
  <c r="BK92" i="19"/>
  <c r="BR92" i="19"/>
  <c r="CJ92" i="19" s="1"/>
  <c r="CV92" i="19" s="1"/>
  <c r="BR100" i="19"/>
  <c r="CJ100" i="19" s="1"/>
  <c r="CV100" i="19" s="1"/>
  <c r="BK100" i="19"/>
  <c r="CQ67" i="19"/>
  <c r="CR34" i="19"/>
  <c r="BG41" i="19"/>
  <c r="BO41" i="19" s="1"/>
  <c r="CG41" i="19" s="1"/>
  <c r="CS41" i="19" s="1"/>
  <c r="BN41" i="19"/>
  <c r="CF41" i="19" s="1"/>
  <c r="CR41" i="19" s="1"/>
  <c r="BK54" i="19"/>
  <c r="BR54" i="19"/>
  <c r="CJ54" i="19" s="1"/>
  <c r="CV54" i="19" s="1"/>
  <c r="BR23" i="19"/>
  <c r="CJ23" i="19" s="1"/>
  <c r="CV23" i="19" s="1"/>
  <c r="BK23" i="19"/>
  <c r="CT34" i="19"/>
  <c r="BG124" i="19"/>
  <c r="BO124" i="19" s="1"/>
  <c r="CG124" i="19" s="1"/>
  <c r="CG145" i="19" s="1"/>
  <c r="BN124" i="19"/>
  <c r="CF124" i="19" s="1"/>
  <c r="CF145" i="19" s="1"/>
  <c r="CQ110" i="19"/>
  <c r="BQ112" i="19"/>
  <c r="CI112" i="19" s="1"/>
  <c r="CI144" i="19" s="1"/>
  <c r="BJ112" i="19"/>
  <c r="CS96" i="19"/>
  <c r="BK86" i="19"/>
  <c r="BR86" i="19"/>
  <c r="CJ86" i="19" s="1"/>
  <c r="CV86" i="19" s="1"/>
  <c r="BK81" i="19"/>
  <c r="BR81" i="19"/>
  <c r="CJ81" i="19" s="1"/>
  <c r="CV81" i="19" s="1"/>
  <c r="CR67" i="19"/>
  <c r="BR55" i="19"/>
  <c r="CJ55" i="19" s="1"/>
  <c r="CV55" i="19" s="1"/>
  <c r="BK55" i="19"/>
  <c r="CU67" i="19"/>
  <c r="BK49" i="19"/>
  <c r="BR49" i="19"/>
  <c r="CJ49" i="19" s="1"/>
  <c r="CV49" i="19" s="1"/>
  <c r="BK56" i="19"/>
  <c r="BR56" i="19"/>
  <c r="CJ56" i="19" s="1"/>
  <c r="CV56" i="19" s="1"/>
  <c r="BL50" i="19"/>
  <c r="BT50" i="19" s="1"/>
  <c r="CL50" i="19" s="1"/>
  <c r="CX50" i="19" s="1"/>
  <c r="BS50" i="19"/>
  <c r="CK50" i="19" s="1"/>
  <c r="CW50" i="19" s="1"/>
  <c r="BR52" i="19"/>
  <c r="CJ52" i="19" s="1"/>
  <c r="CV52" i="19" s="1"/>
  <c r="BK52" i="19"/>
  <c r="CU51" i="19"/>
  <c r="CT27" i="19"/>
  <c r="BK14" i="19"/>
  <c r="BR14" i="19"/>
  <c r="CJ14" i="19" s="1"/>
  <c r="CV14" i="19" s="1"/>
  <c r="BK32" i="19"/>
  <c r="BR32" i="19"/>
  <c r="CJ32" i="19" s="1"/>
  <c r="CV32" i="19" s="1"/>
  <c r="BK22" i="19"/>
  <c r="BR22" i="19"/>
  <c r="CJ22" i="19" s="1"/>
  <c r="CV22" i="19" s="1"/>
  <c r="BN110" i="19"/>
  <c r="CF110" i="19" s="1"/>
  <c r="BG110" i="19"/>
  <c r="BO110" i="19" s="1"/>
  <c r="CG110" i="19" s="1"/>
  <c r="BS129" i="19"/>
  <c r="CK129" i="19" s="1"/>
  <c r="CW129" i="19" s="1"/>
  <c r="BL129" i="19"/>
  <c r="BT129" i="19" s="1"/>
  <c r="CL129" i="19" s="1"/>
  <c r="CX129" i="19" s="1"/>
  <c r="CU127" i="19"/>
  <c r="CV119" i="19"/>
  <c r="BJ131" i="19"/>
  <c r="BQ131" i="19"/>
  <c r="CI131" i="19" s="1"/>
  <c r="CU131" i="19" s="1"/>
  <c r="BK118" i="19"/>
  <c r="BR118" i="19"/>
  <c r="CJ118" i="19" s="1"/>
  <c r="CV118" i="19" s="1"/>
  <c r="BK127" i="19"/>
  <c r="BR127" i="19"/>
  <c r="CJ127" i="19" s="1"/>
  <c r="BR82" i="19"/>
  <c r="CJ82" i="19" s="1"/>
  <c r="CV82" i="19" s="1"/>
  <c r="BK82" i="19"/>
  <c r="BR107" i="19"/>
  <c r="CJ107" i="19" s="1"/>
  <c r="CV107" i="19" s="1"/>
  <c r="BK107" i="19"/>
  <c r="BJ103" i="19"/>
  <c r="BQ103" i="19"/>
  <c r="CI103" i="19" s="1"/>
  <c r="CU103" i="19" s="1"/>
  <c r="BK97" i="19"/>
  <c r="BR97" i="19"/>
  <c r="CJ97" i="19" s="1"/>
  <c r="BK68" i="19"/>
  <c r="BR68" i="19"/>
  <c r="CJ68" i="19" s="1"/>
  <c r="CV68" i="19" s="1"/>
  <c r="BS70" i="19"/>
  <c r="CK70" i="19" s="1"/>
  <c r="CW70" i="19" s="1"/>
  <c r="BL70" i="19"/>
  <c r="BT70" i="19" s="1"/>
  <c r="CL70" i="19" s="1"/>
  <c r="CX70" i="19" s="1"/>
  <c r="BR67" i="19"/>
  <c r="CJ67" i="19" s="1"/>
  <c r="BK67" i="19"/>
  <c r="BK57" i="19"/>
  <c r="BR57" i="19"/>
  <c r="CJ57" i="19" s="1"/>
  <c r="CV57" i="19" s="1"/>
  <c r="BK40" i="19"/>
  <c r="BR40" i="19"/>
  <c r="CJ40" i="19" s="1"/>
  <c r="CV40" i="19" s="1"/>
  <c r="BK51" i="19"/>
  <c r="BR51" i="19"/>
  <c r="CJ51" i="19" s="1"/>
  <c r="BL13" i="19"/>
  <c r="BT13" i="19" s="1"/>
  <c r="CL13" i="19" s="1"/>
  <c r="CX13" i="19" s="1"/>
  <c r="BS13" i="19"/>
  <c r="CK13" i="19" s="1"/>
  <c r="CW13" i="19" s="1"/>
  <c r="BK28" i="19"/>
  <c r="BR28" i="19"/>
  <c r="CJ28" i="19" s="1"/>
  <c r="CV28" i="19" s="1"/>
  <c r="CU27" i="19"/>
  <c r="BS119" i="19"/>
  <c r="CK119" i="19" s="1"/>
  <c r="BL119" i="19"/>
  <c r="BT119" i="19" s="1"/>
  <c r="CL119" i="19" s="1"/>
  <c r="BR116" i="19"/>
  <c r="CJ116" i="19" s="1"/>
  <c r="CV116" i="19" s="1"/>
  <c r="BK116" i="19"/>
  <c r="BJ123" i="19"/>
  <c r="BQ123" i="19"/>
  <c r="CI123" i="19" s="1"/>
  <c r="CU123" i="19" s="1"/>
  <c r="BK108" i="19"/>
  <c r="BR108" i="19"/>
  <c r="CJ108" i="19" s="1"/>
  <c r="CV108" i="19" s="1"/>
  <c r="CQ96" i="19"/>
  <c r="BR117" i="19"/>
  <c r="CJ117" i="19" s="1"/>
  <c r="CV117" i="19" s="1"/>
  <c r="BK117" i="19"/>
  <c r="BJ102" i="19"/>
  <c r="BQ102" i="19"/>
  <c r="CI102" i="19" s="1"/>
  <c r="CU102" i="19" s="1"/>
  <c r="BN84" i="19"/>
  <c r="CF84" i="19" s="1"/>
  <c r="CR84" i="19" s="1"/>
  <c r="BG84" i="19"/>
  <c r="BO84" i="19" s="1"/>
  <c r="CG84" i="19" s="1"/>
  <c r="CS84" i="19" s="1"/>
  <c r="CT67" i="19"/>
  <c r="BL77" i="19"/>
  <c r="BT77" i="19" s="1"/>
  <c r="CL77" i="19" s="1"/>
  <c r="CX77" i="19" s="1"/>
  <c r="BS77" i="19"/>
  <c r="CK77" i="19" s="1"/>
  <c r="CW77" i="19" s="1"/>
  <c r="BL84" i="19"/>
  <c r="BT84" i="19" s="1"/>
  <c r="CL84" i="19" s="1"/>
  <c r="CX84" i="19" s="1"/>
  <c r="BS84" i="19"/>
  <c r="CK84" i="19" s="1"/>
  <c r="CW84" i="19" s="1"/>
  <c r="BG66" i="19"/>
  <c r="BO66" i="19" s="1"/>
  <c r="CG66" i="19" s="1"/>
  <c r="CS66" i="19" s="1"/>
  <c r="BN66" i="19"/>
  <c r="CF66" i="19" s="1"/>
  <c r="CR66" i="19" s="1"/>
  <c r="BK63" i="19"/>
  <c r="BR63" i="19"/>
  <c r="CJ63" i="19" s="1"/>
  <c r="CV63" i="19" s="1"/>
  <c r="CT51" i="19"/>
  <c r="BK48" i="19"/>
  <c r="BR48" i="19"/>
  <c r="CJ48" i="19" s="1"/>
  <c r="CV48" i="19" s="1"/>
  <c r="BK45" i="19"/>
  <c r="BR45" i="19"/>
  <c r="CJ45" i="19" s="1"/>
  <c r="CV45" i="19" s="1"/>
  <c r="BL46" i="19"/>
  <c r="BT46" i="19" s="1"/>
  <c r="CL46" i="19" s="1"/>
  <c r="CX46" i="19" s="1"/>
  <c r="BS46" i="19"/>
  <c r="CK46" i="19" s="1"/>
  <c r="CW46" i="19" s="1"/>
  <c r="BK27" i="19"/>
  <c r="BR27" i="19"/>
  <c r="CJ27" i="19" s="1"/>
  <c r="BK16" i="19"/>
  <c r="BR16" i="19"/>
  <c r="CJ16" i="19" s="1"/>
  <c r="CV16" i="19" s="1"/>
  <c r="BR31" i="19"/>
  <c r="CJ31" i="19" s="1"/>
  <c r="CV31" i="19" s="1"/>
  <c r="BK31" i="19"/>
  <c r="X51" i="16" l="1"/>
  <c r="X51" i="31"/>
  <c r="X51" i="27"/>
  <c r="BK80" i="19"/>
  <c r="BK120" i="19"/>
  <c r="BR120" i="19"/>
  <c r="CJ120" i="19" s="1"/>
  <c r="CV120" i="19" s="1"/>
  <c r="BK128" i="19"/>
  <c r="BR128" i="19"/>
  <c r="CJ128" i="19" s="1"/>
  <c r="CV128" i="19" s="1"/>
  <c r="BR96" i="19"/>
  <c r="BK96" i="19"/>
  <c r="BS38" i="19"/>
  <c r="CK38" i="19" s="1"/>
  <c r="CW38" i="19" s="1"/>
  <c r="BK69" i="19"/>
  <c r="BR69" i="19"/>
  <c r="CJ69" i="19" s="1"/>
  <c r="CV69" i="19" s="1"/>
  <c r="BA51" i="24"/>
  <c r="AY51" i="24"/>
  <c r="AZ51" i="24"/>
  <c r="CP51" i="24" s="1"/>
  <c r="CG50" i="24"/>
  <c r="CS50" i="24" s="1"/>
  <c r="CS140" i="24" s="1"/>
  <c r="CF50" i="24"/>
  <c r="CR50" i="24" s="1"/>
  <c r="CR140" i="24" s="1"/>
  <c r="CH50" i="24"/>
  <c r="CE50" i="24"/>
  <c r="CI50" i="24"/>
  <c r="CJ50" i="24"/>
  <c r="CV50" i="24" s="1"/>
  <c r="CV140" i="24" s="1"/>
  <c r="CL50" i="24"/>
  <c r="CX50" i="24" s="1"/>
  <c r="CK50" i="24"/>
  <c r="CW50" i="24" s="1"/>
  <c r="CW140" i="24" s="1"/>
  <c r="AK51" i="24"/>
  <c r="CD51" i="24" s="1"/>
  <c r="AL51" i="24"/>
  <c r="AM51" i="24"/>
  <c r="CX49" i="24"/>
  <c r="X51" i="24"/>
  <c r="CQ144" i="19"/>
  <c r="CQ145" i="19"/>
  <c r="CF140" i="19"/>
  <c r="CR137" i="19"/>
  <c r="BK47" i="19"/>
  <c r="BR47" i="19"/>
  <c r="CJ47" i="19" s="1"/>
  <c r="CV47" i="19" s="1"/>
  <c r="CT146" i="19"/>
  <c r="CU33" i="19"/>
  <c r="CU138" i="19" s="1"/>
  <c r="BK18" i="19"/>
  <c r="BR18" i="19"/>
  <c r="CJ18" i="19" s="1"/>
  <c r="CV18" i="19" s="1"/>
  <c r="CU137" i="19"/>
  <c r="CS146" i="19"/>
  <c r="BR110" i="19"/>
  <c r="CJ110" i="19" s="1"/>
  <c r="CV110" i="19" s="1"/>
  <c r="BK110" i="19"/>
  <c r="CR146" i="19"/>
  <c r="BK30" i="19"/>
  <c r="BR30" i="19"/>
  <c r="CJ30" i="19" s="1"/>
  <c r="CV30" i="19" s="1"/>
  <c r="BK10" i="19"/>
  <c r="BR10" i="19"/>
  <c r="CJ10" i="19" s="1"/>
  <c r="CV10" i="19" s="1"/>
  <c r="BK91" i="19"/>
  <c r="BR91" i="19"/>
  <c r="CJ91" i="19" s="1"/>
  <c r="CV91" i="19" s="1"/>
  <c r="BK34" i="19"/>
  <c r="BR34" i="19"/>
  <c r="CJ34" i="19" s="1"/>
  <c r="CV34" i="19" s="1"/>
  <c r="BK94" i="19"/>
  <c r="BR94" i="19"/>
  <c r="CJ94" i="19" s="1"/>
  <c r="CV94" i="19" s="1"/>
  <c r="BR98" i="19"/>
  <c r="CJ98" i="19" s="1"/>
  <c r="CV98" i="19" s="1"/>
  <c r="BK98" i="19"/>
  <c r="BS85" i="19"/>
  <c r="BL85" i="19"/>
  <c r="BT85" i="19" s="1"/>
  <c r="CL85" i="19" s="1"/>
  <c r="CX85" i="19" s="1"/>
  <c r="BK78" i="19"/>
  <c r="BR78" i="19"/>
  <c r="BR88" i="19"/>
  <c r="BK88" i="19"/>
  <c r="BK106" i="19"/>
  <c r="BR106" i="19"/>
  <c r="BR72" i="19"/>
  <c r="BK72" i="19"/>
  <c r="BS114" i="19"/>
  <c r="CK114" i="19" s="1"/>
  <c r="CW114" i="19" s="1"/>
  <c r="BL114" i="19"/>
  <c r="BT114" i="19" s="1"/>
  <c r="CL114" i="19" s="1"/>
  <c r="CX114" i="19" s="1"/>
  <c r="BK37" i="19"/>
  <c r="BR37" i="19"/>
  <c r="CJ37" i="19" s="1"/>
  <c r="CV37" i="19" s="1"/>
  <c r="BS111" i="19"/>
  <c r="CK111" i="19" s="1"/>
  <c r="CW111" i="19" s="1"/>
  <c r="BL111" i="19"/>
  <c r="BT111" i="19" s="1"/>
  <c r="CL111" i="19" s="1"/>
  <c r="CX111" i="19" s="1"/>
  <c r="BL39" i="19"/>
  <c r="BT39" i="19" s="1"/>
  <c r="BS39" i="19"/>
  <c r="CK39" i="19" s="1"/>
  <c r="CW39" i="19" s="1"/>
  <c r="BK58" i="19"/>
  <c r="BR58" i="19"/>
  <c r="BR36" i="19"/>
  <c r="BK36" i="19"/>
  <c r="CT144" i="19"/>
  <c r="CT145" i="19"/>
  <c r="CT139" i="19"/>
  <c r="CR140" i="19"/>
  <c r="CR138" i="19"/>
  <c r="CS138" i="19"/>
  <c r="CT141" i="19"/>
  <c r="CS141" i="19"/>
  <c r="CT137" i="19"/>
  <c r="CQ138" i="19"/>
  <c r="CS140" i="19"/>
  <c r="CG144" i="19"/>
  <c r="CQ141" i="19"/>
  <c r="CT138" i="19"/>
  <c r="CQ139" i="19"/>
  <c r="CU140" i="19"/>
  <c r="CU139" i="19"/>
  <c r="CT140" i="19"/>
  <c r="CS137" i="19"/>
  <c r="CF144" i="19"/>
  <c r="CT143" i="19"/>
  <c r="CT142" i="19"/>
  <c r="CQ146" i="19"/>
  <c r="CQ140" i="19"/>
  <c r="CJ140" i="19"/>
  <c r="CQ142" i="19"/>
  <c r="CQ143" i="19"/>
  <c r="CF143" i="19"/>
  <c r="CF141" i="19"/>
  <c r="CG141" i="19"/>
  <c r="CG143" i="19"/>
  <c r="CI143" i="19"/>
  <c r="CS142" i="19"/>
  <c r="CG139" i="19"/>
  <c r="CI141" i="19"/>
  <c r="CI142" i="19"/>
  <c r="CF142" i="19"/>
  <c r="CI146" i="19"/>
  <c r="CI145" i="19"/>
  <c r="CF139" i="19"/>
  <c r="CG142" i="19"/>
  <c r="CU142" i="19"/>
  <c r="R53" i="17"/>
  <c r="AE52" i="17"/>
  <c r="AD52" i="17"/>
  <c r="AC52" i="17"/>
  <c r="AB52" i="17"/>
  <c r="AA52" i="17"/>
  <c r="Z52" i="17"/>
  <c r="T52" i="17"/>
  <c r="S52" i="17"/>
  <c r="X52" i="15" s="1"/>
  <c r="X52" i="17"/>
  <c r="X52" i="14" s="1"/>
  <c r="W52" i="17"/>
  <c r="V52" i="17"/>
  <c r="X52" i="3" s="1"/>
  <c r="U52" i="17"/>
  <c r="X52" i="7" s="1"/>
  <c r="CU145" i="19"/>
  <c r="CR143" i="19"/>
  <c r="CU141" i="19"/>
  <c r="CS143" i="19"/>
  <c r="CU143" i="19"/>
  <c r="BL32" i="19"/>
  <c r="BT32" i="19" s="1"/>
  <c r="CL32" i="19" s="1"/>
  <c r="CX32" i="19" s="1"/>
  <c r="BS32" i="19"/>
  <c r="CK32" i="19" s="1"/>
  <c r="CW32" i="19" s="1"/>
  <c r="BL45" i="19"/>
  <c r="BT45" i="19" s="1"/>
  <c r="CL45" i="19" s="1"/>
  <c r="CX45" i="19" s="1"/>
  <c r="BS45" i="19"/>
  <c r="CK45" i="19" s="1"/>
  <c r="CW45" i="19" s="1"/>
  <c r="BK102" i="19"/>
  <c r="BR102" i="19"/>
  <c r="CJ102" i="19" s="1"/>
  <c r="CV102" i="19" s="1"/>
  <c r="BL27" i="19"/>
  <c r="BT27" i="19" s="1"/>
  <c r="CL27" i="19" s="1"/>
  <c r="BS27" i="19"/>
  <c r="CK27" i="19" s="1"/>
  <c r="BS68" i="19"/>
  <c r="CK68" i="19" s="1"/>
  <c r="CW68" i="19" s="1"/>
  <c r="BL68" i="19"/>
  <c r="BT68" i="19" s="1"/>
  <c r="CL68" i="19" s="1"/>
  <c r="CX68" i="19" s="1"/>
  <c r="CS124" i="19"/>
  <c r="CS145" i="19" s="1"/>
  <c r="BL54" i="19"/>
  <c r="BT54" i="19" s="1"/>
  <c r="CL54" i="19" s="1"/>
  <c r="CX54" i="19" s="1"/>
  <c r="BS54" i="19"/>
  <c r="CK54" i="19" s="1"/>
  <c r="CW54" i="19" s="1"/>
  <c r="BS64" i="19"/>
  <c r="CK64" i="19" s="1"/>
  <c r="CW64" i="19" s="1"/>
  <c r="BL64" i="19"/>
  <c r="BT64" i="19" s="1"/>
  <c r="CL64" i="19" s="1"/>
  <c r="CX64" i="19" s="1"/>
  <c r="BS90" i="19"/>
  <c r="CK90" i="19" s="1"/>
  <c r="CW90" i="19" s="1"/>
  <c r="BL90" i="19"/>
  <c r="BT90" i="19" s="1"/>
  <c r="CL90" i="19" s="1"/>
  <c r="CX90" i="19" s="1"/>
  <c r="BL74" i="19"/>
  <c r="BT74" i="19" s="1"/>
  <c r="CL74" i="19" s="1"/>
  <c r="CX74" i="19" s="1"/>
  <c r="BS74" i="19"/>
  <c r="CK74" i="19" s="1"/>
  <c r="CW74" i="19" s="1"/>
  <c r="BL107" i="19"/>
  <c r="BT107" i="19" s="1"/>
  <c r="CL107" i="19" s="1"/>
  <c r="CX107" i="19" s="1"/>
  <c r="BS107" i="19"/>
  <c r="CK107" i="19" s="1"/>
  <c r="CW107" i="19" s="1"/>
  <c r="BL52" i="19"/>
  <c r="BT52" i="19" s="1"/>
  <c r="CL52" i="19" s="1"/>
  <c r="CX52" i="19" s="1"/>
  <c r="BS52" i="19"/>
  <c r="CK52" i="19" s="1"/>
  <c r="CW52" i="19" s="1"/>
  <c r="BL40" i="19"/>
  <c r="BT40" i="19" s="1"/>
  <c r="CL40" i="19" s="1"/>
  <c r="CX40" i="19" s="1"/>
  <c r="BS40" i="19"/>
  <c r="CK40" i="19" s="1"/>
  <c r="CW40" i="19" s="1"/>
  <c r="CX119" i="19"/>
  <c r="CV127" i="19"/>
  <c r="CR142" i="19"/>
  <c r="BL100" i="19"/>
  <c r="BT100" i="19" s="1"/>
  <c r="CL100" i="19" s="1"/>
  <c r="CX100" i="19" s="1"/>
  <c r="BS100" i="19"/>
  <c r="CK100" i="19" s="1"/>
  <c r="CW100" i="19" s="1"/>
  <c r="BL115" i="19"/>
  <c r="BT115" i="19" s="1"/>
  <c r="CL115" i="19" s="1"/>
  <c r="CX115" i="19" s="1"/>
  <c r="BS115" i="19"/>
  <c r="CK115" i="19" s="1"/>
  <c r="CW115" i="19" s="1"/>
  <c r="BL15" i="19"/>
  <c r="BT15" i="19" s="1"/>
  <c r="CL15" i="19" s="1"/>
  <c r="CX15" i="19" s="1"/>
  <c r="BS15" i="19"/>
  <c r="CK15" i="19" s="1"/>
  <c r="CW15" i="19" s="1"/>
  <c r="BK60" i="19"/>
  <c r="BR60" i="19"/>
  <c r="CJ60" i="19" s="1"/>
  <c r="CV60" i="19" s="1"/>
  <c r="BK7" i="19"/>
  <c r="BS7" i="19"/>
  <c r="CK7" i="19" s="1"/>
  <c r="CK136" i="19" s="1"/>
  <c r="BS59" i="19"/>
  <c r="CK59" i="19" s="1"/>
  <c r="CW59" i="19" s="1"/>
  <c r="BL59" i="19"/>
  <c r="BT59" i="19" s="1"/>
  <c r="CL59" i="19" s="1"/>
  <c r="CX59" i="19" s="1"/>
  <c r="BK65" i="19"/>
  <c r="BR65" i="19"/>
  <c r="CJ65" i="19" s="1"/>
  <c r="CV65" i="19" s="1"/>
  <c r="BR126" i="19"/>
  <c r="CJ126" i="19" s="1"/>
  <c r="CV126" i="19" s="1"/>
  <c r="BK126" i="19"/>
  <c r="BR123" i="19"/>
  <c r="CJ123" i="19" s="1"/>
  <c r="BK123" i="19"/>
  <c r="BL48" i="19"/>
  <c r="BT48" i="19" s="1"/>
  <c r="CL48" i="19" s="1"/>
  <c r="CX48" i="19" s="1"/>
  <c r="BS48" i="19"/>
  <c r="CK48" i="19" s="1"/>
  <c r="CW48" i="19" s="1"/>
  <c r="CV97" i="19"/>
  <c r="CW119" i="19"/>
  <c r="BL57" i="19"/>
  <c r="BT57" i="19" s="1"/>
  <c r="CL57" i="19" s="1"/>
  <c r="CX57" i="19" s="1"/>
  <c r="BS57" i="19"/>
  <c r="CK57" i="19" s="1"/>
  <c r="CW57" i="19" s="1"/>
  <c r="BS97" i="19"/>
  <c r="CK97" i="19" s="1"/>
  <c r="BL97" i="19"/>
  <c r="BT97" i="19" s="1"/>
  <c r="CL97" i="19" s="1"/>
  <c r="BS127" i="19"/>
  <c r="CK127" i="19" s="1"/>
  <c r="BL127" i="19"/>
  <c r="BT127" i="19" s="1"/>
  <c r="CL127" i="19" s="1"/>
  <c r="CU146" i="19"/>
  <c r="BL22" i="19"/>
  <c r="BT22" i="19" s="1"/>
  <c r="CL22" i="19" s="1"/>
  <c r="CX22" i="19" s="1"/>
  <c r="BS22" i="19"/>
  <c r="CK22" i="19" s="1"/>
  <c r="CW22" i="19" s="1"/>
  <c r="BL56" i="19"/>
  <c r="BT56" i="19" s="1"/>
  <c r="CL56" i="19" s="1"/>
  <c r="CX56" i="19" s="1"/>
  <c r="BS56" i="19"/>
  <c r="CK56" i="19" s="1"/>
  <c r="CW56" i="19" s="1"/>
  <c r="CQ137" i="19"/>
  <c r="CQ133" i="19"/>
  <c r="CV7" i="19"/>
  <c r="CV8" i="19"/>
  <c r="BS41" i="19"/>
  <c r="CK41" i="19" s="1"/>
  <c r="CW41" i="19" s="1"/>
  <c r="BL41" i="19"/>
  <c r="BT41" i="19" s="1"/>
  <c r="CL41" i="19" s="1"/>
  <c r="CX41" i="19" s="1"/>
  <c r="BS79" i="19"/>
  <c r="CK79" i="19" s="1"/>
  <c r="CW79" i="19" s="1"/>
  <c r="BL79" i="19"/>
  <c r="BT79" i="19" s="1"/>
  <c r="CL79" i="19" s="1"/>
  <c r="CX79" i="19" s="1"/>
  <c r="BS12" i="19"/>
  <c r="CK12" i="19" s="1"/>
  <c r="CW12" i="19" s="1"/>
  <c r="BL12" i="19"/>
  <c r="BT12" i="19" s="1"/>
  <c r="CL12" i="19" s="1"/>
  <c r="CX12" i="19" s="1"/>
  <c r="CV51" i="19"/>
  <c r="BS28" i="19"/>
  <c r="CK28" i="19" s="1"/>
  <c r="CW28" i="19" s="1"/>
  <c r="BL28" i="19"/>
  <c r="BT28" i="19" s="1"/>
  <c r="CL28" i="19" s="1"/>
  <c r="CX28" i="19" s="1"/>
  <c r="BL31" i="19"/>
  <c r="BT31" i="19" s="1"/>
  <c r="CL31" i="19" s="1"/>
  <c r="CX31" i="19" s="1"/>
  <c r="BS31" i="19"/>
  <c r="CK31" i="19" s="1"/>
  <c r="CW31" i="19" s="1"/>
  <c r="BL67" i="19"/>
  <c r="BT67" i="19" s="1"/>
  <c r="CL67" i="19" s="1"/>
  <c r="BS67" i="19"/>
  <c r="CK67" i="19" s="1"/>
  <c r="BK112" i="19"/>
  <c r="BR112" i="19"/>
  <c r="CJ112" i="19" s="1"/>
  <c r="CJ144" i="19" s="1"/>
  <c r="CR139" i="19"/>
  <c r="CU136" i="19"/>
  <c r="BS95" i="19"/>
  <c r="CK95" i="19" s="1"/>
  <c r="CW95" i="19" s="1"/>
  <c r="BL95" i="19"/>
  <c r="BT95" i="19" s="1"/>
  <c r="CL95" i="19" s="1"/>
  <c r="CX95" i="19" s="1"/>
  <c r="BL8" i="19"/>
  <c r="BT8" i="19" s="1"/>
  <c r="CL8" i="19" s="1"/>
  <c r="BS8" i="19"/>
  <c r="CK8" i="19" s="1"/>
  <c r="CV43" i="19"/>
  <c r="CV140" i="19" s="1"/>
  <c r="BL75" i="19"/>
  <c r="BT75" i="19" s="1"/>
  <c r="CL75" i="19" s="1"/>
  <c r="CX75" i="19" s="1"/>
  <c r="BS75" i="19"/>
  <c r="CK75" i="19" s="1"/>
  <c r="CW75" i="19" s="1"/>
  <c r="BL11" i="19"/>
  <c r="BT11" i="19" s="1"/>
  <c r="CL11" i="19" s="1"/>
  <c r="CX11" i="19" s="1"/>
  <c r="BS11" i="19"/>
  <c r="CK11" i="19" s="1"/>
  <c r="CW11" i="19" s="1"/>
  <c r="BS108" i="19"/>
  <c r="CK108" i="19" s="1"/>
  <c r="CW108" i="19" s="1"/>
  <c r="BL108" i="19"/>
  <c r="BT108" i="19" s="1"/>
  <c r="CL108" i="19" s="1"/>
  <c r="CX108" i="19" s="1"/>
  <c r="CV67" i="19"/>
  <c r="BR103" i="19"/>
  <c r="CJ103" i="19" s="1"/>
  <c r="CV103" i="19" s="1"/>
  <c r="BK103" i="19"/>
  <c r="BL118" i="19"/>
  <c r="BT118" i="19" s="1"/>
  <c r="CL118" i="19" s="1"/>
  <c r="CX118" i="19" s="1"/>
  <c r="BS118" i="19"/>
  <c r="CK118" i="19" s="1"/>
  <c r="CW118" i="19" s="1"/>
  <c r="BS49" i="19"/>
  <c r="CK49" i="19" s="1"/>
  <c r="CW49" i="19" s="1"/>
  <c r="BL49" i="19"/>
  <c r="BT49" i="19" s="1"/>
  <c r="CL49" i="19" s="1"/>
  <c r="CX49" i="19" s="1"/>
  <c r="BL81" i="19"/>
  <c r="BT81" i="19" s="1"/>
  <c r="CL81" i="19" s="1"/>
  <c r="CX81" i="19" s="1"/>
  <c r="BS81" i="19"/>
  <c r="CK81" i="19" s="1"/>
  <c r="CW81" i="19" s="1"/>
  <c r="CU112" i="19"/>
  <c r="CU144" i="19" s="1"/>
  <c r="BL23" i="19"/>
  <c r="BT23" i="19" s="1"/>
  <c r="CL23" i="19" s="1"/>
  <c r="CX23" i="19" s="1"/>
  <c r="BS23" i="19"/>
  <c r="CK23" i="19" s="1"/>
  <c r="CW23" i="19" s="1"/>
  <c r="BL92" i="19"/>
  <c r="BT92" i="19" s="1"/>
  <c r="CL92" i="19" s="1"/>
  <c r="CX92" i="19" s="1"/>
  <c r="BS92" i="19"/>
  <c r="CK92" i="19" s="1"/>
  <c r="CW92" i="19" s="1"/>
  <c r="BL43" i="19"/>
  <c r="BT43" i="19" s="1"/>
  <c r="CL43" i="19" s="1"/>
  <c r="BS43" i="19"/>
  <c r="CK43" i="19" s="1"/>
  <c r="BS93" i="19"/>
  <c r="CK93" i="19" s="1"/>
  <c r="CW93" i="19" s="1"/>
  <c r="BL93" i="19"/>
  <c r="BT93" i="19" s="1"/>
  <c r="CL93" i="19" s="1"/>
  <c r="CX93" i="19" s="1"/>
  <c r="BL83" i="19"/>
  <c r="BT83" i="19" s="1"/>
  <c r="CL83" i="19" s="1"/>
  <c r="CX83" i="19" s="1"/>
  <c r="BS83" i="19"/>
  <c r="CK83" i="19" s="1"/>
  <c r="CW83" i="19" s="1"/>
  <c r="BS104" i="19"/>
  <c r="CK104" i="19" s="1"/>
  <c r="CW104" i="19" s="1"/>
  <c r="BL104" i="19"/>
  <c r="BT104" i="19" s="1"/>
  <c r="CL104" i="19" s="1"/>
  <c r="CX104" i="19" s="1"/>
  <c r="BL35" i="19"/>
  <c r="BT35" i="19" s="1"/>
  <c r="CL35" i="19" s="1"/>
  <c r="BS35" i="19"/>
  <c r="CK35" i="19" s="1"/>
  <c r="BK99" i="19"/>
  <c r="BR99" i="19"/>
  <c r="CJ99" i="19" s="1"/>
  <c r="CV99" i="19" s="1"/>
  <c r="BL19" i="19"/>
  <c r="BT19" i="19" s="1"/>
  <c r="CL19" i="19" s="1"/>
  <c r="CX19" i="19" s="1"/>
  <c r="BS19" i="19"/>
  <c r="CK19" i="19" s="1"/>
  <c r="CW19" i="19" s="1"/>
  <c r="BR130" i="19"/>
  <c r="CJ130" i="19" s="1"/>
  <c r="CV130" i="19" s="1"/>
  <c r="BK130" i="19"/>
  <c r="BS20" i="19"/>
  <c r="CK20" i="19" s="1"/>
  <c r="CW20" i="19" s="1"/>
  <c r="BL20" i="19"/>
  <c r="BT20" i="19" s="1"/>
  <c r="CL20" i="19" s="1"/>
  <c r="CX20" i="19" s="1"/>
  <c r="BL51" i="19"/>
  <c r="BT51" i="19" s="1"/>
  <c r="CL51" i="19" s="1"/>
  <c r="BS51" i="19"/>
  <c r="CK51" i="19" s="1"/>
  <c r="BR131" i="19"/>
  <c r="CJ131" i="19" s="1"/>
  <c r="CV131" i="19" s="1"/>
  <c r="BK131" i="19"/>
  <c r="CS110" i="19"/>
  <c r="CS144" i="19" s="1"/>
  <c r="BL86" i="19"/>
  <c r="BT86" i="19" s="1"/>
  <c r="CL86" i="19" s="1"/>
  <c r="CX86" i="19" s="1"/>
  <c r="BS86" i="19"/>
  <c r="CK86" i="19" s="1"/>
  <c r="CW86" i="19" s="1"/>
  <c r="CR141" i="19"/>
  <c r="CS139" i="19"/>
  <c r="BL53" i="19"/>
  <c r="BT53" i="19" s="1"/>
  <c r="CL53" i="19" s="1"/>
  <c r="CX53" i="19" s="1"/>
  <c r="BS53" i="19"/>
  <c r="CK53" i="19" s="1"/>
  <c r="CW53" i="19" s="1"/>
  <c r="BL62" i="19"/>
  <c r="BT62" i="19" s="1"/>
  <c r="CL62" i="19" s="1"/>
  <c r="CX62" i="19" s="1"/>
  <c r="BS62" i="19"/>
  <c r="CK62" i="19" s="1"/>
  <c r="CW62" i="19" s="1"/>
  <c r="CT133" i="19"/>
  <c r="BL44" i="19"/>
  <c r="BT44" i="19" s="1"/>
  <c r="CL44" i="19" s="1"/>
  <c r="CX44" i="19" s="1"/>
  <c r="BS44" i="19"/>
  <c r="CK44" i="19" s="1"/>
  <c r="CW44" i="19" s="1"/>
  <c r="BL73" i="19"/>
  <c r="BT73" i="19" s="1"/>
  <c r="CL73" i="19" s="1"/>
  <c r="CX73" i="19" s="1"/>
  <c r="BS73" i="19"/>
  <c r="CK73" i="19" s="1"/>
  <c r="CW73" i="19" s="1"/>
  <c r="BL16" i="19"/>
  <c r="BT16" i="19" s="1"/>
  <c r="CL16" i="19" s="1"/>
  <c r="CX16" i="19" s="1"/>
  <c r="BS16" i="19"/>
  <c r="CK16" i="19" s="1"/>
  <c r="CW16" i="19" s="1"/>
  <c r="CV27" i="19"/>
  <c r="BL63" i="19"/>
  <c r="BT63" i="19" s="1"/>
  <c r="CL63" i="19" s="1"/>
  <c r="CX63" i="19" s="1"/>
  <c r="BS63" i="19"/>
  <c r="CK63" i="19" s="1"/>
  <c r="CW63" i="19" s="1"/>
  <c r="BS117" i="19"/>
  <c r="CK117" i="19" s="1"/>
  <c r="CW117" i="19" s="1"/>
  <c r="BL117" i="19"/>
  <c r="BT117" i="19" s="1"/>
  <c r="CL117" i="19" s="1"/>
  <c r="CX117" i="19" s="1"/>
  <c r="BL116" i="19"/>
  <c r="BT116" i="19" s="1"/>
  <c r="CL116" i="19" s="1"/>
  <c r="CX116" i="19" s="1"/>
  <c r="BS116" i="19"/>
  <c r="CK116" i="19" s="1"/>
  <c r="CW116" i="19" s="1"/>
  <c r="BS82" i="19"/>
  <c r="CK82" i="19" s="1"/>
  <c r="CW82" i="19" s="1"/>
  <c r="BL82" i="19"/>
  <c r="BT82" i="19" s="1"/>
  <c r="CL82" i="19" s="1"/>
  <c r="CX82" i="19" s="1"/>
  <c r="CR110" i="19"/>
  <c r="CR144" i="19" s="1"/>
  <c r="BL14" i="19"/>
  <c r="BT14" i="19" s="1"/>
  <c r="CL14" i="19" s="1"/>
  <c r="CX14" i="19" s="1"/>
  <c r="BS14" i="19"/>
  <c r="CK14" i="19" s="1"/>
  <c r="CW14" i="19" s="1"/>
  <c r="BL55" i="19"/>
  <c r="BT55" i="19" s="1"/>
  <c r="CL55" i="19" s="1"/>
  <c r="CX55" i="19" s="1"/>
  <c r="BS55" i="19"/>
  <c r="CK55" i="19" s="1"/>
  <c r="CW55" i="19" s="1"/>
  <c r="CR124" i="19"/>
  <c r="CR145" i="19" s="1"/>
  <c r="BL24" i="19"/>
  <c r="BT24" i="19" s="1"/>
  <c r="CL24" i="19" s="1"/>
  <c r="CX24" i="19" s="1"/>
  <c r="BS24" i="19"/>
  <c r="CK24" i="19" s="1"/>
  <c r="CW24" i="19" s="1"/>
  <c r="BS87" i="19"/>
  <c r="CK87" i="19" s="1"/>
  <c r="CW87" i="19" s="1"/>
  <c r="BL87" i="19"/>
  <c r="BT87" i="19" s="1"/>
  <c r="CL87" i="19" s="1"/>
  <c r="CX87" i="19" s="1"/>
  <c r="BL132" i="19"/>
  <c r="BT132" i="19" s="1"/>
  <c r="CL132" i="19" s="1"/>
  <c r="CX132" i="19" s="1"/>
  <c r="BS132" i="19"/>
  <c r="CK132" i="19" s="1"/>
  <c r="CW132" i="19" s="1"/>
  <c r="BL80" i="19"/>
  <c r="BT80" i="19" s="1"/>
  <c r="CL80" i="19" s="1"/>
  <c r="CX80" i="19" s="1"/>
  <c r="BS80" i="19"/>
  <c r="CK80" i="19" s="1"/>
  <c r="CW80" i="19" s="1"/>
  <c r="BR71" i="19"/>
  <c r="CJ71" i="19" s="1"/>
  <c r="CV71" i="19" s="1"/>
  <c r="BK71" i="19"/>
  <c r="X52" i="12" l="1"/>
  <c r="CJ137" i="19"/>
  <c r="CJ140" i="24"/>
  <c r="BS69" i="19"/>
  <c r="CK69" i="19" s="1"/>
  <c r="CW69" i="19" s="1"/>
  <c r="BL69" i="19"/>
  <c r="BT69" i="19" s="1"/>
  <c r="CL69" i="19" s="1"/>
  <c r="CX69" i="19" s="1"/>
  <c r="BL96" i="19"/>
  <c r="BT96" i="19" s="1"/>
  <c r="BS96" i="19"/>
  <c r="CK96" i="19" s="1"/>
  <c r="CW96" i="19" s="1"/>
  <c r="BL128" i="19"/>
  <c r="BT128" i="19" s="1"/>
  <c r="BS128" i="19"/>
  <c r="BS120" i="19"/>
  <c r="BL120" i="19"/>
  <c r="BT120" i="19" s="1"/>
  <c r="CL120" i="19" s="1"/>
  <c r="CX120" i="19" s="1"/>
  <c r="CL140" i="24"/>
  <c r="CX140" i="24"/>
  <c r="CF140" i="24"/>
  <c r="AK52" i="24"/>
  <c r="CD52" i="24" s="1"/>
  <c r="AL52" i="24"/>
  <c r="AM52" i="24"/>
  <c r="CQ50" i="24"/>
  <c r="CE140" i="24"/>
  <c r="CI51" i="24"/>
  <c r="CE51" i="24"/>
  <c r="CG51" i="24"/>
  <c r="CF51" i="24"/>
  <c r="CH51" i="24"/>
  <c r="CJ51" i="24"/>
  <c r="CL51" i="24"/>
  <c r="CK51" i="24"/>
  <c r="CT50" i="24"/>
  <c r="CH140" i="24"/>
  <c r="BA52" i="24"/>
  <c r="AY52" i="24"/>
  <c r="AZ52" i="24"/>
  <c r="CP52" i="24" s="1"/>
  <c r="CK140" i="24"/>
  <c r="CG140" i="24"/>
  <c r="CU50" i="24"/>
  <c r="CU140" i="24" s="1"/>
  <c r="CI140" i="24"/>
  <c r="X52" i="24"/>
  <c r="X52" i="19"/>
  <c r="CV139" i="19"/>
  <c r="CV138" i="19"/>
  <c r="CJ138" i="19"/>
  <c r="BL18" i="19"/>
  <c r="BT18" i="19" s="1"/>
  <c r="CL18" i="19" s="1"/>
  <c r="CX18" i="19" s="1"/>
  <c r="BS18" i="19"/>
  <c r="CK18" i="19" s="1"/>
  <c r="CW18" i="19" s="1"/>
  <c r="BL110" i="19"/>
  <c r="BT110" i="19" s="1"/>
  <c r="CL110" i="19" s="1"/>
  <c r="CX110" i="19" s="1"/>
  <c r="BS110" i="19"/>
  <c r="CK110" i="19" s="1"/>
  <c r="CW110" i="19" s="1"/>
  <c r="CV137" i="19"/>
  <c r="BS47" i="19"/>
  <c r="CK47" i="19" s="1"/>
  <c r="CW47" i="19" s="1"/>
  <c r="BL47" i="19"/>
  <c r="BT47" i="19" s="1"/>
  <c r="CL47" i="19" s="1"/>
  <c r="CX47" i="19" s="1"/>
  <c r="BL58" i="19"/>
  <c r="BT58" i="19" s="1"/>
  <c r="CL58" i="19" s="1"/>
  <c r="CX58" i="19" s="1"/>
  <c r="BS58" i="19"/>
  <c r="CK58" i="19" s="1"/>
  <c r="CW58" i="19" s="1"/>
  <c r="BS78" i="19"/>
  <c r="BL78" i="19"/>
  <c r="BT78" i="19" s="1"/>
  <c r="BL34" i="19"/>
  <c r="BT34" i="19" s="1"/>
  <c r="CL34" i="19" s="1"/>
  <c r="CX34" i="19" s="1"/>
  <c r="BS34" i="19"/>
  <c r="CK34" i="19" s="1"/>
  <c r="CW34" i="19" s="1"/>
  <c r="BL72" i="19"/>
  <c r="BT72" i="19" s="1"/>
  <c r="BS72" i="19"/>
  <c r="CK72" i="19" s="1"/>
  <c r="CW72" i="19" s="1"/>
  <c r="BS91" i="19"/>
  <c r="CK91" i="19" s="1"/>
  <c r="CW91" i="19" s="1"/>
  <c r="BL91" i="19"/>
  <c r="BT91" i="19" s="1"/>
  <c r="CL91" i="19" s="1"/>
  <c r="CX91" i="19" s="1"/>
  <c r="BL98" i="19"/>
  <c r="BT98" i="19" s="1"/>
  <c r="CL98" i="19" s="1"/>
  <c r="CX98" i="19" s="1"/>
  <c r="BS98" i="19"/>
  <c r="CK98" i="19" s="1"/>
  <c r="CW98" i="19" s="1"/>
  <c r="BS106" i="19"/>
  <c r="BL106" i="19"/>
  <c r="BT106" i="19" s="1"/>
  <c r="CL106" i="19" s="1"/>
  <c r="CX106" i="19" s="1"/>
  <c r="BS10" i="19"/>
  <c r="CK10" i="19" s="1"/>
  <c r="CW10" i="19" s="1"/>
  <c r="BL10" i="19"/>
  <c r="BT10" i="19" s="1"/>
  <c r="CL10" i="19" s="1"/>
  <c r="CX10" i="19" s="1"/>
  <c r="CJ139" i="19"/>
  <c r="BS36" i="19"/>
  <c r="BL36" i="19"/>
  <c r="BT36" i="19" s="1"/>
  <c r="CL36" i="19" s="1"/>
  <c r="CX36" i="19" s="1"/>
  <c r="BL88" i="19"/>
  <c r="BT88" i="19" s="1"/>
  <c r="CL88" i="19" s="1"/>
  <c r="CX88" i="19" s="1"/>
  <c r="BS88" i="19"/>
  <c r="CK88" i="19" s="1"/>
  <c r="CW88" i="19" s="1"/>
  <c r="BS37" i="19"/>
  <c r="CK37" i="19" s="1"/>
  <c r="CW37" i="19" s="1"/>
  <c r="BL37" i="19"/>
  <c r="BT37" i="19" s="1"/>
  <c r="CL37" i="19" s="1"/>
  <c r="CX37" i="19" s="1"/>
  <c r="BL94" i="19"/>
  <c r="BT94" i="19" s="1"/>
  <c r="CL94" i="19" s="1"/>
  <c r="CX94" i="19" s="1"/>
  <c r="BS94" i="19"/>
  <c r="CK94" i="19" s="1"/>
  <c r="CW94" i="19" s="1"/>
  <c r="BL30" i="19"/>
  <c r="BT30" i="19" s="1"/>
  <c r="CL30" i="19" s="1"/>
  <c r="CX30" i="19" s="1"/>
  <c r="BS30" i="19"/>
  <c r="CK30" i="19" s="1"/>
  <c r="CW30" i="19" s="1"/>
  <c r="CT147" i="19"/>
  <c r="CQ147" i="19"/>
  <c r="CK139" i="19"/>
  <c r="CJ145" i="19"/>
  <c r="CJ142" i="19"/>
  <c r="CJ141" i="19"/>
  <c r="CJ146" i="19"/>
  <c r="CJ143" i="19"/>
  <c r="CV136" i="19"/>
  <c r="R54" i="17"/>
  <c r="AE53" i="17"/>
  <c r="AD53" i="17"/>
  <c r="AC53" i="17"/>
  <c r="AB53" i="17"/>
  <c r="AA53" i="17"/>
  <c r="Z53" i="17"/>
  <c r="V53" i="17"/>
  <c r="X53" i="3" s="1"/>
  <c r="U53" i="17"/>
  <c r="X53" i="7" s="1"/>
  <c r="X53" i="12" s="1"/>
  <c r="T53" i="17"/>
  <c r="S53" i="17"/>
  <c r="X53" i="15" s="1"/>
  <c r="X53" i="17"/>
  <c r="X53" i="14" s="1"/>
  <c r="W53" i="17"/>
  <c r="X53" i="19" s="1"/>
  <c r="CS147" i="19"/>
  <c r="CV141" i="19"/>
  <c r="CW35" i="19"/>
  <c r="CW43" i="19"/>
  <c r="CV142" i="19"/>
  <c r="CX97" i="19"/>
  <c r="CV146" i="19"/>
  <c r="CX27" i="19"/>
  <c r="CX35" i="19"/>
  <c r="CU147" i="19"/>
  <c r="CW97" i="19"/>
  <c r="BL131" i="19"/>
  <c r="BT131" i="19" s="1"/>
  <c r="CL131" i="19" s="1"/>
  <c r="CX131" i="19" s="1"/>
  <c r="BS131" i="19"/>
  <c r="CK131" i="19" s="1"/>
  <c r="CW131" i="19" s="1"/>
  <c r="CX43" i="19"/>
  <c r="BS130" i="19"/>
  <c r="CK130" i="19" s="1"/>
  <c r="CW130" i="19" s="1"/>
  <c r="BL130" i="19"/>
  <c r="BT130" i="19" s="1"/>
  <c r="CL130" i="19" s="1"/>
  <c r="CX130" i="19" s="1"/>
  <c r="CU133" i="19"/>
  <c r="BL123" i="19"/>
  <c r="BT123" i="19" s="1"/>
  <c r="CL123" i="19" s="1"/>
  <c r="BS123" i="19"/>
  <c r="CK123" i="19" s="1"/>
  <c r="CW7" i="19"/>
  <c r="BL102" i="19"/>
  <c r="BT102" i="19" s="1"/>
  <c r="CL102" i="19" s="1"/>
  <c r="CX102" i="19" s="1"/>
  <c r="BS102" i="19"/>
  <c r="CK102" i="19" s="1"/>
  <c r="CW102" i="19" s="1"/>
  <c r="BL71" i="19"/>
  <c r="BT71" i="19" s="1"/>
  <c r="CL71" i="19" s="1"/>
  <c r="CX71" i="19" s="1"/>
  <c r="BS71" i="19"/>
  <c r="CK71" i="19" s="1"/>
  <c r="CW71" i="19" s="1"/>
  <c r="CW51" i="19"/>
  <c r="CR147" i="19"/>
  <c r="CV123" i="19"/>
  <c r="CV145" i="19" s="1"/>
  <c r="BL7" i="19"/>
  <c r="BT7" i="19"/>
  <c r="CL7" i="19" s="1"/>
  <c r="CL136" i="19" s="1"/>
  <c r="CX51" i="19"/>
  <c r="CW8" i="19"/>
  <c r="CV112" i="19"/>
  <c r="CV144" i="19" s="1"/>
  <c r="BL126" i="19"/>
  <c r="BT126" i="19" s="1"/>
  <c r="CL126" i="19" s="1"/>
  <c r="CX126" i="19" s="1"/>
  <c r="BS126" i="19"/>
  <c r="CK126" i="19" s="1"/>
  <c r="CW126" i="19" s="1"/>
  <c r="CX8" i="19"/>
  <c r="BL112" i="19"/>
  <c r="BT112" i="19" s="1"/>
  <c r="CL112" i="19" s="1"/>
  <c r="BS112" i="19"/>
  <c r="CK112" i="19" s="1"/>
  <c r="CK144" i="19" s="1"/>
  <c r="CR133" i="19"/>
  <c r="BL103" i="19"/>
  <c r="BT103" i="19" s="1"/>
  <c r="CL103" i="19" s="1"/>
  <c r="CX103" i="19" s="1"/>
  <c r="BS103" i="19"/>
  <c r="CK103" i="19" s="1"/>
  <c r="CW103" i="19" s="1"/>
  <c r="CW67" i="19"/>
  <c r="CX127" i="19"/>
  <c r="BL60" i="19"/>
  <c r="BT60" i="19" s="1"/>
  <c r="CL60" i="19" s="1"/>
  <c r="CX60" i="19" s="1"/>
  <c r="BS60" i="19"/>
  <c r="CK60" i="19" s="1"/>
  <c r="CW60" i="19" s="1"/>
  <c r="BL99" i="19"/>
  <c r="BT99" i="19" s="1"/>
  <c r="CL99" i="19" s="1"/>
  <c r="CX99" i="19" s="1"/>
  <c r="BS99" i="19"/>
  <c r="CK99" i="19" s="1"/>
  <c r="CW99" i="19" s="1"/>
  <c r="CX67" i="19"/>
  <c r="CW127" i="19"/>
  <c r="CV143" i="19"/>
  <c r="BL65" i="19"/>
  <c r="BT65" i="19" s="1"/>
  <c r="CL65" i="19" s="1"/>
  <c r="CX65" i="19" s="1"/>
  <c r="BS65" i="19"/>
  <c r="CK65" i="19" s="1"/>
  <c r="CW65" i="19" s="1"/>
  <c r="CW27" i="19"/>
  <c r="CS133" i="19"/>
  <c r="X53" i="27" l="1"/>
  <c r="X53" i="16"/>
  <c r="X53" i="31"/>
  <c r="X52" i="16"/>
  <c r="X52" i="31"/>
  <c r="X52" i="27"/>
  <c r="CX138" i="19"/>
  <c r="CL144" i="19"/>
  <c r="CK137" i="19"/>
  <c r="CW138" i="19"/>
  <c r="CQ51" i="24"/>
  <c r="CU51" i="24"/>
  <c r="CX51" i="24"/>
  <c r="AY53" i="24"/>
  <c r="AZ53" i="24"/>
  <c r="CP53" i="24" s="1"/>
  <c r="BA53" i="24"/>
  <c r="CW51" i="24"/>
  <c r="CT51" i="24"/>
  <c r="AL53" i="24"/>
  <c r="AM53" i="24"/>
  <c r="AK53" i="24"/>
  <c r="CD53" i="24" s="1"/>
  <c r="CV51" i="24"/>
  <c r="CR51" i="24"/>
  <c r="CS51" i="24"/>
  <c r="CH52" i="24"/>
  <c r="CT52" i="24" s="1"/>
  <c r="CE52" i="24"/>
  <c r="CQ52" i="24" s="1"/>
  <c r="CI52" i="24"/>
  <c r="CU52" i="24" s="1"/>
  <c r="CG52" i="24"/>
  <c r="CS52" i="24" s="1"/>
  <c r="CF52" i="24"/>
  <c r="CR52" i="24" s="1"/>
  <c r="CJ52" i="24"/>
  <c r="CV52" i="24" s="1"/>
  <c r="CK52" i="24"/>
  <c r="CW52" i="24" s="1"/>
  <c r="CL52" i="24"/>
  <c r="CX52" i="24" s="1"/>
  <c r="X53" i="24"/>
  <c r="CW137" i="19"/>
  <c r="CL138" i="19"/>
  <c r="CW139" i="19"/>
  <c r="CW140" i="19"/>
  <c r="CK140" i="19"/>
  <c r="CL139" i="19"/>
  <c r="CX140" i="19"/>
  <c r="CL140" i="19"/>
  <c r="CX137" i="19"/>
  <c r="CK138" i="19"/>
  <c r="CX139" i="19"/>
  <c r="CL137" i="19"/>
  <c r="CK145" i="19"/>
  <c r="CL143" i="19"/>
  <c r="CL145" i="19"/>
  <c r="CL142" i="19"/>
  <c r="CL146" i="19"/>
  <c r="CK143" i="19"/>
  <c r="CK146" i="19"/>
  <c r="CK141" i="19"/>
  <c r="CL141" i="19"/>
  <c r="CK142" i="19"/>
  <c r="CW136" i="19"/>
  <c r="CV133" i="19"/>
  <c r="R55" i="17"/>
  <c r="AA54" i="17"/>
  <c r="Z54" i="17"/>
  <c r="AE54" i="17"/>
  <c r="AD54" i="17"/>
  <c r="AC54" i="17"/>
  <c r="AB54" i="17"/>
  <c r="X54" i="17"/>
  <c r="X54" i="14" s="1"/>
  <c r="W54" i="17"/>
  <c r="X54" i="19" s="1"/>
  <c r="V54" i="17"/>
  <c r="X54" i="3" s="1"/>
  <c r="U54" i="17"/>
  <c r="X54" i="7" s="1"/>
  <c r="X54" i="12" s="1"/>
  <c r="T54" i="17"/>
  <c r="S54" i="17"/>
  <c r="X54" i="15" s="1"/>
  <c r="CW146" i="19"/>
  <c r="CX146" i="19"/>
  <c r="CX142" i="19"/>
  <c r="CV147" i="19"/>
  <c r="CW142" i="19"/>
  <c r="CX141" i="19"/>
  <c r="CW143" i="19"/>
  <c r="CW112" i="19"/>
  <c r="CW144" i="19" s="1"/>
  <c r="CX112" i="19"/>
  <c r="CX144" i="19" s="1"/>
  <c r="CX143" i="19"/>
  <c r="CW141" i="19"/>
  <c r="CX7" i="19"/>
  <c r="CW123" i="19"/>
  <c r="CW145" i="19" s="1"/>
  <c r="CX123" i="19"/>
  <c r="CX145" i="19" s="1"/>
  <c r="X54" i="31" l="1"/>
  <c r="X54" i="27"/>
  <c r="X54" i="16"/>
  <c r="AK54" i="24"/>
  <c r="CD54" i="24" s="1"/>
  <c r="AL54" i="24"/>
  <c r="AM54" i="24"/>
  <c r="AY54" i="24"/>
  <c r="AZ54" i="24"/>
  <c r="CP54" i="24" s="1"/>
  <c r="BA54" i="24"/>
  <c r="CI53" i="24"/>
  <c r="CU53" i="24" s="1"/>
  <c r="CH53" i="24"/>
  <c r="CF53" i="24"/>
  <c r="CE53" i="24"/>
  <c r="CQ53" i="24" s="1"/>
  <c r="CG53" i="24"/>
  <c r="CJ53" i="24"/>
  <c r="CV53" i="24" s="1"/>
  <c r="CK53" i="24"/>
  <c r="CW53" i="24" s="1"/>
  <c r="CL53" i="24"/>
  <c r="CX53" i="24" s="1"/>
  <c r="X54" i="24"/>
  <c r="CX136" i="19"/>
  <c r="CX147" i="19" s="1"/>
  <c r="CX133" i="19"/>
  <c r="CW133" i="19"/>
  <c r="R56" i="17"/>
  <c r="AC55" i="17"/>
  <c r="AB55" i="17"/>
  <c r="AA55" i="17"/>
  <c r="Z55" i="17"/>
  <c r="AE55" i="17"/>
  <c r="AD55" i="17"/>
  <c r="X55" i="17"/>
  <c r="X55" i="14" s="1"/>
  <c r="W55" i="17"/>
  <c r="V55" i="17"/>
  <c r="X55" i="3" s="1"/>
  <c r="U55" i="17"/>
  <c r="X55" i="7" s="1"/>
  <c r="X55" i="12" s="1"/>
  <c r="T55" i="17"/>
  <c r="S55" i="17"/>
  <c r="X55" i="15" s="1"/>
  <c r="CW147" i="19"/>
  <c r="AL55" i="24" l="1"/>
  <c r="AM55" i="24"/>
  <c r="AK55" i="24"/>
  <c r="CD55" i="24" s="1"/>
  <c r="AY55" i="24"/>
  <c r="AZ55" i="24"/>
  <c r="CP55" i="24" s="1"/>
  <c r="BA55" i="24"/>
  <c r="CS53" i="24"/>
  <c r="CR53" i="24"/>
  <c r="CT53" i="24"/>
  <c r="CI54" i="24"/>
  <c r="CU54" i="24" s="1"/>
  <c r="CF54" i="24"/>
  <c r="CR54" i="24" s="1"/>
  <c r="CH54" i="24"/>
  <c r="CT54" i="24" s="1"/>
  <c r="CG54" i="24"/>
  <c r="CS54" i="24" s="1"/>
  <c r="CE54" i="24"/>
  <c r="CJ54" i="24"/>
  <c r="CV54" i="24" s="1"/>
  <c r="CK54" i="24"/>
  <c r="CW54" i="24" s="1"/>
  <c r="CL54" i="24"/>
  <c r="CX54" i="24" s="1"/>
  <c r="X55" i="19"/>
  <c r="X55" i="31" s="1"/>
  <c r="X55" i="24"/>
  <c r="R57" i="17"/>
  <c r="AE56" i="17"/>
  <c r="AD56" i="17"/>
  <c r="AC56" i="17"/>
  <c r="AB56" i="17"/>
  <c r="AA56" i="17"/>
  <c r="Z56" i="17"/>
  <c r="T56" i="17"/>
  <c r="S56" i="17"/>
  <c r="X56" i="15" s="1"/>
  <c r="X56" i="17"/>
  <c r="X56" i="14" s="1"/>
  <c r="W56" i="17"/>
  <c r="X56" i="19" s="1"/>
  <c r="V56" i="17"/>
  <c r="X56" i="3" s="1"/>
  <c r="U56" i="17"/>
  <c r="X56" i="7" s="1"/>
  <c r="X56" i="12" s="1"/>
  <c r="F9" i="12"/>
  <c r="F9" i="31" s="1"/>
  <c r="I11" i="12"/>
  <c r="I11" i="31" s="1"/>
  <c r="H14" i="12"/>
  <c r="H14" i="31" s="1"/>
  <c r="F17" i="12"/>
  <c r="F17" i="31" s="1"/>
  <c r="I19" i="12"/>
  <c r="I19" i="31" s="1"/>
  <c r="H22" i="12"/>
  <c r="H22" i="31" s="1"/>
  <c r="F25" i="12"/>
  <c r="F25" i="31" s="1"/>
  <c r="I27" i="12"/>
  <c r="H30" i="12"/>
  <c r="H30" i="31" s="1"/>
  <c r="F33" i="12"/>
  <c r="F33" i="31" s="1"/>
  <c r="I35" i="12"/>
  <c r="I35" i="31" s="1"/>
  <c r="H38" i="12"/>
  <c r="H38" i="31" s="1"/>
  <c r="F41" i="12"/>
  <c r="F41" i="31" s="1"/>
  <c r="I43" i="12"/>
  <c r="H46" i="12"/>
  <c r="H46" i="31" s="1"/>
  <c r="F49" i="12"/>
  <c r="F49" i="31" s="1"/>
  <c r="I51" i="12"/>
  <c r="H54" i="12"/>
  <c r="H54" i="31" s="1"/>
  <c r="F57" i="12"/>
  <c r="F57" i="31" s="1"/>
  <c r="I59" i="12"/>
  <c r="I59" i="31" s="1"/>
  <c r="H62" i="12"/>
  <c r="H62" i="31" s="1"/>
  <c r="F65" i="12"/>
  <c r="F65" i="31" s="1"/>
  <c r="I67" i="12"/>
  <c r="H70" i="12"/>
  <c r="H70" i="31" s="1"/>
  <c r="F73" i="12"/>
  <c r="I75" i="12"/>
  <c r="I75" i="31" s="1"/>
  <c r="H78" i="12"/>
  <c r="H78" i="31" s="1"/>
  <c r="H80" i="12"/>
  <c r="H80" i="31" s="1"/>
  <c r="F81" i="12"/>
  <c r="F81" i="31" s="1"/>
  <c r="F83" i="12"/>
  <c r="F83" i="31" s="1"/>
  <c r="I83" i="12"/>
  <c r="I83" i="31" s="1"/>
  <c r="H86" i="12"/>
  <c r="H86" i="31" s="1"/>
  <c r="H88" i="12"/>
  <c r="H88" i="31" s="1"/>
  <c r="F89" i="12"/>
  <c r="F89" i="31" s="1"/>
  <c r="F91" i="12"/>
  <c r="F91" i="31" s="1"/>
  <c r="I91" i="12"/>
  <c r="I91" i="31" s="1"/>
  <c r="H94" i="12"/>
  <c r="H94" i="31" s="1"/>
  <c r="H96" i="12"/>
  <c r="F97" i="12"/>
  <c r="F97" i="31" s="1"/>
  <c r="F99" i="12"/>
  <c r="F99" i="31" s="1"/>
  <c r="I99" i="12"/>
  <c r="I99" i="31" s="1"/>
  <c r="H102" i="12"/>
  <c r="H102" i="31" s="1"/>
  <c r="H104" i="12"/>
  <c r="H104" i="31" s="1"/>
  <c r="F105" i="12"/>
  <c r="F105" i="31" s="1"/>
  <c r="F107" i="12"/>
  <c r="F107" i="31" s="1"/>
  <c r="I107" i="12"/>
  <c r="I107" i="31" s="1"/>
  <c r="H110" i="12"/>
  <c r="H112" i="12"/>
  <c r="H112" i="31" s="1"/>
  <c r="F113" i="12"/>
  <c r="F113" i="31" s="1"/>
  <c r="F115" i="12"/>
  <c r="F115" i="31" s="1"/>
  <c r="I115" i="12"/>
  <c r="I115" i="31" s="1"/>
  <c r="H118" i="12"/>
  <c r="H118" i="31" s="1"/>
  <c r="H120" i="12"/>
  <c r="H120" i="31" s="1"/>
  <c r="F121" i="12"/>
  <c r="F121" i="31" s="1"/>
  <c r="F122" i="12"/>
  <c r="F122" i="31" s="1"/>
  <c r="F123" i="12"/>
  <c r="F123" i="31" s="1"/>
  <c r="I123" i="12"/>
  <c r="I123" i="31" s="1"/>
  <c r="I125" i="12"/>
  <c r="I125" i="31" s="1"/>
  <c r="H126" i="12"/>
  <c r="H126" i="31" s="1"/>
  <c r="H128" i="12"/>
  <c r="H128" i="31" s="1"/>
  <c r="F129" i="12"/>
  <c r="F129" i="31" s="1"/>
  <c r="H129" i="12"/>
  <c r="H129" i="31" s="1"/>
  <c r="F130" i="12"/>
  <c r="F130" i="31" s="1"/>
  <c r="H130" i="12"/>
  <c r="H130" i="31" s="1"/>
  <c r="F131" i="12"/>
  <c r="F131" i="31" s="1"/>
  <c r="I131" i="12"/>
  <c r="I131" i="31" s="1"/>
  <c r="L132" i="12"/>
  <c r="L132" i="31" s="1"/>
  <c r="K132" i="12"/>
  <c r="K132" i="31" s="1"/>
  <c r="J132" i="12"/>
  <c r="J132" i="31" s="1"/>
  <c r="I132" i="12"/>
  <c r="I132" i="31" s="1"/>
  <c r="H132" i="12"/>
  <c r="H132" i="31" s="1"/>
  <c r="G132" i="12"/>
  <c r="G132" i="31" s="1"/>
  <c r="F132" i="12"/>
  <c r="F132" i="31" s="1"/>
  <c r="E132" i="12"/>
  <c r="E132" i="31" s="1"/>
  <c r="D132" i="12"/>
  <c r="D132" i="31" s="1"/>
  <c r="L131" i="12"/>
  <c r="L131" i="31" s="1"/>
  <c r="K131" i="12"/>
  <c r="K131" i="31" s="1"/>
  <c r="J131" i="12"/>
  <c r="J131" i="31" s="1"/>
  <c r="H131" i="12"/>
  <c r="H131" i="31" s="1"/>
  <c r="G131" i="12"/>
  <c r="G131" i="31" s="1"/>
  <c r="E131" i="12"/>
  <c r="E131" i="31" s="1"/>
  <c r="D131" i="12"/>
  <c r="D131" i="31" s="1"/>
  <c r="L130" i="12"/>
  <c r="L130" i="31" s="1"/>
  <c r="K130" i="12"/>
  <c r="K130" i="31" s="1"/>
  <c r="J130" i="12"/>
  <c r="J130" i="31" s="1"/>
  <c r="I130" i="12"/>
  <c r="I130" i="31" s="1"/>
  <c r="G130" i="12"/>
  <c r="G130" i="31" s="1"/>
  <c r="E130" i="12"/>
  <c r="E130" i="31" s="1"/>
  <c r="D130" i="12"/>
  <c r="D130" i="31" s="1"/>
  <c r="L129" i="12"/>
  <c r="L129" i="31" s="1"/>
  <c r="K129" i="12"/>
  <c r="K129" i="31" s="1"/>
  <c r="J129" i="12"/>
  <c r="J129" i="31" s="1"/>
  <c r="I129" i="12"/>
  <c r="I129" i="31" s="1"/>
  <c r="G129" i="12"/>
  <c r="G129" i="31" s="1"/>
  <c r="E129" i="12"/>
  <c r="E129" i="31" s="1"/>
  <c r="D129" i="12"/>
  <c r="D129" i="31" s="1"/>
  <c r="L128" i="12"/>
  <c r="L128" i="31" s="1"/>
  <c r="K128" i="12"/>
  <c r="K128" i="31" s="1"/>
  <c r="J128" i="12"/>
  <c r="J128" i="31" s="1"/>
  <c r="I128" i="12"/>
  <c r="I128" i="31" s="1"/>
  <c r="G128" i="12"/>
  <c r="G128" i="31" s="1"/>
  <c r="F128" i="12"/>
  <c r="F128" i="31" s="1"/>
  <c r="E128" i="12"/>
  <c r="E128" i="31" s="1"/>
  <c r="D128" i="12"/>
  <c r="D128" i="31" s="1"/>
  <c r="L127" i="12"/>
  <c r="K127" i="12"/>
  <c r="J127" i="12"/>
  <c r="I127" i="12"/>
  <c r="H127" i="12"/>
  <c r="G127" i="12"/>
  <c r="F127" i="12"/>
  <c r="E127" i="12"/>
  <c r="D127" i="12"/>
  <c r="L126" i="12"/>
  <c r="L126" i="31" s="1"/>
  <c r="K126" i="12"/>
  <c r="K126" i="31" s="1"/>
  <c r="J126" i="12"/>
  <c r="J126" i="31" s="1"/>
  <c r="I126" i="12"/>
  <c r="I126" i="31" s="1"/>
  <c r="G126" i="12"/>
  <c r="G126" i="31" s="1"/>
  <c r="F126" i="12"/>
  <c r="F126" i="31" s="1"/>
  <c r="E126" i="12"/>
  <c r="E126" i="31" s="1"/>
  <c r="D126" i="12"/>
  <c r="D126" i="31" s="1"/>
  <c r="L125" i="12"/>
  <c r="L125" i="31" s="1"/>
  <c r="K125" i="12"/>
  <c r="K125" i="31" s="1"/>
  <c r="J125" i="12"/>
  <c r="J125" i="31" s="1"/>
  <c r="H125" i="12"/>
  <c r="H125" i="31" s="1"/>
  <c r="G125" i="12"/>
  <c r="G125" i="31" s="1"/>
  <c r="F125" i="12"/>
  <c r="F125" i="31" s="1"/>
  <c r="E125" i="12"/>
  <c r="E125" i="31" s="1"/>
  <c r="D125" i="12"/>
  <c r="D125" i="31" s="1"/>
  <c r="L124" i="12"/>
  <c r="L124" i="31" s="1"/>
  <c r="K124" i="12"/>
  <c r="K124" i="31" s="1"/>
  <c r="J124" i="12"/>
  <c r="J124" i="31" s="1"/>
  <c r="I124" i="12"/>
  <c r="I124" i="31" s="1"/>
  <c r="H124" i="12"/>
  <c r="H124" i="31" s="1"/>
  <c r="G124" i="12"/>
  <c r="G124" i="31" s="1"/>
  <c r="F124" i="12"/>
  <c r="F124" i="31" s="1"/>
  <c r="E124" i="12"/>
  <c r="E124" i="31" s="1"/>
  <c r="D124" i="12"/>
  <c r="D124" i="31" s="1"/>
  <c r="L123" i="12"/>
  <c r="L123" i="31" s="1"/>
  <c r="K123" i="12"/>
  <c r="K123" i="31" s="1"/>
  <c r="J123" i="12"/>
  <c r="J123" i="31" s="1"/>
  <c r="H123" i="12"/>
  <c r="H123" i="31" s="1"/>
  <c r="G123" i="12"/>
  <c r="G123" i="31" s="1"/>
  <c r="E123" i="12"/>
  <c r="E123" i="31" s="1"/>
  <c r="D123" i="12"/>
  <c r="D123" i="31" s="1"/>
  <c r="L122" i="12"/>
  <c r="L122" i="31" s="1"/>
  <c r="K122" i="12"/>
  <c r="K122" i="31" s="1"/>
  <c r="J122" i="12"/>
  <c r="J122" i="31" s="1"/>
  <c r="I122" i="12"/>
  <c r="I122" i="31" s="1"/>
  <c r="H122" i="12"/>
  <c r="H122" i="31" s="1"/>
  <c r="G122" i="12"/>
  <c r="G122" i="31" s="1"/>
  <c r="E122" i="12"/>
  <c r="E122" i="31" s="1"/>
  <c r="D122" i="12"/>
  <c r="D122" i="31" s="1"/>
  <c r="L121" i="12"/>
  <c r="L121" i="31" s="1"/>
  <c r="K121" i="12"/>
  <c r="K121" i="31" s="1"/>
  <c r="J121" i="12"/>
  <c r="J121" i="31" s="1"/>
  <c r="I121" i="12"/>
  <c r="I121" i="31" s="1"/>
  <c r="H121" i="12"/>
  <c r="H121" i="31" s="1"/>
  <c r="G121" i="12"/>
  <c r="G121" i="31" s="1"/>
  <c r="E121" i="12"/>
  <c r="E121" i="31" s="1"/>
  <c r="D121" i="12"/>
  <c r="D121" i="31" s="1"/>
  <c r="L120" i="12"/>
  <c r="L120" i="31" s="1"/>
  <c r="K120" i="12"/>
  <c r="K120" i="31" s="1"/>
  <c r="J120" i="12"/>
  <c r="J120" i="31" s="1"/>
  <c r="I120" i="12"/>
  <c r="I120" i="31" s="1"/>
  <c r="G120" i="12"/>
  <c r="G120" i="31" s="1"/>
  <c r="F120" i="12"/>
  <c r="F120" i="31" s="1"/>
  <c r="E120" i="12"/>
  <c r="E120" i="31" s="1"/>
  <c r="D120" i="12"/>
  <c r="D120" i="31" s="1"/>
  <c r="L119" i="12"/>
  <c r="K119" i="12"/>
  <c r="J119" i="12"/>
  <c r="I119" i="12"/>
  <c r="H119" i="12"/>
  <c r="G119" i="12"/>
  <c r="F119" i="12"/>
  <c r="E119" i="12"/>
  <c r="D119" i="12"/>
  <c r="L118" i="12"/>
  <c r="L118" i="31" s="1"/>
  <c r="K118" i="12"/>
  <c r="K118" i="31" s="1"/>
  <c r="J118" i="12"/>
  <c r="J118" i="31" s="1"/>
  <c r="I118" i="12"/>
  <c r="I118" i="31" s="1"/>
  <c r="G118" i="12"/>
  <c r="G118" i="31" s="1"/>
  <c r="F118" i="12"/>
  <c r="F118" i="31" s="1"/>
  <c r="E118" i="12"/>
  <c r="E118" i="31" s="1"/>
  <c r="D118" i="12"/>
  <c r="D118" i="31" s="1"/>
  <c r="L117" i="12"/>
  <c r="L117" i="31" s="1"/>
  <c r="K117" i="12"/>
  <c r="K117" i="31" s="1"/>
  <c r="J117" i="12"/>
  <c r="J117" i="31" s="1"/>
  <c r="I117" i="12"/>
  <c r="I117" i="31" s="1"/>
  <c r="H117" i="12"/>
  <c r="H117" i="31" s="1"/>
  <c r="G117" i="12"/>
  <c r="G117" i="31" s="1"/>
  <c r="F117" i="12"/>
  <c r="F117" i="31" s="1"/>
  <c r="E117" i="12"/>
  <c r="E117" i="31" s="1"/>
  <c r="D117" i="12"/>
  <c r="D117" i="31" s="1"/>
  <c r="L116" i="12"/>
  <c r="L116" i="31" s="1"/>
  <c r="K116" i="12"/>
  <c r="K116" i="31" s="1"/>
  <c r="J116" i="12"/>
  <c r="J116" i="31" s="1"/>
  <c r="I116" i="12"/>
  <c r="I116" i="31" s="1"/>
  <c r="H116" i="12"/>
  <c r="H116" i="31" s="1"/>
  <c r="G116" i="12"/>
  <c r="G116" i="31" s="1"/>
  <c r="F116" i="12"/>
  <c r="F116" i="31" s="1"/>
  <c r="E116" i="12"/>
  <c r="E116" i="31" s="1"/>
  <c r="D116" i="12"/>
  <c r="D116" i="31" s="1"/>
  <c r="L115" i="12"/>
  <c r="L115" i="31" s="1"/>
  <c r="K115" i="12"/>
  <c r="K115" i="31" s="1"/>
  <c r="J115" i="12"/>
  <c r="J115" i="31" s="1"/>
  <c r="H115" i="12"/>
  <c r="H115" i="31" s="1"/>
  <c r="G115" i="12"/>
  <c r="G115" i="31" s="1"/>
  <c r="E115" i="12"/>
  <c r="E115" i="31" s="1"/>
  <c r="D115" i="12"/>
  <c r="D115" i="31" s="1"/>
  <c r="L114" i="12"/>
  <c r="L114" i="31" s="1"/>
  <c r="K114" i="12"/>
  <c r="K114" i="31" s="1"/>
  <c r="J114" i="12"/>
  <c r="J114" i="31" s="1"/>
  <c r="I114" i="12"/>
  <c r="I114" i="31" s="1"/>
  <c r="H114" i="12"/>
  <c r="H114" i="31" s="1"/>
  <c r="G114" i="12"/>
  <c r="G114" i="31" s="1"/>
  <c r="F114" i="12"/>
  <c r="F114" i="31" s="1"/>
  <c r="E114" i="12"/>
  <c r="E114" i="31" s="1"/>
  <c r="D114" i="12"/>
  <c r="D114" i="31" s="1"/>
  <c r="L113" i="12"/>
  <c r="L113" i="31" s="1"/>
  <c r="K113" i="12"/>
  <c r="K113" i="31" s="1"/>
  <c r="J113" i="12"/>
  <c r="J113" i="31" s="1"/>
  <c r="I113" i="12"/>
  <c r="I113" i="31" s="1"/>
  <c r="H113" i="12"/>
  <c r="H113" i="31" s="1"/>
  <c r="G113" i="12"/>
  <c r="G113" i="31" s="1"/>
  <c r="E113" i="12"/>
  <c r="E113" i="31" s="1"/>
  <c r="D113" i="12"/>
  <c r="D113" i="31" s="1"/>
  <c r="L112" i="12"/>
  <c r="L112" i="31" s="1"/>
  <c r="K112" i="12"/>
  <c r="K112" i="31" s="1"/>
  <c r="J112" i="12"/>
  <c r="J112" i="31" s="1"/>
  <c r="I112" i="12"/>
  <c r="I112" i="31" s="1"/>
  <c r="G112" i="12"/>
  <c r="G112" i="31" s="1"/>
  <c r="F112" i="12"/>
  <c r="F112" i="31" s="1"/>
  <c r="E112" i="12"/>
  <c r="E112" i="31" s="1"/>
  <c r="D112" i="12"/>
  <c r="D112" i="31" s="1"/>
  <c r="L111" i="12"/>
  <c r="L111" i="31" s="1"/>
  <c r="K111" i="12"/>
  <c r="K111" i="31" s="1"/>
  <c r="J111" i="12"/>
  <c r="J111" i="31" s="1"/>
  <c r="I111" i="12"/>
  <c r="I111" i="31" s="1"/>
  <c r="H111" i="12"/>
  <c r="H111" i="31" s="1"/>
  <c r="G111" i="12"/>
  <c r="G111" i="31" s="1"/>
  <c r="F111" i="12"/>
  <c r="F111" i="31" s="1"/>
  <c r="E111" i="12"/>
  <c r="E111" i="31" s="1"/>
  <c r="D111" i="12"/>
  <c r="D111" i="31" s="1"/>
  <c r="L110" i="12"/>
  <c r="K110" i="12"/>
  <c r="J110" i="12"/>
  <c r="I110" i="12"/>
  <c r="G110" i="12"/>
  <c r="F110" i="12"/>
  <c r="E110" i="12"/>
  <c r="D110" i="12"/>
  <c r="L109" i="12"/>
  <c r="L109" i="31" s="1"/>
  <c r="K109" i="12"/>
  <c r="K109" i="31" s="1"/>
  <c r="J109" i="12"/>
  <c r="J109" i="31" s="1"/>
  <c r="I109" i="12"/>
  <c r="I109" i="31" s="1"/>
  <c r="H109" i="12"/>
  <c r="H109" i="31" s="1"/>
  <c r="G109" i="12"/>
  <c r="G109" i="31" s="1"/>
  <c r="F109" i="12"/>
  <c r="F109" i="31" s="1"/>
  <c r="E109" i="12"/>
  <c r="E109" i="31" s="1"/>
  <c r="D109" i="12"/>
  <c r="D109" i="31" s="1"/>
  <c r="L108" i="12"/>
  <c r="L108" i="31" s="1"/>
  <c r="K108" i="12"/>
  <c r="K108" i="31" s="1"/>
  <c r="J108" i="12"/>
  <c r="J108" i="31" s="1"/>
  <c r="I108" i="12"/>
  <c r="I108" i="31" s="1"/>
  <c r="H108" i="12"/>
  <c r="H108" i="31" s="1"/>
  <c r="G108" i="12"/>
  <c r="G108" i="31" s="1"/>
  <c r="F108" i="12"/>
  <c r="F108" i="31" s="1"/>
  <c r="E108" i="12"/>
  <c r="E108" i="31" s="1"/>
  <c r="D108" i="12"/>
  <c r="D108" i="31" s="1"/>
  <c r="L107" i="12"/>
  <c r="L107" i="31" s="1"/>
  <c r="K107" i="12"/>
  <c r="K107" i="31" s="1"/>
  <c r="J107" i="12"/>
  <c r="J107" i="31" s="1"/>
  <c r="H107" i="12"/>
  <c r="H107" i="31" s="1"/>
  <c r="G107" i="12"/>
  <c r="G107" i="31" s="1"/>
  <c r="E107" i="12"/>
  <c r="E107" i="31" s="1"/>
  <c r="D107" i="12"/>
  <c r="D107" i="31" s="1"/>
  <c r="L106" i="12"/>
  <c r="L106" i="31" s="1"/>
  <c r="K106" i="12"/>
  <c r="K106" i="31" s="1"/>
  <c r="J106" i="12"/>
  <c r="J106" i="31" s="1"/>
  <c r="I106" i="12"/>
  <c r="I106" i="31" s="1"/>
  <c r="H106" i="12"/>
  <c r="H106" i="31" s="1"/>
  <c r="G106" i="12"/>
  <c r="G106" i="31" s="1"/>
  <c r="F106" i="12"/>
  <c r="F106" i="31" s="1"/>
  <c r="E106" i="12"/>
  <c r="E106" i="31" s="1"/>
  <c r="D106" i="12"/>
  <c r="D106" i="31" s="1"/>
  <c r="L105" i="12"/>
  <c r="L105" i="31" s="1"/>
  <c r="K105" i="12"/>
  <c r="K105" i="31" s="1"/>
  <c r="J105" i="12"/>
  <c r="J105" i="31" s="1"/>
  <c r="I105" i="12"/>
  <c r="I105" i="31" s="1"/>
  <c r="H105" i="12"/>
  <c r="H105" i="31" s="1"/>
  <c r="G105" i="12"/>
  <c r="G105" i="31" s="1"/>
  <c r="E105" i="12"/>
  <c r="E105" i="31" s="1"/>
  <c r="D105" i="12"/>
  <c r="D105" i="31" s="1"/>
  <c r="L104" i="12"/>
  <c r="L104" i="31" s="1"/>
  <c r="K104" i="12"/>
  <c r="K104" i="31" s="1"/>
  <c r="J104" i="12"/>
  <c r="J104" i="31" s="1"/>
  <c r="I104" i="12"/>
  <c r="I104" i="31" s="1"/>
  <c r="G104" i="12"/>
  <c r="G104" i="31" s="1"/>
  <c r="F104" i="12"/>
  <c r="F104" i="31" s="1"/>
  <c r="E104" i="12"/>
  <c r="E104" i="31" s="1"/>
  <c r="D104" i="12"/>
  <c r="D104" i="31" s="1"/>
  <c r="L103" i="12"/>
  <c r="L103" i="31" s="1"/>
  <c r="K103" i="12"/>
  <c r="K103" i="31" s="1"/>
  <c r="J103" i="12"/>
  <c r="J103" i="31" s="1"/>
  <c r="I103" i="12"/>
  <c r="I103" i="31" s="1"/>
  <c r="H103" i="12"/>
  <c r="H103" i="31" s="1"/>
  <c r="G103" i="12"/>
  <c r="G103" i="31" s="1"/>
  <c r="F103" i="12"/>
  <c r="F103" i="31" s="1"/>
  <c r="E103" i="12"/>
  <c r="E103" i="31" s="1"/>
  <c r="D103" i="12"/>
  <c r="D103" i="31" s="1"/>
  <c r="L102" i="12"/>
  <c r="L102" i="31" s="1"/>
  <c r="K102" i="12"/>
  <c r="K102" i="31" s="1"/>
  <c r="J102" i="12"/>
  <c r="J102" i="31" s="1"/>
  <c r="I102" i="12"/>
  <c r="I102" i="31" s="1"/>
  <c r="G102" i="12"/>
  <c r="G102" i="31" s="1"/>
  <c r="F102" i="12"/>
  <c r="F102" i="31" s="1"/>
  <c r="E102" i="12"/>
  <c r="E102" i="31" s="1"/>
  <c r="D102" i="12"/>
  <c r="D102" i="31" s="1"/>
  <c r="L101" i="12"/>
  <c r="L101" i="31" s="1"/>
  <c r="K101" i="12"/>
  <c r="K101" i="31" s="1"/>
  <c r="J101" i="12"/>
  <c r="J101" i="31" s="1"/>
  <c r="I101" i="12"/>
  <c r="I101" i="31" s="1"/>
  <c r="H101" i="12"/>
  <c r="H101" i="31" s="1"/>
  <c r="G101" i="12"/>
  <c r="G101" i="31" s="1"/>
  <c r="F101" i="12"/>
  <c r="F101" i="31" s="1"/>
  <c r="E101" i="12"/>
  <c r="E101" i="31" s="1"/>
  <c r="D101" i="12"/>
  <c r="D101" i="31" s="1"/>
  <c r="L100" i="12"/>
  <c r="L100" i="31" s="1"/>
  <c r="K100" i="12"/>
  <c r="K100" i="31" s="1"/>
  <c r="J100" i="12"/>
  <c r="J100" i="31" s="1"/>
  <c r="I100" i="12"/>
  <c r="I100" i="31" s="1"/>
  <c r="H100" i="12"/>
  <c r="H100" i="31" s="1"/>
  <c r="G100" i="12"/>
  <c r="G100" i="31" s="1"/>
  <c r="F100" i="12"/>
  <c r="F100" i="31" s="1"/>
  <c r="E100" i="12"/>
  <c r="E100" i="31" s="1"/>
  <c r="D100" i="12"/>
  <c r="D100" i="31" s="1"/>
  <c r="L99" i="12"/>
  <c r="L99" i="31" s="1"/>
  <c r="K99" i="12"/>
  <c r="K99" i="31" s="1"/>
  <c r="J99" i="12"/>
  <c r="J99" i="31" s="1"/>
  <c r="H99" i="12"/>
  <c r="H99" i="31" s="1"/>
  <c r="G99" i="12"/>
  <c r="G99" i="31" s="1"/>
  <c r="E99" i="12"/>
  <c r="E99" i="31" s="1"/>
  <c r="D99" i="12"/>
  <c r="D99" i="31" s="1"/>
  <c r="L98" i="12"/>
  <c r="L98" i="31" s="1"/>
  <c r="K98" i="12"/>
  <c r="K98" i="31" s="1"/>
  <c r="J98" i="12"/>
  <c r="J98" i="31" s="1"/>
  <c r="I98" i="12"/>
  <c r="I98" i="31" s="1"/>
  <c r="H98" i="12"/>
  <c r="H98" i="31" s="1"/>
  <c r="G98" i="12"/>
  <c r="G98" i="31" s="1"/>
  <c r="F98" i="12"/>
  <c r="F98" i="31" s="1"/>
  <c r="E98" i="12"/>
  <c r="E98" i="31" s="1"/>
  <c r="D98" i="12"/>
  <c r="D98" i="31" s="1"/>
  <c r="L97" i="12"/>
  <c r="L97" i="31" s="1"/>
  <c r="K97" i="12"/>
  <c r="K97" i="31" s="1"/>
  <c r="J97" i="12"/>
  <c r="J97" i="31" s="1"/>
  <c r="I97" i="12"/>
  <c r="I97" i="31" s="1"/>
  <c r="H97" i="12"/>
  <c r="H97" i="31" s="1"/>
  <c r="G97" i="12"/>
  <c r="G97" i="31" s="1"/>
  <c r="E97" i="12"/>
  <c r="E97" i="31" s="1"/>
  <c r="D97" i="12"/>
  <c r="D97" i="31" s="1"/>
  <c r="L96" i="12"/>
  <c r="K96" i="12"/>
  <c r="J96" i="12"/>
  <c r="I96" i="12"/>
  <c r="G96" i="12"/>
  <c r="F96" i="12"/>
  <c r="E96" i="12"/>
  <c r="D96" i="12"/>
  <c r="L95" i="12"/>
  <c r="L95" i="31" s="1"/>
  <c r="K95" i="12"/>
  <c r="K95" i="31" s="1"/>
  <c r="J95" i="12"/>
  <c r="J95" i="31" s="1"/>
  <c r="I95" i="12"/>
  <c r="I95" i="31" s="1"/>
  <c r="H95" i="12"/>
  <c r="H95" i="31" s="1"/>
  <c r="G95" i="12"/>
  <c r="G95" i="31" s="1"/>
  <c r="F95" i="12"/>
  <c r="F95" i="31" s="1"/>
  <c r="E95" i="12"/>
  <c r="E95" i="31" s="1"/>
  <c r="D95" i="12"/>
  <c r="D95" i="31" s="1"/>
  <c r="L94" i="12"/>
  <c r="L94" i="31" s="1"/>
  <c r="K94" i="12"/>
  <c r="K94" i="31" s="1"/>
  <c r="J94" i="12"/>
  <c r="J94" i="31" s="1"/>
  <c r="I94" i="12"/>
  <c r="I94" i="31" s="1"/>
  <c r="G94" i="12"/>
  <c r="G94" i="31" s="1"/>
  <c r="F94" i="12"/>
  <c r="F94" i="31" s="1"/>
  <c r="E94" i="12"/>
  <c r="E94" i="31" s="1"/>
  <c r="D94" i="12"/>
  <c r="D94" i="31" s="1"/>
  <c r="L93" i="12"/>
  <c r="L93" i="31" s="1"/>
  <c r="K93" i="12"/>
  <c r="K93" i="31" s="1"/>
  <c r="J93" i="12"/>
  <c r="J93" i="31" s="1"/>
  <c r="I93" i="12"/>
  <c r="I93" i="31" s="1"/>
  <c r="H93" i="12"/>
  <c r="H93" i="31" s="1"/>
  <c r="G93" i="12"/>
  <c r="G93" i="31" s="1"/>
  <c r="F93" i="12"/>
  <c r="F93" i="31" s="1"/>
  <c r="E93" i="12"/>
  <c r="E93" i="31" s="1"/>
  <c r="D93" i="12"/>
  <c r="D93" i="31" s="1"/>
  <c r="L92" i="12"/>
  <c r="L92" i="31" s="1"/>
  <c r="K92" i="12"/>
  <c r="K92" i="31" s="1"/>
  <c r="J92" i="12"/>
  <c r="J92" i="31" s="1"/>
  <c r="I92" i="12"/>
  <c r="I92" i="31" s="1"/>
  <c r="H92" i="12"/>
  <c r="H92" i="31" s="1"/>
  <c r="G92" i="12"/>
  <c r="G92" i="31" s="1"/>
  <c r="F92" i="12"/>
  <c r="F92" i="31" s="1"/>
  <c r="E92" i="12"/>
  <c r="E92" i="31" s="1"/>
  <c r="D92" i="12"/>
  <c r="D92" i="31" s="1"/>
  <c r="L91" i="12"/>
  <c r="L91" i="31" s="1"/>
  <c r="K91" i="12"/>
  <c r="K91" i="31" s="1"/>
  <c r="J91" i="12"/>
  <c r="J91" i="31" s="1"/>
  <c r="H91" i="12"/>
  <c r="H91" i="31" s="1"/>
  <c r="G91" i="12"/>
  <c r="G91" i="31" s="1"/>
  <c r="E91" i="12"/>
  <c r="E91" i="31" s="1"/>
  <c r="D91" i="12"/>
  <c r="D91" i="31" s="1"/>
  <c r="L90" i="12"/>
  <c r="L90" i="31" s="1"/>
  <c r="K90" i="12"/>
  <c r="K90" i="31" s="1"/>
  <c r="J90" i="12"/>
  <c r="J90" i="31" s="1"/>
  <c r="I90" i="12"/>
  <c r="I90" i="31" s="1"/>
  <c r="H90" i="12"/>
  <c r="H90" i="31" s="1"/>
  <c r="G90" i="12"/>
  <c r="G90" i="31" s="1"/>
  <c r="F90" i="12"/>
  <c r="F90" i="31" s="1"/>
  <c r="E90" i="12"/>
  <c r="E90" i="31" s="1"/>
  <c r="D90" i="12"/>
  <c r="D90" i="31" s="1"/>
  <c r="L89" i="12"/>
  <c r="L89" i="31" s="1"/>
  <c r="K89" i="12"/>
  <c r="K89" i="31" s="1"/>
  <c r="J89" i="12"/>
  <c r="J89" i="31" s="1"/>
  <c r="I89" i="12"/>
  <c r="I89" i="31" s="1"/>
  <c r="H89" i="12"/>
  <c r="H89" i="31" s="1"/>
  <c r="G89" i="12"/>
  <c r="G89" i="31" s="1"/>
  <c r="E89" i="12"/>
  <c r="E89" i="31" s="1"/>
  <c r="D89" i="12"/>
  <c r="D89" i="31" s="1"/>
  <c r="L88" i="12"/>
  <c r="L88" i="31" s="1"/>
  <c r="K88" i="12"/>
  <c r="K88" i="31" s="1"/>
  <c r="J88" i="12"/>
  <c r="J88" i="31" s="1"/>
  <c r="I88" i="12"/>
  <c r="I88" i="31" s="1"/>
  <c r="G88" i="12"/>
  <c r="G88" i="31" s="1"/>
  <c r="F88" i="12"/>
  <c r="F88" i="31" s="1"/>
  <c r="E88" i="12"/>
  <c r="E88" i="31" s="1"/>
  <c r="D88" i="12"/>
  <c r="D88" i="31" s="1"/>
  <c r="L87" i="12"/>
  <c r="L87" i="31" s="1"/>
  <c r="K87" i="12"/>
  <c r="K87" i="31" s="1"/>
  <c r="J87" i="12"/>
  <c r="J87" i="31" s="1"/>
  <c r="I87" i="12"/>
  <c r="I87" i="31" s="1"/>
  <c r="H87" i="12"/>
  <c r="H87" i="31" s="1"/>
  <c r="G87" i="12"/>
  <c r="G87" i="31" s="1"/>
  <c r="F87" i="12"/>
  <c r="F87" i="31" s="1"/>
  <c r="E87" i="12"/>
  <c r="E87" i="31" s="1"/>
  <c r="D87" i="12"/>
  <c r="D87" i="31" s="1"/>
  <c r="L86" i="12"/>
  <c r="L86" i="31" s="1"/>
  <c r="K86" i="12"/>
  <c r="K86" i="31" s="1"/>
  <c r="J86" i="12"/>
  <c r="J86" i="31" s="1"/>
  <c r="I86" i="12"/>
  <c r="I86" i="31" s="1"/>
  <c r="G86" i="12"/>
  <c r="G86" i="31" s="1"/>
  <c r="F86" i="12"/>
  <c r="F86" i="31" s="1"/>
  <c r="E86" i="12"/>
  <c r="E86" i="31" s="1"/>
  <c r="D86" i="12"/>
  <c r="D86" i="31" s="1"/>
  <c r="L85" i="12"/>
  <c r="L85" i="31" s="1"/>
  <c r="K85" i="12"/>
  <c r="K85" i="31" s="1"/>
  <c r="J85" i="12"/>
  <c r="J85" i="31" s="1"/>
  <c r="I85" i="12"/>
  <c r="I85" i="31" s="1"/>
  <c r="H85" i="12"/>
  <c r="H85" i="31" s="1"/>
  <c r="G85" i="12"/>
  <c r="G85" i="31" s="1"/>
  <c r="F85" i="12"/>
  <c r="F85" i="31" s="1"/>
  <c r="E85" i="12"/>
  <c r="E85" i="31" s="1"/>
  <c r="D85" i="12"/>
  <c r="D85" i="31" s="1"/>
  <c r="L84" i="12"/>
  <c r="L84" i="31" s="1"/>
  <c r="K84" i="12"/>
  <c r="K84" i="31" s="1"/>
  <c r="J84" i="12"/>
  <c r="J84" i="31" s="1"/>
  <c r="I84" i="12"/>
  <c r="I84" i="31" s="1"/>
  <c r="H84" i="12"/>
  <c r="H84" i="31" s="1"/>
  <c r="G84" i="12"/>
  <c r="G84" i="31" s="1"/>
  <c r="F84" i="12"/>
  <c r="F84" i="31" s="1"/>
  <c r="E84" i="12"/>
  <c r="E84" i="31" s="1"/>
  <c r="D84" i="12"/>
  <c r="D84" i="31" s="1"/>
  <c r="L83" i="12"/>
  <c r="L83" i="31" s="1"/>
  <c r="K83" i="12"/>
  <c r="K83" i="31" s="1"/>
  <c r="J83" i="12"/>
  <c r="J83" i="31" s="1"/>
  <c r="H83" i="12"/>
  <c r="H83" i="31" s="1"/>
  <c r="G83" i="12"/>
  <c r="G83" i="31" s="1"/>
  <c r="E83" i="12"/>
  <c r="E83" i="31" s="1"/>
  <c r="D83" i="12"/>
  <c r="D83" i="31" s="1"/>
  <c r="L82" i="12"/>
  <c r="L82" i="31" s="1"/>
  <c r="K82" i="12"/>
  <c r="K82" i="31" s="1"/>
  <c r="J82" i="12"/>
  <c r="J82" i="31" s="1"/>
  <c r="I82" i="12"/>
  <c r="I82" i="31" s="1"/>
  <c r="H82" i="12"/>
  <c r="H82" i="31" s="1"/>
  <c r="G82" i="12"/>
  <c r="G82" i="31" s="1"/>
  <c r="F82" i="12"/>
  <c r="F82" i="31" s="1"/>
  <c r="E82" i="12"/>
  <c r="E82" i="31" s="1"/>
  <c r="D82" i="12"/>
  <c r="D82" i="31" s="1"/>
  <c r="L81" i="12"/>
  <c r="L81" i="31" s="1"/>
  <c r="K81" i="12"/>
  <c r="K81" i="31" s="1"/>
  <c r="J81" i="12"/>
  <c r="J81" i="31" s="1"/>
  <c r="I81" i="12"/>
  <c r="I81" i="31" s="1"/>
  <c r="H81" i="12"/>
  <c r="H81" i="31" s="1"/>
  <c r="G81" i="12"/>
  <c r="G81" i="31" s="1"/>
  <c r="E81" i="12"/>
  <c r="E81" i="31" s="1"/>
  <c r="D81" i="12"/>
  <c r="D81" i="31" s="1"/>
  <c r="L80" i="12"/>
  <c r="L80" i="31" s="1"/>
  <c r="K80" i="12"/>
  <c r="K80" i="31" s="1"/>
  <c r="J80" i="12"/>
  <c r="J80" i="31" s="1"/>
  <c r="I80" i="12"/>
  <c r="I80" i="31" s="1"/>
  <c r="G80" i="12"/>
  <c r="G80" i="31" s="1"/>
  <c r="F80" i="12"/>
  <c r="F80" i="31" s="1"/>
  <c r="E80" i="12"/>
  <c r="E80" i="31" s="1"/>
  <c r="D80" i="12"/>
  <c r="D80" i="31" s="1"/>
  <c r="L79" i="12"/>
  <c r="L79" i="31" s="1"/>
  <c r="K79" i="12"/>
  <c r="K79" i="31" s="1"/>
  <c r="J79" i="12"/>
  <c r="J79" i="31" s="1"/>
  <c r="I79" i="12"/>
  <c r="I79" i="31" s="1"/>
  <c r="H79" i="12"/>
  <c r="H79" i="31" s="1"/>
  <c r="G79" i="12"/>
  <c r="G79" i="31" s="1"/>
  <c r="F79" i="12"/>
  <c r="F79" i="31" s="1"/>
  <c r="E79" i="12"/>
  <c r="E79" i="31" s="1"/>
  <c r="D79" i="12"/>
  <c r="D79" i="31" s="1"/>
  <c r="L78" i="12"/>
  <c r="L78" i="31" s="1"/>
  <c r="K78" i="12"/>
  <c r="K78" i="31" s="1"/>
  <c r="J78" i="12"/>
  <c r="J78" i="31" s="1"/>
  <c r="I78" i="12"/>
  <c r="I78" i="31" s="1"/>
  <c r="G78" i="12"/>
  <c r="G78" i="31" s="1"/>
  <c r="F78" i="12"/>
  <c r="F78" i="31" s="1"/>
  <c r="E78" i="12"/>
  <c r="E78" i="31" s="1"/>
  <c r="D78" i="12"/>
  <c r="D78" i="31" s="1"/>
  <c r="L77" i="12"/>
  <c r="L77" i="31" s="1"/>
  <c r="K77" i="12"/>
  <c r="K77" i="31" s="1"/>
  <c r="J77" i="12"/>
  <c r="J77" i="31" s="1"/>
  <c r="I77" i="12"/>
  <c r="I77" i="31" s="1"/>
  <c r="H77" i="12"/>
  <c r="H77" i="31" s="1"/>
  <c r="G77" i="12"/>
  <c r="G77" i="31" s="1"/>
  <c r="F77" i="12"/>
  <c r="F77" i="31" s="1"/>
  <c r="E77" i="12"/>
  <c r="E77" i="31" s="1"/>
  <c r="D77" i="12"/>
  <c r="D77" i="31" s="1"/>
  <c r="L76" i="12"/>
  <c r="L76" i="31" s="1"/>
  <c r="K76" i="12"/>
  <c r="K76" i="31" s="1"/>
  <c r="J76" i="12"/>
  <c r="J76" i="31" s="1"/>
  <c r="I76" i="12"/>
  <c r="I76" i="31" s="1"/>
  <c r="H76" i="12"/>
  <c r="H76" i="31" s="1"/>
  <c r="G76" i="12"/>
  <c r="G76" i="31" s="1"/>
  <c r="F76" i="12"/>
  <c r="F76" i="31" s="1"/>
  <c r="E76" i="12"/>
  <c r="E76" i="31" s="1"/>
  <c r="D76" i="12"/>
  <c r="D76" i="31" s="1"/>
  <c r="L75" i="12"/>
  <c r="L75" i="31" s="1"/>
  <c r="K75" i="12"/>
  <c r="K75" i="31" s="1"/>
  <c r="J75" i="12"/>
  <c r="J75" i="31" s="1"/>
  <c r="H75" i="12"/>
  <c r="H75" i="31" s="1"/>
  <c r="G75" i="12"/>
  <c r="G75" i="31" s="1"/>
  <c r="F75" i="12"/>
  <c r="F75" i="31" s="1"/>
  <c r="E75" i="12"/>
  <c r="E75" i="31" s="1"/>
  <c r="D75" i="12"/>
  <c r="D75" i="31" s="1"/>
  <c r="L74" i="12"/>
  <c r="L74" i="31" s="1"/>
  <c r="K74" i="12"/>
  <c r="K74" i="31" s="1"/>
  <c r="J74" i="12"/>
  <c r="J74" i="31" s="1"/>
  <c r="I74" i="12"/>
  <c r="I74" i="31" s="1"/>
  <c r="H74" i="12"/>
  <c r="H74" i="31" s="1"/>
  <c r="G74" i="12"/>
  <c r="G74" i="31" s="1"/>
  <c r="F74" i="12"/>
  <c r="F74" i="31" s="1"/>
  <c r="E74" i="12"/>
  <c r="E74" i="31" s="1"/>
  <c r="D74" i="12"/>
  <c r="D74" i="31" s="1"/>
  <c r="L73" i="12"/>
  <c r="K73" i="12"/>
  <c r="J73" i="12"/>
  <c r="I73" i="12"/>
  <c r="H73" i="12"/>
  <c r="G73" i="12"/>
  <c r="E73" i="12"/>
  <c r="D73" i="12"/>
  <c r="L72" i="12"/>
  <c r="L72" i="31" s="1"/>
  <c r="K72" i="12"/>
  <c r="K72" i="31" s="1"/>
  <c r="J72" i="12"/>
  <c r="J72" i="31" s="1"/>
  <c r="I72" i="12"/>
  <c r="I72" i="31" s="1"/>
  <c r="H72" i="12"/>
  <c r="H72" i="31" s="1"/>
  <c r="G72" i="12"/>
  <c r="G72" i="31" s="1"/>
  <c r="F72" i="12"/>
  <c r="F72" i="31" s="1"/>
  <c r="E72" i="12"/>
  <c r="E72" i="31" s="1"/>
  <c r="D72" i="12"/>
  <c r="D72" i="31" s="1"/>
  <c r="L71" i="12"/>
  <c r="L71" i="31" s="1"/>
  <c r="K71" i="12"/>
  <c r="K71" i="31" s="1"/>
  <c r="J71" i="12"/>
  <c r="J71" i="31" s="1"/>
  <c r="I71" i="12"/>
  <c r="I71" i="31" s="1"/>
  <c r="H71" i="12"/>
  <c r="H71" i="31" s="1"/>
  <c r="G71" i="12"/>
  <c r="G71" i="31" s="1"/>
  <c r="F71" i="12"/>
  <c r="F71" i="31" s="1"/>
  <c r="E71" i="12"/>
  <c r="E71" i="31" s="1"/>
  <c r="D71" i="12"/>
  <c r="D71" i="31" s="1"/>
  <c r="L70" i="12"/>
  <c r="L70" i="31" s="1"/>
  <c r="K70" i="12"/>
  <c r="K70" i="31" s="1"/>
  <c r="J70" i="12"/>
  <c r="J70" i="31" s="1"/>
  <c r="I70" i="12"/>
  <c r="I70" i="31" s="1"/>
  <c r="G70" i="12"/>
  <c r="G70" i="31" s="1"/>
  <c r="F70" i="12"/>
  <c r="F70" i="31" s="1"/>
  <c r="E70" i="12"/>
  <c r="E70" i="31" s="1"/>
  <c r="D70" i="12"/>
  <c r="D70" i="31" s="1"/>
  <c r="L69" i="12"/>
  <c r="L69" i="31" s="1"/>
  <c r="K69" i="12"/>
  <c r="K69" i="31" s="1"/>
  <c r="J69" i="12"/>
  <c r="J69" i="31" s="1"/>
  <c r="I69" i="12"/>
  <c r="I69" i="31" s="1"/>
  <c r="H69" i="12"/>
  <c r="H69" i="31" s="1"/>
  <c r="G69" i="12"/>
  <c r="G69" i="31" s="1"/>
  <c r="F69" i="12"/>
  <c r="F69" i="31" s="1"/>
  <c r="E69" i="12"/>
  <c r="E69" i="31" s="1"/>
  <c r="D69" i="12"/>
  <c r="D69" i="31" s="1"/>
  <c r="L68" i="12"/>
  <c r="L68" i="31" s="1"/>
  <c r="K68" i="12"/>
  <c r="K68" i="31" s="1"/>
  <c r="J68" i="12"/>
  <c r="J68" i="31" s="1"/>
  <c r="I68" i="12"/>
  <c r="I68" i="31" s="1"/>
  <c r="H68" i="12"/>
  <c r="H68" i="31" s="1"/>
  <c r="G68" i="12"/>
  <c r="G68" i="31" s="1"/>
  <c r="F68" i="12"/>
  <c r="F68" i="31" s="1"/>
  <c r="E68" i="12"/>
  <c r="E68" i="31" s="1"/>
  <c r="D68" i="12"/>
  <c r="D68" i="31" s="1"/>
  <c r="L67" i="12"/>
  <c r="K67" i="12"/>
  <c r="J67" i="12"/>
  <c r="H67" i="12"/>
  <c r="G67" i="12"/>
  <c r="F67" i="12"/>
  <c r="F67" i="31" s="1"/>
  <c r="E67" i="12"/>
  <c r="D67" i="12"/>
  <c r="L66" i="12"/>
  <c r="L66" i="31" s="1"/>
  <c r="K66" i="12"/>
  <c r="K66" i="31" s="1"/>
  <c r="J66" i="12"/>
  <c r="J66" i="31" s="1"/>
  <c r="I66" i="12"/>
  <c r="I66" i="31" s="1"/>
  <c r="H66" i="12"/>
  <c r="H66" i="31" s="1"/>
  <c r="G66" i="12"/>
  <c r="G66" i="31" s="1"/>
  <c r="F66" i="12"/>
  <c r="F66" i="31" s="1"/>
  <c r="E66" i="12"/>
  <c r="E66" i="31" s="1"/>
  <c r="D66" i="12"/>
  <c r="D66" i="31" s="1"/>
  <c r="L65" i="12"/>
  <c r="L65" i="31" s="1"/>
  <c r="K65" i="12"/>
  <c r="K65" i="31" s="1"/>
  <c r="J65" i="12"/>
  <c r="J65" i="31" s="1"/>
  <c r="I65" i="12"/>
  <c r="I65" i="31" s="1"/>
  <c r="H65" i="12"/>
  <c r="H65" i="31" s="1"/>
  <c r="G65" i="12"/>
  <c r="G65" i="31" s="1"/>
  <c r="E65" i="12"/>
  <c r="E65" i="31" s="1"/>
  <c r="D65" i="12"/>
  <c r="D65" i="31" s="1"/>
  <c r="L64" i="12"/>
  <c r="L64" i="31" s="1"/>
  <c r="K64" i="12"/>
  <c r="K64" i="31" s="1"/>
  <c r="J64" i="12"/>
  <c r="J64" i="31" s="1"/>
  <c r="I64" i="12"/>
  <c r="I64" i="31" s="1"/>
  <c r="H64" i="12"/>
  <c r="H64" i="31" s="1"/>
  <c r="G64" i="12"/>
  <c r="G64" i="31" s="1"/>
  <c r="F64" i="12"/>
  <c r="F64" i="31" s="1"/>
  <c r="E64" i="12"/>
  <c r="E64" i="31" s="1"/>
  <c r="D64" i="12"/>
  <c r="D64" i="31" s="1"/>
  <c r="L63" i="12"/>
  <c r="L63" i="31" s="1"/>
  <c r="K63" i="12"/>
  <c r="K63" i="31" s="1"/>
  <c r="J63" i="12"/>
  <c r="J63" i="31" s="1"/>
  <c r="I63" i="12"/>
  <c r="I63" i="31" s="1"/>
  <c r="H63" i="12"/>
  <c r="H63" i="31" s="1"/>
  <c r="G63" i="12"/>
  <c r="G63" i="31" s="1"/>
  <c r="F63" i="12"/>
  <c r="F63" i="31" s="1"/>
  <c r="E63" i="12"/>
  <c r="E63" i="31" s="1"/>
  <c r="D63" i="12"/>
  <c r="D63" i="31" s="1"/>
  <c r="L62" i="12"/>
  <c r="L62" i="31" s="1"/>
  <c r="K62" i="12"/>
  <c r="K62" i="31" s="1"/>
  <c r="J62" i="12"/>
  <c r="J62" i="31" s="1"/>
  <c r="I62" i="12"/>
  <c r="I62" i="31" s="1"/>
  <c r="G62" i="12"/>
  <c r="G62" i="31" s="1"/>
  <c r="F62" i="12"/>
  <c r="F62" i="31" s="1"/>
  <c r="E62" i="12"/>
  <c r="E62" i="31" s="1"/>
  <c r="D62" i="12"/>
  <c r="D62" i="31" s="1"/>
  <c r="L61" i="12"/>
  <c r="L61" i="31" s="1"/>
  <c r="K61" i="12"/>
  <c r="K61" i="31" s="1"/>
  <c r="J61" i="12"/>
  <c r="J61" i="31" s="1"/>
  <c r="I61" i="12"/>
  <c r="I61" i="31" s="1"/>
  <c r="H61" i="12"/>
  <c r="H61" i="31" s="1"/>
  <c r="G61" i="12"/>
  <c r="G61" i="31" s="1"/>
  <c r="F61" i="12"/>
  <c r="F61" i="31" s="1"/>
  <c r="E61" i="12"/>
  <c r="E61" i="31" s="1"/>
  <c r="D61" i="12"/>
  <c r="D61" i="31" s="1"/>
  <c r="L60" i="12"/>
  <c r="L60" i="31" s="1"/>
  <c r="K60" i="12"/>
  <c r="K60" i="31" s="1"/>
  <c r="J60" i="12"/>
  <c r="J60" i="31" s="1"/>
  <c r="I60" i="12"/>
  <c r="I60" i="31" s="1"/>
  <c r="H60" i="12"/>
  <c r="H60" i="31" s="1"/>
  <c r="G60" i="12"/>
  <c r="G60" i="31" s="1"/>
  <c r="F60" i="12"/>
  <c r="F60" i="31" s="1"/>
  <c r="E60" i="12"/>
  <c r="E60" i="31" s="1"/>
  <c r="D60" i="12"/>
  <c r="D60" i="31" s="1"/>
  <c r="L59" i="12"/>
  <c r="L59" i="31" s="1"/>
  <c r="K59" i="12"/>
  <c r="K59" i="31" s="1"/>
  <c r="J59" i="12"/>
  <c r="J59" i="31" s="1"/>
  <c r="H59" i="12"/>
  <c r="H59" i="31" s="1"/>
  <c r="G59" i="12"/>
  <c r="G59" i="31" s="1"/>
  <c r="F59" i="12"/>
  <c r="F59" i="31" s="1"/>
  <c r="E59" i="12"/>
  <c r="E59" i="31" s="1"/>
  <c r="D59" i="12"/>
  <c r="D59" i="31" s="1"/>
  <c r="L58" i="12"/>
  <c r="L58" i="31" s="1"/>
  <c r="K58" i="12"/>
  <c r="K58" i="31" s="1"/>
  <c r="J58" i="12"/>
  <c r="J58" i="31" s="1"/>
  <c r="I58" i="12"/>
  <c r="I58" i="31" s="1"/>
  <c r="H58" i="12"/>
  <c r="H58" i="31" s="1"/>
  <c r="G58" i="12"/>
  <c r="G58" i="31" s="1"/>
  <c r="F58" i="12"/>
  <c r="F58" i="31" s="1"/>
  <c r="E58" i="12"/>
  <c r="E58" i="31" s="1"/>
  <c r="D58" i="12"/>
  <c r="D58" i="31" s="1"/>
  <c r="L57" i="12"/>
  <c r="L57" i="31" s="1"/>
  <c r="K57" i="12"/>
  <c r="K57" i="31" s="1"/>
  <c r="J57" i="12"/>
  <c r="J57" i="31" s="1"/>
  <c r="I57" i="12"/>
  <c r="I57" i="31" s="1"/>
  <c r="H57" i="12"/>
  <c r="H57" i="31" s="1"/>
  <c r="G57" i="12"/>
  <c r="G57" i="31" s="1"/>
  <c r="E57" i="12"/>
  <c r="E57" i="31" s="1"/>
  <c r="D57" i="12"/>
  <c r="D57" i="31" s="1"/>
  <c r="L56" i="12"/>
  <c r="L56" i="31" s="1"/>
  <c r="K56" i="12"/>
  <c r="K56" i="31" s="1"/>
  <c r="J56" i="12"/>
  <c r="J56" i="31" s="1"/>
  <c r="I56" i="12"/>
  <c r="I56" i="31" s="1"/>
  <c r="H56" i="12"/>
  <c r="H56" i="31" s="1"/>
  <c r="G56" i="12"/>
  <c r="G56" i="31" s="1"/>
  <c r="F56" i="12"/>
  <c r="F56" i="31" s="1"/>
  <c r="E56" i="12"/>
  <c r="E56" i="31" s="1"/>
  <c r="D56" i="12"/>
  <c r="D56" i="31" s="1"/>
  <c r="L55" i="12"/>
  <c r="L55" i="31" s="1"/>
  <c r="K55" i="12"/>
  <c r="K55" i="31" s="1"/>
  <c r="J55" i="12"/>
  <c r="J55" i="31" s="1"/>
  <c r="I55" i="12"/>
  <c r="I55" i="31" s="1"/>
  <c r="H55" i="12"/>
  <c r="H55" i="31" s="1"/>
  <c r="G55" i="12"/>
  <c r="G55" i="31" s="1"/>
  <c r="F55" i="12"/>
  <c r="F55" i="31" s="1"/>
  <c r="E55" i="12"/>
  <c r="E55" i="31" s="1"/>
  <c r="D55" i="12"/>
  <c r="D55" i="31" s="1"/>
  <c r="L54" i="12"/>
  <c r="L54" i="31" s="1"/>
  <c r="K54" i="12"/>
  <c r="K54" i="31" s="1"/>
  <c r="J54" i="12"/>
  <c r="J54" i="31" s="1"/>
  <c r="I54" i="12"/>
  <c r="I54" i="31" s="1"/>
  <c r="G54" i="12"/>
  <c r="G54" i="31" s="1"/>
  <c r="F54" i="12"/>
  <c r="F54" i="31" s="1"/>
  <c r="E54" i="12"/>
  <c r="E54" i="31" s="1"/>
  <c r="D54" i="12"/>
  <c r="D54" i="31" s="1"/>
  <c r="L53" i="12"/>
  <c r="L53" i="31" s="1"/>
  <c r="K53" i="12"/>
  <c r="K53" i="31" s="1"/>
  <c r="J53" i="12"/>
  <c r="J53" i="31" s="1"/>
  <c r="I53" i="12"/>
  <c r="I53" i="31" s="1"/>
  <c r="H53" i="12"/>
  <c r="H53" i="31" s="1"/>
  <c r="G53" i="12"/>
  <c r="G53" i="31" s="1"/>
  <c r="F53" i="12"/>
  <c r="F53" i="31" s="1"/>
  <c r="E53" i="12"/>
  <c r="E53" i="31" s="1"/>
  <c r="D53" i="12"/>
  <c r="D53" i="31" s="1"/>
  <c r="L52" i="12"/>
  <c r="L52" i="31" s="1"/>
  <c r="K52" i="12"/>
  <c r="K52" i="31" s="1"/>
  <c r="J52" i="12"/>
  <c r="J52" i="31" s="1"/>
  <c r="I52" i="12"/>
  <c r="I52" i="31" s="1"/>
  <c r="H52" i="12"/>
  <c r="H52" i="31" s="1"/>
  <c r="G52" i="12"/>
  <c r="G52" i="31" s="1"/>
  <c r="F52" i="12"/>
  <c r="F52" i="31" s="1"/>
  <c r="E52" i="12"/>
  <c r="E52" i="31" s="1"/>
  <c r="D52" i="12"/>
  <c r="D52" i="31" s="1"/>
  <c r="L51" i="12"/>
  <c r="K51" i="12"/>
  <c r="J51" i="12"/>
  <c r="H51" i="12"/>
  <c r="G51" i="12"/>
  <c r="F51" i="12"/>
  <c r="E51" i="12"/>
  <c r="D51" i="12"/>
  <c r="L50" i="12"/>
  <c r="L50" i="31" s="1"/>
  <c r="K50" i="12"/>
  <c r="K50" i="31" s="1"/>
  <c r="J50" i="12"/>
  <c r="J50" i="31" s="1"/>
  <c r="I50" i="12"/>
  <c r="I50" i="31" s="1"/>
  <c r="H50" i="12"/>
  <c r="H50" i="31" s="1"/>
  <c r="G50" i="12"/>
  <c r="G50" i="31" s="1"/>
  <c r="F50" i="12"/>
  <c r="F50" i="31" s="1"/>
  <c r="E50" i="12"/>
  <c r="E50" i="31" s="1"/>
  <c r="D50" i="12"/>
  <c r="D50" i="31" s="1"/>
  <c r="L49" i="12"/>
  <c r="L49" i="31" s="1"/>
  <c r="K49" i="12"/>
  <c r="K49" i="31" s="1"/>
  <c r="J49" i="12"/>
  <c r="J49" i="31" s="1"/>
  <c r="I49" i="12"/>
  <c r="I49" i="31" s="1"/>
  <c r="H49" i="12"/>
  <c r="H49" i="31" s="1"/>
  <c r="G49" i="12"/>
  <c r="G49" i="31" s="1"/>
  <c r="E49" i="12"/>
  <c r="E49" i="31" s="1"/>
  <c r="D49" i="12"/>
  <c r="D49" i="31" s="1"/>
  <c r="L48" i="12"/>
  <c r="L48" i="31" s="1"/>
  <c r="K48" i="12"/>
  <c r="K48" i="31" s="1"/>
  <c r="J48" i="12"/>
  <c r="J48" i="31" s="1"/>
  <c r="I48" i="12"/>
  <c r="I48" i="31" s="1"/>
  <c r="H48" i="12"/>
  <c r="H48" i="31" s="1"/>
  <c r="G48" i="12"/>
  <c r="G48" i="31" s="1"/>
  <c r="F48" i="12"/>
  <c r="F48" i="31" s="1"/>
  <c r="E48" i="12"/>
  <c r="E48" i="31" s="1"/>
  <c r="D48" i="12"/>
  <c r="D48" i="31" s="1"/>
  <c r="L47" i="12"/>
  <c r="L47" i="31" s="1"/>
  <c r="K47" i="12"/>
  <c r="K47" i="31" s="1"/>
  <c r="J47" i="12"/>
  <c r="J47" i="31" s="1"/>
  <c r="I47" i="12"/>
  <c r="I47" i="31" s="1"/>
  <c r="H47" i="12"/>
  <c r="H47" i="31" s="1"/>
  <c r="G47" i="12"/>
  <c r="G47" i="31" s="1"/>
  <c r="F47" i="12"/>
  <c r="F47" i="31" s="1"/>
  <c r="E47" i="12"/>
  <c r="E47" i="31" s="1"/>
  <c r="D47" i="12"/>
  <c r="D47" i="31" s="1"/>
  <c r="L46" i="12"/>
  <c r="L46" i="31" s="1"/>
  <c r="K46" i="12"/>
  <c r="K46" i="31" s="1"/>
  <c r="J46" i="12"/>
  <c r="J46" i="31" s="1"/>
  <c r="I46" i="12"/>
  <c r="I46" i="31" s="1"/>
  <c r="G46" i="12"/>
  <c r="G46" i="31" s="1"/>
  <c r="F46" i="12"/>
  <c r="F46" i="31" s="1"/>
  <c r="E46" i="12"/>
  <c r="E46" i="31" s="1"/>
  <c r="D46" i="12"/>
  <c r="D46" i="31" s="1"/>
  <c r="L45" i="12"/>
  <c r="L45" i="31" s="1"/>
  <c r="K45" i="12"/>
  <c r="K45" i="31" s="1"/>
  <c r="J45" i="12"/>
  <c r="J45" i="31" s="1"/>
  <c r="I45" i="12"/>
  <c r="I45" i="31" s="1"/>
  <c r="H45" i="12"/>
  <c r="H45" i="31" s="1"/>
  <c r="G45" i="12"/>
  <c r="G45" i="31" s="1"/>
  <c r="F45" i="12"/>
  <c r="F45" i="31" s="1"/>
  <c r="E45" i="12"/>
  <c r="E45" i="31" s="1"/>
  <c r="D45" i="12"/>
  <c r="D45" i="31" s="1"/>
  <c r="L44" i="12"/>
  <c r="L44" i="31" s="1"/>
  <c r="K44" i="12"/>
  <c r="K44" i="31" s="1"/>
  <c r="J44" i="12"/>
  <c r="J44" i="31" s="1"/>
  <c r="I44" i="12"/>
  <c r="I44" i="31" s="1"/>
  <c r="H44" i="12"/>
  <c r="H44" i="31" s="1"/>
  <c r="G44" i="12"/>
  <c r="G44" i="31" s="1"/>
  <c r="F44" i="12"/>
  <c r="F44" i="31" s="1"/>
  <c r="E44" i="12"/>
  <c r="E44" i="31" s="1"/>
  <c r="D44" i="12"/>
  <c r="D44" i="31" s="1"/>
  <c r="L43" i="12"/>
  <c r="K43" i="12"/>
  <c r="J43" i="12"/>
  <c r="H43" i="12"/>
  <c r="G43" i="12"/>
  <c r="F43" i="12"/>
  <c r="E43" i="12"/>
  <c r="D43" i="12"/>
  <c r="L42" i="12"/>
  <c r="L42" i="31" s="1"/>
  <c r="K42" i="12"/>
  <c r="K42" i="31" s="1"/>
  <c r="J42" i="12"/>
  <c r="J42" i="31" s="1"/>
  <c r="I42" i="12"/>
  <c r="I42" i="31" s="1"/>
  <c r="H42" i="12"/>
  <c r="H42" i="31" s="1"/>
  <c r="G42" i="12"/>
  <c r="G42" i="31" s="1"/>
  <c r="F42" i="12"/>
  <c r="F42" i="31" s="1"/>
  <c r="E42" i="12"/>
  <c r="E42" i="31" s="1"/>
  <c r="D42" i="12"/>
  <c r="D42" i="31" s="1"/>
  <c r="L41" i="12"/>
  <c r="L41" i="31" s="1"/>
  <c r="K41" i="12"/>
  <c r="K41" i="31" s="1"/>
  <c r="J41" i="12"/>
  <c r="J41" i="31" s="1"/>
  <c r="I41" i="12"/>
  <c r="I41" i="31" s="1"/>
  <c r="H41" i="12"/>
  <c r="H41" i="31" s="1"/>
  <c r="G41" i="12"/>
  <c r="G41" i="31" s="1"/>
  <c r="E41" i="12"/>
  <c r="E41" i="31" s="1"/>
  <c r="D41" i="12"/>
  <c r="D41" i="31" s="1"/>
  <c r="L40" i="12"/>
  <c r="L40" i="31" s="1"/>
  <c r="K40" i="12"/>
  <c r="K40" i="31" s="1"/>
  <c r="J40" i="12"/>
  <c r="J40" i="31" s="1"/>
  <c r="I40" i="12"/>
  <c r="I40" i="31" s="1"/>
  <c r="H40" i="12"/>
  <c r="H40" i="31" s="1"/>
  <c r="G40" i="12"/>
  <c r="G40" i="31" s="1"/>
  <c r="F40" i="12"/>
  <c r="F40" i="31" s="1"/>
  <c r="E40" i="12"/>
  <c r="E40" i="31" s="1"/>
  <c r="D40" i="12"/>
  <c r="D40" i="31" s="1"/>
  <c r="L39" i="12"/>
  <c r="L39" i="31" s="1"/>
  <c r="K39" i="12"/>
  <c r="K39" i="31" s="1"/>
  <c r="J39" i="12"/>
  <c r="J39" i="31" s="1"/>
  <c r="I39" i="12"/>
  <c r="I39" i="31" s="1"/>
  <c r="H39" i="12"/>
  <c r="H39" i="31" s="1"/>
  <c r="G39" i="12"/>
  <c r="G39" i="31" s="1"/>
  <c r="F39" i="12"/>
  <c r="F39" i="31" s="1"/>
  <c r="E39" i="12"/>
  <c r="E39" i="31" s="1"/>
  <c r="D39" i="12"/>
  <c r="D39" i="31" s="1"/>
  <c r="L38" i="12"/>
  <c r="L38" i="31" s="1"/>
  <c r="K38" i="12"/>
  <c r="K38" i="31" s="1"/>
  <c r="J38" i="12"/>
  <c r="J38" i="31" s="1"/>
  <c r="I38" i="12"/>
  <c r="I38" i="31" s="1"/>
  <c r="G38" i="12"/>
  <c r="G38" i="31" s="1"/>
  <c r="F38" i="12"/>
  <c r="F38" i="31" s="1"/>
  <c r="E38" i="12"/>
  <c r="E38" i="31" s="1"/>
  <c r="D38" i="12"/>
  <c r="D38" i="31" s="1"/>
  <c r="L37" i="12"/>
  <c r="L37" i="31" s="1"/>
  <c r="K37" i="12"/>
  <c r="K37" i="31" s="1"/>
  <c r="J37" i="12"/>
  <c r="J37" i="31" s="1"/>
  <c r="I37" i="12"/>
  <c r="I37" i="31" s="1"/>
  <c r="H37" i="12"/>
  <c r="H37" i="31" s="1"/>
  <c r="G37" i="12"/>
  <c r="G37" i="31" s="1"/>
  <c r="F37" i="12"/>
  <c r="F37" i="31" s="1"/>
  <c r="E37" i="12"/>
  <c r="E37" i="31" s="1"/>
  <c r="D37" i="12"/>
  <c r="D37" i="31" s="1"/>
  <c r="L36" i="12"/>
  <c r="L36" i="31" s="1"/>
  <c r="K36" i="12"/>
  <c r="K36" i="31" s="1"/>
  <c r="J36" i="12"/>
  <c r="J36" i="31" s="1"/>
  <c r="I36" i="12"/>
  <c r="I36" i="31" s="1"/>
  <c r="H36" i="12"/>
  <c r="H36" i="31" s="1"/>
  <c r="G36" i="12"/>
  <c r="G36" i="31" s="1"/>
  <c r="F36" i="12"/>
  <c r="F36" i="31" s="1"/>
  <c r="E36" i="12"/>
  <c r="E36" i="31" s="1"/>
  <c r="D36" i="12"/>
  <c r="D36" i="31" s="1"/>
  <c r="L35" i="12"/>
  <c r="L35" i="31" s="1"/>
  <c r="K35" i="12"/>
  <c r="K35" i="31" s="1"/>
  <c r="J35" i="12"/>
  <c r="J35" i="31" s="1"/>
  <c r="H35" i="12"/>
  <c r="H35" i="31" s="1"/>
  <c r="G35" i="12"/>
  <c r="G35" i="31" s="1"/>
  <c r="F35" i="12"/>
  <c r="F35" i="31" s="1"/>
  <c r="E35" i="12"/>
  <c r="E35" i="31" s="1"/>
  <c r="D35" i="12"/>
  <c r="D35" i="31" s="1"/>
  <c r="L34" i="12"/>
  <c r="K34" i="12"/>
  <c r="J34" i="12"/>
  <c r="I34" i="12"/>
  <c r="H34" i="12"/>
  <c r="G34" i="12"/>
  <c r="F34" i="12"/>
  <c r="E34" i="12"/>
  <c r="D34" i="12"/>
  <c r="L33" i="12"/>
  <c r="L33" i="31" s="1"/>
  <c r="K33" i="12"/>
  <c r="K33" i="31" s="1"/>
  <c r="J33" i="12"/>
  <c r="J33" i="31" s="1"/>
  <c r="I33" i="12"/>
  <c r="I33" i="31" s="1"/>
  <c r="H33" i="12"/>
  <c r="H33" i="31" s="1"/>
  <c r="G33" i="12"/>
  <c r="G33" i="31" s="1"/>
  <c r="E33" i="12"/>
  <c r="E33" i="31" s="1"/>
  <c r="D33" i="12"/>
  <c r="D33" i="31" s="1"/>
  <c r="L32" i="12"/>
  <c r="L32" i="31" s="1"/>
  <c r="K32" i="12"/>
  <c r="K32" i="31" s="1"/>
  <c r="J32" i="12"/>
  <c r="J32" i="31" s="1"/>
  <c r="I32" i="12"/>
  <c r="I32" i="31" s="1"/>
  <c r="H32" i="12"/>
  <c r="H32" i="31" s="1"/>
  <c r="G32" i="12"/>
  <c r="G32" i="31" s="1"/>
  <c r="F32" i="12"/>
  <c r="F32" i="31" s="1"/>
  <c r="E32" i="12"/>
  <c r="E32" i="31" s="1"/>
  <c r="D32" i="12"/>
  <c r="D32" i="31" s="1"/>
  <c r="L31" i="12"/>
  <c r="L31" i="31" s="1"/>
  <c r="K31" i="12"/>
  <c r="K31" i="31" s="1"/>
  <c r="J31" i="12"/>
  <c r="J31" i="31" s="1"/>
  <c r="I31" i="12"/>
  <c r="I31" i="31" s="1"/>
  <c r="H31" i="12"/>
  <c r="H31" i="31" s="1"/>
  <c r="G31" i="12"/>
  <c r="G31" i="31" s="1"/>
  <c r="F31" i="12"/>
  <c r="F31" i="31" s="1"/>
  <c r="E31" i="12"/>
  <c r="E31" i="31" s="1"/>
  <c r="D31" i="12"/>
  <c r="D31" i="31" s="1"/>
  <c r="L30" i="12"/>
  <c r="L30" i="31" s="1"/>
  <c r="K30" i="12"/>
  <c r="K30" i="31" s="1"/>
  <c r="J30" i="12"/>
  <c r="J30" i="31" s="1"/>
  <c r="I30" i="12"/>
  <c r="I30" i="31" s="1"/>
  <c r="G30" i="12"/>
  <c r="G30" i="31" s="1"/>
  <c r="F30" i="12"/>
  <c r="F30" i="31" s="1"/>
  <c r="E30" i="12"/>
  <c r="E30" i="31" s="1"/>
  <c r="D30" i="12"/>
  <c r="D30" i="31" s="1"/>
  <c r="L29" i="12"/>
  <c r="L29" i="31" s="1"/>
  <c r="K29" i="12"/>
  <c r="K29" i="31" s="1"/>
  <c r="J29" i="12"/>
  <c r="J29" i="31" s="1"/>
  <c r="I29" i="12"/>
  <c r="I29" i="31" s="1"/>
  <c r="H29" i="12"/>
  <c r="H29" i="31" s="1"/>
  <c r="G29" i="12"/>
  <c r="G29" i="31" s="1"/>
  <c r="F29" i="12"/>
  <c r="F29" i="31" s="1"/>
  <c r="E29" i="12"/>
  <c r="E29" i="31" s="1"/>
  <c r="D29" i="12"/>
  <c r="D29" i="31" s="1"/>
  <c r="L28" i="12"/>
  <c r="L28" i="31" s="1"/>
  <c r="K28" i="12"/>
  <c r="K28" i="31" s="1"/>
  <c r="J28" i="12"/>
  <c r="J28" i="31" s="1"/>
  <c r="I28" i="12"/>
  <c r="I28" i="31" s="1"/>
  <c r="H28" i="12"/>
  <c r="H28" i="31" s="1"/>
  <c r="G28" i="12"/>
  <c r="G28" i="31" s="1"/>
  <c r="F28" i="12"/>
  <c r="F28" i="31" s="1"/>
  <c r="E28" i="12"/>
  <c r="E28" i="31" s="1"/>
  <c r="D28" i="12"/>
  <c r="D28" i="31" s="1"/>
  <c r="L27" i="12"/>
  <c r="K27" i="12"/>
  <c r="J27" i="12"/>
  <c r="H27" i="12"/>
  <c r="G27" i="12"/>
  <c r="F27" i="12"/>
  <c r="E27" i="12"/>
  <c r="D27" i="12"/>
  <c r="L26" i="12"/>
  <c r="L26" i="31" s="1"/>
  <c r="K26" i="12"/>
  <c r="K26" i="31" s="1"/>
  <c r="J26" i="12"/>
  <c r="J26" i="31" s="1"/>
  <c r="I26" i="12"/>
  <c r="I26" i="31" s="1"/>
  <c r="H26" i="12"/>
  <c r="H26" i="31" s="1"/>
  <c r="G26" i="12"/>
  <c r="G26" i="31" s="1"/>
  <c r="F26" i="12"/>
  <c r="F26" i="31" s="1"/>
  <c r="E26" i="12"/>
  <c r="E26" i="31" s="1"/>
  <c r="D26" i="12"/>
  <c r="D26" i="31" s="1"/>
  <c r="L25" i="12"/>
  <c r="L25" i="31" s="1"/>
  <c r="K25" i="12"/>
  <c r="K25" i="31" s="1"/>
  <c r="J25" i="12"/>
  <c r="J25" i="31" s="1"/>
  <c r="I25" i="12"/>
  <c r="I25" i="31" s="1"/>
  <c r="H25" i="12"/>
  <c r="H25" i="31" s="1"/>
  <c r="G25" i="12"/>
  <c r="G25" i="31" s="1"/>
  <c r="E25" i="12"/>
  <c r="E25" i="31" s="1"/>
  <c r="D25" i="12"/>
  <c r="D25" i="31" s="1"/>
  <c r="L24" i="12"/>
  <c r="L24" i="31" s="1"/>
  <c r="K24" i="12"/>
  <c r="K24" i="31" s="1"/>
  <c r="J24" i="12"/>
  <c r="J24" i="31" s="1"/>
  <c r="I24" i="12"/>
  <c r="I24" i="31" s="1"/>
  <c r="H24" i="12"/>
  <c r="H24" i="31" s="1"/>
  <c r="G24" i="12"/>
  <c r="G24" i="31" s="1"/>
  <c r="F24" i="12"/>
  <c r="F24" i="31" s="1"/>
  <c r="E24" i="12"/>
  <c r="E24" i="31" s="1"/>
  <c r="D24" i="12"/>
  <c r="D24" i="31" s="1"/>
  <c r="L23" i="12"/>
  <c r="L23" i="31" s="1"/>
  <c r="K23" i="12"/>
  <c r="K23" i="31" s="1"/>
  <c r="J23" i="12"/>
  <c r="J23" i="31" s="1"/>
  <c r="I23" i="12"/>
  <c r="I23" i="31" s="1"/>
  <c r="H23" i="12"/>
  <c r="H23" i="31" s="1"/>
  <c r="G23" i="12"/>
  <c r="G23" i="31" s="1"/>
  <c r="F23" i="12"/>
  <c r="F23" i="31" s="1"/>
  <c r="E23" i="12"/>
  <c r="E23" i="31" s="1"/>
  <c r="D23" i="12"/>
  <c r="D23" i="31" s="1"/>
  <c r="L22" i="12"/>
  <c r="L22" i="31" s="1"/>
  <c r="K22" i="12"/>
  <c r="K22" i="31" s="1"/>
  <c r="J22" i="12"/>
  <c r="J22" i="31" s="1"/>
  <c r="I22" i="12"/>
  <c r="I22" i="31" s="1"/>
  <c r="G22" i="12"/>
  <c r="G22" i="31" s="1"/>
  <c r="F22" i="12"/>
  <c r="F22" i="31" s="1"/>
  <c r="E22" i="12"/>
  <c r="E22" i="31" s="1"/>
  <c r="D22" i="12"/>
  <c r="D22" i="31" s="1"/>
  <c r="L21" i="12"/>
  <c r="L21" i="31" s="1"/>
  <c r="K21" i="12"/>
  <c r="K21" i="31" s="1"/>
  <c r="J21" i="12"/>
  <c r="J21" i="31" s="1"/>
  <c r="I21" i="12"/>
  <c r="I21" i="31" s="1"/>
  <c r="H21" i="12"/>
  <c r="H21" i="31" s="1"/>
  <c r="G21" i="12"/>
  <c r="G21" i="31" s="1"/>
  <c r="F21" i="12"/>
  <c r="F21" i="31" s="1"/>
  <c r="E21" i="12"/>
  <c r="E21" i="31" s="1"/>
  <c r="D21" i="12"/>
  <c r="D21" i="31" s="1"/>
  <c r="L20" i="12"/>
  <c r="L20" i="31" s="1"/>
  <c r="K20" i="12"/>
  <c r="K20" i="31" s="1"/>
  <c r="J20" i="12"/>
  <c r="J20" i="31" s="1"/>
  <c r="I20" i="12"/>
  <c r="I20" i="31" s="1"/>
  <c r="H20" i="12"/>
  <c r="H20" i="31" s="1"/>
  <c r="G20" i="12"/>
  <c r="G20" i="31" s="1"/>
  <c r="F20" i="12"/>
  <c r="F20" i="31" s="1"/>
  <c r="E20" i="12"/>
  <c r="E20" i="31" s="1"/>
  <c r="D20" i="12"/>
  <c r="D20" i="31" s="1"/>
  <c r="L19" i="12"/>
  <c r="L19" i="31" s="1"/>
  <c r="K19" i="12"/>
  <c r="K19" i="31" s="1"/>
  <c r="J19" i="12"/>
  <c r="J19" i="31" s="1"/>
  <c r="H19" i="12"/>
  <c r="H19" i="31" s="1"/>
  <c r="G19" i="12"/>
  <c r="G19" i="31" s="1"/>
  <c r="F19" i="12"/>
  <c r="F19" i="31" s="1"/>
  <c r="E19" i="12"/>
  <c r="E19" i="31" s="1"/>
  <c r="D19" i="12"/>
  <c r="D19" i="31" s="1"/>
  <c r="L18" i="12"/>
  <c r="L18" i="31" s="1"/>
  <c r="K18" i="12"/>
  <c r="K18" i="31" s="1"/>
  <c r="J18" i="12"/>
  <c r="J18" i="31" s="1"/>
  <c r="I18" i="12"/>
  <c r="I18" i="31" s="1"/>
  <c r="H18" i="12"/>
  <c r="H18" i="31" s="1"/>
  <c r="G18" i="12"/>
  <c r="G18" i="31" s="1"/>
  <c r="F18" i="12"/>
  <c r="F18" i="31" s="1"/>
  <c r="E18" i="12"/>
  <c r="E18" i="31" s="1"/>
  <c r="D18" i="12"/>
  <c r="D18" i="31" s="1"/>
  <c r="L17" i="12"/>
  <c r="L17" i="31" s="1"/>
  <c r="K17" i="12"/>
  <c r="K17" i="31" s="1"/>
  <c r="J17" i="12"/>
  <c r="J17" i="31" s="1"/>
  <c r="I17" i="12"/>
  <c r="I17" i="31" s="1"/>
  <c r="H17" i="12"/>
  <c r="H17" i="31" s="1"/>
  <c r="G17" i="12"/>
  <c r="G17" i="31" s="1"/>
  <c r="E17" i="12"/>
  <c r="E17" i="31" s="1"/>
  <c r="D17" i="12"/>
  <c r="D17" i="31" s="1"/>
  <c r="L16" i="12"/>
  <c r="L16" i="31" s="1"/>
  <c r="K16" i="12"/>
  <c r="K16" i="31" s="1"/>
  <c r="J16" i="12"/>
  <c r="J16" i="31" s="1"/>
  <c r="I16" i="12"/>
  <c r="I16" i="31" s="1"/>
  <c r="H16" i="12"/>
  <c r="H16" i="31" s="1"/>
  <c r="G16" i="12"/>
  <c r="G16" i="31" s="1"/>
  <c r="F16" i="12"/>
  <c r="F16" i="31" s="1"/>
  <c r="E16" i="12"/>
  <c r="E16" i="31" s="1"/>
  <c r="D16" i="12"/>
  <c r="D16" i="31" s="1"/>
  <c r="L15" i="12"/>
  <c r="L15" i="31" s="1"/>
  <c r="K15" i="12"/>
  <c r="K15" i="31" s="1"/>
  <c r="J15" i="12"/>
  <c r="J15" i="31" s="1"/>
  <c r="I15" i="12"/>
  <c r="I15" i="31" s="1"/>
  <c r="H15" i="12"/>
  <c r="H15" i="31" s="1"/>
  <c r="G15" i="12"/>
  <c r="G15" i="31" s="1"/>
  <c r="F15" i="12"/>
  <c r="F15" i="31" s="1"/>
  <c r="E15" i="12"/>
  <c r="E15" i="31" s="1"/>
  <c r="D15" i="12"/>
  <c r="D15" i="31" s="1"/>
  <c r="L14" i="12"/>
  <c r="L14" i="31" s="1"/>
  <c r="K14" i="12"/>
  <c r="K14" i="31" s="1"/>
  <c r="J14" i="12"/>
  <c r="J14" i="31" s="1"/>
  <c r="I14" i="12"/>
  <c r="I14" i="31" s="1"/>
  <c r="G14" i="12"/>
  <c r="G14" i="31" s="1"/>
  <c r="F14" i="12"/>
  <c r="F14" i="31" s="1"/>
  <c r="E14" i="12"/>
  <c r="E14" i="31" s="1"/>
  <c r="D14" i="12"/>
  <c r="D14" i="31" s="1"/>
  <c r="L13" i="12"/>
  <c r="L13" i="31" s="1"/>
  <c r="K13" i="12"/>
  <c r="K13" i="31" s="1"/>
  <c r="J13" i="12"/>
  <c r="J13" i="31" s="1"/>
  <c r="I13" i="12"/>
  <c r="I13" i="31" s="1"/>
  <c r="H13" i="12"/>
  <c r="H13" i="31" s="1"/>
  <c r="G13" i="12"/>
  <c r="G13" i="31" s="1"/>
  <c r="F13" i="12"/>
  <c r="F13" i="31" s="1"/>
  <c r="E13" i="12"/>
  <c r="E13" i="31" s="1"/>
  <c r="D13" i="12"/>
  <c r="D13" i="31" s="1"/>
  <c r="L12" i="12"/>
  <c r="L12" i="31" s="1"/>
  <c r="K12" i="12"/>
  <c r="K12" i="31" s="1"/>
  <c r="J12" i="12"/>
  <c r="J12" i="31" s="1"/>
  <c r="I12" i="12"/>
  <c r="I12" i="31" s="1"/>
  <c r="H12" i="12"/>
  <c r="H12" i="31" s="1"/>
  <c r="G12" i="12"/>
  <c r="G12" i="31" s="1"/>
  <c r="F12" i="12"/>
  <c r="F12" i="31" s="1"/>
  <c r="E12" i="12"/>
  <c r="E12" i="31" s="1"/>
  <c r="D12" i="12"/>
  <c r="D12" i="31" s="1"/>
  <c r="L11" i="12"/>
  <c r="L11" i="31" s="1"/>
  <c r="K11" i="12"/>
  <c r="K11" i="31" s="1"/>
  <c r="J11" i="12"/>
  <c r="J11" i="31" s="1"/>
  <c r="H11" i="12"/>
  <c r="H11" i="31" s="1"/>
  <c r="G11" i="12"/>
  <c r="G11" i="31" s="1"/>
  <c r="F11" i="12"/>
  <c r="F11" i="31" s="1"/>
  <c r="E11" i="12"/>
  <c r="E11" i="31" s="1"/>
  <c r="D11" i="12"/>
  <c r="D11" i="31" s="1"/>
  <c r="L10" i="12"/>
  <c r="L10" i="31" s="1"/>
  <c r="K10" i="12"/>
  <c r="K10" i="31" s="1"/>
  <c r="J10" i="12"/>
  <c r="J10" i="31" s="1"/>
  <c r="I10" i="12"/>
  <c r="I10" i="31" s="1"/>
  <c r="H10" i="12"/>
  <c r="H10" i="31" s="1"/>
  <c r="G10" i="12"/>
  <c r="G10" i="31" s="1"/>
  <c r="F10" i="12"/>
  <c r="F10" i="31" s="1"/>
  <c r="E10" i="12"/>
  <c r="E10" i="31" s="1"/>
  <c r="D10" i="12"/>
  <c r="D10" i="31" s="1"/>
  <c r="L9" i="12"/>
  <c r="L9" i="31" s="1"/>
  <c r="K9" i="12"/>
  <c r="K9" i="31" s="1"/>
  <c r="J9" i="12"/>
  <c r="J9" i="31" s="1"/>
  <c r="I9" i="12"/>
  <c r="I9" i="31" s="1"/>
  <c r="H9" i="12"/>
  <c r="H9" i="31" s="1"/>
  <c r="G9" i="12"/>
  <c r="G9" i="31" s="1"/>
  <c r="E9" i="12"/>
  <c r="E9" i="31" s="1"/>
  <c r="D9" i="12"/>
  <c r="D9" i="31" s="1"/>
  <c r="L8" i="12"/>
  <c r="K8" i="12"/>
  <c r="J8" i="12"/>
  <c r="I8" i="12"/>
  <c r="H8" i="12"/>
  <c r="G8" i="12"/>
  <c r="F8" i="12"/>
  <c r="E8" i="12"/>
  <c r="D8" i="12"/>
  <c r="L7" i="12"/>
  <c r="K7" i="12"/>
  <c r="J7" i="12"/>
  <c r="I7" i="12"/>
  <c r="H7" i="12"/>
  <c r="G7" i="12"/>
  <c r="F7" i="12"/>
  <c r="E7" i="12"/>
  <c r="I136" i="17"/>
  <c r="F136" i="17"/>
  <c r="E136" i="17"/>
  <c r="D136" i="17"/>
  <c r="P6" i="17"/>
  <c r="O6" i="17"/>
  <c r="N6" i="17"/>
  <c r="M6" i="17"/>
  <c r="L6" i="17"/>
  <c r="K6" i="17"/>
  <c r="G136" i="17"/>
  <c r="BN3" i="6"/>
  <c r="BN4" i="6"/>
  <c r="BN5" i="6"/>
  <c r="BN6" i="6"/>
  <c r="BN7" i="6"/>
  <c r="BN8" i="6"/>
  <c r="BN9" i="6"/>
  <c r="BN10" i="6"/>
  <c r="BN11" i="6"/>
  <c r="BN12" i="6"/>
  <c r="BN13" i="6"/>
  <c r="BN14" i="6"/>
  <c r="BN15" i="6"/>
  <c r="BN16" i="6"/>
  <c r="BN17" i="6"/>
  <c r="BN18" i="6"/>
  <c r="BN19" i="6"/>
  <c r="BN20" i="6"/>
  <c r="BN21" i="6"/>
  <c r="BN22" i="6"/>
  <c r="BN23" i="6"/>
  <c r="BN24" i="6"/>
  <c r="BN25" i="6"/>
  <c r="BN26" i="6"/>
  <c r="BN27" i="6"/>
  <c r="BN28" i="6"/>
  <c r="BN29" i="6"/>
  <c r="BN30" i="6"/>
  <c r="BN31" i="6"/>
  <c r="BN32" i="6"/>
  <c r="BN33" i="6"/>
  <c r="BN34" i="6"/>
  <c r="BN35" i="6"/>
  <c r="BN36" i="6"/>
  <c r="BN37" i="6"/>
  <c r="BN38" i="6"/>
  <c r="BN39" i="6"/>
  <c r="BN40" i="6"/>
  <c r="BN41" i="6"/>
  <c r="BN42" i="6"/>
  <c r="BN43" i="6"/>
  <c r="BN44" i="6"/>
  <c r="BN45" i="6"/>
  <c r="BN46" i="6"/>
  <c r="BN47" i="6"/>
  <c r="BN48" i="6"/>
  <c r="BN49" i="6"/>
  <c r="BN50" i="6"/>
  <c r="BN51" i="6"/>
  <c r="BN52" i="6"/>
  <c r="BN53" i="6"/>
  <c r="BN54" i="6"/>
  <c r="BN55" i="6"/>
  <c r="BN56" i="6"/>
  <c r="BN57" i="6"/>
  <c r="BN58" i="6"/>
  <c r="BN59" i="6"/>
  <c r="BN60" i="6"/>
  <c r="BN61" i="6"/>
  <c r="BN62" i="6"/>
  <c r="BN63" i="6"/>
  <c r="BN64" i="6"/>
  <c r="BN65" i="6"/>
  <c r="BN66" i="6"/>
  <c r="BN67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N82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N97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N112" i="6"/>
  <c r="BN113" i="6"/>
  <c r="BN114" i="6"/>
  <c r="BN115" i="6"/>
  <c r="BN116" i="6"/>
  <c r="BN117" i="6"/>
  <c r="BN118" i="6"/>
  <c r="BN119" i="6"/>
  <c r="BN120" i="6"/>
  <c r="BN121" i="6"/>
  <c r="BN122" i="6"/>
  <c r="BN123" i="6"/>
  <c r="BN124" i="6"/>
  <c r="BN125" i="6"/>
  <c r="BN126" i="6"/>
  <c r="BN127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X56" i="31" l="1"/>
  <c r="X56" i="27"/>
  <c r="X56" i="16"/>
  <c r="X55" i="16"/>
  <c r="X55" i="27"/>
  <c r="E7" i="27"/>
  <c r="E7" i="31"/>
  <c r="H27" i="27"/>
  <c r="H27" i="31"/>
  <c r="E34" i="27"/>
  <c r="E34" i="31"/>
  <c r="G43" i="27"/>
  <c r="G43" i="31"/>
  <c r="K51" i="27"/>
  <c r="K51" i="31"/>
  <c r="H67" i="27"/>
  <c r="H67" i="31"/>
  <c r="D73" i="27"/>
  <c r="D73" i="31"/>
  <c r="K96" i="27"/>
  <c r="K96" i="31"/>
  <c r="E110" i="27"/>
  <c r="E110" i="31"/>
  <c r="J119" i="27"/>
  <c r="J119" i="31"/>
  <c r="J145" i="31" s="1"/>
  <c r="I127" i="27"/>
  <c r="I127" i="31"/>
  <c r="K8" i="27"/>
  <c r="K8" i="31"/>
  <c r="G8" i="27"/>
  <c r="G8" i="31"/>
  <c r="H8" i="27"/>
  <c r="H8" i="31"/>
  <c r="J27" i="27"/>
  <c r="J27" i="31"/>
  <c r="F34" i="27"/>
  <c r="F34" i="31"/>
  <c r="H43" i="27"/>
  <c r="H43" i="31"/>
  <c r="L51" i="27"/>
  <c r="L51" i="31"/>
  <c r="J67" i="27"/>
  <c r="J67" i="31"/>
  <c r="E73" i="27"/>
  <c r="E73" i="31"/>
  <c r="L96" i="27"/>
  <c r="L96" i="31"/>
  <c r="F110" i="27"/>
  <c r="F110" i="31"/>
  <c r="K119" i="27"/>
  <c r="K119" i="31"/>
  <c r="J127" i="27"/>
  <c r="J127" i="31"/>
  <c r="I7" i="27"/>
  <c r="I7" i="31"/>
  <c r="J7" i="27"/>
  <c r="J136" i="27" s="1"/>
  <c r="J7" i="31"/>
  <c r="K7" i="27"/>
  <c r="K7" i="31"/>
  <c r="I8" i="27"/>
  <c r="I8" i="31"/>
  <c r="G34" i="27"/>
  <c r="G34" i="31"/>
  <c r="J43" i="27"/>
  <c r="J43" i="31"/>
  <c r="D51" i="27"/>
  <c r="D51" i="31"/>
  <c r="K67" i="27"/>
  <c r="K67" i="31"/>
  <c r="G73" i="27"/>
  <c r="G73" i="31"/>
  <c r="D96" i="27"/>
  <c r="D96" i="31"/>
  <c r="G110" i="27"/>
  <c r="G110" i="31"/>
  <c r="D119" i="27"/>
  <c r="D119" i="31"/>
  <c r="L119" i="27"/>
  <c r="L119" i="31"/>
  <c r="K127" i="27"/>
  <c r="K127" i="31"/>
  <c r="K27" i="27"/>
  <c r="K27" i="31"/>
  <c r="L7" i="27"/>
  <c r="L7" i="31"/>
  <c r="J8" i="27"/>
  <c r="J8" i="31"/>
  <c r="L27" i="27"/>
  <c r="L27" i="31"/>
  <c r="H34" i="27"/>
  <c r="H34" i="31"/>
  <c r="K43" i="27"/>
  <c r="K43" i="31"/>
  <c r="E51" i="27"/>
  <c r="E51" i="31"/>
  <c r="L67" i="27"/>
  <c r="L67" i="31"/>
  <c r="H73" i="27"/>
  <c r="H73" i="31"/>
  <c r="E96" i="27"/>
  <c r="E96" i="31"/>
  <c r="I110" i="27"/>
  <c r="I110" i="31"/>
  <c r="E119" i="27"/>
  <c r="E119" i="31"/>
  <c r="D127" i="27"/>
  <c r="D127" i="31"/>
  <c r="L127" i="27"/>
  <c r="L127" i="31"/>
  <c r="F73" i="27"/>
  <c r="F73" i="31"/>
  <c r="F142" i="31" s="1"/>
  <c r="I51" i="27"/>
  <c r="I51" i="31"/>
  <c r="D27" i="27"/>
  <c r="D27" i="31"/>
  <c r="I34" i="27"/>
  <c r="I34" i="31"/>
  <c r="L43" i="27"/>
  <c r="L43" i="31"/>
  <c r="F51" i="27"/>
  <c r="F51" i="31"/>
  <c r="D67" i="27"/>
  <c r="D67" i="31"/>
  <c r="I73" i="27"/>
  <c r="I73" i="31"/>
  <c r="F96" i="27"/>
  <c r="F96" i="31"/>
  <c r="J110" i="27"/>
  <c r="J110" i="31"/>
  <c r="F119" i="27"/>
  <c r="F119" i="31"/>
  <c r="E127" i="27"/>
  <c r="E127" i="31"/>
  <c r="I27" i="27"/>
  <c r="I27" i="31"/>
  <c r="F7" i="27"/>
  <c r="F7" i="31"/>
  <c r="D8" i="27"/>
  <c r="D8" i="31"/>
  <c r="L8" i="27"/>
  <c r="L8" i="31"/>
  <c r="E27" i="27"/>
  <c r="E27" i="31"/>
  <c r="J34" i="27"/>
  <c r="J34" i="31"/>
  <c r="D43" i="27"/>
  <c r="D43" i="31"/>
  <c r="G51" i="27"/>
  <c r="G51" i="31"/>
  <c r="E67" i="27"/>
  <c r="E67" i="31"/>
  <c r="J73" i="27"/>
  <c r="J73" i="31"/>
  <c r="G96" i="27"/>
  <c r="G96" i="31"/>
  <c r="K110" i="27"/>
  <c r="K110" i="31"/>
  <c r="G119" i="27"/>
  <c r="G119" i="31"/>
  <c r="F127" i="27"/>
  <c r="F127" i="31"/>
  <c r="H110" i="27"/>
  <c r="H110" i="31"/>
  <c r="I67" i="27"/>
  <c r="I67" i="31"/>
  <c r="G7" i="27"/>
  <c r="G136" i="27" s="1"/>
  <c r="G7" i="31"/>
  <c r="E8" i="27"/>
  <c r="E8" i="31"/>
  <c r="F27" i="27"/>
  <c r="F27" i="31"/>
  <c r="K34" i="27"/>
  <c r="K34" i="31"/>
  <c r="E43" i="27"/>
  <c r="E43" i="31"/>
  <c r="H51" i="27"/>
  <c r="H51" i="31"/>
  <c r="K73" i="27"/>
  <c r="K73" i="31"/>
  <c r="I96" i="27"/>
  <c r="I96" i="31"/>
  <c r="L110" i="27"/>
  <c r="L110" i="31"/>
  <c r="H119" i="27"/>
  <c r="H119" i="31"/>
  <c r="G127" i="27"/>
  <c r="G127" i="31"/>
  <c r="H96" i="27"/>
  <c r="H96" i="31"/>
  <c r="I43" i="27"/>
  <c r="I43" i="31"/>
  <c r="H7" i="27"/>
  <c r="H7" i="31"/>
  <c r="F8" i="27"/>
  <c r="F8" i="31"/>
  <c r="G27" i="27"/>
  <c r="G27" i="31"/>
  <c r="D34" i="27"/>
  <c r="D34" i="31"/>
  <c r="L34" i="27"/>
  <c r="L34" i="31"/>
  <c r="F43" i="27"/>
  <c r="F43" i="31"/>
  <c r="J51" i="27"/>
  <c r="J51" i="31"/>
  <c r="G67" i="27"/>
  <c r="G67" i="31"/>
  <c r="L73" i="27"/>
  <c r="L73" i="31"/>
  <c r="J96" i="27"/>
  <c r="J96" i="31"/>
  <c r="D110" i="27"/>
  <c r="D110" i="31"/>
  <c r="I119" i="27"/>
  <c r="I119" i="31"/>
  <c r="H127" i="27"/>
  <c r="H127" i="31"/>
  <c r="L12" i="16"/>
  <c r="L12" i="27"/>
  <c r="L17" i="16"/>
  <c r="L17" i="27"/>
  <c r="H24" i="16"/>
  <c r="H24" i="27"/>
  <c r="J38" i="16"/>
  <c r="J38" i="27"/>
  <c r="I46" i="16"/>
  <c r="I46" i="27"/>
  <c r="E52" i="16"/>
  <c r="E52" i="27"/>
  <c r="G61" i="16"/>
  <c r="G61" i="27"/>
  <c r="J70" i="16"/>
  <c r="J70" i="27"/>
  <c r="J86" i="16"/>
  <c r="J86" i="27"/>
  <c r="F113" i="16"/>
  <c r="F113" i="27"/>
  <c r="G9" i="16"/>
  <c r="G9" i="27"/>
  <c r="E10" i="16"/>
  <c r="E10" i="27"/>
  <c r="L11" i="16"/>
  <c r="L11" i="27"/>
  <c r="J12" i="16"/>
  <c r="J12" i="27"/>
  <c r="H13" i="16"/>
  <c r="H13" i="27"/>
  <c r="F14" i="16"/>
  <c r="F14" i="27"/>
  <c r="E15" i="16"/>
  <c r="E15" i="27"/>
  <c r="K16" i="16"/>
  <c r="K16" i="27"/>
  <c r="J17" i="16"/>
  <c r="J17" i="27"/>
  <c r="H18" i="16"/>
  <c r="H18" i="27"/>
  <c r="F19" i="16"/>
  <c r="F19" i="27"/>
  <c r="E20" i="16"/>
  <c r="E20" i="27"/>
  <c r="K21" i="16"/>
  <c r="K21" i="27"/>
  <c r="J22" i="16"/>
  <c r="J22" i="27"/>
  <c r="H23" i="16"/>
  <c r="H23" i="27"/>
  <c r="F24" i="16"/>
  <c r="F24" i="27"/>
  <c r="D25" i="16"/>
  <c r="D25" i="27"/>
  <c r="K26" i="16"/>
  <c r="K26" i="27"/>
  <c r="H28" i="16"/>
  <c r="H28" i="27"/>
  <c r="F29" i="16"/>
  <c r="F29" i="27"/>
  <c r="D30" i="16"/>
  <c r="D30" i="27"/>
  <c r="K31" i="16"/>
  <c r="K31" i="27"/>
  <c r="I32" i="16"/>
  <c r="I32" i="27"/>
  <c r="H33" i="16"/>
  <c r="H33" i="27"/>
  <c r="D35" i="16"/>
  <c r="D35" i="27"/>
  <c r="K36" i="16"/>
  <c r="K36" i="27"/>
  <c r="I37" i="16"/>
  <c r="I37" i="27"/>
  <c r="G38" i="16"/>
  <c r="G38" i="27"/>
  <c r="F39" i="16"/>
  <c r="F39" i="27"/>
  <c r="D40" i="16"/>
  <c r="D40" i="27"/>
  <c r="L40" i="16"/>
  <c r="L40" i="27"/>
  <c r="K41" i="16"/>
  <c r="K41" i="27"/>
  <c r="I42" i="16"/>
  <c r="I42" i="27"/>
  <c r="H44" i="16"/>
  <c r="H44" i="27"/>
  <c r="G45" i="16"/>
  <c r="G45" i="27"/>
  <c r="F46" i="16"/>
  <c r="F46" i="27"/>
  <c r="F47" i="16"/>
  <c r="F47" i="27"/>
  <c r="E48" i="16"/>
  <c r="E48" i="27"/>
  <c r="D49" i="16"/>
  <c r="D49" i="27"/>
  <c r="D50" i="16"/>
  <c r="D50" i="27"/>
  <c r="L50" i="16"/>
  <c r="L50" i="27"/>
  <c r="K52" i="16"/>
  <c r="K52" i="27"/>
  <c r="J53" i="16"/>
  <c r="J53" i="27"/>
  <c r="J54" i="16"/>
  <c r="J54" i="27"/>
  <c r="I55" i="16"/>
  <c r="I55" i="27"/>
  <c r="H56" i="16"/>
  <c r="H56" i="27"/>
  <c r="H57" i="16"/>
  <c r="H57" i="27"/>
  <c r="G58" i="16"/>
  <c r="G58" i="27"/>
  <c r="F59" i="16"/>
  <c r="F59" i="27"/>
  <c r="F60" i="16"/>
  <c r="F60" i="27"/>
  <c r="E61" i="16"/>
  <c r="E61" i="27"/>
  <c r="D62" i="16"/>
  <c r="D62" i="27"/>
  <c r="D63" i="16"/>
  <c r="D63" i="27"/>
  <c r="L63" i="16"/>
  <c r="L63" i="27"/>
  <c r="K64" i="16"/>
  <c r="K64" i="27"/>
  <c r="K65" i="16"/>
  <c r="K65" i="27"/>
  <c r="J66" i="16"/>
  <c r="J66" i="27"/>
  <c r="I68" i="16"/>
  <c r="I68" i="27"/>
  <c r="H69" i="16"/>
  <c r="H69" i="27"/>
  <c r="G70" i="16"/>
  <c r="G70" i="27"/>
  <c r="G71" i="16"/>
  <c r="G71" i="27"/>
  <c r="F72" i="16"/>
  <c r="F72" i="27"/>
  <c r="E74" i="16"/>
  <c r="E74" i="27"/>
  <c r="D75" i="16"/>
  <c r="D75" i="27"/>
  <c r="D76" i="16"/>
  <c r="D76" i="27"/>
  <c r="L76" i="16"/>
  <c r="L76" i="27"/>
  <c r="K77" i="16"/>
  <c r="K77" i="27"/>
  <c r="K78" i="16"/>
  <c r="K78" i="27"/>
  <c r="J79" i="16"/>
  <c r="J79" i="27"/>
  <c r="J80" i="16"/>
  <c r="J80" i="27"/>
  <c r="J81" i="16"/>
  <c r="J81" i="27"/>
  <c r="I82" i="16"/>
  <c r="I82" i="27"/>
  <c r="J83" i="16"/>
  <c r="J83" i="27"/>
  <c r="I84" i="16"/>
  <c r="I84" i="27"/>
  <c r="H85" i="16"/>
  <c r="H85" i="27"/>
  <c r="G86" i="16"/>
  <c r="G86" i="27"/>
  <c r="G87" i="16"/>
  <c r="G87" i="27"/>
  <c r="F88" i="16"/>
  <c r="F88" i="27"/>
  <c r="G89" i="16"/>
  <c r="G89" i="27"/>
  <c r="F90" i="16"/>
  <c r="F90" i="27"/>
  <c r="E91" i="16"/>
  <c r="E91" i="27"/>
  <c r="F92" i="16"/>
  <c r="F92" i="27"/>
  <c r="E93" i="16"/>
  <c r="E93" i="27"/>
  <c r="D94" i="16"/>
  <c r="D94" i="27"/>
  <c r="D95" i="16"/>
  <c r="D95" i="27"/>
  <c r="L95" i="16"/>
  <c r="L95" i="27"/>
  <c r="L97" i="16"/>
  <c r="L97" i="27"/>
  <c r="K98" i="16"/>
  <c r="K98" i="27"/>
  <c r="L99" i="16"/>
  <c r="L99" i="27"/>
  <c r="K100" i="16"/>
  <c r="K100" i="27"/>
  <c r="J101" i="16"/>
  <c r="J101" i="27"/>
  <c r="J102" i="16"/>
  <c r="J102" i="27"/>
  <c r="I103" i="16"/>
  <c r="I103" i="27"/>
  <c r="I104" i="16"/>
  <c r="I104" i="27"/>
  <c r="I105" i="16"/>
  <c r="I105" i="27"/>
  <c r="H106" i="16"/>
  <c r="H106" i="27"/>
  <c r="H107" i="16"/>
  <c r="H107" i="27"/>
  <c r="H108" i="16"/>
  <c r="H108" i="27"/>
  <c r="G109" i="16"/>
  <c r="G109" i="27"/>
  <c r="F111" i="16"/>
  <c r="F111" i="27"/>
  <c r="E112" i="16"/>
  <c r="E112" i="27"/>
  <c r="E113" i="16"/>
  <c r="E113" i="27"/>
  <c r="E114" i="16"/>
  <c r="E114" i="27"/>
  <c r="D115" i="16"/>
  <c r="D115" i="27"/>
  <c r="E116" i="16"/>
  <c r="E116" i="27"/>
  <c r="D117" i="16"/>
  <c r="D117" i="27"/>
  <c r="L117" i="16"/>
  <c r="L117" i="27"/>
  <c r="L118" i="16"/>
  <c r="L118" i="27"/>
  <c r="K120" i="16"/>
  <c r="K120" i="27"/>
  <c r="K121" i="16"/>
  <c r="K121" i="27"/>
  <c r="K122" i="16"/>
  <c r="K122" i="27"/>
  <c r="L123" i="16"/>
  <c r="L123" i="27"/>
  <c r="K124" i="16"/>
  <c r="K124" i="27"/>
  <c r="K125" i="16"/>
  <c r="K125" i="27"/>
  <c r="K126" i="16"/>
  <c r="K126" i="27"/>
  <c r="J128" i="16"/>
  <c r="J128" i="27"/>
  <c r="K129" i="16"/>
  <c r="K129" i="27"/>
  <c r="L130" i="16"/>
  <c r="L130" i="27"/>
  <c r="D132" i="16"/>
  <c r="D132" i="27"/>
  <c r="L132" i="16"/>
  <c r="L132" i="27"/>
  <c r="H126" i="16"/>
  <c r="H126" i="27"/>
  <c r="I115" i="16"/>
  <c r="I115" i="27"/>
  <c r="H104" i="16"/>
  <c r="H104" i="27"/>
  <c r="F91" i="16"/>
  <c r="F91" i="27"/>
  <c r="H78" i="16"/>
  <c r="H78" i="27"/>
  <c r="F57" i="16"/>
  <c r="F57" i="27"/>
  <c r="I35" i="16"/>
  <c r="I35" i="27"/>
  <c r="H14" i="16"/>
  <c r="H14" i="27"/>
  <c r="E11" i="16"/>
  <c r="E11" i="27"/>
  <c r="J18" i="16"/>
  <c r="J18" i="27"/>
  <c r="K32" i="16"/>
  <c r="K32" i="27"/>
  <c r="F35" i="16"/>
  <c r="F35" i="27"/>
  <c r="D41" i="16"/>
  <c r="D41" i="27"/>
  <c r="J56" i="16"/>
  <c r="J56" i="27"/>
  <c r="H60" i="16"/>
  <c r="H60" i="27"/>
  <c r="D65" i="16"/>
  <c r="D65" i="27"/>
  <c r="J69" i="16"/>
  <c r="J69" i="27"/>
  <c r="L79" i="16"/>
  <c r="L79" i="27"/>
  <c r="E131" i="16"/>
  <c r="E131" i="27"/>
  <c r="K136" i="27"/>
  <c r="H9" i="16"/>
  <c r="H9" i="27"/>
  <c r="F10" i="16"/>
  <c r="F10" i="27"/>
  <c r="D11" i="16"/>
  <c r="D11" i="27"/>
  <c r="K12" i="16"/>
  <c r="K12" i="27"/>
  <c r="I13" i="16"/>
  <c r="I13" i="27"/>
  <c r="G14" i="16"/>
  <c r="G14" i="27"/>
  <c r="F15" i="16"/>
  <c r="F15" i="27"/>
  <c r="D16" i="16"/>
  <c r="D16" i="27"/>
  <c r="L16" i="16"/>
  <c r="L16" i="27"/>
  <c r="K17" i="16"/>
  <c r="K17" i="27"/>
  <c r="I18" i="16"/>
  <c r="I18" i="27"/>
  <c r="G19" i="16"/>
  <c r="G19" i="27"/>
  <c r="F20" i="16"/>
  <c r="F20" i="27"/>
  <c r="D21" i="16"/>
  <c r="D21" i="27"/>
  <c r="L21" i="16"/>
  <c r="L21" i="27"/>
  <c r="K22" i="16"/>
  <c r="K22" i="27"/>
  <c r="I23" i="16"/>
  <c r="I23" i="27"/>
  <c r="G24" i="16"/>
  <c r="G24" i="27"/>
  <c r="E25" i="16"/>
  <c r="E25" i="27"/>
  <c r="D26" i="16"/>
  <c r="D26" i="27"/>
  <c r="L26" i="16"/>
  <c r="L26" i="27"/>
  <c r="I28" i="16"/>
  <c r="I28" i="27"/>
  <c r="G29" i="16"/>
  <c r="G29" i="27"/>
  <c r="E30" i="16"/>
  <c r="E30" i="27"/>
  <c r="D31" i="16"/>
  <c r="D31" i="27"/>
  <c r="L31" i="16"/>
  <c r="L31" i="27"/>
  <c r="J32" i="16"/>
  <c r="J32" i="27"/>
  <c r="I33" i="16"/>
  <c r="I33" i="27"/>
  <c r="E35" i="16"/>
  <c r="E35" i="27"/>
  <c r="D36" i="16"/>
  <c r="D36" i="27"/>
  <c r="L36" i="16"/>
  <c r="L36" i="27"/>
  <c r="J37" i="16"/>
  <c r="J37" i="27"/>
  <c r="I38" i="16"/>
  <c r="I38" i="27"/>
  <c r="G39" i="16"/>
  <c r="G39" i="27"/>
  <c r="E40" i="16"/>
  <c r="E40" i="27"/>
  <c r="L41" i="16"/>
  <c r="L41" i="27"/>
  <c r="J42" i="16"/>
  <c r="J42" i="27"/>
  <c r="I44" i="16"/>
  <c r="I44" i="27"/>
  <c r="H45" i="16"/>
  <c r="H45" i="27"/>
  <c r="G46" i="16"/>
  <c r="G46" i="27"/>
  <c r="G47" i="16"/>
  <c r="G47" i="27"/>
  <c r="F48" i="16"/>
  <c r="F48" i="27"/>
  <c r="E49" i="16"/>
  <c r="E49" i="27"/>
  <c r="E50" i="16"/>
  <c r="E50" i="27"/>
  <c r="D52" i="16"/>
  <c r="D52" i="27"/>
  <c r="L52" i="16"/>
  <c r="L52" i="27"/>
  <c r="K53" i="16"/>
  <c r="K53" i="27"/>
  <c r="K54" i="16"/>
  <c r="K54" i="27"/>
  <c r="J55" i="16"/>
  <c r="J55" i="27"/>
  <c r="I56" i="16"/>
  <c r="I56" i="27"/>
  <c r="I57" i="16"/>
  <c r="I57" i="27"/>
  <c r="H58" i="16"/>
  <c r="H58" i="27"/>
  <c r="G59" i="16"/>
  <c r="G59" i="27"/>
  <c r="G60" i="16"/>
  <c r="G60" i="27"/>
  <c r="F61" i="16"/>
  <c r="F61" i="27"/>
  <c r="E62" i="16"/>
  <c r="E62" i="27"/>
  <c r="E63" i="16"/>
  <c r="E63" i="27"/>
  <c r="D64" i="16"/>
  <c r="D64" i="27"/>
  <c r="L64" i="16"/>
  <c r="L64" i="27"/>
  <c r="L65" i="16"/>
  <c r="L65" i="27"/>
  <c r="K66" i="16"/>
  <c r="K66" i="27"/>
  <c r="J68" i="16"/>
  <c r="J68" i="27"/>
  <c r="I69" i="16"/>
  <c r="I69" i="27"/>
  <c r="I70" i="16"/>
  <c r="I70" i="27"/>
  <c r="H71" i="16"/>
  <c r="H71" i="27"/>
  <c r="G72" i="16"/>
  <c r="G72" i="27"/>
  <c r="F74" i="16"/>
  <c r="F74" i="27"/>
  <c r="E75" i="16"/>
  <c r="E75" i="27"/>
  <c r="E76" i="16"/>
  <c r="E76" i="27"/>
  <c r="D77" i="16"/>
  <c r="D77" i="27"/>
  <c r="L77" i="16"/>
  <c r="L77" i="27"/>
  <c r="L78" i="16"/>
  <c r="L78" i="27"/>
  <c r="K79" i="16"/>
  <c r="K79" i="27"/>
  <c r="K80" i="16"/>
  <c r="K80" i="27"/>
  <c r="K81" i="16"/>
  <c r="K81" i="27"/>
  <c r="J82" i="16"/>
  <c r="J82" i="27"/>
  <c r="K83" i="16"/>
  <c r="K83" i="27"/>
  <c r="J84" i="16"/>
  <c r="J84" i="27"/>
  <c r="I85" i="16"/>
  <c r="I85" i="27"/>
  <c r="I86" i="16"/>
  <c r="I86" i="27"/>
  <c r="H87" i="16"/>
  <c r="H87" i="27"/>
  <c r="G88" i="16"/>
  <c r="G88" i="27"/>
  <c r="H89" i="16"/>
  <c r="H89" i="27"/>
  <c r="G90" i="16"/>
  <c r="G90" i="27"/>
  <c r="G91" i="16"/>
  <c r="G91" i="27"/>
  <c r="G92" i="16"/>
  <c r="G92" i="27"/>
  <c r="F93" i="16"/>
  <c r="F93" i="27"/>
  <c r="E94" i="16"/>
  <c r="E94" i="27"/>
  <c r="E95" i="16"/>
  <c r="E95" i="27"/>
  <c r="D97" i="16"/>
  <c r="D97" i="27"/>
  <c r="D98" i="16"/>
  <c r="D98" i="27"/>
  <c r="L98" i="16"/>
  <c r="L98" i="27"/>
  <c r="D100" i="16"/>
  <c r="D100" i="27"/>
  <c r="L100" i="16"/>
  <c r="L100" i="27"/>
  <c r="K101" i="16"/>
  <c r="K101" i="27"/>
  <c r="K102" i="16"/>
  <c r="K102" i="27"/>
  <c r="J103" i="16"/>
  <c r="J103" i="27"/>
  <c r="J104" i="16"/>
  <c r="J104" i="27"/>
  <c r="J105" i="16"/>
  <c r="J105" i="27"/>
  <c r="I106" i="16"/>
  <c r="I106" i="27"/>
  <c r="J107" i="16"/>
  <c r="J107" i="27"/>
  <c r="I108" i="16"/>
  <c r="I108" i="27"/>
  <c r="H109" i="16"/>
  <c r="H109" i="27"/>
  <c r="G111" i="16"/>
  <c r="G111" i="27"/>
  <c r="F112" i="16"/>
  <c r="F112" i="27"/>
  <c r="G113" i="16"/>
  <c r="G113" i="27"/>
  <c r="F114" i="16"/>
  <c r="F114" i="27"/>
  <c r="E115" i="16"/>
  <c r="E115" i="27"/>
  <c r="F116" i="16"/>
  <c r="F116" i="27"/>
  <c r="E117" i="16"/>
  <c r="E117" i="27"/>
  <c r="D118" i="16"/>
  <c r="D118" i="27"/>
  <c r="L120" i="16"/>
  <c r="L120" i="27"/>
  <c r="L121" i="16"/>
  <c r="L121" i="27"/>
  <c r="L122" i="16"/>
  <c r="L122" i="27"/>
  <c r="D124" i="16"/>
  <c r="D124" i="27"/>
  <c r="L124" i="16"/>
  <c r="L124" i="27"/>
  <c r="L125" i="16"/>
  <c r="L125" i="27"/>
  <c r="L126" i="16"/>
  <c r="L126" i="27"/>
  <c r="K128" i="16"/>
  <c r="K128" i="27"/>
  <c r="L129" i="16"/>
  <c r="L129" i="27"/>
  <c r="D131" i="16"/>
  <c r="D131" i="27"/>
  <c r="E132" i="16"/>
  <c r="E132" i="27"/>
  <c r="I131" i="16"/>
  <c r="I131" i="27"/>
  <c r="I125" i="16"/>
  <c r="I125" i="27"/>
  <c r="F115" i="16"/>
  <c r="F115" i="27"/>
  <c r="H102" i="16"/>
  <c r="H102" i="27"/>
  <c r="F89" i="16"/>
  <c r="F89" i="27"/>
  <c r="I75" i="16"/>
  <c r="I75" i="27"/>
  <c r="H54" i="16"/>
  <c r="H54" i="27"/>
  <c r="F33" i="16"/>
  <c r="F33" i="27"/>
  <c r="I11" i="16"/>
  <c r="I11" i="27"/>
  <c r="G10" i="16"/>
  <c r="G10" i="27"/>
  <c r="E21" i="16"/>
  <c r="E21" i="27"/>
  <c r="E26" i="16"/>
  <c r="E26" i="27"/>
  <c r="F30" i="16"/>
  <c r="F30" i="27"/>
  <c r="E36" i="16"/>
  <c r="E36" i="27"/>
  <c r="H47" i="16"/>
  <c r="H47" i="27"/>
  <c r="I58" i="16"/>
  <c r="I58" i="27"/>
  <c r="D78" i="16"/>
  <c r="D78" i="27"/>
  <c r="K84" i="16"/>
  <c r="K84" i="27"/>
  <c r="H91" i="16"/>
  <c r="H91" i="27"/>
  <c r="F95" i="16"/>
  <c r="F95" i="27"/>
  <c r="E98" i="16"/>
  <c r="E98" i="27"/>
  <c r="L101" i="16"/>
  <c r="L101" i="27"/>
  <c r="L102" i="16"/>
  <c r="L102" i="27"/>
  <c r="K104" i="16"/>
  <c r="K104" i="27"/>
  <c r="J106" i="16"/>
  <c r="J106" i="27"/>
  <c r="J108" i="16"/>
  <c r="J108" i="27"/>
  <c r="H113" i="16"/>
  <c r="H113" i="27"/>
  <c r="D123" i="16"/>
  <c r="D123" i="27"/>
  <c r="F132" i="16"/>
  <c r="F132" i="27"/>
  <c r="E136" i="27"/>
  <c r="J9" i="16"/>
  <c r="J9" i="27"/>
  <c r="H10" i="16"/>
  <c r="H10" i="27"/>
  <c r="F11" i="16"/>
  <c r="F11" i="27"/>
  <c r="E12" i="16"/>
  <c r="E12" i="27"/>
  <c r="K13" i="16"/>
  <c r="K13" i="27"/>
  <c r="J14" i="16"/>
  <c r="J14" i="27"/>
  <c r="H15" i="16"/>
  <c r="H15" i="27"/>
  <c r="F16" i="16"/>
  <c r="F16" i="27"/>
  <c r="D17" i="16"/>
  <c r="D17" i="27"/>
  <c r="K18" i="16"/>
  <c r="K18" i="27"/>
  <c r="J19" i="16"/>
  <c r="J19" i="27"/>
  <c r="H20" i="16"/>
  <c r="H20" i="27"/>
  <c r="F21" i="16"/>
  <c r="F21" i="27"/>
  <c r="D22" i="16"/>
  <c r="D22" i="27"/>
  <c r="K23" i="16"/>
  <c r="K23" i="27"/>
  <c r="I24" i="16"/>
  <c r="I24" i="27"/>
  <c r="H25" i="16"/>
  <c r="H25" i="27"/>
  <c r="F26" i="16"/>
  <c r="F26" i="27"/>
  <c r="K28" i="16"/>
  <c r="K28" i="27"/>
  <c r="I29" i="16"/>
  <c r="I29" i="27"/>
  <c r="G30" i="16"/>
  <c r="G30" i="27"/>
  <c r="F31" i="16"/>
  <c r="F31" i="27"/>
  <c r="D32" i="16"/>
  <c r="D32" i="27"/>
  <c r="L32" i="16"/>
  <c r="L32" i="27"/>
  <c r="K33" i="16"/>
  <c r="K33" i="27"/>
  <c r="G35" i="16"/>
  <c r="G35" i="27"/>
  <c r="F36" i="16"/>
  <c r="F36" i="27"/>
  <c r="D37" i="16"/>
  <c r="D37" i="27"/>
  <c r="L37" i="16"/>
  <c r="L37" i="27"/>
  <c r="K38" i="16"/>
  <c r="K38" i="27"/>
  <c r="I39" i="16"/>
  <c r="I39" i="27"/>
  <c r="G40" i="16"/>
  <c r="G40" i="27"/>
  <c r="E41" i="16"/>
  <c r="E41" i="27"/>
  <c r="D42" i="16"/>
  <c r="D42" i="27"/>
  <c r="L42" i="16"/>
  <c r="L42" i="27"/>
  <c r="K44" i="16"/>
  <c r="K44" i="27"/>
  <c r="J45" i="16"/>
  <c r="J45" i="27"/>
  <c r="J46" i="16"/>
  <c r="J46" i="27"/>
  <c r="I47" i="16"/>
  <c r="I47" i="27"/>
  <c r="H48" i="16"/>
  <c r="H48" i="27"/>
  <c r="H49" i="16"/>
  <c r="H49" i="27"/>
  <c r="G50" i="16"/>
  <c r="G50" i="27"/>
  <c r="F52" i="16"/>
  <c r="F52" i="27"/>
  <c r="E53" i="16"/>
  <c r="E53" i="27"/>
  <c r="D54" i="16"/>
  <c r="D54" i="27"/>
  <c r="D55" i="16"/>
  <c r="D55" i="27"/>
  <c r="L55" i="16"/>
  <c r="L55" i="27"/>
  <c r="K56" i="16"/>
  <c r="K56" i="27"/>
  <c r="K57" i="16"/>
  <c r="K57" i="27"/>
  <c r="J58" i="16"/>
  <c r="J58" i="27"/>
  <c r="J59" i="16"/>
  <c r="J59" i="27"/>
  <c r="I60" i="16"/>
  <c r="I60" i="27"/>
  <c r="H61" i="16"/>
  <c r="H61" i="27"/>
  <c r="G62" i="16"/>
  <c r="G62" i="27"/>
  <c r="G63" i="16"/>
  <c r="G63" i="27"/>
  <c r="F64" i="16"/>
  <c r="F64" i="27"/>
  <c r="E65" i="16"/>
  <c r="E65" i="27"/>
  <c r="E66" i="16"/>
  <c r="E66" i="27"/>
  <c r="D68" i="16"/>
  <c r="D68" i="27"/>
  <c r="L68" i="16"/>
  <c r="L68" i="27"/>
  <c r="K69" i="16"/>
  <c r="K69" i="27"/>
  <c r="K70" i="16"/>
  <c r="K70" i="27"/>
  <c r="J71" i="16"/>
  <c r="J71" i="27"/>
  <c r="I72" i="16"/>
  <c r="I72" i="27"/>
  <c r="H74" i="16"/>
  <c r="H74" i="27"/>
  <c r="G75" i="16"/>
  <c r="G75" i="27"/>
  <c r="G76" i="16"/>
  <c r="G76" i="27"/>
  <c r="F77" i="16"/>
  <c r="F77" i="27"/>
  <c r="E78" i="16"/>
  <c r="E78" i="27"/>
  <c r="E79" i="16"/>
  <c r="E79" i="27"/>
  <c r="D80" i="16"/>
  <c r="D80" i="27"/>
  <c r="D81" i="16"/>
  <c r="D81" i="27"/>
  <c r="D82" i="16"/>
  <c r="D82" i="27"/>
  <c r="L82" i="16"/>
  <c r="L82" i="27"/>
  <c r="D84" i="16"/>
  <c r="D84" i="27"/>
  <c r="L84" i="16"/>
  <c r="L84" i="27"/>
  <c r="K85" i="16"/>
  <c r="K85" i="27"/>
  <c r="K86" i="16"/>
  <c r="K86" i="27"/>
  <c r="J87" i="16"/>
  <c r="J87" i="27"/>
  <c r="J88" i="16"/>
  <c r="J88" i="27"/>
  <c r="J89" i="16"/>
  <c r="J89" i="27"/>
  <c r="I90" i="16"/>
  <c r="I90" i="27"/>
  <c r="J91" i="16"/>
  <c r="J91" i="27"/>
  <c r="I92" i="16"/>
  <c r="I92" i="27"/>
  <c r="H93" i="16"/>
  <c r="H93" i="27"/>
  <c r="G94" i="16"/>
  <c r="G94" i="27"/>
  <c r="G95" i="16"/>
  <c r="G95" i="27"/>
  <c r="G97" i="16"/>
  <c r="G97" i="27"/>
  <c r="F98" i="16"/>
  <c r="F98" i="27"/>
  <c r="E99" i="16"/>
  <c r="E99" i="27"/>
  <c r="F100" i="16"/>
  <c r="F100" i="27"/>
  <c r="E101" i="16"/>
  <c r="E101" i="27"/>
  <c r="D102" i="16"/>
  <c r="D102" i="27"/>
  <c r="D103" i="16"/>
  <c r="D103" i="27"/>
  <c r="L103" i="16"/>
  <c r="L103" i="27"/>
  <c r="L104" i="16"/>
  <c r="L104" i="27"/>
  <c r="L105" i="16"/>
  <c r="L105" i="27"/>
  <c r="K106" i="16"/>
  <c r="K106" i="27"/>
  <c r="L107" i="16"/>
  <c r="L107" i="27"/>
  <c r="K108" i="16"/>
  <c r="K108" i="27"/>
  <c r="J109" i="16"/>
  <c r="J109" i="27"/>
  <c r="I111" i="16"/>
  <c r="I111" i="27"/>
  <c r="I112" i="16"/>
  <c r="I112" i="27"/>
  <c r="I113" i="16"/>
  <c r="I113" i="27"/>
  <c r="H114" i="16"/>
  <c r="H114" i="27"/>
  <c r="H115" i="16"/>
  <c r="H115" i="27"/>
  <c r="H116" i="16"/>
  <c r="H116" i="27"/>
  <c r="G117" i="16"/>
  <c r="G117" i="27"/>
  <c r="F118" i="16"/>
  <c r="F118" i="27"/>
  <c r="E120" i="16"/>
  <c r="E120" i="27"/>
  <c r="E121" i="16"/>
  <c r="E121" i="27"/>
  <c r="E122" i="16"/>
  <c r="E122" i="27"/>
  <c r="E123" i="16"/>
  <c r="E123" i="27"/>
  <c r="F124" i="16"/>
  <c r="F124" i="27"/>
  <c r="E125" i="16"/>
  <c r="E125" i="27"/>
  <c r="E126" i="16"/>
  <c r="E126" i="27"/>
  <c r="D128" i="16"/>
  <c r="D128" i="27"/>
  <c r="D129" i="16"/>
  <c r="D129" i="27"/>
  <c r="E130" i="16"/>
  <c r="E130" i="27"/>
  <c r="G131" i="16"/>
  <c r="G131" i="27"/>
  <c r="G132" i="16"/>
  <c r="G132" i="27"/>
  <c r="H130" i="16"/>
  <c r="H130" i="27"/>
  <c r="F123" i="16"/>
  <c r="F123" i="27"/>
  <c r="H112" i="16"/>
  <c r="H112" i="27"/>
  <c r="F99" i="16"/>
  <c r="F99" i="27"/>
  <c r="H86" i="16"/>
  <c r="H86" i="27"/>
  <c r="H70" i="16"/>
  <c r="H70" i="27"/>
  <c r="F49" i="16"/>
  <c r="F49" i="27"/>
  <c r="L136" i="27"/>
  <c r="I14" i="16"/>
  <c r="I14" i="27"/>
  <c r="H29" i="16"/>
  <c r="H29" i="27"/>
  <c r="F50" i="16"/>
  <c r="F50" i="27"/>
  <c r="K55" i="16"/>
  <c r="K55" i="27"/>
  <c r="F62" i="16"/>
  <c r="F62" i="27"/>
  <c r="D66" i="16"/>
  <c r="D66" i="27"/>
  <c r="H72" i="16"/>
  <c r="H72" i="27"/>
  <c r="E77" i="16"/>
  <c r="E77" i="27"/>
  <c r="I87" i="16"/>
  <c r="I87" i="27"/>
  <c r="K105" i="16"/>
  <c r="K105" i="27"/>
  <c r="K107" i="16"/>
  <c r="K107" i="27"/>
  <c r="I109" i="16"/>
  <c r="I109" i="27"/>
  <c r="H111" i="16"/>
  <c r="H111" i="27"/>
  <c r="G114" i="16"/>
  <c r="G114" i="27"/>
  <c r="G116" i="16"/>
  <c r="G116" i="27"/>
  <c r="D120" i="16"/>
  <c r="D120" i="27"/>
  <c r="D122" i="16"/>
  <c r="D122" i="27"/>
  <c r="E124" i="16"/>
  <c r="E124" i="27"/>
  <c r="D126" i="16"/>
  <c r="D126" i="27"/>
  <c r="L128" i="16"/>
  <c r="L128" i="27"/>
  <c r="F9" i="16"/>
  <c r="F9" i="27"/>
  <c r="F136" i="27"/>
  <c r="K9" i="16"/>
  <c r="K9" i="27"/>
  <c r="I10" i="16"/>
  <c r="I10" i="27"/>
  <c r="G11" i="16"/>
  <c r="G11" i="27"/>
  <c r="F12" i="16"/>
  <c r="F12" i="27"/>
  <c r="D13" i="16"/>
  <c r="D13" i="27"/>
  <c r="L13" i="16"/>
  <c r="L13" i="27"/>
  <c r="K14" i="16"/>
  <c r="K14" i="27"/>
  <c r="I15" i="16"/>
  <c r="I15" i="27"/>
  <c r="G16" i="16"/>
  <c r="G16" i="27"/>
  <c r="E17" i="16"/>
  <c r="E17" i="27"/>
  <c r="D18" i="16"/>
  <c r="D18" i="27"/>
  <c r="L18" i="16"/>
  <c r="L18" i="27"/>
  <c r="K19" i="16"/>
  <c r="K19" i="27"/>
  <c r="I20" i="16"/>
  <c r="I20" i="27"/>
  <c r="G21" i="16"/>
  <c r="G21" i="27"/>
  <c r="E22" i="16"/>
  <c r="E22" i="27"/>
  <c r="D23" i="16"/>
  <c r="D23" i="27"/>
  <c r="L23" i="16"/>
  <c r="L23" i="27"/>
  <c r="J24" i="16"/>
  <c r="J24" i="27"/>
  <c r="I25" i="16"/>
  <c r="I25" i="27"/>
  <c r="G26" i="16"/>
  <c r="G26" i="27"/>
  <c r="D28" i="16"/>
  <c r="D28" i="27"/>
  <c r="L28" i="16"/>
  <c r="L28" i="27"/>
  <c r="J29" i="16"/>
  <c r="J29" i="27"/>
  <c r="I30" i="16"/>
  <c r="I30" i="27"/>
  <c r="G31" i="16"/>
  <c r="G31" i="27"/>
  <c r="E32" i="16"/>
  <c r="E32" i="27"/>
  <c r="L33" i="16"/>
  <c r="L33" i="27"/>
  <c r="H35" i="16"/>
  <c r="H35" i="27"/>
  <c r="G36" i="16"/>
  <c r="G36" i="27"/>
  <c r="E37" i="16"/>
  <c r="E37" i="27"/>
  <c r="L38" i="16"/>
  <c r="L38" i="27"/>
  <c r="J39" i="16"/>
  <c r="J39" i="27"/>
  <c r="H40" i="16"/>
  <c r="H40" i="27"/>
  <c r="G41" i="16"/>
  <c r="G41" i="27"/>
  <c r="E42" i="16"/>
  <c r="E42" i="27"/>
  <c r="D44" i="16"/>
  <c r="D44" i="27"/>
  <c r="L44" i="16"/>
  <c r="L44" i="27"/>
  <c r="K45" i="16"/>
  <c r="K45" i="27"/>
  <c r="K46" i="16"/>
  <c r="K46" i="27"/>
  <c r="J47" i="16"/>
  <c r="J47" i="27"/>
  <c r="I48" i="16"/>
  <c r="I48" i="27"/>
  <c r="I49" i="16"/>
  <c r="I49" i="27"/>
  <c r="H50" i="16"/>
  <c r="H50" i="27"/>
  <c r="G52" i="16"/>
  <c r="G52" i="27"/>
  <c r="F53" i="16"/>
  <c r="F53" i="27"/>
  <c r="E54" i="16"/>
  <c r="E54" i="27"/>
  <c r="E55" i="16"/>
  <c r="E55" i="27"/>
  <c r="D56" i="16"/>
  <c r="D56" i="27"/>
  <c r="L56" i="16"/>
  <c r="L56" i="27"/>
  <c r="L57" i="16"/>
  <c r="L57" i="27"/>
  <c r="K58" i="16"/>
  <c r="K58" i="27"/>
  <c r="K59" i="16"/>
  <c r="K59" i="27"/>
  <c r="J60" i="16"/>
  <c r="J60" i="27"/>
  <c r="I61" i="16"/>
  <c r="I61" i="27"/>
  <c r="I62" i="16"/>
  <c r="I62" i="27"/>
  <c r="H63" i="16"/>
  <c r="H63" i="27"/>
  <c r="G64" i="16"/>
  <c r="G64" i="27"/>
  <c r="G65" i="16"/>
  <c r="G65" i="27"/>
  <c r="F66" i="16"/>
  <c r="F66" i="27"/>
  <c r="E68" i="16"/>
  <c r="E68" i="27"/>
  <c r="D69" i="16"/>
  <c r="D69" i="27"/>
  <c r="L69" i="16"/>
  <c r="L69" i="27"/>
  <c r="L70" i="16"/>
  <c r="L70" i="27"/>
  <c r="K71" i="16"/>
  <c r="K71" i="27"/>
  <c r="J72" i="16"/>
  <c r="J72" i="27"/>
  <c r="I74" i="16"/>
  <c r="I74" i="27"/>
  <c r="H75" i="16"/>
  <c r="H75" i="27"/>
  <c r="H76" i="16"/>
  <c r="H76" i="27"/>
  <c r="G77" i="16"/>
  <c r="G77" i="27"/>
  <c r="F78" i="16"/>
  <c r="F78" i="27"/>
  <c r="F79" i="16"/>
  <c r="F79" i="27"/>
  <c r="E80" i="16"/>
  <c r="E80" i="27"/>
  <c r="E81" i="16"/>
  <c r="E81" i="27"/>
  <c r="E82" i="16"/>
  <c r="E82" i="27"/>
  <c r="D83" i="16"/>
  <c r="D83" i="27"/>
  <c r="E84" i="16"/>
  <c r="E84" i="27"/>
  <c r="D85" i="16"/>
  <c r="D85" i="27"/>
  <c r="L85" i="16"/>
  <c r="L85" i="27"/>
  <c r="L86" i="16"/>
  <c r="L86" i="27"/>
  <c r="K87" i="16"/>
  <c r="K87" i="27"/>
  <c r="K88" i="16"/>
  <c r="K88" i="27"/>
  <c r="K89" i="16"/>
  <c r="K89" i="27"/>
  <c r="J90" i="16"/>
  <c r="J90" i="27"/>
  <c r="K91" i="16"/>
  <c r="K91" i="27"/>
  <c r="J92" i="16"/>
  <c r="J92" i="27"/>
  <c r="I93" i="16"/>
  <c r="I93" i="27"/>
  <c r="I94" i="16"/>
  <c r="I94" i="27"/>
  <c r="H95" i="16"/>
  <c r="H95" i="27"/>
  <c r="H97" i="16"/>
  <c r="H97" i="27"/>
  <c r="G98" i="16"/>
  <c r="G98" i="27"/>
  <c r="G99" i="16"/>
  <c r="G99" i="27"/>
  <c r="G100" i="16"/>
  <c r="G100" i="27"/>
  <c r="F101" i="16"/>
  <c r="F101" i="27"/>
  <c r="E102" i="16"/>
  <c r="E102" i="27"/>
  <c r="E103" i="16"/>
  <c r="E103" i="27"/>
  <c r="D104" i="16"/>
  <c r="D104" i="27"/>
  <c r="D105" i="16"/>
  <c r="D105" i="27"/>
  <c r="D106" i="16"/>
  <c r="D106" i="27"/>
  <c r="L106" i="16"/>
  <c r="L106" i="27"/>
  <c r="D108" i="16"/>
  <c r="D108" i="27"/>
  <c r="L108" i="16"/>
  <c r="L108" i="27"/>
  <c r="K109" i="16"/>
  <c r="K109" i="27"/>
  <c r="J111" i="16"/>
  <c r="J111" i="27"/>
  <c r="J112" i="16"/>
  <c r="J112" i="27"/>
  <c r="J113" i="16"/>
  <c r="J113" i="27"/>
  <c r="I114" i="16"/>
  <c r="I114" i="27"/>
  <c r="J115" i="16"/>
  <c r="J115" i="27"/>
  <c r="I116" i="16"/>
  <c r="I116" i="27"/>
  <c r="H117" i="16"/>
  <c r="H117" i="27"/>
  <c r="G118" i="16"/>
  <c r="G118" i="27"/>
  <c r="F120" i="16"/>
  <c r="F120" i="27"/>
  <c r="G121" i="16"/>
  <c r="G121" i="27"/>
  <c r="G122" i="16"/>
  <c r="G122" i="27"/>
  <c r="G123" i="16"/>
  <c r="G123" i="27"/>
  <c r="G124" i="16"/>
  <c r="G124" i="27"/>
  <c r="F125" i="16"/>
  <c r="F125" i="27"/>
  <c r="F126" i="16"/>
  <c r="F126" i="27"/>
  <c r="E128" i="16"/>
  <c r="E128" i="27"/>
  <c r="E129" i="16"/>
  <c r="E129" i="27"/>
  <c r="G130" i="16"/>
  <c r="G130" i="27"/>
  <c r="H131" i="16"/>
  <c r="H131" i="27"/>
  <c r="H132" i="16"/>
  <c r="H132" i="27"/>
  <c r="F130" i="16"/>
  <c r="F130" i="27"/>
  <c r="F122" i="16"/>
  <c r="F122" i="27"/>
  <c r="F97" i="16"/>
  <c r="F97" i="27"/>
  <c r="I83" i="16"/>
  <c r="I83" i="27"/>
  <c r="H46" i="16"/>
  <c r="H46" i="27"/>
  <c r="F25" i="16"/>
  <c r="F25" i="27"/>
  <c r="J13" i="16"/>
  <c r="J13" i="27"/>
  <c r="H19" i="16"/>
  <c r="H19" i="27"/>
  <c r="L22" i="16"/>
  <c r="L22" i="27"/>
  <c r="E31" i="16"/>
  <c r="E31" i="27"/>
  <c r="F40" i="16"/>
  <c r="F40" i="27"/>
  <c r="I45" i="16"/>
  <c r="I45" i="27"/>
  <c r="G49" i="16"/>
  <c r="G49" i="27"/>
  <c r="D53" i="16"/>
  <c r="D53" i="27"/>
  <c r="J57" i="16"/>
  <c r="J57" i="27"/>
  <c r="F63" i="16"/>
  <c r="F63" i="27"/>
  <c r="L66" i="16"/>
  <c r="L66" i="27"/>
  <c r="I71" i="16"/>
  <c r="I71" i="27"/>
  <c r="F76" i="16"/>
  <c r="F76" i="27"/>
  <c r="L81" i="16"/>
  <c r="L81" i="27"/>
  <c r="J85" i="16"/>
  <c r="J85" i="27"/>
  <c r="H90" i="16"/>
  <c r="H90" i="27"/>
  <c r="G93" i="16"/>
  <c r="G93" i="27"/>
  <c r="E97" i="16"/>
  <c r="E97" i="27"/>
  <c r="D99" i="16"/>
  <c r="D99" i="27"/>
  <c r="K103" i="16"/>
  <c r="K103" i="27"/>
  <c r="G112" i="16"/>
  <c r="G112" i="27"/>
  <c r="G115" i="16"/>
  <c r="G115" i="27"/>
  <c r="F117" i="16"/>
  <c r="F117" i="27"/>
  <c r="E118" i="16"/>
  <c r="E118" i="27"/>
  <c r="D121" i="16"/>
  <c r="D121" i="27"/>
  <c r="D125" i="16"/>
  <c r="D125" i="27"/>
  <c r="D130" i="16"/>
  <c r="D130" i="27"/>
  <c r="I123" i="16"/>
  <c r="I123" i="27"/>
  <c r="H88" i="16"/>
  <c r="H88" i="27"/>
  <c r="H30" i="16"/>
  <c r="H30" i="27"/>
  <c r="L9" i="16"/>
  <c r="L9" i="27"/>
  <c r="J10" i="16"/>
  <c r="J10" i="27"/>
  <c r="H11" i="16"/>
  <c r="H11" i="27"/>
  <c r="G12" i="16"/>
  <c r="G12" i="27"/>
  <c r="E13" i="16"/>
  <c r="E13" i="27"/>
  <c r="L14" i="16"/>
  <c r="L14" i="27"/>
  <c r="J15" i="16"/>
  <c r="J15" i="27"/>
  <c r="H16" i="16"/>
  <c r="H16" i="27"/>
  <c r="G17" i="16"/>
  <c r="G17" i="27"/>
  <c r="E18" i="16"/>
  <c r="E18" i="27"/>
  <c r="L19" i="16"/>
  <c r="L19" i="27"/>
  <c r="J20" i="16"/>
  <c r="J20" i="27"/>
  <c r="H21" i="16"/>
  <c r="H21" i="27"/>
  <c r="F22" i="16"/>
  <c r="F22" i="27"/>
  <c r="E23" i="16"/>
  <c r="E23" i="27"/>
  <c r="K24" i="16"/>
  <c r="K24" i="27"/>
  <c r="J25" i="16"/>
  <c r="J25" i="27"/>
  <c r="H26" i="16"/>
  <c r="H26" i="27"/>
  <c r="E28" i="16"/>
  <c r="E28" i="27"/>
  <c r="K29" i="16"/>
  <c r="K29" i="27"/>
  <c r="J30" i="16"/>
  <c r="J30" i="27"/>
  <c r="H31" i="16"/>
  <c r="H31" i="27"/>
  <c r="F32" i="16"/>
  <c r="F32" i="27"/>
  <c r="D33" i="16"/>
  <c r="D33" i="27"/>
  <c r="J35" i="16"/>
  <c r="J35" i="27"/>
  <c r="H36" i="16"/>
  <c r="H36" i="27"/>
  <c r="F37" i="16"/>
  <c r="F37" i="27"/>
  <c r="D38" i="16"/>
  <c r="D38" i="27"/>
  <c r="K39" i="16"/>
  <c r="K39" i="27"/>
  <c r="I40" i="16"/>
  <c r="I40" i="27"/>
  <c r="H41" i="16"/>
  <c r="H41" i="27"/>
  <c r="F42" i="16"/>
  <c r="F42" i="27"/>
  <c r="E44" i="16"/>
  <c r="E44" i="27"/>
  <c r="D45" i="16"/>
  <c r="D45" i="27"/>
  <c r="L45" i="16"/>
  <c r="L45" i="27"/>
  <c r="L46" i="16"/>
  <c r="L46" i="27"/>
  <c r="K47" i="16"/>
  <c r="K47" i="27"/>
  <c r="J48" i="16"/>
  <c r="J48" i="27"/>
  <c r="J49" i="16"/>
  <c r="J49" i="27"/>
  <c r="I50" i="16"/>
  <c r="I50" i="27"/>
  <c r="H52" i="16"/>
  <c r="H52" i="27"/>
  <c r="G53" i="16"/>
  <c r="G53" i="27"/>
  <c r="F54" i="16"/>
  <c r="F54" i="27"/>
  <c r="F55" i="16"/>
  <c r="F55" i="27"/>
  <c r="E56" i="16"/>
  <c r="E56" i="27"/>
  <c r="D57" i="16"/>
  <c r="D57" i="27"/>
  <c r="D58" i="16"/>
  <c r="D58" i="27"/>
  <c r="L58" i="16"/>
  <c r="L58" i="27"/>
  <c r="L59" i="16"/>
  <c r="L59" i="27"/>
  <c r="K60" i="16"/>
  <c r="K60" i="27"/>
  <c r="J61" i="16"/>
  <c r="J61" i="27"/>
  <c r="J62" i="16"/>
  <c r="J62" i="27"/>
  <c r="I63" i="16"/>
  <c r="I63" i="27"/>
  <c r="H64" i="16"/>
  <c r="H64" i="27"/>
  <c r="H65" i="16"/>
  <c r="H65" i="27"/>
  <c r="G66" i="16"/>
  <c r="G66" i="27"/>
  <c r="F194" i="12"/>
  <c r="F67" i="27"/>
  <c r="F68" i="16"/>
  <c r="F68" i="27"/>
  <c r="E69" i="16"/>
  <c r="E69" i="27"/>
  <c r="D70" i="16"/>
  <c r="D70" i="27"/>
  <c r="D71" i="16"/>
  <c r="D71" i="27"/>
  <c r="L71" i="16"/>
  <c r="L71" i="27"/>
  <c r="K72" i="16"/>
  <c r="K72" i="27"/>
  <c r="J74" i="16"/>
  <c r="J74" i="27"/>
  <c r="J75" i="16"/>
  <c r="J75" i="27"/>
  <c r="I76" i="16"/>
  <c r="I76" i="27"/>
  <c r="H77" i="16"/>
  <c r="H77" i="27"/>
  <c r="G78" i="16"/>
  <c r="G78" i="27"/>
  <c r="G79" i="16"/>
  <c r="G79" i="27"/>
  <c r="F80" i="16"/>
  <c r="F80" i="27"/>
  <c r="G81" i="16"/>
  <c r="G81" i="27"/>
  <c r="F82" i="16"/>
  <c r="F82" i="27"/>
  <c r="E83" i="16"/>
  <c r="E83" i="27"/>
  <c r="F84" i="16"/>
  <c r="F84" i="27"/>
  <c r="E85" i="16"/>
  <c r="E85" i="27"/>
  <c r="D86" i="16"/>
  <c r="D86" i="27"/>
  <c r="D87" i="16"/>
  <c r="D87" i="27"/>
  <c r="L87" i="16"/>
  <c r="L87" i="27"/>
  <c r="L88" i="16"/>
  <c r="L88" i="27"/>
  <c r="L89" i="16"/>
  <c r="L89" i="27"/>
  <c r="K90" i="16"/>
  <c r="K90" i="27"/>
  <c r="L91" i="16"/>
  <c r="L91" i="27"/>
  <c r="K92" i="16"/>
  <c r="K92" i="27"/>
  <c r="J93" i="16"/>
  <c r="J93" i="27"/>
  <c r="J94" i="16"/>
  <c r="J94" i="27"/>
  <c r="I95" i="16"/>
  <c r="I95" i="27"/>
  <c r="I97" i="16"/>
  <c r="I97" i="27"/>
  <c r="H98" i="16"/>
  <c r="H98" i="27"/>
  <c r="H99" i="16"/>
  <c r="H99" i="27"/>
  <c r="H100" i="16"/>
  <c r="H100" i="27"/>
  <c r="G101" i="16"/>
  <c r="G101" i="27"/>
  <c r="F102" i="16"/>
  <c r="F102" i="27"/>
  <c r="F103" i="16"/>
  <c r="F103" i="27"/>
  <c r="E104" i="16"/>
  <c r="E104" i="27"/>
  <c r="E105" i="16"/>
  <c r="E105" i="27"/>
  <c r="E106" i="16"/>
  <c r="E106" i="27"/>
  <c r="D107" i="16"/>
  <c r="D107" i="27"/>
  <c r="E108" i="16"/>
  <c r="E108" i="27"/>
  <c r="D109" i="16"/>
  <c r="D109" i="27"/>
  <c r="L109" i="16"/>
  <c r="L109" i="27"/>
  <c r="K111" i="16"/>
  <c r="K111" i="27"/>
  <c r="K112" i="16"/>
  <c r="K112" i="27"/>
  <c r="K113" i="16"/>
  <c r="K113" i="27"/>
  <c r="J114" i="16"/>
  <c r="J114" i="27"/>
  <c r="K115" i="16"/>
  <c r="K115" i="27"/>
  <c r="J116" i="16"/>
  <c r="J116" i="27"/>
  <c r="I117" i="16"/>
  <c r="I117" i="27"/>
  <c r="I118" i="16"/>
  <c r="I118" i="27"/>
  <c r="G120" i="16"/>
  <c r="G120" i="27"/>
  <c r="H121" i="16"/>
  <c r="H121" i="27"/>
  <c r="H122" i="16"/>
  <c r="H122" i="27"/>
  <c r="H123" i="16"/>
  <c r="H123" i="27"/>
  <c r="H124" i="16"/>
  <c r="H124" i="27"/>
  <c r="G125" i="16"/>
  <c r="G125" i="27"/>
  <c r="G126" i="16"/>
  <c r="G126" i="27"/>
  <c r="F128" i="16"/>
  <c r="F128" i="27"/>
  <c r="G129" i="16"/>
  <c r="G129" i="27"/>
  <c r="I130" i="16"/>
  <c r="I130" i="27"/>
  <c r="J131" i="16"/>
  <c r="J131" i="27"/>
  <c r="I132" i="16"/>
  <c r="I132" i="27"/>
  <c r="H129" i="16"/>
  <c r="H129" i="27"/>
  <c r="F121" i="16"/>
  <c r="F121" i="27"/>
  <c r="I107" i="16"/>
  <c r="I107" i="27"/>
  <c r="F83" i="16"/>
  <c r="F83" i="27"/>
  <c r="F65" i="16"/>
  <c r="F65" i="27"/>
  <c r="H22" i="16"/>
  <c r="H22" i="27"/>
  <c r="I9" i="16"/>
  <c r="I9" i="27"/>
  <c r="G15" i="16"/>
  <c r="G15" i="27"/>
  <c r="J23" i="16"/>
  <c r="J23" i="27"/>
  <c r="H39" i="16"/>
  <c r="H39" i="27"/>
  <c r="J44" i="16"/>
  <c r="J44" i="27"/>
  <c r="L54" i="16"/>
  <c r="L54" i="27"/>
  <c r="G74" i="16"/>
  <c r="G74" i="27"/>
  <c r="D79" i="16"/>
  <c r="D79" i="27"/>
  <c r="K82" i="16"/>
  <c r="K82" i="27"/>
  <c r="I89" i="16"/>
  <c r="I89" i="27"/>
  <c r="F94" i="16"/>
  <c r="F94" i="27"/>
  <c r="D101" i="16"/>
  <c r="D101" i="27"/>
  <c r="I99" i="16"/>
  <c r="I99" i="27"/>
  <c r="H136" i="27"/>
  <c r="D9" i="16"/>
  <c r="D9" i="27"/>
  <c r="K10" i="16"/>
  <c r="K10" i="27"/>
  <c r="J11" i="16"/>
  <c r="J11" i="27"/>
  <c r="H12" i="16"/>
  <c r="H12" i="27"/>
  <c r="F13" i="16"/>
  <c r="F13" i="27"/>
  <c r="D14" i="16"/>
  <c r="D14" i="27"/>
  <c r="K15" i="16"/>
  <c r="K15" i="27"/>
  <c r="I16" i="16"/>
  <c r="I16" i="27"/>
  <c r="H17" i="16"/>
  <c r="H17" i="27"/>
  <c r="F18" i="16"/>
  <c r="F18" i="27"/>
  <c r="D19" i="16"/>
  <c r="D19" i="27"/>
  <c r="K20" i="16"/>
  <c r="K20" i="27"/>
  <c r="I21" i="16"/>
  <c r="I21" i="27"/>
  <c r="G22" i="16"/>
  <c r="G22" i="27"/>
  <c r="F23" i="16"/>
  <c r="F23" i="27"/>
  <c r="D24" i="16"/>
  <c r="D24" i="27"/>
  <c r="L24" i="16"/>
  <c r="L24" i="27"/>
  <c r="K25" i="16"/>
  <c r="K25" i="27"/>
  <c r="I26" i="16"/>
  <c r="I26" i="27"/>
  <c r="F28" i="16"/>
  <c r="F28" i="27"/>
  <c r="F138" i="27" s="1"/>
  <c r="D29" i="16"/>
  <c r="D29" i="27"/>
  <c r="L29" i="16"/>
  <c r="L29" i="27"/>
  <c r="K30" i="16"/>
  <c r="K30" i="27"/>
  <c r="I31" i="16"/>
  <c r="I31" i="27"/>
  <c r="G32" i="16"/>
  <c r="G32" i="27"/>
  <c r="E33" i="16"/>
  <c r="E33" i="27"/>
  <c r="K35" i="16"/>
  <c r="K35" i="27"/>
  <c r="I36" i="16"/>
  <c r="I36" i="27"/>
  <c r="G37" i="16"/>
  <c r="G37" i="27"/>
  <c r="E38" i="16"/>
  <c r="E38" i="27"/>
  <c r="D39" i="16"/>
  <c r="D39" i="27"/>
  <c r="L39" i="16"/>
  <c r="L39" i="27"/>
  <c r="J40" i="16"/>
  <c r="J40" i="27"/>
  <c r="I41" i="16"/>
  <c r="I41" i="27"/>
  <c r="G42" i="16"/>
  <c r="G42" i="27"/>
  <c r="F44" i="16"/>
  <c r="F44" i="27"/>
  <c r="E45" i="16"/>
  <c r="E45" i="27"/>
  <c r="D46" i="16"/>
  <c r="D46" i="27"/>
  <c r="D47" i="16"/>
  <c r="D47" i="27"/>
  <c r="L47" i="16"/>
  <c r="L47" i="27"/>
  <c r="K48" i="16"/>
  <c r="K48" i="27"/>
  <c r="K49" i="16"/>
  <c r="K49" i="27"/>
  <c r="J50" i="16"/>
  <c r="J50" i="27"/>
  <c r="I52" i="16"/>
  <c r="I52" i="27"/>
  <c r="H53" i="16"/>
  <c r="H53" i="27"/>
  <c r="G54" i="16"/>
  <c r="G54" i="27"/>
  <c r="G55" i="16"/>
  <c r="G55" i="27"/>
  <c r="F56" i="16"/>
  <c r="F56" i="27"/>
  <c r="E57" i="16"/>
  <c r="E57" i="27"/>
  <c r="E58" i="16"/>
  <c r="E58" i="27"/>
  <c r="D59" i="16"/>
  <c r="D59" i="27"/>
  <c r="D60" i="16"/>
  <c r="D60" i="27"/>
  <c r="L60" i="16"/>
  <c r="L60" i="27"/>
  <c r="K61" i="16"/>
  <c r="K61" i="27"/>
  <c r="K62" i="16"/>
  <c r="K62" i="27"/>
  <c r="J63" i="16"/>
  <c r="J63" i="27"/>
  <c r="I64" i="16"/>
  <c r="I64" i="27"/>
  <c r="I65" i="16"/>
  <c r="I65" i="27"/>
  <c r="H66" i="16"/>
  <c r="H66" i="27"/>
  <c r="G68" i="16"/>
  <c r="G68" i="27"/>
  <c r="F69" i="16"/>
  <c r="F69" i="27"/>
  <c r="E70" i="16"/>
  <c r="E70" i="27"/>
  <c r="E71" i="16"/>
  <c r="E71" i="27"/>
  <c r="D72" i="16"/>
  <c r="D72" i="27"/>
  <c r="L72" i="16"/>
  <c r="L72" i="27"/>
  <c r="K74" i="16"/>
  <c r="K74" i="27"/>
  <c r="K75" i="16"/>
  <c r="K75" i="27"/>
  <c r="J76" i="16"/>
  <c r="J76" i="27"/>
  <c r="I77" i="16"/>
  <c r="I77" i="27"/>
  <c r="I78" i="16"/>
  <c r="I78" i="27"/>
  <c r="H79" i="16"/>
  <c r="H79" i="27"/>
  <c r="G80" i="16"/>
  <c r="G80" i="27"/>
  <c r="H81" i="16"/>
  <c r="H81" i="27"/>
  <c r="G82" i="16"/>
  <c r="G82" i="27"/>
  <c r="G83" i="16"/>
  <c r="G83" i="27"/>
  <c r="G84" i="16"/>
  <c r="G84" i="27"/>
  <c r="F85" i="16"/>
  <c r="F85" i="27"/>
  <c r="E86" i="16"/>
  <c r="E86" i="27"/>
  <c r="E87" i="16"/>
  <c r="E87" i="27"/>
  <c r="D88" i="16"/>
  <c r="D88" i="27"/>
  <c r="D89" i="16"/>
  <c r="D89" i="27"/>
  <c r="D90" i="16"/>
  <c r="D90" i="27"/>
  <c r="L90" i="16"/>
  <c r="L90" i="27"/>
  <c r="D92" i="16"/>
  <c r="D92" i="27"/>
  <c r="L92" i="16"/>
  <c r="L92" i="27"/>
  <c r="K93" i="16"/>
  <c r="K93" i="27"/>
  <c r="K94" i="16"/>
  <c r="K94" i="27"/>
  <c r="J95" i="16"/>
  <c r="J95" i="27"/>
  <c r="J97" i="16"/>
  <c r="J97" i="27"/>
  <c r="I98" i="16"/>
  <c r="I98" i="27"/>
  <c r="J99" i="16"/>
  <c r="J99" i="27"/>
  <c r="I100" i="16"/>
  <c r="I100" i="27"/>
  <c r="H101" i="16"/>
  <c r="H101" i="27"/>
  <c r="G102" i="16"/>
  <c r="G102" i="27"/>
  <c r="G103" i="16"/>
  <c r="G103" i="27"/>
  <c r="F104" i="16"/>
  <c r="F104" i="27"/>
  <c r="G105" i="16"/>
  <c r="G105" i="27"/>
  <c r="F106" i="16"/>
  <c r="F106" i="27"/>
  <c r="E107" i="16"/>
  <c r="E107" i="27"/>
  <c r="F108" i="16"/>
  <c r="F108" i="27"/>
  <c r="E109" i="16"/>
  <c r="E109" i="27"/>
  <c r="D111" i="16"/>
  <c r="D111" i="27"/>
  <c r="L111" i="16"/>
  <c r="L111" i="27"/>
  <c r="L112" i="16"/>
  <c r="L112" i="27"/>
  <c r="L113" i="16"/>
  <c r="L113" i="27"/>
  <c r="K114" i="16"/>
  <c r="K114" i="27"/>
  <c r="L115" i="16"/>
  <c r="L115" i="27"/>
  <c r="K116" i="16"/>
  <c r="K116" i="27"/>
  <c r="J117" i="16"/>
  <c r="J117" i="27"/>
  <c r="J118" i="16"/>
  <c r="J118" i="27"/>
  <c r="I120" i="16"/>
  <c r="I120" i="27"/>
  <c r="I121" i="16"/>
  <c r="I121" i="27"/>
  <c r="I122" i="16"/>
  <c r="I122" i="27"/>
  <c r="J123" i="16"/>
  <c r="J123" i="27"/>
  <c r="I124" i="16"/>
  <c r="I124" i="27"/>
  <c r="H125" i="16"/>
  <c r="H125" i="27"/>
  <c r="I126" i="16"/>
  <c r="I126" i="27"/>
  <c r="G128" i="16"/>
  <c r="G128" i="27"/>
  <c r="I129" i="16"/>
  <c r="I129" i="27"/>
  <c r="J130" i="16"/>
  <c r="J130" i="27"/>
  <c r="K131" i="16"/>
  <c r="K131" i="27"/>
  <c r="J132" i="16"/>
  <c r="J132" i="27"/>
  <c r="F129" i="16"/>
  <c r="F129" i="27"/>
  <c r="H120" i="16"/>
  <c r="H120" i="27"/>
  <c r="F107" i="16"/>
  <c r="F107" i="27"/>
  <c r="H94" i="16"/>
  <c r="H94" i="27"/>
  <c r="F81" i="16"/>
  <c r="F81" i="27"/>
  <c r="H62" i="16"/>
  <c r="H62" i="27"/>
  <c r="F41" i="16"/>
  <c r="F41" i="27"/>
  <c r="I19" i="16"/>
  <c r="I19" i="27"/>
  <c r="D12" i="16"/>
  <c r="D12" i="27"/>
  <c r="E16" i="16"/>
  <c r="E16" i="27"/>
  <c r="G20" i="16"/>
  <c r="G20" i="27"/>
  <c r="G25" i="16"/>
  <c r="G25" i="27"/>
  <c r="J28" i="16"/>
  <c r="J28" i="27"/>
  <c r="J33" i="16"/>
  <c r="J33" i="27"/>
  <c r="K37" i="16"/>
  <c r="K37" i="27"/>
  <c r="K42" i="16"/>
  <c r="K42" i="27"/>
  <c r="G48" i="16"/>
  <c r="G48" i="27"/>
  <c r="L53" i="16"/>
  <c r="L53" i="27"/>
  <c r="H59" i="16"/>
  <c r="H59" i="27"/>
  <c r="E64" i="16"/>
  <c r="E64" i="27"/>
  <c r="K68" i="16"/>
  <c r="K68" i="27"/>
  <c r="F75" i="16"/>
  <c r="F75" i="27"/>
  <c r="L80" i="16"/>
  <c r="L80" i="27"/>
  <c r="L83" i="16"/>
  <c r="L83" i="27"/>
  <c r="I88" i="16"/>
  <c r="I88" i="27"/>
  <c r="H92" i="16"/>
  <c r="H92" i="27"/>
  <c r="E100" i="16"/>
  <c r="E100" i="27"/>
  <c r="F131" i="16"/>
  <c r="F131" i="27"/>
  <c r="I136" i="27"/>
  <c r="E9" i="16"/>
  <c r="E9" i="27"/>
  <c r="D10" i="16"/>
  <c r="D10" i="27"/>
  <c r="L10" i="16"/>
  <c r="L10" i="27"/>
  <c r="K11" i="16"/>
  <c r="K11" i="27"/>
  <c r="I12" i="16"/>
  <c r="I12" i="27"/>
  <c r="G13" i="16"/>
  <c r="G13" i="27"/>
  <c r="E14" i="16"/>
  <c r="E14" i="27"/>
  <c r="D15" i="16"/>
  <c r="D15" i="27"/>
  <c r="L15" i="16"/>
  <c r="L15" i="27"/>
  <c r="J16" i="16"/>
  <c r="J16" i="27"/>
  <c r="I17" i="16"/>
  <c r="I17" i="27"/>
  <c r="G18" i="16"/>
  <c r="G18" i="27"/>
  <c r="E19" i="16"/>
  <c r="E19" i="27"/>
  <c r="D20" i="16"/>
  <c r="D20" i="27"/>
  <c r="L20" i="16"/>
  <c r="L20" i="27"/>
  <c r="J21" i="16"/>
  <c r="J21" i="27"/>
  <c r="I22" i="16"/>
  <c r="I22" i="27"/>
  <c r="G23" i="16"/>
  <c r="G23" i="27"/>
  <c r="E24" i="16"/>
  <c r="E24" i="27"/>
  <c r="L25" i="16"/>
  <c r="L25" i="27"/>
  <c r="J26" i="16"/>
  <c r="J26" i="27"/>
  <c r="G28" i="16"/>
  <c r="G28" i="27"/>
  <c r="E29" i="16"/>
  <c r="E29" i="27"/>
  <c r="L30" i="16"/>
  <c r="L30" i="27"/>
  <c r="J31" i="16"/>
  <c r="J31" i="27"/>
  <c r="H32" i="16"/>
  <c r="H32" i="27"/>
  <c r="G33" i="16"/>
  <c r="G33" i="27"/>
  <c r="L35" i="16"/>
  <c r="L35" i="27"/>
  <c r="J36" i="16"/>
  <c r="J36" i="27"/>
  <c r="H37" i="16"/>
  <c r="H37" i="27"/>
  <c r="F38" i="16"/>
  <c r="F38" i="27"/>
  <c r="E39" i="16"/>
  <c r="E39" i="27"/>
  <c r="K40" i="16"/>
  <c r="K40" i="27"/>
  <c r="J41" i="16"/>
  <c r="J41" i="27"/>
  <c r="H42" i="16"/>
  <c r="H42" i="27"/>
  <c r="G44" i="16"/>
  <c r="G44" i="27"/>
  <c r="F45" i="16"/>
  <c r="F45" i="27"/>
  <c r="E46" i="16"/>
  <c r="E46" i="27"/>
  <c r="E47" i="16"/>
  <c r="E47" i="27"/>
  <c r="D48" i="16"/>
  <c r="D48" i="27"/>
  <c r="L48" i="16"/>
  <c r="L48" i="27"/>
  <c r="L49" i="16"/>
  <c r="L49" i="27"/>
  <c r="K50" i="16"/>
  <c r="K50" i="27"/>
  <c r="J52" i="16"/>
  <c r="J52" i="27"/>
  <c r="I53" i="16"/>
  <c r="I53" i="27"/>
  <c r="I54" i="16"/>
  <c r="I54" i="27"/>
  <c r="H55" i="16"/>
  <c r="H55" i="27"/>
  <c r="G56" i="16"/>
  <c r="G56" i="27"/>
  <c r="G57" i="16"/>
  <c r="G57" i="27"/>
  <c r="F58" i="16"/>
  <c r="F58" i="27"/>
  <c r="E59" i="16"/>
  <c r="E59" i="27"/>
  <c r="E60" i="16"/>
  <c r="E60" i="27"/>
  <c r="D61" i="16"/>
  <c r="D61" i="27"/>
  <c r="L61" i="16"/>
  <c r="L61" i="27"/>
  <c r="L62" i="16"/>
  <c r="L62" i="27"/>
  <c r="K63" i="16"/>
  <c r="K63" i="27"/>
  <c r="J64" i="16"/>
  <c r="J64" i="27"/>
  <c r="J65" i="16"/>
  <c r="J65" i="27"/>
  <c r="I66" i="16"/>
  <c r="I66" i="27"/>
  <c r="H68" i="16"/>
  <c r="H68" i="27"/>
  <c r="G69" i="16"/>
  <c r="G69" i="27"/>
  <c r="F70" i="16"/>
  <c r="F70" i="27"/>
  <c r="F71" i="16"/>
  <c r="F71" i="27"/>
  <c r="E72" i="16"/>
  <c r="E72" i="27"/>
  <c r="D74" i="16"/>
  <c r="D74" i="27"/>
  <c r="L74" i="16"/>
  <c r="L74" i="27"/>
  <c r="L75" i="16"/>
  <c r="L75" i="27"/>
  <c r="K76" i="16"/>
  <c r="K76" i="27"/>
  <c r="J77" i="16"/>
  <c r="J77" i="27"/>
  <c r="J78" i="16"/>
  <c r="J78" i="27"/>
  <c r="I79" i="16"/>
  <c r="I79" i="27"/>
  <c r="I80" i="16"/>
  <c r="I80" i="27"/>
  <c r="I81" i="16"/>
  <c r="I81" i="27"/>
  <c r="H82" i="16"/>
  <c r="H82" i="27"/>
  <c r="H83" i="16"/>
  <c r="H83" i="27"/>
  <c r="H84" i="16"/>
  <c r="H84" i="27"/>
  <c r="G85" i="16"/>
  <c r="G85" i="27"/>
  <c r="F86" i="16"/>
  <c r="F86" i="27"/>
  <c r="F87" i="16"/>
  <c r="F87" i="27"/>
  <c r="E88" i="16"/>
  <c r="E88" i="27"/>
  <c r="E89" i="16"/>
  <c r="E89" i="27"/>
  <c r="E90" i="16"/>
  <c r="E90" i="27"/>
  <c r="D91" i="16"/>
  <c r="D91" i="27"/>
  <c r="E92" i="16"/>
  <c r="E92" i="27"/>
  <c r="D93" i="16"/>
  <c r="D93" i="27"/>
  <c r="L93" i="16"/>
  <c r="L93" i="27"/>
  <c r="L94" i="16"/>
  <c r="L94" i="27"/>
  <c r="K95" i="16"/>
  <c r="K95" i="27"/>
  <c r="K97" i="16"/>
  <c r="K97" i="27"/>
  <c r="J98" i="16"/>
  <c r="J98" i="27"/>
  <c r="K99" i="16"/>
  <c r="K99" i="27"/>
  <c r="J100" i="16"/>
  <c r="J100" i="27"/>
  <c r="I101" i="16"/>
  <c r="I101" i="27"/>
  <c r="I102" i="16"/>
  <c r="I102" i="27"/>
  <c r="H103" i="16"/>
  <c r="H103" i="27"/>
  <c r="G104" i="16"/>
  <c r="G104" i="27"/>
  <c r="H105" i="16"/>
  <c r="H105" i="27"/>
  <c r="G106" i="16"/>
  <c r="G106" i="27"/>
  <c r="G107" i="16"/>
  <c r="G107" i="27"/>
  <c r="G108" i="16"/>
  <c r="G108" i="27"/>
  <c r="F109" i="16"/>
  <c r="F109" i="27"/>
  <c r="E111" i="16"/>
  <c r="E111" i="27"/>
  <c r="D112" i="16"/>
  <c r="D112" i="27"/>
  <c r="D113" i="16"/>
  <c r="D113" i="27"/>
  <c r="D114" i="16"/>
  <c r="D114" i="27"/>
  <c r="L114" i="16"/>
  <c r="L114" i="27"/>
  <c r="D116" i="16"/>
  <c r="D116" i="27"/>
  <c r="L116" i="16"/>
  <c r="L116" i="27"/>
  <c r="K117" i="16"/>
  <c r="K117" i="27"/>
  <c r="K118" i="16"/>
  <c r="K118" i="27"/>
  <c r="J120" i="16"/>
  <c r="J120" i="27"/>
  <c r="J121" i="16"/>
  <c r="J121" i="27"/>
  <c r="J122" i="16"/>
  <c r="J122" i="27"/>
  <c r="K123" i="16"/>
  <c r="K123" i="27"/>
  <c r="J124" i="16"/>
  <c r="J124" i="27"/>
  <c r="J125" i="16"/>
  <c r="J125" i="27"/>
  <c r="J126" i="16"/>
  <c r="J126" i="27"/>
  <c r="I128" i="16"/>
  <c r="I128" i="27"/>
  <c r="J129" i="16"/>
  <c r="J129" i="27"/>
  <c r="K130" i="16"/>
  <c r="K130" i="27"/>
  <c r="L131" i="16"/>
  <c r="L131" i="27"/>
  <c r="K132" i="16"/>
  <c r="K132" i="27"/>
  <c r="H128" i="16"/>
  <c r="H128" i="27"/>
  <c r="H118" i="16"/>
  <c r="H118" i="27"/>
  <c r="F105" i="16"/>
  <c r="F105" i="27"/>
  <c r="I91" i="16"/>
  <c r="I91" i="27"/>
  <c r="H80" i="16"/>
  <c r="H80" i="27"/>
  <c r="I59" i="16"/>
  <c r="I59" i="27"/>
  <c r="H38" i="16"/>
  <c r="H38" i="27"/>
  <c r="F17" i="16"/>
  <c r="F17" i="27"/>
  <c r="K194" i="12"/>
  <c r="D194" i="12"/>
  <c r="E194" i="12"/>
  <c r="J194" i="12"/>
  <c r="L194" i="12"/>
  <c r="G194" i="12"/>
  <c r="H194" i="12"/>
  <c r="K73" i="16"/>
  <c r="K195" i="12"/>
  <c r="L73" i="16"/>
  <c r="L195" i="12"/>
  <c r="CQ54" i="24"/>
  <c r="CG55" i="24"/>
  <c r="CS55" i="24" s="1"/>
  <c r="CH55" i="24"/>
  <c r="CT55" i="24" s="1"/>
  <c r="CF55" i="24"/>
  <c r="CE55" i="24"/>
  <c r="CQ55" i="24" s="1"/>
  <c r="CI55" i="24"/>
  <c r="CU55" i="24" s="1"/>
  <c r="CJ55" i="24"/>
  <c r="CK55" i="24"/>
  <c r="CW55" i="24" s="1"/>
  <c r="CL55" i="24"/>
  <c r="D73" i="16"/>
  <c r="D195" i="12"/>
  <c r="E73" i="16"/>
  <c r="E195" i="12"/>
  <c r="G73" i="16"/>
  <c r="G195" i="12"/>
  <c r="H73" i="16"/>
  <c r="H195" i="12"/>
  <c r="F73" i="16"/>
  <c r="F195" i="12"/>
  <c r="I73" i="16"/>
  <c r="I195" i="12"/>
  <c r="AZ56" i="24"/>
  <c r="CP56" i="24" s="1"/>
  <c r="BA56" i="24"/>
  <c r="AY56" i="24"/>
  <c r="J73" i="16"/>
  <c r="J195" i="12"/>
  <c r="I194" i="12"/>
  <c r="AM56" i="24"/>
  <c r="AK56" i="24"/>
  <c r="CD56" i="24" s="1"/>
  <c r="AL56" i="24"/>
  <c r="X56" i="24"/>
  <c r="F7" i="16"/>
  <c r="F136" i="16" s="1"/>
  <c r="F136" i="12"/>
  <c r="D8" i="16"/>
  <c r="D137" i="12"/>
  <c r="L8" i="16"/>
  <c r="L137" i="12"/>
  <c r="E27" i="16"/>
  <c r="E138" i="12"/>
  <c r="J34" i="16"/>
  <c r="J139" i="12"/>
  <c r="L43" i="16"/>
  <c r="L140" i="12"/>
  <c r="F51" i="16"/>
  <c r="F141" i="12"/>
  <c r="F67" i="16"/>
  <c r="F142" i="12"/>
  <c r="I96" i="16"/>
  <c r="I143" i="12"/>
  <c r="L110" i="16"/>
  <c r="L144" i="12"/>
  <c r="H119" i="16"/>
  <c r="H145" i="12"/>
  <c r="G127" i="16"/>
  <c r="G146" i="12"/>
  <c r="H96" i="16"/>
  <c r="H143" i="12"/>
  <c r="I43" i="16"/>
  <c r="I140" i="12"/>
  <c r="K8" i="16"/>
  <c r="K137" i="12"/>
  <c r="I34" i="16"/>
  <c r="I139" i="12"/>
  <c r="K43" i="16"/>
  <c r="K140" i="12"/>
  <c r="K110" i="16"/>
  <c r="K144" i="12"/>
  <c r="F127" i="16"/>
  <c r="F146" i="12"/>
  <c r="H110" i="16"/>
  <c r="H144" i="12"/>
  <c r="G7" i="16"/>
  <c r="G136" i="16" s="1"/>
  <c r="G136" i="12"/>
  <c r="E8" i="16"/>
  <c r="E137" i="12"/>
  <c r="F27" i="16"/>
  <c r="F138" i="12"/>
  <c r="K34" i="16"/>
  <c r="K139" i="16" s="1"/>
  <c r="K139" i="12"/>
  <c r="D43" i="16"/>
  <c r="D140" i="12"/>
  <c r="G51" i="16"/>
  <c r="G141" i="12"/>
  <c r="G67" i="16"/>
  <c r="G142" i="12"/>
  <c r="J96" i="16"/>
  <c r="J143" i="12"/>
  <c r="D110" i="16"/>
  <c r="D144" i="12"/>
  <c r="I119" i="16"/>
  <c r="I145" i="12"/>
  <c r="H127" i="16"/>
  <c r="H146" i="12"/>
  <c r="E51" i="16"/>
  <c r="E141" i="12"/>
  <c r="H7" i="16"/>
  <c r="H136" i="16" s="1"/>
  <c r="H136" i="12"/>
  <c r="F8" i="16"/>
  <c r="F137" i="12"/>
  <c r="G27" i="16"/>
  <c r="G138" i="12"/>
  <c r="D34" i="16"/>
  <c r="D139" i="12"/>
  <c r="L34" i="16"/>
  <c r="L139" i="12"/>
  <c r="E43" i="16"/>
  <c r="E140" i="12"/>
  <c r="H51" i="16"/>
  <c r="H141" i="12"/>
  <c r="H67" i="16"/>
  <c r="H142" i="12"/>
  <c r="K96" i="16"/>
  <c r="K143" i="12"/>
  <c r="E110" i="16"/>
  <c r="E144" i="12"/>
  <c r="J119" i="16"/>
  <c r="J145" i="12"/>
  <c r="I127" i="16"/>
  <c r="I146" i="12"/>
  <c r="D27" i="16"/>
  <c r="D138" i="12"/>
  <c r="G96" i="16"/>
  <c r="G143" i="12"/>
  <c r="I7" i="16"/>
  <c r="I136" i="16" s="1"/>
  <c r="I136" i="12"/>
  <c r="G8" i="16"/>
  <c r="G137" i="12"/>
  <c r="H27" i="16"/>
  <c r="H138" i="12"/>
  <c r="E34" i="16"/>
  <c r="E139" i="12"/>
  <c r="F43" i="16"/>
  <c r="F140" i="12"/>
  <c r="J51" i="16"/>
  <c r="J141" i="12"/>
  <c r="J67" i="16"/>
  <c r="J142" i="12"/>
  <c r="L96" i="16"/>
  <c r="L143" i="12"/>
  <c r="F110" i="16"/>
  <c r="F144" i="12"/>
  <c r="K119" i="16"/>
  <c r="K145" i="12"/>
  <c r="J127" i="16"/>
  <c r="J146" i="12"/>
  <c r="J7" i="16"/>
  <c r="J136" i="16" s="1"/>
  <c r="J136" i="12"/>
  <c r="H8" i="16"/>
  <c r="H137" i="12"/>
  <c r="J27" i="16"/>
  <c r="J138" i="12"/>
  <c r="F34" i="16"/>
  <c r="F139" i="12"/>
  <c r="G43" i="16"/>
  <c r="G140" i="12"/>
  <c r="K51" i="16"/>
  <c r="K141" i="12"/>
  <c r="K67" i="16"/>
  <c r="K142" i="12"/>
  <c r="D96" i="16"/>
  <c r="D143" i="12"/>
  <c r="G110" i="16"/>
  <c r="G144" i="12"/>
  <c r="D119" i="16"/>
  <c r="D145" i="12"/>
  <c r="L119" i="16"/>
  <c r="L145" i="12"/>
  <c r="K127" i="16"/>
  <c r="K146" i="12"/>
  <c r="E7" i="16"/>
  <c r="E136" i="16" s="1"/>
  <c r="E136" i="12"/>
  <c r="K7" i="16"/>
  <c r="K136" i="16" s="1"/>
  <c r="K136" i="12"/>
  <c r="I8" i="16"/>
  <c r="I137" i="12"/>
  <c r="K27" i="16"/>
  <c r="K138" i="12"/>
  <c r="G34" i="16"/>
  <c r="G139" i="12"/>
  <c r="H43" i="16"/>
  <c r="H140" i="12"/>
  <c r="L51" i="16"/>
  <c r="L141" i="12"/>
  <c r="L67" i="16"/>
  <c r="L142" i="12"/>
  <c r="E96" i="16"/>
  <c r="E143" i="12"/>
  <c r="I110" i="16"/>
  <c r="I144" i="12"/>
  <c r="E119" i="16"/>
  <c r="E145" i="12"/>
  <c r="D127" i="16"/>
  <c r="D146" i="12"/>
  <c r="L127" i="16"/>
  <c r="L146" i="12"/>
  <c r="I51" i="16"/>
  <c r="I141" i="12"/>
  <c r="E67" i="16"/>
  <c r="E142" i="12"/>
  <c r="G119" i="16"/>
  <c r="G145" i="12"/>
  <c r="I67" i="16"/>
  <c r="I142" i="12"/>
  <c r="L7" i="16"/>
  <c r="L136" i="16" s="1"/>
  <c r="L136" i="12"/>
  <c r="J8" i="16"/>
  <c r="J137" i="12"/>
  <c r="L27" i="16"/>
  <c r="L138" i="12"/>
  <c r="H34" i="16"/>
  <c r="H139" i="12"/>
  <c r="J43" i="16"/>
  <c r="J140" i="12"/>
  <c r="D51" i="16"/>
  <c r="D141" i="12"/>
  <c r="D67" i="16"/>
  <c r="D142" i="12"/>
  <c r="F96" i="16"/>
  <c r="F143" i="12"/>
  <c r="J110" i="16"/>
  <c r="J144" i="12"/>
  <c r="F119" i="16"/>
  <c r="F145" i="12"/>
  <c r="E127" i="16"/>
  <c r="E146" i="12"/>
  <c r="I27" i="16"/>
  <c r="I138" i="12"/>
  <c r="R58" i="17"/>
  <c r="AE57" i="17"/>
  <c r="AD57" i="17"/>
  <c r="AC57" i="17"/>
  <c r="AB57" i="17"/>
  <c r="AA57" i="17"/>
  <c r="Z57" i="17"/>
  <c r="V57" i="17"/>
  <c r="X57" i="3" s="1"/>
  <c r="U57" i="17"/>
  <c r="X57" i="7" s="1"/>
  <c r="X57" i="12" s="1"/>
  <c r="T57" i="17"/>
  <c r="S57" i="17"/>
  <c r="X57" i="15" s="1"/>
  <c r="X57" i="17"/>
  <c r="X57" i="14" s="1"/>
  <c r="W57" i="17"/>
  <c r="X57" i="19" s="1"/>
  <c r="K136" i="17"/>
  <c r="L136" i="17"/>
  <c r="M136" i="17"/>
  <c r="N136" i="17"/>
  <c r="O136" i="17"/>
  <c r="P136" i="17"/>
  <c r="H141" i="17"/>
  <c r="I139" i="17"/>
  <c r="H146" i="17"/>
  <c r="G146" i="17"/>
  <c r="G139" i="17"/>
  <c r="D137" i="17"/>
  <c r="F139" i="17"/>
  <c r="E144" i="17"/>
  <c r="D139" i="17"/>
  <c r="E145" i="17"/>
  <c r="F140" i="17"/>
  <c r="D143" i="17"/>
  <c r="E139" i="17"/>
  <c r="F143" i="17"/>
  <c r="F138" i="17"/>
  <c r="F141" i="17"/>
  <c r="E143" i="17"/>
  <c r="F142" i="17"/>
  <c r="D144" i="17"/>
  <c r="D145" i="17"/>
  <c r="E146" i="17"/>
  <c r="D146" i="17"/>
  <c r="F144" i="17"/>
  <c r="I146" i="17"/>
  <c r="E133" i="17"/>
  <c r="E141" i="17"/>
  <c r="G140" i="17"/>
  <c r="G141" i="17"/>
  <c r="G142" i="17"/>
  <c r="G143" i="17"/>
  <c r="G144" i="17"/>
  <c r="G145" i="17"/>
  <c r="I138" i="17"/>
  <c r="E137" i="17"/>
  <c r="D138" i="17"/>
  <c r="F145" i="17"/>
  <c r="F146" i="17"/>
  <c r="D140" i="17"/>
  <c r="D141" i="17"/>
  <c r="D142" i="17"/>
  <c r="G137" i="17"/>
  <c r="H137" i="17"/>
  <c r="H138" i="17"/>
  <c r="H139" i="17"/>
  <c r="H140" i="17"/>
  <c r="H142" i="17"/>
  <c r="H143" i="17"/>
  <c r="H144" i="17"/>
  <c r="H145" i="17"/>
  <c r="I137" i="17"/>
  <c r="I140" i="17"/>
  <c r="I141" i="17"/>
  <c r="I142" i="17"/>
  <c r="I143" i="17"/>
  <c r="I144" i="17"/>
  <c r="I145" i="17"/>
  <c r="F137" i="17"/>
  <c r="E138" i="17"/>
  <c r="E142" i="17"/>
  <c r="E140" i="17"/>
  <c r="G133" i="17"/>
  <c r="G138" i="17"/>
  <c r="H133" i="17"/>
  <c r="H136" i="17"/>
  <c r="I133" i="17"/>
  <c r="D133" i="17"/>
  <c r="F133" i="17"/>
  <c r="X57" i="31" l="1"/>
  <c r="X57" i="27"/>
  <c r="X57" i="16"/>
  <c r="H146" i="27"/>
  <c r="F145" i="16"/>
  <c r="H145" i="16"/>
  <c r="K145" i="27"/>
  <c r="E144" i="27"/>
  <c r="J144" i="16"/>
  <c r="E146" i="16"/>
  <c r="I140" i="16"/>
  <c r="D139" i="27"/>
  <c r="D139" i="16"/>
  <c r="K140" i="16"/>
  <c r="H143" i="16"/>
  <c r="G145" i="16"/>
  <c r="G146" i="16"/>
  <c r="E146" i="27"/>
  <c r="J139" i="16"/>
  <c r="H145" i="27"/>
  <c r="I140" i="27"/>
  <c r="L145" i="27"/>
  <c r="G140" i="27"/>
  <c r="H141" i="27"/>
  <c r="D144" i="27"/>
  <c r="K143" i="27"/>
  <c r="F143" i="27"/>
  <c r="J142" i="27"/>
  <c r="D143" i="27"/>
  <c r="L138" i="27"/>
  <c r="F140" i="27"/>
  <c r="I143" i="27"/>
  <c r="D145" i="27"/>
  <c r="K142" i="27"/>
  <c r="L144" i="27"/>
  <c r="D138" i="27"/>
  <c r="D146" i="27"/>
  <c r="F144" i="27"/>
  <c r="L139" i="31"/>
  <c r="F137" i="31"/>
  <c r="H145" i="31"/>
  <c r="K139" i="31"/>
  <c r="H144" i="31"/>
  <c r="J139" i="31"/>
  <c r="F133" i="31"/>
  <c r="F136" i="31"/>
  <c r="I139" i="31"/>
  <c r="I137" i="31"/>
  <c r="H140" i="31"/>
  <c r="G137" i="31"/>
  <c r="J141" i="31"/>
  <c r="H143" i="31"/>
  <c r="K144" i="31"/>
  <c r="E142" i="31"/>
  <c r="L138" i="31"/>
  <c r="L145" i="31"/>
  <c r="L143" i="31"/>
  <c r="H138" i="31"/>
  <c r="G144" i="27"/>
  <c r="L143" i="27"/>
  <c r="H146" i="31"/>
  <c r="D139" i="31"/>
  <c r="H133" i="31"/>
  <c r="H136" i="31"/>
  <c r="F138" i="31"/>
  <c r="E137" i="31"/>
  <c r="I138" i="31"/>
  <c r="F143" i="31"/>
  <c r="D142" i="31"/>
  <c r="E143" i="31"/>
  <c r="K140" i="31"/>
  <c r="G139" i="31"/>
  <c r="K133" i="31"/>
  <c r="K136" i="31"/>
  <c r="F139" i="31"/>
  <c r="J138" i="31"/>
  <c r="K137" i="31"/>
  <c r="F140" i="31"/>
  <c r="G138" i="31"/>
  <c r="F146" i="31"/>
  <c r="G145" i="31"/>
  <c r="G143" i="31"/>
  <c r="D140" i="31"/>
  <c r="E138" i="31"/>
  <c r="E146" i="31"/>
  <c r="F145" i="31"/>
  <c r="D138" i="31"/>
  <c r="L146" i="31"/>
  <c r="K138" i="31"/>
  <c r="K146" i="31"/>
  <c r="D145" i="31"/>
  <c r="E144" i="31"/>
  <c r="K141" i="31"/>
  <c r="I145" i="31"/>
  <c r="G142" i="31"/>
  <c r="G146" i="31"/>
  <c r="L144" i="31"/>
  <c r="E140" i="31"/>
  <c r="G133" i="31"/>
  <c r="G136" i="31"/>
  <c r="I142" i="31"/>
  <c r="L137" i="31"/>
  <c r="L140" i="31"/>
  <c r="E145" i="31"/>
  <c r="J137" i="31"/>
  <c r="D143" i="31"/>
  <c r="J136" i="31"/>
  <c r="J133" i="31"/>
  <c r="F144" i="31"/>
  <c r="L141" i="31"/>
  <c r="K143" i="31"/>
  <c r="H142" i="31"/>
  <c r="D144" i="31"/>
  <c r="J143" i="31"/>
  <c r="I141" i="31"/>
  <c r="D146" i="31"/>
  <c r="G144" i="31"/>
  <c r="H137" i="31"/>
  <c r="I140" i="31"/>
  <c r="G141" i="31"/>
  <c r="D137" i="31"/>
  <c r="J144" i="31"/>
  <c r="I144" i="31"/>
  <c r="H139" i="31"/>
  <c r="L136" i="31"/>
  <c r="L133" i="31"/>
  <c r="D141" i="31"/>
  <c r="J140" i="31"/>
  <c r="J146" i="31"/>
  <c r="J142" i="31"/>
  <c r="I146" i="31"/>
  <c r="G140" i="31"/>
  <c r="E139" i="31"/>
  <c r="E133" i="31"/>
  <c r="E136" i="31"/>
  <c r="E145" i="27"/>
  <c r="J146" i="27"/>
  <c r="I143" i="31"/>
  <c r="H141" i="31"/>
  <c r="F141" i="31"/>
  <c r="L142" i="31"/>
  <c r="E141" i="31"/>
  <c r="K142" i="31"/>
  <c r="I136" i="31"/>
  <c r="I133" i="31"/>
  <c r="K145" i="31"/>
  <c r="K146" i="16"/>
  <c r="F139" i="16"/>
  <c r="J146" i="16"/>
  <c r="L141" i="16"/>
  <c r="I137" i="16"/>
  <c r="E140" i="16"/>
  <c r="I144" i="16"/>
  <c r="G144" i="16"/>
  <c r="I139" i="16"/>
  <c r="D141" i="16"/>
  <c r="E145" i="16"/>
  <c r="D143" i="16"/>
  <c r="H138" i="16"/>
  <c r="D138" i="16"/>
  <c r="J137" i="16"/>
  <c r="H140" i="16"/>
  <c r="J138" i="16"/>
  <c r="J140" i="16"/>
  <c r="L144" i="16"/>
  <c r="L140" i="16"/>
  <c r="F143" i="16"/>
  <c r="H139" i="16"/>
  <c r="L146" i="16"/>
  <c r="G139" i="16"/>
  <c r="D145" i="16"/>
  <c r="K133" i="27"/>
  <c r="L142" i="27"/>
  <c r="I142" i="27"/>
  <c r="J140" i="27"/>
  <c r="L139" i="27"/>
  <c r="G133" i="27"/>
  <c r="D142" i="27"/>
  <c r="L140" i="27"/>
  <c r="E139" i="27"/>
  <c r="J143" i="27"/>
  <c r="E140" i="27"/>
  <c r="F133" i="27"/>
  <c r="E142" i="16"/>
  <c r="E143" i="27"/>
  <c r="D140" i="27"/>
  <c r="J142" i="16"/>
  <c r="K144" i="27"/>
  <c r="F145" i="27"/>
  <c r="I146" i="27"/>
  <c r="D141" i="27"/>
  <c r="H143" i="27"/>
  <c r="G137" i="27"/>
  <c r="J144" i="27"/>
  <c r="I145" i="27"/>
  <c r="H142" i="27"/>
  <c r="H138" i="27"/>
  <c r="E138" i="27"/>
  <c r="H133" i="27"/>
  <c r="E144" i="16"/>
  <c r="F137" i="16"/>
  <c r="I145" i="16"/>
  <c r="G141" i="16"/>
  <c r="F146" i="16"/>
  <c r="K137" i="16"/>
  <c r="F141" i="16"/>
  <c r="L137" i="16"/>
  <c r="J137" i="27"/>
  <c r="I141" i="16"/>
  <c r="L145" i="16"/>
  <c r="K145" i="16"/>
  <c r="J141" i="16"/>
  <c r="E133" i="27"/>
  <c r="G137" i="16"/>
  <c r="K143" i="16"/>
  <c r="L139" i="16"/>
  <c r="D144" i="16"/>
  <c r="D140" i="16"/>
  <c r="E137" i="16"/>
  <c r="K144" i="16"/>
  <c r="D137" i="16"/>
  <c r="L146" i="27"/>
  <c r="I144" i="27"/>
  <c r="L137" i="27"/>
  <c r="K140" i="27"/>
  <c r="F141" i="27"/>
  <c r="E143" i="16"/>
  <c r="K141" i="16"/>
  <c r="H137" i="16"/>
  <c r="F144" i="16"/>
  <c r="F140" i="16"/>
  <c r="K141" i="27"/>
  <c r="G142" i="27"/>
  <c r="H139" i="27"/>
  <c r="J139" i="27"/>
  <c r="L133" i="27"/>
  <c r="I137" i="27"/>
  <c r="L141" i="27"/>
  <c r="F139" i="27"/>
  <c r="I138" i="16"/>
  <c r="I146" i="16"/>
  <c r="E141" i="16"/>
  <c r="J143" i="16"/>
  <c r="I143" i="16"/>
  <c r="J145" i="27"/>
  <c r="F137" i="27"/>
  <c r="F142" i="27"/>
  <c r="E142" i="27"/>
  <c r="K137" i="27"/>
  <c r="I141" i="27"/>
  <c r="H137" i="27"/>
  <c r="L142" i="16"/>
  <c r="L143" i="16"/>
  <c r="K139" i="27"/>
  <c r="H144" i="27"/>
  <c r="G145" i="27"/>
  <c r="G141" i="27"/>
  <c r="D137" i="27"/>
  <c r="K146" i="27"/>
  <c r="G139" i="27"/>
  <c r="H140" i="27"/>
  <c r="J138" i="27"/>
  <c r="D142" i="16"/>
  <c r="L138" i="16"/>
  <c r="D146" i="16"/>
  <c r="K138" i="16"/>
  <c r="G140" i="16"/>
  <c r="E139" i="16"/>
  <c r="G143" i="16"/>
  <c r="J145" i="16"/>
  <c r="H141" i="16"/>
  <c r="G138" i="16"/>
  <c r="H146" i="16"/>
  <c r="G142" i="16"/>
  <c r="F138" i="16"/>
  <c r="H144" i="16"/>
  <c r="F142" i="16"/>
  <c r="E138" i="16"/>
  <c r="I133" i="27"/>
  <c r="J141" i="27"/>
  <c r="G138" i="27"/>
  <c r="G146" i="27"/>
  <c r="E137" i="27"/>
  <c r="F146" i="27"/>
  <c r="G143" i="27"/>
  <c r="I138" i="27"/>
  <c r="I139" i="27"/>
  <c r="K138" i="27"/>
  <c r="E141" i="27"/>
  <c r="J133" i="27"/>
  <c r="K142" i="16"/>
  <c r="I142" i="16"/>
  <c r="H142" i="16"/>
  <c r="AZ57" i="24"/>
  <c r="CP57" i="24" s="1"/>
  <c r="BA57" i="24"/>
  <c r="AY57" i="24"/>
  <c r="CR55" i="24"/>
  <c r="AM57" i="24"/>
  <c r="AK57" i="24"/>
  <c r="CD57" i="24" s="1"/>
  <c r="AL57" i="24"/>
  <c r="CE56" i="24"/>
  <c r="CF56" i="24"/>
  <c r="CR56" i="24" s="1"/>
  <c r="CG56" i="24"/>
  <c r="CH56" i="24"/>
  <c r="CI56" i="24"/>
  <c r="CJ56" i="24"/>
  <c r="CV56" i="24" s="1"/>
  <c r="CL56" i="24"/>
  <c r="CX56" i="24" s="1"/>
  <c r="CK56" i="24"/>
  <c r="CW56" i="24" s="1"/>
  <c r="CX55" i="24"/>
  <c r="CV55" i="24"/>
  <c r="X57" i="24"/>
  <c r="L147" i="12"/>
  <c r="K147" i="12"/>
  <c r="H147" i="12"/>
  <c r="E147" i="12"/>
  <c r="J147" i="12"/>
  <c r="I147" i="12"/>
  <c r="G147" i="12"/>
  <c r="F147" i="12"/>
  <c r="R59" i="17"/>
  <c r="AA58" i="17"/>
  <c r="Z58" i="17"/>
  <c r="AE58" i="17"/>
  <c r="AD58" i="17"/>
  <c r="AC58" i="17"/>
  <c r="AB58" i="17"/>
  <c r="X58" i="17"/>
  <c r="X58" i="14" s="1"/>
  <c r="W58" i="17"/>
  <c r="X58" i="19" s="1"/>
  <c r="V58" i="17"/>
  <c r="X58" i="3" s="1"/>
  <c r="U58" i="17"/>
  <c r="X58" i="7" s="1"/>
  <c r="X58" i="12" s="1"/>
  <c r="T58" i="17"/>
  <c r="S58" i="17"/>
  <c r="X58" i="15" s="1"/>
  <c r="N137" i="17"/>
  <c r="P146" i="17"/>
  <c r="P139" i="17"/>
  <c r="N144" i="17"/>
  <c r="K146" i="17"/>
  <c r="O146" i="17"/>
  <c r="M145" i="17"/>
  <c r="L145" i="17"/>
  <c r="K138" i="17"/>
  <c r="P137" i="17"/>
  <c r="N142" i="17"/>
  <c r="N138" i="17"/>
  <c r="M144" i="17"/>
  <c r="M138" i="17"/>
  <c r="L141" i="17"/>
  <c r="K145" i="17"/>
  <c r="K140" i="17"/>
  <c r="K142" i="17"/>
  <c r="P144" i="17"/>
  <c r="O138" i="17"/>
  <c r="N139" i="17"/>
  <c r="N145" i="17"/>
  <c r="M146" i="17"/>
  <c r="L146" i="17"/>
  <c r="K137" i="17"/>
  <c r="K143" i="17"/>
  <c r="K144" i="17"/>
  <c r="P140" i="17"/>
  <c r="P142" i="17"/>
  <c r="O139" i="17"/>
  <c r="N140" i="17"/>
  <c r="M137" i="17"/>
  <c r="M142" i="17"/>
  <c r="K141" i="17"/>
  <c r="P145" i="17"/>
  <c r="P141" i="17"/>
  <c r="O137" i="17"/>
  <c r="O140" i="17"/>
  <c r="N141" i="17"/>
  <c r="N146" i="17"/>
  <c r="L138" i="17"/>
  <c r="L142" i="17"/>
  <c r="L144" i="17"/>
  <c r="P143" i="17"/>
  <c r="O144" i="17"/>
  <c r="M139" i="17"/>
  <c r="M140" i="17"/>
  <c r="L139" i="17"/>
  <c r="L140" i="17"/>
  <c r="L137" i="17"/>
  <c r="P138" i="17"/>
  <c r="O142" i="17"/>
  <c r="O145" i="17"/>
  <c r="O141" i="17"/>
  <c r="O143" i="17"/>
  <c r="N143" i="17"/>
  <c r="M143" i="17"/>
  <c r="L143" i="17"/>
  <c r="M141" i="17"/>
  <c r="K139" i="17"/>
  <c r="G147" i="17"/>
  <c r="D147" i="17"/>
  <c r="I147" i="17"/>
  <c r="F147" i="17"/>
  <c r="H147" i="17"/>
  <c r="E147" i="17"/>
  <c r="K133" i="15"/>
  <c r="K133" i="3"/>
  <c r="J133" i="3"/>
  <c r="I133" i="3"/>
  <c r="H133" i="3"/>
  <c r="G133" i="3"/>
  <c r="F133" i="3"/>
  <c r="E133" i="3"/>
  <c r="D133" i="3"/>
  <c r="BE7" i="3"/>
  <c r="BM7" i="3" s="1"/>
  <c r="AP7" i="3"/>
  <c r="AO7" i="3"/>
  <c r="AN7" i="3"/>
  <c r="K133" i="14"/>
  <c r="AM7" i="3"/>
  <c r="K133" i="7"/>
  <c r="J133" i="7"/>
  <c r="I133" i="7"/>
  <c r="H133" i="7"/>
  <c r="G133" i="7"/>
  <c r="F133" i="7"/>
  <c r="E133" i="7"/>
  <c r="D133" i="7"/>
  <c r="X58" i="16" l="1"/>
  <c r="X58" i="31"/>
  <c r="X58" i="27"/>
  <c r="J147" i="27"/>
  <c r="I147" i="16"/>
  <c r="I147" i="31"/>
  <c r="K147" i="31"/>
  <c r="J147" i="31"/>
  <c r="G147" i="31"/>
  <c r="H147" i="27"/>
  <c r="F147" i="31"/>
  <c r="H147" i="31"/>
  <c r="E147" i="31"/>
  <c r="L147" i="27"/>
  <c r="L147" i="31"/>
  <c r="F147" i="16"/>
  <c r="K147" i="16"/>
  <c r="J147" i="16"/>
  <c r="G147" i="16"/>
  <c r="L147" i="16"/>
  <c r="E147" i="16"/>
  <c r="H147" i="16"/>
  <c r="F147" i="27"/>
  <c r="K147" i="27"/>
  <c r="I147" i="27"/>
  <c r="G147" i="27"/>
  <c r="E147" i="27"/>
  <c r="CU56" i="24"/>
  <c r="CT56" i="24"/>
  <c r="CS56" i="24"/>
  <c r="CQ56" i="24"/>
  <c r="CE57" i="24"/>
  <c r="CQ57" i="24" s="1"/>
  <c r="CI57" i="24"/>
  <c r="CU57" i="24" s="1"/>
  <c r="CG57" i="24"/>
  <c r="CS57" i="24" s="1"/>
  <c r="CH57" i="24"/>
  <c r="CT57" i="24" s="1"/>
  <c r="CF57" i="24"/>
  <c r="CR57" i="24" s="1"/>
  <c r="CJ57" i="24"/>
  <c r="CL57" i="24"/>
  <c r="CK57" i="24"/>
  <c r="CW57" i="24" s="1"/>
  <c r="AL58" i="24"/>
  <c r="AM58" i="24"/>
  <c r="AK58" i="24"/>
  <c r="CD58" i="24" s="1"/>
  <c r="R60" i="17"/>
  <c r="AC59" i="17"/>
  <c r="AB59" i="17"/>
  <c r="AA59" i="17"/>
  <c r="Z59" i="17"/>
  <c r="AE59" i="17"/>
  <c r="AD59" i="17"/>
  <c r="X59" i="17"/>
  <c r="X59" i="14" s="1"/>
  <c r="W59" i="17"/>
  <c r="X59" i="19" s="1"/>
  <c r="V59" i="17"/>
  <c r="X59" i="3" s="1"/>
  <c r="U59" i="17"/>
  <c r="X59" i="7" s="1"/>
  <c r="X59" i="12" s="1"/>
  <c r="T59" i="17"/>
  <c r="S59" i="17"/>
  <c r="X59" i="15" s="1"/>
  <c r="CP7" i="3"/>
  <c r="Q7" i="22" s="1"/>
  <c r="AK7" i="3"/>
  <c r="CD7" i="3" s="1"/>
  <c r="AH146" i="15"/>
  <c r="AG146" i="15"/>
  <c r="AD146" i="15"/>
  <c r="AC146" i="15"/>
  <c r="AB146" i="15"/>
  <c r="AA146" i="15"/>
  <c r="Z146" i="15"/>
  <c r="L146" i="15"/>
  <c r="K146" i="15"/>
  <c r="H146" i="15"/>
  <c r="G146" i="15"/>
  <c r="F146" i="15"/>
  <c r="E146" i="15"/>
  <c r="D146" i="15"/>
  <c r="AH145" i="15"/>
  <c r="AG145" i="15"/>
  <c r="AD145" i="15"/>
  <c r="AC145" i="15"/>
  <c r="AB145" i="15"/>
  <c r="AA145" i="15"/>
  <c r="Z145" i="15"/>
  <c r="L145" i="15"/>
  <c r="K145" i="15"/>
  <c r="H145" i="15"/>
  <c r="G145" i="15"/>
  <c r="F145" i="15"/>
  <c r="E145" i="15"/>
  <c r="D145" i="15"/>
  <c r="AH144" i="15"/>
  <c r="AG144" i="15"/>
  <c r="AD144" i="15"/>
  <c r="AC144" i="15"/>
  <c r="AB144" i="15"/>
  <c r="AA144" i="15"/>
  <c r="Z144" i="15"/>
  <c r="L144" i="15"/>
  <c r="K144" i="15"/>
  <c r="H144" i="15"/>
  <c r="G144" i="15"/>
  <c r="F144" i="15"/>
  <c r="E144" i="15"/>
  <c r="D144" i="15"/>
  <c r="AH143" i="15"/>
  <c r="AG143" i="15"/>
  <c r="AD143" i="15"/>
  <c r="AC143" i="15"/>
  <c r="AB143" i="15"/>
  <c r="AA143" i="15"/>
  <c r="Z143" i="15"/>
  <c r="L143" i="15"/>
  <c r="K143" i="15"/>
  <c r="H143" i="15"/>
  <c r="G143" i="15"/>
  <c r="F143" i="15"/>
  <c r="E143" i="15"/>
  <c r="D143" i="15"/>
  <c r="AH142" i="15"/>
  <c r="AG142" i="15"/>
  <c r="AD142" i="15"/>
  <c r="AC142" i="15"/>
  <c r="AB142" i="15"/>
  <c r="AA142" i="15"/>
  <c r="Z142" i="15"/>
  <c r="L142" i="15"/>
  <c r="K142" i="15"/>
  <c r="H142" i="15"/>
  <c r="G142" i="15"/>
  <c r="F142" i="15"/>
  <c r="E142" i="15"/>
  <c r="D142" i="15"/>
  <c r="AH141" i="15"/>
  <c r="AG141" i="15"/>
  <c r="AD141" i="15"/>
  <c r="AC141" i="15"/>
  <c r="AB141" i="15"/>
  <c r="AA141" i="15"/>
  <c r="Z141" i="15"/>
  <c r="L141" i="15"/>
  <c r="K141" i="15"/>
  <c r="H141" i="15"/>
  <c r="G141" i="15"/>
  <c r="F141" i="15"/>
  <c r="E141" i="15"/>
  <c r="D141" i="15"/>
  <c r="AH140" i="15"/>
  <c r="AG140" i="15"/>
  <c r="AD140" i="15"/>
  <c r="AC140" i="15"/>
  <c r="AB140" i="15"/>
  <c r="AA140" i="15"/>
  <c r="Z140" i="15"/>
  <c r="M140" i="15"/>
  <c r="L140" i="15"/>
  <c r="K140" i="15"/>
  <c r="H140" i="15"/>
  <c r="G140" i="15"/>
  <c r="F140" i="15"/>
  <c r="E140" i="15"/>
  <c r="D140" i="15"/>
  <c r="AH139" i="15"/>
  <c r="AG139" i="15"/>
  <c r="AD139" i="15"/>
  <c r="AC139" i="15"/>
  <c r="AB139" i="15"/>
  <c r="AA139" i="15"/>
  <c r="Z139" i="15"/>
  <c r="M139" i="15"/>
  <c r="L139" i="15"/>
  <c r="K139" i="15"/>
  <c r="H139" i="15"/>
  <c r="G139" i="15"/>
  <c r="F139" i="15"/>
  <c r="E139" i="15"/>
  <c r="D139" i="15"/>
  <c r="AH138" i="15"/>
  <c r="AG138" i="15"/>
  <c r="AD138" i="15"/>
  <c r="AC138" i="15"/>
  <c r="AB138" i="15"/>
  <c r="AA138" i="15"/>
  <c r="Z138" i="15"/>
  <c r="M138" i="15"/>
  <c r="L138" i="15"/>
  <c r="K138" i="15"/>
  <c r="H138" i="15"/>
  <c r="G138" i="15"/>
  <c r="F138" i="15"/>
  <c r="E138" i="15"/>
  <c r="D138" i="15"/>
  <c r="AH137" i="15"/>
  <c r="AG137" i="15"/>
  <c r="AD137" i="15"/>
  <c r="AC137" i="15"/>
  <c r="AB137" i="15"/>
  <c r="AA137" i="15"/>
  <c r="Z137" i="15"/>
  <c r="M137" i="15"/>
  <c r="L137" i="15"/>
  <c r="K137" i="15"/>
  <c r="H137" i="15"/>
  <c r="G137" i="15"/>
  <c r="F137" i="15"/>
  <c r="E137" i="15"/>
  <c r="D137" i="15"/>
  <c r="AH136" i="15"/>
  <c r="AG136" i="15"/>
  <c r="AD136" i="15"/>
  <c r="AD135" i="15" s="1"/>
  <c r="AC136" i="15"/>
  <c r="AC135" i="15" s="1"/>
  <c r="AB136" i="15"/>
  <c r="AA136" i="15"/>
  <c r="AA135" i="15" s="1"/>
  <c r="Z136" i="15"/>
  <c r="M136" i="15"/>
  <c r="L136" i="15"/>
  <c r="K136" i="15"/>
  <c r="H136" i="15"/>
  <c r="G136" i="15"/>
  <c r="F136" i="15"/>
  <c r="E136" i="15"/>
  <c r="D136" i="15"/>
  <c r="H133" i="15"/>
  <c r="G133" i="15"/>
  <c r="F133" i="15"/>
  <c r="E133" i="15"/>
  <c r="D133" i="15"/>
  <c r="BH132" i="15"/>
  <c r="BI132" i="15" s="1"/>
  <c r="BQ132" i="15" s="1"/>
  <c r="BE132" i="15"/>
  <c r="BM132" i="15" s="1"/>
  <c r="AU132" i="15"/>
  <c r="AT132" i="15"/>
  <c r="AR132" i="15"/>
  <c r="AQ132" i="15"/>
  <c r="AP132" i="15"/>
  <c r="AO132" i="15"/>
  <c r="AN132" i="15"/>
  <c r="AM132" i="15"/>
  <c r="AK132" i="15"/>
  <c r="CD132" i="15" s="1"/>
  <c r="CP132" i="15"/>
  <c r="AA132" i="22" s="1"/>
  <c r="BH131" i="15"/>
  <c r="BP131" i="15" s="1"/>
  <c r="BE131" i="15"/>
  <c r="BF131" i="15" s="1"/>
  <c r="AU131" i="15"/>
  <c r="AS131" i="15"/>
  <c r="AR131" i="15"/>
  <c r="AQ131" i="15"/>
  <c r="AP131" i="15"/>
  <c r="AO131" i="15"/>
  <c r="AN131" i="15"/>
  <c r="AM131" i="15"/>
  <c r="AK131" i="15"/>
  <c r="CD131" i="15" s="1"/>
  <c r="BH130" i="15"/>
  <c r="BI130" i="15" s="1"/>
  <c r="BE130" i="15"/>
  <c r="BM130" i="15" s="1"/>
  <c r="AU130" i="15"/>
  <c r="AT130" i="15"/>
  <c r="AR130" i="15"/>
  <c r="AQ130" i="15"/>
  <c r="AP130" i="15"/>
  <c r="AO130" i="15"/>
  <c r="AN130" i="15"/>
  <c r="AM130" i="15"/>
  <c r="AK130" i="15"/>
  <c r="CD130" i="15" s="1"/>
  <c r="CP130" i="15"/>
  <c r="AA130" i="22" s="1"/>
  <c r="BH129" i="15"/>
  <c r="BP129" i="15" s="1"/>
  <c r="BE129" i="15"/>
  <c r="BF129" i="15" s="1"/>
  <c r="BN129" i="15" s="1"/>
  <c r="AU129" i="15"/>
  <c r="AS129" i="15"/>
  <c r="AR129" i="15"/>
  <c r="AQ129" i="15"/>
  <c r="AP129" i="15"/>
  <c r="AO129" i="15"/>
  <c r="AN129" i="15"/>
  <c r="AM129" i="15"/>
  <c r="AT129" i="15"/>
  <c r="AK129" i="15"/>
  <c r="CD129" i="15" s="1"/>
  <c r="BH128" i="15"/>
  <c r="BP128" i="15" s="1"/>
  <c r="BE128" i="15"/>
  <c r="BM128" i="15" s="1"/>
  <c r="AU128" i="15"/>
  <c r="AT128" i="15"/>
  <c r="AR128" i="15"/>
  <c r="AQ128" i="15"/>
  <c r="AP128" i="15"/>
  <c r="AO128" i="15"/>
  <c r="AN128" i="15"/>
  <c r="AM128" i="15"/>
  <c r="AK128" i="15"/>
  <c r="CD128" i="15" s="1"/>
  <c r="CP128" i="15"/>
  <c r="AA128" i="22" s="1"/>
  <c r="BH127" i="15"/>
  <c r="BP127" i="15" s="1"/>
  <c r="BE127" i="15"/>
  <c r="BF127" i="15" s="1"/>
  <c r="AU127" i="15"/>
  <c r="AS127" i="15"/>
  <c r="AR127" i="15"/>
  <c r="AQ127" i="15"/>
  <c r="AP127" i="15"/>
  <c r="AO127" i="15"/>
  <c r="AN127" i="15"/>
  <c r="AM127" i="15"/>
  <c r="BH126" i="15"/>
  <c r="BI126" i="15" s="1"/>
  <c r="BQ126" i="15" s="1"/>
  <c r="BE126" i="15"/>
  <c r="BM126" i="15" s="1"/>
  <c r="AU126" i="15"/>
  <c r="AR126" i="15"/>
  <c r="AQ126" i="15"/>
  <c r="AP126" i="15"/>
  <c r="AO126" i="15"/>
  <c r="AN126" i="15"/>
  <c r="AM126" i="15"/>
  <c r="AK126" i="15"/>
  <c r="CD126" i="15" s="1"/>
  <c r="CP126" i="15"/>
  <c r="AA126" i="22" s="1"/>
  <c r="AS126" i="15"/>
  <c r="BH125" i="15"/>
  <c r="BP125" i="15" s="1"/>
  <c r="BE125" i="15"/>
  <c r="BM125" i="15" s="1"/>
  <c r="AU125" i="15"/>
  <c r="AT125" i="15"/>
  <c r="AR125" i="15"/>
  <c r="AQ125" i="15"/>
  <c r="AP125" i="15"/>
  <c r="AO125" i="15"/>
  <c r="AN125" i="15"/>
  <c r="AM125" i="15"/>
  <c r="CP125" i="15"/>
  <c r="AA125" i="22" s="1"/>
  <c r="BH124" i="15"/>
  <c r="BI124" i="15" s="1"/>
  <c r="BQ124" i="15" s="1"/>
  <c r="BE124" i="15"/>
  <c r="BF124" i="15" s="1"/>
  <c r="BG124" i="15" s="1"/>
  <c r="BO124" i="15" s="1"/>
  <c r="AU124" i="15"/>
  <c r="AT124" i="15"/>
  <c r="AR124" i="15"/>
  <c r="AQ124" i="15"/>
  <c r="AP124" i="15"/>
  <c r="AO124" i="15"/>
  <c r="AN124" i="15"/>
  <c r="AM124" i="15"/>
  <c r="AK124" i="15"/>
  <c r="CD124" i="15" s="1"/>
  <c r="CP124" i="15"/>
  <c r="AA124" i="22" s="1"/>
  <c r="BH123" i="15"/>
  <c r="BP123" i="15" s="1"/>
  <c r="BE123" i="15"/>
  <c r="BM123" i="15" s="1"/>
  <c r="AU123" i="15"/>
  <c r="AT123" i="15"/>
  <c r="AR123" i="15"/>
  <c r="AQ123" i="15"/>
  <c r="AP123" i="15"/>
  <c r="AO123" i="15"/>
  <c r="AN123" i="15"/>
  <c r="AM123" i="15"/>
  <c r="AK123" i="15"/>
  <c r="CD123" i="15" s="1"/>
  <c r="CP123" i="15"/>
  <c r="AA123" i="22" s="1"/>
  <c r="BH122" i="15"/>
  <c r="BI122" i="15" s="1"/>
  <c r="BE122" i="15"/>
  <c r="BM122" i="15" s="1"/>
  <c r="CP122" i="15"/>
  <c r="AA122" i="22" s="1"/>
  <c r="AU122" i="15"/>
  <c r="AT122" i="15"/>
  <c r="AR122" i="15"/>
  <c r="AQ122" i="15"/>
  <c r="AP122" i="15"/>
  <c r="AO122" i="15"/>
  <c r="AN122" i="15"/>
  <c r="AM122" i="15"/>
  <c r="AK122" i="15"/>
  <c r="CD122" i="15" s="1"/>
  <c r="AS122" i="15"/>
  <c r="BH121" i="15"/>
  <c r="BP121" i="15" s="1"/>
  <c r="BE121" i="15"/>
  <c r="BM121" i="15" s="1"/>
  <c r="AU121" i="15"/>
  <c r="AT121" i="15"/>
  <c r="AS121" i="15"/>
  <c r="AR121" i="15"/>
  <c r="AQ121" i="15"/>
  <c r="AP121" i="15"/>
  <c r="AO121" i="15"/>
  <c r="AN121" i="15"/>
  <c r="AM121" i="15"/>
  <c r="CP121" i="15"/>
  <c r="AA121" i="22" s="1"/>
  <c r="AK121" i="15"/>
  <c r="CD121" i="15" s="1"/>
  <c r="BH120" i="15"/>
  <c r="BP120" i="15" s="1"/>
  <c r="BE120" i="15"/>
  <c r="BF120" i="15" s="1"/>
  <c r="AU120" i="15"/>
  <c r="AT120" i="15"/>
  <c r="AS120" i="15"/>
  <c r="AR120" i="15"/>
  <c r="AQ120" i="15"/>
  <c r="AP120" i="15"/>
  <c r="AO120" i="15"/>
  <c r="AN120" i="15"/>
  <c r="AM120" i="15"/>
  <c r="AK120" i="15"/>
  <c r="CD120" i="15" s="1"/>
  <c r="CP120" i="15"/>
  <c r="AA120" i="22" s="1"/>
  <c r="BH119" i="15"/>
  <c r="BP119" i="15" s="1"/>
  <c r="BE119" i="15"/>
  <c r="AU119" i="15"/>
  <c r="AS119" i="15"/>
  <c r="AR119" i="15"/>
  <c r="AQ119" i="15"/>
  <c r="AP119" i="15"/>
  <c r="AO119" i="15"/>
  <c r="AN119" i="15"/>
  <c r="AM119" i="15"/>
  <c r="AK119" i="15"/>
  <c r="CD119" i="15" s="1"/>
  <c r="AF145" i="15"/>
  <c r="AE145" i="15"/>
  <c r="J145" i="15"/>
  <c r="BH118" i="15"/>
  <c r="BI118" i="15" s="1"/>
  <c r="BQ118" i="15" s="1"/>
  <c r="BE118" i="15"/>
  <c r="BM118" i="15" s="1"/>
  <c r="AU118" i="15"/>
  <c r="AR118" i="15"/>
  <c r="AQ118" i="15"/>
  <c r="AP118" i="15"/>
  <c r="AO118" i="15"/>
  <c r="AN118" i="15"/>
  <c r="AM118" i="15"/>
  <c r="AT118" i="15"/>
  <c r="AK118" i="15"/>
  <c r="CD118" i="15" s="1"/>
  <c r="BH117" i="15"/>
  <c r="BP117" i="15" s="1"/>
  <c r="BE117" i="15"/>
  <c r="BM117" i="15" s="1"/>
  <c r="AU117" i="15"/>
  <c r="AT117" i="15"/>
  <c r="AR117" i="15"/>
  <c r="AQ117" i="15"/>
  <c r="AP117" i="15"/>
  <c r="AO117" i="15"/>
  <c r="AN117" i="15"/>
  <c r="AM117" i="15"/>
  <c r="CP117" i="15"/>
  <c r="AA117" i="22" s="1"/>
  <c r="BH116" i="15"/>
  <c r="BE116" i="15"/>
  <c r="BM116" i="15" s="1"/>
  <c r="AU116" i="15"/>
  <c r="AT116" i="15"/>
  <c r="AR116" i="15"/>
  <c r="AQ116" i="15"/>
  <c r="AP116" i="15"/>
  <c r="AO116" i="15"/>
  <c r="AN116" i="15"/>
  <c r="AM116" i="15"/>
  <c r="AK116" i="15"/>
  <c r="CD116" i="15" s="1"/>
  <c r="CP116" i="15"/>
  <c r="AA116" i="22" s="1"/>
  <c r="CG116" i="15"/>
  <c r="BH115" i="15"/>
  <c r="BE115" i="15"/>
  <c r="BF115" i="15" s="1"/>
  <c r="BN115" i="15" s="1"/>
  <c r="AU115" i="15"/>
  <c r="AR115" i="15"/>
  <c r="AQ115" i="15"/>
  <c r="AP115" i="15"/>
  <c r="AO115" i="15"/>
  <c r="AN115" i="15"/>
  <c r="AM115" i="15"/>
  <c r="AK115" i="15"/>
  <c r="CD115" i="15" s="1"/>
  <c r="CF115" i="15"/>
  <c r="BH114" i="15"/>
  <c r="BI114" i="15" s="1"/>
  <c r="BE114" i="15"/>
  <c r="BM114" i="15" s="1"/>
  <c r="CP114" i="15"/>
  <c r="AA114" i="22" s="1"/>
  <c r="AU114" i="15"/>
  <c r="AR114" i="15"/>
  <c r="AQ114" i="15"/>
  <c r="AP114" i="15"/>
  <c r="AO114" i="15"/>
  <c r="AN114" i="15"/>
  <c r="AM114" i="15"/>
  <c r="AK114" i="15"/>
  <c r="CD114" i="15" s="1"/>
  <c r="AT114" i="15"/>
  <c r="BH113" i="15"/>
  <c r="BP113" i="15" s="1"/>
  <c r="BE113" i="15"/>
  <c r="BF113" i="15" s="1"/>
  <c r="BG113" i="15" s="1"/>
  <c r="BO113" i="15" s="1"/>
  <c r="AU113" i="15"/>
  <c r="AR113" i="15"/>
  <c r="AQ113" i="15"/>
  <c r="AP113" i="15"/>
  <c r="AO113" i="15"/>
  <c r="AN113" i="15"/>
  <c r="AM113" i="15"/>
  <c r="BH112" i="15"/>
  <c r="BP112" i="15" s="1"/>
  <c r="BE112" i="15"/>
  <c r="BF112" i="15" s="1"/>
  <c r="AU112" i="15"/>
  <c r="AR112" i="15"/>
  <c r="AQ112" i="15"/>
  <c r="AP112" i="15"/>
  <c r="AO112" i="15"/>
  <c r="AN112" i="15"/>
  <c r="AM112" i="15"/>
  <c r="AK112" i="15"/>
  <c r="CD112" i="15" s="1"/>
  <c r="AS112" i="15"/>
  <c r="BH111" i="15"/>
  <c r="BE111" i="15"/>
  <c r="BF111" i="15" s="1"/>
  <c r="BN111" i="15" s="1"/>
  <c r="AU111" i="15"/>
  <c r="AS111" i="15"/>
  <c r="AR111" i="15"/>
  <c r="AQ111" i="15"/>
  <c r="AP111" i="15"/>
  <c r="AO111" i="15"/>
  <c r="AN111" i="15"/>
  <c r="AM111" i="15"/>
  <c r="AK111" i="15"/>
  <c r="CD111" i="15" s="1"/>
  <c r="AT111" i="15"/>
  <c r="BH110" i="15"/>
  <c r="BI110" i="15" s="1"/>
  <c r="BQ110" i="15" s="1"/>
  <c r="BE110" i="15"/>
  <c r="BM110" i="15" s="1"/>
  <c r="CP110" i="15"/>
  <c r="AA110" i="22" s="1"/>
  <c r="AU110" i="15"/>
  <c r="AT110" i="15"/>
  <c r="AR110" i="15"/>
  <c r="AQ110" i="15"/>
  <c r="AP110" i="15"/>
  <c r="AO110" i="15"/>
  <c r="AN110" i="15"/>
  <c r="AM110" i="15"/>
  <c r="BH109" i="15"/>
  <c r="BI109" i="15" s="1"/>
  <c r="BQ109" i="15" s="1"/>
  <c r="BE109" i="15"/>
  <c r="AU109" i="15"/>
  <c r="AS109" i="15"/>
  <c r="AR109" i="15"/>
  <c r="AQ109" i="15"/>
  <c r="AP109" i="15"/>
  <c r="AO109" i="15"/>
  <c r="AN109" i="15"/>
  <c r="AM109" i="15"/>
  <c r="BH108" i="15"/>
  <c r="BI108" i="15" s="1"/>
  <c r="BE108" i="15"/>
  <c r="BF108" i="15" s="1"/>
  <c r="AU108" i="15"/>
  <c r="AR108" i="15"/>
  <c r="AQ108" i="15"/>
  <c r="AP108" i="15"/>
  <c r="AO108" i="15"/>
  <c r="AN108" i="15"/>
  <c r="AM108" i="15"/>
  <c r="BH107" i="15"/>
  <c r="BP107" i="15" s="1"/>
  <c r="BE107" i="15"/>
  <c r="BF107" i="15" s="1"/>
  <c r="BN107" i="15" s="1"/>
  <c r="AU107" i="15"/>
  <c r="AR107" i="15"/>
  <c r="AQ107" i="15"/>
  <c r="AP107" i="15"/>
  <c r="AO107" i="15"/>
  <c r="AN107" i="15"/>
  <c r="AM107" i="15"/>
  <c r="CP107" i="15"/>
  <c r="AA107" i="22" s="1"/>
  <c r="AT107" i="15"/>
  <c r="BI106" i="15"/>
  <c r="BJ106" i="15" s="1"/>
  <c r="BR106" i="15" s="1"/>
  <c r="BH106" i="15"/>
  <c r="BP106" i="15" s="1"/>
  <c r="BE106" i="15"/>
  <c r="BM106" i="15" s="1"/>
  <c r="AU106" i="15"/>
  <c r="AR106" i="15"/>
  <c r="AQ106" i="15"/>
  <c r="AP106" i="15"/>
  <c r="AO106" i="15"/>
  <c r="AN106" i="15"/>
  <c r="AM106" i="15"/>
  <c r="AK106" i="15"/>
  <c r="CD106" i="15" s="1"/>
  <c r="AS106" i="15"/>
  <c r="BH105" i="15"/>
  <c r="BI105" i="15" s="1"/>
  <c r="BQ105" i="15" s="1"/>
  <c r="BE105" i="15"/>
  <c r="BF105" i="15" s="1"/>
  <c r="CP105" i="15"/>
  <c r="AA105" i="22" s="1"/>
  <c r="AU105" i="15"/>
  <c r="AR105" i="15"/>
  <c r="AQ105" i="15"/>
  <c r="AP105" i="15"/>
  <c r="AO105" i="15"/>
  <c r="AN105" i="15"/>
  <c r="AM105" i="15"/>
  <c r="AT105" i="15"/>
  <c r="AS105" i="15"/>
  <c r="BH104" i="15"/>
  <c r="BP104" i="15" s="1"/>
  <c r="BE104" i="15"/>
  <c r="BM104" i="15" s="1"/>
  <c r="AU104" i="15"/>
  <c r="AR104" i="15"/>
  <c r="AQ104" i="15"/>
  <c r="AP104" i="15"/>
  <c r="AO104" i="15"/>
  <c r="AN104" i="15"/>
  <c r="AM104" i="15"/>
  <c r="AK104" i="15"/>
  <c r="CD104" i="15" s="1"/>
  <c r="BH103" i="15"/>
  <c r="BP103" i="15" s="1"/>
  <c r="BE103" i="15"/>
  <c r="BM103" i="15" s="1"/>
  <c r="AU103" i="15"/>
  <c r="AR103" i="15"/>
  <c r="AQ103" i="15"/>
  <c r="AP103" i="15"/>
  <c r="AO103" i="15"/>
  <c r="AN103" i="15"/>
  <c r="AM103" i="15"/>
  <c r="AK103" i="15"/>
  <c r="CD103" i="15" s="1"/>
  <c r="AT103" i="15"/>
  <c r="BH102" i="15"/>
  <c r="BI102" i="15" s="1"/>
  <c r="BQ102" i="15" s="1"/>
  <c r="BE102" i="15"/>
  <c r="BF102" i="15" s="1"/>
  <c r="AU102" i="15"/>
  <c r="AT102" i="15"/>
  <c r="AR102" i="15"/>
  <c r="AQ102" i="15"/>
  <c r="AP102" i="15"/>
  <c r="AO102" i="15"/>
  <c r="AN102" i="15"/>
  <c r="AM102" i="15"/>
  <c r="AK102" i="15"/>
  <c r="CD102" i="15" s="1"/>
  <c r="CP102" i="15"/>
  <c r="AA102" i="22" s="1"/>
  <c r="AS102" i="15"/>
  <c r="BH101" i="15"/>
  <c r="BP101" i="15" s="1"/>
  <c r="BE101" i="15"/>
  <c r="BM101" i="15" s="1"/>
  <c r="AU101" i="15"/>
  <c r="AS101" i="15"/>
  <c r="AR101" i="15"/>
  <c r="AQ101" i="15"/>
  <c r="AP101" i="15"/>
  <c r="AO101" i="15"/>
  <c r="AN101" i="15"/>
  <c r="AM101" i="15"/>
  <c r="AK101" i="15"/>
  <c r="CP101" i="15"/>
  <c r="AA101" i="22" s="1"/>
  <c r="BH100" i="15"/>
  <c r="BI100" i="15" s="1"/>
  <c r="BQ100" i="15" s="1"/>
  <c r="BE100" i="15"/>
  <c r="BF100" i="15" s="1"/>
  <c r="AU100" i="15"/>
  <c r="AR100" i="15"/>
  <c r="AQ100" i="15"/>
  <c r="AP100" i="15"/>
  <c r="AO100" i="15"/>
  <c r="AN100" i="15"/>
  <c r="AM100" i="15"/>
  <c r="AK100" i="15"/>
  <c r="CD100" i="15" s="1"/>
  <c r="AT100" i="15"/>
  <c r="AS100" i="15"/>
  <c r="BH99" i="15"/>
  <c r="BP99" i="15" s="1"/>
  <c r="BE99" i="15"/>
  <c r="BM99" i="15" s="1"/>
  <c r="AU99" i="15"/>
  <c r="AR99" i="15"/>
  <c r="AQ99" i="15"/>
  <c r="AP99" i="15"/>
  <c r="AO99" i="15"/>
  <c r="AN99" i="15"/>
  <c r="AM99" i="15"/>
  <c r="AK99" i="15"/>
  <c r="AT99" i="15"/>
  <c r="AS99" i="15"/>
  <c r="BH98" i="15"/>
  <c r="BI98" i="15" s="1"/>
  <c r="BE98" i="15"/>
  <c r="BM98" i="15" s="1"/>
  <c r="AU98" i="15"/>
  <c r="AT98" i="15"/>
  <c r="AR98" i="15"/>
  <c r="AQ98" i="15"/>
  <c r="AP98" i="15"/>
  <c r="AO98" i="15"/>
  <c r="AN98" i="15"/>
  <c r="AM98" i="15"/>
  <c r="CP98" i="15"/>
  <c r="AA98" i="22" s="1"/>
  <c r="AK98" i="15"/>
  <c r="CD98" i="15" s="1"/>
  <c r="AS98" i="15"/>
  <c r="BH97" i="15"/>
  <c r="BP97" i="15" s="1"/>
  <c r="BE97" i="15"/>
  <c r="BF97" i="15" s="1"/>
  <c r="AU97" i="15"/>
  <c r="AS97" i="15"/>
  <c r="AR97" i="15"/>
  <c r="AQ97" i="15"/>
  <c r="AP97" i="15"/>
  <c r="AO97" i="15"/>
  <c r="AN97" i="15"/>
  <c r="AM97" i="15"/>
  <c r="AK97" i="15"/>
  <c r="AT97" i="15"/>
  <c r="BH96" i="15"/>
  <c r="BP96" i="15" s="1"/>
  <c r="BE96" i="15"/>
  <c r="BM96" i="15" s="1"/>
  <c r="AU96" i="15"/>
  <c r="AT96" i="15"/>
  <c r="AR96" i="15"/>
  <c r="AQ96" i="15"/>
  <c r="AP96" i="15"/>
  <c r="AO96" i="15"/>
  <c r="AN96" i="15"/>
  <c r="AM96" i="15"/>
  <c r="AK96" i="15"/>
  <c r="CD96" i="15" s="1"/>
  <c r="AF143" i="15"/>
  <c r="J143" i="15"/>
  <c r="I143" i="15"/>
  <c r="BH95" i="15"/>
  <c r="BI95" i="15" s="1"/>
  <c r="BE95" i="15"/>
  <c r="BF95" i="15" s="1"/>
  <c r="AU95" i="15"/>
  <c r="AR95" i="15"/>
  <c r="AQ95" i="15"/>
  <c r="AP95" i="15"/>
  <c r="AO95" i="15"/>
  <c r="AN95" i="15"/>
  <c r="AM95" i="15"/>
  <c r="CP95" i="15"/>
  <c r="AA95" i="22" s="1"/>
  <c r="BH94" i="15"/>
  <c r="BP94" i="15" s="1"/>
  <c r="BE94" i="15"/>
  <c r="BM94" i="15" s="1"/>
  <c r="AU94" i="15"/>
  <c r="AT94" i="15"/>
  <c r="AR94" i="15"/>
  <c r="AQ94" i="15"/>
  <c r="AP94" i="15"/>
  <c r="AO94" i="15"/>
  <c r="AN94" i="15"/>
  <c r="AM94" i="15"/>
  <c r="AK94" i="15"/>
  <c r="CD94" i="15" s="1"/>
  <c r="CP94" i="15"/>
  <c r="AA94" i="22" s="1"/>
  <c r="BH93" i="15"/>
  <c r="BP93" i="15" s="1"/>
  <c r="BE93" i="15"/>
  <c r="BF93" i="15" s="1"/>
  <c r="AU93" i="15"/>
  <c r="AR93" i="15"/>
  <c r="AQ93" i="15"/>
  <c r="AP93" i="15"/>
  <c r="AO93" i="15"/>
  <c r="AN93" i="15"/>
  <c r="AM93" i="15"/>
  <c r="AK93" i="15"/>
  <c r="CD93" i="15" s="1"/>
  <c r="AT93" i="15"/>
  <c r="BH92" i="15"/>
  <c r="BI92" i="15" s="1"/>
  <c r="BQ92" i="15" s="1"/>
  <c r="BE92" i="15"/>
  <c r="BF92" i="15" s="1"/>
  <c r="BN92" i="15" s="1"/>
  <c r="AU92" i="15"/>
  <c r="AR92" i="15"/>
  <c r="AQ92" i="15"/>
  <c r="AP92" i="15"/>
  <c r="AO92" i="15"/>
  <c r="AN92" i="15"/>
  <c r="AM92" i="15"/>
  <c r="AK92" i="15"/>
  <c r="CD92" i="15" s="1"/>
  <c r="AT92" i="15"/>
  <c r="AS92" i="15"/>
  <c r="BH91" i="15"/>
  <c r="BP91" i="15" s="1"/>
  <c r="BE91" i="15"/>
  <c r="BM91" i="15" s="1"/>
  <c r="AU91" i="15"/>
  <c r="AR91" i="15"/>
  <c r="AQ91" i="15"/>
  <c r="AP91" i="15"/>
  <c r="AO91" i="15"/>
  <c r="AN91" i="15"/>
  <c r="AM91" i="15"/>
  <c r="AK91" i="15"/>
  <c r="CD91" i="15" s="1"/>
  <c r="CP91" i="15"/>
  <c r="AA91" i="22" s="1"/>
  <c r="AS91" i="15"/>
  <c r="BH90" i="15"/>
  <c r="BI90" i="15" s="1"/>
  <c r="BQ90" i="15" s="1"/>
  <c r="BE90" i="15"/>
  <c r="BF90" i="15" s="1"/>
  <c r="AU90" i="15"/>
  <c r="AS90" i="15"/>
  <c r="AR90" i="15"/>
  <c r="AQ90" i="15"/>
  <c r="AP90" i="15"/>
  <c r="AO90" i="15"/>
  <c r="AN90" i="15"/>
  <c r="AM90" i="15"/>
  <c r="CP90" i="15"/>
  <c r="AA90" i="22" s="1"/>
  <c r="BH89" i="15"/>
  <c r="BP89" i="15" s="1"/>
  <c r="BE89" i="15"/>
  <c r="BF89" i="15" s="1"/>
  <c r="AU89" i="15"/>
  <c r="AT89" i="15"/>
  <c r="AR89" i="15"/>
  <c r="AQ89" i="15"/>
  <c r="AP89" i="15"/>
  <c r="AO89" i="15"/>
  <c r="AN89" i="15"/>
  <c r="AM89" i="15"/>
  <c r="AS89" i="15"/>
  <c r="CP89" i="15"/>
  <c r="AA89" i="22" s="1"/>
  <c r="BH88" i="15"/>
  <c r="BI88" i="15" s="1"/>
  <c r="BE88" i="15"/>
  <c r="BM88" i="15" s="1"/>
  <c r="AU88" i="15"/>
  <c r="AR88" i="15"/>
  <c r="AQ88" i="15"/>
  <c r="AP88" i="15"/>
  <c r="AO88" i="15"/>
  <c r="AN88" i="15"/>
  <c r="AM88" i="15"/>
  <c r="AK88" i="15"/>
  <c r="CD88" i="15" s="1"/>
  <c r="AT88" i="15"/>
  <c r="AS88" i="15"/>
  <c r="BH87" i="15"/>
  <c r="BP87" i="15" s="1"/>
  <c r="BE87" i="15"/>
  <c r="BF87" i="15" s="1"/>
  <c r="BN87" i="15" s="1"/>
  <c r="CP87" i="15"/>
  <c r="AA87" i="22" s="1"/>
  <c r="AU87" i="15"/>
  <c r="AR87" i="15"/>
  <c r="AQ87" i="15"/>
  <c r="AP87" i="15"/>
  <c r="AO87" i="15"/>
  <c r="AN87" i="15"/>
  <c r="AM87" i="15"/>
  <c r="AK87" i="15"/>
  <c r="CD87" i="15" s="1"/>
  <c r="AT87" i="15"/>
  <c r="BH86" i="15"/>
  <c r="BI86" i="15" s="1"/>
  <c r="BQ86" i="15" s="1"/>
  <c r="BE86" i="15"/>
  <c r="BF86" i="15" s="1"/>
  <c r="AU86" i="15"/>
  <c r="AR86" i="15"/>
  <c r="AQ86" i="15"/>
  <c r="AP86" i="15"/>
  <c r="AO86" i="15"/>
  <c r="AN86" i="15"/>
  <c r="AM86" i="15"/>
  <c r="CP86" i="15"/>
  <c r="AA86" i="22" s="1"/>
  <c r="AK86" i="15"/>
  <c r="CD86" i="15" s="1"/>
  <c r="AT86" i="15"/>
  <c r="BH85" i="15"/>
  <c r="BP85" i="15" s="1"/>
  <c r="BE85" i="15"/>
  <c r="BM85" i="15" s="1"/>
  <c r="AU85" i="15"/>
  <c r="AR85" i="15"/>
  <c r="AQ85" i="15"/>
  <c r="AP85" i="15"/>
  <c r="AO85" i="15"/>
  <c r="AN85" i="15"/>
  <c r="AM85" i="15"/>
  <c r="AK85" i="15"/>
  <c r="CD85" i="15" s="1"/>
  <c r="AS85" i="15"/>
  <c r="BH84" i="15"/>
  <c r="BI84" i="15" s="1"/>
  <c r="BE84" i="15"/>
  <c r="BM84" i="15" s="1"/>
  <c r="AU84" i="15"/>
  <c r="AT84" i="15"/>
  <c r="AR84" i="15"/>
  <c r="AQ84" i="15"/>
  <c r="AP84" i="15"/>
  <c r="AO84" i="15"/>
  <c r="AN84" i="15"/>
  <c r="AM84" i="15"/>
  <c r="AK84" i="15"/>
  <c r="CD84" i="15" s="1"/>
  <c r="CP84" i="15"/>
  <c r="AA84" i="22" s="1"/>
  <c r="BH83" i="15"/>
  <c r="BI83" i="15" s="1"/>
  <c r="BE83" i="15"/>
  <c r="BF83" i="15" s="1"/>
  <c r="BN83" i="15" s="1"/>
  <c r="AU83" i="15"/>
  <c r="AS83" i="15"/>
  <c r="AR83" i="15"/>
  <c r="AQ83" i="15"/>
  <c r="AP83" i="15"/>
  <c r="AO83" i="15"/>
  <c r="AN83" i="15"/>
  <c r="AM83" i="15"/>
  <c r="AK83" i="15"/>
  <c r="CD83" i="15" s="1"/>
  <c r="AT83" i="15"/>
  <c r="BH82" i="15"/>
  <c r="BI82" i="15" s="1"/>
  <c r="BE82" i="15"/>
  <c r="BM82" i="15" s="1"/>
  <c r="AU82" i="15"/>
  <c r="AT82" i="15"/>
  <c r="AR82" i="15"/>
  <c r="AQ82" i="15"/>
  <c r="AP82" i="15"/>
  <c r="AO82" i="15"/>
  <c r="AN82" i="15"/>
  <c r="AM82" i="15"/>
  <c r="AK82" i="15"/>
  <c r="CD82" i="15" s="1"/>
  <c r="CP82" i="15"/>
  <c r="AA82" i="22" s="1"/>
  <c r="AS82" i="15"/>
  <c r="BH81" i="15"/>
  <c r="BI81" i="15" s="1"/>
  <c r="BE81" i="15"/>
  <c r="BF81" i="15" s="1"/>
  <c r="CP81" i="15"/>
  <c r="AA81" i="22" s="1"/>
  <c r="AU81" i="15"/>
  <c r="AS81" i="15"/>
  <c r="AR81" i="15"/>
  <c r="AQ81" i="15"/>
  <c r="AP81" i="15"/>
  <c r="AO81" i="15"/>
  <c r="AN81" i="15"/>
  <c r="AM81" i="15"/>
  <c r="AT81" i="15"/>
  <c r="BH80" i="15"/>
  <c r="BP80" i="15" s="1"/>
  <c r="BE80" i="15"/>
  <c r="BF80" i="15" s="1"/>
  <c r="AU80" i="15"/>
  <c r="AT80" i="15"/>
  <c r="AR80" i="15"/>
  <c r="AQ80" i="15"/>
  <c r="AP80" i="15"/>
  <c r="AO80" i="15"/>
  <c r="AN80" i="15"/>
  <c r="AM80" i="15"/>
  <c r="AK80" i="15"/>
  <c r="CD80" i="15" s="1"/>
  <c r="AS80" i="15"/>
  <c r="CP80" i="15"/>
  <c r="AA80" i="22" s="1"/>
  <c r="BH79" i="15"/>
  <c r="BP79" i="15" s="1"/>
  <c r="BE79" i="15"/>
  <c r="BF79" i="15" s="1"/>
  <c r="AU79" i="15"/>
  <c r="AS79" i="15"/>
  <c r="AR79" i="15"/>
  <c r="AQ79" i="15"/>
  <c r="AP79" i="15"/>
  <c r="AO79" i="15"/>
  <c r="AN79" i="15"/>
  <c r="AM79" i="15"/>
  <c r="AK79" i="15"/>
  <c r="CD79" i="15" s="1"/>
  <c r="AT79" i="15"/>
  <c r="BH78" i="15"/>
  <c r="BI78" i="15" s="1"/>
  <c r="BQ78" i="15" s="1"/>
  <c r="BE78" i="15"/>
  <c r="BF78" i="15" s="1"/>
  <c r="AU78" i="15"/>
  <c r="AR78" i="15"/>
  <c r="AQ78" i="15"/>
  <c r="AP78" i="15"/>
  <c r="AO78" i="15"/>
  <c r="AN78" i="15"/>
  <c r="AM78" i="15"/>
  <c r="CP78" i="15"/>
  <c r="AA78" i="22" s="1"/>
  <c r="BH77" i="15"/>
  <c r="BP77" i="15" s="1"/>
  <c r="BE77" i="15"/>
  <c r="BM77" i="15" s="1"/>
  <c r="CP77" i="15"/>
  <c r="AA77" i="22" s="1"/>
  <c r="AU77" i="15"/>
  <c r="AT77" i="15"/>
  <c r="AR77" i="15"/>
  <c r="AQ77" i="15"/>
  <c r="AP77" i="15"/>
  <c r="AO77" i="15"/>
  <c r="AN77" i="15"/>
  <c r="AM77" i="15"/>
  <c r="AK77" i="15"/>
  <c r="CD77" i="15" s="1"/>
  <c r="BH76" i="15"/>
  <c r="BP76" i="15" s="1"/>
  <c r="BE76" i="15"/>
  <c r="BF76" i="15" s="1"/>
  <c r="BG76" i="15" s="1"/>
  <c r="BO76" i="15" s="1"/>
  <c r="AU76" i="15"/>
  <c r="AT76" i="15"/>
  <c r="AR76" i="15"/>
  <c r="AQ76" i="15"/>
  <c r="AP76" i="15"/>
  <c r="AO76" i="15"/>
  <c r="AN76" i="15"/>
  <c r="AM76" i="15"/>
  <c r="CP76" i="15"/>
  <c r="AA76" i="22" s="1"/>
  <c r="AS76" i="15"/>
  <c r="BH75" i="15"/>
  <c r="BP75" i="15" s="1"/>
  <c r="BE75" i="15"/>
  <c r="BM75" i="15" s="1"/>
  <c r="AU75" i="15"/>
  <c r="AR75" i="15"/>
  <c r="AQ75" i="15"/>
  <c r="AP75" i="15"/>
  <c r="AO75" i="15"/>
  <c r="AN75" i="15"/>
  <c r="AM75" i="15"/>
  <c r="AK75" i="15"/>
  <c r="CD75" i="15" s="1"/>
  <c r="AT75" i="15"/>
  <c r="AS75" i="15"/>
  <c r="BH74" i="15"/>
  <c r="BP74" i="15" s="1"/>
  <c r="BE74" i="15"/>
  <c r="BM74" i="15" s="1"/>
  <c r="AU74" i="15"/>
  <c r="AT74" i="15"/>
  <c r="AR74" i="15"/>
  <c r="AQ74" i="15"/>
  <c r="AP74" i="15"/>
  <c r="AO74" i="15"/>
  <c r="AN74" i="15"/>
  <c r="AM74" i="15"/>
  <c r="CP74" i="15"/>
  <c r="AA74" i="22" s="1"/>
  <c r="AK74" i="15"/>
  <c r="CD74" i="15" s="1"/>
  <c r="AS74" i="15"/>
  <c r="BH73" i="15"/>
  <c r="BP73" i="15" s="1"/>
  <c r="BE73" i="15"/>
  <c r="BF73" i="15" s="1"/>
  <c r="AU73" i="15"/>
  <c r="AS73" i="15"/>
  <c r="AR73" i="15"/>
  <c r="AQ73" i="15"/>
  <c r="AP73" i="15"/>
  <c r="AO73" i="15"/>
  <c r="AN73" i="15"/>
  <c r="AM73" i="15"/>
  <c r="AK73" i="15"/>
  <c r="CD73" i="15" s="1"/>
  <c r="AT73" i="15"/>
  <c r="BH72" i="15"/>
  <c r="BP72" i="15" s="1"/>
  <c r="BE72" i="15"/>
  <c r="BM72" i="15" s="1"/>
  <c r="AU72" i="15"/>
  <c r="AT72" i="15"/>
  <c r="AR72" i="15"/>
  <c r="AQ72" i="15"/>
  <c r="AP72" i="15"/>
  <c r="AO72" i="15"/>
  <c r="AN72" i="15"/>
  <c r="AM72" i="15"/>
  <c r="AK72" i="15"/>
  <c r="CP72" i="15"/>
  <c r="AA72" i="22" s="1"/>
  <c r="AS72" i="15"/>
  <c r="BH71" i="15"/>
  <c r="BI71" i="15" s="1"/>
  <c r="BE71" i="15"/>
  <c r="BF71" i="15" s="1"/>
  <c r="AU71" i="15"/>
  <c r="AS71" i="15"/>
  <c r="AR71" i="15"/>
  <c r="AQ71" i="15"/>
  <c r="AP71" i="15"/>
  <c r="AO71" i="15"/>
  <c r="AN71" i="15"/>
  <c r="AM71" i="15"/>
  <c r="AT71" i="15"/>
  <c r="AK71" i="15"/>
  <c r="BH70" i="15"/>
  <c r="BP70" i="15" s="1"/>
  <c r="BE70" i="15"/>
  <c r="BM70" i="15" s="1"/>
  <c r="AU70" i="15"/>
  <c r="AT70" i="15"/>
  <c r="AR70" i="15"/>
  <c r="AQ70" i="15"/>
  <c r="AP70" i="15"/>
  <c r="AO70" i="15"/>
  <c r="AN70" i="15"/>
  <c r="AM70" i="15"/>
  <c r="AS70" i="15"/>
  <c r="CP70" i="15"/>
  <c r="AA70" i="22" s="1"/>
  <c r="BH69" i="15"/>
  <c r="BP69" i="15" s="1"/>
  <c r="BE69" i="15"/>
  <c r="BM69" i="15" s="1"/>
  <c r="CP69" i="15"/>
  <c r="AA69" i="22" s="1"/>
  <c r="AU69" i="15"/>
  <c r="AS69" i="15"/>
  <c r="AR69" i="15"/>
  <c r="AQ69" i="15"/>
  <c r="AP69" i="15"/>
  <c r="AO69" i="15"/>
  <c r="AN69" i="15"/>
  <c r="AM69" i="15"/>
  <c r="AK69" i="15"/>
  <c r="AT69" i="15"/>
  <c r="BH68" i="15"/>
  <c r="BI68" i="15" s="1"/>
  <c r="BQ68" i="15" s="1"/>
  <c r="BE68" i="15"/>
  <c r="BF68" i="15" s="1"/>
  <c r="AU68" i="15"/>
  <c r="AR68" i="15"/>
  <c r="AQ68" i="15"/>
  <c r="AP68" i="15"/>
  <c r="AO68" i="15"/>
  <c r="AN68" i="15"/>
  <c r="AM68" i="15"/>
  <c r="CP68" i="15"/>
  <c r="AA68" i="22" s="1"/>
  <c r="AK68" i="15"/>
  <c r="AT68" i="15"/>
  <c r="AS68" i="15"/>
  <c r="BH67" i="15"/>
  <c r="BP67" i="15" s="1"/>
  <c r="BE67" i="15"/>
  <c r="BM67" i="15" s="1"/>
  <c r="AU67" i="15"/>
  <c r="AR67" i="15"/>
  <c r="AQ67" i="15"/>
  <c r="AP67" i="15"/>
  <c r="AO67" i="15"/>
  <c r="AN67" i="15"/>
  <c r="AM67" i="15"/>
  <c r="AK67" i="15"/>
  <c r="AS67" i="15"/>
  <c r="BH66" i="15"/>
  <c r="BI66" i="15" s="1"/>
  <c r="BE66" i="15"/>
  <c r="BM66" i="15" s="1"/>
  <c r="AU66" i="15"/>
  <c r="AT66" i="15"/>
  <c r="AR66" i="15"/>
  <c r="AQ66" i="15"/>
  <c r="AP66" i="15"/>
  <c r="AO66" i="15"/>
  <c r="AN66" i="15"/>
  <c r="AM66" i="15"/>
  <c r="AK66" i="15"/>
  <c r="CD66" i="15" s="1"/>
  <c r="CP66" i="15"/>
  <c r="AA66" i="22" s="1"/>
  <c r="BH65" i="15"/>
  <c r="BP65" i="15" s="1"/>
  <c r="BE65" i="15"/>
  <c r="BF65" i="15" s="1"/>
  <c r="BN65" i="15" s="1"/>
  <c r="AU65" i="15"/>
  <c r="AS65" i="15"/>
  <c r="AR65" i="15"/>
  <c r="AQ65" i="15"/>
  <c r="AP65" i="15"/>
  <c r="AO65" i="15"/>
  <c r="AN65" i="15"/>
  <c r="AM65" i="15"/>
  <c r="AK65" i="15"/>
  <c r="CD65" i="15" s="1"/>
  <c r="AT65" i="15"/>
  <c r="BH64" i="15"/>
  <c r="BI64" i="15" s="1"/>
  <c r="BE64" i="15"/>
  <c r="BM64" i="15" s="1"/>
  <c r="AU64" i="15"/>
  <c r="AT64" i="15"/>
  <c r="AR64" i="15"/>
  <c r="AQ64" i="15"/>
  <c r="AP64" i="15"/>
  <c r="AO64" i="15"/>
  <c r="AN64" i="15"/>
  <c r="AM64" i="15"/>
  <c r="AK64" i="15"/>
  <c r="CD64" i="15" s="1"/>
  <c r="CP64" i="15"/>
  <c r="AA64" i="22" s="1"/>
  <c r="AS64" i="15"/>
  <c r="BH63" i="15"/>
  <c r="BI63" i="15" s="1"/>
  <c r="BE63" i="15"/>
  <c r="BF63" i="15" s="1"/>
  <c r="BN63" i="15" s="1"/>
  <c r="CP63" i="15"/>
  <c r="AA63" i="22" s="1"/>
  <c r="AU63" i="15"/>
  <c r="AS63" i="15"/>
  <c r="AR63" i="15"/>
  <c r="AQ63" i="15"/>
  <c r="AP63" i="15"/>
  <c r="AO63" i="15"/>
  <c r="AN63" i="15"/>
  <c r="AM63" i="15"/>
  <c r="BH62" i="15"/>
  <c r="BP62" i="15" s="1"/>
  <c r="BE62" i="15"/>
  <c r="BM62" i="15" s="1"/>
  <c r="AU62" i="15"/>
  <c r="AR62" i="15"/>
  <c r="AQ62" i="15"/>
  <c r="AP62" i="15"/>
  <c r="AO62" i="15"/>
  <c r="AN62" i="15"/>
  <c r="AM62" i="15"/>
  <c r="CP62" i="15"/>
  <c r="AA62" i="22" s="1"/>
  <c r="AS62" i="15"/>
  <c r="BH61" i="15"/>
  <c r="BP61" i="15" s="1"/>
  <c r="BE61" i="15"/>
  <c r="BM61" i="15" s="1"/>
  <c r="AU61" i="15"/>
  <c r="AR61" i="15"/>
  <c r="AQ61" i="15"/>
  <c r="AP61" i="15"/>
  <c r="AO61" i="15"/>
  <c r="AN61" i="15"/>
  <c r="AM61" i="15"/>
  <c r="AS61" i="15"/>
  <c r="AT61" i="15"/>
  <c r="BH60" i="15"/>
  <c r="BI60" i="15" s="1"/>
  <c r="BE60" i="15"/>
  <c r="BM60" i="15" s="1"/>
  <c r="AU60" i="15"/>
  <c r="AT60" i="15"/>
  <c r="AR60" i="15"/>
  <c r="AQ60" i="15"/>
  <c r="AP60" i="15"/>
  <c r="AO60" i="15"/>
  <c r="AN60" i="15"/>
  <c r="AM60" i="15"/>
  <c r="AK60" i="15"/>
  <c r="CD60" i="15" s="1"/>
  <c r="AS60" i="15"/>
  <c r="BH59" i="15"/>
  <c r="BP59" i="15" s="1"/>
  <c r="BE59" i="15"/>
  <c r="BF59" i="15" s="1"/>
  <c r="AU59" i="15"/>
  <c r="AT59" i="15"/>
  <c r="AS59" i="15"/>
  <c r="AR59" i="15"/>
  <c r="AQ59" i="15"/>
  <c r="AP59" i="15"/>
  <c r="AO59" i="15"/>
  <c r="AN59" i="15"/>
  <c r="AM59" i="15"/>
  <c r="CP59" i="15"/>
  <c r="AA59" i="22" s="1"/>
  <c r="AK59" i="15"/>
  <c r="CD59" i="15" s="1"/>
  <c r="BH58" i="15"/>
  <c r="BP58" i="15" s="1"/>
  <c r="BE58" i="15"/>
  <c r="BF58" i="15" s="1"/>
  <c r="AU58" i="15"/>
  <c r="AT58" i="15"/>
  <c r="AS58" i="15"/>
  <c r="AR58" i="15"/>
  <c r="AQ58" i="15"/>
  <c r="AP58" i="15"/>
  <c r="AO58" i="15"/>
  <c r="AN58" i="15"/>
  <c r="AM58" i="15"/>
  <c r="AK58" i="15"/>
  <c r="CD58" i="15" s="1"/>
  <c r="CP58" i="15"/>
  <c r="AA58" i="22" s="1"/>
  <c r="BH57" i="15"/>
  <c r="BI57" i="15" s="1"/>
  <c r="BE57" i="15"/>
  <c r="BF57" i="15" s="1"/>
  <c r="AU57" i="15"/>
  <c r="AS57" i="15"/>
  <c r="AR57" i="15"/>
  <c r="AQ57" i="15"/>
  <c r="AP57" i="15"/>
  <c r="AO57" i="15"/>
  <c r="AN57" i="15"/>
  <c r="AM57" i="15"/>
  <c r="AK57" i="15"/>
  <c r="CD57" i="15" s="1"/>
  <c r="AT57" i="15"/>
  <c r="BH56" i="15"/>
  <c r="BI56" i="15" s="1"/>
  <c r="BE56" i="15"/>
  <c r="BM56" i="15" s="1"/>
  <c r="AU56" i="15"/>
  <c r="AR56" i="15"/>
  <c r="AQ56" i="15"/>
  <c r="AP56" i="15"/>
  <c r="AO56" i="15"/>
  <c r="AN56" i="15"/>
  <c r="AM56" i="15"/>
  <c r="AT56" i="15"/>
  <c r="AS56" i="15"/>
  <c r="BH55" i="15"/>
  <c r="BP55" i="15" s="1"/>
  <c r="BE55" i="15"/>
  <c r="BM55" i="15" s="1"/>
  <c r="AU55" i="15"/>
  <c r="AR55" i="15"/>
  <c r="AQ55" i="15"/>
  <c r="AP55" i="15"/>
  <c r="AO55" i="15"/>
  <c r="AN55" i="15"/>
  <c r="AM55" i="15"/>
  <c r="BH54" i="15"/>
  <c r="BP54" i="15" s="1"/>
  <c r="BE54" i="15"/>
  <c r="BM54" i="15" s="1"/>
  <c r="AU54" i="15"/>
  <c r="AR54" i="15"/>
  <c r="AQ54" i="15"/>
  <c r="AP54" i="15"/>
  <c r="AO54" i="15"/>
  <c r="AN54" i="15"/>
  <c r="AM54" i="15"/>
  <c r="AK54" i="15"/>
  <c r="CD54" i="15" s="1"/>
  <c r="BH53" i="15"/>
  <c r="BP53" i="15" s="1"/>
  <c r="BE53" i="15"/>
  <c r="BF53" i="15" s="1"/>
  <c r="BN53" i="15" s="1"/>
  <c r="AU53" i="15"/>
  <c r="AR53" i="15"/>
  <c r="AQ53" i="15"/>
  <c r="AP53" i="15"/>
  <c r="AO53" i="15"/>
  <c r="AN53" i="15"/>
  <c r="AM53" i="15"/>
  <c r="AK53" i="15"/>
  <c r="CD53" i="15" s="1"/>
  <c r="BH52" i="15"/>
  <c r="BI52" i="15" s="1"/>
  <c r="BE52" i="15"/>
  <c r="BM52" i="15" s="1"/>
  <c r="AU52" i="15"/>
  <c r="AT52" i="15"/>
  <c r="AR52" i="15"/>
  <c r="AQ52" i="15"/>
  <c r="AP52" i="15"/>
  <c r="AO52" i="15"/>
  <c r="AN52" i="15"/>
  <c r="AM52" i="15"/>
  <c r="AK52" i="15"/>
  <c r="CP52" i="15"/>
  <c r="AA52" i="22" s="1"/>
  <c r="BH51" i="15"/>
  <c r="BP51" i="15" s="1"/>
  <c r="BE51" i="15"/>
  <c r="BM51" i="15" s="1"/>
  <c r="AU51" i="15"/>
  <c r="AT51" i="15"/>
  <c r="AS51" i="15"/>
  <c r="AR51" i="15"/>
  <c r="AQ51" i="15"/>
  <c r="AP51" i="15"/>
  <c r="AO51" i="15"/>
  <c r="AN51" i="15"/>
  <c r="AM51" i="15"/>
  <c r="BH50" i="15"/>
  <c r="BP50" i="15" s="1"/>
  <c r="BE50" i="15"/>
  <c r="BM50" i="15" s="1"/>
  <c r="AU50" i="15"/>
  <c r="AT50" i="15"/>
  <c r="AS50" i="15"/>
  <c r="AR50" i="15"/>
  <c r="AQ50" i="15"/>
  <c r="AP50" i="15"/>
  <c r="AO50" i="15"/>
  <c r="AN50" i="15"/>
  <c r="AM50" i="15"/>
  <c r="AK50" i="15"/>
  <c r="CD50" i="15" s="1"/>
  <c r="CP50" i="15"/>
  <c r="AA50" i="22" s="1"/>
  <c r="BH49" i="15"/>
  <c r="BP49" i="15" s="1"/>
  <c r="BE49" i="15"/>
  <c r="BF49" i="15" s="1"/>
  <c r="AU49" i="15"/>
  <c r="AR49" i="15"/>
  <c r="AQ49" i="15"/>
  <c r="AP49" i="15"/>
  <c r="AO49" i="15"/>
  <c r="AN49" i="15"/>
  <c r="AM49" i="15"/>
  <c r="AK49" i="15"/>
  <c r="CD49" i="15" s="1"/>
  <c r="CP49" i="15"/>
  <c r="AA49" i="22" s="1"/>
  <c r="AS49" i="15"/>
  <c r="BH48" i="15"/>
  <c r="BI48" i="15" s="1"/>
  <c r="BQ48" i="15" s="1"/>
  <c r="BE48" i="15"/>
  <c r="BF48" i="15" s="1"/>
  <c r="BN48" i="15" s="1"/>
  <c r="CP48" i="15"/>
  <c r="AA48" i="22" s="1"/>
  <c r="AU48" i="15"/>
  <c r="AR48" i="15"/>
  <c r="AQ48" i="15"/>
  <c r="AP48" i="15"/>
  <c r="AO48" i="15"/>
  <c r="AN48" i="15"/>
  <c r="AM48" i="15"/>
  <c r="AK48" i="15"/>
  <c r="CD48" i="15" s="1"/>
  <c r="BH47" i="15"/>
  <c r="BP47" i="15" s="1"/>
  <c r="BE47" i="15"/>
  <c r="BM47" i="15" s="1"/>
  <c r="AU47" i="15"/>
  <c r="AT47" i="15"/>
  <c r="AR47" i="15"/>
  <c r="AQ47" i="15"/>
  <c r="AP47" i="15"/>
  <c r="AO47" i="15"/>
  <c r="AN47" i="15"/>
  <c r="AM47" i="15"/>
  <c r="AK47" i="15"/>
  <c r="CD47" i="15" s="1"/>
  <c r="CP47" i="15"/>
  <c r="AA47" i="22" s="1"/>
  <c r="AS47" i="15"/>
  <c r="BH46" i="15"/>
  <c r="BI46" i="15" s="1"/>
  <c r="BE46" i="15"/>
  <c r="BM46" i="15" s="1"/>
  <c r="AU46" i="15"/>
  <c r="AT46" i="15"/>
  <c r="AR46" i="15"/>
  <c r="AQ46" i="15"/>
  <c r="AP46" i="15"/>
  <c r="AO46" i="15"/>
  <c r="AN46" i="15"/>
  <c r="AM46" i="15"/>
  <c r="AK46" i="15"/>
  <c r="CD46" i="15" s="1"/>
  <c r="CP46" i="15"/>
  <c r="AA46" i="22" s="1"/>
  <c r="BH45" i="15"/>
  <c r="BP45" i="15" s="1"/>
  <c r="BE45" i="15"/>
  <c r="BF45" i="15" s="1"/>
  <c r="AU45" i="15"/>
  <c r="AS45" i="15"/>
  <c r="AR45" i="15"/>
  <c r="AQ45" i="15"/>
  <c r="AP45" i="15"/>
  <c r="AO45" i="15"/>
  <c r="AN45" i="15"/>
  <c r="AM45" i="15"/>
  <c r="AK45" i="15"/>
  <c r="CD45" i="15" s="1"/>
  <c r="AT45" i="15"/>
  <c r="BH44" i="15"/>
  <c r="BI44" i="15" s="1"/>
  <c r="BE44" i="15"/>
  <c r="BM44" i="15" s="1"/>
  <c r="AU44" i="15"/>
  <c r="AT44" i="15"/>
  <c r="AR44" i="15"/>
  <c r="AQ44" i="15"/>
  <c r="AP44" i="15"/>
  <c r="AO44" i="15"/>
  <c r="AN44" i="15"/>
  <c r="AM44" i="15"/>
  <c r="CP44" i="15"/>
  <c r="AA44" i="22" s="1"/>
  <c r="AK44" i="15"/>
  <c r="CD44" i="15" s="1"/>
  <c r="AS44" i="15"/>
  <c r="BH43" i="15"/>
  <c r="BP43" i="15" s="1"/>
  <c r="BE43" i="15"/>
  <c r="BF43" i="15" s="1"/>
  <c r="AU43" i="15"/>
  <c r="AS43" i="15"/>
  <c r="AR43" i="15"/>
  <c r="AQ43" i="15"/>
  <c r="AP43" i="15"/>
  <c r="AO43" i="15"/>
  <c r="AN43" i="15"/>
  <c r="AM43" i="15"/>
  <c r="J140" i="15"/>
  <c r="BH42" i="15"/>
  <c r="BE42" i="15"/>
  <c r="BM42" i="15" s="1"/>
  <c r="AU42" i="15"/>
  <c r="AT42" i="15"/>
  <c r="AR42" i="15"/>
  <c r="AQ42" i="15"/>
  <c r="AP42" i="15"/>
  <c r="AO42" i="15"/>
  <c r="AN42" i="15"/>
  <c r="AM42" i="15"/>
  <c r="AK42" i="15"/>
  <c r="CD42" i="15" s="1"/>
  <c r="CP42" i="15"/>
  <c r="AA42" i="22" s="1"/>
  <c r="BH41" i="15"/>
  <c r="BP41" i="15" s="1"/>
  <c r="BE41" i="15"/>
  <c r="BF41" i="15" s="1"/>
  <c r="BN41" i="15" s="1"/>
  <c r="CP41" i="15"/>
  <c r="AA41" i="22" s="1"/>
  <c r="AU41" i="15"/>
  <c r="AS41" i="15"/>
  <c r="AR41" i="15"/>
  <c r="AQ41" i="15"/>
  <c r="AP41" i="15"/>
  <c r="AO41" i="15"/>
  <c r="AN41" i="15"/>
  <c r="AM41" i="15"/>
  <c r="AK41" i="15"/>
  <c r="CD41" i="15" s="1"/>
  <c r="BH40" i="15"/>
  <c r="BE40" i="15"/>
  <c r="BM40" i="15" s="1"/>
  <c r="AU40" i="15"/>
  <c r="AT40" i="15"/>
  <c r="AR40" i="15"/>
  <c r="AQ40" i="15"/>
  <c r="AP40" i="15"/>
  <c r="AO40" i="15"/>
  <c r="AN40" i="15"/>
  <c r="AM40" i="15"/>
  <c r="CP40" i="15"/>
  <c r="AA40" i="22" s="1"/>
  <c r="AK40" i="15"/>
  <c r="CD40" i="15" s="1"/>
  <c r="AS40" i="15"/>
  <c r="BH39" i="15"/>
  <c r="BP39" i="15" s="1"/>
  <c r="BE39" i="15"/>
  <c r="BF39" i="15" s="1"/>
  <c r="AU39" i="15"/>
  <c r="AS39" i="15"/>
  <c r="AR39" i="15"/>
  <c r="AQ39" i="15"/>
  <c r="AP39" i="15"/>
  <c r="AO39" i="15"/>
  <c r="AN39" i="15"/>
  <c r="AM39" i="15"/>
  <c r="AK39" i="15"/>
  <c r="CD39" i="15" s="1"/>
  <c r="BH38" i="15"/>
  <c r="BE38" i="15"/>
  <c r="BM38" i="15" s="1"/>
  <c r="AU38" i="15"/>
  <c r="AT38" i="15"/>
  <c r="AR38" i="15"/>
  <c r="AQ38" i="15"/>
  <c r="AP38" i="15"/>
  <c r="AO38" i="15"/>
  <c r="AN38" i="15"/>
  <c r="AM38" i="15"/>
  <c r="AK38" i="15"/>
  <c r="CD38" i="15" s="1"/>
  <c r="CP38" i="15"/>
  <c r="AA38" i="22" s="1"/>
  <c r="BH37" i="15"/>
  <c r="BP37" i="15" s="1"/>
  <c r="BE37" i="15"/>
  <c r="BF37" i="15" s="1"/>
  <c r="BN37" i="15" s="1"/>
  <c r="CP37" i="15"/>
  <c r="AA37" i="22" s="1"/>
  <c r="AU37" i="15"/>
  <c r="AS37" i="15"/>
  <c r="AR37" i="15"/>
  <c r="AQ37" i="15"/>
  <c r="AP37" i="15"/>
  <c r="AO37" i="15"/>
  <c r="AN37" i="15"/>
  <c r="AM37" i="15"/>
  <c r="AK37" i="15"/>
  <c r="CD37" i="15" s="1"/>
  <c r="AT37" i="15"/>
  <c r="BH36" i="15"/>
  <c r="BE36" i="15"/>
  <c r="BM36" i="15" s="1"/>
  <c r="AU36" i="15"/>
  <c r="AT36" i="15"/>
  <c r="AR36" i="15"/>
  <c r="AQ36" i="15"/>
  <c r="AP36" i="15"/>
  <c r="AO36" i="15"/>
  <c r="AN36" i="15"/>
  <c r="AM36" i="15"/>
  <c r="CP36" i="15"/>
  <c r="AA36" i="22" s="1"/>
  <c r="AK36" i="15"/>
  <c r="CD36" i="15" s="1"/>
  <c r="BH35" i="15"/>
  <c r="BP35" i="15" s="1"/>
  <c r="BE35" i="15"/>
  <c r="BF35" i="15" s="1"/>
  <c r="CP35" i="15"/>
  <c r="AA35" i="22" s="1"/>
  <c r="AU35" i="15"/>
  <c r="AS35" i="15"/>
  <c r="AR35" i="15"/>
  <c r="AQ35" i="15"/>
  <c r="AP35" i="15"/>
  <c r="AO35" i="15"/>
  <c r="AN35" i="15"/>
  <c r="AM35" i="15"/>
  <c r="AK35" i="15"/>
  <c r="CD35" i="15" s="1"/>
  <c r="BH34" i="15"/>
  <c r="BE34" i="15"/>
  <c r="BM34" i="15" s="1"/>
  <c r="AU34" i="15"/>
  <c r="AT34" i="15"/>
  <c r="AR34" i="15"/>
  <c r="AQ34" i="15"/>
  <c r="AP34" i="15"/>
  <c r="AO34" i="15"/>
  <c r="AN34" i="15"/>
  <c r="AM34" i="15"/>
  <c r="AK34" i="15"/>
  <c r="CD34" i="15" s="1"/>
  <c r="BH33" i="15"/>
  <c r="BP33" i="15" s="1"/>
  <c r="BE33" i="15"/>
  <c r="BF33" i="15" s="1"/>
  <c r="AU33" i="15"/>
  <c r="AS33" i="15"/>
  <c r="AR33" i="15"/>
  <c r="AQ33" i="15"/>
  <c r="AP33" i="15"/>
  <c r="AO33" i="15"/>
  <c r="AN33" i="15"/>
  <c r="AM33" i="15"/>
  <c r="AK33" i="15"/>
  <c r="CP33" i="15"/>
  <c r="AA33" i="22" s="1"/>
  <c r="BH32" i="15"/>
  <c r="BI32" i="15" s="1"/>
  <c r="BE32" i="15"/>
  <c r="BM32" i="15" s="1"/>
  <c r="AU32" i="15"/>
  <c r="AR32" i="15"/>
  <c r="AQ32" i="15"/>
  <c r="AP32" i="15"/>
  <c r="AO32" i="15"/>
  <c r="AN32" i="15"/>
  <c r="AM32" i="15"/>
  <c r="AK32" i="15"/>
  <c r="CP32" i="15"/>
  <c r="AA32" i="22" s="1"/>
  <c r="BH31" i="15"/>
  <c r="BP31" i="15" s="1"/>
  <c r="BE31" i="15"/>
  <c r="BF31" i="15" s="1"/>
  <c r="AU31" i="15"/>
  <c r="AR31" i="15"/>
  <c r="AQ31" i="15"/>
  <c r="AP31" i="15"/>
  <c r="AO31" i="15"/>
  <c r="AN31" i="15"/>
  <c r="AM31" i="15"/>
  <c r="CP31" i="15"/>
  <c r="AA31" i="22" s="1"/>
  <c r="AT31" i="15"/>
  <c r="BH30" i="15"/>
  <c r="BP30" i="15" s="1"/>
  <c r="BE30" i="15"/>
  <c r="BM30" i="15" s="1"/>
  <c r="AU30" i="15"/>
  <c r="AR30" i="15"/>
  <c r="AQ30" i="15"/>
  <c r="AP30" i="15"/>
  <c r="AO30" i="15"/>
  <c r="AN30" i="15"/>
  <c r="AM30" i="15"/>
  <c r="AK30" i="15"/>
  <c r="AT30" i="15"/>
  <c r="AS30" i="15"/>
  <c r="BH29" i="15"/>
  <c r="BP29" i="15" s="1"/>
  <c r="BE29" i="15"/>
  <c r="BF29" i="15" s="1"/>
  <c r="AU29" i="15"/>
  <c r="AR29" i="15"/>
  <c r="AQ29" i="15"/>
  <c r="AP29" i="15"/>
  <c r="AO29" i="15"/>
  <c r="AN29" i="15"/>
  <c r="AM29" i="15"/>
  <c r="AK29" i="15"/>
  <c r="AT29" i="15"/>
  <c r="AS29" i="15"/>
  <c r="BH28" i="15"/>
  <c r="BI28" i="15" s="1"/>
  <c r="BE28" i="15"/>
  <c r="BM28" i="15" s="1"/>
  <c r="AU28" i="15"/>
  <c r="AT28" i="15"/>
  <c r="AR28" i="15"/>
  <c r="AQ28" i="15"/>
  <c r="AP28" i="15"/>
  <c r="AO28" i="15"/>
  <c r="AN28" i="15"/>
  <c r="AM28" i="15"/>
  <c r="CP28" i="15"/>
  <c r="AA28" i="22" s="1"/>
  <c r="AK28" i="15"/>
  <c r="AS28" i="15"/>
  <c r="BH27" i="15"/>
  <c r="BP27" i="15" s="1"/>
  <c r="BE27" i="15"/>
  <c r="BM27" i="15" s="1"/>
  <c r="AU27" i="15"/>
  <c r="AS27" i="15"/>
  <c r="AR27" i="15"/>
  <c r="AQ27" i="15"/>
  <c r="AP27" i="15"/>
  <c r="AO27" i="15"/>
  <c r="AN27" i="15"/>
  <c r="AM27" i="15"/>
  <c r="BH26" i="15"/>
  <c r="BI26" i="15" s="1"/>
  <c r="BE26" i="15"/>
  <c r="BM26" i="15" s="1"/>
  <c r="AU26" i="15"/>
  <c r="AT26" i="15"/>
  <c r="AR26" i="15"/>
  <c r="AQ26" i="15"/>
  <c r="AP26" i="15"/>
  <c r="AO26" i="15"/>
  <c r="AN26" i="15"/>
  <c r="AM26" i="15"/>
  <c r="AK26" i="15"/>
  <c r="CP26" i="15"/>
  <c r="AA26" i="22" s="1"/>
  <c r="AS26" i="15"/>
  <c r="BH25" i="15"/>
  <c r="BP25" i="15" s="1"/>
  <c r="BE25" i="15"/>
  <c r="BF25" i="15" s="1"/>
  <c r="AU25" i="15"/>
  <c r="AS25" i="15"/>
  <c r="AR25" i="15"/>
  <c r="AQ25" i="15"/>
  <c r="AP25" i="15"/>
  <c r="AO25" i="15"/>
  <c r="AN25" i="15"/>
  <c r="AM25" i="15"/>
  <c r="AK25" i="15"/>
  <c r="CP25" i="15"/>
  <c r="AA25" i="22" s="1"/>
  <c r="BH24" i="15"/>
  <c r="BI24" i="15" s="1"/>
  <c r="BE24" i="15"/>
  <c r="BM24" i="15" s="1"/>
  <c r="AU24" i="15"/>
  <c r="AT24" i="15"/>
  <c r="AR24" i="15"/>
  <c r="AQ24" i="15"/>
  <c r="AP24" i="15"/>
  <c r="AO24" i="15"/>
  <c r="AN24" i="15"/>
  <c r="AM24" i="15"/>
  <c r="AK24" i="15"/>
  <c r="CP24" i="15"/>
  <c r="AA24" i="22" s="1"/>
  <c r="BH23" i="15"/>
  <c r="BP23" i="15" s="1"/>
  <c r="BE23" i="15"/>
  <c r="BF23" i="15" s="1"/>
  <c r="AU23" i="15"/>
  <c r="AS23" i="15"/>
  <c r="AR23" i="15"/>
  <c r="AQ23" i="15"/>
  <c r="AP23" i="15"/>
  <c r="AO23" i="15"/>
  <c r="AN23" i="15"/>
  <c r="AM23" i="15"/>
  <c r="CP23" i="15"/>
  <c r="AA23" i="22" s="1"/>
  <c r="AT23" i="15"/>
  <c r="BH22" i="15"/>
  <c r="BP22" i="15" s="1"/>
  <c r="BE22" i="15"/>
  <c r="BM22" i="15" s="1"/>
  <c r="AU22" i="15"/>
  <c r="AR22" i="15"/>
  <c r="AQ22" i="15"/>
  <c r="AP22" i="15"/>
  <c r="AO22" i="15"/>
  <c r="AN22" i="15"/>
  <c r="AM22" i="15"/>
  <c r="AK22" i="15"/>
  <c r="AT22" i="15"/>
  <c r="AS22" i="15"/>
  <c r="BH21" i="15"/>
  <c r="BP21" i="15" s="1"/>
  <c r="BE21" i="15"/>
  <c r="BF21" i="15" s="1"/>
  <c r="AU21" i="15"/>
  <c r="AR21" i="15"/>
  <c r="AQ21" i="15"/>
  <c r="AP21" i="15"/>
  <c r="AO21" i="15"/>
  <c r="AN21" i="15"/>
  <c r="AM21" i="15"/>
  <c r="AK21" i="15"/>
  <c r="AT21" i="15"/>
  <c r="AS21" i="15"/>
  <c r="BH20" i="15"/>
  <c r="BI20" i="15" s="1"/>
  <c r="BE20" i="15"/>
  <c r="BM20" i="15" s="1"/>
  <c r="AU20" i="15"/>
  <c r="AR20" i="15"/>
  <c r="AQ20" i="15"/>
  <c r="AP20" i="15"/>
  <c r="AO20" i="15"/>
  <c r="AN20" i="15"/>
  <c r="AM20" i="15"/>
  <c r="AT20" i="15"/>
  <c r="AK20" i="15"/>
  <c r="AS20" i="15"/>
  <c r="BH19" i="15"/>
  <c r="BP19" i="15" s="1"/>
  <c r="BE19" i="15"/>
  <c r="BM19" i="15" s="1"/>
  <c r="AU19" i="15"/>
  <c r="AR19" i="15"/>
  <c r="AQ19" i="15"/>
  <c r="AP19" i="15"/>
  <c r="AO19" i="15"/>
  <c r="AN19" i="15"/>
  <c r="AM19" i="15"/>
  <c r="AS19" i="15"/>
  <c r="AT19" i="15"/>
  <c r="BH18" i="15"/>
  <c r="BI18" i="15" s="1"/>
  <c r="BE18" i="15"/>
  <c r="BM18" i="15" s="1"/>
  <c r="AU18" i="15"/>
  <c r="AT18" i="15"/>
  <c r="AR18" i="15"/>
  <c r="AQ18" i="15"/>
  <c r="AP18" i="15"/>
  <c r="AO18" i="15"/>
  <c r="AN18" i="15"/>
  <c r="AM18" i="15"/>
  <c r="AK18" i="15"/>
  <c r="CP18" i="15"/>
  <c r="AA18" i="22" s="1"/>
  <c r="AS18" i="15"/>
  <c r="BH17" i="15"/>
  <c r="BI17" i="15" s="1"/>
  <c r="BE17" i="15"/>
  <c r="BF17" i="15" s="1"/>
  <c r="AU17" i="15"/>
  <c r="AS17" i="15"/>
  <c r="AR17" i="15"/>
  <c r="AQ17" i="15"/>
  <c r="AP17" i="15"/>
  <c r="AO17" i="15"/>
  <c r="AN17" i="15"/>
  <c r="AM17" i="15"/>
  <c r="AK17" i="15"/>
  <c r="CP17" i="15"/>
  <c r="AA17" i="22" s="1"/>
  <c r="BH16" i="15"/>
  <c r="BI16" i="15" s="1"/>
  <c r="BE16" i="15"/>
  <c r="BM16" i="15" s="1"/>
  <c r="AU16" i="15"/>
  <c r="AT16" i="15"/>
  <c r="AR16" i="15"/>
  <c r="AQ16" i="15"/>
  <c r="AP16" i="15"/>
  <c r="AO16" i="15"/>
  <c r="AN16" i="15"/>
  <c r="AM16" i="15"/>
  <c r="AK16" i="15"/>
  <c r="CP16" i="15"/>
  <c r="AA16" i="22" s="1"/>
  <c r="BH15" i="15"/>
  <c r="BP15" i="15" s="1"/>
  <c r="BE15" i="15"/>
  <c r="BF15" i="15" s="1"/>
  <c r="AU15" i="15"/>
  <c r="AS15" i="15"/>
  <c r="AR15" i="15"/>
  <c r="AQ15" i="15"/>
  <c r="AP15" i="15"/>
  <c r="AO15" i="15"/>
  <c r="AN15" i="15"/>
  <c r="AM15" i="15"/>
  <c r="AT15" i="15"/>
  <c r="BH14" i="15"/>
  <c r="BP14" i="15" s="1"/>
  <c r="BE14" i="15"/>
  <c r="BF14" i="15" s="1"/>
  <c r="AU14" i="15"/>
  <c r="AR14" i="15"/>
  <c r="AQ14" i="15"/>
  <c r="AP14" i="15"/>
  <c r="AO14" i="15"/>
  <c r="AN14" i="15"/>
  <c r="AM14" i="15"/>
  <c r="AS14" i="15"/>
  <c r="AT14" i="15"/>
  <c r="BH13" i="15"/>
  <c r="BP13" i="15" s="1"/>
  <c r="BE13" i="15"/>
  <c r="BF13" i="15" s="1"/>
  <c r="AU13" i="15"/>
  <c r="AR13" i="15"/>
  <c r="AQ13" i="15"/>
  <c r="AP13" i="15"/>
  <c r="AO13" i="15"/>
  <c r="AN13" i="15"/>
  <c r="AM13" i="15"/>
  <c r="AK13" i="15"/>
  <c r="AT13" i="15"/>
  <c r="AS13" i="15"/>
  <c r="BH12" i="15"/>
  <c r="BI12" i="15" s="1"/>
  <c r="BE12" i="15"/>
  <c r="BM12" i="15" s="1"/>
  <c r="AU12" i="15"/>
  <c r="AR12" i="15"/>
  <c r="AQ12" i="15"/>
  <c r="AP12" i="15"/>
  <c r="AO12" i="15"/>
  <c r="AN12" i="15"/>
  <c r="AM12" i="15"/>
  <c r="AT12" i="15"/>
  <c r="AK12" i="15"/>
  <c r="AS12" i="15"/>
  <c r="BH11" i="15"/>
  <c r="BP11" i="15" s="1"/>
  <c r="BE11" i="15"/>
  <c r="BM11" i="15" s="1"/>
  <c r="AU11" i="15"/>
  <c r="AR11" i="15"/>
  <c r="AQ11" i="15"/>
  <c r="AP11" i="15"/>
  <c r="AO11" i="15"/>
  <c r="AN11" i="15"/>
  <c r="AM11" i="15"/>
  <c r="AS11" i="15"/>
  <c r="AT11" i="15"/>
  <c r="BH10" i="15"/>
  <c r="BI10" i="15" s="1"/>
  <c r="BE10" i="15"/>
  <c r="BM10" i="15" s="1"/>
  <c r="AU10" i="15"/>
  <c r="AT10" i="15"/>
  <c r="AR10" i="15"/>
  <c r="AQ10" i="15"/>
  <c r="AP10" i="15"/>
  <c r="AO10" i="15"/>
  <c r="AN10" i="15"/>
  <c r="AM10" i="15"/>
  <c r="AK10" i="15"/>
  <c r="AS10" i="15"/>
  <c r="BH9" i="15"/>
  <c r="BI9" i="15" s="1"/>
  <c r="BE9" i="15"/>
  <c r="BF9" i="15" s="1"/>
  <c r="AU9" i="15"/>
  <c r="AS9" i="15"/>
  <c r="AR9" i="15"/>
  <c r="AQ9" i="15"/>
  <c r="AP9" i="15"/>
  <c r="AO9" i="15"/>
  <c r="AN9" i="15"/>
  <c r="AM9" i="15"/>
  <c r="AK9" i="15"/>
  <c r="CP9" i="15"/>
  <c r="AA9" i="22" s="1"/>
  <c r="BH8" i="15"/>
  <c r="BI8" i="15" s="1"/>
  <c r="BE8" i="15"/>
  <c r="BF8" i="15" s="1"/>
  <c r="AU8" i="15"/>
  <c r="AS8" i="15"/>
  <c r="AR8" i="15"/>
  <c r="AQ8" i="15"/>
  <c r="AP8" i="15"/>
  <c r="AO8" i="15"/>
  <c r="AN8" i="15"/>
  <c r="AM8" i="15"/>
  <c r="AK8" i="15"/>
  <c r="AT8" i="15"/>
  <c r="BM7" i="15"/>
  <c r="BH7" i="15"/>
  <c r="BQ7" i="15" s="1"/>
  <c r="BE7" i="15"/>
  <c r="BN7" i="15" s="1"/>
  <c r="AU7" i="15"/>
  <c r="AS7" i="15"/>
  <c r="AR7" i="15"/>
  <c r="AQ7" i="15"/>
  <c r="AP7" i="15"/>
  <c r="AO7" i="15"/>
  <c r="AN7" i="15"/>
  <c r="AM7" i="15"/>
  <c r="AK7" i="15"/>
  <c r="CD7" i="15" s="1"/>
  <c r="AF136" i="15"/>
  <c r="AE136" i="15"/>
  <c r="AT7" i="15"/>
  <c r="AN7" i="14"/>
  <c r="AO7" i="14"/>
  <c r="AP7" i="14"/>
  <c r="AQ7" i="14"/>
  <c r="AR7" i="14"/>
  <c r="AS7" i="14"/>
  <c r="AT7" i="14"/>
  <c r="AU7" i="14"/>
  <c r="AN8" i="14"/>
  <c r="AO8" i="14"/>
  <c r="AP8" i="14"/>
  <c r="AQ8" i="14"/>
  <c r="AR8" i="14"/>
  <c r="AS8" i="14"/>
  <c r="AT8" i="14"/>
  <c r="AU8" i="14"/>
  <c r="AN9" i="14"/>
  <c r="AO9" i="14"/>
  <c r="AP9" i="14"/>
  <c r="AQ9" i="14"/>
  <c r="AR9" i="14"/>
  <c r="AS9" i="14"/>
  <c r="AT9" i="14"/>
  <c r="AU9" i="14"/>
  <c r="AN10" i="14"/>
  <c r="AO10" i="14"/>
  <c r="AP10" i="14"/>
  <c r="AQ10" i="14"/>
  <c r="AR10" i="14"/>
  <c r="AS10" i="14"/>
  <c r="AT10" i="14"/>
  <c r="AU10" i="14"/>
  <c r="AN11" i="14"/>
  <c r="AO11" i="14"/>
  <c r="AP11" i="14"/>
  <c r="AQ11" i="14"/>
  <c r="AR11" i="14"/>
  <c r="AS11" i="14"/>
  <c r="AT11" i="14"/>
  <c r="AU11" i="14"/>
  <c r="AN12" i="14"/>
  <c r="AO12" i="14"/>
  <c r="AP12" i="14"/>
  <c r="AQ12" i="14"/>
  <c r="AR12" i="14"/>
  <c r="AS12" i="14"/>
  <c r="AT12" i="14"/>
  <c r="AU12" i="14"/>
  <c r="AN13" i="14"/>
  <c r="AO13" i="14"/>
  <c r="AP13" i="14"/>
  <c r="AQ13" i="14"/>
  <c r="AR13" i="14"/>
  <c r="AS13" i="14"/>
  <c r="AT13" i="14"/>
  <c r="AU13" i="14"/>
  <c r="AN14" i="14"/>
  <c r="AO14" i="14"/>
  <c r="AP14" i="14"/>
  <c r="AQ14" i="14"/>
  <c r="AR14" i="14"/>
  <c r="AS14" i="14"/>
  <c r="AT14" i="14"/>
  <c r="AU14" i="14"/>
  <c r="AN15" i="14"/>
  <c r="AO15" i="14"/>
  <c r="AP15" i="14"/>
  <c r="AQ15" i="14"/>
  <c r="AR15" i="14"/>
  <c r="AS15" i="14"/>
  <c r="AT15" i="14"/>
  <c r="AU15" i="14"/>
  <c r="AN16" i="14"/>
  <c r="AO16" i="14"/>
  <c r="AP16" i="14"/>
  <c r="AQ16" i="14"/>
  <c r="AR16" i="14"/>
  <c r="AS16" i="14"/>
  <c r="AT16" i="14"/>
  <c r="AU16" i="14"/>
  <c r="AN17" i="14"/>
  <c r="AO17" i="14"/>
  <c r="AP17" i="14"/>
  <c r="AQ17" i="14"/>
  <c r="AR17" i="14"/>
  <c r="AS17" i="14"/>
  <c r="AT17" i="14"/>
  <c r="AU17" i="14"/>
  <c r="AN18" i="14"/>
  <c r="AO18" i="14"/>
  <c r="AP18" i="14"/>
  <c r="AQ18" i="14"/>
  <c r="AR18" i="14"/>
  <c r="AS18" i="14"/>
  <c r="AT18" i="14"/>
  <c r="AU18" i="14"/>
  <c r="AN19" i="14"/>
  <c r="AO19" i="14"/>
  <c r="AP19" i="14"/>
  <c r="AQ19" i="14"/>
  <c r="AR19" i="14"/>
  <c r="AS19" i="14"/>
  <c r="AT19" i="14"/>
  <c r="AU19" i="14"/>
  <c r="AN20" i="14"/>
  <c r="AO20" i="14"/>
  <c r="AP20" i="14"/>
  <c r="AQ20" i="14"/>
  <c r="AR20" i="14"/>
  <c r="AS20" i="14"/>
  <c r="AT20" i="14"/>
  <c r="AU20" i="14"/>
  <c r="AN21" i="14"/>
  <c r="AO21" i="14"/>
  <c r="AP21" i="14"/>
  <c r="AQ21" i="14"/>
  <c r="AR21" i="14"/>
  <c r="AS21" i="14"/>
  <c r="AT21" i="14"/>
  <c r="AU21" i="14"/>
  <c r="AN22" i="14"/>
  <c r="AO22" i="14"/>
  <c r="AP22" i="14"/>
  <c r="AQ22" i="14"/>
  <c r="AR22" i="14"/>
  <c r="AS22" i="14"/>
  <c r="AT22" i="14"/>
  <c r="AU22" i="14"/>
  <c r="AN23" i="14"/>
  <c r="AO23" i="14"/>
  <c r="AP23" i="14"/>
  <c r="AQ23" i="14"/>
  <c r="AR23" i="14"/>
  <c r="AS23" i="14"/>
  <c r="AT23" i="14"/>
  <c r="AU23" i="14"/>
  <c r="AN24" i="14"/>
  <c r="AO24" i="14"/>
  <c r="AP24" i="14"/>
  <c r="AQ24" i="14"/>
  <c r="AR24" i="14"/>
  <c r="AS24" i="14"/>
  <c r="AT24" i="14"/>
  <c r="AU24" i="14"/>
  <c r="AN25" i="14"/>
  <c r="AO25" i="14"/>
  <c r="AP25" i="14"/>
  <c r="AQ25" i="14"/>
  <c r="AR25" i="14"/>
  <c r="AS25" i="14"/>
  <c r="AT25" i="14"/>
  <c r="AU25" i="14"/>
  <c r="AN26" i="14"/>
  <c r="AO26" i="14"/>
  <c r="AP26" i="14"/>
  <c r="AQ26" i="14"/>
  <c r="AR26" i="14"/>
  <c r="AS26" i="14"/>
  <c r="AT26" i="14"/>
  <c r="AU26" i="14"/>
  <c r="AN27" i="14"/>
  <c r="AO27" i="14"/>
  <c r="AP27" i="14"/>
  <c r="AQ27" i="14"/>
  <c r="AR27" i="14"/>
  <c r="AS27" i="14"/>
  <c r="AT27" i="14"/>
  <c r="AU27" i="14"/>
  <c r="AN28" i="14"/>
  <c r="AO28" i="14"/>
  <c r="AP28" i="14"/>
  <c r="AQ28" i="14"/>
  <c r="AR28" i="14"/>
  <c r="AS28" i="14"/>
  <c r="AT28" i="14"/>
  <c r="AU28" i="14"/>
  <c r="AN29" i="14"/>
  <c r="AO29" i="14"/>
  <c r="AP29" i="14"/>
  <c r="AQ29" i="14"/>
  <c r="AR29" i="14"/>
  <c r="AS29" i="14"/>
  <c r="AT29" i="14"/>
  <c r="AU29" i="14"/>
  <c r="AN30" i="14"/>
  <c r="AO30" i="14"/>
  <c r="AP30" i="14"/>
  <c r="AQ30" i="14"/>
  <c r="AR30" i="14"/>
  <c r="AS30" i="14"/>
  <c r="AT30" i="14"/>
  <c r="AU30" i="14"/>
  <c r="AN31" i="14"/>
  <c r="AO31" i="14"/>
  <c r="AP31" i="14"/>
  <c r="AQ31" i="14"/>
  <c r="AR31" i="14"/>
  <c r="AS31" i="14"/>
  <c r="AT31" i="14"/>
  <c r="AU31" i="14"/>
  <c r="AN32" i="14"/>
  <c r="AO32" i="14"/>
  <c r="AP32" i="14"/>
  <c r="AQ32" i="14"/>
  <c r="AR32" i="14"/>
  <c r="AS32" i="14"/>
  <c r="AT32" i="14"/>
  <c r="AU32" i="14"/>
  <c r="AN33" i="14"/>
  <c r="AO33" i="14"/>
  <c r="AP33" i="14"/>
  <c r="AQ33" i="14"/>
  <c r="AR33" i="14"/>
  <c r="AS33" i="14"/>
  <c r="AT33" i="14"/>
  <c r="AU33" i="14"/>
  <c r="AN34" i="14"/>
  <c r="AO34" i="14"/>
  <c r="AP34" i="14"/>
  <c r="AQ34" i="14"/>
  <c r="AR34" i="14"/>
  <c r="AS34" i="14"/>
  <c r="AT34" i="14"/>
  <c r="AU34" i="14"/>
  <c r="AN35" i="14"/>
  <c r="AO35" i="14"/>
  <c r="AP35" i="14"/>
  <c r="AQ35" i="14"/>
  <c r="AR35" i="14"/>
  <c r="AS35" i="14"/>
  <c r="AT35" i="14"/>
  <c r="AU35" i="14"/>
  <c r="AN36" i="14"/>
  <c r="AO36" i="14"/>
  <c r="AP36" i="14"/>
  <c r="AQ36" i="14"/>
  <c r="AR36" i="14"/>
  <c r="AS36" i="14"/>
  <c r="AT36" i="14"/>
  <c r="AU36" i="14"/>
  <c r="AN37" i="14"/>
  <c r="AO37" i="14"/>
  <c r="AP37" i="14"/>
  <c r="AQ37" i="14"/>
  <c r="AR37" i="14"/>
  <c r="AS37" i="14"/>
  <c r="AT37" i="14"/>
  <c r="AU37" i="14"/>
  <c r="AN38" i="14"/>
  <c r="AO38" i="14"/>
  <c r="AP38" i="14"/>
  <c r="AQ38" i="14"/>
  <c r="AR38" i="14"/>
  <c r="AS38" i="14"/>
  <c r="AT38" i="14"/>
  <c r="AU38" i="14"/>
  <c r="AN39" i="14"/>
  <c r="AO39" i="14"/>
  <c r="AP39" i="14"/>
  <c r="AQ39" i="14"/>
  <c r="AR39" i="14"/>
  <c r="AS39" i="14"/>
  <c r="AT39" i="14"/>
  <c r="AU39" i="14"/>
  <c r="AN40" i="14"/>
  <c r="AO40" i="14"/>
  <c r="AP40" i="14"/>
  <c r="AQ40" i="14"/>
  <c r="AR40" i="14"/>
  <c r="AS40" i="14"/>
  <c r="AT40" i="14"/>
  <c r="AU40" i="14"/>
  <c r="AN41" i="14"/>
  <c r="AO41" i="14"/>
  <c r="AP41" i="14"/>
  <c r="AQ41" i="14"/>
  <c r="AR41" i="14"/>
  <c r="AS41" i="14"/>
  <c r="AT41" i="14"/>
  <c r="AU41" i="14"/>
  <c r="AN42" i="14"/>
  <c r="AO42" i="14"/>
  <c r="AP42" i="14"/>
  <c r="AQ42" i="14"/>
  <c r="AR42" i="14"/>
  <c r="AS42" i="14"/>
  <c r="AT42" i="14"/>
  <c r="AU42" i="14"/>
  <c r="AN43" i="14"/>
  <c r="AO43" i="14"/>
  <c r="AP43" i="14"/>
  <c r="AQ43" i="14"/>
  <c r="AR43" i="14"/>
  <c r="AS43" i="14"/>
  <c r="AT43" i="14"/>
  <c r="AU43" i="14"/>
  <c r="AN44" i="14"/>
  <c r="AO44" i="14"/>
  <c r="AP44" i="14"/>
  <c r="AQ44" i="14"/>
  <c r="AR44" i="14"/>
  <c r="AS44" i="14"/>
  <c r="AT44" i="14"/>
  <c r="AU44" i="14"/>
  <c r="AN45" i="14"/>
  <c r="AO45" i="14"/>
  <c r="AP45" i="14"/>
  <c r="AQ45" i="14"/>
  <c r="AR45" i="14"/>
  <c r="AS45" i="14"/>
  <c r="AT45" i="14"/>
  <c r="AU45" i="14"/>
  <c r="AN46" i="14"/>
  <c r="AO46" i="14"/>
  <c r="AP46" i="14"/>
  <c r="AQ46" i="14"/>
  <c r="AR46" i="14"/>
  <c r="AS46" i="14"/>
  <c r="AT46" i="14"/>
  <c r="AU46" i="14"/>
  <c r="AN47" i="14"/>
  <c r="AO47" i="14"/>
  <c r="AP47" i="14"/>
  <c r="AQ47" i="14"/>
  <c r="AR47" i="14"/>
  <c r="AS47" i="14"/>
  <c r="AT47" i="14"/>
  <c r="AU47" i="14"/>
  <c r="AN48" i="14"/>
  <c r="AO48" i="14"/>
  <c r="AP48" i="14"/>
  <c r="AQ48" i="14"/>
  <c r="AR48" i="14"/>
  <c r="AS48" i="14"/>
  <c r="AT48" i="14"/>
  <c r="AU48" i="14"/>
  <c r="AN49" i="14"/>
  <c r="AO49" i="14"/>
  <c r="AP49" i="14"/>
  <c r="AQ49" i="14"/>
  <c r="AR49" i="14"/>
  <c r="AS49" i="14"/>
  <c r="AT49" i="14"/>
  <c r="AU49" i="14"/>
  <c r="AN50" i="14"/>
  <c r="AO50" i="14"/>
  <c r="AP50" i="14"/>
  <c r="AQ50" i="14"/>
  <c r="AR50" i="14"/>
  <c r="AS50" i="14"/>
  <c r="AT50" i="14"/>
  <c r="AU50" i="14"/>
  <c r="AN51" i="14"/>
  <c r="AO51" i="14"/>
  <c r="AP51" i="14"/>
  <c r="AQ51" i="14"/>
  <c r="AR51" i="14"/>
  <c r="AS51" i="14"/>
  <c r="AT51" i="14"/>
  <c r="AU51" i="14"/>
  <c r="AN52" i="14"/>
  <c r="AO52" i="14"/>
  <c r="AP52" i="14"/>
  <c r="AQ52" i="14"/>
  <c r="AR52" i="14"/>
  <c r="AS52" i="14"/>
  <c r="AT52" i="14"/>
  <c r="AU52" i="14"/>
  <c r="AN53" i="14"/>
  <c r="AO53" i="14"/>
  <c r="AP53" i="14"/>
  <c r="AQ53" i="14"/>
  <c r="AR53" i="14"/>
  <c r="AS53" i="14"/>
  <c r="AT53" i="14"/>
  <c r="AU53" i="14"/>
  <c r="AN54" i="14"/>
  <c r="AO54" i="14"/>
  <c r="AP54" i="14"/>
  <c r="AQ54" i="14"/>
  <c r="AR54" i="14"/>
  <c r="AS54" i="14"/>
  <c r="AT54" i="14"/>
  <c r="AU54" i="14"/>
  <c r="AN55" i="14"/>
  <c r="AO55" i="14"/>
  <c r="AP55" i="14"/>
  <c r="AQ55" i="14"/>
  <c r="AR55" i="14"/>
  <c r="AS55" i="14"/>
  <c r="AT55" i="14"/>
  <c r="AU55" i="14"/>
  <c r="AN56" i="14"/>
  <c r="AO56" i="14"/>
  <c r="AP56" i="14"/>
  <c r="AQ56" i="14"/>
  <c r="AR56" i="14"/>
  <c r="AS56" i="14"/>
  <c r="AT56" i="14"/>
  <c r="AU56" i="14"/>
  <c r="AN57" i="14"/>
  <c r="AO57" i="14"/>
  <c r="AP57" i="14"/>
  <c r="AQ57" i="14"/>
  <c r="AR57" i="14"/>
  <c r="AS57" i="14"/>
  <c r="AT57" i="14"/>
  <c r="AU57" i="14"/>
  <c r="AN58" i="14"/>
  <c r="AO58" i="14"/>
  <c r="AP58" i="14"/>
  <c r="AQ58" i="14"/>
  <c r="AR58" i="14"/>
  <c r="AS58" i="14"/>
  <c r="AT58" i="14"/>
  <c r="AU58" i="14"/>
  <c r="AN59" i="14"/>
  <c r="AO59" i="14"/>
  <c r="AP59" i="14"/>
  <c r="AQ59" i="14"/>
  <c r="AR59" i="14"/>
  <c r="AS59" i="14"/>
  <c r="AT59" i="14"/>
  <c r="AU59" i="14"/>
  <c r="AN60" i="14"/>
  <c r="AO60" i="14"/>
  <c r="AP60" i="14"/>
  <c r="AQ60" i="14"/>
  <c r="AR60" i="14"/>
  <c r="AS60" i="14"/>
  <c r="AT60" i="14"/>
  <c r="AU60" i="14"/>
  <c r="AN61" i="14"/>
  <c r="AO61" i="14"/>
  <c r="AP61" i="14"/>
  <c r="AQ61" i="14"/>
  <c r="AR61" i="14"/>
  <c r="AS61" i="14"/>
  <c r="AT61" i="14"/>
  <c r="AU61" i="14"/>
  <c r="AN62" i="14"/>
  <c r="AO62" i="14"/>
  <c r="AP62" i="14"/>
  <c r="AQ62" i="14"/>
  <c r="AR62" i="14"/>
  <c r="AS62" i="14"/>
  <c r="AT62" i="14"/>
  <c r="AU62" i="14"/>
  <c r="AN63" i="14"/>
  <c r="AO63" i="14"/>
  <c r="AP63" i="14"/>
  <c r="AQ63" i="14"/>
  <c r="AR63" i="14"/>
  <c r="AS63" i="14"/>
  <c r="AT63" i="14"/>
  <c r="AU63" i="14"/>
  <c r="AN64" i="14"/>
  <c r="AO64" i="14"/>
  <c r="AP64" i="14"/>
  <c r="AQ64" i="14"/>
  <c r="AR64" i="14"/>
  <c r="AS64" i="14"/>
  <c r="AT64" i="14"/>
  <c r="AU64" i="14"/>
  <c r="AN65" i="14"/>
  <c r="AO65" i="14"/>
  <c r="AP65" i="14"/>
  <c r="AQ65" i="14"/>
  <c r="AR65" i="14"/>
  <c r="AS65" i="14"/>
  <c r="AT65" i="14"/>
  <c r="AU65" i="14"/>
  <c r="AN66" i="14"/>
  <c r="AO66" i="14"/>
  <c r="AP66" i="14"/>
  <c r="AQ66" i="14"/>
  <c r="AR66" i="14"/>
  <c r="AS66" i="14"/>
  <c r="AT66" i="14"/>
  <c r="AU66" i="14"/>
  <c r="AN67" i="14"/>
  <c r="AO67" i="14"/>
  <c r="AP67" i="14"/>
  <c r="AQ67" i="14"/>
  <c r="AR67" i="14"/>
  <c r="AS67" i="14"/>
  <c r="AT67" i="14"/>
  <c r="AU67" i="14"/>
  <c r="AN68" i="14"/>
  <c r="AO68" i="14"/>
  <c r="AP68" i="14"/>
  <c r="AQ68" i="14"/>
  <c r="AR68" i="14"/>
  <c r="AS68" i="14"/>
  <c r="AT68" i="14"/>
  <c r="AU68" i="14"/>
  <c r="AN69" i="14"/>
  <c r="AO69" i="14"/>
  <c r="AP69" i="14"/>
  <c r="AQ69" i="14"/>
  <c r="AR69" i="14"/>
  <c r="AS69" i="14"/>
  <c r="AT69" i="14"/>
  <c r="AU69" i="14"/>
  <c r="AN70" i="14"/>
  <c r="AO70" i="14"/>
  <c r="AP70" i="14"/>
  <c r="AQ70" i="14"/>
  <c r="AR70" i="14"/>
  <c r="AS70" i="14"/>
  <c r="AT70" i="14"/>
  <c r="AU70" i="14"/>
  <c r="AN71" i="14"/>
  <c r="AO71" i="14"/>
  <c r="AP71" i="14"/>
  <c r="AQ71" i="14"/>
  <c r="AR71" i="14"/>
  <c r="AS71" i="14"/>
  <c r="AT71" i="14"/>
  <c r="AU71" i="14"/>
  <c r="AN72" i="14"/>
  <c r="AO72" i="14"/>
  <c r="AP72" i="14"/>
  <c r="AQ72" i="14"/>
  <c r="AR72" i="14"/>
  <c r="AS72" i="14"/>
  <c r="AT72" i="14"/>
  <c r="AU72" i="14"/>
  <c r="AN73" i="14"/>
  <c r="AO73" i="14"/>
  <c r="AP73" i="14"/>
  <c r="AQ73" i="14"/>
  <c r="AR73" i="14"/>
  <c r="AS73" i="14"/>
  <c r="AT73" i="14"/>
  <c r="AU73" i="14"/>
  <c r="AN74" i="14"/>
  <c r="AO74" i="14"/>
  <c r="AP74" i="14"/>
  <c r="AQ74" i="14"/>
  <c r="AR74" i="14"/>
  <c r="AS74" i="14"/>
  <c r="AT74" i="14"/>
  <c r="AU74" i="14"/>
  <c r="AN75" i="14"/>
  <c r="AO75" i="14"/>
  <c r="AP75" i="14"/>
  <c r="AQ75" i="14"/>
  <c r="AR75" i="14"/>
  <c r="AS75" i="14"/>
  <c r="AT75" i="14"/>
  <c r="AU75" i="14"/>
  <c r="AN76" i="14"/>
  <c r="AO76" i="14"/>
  <c r="AP76" i="14"/>
  <c r="AQ76" i="14"/>
  <c r="AR76" i="14"/>
  <c r="AS76" i="14"/>
  <c r="AT76" i="14"/>
  <c r="AU76" i="14"/>
  <c r="AN77" i="14"/>
  <c r="AO77" i="14"/>
  <c r="AP77" i="14"/>
  <c r="AQ77" i="14"/>
  <c r="AR77" i="14"/>
  <c r="AS77" i="14"/>
  <c r="AT77" i="14"/>
  <c r="AU77" i="14"/>
  <c r="AN78" i="14"/>
  <c r="AO78" i="14"/>
  <c r="AP78" i="14"/>
  <c r="AQ78" i="14"/>
  <c r="AR78" i="14"/>
  <c r="AS78" i="14"/>
  <c r="AT78" i="14"/>
  <c r="AU78" i="14"/>
  <c r="AN79" i="14"/>
  <c r="AO79" i="14"/>
  <c r="AP79" i="14"/>
  <c r="AQ79" i="14"/>
  <c r="AR79" i="14"/>
  <c r="AS79" i="14"/>
  <c r="AT79" i="14"/>
  <c r="AU79" i="14"/>
  <c r="AN80" i="14"/>
  <c r="AO80" i="14"/>
  <c r="AP80" i="14"/>
  <c r="AQ80" i="14"/>
  <c r="AR80" i="14"/>
  <c r="AS80" i="14"/>
  <c r="AT80" i="14"/>
  <c r="AU80" i="14"/>
  <c r="AN81" i="14"/>
  <c r="AO81" i="14"/>
  <c r="AP81" i="14"/>
  <c r="AQ81" i="14"/>
  <c r="AR81" i="14"/>
  <c r="AS81" i="14"/>
  <c r="AT81" i="14"/>
  <c r="AU81" i="14"/>
  <c r="AN82" i="14"/>
  <c r="AO82" i="14"/>
  <c r="AP82" i="14"/>
  <c r="AQ82" i="14"/>
  <c r="AR82" i="14"/>
  <c r="AS82" i="14"/>
  <c r="AT82" i="14"/>
  <c r="AU82" i="14"/>
  <c r="AN83" i="14"/>
  <c r="AO83" i="14"/>
  <c r="AP83" i="14"/>
  <c r="AQ83" i="14"/>
  <c r="AR83" i="14"/>
  <c r="AS83" i="14"/>
  <c r="AT83" i="14"/>
  <c r="AU83" i="14"/>
  <c r="AN84" i="14"/>
  <c r="AO84" i="14"/>
  <c r="AP84" i="14"/>
  <c r="AQ84" i="14"/>
  <c r="AR84" i="14"/>
  <c r="AS84" i="14"/>
  <c r="AT84" i="14"/>
  <c r="AU84" i="14"/>
  <c r="AN85" i="14"/>
  <c r="AO85" i="14"/>
  <c r="AP85" i="14"/>
  <c r="AQ85" i="14"/>
  <c r="AR85" i="14"/>
  <c r="AS85" i="14"/>
  <c r="AT85" i="14"/>
  <c r="AU85" i="14"/>
  <c r="AN86" i="14"/>
  <c r="AO86" i="14"/>
  <c r="AP86" i="14"/>
  <c r="AQ86" i="14"/>
  <c r="AR86" i="14"/>
  <c r="AS86" i="14"/>
  <c r="AT86" i="14"/>
  <c r="AU86" i="14"/>
  <c r="AN87" i="14"/>
  <c r="AO87" i="14"/>
  <c r="AP87" i="14"/>
  <c r="AQ87" i="14"/>
  <c r="AR87" i="14"/>
  <c r="AS87" i="14"/>
  <c r="AT87" i="14"/>
  <c r="AU87" i="14"/>
  <c r="AN88" i="14"/>
  <c r="AO88" i="14"/>
  <c r="AP88" i="14"/>
  <c r="AQ88" i="14"/>
  <c r="AR88" i="14"/>
  <c r="AS88" i="14"/>
  <c r="AT88" i="14"/>
  <c r="AU88" i="14"/>
  <c r="AN89" i="14"/>
  <c r="AO89" i="14"/>
  <c r="AP89" i="14"/>
  <c r="AQ89" i="14"/>
  <c r="AR89" i="14"/>
  <c r="AS89" i="14"/>
  <c r="AT89" i="14"/>
  <c r="AU89" i="14"/>
  <c r="AN90" i="14"/>
  <c r="AO90" i="14"/>
  <c r="AP90" i="14"/>
  <c r="AQ90" i="14"/>
  <c r="AR90" i="14"/>
  <c r="AS90" i="14"/>
  <c r="AT90" i="14"/>
  <c r="AU90" i="14"/>
  <c r="AN91" i="14"/>
  <c r="AO91" i="14"/>
  <c r="AP91" i="14"/>
  <c r="AQ91" i="14"/>
  <c r="AR91" i="14"/>
  <c r="AS91" i="14"/>
  <c r="AT91" i="14"/>
  <c r="AU91" i="14"/>
  <c r="AN92" i="14"/>
  <c r="AO92" i="14"/>
  <c r="AP92" i="14"/>
  <c r="AQ92" i="14"/>
  <c r="AR92" i="14"/>
  <c r="AS92" i="14"/>
  <c r="AT92" i="14"/>
  <c r="AU92" i="14"/>
  <c r="AN93" i="14"/>
  <c r="AO93" i="14"/>
  <c r="AP93" i="14"/>
  <c r="AQ93" i="14"/>
  <c r="AR93" i="14"/>
  <c r="AS93" i="14"/>
  <c r="AT93" i="14"/>
  <c r="AU93" i="14"/>
  <c r="AN94" i="14"/>
  <c r="AO94" i="14"/>
  <c r="AP94" i="14"/>
  <c r="AQ94" i="14"/>
  <c r="AR94" i="14"/>
  <c r="AS94" i="14"/>
  <c r="AT94" i="14"/>
  <c r="AU94" i="14"/>
  <c r="AN95" i="14"/>
  <c r="AO95" i="14"/>
  <c r="AP95" i="14"/>
  <c r="AQ95" i="14"/>
  <c r="AR95" i="14"/>
  <c r="AS95" i="14"/>
  <c r="AT95" i="14"/>
  <c r="AU95" i="14"/>
  <c r="AN96" i="14"/>
  <c r="AO96" i="14"/>
  <c r="AP96" i="14"/>
  <c r="AQ96" i="14"/>
  <c r="AR96" i="14"/>
  <c r="AS96" i="14"/>
  <c r="AT96" i="14"/>
  <c r="AU96" i="14"/>
  <c r="AN97" i="14"/>
  <c r="AO97" i="14"/>
  <c r="AP97" i="14"/>
  <c r="AQ97" i="14"/>
  <c r="AR97" i="14"/>
  <c r="AS97" i="14"/>
  <c r="AT97" i="14"/>
  <c r="AU97" i="14"/>
  <c r="AN98" i="14"/>
  <c r="AO98" i="14"/>
  <c r="AP98" i="14"/>
  <c r="AQ98" i="14"/>
  <c r="AR98" i="14"/>
  <c r="AS98" i="14"/>
  <c r="AT98" i="14"/>
  <c r="AU98" i="14"/>
  <c r="AN99" i="14"/>
  <c r="AO99" i="14"/>
  <c r="AP99" i="14"/>
  <c r="AQ99" i="14"/>
  <c r="AR99" i="14"/>
  <c r="AS99" i="14"/>
  <c r="AT99" i="14"/>
  <c r="AU99" i="14"/>
  <c r="AN100" i="14"/>
  <c r="AO100" i="14"/>
  <c r="AP100" i="14"/>
  <c r="AQ100" i="14"/>
  <c r="AR100" i="14"/>
  <c r="AS100" i="14"/>
  <c r="AT100" i="14"/>
  <c r="AU100" i="14"/>
  <c r="AN101" i="14"/>
  <c r="AO101" i="14"/>
  <c r="AP101" i="14"/>
  <c r="AQ101" i="14"/>
  <c r="AR101" i="14"/>
  <c r="AS101" i="14"/>
  <c r="AT101" i="14"/>
  <c r="AU101" i="14"/>
  <c r="AN102" i="14"/>
  <c r="AO102" i="14"/>
  <c r="AP102" i="14"/>
  <c r="AQ102" i="14"/>
  <c r="AR102" i="14"/>
  <c r="AS102" i="14"/>
  <c r="AT102" i="14"/>
  <c r="AU102" i="14"/>
  <c r="AN103" i="14"/>
  <c r="AO103" i="14"/>
  <c r="AP103" i="14"/>
  <c r="AQ103" i="14"/>
  <c r="AR103" i="14"/>
  <c r="AS103" i="14"/>
  <c r="AT103" i="14"/>
  <c r="AU103" i="14"/>
  <c r="AN104" i="14"/>
  <c r="AO104" i="14"/>
  <c r="AP104" i="14"/>
  <c r="AQ104" i="14"/>
  <c r="AR104" i="14"/>
  <c r="AS104" i="14"/>
  <c r="AT104" i="14"/>
  <c r="AU104" i="14"/>
  <c r="AN105" i="14"/>
  <c r="AO105" i="14"/>
  <c r="AP105" i="14"/>
  <c r="AQ105" i="14"/>
  <c r="AR105" i="14"/>
  <c r="AS105" i="14"/>
  <c r="AT105" i="14"/>
  <c r="AU105" i="14"/>
  <c r="AN106" i="14"/>
  <c r="AO106" i="14"/>
  <c r="AP106" i="14"/>
  <c r="AQ106" i="14"/>
  <c r="AR106" i="14"/>
  <c r="AS106" i="14"/>
  <c r="AT106" i="14"/>
  <c r="AU106" i="14"/>
  <c r="AN107" i="14"/>
  <c r="AO107" i="14"/>
  <c r="AP107" i="14"/>
  <c r="AQ107" i="14"/>
  <c r="AR107" i="14"/>
  <c r="AS107" i="14"/>
  <c r="AT107" i="14"/>
  <c r="AU107" i="14"/>
  <c r="AN108" i="14"/>
  <c r="AO108" i="14"/>
  <c r="AP108" i="14"/>
  <c r="AQ108" i="14"/>
  <c r="AR108" i="14"/>
  <c r="AS108" i="14"/>
  <c r="AT108" i="14"/>
  <c r="AU108" i="14"/>
  <c r="AN109" i="14"/>
  <c r="AO109" i="14"/>
  <c r="AP109" i="14"/>
  <c r="AQ109" i="14"/>
  <c r="AR109" i="14"/>
  <c r="AS109" i="14"/>
  <c r="AT109" i="14"/>
  <c r="AU109" i="14"/>
  <c r="AN110" i="14"/>
  <c r="AO110" i="14"/>
  <c r="AP110" i="14"/>
  <c r="AQ110" i="14"/>
  <c r="AR110" i="14"/>
  <c r="AS110" i="14"/>
  <c r="AT110" i="14"/>
  <c r="AU110" i="14"/>
  <c r="AN111" i="14"/>
  <c r="AO111" i="14"/>
  <c r="AP111" i="14"/>
  <c r="AQ111" i="14"/>
  <c r="AR111" i="14"/>
  <c r="AS111" i="14"/>
  <c r="AT111" i="14"/>
  <c r="AU111" i="14"/>
  <c r="AN112" i="14"/>
  <c r="AO112" i="14"/>
  <c r="AP112" i="14"/>
  <c r="AQ112" i="14"/>
  <c r="AR112" i="14"/>
  <c r="AS112" i="14"/>
  <c r="AT112" i="14"/>
  <c r="AU112" i="14"/>
  <c r="AN113" i="14"/>
  <c r="AO113" i="14"/>
  <c r="AP113" i="14"/>
  <c r="AQ113" i="14"/>
  <c r="AR113" i="14"/>
  <c r="AS113" i="14"/>
  <c r="AT113" i="14"/>
  <c r="AU113" i="14"/>
  <c r="AN114" i="14"/>
  <c r="AO114" i="14"/>
  <c r="AP114" i="14"/>
  <c r="AQ114" i="14"/>
  <c r="AR114" i="14"/>
  <c r="AS114" i="14"/>
  <c r="AT114" i="14"/>
  <c r="AU114" i="14"/>
  <c r="AN115" i="14"/>
  <c r="AO115" i="14"/>
  <c r="AP115" i="14"/>
  <c r="AQ115" i="14"/>
  <c r="AR115" i="14"/>
  <c r="AS115" i="14"/>
  <c r="AT115" i="14"/>
  <c r="AU115" i="14"/>
  <c r="AN116" i="14"/>
  <c r="AO116" i="14"/>
  <c r="AP116" i="14"/>
  <c r="AQ116" i="14"/>
  <c r="AR116" i="14"/>
  <c r="AS116" i="14"/>
  <c r="AT116" i="14"/>
  <c r="AU116" i="14"/>
  <c r="AN117" i="14"/>
  <c r="AO117" i="14"/>
  <c r="AP117" i="14"/>
  <c r="AQ117" i="14"/>
  <c r="AR117" i="14"/>
  <c r="AS117" i="14"/>
  <c r="AT117" i="14"/>
  <c r="AU117" i="14"/>
  <c r="AN118" i="14"/>
  <c r="AO118" i="14"/>
  <c r="AP118" i="14"/>
  <c r="AQ118" i="14"/>
  <c r="AR118" i="14"/>
  <c r="AS118" i="14"/>
  <c r="AT118" i="14"/>
  <c r="AU118" i="14"/>
  <c r="AN119" i="14"/>
  <c r="AO119" i="14"/>
  <c r="AP119" i="14"/>
  <c r="AQ119" i="14"/>
  <c r="AR119" i="14"/>
  <c r="AS119" i="14"/>
  <c r="AT119" i="14"/>
  <c r="AU119" i="14"/>
  <c r="AN120" i="14"/>
  <c r="AO120" i="14"/>
  <c r="AP120" i="14"/>
  <c r="AQ120" i="14"/>
  <c r="AR120" i="14"/>
  <c r="AS120" i="14"/>
  <c r="AT120" i="14"/>
  <c r="AU120" i="14"/>
  <c r="AN121" i="14"/>
  <c r="AO121" i="14"/>
  <c r="AP121" i="14"/>
  <c r="AQ121" i="14"/>
  <c r="AR121" i="14"/>
  <c r="AS121" i="14"/>
  <c r="AT121" i="14"/>
  <c r="AU121" i="14"/>
  <c r="AN122" i="14"/>
  <c r="AO122" i="14"/>
  <c r="AP122" i="14"/>
  <c r="AQ122" i="14"/>
  <c r="AR122" i="14"/>
  <c r="AS122" i="14"/>
  <c r="AT122" i="14"/>
  <c r="AU122" i="14"/>
  <c r="AN123" i="14"/>
  <c r="AO123" i="14"/>
  <c r="AP123" i="14"/>
  <c r="AQ123" i="14"/>
  <c r="AR123" i="14"/>
  <c r="AS123" i="14"/>
  <c r="AT123" i="14"/>
  <c r="AU123" i="14"/>
  <c r="AN124" i="14"/>
  <c r="AO124" i="14"/>
  <c r="AP124" i="14"/>
  <c r="AQ124" i="14"/>
  <c r="AR124" i="14"/>
  <c r="AS124" i="14"/>
  <c r="AT124" i="14"/>
  <c r="AU124" i="14"/>
  <c r="AN125" i="14"/>
  <c r="AO125" i="14"/>
  <c r="AP125" i="14"/>
  <c r="AQ125" i="14"/>
  <c r="AR125" i="14"/>
  <c r="AS125" i="14"/>
  <c r="AT125" i="14"/>
  <c r="AU125" i="14"/>
  <c r="AN126" i="14"/>
  <c r="AO126" i="14"/>
  <c r="AP126" i="14"/>
  <c r="AQ126" i="14"/>
  <c r="AR126" i="14"/>
  <c r="AS126" i="14"/>
  <c r="AT126" i="14"/>
  <c r="AU126" i="14"/>
  <c r="AN127" i="14"/>
  <c r="AO127" i="14"/>
  <c r="AP127" i="14"/>
  <c r="AQ127" i="14"/>
  <c r="AR127" i="14"/>
  <c r="AS127" i="14"/>
  <c r="AT127" i="14"/>
  <c r="AU127" i="14"/>
  <c r="AN128" i="14"/>
  <c r="AO128" i="14"/>
  <c r="AP128" i="14"/>
  <c r="AQ128" i="14"/>
  <c r="AR128" i="14"/>
  <c r="AS128" i="14"/>
  <c r="AT128" i="14"/>
  <c r="AU128" i="14"/>
  <c r="AN129" i="14"/>
  <c r="AO129" i="14"/>
  <c r="AP129" i="14"/>
  <c r="AQ129" i="14"/>
  <c r="AR129" i="14"/>
  <c r="AS129" i="14"/>
  <c r="AT129" i="14"/>
  <c r="AU129" i="14"/>
  <c r="AN130" i="14"/>
  <c r="AO130" i="14"/>
  <c r="AP130" i="14"/>
  <c r="AQ130" i="14"/>
  <c r="AR130" i="14"/>
  <c r="AS130" i="14"/>
  <c r="AT130" i="14"/>
  <c r="AU130" i="14"/>
  <c r="AN131" i="14"/>
  <c r="AO131" i="14"/>
  <c r="AP131" i="14"/>
  <c r="AQ131" i="14"/>
  <c r="AR131" i="14"/>
  <c r="AS131" i="14"/>
  <c r="AT131" i="14"/>
  <c r="AU131" i="14"/>
  <c r="AN132" i="14"/>
  <c r="AO132" i="14"/>
  <c r="AP132" i="14"/>
  <c r="AQ132" i="14"/>
  <c r="AR132" i="14"/>
  <c r="AS132" i="14"/>
  <c r="AT132" i="14"/>
  <c r="AU132" i="14"/>
  <c r="AC135" i="14"/>
  <c r="AB135" i="14"/>
  <c r="AA135" i="14"/>
  <c r="Z135" i="14"/>
  <c r="BH132" i="14"/>
  <c r="BP132" i="14" s="1"/>
  <c r="BE132" i="14"/>
  <c r="BM132" i="14" s="1"/>
  <c r="AM132" i="14"/>
  <c r="AK132" i="14"/>
  <c r="CD132" i="14" s="1"/>
  <c r="CP132" i="14"/>
  <c r="BH131" i="14"/>
  <c r="BP131" i="14" s="1"/>
  <c r="BE131" i="14"/>
  <c r="BF131" i="14" s="1"/>
  <c r="AM131" i="14"/>
  <c r="AK131" i="14"/>
  <c r="CD131" i="14" s="1"/>
  <c r="BH130" i="14"/>
  <c r="BI130" i="14" s="1"/>
  <c r="BE130" i="14"/>
  <c r="BF130" i="14" s="1"/>
  <c r="AM130" i="14"/>
  <c r="AK130" i="14"/>
  <c r="CD130" i="14" s="1"/>
  <c r="BH129" i="14"/>
  <c r="BI129" i="14" s="1"/>
  <c r="BE129" i="14"/>
  <c r="BM129" i="14" s="1"/>
  <c r="AM129" i="14"/>
  <c r="AK129" i="14"/>
  <c r="CD129" i="14" s="1"/>
  <c r="BH128" i="14"/>
  <c r="BP128" i="14" s="1"/>
  <c r="BE128" i="14"/>
  <c r="CI128" i="14"/>
  <c r="AM128" i="14"/>
  <c r="CP128" i="14"/>
  <c r="V128" i="22" s="1"/>
  <c r="AK128" i="14"/>
  <c r="CD128" i="14" s="1"/>
  <c r="BH127" i="14"/>
  <c r="BP127" i="14" s="1"/>
  <c r="BE127" i="14"/>
  <c r="BM127" i="14" s="1"/>
  <c r="AM127" i="14"/>
  <c r="AK127" i="14"/>
  <c r="CD127" i="14" s="1"/>
  <c r="BH126" i="14"/>
  <c r="BI126" i="14" s="1"/>
  <c r="BE126" i="14"/>
  <c r="BF126" i="14" s="1"/>
  <c r="AM126" i="14"/>
  <c r="AK126" i="14"/>
  <c r="CD126" i="14" s="1"/>
  <c r="CP126" i="14"/>
  <c r="V126" i="22" s="1"/>
  <c r="BH125" i="14"/>
  <c r="BI125" i="14" s="1"/>
  <c r="BQ125" i="14" s="1"/>
  <c r="BE125" i="14"/>
  <c r="BM125" i="14" s="1"/>
  <c r="AM125" i="14"/>
  <c r="CP125" i="14"/>
  <c r="V125" i="22" s="1"/>
  <c r="BH124" i="14"/>
  <c r="BP124" i="14" s="1"/>
  <c r="BE124" i="14"/>
  <c r="BM124" i="14" s="1"/>
  <c r="CE124" i="14"/>
  <c r="AM124" i="14"/>
  <c r="AK124" i="14"/>
  <c r="CD124" i="14" s="1"/>
  <c r="BH123" i="14"/>
  <c r="BI123" i="14" s="1"/>
  <c r="BQ123" i="14" s="1"/>
  <c r="BE123" i="14"/>
  <c r="BM123" i="14" s="1"/>
  <c r="AM123" i="14"/>
  <c r="AK123" i="14"/>
  <c r="CD123" i="14" s="1"/>
  <c r="CP123" i="14"/>
  <c r="V123" i="22" s="1"/>
  <c r="BH122" i="14"/>
  <c r="BI122" i="14" s="1"/>
  <c r="BE122" i="14"/>
  <c r="BM122" i="14" s="1"/>
  <c r="AM122" i="14"/>
  <c r="AK122" i="14"/>
  <c r="CD122" i="14" s="1"/>
  <c r="BH121" i="14"/>
  <c r="BI121" i="14" s="1"/>
  <c r="BE121" i="14"/>
  <c r="BF121" i="14" s="1"/>
  <c r="AM121" i="14"/>
  <c r="CP121" i="14"/>
  <c r="V121" i="22" s="1"/>
  <c r="AK121" i="14"/>
  <c r="CD121" i="14" s="1"/>
  <c r="BH120" i="14"/>
  <c r="BP120" i="14" s="1"/>
  <c r="BE120" i="14"/>
  <c r="BF120" i="14" s="1"/>
  <c r="AM120" i="14"/>
  <c r="AK120" i="14"/>
  <c r="CD120" i="14" s="1"/>
  <c r="CP120" i="14"/>
  <c r="V120" i="22" s="1"/>
  <c r="BH119" i="14"/>
  <c r="BP119" i="14" s="1"/>
  <c r="BE119" i="14"/>
  <c r="BF119" i="14" s="1"/>
  <c r="AM119" i="14"/>
  <c r="CP119" i="14"/>
  <c r="V119" i="22" s="1"/>
  <c r="BH118" i="14"/>
  <c r="BI118" i="14" s="1"/>
  <c r="BQ118" i="14" s="1"/>
  <c r="BE118" i="14"/>
  <c r="BF118" i="14" s="1"/>
  <c r="BN118" i="14" s="1"/>
  <c r="CP118" i="14"/>
  <c r="V118" i="22" s="1"/>
  <c r="AM118" i="14"/>
  <c r="AK118" i="14"/>
  <c r="CD118" i="14" s="1"/>
  <c r="BH117" i="14"/>
  <c r="BP117" i="14" s="1"/>
  <c r="BE117" i="14"/>
  <c r="BM117" i="14" s="1"/>
  <c r="AM117" i="14"/>
  <c r="AK117" i="14"/>
  <c r="CD117" i="14" s="1"/>
  <c r="CP117" i="14"/>
  <c r="V117" i="22" s="1"/>
  <c r="BH116" i="14"/>
  <c r="BP116" i="14" s="1"/>
  <c r="BE116" i="14"/>
  <c r="BF116" i="14" s="1"/>
  <c r="AM116" i="14"/>
  <c r="AK116" i="14"/>
  <c r="CD116" i="14" s="1"/>
  <c r="CP116" i="14"/>
  <c r="V116" i="22" s="1"/>
  <c r="BH115" i="14"/>
  <c r="BP115" i="14" s="1"/>
  <c r="BE115" i="14"/>
  <c r="BF115" i="14" s="1"/>
  <c r="BN115" i="14" s="1"/>
  <c r="AM115" i="14"/>
  <c r="AK115" i="14"/>
  <c r="CD115" i="14" s="1"/>
  <c r="BH114" i="14"/>
  <c r="BI114" i="14" s="1"/>
  <c r="BE114" i="14"/>
  <c r="BM114" i="14" s="1"/>
  <c r="AM114" i="14"/>
  <c r="CP114" i="14"/>
  <c r="V114" i="22" s="1"/>
  <c r="BH113" i="14"/>
  <c r="BP113" i="14" s="1"/>
  <c r="BE113" i="14"/>
  <c r="BF113" i="14" s="1"/>
  <c r="CP113" i="14"/>
  <c r="V113" i="22" s="1"/>
  <c r="AM113" i="14"/>
  <c r="AK113" i="14"/>
  <c r="CD113" i="14" s="1"/>
  <c r="BH112" i="14"/>
  <c r="BP112" i="14" s="1"/>
  <c r="BE112" i="14"/>
  <c r="BF112" i="14" s="1"/>
  <c r="AM112" i="14"/>
  <c r="AK112" i="14"/>
  <c r="CD112" i="14" s="1"/>
  <c r="CH112" i="14"/>
  <c r="BH111" i="14"/>
  <c r="BI111" i="14" s="1"/>
  <c r="BE111" i="14"/>
  <c r="BM111" i="14" s="1"/>
  <c r="AM111" i="14"/>
  <c r="AK111" i="14"/>
  <c r="CD111" i="14" s="1"/>
  <c r="CP111" i="14"/>
  <c r="V111" i="22" s="1"/>
  <c r="BH110" i="14"/>
  <c r="BP110" i="14" s="1"/>
  <c r="BE110" i="14"/>
  <c r="BF110" i="14" s="1"/>
  <c r="AM110" i="14"/>
  <c r="BH109" i="14"/>
  <c r="BI109" i="14" s="1"/>
  <c r="BE109" i="14"/>
  <c r="BM109" i="14" s="1"/>
  <c r="AM109" i="14"/>
  <c r="AK109" i="14"/>
  <c r="CD109" i="14" s="1"/>
  <c r="CP109" i="14"/>
  <c r="V109" i="22" s="1"/>
  <c r="BH108" i="14"/>
  <c r="BP108" i="14" s="1"/>
  <c r="BE108" i="14"/>
  <c r="BF108" i="14" s="1"/>
  <c r="CP108" i="14"/>
  <c r="V108" i="22" s="1"/>
  <c r="AM108" i="14"/>
  <c r="AK108" i="14"/>
  <c r="CD108" i="14" s="1"/>
  <c r="BH107" i="14"/>
  <c r="BI107" i="14" s="1"/>
  <c r="BE107" i="14"/>
  <c r="BM107" i="14" s="1"/>
  <c r="CP107" i="14"/>
  <c r="V107" i="22" s="1"/>
  <c r="AM107" i="14"/>
  <c r="BH106" i="14"/>
  <c r="BP106" i="14" s="1"/>
  <c r="BE106" i="14"/>
  <c r="BF106" i="14" s="1"/>
  <c r="CH106" i="14"/>
  <c r="AM106" i="14"/>
  <c r="BH105" i="14"/>
  <c r="BI105" i="14" s="1"/>
  <c r="BE105" i="14"/>
  <c r="BM105" i="14" s="1"/>
  <c r="AM105" i="14"/>
  <c r="AK105" i="14"/>
  <c r="CD105" i="14" s="1"/>
  <c r="CP105" i="14"/>
  <c r="V105" i="22" s="1"/>
  <c r="BH104" i="14"/>
  <c r="BI104" i="14" s="1"/>
  <c r="BE104" i="14"/>
  <c r="AM104" i="14"/>
  <c r="AK104" i="14"/>
  <c r="CD104" i="14" s="1"/>
  <c r="BH103" i="14"/>
  <c r="BI103" i="14" s="1"/>
  <c r="BQ103" i="14" s="1"/>
  <c r="BE103" i="14"/>
  <c r="BM103" i="14" s="1"/>
  <c r="AM103" i="14"/>
  <c r="CP103" i="14"/>
  <c r="V103" i="22" s="1"/>
  <c r="BH102" i="14"/>
  <c r="BP102" i="14" s="1"/>
  <c r="BE102" i="14"/>
  <c r="BM102" i="14" s="1"/>
  <c r="AM102" i="14"/>
  <c r="CP102" i="14"/>
  <c r="V102" i="22" s="1"/>
  <c r="BH101" i="14"/>
  <c r="BE101" i="14"/>
  <c r="BM101" i="14" s="1"/>
  <c r="AM101" i="14"/>
  <c r="AK101" i="14"/>
  <c r="CD101" i="14" s="1"/>
  <c r="CP101" i="14"/>
  <c r="V101" i="22" s="1"/>
  <c r="BH100" i="14"/>
  <c r="BI100" i="14" s="1"/>
  <c r="BE100" i="14"/>
  <c r="BF100" i="14" s="1"/>
  <c r="AM100" i="14"/>
  <c r="AK100" i="14"/>
  <c r="CD100" i="14" s="1"/>
  <c r="CP100" i="14"/>
  <c r="V100" i="22" s="1"/>
  <c r="BH99" i="14"/>
  <c r="BI99" i="14" s="1"/>
  <c r="BE99" i="14"/>
  <c r="BF99" i="14" s="1"/>
  <c r="AM99" i="14"/>
  <c r="CP99" i="14"/>
  <c r="V99" i="22" s="1"/>
  <c r="BH98" i="14"/>
  <c r="BP98" i="14" s="1"/>
  <c r="BE98" i="14"/>
  <c r="BM98" i="14" s="1"/>
  <c r="CI98" i="14"/>
  <c r="AM98" i="14"/>
  <c r="CP98" i="14"/>
  <c r="V98" i="22" s="1"/>
  <c r="BH97" i="14"/>
  <c r="BP97" i="14" s="1"/>
  <c r="BE97" i="14"/>
  <c r="BF97" i="14" s="1"/>
  <c r="AM97" i="14"/>
  <c r="AK97" i="14"/>
  <c r="CD97" i="14" s="1"/>
  <c r="BH96" i="14"/>
  <c r="BI96" i="14" s="1"/>
  <c r="BE96" i="14"/>
  <c r="BF96" i="14" s="1"/>
  <c r="AM96" i="14"/>
  <c r="AK96" i="14"/>
  <c r="CD96" i="14" s="1"/>
  <c r="BH95" i="14"/>
  <c r="BI95" i="14" s="1"/>
  <c r="BE95" i="14"/>
  <c r="BM95" i="14" s="1"/>
  <c r="AM95" i="14"/>
  <c r="CP95" i="14"/>
  <c r="V95" i="22" s="1"/>
  <c r="AK95" i="14"/>
  <c r="CD95" i="14" s="1"/>
  <c r="BH94" i="14"/>
  <c r="BI94" i="14" s="1"/>
  <c r="BQ94" i="14" s="1"/>
  <c r="BE94" i="14"/>
  <c r="BM94" i="14" s="1"/>
  <c r="AM94" i="14"/>
  <c r="AK94" i="14"/>
  <c r="CD94" i="14" s="1"/>
  <c r="CP94" i="14"/>
  <c r="V94" i="22" s="1"/>
  <c r="BH93" i="14"/>
  <c r="BP93" i="14" s="1"/>
  <c r="BE93" i="14"/>
  <c r="BF93" i="14" s="1"/>
  <c r="BG93" i="14" s="1"/>
  <c r="BO93" i="14" s="1"/>
  <c r="AM93" i="14"/>
  <c r="AK93" i="14"/>
  <c r="CD93" i="14" s="1"/>
  <c r="CP93" i="14"/>
  <c r="V93" i="22" s="1"/>
  <c r="BH92" i="14"/>
  <c r="BI92" i="14" s="1"/>
  <c r="BE92" i="14"/>
  <c r="BM92" i="14" s="1"/>
  <c r="AM92" i="14"/>
  <c r="AK92" i="14"/>
  <c r="CD92" i="14" s="1"/>
  <c r="CP92" i="14"/>
  <c r="V92" i="22" s="1"/>
  <c r="BH91" i="14"/>
  <c r="BI91" i="14" s="1"/>
  <c r="BE91" i="14"/>
  <c r="BF91" i="14" s="1"/>
  <c r="BN91" i="14" s="1"/>
  <c r="CP91" i="14"/>
  <c r="V91" i="22" s="1"/>
  <c r="AM91" i="14"/>
  <c r="AK91" i="14"/>
  <c r="CD91" i="14" s="1"/>
  <c r="BH90" i="14"/>
  <c r="BP90" i="14" s="1"/>
  <c r="BE90" i="14"/>
  <c r="BM90" i="14" s="1"/>
  <c r="CP90" i="14"/>
  <c r="V90" i="22" s="1"/>
  <c r="AM90" i="14"/>
  <c r="BH89" i="14"/>
  <c r="BI89" i="14" s="1"/>
  <c r="BJ89" i="14" s="1"/>
  <c r="BR89" i="14" s="1"/>
  <c r="BE89" i="14"/>
  <c r="AM89" i="14"/>
  <c r="AK89" i="14"/>
  <c r="CD89" i="14" s="1"/>
  <c r="BH88" i="14"/>
  <c r="BP88" i="14" s="1"/>
  <c r="BE88" i="14"/>
  <c r="BM88" i="14" s="1"/>
  <c r="AM88" i="14"/>
  <c r="BH87" i="14"/>
  <c r="BP87" i="14" s="1"/>
  <c r="BE87" i="14"/>
  <c r="BF87" i="14" s="1"/>
  <c r="AM87" i="14"/>
  <c r="AK87" i="14"/>
  <c r="CD87" i="14" s="1"/>
  <c r="BH86" i="14"/>
  <c r="BI86" i="14" s="1"/>
  <c r="BE86" i="14"/>
  <c r="BF86" i="14" s="1"/>
  <c r="AM86" i="14"/>
  <c r="AK86" i="14"/>
  <c r="CD86" i="14" s="1"/>
  <c r="CP86" i="14"/>
  <c r="V86" i="22" s="1"/>
  <c r="BH85" i="14"/>
  <c r="BI85" i="14" s="1"/>
  <c r="BE85" i="14"/>
  <c r="BM85" i="14" s="1"/>
  <c r="CP85" i="14"/>
  <c r="V85" i="22" s="1"/>
  <c r="AM85" i="14"/>
  <c r="BH84" i="14"/>
  <c r="BP84" i="14" s="1"/>
  <c r="BE84" i="14"/>
  <c r="BM84" i="14" s="1"/>
  <c r="AM84" i="14"/>
  <c r="CP84" i="14"/>
  <c r="V84" i="22" s="1"/>
  <c r="BH83" i="14"/>
  <c r="BP83" i="14" s="1"/>
  <c r="BE83" i="14"/>
  <c r="BF83" i="14" s="1"/>
  <c r="AM83" i="14"/>
  <c r="AK83" i="14"/>
  <c r="CD83" i="14" s="1"/>
  <c r="CH83" i="14"/>
  <c r="BH82" i="14"/>
  <c r="BI82" i="14" s="1"/>
  <c r="BE82" i="14"/>
  <c r="BF82" i="14" s="1"/>
  <c r="AM82" i="14"/>
  <c r="AK82" i="14"/>
  <c r="CD82" i="14" s="1"/>
  <c r="BH81" i="14"/>
  <c r="BI81" i="14" s="1"/>
  <c r="BE81" i="14"/>
  <c r="BM81" i="14" s="1"/>
  <c r="AM81" i="14"/>
  <c r="BH80" i="14"/>
  <c r="BI80" i="14" s="1"/>
  <c r="BQ80" i="14" s="1"/>
  <c r="BE80" i="14"/>
  <c r="BF80" i="14" s="1"/>
  <c r="AM80" i="14"/>
  <c r="CP80" i="14"/>
  <c r="V80" i="22" s="1"/>
  <c r="BH79" i="14"/>
  <c r="BP79" i="14" s="1"/>
  <c r="BE79" i="14"/>
  <c r="BF79" i="14" s="1"/>
  <c r="AM79" i="14"/>
  <c r="AK79" i="14"/>
  <c r="CD79" i="14" s="1"/>
  <c r="BH78" i="14"/>
  <c r="BI78" i="14" s="1"/>
  <c r="BE78" i="14"/>
  <c r="AM78" i="14"/>
  <c r="AK78" i="14"/>
  <c r="CD78" i="14" s="1"/>
  <c r="BH77" i="14"/>
  <c r="BI77" i="14" s="1"/>
  <c r="BQ77" i="14" s="1"/>
  <c r="BE77" i="14"/>
  <c r="BM77" i="14" s="1"/>
  <c r="AM77" i="14"/>
  <c r="BH76" i="14"/>
  <c r="BP76" i="14" s="1"/>
  <c r="BE76" i="14"/>
  <c r="BM76" i="14" s="1"/>
  <c r="CI76" i="14"/>
  <c r="AM76" i="14"/>
  <c r="CP76" i="14"/>
  <c r="V76" i="22" s="1"/>
  <c r="BH75" i="14"/>
  <c r="BP75" i="14" s="1"/>
  <c r="BE75" i="14"/>
  <c r="BM75" i="14" s="1"/>
  <c r="AM75" i="14"/>
  <c r="BH74" i="14"/>
  <c r="BP74" i="14" s="1"/>
  <c r="BE74" i="14"/>
  <c r="BF74" i="14" s="1"/>
  <c r="BN74" i="14" s="1"/>
  <c r="AM74" i="14"/>
  <c r="AK74" i="14"/>
  <c r="CD74" i="14" s="1"/>
  <c r="BH73" i="14"/>
  <c r="BI73" i="14" s="1"/>
  <c r="BQ73" i="14" s="1"/>
  <c r="BE73" i="14"/>
  <c r="BM73" i="14" s="1"/>
  <c r="AM73" i="14"/>
  <c r="CP73" i="14"/>
  <c r="V73" i="22" s="1"/>
  <c r="AK73" i="14"/>
  <c r="CD73" i="14" s="1"/>
  <c r="BH72" i="14"/>
  <c r="BP72" i="14" s="1"/>
  <c r="BE72" i="14"/>
  <c r="BM72" i="14" s="1"/>
  <c r="AM72" i="14"/>
  <c r="AK72" i="14"/>
  <c r="CD72" i="14" s="1"/>
  <c r="BH71" i="14"/>
  <c r="BI71" i="14" s="1"/>
  <c r="BE71" i="14"/>
  <c r="BF71" i="14" s="1"/>
  <c r="AM71" i="14"/>
  <c r="AK71" i="14"/>
  <c r="CD71" i="14" s="1"/>
  <c r="CP71" i="14"/>
  <c r="V71" i="22" s="1"/>
  <c r="BH70" i="14"/>
  <c r="BP70" i="14" s="1"/>
  <c r="BE70" i="14"/>
  <c r="BF70" i="14" s="1"/>
  <c r="BN70" i="14" s="1"/>
  <c r="AM70" i="14"/>
  <c r="AK70" i="14"/>
  <c r="CD70" i="14" s="1"/>
  <c r="BH69" i="14"/>
  <c r="BI69" i="14" s="1"/>
  <c r="BE69" i="14"/>
  <c r="BM69" i="14" s="1"/>
  <c r="AM69" i="14"/>
  <c r="AK69" i="14"/>
  <c r="CD69" i="14" s="1"/>
  <c r="BH68" i="14"/>
  <c r="BP68" i="14" s="1"/>
  <c r="BE68" i="14"/>
  <c r="BF68" i="14" s="1"/>
  <c r="AM68" i="14"/>
  <c r="CP68" i="14"/>
  <c r="V68" i="22" s="1"/>
  <c r="AK68" i="14"/>
  <c r="CD68" i="14" s="1"/>
  <c r="BH67" i="14"/>
  <c r="BP67" i="14" s="1"/>
  <c r="BE67" i="14"/>
  <c r="BM67" i="14" s="1"/>
  <c r="AM67" i="14"/>
  <c r="AK67" i="14"/>
  <c r="CD67" i="14" s="1"/>
  <c r="BH66" i="14"/>
  <c r="BI66" i="14" s="1"/>
  <c r="BE66" i="14"/>
  <c r="BF66" i="14" s="1"/>
  <c r="AM66" i="14"/>
  <c r="AK66" i="14"/>
  <c r="CD66" i="14" s="1"/>
  <c r="BH65" i="14"/>
  <c r="BI65" i="14" s="1"/>
  <c r="BQ65" i="14" s="1"/>
  <c r="BE65" i="14"/>
  <c r="BM65" i="14" s="1"/>
  <c r="AM65" i="14"/>
  <c r="CP65" i="14"/>
  <c r="V65" i="22" s="1"/>
  <c r="AK65" i="14"/>
  <c r="CD65" i="14" s="1"/>
  <c r="BH64" i="14"/>
  <c r="BP64" i="14" s="1"/>
  <c r="BE64" i="14"/>
  <c r="BM64" i="14" s="1"/>
  <c r="AM64" i="14"/>
  <c r="BH63" i="14"/>
  <c r="BI63" i="14" s="1"/>
  <c r="BE63" i="14"/>
  <c r="BF63" i="14" s="1"/>
  <c r="AM63" i="14"/>
  <c r="AK63" i="14"/>
  <c r="CD63" i="14" s="1"/>
  <c r="BH62" i="14"/>
  <c r="BI62" i="14" s="1"/>
  <c r="BE62" i="14"/>
  <c r="BF62" i="14" s="1"/>
  <c r="BN62" i="14" s="1"/>
  <c r="AM62" i="14"/>
  <c r="AK62" i="14"/>
  <c r="CD62" i="14" s="1"/>
  <c r="CP62" i="14"/>
  <c r="V62" i="22" s="1"/>
  <c r="BH61" i="14"/>
  <c r="BI61" i="14" s="1"/>
  <c r="BQ61" i="14" s="1"/>
  <c r="BE61" i="14"/>
  <c r="BM61" i="14" s="1"/>
  <c r="AM61" i="14"/>
  <c r="AK61" i="14"/>
  <c r="CD61" i="14" s="1"/>
  <c r="CF61" i="14"/>
  <c r="BH60" i="14"/>
  <c r="BP60" i="14" s="1"/>
  <c r="BE60" i="14"/>
  <c r="BF60" i="14" s="1"/>
  <c r="AM60" i="14"/>
  <c r="CP60" i="14"/>
  <c r="V60" i="22" s="1"/>
  <c r="BH59" i="14"/>
  <c r="BP59" i="14" s="1"/>
  <c r="BE59" i="14"/>
  <c r="BM59" i="14" s="1"/>
  <c r="AM59" i="14"/>
  <c r="AK59" i="14"/>
  <c r="CD59" i="14" s="1"/>
  <c r="CP59" i="14"/>
  <c r="V59" i="22" s="1"/>
  <c r="BH58" i="14"/>
  <c r="BI58" i="14" s="1"/>
  <c r="BE58" i="14"/>
  <c r="BF58" i="14" s="1"/>
  <c r="BN58" i="14" s="1"/>
  <c r="CP58" i="14"/>
  <c r="V58" i="22" s="1"/>
  <c r="AM58" i="14"/>
  <c r="AK58" i="14"/>
  <c r="CD58" i="14" s="1"/>
  <c r="BH57" i="14"/>
  <c r="BI57" i="14" s="1"/>
  <c r="BQ57" i="14" s="1"/>
  <c r="BE57" i="14"/>
  <c r="BM57" i="14" s="1"/>
  <c r="CP57" i="14"/>
  <c r="V57" i="22" s="1"/>
  <c r="AM57" i="14"/>
  <c r="AK57" i="14"/>
  <c r="CD57" i="14" s="1"/>
  <c r="BH56" i="14"/>
  <c r="BP56" i="14" s="1"/>
  <c r="BE56" i="14"/>
  <c r="BM56" i="14" s="1"/>
  <c r="AM56" i="14"/>
  <c r="AK56" i="14"/>
  <c r="CD56" i="14" s="1"/>
  <c r="BH55" i="14"/>
  <c r="BP55" i="14" s="1"/>
  <c r="BE55" i="14"/>
  <c r="BF55" i="14" s="1"/>
  <c r="AM55" i="14"/>
  <c r="CG55" i="14"/>
  <c r="CP55" i="14"/>
  <c r="V55" i="22" s="1"/>
  <c r="BH54" i="14"/>
  <c r="BP54" i="14" s="1"/>
  <c r="BE54" i="14"/>
  <c r="BF54" i="14" s="1"/>
  <c r="BN54" i="14" s="1"/>
  <c r="AM54" i="14"/>
  <c r="AK54" i="14"/>
  <c r="CD54" i="14" s="1"/>
  <c r="BH53" i="14"/>
  <c r="BI53" i="14" s="1"/>
  <c r="BQ53" i="14" s="1"/>
  <c r="BE53" i="14"/>
  <c r="BM53" i="14" s="1"/>
  <c r="AM53" i="14"/>
  <c r="AK53" i="14"/>
  <c r="CD53" i="14" s="1"/>
  <c r="CP53" i="14"/>
  <c r="V53" i="22" s="1"/>
  <c r="BH52" i="14"/>
  <c r="BP52" i="14" s="1"/>
  <c r="BE52" i="14"/>
  <c r="BM52" i="14" s="1"/>
  <c r="AM52" i="14"/>
  <c r="CP52" i="14"/>
  <c r="V52" i="22" s="1"/>
  <c r="BH51" i="14"/>
  <c r="BI51" i="14" s="1"/>
  <c r="BE51" i="14"/>
  <c r="BM51" i="14" s="1"/>
  <c r="AM51" i="14"/>
  <c r="AK51" i="14"/>
  <c r="CD51" i="14" s="1"/>
  <c r="BH50" i="14"/>
  <c r="BP50" i="14" s="1"/>
  <c r="BE50" i="14"/>
  <c r="BF50" i="14" s="1"/>
  <c r="BN50" i="14" s="1"/>
  <c r="AM50" i="14"/>
  <c r="AK50" i="14"/>
  <c r="CD50" i="14" s="1"/>
  <c r="CP50" i="14"/>
  <c r="V50" i="22" s="1"/>
  <c r="BH49" i="14"/>
  <c r="BP49" i="14" s="1"/>
  <c r="BE49" i="14"/>
  <c r="BM49" i="14" s="1"/>
  <c r="AM49" i="14"/>
  <c r="BH48" i="14"/>
  <c r="BP48" i="14" s="1"/>
  <c r="BE48" i="14"/>
  <c r="BM48" i="14" s="1"/>
  <c r="AM48" i="14"/>
  <c r="AK48" i="14"/>
  <c r="CD48" i="14" s="1"/>
  <c r="CP48" i="14"/>
  <c r="V48" i="22" s="1"/>
  <c r="BH47" i="14"/>
  <c r="BP47" i="14" s="1"/>
  <c r="BE47" i="14"/>
  <c r="BF47" i="14" s="1"/>
  <c r="AM47" i="14"/>
  <c r="AK47" i="14"/>
  <c r="CD47" i="14" s="1"/>
  <c r="CH47" i="14"/>
  <c r="BH46" i="14"/>
  <c r="BI46" i="14" s="1"/>
  <c r="BE46" i="14"/>
  <c r="BM46" i="14" s="1"/>
  <c r="CP46" i="14"/>
  <c r="V46" i="22" s="1"/>
  <c r="AM46" i="14"/>
  <c r="AK46" i="14"/>
  <c r="CD46" i="14" s="1"/>
  <c r="BH45" i="14"/>
  <c r="BI45" i="14" s="1"/>
  <c r="BQ45" i="14" s="1"/>
  <c r="BE45" i="14"/>
  <c r="BF45" i="14" s="1"/>
  <c r="AM45" i="14"/>
  <c r="AK45" i="14"/>
  <c r="CD45" i="14" s="1"/>
  <c r="BH44" i="14"/>
  <c r="BP44" i="14" s="1"/>
  <c r="BE44" i="14"/>
  <c r="BF44" i="14" s="1"/>
  <c r="AM44" i="14"/>
  <c r="AK44" i="14"/>
  <c r="CD44" i="14" s="1"/>
  <c r="BH43" i="14"/>
  <c r="BI43" i="14" s="1"/>
  <c r="BE43" i="14"/>
  <c r="BM43" i="14" s="1"/>
  <c r="AM43" i="14"/>
  <c r="BH42" i="14"/>
  <c r="BP42" i="14" s="1"/>
  <c r="BE42" i="14"/>
  <c r="BF42" i="14" s="1"/>
  <c r="BN42" i="14" s="1"/>
  <c r="AM42" i="14"/>
  <c r="AK42" i="14"/>
  <c r="CD42" i="14" s="1"/>
  <c r="BH41" i="14"/>
  <c r="BI41" i="14" s="1"/>
  <c r="BE41" i="14"/>
  <c r="BM41" i="14" s="1"/>
  <c r="AM41" i="14"/>
  <c r="CP41" i="14"/>
  <c r="V41" i="22" s="1"/>
  <c r="BH40" i="14"/>
  <c r="BP40" i="14" s="1"/>
  <c r="BE40" i="14"/>
  <c r="BF40" i="14" s="1"/>
  <c r="AM40" i="14"/>
  <c r="AK40" i="14"/>
  <c r="CD40" i="14" s="1"/>
  <c r="BH39" i="14"/>
  <c r="BP39" i="14" s="1"/>
  <c r="BE39" i="14"/>
  <c r="BM39" i="14" s="1"/>
  <c r="AM39" i="14"/>
  <c r="AK39" i="14"/>
  <c r="CD39" i="14" s="1"/>
  <c r="BH38" i="14"/>
  <c r="BI38" i="14" s="1"/>
  <c r="BE38" i="14"/>
  <c r="BF38" i="14" s="1"/>
  <c r="AM38" i="14"/>
  <c r="AK38" i="14"/>
  <c r="CD38" i="14" s="1"/>
  <c r="BH37" i="14"/>
  <c r="BI37" i="14" s="1"/>
  <c r="BE37" i="14"/>
  <c r="BM37" i="14" s="1"/>
  <c r="AM37" i="14"/>
  <c r="CP37" i="14"/>
  <c r="V37" i="22" s="1"/>
  <c r="AK37" i="14"/>
  <c r="CD37" i="14" s="1"/>
  <c r="BH36" i="14"/>
  <c r="BP36" i="14" s="1"/>
  <c r="BE36" i="14"/>
  <c r="BM36" i="14" s="1"/>
  <c r="AM36" i="14"/>
  <c r="AK36" i="14"/>
  <c r="CD36" i="14" s="1"/>
  <c r="CP36" i="14"/>
  <c r="V36" i="22" s="1"/>
  <c r="BH35" i="14"/>
  <c r="BI35" i="14" s="1"/>
  <c r="BE35" i="14"/>
  <c r="BF35" i="14" s="1"/>
  <c r="AM35" i="14"/>
  <c r="AK35" i="14"/>
  <c r="CD35" i="14" s="1"/>
  <c r="CP35" i="14"/>
  <c r="V35" i="22" s="1"/>
  <c r="BH34" i="14"/>
  <c r="BP34" i="14" s="1"/>
  <c r="BE34" i="14"/>
  <c r="BF34" i="14" s="1"/>
  <c r="CP34" i="14"/>
  <c r="V34" i="22" s="1"/>
  <c r="AM34" i="14"/>
  <c r="BH33" i="14"/>
  <c r="BI33" i="14" s="1"/>
  <c r="BQ33" i="14" s="1"/>
  <c r="BE33" i="14"/>
  <c r="BM33" i="14" s="1"/>
  <c r="AM33" i="14"/>
  <c r="CP33" i="14"/>
  <c r="V33" i="22" s="1"/>
  <c r="AK33" i="14"/>
  <c r="CD33" i="14" s="1"/>
  <c r="BH32" i="14"/>
  <c r="BP32" i="14" s="1"/>
  <c r="BE32" i="14"/>
  <c r="BF32" i="14" s="1"/>
  <c r="AM32" i="14"/>
  <c r="AK32" i="14"/>
  <c r="CD32" i="14" s="1"/>
  <c r="BH31" i="14"/>
  <c r="BI31" i="14" s="1"/>
  <c r="BE31" i="14"/>
  <c r="BF31" i="14" s="1"/>
  <c r="AM31" i="14"/>
  <c r="AK31" i="14"/>
  <c r="CD31" i="14" s="1"/>
  <c r="BH30" i="14"/>
  <c r="BI30" i="14" s="1"/>
  <c r="BE30" i="14"/>
  <c r="BF30" i="14" s="1"/>
  <c r="BN30" i="14" s="1"/>
  <c r="AM30" i="14"/>
  <c r="AK30" i="14"/>
  <c r="CD30" i="14" s="1"/>
  <c r="BH29" i="14"/>
  <c r="BI29" i="14" s="1"/>
  <c r="BQ29" i="14" s="1"/>
  <c r="BE29" i="14"/>
  <c r="BM29" i="14" s="1"/>
  <c r="CI29" i="14"/>
  <c r="AM29" i="14"/>
  <c r="AK29" i="14"/>
  <c r="CD29" i="14" s="1"/>
  <c r="BH28" i="14"/>
  <c r="BP28" i="14" s="1"/>
  <c r="BE28" i="14"/>
  <c r="BF28" i="14" s="1"/>
  <c r="AM28" i="14"/>
  <c r="AK28" i="14"/>
  <c r="CD28" i="14" s="1"/>
  <c r="BH27" i="14"/>
  <c r="BI27" i="14" s="1"/>
  <c r="BE27" i="14"/>
  <c r="BF27" i="14" s="1"/>
  <c r="AM27" i="14"/>
  <c r="AK27" i="14"/>
  <c r="CD27" i="14" s="1"/>
  <c r="BH26" i="14"/>
  <c r="BP26" i="14" s="1"/>
  <c r="BE26" i="14"/>
  <c r="AM26" i="14"/>
  <c r="AK26" i="14"/>
  <c r="CD26" i="14" s="1"/>
  <c r="BH25" i="14"/>
  <c r="BI25" i="14" s="1"/>
  <c r="BQ25" i="14" s="1"/>
  <c r="BE25" i="14"/>
  <c r="BM25" i="14" s="1"/>
  <c r="CP25" i="14"/>
  <c r="V25" i="22" s="1"/>
  <c r="AM25" i="14"/>
  <c r="AK25" i="14"/>
  <c r="CD25" i="14" s="1"/>
  <c r="BH24" i="14"/>
  <c r="BP24" i="14" s="1"/>
  <c r="BE24" i="14"/>
  <c r="BM24" i="14" s="1"/>
  <c r="AM24" i="14"/>
  <c r="AK24" i="14"/>
  <c r="CD24" i="14" s="1"/>
  <c r="BH23" i="14"/>
  <c r="BI23" i="14" s="1"/>
  <c r="BE23" i="14"/>
  <c r="BF23" i="14" s="1"/>
  <c r="AM23" i="14"/>
  <c r="AK23" i="14"/>
  <c r="CD23" i="14" s="1"/>
  <c r="BH22" i="14"/>
  <c r="BI22" i="14" s="1"/>
  <c r="BE22" i="14"/>
  <c r="BM22" i="14" s="1"/>
  <c r="AM22" i="14"/>
  <c r="AK22" i="14"/>
  <c r="CD22" i="14" s="1"/>
  <c r="CP22" i="14"/>
  <c r="V22" i="22" s="1"/>
  <c r="BH21" i="14"/>
  <c r="BP21" i="14" s="1"/>
  <c r="BE21" i="14"/>
  <c r="BM21" i="14" s="1"/>
  <c r="AM21" i="14"/>
  <c r="CP21" i="14"/>
  <c r="V21" i="22" s="1"/>
  <c r="AK21" i="14"/>
  <c r="CD21" i="14" s="1"/>
  <c r="BH20" i="14"/>
  <c r="BI20" i="14" s="1"/>
  <c r="BE20" i="14"/>
  <c r="BF20" i="14" s="1"/>
  <c r="AM20" i="14"/>
  <c r="AK20" i="14"/>
  <c r="CD20" i="14" s="1"/>
  <c r="CP20" i="14"/>
  <c r="V20" i="22" s="1"/>
  <c r="BH19" i="14"/>
  <c r="BP19" i="14" s="1"/>
  <c r="BE19" i="14"/>
  <c r="BF19" i="14" s="1"/>
  <c r="AM19" i="14"/>
  <c r="AK19" i="14"/>
  <c r="CD19" i="14" s="1"/>
  <c r="CP19" i="14"/>
  <c r="V19" i="22" s="1"/>
  <c r="BH18" i="14"/>
  <c r="BI18" i="14" s="1"/>
  <c r="BE18" i="14"/>
  <c r="BM18" i="14" s="1"/>
  <c r="AM18" i="14"/>
  <c r="BH17" i="14"/>
  <c r="BP17" i="14" s="1"/>
  <c r="BE17" i="14"/>
  <c r="BF17" i="14" s="1"/>
  <c r="AM17" i="14"/>
  <c r="CP17" i="14"/>
  <c r="V17" i="22" s="1"/>
  <c r="BH16" i="14"/>
  <c r="BP16" i="14" s="1"/>
  <c r="BE16" i="14"/>
  <c r="BM16" i="14" s="1"/>
  <c r="AM16" i="14"/>
  <c r="AK16" i="14"/>
  <c r="CD16" i="14" s="1"/>
  <c r="BH15" i="14"/>
  <c r="BI15" i="14" s="1"/>
  <c r="BE15" i="14"/>
  <c r="BF15" i="14" s="1"/>
  <c r="AM15" i="14"/>
  <c r="AK15" i="14"/>
  <c r="CD15" i="14" s="1"/>
  <c r="BH14" i="14"/>
  <c r="BI14" i="14" s="1"/>
  <c r="BE14" i="14"/>
  <c r="BM14" i="14" s="1"/>
  <c r="AM14" i="14"/>
  <c r="AK14" i="14"/>
  <c r="CD14" i="14" s="1"/>
  <c r="CP14" i="14"/>
  <c r="V14" i="22" s="1"/>
  <c r="BH13" i="14"/>
  <c r="BP13" i="14" s="1"/>
  <c r="BE13" i="14"/>
  <c r="BM13" i="14" s="1"/>
  <c r="AM13" i="14"/>
  <c r="CP13" i="14"/>
  <c r="V13" i="22" s="1"/>
  <c r="AK13" i="14"/>
  <c r="CD13" i="14" s="1"/>
  <c r="BH12" i="14"/>
  <c r="BI12" i="14" s="1"/>
  <c r="BE12" i="14"/>
  <c r="BF12" i="14" s="1"/>
  <c r="AM12" i="14"/>
  <c r="AK12" i="14"/>
  <c r="CD12" i="14" s="1"/>
  <c r="CP12" i="14"/>
  <c r="V12" i="22" s="1"/>
  <c r="BH11" i="14"/>
  <c r="BP11" i="14" s="1"/>
  <c r="BE11" i="14"/>
  <c r="BF11" i="14" s="1"/>
  <c r="AM11" i="14"/>
  <c r="AK11" i="14"/>
  <c r="CD11" i="14" s="1"/>
  <c r="CP11" i="14"/>
  <c r="V11" i="22" s="1"/>
  <c r="BH10" i="14"/>
  <c r="BI10" i="14" s="1"/>
  <c r="BE10" i="14"/>
  <c r="BM10" i="14" s="1"/>
  <c r="AM10" i="14"/>
  <c r="BH9" i="14"/>
  <c r="BP9" i="14" s="1"/>
  <c r="BE9" i="14"/>
  <c r="BF9" i="14" s="1"/>
  <c r="AM9" i="14"/>
  <c r="CP9" i="14"/>
  <c r="V9" i="22" s="1"/>
  <c r="BH8" i="14"/>
  <c r="BP8" i="14" s="1"/>
  <c r="BE8" i="14"/>
  <c r="BF8" i="14" s="1"/>
  <c r="AM8" i="14"/>
  <c r="CG7" i="14"/>
  <c r="CF7" i="14"/>
  <c r="CE7" i="14"/>
  <c r="BM7" i="14"/>
  <c r="BH7" i="14"/>
  <c r="BQ7" i="14" s="1"/>
  <c r="BE7" i="14"/>
  <c r="BN7" i="14" s="1"/>
  <c r="AM7" i="14"/>
  <c r="CP132" i="3"/>
  <c r="Q132" i="22" s="1"/>
  <c r="CP131" i="3"/>
  <c r="Q131" i="22" s="1"/>
  <c r="CP130" i="3"/>
  <c r="Q130" i="22" s="1"/>
  <c r="CP129" i="3"/>
  <c r="Q129" i="22" s="1"/>
  <c r="CP128" i="3"/>
  <c r="Q128" i="22" s="1"/>
  <c r="CP127" i="3"/>
  <c r="Q127" i="22" s="1"/>
  <c r="CP126" i="3"/>
  <c r="Q126" i="22" s="1"/>
  <c r="CP125" i="3"/>
  <c r="Q125" i="22" s="1"/>
  <c r="CP124" i="3"/>
  <c r="Q124" i="22" s="1"/>
  <c r="CP123" i="3"/>
  <c r="Q123" i="22" s="1"/>
  <c r="CP122" i="3"/>
  <c r="Q122" i="22" s="1"/>
  <c r="CP121" i="3"/>
  <c r="Q121" i="22" s="1"/>
  <c r="CP120" i="3"/>
  <c r="Q120" i="22" s="1"/>
  <c r="CP119" i="3"/>
  <c r="Q119" i="22" s="1"/>
  <c r="CP118" i="3"/>
  <c r="Q118" i="22" s="1"/>
  <c r="CP117" i="3"/>
  <c r="Q117" i="22" s="1"/>
  <c r="CP116" i="3"/>
  <c r="Q116" i="22" s="1"/>
  <c r="CP115" i="3"/>
  <c r="Q115" i="22" s="1"/>
  <c r="CP114" i="3"/>
  <c r="Q114" i="22" s="1"/>
  <c r="CP113" i="3"/>
  <c r="Q113" i="22" s="1"/>
  <c r="CP112" i="3"/>
  <c r="Q112" i="22" s="1"/>
  <c r="CP111" i="3"/>
  <c r="Q111" i="22" s="1"/>
  <c r="CP110" i="3"/>
  <c r="Q110" i="22" s="1"/>
  <c r="CP109" i="3"/>
  <c r="Q109" i="22" s="1"/>
  <c r="CP108" i="3"/>
  <c r="Q108" i="22" s="1"/>
  <c r="CP107" i="3"/>
  <c r="Q107" i="22" s="1"/>
  <c r="CP106" i="3"/>
  <c r="Q106" i="22" s="1"/>
  <c r="CP105" i="3"/>
  <c r="Q105" i="22" s="1"/>
  <c r="CP104" i="3"/>
  <c r="Q104" i="22" s="1"/>
  <c r="CP103" i="3"/>
  <c r="Q103" i="22" s="1"/>
  <c r="CP102" i="3"/>
  <c r="Q102" i="22" s="1"/>
  <c r="CP101" i="3"/>
  <c r="Q101" i="22" s="1"/>
  <c r="CP100" i="3"/>
  <c r="Q100" i="22" s="1"/>
  <c r="CP99" i="3"/>
  <c r="Q99" i="22" s="1"/>
  <c r="CP98" i="3"/>
  <c r="Q98" i="22" s="1"/>
  <c r="CP97" i="3"/>
  <c r="Q97" i="22" s="1"/>
  <c r="CP96" i="3"/>
  <c r="Q96" i="22" s="1"/>
  <c r="CP94" i="3"/>
  <c r="Q94" i="22" s="1"/>
  <c r="CP93" i="3"/>
  <c r="Q93" i="22" s="1"/>
  <c r="CP92" i="3"/>
  <c r="Q92" i="22" s="1"/>
  <c r="CP91" i="3"/>
  <c r="Q91" i="22" s="1"/>
  <c r="CP90" i="3"/>
  <c r="Q90" i="22" s="1"/>
  <c r="CP89" i="3"/>
  <c r="Q89" i="22" s="1"/>
  <c r="CP88" i="3"/>
  <c r="Q88" i="22" s="1"/>
  <c r="CP87" i="3"/>
  <c r="Q87" i="22" s="1"/>
  <c r="CP86" i="3"/>
  <c r="Q86" i="22" s="1"/>
  <c r="CP85" i="3"/>
  <c r="Q85" i="22" s="1"/>
  <c r="CP84" i="3"/>
  <c r="Q84" i="22" s="1"/>
  <c r="CP83" i="3"/>
  <c r="Q83" i="22" s="1"/>
  <c r="CP82" i="3"/>
  <c r="Q82" i="22" s="1"/>
  <c r="CP81" i="3"/>
  <c r="Q81" i="22" s="1"/>
  <c r="CP80" i="3"/>
  <c r="Q80" i="22" s="1"/>
  <c r="CP79" i="3"/>
  <c r="Q79" i="22" s="1"/>
  <c r="CP78" i="3"/>
  <c r="Q78" i="22" s="1"/>
  <c r="CP77" i="3"/>
  <c r="Q77" i="22" s="1"/>
  <c r="CP76" i="3"/>
  <c r="Q76" i="22" s="1"/>
  <c r="CP75" i="3"/>
  <c r="Q75" i="22" s="1"/>
  <c r="CP74" i="3"/>
  <c r="Q74" i="22" s="1"/>
  <c r="CP73" i="3"/>
  <c r="Q73" i="22" s="1"/>
  <c r="CP72" i="3"/>
  <c r="Q72" i="22" s="1"/>
  <c r="CP71" i="3"/>
  <c r="Q71" i="22" s="1"/>
  <c r="CP70" i="3"/>
  <c r="Q70" i="22" s="1"/>
  <c r="CP69" i="3"/>
  <c r="Q69" i="22" s="1"/>
  <c r="CP68" i="3"/>
  <c r="Q68" i="22" s="1"/>
  <c r="CP67" i="3"/>
  <c r="Q67" i="22" s="1"/>
  <c r="CP66" i="3"/>
  <c r="Q66" i="22" s="1"/>
  <c r="CP65" i="3"/>
  <c r="Q65" i="22" s="1"/>
  <c r="CP64" i="3"/>
  <c r="Q64" i="22" s="1"/>
  <c r="CP63" i="3"/>
  <c r="Q63" i="22" s="1"/>
  <c r="CP62" i="3"/>
  <c r="Q62" i="22" s="1"/>
  <c r="CP61" i="3"/>
  <c r="Q61" i="22" s="1"/>
  <c r="CP60" i="3"/>
  <c r="Q60" i="22" s="1"/>
  <c r="CP59" i="3"/>
  <c r="Q59" i="22" s="1"/>
  <c r="CP58" i="3"/>
  <c r="Q58" i="22" s="1"/>
  <c r="CP57" i="3"/>
  <c r="Q57" i="22" s="1"/>
  <c r="CP56" i="3"/>
  <c r="Q56" i="22" s="1"/>
  <c r="CP55" i="3"/>
  <c r="Q55" i="22" s="1"/>
  <c r="CP54" i="3"/>
  <c r="Q54" i="22" s="1"/>
  <c r="CP52" i="3"/>
  <c r="Q52" i="22" s="1"/>
  <c r="CP51" i="3"/>
  <c r="Q51" i="22" s="1"/>
  <c r="CP50" i="3"/>
  <c r="Q50" i="22" s="1"/>
  <c r="CP49" i="3"/>
  <c r="Q49" i="22" s="1"/>
  <c r="CP48" i="3"/>
  <c r="Q48" i="22" s="1"/>
  <c r="CP47" i="3"/>
  <c r="Q47" i="22" s="1"/>
  <c r="CP46" i="3"/>
  <c r="Q46" i="22" s="1"/>
  <c r="CP45" i="3"/>
  <c r="Q45" i="22" s="1"/>
  <c r="CP44" i="3"/>
  <c r="Q44" i="22" s="1"/>
  <c r="CP43" i="3"/>
  <c r="Q43" i="22" s="1"/>
  <c r="CP42" i="3"/>
  <c r="Q42" i="22" s="1"/>
  <c r="CP41" i="3"/>
  <c r="Q41" i="22" s="1"/>
  <c r="CP40" i="3"/>
  <c r="Q40" i="22" s="1"/>
  <c r="CP39" i="3"/>
  <c r="Q39" i="22" s="1"/>
  <c r="CP38" i="3"/>
  <c r="Q38" i="22" s="1"/>
  <c r="CP37" i="3"/>
  <c r="Q37" i="22" s="1"/>
  <c r="CP36" i="3"/>
  <c r="Q36" i="22" s="1"/>
  <c r="CP35" i="3"/>
  <c r="Q35" i="22" s="1"/>
  <c r="CP34" i="3"/>
  <c r="Q34" i="22" s="1"/>
  <c r="CP33" i="3"/>
  <c r="Q33" i="22" s="1"/>
  <c r="CP32" i="3"/>
  <c r="Q32" i="22" s="1"/>
  <c r="CP31" i="3"/>
  <c r="Q31" i="22" s="1"/>
  <c r="CP26" i="3"/>
  <c r="Q26" i="22" s="1"/>
  <c r="CP25" i="3"/>
  <c r="Q25" i="22" s="1"/>
  <c r="CP24" i="3"/>
  <c r="Q24" i="22" s="1"/>
  <c r="CP23" i="3"/>
  <c r="Q23" i="22" s="1"/>
  <c r="CP22" i="3"/>
  <c r="Q22" i="22" s="1"/>
  <c r="CP21" i="3"/>
  <c r="Q21" i="22" s="1"/>
  <c r="CP20" i="3"/>
  <c r="Q20" i="22" s="1"/>
  <c r="CP19" i="3"/>
  <c r="Q19" i="22" s="1"/>
  <c r="CP18" i="3"/>
  <c r="Q18" i="22" s="1"/>
  <c r="CP17" i="3"/>
  <c r="Q17" i="22" s="1"/>
  <c r="CP16" i="3"/>
  <c r="Q16" i="22" s="1"/>
  <c r="CP15" i="3"/>
  <c r="Q15" i="22" s="1"/>
  <c r="CP14" i="3"/>
  <c r="Q14" i="22" s="1"/>
  <c r="CP13" i="3"/>
  <c r="Q13" i="22" s="1"/>
  <c r="CP132" i="7"/>
  <c r="L132" i="22" s="1"/>
  <c r="CP131" i="7"/>
  <c r="L131" i="22" s="1"/>
  <c r="CP130" i="7"/>
  <c r="L130" i="22" s="1"/>
  <c r="CP129" i="7"/>
  <c r="L129" i="22" s="1"/>
  <c r="CP128" i="7"/>
  <c r="L128" i="22" s="1"/>
  <c r="CP127" i="7"/>
  <c r="L127" i="22" s="1"/>
  <c r="CP126" i="7"/>
  <c r="L126" i="22" s="1"/>
  <c r="CP125" i="7"/>
  <c r="L125" i="22" s="1"/>
  <c r="CP124" i="7"/>
  <c r="L124" i="22" s="1"/>
  <c r="CP123" i="7"/>
  <c r="L123" i="22" s="1"/>
  <c r="CP122" i="7"/>
  <c r="L122" i="22" s="1"/>
  <c r="CP121" i="7"/>
  <c r="L121" i="22" s="1"/>
  <c r="CP120" i="7"/>
  <c r="L120" i="22" s="1"/>
  <c r="CP119" i="7"/>
  <c r="L119" i="22" s="1"/>
  <c r="CP118" i="7"/>
  <c r="L118" i="22" s="1"/>
  <c r="CP117" i="7"/>
  <c r="L117" i="22" s="1"/>
  <c r="CP116" i="7"/>
  <c r="L116" i="22" s="1"/>
  <c r="CP115" i="7"/>
  <c r="L115" i="22" s="1"/>
  <c r="CP114" i="7"/>
  <c r="L114" i="22" s="1"/>
  <c r="CP113" i="7"/>
  <c r="L113" i="22" s="1"/>
  <c r="CP112" i="7"/>
  <c r="L112" i="22" s="1"/>
  <c r="CP111" i="7"/>
  <c r="L111" i="22" s="1"/>
  <c r="CP110" i="7"/>
  <c r="L110" i="22" s="1"/>
  <c r="CP109" i="7"/>
  <c r="L109" i="22" s="1"/>
  <c r="CP108" i="7"/>
  <c r="L108" i="22" s="1"/>
  <c r="CP107" i="7"/>
  <c r="L107" i="22" s="1"/>
  <c r="CP106" i="7"/>
  <c r="L106" i="22" s="1"/>
  <c r="CP105" i="7"/>
  <c r="L105" i="22" s="1"/>
  <c r="CP104" i="7"/>
  <c r="L104" i="22" s="1"/>
  <c r="CP103" i="7"/>
  <c r="L103" i="22" s="1"/>
  <c r="CP102" i="7"/>
  <c r="L102" i="22" s="1"/>
  <c r="CP101" i="7"/>
  <c r="L101" i="22" s="1"/>
  <c r="CP100" i="7"/>
  <c r="L100" i="22" s="1"/>
  <c r="CP99" i="7"/>
  <c r="L99" i="22" s="1"/>
  <c r="CP98" i="7"/>
  <c r="L98" i="22" s="1"/>
  <c r="CP97" i="7"/>
  <c r="L97" i="22" s="1"/>
  <c r="CP96" i="7"/>
  <c r="L96" i="22" s="1"/>
  <c r="CP95" i="7"/>
  <c r="L95" i="22" s="1"/>
  <c r="CP94" i="7"/>
  <c r="L94" i="22" s="1"/>
  <c r="CP93" i="7"/>
  <c r="L93" i="22" s="1"/>
  <c r="CP92" i="7"/>
  <c r="L92" i="22" s="1"/>
  <c r="CP91" i="7"/>
  <c r="L91" i="22" s="1"/>
  <c r="CP90" i="7"/>
  <c r="L90" i="22" s="1"/>
  <c r="CP89" i="7"/>
  <c r="L89" i="22" s="1"/>
  <c r="CP88" i="7"/>
  <c r="L88" i="22" s="1"/>
  <c r="CP87" i="7"/>
  <c r="L87" i="22" s="1"/>
  <c r="CP86" i="7"/>
  <c r="L86" i="22" s="1"/>
  <c r="CP85" i="7"/>
  <c r="L85" i="22" s="1"/>
  <c r="CP84" i="7"/>
  <c r="L84" i="22" s="1"/>
  <c r="CP83" i="7"/>
  <c r="L83" i="22" s="1"/>
  <c r="CP82" i="7"/>
  <c r="L82" i="22" s="1"/>
  <c r="CP81" i="7"/>
  <c r="L81" i="22" s="1"/>
  <c r="CP80" i="7"/>
  <c r="L80" i="22" s="1"/>
  <c r="CP79" i="7"/>
  <c r="L79" i="22" s="1"/>
  <c r="CP78" i="7"/>
  <c r="L78" i="22" s="1"/>
  <c r="CP77" i="7"/>
  <c r="L77" i="22" s="1"/>
  <c r="CP76" i="7"/>
  <c r="L76" i="22" s="1"/>
  <c r="CP75" i="7"/>
  <c r="L75" i="22" s="1"/>
  <c r="CP74" i="7"/>
  <c r="L74" i="22" s="1"/>
  <c r="CP73" i="7"/>
  <c r="L73" i="22" s="1"/>
  <c r="CP72" i="7"/>
  <c r="L72" i="22" s="1"/>
  <c r="CP71" i="7"/>
  <c r="L71" i="22" s="1"/>
  <c r="CP70" i="7"/>
  <c r="L70" i="22" s="1"/>
  <c r="CP69" i="7"/>
  <c r="L69" i="22" s="1"/>
  <c r="CP68" i="7"/>
  <c r="L68" i="22" s="1"/>
  <c r="CP67" i="7"/>
  <c r="L67" i="22" s="1"/>
  <c r="CP66" i="7"/>
  <c r="L66" i="22" s="1"/>
  <c r="CP65" i="7"/>
  <c r="L65" i="22" s="1"/>
  <c r="CP64" i="7"/>
  <c r="L64" i="22" s="1"/>
  <c r="CP63" i="7"/>
  <c r="L63" i="22" s="1"/>
  <c r="CP62" i="7"/>
  <c r="L62" i="22" s="1"/>
  <c r="CP61" i="7"/>
  <c r="L61" i="22" s="1"/>
  <c r="CP60" i="7"/>
  <c r="L60" i="22" s="1"/>
  <c r="CP59" i="7"/>
  <c r="L59" i="22" s="1"/>
  <c r="CP58" i="7"/>
  <c r="L58" i="22" s="1"/>
  <c r="CP57" i="7"/>
  <c r="L57" i="22" s="1"/>
  <c r="CP56" i="7"/>
  <c r="L56" i="22" s="1"/>
  <c r="CP55" i="7"/>
  <c r="L55" i="22" s="1"/>
  <c r="CP54" i="7"/>
  <c r="L54" i="22" s="1"/>
  <c r="CP52" i="7"/>
  <c r="L52" i="22" s="1"/>
  <c r="CP51" i="7"/>
  <c r="L51" i="22" s="1"/>
  <c r="CP50" i="7"/>
  <c r="L50" i="22" s="1"/>
  <c r="CP49" i="7"/>
  <c r="L49" i="22" s="1"/>
  <c r="CP48" i="7"/>
  <c r="L48" i="22" s="1"/>
  <c r="CP47" i="7"/>
  <c r="L47" i="22" s="1"/>
  <c r="CP46" i="7"/>
  <c r="L46" i="22" s="1"/>
  <c r="CP45" i="7"/>
  <c r="L45" i="22" s="1"/>
  <c r="CP44" i="7"/>
  <c r="L44" i="22" s="1"/>
  <c r="CP43" i="7"/>
  <c r="L43" i="22" s="1"/>
  <c r="CP42" i="7"/>
  <c r="L42" i="22" s="1"/>
  <c r="CP41" i="7"/>
  <c r="L41" i="22" s="1"/>
  <c r="CP40" i="7"/>
  <c r="L40" i="22" s="1"/>
  <c r="CP39" i="7"/>
  <c r="L39" i="22" s="1"/>
  <c r="CP38" i="7"/>
  <c r="L38" i="22" s="1"/>
  <c r="CP37" i="7"/>
  <c r="L37" i="22" s="1"/>
  <c r="CP36" i="7"/>
  <c r="L36" i="22" s="1"/>
  <c r="CP35" i="7"/>
  <c r="L35" i="22" s="1"/>
  <c r="CP34" i="7"/>
  <c r="L34" i="22" s="1"/>
  <c r="CP33" i="7"/>
  <c r="L33" i="22" s="1"/>
  <c r="CP32" i="7"/>
  <c r="L32" i="22" s="1"/>
  <c r="CP31" i="7"/>
  <c r="CP30" i="7"/>
  <c r="CO30" i="24" s="1"/>
  <c r="CP29" i="7"/>
  <c r="CP28" i="7"/>
  <c r="CP27" i="7"/>
  <c r="CP26" i="7"/>
  <c r="L26" i="22" s="1"/>
  <c r="CP25" i="7"/>
  <c r="L25" i="22" s="1"/>
  <c r="CP24" i="7"/>
  <c r="L24" i="22" s="1"/>
  <c r="CP23" i="7"/>
  <c r="L23" i="22" s="1"/>
  <c r="CP22" i="7"/>
  <c r="L22" i="22" s="1"/>
  <c r="CP21" i="7"/>
  <c r="L21" i="22" s="1"/>
  <c r="CP20" i="7"/>
  <c r="L20" i="22" s="1"/>
  <c r="CP19" i="7"/>
  <c r="L19" i="22" s="1"/>
  <c r="CP18" i="7"/>
  <c r="L18" i="22" s="1"/>
  <c r="CP17" i="7"/>
  <c r="L17" i="22" s="1"/>
  <c r="CP16" i="7"/>
  <c r="L16" i="22" s="1"/>
  <c r="CP15" i="7"/>
  <c r="L15" i="22" s="1"/>
  <c r="CP14" i="7"/>
  <c r="L14" i="22" s="1"/>
  <c r="CP13" i="7"/>
  <c r="L13" i="22" s="1"/>
  <c r="CP12" i="7"/>
  <c r="L12" i="22" s="1"/>
  <c r="CP11" i="7"/>
  <c r="L11" i="22" s="1"/>
  <c r="CP9" i="7"/>
  <c r="L9" i="22" s="1"/>
  <c r="CP8" i="7"/>
  <c r="L8" i="22" s="1"/>
  <c r="CP7" i="7"/>
  <c r="L7" i="22" s="1"/>
  <c r="BE132" i="7"/>
  <c r="BF132" i="7" s="1"/>
  <c r="BG132" i="7" s="1"/>
  <c r="BH132" i="7" s="1"/>
  <c r="BI132" i="7" s="1"/>
  <c r="BJ132" i="7" s="1"/>
  <c r="BK132" i="7" s="1"/>
  <c r="BL132" i="7" s="1"/>
  <c r="BT132" i="7" s="1"/>
  <c r="BE131" i="7"/>
  <c r="BM131" i="7" s="1"/>
  <c r="BE130" i="7"/>
  <c r="BE129" i="7"/>
  <c r="BF129" i="7" s="1"/>
  <c r="BG129" i="7" s="1"/>
  <c r="BH129" i="7" s="1"/>
  <c r="BI129" i="7" s="1"/>
  <c r="BJ129" i="7" s="1"/>
  <c r="BK129" i="7" s="1"/>
  <c r="BL129" i="7" s="1"/>
  <c r="BT129" i="7" s="1"/>
  <c r="BE128" i="7"/>
  <c r="BF128" i="7" s="1"/>
  <c r="BG128" i="7" s="1"/>
  <c r="BE127" i="7"/>
  <c r="BM127" i="7" s="1"/>
  <c r="BE126" i="7"/>
  <c r="BF126" i="7" s="1"/>
  <c r="BG126" i="7" s="1"/>
  <c r="BH126" i="7" s="1"/>
  <c r="BI126" i="7" s="1"/>
  <c r="BJ126" i="7" s="1"/>
  <c r="BK126" i="7" s="1"/>
  <c r="BL126" i="7" s="1"/>
  <c r="BT126" i="7" s="1"/>
  <c r="BE125" i="7"/>
  <c r="BF125" i="7" s="1"/>
  <c r="BG125" i="7" s="1"/>
  <c r="BH125" i="7" s="1"/>
  <c r="BI125" i="7" s="1"/>
  <c r="BJ125" i="7" s="1"/>
  <c r="BK125" i="7" s="1"/>
  <c r="BL125" i="7" s="1"/>
  <c r="BT125" i="7" s="1"/>
  <c r="BE124" i="7"/>
  <c r="BE123" i="7"/>
  <c r="BM123" i="7" s="1"/>
  <c r="BE122" i="7"/>
  <c r="BF122" i="7" s="1"/>
  <c r="BG122" i="7" s="1"/>
  <c r="BH122" i="7" s="1"/>
  <c r="BI122" i="7" s="1"/>
  <c r="BJ122" i="7" s="1"/>
  <c r="BK122" i="7" s="1"/>
  <c r="BL122" i="7" s="1"/>
  <c r="BT122" i="7" s="1"/>
  <c r="BE121" i="7"/>
  <c r="BF121" i="7" s="1"/>
  <c r="BG121" i="7" s="1"/>
  <c r="BH121" i="7" s="1"/>
  <c r="BI121" i="7" s="1"/>
  <c r="BJ121" i="7" s="1"/>
  <c r="BK121" i="7" s="1"/>
  <c r="BL121" i="7" s="1"/>
  <c r="BT121" i="7" s="1"/>
  <c r="BE120" i="7"/>
  <c r="BM120" i="7" s="1"/>
  <c r="BE119" i="7"/>
  <c r="BE118" i="7"/>
  <c r="BF118" i="7" s="1"/>
  <c r="BG118" i="7" s="1"/>
  <c r="BH118" i="7" s="1"/>
  <c r="BI118" i="7" s="1"/>
  <c r="BJ118" i="7" s="1"/>
  <c r="BK118" i="7" s="1"/>
  <c r="BL118" i="7" s="1"/>
  <c r="BT118" i="7" s="1"/>
  <c r="BE117" i="7"/>
  <c r="BF117" i="7" s="1"/>
  <c r="BG117" i="7" s="1"/>
  <c r="BH117" i="7" s="1"/>
  <c r="BI117" i="7" s="1"/>
  <c r="BJ117" i="7" s="1"/>
  <c r="BK117" i="7" s="1"/>
  <c r="BL117" i="7" s="1"/>
  <c r="BT117" i="7" s="1"/>
  <c r="BE116" i="7"/>
  <c r="BF116" i="7" s="1"/>
  <c r="BG116" i="7" s="1"/>
  <c r="BH116" i="7" s="1"/>
  <c r="BI116" i="7" s="1"/>
  <c r="BJ116" i="7" s="1"/>
  <c r="BK116" i="7" s="1"/>
  <c r="BL116" i="7" s="1"/>
  <c r="BT116" i="7" s="1"/>
  <c r="BE115" i="7"/>
  <c r="BF115" i="7" s="1"/>
  <c r="BG115" i="7" s="1"/>
  <c r="BH115" i="7" s="1"/>
  <c r="BI115" i="7" s="1"/>
  <c r="BJ115" i="7" s="1"/>
  <c r="BK115" i="7" s="1"/>
  <c r="BL115" i="7" s="1"/>
  <c r="BT115" i="7" s="1"/>
  <c r="BE114" i="7"/>
  <c r="BF114" i="7" s="1"/>
  <c r="BG114" i="7" s="1"/>
  <c r="BH114" i="7" s="1"/>
  <c r="BI114" i="7" s="1"/>
  <c r="BJ114" i="7" s="1"/>
  <c r="BK114" i="7" s="1"/>
  <c r="BL114" i="7" s="1"/>
  <c r="BT114" i="7" s="1"/>
  <c r="BE113" i="7"/>
  <c r="BF113" i="7" s="1"/>
  <c r="BG113" i="7" s="1"/>
  <c r="BH113" i="7" s="1"/>
  <c r="BI113" i="7" s="1"/>
  <c r="BJ113" i="7" s="1"/>
  <c r="BK113" i="7" s="1"/>
  <c r="BL113" i="7" s="1"/>
  <c r="BT113" i="7" s="1"/>
  <c r="BE112" i="7"/>
  <c r="BE111" i="7"/>
  <c r="BF111" i="7" s="1"/>
  <c r="BG111" i="7" s="1"/>
  <c r="BH111" i="7" s="1"/>
  <c r="BI111" i="7" s="1"/>
  <c r="BJ111" i="7" s="1"/>
  <c r="BK111" i="7" s="1"/>
  <c r="BL111" i="7" s="1"/>
  <c r="BT111" i="7" s="1"/>
  <c r="BE110" i="7"/>
  <c r="BF110" i="7" s="1"/>
  <c r="BG110" i="7" s="1"/>
  <c r="BH110" i="7" s="1"/>
  <c r="BI110" i="7" s="1"/>
  <c r="BJ110" i="7" s="1"/>
  <c r="BK110" i="7" s="1"/>
  <c r="BL110" i="7" s="1"/>
  <c r="BT110" i="7" s="1"/>
  <c r="BE109" i="7"/>
  <c r="BF109" i="7" s="1"/>
  <c r="BG109" i="7" s="1"/>
  <c r="BH109" i="7" s="1"/>
  <c r="BI109" i="7" s="1"/>
  <c r="BJ109" i="7" s="1"/>
  <c r="BK109" i="7" s="1"/>
  <c r="BL109" i="7" s="1"/>
  <c r="BT109" i="7" s="1"/>
  <c r="BE108" i="7"/>
  <c r="BF108" i="7" s="1"/>
  <c r="BG108" i="7" s="1"/>
  <c r="BH108" i="7" s="1"/>
  <c r="BI108" i="7" s="1"/>
  <c r="BJ108" i="7" s="1"/>
  <c r="BK108" i="7" s="1"/>
  <c r="BL108" i="7" s="1"/>
  <c r="BT108" i="7" s="1"/>
  <c r="BE107" i="7"/>
  <c r="BF107" i="7" s="1"/>
  <c r="BG107" i="7" s="1"/>
  <c r="BH107" i="7" s="1"/>
  <c r="BI107" i="7" s="1"/>
  <c r="BJ107" i="7" s="1"/>
  <c r="BK107" i="7" s="1"/>
  <c r="BL107" i="7" s="1"/>
  <c r="BT107" i="7" s="1"/>
  <c r="BE106" i="7"/>
  <c r="BF106" i="7" s="1"/>
  <c r="BG106" i="7" s="1"/>
  <c r="BH106" i="7" s="1"/>
  <c r="BI106" i="7" s="1"/>
  <c r="BJ106" i="7" s="1"/>
  <c r="BK106" i="7" s="1"/>
  <c r="BL106" i="7" s="1"/>
  <c r="BT106" i="7" s="1"/>
  <c r="BE105" i="7"/>
  <c r="BF105" i="7" s="1"/>
  <c r="BG105" i="7" s="1"/>
  <c r="BH105" i="7" s="1"/>
  <c r="BI105" i="7" s="1"/>
  <c r="BJ105" i="7" s="1"/>
  <c r="BK105" i="7" s="1"/>
  <c r="BL105" i="7" s="1"/>
  <c r="BT105" i="7" s="1"/>
  <c r="BE104" i="7"/>
  <c r="BE103" i="7"/>
  <c r="BF103" i="7" s="1"/>
  <c r="BE102" i="7"/>
  <c r="BF102" i="7" s="1"/>
  <c r="BG102" i="7" s="1"/>
  <c r="BH102" i="7" s="1"/>
  <c r="BI102" i="7" s="1"/>
  <c r="BJ102" i="7" s="1"/>
  <c r="BK102" i="7" s="1"/>
  <c r="BL102" i="7" s="1"/>
  <c r="BT102" i="7" s="1"/>
  <c r="BE101" i="7"/>
  <c r="BF101" i="7" s="1"/>
  <c r="BG101" i="7" s="1"/>
  <c r="BH101" i="7" s="1"/>
  <c r="BI101" i="7" s="1"/>
  <c r="BJ101" i="7" s="1"/>
  <c r="BK101" i="7" s="1"/>
  <c r="BL101" i="7" s="1"/>
  <c r="BT101" i="7" s="1"/>
  <c r="BE100" i="7"/>
  <c r="BF100" i="7" s="1"/>
  <c r="BG100" i="7" s="1"/>
  <c r="BH100" i="7" s="1"/>
  <c r="BI100" i="7" s="1"/>
  <c r="BJ100" i="7" s="1"/>
  <c r="BK100" i="7" s="1"/>
  <c r="BL100" i="7" s="1"/>
  <c r="BT100" i="7" s="1"/>
  <c r="BE99" i="7"/>
  <c r="BF99" i="7" s="1"/>
  <c r="BG99" i="7" s="1"/>
  <c r="BH99" i="7" s="1"/>
  <c r="BI99" i="7" s="1"/>
  <c r="BJ99" i="7" s="1"/>
  <c r="BK99" i="7" s="1"/>
  <c r="BL99" i="7" s="1"/>
  <c r="BT99" i="7" s="1"/>
  <c r="BE98" i="7"/>
  <c r="BF98" i="7" s="1"/>
  <c r="BG98" i="7" s="1"/>
  <c r="BH98" i="7" s="1"/>
  <c r="BI98" i="7" s="1"/>
  <c r="BJ98" i="7" s="1"/>
  <c r="BK98" i="7" s="1"/>
  <c r="BL98" i="7" s="1"/>
  <c r="BT98" i="7" s="1"/>
  <c r="BE97" i="7"/>
  <c r="BE96" i="7"/>
  <c r="BF96" i="7" s="1"/>
  <c r="BG96" i="7" s="1"/>
  <c r="BH96" i="7" s="1"/>
  <c r="BI96" i="7" s="1"/>
  <c r="BJ96" i="7" s="1"/>
  <c r="BK96" i="7" s="1"/>
  <c r="BL96" i="7" s="1"/>
  <c r="BT96" i="7" s="1"/>
  <c r="BE95" i="7"/>
  <c r="BF95" i="7" s="1"/>
  <c r="BG95" i="7" s="1"/>
  <c r="BH95" i="7" s="1"/>
  <c r="BI95" i="7" s="1"/>
  <c r="BJ95" i="7" s="1"/>
  <c r="BK95" i="7" s="1"/>
  <c r="BL95" i="7" s="1"/>
  <c r="BT95" i="7" s="1"/>
  <c r="BE94" i="7"/>
  <c r="BF94" i="7" s="1"/>
  <c r="BG94" i="7" s="1"/>
  <c r="BH94" i="7" s="1"/>
  <c r="BI94" i="7" s="1"/>
  <c r="BJ94" i="7" s="1"/>
  <c r="BK94" i="7" s="1"/>
  <c r="BL94" i="7" s="1"/>
  <c r="BT94" i="7" s="1"/>
  <c r="BE93" i="7"/>
  <c r="BF93" i="7" s="1"/>
  <c r="BG93" i="7" s="1"/>
  <c r="BH93" i="7" s="1"/>
  <c r="BI93" i="7" s="1"/>
  <c r="BJ93" i="7" s="1"/>
  <c r="BK93" i="7" s="1"/>
  <c r="BL93" i="7" s="1"/>
  <c r="BT93" i="7" s="1"/>
  <c r="BE92" i="7"/>
  <c r="BF92" i="7" s="1"/>
  <c r="BG92" i="7" s="1"/>
  <c r="BH92" i="7" s="1"/>
  <c r="BI92" i="7" s="1"/>
  <c r="BJ92" i="7" s="1"/>
  <c r="BK92" i="7" s="1"/>
  <c r="BL92" i="7" s="1"/>
  <c r="BT92" i="7" s="1"/>
  <c r="BE91" i="7"/>
  <c r="BF91" i="7" s="1"/>
  <c r="BG91" i="7" s="1"/>
  <c r="BH91" i="7" s="1"/>
  <c r="BI91" i="7" s="1"/>
  <c r="BJ91" i="7" s="1"/>
  <c r="BK91" i="7" s="1"/>
  <c r="BL91" i="7" s="1"/>
  <c r="BT91" i="7" s="1"/>
  <c r="BE90" i="7"/>
  <c r="BF90" i="7" s="1"/>
  <c r="BG90" i="7" s="1"/>
  <c r="BH90" i="7" s="1"/>
  <c r="BI90" i="7" s="1"/>
  <c r="BJ90" i="7" s="1"/>
  <c r="BK90" i="7" s="1"/>
  <c r="BL90" i="7" s="1"/>
  <c r="BT90" i="7" s="1"/>
  <c r="BE89" i="7"/>
  <c r="BE88" i="7"/>
  <c r="BF88" i="7" s="1"/>
  <c r="BG88" i="7" s="1"/>
  <c r="BH88" i="7" s="1"/>
  <c r="BI88" i="7" s="1"/>
  <c r="BJ88" i="7" s="1"/>
  <c r="BK88" i="7" s="1"/>
  <c r="BL88" i="7" s="1"/>
  <c r="BT88" i="7" s="1"/>
  <c r="BE87" i="7"/>
  <c r="BM87" i="7" s="1"/>
  <c r="BE86" i="7"/>
  <c r="BF86" i="7" s="1"/>
  <c r="BG86" i="7" s="1"/>
  <c r="BH86" i="7" s="1"/>
  <c r="BI86" i="7" s="1"/>
  <c r="BJ86" i="7" s="1"/>
  <c r="BK86" i="7" s="1"/>
  <c r="BL86" i="7" s="1"/>
  <c r="BT86" i="7" s="1"/>
  <c r="BE85" i="7"/>
  <c r="BF85" i="7" s="1"/>
  <c r="BG85" i="7" s="1"/>
  <c r="BH85" i="7" s="1"/>
  <c r="BI85" i="7" s="1"/>
  <c r="BJ85" i="7" s="1"/>
  <c r="BK85" i="7" s="1"/>
  <c r="BL85" i="7" s="1"/>
  <c r="BT85" i="7" s="1"/>
  <c r="BE84" i="7"/>
  <c r="BF84" i="7" s="1"/>
  <c r="BG84" i="7" s="1"/>
  <c r="BH84" i="7" s="1"/>
  <c r="BI84" i="7" s="1"/>
  <c r="BE83" i="7"/>
  <c r="BF83" i="7" s="1"/>
  <c r="BE82" i="7"/>
  <c r="BF82" i="7" s="1"/>
  <c r="BG82" i="7" s="1"/>
  <c r="BH82" i="7" s="1"/>
  <c r="BI82" i="7" s="1"/>
  <c r="BJ82" i="7" s="1"/>
  <c r="BK82" i="7" s="1"/>
  <c r="BL82" i="7" s="1"/>
  <c r="BT82" i="7" s="1"/>
  <c r="BE81" i="7"/>
  <c r="BF81" i="7" s="1"/>
  <c r="BG81" i="7" s="1"/>
  <c r="BH81" i="7" s="1"/>
  <c r="BI81" i="7" s="1"/>
  <c r="BJ81" i="7" s="1"/>
  <c r="BK81" i="7" s="1"/>
  <c r="BL81" i="7" s="1"/>
  <c r="BT81" i="7" s="1"/>
  <c r="BE80" i="7"/>
  <c r="BF80" i="7" s="1"/>
  <c r="BG80" i="7" s="1"/>
  <c r="BH80" i="7" s="1"/>
  <c r="BI80" i="7" s="1"/>
  <c r="BJ80" i="7" s="1"/>
  <c r="BK80" i="7" s="1"/>
  <c r="BL80" i="7" s="1"/>
  <c r="BT80" i="7" s="1"/>
  <c r="BE79" i="7"/>
  <c r="BF79" i="7" s="1"/>
  <c r="BE78" i="7"/>
  <c r="BE77" i="7"/>
  <c r="BF77" i="7" s="1"/>
  <c r="BG77" i="7" s="1"/>
  <c r="BH77" i="7" s="1"/>
  <c r="BI77" i="7" s="1"/>
  <c r="BJ77" i="7" s="1"/>
  <c r="BK77" i="7" s="1"/>
  <c r="BL77" i="7" s="1"/>
  <c r="BT77" i="7" s="1"/>
  <c r="BE76" i="7"/>
  <c r="BE75" i="7"/>
  <c r="BF75" i="7" s="1"/>
  <c r="BG75" i="7" s="1"/>
  <c r="BH75" i="7" s="1"/>
  <c r="BI75" i="7" s="1"/>
  <c r="BJ75" i="7" s="1"/>
  <c r="BK75" i="7" s="1"/>
  <c r="BL75" i="7" s="1"/>
  <c r="BT75" i="7" s="1"/>
  <c r="BE74" i="7"/>
  <c r="BF74" i="7" s="1"/>
  <c r="BG74" i="7" s="1"/>
  <c r="BH74" i="7" s="1"/>
  <c r="BI74" i="7" s="1"/>
  <c r="BJ74" i="7" s="1"/>
  <c r="BK74" i="7" s="1"/>
  <c r="BL74" i="7" s="1"/>
  <c r="BT74" i="7" s="1"/>
  <c r="BE73" i="7"/>
  <c r="BF73" i="7" s="1"/>
  <c r="BG73" i="7" s="1"/>
  <c r="BH73" i="7" s="1"/>
  <c r="BI73" i="7" s="1"/>
  <c r="BJ73" i="7" s="1"/>
  <c r="BK73" i="7" s="1"/>
  <c r="BL73" i="7" s="1"/>
  <c r="BT73" i="7" s="1"/>
  <c r="BE72" i="7"/>
  <c r="BF72" i="7" s="1"/>
  <c r="BG72" i="7" s="1"/>
  <c r="BH72" i="7" s="1"/>
  <c r="BI72" i="7" s="1"/>
  <c r="BJ72" i="7" s="1"/>
  <c r="BK72" i="7" s="1"/>
  <c r="BL72" i="7" s="1"/>
  <c r="BT72" i="7" s="1"/>
  <c r="BE71" i="7"/>
  <c r="BF71" i="7" s="1"/>
  <c r="BG71" i="7" s="1"/>
  <c r="BH71" i="7" s="1"/>
  <c r="BI71" i="7" s="1"/>
  <c r="BJ71" i="7" s="1"/>
  <c r="BK71" i="7" s="1"/>
  <c r="BL71" i="7" s="1"/>
  <c r="BT71" i="7" s="1"/>
  <c r="BE70" i="7"/>
  <c r="BM70" i="7" s="1"/>
  <c r="BE69" i="7"/>
  <c r="BM69" i="7" s="1"/>
  <c r="BE68" i="7"/>
  <c r="BM68" i="7" s="1"/>
  <c r="BE67" i="7"/>
  <c r="BF67" i="7" s="1"/>
  <c r="BG67" i="7" s="1"/>
  <c r="BH67" i="7" s="1"/>
  <c r="BI67" i="7" s="1"/>
  <c r="BJ67" i="7" s="1"/>
  <c r="BK67" i="7" s="1"/>
  <c r="BL67" i="7" s="1"/>
  <c r="BT67" i="7" s="1"/>
  <c r="BE66" i="7"/>
  <c r="BF66" i="7" s="1"/>
  <c r="BG66" i="7" s="1"/>
  <c r="BH66" i="7" s="1"/>
  <c r="BI66" i="7" s="1"/>
  <c r="BJ66" i="7" s="1"/>
  <c r="BK66" i="7" s="1"/>
  <c r="BL66" i="7" s="1"/>
  <c r="BT66" i="7" s="1"/>
  <c r="BE65" i="7"/>
  <c r="BE64" i="7"/>
  <c r="BF64" i="7" s="1"/>
  <c r="BE63" i="7"/>
  <c r="BF63" i="7" s="1"/>
  <c r="BG63" i="7" s="1"/>
  <c r="BE62" i="7"/>
  <c r="BF62" i="7" s="1"/>
  <c r="BG62" i="7" s="1"/>
  <c r="BH62" i="7" s="1"/>
  <c r="BI62" i="7" s="1"/>
  <c r="BJ62" i="7" s="1"/>
  <c r="BK62" i="7" s="1"/>
  <c r="BL62" i="7" s="1"/>
  <c r="BT62" i="7" s="1"/>
  <c r="BE61" i="7"/>
  <c r="BE60" i="7"/>
  <c r="BF60" i="7" s="1"/>
  <c r="BE59" i="7"/>
  <c r="BF59" i="7" s="1"/>
  <c r="BG59" i="7" s="1"/>
  <c r="BH59" i="7" s="1"/>
  <c r="BI59" i="7" s="1"/>
  <c r="BJ59" i="7" s="1"/>
  <c r="BK59" i="7" s="1"/>
  <c r="BL59" i="7" s="1"/>
  <c r="BT59" i="7" s="1"/>
  <c r="BE58" i="7"/>
  <c r="BF58" i="7" s="1"/>
  <c r="BG58" i="7" s="1"/>
  <c r="BH58" i="7" s="1"/>
  <c r="BI58" i="7" s="1"/>
  <c r="BJ58" i="7" s="1"/>
  <c r="BK58" i="7" s="1"/>
  <c r="BL58" i="7" s="1"/>
  <c r="BT58" i="7" s="1"/>
  <c r="BE57" i="7"/>
  <c r="BE56" i="7"/>
  <c r="BF56" i="7" s="1"/>
  <c r="BE55" i="7"/>
  <c r="BM55" i="7" s="1"/>
  <c r="BE54" i="7"/>
  <c r="BE53" i="7"/>
  <c r="BF53" i="7" s="1"/>
  <c r="BE52" i="7"/>
  <c r="BF52" i="7" s="1"/>
  <c r="BG52" i="7" s="1"/>
  <c r="BH52" i="7" s="1"/>
  <c r="BE51" i="7"/>
  <c r="BF51" i="7" s="1"/>
  <c r="BE50" i="7"/>
  <c r="BF50" i="7" s="1"/>
  <c r="BG50" i="7" s="1"/>
  <c r="BE49" i="7"/>
  <c r="BF49" i="7" s="1"/>
  <c r="BG49" i="7" s="1"/>
  <c r="BH49" i="7" s="1"/>
  <c r="BE48" i="7"/>
  <c r="BF48" i="7" s="1"/>
  <c r="BG48" i="7" s="1"/>
  <c r="BH48" i="7" s="1"/>
  <c r="BI48" i="7" s="1"/>
  <c r="BE47" i="7"/>
  <c r="BF47" i="7" s="1"/>
  <c r="BG47" i="7" s="1"/>
  <c r="BH47" i="7" s="1"/>
  <c r="BI47" i="7" s="1"/>
  <c r="BJ47" i="7" s="1"/>
  <c r="BK47" i="7" s="1"/>
  <c r="BL47" i="7" s="1"/>
  <c r="BT47" i="7" s="1"/>
  <c r="BE46" i="7"/>
  <c r="BF46" i="7" s="1"/>
  <c r="BG46" i="7" s="1"/>
  <c r="BH46" i="7" s="1"/>
  <c r="BI46" i="7" s="1"/>
  <c r="BJ46" i="7" s="1"/>
  <c r="BK46" i="7" s="1"/>
  <c r="BL46" i="7" s="1"/>
  <c r="BT46" i="7" s="1"/>
  <c r="BE45" i="7"/>
  <c r="BF45" i="7" s="1"/>
  <c r="BG45" i="7" s="1"/>
  <c r="BH45" i="7" s="1"/>
  <c r="BI45" i="7" s="1"/>
  <c r="BJ45" i="7" s="1"/>
  <c r="BK45" i="7" s="1"/>
  <c r="BL45" i="7" s="1"/>
  <c r="BT45" i="7" s="1"/>
  <c r="BE44" i="7"/>
  <c r="BF44" i="7" s="1"/>
  <c r="BG44" i="7" s="1"/>
  <c r="BH44" i="7" s="1"/>
  <c r="BI44" i="7" s="1"/>
  <c r="BJ44" i="7" s="1"/>
  <c r="BK44" i="7" s="1"/>
  <c r="BL44" i="7" s="1"/>
  <c r="BT44" i="7" s="1"/>
  <c r="BE43" i="7"/>
  <c r="BF43" i="7" s="1"/>
  <c r="BG43" i="7" s="1"/>
  <c r="BH43" i="7" s="1"/>
  <c r="BI43" i="7" s="1"/>
  <c r="BJ43" i="7" s="1"/>
  <c r="BK43" i="7" s="1"/>
  <c r="BL43" i="7" s="1"/>
  <c r="BT43" i="7" s="1"/>
  <c r="BE42" i="7"/>
  <c r="BF42" i="7" s="1"/>
  <c r="BG42" i="7" s="1"/>
  <c r="BH42" i="7" s="1"/>
  <c r="BI42" i="7" s="1"/>
  <c r="BJ42" i="7" s="1"/>
  <c r="BK42" i="7" s="1"/>
  <c r="BL42" i="7" s="1"/>
  <c r="BT42" i="7" s="1"/>
  <c r="BE41" i="7"/>
  <c r="BF41" i="7" s="1"/>
  <c r="BG41" i="7" s="1"/>
  <c r="BH41" i="7" s="1"/>
  <c r="BI41" i="7" s="1"/>
  <c r="BJ41" i="7" s="1"/>
  <c r="BK41" i="7" s="1"/>
  <c r="BL41" i="7" s="1"/>
  <c r="BT41" i="7" s="1"/>
  <c r="BE40" i="7"/>
  <c r="BF40" i="7" s="1"/>
  <c r="BG40" i="7" s="1"/>
  <c r="BH40" i="7" s="1"/>
  <c r="BI40" i="7" s="1"/>
  <c r="BJ40" i="7" s="1"/>
  <c r="BK40" i="7" s="1"/>
  <c r="BL40" i="7" s="1"/>
  <c r="BT40" i="7" s="1"/>
  <c r="BE39" i="7"/>
  <c r="BF39" i="7" s="1"/>
  <c r="BG39" i="7" s="1"/>
  <c r="BH39" i="7" s="1"/>
  <c r="BI39" i="7" s="1"/>
  <c r="BJ39" i="7" s="1"/>
  <c r="BK39" i="7" s="1"/>
  <c r="BL39" i="7" s="1"/>
  <c r="BT39" i="7" s="1"/>
  <c r="BE38" i="7"/>
  <c r="BF38" i="7" s="1"/>
  <c r="BG38" i="7" s="1"/>
  <c r="BH38" i="7" s="1"/>
  <c r="BI38" i="7" s="1"/>
  <c r="BJ38" i="7" s="1"/>
  <c r="BK38" i="7" s="1"/>
  <c r="BL38" i="7" s="1"/>
  <c r="BT38" i="7" s="1"/>
  <c r="BE37" i="7"/>
  <c r="BF37" i="7" s="1"/>
  <c r="BG37" i="7" s="1"/>
  <c r="BH37" i="7" s="1"/>
  <c r="BI37" i="7" s="1"/>
  <c r="BJ37" i="7" s="1"/>
  <c r="BK37" i="7" s="1"/>
  <c r="BL37" i="7" s="1"/>
  <c r="BT37" i="7" s="1"/>
  <c r="BE36" i="7"/>
  <c r="BF36" i="7" s="1"/>
  <c r="BG36" i="7" s="1"/>
  <c r="BH36" i="7" s="1"/>
  <c r="BI36" i="7" s="1"/>
  <c r="BJ36" i="7" s="1"/>
  <c r="BK36" i="7" s="1"/>
  <c r="BL36" i="7" s="1"/>
  <c r="BT36" i="7" s="1"/>
  <c r="BE35" i="7"/>
  <c r="BF35" i="7" s="1"/>
  <c r="BG35" i="7" s="1"/>
  <c r="BH35" i="7" s="1"/>
  <c r="BI35" i="7" s="1"/>
  <c r="BJ35" i="7" s="1"/>
  <c r="BK35" i="7" s="1"/>
  <c r="BL35" i="7" s="1"/>
  <c r="BT35" i="7" s="1"/>
  <c r="BE34" i="7"/>
  <c r="BF34" i="7" s="1"/>
  <c r="BG34" i="7" s="1"/>
  <c r="BH34" i="7" s="1"/>
  <c r="BI34" i="7" s="1"/>
  <c r="BJ34" i="7" s="1"/>
  <c r="BK34" i="7" s="1"/>
  <c r="BL34" i="7" s="1"/>
  <c r="BT34" i="7" s="1"/>
  <c r="BE33" i="7"/>
  <c r="BF33" i="7" s="1"/>
  <c r="BG33" i="7" s="1"/>
  <c r="BH33" i="7" s="1"/>
  <c r="BI33" i="7" s="1"/>
  <c r="BJ33" i="7" s="1"/>
  <c r="BK33" i="7" s="1"/>
  <c r="BL33" i="7" s="1"/>
  <c r="BT33" i="7" s="1"/>
  <c r="BE32" i="7"/>
  <c r="BF32" i="7" s="1"/>
  <c r="BG32" i="7" s="1"/>
  <c r="BH32" i="7" s="1"/>
  <c r="BI32" i="7" s="1"/>
  <c r="BJ32" i="7" s="1"/>
  <c r="BK32" i="7" s="1"/>
  <c r="BL32" i="7" s="1"/>
  <c r="BT32" i="7" s="1"/>
  <c r="BE31" i="7"/>
  <c r="BF31" i="7" s="1"/>
  <c r="BG31" i="7" s="1"/>
  <c r="BH31" i="7" s="1"/>
  <c r="BI31" i="7" s="1"/>
  <c r="BJ31" i="7" s="1"/>
  <c r="BK31" i="7" s="1"/>
  <c r="BL31" i="7" s="1"/>
  <c r="BT31" i="7" s="1"/>
  <c r="BE30" i="7"/>
  <c r="BF30" i="7" s="1"/>
  <c r="BG30" i="7" s="1"/>
  <c r="BH30" i="7" s="1"/>
  <c r="BI30" i="7" s="1"/>
  <c r="BJ30" i="7" s="1"/>
  <c r="BK30" i="7" s="1"/>
  <c r="BL30" i="7" s="1"/>
  <c r="BT30" i="7" s="1"/>
  <c r="BE29" i="7"/>
  <c r="BF29" i="7" s="1"/>
  <c r="BG29" i="7" s="1"/>
  <c r="BH29" i="7" s="1"/>
  <c r="BI29" i="7" s="1"/>
  <c r="BJ29" i="7" s="1"/>
  <c r="BK29" i="7" s="1"/>
  <c r="BL29" i="7" s="1"/>
  <c r="BT29" i="7" s="1"/>
  <c r="BE28" i="7"/>
  <c r="BF28" i="7" s="1"/>
  <c r="BG28" i="7" s="1"/>
  <c r="BH28" i="7" s="1"/>
  <c r="BI28" i="7" s="1"/>
  <c r="BJ28" i="7" s="1"/>
  <c r="BK28" i="7" s="1"/>
  <c r="BL28" i="7" s="1"/>
  <c r="BT28" i="7" s="1"/>
  <c r="BE27" i="7"/>
  <c r="BF27" i="7" s="1"/>
  <c r="BG27" i="7" s="1"/>
  <c r="BH27" i="7" s="1"/>
  <c r="BI27" i="7" s="1"/>
  <c r="BJ27" i="7" s="1"/>
  <c r="BK27" i="7" s="1"/>
  <c r="BL27" i="7" s="1"/>
  <c r="BT27" i="7" s="1"/>
  <c r="BE26" i="7"/>
  <c r="BF26" i="7" s="1"/>
  <c r="BE25" i="7"/>
  <c r="BF25" i="7" s="1"/>
  <c r="BG25" i="7" s="1"/>
  <c r="BH25" i="7" s="1"/>
  <c r="BI25" i="7" s="1"/>
  <c r="BJ25" i="7" s="1"/>
  <c r="BK25" i="7" s="1"/>
  <c r="BL25" i="7" s="1"/>
  <c r="BT25" i="7" s="1"/>
  <c r="BE24" i="7"/>
  <c r="BF24" i="7" s="1"/>
  <c r="BG24" i="7" s="1"/>
  <c r="BH24" i="7" s="1"/>
  <c r="BI24" i="7" s="1"/>
  <c r="BJ24" i="7" s="1"/>
  <c r="BK24" i="7" s="1"/>
  <c r="BL24" i="7" s="1"/>
  <c r="BT24" i="7" s="1"/>
  <c r="BE23" i="7"/>
  <c r="BF23" i="7" s="1"/>
  <c r="BG23" i="7" s="1"/>
  <c r="BH23" i="7" s="1"/>
  <c r="BI23" i="7" s="1"/>
  <c r="BJ23" i="7" s="1"/>
  <c r="BK23" i="7" s="1"/>
  <c r="BL23" i="7" s="1"/>
  <c r="BT23" i="7" s="1"/>
  <c r="BE22" i="7"/>
  <c r="BF22" i="7" s="1"/>
  <c r="BG22" i="7" s="1"/>
  <c r="BH22" i="7" s="1"/>
  <c r="BI22" i="7" s="1"/>
  <c r="BJ22" i="7" s="1"/>
  <c r="BK22" i="7" s="1"/>
  <c r="BL22" i="7" s="1"/>
  <c r="BT22" i="7" s="1"/>
  <c r="BE21" i="7"/>
  <c r="BF21" i="7" s="1"/>
  <c r="BG21" i="7" s="1"/>
  <c r="BH21" i="7" s="1"/>
  <c r="BI21" i="7" s="1"/>
  <c r="BJ21" i="7" s="1"/>
  <c r="BK21" i="7" s="1"/>
  <c r="BL21" i="7" s="1"/>
  <c r="BT21" i="7" s="1"/>
  <c r="BE20" i="7"/>
  <c r="BF20" i="7" s="1"/>
  <c r="BG20" i="7" s="1"/>
  <c r="BH20" i="7" s="1"/>
  <c r="BI20" i="7" s="1"/>
  <c r="BJ20" i="7" s="1"/>
  <c r="BK20" i="7" s="1"/>
  <c r="BL20" i="7" s="1"/>
  <c r="BT20" i="7" s="1"/>
  <c r="BE19" i="7"/>
  <c r="BF19" i="7" s="1"/>
  <c r="BG19" i="7" s="1"/>
  <c r="BH19" i="7" s="1"/>
  <c r="BI19" i="7" s="1"/>
  <c r="BJ19" i="7" s="1"/>
  <c r="BK19" i="7" s="1"/>
  <c r="BL19" i="7" s="1"/>
  <c r="BT19" i="7" s="1"/>
  <c r="BE18" i="7"/>
  <c r="BF18" i="7" s="1"/>
  <c r="BG18" i="7" s="1"/>
  <c r="BH18" i="7" s="1"/>
  <c r="BI18" i="7" s="1"/>
  <c r="BJ18" i="7" s="1"/>
  <c r="BK18" i="7" s="1"/>
  <c r="BL18" i="7" s="1"/>
  <c r="BT18" i="7" s="1"/>
  <c r="BE17" i="7"/>
  <c r="BF17" i="7" s="1"/>
  <c r="BG17" i="7" s="1"/>
  <c r="BH17" i="7" s="1"/>
  <c r="BI17" i="7" s="1"/>
  <c r="BJ17" i="7" s="1"/>
  <c r="BK17" i="7" s="1"/>
  <c r="BL17" i="7" s="1"/>
  <c r="BT17" i="7" s="1"/>
  <c r="BE16" i="7"/>
  <c r="BF16" i="7" s="1"/>
  <c r="BG16" i="7" s="1"/>
  <c r="BH16" i="7" s="1"/>
  <c r="BI16" i="7" s="1"/>
  <c r="BJ16" i="7" s="1"/>
  <c r="BK16" i="7" s="1"/>
  <c r="BL16" i="7" s="1"/>
  <c r="BT16" i="7" s="1"/>
  <c r="BE15" i="7"/>
  <c r="BF15" i="7" s="1"/>
  <c r="BG15" i="7" s="1"/>
  <c r="BH15" i="7" s="1"/>
  <c r="BI15" i="7" s="1"/>
  <c r="BJ15" i="7" s="1"/>
  <c r="BK15" i="7" s="1"/>
  <c r="BL15" i="7" s="1"/>
  <c r="BT15" i="7" s="1"/>
  <c r="BE14" i="7"/>
  <c r="BF14" i="7" s="1"/>
  <c r="BG14" i="7" s="1"/>
  <c r="BH14" i="7" s="1"/>
  <c r="BI14" i="7" s="1"/>
  <c r="BJ14" i="7" s="1"/>
  <c r="BK14" i="7" s="1"/>
  <c r="BL14" i="7" s="1"/>
  <c r="BT14" i="7" s="1"/>
  <c r="BE13" i="7"/>
  <c r="BF13" i="7" s="1"/>
  <c r="BG13" i="7" s="1"/>
  <c r="BH13" i="7" s="1"/>
  <c r="BI13" i="7" s="1"/>
  <c r="BJ13" i="7" s="1"/>
  <c r="BK13" i="7" s="1"/>
  <c r="BL13" i="7" s="1"/>
  <c r="BT13" i="7" s="1"/>
  <c r="BE12" i="7"/>
  <c r="BF12" i="7" s="1"/>
  <c r="BG12" i="7" s="1"/>
  <c r="BH12" i="7" s="1"/>
  <c r="BI12" i="7" s="1"/>
  <c r="BJ12" i="7" s="1"/>
  <c r="BK12" i="7" s="1"/>
  <c r="BL12" i="7" s="1"/>
  <c r="BT12" i="7" s="1"/>
  <c r="BE11" i="7"/>
  <c r="BF11" i="7" s="1"/>
  <c r="BG11" i="7" s="1"/>
  <c r="BH11" i="7" s="1"/>
  <c r="BI11" i="7" s="1"/>
  <c r="BJ11" i="7" s="1"/>
  <c r="BK11" i="7" s="1"/>
  <c r="BL11" i="7" s="1"/>
  <c r="BT11" i="7" s="1"/>
  <c r="BE10" i="7"/>
  <c r="BF10" i="7" s="1"/>
  <c r="BG10" i="7" s="1"/>
  <c r="BH10" i="7" s="1"/>
  <c r="BI10" i="7" s="1"/>
  <c r="BJ10" i="7" s="1"/>
  <c r="BK10" i="7" s="1"/>
  <c r="BL10" i="7" s="1"/>
  <c r="BT10" i="7" s="1"/>
  <c r="BE9" i="7"/>
  <c r="BF9" i="7" s="1"/>
  <c r="BG9" i="7" s="1"/>
  <c r="BH9" i="7" s="1"/>
  <c r="BI9" i="7" s="1"/>
  <c r="BJ9" i="7" s="1"/>
  <c r="BK9" i="7" s="1"/>
  <c r="BL9" i="7" s="1"/>
  <c r="BT9" i="7" s="1"/>
  <c r="BE8" i="7"/>
  <c r="BF8" i="7" s="1"/>
  <c r="BG8" i="7" s="1"/>
  <c r="BH8" i="7" s="1"/>
  <c r="BI8" i="7" s="1"/>
  <c r="BJ8" i="7" s="1"/>
  <c r="BK8" i="7" s="1"/>
  <c r="BL8" i="7" s="1"/>
  <c r="BT8" i="7" s="1"/>
  <c r="BE132" i="3"/>
  <c r="BM132" i="3" s="1"/>
  <c r="BE131" i="3"/>
  <c r="BF131" i="3" s="1"/>
  <c r="BG131" i="3" s="1"/>
  <c r="BH131" i="3" s="1"/>
  <c r="BI131" i="3" s="1"/>
  <c r="BJ131" i="3" s="1"/>
  <c r="BK131" i="3" s="1"/>
  <c r="BL131" i="3" s="1"/>
  <c r="BT131" i="3" s="1"/>
  <c r="BE130" i="3"/>
  <c r="BF130" i="3" s="1"/>
  <c r="BG130" i="3" s="1"/>
  <c r="BH130" i="3" s="1"/>
  <c r="BI130" i="3" s="1"/>
  <c r="BJ130" i="3" s="1"/>
  <c r="BK130" i="3" s="1"/>
  <c r="BL130" i="3" s="1"/>
  <c r="BT130" i="3" s="1"/>
  <c r="BE129" i="3"/>
  <c r="BF129" i="3" s="1"/>
  <c r="BE128" i="3"/>
  <c r="BM128" i="3" s="1"/>
  <c r="BE127" i="3"/>
  <c r="BM127" i="3" s="1"/>
  <c r="BE126" i="3"/>
  <c r="BF126" i="3" s="1"/>
  <c r="BG126" i="3" s="1"/>
  <c r="BH126" i="3" s="1"/>
  <c r="BI126" i="3" s="1"/>
  <c r="BJ126" i="3" s="1"/>
  <c r="BK126" i="3" s="1"/>
  <c r="BL126" i="3" s="1"/>
  <c r="BT126" i="3" s="1"/>
  <c r="BE125" i="3"/>
  <c r="BF125" i="3" s="1"/>
  <c r="BE124" i="3"/>
  <c r="BE123" i="3"/>
  <c r="BF123" i="3" s="1"/>
  <c r="BG123" i="3" s="1"/>
  <c r="BH123" i="3" s="1"/>
  <c r="BI123" i="3" s="1"/>
  <c r="BJ123" i="3" s="1"/>
  <c r="BK123" i="3" s="1"/>
  <c r="BL123" i="3" s="1"/>
  <c r="BT123" i="3" s="1"/>
  <c r="BE122" i="3"/>
  <c r="BF122" i="3" s="1"/>
  <c r="BG122" i="3" s="1"/>
  <c r="BH122" i="3" s="1"/>
  <c r="BI122" i="3" s="1"/>
  <c r="BJ122" i="3" s="1"/>
  <c r="BK122" i="3" s="1"/>
  <c r="BL122" i="3" s="1"/>
  <c r="BT122" i="3" s="1"/>
  <c r="BE121" i="3"/>
  <c r="BF121" i="3" s="1"/>
  <c r="BG121" i="3" s="1"/>
  <c r="BH121" i="3" s="1"/>
  <c r="BI121" i="3" s="1"/>
  <c r="BJ121" i="3" s="1"/>
  <c r="BK121" i="3" s="1"/>
  <c r="BL121" i="3" s="1"/>
  <c r="BT121" i="3" s="1"/>
  <c r="BE120" i="3"/>
  <c r="BF120" i="3" s="1"/>
  <c r="BG120" i="3" s="1"/>
  <c r="BH120" i="3" s="1"/>
  <c r="BI120" i="3" s="1"/>
  <c r="BJ120" i="3" s="1"/>
  <c r="BK120" i="3" s="1"/>
  <c r="BL120" i="3" s="1"/>
  <c r="BT120" i="3" s="1"/>
  <c r="BE119" i="3"/>
  <c r="BF119" i="3" s="1"/>
  <c r="BE118" i="3"/>
  <c r="BF118" i="3" s="1"/>
  <c r="BG118" i="3" s="1"/>
  <c r="BH118" i="3" s="1"/>
  <c r="BI118" i="3" s="1"/>
  <c r="BJ118" i="3" s="1"/>
  <c r="BK118" i="3" s="1"/>
  <c r="BL118" i="3" s="1"/>
  <c r="BT118" i="3" s="1"/>
  <c r="BE117" i="3"/>
  <c r="BE116" i="3"/>
  <c r="BM116" i="3" s="1"/>
  <c r="BE115" i="3"/>
  <c r="BM115" i="3" s="1"/>
  <c r="BE114" i="3"/>
  <c r="BF114" i="3" s="1"/>
  <c r="BG114" i="3" s="1"/>
  <c r="BH114" i="3" s="1"/>
  <c r="BI114" i="3" s="1"/>
  <c r="BJ114" i="3" s="1"/>
  <c r="BK114" i="3" s="1"/>
  <c r="BL114" i="3" s="1"/>
  <c r="BT114" i="3" s="1"/>
  <c r="BE113" i="3"/>
  <c r="BF113" i="3" s="1"/>
  <c r="BE112" i="3"/>
  <c r="BE111" i="3"/>
  <c r="BF111" i="3" s="1"/>
  <c r="BG111" i="3" s="1"/>
  <c r="BH111" i="3" s="1"/>
  <c r="BI111" i="3" s="1"/>
  <c r="BJ111" i="3" s="1"/>
  <c r="BK111" i="3" s="1"/>
  <c r="BL111" i="3" s="1"/>
  <c r="BT111" i="3" s="1"/>
  <c r="BE110" i="3"/>
  <c r="BF110" i="3" s="1"/>
  <c r="BG110" i="3" s="1"/>
  <c r="BH110" i="3" s="1"/>
  <c r="BI110" i="3" s="1"/>
  <c r="BJ110" i="3" s="1"/>
  <c r="BK110" i="3" s="1"/>
  <c r="BL110" i="3" s="1"/>
  <c r="BT110" i="3" s="1"/>
  <c r="BE109" i="3"/>
  <c r="BM109" i="3" s="1"/>
  <c r="BE108" i="3"/>
  <c r="BF108" i="3" s="1"/>
  <c r="BG108" i="3" s="1"/>
  <c r="BH108" i="3" s="1"/>
  <c r="BI108" i="3" s="1"/>
  <c r="BJ108" i="3" s="1"/>
  <c r="BK108" i="3" s="1"/>
  <c r="BL108" i="3" s="1"/>
  <c r="BT108" i="3" s="1"/>
  <c r="BE107" i="3"/>
  <c r="BF107" i="3" s="1"/>
  <c r="BG107" i="3" s="1"/>
  <c r="BH107" i="3" s="1"/>
  <c r="BI107" i="3" s="1"/>
  <c r="BJ107" i="3" s="1"/>
  <c r="BK107" i="3" s="1"/>
  <c r="BL107" i="3" s="1"/>
  <c r="BT107" i="3" s="1"/>
  <c r="BE106" i="3"/>
  <c r="BF106" i="3" s="1"/>
  <c r="BG106" i="3" s="1"/>
  <c r="BH106" i="3" s="1"/>
  <c r="BI106" i="3" s="1"/>
  <c r="BJ106" i="3" s="1"/>
  <c r="BK106" i="3" s="1"/>
  <c r="BL106" i="3" s="1"/>
  <c r="BT106" i="3" s="1"/>
  <c r="BE105" i="3"/>
  <c r="BF105" i="3" s="1"/>
  <c r="BE104" i="3"/>
  <c r="BM104" i="3" s="1"/>
  <c r="BE103" i="3"/>
  <c r="BM103" i="3" s="1"/>
  <c r="BE102" i="3"/>
  <c r="BF102" i="3" s="1"/>
  <c r="BG102" i="3" s="1"/>
  <c r="BH102" i="3" s="1"/>
  <c r="BI102" i="3" s="1"/>
  <c r="BJ102" i="3" s="1"/>
  <c r="BK102" i="3" s="1"/>
  <c r="BL102" i="3" s="1"/>
  <c r="BT102" i="3" s="1"/>
  <c r="BE101" i="3"/>
  <c r="BF101" i="3" s="1"/>
  <c r="BG101" i="3" s="1"/>
  <c r="BH101" i="3" s="1"/>
  <c r="BI101" i="3" s="1"/>
  <c r="BJ101" i="3" s="1"/>
  <c r="BK101" i="3" s="1"/>
  <c r="BL101" i="3" s="1"/>
  <c r="BT101" i="3" s="1"/>
  <c r="BE100" i="3"/>
  <c r="BE99" i="3"/>
  <c r="BF99" i="3" s="1"/>
  <c r="BG99" i="3" s="1"/>
  <c r="BH99" i="3" s="1"/>
  <c r="BI99" i="3" s="1"/>
  <c r="BJ99" i="3" s="1"/>
  <c r="BK99" i="3" s="1"/>
  <c r="BL99" i="3" s="1"/>
  <c r="BT99" i="3" s="1"/>
  <c r="BE98" i="3"/>
  <c r="BF98" i="3" s="1"/>
  <c r="BG98" i="3" s="1"/>
  <c r="BH98" i="3" s="1"/>
  <c r="BI98" i="3" s="1"/>
  <c r="BJ98" i="3" s="1"/>
  <c r="BK98" i="3" s="1"/>
  <c r="BL98" i="3" s="1"/>
  <c r="BT98" i="3" s="1"/>
  <c r="BE97" i="3"/>
  <c r="BM97" i="3" s="1"/>
  <c r="BE96" i="3"/>
  <c r="BF96" i="3" s="1"/>
  <c r="BG96" i="3" s="1"/>
  <c r="BH96" i="3" s="1"/>
  <c r="BI96" i="3" s="1"/>
  <c r="BJ96" i="3" s="1"/>
  <c r="BK96" i="3" s="1"/>
  <c r="BL96" i="3" s="1"/>
  <c r="BT96" i="3" s="1"/>
  <c r="BE95" i="3"/>
  <c r="BF95" i="3" s="1"/>
  <c r="BG95" i="3" s="1"/>
  <c r="BH95" i="3" s="1"/>
  <c r="BI95" i="3" s="1"/>
  <c r="BJ95" i="3" s="1"/>
  <c r="BK95" i="3" s="1"/>
  <c r="BL95" i="3" s="1"/>
  <c r="BT95" i="3" s="1"/>
  <c r="BE94" i="3"/>
  <c r="BF94" i="3" s="1"/>
  <c r="BG94" i="3" s="1"/>
  <c r="BH94" i="3" s="1"/>
  <c r="BI94" i="3" s="1"/>
  <c r="BJ94" i="3" s="1"/>
  <c r="BK94" i="3" s="1"/>
  <c r="BL94" i="3" s="1"/>
  <c r="BT94" i="3" s="1"/>
  <c r="BE93" i="3"/>
  <c r="BE92" i="3"/>
  <c r="BF92" i="3" s="1"/>
  <c r="BG92" i="3" s="1"/>
  <c r="BH92" i="3" s="1"/>
  <c r="BI92" i="3" s="1"/>
  <c r="BJ92" i="3" s="1"/>
  <c r="BK92" i="3" s="1"/>
  <c r="BL92" i="3" s="1"/>
  <c r="BT92" i="3" s="1"/>
  <c r="BE91" i="3"/>
  <c r="BF91" i="3" s="1"/>
  <c r="BG91" i="3" s="1"/>
  <c r="BH91" i="3" s="1"/>
  <c r="BI91" i="3" s="1"/>
  <c r="BJ91" i="3" s="1"/>
  <c r="BK91" i="3" s="1"/>
  <c r="BL91" i="3" s="1"/>
  <c r="BT91" i="3" s="1"/>
  <c r="BE90" i="3"/>
  <c r="BF90" i="3" s="1"/>
  <c r="BG90" i="3" s="1"/>
  <c r="BH90" i="3" s="1"/>
  <c r="BI90" i="3" s="1"/>
  <c r="BJ90" i="3" s="1"/>
  <c r="BK90" i="3" s="1"/>
  <c r="BL90" i="3" s="1"/>
  <c r="BT90" i="3" s="1"/>
  <c r="BE89" i="3"/>
  <c r="BF89" i="3" s="1"/>
  <c r="BG89" i="3" s="1"/>
  <c r="BH89" i="3" s="1"/>
  <c r="BI89" i="3" s="1"/>
  <c r="BJ89" i="3" s="1"/>
  <c r="BK89" i="3" s="1"/>
  <c r="BL89" i="3" s="1"/>
  <c r="BT89" i="3" s="1"/>
  <c r="BE88" i="3"/>
  <c r="BF88" i="3" s="1"/>
  <c r="BG88" i="3" s="1"/>
  <c r="BH88" i="3" s="1"/>
  <c r="BI88" i="3" s="1"/>
  <c r="BJ88" i="3" s="1"/>
  <c r="BK88" i="3" s="1"/>
  <c r="BL88" i="3" s="1"/>
  <c r="BT88" i="3" s="1"/>
  <c r="BE87" i="3"/>
  <c r="BF87" i="3" s="1"/>
  <c r="BG87" i="3" s="1"/>
  <c r="BH87" i="3" s="1"/>
  <c r="BI87" i="3" s="1"/>
  <c r="BJ87" i="3" s="1"/>
  <c r="BK87" i="3" s="1"/>
  <c r="BL87" i="3" s="1"/>
  <c r="BT87" i="3" s="1"/>
  <c r="BE86" i="3"/>
  <c r="BE85" i="3"/>
  <c r="BF85" i="3" s="1"/>
  <c r="BE84" i="3"/>
  <c r="BM84" i="3" s="1"/>
  <c r="BE83" i="3"/>
  <c r="BM83" i="3" s="1"/>
  <c r="BE82" i="3"/>
  <c r="BM82" i="3" s="1"/>
  <c r="BE81" i="3"/>
  <c r="BM81" i="3" s="1"/>
  <c r="BE80" i="3"/>
  <c r="BE79" i="3"/>
  <c r="BF79" i="3" s="1"/>
  <c r="BG79" i="3" s="1"/>
  <c r="BH79" i="3" s="1"/>
  <c r="BI79" i="3" s="1"/>
  <c r="BJ79" i="3" s="1"/>
  <c r="BK79" i="3" s="1"/>
  <c r="BL79" i="3" s="1"/>
  <c r="BT79" i="3" s="1"/>
  <c r="BE78" i="3"/>
  <c r="BM78" i="3" s="1"/>
  <c r="BE77" i="3"/>
  <c r="BE76" i="3"/>
  <c r="BM76" i="3" s="1"/>
  <c r="BE75" i="3"/>
  <c r="BF75" i="3" s="1"/>
  <c r="BG75" i="3" s="1"/>
  <c r="BH75" i="3" s="1"/>
  <c r="BI75" i="3" s="1"/>
  <c r="BJ75" i="3" s="1"/>
  <c r="BK75" i="3" s="1"/>
  <c r="BL75" i="3" s="1"/>
  <c r="BT75" i="3" s="1"/>
  <c r="BE74" i="3"/>
  <c r="BE73" i="3"/>
  <c r="BF73" i="3" s="1"/>
  <c r="BG73" i="3" s="1"/>
  <c r="BH73" i="3" s="1"/>
  <c r="BI73" i="3" s="1"/>
  <c r="BJ73" i="3" s="1"/>
  <c r="BK73" i="3" s="1"/>
  <c r="BL73" i="3" s="1"/>
  <c r="BT73" i="3" s="1"/>
  <c r="BE72" i="3"/>
  <c r="BF72" i="3" s="1"/>
  <c r="BG72" i="3" s="1"/>
  <c r="BH72" i="3" s="1"/>
  <c r="BI72" i="3" s="1"/>
  <c r="BJ72" i="3" s="1"/>
  <c r="BK72" i="3" s="1"/>
  <c r="BL72" i="3" s="1"/>
  <c r="BT72" i="3" s="1"/>
  <c r="BE71" i="3"/>
  <c r="BE70" i="3"/>
  <c r="BF70" i="3" s="1"/>
  <c r="BE69" i="3"/>
  <c r="BF69" i="3" s="1"/>
  <c r="BG69" i="3" s="1"/>
  <c r="BH69" i="3" s="1"/>
  <c r="BI69" i="3" s="1"/>
  <c r="BJ69" i="3" s="1"/>
  <c r="BK69" i="3" s="1"/>
  <c r="BL69" i="3" s="1"/>
  <c r="BT69" i="3" s="1"/>
  <c r="BE68" i="3"/>
  <c r="BE67" i="3"/>
  <c r="BF67" i="3" s="1"/>
  <c r="BE66" i="3"/>
  <c r="BF66" i="3" s="1"/>
  <c r="BG66" i="3" s="1"/>
  <c r="BE65" i="3"/>
  <c r="BF65" i="3" s="1"/>
  <c r="BE64" i="3"/>
  <c r="BF64" i="3" s="1"/>
  <c r="BG64" i="3" s="1"/>
  <c r="BH64" i="3" s="1"/>
  <c r="BI64" i="3" s="1"/>
  <c r="BJ64" i="3" s="1"/>
  <c r="BK64" i="3" s="1"/>
  <c r="BL64" i="3" s="1"/>
  <c r="BT64" i="3" s="1"/>
  <c r="BE63" i="3"/>
  <c r="BF63" i="3" s="1"/>
  <c r="BG63" i="3" s="1"/>
  <c r="BH63" i="3" s="1"/>
  <c r="BI63" i="3" s="1"/>
  <c r="BJ63" i="3" s="1"/>
  <c r="BK63" i="3" s="1"/>
  <c r="BL63" i="3" s="1"/>
  <c r="BT63" i="3" s="1"/>
  <c r="BE62" i="3"/>
  <c r="BE61" i="3"/>
  <c r="BF61" i="3" s="1"/>
  <c r="BE60" i="3"/>
  <c r="BF60" i="3" s="1"/>
  <c r="BG60" i="3" s="1"/>
  <c r="BE59" i="3"/>
  <c r="BM59" i="3" s="1"/>
  <c r="BE58" i="3"/>
  <c r="BF58" i="3" s="1"/>
  <c r="BG58" i="3" s="1"/>
  <c r="BE57" i="3"/>
  <c r="BM57" i="3" s="1"/>
  <c r="BE56" i="3"/>
  <c r="BF56" i="3" s="1"/>
  <c r="BG56" i="3" s="1"/>
  <c r="BH56" i="3" s="1"/>
  <c r="BE55" i="3"/>
  <c r="BF55" i="3" s="1"/>
  <c r="BE54" i="3"/>
  <c r="BF54" i="3" s="1"/>
  <c r="BE53" i="3"/>
  <c r="BF53" i="3" s="1"/>
  <c r="BG53" i="3" s="1"/>
  <c r="BH53" i="3" s="1"/>
  <c r="BI53" i="3" s="1"/>
  <c r="BJ53" i="3" s="1"/>
  <c r="BK53" i="3" s="1"/>
  <c r="BL53" i="3" s="1"/>
  <c r="BT53" i="3" s="1"/>
  <c r="BE52" i="3"/>
  <c r="BF52" i="3" s="1"/>
  <c r="BG52" i="3" s="1"/>
  <c r="BH52" i="3" s="1"/>
  <c r="BI52" i="3" s="1"/>
  <c r="BJ52" i="3" s="1"/>
  <c r="BK52" i="3" s="1"/>
  <c r="BL52" i="3" s="1"/>
  <c r="BT52" i="3" s="1"/>
  <c r="BE51" i="3"/>
  <c r="BM51" i="3" s="1"/>
  <c r="BE50" i="3"/>
  <c r="BF50" i="3" s="1"/>
  <c r="BG50" i="3" s="1"/>
  <c r="BH50" i="3" s="1"/>
  <c r="BI50" i="3" s="1"/>
  <c r="BJ50" i="3" s="1"/>
  <c r="BK50" i="3" s="1"/>
  <c r="BL50" i="3" s="1"/>
  <c r="BT50" i="3" s="1"/>
  <c r="BE49" i="3"/>
  <c r="BF49" i="3" s="1"/>
  <c r="BG49" i="3" s="1"/>
  <c r="BH49" i="3" s="1"/>
  <c r="BI49" i="3" s="1"/>
  <c r="BJ49" i="3" s="1"/>
  <c r="BK49" i="3" s="1"/>
  <c r="BL49" i="3" s="1"/>
  <c r="BT49" i="3" s="1"/>
  <c r="BE48" i="3"/>
  <c r="BF48" i="3" s="1"/>
  <c r="BG48" i="3" s="1"/>
  <c r="BH48" i="3" s="1"/>
  <c r="BI48" i="3" s="1"/>
  <c r="BJ48" i="3" s="1"/>
  <c r="BK48" i="3" s="1"/>
  <c r="BL48" i="3" s="1"/>
  <c r="BT48" i="3" s="1"/>
  <c r="BE47" i="3"/>
  <c r="BM47" i="3" s="1"/>
  <c r="BE46" i="3"/>
  <c r="BF46" i="3" s="1"/>
  <c r="BG46" i="3" s="1"/>
  <c r="BH46" i="3" s="1"/>
  <c r="BI46" i="3" s="1"/>
  <c r="BJ46" i="3" s="1"/>
  <c r="BK46" i="3" s="1"/>
  <c r="BL46" i="3" s="1"/>
  <c r="BT46" i="3" s="1"/>
  <c r="BE45" i="3"/>
  <c r="BF45" i="3" s="1"/>
  <c r="BG45" i="3" s="1"/>
  <c r="BH45" i="3" s="1"/>
  <c r="BI45" i="3" s="1"/>
  <c r="BJ45" i="3" s="1"/>
  <c r="BK45" i="3" s="1"/>
  <c r="BL45" i="3" s="1"/>
  <c r="BT45" i="3" s="1"/>
  <c r="BE44" i="3"/>
  <c r="BF44" i="3" s="1"/>
  <c r="BG44" i="3" s="1"/>
  <c r="BH44" i="3" s="1"/>
  <c r="BI44" i="3" s="1"/>
  <c r="BJ44" i="3" s="1"/>
  <c r="BK44" i="3" s="1"/>
  <c r="BL44" i="3" s="1"/>
  <c r="BT44" i="3" s="1"/>
  <c r="BE43" i="3"/>
  <c r="BF43" i="3" s="1"/>
  <c r="BE42" i="3"/>
  <c r="BM42" i="3" s="1"/>
  <c r="BE41" i="3"/>
  <c r="BM41" i="3" s="1"/>
  <c r="BE40" i="3"/>
  <c r="BM40" i="3" s="1"/>
  <c r="BE39" i="3"/>
  <c r="BF39" i="3" s="1"/>
  <c r="BG39" i="3" s="1"/>
  <c r="BH39" i="3" s="1"/>
  <c r="BI39" i="3" s="1"/>
  <c r="BJ39" i="3" s="1"/>
  <c r="BK39" i="3" s="1"/>
  <c r="BL39" i="3" s="1"/>
  <c r="BT39" i="3" s="1"/>
  <c r="BE38" i="3"/>
  <c r="BF38" i="3" s="1"/>
  <c r="BE37" i="3"/>
  <c r="BF37" i="3" s="1"/>
  <c r="BG37" i="3" s="1"/>
  <c r="BH37" i="3" s="1"/>
  <c r="BI37" i="3" s="1"/>
  <c r="BJ37" i="3" s="1"/>
  <c r="BK37" i="3" s="1"/>
  <c r="BL37" i="3" s="1"/>
  <c r="BT37" i="3" s="1"/>
  <c r="BE36" i="3"/>
  <c r="BF36" i="3" s="1"/>
  <c r="BG36" i="3" s="1"/>
  <c r="BH36" i="3" s="1"/>
  <c r="BI36" i="3" s="1"/>
  <c r="BJ36" i="3" s="1"/>
  <c r="BK36" i="3" s="1"/>
  <c r="BL36" i="3" s="1"/>
  <c r="BT36" i="3" s="1"/>
  <c r="BE35" i="3"/>
  <c r="BM35" i="3" s="1"/>
  <c r="BE34" i="3"/>
  <c r="BF34" i="3" s="1"/>
  <c r="BG34" i="3" s="1"/>
  <c r="BH34" i="3" s="1"/>
  <c r="BI34" i="3" s="1"/>
  <c r="BJ34" i="3" s="1"/>
  <c r="BK34" i="3" s="1"/>
  <c r="BL34" i="3" s="1"/>
  <c r="BT34" i="3" s="1"/>
  <c r="BE33" i="3"/>
  <c r="BF33" i="3" s="1"/>
  <c r="BG33" i="3" s="1"/>
  <c r="BH33" i="3" s="1"/>
  <c r="BI33" i="3" s="1"/>
  <c r="BJ33" i="3" s="1"/>
  <c r="BK33" i="3" s="1"/>
  <c r="BL33" i="3" s="1"/>
  <c r="BT33" i="3" s="1"/>
  <c r="BE32" i="3"/>
  <c r="BF32" i="3" s="1"/>
  <c r="BE31" i="3"/>
  <c r="BF31" i="3" s="1"/>
  <c r="BG31" i="3" s="1"/>
  <c r="BH31" i="3" s="1"/>
  <c r="BI31" i="3" s="1"/>
  <c r="BJ31" i="3" s="1"/>
  <c r="BK31" i="3" s="1"/>
  <c r="BL31" i="3" s="1"/>
  <c r="BT31" i="3" s="1"/>
  <c r="BE30" i="3"/>
  <c r="BF30" i="3" s="1"/>
  <c r="BE29" i="3"/>
  <c r="BF29" i="3" s="1"/>
  <c r="BG29" i="3" s="1"/>
  <c r="BH29" i="3" s="1"/>
  <c r="BI29" i="3" s="1"/>
  <c r="BJ29" i="3" s="1"/>
  <c r="BK29" i="3" s="1"/>
  <c r="BL29" i="3" s="1"/>
  <c r="BT29" i="3" s="1"/>
  <c r="BE28" i="3"/>
  <c r="BF28" i="3" s="1"/>
  <c r="BG28" i="3" s="1"/>
  <c r="BH28" i="3" s="1"/>
  <c r="BI28" i="3" s="1"/>
  <c r="BJ28" i="3" s="1"/>
  <c r="BK28" i="3" s="1"/>
  <c r="BL28" i="3" s="1"/>
  <c r="BT28" i="3" s="1"/>
  <c r="BE27" i="3"/>
  <c r="BF27" i="3" s="1"/>
  <c r="BG27" i="3" s="1"/>
  <c r="BH27" i="3" s="1"/>
  <c r="BI27" i="3" s="1"/>
  <c r="BJ27" i="3" s="1"/>
  <c r="BK27" i="3" s="1"/>
  <c r="BL27" i="3" s="1"/>
  <c r="BT27" i="3" s="1"/>
  <c r="BE26" i="3"/>
  <c r="BF26" i="3" s="1"/>
  <c r="BG26" i="3" s="1"/>
  <c r="BE25" i="3"/>
  <c r="BF25" i="3" s="1"/>
  <c r="BG25" i="3" s="1"/>
  <c r="BH25" i="3" s="1"/>
  <c r="BP25" i="3" s="1"/>
  <c r="BE24" i="3"/>
  <c r="BF24" i="3" s="1"/>
  <c r="BG24" i="3" s="1"/>
  <c r="BH24" i="3" s="1"/>
  <c r="BI24" i="3" s="1"/>
  <c r="BJ24" i="3" s="1"/>
  <c r="BK24" i="3" s="1"/>
  <c r="BL24" i="3" s="1"/>
  <c r="BT24" i="3" s="1"/>
  <c r="BE23" i="3"/>
  <c r="BF23" i="3" s="1"/>
  <c r="BG23" i="3" s="1"/>
  <c r="BH23" i="3" s="1"/>
  <c r="BI23" i="3" s="1"/>
  <c r="BJ23" i="3" s="1"/>
  <c r="BK23" i="3" s="1"/>
  <c r="BL23" i="3" s="1"/>
  <c r="BT23" i="3" s="1"/>
  <c r="BE22" i="3"/>
  <c r="BF22" i="3" s="1"/>
  <c r="BG22" i="3" s="1"/>
  <c r="BH22" i="3" s="1"/>
  <c r="BI22" i="3" s="1"/>
  <c r="BJ22" i="3" s="1"/>
  <c r="BK22" i="3" s="1"/>
  <c r="BL22" i="3" s="1"/>
  <c r="BT22" i="3" s="1"/>
  <c r="BE21" i="3"/>
  <c r="BF21" i="3" s="1"/>
  <c r="BG21" i="3" s="1"/>
  <c r="BH21" i="3" s="1"/>
  <c r="BI21" i="3" s="1"/>
  <c r="BJ21" i="3" s="1"/>
  <c r="BK21" i="3" s="1"/>
  <c r="BL21" i="3" s="1"/>
  <c r="BT21" i="3" s="1"/>
  <c r="BE20" i="3"/>
  <c r="BF20" i="3" s="1"/>
  <c r="BG20" i="3" s="1"/>
  <c r="BH20" i="3" s="1"/>
  <c r="BI20" i="3" s="1"/>
  <c r="BJ20" i="3" s="1"/>
  <c r="BK20" i="3" s="1"/>
  <c r="BL20" i="3" s="1"/>
  <c r="BT20" i="3" s="1"/>
  <c r="BE19" i="3"/>
  <c r="BF19" i="3" s="1"/>
  <c r="BG19" i="3" s="1"/>
  <c r="BH19" i="3" s="1"/>
  <c r="BI19" i="3" s="1"/>
  <c r="BJ19" i="3" s="1"/>
  <c r="BK19" i="3" s="1"/>
  <c r="BL19" i="3" s="1"/>
  <c r="BT19" i="3" s="1"/>
  <c r="BE18" i="3"/>
  <c r="BF18" i="3" s="1"/>
  <c r="BG18" i="3" s="1"/>
  <c r="BE17" i="3"/>
  <c r="BF17" i="3" s="1"/>
  <c r="BG17" i="3" s="1"/>
  <c r="BH17" i="3" s="1"/>
  <c r="BP17" i="3" s="1"/>
  <c r="BE16" i="3"/>
  <c r="BM16" i="3" s="1"/>
  <c r="BE15" i="3"/>
  <c r="BM15" i="3" s="1"/>
  <c r="BE14" i="3"/>
  <c r="BM14" i="3" s="1"/>
  <c r="BE13" i="3"/>
  <c r="BM13" i="3" s="1"/>
  <c r="BE12" i="3"/>
  <c r="BF12" i="3" s="1"/>
  <c r="BH11" i="3"/>
  <c r="BI11" i="3" s="1"/>
  <c r="BJ11" i="3" s="1"/>
  <c r="BK11" i="3" s="1"/>
  <c r="BL11" i="3" s="1"/>
  <c r="BT11" i="3" s="1"/>
  <c r="BE11" i="3"/>
  <c r="BM11" i="3" s="1"/>
  <c r="BE10" i="3"/>
  <c r="BM10" i="3" s="1"/>
  <c r="BE9" i="3"/>
  <c r="BM9" i="3" s="1"/>
  <c r="BE8" i="3"/>
  <c r="BM8" i="3" s="1"/>
  <c r="BE7" i="7"/>
  <c r="BF7" i="7" s="1"/>
  <c r="BG7" i="7" s="1"/>
  <c r="BH7" i="7" s="1"/>
  <c r="BI7" i="7" s="1"/>
  <c r="BJ7" i="7" s="1"/>
  <c r="BK7" i="7" s="1"/>
  <c r="BL7" i="7" s="1"/>
  <c r="BF7" i="3"/>
  <c r="BG7" i="3" s="1"/>
  <c r="BH7" i="3" s="1"/>
  <c r="BI7" i="3" s="1"/>
  <c r="BJ7" i="3" s="1"/>
  <c r="BK7" i="3" s="1"/>
  <c r="BL7" i="3" s="1"/>
  <c r="AM132" i="7"/>
  <c r="AK132" i="7"/>
  <c r="CD132" i="7" s="1"/>
  <c r="AM131" i="7"/>
  <c r="AK131" i="7"/>
  <c r="CD131" i="7" s="1"/>
  <c r="AM130" i="7"/>
  <c r="AK130" i="7"/>
  <c r="CD130" i="7" s="1"/>
  <c r="AM129" i="7"/>
  <c r="AK129" i="7"/>
  <c r="CD129" i="7" s="1"/>
  <c r="AM128" i="7"/>
  <c r="AK128" i="7"/>
  <c r="CD128" i="7" s="1"/>
  <c r="AM127" i="7"/>
  <c r="AK127" i="7"/>
  <c r="CD127" i="7" s="1"/>
  <c r="AM126" i="7"/>
  <c r="AK126" i="7"/>
  <c r="CD126" i="7" s="1"/>
  <c r="AM125" i="7"/>
  <c r="AK125" i="7"/>
  <c r="CD125" i="7" s="1"/>
  <c r="AM124" i="7"/>
  <c r="AK124" i="7"/>
  <c r="CD124" i="7" s="1"/>
  <c r="AM123" i="7"/>
  <c r="AK123" i="7"/>
  <c r="CD123" i="7" s="1"/>
  <c r="AM122" i="7"/>
  <c r="AK122" i="7"/>
  <c r="CD122" i="7" s="1"/>
  <c r="AM121" i="7"/>
  <c r="AK121" i="7"/>
  <c r="CD121" i="7" s="1"/>
  <c r="AM120" i="7"/>
  <c r="AK120" i="7"/>
  <c r="CD120" i="7" s="1"/>
  <c r="AM119" i="7"/>
  <c r="AK119" i="7"/>
  <c r="CD119" i="7" s="1"/>
  <c r="AM118" i="7"/>
  <c r="AK118" i="7"/>
  <c r="CD118" i="7" s="1"/>
  <c r="AM117" i="7"/>
  <c r="AK117" i="7"/>
  <c r="CD117" i="7" s="1"/>
  <c r="AM116" i="7"/>
  <c r="AK116" i="7"/>
  <c r="CD116" i="7" s="1"/>
  <c r="AM115" i="7"/>
  <c r="AK115" i="7"/>
  <c r="CD115" i="7" s="1"/>
  <c r="AM114" i="7"/>
  <c r="AK114" i="7"/>
  <c r="CD114" i="7" s="1"/>
  <c r="AM113" i="7"/>
  <c r="AK113" i="7"/>
  <c r="CD113" i="7" s="1"/>
  <c r="AM112" i="7"/>
  <c r="AK112" i="7"/>
  <c r="CD112" i="7" s="1"/>
  <c r="AM111" i="7"/>
  <c r="AK111" i="7"/>
  <c r="CD111" i="7" s="1"/>
  <c r="AM110" i="7"/>
  <c r="AK110" i="7"/>
  <c r="CD110" i="7" s="1"/>
  <c r="AM109" i="7"/>
  <c r="AK109" i="7"/>
  <c r="CD109" i="7" s="1"/>
  <c r="AM108" i="7"/>
  <c r="AK108" i="7"/>
  <c r="CD108" i="7" s="1"/>
  <c r="AM107" i="7"/>
  <c r="AK107" i="7"/>
  <c r="CD107" i="7" s="1"/>
  <c r="AM106" i="7"/>
  <c r="AK106" i="7"/>
  <c r="CD106" i="7" s="1"/>
  <c r="AM105" i="7"/>
  <c r="AK105" i="7"/>
  <c r="CD105" i="7" s="1"/>
  <c r="AM104" i="7"/>
  <c r="AK104" i="7"/>
  <c r="CD104" i="7" s="1"/>
  <c r="AM103" i="7"/>
  <c r="AK103" i="7"/>
  <c r="CD103" i="7" s="1"/>
  <c r="AM102" i="7"/>
  <c r="AK102" i="7"/>
  <c r="CD102" i="7" s="1"/>
  <c r="AM101" i="7"/>
  <c r="AK101" i="7"/>
  <c r="CD101" i="7" s="1"/>
  <c r="AM100" i="7"/>
  <c r="AK100" i="7"/>
  <c r="CD100" i="7" s="1"/>
  <c r="AM99" i="7"/>
  <c r="AK99" i="7"/>
  <c r="CD99" i="7" s="1"/>
  <c r="AM98" i="7"/>
  <c r="AK98" i="7"/>
  <c r="AM97" i="7"/>
  <c r="AK97" i="7"/>
  <c r="CD97" i="7" s="1"/>
  <c r="AM96" i="7"/>
  <c r="AK96" i="7"/>
  <c r="CD96" i="7" s="1"/>
  <c r="AM95" i="7"/>
  <c r="AK95" i="7"/>
  <c r="CD95" i="7" s="1"/>
  <c r="AM94" i="7"/>
  <c r="AK94" i="7"/>
  <c r="CD94" i="7" s="1"/>
  <c r="AM93" i="7"/>
  <c r="AK93" i="7"/>
  <c r="CD93" i="7" s="1"/>
  <c r="AM92" i="7"/>
  <c r="AK92" i="7"/>
  <c r="CD92" i="7" s="1"/>
  <c r="AM91" i="7"/>
  <c r="AK91" i="7"/>
  <c r="CD91" i="7" s="1"/>
  <c r="AM90" i="7"/>
  <c r="AK90" i="7"/>
  <c r="CD90" i="7" s="1"/>
  <c r="AM89" i="7"/>
  <c r="AK89" i="7"/>
  <c r="CD89" i="7" s="1"/>
  <c r="AM88" i="7"/>
  <c r="AK88" i="7"/>
  <c r="CD88" i="7" s="1"/>
  <c r="AM87" i="7"/>
  <c r="AK87" i="7"/>
  <c r="CD87" i="7" s="1"/>
  <c r="AM86" i="7"/>
  <c r="AK86" i="7"/>
  <c r="CD86" i="7" s="1"/>
  <c r="AM85" i="7"/>
  <c r="AK85" i="7"/>
  <c r="CD85" i="7" s="1"/>
  <c r="AM84" i="7"/>
  <c r="AK84" i="7"/>
  <c r="CD84" i="7" s="1"/>
  <c r="AM83" i="7"/>
  <c r="AK83" i="7"/>
  <c r="CD83" i="7" s="1"/>
  <c r="AM82" i="7"/>
  <c r="AK82" i="7"/>
  <c r="CD82" i="7" s="1"/>
  <c r="AM81" i="7"/>
  <c r="AK81" i="7"/>
  <c r="CD81" i="7" s="1"/>
  <c r="AM80" i="7"/>
  <c r="AK80" i="7"/>
  <c r="CD80" i="7" s="1"/>
  <c r="AM79" i="7"/>
  <c r="AK79" i="7"/>
  <c r="CD79" i="7" s="1"/>
  <c r="AM78" i="7"/>
  <c r="AK78" i="7"/>
  <c r="CD78" i="7" s="1"/>
  <c r="AM77" i="7"/>
  <c r="AK77" i="7"/>
  <c r="CD77" i="7" s="1"/>
  <c r="AM76" i="7"/>
  <c r="AK76" i="7"/>
  <c r="CD76" i="7" s="1"/>
  <c r="AM75" i="7"/>
  <c r="AK75" i="7"/>
  <c r="CD75" i="7" s="1"/>
  <c r="AM74" i="7"/>
  <c r="AK74" i="7"/>
  <c r="CD74" i="7" s="1"/>
  <c r="AM73" i="7"/>
  <c r="AK73" i="7"/>
  <c r="CD73" i="7" s="1"/>
  <c r="AM72" i="7"/>
  <c r="AK72" i="7"/>
  <c r="CD72" i="7" s="1"/>
  <c r="AM71" i="7"/>
  <c r="AK71" i="7"/>
  <c r="CD71" i="7" s="1"/>
  <c r="AM70" i="7"/>
  <c r="AK70" i="7"/>
  <c r="CD70" i="7" s="1"/>
  <c r="AM69" i="7"/>
  <c r="AK69" i="7"/>
  <c r="CD69" i="7" s="1"/>
  <c r="AM68" i="7"/>
  <c r="AK68" i="7"/>
  <c r="CD68" i="7" s="1"/>
  <c r="AM67" i="7"/>
  <c r="AK67" i="7"/>
  <c r="CD67" i="7" s="1"/>
  <c r="AM66" i="7"/>
  <c r="AK66" i="7"/>
  <c r="CD66" i="7" s="1"/>
  <c r="AM65" i="7"/>
  <c r="AK65" i="7"/>
  <c r="CD65" i="7" s="1"/>
  <c r="AM64" i="7"/>
  <c r="AK64" i="7"/>
  <c r="CD64" i="7" s="1"/>
  <c r="AM63" i="7"/>
  <c r="AK63" i="7"/>
  <c r="CD63" i="7" s="1"/>
  <c r="AM62" i="7"/>
  <c r="AK62" i="7"/>
  <c r="CD62" i="7" s="1"/>
  <c r="AM61" i="7"/>
  <c r="AK61" i="7"/>
  <c r="CD61" i="7" s="1"/>
  <c r="AM60" i="7"/>
  <c r="AK60" i="7"/>
  <c r="CD60" i="7" s="1"/>
  <c r="AM59" i="7"/>
  <c r="AK59" i="7"/>
  <c r="CD59" i="7" s="1"/>
  <c r="AM58" i="7"/>
  <c r="AK58" i="7"/>
  <c r="CD58" i="7" s="1"/>
  <c r="AM57" i="7"/>
  <c r="AK57" i="7"/>
  <c r="CD57" i="7" s="1"/>
  <c r="AM56" i="7"/>
  <c r="AK56" i="7"/>
  <c r="CD56" i="7" s="1"/>
  <c r="AM55" i="7"/>
  <c r="AK55" i="7"/>
  <c r="CD55" i="7" s="1"/>
  <c r="AM54" i="7"/>
  <c r="AK54" i="7"/>
  <c r="CD54" i="7" s="1"/>
  <c r="AM53" i="7"/>
  <c r="AK53" i="7"/>
  <c r="CD53" i="7" s="1"/>
  <c r="AM52" i="7"/>
  <c r="AK52" i="7"/>
  <c r="CD52" i="7" s="1"/>
  <c r="AM51" i="7"/>
  <c r="AK51" i="7"/>
  <c r="CD51" i="7" s="1"/>
  <c r="AM50" i="7"/>
  <c r="AK50" i="7"/>
  <c r="CD50" i="7" s="1"/>
  <c r="AM49" i="7"/>
  <c r="AK49" i="7"/>
  <c r="CD49" i="7" s="1"/>
  <c r="AM48" i="7"/>
  <c r="AK48" i="7"/>
  <c r="AM47" i="7"/>
  <c r="AK47" i="7"/>
  <c r="CD47" i="7" s="1"/>
  <c r="AM46" i="7"/>
  <c r="AK46" i="7"/>
  <c r="CD46" i="7" s="1"/>
  <c r="AM45" i="7"/>
  <c r="AK45" i="7"/>
  <c r="CD45" i="7" s="1"/>
  <c r="AM44" i="7"/>
  <c r="AK44" i="7"/>
  <c r="AM43" i="7"/>
  <c r="AK43" i="7"/>
  <c r="CD43" i="7" s="1"/>
  <c r="AM42" i="7"/>
  <c r="AK42" i="7"/>
  <c r="CD42" i="7" s="1"/>
  <c r="AM41" i="7"/>
  <c r="AK41" i="7"/>
  <c r="CD41" i="7" s="1"/>
  <c r="AM40" i="7"/>
  <c r="AK40" i="7"/>
  <c r="CD40" i="7" s="1"/>
  <c r="AM39" i="7"/>
  <c r="AK39" i="7"/>
  <c r="CD39" i="7" s="1"/>
  <c r="AM38" i="7"/>
  <c r="AK38" i="7"/>
  <c r="CD38" i="7" s="1"/>
  <c r="AM37" i="7"/>
  <c r="AK37" i="7"/>
  <c r="CD37" i="7" s="1"/>
  <c r="AM36" i="7"/>
  <c r="AK36" i="7"/>
  <c r="CD36" i="7" s="1"/>
  <c r="AM35" i="7"/>
  <c r="AK35" i="7"/>
  <c r="CD35" i="7" s="1"/>
  <c r="AM34" i="7"/>
  <c r="AK34" i="7"/>
  <c r="CD34" i="7" s="1"/>
  <c r="AM33" i="7"/>
  <c r="AK33" i="7"/>
  <c r="CD33" i="7" s="1"/>
  <c r="AM32" i="7"/>
  <c r="AK32" i="7"/>
  <c r="CD32" i="7" s="1"/>
  <c r="AM31" i="7"/>
  <c r="AK31" i="7"/>
  <c r="CD31" i="7" s="1"/>
  <c r="AM30" i="7"/>
  <c r="AK30" i="7"/>
  <c r="CD30" i="7" s="1"/>
  <c r="AM29" i="7"/>
  <c r="AK29" i="7"/>
  <c r="CD29" i="7" s="1"/>
  <c r="AM28" i="7"/>
  <c r="AK28" i="7"/>
  <c r="CD28" i="7" s="1"/>
  <c r="AM27" i="7"/>
  <c r="AK27" i="7"/>
  <c r="CD27" i="7" s="1"/>
  <c r="AM26" i="7"/>
  <c r="AK26" i="7"/>
  <c r="CD26" i="7" s="1"/>
  <c r="AM25" i="7"/>
  <c r="AK25" i="7"/>
  <c r="CD25" i="7" s="1"/>
  <c r="AM24" i="7"/>
  <c r="AK24" i="7"/>
  <c r="CD24" i="7" s="1"/>
  <c r="AM23" i="7"/>
  <c r="AK23" i="7"/>
  <c r="CD23" i="7" s="1"/>
  <c r="AM22" i="7"/>
  <c r="AK22" i="7"/>
  <c r="CD22" i="7" s="1"/>
  <c r="AM21" i="7"/>
  <c r="AK21" i="7"/>
  <c r="CD21" i="7" s="1"/>
  <c r="AM20" i="7"/>
  <c r="AK20" i="7"/>
  <c r="CD20" i="7" s="1"/>
  <c r="AM19" i="7"/>
  <c r="AK19" i="7"/>
  <c r="CD19" i="7" s="1"/>
  <c r="AM18" i="7"/>
  <c r="AK18" i="7"/>
  <c r="CD18" i="7" s="1"/>
  <c r="AM17" i="7"/>
  <c r="AK17" i="7"/>
  <c r="CD17" i="7" s="1"/>
  <c r="AM16" i="7"/>
  <c r="AK16" i="7"/>
  <c r="CD16" i="7" s="1"/>
  <c r="AM15" i="7"/>
  <c r="AK15" i="7"/>
  <c r="CD15" i="7" s="1"/>
  <c r="AM14" i="7"/>
  <c r="AK14" i="7"/>
  <c r="CD14" i="7" s="1"/>
  <c r="AM13" i="7"/>
  <c r="AK13" i="7"/>
  <c r="CD13" i="7" s="1"/>
  <c r="AM12" i="7"/>
  <c r="AK12" i="7"/>
  <c r="CD12" i="7" s="1"/>
  <c r="AM11" i="7"/>
  <c r="AK11" i="7"/>
  <c r="CD11" i="7" s="1"/>
  <c r="AM10" i="7"/>
  <c r="AK10" i="7"/>
  <c r="CD10" i="7" s="1"/>
  <c r="AM9" i="7"/>
  <c r="AK9" i="7"/>
  <c r="CD9" i="7" s="1"/>
  <c r="AM8" i="7"/>
  <c r="AK8" i="7"/>
  <c r="CD8" i="7" s="1"/>
  <c r="AM132" i="3"/>
  <c r="AK132" i="3"/>
  <c r="CD132" i="3" s="1"/>
  <c r="AM131" i="3"/>
  <c r="AK131" i="3"/>
  <c r="CD131" i="3" s="1"/>
  <c r="AM130" i="3"/>
  <c r="AK130" i="3"/>
  <c r="CD130" i="3" s="1"/>
  <c r="AM129" i="3"/>
  <c r="AK129" i="3"/>
  <c r="CD129" i="3" s="1"/>
  <c r="AM128" i="3"/>
  <c r="AK128" i="3"/>
  <c r="CD128" i="3" s="1"/>
  <c r="AM127" i="3"/>
  <c r="AK127" i="3"/>
  <c r="CD127" i="3" s="1"/>
  <c r="AM126" i="3"/>
  <c r="AK126" i="3"/>
  <c r="CD126" i="3" s="1"/>
  <c r="AM125" i="3"/>
  <c r="AK125" i="3"/>
  <c r="CD125" i="3" s="1"/>
  <c r="AM124" i="3"/>
  <c r="AK124" i="3"/>
  <c r="CD124" i="3" s="1"/>
  <c r="AM123" i="3"/>
  <c r="AK123" i="3"/>
  <c r="CD123" i="3" s="1"/>
  <c r="AM122" i="3"/>
  <c r="AK122" i="3"/>
  <c r="CD122" i="3" s="1"/>
  <c r="AM121" i="3"/>
  <c r="AK121" i="3"/>
  <c r="CD121" i="3" s="1"/>
  <c r="AM120" i="3"/>
  <c r="AK120" i="3"/>
  <c r="CD120" i="3" s="1"/>
  <c r="AM119" i="3"/>
  <c r="AK119" i="3"/>
  <c r="CD119" i="3" s="1"/>
  <c r="AM118" i="3"/>
  <c r="AK118" i="3"/>
  <c r="CD118" i="3" s="1"/>
  <c r="AM117" i="3"/>
  <c r="AK117" i="3"/>
  <c r="CD117" i="3" s="1"/>
  <c r="AM116" i="3"/>
  <c r="AK116" i="3"/>
  <c r="CD116" i="3" s="1"/>
  <c r="AM115" i="3"/>
  <c r="AK115" i="3"/>
  <c r="CD115" i="3" s="1"/>
  <c r="AM114" i="3"/>
  <c r="AK114" i="3"/>
  <c r="CD114" i="3" s="1"/>
  <c r="AM113" i="3"/>
  <c r="AK113" i="3"/>
  <c r="CD113" i="3" s="1"/>
  <c r="AM112" i="3"/>
  <c r="AK112" i="3"/>
  <c r="CD112" i="3" s="1"/>
  <c r="AM111" i="3"/>
  <c r="AK111" i="3"/>
  <c r="CD111" i="3" s="1"/>
  <c r="AM110" i="3"/>
  <c r="AK110" i="3"/>
  <c r="CD110" i="3" s="1"/>
  <c r="AM109" i="3"/>
  <c r="AK109" i="3"/>
  <c r="CD109" i="3" s="1"/>
  <c r="AM108" i="3"/>
  <c r="AK108" i="3"/>
  <c r="CD108" i="3" s="1"/>
  <c r="AM107" i="3"/>
  <c r="AK107" i="3"/>
  <c r="CD107" i="3" s="1"/>
  <c r="AM106" i="3"/>
  <c r="AK106" i="3"/>
  <c r="CD106" i="3" s="1"/>
  <c r="AM105" i="3"/>
  <c r="AK105" i="3"/>
  <c r="CD105" i="3" s="1"/>
  <c r="AM104" i="3"/>
  <c r="AK104" i="3"/>
  <c r="CD104" i="3" s="1"/>
  <c r="AM103" i="3"/>
  <c r="AK103" i="3"/>
  <c r="CD103" i="3" s="1"/>
  <c r="AM102" i="3"/>
  <c r="AK102" i="3"/>
  <c r="CD102" i="3" s="1"/>
  <c r="AM101" i="3"/>
  <c r="AK101" i="3"/>
  <c r="CD101" i="3" s="1"/>
  <c r="AM100" i="3"/>
  <c r="AK100" i="3"/>
  <c r="CD100" i="3" s="1"/>
  <c r="AM99" i="3"/>
  <c r="AK99" i="3"/>
  <c r="CD99" i="3" s="1"/>
  <c r="AM98" i="3"/>
  <c r="AK98" i="3"/>
  <c r="CD98" i="3" s="1"/>
  <c r="AM97" i="3"/>
  <c r="AK97" i="3"/>
  <c r="CD97" i="3" s="1"/>
  <c r="AM96" i="3"/>
  <c r="AK96" i="3"/>
  <c r="CD96" i="3" s="1"/>
  <c r="AM95" i="3"/>
  <c r="AK95" i="3"/>
  <c r="CD95" i="3" s="1"/>
  <c r="AM94" i="3"/>
  <c r="AK94" i="3"/>
  <c r="CD94" i="3" s="1"/>
  <c r="AM93" i="3"/>
  <c r="AK93" i="3"/>
  <c r="CD93" i="3" s="1"/>
  <c r="AM92" i="3"/>
  <c r="AK92" i="3"/>
  <c r="CD92" i="3" s="1"/>
  <c r="AM91" i="3"/>
  <c r="AK91" i="3"/>
  <c r="CD91" i="3" s="1"/>
  <c r="AM90" i="3"/>
  <c r="AK90" i="3"/>
  <c r="CD90" i="3" s="1"/>
  <c r="AM89" i="3"/>
  <c r="AK89" i="3"/>
  <c r="CD89" i="3" s="1"/>
  <c r="AM88" i="3"/>
  <c r="AK88" i="3"/>
  <c r="CD88" i="3" s="1"/>
  <c r="AM87" i="3"/>
  <c r="AK87" i="3"/>
  <c r="CD87" i="3" s="1"/>
  <c r="AM86" i="3"/>
  <c r="AK86" i="3"/>
  <c r="CD86" i="3" s="1"/>
  <c r="AM85" i="3"/>
  <c r="AK85" i="3"/>
  <c r="CD85" i="3" s="1"/>
  <c r="AM84" i="3"/>
  <c r="AK84" i="3"/>
  <c r="CD84" i="3" s="1"/>
  <c r="AM83" i="3"/>
  <c r="AK83" i="3"/>
  <c r="CD83" i="3" s="1"/>
  <c r="AM82" i="3"/>
  <c r="AK82" i="3"/>
  <c r="CD82" i="3" s="1"/>
  <c r="AM81" i="3"/>
  <c r="AK81" i="3"/>
  <c r="CD81" i="3" s="1"/>
  <c r="AM80" i="3"/>
  <c r="AK80" i="3"/>
  <c r="CD80" i="3" s="1"/>
  <c r="AM79" i="3"/>
  <c r="AK79" i="3"/>
  <c r="CD79" i="3" s="1"/>
  <c r="AM78" i="3"/>
  <c r="AK78" i="3"/>
  <c r="CD78" i="3" s="1"/>
  <c r="AM77" i="3"/>
  <c r="AK77" i="3"/>
  <c r="CD77" i="3" s="1"/>
  <c r="AM76" i="3"/>
  <c r="AK76" i="3"/>
  <c r="CD76" i="3" s="1"/>
  <c r="AM75" i="3"/>
  <c r="AK75" i="3"/>
  <c r="CD75" i="3" s="1"/>
  <c r="AM74" i="3"/>
  <c r="AK74" i="3"/>
  <c r="CD74" i="3" s="1"/>
  <c r="AM73" i="3"/>
  <c r="AK73" i="3"/>
  <c r="CD73" i="3" s="1"/>
  <c r="AM72" i="3"/>
  <c r="AK72" i="3"/>
  <c r="CD72" i="3" s="1"/>
  <c r="AM71" i="3"/>
  <c r="AK71" i="3"/>
  <c r="CD71" i="3" s="1"/>
  <c r="AM70" i="3"/>
  <c r="AK70" i="3"/>
  <c r="CD70" i="3" s="1"/>
  <c r="AM69" i="3"/>
  <c r="AK69" i="3"/>
  <c r="CD69" i="3" s="1"/>
  <c r="AM68" i="3"/>
  <c r="AK68" i="3"/>
  <c r="CD68" i="3" s="1"/>
  <c r="AM67" i="3"/>
  <c r="AK67" i="3"/>
  <c r="CD67" i="3" s="1"/>
  <c r="AM66" i="3"/>
  <c r="AK66" i="3"/>
  <c r="CD66" i="3" s="1"/>
  <c r="AM65" i="3"/>
  <c r="AK65" i="3"/>
  <c r="CD65" i="3" s="1"/>
  <c r="AM64" i="3"/>
  <c r="AK64" i="3"/>
  <c r="CD64" i="3" s="1"/>
  <c r="AM63" i="3"/>
  <c r="AK63" i="3"/>
  <c r="CD63" i="3" s="1"/>
  <c r="AM62" i="3"/>
  <c r="AK62" i="3"/>
  <c r="CD62" i="3" s="1"/>
  <c r="AM61" i="3"/>
  <c r="AK61" i="3"/>
  <c r="CD61" i="3" s="1"/>
  <c r="AM60" i="3"/>
  <c r="AK60" i="3"/>
  <c r="CD60" i="3" s="1"/>
  <c r="AM59" i="3"/>
  <c r="AK59" i="3"/>
  <c r="CD59" i="3" s="1"/>
  <c r="AM58" i="3"/>
  <c r="AK58" i="3"/>
  <c r="CD58" i="3" s="1"/>
  <c r="AM57" i="3"/>
  <c r="AK57" i="3"/>
  <c r="CD57" i="3" s="1"/>
  <c r="AM56" i="3"/>
  <c r="AK56" i="3"/>
  <c r="CD56" i="3" s="1"/>
  <c r="AM55" i="3"/>
  <c r="AK55" i="3"/>
  <c r="CD55" i="3" s="1"/>
  <c r="AM54" i="3"/>
  <c r="AK54" i="3"/>
  <c r="CD54" i="3" s="1"/>
  <c r="AM53" i="3"/>
  <c r="AK53" i="3"/>
  <c r="CD53" i="3" s="1"/>
  <c r="AM52" i="3"/>
  <c r="AK52" i="3"/>
  <c r="CD52" i="3" s="1"/>
  <c r="AM51" i="3"/>
  <c r="AK51" i="3"/>
  <c r="CD51" i="3" s="1"/>
  <c r="AM50" i="3"/>
  <c r="AK50" i="3"/>
  <c r="CD50" i="3" s="1"/>
  <c r="AM49" i="3"/>
  <c r="AK49" i="3"/>
  <c r="CD49" i="3" s="1"/>
  <c r="AM48" i="3"/>
  <c r="AK48" i="3"/>
  <c r="CD48" i="3" s="1"/>
  <c r="AM47" i="3"/>
  <c r="AK47" i="3"/>
  <c r="CD47" i="3" s="1"/>
  <c r="AM46" i="3"/>
  <c r="AK46" i="3"/>
  <c r="CD46" i="3" s="1"/>
  <c r="AM45" i="3"/>
  <c r="AK45" i="3"/>
  <c r="CD45" i="3" s="1"/>
  <c r="AM44" i="3"/>
  <c r="AK44" i="3"/>
  <c r="CD44" i="3" s="1"/>
  <c r="AM43" i="3"/>
  <c r="AK43" i="3"/>
  <c r="CD43" i="3" s="1"/>
  <c r="AM42" i="3"/>
  <c r="AK42" i="3"/>
  <c r="CD42" i="3" s="1"/>
  <c r="AM41" i="3"/>
  <c r="AK41" i="3"/>
  <c r="CD41" i="3" s="1"/>
  <c r="AM40" i="3"/>
  <c r="AK40" i="3"/>
  <c r="CD40" i="3" s="1"/>
  <c r="AM39" i="3"/>
  <c r="AK39" i="3"/>
  <c r="CD39" i="3" s="1"/>
  <c r="AM38" i="3"/>
  <c r="AK38" i="3"/>
  <c r="CD38" i="3" s="1"/>
  <c r="AM37" i="3"/>
  <c r="AK37" i="3"/>
  <c r="CD37" i="3" s="1"/>
  <c r="AM36" i="3"/>
  <c r="AK36" i="3"/>
  <c r="CD36" i="3" s="1"/>
  <c r="AM35" i="3"/>
  <c r="AK35" i="3"/>
  <c r="CD35" i="3" s="1"/>
  <c r="AM34" i="3"/>
  <c r="AK34" i="3"/>
  <c r="CD34" i="3" s="1"/>
  <c r="AM33" i="3"/>
  <c r="AK33" i="3"/>
  <c r="CD33" i="3" s="1"/>
  <c r="AM32" i="3"/>
  <c r="AK32" i="3"/>
  <c r="CD32" i="3" s="1"/>
  <c r="AM31" i="3"/>
  <c r="AK31" i="3"/>
  <c r="CD31" i="3" s="1"/>
  <c r="AM30" i="3"/>
  <c r="AK30" i="3"/>
  <c r="CD30" i="3" s="1"/>
  <c r="AM29" i="3"/>
  <c r="AK29" i="3"/>
  <c r="CD29" i="3" s="1"/>
  <c r="AM28" i="3"/>
  <c r="AK28" i="3"/>
  <c r="CD28" i="3" s="1"/>
  <c r="AM27" i="3"/>
  <c r="AK27" i="3"/>
  <c r="CD27" i="3" s="1"/>
  <c r="AM26" i="3"/>
  <c r="AK26" i="3"/>
  <c r="CD26" i="3" s="1"/>
  <c r="AM25" i="3"/>
  <c r="AK25" i="3"/>
  <c r="CD25" i="3" s="1"/>
  <c r="AM24" i="3"/>
  <c r="AK24" i="3"/>
  <c r="CD24" i="3" s="1"/>
  <c r="AM23" i="3"/>
  <c r="AK23" i="3"/>
  <c r="CD23" i="3" s="1"/>
  <c r="AM22" i="3"/>
  <c r="AK22" i="3"/>
  <c r="CD22" i="3" s="1"/>
  <c r="AM21" i="3"/>
  <c r="AK21" i="3"/>
  <c r="CD21" i="3" s="1"/>
  <c r="AM20" i="3"/>
  <c r="AK20" i="3"/>
  <c r="CD20" i="3" s="1"/>
  <c r="AM19" i="3"/>
  <c r="AK19" i="3"/>
  <c r="CD19" i="3" s="1"/>
  <c r="AM18" i="3"/>
  <c r="AK18" i="3"/>
  <c r="CD18" i="3" s="1"/>
  <c r="AM17" i="3"/>
  <c r="AK17" i="3"/>
  <c r="CD17" i="3" s="1"/>
  <c r="AM16" i="3"/>
  <c r="AK16" i="3"/>
  <c r="CD16" i="3" s="1"/>
  <c r="AM15" i="3"/>
  <c r="AK15" i="3"/>
  <c r="CD15" i="3" s="1"/>
  <c r="AM14" i="3"/>
  <c r="AK14" i="3"/>
  <c r="CD14" i="3" s="1"/>
  <c r="AM13" i="3"/>
  <c r="AK13" i="3"/>
  <c r="CD13" i="3" s="1"/>
  <c r="AM12" i="3"/>
  <c r="AK12" i="3"/>
  <c r="CD12" i="3" s="1"/>
  <c r="AM11" i="3"/>
  <c r="AK11" i="3"/>
  <c r="CD11" i="3" s="1"/>
  <c r="AM10" i="3"/>
  <c r="AK10" i="3"/>
  <c r="CD10" i="3" s="1"/>
  <c r="AM9" i="3"/>
  <c r="AK9" i="3"/>
  <c r="CD9" i="3" s="1"/>
  <c r="AM8" i="3"/>
  <c r="AK8" i="3"/>
  <c r="CD8" i="3" s="1"/>
  <c r="AM7" i="7"/>
  <c r="AK7" i="7"/>
  <c r="CD7" i="7" s="1"/>
  <c r="AU132" i="7"/>
  <c r="AT132" i="7"/>
  <c r="AS132" i="7"/>
  <c r="AR132" i="7"/>
  <c r="AQ132" i="7"/>
  <c r="AP132" i="7"/>
  <c r="AO132" i="7"/>
  <c r="AN132" i="7"/>
  <c r="AU131" i="7"/>
  <c r="AT131" i="7"/>
  <c r="AS131" i="7"/>
  <c r="AR131" i="7"/>
  <c r="AQ131" i="7"/>
  <c r="AP131" i="7"/>
  <c r="AO131" i="7"/>
  <c r="AN131" i="7"/>
  <c r="AU130" i="7"/>
  <c r="AT130" i="7"/>
  <c r="AS130" i="7"/>
  <c r="AR130" i="7"/>
  <c r="AQ130" i="7"/>
  <c r="AP130" i="7"/>
  <c r="AO130" i="7"/>
  <c r="AN130" i="7"/>
  <c r="AU129" i="7"/>
  <c r="AT129" i="7"/>
  <c r="AS129" i="7"/>
  <c r="AR129" i="7"/>
  <c r="AQ129" i="7"/>
  <c r="AP129" i="7"/>
  <c r="AO129" i="7"/>
  <c r="AN129" i="7"/>
  <c r="AU128" i="7"/>
  <c r="AT128" i="7"/>
  <c r="AS128" i="7"/>
  <c r="AR128" i="7"/>
  <c r="AQ128" i="7"/>
  <c r="AP128" i="7"/>
  <c r="AO128" i="7"/>
  <c r="AN128" i="7"/>
  <c r="AU127" i="7"/>
  <c r="AT127" i="7"/>
  <c r="AS127" i="7"/>
  <c r="AR127" i="7"/>
  <c r="AQ127" i="7"/>
  <c r="AP127" i="7"/>
  <c r="AO127" i="7"/>
  <c r="AN127" i="7"/>
  <c r="AU126" i="7"/>
  <c r="AT126" i="7"/>
  <c r="AS126" i="7"/>
  <c r="AR126" i="7"/>
  <c r="AQ126" i="7"/>
  <c r="AP126" i="7"/>
  <c r="AO126" i="7"/>
  <c r="AN126" i="7"/>
  <c r="AU125" i="7"/>
  <c r="AT125" i="7"/>
  <c r="AS125" i="7"/>
  <c r="AR125" i="7"/>
  <c r="AQ125" i="7"/>
  <c r="AP125" i="7"/>
  <c r="AO125" i="7"/>
  <c r="AN125" i="7"/>
  <c r="AU124" i="7"/>
  <c r="AT124" i="7"/>
  <c r="AS124" i="7"/>
  <c r="AR124" i="7"/>
  <c r="AQ124" i="7"/>
  <c r="AP124" i="7"/>
  <c r="AO124" i="7"/>
  <c r="AN124" i="7"/>
  <c r="AU123" i="7"/>
  <c r="AT123" i="7"/>
  <c r="AS123" i="7"/>
  <c r="AR123" i="7"/>
  <c r="AQ123" i="7"/>
  <c r="AP123" i="7"/>
  <c r="AO123" i="7"/>
  <c r="AN123" i="7"/>
  <c r="AU122" i="7"/>
  <c r="AT122" i="7"/>
  <c r="AS122" i="7"/>
  <c r="AR122" i="7"/>
  <c r="AQ122" i="7"/>
  <c r="AP122" i="7"/>
  <c r="AO122" i="7"/>
  <c r="AN122" i="7"/>
  <c r="AU121" i="7"/>
  <c r="AT121" i="7"/>
  <c r="AS121" i="7"/>
  <c r="AR121" i="7"/>
  <c r="AQ121" i="7"/>
  <c r="AP121" i="7"/>
  <c r="AO121" i="7"/>
  <c r="AN121" i="7"/>
  <c r="AU120" i="7"/>
  <c r="AT120" i="7"/>
  <c r="AS120" i="7"/>
  <c r="AR120" i="7"/>
  <c r="AQ120" i="7"/>
  <c r="AP120" i="7"/>
  <c r="AO120" i="7"/>
  <c r="AN120" i="7"/>
  <c r="AU119" i="7"/>
  <c r="AT119" i="7"/>
  <c r="AS119" i="7"/>
  <c r="AR119" i="7"/>
  <c r="AQ119" i="7"/>
  <c r="AP119" i="7"/>
  <c r="AO119" i="7"/>
  <c r="AN119" i="7"/>
  <c r="AU118" i="7"/>
  <c r="AT118" i="7"/>
  <c r="AS118" i="7"/>
  <c r="AR118" i="7"/>
  <c r="AQ118" i="7"/>
  <c r="AP118" i="7"/>
  <c r="AO118" i="7"/>
  <c r="AN118" i="7"/>
  <c r="AU117" i="7"/>
  <c r="AT117" i="7"/>
  <c r="AS117" i="7"/>
  <c r="AR117" i="7"/>
  <c r="AQ117" i="7"/>
  <c r="AP117" i="7"/>
  <c r="AO117" i="7"/>
  <c r="AN117" i="7"/>
  <c r="AU116" i="7"/>
  <c r="AT116" i="7"/>
  <c r="AS116" i="7"/>
  <c r="AR116" i="7"/>
  <c r="AQ116" i="7"/>
  <c r="AP116" i="7"/>
  <c r="AO116" i="7"/>
  <c r="AN116" i="7"/>
  <c r="AU115" i="7"/>
  <c r="AT115" i="7"/>
  <c r="AS115" i="7"/>
  <c r="AR115" i="7"/>
  <c r="AQ115" i="7"/>
  <c r="AP115" i="7"/>
  <c r="AO115" i="7"/>
  <c r="AN115" i="7"/>
  <c r="AU114" i="7"/>
  <c r="AT114" i="7"/>
  <c r="AS114" i="7"/>
  <c r="AR114" i="7"/>
  <c r="AQ114" i="7"/>
  <c r="AP114" i="7"/>
  <c r="AO114" i="7"/>
  <c r="AN114" i="7"/>
  <c r="AU113" i="7"/>
  <c r="AT113" i="7"/>
  <c r="AS113" i="7"/>
  <c r="AR113" i="7"/>
  <c r="AQ113" i="7"/>
  <c r="AP113" i="7"/>
  <c r="AO113" i="7"/>
  <c r="AN113" i="7"/>
  <c r="AU112" i="7"/>
  <c r="AT112" i="7"/>
  <c r="AS112" i="7"/>
  <c r="AR112" i="7"/>
  <c r="AQ112" i="7"/>
  <c r="AP112" i="7"/>
  <c r="AO112" i="7"/>
  <c r="AN112" i="7"/>
  <c r="AU111" i="7"/>
  <c r="AT111" i="7"/>
  <c r="AS111" i="7"/>
  <c r="AR111" i="7"/>
  <c r="AQ111" i="7"/>
  <c r="AP111" i="7"/>
  <c r="AO111" i="7"/>
  <c r="AN111" i="7"/>
  <c r="AU110" i="7"/>
  <c r="AT110" i="7"/>
  <c r="AS110" i="7"/>
  <c r="AR110" i="7"/>
  <c r="AQ110" i="7"/>
  <c r="AP110" i="7"/>
  <c r="AO110" i="7"/>
  <c r="AN110" i="7"/>
  <c r="AU109" i="7"/>
  <c r="AT109" i="7"/>
  <c r="AS109" i="7"/>
  <c r="AR109" i="7"/>
  <c r="AQ109" i="7"/>
  <c r="AP109" i="7"/>
  <c r="AO109" i="7"/>
  <c r="AN109" i="7"/>
  <c r="AU108" i="7"/>
  <c r="AT108" i="7"/>
  <c r="AS108" i="7"/>
  <c r="AR108" i="7"/>
  <c r="AQ108" i="7"/>
  <c r="AP108" i="7"/>
  <c r="AO108" i="7"/>
  <c r="AN108" i="7"/>
  <c r="AU107" i="7"/>
  <c r="AT107" i="7"/>
  <c r="AS107" i="7"/>
  <c r="AR107" i="7"/>
  <c r="AQ107" i="7"/>
  <c r="AP107" i="7"/>
  <c r="AO107" i="7"/>
  <c r="AN107" i="7"/>
  <c r="AU106" i="7"/>
  <c r="AT106" i="7"/>
  <c r="AS106" i="7"/>
  <c r="AR106" i="7"/>
  <c r="AQ106" i="7"/>
  <c r="AP106" i="7"/>
  <c r="AO106" i="7"/>
  <c r="AN106" i="7"/>
  <c r="AU105" i="7"/>
  <c r="AT105" i="7"/>
  <c r="AS105" i="7"/>
  <c r="AR105" i="7"/>
  <c r="AQ105" i="7"/>
  <c r="AP105" i="7"/>
  <c r="AO105" i="7"/>
  <c r="AN105" i="7"/>
  <c r="AU104" i="7"/>
  <c r="AT104" i="7"/>
  <c r="AS104" i="7"/>
  <c r="AR104" i="7"/>
  <c r="AQ104" i="7"/>
  <c r="AP104" i="7"/>
  <c r="AO104" i="7"/>
  <c r="AN104" i="7"/>
  <c r="AU103" i="7"/>
  <c r="AT103" i="7"/>
  <c r="AS103" i="7"/>
  <c r="AR103" i="7"/>
  <c r="AQ103" i="7"/>
  <c r="AP103" i="7"/>
  <c r="AO103" i="7"/>
  <c r="AN103" i="7"/>
  <c r="AU102" i="7"/>
  <c r="AT102" i="7"/>
  <c r="AS102" i="7"/>
  <c r="AR102" i="7"/>
  <c r="AQ102" i="7"/>
  <c r="AP102" i="7"/>
  <c r="AO102" i="7"/>
  <c r="AN102" i="7"/>
  <c r="AU101" i="7"/>
  <c r="AT101" i="7"/>
  <c r="AS101" i="7"/>
  <c r="AR101" i="7"/>
  <c r="AQ101" i="7"/>
  <c r="AP101" i="7"/>
  <c r="AO101" i="7"/>
  <c r="AN101" i="7"/>
  <c r="AU100" i="7"/>
  <c r="AT100" i="7"/>
  <c r="AS100" i="7"/>
  <c r="AR100" i="7"/>
  <c r="AQ100" i="7"/>
  <c r="AP100" i="7"/>
  <c r="AO100" i="7"/>
  <c r="AN100" i="7"/>
  <c r="AU99" i="7"/>
  <c r="AT99" i="7"/>
  <c r="AS99" i="7"/>
  <c r="AR99" i="7"/>
  <c r="AQ99" i="7"/>
  <c r="AP99" i="7"/>
  <c r="AO99" i="7"/>
  <c r="AN99" i="7"/>
  <c r="AU98" i="7"/>
  <c r="AT98" i="7"/>
  <c r="AS98" i="7"/>
  <c r="AR98" i="7"/>
  <c r="AQ98" i="7"/>
  <c r="AP98" i="7"/>
  <c r="AO98" i="7"/>
  <c r="AN98" i="7"/>
  <c r="AU97" i="7"/>
  <c r="AT97" i="7"/>
  <c r="AS97" i="7"/>
  <c r="AR97" i="7"/>
  <c r="AQ97" i="7"/>
  <c r="AP97" i="7"/>
  <c r="AO97" i="7"/>
  <c r="AN97" i="7"/>
  <c r="AU96" i="7"/>
  <c r="AT96" i="7"/>
  <c r="AS96" i="7"/>
  <c r="AR96" i="7"/>
  <c r="AQ96" i="7"/>
  <c r="AP96" i="7"/>
  <c r="AO96" i="7"/>
  <c r="AN96" i="7"/>
  <c r="AU95" i="7"/>
  <c r="AT95" i="7"/>
  <c r="AS95" i="7"/>
  <c r="AR95" i="7"/>
  <c r="AQ95" i="7"/>
  <c r="AP95" i="7"/>
  <c r="AO95" i="7"/>
  <c r="AN95" i="7"/>
  <c r="AU94" i="7"/>
  <c r="AT94" i="7"/>
  <c r="AS94" i="7"/>
  <c r="AR94" i="7"/>
  <c r="AQ94" i="7"/>
  <c r="AP94" i="7"/>
  <c r="AO94" i="7"/>
  <c r="AN94" i="7"/>
  <c r="AU93" i="7"/>
  <c r="AT93" i="7"/>
  <c r="AS93" i="7"/>
  <c r="AR93" i="7"/>
  <c r="AQ93" i="7"/>
  <c r="AP93" i="7"/>
  <c r="AO93" i="7"/>
  <c r="AN93" i="7"/>
  <c r="AU92" i="7"/>
  <c r="AT92" i="7"/>
  <c r="AS92" i="7"/>
  <c r="AR92" i="7"/>
  <c r="AQ92" i="7"/>
  <c r="AP92" i="7"/>
  <c r="AO92" i="7"/>
  <c r="AN92" i="7"/>
  <c r="AU91" i="7"/>
  <c r="AT91" i="7"/>
  <c r="AS91" i="7"/>
  <c r="AR91" i="7"/>
  <c r="AQ91" i="7"/>
  <c r="AP91" i="7"/>
  <c r="AO91" i="7"/>
  <c r="AN91" i="7"/>
  <c r="AU90" i="7"/>
  <c r="AT90" i="7"/>
  <c r="AS90" i="7"/>
  <c r="AR90" i="7"/>
  <c r="AQ90" i="7"/>
  <c r="AP90" i="7"/>
  <c r="AO90" i="7"/>
  <c r="AN90" i="7"/>
  <c r="AU89" i="7"/>
  <c r="AT89" i="7"/>
  <c r="AS89" i="7"/>
  <c r="AR89" i="7"/>
  <c r="AQ89" i="7"/>
  <c r="AP89" i="7"/>
  <c r="AO89" i="7"/>
  <c r="AN89" i="7"/>
  <c r="AU88" i="7"/>
  <c r="AT88" i="7"/>
  <c r="AS88" i="7"/>
  <c r="AR88" i="7"/>
  <c r="AQ88" i="7"/>
  <c r="AP88" i="7"/>
  <c r="AO88" i="7"/>
  <c r="AN88" i="7"/>
  <c r="AU87" i="7"/>
  <c r="AT87" i="7"/>
  <c r="AS87" i="7"/>
  <c r="AR87" i="7"/>
  <c r="AQ87" i="7"/>
  <c r="AP87" i="7"/>
  <c r="AO87" i="7"/>
  <c r="AN87" i="7"/>
  <c r="AU86" i="7"/>
  <c r="AT86" i="7"/>
  <c r="AS86" i="7"/>
  <c r="AR86" i="7"/>
  <c r="AQ86" i="7"/>
  <c r="AP86" i="7"/>
  <c r="AO86" i="7"/>
  <c r="AN86" i="7"/>
  <c r="AU85" i="7"/>
  <c r="AT85" i="7"/>
  <c r="AS85" i="7"/>
  <c r="AR85" i="7"/>
  <c r="AQ85" i="7"/>
  <c r="AP85" i="7"/>
  <c r="AO85" i="7"/>
  <c r="AN85" i="7"/>
  <c r="AU84" i="7"/>
  <c r="AT84" i="7"/>
  <c r="AS84" i="7"/>
  <c r="AR84" i="7"/>
  <c r="AQ84" i="7"/>
  <c r="AP84" i="7"/>
  <c r="AO84" i="7"/>
  <c r="AN84" i="7"/>
  <c r="AU83" i="7"/>
  <c r="AT83" i="7"/>
  <c r="AS83" i="7"/>
  <c r="AR83" i="7"/>
  <c r="AQ83" i="7"/>
  <c r="AP83" i="7"/>
  <c r="AO83" i="7"/>
  <c r="AN83" i="7"/>
  <c r="AU82" i="7"/>
  <c r="AT82" i="7"/>
  <c r="AS82" i="7"/>
  <c r="AR82" i="7"/>
  <c r="AQ82" i="7"/>
  <c r="AP82" i="7"/>
  <c r="AO82" i="7"/>
  <c r="AN82" i="7"/>
  <c r="AU81" i="7"/>
  <c r="AT81" i="7"/>
  <c r="AS81" i="7"/>
  <c r="AR81" i="7"/>
  <c r="AQ81" i="7"/>
  <c r="AP81" i="7"/>
  <c r="AO81" i="7"/>
  <c r="AN81" i="7"/>
  <c r="AU80" i="7"/>
  <c r="AT80" i="7"/>
  <c r="AS80" i="7"/>
  <c r="AR80" i="7"/>
  <c r="AQ80" i="7"/>
  <c r="AP80" i="7"/>
  <c r="AO80" i="7"/>
  <c r="AN80" i="7"/>
  <c r="AU79" i="7"/>
  <c r="AT79" i="7"/>
  <c r="AS79" i="7"/>
  <c r="AR79" i="7"/>
  <c r="AQ79" i="7"/>
  <c r="AP79" i="7"/>
  <c r="AO79" i="7"/>
  <c r="AN79" i="7"/>
  <c r="AU78" i="7"/>
  <c r="AT78" i="7"/>
  <c r="AS78" i="7"/>
  <c r="AR78" i="7"/>
  <c r="AQ78" i="7"/>
  <c r="AP78" i="7"/>
  <c r="AO78" i="7"/>
  <c r="AN78" i="7"/>
  <c r="AU77" i="7"/>
  <c r="AT77" i="7"/>
  <c r="AS77" i="7"/>
  <c r="AR77" i="7"/>
  <c r="AQ77" i="7"/>
  <c r="AP77" i="7"/>
  <c r="AO77" i="7"/>
  <c r="AN77" i="7"/>
  <c r="AU76" i="7"/>
  <c r="AT76" i="7"/>
  <c r="AS76" i="7"/>
  <c r="AR76" i="7"/>
  <c r="AQ76" i="7"/>
  <c r="AP76" i="7"/>
  <c r="AO76" i="7"/>
  <c r="AN76" i="7"/>
  <c r="AU75" i="7"/>
  <c r="AT75" i="7"/>
  <c r="AS75" i="7"/>
  <c r="AR75" i="7"/>
  <c r="AQ75" i="7"/>
  <c r="AP75" i="7"/>
  <c r="AO75" i="7"/>
  <c r="AN75" i="7"/>
  <c r="AU74" i="7"/>
  <c r="AT74" i="7"/>
  <c r="AS74" i="7"/>
  <c r="AR74" i="7"/>
  <c r="AQ74" i="7"/>
  <c r="AP74" i="7"/>
  <c r="AO74" i="7"/>
  <c r="AN74" i="7"/>
  <c r="AU73" i="7"/>
  <c r="AT73" i="7"/>
  <c r="AS73" i="7"/>
  <c r="AR73" i="7"/>
  <c r="AQ73" i="7"/>
  <c r="AP73" i="7"/>
  <c r="AO73" i="7"/>
  <c r="AN73" i="7"/>
  <c r="AU72" i="7"/>
  <c r="AT72" i="7"/>
  <c r="AS72" i="7"/>
  <c r="AR72" i="7"/>
  <c r="AQ72" i="7"/>
  <c r="AP72" i="7"/>
  <c r="AO72" i="7"/>
  <c r="AN72" i="7"/>
  <c r="AU71" i="7"/>
  <c r="AT71" i="7"/>
  <c r="AS71" i="7"/>
  <c r="AR71" i="7"/>
  <c r="AQ71" i="7"/>
  <c r="AP71" i="7"/>
  <c r="AO71" i="7"/>
  <c r="AN71" i="7"/>
  <c r="AU70" i="7"/>
  <c r="AT70" i="7"/>
  <c r="AS70" i="7"/>
  <c r="AR70" i="7"/>
  <c r="AQ70" i="7"/>
  <c r="AP70" i="7"/>
  <c r="AO70" i="7"/>
  <c r="AN70" i="7"/>
  <c r="AU69" i="7"/>
  <c r="AT69" i="7"/>
  <c r="AS69" i="7"/>
  <c r="AR69" i="7"/>
  <c r="AQ69" i="7"/>
  <c r="AP69" i="7"/>
  <c r="AO69" i="7"/>
  <c r="AN69" i="7"/>
  <c r="AU68" i="7"/>
  <c r="AT68" i="7"/>
  <c r="AS68" i="7"/>
  <c r="AR68" i="7"/>
  <c r="AQ68" i="7"/>
  <c r="AP68" i="7"/>
  <c r="AO68" i="7"/>
  <c r="AN68" i="7"/>
  <c r="AU67" i="7"/>
  <c r="AT67" i="7"/>
  <c r="AS67" i="7"/>
  <c r="AR67" i="7"/>
  <c r="AQ67" i="7"/>
  <c r="AP67" i="7"/>
  <c r="AO67" i="7"/>
  <c r="AN67" i="7"/>
  <c r="AU66" i="7"/>
  <c r="AT66" i="7"/>
  <c r="AS66" i="7"/>
  <c r="AR66" i="7"/>
  <c r="AQ66" i="7"/>
  <c r="AP66" i="7"/>
  <c r="AO66" i="7"/>
  <c r="AN66" i="7"/>
  <c r="AU65" i="7"/>
  <c r="AT65" i="7"/>
  <c r="AS65" i="7"/>
  <c r="AR65" i="7"/>
  <c r="AQ65" i="7"/>
  <c r="AP65" i="7"/>
  <c r="AO65" i="7"/>
  <c r="AN65" i="7"/>
  <c r="AU64" i="7"/>
  <c r="AT64" i="7"/>
  <c r="AS64" i="7"/>
  <c r="AR64" i="7"/>
  <c r="AQ64" i="7"/>
  <c r="AP64" i="7"/>
  <c r="AO64" i="7"/>
  <c r="AN64" i="7"/>
  <c r="AU63" i="7"/>
  <c r="AT63" i="7"/>
  <c r="AS63" i="7"/>
  <c r="AR63" i="7"/>
  <c r="AQ63" i="7"/>
  <c r="AP63" i="7"/>
  <c r="AO63" i="7"/>
  <c r="AN63" i="7"/>
  <c r="AU62" i="7"/>
  <c r="AT62" i="7"/>
  <c r="AS62" i="7"/>
  <c r="AR62" i="7"/>
  <c r="AQ62" i="7"/>
  <c r="AP62" i="7"/>
  <c r="AO62" i="7"/>
  <c r="AN62" i="7"/>
  <c r="AU61" i="7"/>
  <c r="AT61" i="7"/>
  <c r="AS61" i="7"/>
  <c r="AR61" i="7"/>
  <c r="AQ61" i="7"/>
  <c r="AP61" i="7"/>
  <c r="AO61" i="7"/>
  <c r="AN61" i="7"/>
  <c r="AU60" i="7"/>
  <c r="AT60" i="7"/>
  <c r="AS60" i="7"/>
  <c r="AR60" i="7"/>
  <c r="AQ60" i="7"/>
  <c r="AP60" i="7"/>
  <c r="AO60" i="7"/>
  <c r="AN60" i="7"/>
  <c r="AU59" i="7"/>
  <c r="AT59" i="7"/>
  <c r="AS59" i="7"/>
  <c r="AR59" i="7"/>
  <c r="AQ59" i="7"/>
  <c r="AP59" i="7"/>
  <c r="AO59" i="7"/>
  <c r="AN59" i="7"/>
  <c r="AU58" i="7"/>
  <c r="AT58" i="7"/>
  <c r="AS58" i="7"/>
  <c r="AR58" i="7"/>
  <c r="AQ58" i="7"/>
  <c r="AP58" i="7"/>
  <c r="AO58" i="7"/>
  <c r="AN58" i="7"/>
  <c r="AU57" i="7"/>
  <c r="AT57" i="7"/>
  <c r="AS57" i="7"/>
  <c r="AR57" i="7"/>
  <c r="AQ57" i="7"/>
  <c r="AP57" i="7"/>
  <c r="AO57" i="7"/>
  <c r="AN57" i="7"/>
  <c r="AU56" i="7"/>
  <c r="AT56" i="7"/>
  <c r="AS56" i="7"/>
  <c r="AR56" i="7"/>
  <c r="AQ56" i="7"/>
  <c r="AP56" i="7"/>
  <c r="AO56" i="7"/>
  <c r="AN56" i="7"/>
  <c r="AU55" i="7"/>
  <c r="AT55" i="7"/>
  <c r="AS55" i="7"/>
  <c r="AR55" i="7"/>
  <c r="AQ55" i="7"/>
  <c r="AP55" i="7"/>
  <c r="AO55" i="7"/>
  <c r="AN55" i="7"/>
  <c r="AU54" i="7"/>
  <c r="AT54" i="7"/>
  <c r="AS54" i="7"/>
  <c r="AR54" i="7"/>
  <c r="AQ54" i="7"/>
  <c r="AP54" i="7"/>
  <c r="AO54" i="7"/>
  <c r="AN54" i="7"/>
  <c r="AU53" i="7"/>
  <c r="AT53" i="7"/>
  <c r="AS53" i="7"/>
  <c r="AR53" i="7"/>
  <c r="AQ53" i="7"/>
  <c r="AP53" i="7"/>
  <c r="AO53" i="7"/>
  <c r="AN53" i="7"/>
  <c r="AU52" i="7"/>
  <c r="AT52" i="7"/>
  <c r="AS52" i="7"/>
  <c r="AR52" i="7"/>
  <c r="AQ52" i="7"/>
  <c r="AP52" i="7"/>
  <c r="AO52" i="7"/>
  <c r="AN52" i="7"/>
  <c r="AU51" i="7"/>
  <c r="AT51" i="7"/>
  <c r="AS51" i="7"/>
  <c r="AR51" i="7"/>
  <c r="AQ51" i="7"/>
  <c r="AP51" i="7"/>
  <c r="AO51" i="7"/>
  <c r="AN51" i="7"/>
  <c r="AU50" i="7"/>
  <c r="AT50" i="7"/>
  <c r="AS50" i="7"/>
  <c r="AR50" i="7"/>
  <c r="AQ50" i="7"/>
  <c r="AP50" i="7"/>
  <c r="AO50" i="7"/>
  <c r="AN50" i="7"/>
  <c r="AU49" i="7"/>
  <c r="AT49" i="7"/>
  <c r="AS49" i="7"/>
  <c r="AR49" i="7"/>
  <c r="AQ49" i="7"/>
  <c r="AP49" i="7"/>
  <c r="AO49" i="7"/>
  <c r="AN49" i="7"/>
  <c r="AU48" i="7"/>
  <c r="AT48" i="7"/>
  <c r="AS48" i="7"/>
  <c r="AR48" i="7"/>
  <c r="AQ48" i="7"/>
  <c r="AP48" i="7"/>
  <c r="AO48" i="7"/>
  <c r="AN48" i="7"/>
  <c r="AU47" i="7"/>
  <c r="AT47" i="7"/>
  <c r="AS47" i="7"/>
  <c r="AR47" i="7"/>
  <c r="AQ47" i="7"/>
  <c r="AP47" i="7"/>
  <c r="AO47" i="7"/>
  <c r="AN47" i="7"/>
  <c r="AU46" i="7"/>
  <c r="AT46" i="7"/>
  <c r="AS46" i="7"/>
  <c r="AR46" i="7"/>
  <c r="AQ46" i="7"/>
  <c r="AP46" i="7"/>
  <c r="AO46" i="7"/>
  <c r="AN46" i="7"/>
  <c r="AU45" i="7"/>
  <c r="AT45" i="7"/>
  <c r="AS45" i="7"/>
  <c r="AR45" i="7"/>
  <c r="AQ45" i="7"/>
  <c r="AP45" i="7"/>
  <c r="AO45" i="7"/>
  <c r="AN45" i="7"/>
  <c r="AU44" i="7"/>
  <c r="AT44" i="7"/>
  <c r="AS44" i="7"/>
  <c r="AR44" i="7"/>
  <c r="AQ44" i="7"/>
  <c r="AP44" i="7"/>
  <c r="AO44" i="7"/>
  <c r="AN44" i="7"/>
  <c r="AU43" i="7"/>
  <c r="AT43" i="7"/>
  <c r="AS43" i="7"/>
  <c r="AR43" i="7"/>
  <c r="AQ43" i="7"/>
  <c r="AP43" i="7"/>
  <c r="AO43" i="7"/>
  <c r="AN43" i="7"/>
  <c r="AU42" i="7"/>
  <c r="AT42" i="7"/>
  <c r="AS42" i="7"/>
  <c r="AR42" i="7"/>
  <c r="AQ42" i="7"/>
  <c r="AP42" i="7"/>
  <c r="AO42" i="7"/>
  <c r="AN42" i="7"/>
  <c r="AU41" i="7"/>
  <c r="AT41" i="7"/>
  <c r="AS41" i="7"/>
  <c r="AR41" i="7"/>
  <c r="AQ41" i="7"/>
  <c r="AP41" i="7"/>
  <c r="AO41" i="7"/>
  <c r="AN41" i="7"/>
  <c r="AU40" i="7"/>
  <c r="AT40" i="7"/>
  <c r="AS40" i="7"/>
  <c r="AR40" i="7"/>
  <c r="AQ40" i="7"/>
  <c r="AP40" i="7"/>
  <c r="AO40" i="7"/>
  <c r="AN40" i="7"/>
  <c r="AU39" i="7"/>
  <c r="AT39" i="7"/>
  <c r="AS39" i="7"/>
  <c r="AR39" i="7"/>
  <c r="AQ39" i="7"/>
  <c r="AP39" i="7"/>
  <c r="AO39" i="7"/>
  <c r="AN39" i="7"/>
  <c r="AU38" i="7"/>
  <c r="AT38" i="7"/>
  <c r="AS38" i="7"/>
  <c r="AR38" i="7"/>
  <c r="AQ38" i="7"/>
  <c r="AP38" i="7"/>
  <c r="AO38" i="7"/>
  <c r="AN38" i="7"/>
  <c r="AU37" i="7"/>
  <c r="AT37" i="7"/>
  <c r="AS37" i="7"/>
  <c r="AR37" i="7"/>
  <c r="AQ37" i="7"/>
  <c r="AP37" i="7"/>
  <c r="AO37" i="7"/>
  <c r="AN37" i="7"/>
  <c r="AU36" i="7"/>
  <c r="AT36" i="7"/>
  <c r="AS36" i="7"/>
  <c r="AR36" i="7"/>
  <c r="AQ36" i="7"/>
  <c r="AP36" i="7"/>
  <c r="AO36" i="7"/>
  <c r="AN36" i="7"/>
  <c r="AU35" i="7"/>
  <c r="AT35" i="7"/>
  <c r="AS35" i="7"/>
  <c r="AR35" i="7"/>
  <c r="AQ35" i="7"/>
  <c r="AP35" i="7"/>
  <c r="AO35" i="7"/>
  <c r="AN35" i="7"/>
  <c r="AU34" i="7"/>
  <c r="AT34" i="7"/>
  <c r="AS34" i="7"/>
  <c r="AR34" i="7"/>
  <c r="AQ34" i="7"/>
  <c r="AP34" i="7"/>
  <c r="AO34" i="7"/>
  <c r="AN34" i="7"/>
  <c r="AU33" i="7"/>
  <c r="AT33" i="7"/>
  <c r="AS33" i="7"/>
  <c r="AR33" i="7"/>
  <c r="AQ33" i="7"/>
  <c r="AP33" i="7"/>
  <c r="AO33" i="7"/>
  <c r="AN33" i="7"/>
  <c r="AU32" i="7"/>
  <c r="AT32" i="7"/>
  <c r="AS32" i="7"/>
  <c r="AR32" i="7"/>
  <c r="AQ32" i="7"/>
  <c r="AP32" i="7"/>
  <c r="AO32" i="7"/>
  <c r="AN32" i="7"/>
  <c r="AU31" i="7"/>
  <c r="AT31" i="7"/>
  <c r="AS31" i="7"/>
  <c r="AR31" i="7"/>
  <c r="AQ31" i="7"/>
  <c r="AP31" i="7"/>
  <c r="AO31" i="7"/>
  <c r="AN31" i="7"/>
  <c r="AU30" i="7"/>
  <c r="AT30" i="7"/>
  <c r="AS30" i="7"/>
  <c r="AR30" i="7"/>
  <c r="AQ30" i="7"/>
  <c r="AP30" i="7"/>
  <c r="AO30" i="7"/>
  <c r="AN30" i="7"/>
  <c r="AU29" i="7"/>
  <c r="AT29" i="7"/>
  <c r="AS29" i="7"/>
  <c r="AR29" i="7"/>
  <c r="AQ29" i="7"/>
  <c r="AP29" i="7"/>
  <c r="AO29" i="7"/>
  <c r="AN29" i="7"/>
  <c r="AU28" i="7"/>
  <c r="AT28" i="7"/>
  <c r="AS28" i="7"/>
  <c r="AR28" i="7"/>
  <c r="AQ28" i="7"/>
  <c r="AP28" i="7"/>
  <c r="AO28" i="7"/>
  <c r="AN28" i="7"/>
  <c r="AU27" i="7"/>
  <c r="AT27" i="7"/>
  <c r="AS27" i="7"/>
  <c r="AR27" i="7"/>
  <c r="AQ27" i="7"/>
  <c r="AP27" i="7"/>
  <c r="AO27" i="7"/>
  <c r="AN27" i="7"/>
  <c r="AU26" i="7"/>
  <c r="AT26" i="7"/>
  <c r="AS26" i="7"/>
  <c r="AR26" i="7"/>
  <c r="AQ26" i="7"/>
  <c r="AP26" i="7"/>
  <c r="AO26" i="7"/>
  <c r="AN26" i="7"/>
  <c r="AU25" i="7"/>
  <c r="AT25" i="7"/>
  <c r="AS25" i="7"/>
  <c r="AR25" i="7"/>
  <c r="AQ25" i="7"/>
  <c r="AP25" i="7"/>
  <c r="AO25" i="7"/>
  <c r="AN25" i="7"/>
  <c r="AU24" i="7"/>
  <c r="AT24" i="7"/>
  <c r="AS24" i="7"/>
  <c r="AR24" i="7"/>
  <c r="AQ24" i="7"/>
  <c r="AP24" i="7"/>
  <c r="AO24" i="7"/>
  <c r="AN24" i="7"/>
  <c r="AU23" i="7"/>
  <c r="AT23" i="7"/>
  <c r="AS23" i="7"/>
  <c r="AR23" i="7"/>
  <c r="AQ23" i="7"/>
  <c r="AP23" i="7"/>
  <c r="AO23" i="7"/>
  <c r="AN23" i="7"/>
  <c r="AU22" i="7"/>
  <c r="AT22" i="7"/>
  <c r="AS22" i="7"/>
  <c r="AR22" i="7"/>
  <c r="AQ22" i="7"/>
  <c r="AP22" i="7"/>
  <c r="AO22" i="7"/>
  <c r="AN22" i="7"/>
  <c r="AU21" i="7"/>
  <c r="AT21" i="7"/>
  <c r="AS21" i="7"/>
  <c r="AR21" i="7"/>
  <c r="AQ21" i="7"/>
  <c r="AP21" i="7"/>
  <c r="AO21" i="7"/>
  <c r="AN21" i="7"/>
  <c r="AU20" i="7"/>
  <c r="AT20" i="7"/>
  <c r="AS20" i="7"/>
  <c r="AR20" i="7"/>
  <c r="AQ20" i="7"/>
  <c r="AP20" i="7"/>
  <c r="AO20" i="7"/>
  <c r="AN20" i="7"/>
  <c r="AU19" i="7"/>
  <c r="AT19" i="7"/>
  <c r="AS19" i="7"/>
  <c r="AR19" i="7"/>
  <c r="AQ19" i="7"/>
  <c r="AP19" i="7"/>
  <c r="AO19" i="7"/>
  <c r="AN19" i="7"/>
  <c r="AU18" i="7"/>
  <c r="AT18" i="7"/>
  <c r="AS18" i="7"/>
  <c r="AR18" i="7"/>
  <c r="AQ18" i="7"/>
  <c r="AP18" i="7"/>
  <c r="AO18" i="7"/>
  <c r="AN18" i="7"/>
  <c r="AU17" i="7"/>
  <c r="AT17" i="7"/>
  <c r="AS17" i="7"/>
  <c r="AR17" i="7"/>
  <c r="AQ17" i="7"/>
  <c r="AP17" i="7"/>
  <c r="AO17" i="7"/>
  <c r="AN17" i="7"/>
  <c r="AU16" i="7"/>
  <c r="AT16" i="7"/>
  <c r="AS16" i="7"/>
  <c r="AR16" i="7"/>
  <c r="AQ16" i="7"/>
  <c r="AP16" i="7"/>
  <c r="AO16" i="7"/>
  <c r="AN16" i="7"/>
  <c r="AU15" i="7"/>
  <c r="AT15" i="7"/>
  <c r="AS15" i="7"/>
  <c r="AR15" i="7"/>
  <c r="AQ15" i="7"/>
  <c r="AP15" i="7"/>
  <c r="AO15" i="7"/>
  <c r="AN15" i="7"/>
  <c r="AU14" i="7"/>
  <c r="AT14" i="7"/>
  <c r="AS14" i="7"/>
  <c r="AR14" i="7"/>
  <c r="AQ14" i="7"/>
  <c r="AP14" i="7"/>
  <c r="AO14" i="7"/>
  <c r="AN14" i="7"/>
  <c r="AU13" i="7"/>
  <c r="AT13" i="7"/>
  <c r="AS13" i="7"/>
  <c r="AR13" i="7"/>
  <c r="AQ13" i="7"/>
  <c r="AP13" i="7"/>
  <c r="AO13" i="7"/>
  <c r="AN13" i="7"/>
  <c r="AU12" i="7"/>
  <c r="AT12" i="7"/>
  <c r="AS12" i="7"/>
  <c r="AR12" i="7"/>
  <c r="AQ12" i="7"/>
  <c r="AP12" i="7"/>
  <c r="AO12" i="7"/>
  <c r="AN12" i="7"/>
  <c r="AU11" i="7"/>
  <c r="AT11" i="7"/>
  <c r="AS11" i="7"/>
  <c r="AR11" i="7"/>
  <c r="AQ11" i="7"/>
  <c r="AP11" i="7"/>
  <c r="AO11" i="7"/>
  <c r="AN11" i="7"/>
  <c r="AU10" i="7"/>
  <c r="AT10" i="7"/>
  <c r="AS10" i="7"/>
  <c r="AR10" i="7"/>
  <c r="AQ10" i="7"/>
  <c r="AP10" i="7"/>
  <c r="AO10" i="7"/>
  <c r="AN10" i="7"/>
  <c r="AU9" i="7"/>
  <c r="AT9" i="7"/>
  <c r="AS9" i="7"/>
  <c r="AR9" i="7"/>
  <c r="AQ9" i="7"/>
  <c r="AP9" i="7"/>
  <c r="AO9" i="7"/>
  <c r="AN9" i="7"/>
  <c r="AU8" i="7"/>
  <c r="AT8" i="7"/>
  <c r="AS8" i="7"/>
  <c r="AR8" i="7"/>
  <c r="AQ8" i="7"/>
  <c r="AP8" i="7"/>
  <c r="AO8" i="7"/>
  <c r="AN8" i="7"/>
  <c r="AU7" i="7"/>
  <c r="AT7" i="7"/>
  <c r="AS7" i="7"/>
  <c r="AR7" i="7"/>
  <c r="AQ7" i="7"/>
  <c r="AP7" i="7"/>
  <c r="AO7" i="7"/>
  <c r="AU132" i="3"/>
  <c r="AT132" i="3"/>
  <c r="AS132" i="3"/>
  <c r="AR132" i="3"/>
  <c r="AQ132" i="3"/>
  <c r="AP132" i="3"/>
  <c r="AO132" i="3"/>
  <c r="AN132" i="3"/>
  <c r="AU131" i="3"/>
  <c r="AT131" i="3"/>
  <c r="AS131" i="3"/>
  <c r="AR131" i="3"/>
  <c r="AQ131" i="3"/>
  <c r="AP131" i="3"/>
  <c r="AO131" i="3"/>
  <c r="AN131" i="3"/>
  <c r="AU130" i="3"/>
  <c r="AT130" i="3"/>
  <c r="AS130" i="3"/>
  <c r="AR130" i="3"/>
  <c r="AQ130" i="3"/>
  <c r="AP130" i="3"/>
  <c r="AO130" i="3"/>
  <c r="AN130" i="3"/>
  <c r="AU129" i="3"/>
  <c r="AT129" i="3"/>
  <c r="AS129" i="3"/>
  <c r="AR129" i="3"/>
  <c r="AQ129" i="3"/>
  <c r="AP129" i="3"/>
  <c r="AO129" i="3"/>
  <c r="AN129" i="3"/>
  <c r="AU128" i="3"/>
  <c r="AT128" i="3"/>
  <c r="AS128" i="3"/>
  <c r="AR128" i="3"/>
  <c r="AQ128" i="3"/>
  <c r="AP128" i="3"/>
  <c r="AO128" i="3"/>
  <c r="AN128" i="3"/>
  <c r="AU127" i="3"/>
  <c r="AT127" i="3"/>
  <c r="AS127" i="3"/>
  <c r="AR127" i="3"/>
  <c r="AQ127" i="3"/>
  <c r="AP127" i="3"/>
  <c r="AO127" i="3"/>
  <c r="AN127" i="3"/>
  <c r="AU126" i="3"/>
  <c r="AT126" i="3"/>
  <c r="AS126" i="3"/>
  <c r="AR126" i="3"/>
  <c r="AQ126" i="3"/>
  <c r="AP126" i="3"/>
  <c r="AO126" i="3"/>
  <c r="AN126" i="3"/>
  <c r="AU125" i="3"/>
  <c r="AT125" i="3"/>
  <c r="AS125" i="3"/>
  <c r="AR125" i="3"/>
  <c r="AQ125" i="3"/>
  <c r="AP125" i="3"/>
  <c r="AO125" i="3"/>
  <c r="AN125" i="3"/>
  <c r="AU124" i="3"/>
  <c r="AT124" i="3"/>
  <c r="AS124" i="3"/>
  <c r="AR124" i="3"/>
  <c r="AQ124" i="3"/>
  <c r="AP124" i="3"/>
  <c r="AO124" i="3"/>
  <c r="AN124" i="3"/>
  <c r="AU123" i="3"/>
  <c r="AT123" i="3"/>
  <c r="AS123" i="3"/>
  <c r="AR123" i="3"/>
  <c r="AQ123" i="3"/>
  <c r="AP123" i="3"/>
  <c r="AO123" i="3"/>
  <c r="AN123" i="3"/>
  <c r="AU122" i="3"/>
  <c r="AT122" i="3"/>
  <c r="AS122" i="3"/>
  <c r="AR122" i="3"/>
  <c r="AQ122" i="3"/>
  <c r="AP122" i="3"/>
  <c r="AO122" i="3"/>
  <c r="AN122" i="3"/>
  <c r="AU121" i="3"/>
  <c r="AT121" i="3"/>
  <c r="AS121" i="3"/>
  <c r="AR121" i="3"/>
  <c r="AQ121" i="3"/>
  <c r="AP121" i="3"/>
  <c r="AO121" i="3"/>
  <c r="AN121" i="3"/>
  <c r="AU120" i="3"/>
  <c r="AT120" i="3"/>
  <c r="AS120" i="3"/>
  <c r="AR120" i="3"/>
  <c r="AQ120" i="3"/>
  <c r="AP120" i="3"/>
  <c r="AO120" i="3"/>
  <c r="AN120" i="3"/>
  <c r="AU119" i="3"/>
  <c r="AT119" i="3"/>
  <c r="AS119" i="3"/>
  <c r="AR119" i="3"/>
  <c r="AQ119" i="3"/>
  <c r="AP119" i="3"/>
  <c r="AO119" i="3"/>
  <c r="AN119" i="3"/>
  <c r="AU118" i="3"/>
  <c r="AT118" i="3"/>
  <c r="AS118" i="3"/>
  <c r="AR118" i="3"/>
  <c r="AQ118" i="3"/>
  <c r="AP118" i="3"/>
  <c r="AO118" i="3"/>
  <c r="AN118" i="3"/>
  <c r="AU117" i="3"/>
  <c r="AT117" i="3"/>
  <c r="AS117" i="3"/>
  <c r="AR117" i="3"/>
  <c r="AQ117" i="3"/>
  <c r="AP117" i="3"/>
  <c r="AO117" i="3"/>
  <c r="AN117" i="3"/>
  <c r="AU116" i="3"/>
  <c r="AT116" i="3"/>
  <c r="AS116" i="3"/>
  <c r="AR116" i="3"/>
  <c r="AQ116" i="3"/>
  <c r="AP116" i="3"/>
  <c r="AO116" i="3"/>
  <c r="AN116" i="3"/>
  <c r="AU115" i="3"/>
  <c r="AT115" i="3"/>
  <c r="AS115" i="3"/>
  <c r="AR115" i="3"/>
  <c r="AQ115" i="3"/>
  <c r="AP115" i="3"/>
  <c r="AO115" i="3"/>
  <c r="AN115" i="3"/>
  <c r="AU114" i="3"/>
  <c r="AT114" i="3"/>
  <c r="AS114" i="3"/>
  <c r="AR114" i="3"/>
  <c r="AQ114" i="3"/>
  <c r="AP114" i="3"/>
  <c r="AO114" i="3"/>
  <c r="AN114" i="3"/>
  <c r="AU113" i="3"/>
  <c r="AT113" i="3"/>
  <c r="AS113" i="3"/>
  <c r="AR113" i="3"/>
  <c r="AQ113" i="3"/>
  <c r="AP113" i="3"/>
  <c r="AO113" i="3"/>
  <c r="AN113" i="3"/>
  <c r="AU112" i="3"/>
  <c r="AT112" i="3"/>
  <c r="AS112" i="3"/>
  <c r="AR112" i="3"/>
  <c r="AQ112" i="3"/>
  <c r="AP112" i="3"/>
  <c r="AO112" i="3"/>
  <c r="AN112" i="3"/>
  <c r="AU111" i="3"/>
  <c r="AT111" i="3"/>
  <c r="AS111" i="3"/>
  <c r="AR111" i="3"/>
  <c r="AQ111" i="3"/>
  <c r="AP111" i="3"/>
  <c r="AO111" i="3"/>
  <c r="AN111" i="3"/>
  <c r="AU110" i="3"/>
  <c r="AT110" i="3"/>
  <c r="AS110" i="3"/>
  <c r="AR110" i="3"/>
  <c r="AQ110" i="3"/>
  <c r="AP110" i="3"/>
  <c r="AO110" i="3"/>
  <c r="AN110" i="3"/>
  <c r="AU109" i="3"/>
  <c r="AT109" i="3"/>
  <c r="AS109" i="3"/>
  <c r="AR109" i="3"/>
  <c r="AQ109" i="3"/>
  <c r="AP109" i="3"/>
  <c r="AO109" i="3"/>
  <c r="AN109" i="3"/>
  <c r="AU108" i="3"/>
  <c r="AT108" i="3"/>
  <c r="AS108" i="3"/>
  <c r="AR108" i="3"/>
  <c r="AQ108" i="3"/>
  <c r="AP108" i="3"/>
  <c r="AO108" i="3"/>
  <c r="AN108" i="3"/>
  <c r="AU107" i="3"/>
  <c r="AT107" i="3"/>
  <c r="AS107" i="3"/>
  <c r="AR107" i="3"/>
  <c r="AQ107" i="3"/>
  <c r="AP107" i="3"/>
  <c r="AO107" i="3"/>
  <c r="AN107" i="3"/>
  <c r="AU106" i="3"/>
  <c r="AT106" i="3"/>
  <c r="AS106" i="3"/>
  <c r="AR106" i="3"/>
  <c r="AQ106" i="3"/>
  <c r="AP106" i="3"/>
  <c r="AO106" i="3"/>
  <c r="AN106" i="3"/>
  <c r="AU105" i="3"/>
  <c r="AT105" i="3"/>
  <c r="AS105" i="3"/>
  <c r="AR105" i="3"/>
  <c r="AQ105" i="3"/>
  <c r="AP105" i="3"/>
  <c r="AO105" i="3"/>
  <c r="AN105" i="3"/>
  <c r="AU104" i="3"/>
  <c r="AT104" i="3"/>
  <c r="AS104" i="3"/>
  <c r="AR104" i="3"/>
  <c r="AQ104" i="3"/>
  <c r="AP104" i="3"/>
  <c r="AO104" i="3"/>
  <c r="AN104" i="3"/>
  <c r="AU103" i="3"/>
  <c r="AT103" i="3"/>
  <c r="AS103" i="3"/>
  <c r="AR103" i="3"/>
  <c r="AQ103" i="3"/>
  <c r="AP103" i="3"/>
  <c r="AO103" i="3"/>
  <c r="AN103" i="3"/>
  <c r="AU102" i="3"/>
  <c r="AT102" i="3"/>
  <c r="AS102" i="3"/>
  <c r="AR102" i="3"/>
  <c r="AQ102" i="3"/>
  <c r="AP102" i="3"/>
  <c r="AO102" i="3"/>
  <c r="AN102" i="3"/>
  <c r="AU101" i="3"/>
  <c r="AT101" i="3"/>
  <c r="AS101" i="3"/>
  <c r="AR101" i="3"/>
  <c r="AQ101" i="3"/>
  <c r="AP101" i="3"/>
  <c r="AO101" i="3"/>
  <c r="AN101" i="3"/>
  <c r="AU100" i="3"/>
  <c r="AT100" i="3"/>
  <c r="AS100" i="3"/>
  <c r="AR100" i="3"/>
  <c r="AQ100" i="3"/>
  <c r="AP100" i="3"/>
  <c r="AO100" i="3"/>
  <c r="AN100" i="3"/>
  <c r="AU99" i="3"/>
  <c r="AT99" i="3"/>
  <c r="AS99" i="3"/>
  <c r="AR99" i="3"/>
  <c r="AQ99" i="3"/>
  <c r="AP99" i="3"/>
  <c r="AO99" i="3"/>
  <c r="AN99" i="3"/>
  <c r="AU98" i="3"/>
  <c r="AT98" i="3"/>
  <c r="AS98" i="3"/>
  <c r="AR98" i="3"/>
  <c r="AQ98" i="3"/>
  <c r="AP98" i="3"/>
  <c r="AO98" i="3"/>
  <c r="AN98" i="3"/>
  <c r="AU97" i="3"/>
  <c r="AT97" i="3"/>
  <c r="AS97" i="3"/>
  <c r="AR97" i="3"/>
  <c r="AQ97" i="3"/>
  <c r="AP97" i="3"/>
  <c r="AO97" i="3"/>
  <c r="AN97" i="3"/>
  <c r="AU96" i="3"/>
  <c r="AT96" i="3"/>
  <c r="AS96" i="3"/>
  <c r="AR96" i="3"/>
  <c r="AQ96" i="3"/>
  <c r="AP96" i="3"/>
  <c r="AO96" i="3"/>
  <c r="AN96" i="3"/>
  <c r="AU95" i="3"/>
  <c r="AT95" i="3"/>
  <c r="AS95" i="3"/>
  <c r="AR95" i="3"/>
  <c r="AQ95" i="3"/>
  <c r="AP95" i="3"/>
  <c r="AO95" i="3"/>
  <c r="AN95" i="3"/>
  <c r="AU94" i="3"/>
  <c r="AT94" i="3"/>
  <c r="AS94" i="3"/>
  <c r="AR94" i="3"/>
  <c r="AQ94" i="3"/>
  <c r="AP94" i="3"/>
  <c r="AO94" i="3"/>
  <c r="AN94" i="3"/>
  <c r="AU93" i="3"/>
  <c r="AT93" i="3"/>
  <c r="AS93" i="3"/>
  <c r="AR93" i="3"/>
  <c r="AQ93" i="3"/>
  <c r="AP93" i="3"/>
  <c r="AO93" i="3"/>
  <c r="AN93" i="3"/>
  <c r="AU92" i="3"/>
  <c r="AT92" i="3"/>
  <c r="AS92" i="3"/>
  <c r="AR92" i="3"/>
  <c r="AQ92" i="3"/>
  <c r="AP92" i="3"/>
  <c r="AO92" i="3"/>
  <c r="AN92" i="3"/>
  <c r="AU91" i="3"/>
  <c r="AT91" i="3"/>
  <c r="AS91" i="3"/>
  <c r="AR91" i="3"/>
  <c r="AQ91" i="3"/>
  <c r="AP91" i="3"/>
  <c r="AO91" i="3"/>
  <c r="AN91" i="3"/>
  <c r="AU90" i="3"/>
  <c r="AT90" i="3"/>
  <c r="AS90" i="3"/>
  <c r="AR90" i="3"/>
  <c r="AQ90" i="3"/>
  <c r="AP90" i="3"/>
  <c r="AO90" i="3"/>
  <c r="AN90" i="3"/>
  <c r="AU89" i="3"/>
  <c r="AT89" i="3"/>
  <c r="AS89" i="3"/>
  <c r="AR89" i="3"/>
  <c r="AQ89" i="3"/>
  <c r="AP89" i="3"/>
  <c r="AO89" i="3"/>
  <c r="AN89" i="3"/>
  <c r="AU88" i="3"/>
  <c r="AT88" i="3"/>
  <c r="AS88" i="3"/>
  <c r="AR88" i="3"/>
  <c r="AQ88" i="3"/>
  <c r="AP88" i="3"/>
  <c r="AO88" i="3"/>
  <c r="AN88" i="3"/>
  <c r="AU87" i="3"/>
  <c r="AT87" i="3"/>
  <c r="AS87" i="3"/>
  <c r="AR87" i="3"/>
  <c r="AQ87" i="3"/>
  <c r="AP87" i="3"/>
  <c r="AO87" i="3"/>
  <c r="AN87" i="3"/>
  <c r="AU86" i="3"/>
  <c r="AT86" i="3"/>
  <c r="AS86" i="3"/>
  <c r="AR86" i="3"/>
  <c r="AQ86" i="3"/>
  <c r="AP86" i="3"/>
  <c r="AO86" i="3"/>
  <c r="AN86" i="3"/>
  <c r="AU85" i="3"/>
  <c r="AT85" i="3"/>
  <c r="AS85" i="3"/>
  <c r="AR85" i="3"/>
  <c r="AQ85" i="3"/>
  <c r="AP85" i="3"/>
  <c r="AO85" i="3"/>
  <c r="AN85" i="3"/>
  <c r="AU84" i="3"/>
  <c r="AT84" i="3"/>
  <c r="AS84" i="3"/>
  <c r="AR84" i="3"/>
  <c r="AQ84" i="3"/>
  <c r="AP84" i="3"/>
  <c r="AO84" i="3"/>
  <c r="AN84" i="3"/>
  <c r="AU83" i="3"/>
  <c r="AT83" i="3"/>
  <c r="AS83" i="3"/>
  <c r="AR83" i="3"/>
  <c r="AQ83" i="3"/>
  <c r="AP83" i="3"/>
  <c r="AO83" i="3"/>
  <c r="AN83" i="3"/>
  <c r="AU82" i="3"/>
  <c r="AT82" i="3"/>
  <c r="AS82" i="3"/>
  <c r="AR82" i="3"/>
  <c r="AQ82" i="3"/>
  <c r="AP82" i="3"/>
  <c r="AO82" i="3"/>
  <c r="AN82" i="3"/>
  <c r="AU81" i="3"/>
  <c r="AT81" i="3"/>
  <c r="AS81" i="3"/>
  <c r="AR81" i="3"/>
  <c r="AQ81" i="3"/>
  <c r="AP81" i="3"/>
  <c r="AO81" i="3"/>
  <c r="AN81" i="3"/>
  <c r="AU80" i="3"/>
  <c r="AT80" i="3"/>
  <c r="AS80" i="3"/>
  <c r="AR80" i="3"/>
  <c r="AQ80" i="3"/>
  <c r="AP80" i="3"/>
  <c r="AO80" i="3"/>
  <c r="AN80" i="3"/>
  <c r="AU79" i="3"/>
  <c r="AT79" i="3"/>
  <c r="AS79" i="3"/>
  <c r="AR79" i="3"/>
  <c r="AQ79" i="3"/>
  <c r="AP79" i="3"/>
  <c r="AO79" i="3"/>
  <c r="AN79" i="3"/>
  <c r="AU78" i="3"/>
  <c r="AT78" i="3"/>
  <c r="AS78" i="3"/>
  <c r="AR78" i="3"/>
  <c r="AQ78" i="3"/>
  <c r="AP78" i="3"/>
  <c r="AO78" i="3"/>
  <c r="AN78" i="3"/>
  <c r="AU77" i="3"/>
  <c r="AT77" i="3"/>
  <c r="AS77" i="3"/>
  <c r="AR77" i="3"/>
  <c r="AQ77" i="3"/>
  <c r="AP77" i="3"/>
  <c r="AO77" i="3"/>
  <c r="AN77" i="3"/>
  <c r="AU76" i="3"/>
  <c r="AT76" i="3"/>
  <c r="AS76" i="3"/>
  <c r="AR76" i="3"/>
  <c r="AQ76" i="3"/>
  <c r="AP76" i="3"/>
  <c r="AO76" i="3"/>
  <c r="AN76" i="3"/>
  <c r="AU75" i="3"/>
  <c r="AT75" i="3"/>
  <c r="AS75" i="3"/>
  <c r="AR75" i="3"/>
  <c r="AQ75" i="3"/>
  <c r="AP75" i="3"/>
  <c r="AO75" i="3"/>
  <c r="AN75" i="3"/>
  <c r="AU74" i="3"/>
  <c r="AT74" i="3"/>
  <c r="AS74" i="3"/>
  <c r="AR74" i="3"/>
  <c r="AQ74" i="3"/>
  <c r="AP74" i="3"/>
  <c r="AO74" i="3"/>
  <c r="AN74" i="3"/>
  <c r="AU73" i="3"/>
  <c r="AT73" i="3"/>
  <c r="AS73" i="3"/>
  <c r="AR73" i="3"/>
  <c r="AQ73" i="3"/>
  <c r="AP73" i="3"/>
  <c r="AO73" i="3"/>
  <c r="AN73" i="3"/>
  <c r="AU72" i="3"/>
  <c r="AT72" i="3"/>
  <c r="AS72" i="3"/>
  <c r="AR72" i="3"/>
  <c r="AQ72" i="3"/>
  <c r="AP72" i="3"/>
  <c r="AO72" i="3"/>
  <c r="AN72" i="3"/>
  <c r="AU71" i="3"/>
  <c r="AT71" i="3"/>
  <c r="AS71" i="3"/>
  <c r="AR71" i="3"/>
  <c r="AQ71" i="3"/>
  <c r="AP71" i="3"/>
  <c r="AO71" i="3"/>
  <c r="AN71" i="3"/>
  <c r="AU70" i="3"/>
  <c r="AT70" i="3"/>
  <c r="AS70" i="3"/>
  <c r="AR70" i="3"/>
  <c r="AQ70" i="3"/>
  <c r="AP70" i="3"/>
  <c r="AO70" i="3"/>
  <c r="AN70" i="3"/>
  <c r="AU69" i="3"/>
  <c r="AT69" i="3"/>
  <c r="AS69" i="3"/>
  <c r="AR69" i="3"/>
  <c r="AQ69" i="3"/>
  <c r="AP69" i="3"/>
  <c r="AO69" i="3"/>
  <c r="AN69" i="3"/>
  <c r="AU68" i="3"/>
  <c r="AT68" i="3"/>
  <c r="AS68" i="3"/>
  <c r="AR68" i="3"/>
  <c r="AQ68" i="3"/>
  <c r="AP68" i="3"/>
  <c r="AO68" i="3"/>
  <c r="AN68" i="3"/>
  <c r="AU67" i="3"/>
  <c r="AT67" i="3"/>
  <c r="AS67" i="3"/>
  <c r="AR67" i="3"/>
  <c r="AQ67" i="3"/>
  <c r="AP67" i="3"/>
  <c r="AO67" i="3"/>
  <c r="AN67" i="3"/>
  <c r="AU66" i="3"/>
  <c r="AT66" i="3"/>
  <c r="AS66" i="3"/>
  <c r="AR66" i="3"/>
  <c r="AQ66" i="3"/>
  <c r="AP66" i="3"/>
  <c r="AO66" i="3"/>
  <c r="AN66" i="3"/>
  <c r="AU65" i="3"/>
  <c r="AT65" i="3"/>
  <c r="AS65" i="3"/>
  <c r="AR65" i="3"/>
  <c r="AQ65" i="3"/>
  <c r="AP65" i="3"/>
  <c r="AO65" i="3"/>
  <c r="AN65" i="3"/>
  <c r="AU64" i="3"/>
  <c r="AT64" i="3"/>
  <c r="AS64" i="3"/>
  <c r="AR64" i="3"/>
  <c r="AQ64" i="3"/>
  <c r="AP64" i="3"/>
  <c r="AO64" i="3"/>
  <c r="AN64" i="3"/>
  <c r="AU63" i="3"/>
  <c r="AT63" i="3"/>
  <c r="AS63" i="3"/>
  <c r="AR63" i="3"/>
  <c r="AQ63" i="3"/>
  <c r="AP63" i="3"/>
  <c r="AO63" i="3"/>
  <c r="AN63" i="3"/>
  <c r="AU62" i="3"/>
  <c r="AT62" i="3"/>
  <c r="AS62" i="3"/>
  <c r="AR62" i="3"/>
  <c r="AQ62" i="3"/>
  <c r="AP62" i="3"/>
  <c r="AO62" i="3"/>
  <c r="AN62" i="3"/>
  <c r="AU61" i="3"/>
  <c r="AT61" i="3"/>
  <c r="AS61" i="3"/>
  <c r="AR61" i="3"/>
  <c r="AQ61" i="3"/>
  <c r="AP61" i="3"/>
  <c r="AO61" i="3"/>
  <c r="AN61" i="3"/>
  <c r="AU60" i="3"/>
  <c r="AT60" i="3"/>
  <c r="AS60" i="3"/>
  <c r="AR60" i="3"/>
  <c r="AQ60" i="3"/>
  <c r="AP60" i="3"/>
  <c r="AO60" i="3"/>
  <c r="AN60" i="3"/>
  <c r="AU59" i="3"/>
  <c r="AT59" i="3"/>
  <c r="AS59" i="3"/>
  <c r="AR59" i="3"/>
  <c r="AQ59" i="3"/>
  <c r="AP59" i="3"/>
  <c r="AO59" i="3"/>
  <c r="AN59" i="3"/>
  <c r="AU58" i="3"/>
  <c r="AT58" i="3"/>
  <c r="AS58" i="3"/>
  <c r="AR58" i="3"/>
  <c r="AQ58" i="3"/>
  <c r="AP58" i="3"/>
  <c r="AO58" i="3"/>
  <c r="AN58" i="3"/>
  <c r="AU57" i="3"/>
  <c r="AT57" i="3"/>
  <c r="AS57" i="3"/>
  <c r="AR57" i="3"/>
  <c r="AQ57" i="3"/>
  <c r="AP57" i="3"/>
  <c r="AO57" i="3"/>
  <c r="AN57" i="3"/>
  <c r="AU56" i="3"/>
  <c r="AT56" i="3"/>
  <c r="AS56" i="3"/>
  <c r="AR56" i="3"/>
  <c r="AQ56" i="3"/>
  <c r="AP56" i="3"/>
  <c r="AO56" i="3"/>
  <c r="AN56" i="3"/>
  <c r="AU55" i="3"/>
  <c r="AT55" i="3"/>
  <c r="AS55" i="3"/>
  <c r="AR55" i="3"/>
  <c r="AQ55" i="3"/>
  <c r="AP55" i="3"/>
  <c r="AO55" i="3"/>
  <c r="AN55" i="3"/>
  <c r="AU54" i="3"/>
  <c r="AT54" i="3"/>
  <c r="AS54" i="3"/>
  <c r="AR54" i="3"/>
  <c r="AQ54" i="3"/>
  <c r="AP54" i="3"/>
  <c r="AO54" i="3"/>
  <c r="AN54" i="3"/>
  <c r="AU53" i="3"/>
  <c r="AT53" i="3"/>
  <c r="AS53" i="3"/>
  <c r="AR53" i="3"/>
  <c r="AQ53" i="3"/>
  <c r="AP53" i="3"/>
  <c r="AO53" i="3"/>
  <c r="AN53" i="3"/>
  <c r="AU52" i="3"/>
  <c r="AT52" i="3"/>
  <c r="AS52" i="3"/>
  <c r="AR52" i="3"/>
  <c r="AQ52" i="3"/>
  <c r="AP52" i="3"/>
  <c r="AO52" i="3"/>
  <c r="AN52" i="3"/>
  <c r="AU51" i="3"/>
  <c r="AT51" i="3"/>
  <c r="AS51" i="3"/>
  <c r="AR51" i="3"/>
  <c r="AQ51" i="3"/>
  <c r="AP51" i="3"/>
  <c r="AO51" i="3"/>
  <c r="AN51" i="3"/>
  <c r="AU50" i="3"/>
  <c r="AT50" i="3"/>
  <c r="AS50" i="3"/>
  <c r="AR50" i="3"/>
  <c r="AQ50" i="3"/>
  <c r="AP50" i="3"/>
  <c r="AO50" i="3"/>
  <c r="AN50" i="3"/>
  <c r="AU49" i="3"/>
  <c r="AT49" i="3"/>
  <c r="AS49" i="3"/>
  <c r="AR49" i="3"/>
  <c r="AQ49" i="3"/>
  <c r="AP49" i="3"/>
  <c r="AO49" i="3"/>
  <c r="AN49" i="3"/>
  <c r="AU48" i="3"/>
  <c r="AT48" i="3"/>
  <c r="AS48" i="3"/>
  <c r="AR48" i="3"/>
  <c r="AQ48" i="3"/>
  <c r="AP48" i="3"/>
  <c r="AO48" i="3"/>
  <c r="AN48" i="3"/>
  <c r="AU47" i="3"/>
  <c r="AT47" i="3"/>
  <c r="AS47" i="3"/>
  <c r="AR47" i="3"/>
  <c r="AQ47" i="3"/>
  <c r="AP47" i="3"/>
  <c r="AO47" i="3"/>
  <c r="AN47" i="3"/>
  <c r="AU46" i="3"/>
  <c r="AT46" i="3"/>
  <c r="AS46" i="3"/>
  <c r="AR46" i="3"/>
  <c r="AQ46" i="3"/>
  <c r="AP46" i="3"/>
  <c r="AO46" i="3"/>
  <c r="AN46" i="3"/>
  <c r="AU45" i="3"/>
  <c r="AT45" i="3"/>
  <c r="AS45" i="3"/>
  <c r="AR45" i="3"/>
  <c r="AQ45" i="3"/>
  <c r="AP45" i="3"/>
  <c r="AO45" i="3"/>
  <c r="AN45" i="3"/>
  <c r="AU44" i="3"/>
  <c r="AT44" i="3"/>
  <c r="AS44" i="3"/>
  <c r="AR44" i="3"/>
  <c r="AQ44" i="3"/>
  <c r="AP44" i="3"/>
  <c r="AO44" i="3"/>
  <c r="AN44" i="3"/>
  <c r="AU43" i="3"/>
  <c r="AT43" i="3"/>
  <c r="AS43" i="3"/>
  <c r="AR43" i="3"/>
  <c r="AQ43" i="3"/>
  <c r="AP43" i="3"/>
  <c r="AO43" i="3"/>
  <c r="AN43" i="3"/>
  <c r="AU42" i="3"/>
  <c r="AT42" i="3"/>
  <c r="AS42" i="3"/>
  <c r="AR42" i="3"/>
  <c r="AQ42" i="3"/>
  <c r="AP42" i="3"/>
  <c r="AO42" i="3"/>
  <c r="AN42" i="3"/>
  <c r="AU41" i="3"/>
  <c r="AT41" i="3"/>
  <c r="AS41" i="3"/>
  <c r="AR41" i="3"/>
  <c r="AQ41" i="3"/>
  <c r="AP41" i="3"/>
  <c r="AO41" i="3"/>
  <c r="AN41" i="3"/>
  <c r="AU40" i="3"/>
  <c r="AT40" i="3"/>
  <c r="AS40" i="3"/>
  <c r="AR40" i="3"/>
  <c r="AQ40" i="3"/>
  <c r="AP40" i="3"/>
  <c r="AO40" i="3"/>
  <c r="AN40" i="3"/>
  <c r="AU39" i="3"/>
  <c r="AT39" i="3"/>
  <c r="AS39" i="3"/>
  <c r="AR39" i="3"/>
  <c r="AQ39" i="3"/>
  <c r="AP39" i="3"/>
  <c r="AO39" i="3"/>
  <c r="AN39" i="3"/>
  <c r="AU38" i="3"/>
  <c r="AT38" i="3"/>
  <c r="AS38" i="3"/>
  <c r="AR38" i="3"/>
  <c r="AQ38" i="3"/>
  <c r="AP38" i="3"/>
  <c r="AO38" i="3"/>
  <c r="AN38" i="3"/>
  <c r="AU37" i="3"/>
  <c r="AT37" i="3"/>
  <c r="AS37" i="3"/>
  <c r="AR37" i="3"/>
  <c r="AQ37" i="3"/>
  <c r="AP37" i="3"/>
  <c r="AO37" i="3"/>
  <c r="AN37" i="3"/>
  <c r="AU36" i="3"/>
  <c r="AT36" i="3"/>
  <c r="AS36" i="3"/>
  <c r="AR36" i="3"/>
  <c r="AQ36" i="3"/>
  <c r="AP36" i="3"/>
  <c r="AO36" i="3"/>
  <c r="AN36" i="3"/>
  <c r="AU35" i="3"/>
  <c r="AT35" i="3"/>
  <c r="AS35" i="3"/>
  <c r="AR35" i="3"/>
  <c r="AQ35" i="3"/>
  <c r="AP35" i="3"/>
  <c r="AO35" i="3"/>
  <c r="AN35" i="3"/>
  <c r="AU34" i="3"/>
  <c r="AT34" i="3"/>
  <c r="AS34" i="3"/>
  <c r="AR34" i="3"/>
  <c r="AQ34" i="3"/>
  <c r="AP34" i="3"/>
  <c r="AO34" i="3"/>
  <c r="AN34" i="3"/>
  <c r="AU33" i="3"/>
  <c r="AT33" i="3"/>
  <c r="AS33" i="3"/>
  <c r="AR33" i="3"/>
  <c r="AQ33" i="3"/>
  <c r="AP33" i="3"/>
  <c r="AO33" i="3"/>
  <c r="AN33" i="3"/>
  <c r="AU32" i="3"/>
  <c r="AT32" i="3"/>
  <c r="AS32" i="3"/>
  <c r="AR32" i="3"/>
  <c r="AQ32" i="3"/>
  <c r="AP32" i="3"/>
  <c r="AO32" i="3"/>
  <c r="AN32" i="3"/>
  <c r="AU31" i="3"/>
  <c r="AT31" i="3"/>
  <c r="AS31" i="3"/>
  <c r="AR31" i="3"/>
  <c r="AQ31" i="3"/>
  <c r="AP31" i="3"/>
  <c r="AO31" i="3"/>
  <c r="AN31" i="3"/>
  <c r="AU30" i="3"/>
  <c r="AT30" i="3"/>
  <c r="AS30" i="3"/>
  <c r="AR30" i="3"/>
  <c r="AQ30" i="3"/>
  <c r="AP30" i="3"/>
  <c r="AO30" i="3"/>
  <c r="AN30" i="3"/>
  <c r="AU29" i="3"/>
  <c r="AT29" i="3"/>
  <c r="AS29" i="3"/>
  <c r="AR29" i="3"/>
  <c r="AQ29" i="3"/>
  <c r="AP29" i="3"/>
  <c r="AO29" i="3"/>
  <c r="AN29" i="3"/>
  <c r="AU28" i="3"/>
  <c r="AT28" i="3"/>
  <c r="AS28" i="3"/>
  <c r="AR28" i="3"/>
  <c r="AQ28" i="3"/>
  <c r="AP28" i="3"/>
  <c r="AO28" i="3"/>
  <c r="AN28" i="3"/>
  <c r="AU27" i="3"/>
  <c r="AT27" i="3"/>
  <c r="AS27" i="3"/>
  <c r="AR27" i="3"/>
  <c r="AQ27" i="3"/>
  <c r="AP27" i="3"/>
  <c r="AO27" i="3"/>
  <c r="AN27" i="3"/>
  <c r="AU26" i="3"/>
  <c r="AT26" i="3"/>
  <c r="AS26" i="3"/>
  <c r="AR26" i="3"/>
  <c r="AQ26" i="3"/>
  <c r="AP26" i="3"/>
  <c r="AO26" i="3"/>
  <c r="AN26" i="3"/>
  <c r="AU25" i="3"/>
  <c r="AT25" i="3"/>
  <c r="AS25" i="3"/>
  <c r="AR25" i="3"/>
  <c r="AQ25" i="3"/>
  <c r="AP25" i="3"/>
  <c r="AO25" i="3"/>
  <c r="AN25" i="3"/>
  <c r="AU24" i="3"/>
  <c r="AT24" i="3"/>
  <c r="AS24" i="3"/>
  <c r="AR24" i="3"/>
  <c r="AQ24" i="3"/>
  <c r="AP24" i="3"/>
  <c r="AO24" i="3"/>
  <c r="AN24" i="3"/>
  <c r="AU23" i="3"/>
  <c r="AT23" i="3"/>
  <c r="AS23" i="3"/>
  <c r="AR23" i="3"/>
  <c r="AQ23" i="3"/>
  <c r="AP23" i="3"/>
  <c r="AO23" i="3"/>
  <c r="AN23" i="3"/>
  <c r="AU22" i="3"/>
  <c r="AT22" i="3"/>
  <c r="AS22" i="3"/>
  <c r="AR22" i="3"/>
  <c r="AQ22" i="3"/>
  <c r="AP22" i="3"/>
  <c r="AO22" i="3"/>
  <c r="AN22" i="3"/>
  <c r="AU21" i="3"/>
  <c r="AT21" i="3"/>
  <c r="AS21" i="3"/>
  <c r="AR21" i="3"/>
  <c r="AQ21" i="3"/>
  <c r="AP21" i="3"/>
  <c r="AO21" i="3"/>
  <c r="AN21" i="3"/>
  <c r="AU20" i="3"/>
  <c r="AT20" i="3"/>
  <c r="AS20" i="3"/>
  <c r="AR20" i="3"/>
  <c r="AQ20" i="3"/>
  <c r="AP20" i="3"/>
  <c r="AO20" i="3"/>
  <c r="AN20" i="3"/>
  <c r="AU19" i="3"/>
  <c r="AT19" i="3"/>
  <c r="AS19" i="3"/>
  <c r="AR19" i="3"/>
  <c r="AQ19" i="3"/>
  <c r="AP19" i="3"/>
  <c r="AO19" i="3"/>
  <c r="AN19" i="3"/>
  <c r="AU18" i="3"/>
  <c r="AT18" i="3"/>
  <c r="AS18" i="3"/>
  <c r="AR18" i="3"/>
  <c r="AQ18" i="3"/>
  <c r="AP18" i="3"/>
  <c r="AO18" i="3"/>
  <c r="AN18" i="3"/>
  <c r="AU17" i="3"/>
  <c r="AT17" i="3"/>
  <c r="AS17" i="3"/>
  <c r="AR17" i="3"/>
  <c r="AQ17" i="3"/>
  <c r="AP17" i="3"/>
  <c r="AO17" i="3"/>
  <c r="AN17" i="3"/>
  <c r="AU16" i="3"/>
  <c r="AT16" i="3"/>
  <c r="AS16" i="3"/>
  <c r="AR16" i="3"/>
  <c r="AQ16" i="3"/>
  <c r="AP16" i="3"/>
  <c r="AO16" i="3"/>
  <c r="AN16" i="3"/>
  <c r="AU15" i="3"/>
  <c r="AT15" i="3"/>
  <c r="AS15" i="3"/>
  <c r="AR15" i="3"/>
  <c r="AQ15" i="3"/>
  <c r="AP15" i="3"/>
  <c r="AO15" i="3"/>
  <c r="AN15" i="3"/>
  <c r="AU14" i="3"/>
  <c r="AT14" i="3"/>
  <c r="AS14" i="3"/>
  <c r="AR14" i="3"/>
  <c r="AQ14" i="3"/>
  <c r="AP14" i="3"/>
  <c r="AO14" i="3"/>
  <c r="AN14" i="3"/>
  <c r="AU13" i="3"/>
  <c r="AT13" i="3"/>
  <c r="AS13" i="3"/>
  <c r="AR13" i="3"/>
  <c r="AQ13" i="3"/>
  <c r="AP13" i="3"/>
  <c r="AO13" i="3"/>
  <c r="AN13" i="3"/>
  <c r="AU12" i="3"/>
  <c r="AT12" i="3"/>
  <c r="AS12" i="3"/>
  <c r="AR12" i="3"/>
  <c r="AQ12" i="3"/>
  <c r="AP12" i="3"/>
  <c r="AO12" i="3"/>
  <c r="AN12" i="3"/>
  <c r="AU11" i="3"/>
  <c r="AT11" i="3"/>
  <c r="AS11" i="3"/>
  <c r="AR11" i="3"/>
  <c r="AQ11" i="3"/>
  <c r="AP11" i="3"/>
  <c r="AO11" i="3"/>
  <c r="AN11" i="3"/>
  <c r="AU10" i="3"/>
  <c r="AT10" i="3"/>
  <c r="AS10" i="3"/>
  <c r="AR10" i="3"/>
  <c r="AQ10" i="3"/>
  <c r="AP10" i="3"/>
  <c r="AO10" i="3"/>
  <c r="AN10" i="3"/>
  <c r="AU9" i="3"/>
  <c r="AT9" i="3"/>
  <c r="AS9" i="3"/>
  <c r="AR9" i="3"/>
  <c r="AQ9" i="3"/>
  <c r="AP9" i="3"/>
  <c r="AO9" i="3"/>
  <c r="AN9" i="3"/>
  <c r="AU8" i="3"/>
  <c r="AT8" i="3"/>
  <c r="AS8" i="3"/>
  <c r="AR8" i="3"/>
  <c r="AQ8" i="3"/>
  <c r="AP8" i="3"/>
  <c r="AO8" i="3"/>
  <c r="AN8" i="3"/>
  <c r="AU7" i="3"/>
  <c r="AT7" i="3"/>
  <c r="AS7" i="3"/>
  <c r="AR7" i="3"/>
  <c r="AQ7" i="3"/>
  <c r="AN7" i="7"/>
  <c r="AH132" i="12"/>
  <c r="AG132" i="12"/>
  <c r="AG132" i="31" s="1"/>
  <c r="AU132" i="31" s="1"/>
  <c r="AD132" i="12"/>
  <c r="AC132" i="12"/>
  <c r="AB132" i="12"/>
  <c r="AA132" i="12"/>
  <c r="Z132" i="12"/>
  <c r="AH131" i="12"/>
  <c r="AG131" i="12"/>
  <c r="AG131" i="31" s="1"/>
  <c r="AU131" i="31" s="1"/>
  <c r="AD131" i="12"/>
  <c r="AC131" i="12"/>
  <c r="AB131" i="12"/>
  <c r="AA131" i="12"/>
  <c r="Z131" i="12"/>
  <c r="AH130" i="12"/>
  <c r="AG130" i="12"/>
  <c r="AG130" i="31" s="1"/>
  <c r="AU130" i="31" s="1"/>
  <c r="AD130" i="12"/>
  <c r="AC130" i="12"/>
  <c r="AB130" i="12"/>
  <c r="AA130" i="12"/>
  <c r="Z130" i="12"/>
  <c r="AH129" i="12"/>
  <c r="AG129" i="12"/>
  <c r="AG129" i="31" s="1"/>
  <c r="AU129" i="31" s="1"/>
  <c r="AD129" i="12"/>
  <c r="AC129" i="12"/>
  <c r="AB129" i="12"/>
  <c r="AA129" i="12"/>
  <c r="Z129" i="12"/>
  <c r="AH128" i="12"/>
  <c r="AG128" i="12"/>
  <c r="AG128" i="31" s="1"/>
  <c r="AU128" i="31" s="1"/>
  <c r="AD128" i="12"/>
  <c r="AC128" i="12"/>
  <c r="AB128" i="12"/>
  <c r="AA128" i="12"/>
  <c r="AA128" i="31" s="1"/>
  <c r="AO128" i="31" s="1"/>
  <c r="Z128" i="12"/>
  <c r="AH127" i="12"/>
  <c r="AG127" i="12"/>
  <c r="AD127" i="12"/>
  <c r="AC127" i="12"/>
  <c r="AB127" i="12"/>
  <c r="AA127" i="12"/>
  <c r="Z127" i="12"/>
  <c r="AH126" i="12"/>
  <c r="AG126" i="12"/>
  <c r="AG126" i="31" s="1"/>
  <c r="AU126" i="31" s="1"/>
  <c r="AD126" i="12"/>
  <c r="AC126" i="12"/>
  <c r="AB126" i="12"/>
  <c r="AA126" i="12"/>
  <c r="Z126" i="12"/>
  <c r="AH125" i="12"/>
  <c r="AG125" i="12"/>
  <c r="AG125" i="31" s="1"/>
  <c r="AU125" i="31" s="1"/>
  <c r="AD125" i="12"/>
  <c r="AC125" i="12"/>
  <c r="AB125" i="12"/>
  <c r="AA125" i="12"/>
  <c r="Z125" i="12"/>
  <c r="AH124" i="12"/>
  <c r="AG124" i="12"/>
  <c r="AG124" i="31" s="1"/>
  <c r="AU124" i="31" s="1"/>
  <c r="AD124" i="12"/>
  <c r="AC124" i="12"/>
  <c r="AB124" i="12"/>
  <c r="AA124" i="12"/>
  <c r="Z124" i="12"/>
  <c r="AH123" i="12"/>
  <c r="AG123" i="12"/>
  <c r="AG123" i="31" s="1"/>
  <c r="AU123" i="31" s="1"/>
  <c r="AD123" i="12"/>
  <c r="AC123" i="12"/>
  <c r="AB123" i="12"/>
  <c r="AA123" i="12"/>
  <c r="Z123" i="12"/>
  <c r="AH122" i="12"/>
  <c r="AG122" i="12"/>
  <c r="AG122" i="31" s="1"/>
  <c r="AU122" i="31" s="1"/>
  <c r="AD122" i="12"/>
  <c r="AC122" i="12"/>
  <c r="AB122" i="12"/>
  <c r="AB122" i="31" s="1"/>
  <c r="AP122" i="31" s="1"/>
  <c r="AA122" i="12"/>
  <c r="Z122" i="12"/>
  <c r="AH121" i="12"/>
  <c r="AG121" i="12"/>
  <c r="AG121" i="31" s="1"/>
  <c r="AU121" i="31" s="1"/>
  <c r="AD121" i="12"/>
  <c r="AC121" i="12"/>
  <c r="AB121" i="12"/>
  <c r="AA121" i="12"/>
  <c r="Z121" i="12"/>
  <c r="AH120" i="12"/>
  <c r="AG120" i="12"/>
  <c r="AG120" i="31" s="1"/>
  <c r="AU120" i="31" s="1"/>
  <c r="AD120" i="12"/>
  <c r="AD120" i="31" s="1"/>
  <c r="AC120" i="12"/>
  <c r="AB120" i="12"/>
  <c r="AA120" i="12"/>
  <c r="Z120" i="12"/>
  <c r="AH119" i="12"/>
  <c r="AG119" i="12"/>
  <c r="AD119" i="12"/>
  <c r="AC119" i="12"/>
  <c r="AB119" i="12"/>
  <c r="AA119" i="12"/>
  <c r="Z119" i="12"/>
  <c r="AH118" i="12"/>
  <c r="AG118" i="12"/>
  <c r="AG118" i="31" s="1"/>
  <c r="AU118" i="31" s="1"/>
  <c r="AD118" i="12"/>
  <c r="AC118" i="12"/>
  <c r="AB118" i="12"/>
  <c r="AA118" i="12"/>
  <c r="Z118" i="12"/>
  <c r="AH117" i="12"/>
  <c r="AG117" i="12"/>
  <c r="AG117" i="31" s="1"/>
  <c r="AU117" i="31" s="1"/>
  <c r="AD117" i="12"/>
  <c r="AC117" i="12"/>
  <c r="AC117" i="31" s="1"/>
  <c r="AQ117" i="31" s="1"/>
  <c r="AB117" i="12"/>
  <c r="AA117" i="12"/>
  <c r="Z117" i="12"/>
  <c r="AH116" i="12"/>
  <c r="AG116" i="12"/>
  <c r="AG116" i="31" s="1"/>
  <c r="AU116" i="31" s="1"/>
  <c r="AD116" i="12"/>
  <c r="AC116" i="12"/>
  <c r="AB116" i="12"/>
  <c r="AA116" i="12"/>
  <c r="Z116" i="12"/>
  <c r="Z116" i="31" s="1"/>
  <c r="AN116" i="31" s="1"/>
  <c r="AH115" i="12"/>
  <c r="AG115" i="12"/>
  <c r="AG115" i="31" s="1"/>
  <c r="AU115" i="31" s="1"/>
  <c r="AD115" i="12"/>
  <c r="AC115" i="12"/>
  <c r="AB115" i="12"/>
  <c r="AA115" i="12"/>
  <c r="Z115" i="12"/>
  <c r="AH114" i="12"/>
  <c r="AG114" i="12"/>
  <c r="AG114" i="31" s="1"/>
  <c r="AU114" i="31" s="1"/>
  <c r="AD114" i="12"/>
  <c r="AC114" i="12"/>
  <c r="AB114" i="12"/>
  <c r="AB114" i="31" s="1"/>
  <c r="AP114" i="31" s="1"/>
  <c r="AA114" i="12"/>
  <c r="Z114" i="12"/>
  <c r="AH113" i="12"/>
  <c r="AG113" i="12"/>
  <c r="AG113" i="31" s="1"/>
  <c r="AU113" i="31" s="1"/>
  <c r="AD113" i="12"/>
  <c r="AC113" i="12"/>
  <c r="AB113" i="12"/>
  <c r="AA113" i="12"/>
  <c r="Z113" i="12"/>
  <c r="AH112" i="12"/>
  <c r="AG112" i="12"/>
  <c r="AG112" i="31" s="1"/>
  <c r="AU112" i="31" s="1"/>
  <c r="AD112" i="12"/>
  <c r="AD112" i="31" s="1"/>
  <c r="AC112" i="12"/>
  <c r="AB112" i="12"/>
  <c r="AA112" i="12"/>
  <c r="Z112" i="12"/>
  <c r="AH111" i="12"/>
  <c r="AG111" i="12"/>
  <c r="AG111" i="31" s="1"/>
  <c r="AU111" i="31" s="1"/>
  <c r="AD111" i="12"/>
  <c r="AC111" i="12"/>
  <c r="AB111" i="12"/>
  <c r="AA111" i="12"/>
  <c r="AA111" i="31" s="1"/>
  <c r="AO111" i="31" s="1"/>
  <c r="Z111" i="12"/>
  <c r="AH110" i="12"/>
  <c r="AG110" i="12"/>
  <c r="AD110" i="12"/>
  <c r="AC110" i="12"/>
  <c r="AB110" i="12"/>
  <c r="AA110" i="12"/>
  <c r="Z110" i="12"/>
  <c r="AH109" i="12"/>
  <c r="AG109" i="12"/>
  <c r="AG109" i="31" s="1"/>
  <c r="AU109" i="31" s="1"/>
  <c r="AD109" i="12"/>
  <c r="AC109" i="12"/>
  <c r="AC109" i="31" s="1"/>
  <c r="AQ109" i="31" s="1"/>
  <c r="AB109" i="12"/>
  <c r="AA109" i="12"/>
  <c r="Z109" i="12"/>
  <c r="AH108" i="12"/>
  <c r="AG108" i="12"/>
  <c r="AG108" i="31" s="1"/>
  <c r="AD108" i="12"/>
  <c r="AC108" i="12"/>
  <c r="AB108" i="12"/>
  <c r="AA108" i="12"/>
  <c r="Z108" i="12"/>
  <c r="Z108" i="31" s="1"/>
  <c r="AN108" i="31" s="1"/>
  <c r="AH107" i="12"/>
  <c r="AG107" i="12"/>
  <c r="AG107" i="31" s="1"/>
  <c r="AU107" i="31" s="1"/>
  <c r="AD107" i="12"/>
  <c r="AC107" i="12"/>
  <c r="AB107" i="12"/>
  <c r="AA107" i="12"/>
  <c r="Z107" i="12"/>
  <c r="AH106" i="12"/>
  <c r="AG106" i="12"/>
  <c r="AG106" i="31" s="1"/>
  <c r="AU106" i="31" s="1"/>
  <c r="AD106" i="12"/>
  <c r="AC106" i="12"/>
  <c r="AB106" i="12"/>
  <c r="AB106" i="31" s="1"/>
  <c r="AP106" i="31" s="1"/>
  <c r="AA106" i="12"/>
  <c r="Z106" i="12"/>
  <c r="AH105" i="12"/>
  <c r="AG105" i="12"/>
  <c r="AG105" i="31" s="1"/>
  <c r="AU105" i="31" s="1"/>
  <c r="AD105" i="12"/>
  <c r="AC105" i="12"/>
  <c r="AB105" i="12"/>
  <c r="AA105" i="12"/>
  <c r="Z105" i="12"/>
  <c r="AH104" i="12"/>
  <c r="AG104" i="12"/>
  <c r="AG104" i="31" s="1"/>
  <c r="AU104" i="31" s="1"/>
  <c r="AD104" i="12"/>
  <c r="AD104" i="31" s="1"/>
  <c r="AC104" i="12"/>
  <c r="AB104" i="12"/>
  <c r="AA104" i="12"/>
  <c r="Z104" i="12"/>
  <c r="AH103" i="12"/>
  <c r="AG103" i="12"/>
  <c r="AG103" i="31" s="1"/>
  <c r="AU103" i="31" s="1"/>
  <c r="AD103" i="12"/>
  <c r="AC103" i="12"/>
  <c r="AB103" i="12"/>
  <c r="AA103" i="12"/>
  <c r="AA103" i="31" s="1"/>
  <c r="AO103" i="31" s="1"/>
  <c r="Z103" i="12"/>
  <c r="AH102" i="12"/>
  <c r="AG102" i="12"/>
  <c r="AG102" i="31" s="1"/>
  <c r="AU102" i="31" s="1"/>
  <c r="AD102" i="12"/>
  <c r="AC102" i="12"/>
  <c r="AB102" i="12"/>
  <c r="AA102" i="12"/>
  <c r="Z102" i="12"/>
  <c r="AH101" i="12"/>
  <c r="AG101" i="12"/>
  <c r="AG101" i="31" s="1"/>
  <c r="AU101" i="31" s="1"/>
  <c r="AD101" i="12"/>
  <c r="AC101" i="12"/>
  <c r="AC101" i="31" s="1"/>
  <c r="AQ101" i="31" s="1"/>
  <c r="AB101" i="12"/>
  <c r="AA101" i="12"/>
  <c r="Z101" i="12"/>
  <c r="AH100" i="12"/>
  <c r="AG100" i="12"/>
  <c r="AG100" i="31" s="1"/>
  <c r="AU100" i="31" s="1"/>
  <c r="AD100" i="12"/>
  <c r="AC100" i="12"/>
  <c r="AB100" i="12"/>
  <c r="AA100" i="12"/>
  <c r="Z100" i="12"/>
  <c r="Z100" i="31" s="1"/>
  <c r="AN100" i="31" s="1"/>
  <c r="AH99" i="12"/>
  <c r="AG99" i="12"/>
  <c r="AG99" i="31" s="1"/>
  <c r="AU99" i="31" s="1"/>
  <c r="AD99" i="12"/>
  <c r="AC99" i="12"/>
  <c r="AB99" i="12"/>
  <c r="AA99" i="12"/>
  <c r="Z99" i="12"/>
  <c r="AH98" i="12"/>
  <c r="AG98" i="12"/>
  <c r="AG98" i="31" s="1"/>
  <c r="AU98" i="31" s="1"/>
  <c r="AD98" i="12"/>
  <c r="AC98" i="12"/>
  <c r="AB98" i="12"/>
  <c r="AB98" i="31" s="1"/>
  <c r="AP98" i="31" s="1"/>
  <c r="AA98" i="12"/>
  <c r="Z98" i="12"/>
  <c r="AH97" i="12"/>
  <c r="AG97" i="12"/>
  <c r="AG97" i="31" s="1"/>
  <c r="AU97" i="31" s="1"/>
  <c r="AD97" i="12"/>
  <c r="AC97" i="12"/>
  <c r="AB97" i="12"/>
  <c r="AA97" i="12"/>
  <c r="Z97" i="12"/>
  <c r="AH96" i="12"/>
  <c r="AG96" i="12"/>
  <c r="AD96" i="12"/>
  <c r="AC96" i="12"/>
  <c r="AB96" i="12"/>
  <c r="AA96" i="12"/>
  <c r="Z96" i="12"/>
  <c r="AH95" i="12"/>
  <c r="AG95" i="12"/>
  <c r="AG95" i="31" s="1"/>
  <c r="AU95" i="31" s="1"/>
  <c r="AD95" i="12"/>
  <c r="AC95" i="12"/>
  <c r="AB95" i="12"/>
  <c r="AA95" i="12"/>
  <c r="AA95" i="31" s="1"/>
  <c r="AO95" i="31" s="1"/>
  <c r="Z95" i="12"/>
  <c r="AH94" i="12"/>
  <c r="AG94" i="12"/>
  <c r="AG94" i="31" s="1"/>
  <c r="AU94" i="31" s="1"/>
  <c r="AD94" i="12"/>
  <c r="AC94" i="12"/>
  <c r="AB94" i="12"/>
  <c r="AA94" i="12"/>
  <c r="Z94" i="12"/>
  <c r="AH93" i="12"/>
  <c r="AG93" i="12"/>
  <c r="AG93" i="31" s="1"/>
  <c r="AU93" i="31" s="1"/>
  <c r="AD93" i="12"/>
  <c r="AC93" i="12"/>
  <c r="AC93" i="31" s="1"/>
  <c r="AQ93" i="31" s="1"/>
  <c r="AB93" i="12"/>
  <c r="AA93" i="12"/>
  <c r="Z93" i="12"/>
  <c r="AH92" i="12"/>
  <c r="AG92" i="12"/>
  <c r="AG92" i="31" s="1"/>
  <c r="AU92" i="31" s="1"/>
  <c r="AD92" i="12"/>
  <c r="AC92" i="12"/>
  <c r="AB92" i="12"/>
  <c r="AA92" i="12"/>
  <c r="Z92" i="12"/>
  <c r="Z92" i="31" s="1"/>
  <c r="AN92" i="31" s="1"/>
  <c r="AH91" i="12"/>
  <c r="AH91" i="31" s="1"/>
  <c r="AG91" i="12"/>
  <c r="AG91" i="31" s="1"/>
  <c r="AU91" i="31" s="1"/>
  <c r="AD91" i="12"/>
  <c r="AC91" i="12"/>
  <c r="AB91" i="12"/>
  <c r="AA91" i="12"/>
  <c r="Z91" i="12"/>
  <c r="AH90" i="12"/>
  <c r="AG90" i="12"/>
  <c r="AG90" i="31" s="1"/>
  <c r="AU90" i="31" s="1"/>
  <c r="AD90" i="12"/>
  <c r="AC90" i="12"/>
  <c r="AB90" i="12"/>
  <c r="AB90" i="31" s="1"/>
  <c r="AP90" i="31" s="1"/>
  <c r="AA90" i="12"/>
  <c r="Z90" i="12"/>
  <c r="AH89" i="12"/>
  <c r="AG89" i="12"/>
  <c r="AG89" i="31" s="1"/>
  <c r="AU89" i="31" s="1"/>
  <c r="AD89" i="12"/>
  <c r="AC89" i="12"/>
  <c r="AB89" i="12"/>
  <c r="AA89" i="12"/>
  <c r="Z89" i="12"/>
  <c r="AH88" i="12"/>
  <c r="AG88" i="12"/>
  <c r="AG88" i="31" s="1"/>
  <c r="AD88" i="12"/>
  <c r="AD88" i="31" s="1"/>
  <c r="AC88" i="12"/>
  <c r="AB88" i="12"/>
  <c r="AA88" i="12"/>
  <c r="Z88" i="12"/>
  <c r="AH87" i="12"/>
  <c r="AG87" i="12"/>
  <c r="AG87" i="31" s="1"/>
  <c r="AU87" i="31" s="1"/>
  <c r="AD87" i="12"/>
  <c r="AC87" i="12"/>
  <c r="AB87" i="12"/>
  <c r="AA87" i="12"/>
  <c r="AA87" i="31" s="1"/>
  <c r="AO87" i="31" s="1"/>
  <c r="Z87" i="12"/>
  <c r="AH86" i="12"/>
  <c r="AG86" i="12"/>
  <c r="AG86" i="31" s="1"/>
  <c r="AU86" i="31" s="1"/>
  <c r="AD86" i="12"/>
  <c r="AC86" i="12"/>
  <c r="AB86" i="12"/>
  <c r="AA86" i="12"/>
  <c r="Z86" i="12"/>
  <c r="AH85" i="12"/>
  <c r="AG85" i="12"/>
  <c r="AG85" i="31" s="1"/>
  <c r="AU85" i="31" s="1"/>
  <c r="AD85" i="12"/>
  <c r="AC85" i="12"/>
  <c r="AC85" i="31" s="1"/>
  <c r="AQ85" i="31" s="1"/>
  <c r="AB85" i="12"/>
  <c r="AA85" i="12"/>
  <c r="Z85" i="12"/>
  <c r="AH84" i="12"/>
  <c r="AG84" i="12"/>
  <c r="AG84" i="31" s="1"/>
  <c r="AU84" i="31" s="1"/>
  <c r="AD84" i="12"/>
  <c r="AC84" i="12"/>
  <c r="AB84" i="12"/>
  <c r="AA84" i="12"/>
  <c r="Z84" i="12"/>
  <c r="Z84" i="31" s="1"/>
  <c r="AN84" i="31" s="1"/>
  <c r="AH83" i="12"/>
  <c r="AH83" i="31" s="1"/>
  <c r="AG83" i="12"/>
  <c r="AG83" i="31" s="1"/>
  <c r="AU83" i="31" s="1"/>
  <c r="AD83" i="12"/>
  <c r="AC83" i="12"/>
  <c r="AB83" i="12"/>
  <c r="AA83" i="12"/>
  <c r="Z83" i="12"/>
  <c r="AH82" i="12"/>
  <c r="AG82" i="12"/>
  <c r="AG82" i="31" s="1"/>
  <c r="AU82" i="31" s="1"/>
  <c r="AD82" i="12"/>
  <c r="AC82" i="12"/>
  <c r="AB82" i="12"/>
  <c r="AB82" i="31" s="1"/>
  <c r="AP82" i="31" s="1"/>
  <c r="AA82" i="12"/>
  <c r="Z82" i="12"/>
  <c r="AH81" i="12"/>
  <c r="AG81" i="12"/>
  <c r="AG81" i="31" s="1"/>
  <c r="AU81" i="31" s="1"/>
  <c r="AD81" i="12"/>
  <c r="AC81" i="12"/>
  <c r="AB81" i="12"/>
  <c r="AA81" i="12"/>
  <c r="Z81" i="12"/>
  <c r="AH80" i="12"/>
  <c r="AG80" i="12"/>
  <c r="AG80" i="31" s="1"/>
  <c r="AU80" i="31" s="1"/>
  <c r="AD80" i="12"/>
  <c r="AD80" i="31" s="1"/>
  <c r="AC80" i="12"/>
  <c r="AB80" i="12"/>
  <c r="AA80" i="12"/>
  <c r="Z80" i="12"/>
  <c r="AH79" i="12"/>
  <c r="AG79" i="12"/>
  <c r="AG79" i="31" s="1"/>
  <c r="AU79" i="31" s="1"/>
  <c r="AD79" i="12"/>
  <c r="AC79" i="12"/>
  <c r="AB79" i="12"/>
  <c r="AA79" i="12"/>
  <c r="AA79" i="31" s="1"/>
  <c r="AO79" i="31" s="1"/>
  <c r="Z79" i="12"/>
  <c r="AH78" i="12"/>
  <c r="AG78" i="12"/>
  <c r="AG78" i="31" s="1"/>
  <c r="AU78" i="31" s="1"/>
  <c r="AD78" i="12"/>
  <c r="AC78" i="12"/>
  <c r="AB78" i="12"/>
  <c r="AA78" i="12"/>
  <c r="Z78" i="12"/>
  <c r="AH77" i="12"/>
  <c r="AG77" i="12"/>
  <c r="AG77" i="31" s="1"/>
  <c r="AU77" i="31" s="1"/>
  <c r="AD77" i="12"/>
  <c r="AC77" i="12"/>
  <c r="AC77" i="31" s="1"/>
  <c r="AQ77" i="31" s="1"/>
  <c r="AB77" i="12"/>
  <c r="AA77" i="12"/>
  <c r="Z77" i="12"/>
  <c r="AH76" i="12"/>
  <c r="AG76" i="12"/>
  <c r="AG76" i="31" s="1"/>
  <c r="AU76" i="31" s="1"/>
  <c r="AD76" i="12"/>
  <c r="AC76" i="12"/>
  <c r="AB76" i="12"/>
  <c r="AA76" i="12"/>
  <c r="Z76" i="12"/>
  <c r="Z76" i="31" s="1"/>
  <c r="AN76" i="31" s="1"/>
  <c r="AH75" i="12"/>
  <c r="AG75" i="12"/>
  <c r="AG75" i="31" s="1"/>
  <c r="AU75" i="31" s="1"/>
  <c r="AD75" i="12"/>
  <c r="AC75" i="12"/>
  <c r="AB75" i="12"/>
  <c r="AA75" i="12"/>
  <c r="Z75" i="12"/>
  <c r="AH74" i="12"/>
  <c r="AG74" i="12"/>
  <c r="AG74" i="31" s="1"/>
  <c r="AU74" i="31" s="1"/>
  <c r="AD74" i="12"/>
  <c r="AC74" i="12"/>
  <c r="AB74" i="12"/>
  <c r="AB74" i="31" s="1"/>
  <c r="AP74" i="31" s="1"/>
  <c r="AA74" i="12"/>
  <c r="Z74" i="12"/>
  <c r="AH73" i="12"/>
  <c r="AG73" i="12"/>
  <c r="AD73" i="12"/>
  <c r="AC73" i="12"/>
  <c r="AB73" i="12"/>
  <c r="AA73" i="12"/>
  <c r="Z73" i="12"/>
  <c r="AH72" i="12"/>
  <c r="AG72" i="12"/>
  <c r="AG72" i="31" s="1"/>
  <c r="AU72" i="31" s="1"/>
  <c r="AD72" i="12"/>
  <c r="AD72" i="31" s="1"/>
  <c r="AC72" i="12"/>
  <c r="AB72" i="12"/>
  <c r="AA72" i="12"/>
  <c r="Z72" i="12"/>
  <c r="AH71" i="12"/>
  <c r="AG71" i="12"/>
  <c r="AG71" i="31" s="1"/>
  <c r="AU71" i="31" s="1"/>
  <c r="AD71" i="12"/>
  <c r="AC71" i="12"/>
  <c r="AB71" i="12"/>
  <c r="AA71" i="12"/>
  <c r="AA71" i="31" s="1"/>
  <c r="AO71" i="31" s="1"/>
  <c r="Z71" i="12"/>
  <c r="AH70" i="12"/>
  <c r="AG70" i="12"/>
  <c r="AG70" i="31" s="1"/>
  <c r="AU70" i="31" s="1"/>
  <c r="AD70" i="12"/>
  <c r="AC70" i="12"/>
  <c r="AB70" i="12"/>
  <c r="AA70" i="12"/>
  <c r="Z70" i="12"/>
  <c r="AH69" i="12"/>
  <c r="AG69" i="12"/>
  <c r="AG69" i="31" s="1"/>
  <c r="AU69" i="31" s="1"/>
  <c r="AD69" i="12"/>
  <c r="AC69" i="12"/>
  <c r="AC69" i="31" s="1"/>
  <c r="AQ69" i="31" s="1"/>
  <c r="AB69" i="12"/>
  <c r="AA69" i="12"/>
  <c r="Z69" i="12"/>
  <c r="AH68" i="12"/>
  <c r="AG68" i="12"/>
  <c r="AG68" i="31" s="1"/>
  <c r="AU68" i="31" s="1"/>
  <c r="AD68" i="12"/>
  <c r="AC68" i="12"/>
  <c r="AB68" i="12"/>
  <c r="AA68" i="12"/>
  <c r="Z68" i="12"/>
  <c r="Z68" i="31" s="1"/>
  <c r="AN68" i="31" s="1"/>
  <c r="AH67" i="12"/>
  <c r="AG67" i="12"/>
  <c r="AD67" i="12"/>
  <c r="AC67" i="12"/>
  <c r="AB67" i="12"/>
  <c r="AA67" i="12"/>
  <c r="Z67" i="12"/>
  <c r="AH66" i="12"/>
  <c r="AG66" i="12"/>
  <c r="AG66" i="31" s="1"/>
  <c r="AU66" i="31" s="1"/>
  <c r="AD66" i="12"/>
  <c r="AC66" i="12"/>
  <c r="AB66" i="12"/>
  <c r="AB66" i="31" s="1"/>
  <c r="AP66" i="31" s="1"/>
  <c r="AA66" i="12"/>
  <c r="Z66" i="12"/>
  <c r="AH65" i="12"/>
  <c r="AG65" i="12"/>
  <c r="AG65" i="31" s="1"/>
  <c r="AU65" i="31" s="1"/>
  <c r="AD65" i="12"/>
  <c r="AC65" i="12"/>
  <c r="AB65" i="12"/>
  <c r="AA65" i="12"/>
  <c r="Z65" i="12"/>
  <c r="AH64" i="12"/>
  <c r="AG64" i="12"/>
  <c r="AG64" i="31" s="1"/>
  <c r="AU64" i="31" s="1"/>
  <c r="AD64" i="12"/>
  <c r="AD64" i="31" s="1"/>
  <c r="AC64" i="12"/>
  <c r="AB64" i="12"/>
  <c r="AA64" i="12"/>
  <c r="Z64" i="12"/>
  <c r="AH63" i="12"/>
  <c r="AG63" i="12"/>
  <c r="AG63" i="31" s="1"/>
  <c r="AU63" i="31" s="1"/>
  <c r="AD63" i="12"/>
  <c r="AC63" i="12"/>
  <c r="AB63" i="12"/>
  <c r="AA63" i="12"/>
  <c r="AA63" i="31" s="1"/>
  <c r="AO63" i="31" s="1"/>
  <c r="Z63" i="12"/>
  <c r="AH62" i="12"/>
  <c r="AG62" i="12"/>
  <c r="AG62" i="31" s="1"/>
  <c r="AU62" i="31" s="1"/>
  <c r="AD62" i="12"/>
  <c r="AC62" i="12"/>
  <c r="AB62" i="12"/>
  <c r="AA62" i="12"/>
  <c r="Z62" i="12"/>
  <c r="AH61" i="12"/>
  <c r="AG61" i="12"/>
  <c r="AG61" i="31" s="1"/>
  <c r="AU61" i="31" s="1"/>
  <c r="AD61" i="12"/>
  <c r="AC61" i="12"/>
  <c r="AC61" i="31" s="1"/>
  <c r="AQ61" i="31" s="1"/>
  <c r="AB61" i="12"/>
  <c r="AA61" i="12"/>
  <c r="Z61" i="12"/>
  <c r="AH60" i="12"/>
  <c r="AG60" i="12"/>
  <c r="AG60" i="31" s="1"/>
  <c r="AU60" i="31" s="1"/>
  <c r="AD60" i="12"/>
  <c r="AC60" i="12"/>
  <c r="AB60" i="12"/>
  <c r="AA60" i="12"/>
  <c r="Z60" i="12"/>
  <c r="Z60" i="31" s="1"/>
  <c r="AN60" i="31" s="1"/>
  <c r="AH59" i="12"/>
  <c r="AG59" i="12"/>
  <c r="AG59" i="31" s="1"/>
  <c r="AU59" i="31" s="1"/>
  <c r="AD59" i="12"/>
  <c r="AC59" i="12"/>
  <c r="AB59" i="12"/>
  <c r="AA59" i="12"/>
  <c r="Z59" i="12"/>
  <c r="AH58" i="12"/>
  <c r="AG58" i="12"/>
  <c r="AG58" i="31" s="1"/>
  <c r="AU58" i="31" s="1"/>
  <c r="AD58" i="12"/>
  <c r="AC58" i="12"/>
  <c r="AB58" i="12"/>
  <c r="AB58" i="31" s="1"/>
  <c r="AP58" i="31" s="1"/>
  <c r="AA58" i="12"/>
  <c r="Z58" i="12"/>
  <c r="AH57" i="12"/>
  <c r="AG57" i="12"/>
  <c r="AG57" i="31" s="1"/>
  <c r="AU57" i="31" s="1"/>
  <c r="AD57" i="12"/>
  <c r="AC57" i="12"/>
  <c r="AB57" i="12"/>
  <c r="AA57" i="12"/>
  <c r="Z57" i="12"/>
  <c r="AH56" i="12"/>
  <c r="AG56" i="12"/>
  <c r="AG56" i="31" s="1"/>
  <c r="AU56" i="31" s="1"/>
  <c r="AD56" i="12"/>
  <c r="AD56" i="31" s="1"/>
  <c r="AC56" i="12"/>
  <c r="AB56" i="12"/>
  <c r="AA56" i="12"/>
  <c r="Z56" i="12"/>
  <c r="AH55" i="12"/>
  <c r="AG55" i="12"/>
  <c r="AG55" i="31" s="1"/>
  <c r="AU55" i="31" s="1"/>
  <c r="AD55" i="12"/>
  <c r="AC55" i="12"/>
  <c r="AB55" i="12"/>
  <c r="AA55" i="12"/>
  <c r="AA55" i="31" s="1"/>
  <c r="AO55" i="31" s="1"/>
  <c r="Z55" i="12"/>
  <c r="AH54" i="12"/>
  <c r="AG54" i="12"/>
  <c r="AG54" i="31" s="1"/>
  <c r="AU54" i="31" s="1"/>
  <c r="AD54" i="12"/>
  <c r="AC54" i="12"/>
  <c r="AB54" i="12"/>
  <c r="AA54" i="12"/>
  <c r="Z54" i="12"/>
  <c r="AH53" i="12"/>
  <c r="AG53" i="12"/>
  <c r="AG53" i="31" s="1"/>
  <c r="AU53" i="31" s="1"/>
  <c r="AD53" i="12"/>
  <c r="AC53" i="12"/>
  <c r="AC53" i="31" s="1"/>
  <c r="AQ53" i="31" s="1"/>
  <c r="AB53" i="12"/>
  <c r="AA53" i="12"/>
  <c r="Z53" i="12"/>
  <c r="AH52" i="12"/>
  <c r="AG52" i="12"/>
  <c r="AG52" i="31" s="1"/>
  <c r="AU52" i="31" s="1"/>
  <c r="AD52" i="12"/>
  <c r="AC52" i="12"/>
  <c r="AB52" i="12"/>
  <c r="AA52" i="12"/>
  <c r="Z52" i="12"/>
  <c r="Z52" i="31" s="1"/>
  <c r="AN52" i="31" s="1"/>
  <c r="AH51" i="12"/>
  <c r="AG51" i="12"/>
  <c r="AD51" i="12"/>
  <c r="AC51" i="12"/>
  <c r="AB51" i="12"/>
  <c r="AA51" i="12"/>
  <c r="Z51" i="12"/>
  <c r="AH50" i="12"/>
  <c r="AG50" i="12"/>
  <c r="AG50" i="31" s="1"/>
  <c r="AU50" i="31" s="1"/>
  <c r="AD50" i="12"/>
  <c r="AC50" i="12"/>
  <c r="AB50" i="12"/>
  <c r="AB50" i="31" s="1"/>
  <c r="AP50" i="31" s="1"/>
  <c r="AA50" i="12"/>
  <c r="Z50" i="12"/>
  <c r="AH49" i="12"/>
  <c r="AG49" i="12"/>
  <c r="AG49" i="31" s="1"/>
  <c r="AU49" i="31" s="1"/>
  <c r="AD49" i="12"/>
  <c r="AC49" i="12"/>
  <c r="AB49" i="12"/>
  <c r="AA49" i="12"/>
  <c r="Z49" i="12"/>
  <c r="AH48" i="12"/>
  <c r="AG48" i="12"/>
  <c r="AG48" i="31" s="1"/>
  <c r="AU48" i="31" s="1"/>
  <c r="AD48" i="12"/>
  <c r="AD48" i="31" s="1"/>
  <c r="AC48" i="12"/>
  <c r="AB48" i="12"/>
  <c r="AA48" i="12"/>
  <c r="Z48" i="12"/>
  <c r="AH47" i="12"/>
  <c r="AG47" i="12"/>
  <c r="AG47" i="31" s="1"/>
  <c r="AU47" i="31" s="1"/>
  <c r="AD47" i="12"/>
  <c r="AC47" i="12"/>
  <c r="AB47" i="12"/>
  <c r="AA47" i="12"/>
  <c r="AA47" i="31" s="1"/>
  <c r="AO47" i="31" s="1"/>
  <c r="Z47" i="12"/>
  <c r="AH46" i="12"/>
  <c r="AG46" i="12"/>
  <c r="AG46" i="31" s="1"/>
  <c r="AU46" i="31" s="1"/>
  <c r="AD46" i="12"/>
  <c r="AC46" i="12"/>
  <c r="AB46" i="12"/>
  <c r="AA46" i="12"/>
  <c r="Z46" i="12"/>
  <c r="AH45" i="12"/>
  <c r="AG45" i="12"/>
  <c r="AG45" i="31" s="1"/>
  <c r="AU45" i="31" s="1"/>
  <c r="AD45" i="12"/>
  <c r="AC45" i="12"/>
  <c r="AC45" i="31" s="1"/>
  <c r="AQ45" i="31" s="1"/>
  <c r="AB45" i="12"/>
  <c r="AA45" i="12"/>
  <c r="Z45" i="12"/>
  <c r="AH44" i="12"/>
  <c r="AG44" i="12"/>
  <c r="AG44" i="31" s="1"/>
  <c r="AU44" i="31" s="1"/>
  <c r="AD44" i="12"/>
  <c r="AC44" i="12"/>
  <c r="AB44" i="12"/>
  <c r="AA44" i="12"/>
  <c r="Z44" i="12"/>
  <c r="Z44" i="31" s="1"/>
  <c r="AN44" i="31" s="1"/>
  <c r="AH43" i="12"/>
  <c r="AG43" i="12"/>
  <c r="AG43" i="31" s="1"/>
  <c r="AD43" i="12"/>
  <c r="AC43" i="12"/>
  <c r="AB43" i="12"/>
  <c r="AA43" i="12"/>
  <c r="Z43" i="12"/>
  <c r="AH42" i="12"/>
  <c r="AG42" i="12"/>
  <c r="AG42" i="31" s="1"/>
  <c r="AU42" i="31" s="1"/>
  <c r="AD42" i="12"/>
  <c r="AC42" i="12"/>
  <c r="AB42" i="12"/>
  <c r="AB42" i="31" s="1"/>
  <c r="AP42" i="31" s="1"/>
  <c r="AA42" i="12"/>
  <c r="Z42" i="12"/>
  <c r="AH41" i="12"/>
  <c r="AG41" i="12"/>
  <c r="AG41" i="31" s="1"/>
  <c r="AU41" i="31" s="1"/>
  <c r="AD41" i="12"/>
  <c r="AC41" i="12"/>
  <c r="AC41" i="31" s="1"/>
  <c r="AQ41" i="31" s="1"/>
  <c r="AB41" i="12"/>
  <c r="AA41" i="12"/>
  <c r="Z41" i="12"/>
  <c r="AH40" i="12"/>
  <c r="AG40" i="12"/>
  <c r="AG40" i="31" s="1"/>
  <c r="AU40" i="31" s="1"/>
  <c r="AD40" i="12"/>
  <c r="AD40" i="31" s="1"/>
  <c r="AC40" i="12"/>
  <c r="AB40" i="12"/>
  <c r="AA40" i="12"/>
  <c r="Z40" i="12"/>
  <c r="Z40" i="31" s="1"/>
  <c r="AN40" i="31" s="1"/>
  <c r="AH39" i="12"/>
  <c r="AG39" i="12"/>
  <c r="AG39" i="31" s="1"/>
  <c r="AU39" i="31" s="1"/>
  <c r="AD39" i="12"/>
  <c r="AC39" i="12"/>
  <c r="AB39" i="12"/>
  <c r="AA39" i="12"/>
  <c r="AA39" i="31" s="1"/>
  <c r="AO39" i="31" s="1"/>
  <c r="Z39" i="12"/>
  <c r="AH38" i="12"/>
  <c r="AH38" i="31" s="1"/>
  <c r="AG38" i="12"/>
  <c r="AG38" i="31" s="1"/>
  <c r="AU38" i="31" s="1"/>
  <c r="AD38" i="12"/>
  <c r="AC38" i="12"/>
  <c r="AB38" i="12"/>
  <c r="AB38" i="31" s="1"/>
  <c r="AP38" i="31" s="1"/>
  <c r="AA38" i="12"/>
  <c r="Z38" i="12"/>
  <c r="AH37" i="12"/>
  <c r="AG37" i="12"/>
  <c r="AG37" i="31" s="1"/>
  <c r="AU37" i="31" s="1"/>
  <c r="AD37" i="12"/>
  <c r="AC37" i="12"/>
  <c r="AC37" i="31" s="1"/>
  <c r="AQ37" i="31" s="1"/>
  <c r="AB37" i="12"/>
  <c r="AA37" i="12"/>
  <c r="Z37" i="12"/>
  <c r="AH36" i="12"/>
  <c r="AG36" i="12"/>
  <c r="AG36" i="31" s="1"/>
  <c r="AU36" i="31" s="1"/>
  <c r="AD36" i="12"/>
  <c r="AD36" i="31" s="1"/>
  <c r="AC36" i="12"/>
  <c r="AB36" i="12"/>
  <c r="AA36" i="12"/>
  <c r="Z36" i="12"/>
  <c r="Z36" i="31" s="1"/>
  <c r="AN36" i="31" s="1"/>
  <c r="AH35" i="12"/>
  <c r="AH35" i="31" s="1"/>
  <c r="AG35" i="12"/>
  <c r="AG35" i="31" s="1"/>
  <c r="AU35" i="31" s="1"/>
  <c r="AD35" i="12"/>
  <c r="AC35" i="12"/>
  <c r="AB35" i="12"/>
  <c r="AA35" i="12"/>
  <c r="AA35" i="31" s="1"/>
  <c r="AO35" i="31" s="1"/>
  <c r="Z35" i="12"/>
  <c r="AH34" i="12"/>
  <c r="AH34" i="31" s="1"/>
  <c r="AG34" i="12"/>
  <c r="AD34" i="12"/>
  <c r="AD34" i="31" s="1"/>
  <c r="AC34" i="12"/>
  <c r="AC34" i="31" s="1"/>
  <c r="AB34" i="12"/>
  <c r="AA34" i="12"/>
  <c r="AA34" i="31" s="1"/>
  <c r="Z34" i="12"/>
  <c r="Z34" i="31" s="1"/>
  <c r="AH33" i="12"/>
  <c r="AG33" i="12"/>
  <c r="AG33" i="31" s="1"/>
  <c r="AU33" i="31" s="1"/>
  <c r="AD33" i="12"/>
  <c r="AC33" i="12"/>
  <c r="AC33" i="31" s="1"/>
  <c r="AQ33" i="31" s="1"/>
  <c r="AB33" i="12"/>
  <c r="AA33" i="12"/>
  <c r="Z33" i="12"/>
  <c r="AH32" i="12"/>
  <c r="AG32" i="12"/>
  <c r="AG32" i="31" s="1"/>
  <c r="AU32" i="31" s="1"/>
  <c r="AD32" i="12"/>
  <c r="AD32" i="31" s="1"/>
  <c r="AC32" i="12"/>
  <c r="AB32" i="12"/>
  <c r="AA32" i="12"/>
  <c r="Z32" i="12"/>
  <c r="Z32" i="31" s="1"/>
  <c r="AN32" i="31" s="1"/>
  <c r="AH31" i="12"/>
  <c r="AG31" i="12"/>
  <c r="AG31" i="31" s="1"/>
  <c r="AU31" i="31" s="1"/>
  <c r="AD31" i="12"/>
  <c r="AC31" i="12"/>
  <c r="AB31" i="12"/>
  <c r="AA31" i="12"/>
  <c r="AA31" i="31" s="1"/>
  <c r="AO31" i="31" s="1"/>
  <c r="Z31" i="12"/>
  <c r="AH30" i="12"/>
  <c r="AG30" i="12"/>
  <c r="AG30" i="31" s="1"/>
  <c r="AU30" i="31" s="1"/>
  <c r="AD30" i="12"/>
  <c r="AC30" i="12"/>
  <c r="AB30" i="12"/>
  <c r="AB30" i="31" s="1"/>
  <c r="AP30" i="31" s="1"/>
  <c r="AA30" i="12"/>
  <c r="Z30" i="12"/>
  <c r="AH29" i="12"/>
  <c r="AG29" i="12"/>
  <c r="AG29" i="31" s="1"/>
  <c r="AU29" i="31" s="1"/>
  <c r="AD29" i="12"/>
  <c r="AC29" i="12"/>
  <c r="AC29" i="31" s="1"/>
  <c r="AQ29" i="31" s="1"/>
  <c r="AB29" i="12"/>
  <c r="AA29" i="12"/>
  <c r="Z29" i="12"/>
  <c r="AH28" i="12"/>
  <c r="AG28" i="12"/>
  <c r="AG28" i="31" s="1"/>
  <c r="AU28" i="31" s="1"/>
  <c r="AD28" i="12"/>
  <c r="AD28" i="31" s="1"/>
  <c r="AC28" i="12"/>
  <c r="AB28" i="12"/>
  <c r="AA28" i="12"/>
  <c r="Z28" i="12"/>
  <c r="Z28" i="31" s="1"/>
  <c r="AN28" i="31" s="1"/>
  <c r="AH27" i="12"/>
  <c r="AG27" i="12"/>
  <c r="AD27" i="12"/>
  <c r="AD27" i="31" s="1"/>
  <c r="AC27" i="12"/>
  <c r="AC27" i="31" s="1"/>
  <c r="AB27" i="12"/>
  <c r="AB27" i="31" s="1"/>
  <c r="AA27" i="12"/>
  <c r="Z27" i="12"/>
  <c r="Z27" i="31" s="1"/>
  <c r="AH26" i="12"/>
  <c r="AG26" i="12"/>
  <c r="AG26" i="31" s="1"/>
  <c r="AU26" i="31" s="1"/>
  <c r="AD26" i="12"/>
  <c r="AC26" i="12"/>
  <c r="AB26" i="12"/>
  <c r="AB26" i="31" s="1"/>
  <c r="AP26" i="31" s="1"/>
  <c r="AA26" i="12"/>
  <c r="Z26" i="12"/>
  <c r="AH25" i="12"/>
  <c r="AG25" i="12"/>
  <c r="AG25" i="31" s="1"/>
  <c r="AU25" i="31" s="1"/>
  <c r="AD25" i="12"/>
  <c r="AC25" i="12"/>
  <c r="AC25" i="31" s="1"/>
  <c r="AQ25" i="31" s="1"/>
  <c r="AB25" i="12"/>
  <c r="AA25" i="12"/>
  <c r="Z25" i="12"/>
  <c r="AH24" i="12"/>
  <c r="AG24" i="12"/>
  <c r="AG24" i="31" s="1"/>
  <c r="AU24" i="31" s="1"/>
  <c r="AD24" i="12"/>
  <c r="AD24" i="31" s="1"/>
  <c r="AC24" i="12"/>
  <c r="AB24" i="12"/>
  <c r="AA24" i="12"/>
  <c r="Z24" i="12"/>
  <c r="Z24" i="31" s="1"/>
  <c r="AN24" i="31" s="1"/>
  <c r="AH23" i="12"/>
  <c r="AG23" i="12"/>
  <c r="AG23" i="31" s="1"/>
  <c r="AD23" i="12"/>
  <c r="AC23" i="12"/>
  <c r="AB23" i="12"/>
  <c r="AA23" i="12"/>
  <c r="AA23" i="31" s="1"/>
  <c r="AO23" i="31" s="1"/>
  <c r="Z23" i="12"/>
  <c r="AH22" i="12"/>
  <c r="AG22" i="12"/>
  <c r="AG22" i="31" s="1"/>
  <c r="AU22" i="31" s="1"/>
  <c r="AD22" i="12"/>
  <c r="AC22" i="12"/>
  <c r="AB22" i="12"/>
  <c r="AB22" i="31" s="1"/>
  <c r="AP22" i="31" s="1"/>
  <c r="AA22" i="12"/>
  <c r="Z22" i="12"/>
  <c r="AH21" i="12"/>
  <c r="AG21" i="12"/>
  <c r="AG21" i="31" s="1"/>
  <c r="AU21" i="31" s="1"/>
  <c r="AD21" i="12"/>
  <c r="AC21" i="12"/>
  <c r="AC21" i="31" s="1"/>
  <c r="AQ21" i="31" s="1"/>
  <c r="AB21" i="12"/>
  <c r="AA21" i="12"/>
  <c r="Z21" i="12"/>
  <c r="AH20" i="12"/>
  <c r="AG20" i="12"/>
  <c r="AG20" i="31" s="1"/>
  <c r="AU20" i="31" s="1"/>
  <c r="AD20" i="12"/>
  <c r="AD20" i="31" s="1"/>
  <c r="AC20" i="12"/>
  <c r="AB20" i="12"/>
  <c r="AA20" i="12"/>
  <c r="Z20" i="12"/>
  <c r="Z20" i="31" s="1"/>
  <c r="AN20" i="31" s="1"/>
  <c r="AH19" i="12"/>
  <c r="AG19" i="12"/>
  <c r="AG19" i="31" s="1"/>
  <c r="AU19" i="31" s="1"/>
  <c r="AD19" i="12"/>
  <c r="AC19" i="12"/>
  <c r="AB19" i="12"/>
  <c r="AA19" i="12"/>
  <c r="AA19" i="31" s="1"/>
  <c r="AO19" i="31" s="1"/>
  <c r="Z19" i="12"/>
  <c r="AH18" i="12"/>
  <c r="AG18" i="12"/>
  <c r="AG18" i="31" s="1"/>
  <c r="AU18" i="31" s="1"/>
  <c r="AD18" i="12"/>
  <c r="AC18" i="12"/>
  <c r="AC18" i="31" s="1"/>
  <c r="AQ18" i="31" s="1"/>
  <c r="AB18" i="12"/>
  <c r="AB18" i="31" s="1"/>
  <c r="AP18" i="31" s="1"/>
  <c r="AA18" i="12"/>
  <c r="Z18" i="12"/>
  <c r="AH17" i="12"/>
  <c r="AG17" i="12"/>
  <c r="AG17" i="31" s="1"/>
  <c r="AU17" i="31" s="1"/>
  <c r="AD17" i="12"/>
  <c r="AC17" i="12"/>
  <c r="AC17" i="31" s="1"/>
  <c r="AQ17" i="31" s="1"/>
  <c r="AB17" i="12"/>
  <c r="AA17" i="12"/>
  <c r="Z17" i="12"/>
  <c r="Z17" i="31" s="1"/>
  <c r="AN17" i="31" s="1"/>
  <c r="AH16" i="12"/>
  <c r="AG16" i="12"/>
  <c r="AG16" i="31" s="1"/>
  <c r="AU16" i="31" s="1"/>
  <c r="AD16" i="12"/>
  <c r="AD16" i="31" s="1"/>
  <c r="AC16" i="12"/>
  <c r="AB16" i="12"/>
  <c r="AA16" i="12"/>
  <c r="AA16" i="31" s="1"/>
  <c r="AO16" i="31" s="1"/>
  <c r="Z16" i="12"/>
  <c r="Z16" i="31" s="1"/>
  <c r="AN16" i="31" s="1"/>
  <c r="AH15" i="12"/>
  <c r="AG15" i="12"/>
  <c r="AG15" i="31" s="1"/>
  <c r="AU15" i="31" s="1"/>
  <c r="AD15" i="12"/>
  <c r="AC15" i="12"/>
  <c r="AB15" i="12"/>
  <c r="AB15" i="31" s="1"/>
  <c r="AP15" i="31" s="1"/>
  <c r="AA15" i="12"/>
  <c r="AA15" i="31" s="1"/>
  <c r="AO15" i="31" s="1"/>
  <c r="Z15" i="12"/>
  <c r="AH14" i="12"/>
  <c r="AG14" i="12"/>
  <c r="AG14" i="31" s="1"/>
  <c r="AU14" i="31" s="1"/>
  <c r="AD14" i="12"/>
  <c r="AC14" i="12"/>
  <c r="AC14" i="31" s="1"/>
  <c r="AQ14" i="31" s="1"/>
  <c r="AB14" i="12"/>
  <c r="AB14" i="31" s="1"/>
  <c r="AP14" i="31" s="1"/>
  <c r="AA14" i="12"/>
  <c r="AA14" i="31" s="1"/>
  <c r="AO14" i="31" s="1"/>
  <c r="Z14" i="12"/>
  <c r="AH13" i="12"/>
  <c r="AG13" i="12"/>
  <c r="AG13" i="31" s="1"/>
  <c r="AU13" i="31" s="1"/>
  <c r="AD13" i="12"/>
  <c r="AD13" i="31" s="1"/>
  <c r="AC13" i="12"/>
  <c r="AC13" i="31" s="1"/>
  <c r="AQ13" i="31" s="1"/>
  <c r="AB13" i="12"/>
  <c r="AB13" i="31" s="1"/>
  <c r="AP13" i="31" s="1"/>
  <c r="AA13" i="12"/>
  <c r="Z13" i="12"/>
  <c r="Z13" i="31" s="1"/>
  <c r="AN13" i="31" s="1"/>
  <c r="AH12" i="12"/>
  <c r="AG12" i="12"/>
  <c r="AG12" i="31" s="1"/>
  <c r="AU12" i="31" s="1"/>
  <c r="AD12" i="12"/>
  <c r="AD12" i="31" s="1"/>
  <c r="AC12" i="12"/>
  <c r="AC12" i="31" s="1"/>
  <c r="AQ12" i="31" s="1"/>
  <c r="AB12" i="12"/>
  <c r="AB12" i="31" s="1"/>
  <c r="AP12" i="31" s="1"/>
  <c r="AA12" i="12"/>
  <c r="AA12" i="31" s="1"/>
  <c r="AO12" i="31" s="1"/>
  <c r="Z12" i="12"/>
  <c r="Z12" i="31" s="1"/>
  <c r="AN12" i="31" s="1"/>
  <c r="AH11" i="12"/>
  <c r="AG11" i="12"/>
  <c r="AG11" i="31" s="1"/>
  <c r="AU11" i="31" s="1"/>
  <c r="AD11" i="12"/>
  <c r="AD11" i="31" s="1"/>
  <c r="AC11" i="12"/>
  <c r="AC11" i="31" s="1"/>
  <c r="AQ11" i="31" s="1"/>
  <c r="AB11" i="12"/>
  <c r="AB11" i="31" s="1"/>
  <c r="AP11" i="31" s="1"/>
  <c r="AA11" i="12"/>
  <c r="AA11" i="31" s="1"/>
  <c r="AO11" i="31" s="1"/>
  <c r="Z11" i="12"/>
  <c r="Z11" i="31" s="1"/>
  <c r="AN11" i="31" s="1"/>
  <c r="AH10" i="12"/>
  <c r="AG10" i="12"/>
  <c r="AG10" i="31" s="1"/>
  <c r="AU10" i="31" s="1"/>
  <c r="AD10" i="12"/>
  <c r="AD10" i="31" s="1"/>
  <c r="AC10" i="12"/>
  <c r="AC10" i="31" s="1"/>
  <c r="AQ10" i="31" s="1"/>
  <c r="AB10" i="12"/>
  <c r="AB10" i="31" s="1"/>
  <c r="AP10" i="31" s="1"/>
  <c r="AA10" i="12"/>
  <c r="AA10" i="31" s="1"/>
  <c r="AO10" i="31" s="1"/>
  <c r="Z10" i="12"/>
  <c r="Z10" i="31" s="1"/>
  <c r="AN10" i="31" s="1"/>
  <c r="AH9" i="12"/>
  <c r="AG9" i="12"/>
  <c r="AG9" i="31" s="1"/>
  <c r="AU9" i="31" s="1"/>
  <c r="AD9" i="12"/>
  <c r="AD9" i="31" s="1"/>
  <c r="AC9" i="12"/>
  <c r="AC9" i="31" s="1"/>
  <c r="AQ9" i="31" s="1"/>
  <c r="AB9" i="12"/>
  <c r="AB9" i="31" s="1"/>
  <c r="AP9" i="31" s="1"/>
  <c r="AA9" i="12"/>
  <c r="AA9" i="31" s="1"/>
  <c r="AO9" i="31" s="1"/>
  <c r="Z9" i="12"/>
  <c r="Z9" i="31" s="1"/>
  <c r="AN9" i="31" s="1"/>
  <c r="AH8" i="12"/>
  <c r="AH8" i="31" s="1"/>
  <c r="AG8" i="12"/>
  <c r="AG8" i="31" s="1"/>
  <c r="AD8" i="12"/>
  <c r="AC8" i="12"/>
  <c r="AB8" i="12"/>
  <c r="AA8" i="12"/>
  <c r="Z8" i="12"/>
  <c r="AH7" i="12"/>
  <c r="AH7" i="31" s="1"/>
  <c r="AG7" i="12"/>
  <c r="AG7" i="31" s="1"/>
  <c r="AD7" i="12"/>
  <c r="AC7" i="12"/>
  <c r="AB7" i="12"/>
  <c r="AA7" i="12"/>
  <c r="Z7" i="12"/>
  <c r="D7" i="12"/>
  <c r="D7" i="31" s="1"/>
  <c r="X59" i="16" l="1"/>
  <c r="X59" i="31"/>
  <c r="X59" i="27"/>
  <c r="BM130" i="3"/>
  <c r="BI106" i="14"/>
  <c r="BQ106" i="14" s="1"/>
  <c r="BI32" i="14"/>
  <c r="BJ32" i="14" s="1"/>
  <c r="BI19" i="15"/>
  <c r="BJ19" i="15" s="1"/>
  <c r="BR19" i="15" s="1"/>
  <c r="BI128" i="14"/>
  <c r="BQ128" i="14" s="1"/>
  <c r="BJ94" i="14"/>
  <c r="BK94" i="14" s="1"/>
  <c r="BI108" i="14"/>
  <c r="BJ108" i="14" s="1"/>
  <c r="BR108" i="14" s="1"/>
  <c r="BI127" i="14"/>
  <c r="BJ127" i="14" s="1"/>
  <c r="BK127" i="14" s="1"/>
  <c r="BF62" i="15"/>
  <c r="BN62" i="15" s="1"/>
  <c r="BM39" i="15"/>
  <c r="BP86" i="14"/>
  <c r="CE96" i="15"/>
  <c r="AR13" i="31"/>
  <c r="AD18" i="27"/>
  <c r="AD18" i="31"/>
  <c r="AD23" i="27"/>
  <c r="AD23" i="31"/>
  <c r="AR34" i="31"/>
  <c r="AB51" i="27"/>
  <c r="AP51" i="27" s="1"/>
  <c r="AB51" i="31"/>
  <c r="Z57" i="27"/>
  <c r="AN57" i="27" s="1"/>
  <c r="Z57" i="31"/>
  <c r="AN57" i="31" s="1"/>
  <c r="AB59" i="27"/>
  <c r="AP59" i="27" s="1"/>
  <c r="AB59" i="31"/>
  <c r="AP59" i="31" s="1"/>
  <c r="AH63" i="27"/>
  <c r="AH63" i="31"/>
  <c r="AC68" i="27"/>
  <c r="AQ68" i="27" s="1"/>
  <c r="AC68" i="31"/>
  <c r="AQ68" i="31" s="1"/>
  <c r="AH71" i="27"/>
  <c r="AH71" i="31"/>
  <c r="Z81" i="27"/>
  <c r="AN81" i="27" s="1"/>
  <c r="Z81" i="31"/>
  <c r="AN81" i="31" s="1"/>
  <c r="AA98" i="27"/>
  <c r="AO98" i="27" s="1"/>
  <c r="AA98" i="31"/>
  <c r="AO98" i="31" s="1"/>
  <c r="AC100" i="27"/>
  <c r="AQ100" i="27" s="1"/>
  <c r="AC100" i="31"/>
  <c r="AQ100" i="31" s="1"/>
  <c r="Z105" i="27"/>
  <c r="AN105" i="27" s="1"/>
  <c r="Z105" i="31"/>
  <c r="AN105" i="31" s="1"/>
  <c r="AB107" i="27"/>
  <c r="AP107" i="27" s="1"/>
  <c r="AB107" i="31"/>
  <c r="AP107" i="31" s="1"/>
  <c r="AD109" i="27"/>
  <c r="AD109" i="31"/>
  <c r="Z113" i="27"/>
  <c r="AN113" i="27" s="1"/>
  <c r="Z113" i="31"/>
  <c r="AN113" i="31" s="1"/>
  <c r="AB115" i="27"/>
  <c r="AP115" i="27" s="1"/>
  <c r="AB115" i="31"/>
  <c r="AP115" i="31" s="1"/>
  <c r="AH119" i="27"/>
  <c r="AV119" i="27" s="1"/>
  <c r="AH119" i="31"/>
  <c r="AB123" i="27"/>
  <c r="AP123" i="27" s="1"/>
  <c r="AB123" i="31"/>
  <c r="AP123" i="31" s="1"/>
  <c r="AB131" i="27"/>
  <c r="AP131" i="27" s="1"/>
  <c r="AB131" i="31"/>
  <c r="AP131" i="31" s="1"/>
  <c r="Z7" i="27"/>
  <c r="Z136" i="27" s="1"/>
  <c r="Z7" i="31"/>
  <c r="Z136" i="31" s="1"/>
  <c r="Z8" i="27"/>
  <c r="Z8" i="31"/>
  <c r="Z14" i="27"/>
  <c r="AN14" i="27" s="1"/>
  <c r="Z14" i="31"/>
  <c r="AN14" i="31" s="1"/>
  <c r="Z15" i="27"/>
  <c r="AN15" i="27" s="1"/>
  <c r="Z15" i="31"/>
  <c r="AN15" i="31" s="1"/>
  <c r="Z18" i="27"/>
  <c r="AN18" i="27" s="1"/>
  <c r="Z18" i="31"/>
  <c r="AN18" i="31" s="1"/>
  <c r="Z19" i="27"/>
  <c r="AN19" i="27" s="1"/>
  <c r="Z19" i="31"/>
  <c r="AN19" i="31" s="1"/>
  <c r="Z21" i="27"/>
  <c r="AN21" i="27" s="1"/>
  <c r="Z21" i="31"/>
  <c r="AN21" i="31" s="1"/>
  <c r="Z22" i="27"/>
  <c r="AN22" i="27" s="1"/>
  <c r="Z22" i="31"/>
  <c r="AN22" i="31" s="1"/>
  <c r="Z23" i="27"/>
  <c r="AN23" i="27" s="1"/>
  <c r="Z23" i="31"/>
  <c r="AN23" i="31" s="1"/>
  <c r="Z25" i="27"/>
  <c r="AN25" i="27" s="1"/>
  <c r="Z25" i="31"/>
  <c r="AN25" i="31" s="1"/>
  <c r="Z26" i="27"/>
  <c r="AN26" i="27" s="1"/>
  <c r="Z26" i="31"/>
  <c r="AN26" i="31" s="1"/>
  <c r="AN27" i="31"/>
  <c r="Z29" i="27"/>
  <c r="AN29" i="27" s="1"/>
  <c r="Z29" i="31"/>
  <c r="AN29" i="31" s="1"/>
  <c r="Z30" i="27"/>
  <c r="AN30" i="27" s="1"/>
  <c r="Z30" i="31"/>
  <c r="AN30" i="31" s="1"/>
  <c r="Z31" i="27"/>
  <c r="AN31" i="27" s="1"/>
  <c r="Z31" i="31"/>
  <c r="AN31" i="31" s="1"/>
  <c r="Z33" i="27"/>
  <c r="AN33" i="27" s="1"/>
  <c r="Z33" i="31"/>
  <c r="AN33" i="31" s="1"/>
  <c r="AN34" i="31"/>
  <c r="Z35" i="27"/>
  <c r="AN35" i="27" s="1"/>
  <c r="Z35" i="31"/>
  <c r="AN35" i="31" s="1"/>
  <c r="Z37" i="27"/>
  <c r="AN37" i="27" s="1"/>
  <c r="Z37" i="31"/>
  <c r="AN37" i="31" s="1"/>
  <c r="Z38" i="27"/>
  <c r="AN38" i="27" s="1"/>
  <c r="Z38" i="31"/>
  <c r="AN38" i="31" s="1"/>
  <c r="Z39" i="27"/>
  <c r="AN39" i="27" s="1"/>
  <c r="Z39" i="31"/>
  <c r="AN39" i="31" s="1"/>
  <c r="Z41" i="27"/>
  <c r="AN41" i="27" s="1"/>
  <c r="Z41" i="31"/>
  <c r="AN41" i="31" s="1"/>
  <c r="Z42" i="27"/>
  <c r="AN42" i="27" s="1"/>
  <c r="Z42" i="31"/>
  <c r="AN42" i="31" s="1"/>
  <c r="Z43" i="27"/>
  <c r="Z43" i="31"/>
  <c r="Z45" i="27"/>
  <c r="AN45" i="27" s="1"/>
  <c r="Z45" i="31"/>
  <c r="AN45" i="31" s="1"/>
  <c r="AA46" i="27"/>
  <c r="AO46" i="27" s="1"/>
  <c r="AA46" i="31"/>
  <c r="AO46" i="31" s="1"/>
  <c r="AB47" i="27"/>
  <c r="AP47" i="27" s="1"/>
  <c r="AB47" i="31"/>
  <c r="AP47" i="31" s="1"/>
  <c r="AC48" i="27"/>
  <c r="AQ48" i="27" s="1"/>
  <c r="AC48" i="31"/>
  <c r="AQ48" i="31" s="1"/>
  <c r="AD49" i="27"/>
  <c r="AR49" i="27" s="1"/>
  <c r="AD49" i="31"/>
  <c r="AH51" i="27"/>
  <c r="AH51" i="31"/>
  <c r="Z53" i="27"/>
  <c r="AN53" i="27" s="1"/>
  <c r="Z53" i="31"/>
  <c r="AN53" i="31" s="1"/>
  <c r="AA54" i="27"/>
  <c r="AO54" i="27" s="1"/>
  <c r="AA54" i="31"/>
  <c r="AO54" i="31" s="1"/>
  <c r="AB55" i="27"/>
  <c r="AP55" i="27" s="1"/>
  <c r="AB55" i="31"/>
  <c r="AP55" i="31" s="1"/>
  <c r="AC56" i="27"/>
  <c r="AQ56" i="27" s="1"/>
  <c r="AC56" i="31"/>
  <c r="AQ56" i="31" s="1"/>
  <c r="AD57" i="27"/>
  <c r="AR57" i="27" s="1"/>
  <c r="AD57" i="31"/>
  <c r="AH59" i="27"/>
  <c r="AH59" i="31"/>
  <c r="Z61" i="27"/>
  <c r="AN61" i="27" s="1"/>
  <c r="Z61" i="31"/>
  <c r="AN61" i="31" s="1"/>
  <c r="AA62" i="27"/>
  <c r="AO62" i="27" s="1"/>
  <c r="AA62" i="31"/>
  <c r="AO62" i="31" s="1"/>
  <c r="AB63" i="27"/>
  <c r="AP63" i="27" s="1"/>
  <c r="AB63" i="31"/>
  <c r="AP63" i="31" s="1"/>
  <c r="AC64" i="27"/>
  <c r="AQ64" i="27" s="1"/>
  <c r="AC64" i="31"/>
  <c r="AQ64" i="31" s="1"/>
  <c r="AD65" i="27"/>
  <c r="AR65" i="27" s="1"/>
  <c r="AD65" i="31"/>
  <c r="AH67" i="27"/>
  <c r="AH67" i="31"/>
  <c r="Z69" i="27"/>
  <c r="AN69" i="27" s="1"/>
  <c r="Z69" i="31"/>
  <c r="AN69" i="31" s="1"/>
  <c r="AA70" i="27"/>
  <c r="AO70" i="27" s="1"/>
  <c r="AA70" i="31"/>
  <c r="AO70" i="31" s="1"/>
  <c r="AB71" i="27"/>
  <c r="AP71" i="27" s="1"/>
  <c r="AB71" i="31"/>
  <c r="AP71" i="31" s="1"/>
  <c r="AC72" i="27"/>
  <c r="AQ72" i="27" s="1"/>
  <c r="AC72" i="31"/>
  <c r="AQ72" i="31" s="1"/>
  <c r="AD73" i="27"/>
  <c r="AR73" i="27" s="1"/>
  <c r="AD73" i="31"/>
  <c r="AH75" i="27"/>
  <c r="AH75" i="31"/>
  <c r="Z77" i="27"/>
  <c r="AN77" i="27" s="1"/>
  <c r="Z77" i="31"/>
  <c r="AN77" i="31" s="1"/>
  <c r="AA78" i="27"/>
  <c r="AO78" i="27" s="1"/>
  <c r="AA78" i="31"/>
  <c r="AO78" i="31" s="1"/>
  <c r="AB79" i="27"/>
  <c r="AP79" i="27" s="1"/>
  <c r="AB79" i="31"/>
  <c r="AP79" i="31" s="1"/>
  <c r="AC80" i="27"/>
  <c r="AQ80" i="27" s="1"/>
  <c r="AC80" i="31"/>
  <c r="AQ80" i="31" s="1"/>
  <c r="AD81" i="27"/>
  <c r="AR81" i="27" s="1"/>
  <c r="AD81" i="31"/>
  <c r="AM83" i="31"/>
  <c r="BA83" i="31"/>
  <c r="AV83" i="31"/>
  <c r="Z85" i="27"/>
  <c r="AN85" i="27" s="1"/>
  <c r="Z85" i="31"/>
  <c r="AN85" i="31" s="1"/>
  <c r="AA86" i="27"/>
  <c r="AO86" i="27" s="1"/>
  <c r="AA86" i="31"/>
  <c r="AO86" i="31" s="1"/>
  <c r="AB87" i="27"/>
  <c r="AP87" i="27" s="1"/>
  <c r="AB87" i="31"/>
  <c r="AP87" i="31" s="1"/>
  <c r="AC88" i="27"/>
  <c r="AQ88" i="27" s="1"/>
  <c r="AC88" i="31"/>
  <c r="AQ88" i="31" s="1"/>
  <c r="AD89" i="27"/>
  <c r="AD89" i="31"/>
  <c r="AM91" i="31"/>
  <c r="AV91" i="31"/>
  <c r="BA91" i="31"/>
  <c r="Z93" i="27"/>
  <c r="AN93" i="27" s="1"/>
  <c r="Z93" i="31"/>
  <c r="AN93" i="31" s="1"/>
  <c r="AA94" i="27"/>
  <c r="AO94" i="27" s="1"/>
  <c r="AA94" i="31"/>
  <c r="AO94" i="31" s="1"/>
  <c r="AB95" i="27"/>
  <c r="AP95" i="27" s="1"/>
  <c r="AB95" i="31"/>
  <c r="AP95" i="31" s="1"/>
  <c r="AC96" i="27"/>
  <c r="AQ96" i="27" s="1"/>
  <c r="AC96" i="31"/>
  <c r="AD97" i="27"/>
  <c r="AD97" i="31"/>
  <c r="AH99" i="27"/>
  <c r="AV99" i="27" s="1"/>
  <c r="AH99" i="31"/>
  <c r="Z101" i="27"/>
  <c r="AN101" i="27" s="1"/>
  <c r="Z101" i="31"/>
  <c r="AN101" i="31" s="1"/>
  <c r="AA102" i="27"/>
  <c r="AO102" i="27" s="1"/>
  <c r="AA102" i="31"/>
  <c r="AO102" i="31" s="1"/>
  <c r="AB103" i="27"/>
  <c r="AP103" i="27" s="1"/>
  <c r="AB103" i="31"/>
  <c r="AP103" i="31" s="1"/>
  <c r="AC104" i="27"/>
  <c r="AQ104" i="27" s="1"/>
  <c r="AC104" i="31"/>
  <c r="AQ104" i="31" s="1"/>
  <c r="AD105" i="27"/>
  <c r="AD105" i="31"/>
  <c r="AH107" i="27"/>
  <c r="AM107" i="27" s="1"/>
  <c r="AH107" i="31"/>
  <c r="Z109" i="27"/>
  <c r="AN109" i="27" s="1"/>
  <c r="Z109" i="31"/>
  <c r="AN109" i="31" s="1"/>
  <c r="AA110" i="27"/>
  <c r="AO110" i="27" s="1"/>
  <c r="AA110" i="31"/>
  <c r="AB111" i="27"/>
  <c r="AP111" i="27" s="1"/>
  <c r="AB111" i="31"/>
  <c r="AP111" i="31" s="1"/>
  <c r="AC112" i="27"/>
  <c r="AQ112" i="27" s="1"/>
  <c r="AC112" i="31"/>
  <c r="AQ112" i="31" s="1"/>
  <c r="AD113" i="27"/>
  <c r="AD113" i="31"/>
  <c r="AH115" i="27"/>
  <c r="BA115" i="27" s="1"/>
  <c r="AH115" i="31"/>
  <c r="Z117" i="27"/>
  <c r="AN117" i="27" s="1"/>
  <c r="Z117" i="31"/>
  <c r="AN117" i="31" s="1"/>
  <c r="AA118" i="27"/>
  <c r="AO118" i="27" s="1"/>
  <c r="AA118" i="31"/>
  <c r="AO118" i="31" s="1"/>
  <c r="AB119" i="27"/>
  <c r="AB119" i="31"/>
  <c r="AC120" i="27"/>
  <c r="AQ120" i="27" s="1"/>
  <c r="AC120" i="31"/>
  <c r="AQ120" i="31" s="1"/>
  <c r="AD121" i="27"/>
  <c r="AD121" i="31"/>
  <c r="AH123" i="27"/>
  <c r="AM123" i="27" s="1"/>
  <c r="AH123" i="31"/>
  <c r="Z125" i="27"/>
  <c r="AN125" i="27" s="1"/>
  <c r="Z125" i="31"/>
  <c r="AN125" i="31" s="1"/>
  <c r="AA126" i="27"/>
  <c r="AO126" i="27" s="1"/>
  <c r="AA126" i="31"/>
  <c r="AO126" i="31" s="1"/>
  <c r="AB127" i="27"/>
  <c r="AB127" i="31"/>
  <c r="AC128" i="27"/>
  <c r="AQ128" i="27" s="1"/>
  <c r="AC128" i="31"/>
  <c r="AQ128" i="31" s="1"/>
  <c r="AD129" i="27"/>
  <c r="AD129" i="31"/>
  <c r="AH131" i="27"/>
  <c r="AM131" i="27" s="1"/>
  <c r="AH131" i="31"/>
  <c r="AA7" i="27"/>
  <c r="AA7" i="31"/>
  <c r="AA13" i="27"/>
  <c r="AO13" i="27" s="1"/>
  <c r="AA13" i="31"/>
  <c r="AO13" i="31" s="1"/>
  <c r="AA17" i="27"/>
  <c r="AO17" i="27" s="1"/>
  <c r="AA17" i="31"/>
  <c r="AO17" i="31" s="1"/>
  <c r="AA18" i="27"/>
  <c r="AO18" i="27" s="1"/>
  <c r="AA18" i="31"/>
  <c r="AO18" i="31" s="1"/>
  <c r="AA20" i="27"/>
  <c r="AO20" i="27" s="1"/>
  <c r="AA20" i="31"/>
  <c r="AO20" i="31" s="1"/>
  <c r="AA21" i="27"/>
  <c r="AO21" i="27" s="1"/>
  <c r="AA21" i="31"/>
  <c r="AO21" i="31" s="1"/>
  <c r="AA22" i="27"/>
  <c r="AO22" i="27" s="1"/>
  <c r="AA22" i="31"/>
  <c r="AO22" i="31" s="1"/>
  <c r="AA24" i="27"/>
  <c r="AO24" i="27" s="1"/>
  <c r="AA24" i="31"/>
  <c r="AO24" i="31" s="1"/>
  <c r="AA25" i="27"/>
  <c r="AO25" i="27" s="1"/>
  <c r="AA25" i="31"/>
  <c r="AO25" i="31" s="1"/>
  <c r="AA26" i="27"/>
  <c r="AO26" i="27" s="1"/>
  <c r="AA26" i="31"/>
  <c r="AO26" i="31" s="1"/>
  <c r="AA27" i="27"/>
  <c r="AA27" i="31"/>
  <c r="AA28" i="27"/>
  <c r="AO28" i="27" s="1"/>
  <c r="AA28" i="31"/>
  <c r="AO28" i="31" s="1"/>
  <c r="AA29" i="27"/>
  <c r="AO29" i="27" s="1"/>
  <c r="AA29" i="31"/>
  <c r="AO29" i="31" s="1"/>
  <c r="AA30" i="27"/>
  <c r="AO30" i="27" s="1"/>
  <c r="AA30" i="31"/>
  <c r="AO30" i="31" s="1"/>
  <c r="AA32" i="27"/>
  <c r="AO32" i="27" s="1"/>
  <c r="AA32" i="31"/>
  <c r="AO32" i="31" s="1"/>
  <c r="AA33" i="27"/>
  <c r="AO33" i="27" s="1"/>
  <c r="AA33" i="31"/>
  <c r="AO33" i="31" s="1"/>
  <c r="AO34" i="31"/>
  <c r="AA36" i="27"/>
  <c r="AO36" i="27" s="1"/>
  <c r="AA36" i="31"/>
  <c r="AO36" i="31" s="1"/>
  <c r="AA37" i="27"/>
  <c r="AO37" i="27" s="1"/>
  <c r="AA37" i="31"/>
  <c r="AO37" i="31" s="1"/>
  <c r="AA38" i="27"/>
  <c r="AO38" i="27" s="1"/>
  <c r="AA38" i="31"/>
  <c r="AO38" i="31" s="1"/>
  <c r="AA40" i="27"/>
  <c r="AO40" i="27" s="1"/>
  <c r="AA40" i="31"/>
  <c r="AO40" i="31" s="1"/>
  <c r="AA41" i="27"/>
  <c r="AO41" i="27" s="1"/>
  <c r="AA41" i="31"/>
  <c r="AO41" i="31" s="1"/>
  <c r="AA42" i="27"/>
  <c r="AO42" i="27" s="1"/>
  <c r="AA42" i="31"/>
  <c r="AO42" i="31" s="1"/>
  <c r="AA43" i="27"/>
  <c r="AA43" i="31"/>
  <c r="AA44" i="27"/>
  <c r="AO44" i="27" s="1"/>
  <c r="AA44" i="31"/>
  <c r="AO44" i="31" s="1"/>
  <c r="AA45" i="27"/>
  <c r="AO45" i="27" s="1"/>
  <c r="AA45" i="31"/>
  <c r="AO45" i="31" s="1"/>
  <c r="AB46" i="27"/>
  <c r="AP46" i="27" s="1"/>
  <c r="AB46" i="31"/>
  <c r="AP46" i="31" s="1"/>
  <c r="AC47" i="27"/>
  <c r="AQ47" i="27" s="1"/>
  <c r="AC47" i="31"/>
  <c r="AQ47" i="31" s="1"/>
  <c r="AR48" i="31"/>
  <c r="AH50" i="27"/>
  <c r="AH50" i="31"/>
  <c r="AA53" i="27"/>
  <c r="AO53" i="27" s="1"/>
  <c r="AA53" i="31"/>
  <c r="AO53" i="31" s="1"/>
  <c r="AB54" i="27"/>
  <c r="AP54" i="27" s="1"/>
  <c r="AB54" i="31"/>
  <c r="AP54" i="31" s="1"/>
  <c r="AC55" i="27"/>
  <c r="AQ55" i="27" s="1"/>
  <c r="AC55" i="31"/>
  <c r="AQ55" i="31" s="1"/>
  <c r="AR56" i="31"/>
  <c r="AH58" i="27"/>
  <c r="AH58" i="31"/>
  <c r="AA61" i="27"/>
  <c r="AO61" i="27" s="1"/>
  <c r="AA61" i="31"/>
  <c r="AO61" i="31" s="1"/>
  <c r="AB62" i="27"/>
  <c r="AP62" i="27" s="1"/>
  <c r="AB62" i="31"/>
  <c r="AP62" i="31" s="1"/>
  <c r="AC63" i="27"/>
  <c r="AQ63" i="27" s="1"/>
  <c r="AC63" i="31"/>
  <c r="AQ63" i="31" s="1"/>
  <c r="AR64" i="31"/>
  <c r="AH66" i="27"/>
  <c r="AM66" i="27" s="1"/>
  <c r="AH66" i="31"/>
  <c r="AA69" i="27"/>
  <c r="AO69" i="27" s="1"/>
  <c r="AA69" i="31"/>
  <c r="AO69" i="31" s="1"/>
  <c r="AB70" i="27"/>
  <c r="AP70" i="27" s="1"/>
  <c r="AB70" i="31"/>
  <c r="AP70" i="31" s="1"/>
  <c r="AC71" i="27"/>
  <c r="AQ71" i="27" s="1"/>
  <c r="AC71" i="31"/>
  <c r="AQ71" i="31" s="1"/>
  <c r="AR72" i="31"/>
  <c r="AG73" i="27"/>
  <c r="AU73" i="27" s="1"/>
  <c r="AG73" i="31"/>
  <c r="AU73" i="31" s="1"/>
  <c r="AH74" i="27"/>
  <c r="AH74" i="31"/>
  <c r="AA77" i="27"/>
  <c r="AO77" i="27" s="1"/>
  <c r="AA77" i="31"/>
  <c r="AO77" i="31" s="1"/>
  <c r="AB78" i="27"/>
  <c r="AP78" i="27" s="1"/>
  <c r="AB78" i="31"/>
  <c r="AP78" i="31" s="1"/>
  <c r="AC79" i="27"/>
  <c r="AQ79" i="27" s="1"/>
  <c r="AC79" i="31"/>
  <c r="AQ79" i="31" s="1"/>
  <c r="AR80" i="31"/>
  <c r="AH82" i="27"/>
  <c r="AM82" i="27" s="1"/>
  <c r="AH82" i="31"/>
  <c r="AA85" i="27"/>
  <c r="AO85" i="27" s="1"/>
  <c r="AA85" i="31"/>
  <c r="AO85" i="31" s="1"/>
  <c r="AB86" i="27"/>
  <c r="AP86" i="27" s="1"/>
  <c r="AB86" i="31"/>
  <c r="AP86" i="31" s="1"/>
  <c r="AC87" i="27"/>
  <c r="AQ87" i="27" s="1"/>
  <c r="AC87" i="31"/>
  <c r="AQ87" i="31" s="1"/>
  <c r="AR88" i="31"/>
  <c r="AH90" i="27"/>
  <c r="AH90" i="31"/>
  <c r="AA93" i="27"/>
  <c r="AO93" i="27" s="1"/>
  <c r="AA93" i="31"/>
  <c r="AO93" i="31" s="1"/>
  <c r="AB94" i="27"/>
  <c r="AP94" i="27" s="1"/>
  <c r="AB94" i="31"/>
  <c r="AP94" i="31" s="1"/>
  <c r="AC95" i="27"/>
  <c r="AQ95" i="27" s="1"/>
  <c r="AC95" i="31"/>
  <c r="AQ95" i="31" s="1"/>
  <c r="AD96" i="27"/>
  <c r="AD96" i="31"/>
  <c r="AH98" i="27"/>
  <c r="AH98" i="31"/>
  <c r="AA101" i="27"/>
  <c r="AO101" i="27" s="1"/>
  <c r="AA101" i="31"/>
  <c r="AO101" i="31" s="1"/>
  <c r="AB102" i="27"/>
  <c r="AP102" i="27" s="1"/>
  <c r="AB102" i="31"/>
  <c r="AP102" i="31" s="1"/>
  <c r="AC103" i="27"/>
  <c r="AQ103" i="27" s="1"/>
  <c r="AC103" i="31"/>
  <c r="AQ103" i="31" s="1"/>
  <c r="AR104" i="31"/>
  <c r="AH106" i="27"/>
  <c r="AV106" i="27" s="1"/>
  <c r="AH106" i="31"/>
  <c r="AA109" i="27"/>
  <c r="AO109" i="27" s="1"/>
  <c r="AA109" i="31"/>
  <c r="AO109" i="31" s="1"/>
  <c r="AB110" i="27"/>
  <c r="AB110" i="31"/>
  <c r="AC111" i="27"/>
  <c r="AQ111" i="27" s="1"/>
  <c r="AC111" i="31"/>
  <c r="AQ111" i="31" s="1"/>
  <c r="AR112" i="31"/>
  <c r="AH114" i="27"/>
  <c r="AH114" i="31"/>
  <c r="AA117" i="27"/>
  <c r="AO117" i="27" s="1"/>
  <c r="AA117" i="31"/>
  <c r="AO117" i="31" s="1"/>
  <c r="AB118" i="27"/>
  <c r="AP118" i="27" s="1"/>
  <c r="AB118" i="31"/>
  <c r="AP118" i="31" s="1"/>
  <c r="AC119" i="27"/>
  <c r="AC119" i="31"/>
  <c r="AR120" i="31"/>
  <c r="AH122" i="27"/>
  <c r="AH122" i="31"/>
  <c r="Z124" i="27"/>
  <c r="AN124" i="27" s="1"/>
  <c r="Z124" i="31"/>
  <c r="AN124" i="31" s="1"/>
  <c r="AA125" i="27"/>
  <c r="AO125" i="27" s="1"/>
  <c r="AA125" i="31"/>
  <c r="AO125" i="31" s="1"/>
  <c r="AB126" i="27"/>
  <c r="AP126" i="27" s="1"/>
  <c r="AB126" i="31"/>
  <c r="AP126" i="31" s="1"/>
  <c r="AC127" i="27"/>
  <c r="AC127" i="31"/>
  <c r="AD128" i="27"/>
  <c r="AR128" i="27" s="1"/>
  <c r="AD128" i="31"/>
  <c r="AH130" i="27"/>
  <c r="AH130" i="31"/>
  <c r="Z132" i="27"/>
  <c r="AN132" i="27" s="1"/>
  <c r="Z132" i="31"/>
  <c r="AN132" i="31" s="1"/>
  <c r="AD8" i="27"/>
  <c r="AD8" i="31"/>
  <c r="AR16" i="31"/>
  <c r="AR24" i="31"/>
  <c r="AD31" i="27"/>
  <c r="AD31" i="31"/>
  <c r="AR40" i="31"/>
  <c r="AD43" i="27"/>
  <c r="AD43" i="31"/>
  <c r="AC52" i="27"/>
  <c r="AQ52" i="27" s="1"/>
  <c r="AC52" i="31"/>
  <c r="AQ52" i="31" s="1"/>
  <c r="AC124" i="27"/>
  <c r="AQ124" i="27" s="1"/>
  <c r="AC124" i="31"/>
  <c r="AQ124" i="31" s="1"/>
  <c r="AG137" i="31"/>
  <c r="AU8" i="31"/>
  <c r="AA8" i="27"/>
  <c r="AA8" i="31"/>
  <c r="AB7" i="27"/>
  <c r="AB136" i="27" s="1"/>
  <c r="AB7" i="31"/>
  <c r="AB8" i="27"/>
  <c r="AB8" i="31"/>
  <c r="AB16" i="27"/>
  <c r="AP16" i="27" s="1"/>
  <c r="AB16" i="31"/>
  <c r="AP16" i="31" s="1"/>
  <c r="AB17" i="27"/>
  <c r="AP17" i="27" s="1"/>
  <c r="AB17" i="31"/>
  <c r="AP17" i="31" s="1"/>
  <c r="AB19" i="27"/>
  <c r="AP19" i="27" s="1"/>
  <c r="AB19" i="31"/>
  <c r="AP19" i="31" s="1"/>
  <c r="AB20" i="27"/>
  <c r="AP20" i="27" s="1"/>
  <c r="AB20" i="31"/>
  <c r="AP20" i="31" s="1"/>
  <c r="AB21" i="27"/>
  <c r="AP21" i="27" s="1"/>
  <c r="AB21" i="31"/>
  <c r="AP21" i="31" s="1"/>
  <c r="AB23" i="27"/>
  <c r="AP23" i="27" s="1"/>
  <c r="AB23" i="31"/>
  <c r="AP23" i="31" s="1"/>
  <c r="AB24" i="27"/>
  <c r="AP24" i="27" s="1"/>
  <c r="AB24" i="31"/>
  <c r="AP24" i="31" s="1"/>
  <c r="AB25" i="27"/>
  <c r="AP25" i="27" s="1"/>
  <c r="AB25" i="31"/>
  <c r="AP25" i="31" s="1"/>
  <c r="AP27" i="31"/>
  <c r="AB28" i="27"/>
  <c r="AP28" i="27" s="1"/>
  <c r="AB28" i="31"/>
  <c r="AP28" i="31" s="1"/>
  <c r="AB29" i="27"/>
  <c r="AP29" i="27" s="1"/>
  <c r="AB29" i="31"/>
  <c r="AP29" i="31" s="1"/>
  <c r="AB31" i="27"/>
  <c r="AP31" i="27" s="1"/>
  <c r="AB31" i="31"/>
  <c r="AP31" i="31" s="1"/>
  <c r="AB32" i="27"/>
  <c r="AP32" i="27" s="1"/>
  <c r="AB32" i="31"/>
  <c r="AP32" i="31" s="1"/>
  <c r="AB33" i="27"/>
  <c r="AP33" i="27" s="1"/>
  <c r="AB33" i="31"/>
  <c r="AP33" i="31" s="1"/>
  <c r="AB34" i="27"/>
  <c r="AP34" i="27" s="1"/>
  <c r="AB34" i="31"/>
  <c r="AB35" i="27"/>
  <c r="AP35" i="27" s="1"/>
  <c r="AB35" i="31"/>
  <c r="AP35" i="31" s="1"/>
  <c r="AB36" i="27"/>
  <c r="AP36" i="27" s="1"/>
  <c r="AB36" i="31"/>
  <c r="AP36" i="31" s="1"/>
  <c r="AB37" i="27"/>
  <c r="AP37" i="27" s="1"/>
  <c r="AB37" i="31"/>
  <c r="AP37" i="31" s="1"/>
  <c r="AB39" i="27"/>
  <c r="AP39" i="27" s="1"/>
  <c r="AB39" i="31"/>
  <c r="AP39" i="31" s="1"/>
  <c r="AB40" i="27"/>
  <c r="AP40" i="27" s="1"/>
  <c r="AB40" i="31"/>
  <c r="AP40" i="31" s="1"/>
  <c r="AB41" i="27"/>
  <c r="AP41" i="27" s="1"/>
  <c r="AB41" i="31"/>
  <c r="AP41" i="31" s="1"/>
  <c r="AB43" i="27"/>
  <c r="AB43" i="31"/>
  <c r="AB44" i="27"/>
  <c r="AP44" i="27" s="1"/>
  <c r="AB44" i="31"/>
  <c r="AP44" i="31" s="1"/>
  <c r="AB45" i="27"/>
  <c r="AP45" i="27" s="1"/>
  <c r="AB45" i="31"/>
  <c r="AP45" i="31" s="1"/>
  <c r="AC46" i="27"/>
  <c r="AQ46" i="27" s="1"/>
  <c r="AC46" i="31"/>
  <c r="AQ46" i="31" s="1"/>
  <c r="AD47" i="27"/>
  <c r="AR47" i="27" s="1"/>
  <c r="AD47" i="31"/>
  <c r="AH49" i="27"/>
  <c r="BA49" i="27" s="1"/>
  <c r="AH49" i="31"/>
  <c r="Z51" i="27"/>
  <c r="AN51" i="27" s="1"/>
  <c r="Z51" i="31"/>
  <c r="AA52" i="27"/>
  <c r="AO52" i="27" s="1"/>
  <c r="AA52" i="31"/>
  <c r="AO52" i="31" s="1"/>
  <c r="AB53" i="27"/>
  <c r="AP53" i="27" s="1"/>
  <c r="AB53" i="31"/>
  <c r="AP53" i="31" s="1"/>
  <c r="AC54" i="27"/>
  <c r="AQ54" i="27" s="1"/>
  <c r="AC54" i="31"/>
  <c r="AQ54" i="31" s="1"/>
  <c r="AD55" i="27"/>
  <c r="AR55" i="27" s="1"/>
  <c r="AD55" i="31"/>
  <c r="AH57" i="27"/>
  <c r="AH57" i="31"/>
  <c r="Z59" i="27"/>
  <c r="AN59" i="27" s="1"/>
  <c r="Z59" i="31"/>
  <c r="AN59" i="31" s="1"/>
  <c r="AA60" i="27"/>
  <c r="AO60" i="27" s="1"/>
  <c r="AA60" i="31"/>
  <c r="AO60" i="31" s="1"/>
  <c r="AB61" i="27"/>
  <c r="AP61" i="27" s="1"/>
  <c r="AB61" i="31"/>
  <c r="AP61" i="31" s="1"/>
  <c r="AC62" i="27"/>
  <c r="AQ62" i="27" s="1"/>
  <c r="AC62" i="31"/>
  <c r="AQ62" i="31" s="1"/>
  <c r="AD63" i="27"/>
  <c r="AR63" i="27" s="1"/>
  <c r="AD63" i="31"/>
  <c r="AH65" i="27"/>
  <c r="AM65" i="27" s="1"/>
  <c r="AH65" i="31"/>
  <c r="Z67" i="27"/>
  <c r="AN67" i="27" s="1"/>
  <c r="Z67" i="31"/>
  <c r="AA68" i="27"/>
  <c r="AO68" i="27" s="1"/>
  <c r="AA68" i="31"/>
  <c r="AO68" i="31" s="1"/>
  <c r="AB69" i="27"/>
  <c r="AP69" i="27" s="1"/>
  <c r="AB69" i="31"/>
  <c r="AP69" i="31" s="1"/>
  <c r="AC70" i="27"/>
  <c r="AQ70" i="27" s="1"/>
  <c r="AC70" i="31"/>
  <c r="AQ70" i="31" s="1"/>
  <c r="AD71" i="27"/>
  <c r="AR71" i="27" s="1"/>
  <c r="AD71" i="31"/>
  <c r="AH73" i="27"/>
  <c r="AH73" i="31"/>
  <c r="Z75" i="27"/>
  <c r="AN75" i="27" s="1"/>
  <c r="Z75" i="31"/>
  <c r="AN75" i="31" s="1"/>
  <c r="AA76" i="27"/>
  <c r="AO76" i="27" s="1"/>
  <c r="AA76" i="31"/>
  <c r="AO76" i="31" s="1"/>
  <c r="AB77" i="27"/>
  <c r="AP77" i="27" s="1"/>
  <c r="AB77" i="31"/>
  <c r="AP77" i="31" s="1"/>
  <c r="AC78" i="27"/>
  <c r="AQ78" i="27" s="1"/>
  <c r="AC78" i="31"/>
  <c r="AQ78" i="31" s="1"/>
  <c r="AD79" i="27"/>
  <c r="AR79" i="27" s="1"/>
  <c r="AD79" i="31"/>
  <c r="AH81" i="27"/>
  <c r="AM81" i="27" s="1"/>
  <c r="AH81" i="31"/>
  <c r="Z83" i="27"/>
  <c r="AN83" i="27" s="1"/>
  <c r="Z83" i="31"/>
  <c r="AN83" i="31" s="1"/>
  <c r="AA84" i="27"/>
  <c r="AO84" i="27" s="1"/>
  <c r="AA84" i="31"/>
  <c r="AO84" i="31" s="1"/>
  <c r="AB85" i="27"/>
  <c r="AP85" i="27" s="1"/>
  <c r="AB85" i="31"/>
  <c r="AP85" i="31" s="1"/>
  <c r="AC86" i="27"/>
  <c r="AQ86" i="27" s="1"/>
  <c r="AC86" i="31"/>
  <c r="AQ86" i="31" s="1"/>
  <c r="AD87" i="27"/>
  <c r="AR87" i="27" s="1"/>
  <c r="AD87" i="31"/>
  <c r="AU88" i="31"/>
  <c r="AH89" i="27"/>
  <c r="AH89" i="31"/>
  <c r="Z91" i="27"/>
  <c r="AN91" i="27" s="1"/>
  <c r="Z91" i="31"/>
  <c r="AN91" i="31" s="1"/>
  <c r="AA92" i="27"/>
  <c r="AO92" i="27" s="1"/>
  <c r="AA92" i="31"/>
  <c r="AO92" i="31" s="1"/>
  <c r="AB93" i="27"/>
  <c r="AP93" i="27" s="1"/>
  <c r="AB93" i="31"/>
  <c r="AP93" i="31" s="1"/>
  <c r="AC94" i="27"/>
  <c r="AQ94" i="27" s="1"/>
  <c r="AC94" i="31"/>
  <c r="AQ94" i="31" s="1"/>
  <c r="AD95" i="27"/>
  <c r="AR95" i="27" s="1"/>
  <c r="AD95" i="31"/>
  <c r="AG96" i="27"/>
  <c r="AG96" i="31"/>
  <c r="AH97" i="27"/>
  <c r="AH97" i="31"/>
  <c r="Z99" i="27"/>
  <c r="AN99" i="27" s="1"/>
  <c r="Z99" i="31"/>
  <c r="AN99" i="31" s="1"/>
  <c r="AA100" i="27"/>
  <c r="AO100" i="27" s="1"/>
  <c r="AA100" i="31"/>
  <c r="AO100" i="31" s="1"/>
  <c r="AB101" i="27"/>
  <c r="AP101" i="27" s="1"/>
  <c r="AB101" i="31"/>
  <c r="AP101" i="31" s="1"/>
  <c r="AC102" i="27"/>
  <c r="AQ102" i="27" s="1"/>
  <c r="AC102" i="31"/>
  <c r="AQ102" i="31" s="1"/>
  <c r="AD103" i="27"/>
  <c r="AD103" i="31"/>
  <c r="AH105" i="27"/>
  <c r="AM105" i="27" s="1"/>
  <c r="AH105" i="31"/>
  <c r="Z107" i="27"/>
  <c r="AN107" i="27" s="1"/>
  <c r="Z107" i="31"/>
  <c r="AN107" i="31" s="1"/>
  <c r="AA108" i="27"/>
  <c r="AO108" i="27" s="1"/>
  <c r="AA108" i="31"/>
  <c r="AO108" i="31" s="1"/>
  <c r="AB109" i="27"/>
  <c r="AP109" i="27" s="1"/>
  <c r="AB109" i="31"/>
  <c r="AP109" i="31" s="1"/>
  <c r="AC110" i="27"/>
  <c r="AQ110" i="27" s="1"/>
  <c r="AC110" i="31"/>
  <c r="AD111" i="27"/>
  <c r="AD111" i="31"/>
  <c r="AH113" i="27"/>
  <c r="AH113" i="31"/>
  <c r="Z115" i="27"/>
  <c r="AN115" i="27" s="1"/>
  <c r="Z115" i="31"/>
  <c r="AN115" i="31" s="1"/>
  <c r="AA116" i="27"/>
  <c r="AO116" i="27" s="1"/>
  <c r="AA116" i="31"/>
  <c r="AO116" i="31" s="1"/>
  <c r="AB117" i="27"/>
  <c r="AP117" i="27" s="1"/>
  <c r="AB117" i="31"/>
  <c r="AP117" i="31" s="1"/>
  <c r="AC118" i="27"/>
  <c r="AQ118" i="27" s="1"/>
  <c r="AC118" i="31"/>
  <c r="AQ118" i="31" s="1"/>
  <c r="AD119" i="27"/>
  <c r="AD119" i="31"/>
  <c r="AH121" i="27"/>
  <c r="AM121" i="27" s="1"/>
  <c r="AH121" i="31"/>
  <c r="Z123" i="27"/>
  <c r="AN123" i="27" s="1"/>
  <c r="Z123" i="31"/>
  <c r="AN123" i="31" s="1"/>
  <c r="AA124" i="27"/>
  <c r="AO124" i="27" s="1"/>
  <c r="AA124" i="31"/>
  <c r="AO124" i="31" s="1"/>
  <c r="AB125" i="27"/>
  <c r="AP125" i="27" s="1"/>
  <c r="AB125" i="31"/>
  <c r="AP125" i="31" s="1"/>
  <c r="AC126" i="27"/>
  <c r="AQ126" i="27" s="1"/>
  <c r="AC126" i="31"/>
  <c r="AQ126" i="31" s="1"/>
  <c r="AD127" i="27"/>
  <c r="AD127" i="31"/>
  <c r="AH129" i="27"/>
  <c r="AH129" i="31"/>
  <c r="Z131" i="27"/>
  <c r="AN131" i="27" s="1"/>
  <c r="Z131" i="31"/>
  <c r="AN131" i="31" s="1"/>
  <c r="AA132" i="27"/>
  <c r="AO132" i="27" s="1"/>
  <c r="AA132" i="31"/>
  <c r="AO132" i="31" s="1"/>
  <c r="AR11" i="31"/>
  <c r="AR20" i="31"/>
  <c r="AD25" i="27"/>
  <c r="AD25" i="31"/>
  <c r="AR32" i="31"/>
  <c r="AD38" i="27"/>
  <c r="AR38" i="27" s="1"/>
  <c r="AD38" i="31"/>
  <c r="AH47" i="27"/>
  <c r="AM47" i="27" s="1"/>
  <c r="AH47" i="31"/>
  <c r="AB67" i="27"/>
  <c r="AB67" i="31"/>
  <c r="AB75" i="27"/>
  <c r="AP75" i="27" s="1"/>
  <c r="AB75" i="31"/>
  <c r="AP75" i="31" s="1"/>
  <c r="Z89" i="27"/>
  <c r="AN89" i="27" s="1"/>
  <c r="Z89" i="31"/>
  <c r="AN89" i="31" s="1"/>
  <c r="AC92" i="27"/>
  <c r="AQ92" i="27" s="1"/>
  <c r="AC92" i="31"/>
  <c r="AQ92" i="31" s="1"/>
  <c r="AH95" i="27"/>
  <c r="AH95" i="31"/>
  <c r="AH103" i="27"/>
  <c r="BA103" i="27" s="1"/>
  <c r="AH103" i="31"/>
  <c r="AA122" i="27"/>
  <c r="AO122" i="27" s="1"/>
  <c r="AA122" i="31"/>
  <c r="AO122" i="31" s="1"/>
  <c r="AH127" i="27"/>
  <c r="AM127" i="27" s="1"/>
  <c r="AH127" i="31"/>
  <c r="AA130" i="27"/>
  <c r="AO130" i="27" s="1"/>
  <c r="AA130" i="31"/>
  <c r="AO130" i="31" s="1"/>
  <c r="AC7" i="27"/>
  <c r="AC136" i="27" s="1"/>
  <c r="AC7" i="31"/>
  <c r="AC8" i="27"/>
  <c r="AQ8" i="27" s="1"/>
  <c r="AC8" i="31"/>
  <c r="AC15" i="27"/>
  <c r="AQ15" i="27" s="1"/>
  <c r="AC15" i="31"/>
  <c r="AQ15" i="31" s="1"/>
  <c r="AC16" i="27"/>
  <c r="AQ16" i="27" s="1"/>
  <c r="AC16" i="31"/>
  <c r="AQ16" i="31" s="1"/>
  <c r="AC19" i="27"/>
  <c r="AQ19" i="27" s="1"/>
  <c r="AC19" i="31"/>
  <c r="AQ19" i="31" s="1"/>
  <c r="AC20" i="27"/>
  <c r="AQ20" i="27" s="1"/>
  <c r="AC20" i="31"/>
  <c r="AQ20" i="31" s="1"/>
  <c r="AC22" i="27"/>
  <c r="AQ22" i="27" s="1"/>
  <c r="AC22" i="31"/>
  <c r="AQ22" i="31" s="1"/>
  <c r="AC23" i="27"/>
  <c r="AQ23" i="27" s="1"/>
  <c r="AC23" i="31"/>
  <c r="AQ23" i="31" s="1"/>
  <c r="AC24" i="27"/>
  <c r="AQ24" i="27" s="1"/>
  <c r="AC24" i="31"/>
  <c r="AQ24" i="31" s="1"/>
  <c r="AC26" i="27"/>
  <c r="AQ26" i="27" s="1"/>
  <c r="AC26" i="31"/>
  <c r="AQ26" i="31" s="1"/>
  <c r="AQ27" i="31"/>
  <c r="AC28" i="27"/>
  <c r="AQ28" i="27" s="1"/>
  <c r="AC28" i="31"/>
  <c r="AQ28" i="31" s="1"/>
  <c r="AC30" i="27"/>
  <c r="AQ30" i="27" s="1"/>
  <c r="AC30" i="31"/>
  <c r="AQ30" i="31" s="1"/>
  <c r="AC31" i="27"/>
  <c r="AQ31" i="27" s="1"/>
  <c r="AC31" i="31"/>
  <c r="AQ31" i="31" s="1"/>
  <c r="AC32" i="27"/>
  <c r="AQ32" i="27" s="1"/>
  <c r="AC32" i="31"/>
  <c r="AQ32" i="31" s="1"/>
  <c r="AQ34" i="31"/>
  <c r="AC35" i="27"/>
  <c r="AQ35" i="27" s="1"/>
  <c r="AC35" i="31"/>
  <c r="AQ35" i="31" s="1"/>
  <c r="AC36" i="27"/>
  <c r="AQ36" i="27" s="1"/>
  <c r="AC36" i="31"/>
  <c r="AQ36" i="31" s="1"/>
  <c r="AC38" i="27"/>
  <c r="AQ38" i="27" s="1"/>
  <c r="AC38" i="31"/>
  <c r="AQ38" i="31" s="1"/>
  <c r="AC39" i="27"/>
  <c r="AQ39" i="27" s="1"/>
  <c r="AC39" i="31"/>
  <c r="AQ39" i="31" s="1"/>
  <c r="AC40" i="27"/>
  <c r="AQ40" i="27" s="1"/>
  <c r="AC40" i="31"/>
  <c r="AQ40" i="31" s="1"/>
  <c r="AC42" i="27"/>
  <c r="AQ42" i="27" s="1"/>
  <c r="AC42" i="31"/>
  <c r="AQ42" i="31" s="1"/>
  <c r="AC43" i="27"/>
  <c r="AC43" i="31"/>
  <c r="AC44" i="27"/>
  <c r="AQ44" i="27" s="1"/>
  <c r="AC44" i="31"/>
  <c r="AQ44" i="31" s="1"/>
  <c r="AD46" i="27"/>
  <c r="AD46" i="31"/>
  <c r="AH48" i="27"/>
  <c r="AM48" i="27" s="1"/>
  <c r="AH48" i="31"/>
  <c r="Z50" i="27"/>
  <c r="AN50" i="27" s="1"/>
  <c r="Z50" i="31"/>
  <c r="AN50" i="31" s="1"/>
  <c r="AA51" i="27"/>
  <c r="AO51" i="27" s="1"/>
  <c r="AA51" i="31"/>
  <c r="AB52" i="27"/>
  <c r="AP52" i="27" s="1"/>
  <c r="AB52" i="31"/>
  <c r="AP52" i="31" s="1"/>
  <c r="AD54" i="27"/>
  <c r="AR54" i="27" s="1"/>
  <c r="AD54" i="31"/>
  <c r="AH56" i="27"/>
  <c r="AH56" i="31"/>
  <c r="Z58" i="27"/>
  <c r="AN58" i="27" s="1"/>
  <c r="Z58" i="31"/>
  <c r="AN58" i="31" s="1"/>
  <c r="AA59" i="27"/>
  <c r="AO59" i="27" s="1"/>
  <c r="AA59" i="31"/>
  <c r="AO59" i="31" s="1"/>
  <c r="AB60" i="27"/>
  <c r="AP60" i="27" s="1"/>
  <c r="AB60" i="31"/>
  <c r="AP60" i="31" s="1"/>
  <c r="AD62" i="27"/>
  <c r="AD62" i="31"/>
  <c r="AH64" i="27"/>
  <c r="AM64" i="27" s="1"/>
  <c r="AH64" i="31"/>
  <c r="Z66" i="27"/>
  <c r="AN66" i="27" s="1"/>
  <c r="Z66" i="31"/>
  <c r="AN66" i="31" s="1"/>
  <c r="AA67" i="27"/>
  <c r="AO67" i="27" s="1"/>
  <c r="AA67" i="31"/>
  <c r="AB68" i="27"/>
  <c r="AP68" i="27" s="1"/>
  <c r="AB68" i="31"/>
  <c r="AP68" i="31" s="1"/>
  <c r="AD70" i="27"/>
  <c r="AR70" i="27" s="1"/>
  <c r="AD70" i="31"/>
  <c r="AH72" i="27"/>
  <c r="AH72" i="31"/>
  <c r="Z74" i="27"/>
  <c r="AN74" i="27" s="1"/>
  <c r="Z74" i="31"/>
  <c r="AN74" i="31" s="1"/>
  <c r="AA75" i="27"/>
  <c r="AO75" i="27" s="1"/>
  <c r="AA75" i="31"/>
  <c r="AO75" i="31" s="1"/>
  <c r="AB76" i="27"/>
  <c r="AP76" i="27" s="1"/>
  <c r="AB76" i="31"/>
  <c r="AP76" i="31" s="1"/>
  <c r="AD78" i="27"/>
  <c r="AD78" i="31"/>
  <c r="AH80" i="27"/>
  <c r="BA80" i="27" s="1"/>
  <c r="AH80" i="31"/>
  <c r="Z82" i="27"/>
  <c r="AN82" i="27" s="1"/>
  <c r="Z82" i="31"/>
  <c r="AN82" i="31" s="1"/>
  <c r="AA83" i="27"/>
  <c r="AO83" i="27" s="1"/>
  <c r="AA83" i="31"/>
  <c r="AO83" i="31" s="1"/>
  <c r="AB84" i="27"/>
  <c r="AP84" i="27" s="1"/>
  <c r="AB84" i="31"/>
  <c r="AP84" i="31" s="1"/>
  <c r="AD86" i="27"/>
  <c r="AR86" i="27" s="1"/>
  <c r="AD86" i="31"/>
  <c r="AH88" i="27"/>
  <c r="AV88" i="27" s="1"/>
  <c r="AH88" i="31"/>
  <c r="Z90" i="27"/>
  <c r="AN90" i="27" s="1"/>
  <c r="Z90" i="31"/>
  <c r="AN90" i="31" s="1"/>
  <c r="AA91" i="27"/>
  <c r="AO91" i="27" s="1"/>
  <c r="AA91" i="31"/>
  <c r="AO91" i="31" s="1"/>
  <c r="AB92" i="27"/>
  <c r="AP92" i="27" s="1"/>
  <c r="AB92" i="31"/>
  <c r="AP92" i="31" s="1"/>
  <c r="AD94" i="27"/>
  <c r="AD94" i="31"/>
  <c r="AH96" i="27"/>
  <c r="BA96" i="27" s="1"/>
  <c r="AH96" i="31"/>
  <c r="Z98" i="27"/>
  <c r="AN98" i="27" s="1"/>
  <c r="Z98" i="31"/>
  <c r="AN98" i="31" s="1"/>
  <c r="AA99" i="27"/>
  <c r="AO99" i="27" s="1"/>
  <c r="AA99" i="31"/>
  <c r="AO99" i="31" s="1"/>
  <c r="AB100" i="27"/>
  <c r="AP100" i="27" s="1"/>
  <c r="AB100" i="31"/>
  <c r="AP100" i="31" s="1"/>
  <c r="AD102" i="27"/>
  <c r="AR102" i="27" s="1"/>
  <c r="AD102" i="31"/>
  <c r="AH104" i="27"/>
  <c r="AH104" i="31"/>
  <c r="Z106" i="27"/>
  <c r="AN106" i="27" s="1"/>
  <c r="Z106" i="31"/>
  <c r="AN106" i="31" s="1"/>
  <c r="AA107" i="27"/>
  <c r="AO107" i="27" s="1"/>
  <c r="AA107" i="31"/>
  <c r="AO107" i="31" s="1"/>
  <c r="AB108" i="27"/>
  <c r="AP108" i="27" s="1"/>
  <c r="AB108" i="31"/>
  <c r="AP108" i="31" s="1"/>
  <c r="AD110" i="27"/>
  <c r="AD110" i="31"/>
  <c r="AH112" i="27"/>
  <c r="AM112" i="27" s="1"/>
  <c r="AH112" i="31"/>
  <c r="Z114" i="27"/>
  <c r="AN114" i="27" s="1"/>
  <c r="Z114" i="31"/>
  <c r="AN114" i="31" s="1"/>
  <c r="AA115" i="27"/>
  <c r="AO115" i="27" s="1"/>
  <c r="AA115" i="31"/>
  <c r="AO115" i="31" s="1"/>
  <c r="AB116" i="27"/>
  <c r="AP116" i="27" s="1"/>
  <c r="AB116" i="31"/>
  <c r="AP116" i="31" s="1"/>
  <c r="AD118" i="27"/>
  <c r="AD118" i="31"/>
  <c r="AG119" i="27"/>
  <c r="AG119" i="31"/>
  <c r="AH120" i="27"/>
  <c r="BA120" i="27" s="1"/>
  <c r="AH120" i="31"/>
  <c r="Z122" i="27"/>
  <c r="AN122" i="27" s="1"/>
  <c r="Z122" i="31"/>
  <c r="AN122" i="31" s="1"/>
  <c r="AA123" i="27"/>
  <c r="AO123" i="27" s="1"/>
  <c r="AA123" i="31"/>
  <c r="AO123" i="31" s="1"/>
  <c r="AB124" i="27"/>
  <c r="AP124" i="27" s="1"/>
  <c r="AB124" i="31"/>
  <c r="AP124" i="31" s="1"/>
  <c r="AC125" i="27"/>
  <c r="AQ125" i="27" s="1"/>
  <c r="AC125" i="31"/>
  <c r="AQ125" i="31" s="1"/>
  <c r="AD126" i="27"/>
  <c r="AD126" i="31"/>
  <c r="AG127" i="27"/>
  <c r="AG127" i="31"/>
  <c r="AH128" i="27"/>
  <c r="BA128" i="27" s="1"/>
  <c r="AH128" i="31"/>
  <c r="Z130" i="27"/>
  <c r="AN130" i="27" s="1"/>
  <c r="Z130" i="31"/>
  <c r="AN130" i="31" s="1"/>
  <c r="AA131" i="27"/>
  <c r="AO131" i="27" s="1"/>
  <c r="AA131" i="31"/>
  <c r="AO131" i="31" s="1"/>
  <c r="AB132" i="27"/>
  <c r="AP132" i="27" s="1"/>
  <c r="AB132" i="31"/>
  <c r="AP132" i="31" s="1"/>
  <c r="AR9" i="31"/>
  <c r="AD15" i="27"/>
  <c r="AD15" i="31"/>
  <c r="AR28" i="31"/>
  <c r="AR36" i="31"/>
  <c r="AD39" i="27"/>
  <c r="AD39" i="31"/>
  <c r="AD42" i="27"/>
  <c r="AD42" i="31"/>
  <c r="AD45" i="27"/>
  <c r="AD45" i="31"/>
  <c r="AA50" i="27"/>
  <c r="AO50" i="27" s="1"/>
  <c r="AA50" i="31"/>
  <c r="AO50" i="31" s="1"/>
  <c r="AH55" i="27"/>
  <c r="AH55" i="31"/>
  <c r="AC60" i="27"/>
  <c r="AQ60" i="27" s="1"/>
  <c r="AC60" i="31"/>
  <c r="AQ60" i="31" s="1"/>
  <c r="AA66" i="27"/>
  <c r="AO66" i="27" s="1"/>
  <c r="AA66" i="31"/>
  <c r="AO66" i="31" s="1"/>
  <c r="AH79" i="27"/>
  <c r="AH79" i="31"/>
  <c r="AC116" i="27"/>
  <c r="AQ116" i="27" s="1"/>
  <c r="AC116" i="31"/>
  <c r="AQ116" i="31" s="1"/>
  <c r="AR10" i="31"/>
  <c r="AD14" i="27"/>
  <c r="AD14" i="31"/>
  <c r="AD21" i="27"/>
  <c r="AR21" i="27" s="1"/>
  <c r="AD21" i="31"/>
  <c r="AR27" i="31"/>
  <c r="AD29" i="27"/>
  <c r="AD29" i="31"/>
  <c r="AD30" i="27"/>
  <c r="AD30" i="31"/>
  <c r="AD33" i="27"/>
  <c r="AD33" i="31"/>
  <c r="AD37" i="27"/>
  <c r="AR37" i="27" s="1"/>
  <c r="AD37" i="31"/>
  <c r="AD41" i="27"/>
  <c r="AD41" i="31"/>
  <c r="AD44" i="27"/>
  <c r="AD44" i="31"/>
  <c r="Z49" i="27"/>
  <c r="AN49" i="27" s="1"/>
  <c r="Z49" i="31"/>
  <c r="AN49" i="31" s="1"/>
  <c r="AD53" i="27"/>
  <c r="AR53" i="27" s="1"/>
  <c r="AD53" i="31"/>
  <c r="AA58" i="27"/>
  <c r="AO58" i="27" s="1"/>
  <c r="AA58" i="31"/>
  <c r="AO58" i="31" s="1"/>
  <c r="AD61" i="27"/>
  <c r="AD61" i="31"/>
  <c r="Z65" i="27"/>
  <c r="AN65" i="27" s="1"/>
  <c r="Z65" i="31"/>
  <c r="AN65" i="31" s="1"/>
  <c r="AD69" i="27"/>
  <c r="AD69" i="31"/>
  <c r="Z73" i="27"/>
  <c r="AN73" i="27" s="1"/>
  <c r="Z73" i="31"/>
  <c r="AN73" i="31" s="1"/>
  <c r="AD77" i="27"/>
  <c r="AD77" i="31"/>
  <c r="AB83" i="27"/>
  <c r="AP83" i="27" s="1"/>
  <c r="AB83" i="31"/>
  <c r="AP83" i="31" s="1"/>
  <c r="AD85" i="27"/>
  <c r="AR85" i="27" s="1"/>
  <c r="AD85" i="31"/>
  <c r="AH87" i="27"/>
  <c r="AH87" i="31"/>
  <c r="AA90" i="27"/>
  <c r="AO90" i="27" s="1"/>
  <c r="AA90" i="31"/>
  <c r="AO90" i="31" s="1"/>
  <c r="AD93" i="27"/>
  <c r="AD93" i="31"/>
  <c r="Z97" i="27"/>
  <c r="AN97" i="27" s="1"/>
  <c r="Z97" i="31"/>
  <c r="AN97" i="31" s="1"/>
  <c r="AB99" i="27"/>
  <c r="AP99" i="27" s="1"/>
  <c r="AB99" i="31"/>
  <c r="AP99" i="31" s="1"/>
  <c r="AD101" i="27"/>
  <c r="AD101" i="31"/>
  <c r="AA106" i="27"/>
  <c r="AO106" i="27" s="1"/>
  <c r="AA106" i="31"/>
  <c r="AO106" i="31" s="1"/>
  <c r="AC108" i="27"/>
  <c r="AQ108" i="27" s="1"/>
  <c r="AC108" i="31"/>
  <c r="AQ108" i="31" s="1"/>
  <c r="AH111" i="27"/>
  <c r="AH111" i="31"/>
  <c r="AA114" i="27"/>
  <c r="AO114" i="27" s="1"/>
  <c r="AA114" i="31"/>
  <c r="AO114" i="31" s="1"/>
  <c r="AD117" i="27"/>
  <c r="AD117" i="31"/>
  <c r="Z121" i="27"/>
  <c r="AN121" i="27" s="1"/>
  <c r="Z121" i="31"/>
  <c r="AN121" i="31" s="1"/>
  <c r="AD125" i="27"/>
  <c r="AD125" i="31"/>
  <c r="Z129" i="27"/>
  <c r="AN129" i="27" s="1"/>
  <c r="Z129" i="31"/>
  <c r="AN129" i="31" s="1"/>
  <c r="AU23" i="31"/>
  <c r="AG27" i="27"/>
  <c r="AU27" i="27" s="1"/>
  <c r="AG27" i="31"/>
  <c r="AG140" i="31"/>
  <c r="AU43" i="31"/>
  <c r="AH46" i="27"/>
  <c r="AM46" i="27" s="1"/>
  <c r="AH46" i="31"/>
  <c r="Z48" i="27"/>
  <c r="AN48" i="27" s="1"/>
  <c r="Z48" i="31"/>
  <c r="AN48" i="31" s="1"/>
  <c r="AA49" i="27"/>
  <c r="AO49" i="27" s="1"/>
  <c r="AA49" i="31"/>
  <c r="AO49" i="31" s="1"/>
  <c r="AC51" i="27"/>
  <c r="AC51" i="31"/>
  <c r="AD52" i="27"/>
  <c r="AR52" i="27" s="1"/>
  <c r="AD52" i="31"/>
  <c r="AH54" i="27"/>
  <c r="BA54" i="27" s="1"/>
  <c r="AH54" i="31"/>
  <c r="Z56" i="27"/>
  <c r="AN56" i="27" s="1"/>
  <c r="Z56" i="31"/>
  <c r="AN56" i="31" s="1"/>
  <c r="AA57" i="27"/>
  <c r="AO57" i="27" s="1"/>
  <c r="AA57" i="31"/>
  <c r="AO57" i="31" s="1"/>
  <c r="AC59" i="27"/>
  <c r="AQ59" i="27" s="1"/>
  <c r="AC59" i="31"/>
  <c r="AQ59" i="31" s="1"/>
  <c r="AD60" i="27"/>
  <c r="AR60" i="27" s="1"/>
  <c r="AD60" i="31"/>
  <c r="AH62" i="27"/>
  <c r="AM62" i="27" s="1"/>
  <c r="AH62" i="31"/>
  <c r="Z64" i="27"/>
  <c r="AN64" i="27" s="1"/>
  <c r="Z64" i="31"/>
  <c r="AN64" i="31" s="1"/>
  <c r="AA65" i="27"/>
  <c r="AO65" i="27" s="1"/>
  <c r="AA65" i="31"/>
  <c r="AO65" i="31" s="1"/>
  <c r="AC67" i="27"/>
  <c r="AQ67" i="27" s="1"/>
  <c r="AC67" i="31"/>
  <c r="AD68" i="27"/>
  <c r="AR68" i="27" s="1"/>
  <c r="AD68" i="31"/>
  <c r="AH70" i="27"/>
  <c r="AH70" i="31"/>
  <c r="Z72" i="27"/>
  <c r="AN72" i="27" s="1"/>
  <c r="Z72" i="31"/>
  <c r="AN72" i="31" s="1"/>
  <c r="AA73" i="27"/>
  <c r="AO73" i="27" s="1"/>
  <c r="AA73" i="31"/>
  <c r="AO73" i="31" s="1"/>
  <c r="AC75" i="27"/>
  <c r="AQ75" i="27" s="1"/>
  <c r="AC75" i="31"/>
  <c r="AQ75" i="31" s="1"/>
  <c r="AD76" i="27"/>
  <c r="AD76" i="31"/>
  <c r="AH78" i="27"/>
  <c r="AV78" i="27" s="1"/>
  <c r="AH78" i="31"/>
  <c r="Z80" i="27"/>
  <c r="AN80" i="27" s="1"/>
  <c r="Z80" i="31"/>
  <c r="AN80" i="31" s="1"/>
  <c r="AA81" i="27"/>
  <c r="AO81" i="27" s="1"/>
  <c r="AA81" i="31"/>
  <c r="AO81" i="31" s="1"/>
  <c r="AC83" i="27"/>
  <c r="AQ83" i="27" s="1"/>
  <c r="AC83" i="31"/>
  <c r="AQ83" i="31" s="1"/>
  <c r="AD84" i="27"/>
  <c r="AR84" i="27" s="1"/>
  <c r="AD84" i="31"/>
  <c r="AH86" i="27"/>
  <c r="AH86" i="31"/>
  <c r="Z88" i="27"/>
  <c r="AN88" i="27" s="1"/>
  <c r="Z88" i="31"/>
  <c r="AN88" i="31" s="1"/>
  <c r="AA89" i="27"/>
  <c r="AO89" i="27" s="1"/>
  <c r="AA89" i="31"/>
  <c r="AO89" i="31" s="1"/>
  <c r="AC91" i="27"/>
  <c r="AQ91" i="27" s="1"/>
  <c r="AC91" i="31"/>
  <c r="AQ91" i="31" s="1"/>
  <c r="AD92" i="27"/>
  <c r="AD92" i="31"/>
  <c r="AH94" i="27"/>
  <c r="AM94" i="27" s="1"/>
  <c r="AH94" i="31"/>
  <c r="Z96" i="27"/>
  <c r="Z96" i="31"/>
  <c r="AA97" i="27"/>
  <c r="AO97" i="27" s="1"/>
  <c r="AA97" i="31"/>
  <c r="AO97" i="31" s="1"/>
  <c r="AC99" i="27"/>
  <c r="AQ99" i="27" s="1"/>
  <c r="AC99" i="31"/>
  <c r="AQ99" i="31" s="1"/>
  <c r="AD100" i="27"/>
  <c r="AR100" i="27" s="1"/>
  <c r="AD100" i="31"/>
  <c r="AH102" i="27"/>
  <c r="AH102" i="31"/>
  <c r="Z104" i="27"/>
  <c r="AN104" i="27" s="1"/>
  <c r="Z104" i="31"/>
  <c r="AN104" i="31" s="1"/>
  <c r="AA105" i="27"/>
  <c r="AO105" i="27" s="1"/>
  <c r="AA105" i="31"/>
  <c r="AO105" i="31" s="1"/>
  <c r="AC107" i="27"/>
  <c r="AQ107" i="27" s="1"/>
  <c r="AC107" i="31"/>
  <c r="AQ107" i="31" s="1"/>
  <c r="AD108" i="27"/>
  <c r="AD108" i="31"/>
  <c r="AH110" i="27"/>
  <c r="AM110" i="27" s="1"/>
  <c r="AH110" i="31"/>
  <c r="Z112" i="27"/>
  <c r="AN112" i="27" s="1"/>
  <c r="Z112" i="31"/>
  <c r="AN112" i="31" s="1"/>
  <c r="AA113" i="27"/>
  <c r="AO113" i="27" s="1"/>
  <c r="AA113" i="31"/>
  <c r="AO113" i="31" s="1"/>
  <c r="AC115" i="27"/>
  <c r="AQ115" i="27" s="1"/>
  <c r="AC115" i="31"/>
  <c r="AQ115" i="31" s="1"/>
  <c r="AD116" i="27"/>
  <c r="AR116" i="27" s="1"/>
  <c r="AD116" i="31"/>
  <c r="AH118" i="27"/>
  <c r="BA118" i="27" s="1"/>
  <c r="AH118" i="31"/>
  <c r="Z120" i="27"/>
  <c r="AN120" i="27" s="1"/>
  <c r="Z120" i="31"/>
  <c r="AN120" i="31" s="1"/>
  <c r="AA121" i="27"/>
  <c r="AO121" i="27" s="1"/>
  <c r="AA121" i="31"/>
  <c r="AO121" i="31" s="1"/>
  <c r="AC123" i="27"/>
  <c r="AQ123" i="27" s="1"/>
  <c r="AC123" i="31"/>
  <c r="AQ123" i="31" s="1"/>
  <c r="AD124" i="27"/>
  <c r="AD124" i="31"/>
  <c r="AH126" i="27"/>
  <c r="AM126" i="27" s="1"/>
  <c r="AH126" i="31"/>
  <c r="Z128" i="27"/>
  <c r="AN128" i="27" s="1"/>
  <c r="Z128" i="31"/>
  <c r="AN128" i="31" s="1"/>
  <c r="AA129" i="27"/>
  <c r="AO129" i="27" s="1"/>
  <c r="AA129" i="31"/>
  <c r="AO129" i="31" s="1"/>
  <c r="AB130" i="27"/>
  <c r="AP130" i="27" s="1"/>
  <c r="AB130" i="31"/>
  <c r="AP130" i="31" s="1"/>
  <c r="AC131" i="27"/>
  <c r="AQ131" i="27" s="1"/>
  <c r="AC131" i="31"/>
  <c r="AQ131" i="31" s="1"/>
  <c r="AD132" i="27"/>
  <c r="AD132" i="31"/>
  <c r="AD7" i="27"/>
  <c r="AD136" i="27" s="1"/>
  <c r="AD7" i="31"/>
  <c r="AR12" i="31"/>
  <c r="AD17" i="27"/>
  <c r="AD17" i="31"/>
  <c r="AD19" i="27"/>
  <c r="AD19" i="31"/>
  <c r="AD22" i="27"/>
  <c r="AD22" i="31"/>
  <c r="AD26" i="27"/>
  <c r="AD26" i="31"/>
  <c r="AD35" i="27"/>
  <c r="AD35" i="31"/>
  <c r="AA74" i="27"/>
  <c r="AO74" i="27" s="1"/>
  <c r="AA74" i="31"/>
  <c r="AO74" i="31" s="1"/>
  <c r="AC76" i="27"/>
  <c r="AQ76" i="27" s="1"/>
  <c r="AC76" i="31"/>
  <c r="AQ76" i="31" s="1"/>
  <c r="AA82" i="27"/>
  <c r="AO82" i="27" s="1"/>
  <c r="AA82" i="31"/>
  <c r="AO82" i="31" s="1"/>
  <c r="AC84" i="27"/>
  <c r="AQ84" i="27" s="1"/>
  <c r="AC84" i="31"/>
  <c r="AQ84" i="31" s="1"/>
  <c r="AB91" i="27"/>
  <c r="AP91" i="27" s="1"/>
  <c r="AB91" i="31"/>
  <c r="AP91" i="31" s="1"/>
  <c r="AG110" i="27"/>
  <c r="AG110" i="31"/>
  <c r="AC132" i="27"/>
  <c r="AQ132" i="27" s="1"/>
  <c r="AC132" i="31"/>
  <c r="AQ132" i="31" s="1"/>
  <c r="AG136" i="31"/>
  <c r="AU7" i="31"/>
  <c r="AG34" i="27"/>
  <c r="AG34" i="31"/>
  <c r="AH136" i="31"/>
  <c r="AM7" i="31"/>
  <c r="BA7" i="31"/>
  <c r="AV7" i="31"/>
  <c r="AM8" i="31"/>
  <c r="AV8" i="31"/>
  <c r="BA8" i="31"/>
  <c r="AH9" i="27"/>
  <c r="AH9" i="31"/>
  <c r="AH10" i="27"/>
  <c r="AM10" i="27" s="1"/>
  <c r="AH10" i="31"/>
  <c r="AH11" i="27"/>
  <c r="AM11" i="27" s="1"/>
  <c r="AH11" i="31"/>
  <c r="AH12" i="27"/>
  <c r="AM12" i="27" s="1"/>
  <c r="AH12" i="31"/>
  <c r="AH13" i="27"/>
  <c r="AM13" i="27" s="1"/>
  <c r="AH13" i="31"/>
  <c r="AH14" i="27"/>
  <c r="AV14" i="27" s="1"/>
  <c r="AH14" i="31"/>
  <c r="AH15" i="27"/>
  <c r="AM15" i="27" s="1"/>
  <c r="AH15" i="31"/>
  <c r="AH16" i="27"/>
  <c r="AM16" i="27" s="1"/>
  <c r="AH16" i="31"/>
  <c r="AH17" i="27"/>
  <c r="AH17" i="31"/>
  <c r="AH18" i="27"/>
  <c r="AM18" i="27" s="1"/>
  <c r="AH18" i="31"/>
  <c r="AH19" i="27"/>
  <c r="BA19" i="27" s="1"/>
  <c r="AH19" i="31"/>
  <c r="AH20" i="27"/>
  <c r="BA20" i="27" s="1"/>
  <c r="AH20" i="31"/>
  <c r="AH21" i="27"/>
  <c r="BA21" i="27" s="1"/>
  <c r="AH21" i="31"/>
  <c r="AH22" i="27"/>
  <c r="AM22" i="27" s="1"/>
  <c r="AH22" i="31"/>
  <c r="AH23" i="27"/>
  <c r="AV23" i="27" s="1"/>
  <c r="AH23" i="31"/>
  <c r="AH24" i="27"/>
  <c r="BA24" i="27" s="1"/>
  <c r="AH24" i="31"/>
  <c r="AH25" i="27"/>
  <c r="BA25" i="27" s="1"/>
  <c r="AH25" i="31"/>
  <c r="AH26" i="27"/>
  <c r="AV26" i="27" s="1"/>
  <c r="AH26" i="31"/>
  <c r="AH27" i="27"/>
  <c r="AM27" i="27" s="1"/>
  <c r="AH27" i="31"/>
  <c r="AH28" i="27"/>
  <c r="AM28" i="27" s="1"/>
  <c r="AH28" i="31"/>
  <c r="AH29" i="27"/>
  <c r="AM29" i="27" s="1"/>
  <c r="AH29" i="31"/>
  <c r="AH30" i="27"/>
  <c r="BA30" i="27" s="1"/>
  <c r="AH30" i="31"/>
  <c r="AH31" i="27"/>
  <c r="BA31" i="27" s="1"/>
  <c r="AH31" i="31"/>
  <c r="AH32" i="27"/>
  <c r="AM32" i="27" s="1"/>
  <c r="AH32" i="31"/>
  <c r="AH33" i="27"/>
  <c r="AV33" i="27" s="1"/>
  <c r="AH33" i="31"/>
  <c r="AM34" i="31"/>
  <c r="BA34" i="31"/>
  <c r="AV34" i="31"/>
  <c r="AM35" i="31"/>
  <c r="AV35" i="31"/>
  <c r="BA35" i="31"/>
  <c r="AH36" i="27"/>
  <c r="AH36" i="31"/>
  <c r="AH37" i="27"/>
  <c r="AM37" i="27" s="1"/>
  <c r="AH37" i="31"/>
  <c r="AM38" i="31"/>
  <c r="BA38" i="31"/>
  <c r="AV38" i="31"/>
  <c r="AH39" i="27"/>
  <c r="BA39" i="27" s="1"/>
  <c r="AH39" i="31"/>
  <c r="AH40" i="27"/>
  <c r="AM40" i="27" s="1"/>
  <c r="AH40" i="31"/>
  <c r="AH41" i="27"/>
  <c r="AV41" i="27" s="1"/>
  <c r="AH41" i="31"/>
  <c r="AH42" i="27"/>
  <c r="AH42" i="31"/>
  <c r="AH43" i="27"/>
  <c r="AH43" i="31"/>
  <c r="AH44" i="27"/>
  <c r="BA44" i="27" s="1"/>
  <c r="AH44" i="31"/>
  <c r="AH45" i="27"/>
  <c r="AH45" i="31"/>
  <c r="Z47" i="27"/>
  <c r="AN47" i="27" s="1"/>
  <c r="Z47" i="31"/>
  <c r="AN47" i="31" s="1"/>
  <c r="AA48" i="27"/>
  <c r="AO48" i="27" s="1"/>
  <c r="AA48" i="31"/>
  <c r="AO48" i="31" s="1"/>
  <c r="AB49" i="27"/>
  <c r="AP49" i="27" s="1"/>
  <c r="AB49" i="31"/>
  <c r="AP49" i="31" s="1"/>
  <c r="AC50" i="27"/>
  <c r="AQ50" i="27" s="1"/>
  <c r="AC50" i="31"/>
  <c r="AQ50" i="31" s="1"/>
  <c r="AD51" i="27"/>
  <c r="AR51" i="27" s="1"/>
  <c r="AD51" i="31"/>
  <c r="AH53" i="27"/>
  <c r="AV53" i="27" s="1"/>
  <c r="AH53" i="31"/>
  <c r="Z55" i="27"/>
  <c r="AN55" i="27" s="1"/>
  <c r="Z55" i="31"/>
  <c r="AN55" i="31" s="1"/>
  <c r="AA56" i="27"/>
  <c r="AO56" i="27" s="1"/>
  <c r="AA56" i="31"/>
  <c r="AO56" i="31" s="1"/>
  <c r="AB57" i="27"/>
  <c r="AP57" i="27" s="1"/>
  <c r="AB57" i="31"/>
  <c r="AP57" i="31" s="1"/>
  <c r="AC58" i="27"/>
  <c r="AQ58" i="27" s="1"/>
  <c r="AC58" i="31"/>
  <c r="AQ58" i="31" s="1"/>
  <c r="AD59" i="27"/>
  <c r="AD59" i="31"/>
  <c r="AH61" i="27"/>
  <c r="AM61" i="27" s="1"/>
  <c r="AH61" i="31"/>
  <c r="Z63" i="27"/>
  <c r="AN63" i="27" s="1"/>
  <c r="Z63" i="31"/>
  <c r="AN63" i="31" s="1"/>
  <c r="AA64" i="27"/>
  <c r="AO64" i="27" s="1"/>
  <c r="AA64" i="31"/>
  <c r="AO64" i="31" s="1"/>
  <c r="AB65" i="27"/>
  <c r="AP65" i="27" s="1"/>
  <c r="AB65" i="31"/>
  <c r="AP65" i="31" s="1"/>
  <c r="AC66" i="27"/>
  <c r="AQ66" i="27" s="1"/>
  <c r="AC66" i="31"/>
  <c r="AQ66" i="31" s="1"/>
  <c r="AD67" i="27"/>
  <c r="AD67" i="31"/>
  <c r="AH69" i="27"/>
  <c r="AH69" i="31"/>
  <c r="Z71" i="27"/>
  <c r="AN71" i="27" s="1"/>
  <c r="Z71" i="31"/>
  <c r="AN71" i="31" s="1"/>
  <c r="AA72" i="27"/>
  <c r="AO72" i="27" s="1"/>
  <c r="AA72" i="31"/>
  <c r="AO72" i="31" s="1"/>
  <c r="AB73" i="27"/>
  <c r="AP73" i="27" s="1"/>
  <c r="AB73" i="31"/>
  <c r="AP73" i="31" s="1"/>
  <c r="AC74" i="27"/>
  <c r="AQ74" i="27" s="1"/>
  <c r="AC74" i="31"/>
  <c r="AQ74" i="31" s="1"/>
  <c r="AD75" i="27"/>
  <c r="AD75" i="31"/>
  <c r="AH77" i="27"/>
  <c r="AH77" i="31"/>
  <c r="Z79" i="27"/>
  <c r="AN79" i="27" s="1"/>
  <c r="Z79" i="31"/>
  <c r="AN79" i="31" s="1"/>
  <c r="AA80" i="27"/>
  <c r="AO80" i="27" s="1"/>
  <c r="AA80" i="31"/>
  <c r="AO80" i="31" s="1"/>
  <c r="AB81" i="27"/>
  <c r="AP81" i="27" s="1"/>
  <c r="AB81" i="31"/>
  <c r="AP81" i="31" s="1"/>
  <c r="AC82" i="27"/>
  <c r="AQ82" i="27" s="1"/>
  <c r="AC82" i="31"/>
  <c r="AQ82" i="31" s="1"/>
  <c r="AD83" i="27"/>
  <c r="AD83" i="31"/>
  <c r="AH85" i="27"/>
  <c r="AH85" i="31"/>
  <c r="Z87" i="27"/>
  <c r="AN87" i="27" s="1"/>
  <c r="Z87" i="31"/>
  <c r="AN87" i="31" s="1"/>
  <c r="AA88" i="27"/>
  <c r="AO88" i="27" s="1"/>
  <c r="AA88" i="31"/>
  <c r="AO88" i="31" s="1"/>
  <c r="AB89" i="27"/>
  <c r="AP89" i="27" s="1"/>
  <c r="AB89" i="31"/>
  <c r="AP89" i="31" s="1"/>
  <c r="AC90" i="27"/>
  <c r="AQ90" i="27" s="1"/>
  <c r="AC90" i="31"/>
  <c r="AQ90" i="31" s="1"/>
  <c r="AD91" i="27"/>
  <c r="AD91" i="31"/>
  <c r="AH93" i="27"/>
  <c r="AH93" i="31"/>
  <c r="Z95" i="27"/>
  <c r="AN95" i="27" s="1"/>
  <c r="Z95" i="31"/>
  <c r="AN95" i="31" s="1"/>
  <c r="AA96" i="27"/>
  <c r="AA96" i="31"/>
  <c r="AB97" i="27"/>
  <c r="AP97" i="27" s="1"/>
  <c r="AB97" i="31"/>
  <c r="AP97" i="31" s="1"/>
  <c r="AC98" i="27"/>
  <c r="AQ98" i="27" s="1"/>
  <c r="AC98" i="31"/>
  <c r="AQ98" i="31" s="1"/>
  <c r="AD99" i="27"/>
  <c r="AD99" i="31"/>
  <c r="AH101" i="27"/>
  <c r="AH101" i="31"/>
  <c r="Z103" i="27"/>
  <c r="AN103" i="27" s="1"/>
  <c r="Z103" i="31"/>
  <c r="AN103" i="31" s="1"/>
  <c r="AA104" i="27"/>
  <c r="AO104" i="27" s="1"/>
  <c r="AA104" i="31"/>
  <c r="AO104" i="31" s="1"/>
  <c r="AB105" i="27"/>
  <c r="AP105" i="27" s="1"/>
  <c r="AB105" i="31"/>
  <c r="AP105" i="31" s="1"/>
  <c r="AC106" i="27"/>
  <c r="AQ106" i="27" s="1"/>
  <c r="AC106" i="31"/>
  <c r="AQ106" i="31" s="1"/>
  <c r="AD107" i="27"/>
  <c r="AD107" i="31"/>
  <c r="AU108" i="31"/>
  <c r="AH109" i="27"/>
  <c r="BA109" i="27" s="1"/>
  <c r="AH109" i="31"/>
  <c r="Z111" i="27"/>
  <c r="AN111" i="27" s="1"/>
  <c r="Z111" i="31"/>
  <c r="AN111" i="31" s="1"/>
  <c r="AA112" i="27"/>
  <c r="AO112" i="27" s="1"/>
  <c r="AA112" i="31"/>
  <c r="AO112" i="31" s="1"/>
  <c r="AB113" i="27"/>
  <c r="AP113" i="27" s="1"/>
  <c r="AB113" i="31"/>
  <c r="AP113" i="31" s="1"/>
  <c r="AC114" i="27"/>
  <c r="AQ114" i="27" s="1"/>
  <c r="AC114" i="31"/>
  <c r="AQ114" i="31" s="1"/>
  <c r="AD115" i="27"/>
  <c r="AR115" i="27" s="1"/>
  <c r="AD115" i="31"/>
  <c r="AH117" i="27"/>
  <c r="AH117" i="31"/>
  <c r="Z119" i="27"/>
  <c r="AN119" i="27" s="1"/>
  <c r="Z119" i="31"/>
  <c r="AA120" i="27"/>
  <c r="AO120" i="27" s="1"/>
  <c r="AA120" i="31"/>
  <c r="AO120" i="31" s="1"/>
  <c r="AB121" i="27"/>
  <c r="AP121" i="27" s="1"/>
  <c r="AB121" i="31"/>
  <c r="AP121" i="31" s="1"/>
  <c r="AC122" i="27"/>
  <c r="AQ122" i="27" s="1"/>
  <c r="AC122" i="31"/>
  <c r="AQ122" i="31" s="1"/>
  <c r="AD123" i="27"/>
  <c r="AR123" i="27" s="1"/>
  <c r="AD123" i="31"/>
  <c r="AH125" i="27"/>
  <c r="AH125" i="31"/>
  <c r="Z127" i="27"/>
  <c r="AN127" i="27" s="1"/>
  <c r="Z127" i="31"/>
  <c r="AB129" i="27"/>
  <c r="AP129" i="27" s="1"/>
  <c r="AB129" i="31"/>
  <c r="AP129" i="31" s="1"/>
  <c r="AC130" i="27"/>
  <c r="AQ130" i="27" s="1"/>
  <c r="AC130" i="31"/>
  <c r="AQ130" i="31" s="1"/>
  <c r="AD131" i="27"/>
  <c r="AR131" i="27" s="1"/>
  <c r="AD131" i="31"/>
  <c r="AN7" i="31"/>
  <c r="D136" i="31"/>
  <c r="D147" i="31" s="1"/>
  <c r="D133" i="31"/>
  <c r="AI137" i="27"/>
  <c r="Z46" i="27"/>
  <c r="AN46" i="27" s="1"/>
  <c r="Z46" i="31"/>
  <c r="AN46" i="31" s="1"/>
  <c r="AB48" i="27"/>
  <c r="AP48" i="27" s="1"/>
  <c r="AB48" i="31"/>
  <c r="AP48" i="31" s="1"/>
  <c r="AC49" i="27"/>
  <c r="AQ49" i="27" s="1"/>
  <c r="AC49" i="31"/>
  <c r="AQ49" i="31" s="1"/>
  <c r="AD50" i="27"/>
  <c r="AD50" i="31"/>
  <c r="AG51" i="27"/>
  <c r="AG51" i="31"/>
  <c r="AH52" i="27"/>
  <c r="AH52" i="31"/>
  <c r="Z54" i="27"/>
  <c r="AN54" i="27" s="1"/>
  <c r="Z54" i="31"/>
  <c r="AN54" i="31" s="1"/>
  <c r="AB56" i="27"/>
  <c r="AP56" i="27" s="1"/>
  <c r="AB56" i="31"/>
  <c r="AP56" i="31" s="1"/>
  <c r="AC57" i="27"/>
  <c r="AQ57" i="27" s="1"/>
  <c r="AC57" i="31"/>
  <c r="AQ57" i="31" s="1"/>
  <c r="AD58" i="27"/>
  <c r="AD58" i="31"/>
  <c r="AH60" i="27"/>
  <c r="AH60" i="31"/>
  <c r="Z62" i="27"/>
  <c r="AN62" i="27" s="1"/>
  <c r="Z62" i="31"/>
  <c r="AN62" i="31" s="1"/>
  <c r="AB64" i="27"/>
  <c r="AP64" i="27" s="1"/>
  <c r="AB64" i="31"/>
  <c r="AP64" i="31" s="1"/>
  <c r="AC65" i="27"/>
  <c r="AQ65" i="27" s="1"/>
  <c r="AC65" i="31"/>
  <c r="AQ65" i="31" s="1"/>
  <c r="AD66" i="27"/>
  <c r="AD66" i="31"/>
  <c r="AG67" i="27"/>
  <c r="AU67" i="27" s="1"/>
  <c r="AG67" i="31"/>
  <c r="AH68" i="27"/>
  <c r="AH68" i="31"/>
  <c r="Z70" i="27"/>
  <c r="AN70" i="27" s="1"/>
  <c r="Z70" i="31"/>
  <c r="AN70" i="31" s="1"/>
  <c r="AB72" i="27"/>
  <c r="AP72" i="27" s="1"/>
  <c r="AB72" i="31"/>
  <c r="AP72" i="31" s="1"/>
  <c r="AC73" i="27"/>
  <c r="AQ73" i="27" s="1"/>
  <c r="AC73" i="31"/>
  <c r="AQ73" i="31" s="1"/>
  <c r="AD74" i="27"/>
  <c r="AD74" i="31"/>
  <c r="AH76" i="27"/>
  <c r="AH76" i="31"/>
  <c r="Z78" i="27"/>
  <c r="AN78" i="27" s="1"/>
  <c r="Z78" i="31"/>
  <c r="AN78" i="31" s="1"/>
  <c r="AB80" i="27"/>
  <c r="AP80" i="27" s="1"/>
  <c r="AB80" i="31"/>
  <c r="AP80" i="31" s="1"/>
  <c r="AC81" i="27"/>
  <c r="AQ81" i="27" s="1"/>
  <c r="AC81" i="31"/>
  <c r="AQ81" i="31" s="1"/>
  <c r="AD82" i="27"/>
  <c r="AD82" i="31"/>
  <c r="AH84" i="27"/>
  <c r="AH84" i="31"/>
  <c r="Z86" i="27"/>
  <c r="AN86" i="27" s="1"/>
  <c r="Z86" i="31"/>
  <c r="AN86" i="31" s="1"/>
  <c r="AB88" i="27"/>
  <c r="AP88" i="27" s="1"/>
  <c r="AB88" i="31"/>
  <c r="AP88" i="31" s="1"/>
  <c r="AC89" i="27"/>
  <c r="AQ89" i="27" s="1"/>
  <c r="AC89" i="31"/>
  <c r="AQ89" i="31" s="1"/>
  <c r="AD90" i="27"/>
  <c r="AD90" i="31"/>
  <c r="AH92" i="27"/>
  <c r="AM92" i="27" s="1"/>
  <c r="AH92" i="31"/>
  <c r="Z94" i="27"/>
  <c r="AN94" i="27" s="1"/>
  <c r="Z94" i="31"/>
  <c r="AN94" i="31" s="1"/>
  <c r="AB96" i="27"/>
  <c r="AB96" i="31"/>
  <c r="AC97" i="27"/>
  <c r="AQ97" i="27" s="1"/>
  <c r="AC97" i="31"/>
  <c r="AQ97" i="31" s="1"/>
  <c r="AD98" i="27"/>
  <c r="AR98" i="27" s="1"/>
  <c r="AD98" i="31"/>
  <c r="AH100" i="27"/>
  <c r="AH100" i="31"/>
  <c r="Z102" i="27"/>
  <c r="AN102" i="27" s="1"/>
  <c r="Z102" i="31"/>
  <c r="AN102" i="31" s="1"/>
  <c r="AB104" i="27"/>
  <c r="AP104" i="27" s="1"/>
  <c r="AB104" i="31"/>
  <c r="AP104" i="31" s="1"/>
  <c r="AC105" i="27"/>
  <c r="AQ105" i="27" s="1"/>
  <c r="AC105" i="31"/>
  <c r="AQ105" i="31" s="1"/>
  <c r="AD106" i="27"/>
  <c r="AD106" i="31"/>
  <c r="AH108" i="27"/>
  <c r="AH108" i="31"/>
  <c r="Z110" i="27"/>
  <c r="Z110" i="31"/>
  <c r="AB112" i="27"/>
  <c r="AP112" i="27" s="1"/>
  <c r="AB112" i="31"/>
  <c r="AP112" i="31" s="1"/>
  <c r="AC113" i="27"/>
  <c r="AQ113" i="27" s="1"/>
  <c r="AC113" i="31"/>
  <c r="AQ113" i="31" s="1"/>
  <c r="AD114" i="27"/>
  <c r="AD114" i="31"/>
  <c r="AH116" i="27"/>
  <c r="AH116" i="31"/>
  <c r="Z118" i="27"/>
  <c r="AN118" i="27" s="1"/>
  <c r="Z118" i="31"/>
  <c r="AN118" i="31" s="1"/>
  <c r="AA119" i="27"/>
  <c r="AA119" i="31"/>
  <c r="AB120" i="27"/>
  <c r="AP120" i="27" s="1"/>
  <c r="AB120" i="31"/>
  <c r="AP120" i="31" s="1"/>
  <c r="AC121" i="27"/>
  <c r="AQ121" i="27" s="1"/>
  <c r="AC121" i="31"/>
  <c r="AQ121" i="31" s="1"/>
  <c r="AD122" i="27"/>
  <c r="AR122" i="27" s="1"/>
  <c r="AD122" i="31"/>
  <c r="AH124" i="27"/>
  <c r="AH124" i="31"/>
  <c r="Z126" i="27"/>
  <c r="AN126" i="27" s="1"/>
  <c r="Z126" i="31"/>
  <c r="AN126" i="31" s="1"/>
  <c r="AA127" i="27"/>
  <c r="AA127" i="31"/>
  <c r="AB128" i="27"/>
  <c r="AP128" i="27" s="1"/>
  <c r="AB128" i="31"/>
  <c r="AP128" i="31" s="1"/>
  <c r="AC129" i="27"/>
  <c r="AQ129" i="27" s="1"/>
  <c r="AC129" i="31"/>
  <c r="AQ129" i="31" s="1"/>
  <c r="AD130" i="27"/>
  <c r="AD130" i="31"/>
  <c r="AH132" i="27"/>
  <c r="AH132" i="31"/>
  <c r="V138" i="30"/>
  <c r="BZ132" i="14"/>
  <c r="CA132" i="14"/>
  <c r="AM21" i="27"/>
  <c r="AM41" i="27"/>
  <c r="BA41" i="27"/>
  <c r="AM45" i="27"/>
  <c r="AV45" i="27"/>
  <c r="BA45" i="27"/>
  <c r="BA61" i="27"/>
  <c r="AV61" i="27"/>
  <c r="AN8" i="27"/>
  <c r="Z9" i="16"/>
  <c r="AN9" i="16" s="1"/>
  <c r="Z9" i="27"/>
  <c r="AN9" i="27" s="1"/>
  <c r="Z10" i="16"/>
  <c r="AN10" i="16" s="1"/>
  <c r="Z10" i="27"/>
  <c r="AN10" i="27" s="1"/>
  <c r="Z11" i="16"/>
  <c r="AN11" i="16" s="1"/>
  <c r="Z11" i="27"/>
  <c r="AN11" i="27" s="1"/>
  <c r="Z12" i="16"/>
  <c r="AN12" i="16" s="1"/>
  <c r="Z12" i="27"/>
  <c r="AN12" i="27" s="1"/>
  <c r="Z13" i="16"/>
  <c r="AN13" i="16" s="1"/>
  <c r="Z13" i="27"/>
  <c r="AN13" i="27" s="1"/>
  <c r="Z16" i="16"/>
  <c r="AN16" i="16" s="1"/>
  <c r="Z16" i="27"/>
  <c r="AN16" i="27" s="1"/>
  <c r="Z17" i="16"/>
  <c r="AN17" i="16" s="1"/>
  <c r="Z17" i="27"/>
  <c r="AN17" i="27" s="1"/>
  <c r="Z20" i="16"/>
  <c r="AN20" i="16" s="1"/>
  <c r="Z20" i="27"/>
  <c r="AN20" i="27" s="1"/>
  <c r="Z24" i="16"/>
  <c r="AN24" i="16" s="1"/>
  <c r="Z24" i="27"/>
  <c r="AN24" i="27" s="1"/>
  <c r="Z138" i="12"/>
  <c r="AK138" i="12" s="1"/>
  <c r="Z27" i="27"/>
  <c r="Z28" i="16"/>
  <c r="AN28" i="16" s="1"/>
  <c r="Z28" i="27"/>
  <c r="AN28" i="27" s="1"/>
  <c r="Z32" i="16"/>
  <c r="AN32" i="16" s="1"/>
  <c r="Z32" i="27"/>
  <c r="AN32" i="27" s="1"/>
  <c r="Z139" i="12"/>
  <c r="AK139" i="12" s="1"/>
  <c r="AK170" i="12" s="1"/>
  <c r="Z34" i="27"/>
  <c r="Z36" i="16"/>
  <c r="AN36" i="16" s="1"/>
  <c r="Z36" i="27"/>
  <c r="AN36" i="27" s="1"/>
  <c r="Z40" i="16"/>
  <c r="AN40" i="16" s="1"/>
  <c r="Z40" i="27"/>
  <c r="AN40" i="27" s="1"/>
  <c r="AN43" i="27"/>
  <c r="Z44" i="16"/>
  <c r="AN44" i="16" s="1"/>
  <c r="Z44" i="27"/>
  <c r="AN44" i="27" s="1"/>
  <c r="AG50" i="16"/>
  <c r="AG50" i="27"/>
  <c r="AU50" i="27" s="1"/>
  <c r="AM51" i="27"/>
  <c r="AV51" i="27"/>
  <c r="BA51" i="27"/>
  <c r="AG58" i="16"/>
  <c r="AU58" i="16" s="1"/>
  <c r="AG58" i="27"/>
  <c r="AU58" i="27" s="1"/>
  <c r="AM59" i="27"/>
  <c r="BA59" i="27"/>
  <c r="AV59" i="27"/>
  <c r="AG66" i="16"/>
  <c r="AG66" i="27"/>
  <c r="AU66" i="27" s="1"/>
  <c r="AM67" i="27"/>
  <c r="BA67" i="27"/>
  <c r="AV67" i="27"/>
  <c r="AG74" i="16"/>
  <c r="AU74" i="16" s="1"/>
  <c r="AG74" i="27"/>
  <c r="AU74" i="27" s="1"/>
  <c r="AM75" i="27"/>
  <c r="BA75" i="27"/>
  <c r="AV75" i="27"/>
  <c r="AG82" i="16"/>
  <c r="AG82" i="27"/>
  <c r="AU82" i="27" s="1"/>
  <c r="BA83" i="12"/>
  <c r="AH83" i="27"/>
  <c r="AR89" i="27"/>
  <c r="AG90" i="16"/>
  <c r="AU90" i="16" s="1"/>
  <c r="AG90" i="27"/>
  <c r="AU90" i="27" s="1"/>
  <c r="BA91" i="12"/>
  <c r="AH91" i="27"/>
  <c r="AR97" i="27"/>
  <c r="AG98" i="16"/>
  <c r="AG98" i="27"/>
  <c r="AU98" i="27" s="1"/>
  <c r="AR105" i="27"/>
  <c r="AG106" i="16"/>
  <c r="AG106" i="27"/>
  <c r="AU106" i="27" s="1"/>
  <c r="AV107" i="27"/>
  <c r="AR113" i="27"/>
  <c r="AG114" i="16"/>
  <c r="AG114" i="27"/>
  <c r="AU114" i="27" s="1"/>
  <c r="AP119" i="27"/>
  <c r="AR121" i="27"/>
  <c r="AG122" i="16"/>
  <c r="AG122" i="27"/>
  <c r="AU122" i="27" s="1"/>
  <c r="AP127" i="27"/>
  <c r="AR129" i="27"/>
  <c r="AG130" i="16"/>
  <c r="AG130" i="27"/>
  <c r="AU130" i="27" s="1"/>
  <c r="AV40" i="27"/>
  <c r="AM44" i="27"/>
  <c r="AV44" i="27"/>
  <c r="AM53" i="27"/>
  <c r="AA136" i="27"/>
  <c r="AO7" i="27"/>
  <c r="AO8" i="27"/>
  <c r="AA9" i="16"/>
  <c r="AO9" i="16" s="1"/>
  <c r="AA9" i="27"/>
  <c r="AO9" i="27" s="1"/>
  <c r="AA10" i="16"/>
  <c r="AO10" i="16" s="1"/>
  <c r="AA10" i="27"/>
  <c r="AO10" i="27" s="1"/>
  <c r="AA11" i="16"/>
  <c r="AO11" i="16" s="1"/>
  <c r="AA11" i="27"/>
  <c r="AO11" i="27" s="1"/>
  <c r="AA12" i="16"/>
  <c r="AO12" i="16" s="1"/>
  <c r="AA12" i="27"/>
  <c r="AO12" i="27" s="1"/>
  <c r="AA14" i="16"/>
  <c r="AO14" i="16" s="1"/>
  <c r="AA14" i="27"/>
  <c r="AO14" i="27" s="1"/>
  <c r="AA15" i="16"/>
  <c r="AO15" i="16" s="1"/>
  <c r="AA15" i="27"/>
  <c r="AO15" i="27" s="1"/>
  <c r="AA16" i="16"/>
  <c r="AO16" i="16" s="1"/>
  <c r="AA16" i="27"/>
  <c r="AO16" i="27" s="1"/>
  <c r="AA19" i="16"/>
  <c r="AO19" i="16" s="1"/>
  <c r="AA19" i="27"/>
  <c r="AO19" i="27" s="1"/>
  <c r="AA23" i="16"/>
  <c r="AO23" i="16" s="1"/>
  <c r="AA23" i="27"/>
  <c r="AO23" i="27" s="1"/>
  <c r="AO27" i="27"/>
  <c r="AA31" i="16"/>
  <c r="AO31" i="16" s="1"/>
  <c r="AA31" i="27"/>
  <c r="AO31" i="27" s="1"/>
  <c r="AA139" i="12"/>
  <c r="AL139" i="12" s="1"/>
  <c r="AL170" i="12" s="1"/>
  <c r="AA34" i="27"/>
  <c r="AA35" i="16"/>
  <c r="AO35" i="16" s="1"/>
  <c r="AA35" i="27"/>
  <c r="AO35" i="27" s="1"/>
  <c r="AA39" i="16"/>
  <c r="AO39" i="16" s="1"/>
  <c r="AA39" i="27"/>
  <c r="AO39" i="27" s="1"/>
  <c r="AO43" i="27"/>
  <c r="AD48" i="16"/>
  <c r="AR48" i="16" s="1"/>
  <c r="AD48" i="27"/>
  <c r="AG49" i="16"/>
  <c r="AG49" i="27"/>
  <c r="AU49" i="27" s="1"/>
  <c r="AM50" i="27"/>
  <c r="BA50" i="27"/>
  <c r="AV50" i="27"/>
  <c r="Z52" i="16"/>
  <c r="AN52" i="16" s="1"/>
  <c r="Z52" i="27"/>
  <c r="AN52" i="27" s="1"/>
  <c r="AD56" i="16"/>
  <c r="AR56" i="16" s="1"/>
  <c r="AD56" i="27"/>
  <c r="AG57" i="16"/>
  <c r="AU57" i="16" s="1"/>
  <c r="AG57" i="27"/>
  <c r="AU57" i="27" s="1"/>
  <c r="AM58" i="27"/>
  <c r="BA58" i="27"/>
  <c r="AV58" i="27"/>
  <c r="Z60" i="16"/>
  <c r="AN60" i="16" s="1"/>
  <c r="Z60" i="27"/>
  <c r="AN60" i="27" s="1"/>
  <c r="AD64" i="16"/>
  <c r="AR64" i="16" s="1"/>
  <c r="AD64" i="27"/>
  <c r="AG65" i="16"/>
  <c r="AG65" i="27"/>
  <c r="AU65" i="27" s="1"/>
  <c r="Z68" i="16"/>
  <c r="AN68" i="16" s="1"/>
  <c r="Z68" i="27"/>
  <c r="AN68" i="27" s="1"/>
  <c r="AD72" i="16"/>
  <c r="AR72" i="16" s="1"/>
  <c r="AD72" i="27"/>
  <c r="AM74" i="27"/>
  <c r="AV74" i="27"/>
  <c r="BA74" i="27"/>
  <c r="Z76" i="16"/>
  <c r="AN76" i="16" s="1"/>
  <c r="Z76" i="27"/>
  <c r="AN76" i="27" s="1"/>
  <c r="AD80" i="16"/>
  <c r="AR80" i="16" s="1"/>
  <c r="AD80" i="27"/>
  <c r="AG81" i="16"/>
  <c r="AU81" i="16" s="1"/>
  <c r="AG81" i="27"/>
  <c r="AU81" i="27" s="1"/>
  <c r="Z84" i="16"/>
  <c r="AN84" i="16" s="1"/>
  <c r="Z84" i="27"/>
  <c r="AN84" i="27" s="1"/>
  <c r="AD88" i="16"/>
  <c r="AR88" i="16" s="1"/>
  <c r="AD88" i="27"/>
  <c r="AG89" i="16"/>
  <c r="AU89" i="16" s="1"/>
  <c r="AG89" i="27"/>
  <c r="AU89" i="27" s="1"/>
  <c r="AM90" i="27"/>
  <c r="BA90" i="27"/>
  <c r="AV90" i="27"/>
  <c r="Z92" i="16"/>
  <c r="AN92" i="16" s="1"/>
  <c r="Z92" i="27"/>
  <c r="AN92" i="27" s="1"/>
  <c r="AR96" i="27"/>
  <c r="AG97" i="16"/>
  <c r="AU97" i="16" s="1"/>
  <c r="AG97" i="27"/>
  <c r="AU97" i="27" s="1"/>
  <c r="AM98" i="27"/>
  <c r="BA98" i="27"/>
  <c r="AV98" i="27"/>
  <c r="Z100" i="16"/>
  <c r="AN100" i="16" s="1"/>
  <c r="Z100" i="27"/>
  <c r="AN100" i="27" s="1"/>
  <c r="AD104" i="16"/>
  <c r="AR104" i="16" s="1"/>
  <c r="AD104" i="27"/>
  <c r="AG105" i="16"/>
  <c r="AG105" i="27"/>
  <c r="AU105" i="27" s="1"/>
  <c r="AM106" i="27"/>
  <c r="Z108" i="16"/>
  <c r="AN108" i="16" s="1"/>
  <c r="Z108" i="27"/>
  <c r="AN108" i="27" s="1"/>
  <c r="AD112" i="16"/>
  <c r="AR112" i="16" s="1"/>
  <c r="AD112" i="27"/>
  <c r="AG113" i="16"/>
  <c r="AU113" i="16" s="1"/>
  <c r="AG113" i="27"/>
  <c r="AU113" i="27" s="1"/>
  <c r="AM114" i="27"/>
  <c r="AV114" i="27"/>
  <c r="BA114" i="27"/>
  <c r="Z116" i="16"/>
  <c r="AN116" i="16" s="1"/>
  <c r="Z116" i="27"/>
  <c r="AN116" i="27" s="1"/>
  <c r="AQ119" i="27"/>
  <c r="AD120" i="16"/>
  <c r="AR120" i="16" s="1"/>
  <c r="AD120" i="27"/>
  <c r="AG121" i="16"/>
  <c r="AG121" i="27"/>
  <c r="AU121" i="27" s="1"/>
  <c r="AM122" i="27"/>
  <c r="BA122" i="27"/>
  <c r="AV122" i="27"/>
  <c r="AQ127" i="27"/>
  <c r="AG129" i="16"/>
  <c r="AU129" i="16" s="1"/>
  <c r="AG129" i="27"/>
  <c r="AU129" i="27" s="1"/>
  <c r="AM130" i="27"/>
  <c r="BA130" i="27"/>
  <c r="AV130" i="27"/>
  <c r="AB22" i="16"/>
  <c r="AP22" i="16" s="1"/>
  <c r="AB22" i="27"/>
  <c r="AP22" i="27" s="1"/>
  <c r="AB26" i="16"/>
  <c r="AP26" i="16" s="1"/>
  <c r="AB26" i="27"/>
  <c r="AP26" i="27" s="1"/>
  <c r="AB138" i="12"/>
  <c r="AM138" i="12" s="1"/>
  <c r="AB27" i="27"/>
  <c r="AB30" i="16"/>
  <c r="AP30" i="16" s="1"/>
  <c r="AB30" i="27"/>
  <c r="AP30" i="27" s="1"/>
  <c r="AB38" i="16"/>
  <c r="AP38" i="16" s="1"/>
  <c r="AB38" i="27"/>
  <c r="AP38" i="27" s="1"/>
  <c r="AB42" i="16"/>
  <c r="AP42" i="16" s="1"/>
  <c r="AB42" i="27"/>
  <c r="AP42" i="27" s="1"/>
  <c r="AP43" i="27"/>
  <c r="AG48" i="16"/>
  <c r="AU48" i="16" s="1"/>
  <c r="AG48" i="27"/>
  <c r="AU48" i="27" s="1"/>
  <c r="AV49" i="27"/>
  <c r="AG56" i="16"/>
  <c r="AG56" i="27"/>
  <c r="AU56" i="27" s="1"/>
  <c r="AM57" i="27"/>
  <c r="BA57" i="27"/>
  <c r="AV57" i="27"/>
  <c r="AG64" i="16"/>
  <c r="AU64" i="16" s="1"/>
  <c r="AG64" i="27"/>
  <c r="AU64" i="27" s="1"/>
  <c r="AG72" i="16"/>
  <c r="AG72" i="27"/>
  <c r="AU72" i="27" s="1"/>
  <c r="AM73" i="27"/>
  <c r="BA73" i="27"/>
  <c r="AV73" i="27"/>
  <c r="AG80" i="16"/>
  <c r="AU80" i="16" s="1"/>
  <c r="AG80" i="27"/>
  <c r="AU80" i="27" s="1"/>
  <c r="AG88" i="16"/>
  <c r="AU88" i="16" s="1"/>
  <c r="AG88" i="27"/>
  <c r="AU88" i="27" s="1"/>
  <c r="AM89" i="27"/>
  <c r="AV89" i="27"/>
  <c r="BA89" i="27"/>
  <c r="AU96" i="27"/>
  <c r="AM97" i="27"/>
  <c r="BA97" i="27"/>
  <c r="AV97" i="27"/>
  <c r="AR103" i="27"/>
  <c r="AG104" i="16"/>
  <c r="AG104" i="27"/>
  <c r="AU104" i="27" s="1"/>
  <c r="AR111" i="27"/>
  <c r="AG112" i="16"/>
  <c r="AU112" i="16" s="1"/>
  <c r="AG112" i="27"/>
  <c r="AU112" i="27" s="1"/>
  <c r="AM113" i="27"/>
  <c r="BA113" i="27"/>
  <c r="AV113" i="27"/>
  <c r="AR119" i="27"/>
  <c r="AG120" i="16"/>
  <c r="AG120" i="27"/>
  <c r="AU120" i="27" s="1"/>
  <c r="AR127" i="27"/>
  <c r="AG128" i="16"/>
  <c r="AU128" i="16" s="1"/>
  <c r="AG128" i="27"/>
  <c r="AU128" i="27" s="1"/>
  <c r="AM129" i="27"/>
  <c r="AV129" i="27"/>
  <c r="BA129" i="27"/>
  <c r="AH136" i="12"/>
  <c r="AS136" i="12" s="1"/>
  <c r="AH7" i="27"/>
  <c r="BA29" i="27"/>
  <c r="AV29" i="27"/>
  <c r="AM39" i="27"/>
  <c r="AV39" i="27"/>
  <c r="AB9" i="16"/>
  <c r="AP9" i="16" s="1"/>
  <c r="AB9" i="27"/>
  <c r="AP9" i="27" s="1"/>
  <c r="AB11" i="16"/>
  <c r="AP11" i="16" s="1"/>
  <c r="AB11" i="27"/>
  <c r="AP11" i="27" s="1"/>
  <c r="AB14" i="16"/>
  <c r="AP14" i="16" s="1"/>
  <c r="AB14" i="27"/>
  <c r="AP14" i="27" s="1"/>
  <c r="AB18" i="16"/>
  <c r="AP18" i="16" s="1"/>
  <c r="AB18" i="27"/>
  <c r="AP18" i="27" s="1"/>
  <c r="AC12" i="16"/>
  <c r="AQ12" i="16" s="1"/>
  <c r="AC12" i="27"/>
  <c r="AQ12" i="27" s="1"/>
  <c r="AC18" i="16"/>
  <c r="AQ18" i="16" s="1"/>
  <c r="AC18" i="27"/>
  <c r="AQ18" i="27" s="1"/>
  <c r="AC21" i="16"/>
  <c r="AQ21" i="16" s="1"/>
  <c r="AC21" i="27"/>
  <c r="AQ21" i="27" s="1"/>
  <c r="AC138" i="12"/>
  <c r="AN138" i="12" s="1"/>
  <c r="AC27" i="27"/>
  <c r="AC29" i="16"/>
  <c r="AQ29" i="16" s="1"/>
  <c r="AC29" i="27"/>
  <c r="AQ29" i="27" s="1"/>
  <c r="AC33" i="16"/>
  <c r="AQ33" i="16" s="1"/>
  <c r="AC33" i="27"/>
  <c r="AQ33" i="27" s="1"/>
  <c r="AC139" i="12"/>
  <c r="AN139" i="12" s="1"/>
  <c r="AN170" i="12" s="1"/>
  <c r="AC34" i="27"/>
  <c r="AC37" i="16"/>
  <c r="AQ37" i="16" s="1"/>
  <c r="AC37" i="27"/>
  <c r="AQ37" i="27" s="1"/>
  <c r="AC41" i="16"/>
  <c r="AQ41" i="16" s="1"/>
  <c r="AC41" i="27"/>
  <c r="AQ41" i="27" s="1"/>
  <c r="AQ43" i="27"/>
  <c r="AC45" i="16"/>
  <c r="AQ45" i="16" s="1"/>
  <c r="AC45" i="27"/>
  <c r="AQ45" i="27" s="1"/>
  <c r="AR46" i="27"/>
  <c r="AG47" i="16"/>
  <c r="AU47" i="16" s="1"/>
  <c r="AG47" i="27"/>
  <c r="AU47" i="27" s="1"/>
  <c r="AC53" i="16"/>
  <c r="AQ53" i="16" s="1"/>
  <c r="AC53" i="27"/>
  <c r="AQ53" i="27" s="1"/>
  <c r="AG55" i="16"/>
  <c r="AU55" i="16" s="1"/>
  <c r="AG55" i="27"/>
  <c r="AU55" i="27" s="1"/>
  <c r="AM56" i="27"/>
  <c r="BA56" i="27"/>
  <c r="AV56" i="27"/>
  <c r="AC61" i="16"/>
  <c r="AQ61" i="16" s="1"/>
  <c r="AC61" i="27"/>
  <c r="AQ61" i="27" s="1"/>
  <c r="AR62" i="27"/>
  <c r="AG63" i="16"/>
  <c r="AU63" i="16" s="1"/>
  <c r="AG63" i="27"/>
  <c r="AU63" i="27" s="1"/>
  <c r="BA64" i="27"/>
  <c r="AC69" i="16"/>
  <c r="AQ69" i="16" s="1"/>
  <c r="AC69" i="27"/>
  <c r="AQ69" i="27" s="1"/>
  <c r="AG71" i="16"/>
  <c r="AG71" i="27"/>
  <c r="AU71" i="27" s="1"/>
  <c r="AM72" i="27"/>
  <c r="AV72" i="27"/>
  <c r="BA72" i="27"/>
  <c r="AC77" i="16"/>
  <c r="AQ77" i="16" s="1"/>
  <c r="AC77" i="27"/>
  <c r="AQ77" i="27" s="1"/>
  <c r="AR78" i="27"/>
  <c r="AG79" i="16"/>
  <c r="AU79" i="16" s="1"/>
  <c r="AG79" i="27"/>
  <c r="AU79" i="27" s="1"/>
  <c r="AC85" i="16"/>
  <c r="AQ85" i="16" s="1"/>
  <c r="AC85" i="27"/>
  <c r="AQ85" i="27" s="1"/>
  <c r="AG87" i="16"/>
  <c r="AG87" i="27"/>
  <c r="AU87" i="27" s="1"/>
  <c r="AM88" i="27"/>
  <c r="BA88" i="27"/>
  <c r="AC93" i="16"/>
  <c r="AQ93" i="16" s="1"/>
  <c r="AC93" i="27"/>
  <c r="AQ93" i="27" s="1"/>
  <c r="AR94" i="27"/>
  <c r="AG95" i="16"/>
  <c r="AU95" i="16" s="1"/>
  <c r="AG95" i="27"/>
  <c r="AU95" i="27" s="1"/>
  <c r="AC101" i="16"/>
  <c r="AQ101" i="16" s="1"/>
  <c r="AC101" i="27"/>
  <c r="AQ101" i="27" s="1"/>
  <c r="AG103" i="16"/>
  <c r="AU103" i="16" s="1"/>
  <c r="AG103" i="27"/>
  <c r="AU103" i="27" s="1"/>
  <c r="AM104" i="27"/>
  <c r="AV104" i="27"/>
  <c r="BA104" i="27"/>
  <c r="AC109" i="16"/>
  <c r="AQ109" i="16" s="1"/>
  <c r="AC109" i="27"/>
  <c r="AQ109" i="27" s="1"/>
  <c r="AR110" i="27"/>
  <c r="AG111" i="16"/>
  <c r="AU111" i="16" s="1"/>
  <c r="AG111" i="27"/>
  <c r="AU111" i="27" s="1"/>
  <c r="AC117" i="16"/>
  <c r="AQ117" i="16" s="1"/>
  <c r="AC117" i="27"/>
  <c r="AQ117" i="27" s="1"/>
  <c r="AU119" i="27"/>
  <c r="AR126" i="27"/>
  <c r="AM128" i="27"/>
  <c r="AV128" i="27"/>
  <c r="AM25" i="27"/>
  <c r="AV25" i="27"/>
  <c r="AM31" i="27"/>
  <c r="AV31" i="27"/>
  <c r="AP8" i="27"/>
  <c r="AB10" i="16"/>
  <c r="AP10" i="16" s="1"/>
  <c r="AB10" i="27"/>
  <c r="AP10" i="27" s="1"/>
  <c r="AB12" i="16"/>
  <c r="AP12" i="16" s="1"/>
  <c r="AB12" i="27"/>
  <c r="AP12" i="27" s="1"/>
  <c r="AB13" i="16"/>
  <c r="AP13" i="16" s="1"/>
  <c r="AB13" i="27"/>
  <c r="AP13" i="27" s="1"/>
  <c r="AB15" i="16"/>
  <c r="AP15" i="16" s="1"/>
  <c r="AB15" i="27"/>
  <c r="AP15" i="27" s="1"/>
  <c r="AC9" i="16"/>
  <c r="AQ9" i="16" s="1"/>
  <c r="AC9" i="27"/>
  <c r="AQ9" i="27" s="1"/>
  <c r="AC10" i="16"/>
  <c r="AQ10" i="16" s="1"/>
  <c r="AC10" i="27"/>
  <c r="AQ10" i="27" s="1"/>
  <c r="AC11" i="16"/>
  <c r="AQ11" i="16" s="1"/>
  <c r="AC11" i="27"/>
  <c r="AQ11" i="27" s="1"/>
  <c r="AC14" i="16"/>
  <c r="AQ14" i="16" s="1"/>
  <c r="AC14" i="27"/>
  <c r="AQ14" i="27" s="1"/>
  <c r="AC25" i="16"/>
  <c r="AQ25" i="16" s="1"/>
  <c r="AC25" i="27"/>
  <c r="AQ25" i="27" s="1"/>
  <c r="AR7" i="27"/>
  <c r="AR8" i="27"/>
  <c r="AD9" i="16"/>
  <c r="AR9" i="16" s="1"/>
  <c r="AD9" i="27"/>
  <c r="AD10" i="16"/>
  <c r="AR10" i="16" s="1"/>
  <c r="AD10" i="27"/>
  <c r="AD11" i="16"/>
  <c r="AR11" i="16" s="1"/>
  <c r="AD11" i="27"/>
  <c r="AD12" i="16"/>
  <c r="AR12" i="16" s="1"/>
  <c r="AD12" i="27"/>
  <c r="AD13" i="16"/>
  <c r="AR13" i="16" s="1"/>
  <c r="AD13" i="27"/>
  <c r="AR14" i="27"/>
  <c r="AR15" i="27"/>
  <c r="AD16" i="16"/>
  <c r="AR16" i="16" s="1"/>
  <c r="AD16" i="27"/>
  <c r="AR17" i="27"/>
  <c r="AR18" i="27"/>
  <c r="AR19" i="27"/>
  <c r="AD20" i="16"/>
  <c r="AR20" i="16" s="1"/>
  <c r="AD20" i="27"/>
  <c r="AR22" i="27"/>
  <c r="AR23" i="27"/>
  <c r="AD24" i="16"/>
  <c r="AR24" i="16" s="1"/>
  <c r="AD24" i="27"/>
  <c r="AR25" i="27"/>
  <c r="AR26" i="27"/>
  <c r="AD138" i="12"/>
  <c r="AO138" i="12" s="1"/>
  <c r="AD27" i="27"/>
  <c r="AD28" i="16"/>
  <c r="AR28" i="16" s="1"/>
  <c r="AD28" i="27"/>
  <c r="AR29" i="27"/>
  <c r="AR30" i="27"/>
  <c r="AR31" i="27"/>
  <c r="AD32" i="16"/>
  <c r="AR32" i="16" s="1"/>
  <c r="AD32" i="27"/>
  <c r="AR33" i="27"/>
  <c r="AD139" i="12"/>
  <c r="AO139" i="12" s="1"/>
  <c r="AO170" i="12" s="1"/>
  <c r="AD34" i="27"/>
  <c r="AR35" i="27"/>
  <c r="AD36" i="16"/>
  <c r="AR36" i="16" s="1"/>
  <c r="AD36" i="27"/>
  <c r="AR39" i="27"/>
  <c r="AD40" i="16"/>
  <c r="AR40" i="16" s="1"/>
  <c r="AD40" i="27"/>
  <c r="AR41" i="27"/>
  <c r="AR42" i="27"/>
  <c r="AR43" i="27"/>
  <c r="AR44" i="27"/>
  <c r="AR45" i="27"/>
  <c r="AG46" i="16"/>
  <c r="AG46" i="27"/>
  <c r="AU46" i="27" s="1"/>
  <c r="AG54" i="16"/>
  <c r="AG54" i="27"/>
  <c r="AU54" i="27" s="1"/>
  <c r="AM55" i="27"/>
  <c r="BA55" i="27"/>
  <c r="AV55" i="27"/>
  <c r="AR61" i="27"/>
  <c r="AG62" i="16"/>
  <c r="AU62" i="16" s="1"/>
  <c r="AG62" i="27"/>
  <c r="AU62" i="27" s="1"/>
  <c r="AM63" i="27"/>
  <c r="BA63" i="27"/>
  <c r="AV63" i="27"/>
  <c r="AP67" i="27"/>
  <c r="AR69" i="27"/>
  <c r="AG70" i="16"/>
  <c r="AU70" i="16" s="1"/>
  <c r="AG70" i="27"/>
  <c r="AU70" i="27" s="1"/>
  <c r="AM71" i="27"/>
  <c r="AV71" i="27"/>
  <c r="BA71" i="27"/>
  <c r="AR77" i="27"/>
  <c r="AG78" i="16"/>
  <c r="AG78" i="27"/>
  <c r="AU78" i="27" s="1"/>
  <c r="AM79" i="27"/>
  <c r="AV79" i="27"/>
  <c r="BA79" i="27"/>
  <c r="AG86" i="16"/>
  <c r="AG86" i="27"/>
  <c r="AU86" i="27" s="1"/>
  <c r="AM87" i="27"/>
  <c r="AV87" i="27"/>
  <c r="BA87" i="27"/>
  <c r="AR93" i="27"/>
  <c r="AG94" i="16"/>
  <c r="AG94" i="27"/>
  <c r="AU94" i="27" s="1"/>
  <c r="AM95" i="27"/>
  <c r="BA95" i="27"/>
  <c r="AV95" i="27"/>
  <c r="AR101" i="27"/>
  <c r="AG102" i="16"/>
  <c r="AG102" i="27"/>
  <c r="AU102" i="27" s="1"/>
  <c r="AR109" i="27"/>
  <c r="AU110" i="27"/>
  <c r="AM111" i="27"/>
  <c r="AV111" i="27"/>
  <c r="BA111" i="27"/>
  <c r="AR117" i="27"/>
  <c r="AG118" i="16"/>
  <c r="AG118" i="27"/>
  <c r="AU118" i="27" s="1"/>
  <c r="AR125" i="27"/>
  <c r="AG126" i="16"/>
  <c r="AU126" i="16" s="1"/>
  <c r="AG126" i="27"/>
  <c r="AU126" i="27" s="1"/>
  <c r="AM9" i="27"/>
  <c r="BA9" i="27"/>
  <c r="AV9" i="27"/>
  <c r="BA13" i="27"/>
  <c r="AV13" i="27"/>
  <c r="AM19" i="27"/>
  <c r="AM33" i="27"/>
  <c r="BA33" i="27"/>
  <c r="AC13" i="16"/>
  <c r="AQ13" i="16" s="1"/>
  <c r="AC13" i="27"/>
  <c r="AQ13" i="27" s="1"/>
  <c r="AC17" i="16"/>
  <c r="AQ17" i="16" s="1"/>
  <c r="AC17" i="27"/>
  <c r="AQ17" i="27" s="1"/>
  <c r="AL7" i="12" a="1"/>
  <c r="AL7" i="12" s="1"/>
  <c r="AG7" i="27"/>
  <c r="AL8" i="12" a="1"/>
  <c r="AL8" i="12" s="1"/>
  <c r="AG8" i="27"/>
  <c r="AG9" i="16"/>
  <c r="AU9" i="16" s="1"/>
  <c r="AG9" i="27"/>
  <c r="AU9" i="27" s="1"/>
  <c r="AG10" i="16"/>
  <c r="AG10" i="27"/>
  <c r="AU10" i="27" s="1"/>
  <c r="AG11" i="16"/>
  <c r="AG11" i="27"/>
  <c r="AU11" i="27" s="1"/>
  <c r="AG12" i="16"/>
  <c r="AU12" i="16" s="1"/>
  <c r="AG12" i="27"/>
  <c r="AU12" i="27" s="1"/>
  <c r="AG13" i="16"/>
  <c r="AU13" i="16" s="1"/>
  <c r="AG13" i="27"/>
  <c r="AU13" i="27" s="1"/>
  <c r="AG14" i="16"/>
  <c r="AU14" i="16" s="1"/>
  <c r="AG14" i="27"/>
  <c r="AU14" i="27" s="1"/>
  <c r="AG15" i="16"/>
  <c r="AU15" i="16" s="1"/>
  <c r="AG15" i="27"/>
  <c r="AU15" i="27" s="1"/>
  <c r="AG16" i="16"/>
  <c r="AU16" i="16" s="1"/>
  <c r="AG16" i="27"/>
  <c r="AU16" i="27" s="1"/>
  <c r="AG17" i="16"/>
  <c r="AU17" i="16" s="1"/>
  <c r="AG17" i="27"/>
  <c r="AU17" i="27" s="1"/>
  <c r="AG18" i="16"/>
  <c r="AU18" i="16" s="1"/>
  <c r="AG18" i="27"/>
  <c r="AU18" i="27" s="1"/>
  <c r="AG19" i="16"/>
  <c r="AG19" i="27"/>
  <c r="AU19" i="27" s="1"/>
  <c r="AG20" i="16"/>
  <c r="AU20" i="16" s="1"/>
  <c r="AG20" i="27"/>
  <c r="AU20" i="27" s="1"/>
  <c r="AG21" i="16"/>
  <c r="AU21" i="16" s="1"/>
  <c r="AG21" i="27"/>
  <c r="AU21" i="27" s="1"/>
  <c r="AG22" i="16"/>
  <c r="AU22" i="16" s="1"/>
  <c r="AG22" i="27"/>
  <c r="AU22" i="27" s="1"/>
  <c r="AG23" i="16"/>
  <c r="AU23" i="16" s="1"/>
  <c r="AG23" i="27"/>
  <c r="AU23" i="27" s="1"/>
  <c r="AG24" i="16"/>
  <c r="AU24" i="16" s="1"/>
  <c r="AG24" i="27"/>
  <c r="AU24" i="27" s="1"/>
  <c r="AG25" i="16"/>
  <c r="AU25" i="16" s="1"/>
  <c r="AG25" i="27"/>
  <c r="AU25" i="27" s="1"/>
  <c r="AG26" i="16"/>
  <c r="AU26" i="16" s="1"/>
  <c r="AG26" i="27"/>
  <c r="AU26" i="27" s="1"/>
  <c r="AG28" i="16"/>
  <c r="AU28" i="16" s="1"/>
  <c r="AG28" i="27"/>
  <c r="AU28" i="27" s="1"/>
  <c r="AG29" i="16"/>
  <c r="AU29" i="16" s="1"/>
  <c r="AG29" i="27"/>
  <c r="AU29" i="27" s="1"/>
  <c r="AG30" i="16"/>
  <c r="AU30" i="16" s="1"/>
  <c r="AG30" i="27"/>
  <c r="AU30" i="27" s="1"/>
  <c r="AG31" i="16"/>
  <c r="AU31" i="16" s="1"/>
  <c r="AG31" i="27"/>
  <c r="AU31" i="27" s="1"/>
  <c r="AG32" i="16"/>
  <c r="AG32" i="27"/>
  <c r="AU32" i="27" s="1"/>
  <c r="AG33" i="16"/>
  <c r="AU33" i="16" s="1"/>
  <c r="AG33" i="27"/>
  <c r="AU33" i="27" s="1"/>
  <c r="AU34" i="27"/>
  <c r="AG35" i="16"/>
  <c r="AU35" i="16" s="1"/>
  <c r="AG35" i="27"/>
  <c r="AU35" i="27" s="1"/>
  <c r="AG36" i="16"/>
  <c r="AU36" i="16" s="1"/>
  <c r="AG36" i="27"/>
  <c r="AU36" i="27" s="1"/>
  <c r="AG37" i="16"/>
  <c r="AG37" i="27"/>
  <c r="AU37" i="27" s="1"/>
  <c r="AG38" i="16"/>
  <c r="AU38" i="16" s="1"/>
  <c r="AG38" i="27"/>
  <c r="AU38" i="27" s="1"/>
  <c r="AG39" i="16"/>
  <c r="AU39" i="16" s="1"/>
  <c r="AG39" i="27"/>
  <c r="AU39" i="27" s="1"/>
  <c r="AG40" i="16"/>
  <c r="AG40" i="27"/>
  <c r="AU40" i="27" s="1"/>
  <c r="AG41" i="16"/>
  <c r="AU41" i="16" s="1"/>
  <c r="AG41" i="27"/>
  <c r="AU41" i="27" s="1"/>
  <c r="AG42" i="16"/>
  <c r="AG42" i="27"/>
  <c r="AU42" i="27" s="1"/>
  <c r="AL43" i="12" a="1"/>
  <c r="AL43" i="12" s="1"/>
  <c r="AG43" i="27"/>
  <c r="AG44" i="16"/>
  <c r="AU44" i="16" s="1"/>
  <c r="AG44" i="27"/>
  <c r="AU44" i="27" s="1"/>
  <c r="AG45" i="16"/>
  <c r="AG45" i="27"/>
  <c r="AU45" i="27" s="1"/>
  <c r="AB50" i="16"/>
  <c r="AP50" i="16" s="1"/>
  <c r="AB50" i="27"/>
  <c r="AP50" i="27" s="1"/>
  <c r="AQ51" i="27"/>
  <c r="AG53" i="16"/>
  <c r="AU53" i="16" s="1"/>
  <c r="AG53" i="27"/>
  <c r="AU53" i="27" s="1"/>
  <c r="AM54" i="27"/>
  <c r="AV54" i="27"/>
  <c r="AB58" i="16"/>
  <c r="AP58" i="16" s="1"/>
  <c r="AB58" i="27"/>
  <c r="AP58" i="27" s="1"/>
  <c r="AG61" i="16"/>
  <c r="AU61" i="16" s="1"/>
  <c r="AG61" i="27"/>
  <c r="AU61" i="27" s="1"/>
  <c r="AB66" i="16"/>
  <c r="AP66" i="16" s="1"/>
  <c r="AB66" i="27"/>
  <c r="AP66" i="27" s="1"/>
  <c r="AG69" i="16"/>
  <c r="AU69" i="16" s="1"/>
  <c r="AG69" i="27"/>
  <c r="AU69" i="27" s="1"/>
  <c r="AM70" i="27"/>
  <c r="AV70" i="27"/>
  <c r="BA70" i="27"/>
  <c r="AB74" i="16"/>
  <c r="AP74" i="16" s="1"/>
  <c r="AB74" i="27"/>
  <c r="AP74" i="27" s="1"/>
  <c r="AR76" i="27"/>
  <c r="AG77" i="16"/>
  <c r="AU77" i="16" s="1"/>
  <c r="AG77" i="27"/>
  <c r="AU77" i="27" s="1"/>
  <c r="AB82" i="16"/>
  <c r="AP82" i="16" s="1"/>
  <c r="AB82" i="27"/>
  <c r="AP82" i="27" s="1"/>
  <c r="AG85" i="16"/>
  <c r="AU85" i="16" s="1"/>
  <c r="AG85" i="27"/>
  <c r="AU85" i="27" s="1"/>
  <c r="AM86" i="27"/>
  <c r="AV86" i="27"/>
  <c r="BA86" i="27"/>
  <c r="AB90" i="16"/>
  <c r="AP90" i="16" s="1"/>
  <c r="AB90" i="27"/>
  <c r="AP90" i="27" s="1"/>
  <c r="AR92" i="27"/>
  <c r="AG93" i="16"/>
  <c r="AU93" i="16" s="1"/>
  <c r="AG93" i="27"/>
  <c r="AU93" i="27" s="1"/>
  <c r="AN96" i="27"/>
  <c r="AB98" i="16"/>
  <c r="AP98" i="16" s="1"/>
  <c r="AB98" i="27"/>
  <c r="AP98" i="27" s="1"/>
  <c r="AG101" i="16"/>
  <c r="AU101" i="16" s="1"/>
  <c r="AG101" i="27"/>
  <c r="AU101" i="27" s="1"/>
  <c r="AM102" i="27"/>
  <c r="AV102" i="27"/>
  <c r="BA102" i="27"/>
  <c r="AB106" i="16"/>
  <c r="AP106" i="16" s="1"/>
  <c r="AB106" i="27"/>
  <c r="AP106" i="27" s="1"/>
  <c r="AR108" i="27"/>
  <c r="AG109" i="16"/>
  <c r="AU109" i="16" s="1"/>
  <c r="AG109" i="27"/>
  <c r="AU109" i="27" s="1"/>
  <c r="AB114" i="16"/>
  <c r="AP114" i="16" s="1"/>
  <c r="AB114" i="27"/>
  <c r="AP114" i="27" s="1"/>
  <c r="AG117" i="16"/>
  <c r="AG117" i="27"/>
  <c r="AU117" i="27" s="1"/>
  <c r="AM118" i="27"/>
  <c r="AV118" i="27"/>
  <c r="AB122" i="16"/>
  <c r="AP122" i="16" s="1"/>
  <c r="AB122" i="27"/>
  <c r="AP122" i="27" s="1"/>
  <c r="AR124" i="27"/>
  <c r="AG125" i="16"/>
  <c r="AU125" i="16" s="1"/>
  <c r="AG125" i="27"/>
  <c r="AU125" i="27" s="1"/>
  <c r="AR132" i="27"/>
  <c r="AM17" i="27"/>
  <c r="AV17" i="27"/>
  <c r="BA17" i="27"/>
  <c r="AV27" i="27"/>
  <c r="BA27" i="27"/>
  <c r="AM36" i="27"/>
  <c r="AV36" i="27"/>
  <c r="BA36" i="27"/>
  <c r="AM43" i="27"/>
  <c r="AV43" i="27"/>
  <c r="BA43" i="27"/>
  <c r="AG52" i="16"/>
  <c r="AU52" i="16" s="1"/>
  <c r="AG52" i="27"/>
  <c r="AU52" i="27" s="1"/>
  <c r="AG60" i="16"/>
  <c r="AU60" i="16" s="1"/>
  <c r="AG60" i="27"/>
  <c r="AU60" i="27" s="1"/>
  <c r="AR67" i="27"/>
  <c r="AG68" i="16"/>
  <c r="AU68" i="16" s="1"/>
  <c r="AG68" i="27"/>
  <c r="AU68" i="27" s="1"/>
  <c r="AM69" i="27"/>
  <c r="BA69" i="27"/>
  <c r="AV69" i="27"/>
  <c r="AR75" i="27"/>
  <c r="AG76" i="16"/>
  <c r="AU76" i="16" s="1"/>
  <c r="AG76" i="27"/>
  <c r="AU76" i="27" s="1"/>
  <c r="AM77" i="27"/>
  <c r="BA77" i="27"/>
  <c r="AV77" i="27"/>
  <c r="AR83" i="27"/>
  <c r="AG84" i="16"/>
  <c r="AU84" i="16" s="1"/>
  <c r="AG84" i="27"/>
  <c r="AU84" i="27" s="1"/>
  <c r="AM85" i="27"/>
  <c r="BA85" i="27"/>
  <c r="AV85" i="27"/>
  <c r="AR91" i="27"/>
  <c r="AG92" i="16"/>
  <c r="AU92" i="16" s="1"/>
  <c r="AG92" i="27"/>
  <c r="AU92" i="27" s="1"/>
  <c r="AM93" i="27"/>
  <c r="BA93" i="27"/>
  <c r="AV93" i="27"/>
  <c r="AO96" i="27"/>
  <c r="AR99" i="27"/>
  <c r="AG100" i="16"/>
  <c r="AU100" i="16" s="1"/>
  <c r="AG100" i="27"/>
  <c r="AU100" i="27" s="1"/>
  <c r="AM101" i="27"/>
  <c r="AV101" i="27"/>
  <c r="BA101" i="27"/>
  <c r="AR107" i="27"/>
  <c r="AG108" i="16"/>
  <c r="AU108" i="16" s="1"/>
  <c r="AG108" i="27"/>
  <c r="AU108" i="27" s="1"/>
  <c r="AM109" i="27"/>
  <c r="AV109" i="27"/>
  <c r="AG116" i="16"/>
  <c r="AU116" i="16" s="1"/>
  <c r="AG116" i="27"/>
  <c r="AU116" i="27" s="1"/>
  <c r="AM117" i="27"/>
  <c r="AV117" i="27"/>
  <c r="BA117" i="27"/>
  <c r="AG124" i="16"/>
  <c r="AU124" i="16" s="1"/>
  <c r="AG124" i="27"/>
  <c r="AU124" i="27" s="1"/>
  <c r="AM125" i="27"/>
  <c r="BA125" i="27"/>
  <c r="AV125" i="27"/>
  <c r="AA128" i="16"/>
  <c r="AO128" i="16" s="1"/>
  <c r="AA128" i="27"/>
  <c r="AO128" i="27" s="1"/>
  <c r="AG132" i="16"/>
  <c r="AU132" i="16" s="1"/>
  <c r="AG132" i="27"/>
  <c r="AU132" i="27" s="1"/>
  <c r="AH137" i="12"/>
  <c r="AS137" i="12" s="1"/>
  <c r="AH8" i="27"/>
  <c r="BA18" i="27"/>
  <c r="AM23" i="27"/>
  <c r="BA23" i="27"/>
  <c r="AH139" i="12"/>
  <c r="AS139" i="12" s="1"/>
  <c r="AS170" i="12" s="1"/>
  <c r="AH34" i="27"/>
  <c r="BA35" i="12"/>
  <c r="AH35" i="27"/>
  <c r="BA38" i="12"/>
  <c r="AH38" i="27"/>
  <c r="AM42" i="27"/>
  <c r="AV42" i="27"/>
  <c r="BA42" i="27"/>
  <c r="AR59" i="27"/>
  <c r="D136" i="12"/>
  <c r="D147" i="12" s="1"/>
  <c r="D7" i="27"/>
  <c r="AA47" i="16"/>
  <c r="AO47" i="16" s="1"/>
  <c r="AA47" i="27"/>
  <c r="AO47" i="27" s="1"/>
  <c r="AU51" i="27"/>
  <c r="AM52" i="27"/>
  <c r="AV52" i="27"/>
  <c r="BA52" i="27"/>
  <c r="AA55" i="16"/>
  <c r="AO55" i="16" s="1"/>
  <c r="AA55" i="27"/>
  <c r="AO55" i="27" s="1"/>
  <c r="AR58" i="27"/>
  <c r="AG59" i="16"/>
  <c r="AU59" i="16" s="1"/>
  <c r="AG59" i="27"/>
  <c r="AU59" i="27" s="1"/>
  <c r="AM60" i="27"/>
  <c r="AV60" i="27"/>
  <c r="BA60" i="27"/>
  <c r="AA63" i="16"/>
  <c r="AO63" i="16" s="1"/>
  <c r="AA63" i="27"/>
  <c r="AO63" i="27" s="1"/>
  <c r="AR66" i="27"/>
  <c r="AM68" i="27"/>
  <c r="AV68" i="27"/>
  <c r="BA68" i="27"/>
  <c r="AA71" i="16"/>
  <c r="AO71" i="16" s="1"/>
  <c r="AA71" i="27"/>
  <c r="AO71" i="27" s="1"/>
  <c r="AR74" i="27"/>
  <c r="AG75" i="16"/>
  <c r="AU75" i="16" s="1"/>
  <c r="AG75" i="27"/>
  <c r="AU75" i="27" s="1"/>
  <c r="AM76" i="27"/>
  <c r="AV76" i="27"/>
  <c r="BA76" i="27"/>
  <c r="AA79" i="16"/>
  <c r="AO79" i="16" s="1"/>
  <c r="AA79" i="27"/>
  <c r="AO79" i="27" s="1"/>
  <c r="AR82" i="27"/>
  <c r="AG83" i="16"/>
  <c r="AU83" i="16" s="1"/>
  <c r="AG83" i="27"/>
  <c r="AU83" i="27" s="1"/>
  <c r="AM84" i="27"/>
  <c r="BA84" i="27"/>
  <c r="AV84" i="27"/>
  <c r="AA87" i="16"/>
  <c r="AO87" i="16" s="1"/>
  <c r="AA87" i="27"/>
  <c r="AO87" i="27" s="1"/>
  <c r="AR90" i="27"/>
  <c r="AG91" i="16"/>
  <c r="AU91" i="16" s="1"/>
  <c r="AG91" i="27"/>
  <c r="AU91" i="27" s="1"/>
  <c r="AA95" i="16"/>
  <c r="AO95" i="16" s="1"/>
  <c r="AA95" i="27"/>
  <c r="AO95" i="27" s="1"/>
  <c r="AP96" i="27"/>
  <c r="AG99" i="16"/>
  <c r="AU99" i="16" s="1"/>
  <c r="AG99" i="27"/>
  <c r="AU99" i="27" s="1"/>
  <c r="AM100" i="27"/>
  <c r="AV100" i="27"/>
  <c r="BA100" i="27"/>
  <c r="AA103" i="16"/>
  <c r="AO103" i="16" s="1"/>
  <c r="AA103" i="27"/>
  <c r="AO103" i="27" s="1"/>
  <c r="AR106" i="27"/>
  <c r="AG107" i="16"/>
  <c r="AU107" i="16" s="1"/>
  <c r="AG107" i="27"/>
  <c r="AU107" i="27" s="1"/>
  <c r="AM108" i="27"/>
  <c r="AV108" i="27"/>
  <c r="BA108" i="27"/>
  <c r="AN110" i="27"/>
  <c r="AA111" i="16"/>
  <c r="AO111" i="16" s="1"/>
  <c r="AA111" i="27"/>
  <c r="AO111" i="27" s="1"/>
  <c r="AR114" i="27"/>
  <c r="AG115" i="16"/>
  <c r="AU115" i="16" s="1"/>
  <c r="AG115" i="27"/>
  <c r="AU115" i="27" s="1"/>
  <c r="AM116" i="27"/>
  <c r="AV116" i="27"/>
  <c r="BA116" i="27"/>
  <c r="AO119" i="27"/>
  <c r="AG123" i="16"/>
  <c r="AU123" i="16" s="1"/>
  <c r="AG123" i="27"/>
  <c r="AU123" i="27" s="1"/>
  <c r="AM124" i="27"/>
  <c r="AV124" i="27"/>
  <c r="BA124" i="27"/>
  <c r="AO127" i="27"/>
  <c r="AR130" i="27"/>
  <c r="AG131" i="16"/>
  <c r="AG131" i="27"/>
  <c r="AU131" i="27" s="1"/>
  <c r="AM132" i="27"/>
  <c r="BA132" i="27"/>
  <c r="AV132" i="27"/>
  <c r="BG30" i="14"/>
  <c r="BO30" i="14" s="1"/>
  <c r="CE136" i="14"/>
  <c r="BG62" i="14"/>
  <c r="BO62" i="14" s="1"/>
  <c r="BF64" i="14"/>
  <c r="BG64" i="14" s="1"/>
  <c r="BO64" i="14" s="1"/>
  <c r="BF102" i="14"/>
  <c r="BF107" i="14"/>
  <c r="BG107" i="14" s="1"/>
  <c r="BO107" i="14" s="1"/>
  <c r="CF136" i="14"/>
  <c r="CG136" i="14"/>
  <c r="BI11" i="14"/>
  <c r="BJ11" i="14" s="1"/>
  <c r="BF29" i="14"/>
  <c r="BN29" i="14" s="1"/>
  <c r="BI59" i="14"/>
  <c r="BQ59" i="14" s="1"/>
  <c r="BI64" i="14"/>
  <c r="BJ64" i="14" s="1"/>
  <c r="V132" i="22"/>
  <c r="X138" i="26"/>
  <c r="BX132" i="14"/>
  <c r="CB132" i="14"/>
  <c r="BY132" i="14"/>
  <c r="BF98" i="14"/>
  <c r="BG98" i="14" s="1"/>
  <c r="BO98" i="14" s="1"/>
  <c r="BF103" i="14"/>
  <c r="BN103" i="14" s="1"/>
  <c r="BF57" i="14"/>
  <c r="BN57" i="14" s="1"/>
  <c r="AU49" i="16"/>
  <c r="AU65" i="16"/>
  <c r="AU105" i="16"/>
  <c r="AU121" i="16"/>
  <c r="AU71" i="16"/>
  <c r="AU87" i="16"/>
  <c r="AU37" i="16"/>
  <c r="AU45" i="16"/>
  <c r="AU117" i="16"/>
  <c r="Z140" i="12"/>
  <c r="AK140" i="12" s="1"/>
  <c r="AL27" i="12" a="1"/>
  <c r="AL27" i="12" s="1"/>
  <c r="AL34" i="12" a="1"/>
  <c r="AL34" i="12" s="1"/>
  <c r="AL13" i="12" a="1"/>
  <c r="AL13" i="12" s="1"/>
  <c r="AL21" i="12" a="1"/>
  <c r="AL21" i="12" s="1"/>
  <c r="AL29" i="12" a="1"/>
  <c r="AL29" i="12" s="1"/>
  <c r="AL37" i="12" a="1"/>
  <c r="AL37" i="12" s="1"/>
  <c r="AL14" i="12" a="1"/>
  <c r="AL14" i="12" s="1"/>
  <c r="AL22" i="12" a="1"/>
  <c r="AL22" i="12" s="1"/>
  <c r="AL30" i="12" a="1"/>
  <c r="AL30" i="12" s="1"/>
  <c r="AL38" i="12" a="1"/>
  <c r="AL38" i="12" s="1"/>
  <c r="AL15" i="12" a="1"/>
  <c r="AL15" i="12" s="1"/>
  <c r="AL23" i="12" a="1"/>
  <c r="AL23" i="12" s="1"/>
  <c r="AL31" i="12" a="1"/>
  <c r="AL31" i="12" s="1"/>
  <c r="AL39" i="12" a="1"/>
  <c r="AL39" i="12" s="1"/>
  <c r="AL16" i="12" a="1"/>
  <c r="AL16" i="12" s="1"/>
  <c r="AL24" i="12" a="1"/>
  <c r="AL24" i="12" s="1"/>
  <c r="AL32" i="12" a="1"/>
  <c r="AL32" i="12" s="1"/>
  <c r="AL40" i="12" a="1"/>
  <c r="AL40" i="12" s="1"/>
  <c r="AL9" i="12" a="1"/>
  <c r="AL9" i="12" s="1"/>
  <c r="AL17" i="12" a="1"/>
  <c r="AL17" i="12" s="1"/>
  <c r="AL25" i="12" a="1"/>
  <c r="AL25" i="12" s="1"/>
  <c r="AL33" i="12" a="1"/>
  <c r="AL33" i="12" s="1"/>
  <c r="AL41" i="12" a="1"/>
  <c r="AL41" i="12" s="1"/>
  <c r="AL10" i="12" a="1"/>
  <c r="AL10" i="12" s="1"/>
  <c r="AL18" i="12" a="1"/>
  <c r="AL18" i="12" s="1"/>
  <c r="AL26" i="12" a="1"/>
  <c r="AL26" i="12" s="1"/>
  <c r="AL42" i="12" a="1"/>
  <c r="AL42" i="12" s="1"/>
  <c r="AL11" i="12" a="1"/>
  <c r="AL11" i="12" s="1"/>
  <c r="AL19" i="12" a="1"/>
  <c r="AL19" i="12" s="1"/>
  <c r="AL35" i="12" a="1"/>
  <c r="AL35" i="12" s="1"/>
  <c r="AL12" i="12" a="1"/>
  <c r="AL12" i="12" s="1"/>
  <c r="AL20" i="12" a="1"/>
  <c r="AL20" i="12" s="1"/>
  <c r="AL28" i="12" a="1"/>
  <c r="AL28" i="12" s="1"/>
  <c r="AL36" i="12" a="1"/>
  <c r="AL36" i="12" s="1"/>
  <c r="AL44" i="12" a="1"/>
  <c r="AL44" i="12" s="1"/>
  <c r="AB140" i="12"/>
  <c r="AM140" i="12" s="1"/>
  <c r="AC140" i="12"/>
  <c r="AN140" i="12" s="1"/>
  <c r="AA194" i="12"/>
  <c r="AD140" i="12"/>
  <c r="AO140" i="12" s="1"/>
  <c r="AD194" i="12"/>
  <c r="AB195" i="12"/>
  <c r="BA58" i="24"/>
  <c r="AY58" i="24"/>
  <c r="AZ58" i="24"/>
  <c r="CP58" i="24" s="1"/>
  <c r="AG194" i="12"/>
  <c r="AC195" i="12"/>
  <c r="CH58" i="24"/>
  <c r="CE58" i="24"/>
  <c r="CG58" i="24"/>
  <c r="CJ58" i="24"/>
  <c r="CI58" i="24"/>
  <c r="CF58" i="24"/>
  <c r="CK58" i="24"/>
  <c r="CL58" i="24"/>
  <c r="AH194" i="12"/>
  <c r="AD195" i="12"/>
  <c r="AG73" i="16"/>
  <c r="AG195" i="12"/>
  <c r="Z194" i="12"/>
  <c r="AH195" i="12"/>
  <c r="CX57" i="24"/>
  <c r="AB194" i="12"/>
  <c r="Z195" i="12"/>
  <c r="CP30" i="24"/>
  <c r="CU30" i="24" s="1"/>
  <c r="F121" i="22"/>
  <c r="AL59" i="24"/>
  <c r="AM59" i="24"/>
  <c r="AK59" i="24"/>
  <c r="CD59" i="24" s="1"/>
  <c r="CV57" i="24"/>
  <c r="AC194" i="12"/>
  <c r="AA195" i="12"/>
  <c r="X59" i="24"/>
  <c r="BA59" i="24"/>
  <c r="AY59" i="24"/>
  <c r="AZ59" i="24"/>
  <c r="CP59" i="24" s="1"/>
  <c r="CD44" i="7"/>
  <c r="CD48" i="7"/>
  <c r="CD17" i="15"/>
  <c r="CD22" i="15"/>
  <c r="CD26" i="15"/>
  <c r="CE26" i="15" s="1"/>
  <c r="CD30" i="15"/>
  <c r="CD72" i="15"/>
  <c r="CD101" i="15"/>
  <c r="CD10" i="15"/>
  <c r="CD25" i="15"/>
  <c r="CD71" i="15"/>
  <c r="CD16" i="15"/>
  <c r="CD21" i="15"/>
  <c r="CD28" i="15"/>
  <c r="CD29" i="15"/>
  <c r="CD32" i="15"/>
  <c r="CD52" i="15"/>
  <c r="CD68" i="15"/>
  <c r="CD9" i="15"/>
  <c r="CD13" i="15"/>
  <c r="CD20" i="15"/>
  <c r="CD24" i="15"/>
  <c r="CD97" i="15"/>
  <c r="CD12" i="15"/>
  <c r="CD8" i="15"/>
  <c r="CD67" i="15"/>
  <c r="X58" i="24"/>
  <c r="CD18" i="15"/>
  <c r="CD33" i="15"/>
  <c r="CD69" i="15"/>
  <c r="CD99" i="15"/>
  <c r="BI47" i="14"/>
  <c r="BJ47" i="14" s="1"/>
  <c r="BI48" i="14"/>
  <c r="BQ48" i="14" s="1"/>
  <c r="BP51" i="14"/>
  <c r="BI55" i="14"/>
  <c r="BJ55" i="14" s="1"/>
  <c r="BK55" i="14" s="1"/>
  <c r="BF65" i="14"/>
  <c r="BN65" i="14" s="1"/>
  <c r="BP90" i="15"/>
  <c r="BF132" i="15"/>
  <c r="BG132" i="15" s="1"/>
  <c r="BO132" i="15" s="1"/>
  <c r="BI21" i="14"/>
  <c r="BJ21" i="14" s="1"/>
  <c r="BF24" i="14"/>
  <c r="BG24" i="14" s="1"/>
  <c r="BO24" i="14" s="1"/>
  <c r="BF25" i="14"/>
  <c r="BG25" i="14" s="1"/>
  <c r="BO25" i="14" s="1"/>
  <c r="BJ33" i="14"/>
  <c r="BK33" i="14" s="1"/>
  <c r="BI75" i="14"/>
  <c r="BJ75" i="14" s="1"/>
  <c r="BR75" i="14" s="1"/>
  <c r="CJ75" i="14" s="1"/>
  <c r="BF84" i="14"/>
  <c r="BG84" i="14" s="1"/>
  <c r="BO84" i="14" s="1"/>
  <c r="BI70" i="15"/>
  <c r="BQ70" i="15" s="1"/>
  <c r="BI19" i="14"/>
  <c r="BJ19" i="14" s="1"/>
  <c r="BF39" i="14"/>
  <c r="BG39" i="14" s="1"/>
  <c r="BO39" i="14" s="1"/>
  <c r="BI67" i="14"/>
  <c r="BJ67" i="14" s="1"/>
  <c r="BF111" i="14"/>
  <c r="BG111" i="14" s="1"/>
  <c r="BO111" i="14" s="1"/>
  <c r="BI112" i="14"/>
  <c r="BQ112" i="14" s="1"/>
  <c r="BM113" i="15"/>
  <c r="BF48" i="14"/>
  <c r="BG48" i="14" s="1"/>
  <c r="BO48" i="14" s="1"/>
  <c r="BI93" i="14"/>
  <c r="BJ93" i="14" s="1"/>
  <c r="BG53" i="15"/>
  <c r="BO53" i="15" s="1"/>
  <c r="BF122" i="15"/>
  <c r="BN122" i="15" s="1"/>
  <c r="BS31" i="7"/>
  <c r="CP53" i="3"/>
  <c r="Q53" i="22" s="1"/>
  <c r="BI9" i="14"/>
  <c r="BM27" i="14"/>
  <c r="CE27" i="14" s="1"/>
  <c r="BF67" i="14"/>
  <c r="BG67" i="14" s="1"/>
  <c r="BO67" i="14" s="1"/>
  <c r="BI79" i="14"/>
  <c r="BJ79" i="14" s="1"/>
  <c r="BJ80" i="14"/>
  <c r="BG91" i="14"/>
  <c r="BO91" i="14" s="1"/>
  <c r="BF67" i="15"/>
  <c r="BN67" i="15" s="1"/>
  <c r="BM105" i="15"/>
  <c r="BI17" i="14"/>
  <c r="BQ17" i="14" s="1"/>
  <c r="BI42" i="14"/>
  <c r="BJ42" i="14" s="1"/>
  <c r="BR42" i="14" s="1"/>
  <c r="BM79" i="14"/>
  <c r="BI83" i="14"/>
  <c r="BJ83" i="14" s="1"/>
  <c r="BI84" i="14"/>
  <c r="BQ84" i="14" s="1"/>
  <c r="BF90" i="14"/>
  <c r="BG90" i="14" s="1"/>
  <c r="BO90" i="14" s="1"/>
  <c r="BI110" i="14"/>
  <c r="BJ110" i="14" s="1"/>
  <c r="CF7" i="15"/>
  <c r="CF136" i="15" s="1"/>
  <c r="BF61" i="14"/>
  <c r="BG61" i="14" s="1"/>
  <c r="BO61" i="14" s="1"/>
  <c r="BG70" i="14"/>
  <c r="BO70" i="14" s="1"/>
  <c r="BP71" i="14"/>
  <c r="BI132" i="14"/>
  <c r="BJ132" i="14" s="1"/>
  <c r="CE7" i="15"/>
  <c r="CE136" i="15" s="1"/>
  <c r="BN114" i="3"/>
  <c r="BF81" i="14"/>
  <c r="BN81" i="14" s="1"/>
  <c r="BF94" i="14"/>
  <c r="BN94" i="14" s="1"/>
  <c r="BF95" i="14"/>
  <c r="BN95" i="14" s="1"/>
  <c r="F147" i="15"/>
  <c r="E147" i="15"/>
  <c r="BF11" i="15"/>
  <c r="BN11" i="15" s="1"/>
  <c r="BI34" i="15"/>
  <c r="BQ34" i="15" s="1"/>
  <c r="BP34" i="15"/>
  <c r="BF88" i="15"/>
  <c r="BG88" i="15" s="1"/>
  <c r="BO88" i="15" s="1"/>
  <c r="BM89" i="15"/>
  <c r="BI103" i="15"/>
  <c r="BJ103" i="15" s="1"/>
  <c r="BR103" i="15" s="1"/>
  <c r="BM124" i="15"/>
  <c r="BF72" i="15"/>
  <c r="BG72" i="15" s="1"/>
  <c r="BO72" i="15" s="1"/>
  <c r="BF130" i="15"/>
  <c r="BG130" i="15" s="1"/>
  <c r="BO130" i="15" s="1"/>
  <c r="BI36" i="15"/>
  <c r="BQ36" i="15" s="1"/>
  <c r="BP36" i="15"/>
  <c r="BF47" i="15"/>
  <c r="BN47" i="15" s="1"/>
  <c r="BM49" i="15"/>
  <c r="BG63" i="15"/>
  <c r="BO63" i="15" s="1"/>
  <c r="BM71" i="15"/>
  <c r="BF96" i="15"/>
  <c r="BG96" i="15" s="1"/>
  <c r="BO96" i="15" s="1"/>
  <c r="BP118" i="15"/>
  <c r="AB135" i="15"/>
  <c r="BI42" i="15"/>
  <c r="BQ42" i="15" s="1"/>
  <c r="BP42" i="15"/>
  <c r="BF34" i="15"/>
  <c r="BG34" i="15" s="1"/>
  <c r="BO34" i="15" s="1"/>
  <c r="BI14" i="15"/>
  <c r="BQ14" i="15" s="1"/>
  <c r="BI38" i="15"/>
  <c r="BQ38" i="15" s="1"/>
  <c r="BP38" i="15"/>
  <c r="BI40" i="15"/>
  <c r="BQ40" i="15" s="1"/>
  <c r="BP40" i="15"/>
  <c r="CH40" i="15" s="1"/>
  <c r="BI91" i="15"/>
  <c r="BJ91" i="15" s="1"/>
  <c r="BR91" i="15" s="1"/>
  <c r="CD98" i="7"/>
  <c r="CL98" i="7" s="1"/>
  <c r="M98" i="22" s="1"/>
  <c r="L27" i="22"/>
  <c r="CO27" i="14"/>
  <c r="U27" i="22" s="1"/>
  <c r="CO30" i="14"/>
  <c r="U30" i="22" s="1"/>
  <c r="F30" i="22"/>
  <c r="L30" i="22"/>
  <c r="L28" i="22"/>
  <c r="CO28" i="14"/>
  <c r="U28" i="22" s="1"/>
  <c r="CO31" i="14"/>
  <c r="U31" i="22" s="1"/>
  <c r="L31" i="22"/>
  <c r="CO29" i="14"/>
  <c r="U29" i="22" s="1"/>
  <c r="L29" i="22"/>
  <c r="CP53" i="7"/>
  <c r="L53" i="22" s="1"/>
  <c r="BN89" i="15"/>
  <c r="BG89" i="15"/>
  <c r="BO89" i="15" s="1"/>
  <c r="BF19" i="15"/>
  <c r="BN19" i="15" s="1"/>
  <c r="BF30" i="15"/>
  <c r="BG30" i="15" s="1"/>
  <c r="BO30" i="15" s="1"/>
  <c r="BI35" i="15"/>
  <c r="BQ35" i="15" s="1"/>
  <c r="BI50" i="15"/>
  <c r="BQ50" i="15" s="1"/>
  <c r="BI69" i="15"/>
  <c r="BJ69" i="15" s="1"/>
  <c r="BR69" i="15" s="1"/>
  <c r="BJ70" i="15"/>
  <c r="BK70" i="15" s="1"/>
  <c r="BS70" i="15" s="1"/>
  <c r="BI87" i="15"/>
  <c r="BQ87" i="15" s="1"/>
  <c r="BI89" i="15"/>
  <c r="BQ89" i="15" s="1"/>
  <c r="BF106" i="15"/>
  <c r="BI120" i="15"/>
  <c r="BQ120" i="15" s="1"/>
  <c r="BP124" i="15"/>
  <c r="BJ132" i="15"/>
  <c r="BK132" i="15" s="1"/>
  <c r="BL132" i="15" s="1"/>
  <c r="BT132" i="15" s="1"/>
  <c r="BF16" i="15"/>
  <c r="BG16" i="15" s="1"/>
  <c r="BO16" i="15" s="1"/>
  <c r="BF20" i="15"/>
  <c r="BF22" i="15"/>
  <c r="BG22" i="15" s="1"/>
  <c r="BO22" i="15" s="1"/>
  <c r="BI31" i="15"/>
  <c r="BQ31" i="15" s="1"/>
  <c r="BI33" i="15"/>
  <c r="BJ33" i="15" s="1"/>
  <c r="BM35" i="15"/>
  <c r="BF36" i="15"/>
  <c r="BG36" i="15" s="1"/>
  <c r="BO36" i="15" s="1"/>
  <c r="BF38" i="15"/>
  <c r="BG38" i="15" s="1"/>
  <c r="BO38" i="15" s="1"/>
  <c r="BP52" i="15"/>
  <c r="BI58" i="15"/>
  <c r="BJ58" i="15" s="1"/>
  <c r="BI59" i="15"/>
  <c r="BF77" i="15"/>
  <c r="BG77" i="15" s="1"/>
  <c r="BO77" i="15" s="1"/>
  <c r="CG77" i="15" s="1"/>
  <c r="CS77" i="15" s="1"/>
  <c r="BG107" i="15"/>
  <c r="BO107" i="15" s="1"/>
  <c r="BI117" i="15"/>
  <c r="BJ117" i="15" s="1"/>
  <c r="BK117" i="15" s="1"/>
  <c r="BF10" i="15"/>
  <c r="BG10" i="15" s="1"/>
  <c r="BO10" i="15" s="1"/>
  <c r="BI22" i="15"/>
  <c r="BQ22" i="15" s="1"/>
  <c r="BF40" i="15"/>
  <c r="BG40" i="15" s="1"/>
  <c r="BO40" i="15" s="1"/>
  <c r="CG40" i="15" s="1"/>
  <c r="BI65" i="15"/>
  <c r="BJ65" i="15" s="1"/>
  <c r="BF75" i="15"/>
  <c r="BN75" i="15" s="1"/>
  <c r="BI77" i="15"/>
  <c r="BJ78" i="15"/>
  <c r="BR78" i="15" s="1"/>
  <c r="BI79" i="15"/>
  <c r="BJ79" i="15" s="1"/>
  <c r="BR79" i="15" s="1"/>
  <c r="BI94" i="15"/>
  <c r="BQ94" i="15" s="1"/>
  <c r="BF99" i="15"/>
  <c r="BN99" i="15" s="1"/>
  <c r="BI25" i="15"/>
  <c r="BJ25" i="15" s="1"/>
  <c r="BF26" i="15"/>
  <c r="BG26" i="15" s="1"/>
  <c r="BO26" i="15" s="1"/>
  <c r="BI45" i="15"/>
  <c r="BJ45" i="15" s="1"/>
  <c r="BF46" i="15"/>
  <c r="BG46" i="15" s="1"/>
  <c r="BO46" i="15" s="1"/>
  <c r="BI62" i="15"/>
  <c r="BQ62" i="15" s="1"/>
  <c r="BM65" i="15"/>
  <c r="CE65" i="15" s="1"/>
  <c r="BP78" i="15"/>
  <c r="BM115" i="15"/>
  <c r="BI11" i="15"/>
  <c r="BJ11" i="15" s="1"/>
  <c r="BG41" i="15"/>
  <c r="BO41" i="15" s="1"/>
  <c r="CG41" i="15" s="1"/>
  <c r="BF52" i="15"/>
  <c r="BF54" i="15"/>
  <c r="BG54" i="15" s="1"/>
  <c r="BO54" i="15" s="1"/>
  <c r="BF91" i="15"/>
  <c r="BI99" i="15"/>
  <c r="BJ99" i="15" s="1"/>
  <c r="BK99" i="15" s="1"/>
  <c r="BF114" i="15"/>
  <c r="BF125" i="15"/>
  <c r="BN125" i="15" s="1"/>
  <c r="BI8" i="14"/>
  <c r="BQ8" i="14" s="1"/>
  <c r="BF18" i="14"/>
  <c r="BG18" i="14" s="1"/>
  <c r="BO18" i="14" s="1"/>
  <c r="BF33" i="14"/>
  <c r="BG33" i="14" s="1"/>
  <c r="BO33" i="14" s="1"/>
  <c r="BI34" i="14"/>
  <c r="BJ34" i="14" s="1"/>
  <c r="BR34" i="14" s="1"/>
  <c r="BF51" i="14"/>
  <c r="BG51" i="14" s="1"/>
  <c r="BO51" i="14" s="1"/>
  <c r="BF52" i="14"/>
  <c r="BQ64" i="14"/>
  <c r="BF69" i="14"/>
  <c r="BG69" i="14" s="1"/>
  <c r="BO69" i="14" s="1"/>
  <c r="BI87" i="14"/>
  <c r="BJ87" i="14" s="1"/>
  <c r="BM121" i="14"/>
  <c r="BF132" i="14"/>
  <c r="BG132" i="14" s="1"/>
  <c r="BO132" i="14" s="1"/>
  <c r="BI13" i="14"/>
  <c r="BJ13" i="14" s="1"/>
  <c r="BF16" i="14"/>
  <c r="BG16" i="14" s="1"/>
  <c r="BO16" i="14" s="1"/>
  <c r="BJ17" i="14"/>
  <c r="BK17" i="14" s="1"/>
  <c r="BL17" i="14" s="1"/>
  <c r="BT17" i="14" s="1"/>
  <c r="BF125" i="14"/>
  <c r="BF10" i="14"/>
  <c r="BG10" i="14" s="1"/>
  <c r="BO10" i="14" s="1"/>
  <c r="BP31" i="14"/>
  <c r="BF43" i="14"/>
  <c r="BG43" i="14" s="1"/>
  <c r="BO43" i="14" s="1"/>
  <c r="BF49" i="14"/>
  <c r="BG49" i="14" s="1"/>
  <c r="BO49" i="14" s="1"/>
  <c r="BI56" i="14"/>
  <c r="BG57" i="14"/>
  <c r="BO57" i="14" s="1"/>
  <c r="BI60" i="14"/>
  <c r="BJ60" i="14" s="1"/>
  <c r="BK60" i="14" s="1"/>
  <c r="BF72" i="14"/>
  <c r="BG72" i="14" s="1"/>
  <c r="BO72" i="14" s="1"/>
  <c r="BI74" i="14"/>
  <c r="BJ74" i="14" s="1"/>
  <c r="BF77" i="14"/>
  <c r="BN77" i="14" s="1"/>
  <c r="BF88" i="14"/>
  <c r="BN88" i="14" s="1"/>
  <c r="BK89" i="14"/>
  <c r="BI90" i="14"/>
  <c r="BJ90" i="14" s="1"/>
  <c r="BM91" i="14"/>
  <c r="BF123" i="14"/>
  <c r="BG123" i="14" s="1"/>
  <c r="BO123" i="14" s="1"/>
  <c r="BF124" i="14"/>
  <c r="BG124" i="14" s="1"/>
  <c r="BO124" i="14" s="1"/>
  <c r="BP130" i="14"/>
  <c r="BM58" i="14"/>
  <c r="BM60" i="14"/>
  <c r="BN61" i="14"/>
  <c r="BP89" i="14"/>
  <c r="BF46" i="14"/>
  <c r="BM55" i="14"/>
  <c r="BI72" i="14"/>
  <c r="BJ77" i="14"/>
  <c r="BP96" i="14"/>
  <c r="BF114" i="14"/>
  <c r="BN114" i="14" s="1"/>
  <c r="BP122" i="14"/>
  <c r="BI124" i="14"/>
  <c r="BJ124" i="14" s="1"/>
  <c r="BR124" i="14" s="1"/>
  <c r="BF55" i="7"/>
  <c r="BG55" i="7" s="1"/>
  <c r="BO55" i="7" s="1"/>
  <c r="CG55" i="7" s="1"/>
  <c r="BO102" i="7"/>
  <c r="BR72" i="7"/>
  <c r="CJ72" i="7" s="1"/>
  <c r="BJ14" i="15"/>
  <c r="BK14" i="15" s="1"/>
  <c r="BL14" i="15" s="1"/>
  <c r="BT14" i="15" s="1"/>
  <c r="BI29" i="15"/>
  <c r="BJ29" i="15" s="1"/>
  <c r="BI67" i="15"/>
  <c r="BJ67" i="15" s="1"/>
  <c r="BF82" i="15"/>
  <c r="BF98" i="15"/>
  <c r="BG98" i="15" s="1"/>
  <c r="BO98" i="15" s="1"/>
  <c r="BI23" i="15"/>
  <c r="BI30" i="15"/>
  <c r="BI37" i="15"/>
  <c r="BI41" i="15"/>
  <c r="BF55" i="15"/>
  <c r="BG55" i="15" s="1"/>
  <c r="BO55" i="15" s="1"/>
  <c r="BF56" i="15"/>
  <c r="BF61" i="15"/>
  <c r="BG61" i="15" s="1"/>
  <c r="BO61" i="15" s="1"/>
  <c r="BF70" i="15"/>
  <c r="BG83" i="15"/>
  <c r="BO83" i="15" s="1"/>
  <c r="CG83" i="15" s="1"/>
  <c r="BF84" i="15"/>
  <c r="BG84" i="15" s="1"/>
  <c r="BO84" i="15" s="1"/>
  <c r="BM92" i="15"/>
  <c r="CE92" i="15" s="1"/>
  <c r="BI93" i="15"/>
  <c r="BJ93" i="15" s="1"/>
  <c r="BR93" i="15" s="1"/>
  <c r="BI96" i="15"/>
  <c r="BJ96" i="15" s="1"/>
  <c r="BJ100" i="15"/>
  <c r="BK100" i="15" s="1"/>
  <c r="BQ106" i="15"/>
  <c r="BI107" i="15"/>
  <c r="BF110" i="15"/>
  <c r="BG110" i="15" s="1"/>
  <c r="BO110" i="15" s="1"/>
  <c r="BI119" i="15"/>
  <c r="BJ119" i="15" s="1"/>
  <c r="BR119" i="15" s="1"/>
  <c r="BF126" i="15"/>
  <c r="BF128" i="15"/>
  <c r="BG128" i="15" s="1"/>
  <c r="BO128" i="15" s="1"/>
  <c r="G147" i="15"/>
  <c r="BF44" i="15"/>
  <c r="BG44" i="15" s="1"/>
  <c r="BO44" i="15" s="1"/>
  <c r="BF69" i="15"/>
  <c r="BG69" i="15" s="1"/>
  <c r="BO69" i="15" s="1"/>
  <c r="BI75" i="15"/>
  <c r="BQ75" i="15" s="1"/>
  <c r="BG87" i="15"/>
  <c r="BO87" i="15" s="1"/>
  <c r="CG87" i="15" s="1"/>
  <c r="CS87" i="15" s="1"/>
  <c r="BJ92" i="15"/>
  <c r="BK92" i="15" s="1"/>
  <c r="BS92" i="15" s="1"/>
  <c r="BF94" i="15"/>
  <c r="BG94" i="15" s="1"/>
  <c r="BO94" i="15" s="1"/>
  <c r="CG94" i="15" s="1"/>
  <c r="CS94" i="15" s="1"/>
  <c r="BF101" i="15"/>
  <c r="BG111" i="15"/>
  <c r="BO111" i="15" s="1"/>
  <c r="BM76" i="15"/>
  <c r="BM93" i="15"/>
  <c r="BP100" i="15"/>
  <c r="BM111" i="15"/>
  <c r="H147" i="15"/>
  <c r="BI76" i="15"/>
  <c r="BI80" i="15"/>
  <c r="BF85" i="15"/>
  <c r="BI97" i="15"/>
  <c r="BF18" i="15"/>
  <c r="BG18" i="15" s="1"/>
  <c r="BO18" i="15" s="1"/>
  <c r="BF24" i="15"/>
  <c r="BG24" i="15" s="1"/>
  <c r="BO24" i="15" s="1"/>
  <c r="BF27" i="15"/>
  <c r="BF32" i="15"/>
  <c r="BG32" i="15" s="1"/>
  <c r="BO32" i="15" s="1"/>
  <c r="BI39" i="15"/>
  <c r="BI51" i="15"/>
  <c r="BI55" i="15"/>
  <c r="BJ55" i="15" s="1"/>
  <c r="BF60" i="15"/>
  <c r="BG60" i="15" s="1"/>
  <c r="BO60" i="15" s="1"/>
  <c r="BI61" i="15"/>
  <c r="BG62" i="15"/>
  <c r="BO62" i="15" s="1"/>
  <c r="BM83" i="15"/>
  <c r="CE83" i="15" s="1"/>
  <c r="BP84" i="15"/>
  <c r="BI85" i="15"/>
  <c r="BJ85" i="15" s="1"/>
  <c r="BJ94" i="15"/>
  <c r="BK94" i="15" s="1"/>
  <c r="BI101" i="15"/>
  <c r="BF103" i="15"/>
  <c r="BF104" i="15"/>
  <c r="BJ109" i="15"/>
  <c r="BR109" i="15" s="1"/>
  <c r="CJ109" i="15" s="1"/>
  <c r="BG115" i="15"/>
  <c r="BO115" i="15" s="1"/>
  <c r="BF117" i="15"/>
  <c r="BG117" i="15" s="1"/>
  <c r="BO117" i="15" s="1"/>
  <c r="BF118" i="15"/>
  <c r="BP122" i="15"/>
  <c r="BI123" i="15"/>
  <c r="BI127" i="15"/>
  <c r="BI128" i="15"/>
  <c r="K147" i="15"/>
  <c r="BI13" i="15"/>
  <c r="BJ13" i="15" s="1"/>
  <c r="BK13" i="15" s="1"/>
  <c r="BI15" i="15"/>
  <c r="BF42" i="15"/>
  <c r="BG42" i="15" s="1"/>
  <c r="BO42" i="15" s="1"/>
  <c r="BI43" i="15"/>
  <c r="BJ43" i="15" s="1"/>
  <c r="BF50" i="15"/>
  <c r="BI125" i="15"/>
  <c r="BP109" i="15"/>
  <c r="BF116" i="15"/>
  <c r="BG116" i="15" s="1"/>
  <c r="BO116" i="15" s="1"/>
  <c r="BJ124" i="15"/>
  <c r="BJ126" i="15"/>
  <c r="BK126" i="15" s="1"/>
  <c r="BG129" i="15"/>
  <c r="BO129" i="15" s="1"/>
  <c r="L147" i="15"/>
  <c r="BM87" i="15"/>
  <c r="BM120" i="15"/>
  <c r="BF12" i="15"/>
  <c r="BI21" i="15"/>
  <c r="BJ21" i="15" s="1"/>
  <c r="BK21" i="15" s="1"/>
  <c r="BI27" i="15"/>
  <c r="BJ27" i="15" s="1"/>
  <c r="BK27" i="15" s="1"/>
  <c r="BF28" i="15"/>
  <c r="BI47" i="15"/>
  <c r="BM63" i="15"/>
  <c r="BF64" i="15"/>
  <c r="BG64" i="15" s="1"/>
  <c r="BO64" i="15" s="1"/>
  <c r="BF66" i="15"/>
  <c r="BG67" i="15"/>
  <c r="BO67" i="15" s="1"/>
  <c r="BI72" i="15"/>
  <c r="BJ72" i="15" s="1"/>
  <c r="BK72" i="15" s="1"/>
  <c r="BI73" i="15"/>
  <c r="BF74" i="15"/>
  <c r="BG74" i="15" s="1"/>
  <c r="BO74" i="15" s="1"/>
  <c r="BG75" i="15"/>
  <c r="BO75" i="15" s="1"/>
  <c r="BK78" i="15"/>
  <c r="BM90" i="15"/>
  <c r="BG92" i="15"/>
  <c r="BO92" i="15" s="1"/>
  <c r="BM102" i="15"/>
  <c r="BI104" i="15"/>
  <c r="BQ104" i="15" s="1"/>
  <c r="BJ105" i="15"/>
  <c r="BK105" i="15" s="1"/>
  <c r="BL105" i="15" s="1"/>
  <c r="BT105" i="15" s="1"/>
  <c r="BI113" i="15"/>
  <c r="BQ113" i="15" s="1"/>
  <c r="BJ118" i="15"/>
  <c r="BR118" i="15" s="1"/>
  <c r="BI121" i="15"/>
  <c r="BN124" i="15"/>
  <c r="BI129" i="15"/>
  <c r="BI131" i="15"/>
  <c r="D147" i="15"/>
  <c r="BK79" i="14"/>
  <c r="BS79" i="14" s="1"/>
  <c r="BR79" i="14"/>
  <c r="BG60" i="14"/>
  <c r="BO60" i="14" s="1"/>
  <c r="BN60" i="14"/>
  <c r="BG55" i="14"/>
  <c r="BO55" i="14" s="1"/>
  <c r="BN55" i="14"/>
  <c r="BI16" i="14"/>
  <c r="BJ16" i="14" s="1"/>
  <c r="BK16" i="14" s="1"/>
  <c r="BI24" i="14"/>
  <c r="BJ24" i="14" s="1"/>
  <c r="BK24" i="14" s="1"/>
  <c r="BR33" i="14"/>
  <c r="BI44" i="14"/>
  <c r="BJ45" i="14"/>
  <c r="BR45" i="14" s="1"/>
  <c r="BI49" i="14"/>
  <c r="BI52" i="14"/>
  <c r="BF53" i="14"/>
  <c r="BJ57" i="14"/>
  <c r="BJ61" i="14"/>
  <c r="BR61" i="14" s="1"/>
  <c r="BI68" i="14"/>
  <c r="BI70" i="14"/>
  <c r="BJ70" i="14" s="1"/>
  <c r="BP77" i="14"/>
  <c r="BM93" i="14"/>
  <c r="BG95" i="14"/>
  <c r="BO95" i="14" s="1"/>
  <c r="BF105" i="14"/>
  <c r="BI117" i="14"/>
  <c r="BQ93" i="14"/>
  <c r="BF13" i="14"/>
  <c r="BG13" i="14" s="1"/>
  <c r="BO13" i="14" s="1"/>
  <c r="BF14" i="14"/>
  <c r="BF21" i="14"/>
  <c r="BG21" i="14" s="1"/>
  <c r="BO21" i="14" s="1"/>
  <c r="BF22" i="14"/>
  <c r="BI28" i="14"/>
  <c r="BJ28" i="14" s="1"/>
  <c r="BK28" i="14" s="1"/>
  <c r="BG29" i="14"/>
  <c r="BO29" i="14" s="1"/>
  <c r="CG29" i="14" s="1"/>
  <c r="BF37" i="14"/>
  <c r="BN37" i="14" s="1"/>
  <c r="BF41" i="14"/>
  <c r="BG41" i="14" s="1"/>
  <c r="BO41" i="14" s="1"/>
  <c r="BM42" i="14"/>
  <c r="BP43" i="14"/>
  <c r="BF76" i="14"/>
  <c r="BM83" i="14"/>
  <c r="BF85" i="14"/>
  <c r="BM87" i="14"/>
  <c r="BI88" i="14"/>
  <c r="BF101" i="14"/>
  <c r="BJ112" i="14"/>
  <c r="BK112" i="14" s="1"/>
  <c r="BI113" i="14"/>
  <c r="BP118" i="14"/>
  <c r="BF122" i="14"/>
  <c r="BG122" i="14" s="1"/>
  <c r="BO122" i="14" s="1"/>
  <c r="BF129" i="14"/>
  <c r="BJ53" i="14"/>
  <c r="BK53" i="14" s="1"/>
  <c r="BS53" i="14" s="1"/>
  <c r="BI54" i="14"/>
  <c r="BJ54" i="14" s="1"/>
  <c r="BP57" i="14"/>
  <c r="BG58" i="14"/>
  <c r="BO58" i="14" s="1"/>
  <c r="BQ83" i="14"/>
  <c r="BP105" i="14"/>
  <c r="BM112" i="14"/>
  <c r="BM131" i="14"/>
  <c r="BI36" i="14"/>
  <c r="BJ36" i="14" s="1"/>
  <c r="BK36" i="14" s="1"/>
  <c r="BI40" i="14"/>
  <c r="BQ40" i="14" s="1"/>
  <c r="BF56" i="14"/>
  <c r="BN56" i="14" s="1"/>
  <c r="BF59" i="14"/>
  <c r="BN59" i="14" s="1"/>
  <c r="CF59" i="14" s="1"/>
  <c r="BF92" i="14"/>
  <c r="BQ132" i="14"/>
  <c r="BF73" i="14"/>
  <c r="BI76" i="14"/>
  <c r="BQ90" i="14"/>
  <c r="BI97" i="14"/>
  <c r="BJ97" i="14" s="1"/>
  <c r="BR97" i="14" s="1"/>
  <c r="BI98" i="14"/>
  <c r="BI102" i="14"/>
  <c r="BP114" i="14"/>
  <c r="BJ128" i="14"/>
  <c r="BK128" i="14" s="1"/>
  <c r="BF117" i="14"/>
  <c r="BI120" i="14"/>
  <c r="BJ120" i="14" s="1"/>
  <c r="BK120" i="14" s="1"/>
  <c r="BJ125" i="14"/>
  <c r="BP129" i="14"/>
  <c r="CP95" i="3"/>
  <c r="Q95" i="22" s="1"/>
  <c r="BM37" i="3"/>
  <c r="BR91" i="3"/>
  <c r="BP37" i="3"/>
  <c r="AA146" i="12"/>
  <c r="AL146" i="12" s="1"/>
  <c r="BM115" i="7"/>
  <c r="BM88" i="7"/>
  <c r="CE88" i="7" s="1"/>
  <c r="CP10" i="7"/>
  <c r="L10" i="22" s="1"/>
  <c r="BP114" i="7"/>
  <c r="BR59" i="7"/>
  <c r="Z146" i="12"/>
  <c r="AK146" i="12" s="1"/>
  <c r="BR71" i="7"/>
  <c r="CJ71" i="7" s="1"/>
  <c r="AH141" i="12"/>
  <c r="AS141" i="12" s="1"/>
  <c r="AA144" i="12"/>
  <c r="AL144" i="12" s="1"/>
  <c r="AB145" i="12"/>
  <c r="AM145" i="12" s="1"/>
  <c r="AB146" i="12"/>
  <c r="AM146" i="12" s="1"/>
  <c r="AB144" i="12"/>
  <c r="AM144" i="12" s="1"/>
  <c r="AC145" i="12"/>
  <c r="AN145" i="12" s="1"/>
  <c r="AC146" i="12"/>
  <c r="AN146" i="12" s="1"/>
  <c r="Z141" i="12"/>
  <c r="AK141" i="12" s="1"/>
  <c r="AC144" i="12"/>
  <c r="AN144" i="12" s="1"/>
  <c r="AD145" i="12"/>
  <c r="AO145" i="12" s="1"/>
  <c r="AD146" i="12"/>
  <c r="AO146" i="12" s="1"/>
  <c r="AA141" i="12"/>
  <c r="AL141" i="12" s="1"/>
  <c r="AB141" i="12"/>
  <c r="AM141" i="12" s="1"/>
  <c r="AH145" i="12"/>
  <c r="AS145" i="12" s="1"/>
  <c r="AH146" i="12"/>
  <c r="AS146" i="12" s="1"/>
  <c r="AC141" i="12"/>
  <c r="AN141" i="12" s="1"/>
  <c r="AD141" i="12"/>
  <c r="AO141" i="12" s="1"/>
  <c r="Z145" i="12"/>
  <c r="AK145" i="12" s="1"/>
  <c r="AT138" i="12"/>
  <c r="AT139" i="12"/>
  <c r="AT170" i="12" s="1"/>
  <c r="AD96" i="16"/>
  <c r="AD143" i="12"/>
  <c r="AO143" i="12" s="1"/>
  <c r="AT137" i="12"/>
  <c r="Z8" i="16"/>
  <c r="Z137" i="12"/>
  <c r="AK137" i="12" s="1"/>
  <c r="Z142" i="12"/>
  <c r="AK142" i="12" s="1"/>
  <c r="AG96" i="16"/>
  <c r="AG143" i="12"/>
  <c r="AR143" i="12" s="1"/>
  <c r="Z7" i="16"/>
  <c r="Z136" i="16" s="1"/>
  <c r="Z136" i="12"/>
  <c r="AK136" i="12" s="1"/>
  <c r="AA7" i="16"/>
  <c r="AA136" i="16" s="1"/>
  <c r="AA136" i="12"/>
  <c r="AL136" i="12" s="1"/>
  <c r="AA8" i="16"/>
  <c r="AA137" i="12"/>
  <c r="AL137" i="12" s="1"/>
  <c r="AA27" i="16"/>
  <c r="AA138" i="12"/>
  <c r="AL138" i="12" s="1"/>
  <c r="AA43" i="16"/>
  <c r="AA140" i="12"/>
  <c r="AL140" i="12" s="1"/>
  <c r="AA142" i="12"/>
  <c r="AL142" i="12" s="1"/>
  <c r="AH143" i="12"/>
  <c r="AS143" i="12" s="1"/>
  <c r="AD144" i="12"/>
  <c r="AO144" i="12" s="1"/>
  <c r="AG119" i="16"/>
  <c r="AG145" i="12"/>
  <c r="AR145" i="12" s="1"/>
  <c r="AG127" i="16"/>
  <c r="AG146" i="12"/>
  <c r="AR146" i="12" s="1"/>
  <c r="AB7" i="16"/>
  <c r="AB136" i="12"/>
  <c r="AM136" i="12" s="1"/>
  <c r="AB8" i="16"/>
  <c r="AB137" i="12"/>
  <c r="AM137" i="12" s="1"/>
  <c r="AB34" i="16"/>
  <c r="AB139" i="12"/>
  <c r="AM139" i="12" s="1"/>
  <c r="AM170" i="12" s="1"/>
  <c r="AB142" i="12"/>
  <c r="AM142" i="12" s="1"/>
  <c r="AG110" i="16"/>
  <c r="AG144" i="12"/>
  <c r="AR144" i="12" s="1"/>
  <c r="AC7" i="16"/>
  <c r="AC136" i="12"/>
  <c r="AN136" i="12" s="1"/>
  <c r="AC8" i="16"/>
  <c r="AC137" i="12"/>
  <c r="AN137" i="12" s="1"/>
  <c r="AC142" i="12"/>
  <c r="AN142" i="12" s="1"/>
  <c r="Z143" i="12"/>
  <c r="AK143" i="12" s="1"/>
  <c r="AH144" i="12"/>
  <c r="AS144" i="12" s="1"/>
  <c r="AT136" i="12"/>
  <c r="AD7" i="16"/>
  <c r="AD136" i="12"/>
  <c r="AO136" i="12" s="1"/>
  <c r="AD8" i="16"/>
  <c r="AD137" i="12"/>
  <c r="AO137" i="12" s="1"/>
  <c r="AD142" i="12"/>
  <c r="AO142" i="12" s="1"/>
  <c r="AA143" i="12"/>
  <c r="AL143" i="12" s="1"/>
  <c r="AG7" i="16"/>
  <c r="AG136" i="12"/>
  <c r="AR136" i="12" s="1"/>
  <c r="AG8" i="16"/>
  <c r="AG137" i="12"/>
  <c r="AR137" i="12" s="1"/>
  <c r="AG27" i="16"/>
  <c r="AU27" i="16" s="1"/>
  <c r="AG138" i="12"/>
  <c r="AR138" i="12" s="1"/>
  <c r="AG34" i="16"/>
  <c r="AG139" i="12"/>
  <c r="AR139" i="12" s="1"/>
  <c r="AR170" i="12" s="1"/>
  <c r="AG43" i="16"/>
  <c r="AG140" i="12"/>
  <c r="AR140" i="12" s="1"/>
  <c r="AG51" i="16"/>
  <c r="AG141" i="12"/>
  <c r="AR141" i="12" s="1"/>
  <c r="AG67" i="16"/>
  <c r="AG142" i="12"/>
  <c r="AR142" i="12" s="1"/>
  <c r="AB143" i="12"/>
  <c r="AM143" i="12" s="1"/>
  <c r="Z144" i="12"/>
  <c r="AK144" i="12" s="1"/>
  <c r="AA119" i="16"/>
  <c r="AA145" i="12"/>
  <c r="AL145" i="12" s="1"/>
  <c r="BA27" i="12"/>
  <c r="AH138" i="12"/>
  <c r="AS138" i="12" s="1"/>
  <c r="BA43" i="12"/>
  <c r="AH140" i="12"/>
  <c r="AS140" i="12" s="1"/>
  <c r="AH142" i="12"/>
  <c r="AS142" i="12" s="1"/>
  <c r="AC143" i="12"/>
  <c r="AN143" i="12" s="1"/>
  <c r="BO18" i="7"/>
  <c r="BM53" i="7"/>
  <c r="BM59" i="7"/>
  <c r="CE59" i="7" s="1"/>
  <c r="BP86" i="7"/>
  <c r="CH86" i="7" s="1"/>
  <c r="BO118" i="7"/>
  <c r="BM41" i="7"/>
  <c r="CE41" i="7" s="1"/>
  <c r="BR67" i="7"/>
  <c r="CJ67" i="7" s="1"/>
  <c r="BO93" i="7"/>
  <c r="CG93" i="7" s="1"/>
  <c r="BQ114" i="7"/>
  <c r="BS41" i="7"/>
  <c r="BQ37" i="7"/>
  <c r="CI37" i="7" s="1"/>
  <c r="BO122" i="7"/>
  <c r="BS90" i="7"/>
  <c r="CK90" i="7" s="1"/>
  <c r="BN62" i="7"/>
  <c r="CF62" i="7" s="1"/>
  <c r="BN93" i="7"/>
  <c r="CF93" i="7" s="1"/>
  <c r="BO75" i="7"/>
  <c r="CG75" i="7" s="1"/>
  <c r="BR93" i="7"/>
  <c r="BM105" i="7"/>
  <c r="BR115" i="7"/>
  <c r="BR121" i="7"/>
  <c r="BM8" i="7"/>
  <c r="CE8" i="7" s="1"/>
  <c r="BQ22" i="7"/>
  <c r="CI22" i="7" s="1"/>
  <c r="BM7" i="7"/>
  <c r="BP28" i="7"/>
  <c r="CH28" i="7" s="1"/>
  <c r="BO37" i="7"/>
  <c r="BR41" i="7"/>
  <c r="BM72" i="7"/>
  <c r="CE72" i="7" s="1"/>
  <c r="BO95" i="7"/>
  <c r="CG95" i="7" s="1"/>
  <c r="BS107" i="7"/>
  <c r="CK107" i="7" s="1"/>
  <c r="BQ122" i="7"/>
  <c r="CI122" i="7" s="1"/>
  <c r="BS37" i="7"/>
  <c r="CK37" i="7" s="1"/>
  <c r="BN96" i="7"/>
  <c r="CF96" i="7" s="1"/>
  <c r="BQ108" i="7"/>
  <c r="BN20" i="3"/>
  <c r="BR69" i="3"/>
  <c r="BP20" i="3"/>
  <c r="BN49" i="3"/>
  <c r="BQ49" i="3"/>
  <c r="BO50" i="3"/>
  <c r="BR72" i="3"/>
  <c r="CJ72" i="3" s="1"/>
  <c r="BM12" i="7"/>
  <c r="BN21" i="7"/>
  <c r="CF21" i="7" s="1"/>
  <c r="BM24" i="7"/>
  <c r="CE24" i="7" s="1"/>
  <c r="BO74" i="7"/>
  <c r="CG74" i="7" s="1"/>
  <c r="BO96" i="7"/>
  <c r="CG96" i="7" s="1"/>
  <c r="BN101" i="7"/>
  <c r="CF101" i="7" s="1"/>
  <c r="BF131" i="7"/>
  <c r="BG131" i="7" s="1"/>
  <c r="BH131" i="7" s="1"/>
  <c r="BI131" i="7" s="1"/>
  <c r="BJ131" i="7" s="1"/>
  <c r="BK131" i="7" s="1"/>
  <c r="BL131" i="7" s="1"/>
  <c r="BT131" i="7" s="1"/>
  <c r="CL131" i="7" s="1"/>
  <c r="M131" i="22" s="1"/>
  <c r="BO12" i="7"/>
  <c r="BP21" i="7"/>
  <c r="BN29" i="7"/>
  <c r="CF29" i="7" s="1"/>
  <c r="BN34" i="7"/>
  <c r="CF34" i="7" s="1"/>
  <c r="BM66" i="7"/>
  <c r="BQ71" i="7"/>
  <c r="CI71" i="7" s="1"/>
  <c r="BM79" i="7"/>
  <c r="CE79" i="7" s="1"/>
  <c r="BR96" i="7"/>
  <c r="CJ96" i="7" s="1"/>
  <c r="BR106" i="7"/>
  <c r="BN118" i="7"/>
  <c r="BM122" i="7"/>
  <c r="CE122" i="7" s="1"/>
  <c r="BQ12" i="7"/>
  <c r="CI12" i="7" s="1"/>
  <c r="BP18" i="7"/>
  <c r="BM22" i="7"/>
  <c r="CE22" i="7" s="1"/>
  <c r="BM26" i="7"/>
  <c r="CE26" i="7" s="1"/>
  <c r="BM35" i="7"/>
  <c r="CE35" i="7" s="1"/>
  <c r="BP42" i="7"/>
  <c r="CH42" i="7" s="1"/>
  <c r="BM67" i="7"/>
  <c r="CE67" i="7" s="1"/>
  <c r="BS75" i="7"/>
  <c r="CK75" i="7" s="1"/>
  <c r="BP80" i="7"/>
  <c r="CH80" i="7" s="1"/>
  <c r="BN86" i="7"/>
  <c r="BP102" i="7"/>
  <c r="CH102" i="7" s="1"/>
  <c r="BQ107" i="7"/>
  <c r="CI107" i="7" s="1"/>
  <c r="BO111" i="7"/>
  <c r="BQ115" i="7"/>
  <c r="BP122" i="7"/>
  <c r="BM128" i="7"/>
  <c r="CE128" i="7" s="1"/>
  <c r="BM14" i="7"/>
  <c r="CE14" i="7" s="1"/>
  <c r="BP19" i="7"/>
  <c r="BR22" i="7"/>
  <c r="CJ22" i="7" s="1"/>
  <c r="BM27" i="7"/>
  <c r="CE27" i="7" s="1"/>
  <c r="BO36" i="7"/>
  <c r="CG36" i="7" s="1"/>
  <c r="BR40" i="7"/>
  <c r="CJ40" i="7" s="1"/>
  <c r="BO92" i="7"/>
  <c r="BM129" i="7"/>
  <c r="CE129" i="7" s="1"/>
  <c r="BN11" i="7"/>
  <c r="CF11" i="7" s="1"/>
  <c r="BR32" i="7"/>
  <c r="BM77" i="7"/>
  <c r="CE77" i="7" s="1"/>
  <c r="BM82" i="7"/>
  <c r="CE82" i="7" s="1"/>
  <c r="BM96" i="7"/>
  <c r="CE96" i="7" s="1"/>
  <c r="BN100" i="7"/>
  <c r="CF100" i="7" s="1"/>
  <c r="BM108" i="7"/>
  <c r="BQ116" i="7"/>
  <c r="BQ121" i="7"/>
  <c r="AQ33" i="12"/>
  <c r="AO27" i="12"/>
  <c r="BO14" i="7"/>
  <c r="CG14" i="7" s="1"/>
  <c r="BR18" i="7"/>
  <c r="CJ18" i="7" s="1"/>
  <c r="BR25" i="7"/>
  <c r="CJ25" i="7" s="1"/>
  <c r="BN33" i="7"/>
  <c r="BP34" i="7"/>
  <c r="BM43" i="7"/>
  <c r="CE43" i="7" s="1"/>
  <c r="BS47" i="7"/>
  <c r="CK47" i="7" s="1"/>
  <c r="BN58" i="7"/>
  <c r="CF58" i="7" s="1"/>
  <c r="BQ66" i="7"/>
  <c r="CI66" i="7" s="1"/>
  <c r="BS71" i="7"/>
  <c r="CK71" i="7" s="1"/>
  <c r="BO73" i="7"/>
  <c r="CG73" i="7" s="1"/>
  <c r="BN81" i="7"/>
  <c r="BM85" i="7"/>
  <c r="CE85" i="7" s="1"/>
  <c r="BQ93" i="7"/>
  <c r="CI93" i="7" s="1"/>
  <c r="BR99" i="7"/>
  <c r="CJ99" i="7" s="1"/>
  <c r="BQ102" i="7"/>
  <c r="CI102" i="7" s="1"/>
  <c r="BN110" i="7"/>
  <c r="BR114" i="7"/>
  <c r="BS125" i="7"/>
  <c r="CK125" i="7" s="1"/>
  <c r="AQ8" i="12"/>
  <c r="AN40" i="12"/>
  <c r="BO33" i="7"/>
  <c r="CG33" i="7" s="1"/>
  <c r="BQ34" i="7"/>
  <c r="CI34" i="7" s="1"/>
  <c r="BP43" i="7"/>
  <c r="BR66" i="7"/>
  <c r="CJ66" i="7" s="1"/>
  <c r="BP81" i="7"/>
  <c r="CH81" i="7" s="1"/>
  <c r="BN85" i="7"/>
  <c r="CF85" i="7" s="1"/>
  <c r="AO10" i="12"/>
  <c r="AR48" i="12"/>
  <c r="BP33" i="7"/>
  <c r="CH33" i="7" s="1"/>
  <c r="BR34" i="7"/>
  <c r="CJ34" i="7" s="1"/>
  <c r="BS66" i="7"/>
  <c r="CK66" i="7" s="1"/>
  <c r="BS81" i="7"/>
  <c r="CK81" i="7" s="1"/>
  <c r="BP85" i="7"/>
  <c r="CH85" i="7" s="1"/>
  <c r="AR11" i="12"/>
  <c r="AQ61" i="12"/>
  <c r="BR9" i="7"/>
  <c r="CJ9" i="7" s="1"/>
  <c r="BM16" i="7"/>
  <c r="BQ19" i="7"/>
  <c r="CI19" i="7" s="1"/>
  <c r="BQ33" i="7"/>
  <c r="CI33" i="7" s="1"/>
  <c r="BP44" i="7"/>
  <c r="CH44" i="7" s="1"/>
  <c r="BM49" i="7"/>
  <c r="CE49" i="7" s="1"/>
  <c r="BN59" i="7"/>
  <c r="CF59" i="7" s="1"/>
  <c r="BN71" i="7"/>
  <c r="BN72" i="7"/>
  <c r="CF72" i="7" s="1"/>
  <c r="BS85" i="7"/>
  <c r="CK85" i="7" s="1"/>
  <c r="BN88" i="7"/>
  <c r="BQ92" i="7"/>
  <c r="CI92" i="7" s="1"/>
  <c r="BO94" i="7"/>
  <c r="CG94" i="7" s="1"/>
  <c r="BN115" i="7"/>
  <c r="BM117" i="7"/>
  <c r="BN121" i="7"/>
  <c r="AQ13" i="12"/>
  <c r="AP74" i="12"/>
  <c r="BR33" i="7"/>
  <c r="CJ33" i="7" s="1"/>
  <c r="BP59" i="7"/>
  <c r="CH59" i="7" s="1"/>
  <c r="BO71" i="7"/>
  <c r="CG71" i="7" s="1"/>
  <c r="BP72" i="7"/>
  <c r="CH72" i="7" s="1"/>
  <c r="BR88" i="7"/>
  <c r="CJ88" i="7" s="1"/>
  <c r="BP94" i="7"/>
  <c r="BO115" i="7"/>
  <c r="BO121" i="7"/>
  <c r="AO16" i="12"/>
  <c r="AO87" i="12"/>
  <c r="BN10" i="7"/>
  <c r="CF10" i="7" s="1"/>
  <c r="BN13" i="7"/>
  <c r="CF13" i="7" s="1"/>
  <c r="BP27" i="7"/>
  <c r="CH27" i="7" s="1"/>
  <c r="BS33" i="7"/>
  <c r="BQ35" i="7"/>
  <c r="CI35" i="7" s="1"/>
  <c r="BM42" i="7"/>
  <c r="CE42" i="7" s="1"/>
  <c r="BN45" i="7"/>
  <c r="CF45" i="7" s="1"/>
  <c r="BM50" i="7"/>
  <c r="CE50" i="7" s="1"/>
  <c r="BQ59" i="7"/>
  <c r="CI59" i="7" s="1"/>
  <c r="BN67" i="7"/>
  <c r="CF67" i="7" s="1"/>
  <c r="BP71" i="7"/>
  <c r="CH71" i="7" s="1"/>
  <c r="BQ72" i="7"/>
  <c r="CI72" i="7" s="1"/>
  <c r="BR75" i="7"/>
  <c r="CJ75" i="7" s="1"/>
  <c r="BM86" i="7"/>
  <c r="CE86" i="7" s="1"/>
  <c r="BM93" i="7"/>
  <c r="CE93" i="7" s="1"/>
  <c r="BQ94" i="7"/>
  <c r="CI94" i="7" s="1"/>
  <c r="BS105" i="7"/>
  <c r="CK105" i="7" s="1"/>
  <c r="BP115" i="7"/>
  <c r="BM118" i="7"/>
  <c r="BP121" i="7"/>
  <c r="BN128" i="7"/>
  <c r="CF128" i="7" s="1"/>
  <c r="AR20" i="12"/>
  <c r="AC79" i="16"/>
  <c r="AQ79" i="16" s="1"/>
  <c r="AQ79" i="12"/>
  <c r="AC87" i="16"/>
  <c r="AQ87" i="16" s="1"/>
  <c r="AQ87" i="12"/>
  <c r="AA93" i="16"/>
  <c r="AO93" i="16" s="1"/>
  <c r="AO93" i="12"/>
  <c r="AA109" i="16"/>
  <c r="AO109" i="16" s="1"/>
  <c r="AO109" i="12"/>
  <c r="AC111" i="16"/>
  <c r="AQ111" i="16" s="1"/>
  <c r="AQ111" i="12"/>
  <c r="AA117" i="16"/>
  <c r="AO117" i="16" s="1"/>
  <c r="AO117" i="12"/>
  <c r="Z124" i="16"/>
  <c r="AN124" i="16" s="1"/>
  <c r="AN124" i="12"/>
  <c r="AC16" i="16"/>
  <c r="AQ16" i="16" s="1"/>
  <c r="AQ16" i="12"/>
  <c r="AC24" i="16"/>
  <c r="AQ24" i="16" s="1"/>
  <c r="AQ24" i="12"/>
  <c r="AC27" i="16"/>
  <c r="AQ27" i="12"/>
  <c r="AC30" i="16"/>
  <c r="AQ30" i="16" s="1"/>
  <c r="AQ30" i="12"/>
  <c r="AC40" i="16"/>
  <c r="AQ40" i="16" s="1"/>
  <c r="AQ40" i="12"/>
  <c r="AC42" i="16"/>
  <c r="AQ42" i="16" s="1"/>
  <c r="AQ42" i="12"/>
  <c r="AC46" i="16"/>
  <c r="AQ46" i="16" s="1"/>
  <c r="AQ46" i="12"/>
  <c r="AC56" i="16"/>
  <c r="AQ56" i="16" s="1"/>
  <c r="AQ56" i="12"/>
  <c r="AC58" i="16"/>
  <c r="AQ58" i="16" s="1"/>
  <c r="AQ58" i="12"/>
  <c r="AD68" i="16"/>
  <c r="AR68" i="16" s="1"/>
  <c r="AR68" i="12"/>
  <c r="Z72" i="16"/>
  <c r="AN72" i="16" s="1"/>
  <c r="AN72" i="12"/>
  <c r="AC75" i="16"/>
  <c r="AQ75" i="16" s="1"/>
  <c r="AQ75" i="12"/>
  <c r="AA89" i="16"/>
  <c r="AO89" i="16" s="1"/>
  <c r="AO89" i="12"/>
  <c r="AD92" i="16"/>
  <c r="AR92" i="16" s="1"/>
  <c r="AR92" i="12"/>
  <c r="AO7" i="12"/>
  <c r="Z61" i="16"/>
  <c r="AN61" i="16" s="1"/>
  <c r="AN61" i="12"/>
  <c r="AA62" i="16"/>
  <c r="AO62" i="16" s="1"/>
  <c r="AO62" i="12"/>
  <c r="AB63" i="16"/>
  <c r="AP63" i="16" s="1"/>
  <c r="AP63" i="12"/>
  <c r="AC64" i="16"/>
  <c r="AQ64" i="16" s="1"/>
  <c r="AQ64" i="12"/>
  <c r="AD65" i="16"/>
  <c r="AR65" i="16" s="1"/>
  <c r="AR65" i="12"/>
  <c r="Z69" i="16"/>
  <c r="AN69" i="16" s="1"/>
  <c r="AN69" i="12"/>
  <c r="AA70" i="16"/>
  <c r="AO70" i="16" s="1"/>
  <c r="AO70" i="12"/>
  <c r="AB71" i="16"/>
  <c r="AP71" i="16" s="1"/>
  <c r="AP71" i="12"/>
  <c r="AC72" i="16"/>
  <c r="AQ72" i="16" s="1"/>
  <c r="AQ72" i="12"/>
  <c r="AD73" i="16"/>
  <c r="AR73" i="16" s="1"/>
  <c r="AR73" i="12"/>
  <c r="Z77" i="16"/>
  <c r="AN77" i="16" s="1"/>
  <c r="AN77" i="12"/>
  <c r="AA78" i="16"/>
  <c r="AO78" i="16" s="1"/>
  <c r="AO78" i="12"/>
  <c r="AB79" i="16"/>
  <c r="AP79" i="16" s="1"/>
  <c r="AP79" i="12"/>
  <c r="AC80" i="16"/>
  <c r="AQ80" i="16" s="1"/>
  <c r="AQ80" i="12"/>
  <c r="AD81" i="16"/>
  <c r="AR81" i="16" s="1"/>
  <c r="AR81" i="12"/>
  <c r="Z85" i="16"/>
  <c r="AN85" i="16" s="1"/>
  <c r="AN85" i="12"/>
  <c r="AA86" i="16"/>
  <c r="AO86" i="16" s="1"/>
  <c r="AO86" i="12"/>
  <c r="AB87" i="16"/>
  <c r="AP87" i="16" s="1"/>
  <c r="AP87" i="12"/>
  <c r="AC88" i="16"/>
  <c r="AQ88" i="16" s="1"/>
  <c r="AQ88" i="12"/>
  <c r="AD89" i="16"/>
  <c r="AR89" i="16" s="1"/>
  <c r="AR89" i="12"/>
  <c r="Z93" i="16"/>
  <c r="AN93" i="16" s="1"/>
  <c r="AN93" i="12"/>
  <c r="AA94" i="16"/>
  <c r="AO94" i="16" s="1"/>
  <c r="AO94" i="12"/>
  <c r="AB95" i="16"/>
  <c r="AP95" i="16" s="1"/>
  <c r="AP95" i="12"/>
  <c r="AC96" i="16"/>
  <c r="AQ96" i="12"/>
  <c r="AD97" i="16"/>
  <c r="AR97" i="16" s="1"/>
  <c r="AR97" i="12"/>
  <c r="Z101" i="16"/>
  <c r="AN101" i="16" s="1"/>
  <c r="AN101" i="12"/>
  <c r="AA102" i="16"/>
  <c r="AO102" i="16" s="1"/>
  <c r="AO102" i="12"/>
  <c r="AB103" i="16"/>
  <c r="AP103" i="16" s="1"/>
  <c r="AP103" i="12"/>
  <c r="AC104" i="16"/>
  <c r="AQ104" i="16" s="1"/>
  <c r="AQ104" i="12"/>
  <c r="AD105" i="16"/>
  <c r="AR105" i="16" s="1"/>
  <c r="AR105" i="12"/>
  <c r="Z109" i="16"/>
  <c r="AN109" i="16" s="1"/>
  <c r="AN109" i="12"/>
  <c r="AA110" i="16"/>
  <c r="AO110" i="12"/>
  <c r="AB111" i="16"/>
  <c r="AP111" i="16" s="1"/>
  <c r="AP111" i="12"/>
  <c r="AC112" i="16"/>
  <c r="AQ112" i="16" s="1"/>
  <c r="AQ112" i="12"/>
  <c r="AD113" i="16"/>
  <c r="AR113" i="16" s="1"/>
  <c r="AR113" i="12"/>
  <c r="Z117" i="16"/>
  <c r="AN117" i="16" s="1"/>
  <c r="AN117" i="12"/>
  <c r="AA118" i="16"/>
  <c r="AO118" i="16" s="1"/>
  <c r="AO118" i="12"/>
  <c r="AB119" i="16"/>
  <c r="AP119" i="12"/>
  <c r="AC120" i="16"/>
  <c r="AQ120" i="16" s="1"/>
  <c r="AQ120" i="12"/>
  <c r="AD121" i="16"/>
  <c r="AR121" i="16" s="1"/>
  <c r="AR121" i="12"/>
  <c r="Z125" i="16"/>
  <c r="AN125" i="16" s="1"/>
  <c r="AN125" i="12"/>
  <c r="AA126" i="16"/>
  <c r="AO126" i="16" s="1"/>
  <c r="AO126" i="12"/>
  <c r="AB127" i="16"/>
  <c r="AP127" i="12"/>
  <c r="AC128" i="16"/>
  <c r="AQ128" i="16" s="1"/>
  <c r="AQ128" i="12"/>
  <c r="AD129" i="16"/>
  <c r="AR129" i="16" s="1"/>
  <c r="AR129" i="12"/>
  <c r="BP50" i="3"/>
  <c r="CH50" i="3" s="1"/>
  <c r="BO69" i="3"/>
  <c r="CG69" i="3" s="1"/>
  <c r="AP8" i="12"/>
  <c r="AN10" i="12"/>
  <c r="AQ11" i="12"/>
  <c r="AP13" i="12"/>
  <c r="AN16" i="12"/>
  <c r="AN20" i="12"/>
  <c r="AP26" i="12"/>
  <c r="AR32" i="12"/>
  <c r="AO39" i="12"/>
  <c r="AO47" i="12"/>
  <c r="AN60" i="12"/>
  <c r="AR72" i="12"/>
  <c r="AQ85" i="12"/>
  <c r="AP98" i="12"/>
  <c r="AO111" i="12"/>
  <c r="AO128" i="12"/>
  <c r="AB94" i="16"/>
  <c r="AP94" i="16" s="1"/>
  <c r="AP94" i="12"/>
  <c r="AD128" i="16"/>
  <c r="AR128" i="16" s="1"/>
  <c r="AR128" i="12"/>
  <c r="Z14" i="16"/>
  <c r="AN14" i="16" s="1"/>
  <c r="AN14" i="12"/>
  <c r="Z15" i="16"/>
  <c r="AN15" i="16" s="1"/>
  <c r="AN15" i="12"/>
  <c r="Z18" i="16"/>
  <c r="AN18" i="16" s="1"/>
  <c r="AN18" i="12"/>
  <c r="Z19" i="16"/>
  <c r="AN19" i="16" s="1"/>
  <c r="AN19" i="12"/>
  <c r="Z21" i="16"/>
  <c r="AN21" i="16" s="1"/>
  <c r="AN21" i="12"/>
  <c r="Z22" i="16"/>
  <c r="AN22" i="16" s="1"/>
  <c r="AN22" i="12"/>
  <c r="Z23" i="16"/>
  <c r="AN23" i="16" s="1"/>
  <c r="AN23" i="12"/>
  <c r="Z25" i="16"/>
  <c r="AN25" i="16" s="1"/>
  <c r="AN25" i="12"/>
  <c r="Z26" i="16"/>
  <c r="AN26" i="16" s="1"/>
  <c r="AN26" i="12"/>
  <c r="Z27" i="16"/>
  <c r="AN27" i="12"/>
  <c r="Z29" i="16"/>
  <c r="AN29" i="16" s="1"/>
  <c r="AN29" i="12"/>
  <c r="Z30" i="16"/>
  <c r="AN30" i="16" s="1"/>
  <c r="AN30" i="12"/>
  <c r="Z31" i="16"/>
  <c r="AN31" i="16" s="1"/>
  <c r="AN31" i="12"/>
  <c r="Z33" i="16"/>
  <c r="AN33" i="16" s="1"/>
  <c r="AN33" i="12"/>
  <c r="Z34" i="16"/>
  <c r="AN34" i="12"/>
  <c r="Z35" i="16"/>
  <c r="AN35" i="16" s="1"/>
  <c r="AN35" i="12"/>
  <c r="Z37" i="16"/>
  <c r="AN37" i="16" s="1"/>
  <c r="AN37" i="12"/>
  <c r="Z38" i="16"/>
  <c r="AN38" i="16" s="1"/>
  <c r="AN38" i="12"/>
  <c r="Z39" i="16"/>
  <c r="AN39" i="16" s="1"/>
  <c r="AN39" i="12"/>
  <c r="Z41" i="16"/>
  <c r="AN41" i="16" s="1"/>
  <c r="AN41" i="12"/>
  <c r="Z42" i="16"/>
  <c r="AN42" i="16" s="1"/>
  <c r="AN42" i="12"/>
  <c r="Z43" i="16"/>
  <c r="AN43" i="12"/>
  <c r="Z45" i="16"/>
  <c r="AN45" i="16" s="1"/>
  <c r="AN45" i="12"/>
  <c r="Z46" i="16"/>
  <c r="AN46" i="16" s="1"/>
  <c r="AN46" i="12"/>
  <c r="Z47" i="16"/>
  <c r="AN47" i="16" s="1"/>
  <c r="AN47" i="12"/>
  <c r="Z48" i="16"/>
  <c r="AN48" i="16" s="1"/>
  <c r="AN48" i="12"/>
  <c r="Z49" i="16"/>
  <c r="AN49" i="16" s="1"/>
  <c r="AN49" i="12"/>
  <c r="Z50" i="16"/>
  <c r="AN50" i="16" s="1"/>
  <c r="AN50" i="12"/>
  <c r="Z51" i="16"/>
  <c r="AN51" i="12"/>
  <c r="Z53" i="16"/>
  <c r="AN53" i="16" s="1"/>
  <c r="AN53" i="12"/>
  <c r="Z54" i="16"/>
  <c r="AN54" i="16" s="1"/>
  <c r="AN54" i="12"/>
  <c r="Z55" i="16"/>
  <c r="AN55" i="16" s="1"/>
  <c r="AN55" i="12"/>
  <c r="Z56" i="16"/>
  <c r="AN56" i="16" s="1"/>
  <c r="AN56" i="12"/>
  <c r="Z57" i="16"/>
  <c r="AN57" i="16" s="1"/>
  <c r="AN57" i="12"/>
  <c r="Z58" i="16"/>
  <c r="AN58" i="16" s="1"/>
  <c r="AN58" i="12"/>
  <c r="Z59" i="16"/>
  <c r="AN59" i="16" s="1"/>
  <c r="AN59" i="12"/>
  <c r="AA60" i="16"/>
  <c r="AO60" i="16" s="1"/>
  <c r="AO60" i="12"/>
  <c r="AB61" i="16"/>
  <c r="AP61" i="16" s="1"/>
  <c r="AP61" i="12"/>
  <c r="AC62" i="16"/>
  <c r="AQ62" i="16" s="1"/>
  <c r="AQ62" i="12"/>
  <c r="AD63" i="16"/>
  <c r="AR63" i="16" s="1"/>
  <c r="AR63" i="12"/>
  <c r="Z67" i="16"/>
  <c r="AN67" i="12"/>
  <c r="AA68" i="16"/>
  <c r="AO68" i="16" s="1"/>
  <c r="AO68" i="12"/>
  <c r="AB69" i="16"/>
  <c r="AP69" i="16" s="1"/>
  <c r="AP69" i="12"/>
  <c r="AC70" i="16"/>
  <c r="AQ70" i="16" s="1"/>
  <c r="AQ70" i="12"/>
  <c r="AD71" i="16"/>
  <c r="AR71" i="16" s="1"/>
  <c r="AR71" i="12"/>
  <c r="Z75" i="16"/>
  <c r="AN75" i="16" s="1"/>
  <c r="AN75" i="12"/>
  <c r="AA76" i="16"/>
  <c r="AO76" i="16" s="1"/>
  <c r="AO76" i="12"/>
  <c r="AB77" i="16"/>
  <c r="AP77" i="16" s="1"/>
  <c r="AP77" i="12"/>
  <c r="AC78" i="16"/>
  <c r="AQ78" i="16" s="1"/>
  <c r="AQ78" i="12"/>
  <c r="AD79" i="16"/>
  <c r="AR79" i="16" s="1"/>
  <c r="AR79" i="12"/>
  <c r="Z83" i="16"/>
  <c r="AN83" i="16" s="1"/>
  <c r="AN83" i="12"/>
  <c r="AA84" i="16"/>
  <c r="AO84" i="16" s="1"/>
  <c r="AO84" i="12"/>
  <c r="AB85" i="16"/>
  <c r="AP85" i="16" s="1"/>
  <c r="AP85" i="12"/>
  <c r="AC86" i="16"/>
  <c r="AQ86" i="16" s="1"/>
  <c r="AQ86" i="12"/>
  <c r="AD87" i="16"/>
  <c r="AR87" i="16" s="1"/>
  <c r="AR87" i="12"/>
  <c r="Z91" i="16"/>
  <c r="AN91" i="16" s="1"/>
  <c r="AN91" i="12"/>
  <c r="AA92" i="16"/>
  <c r="AO92" i="16" s="1"/>
  <c r="AO92" i="12"/>
  <c r="AB93" i="16"/>
  <c r="AP93" i="16" s="1"/>
  <c r="AP93" i="12"/>
  <c r="AC94" i="16"/>
  <c r="AQ94" i="16" s="1"/>
  <c r="AQ94" i="12"/>
  <c r="AD95" i="16"/>
  <c r="AR95" i="16" s="1"/>
  <c r="AR95" i="12"/>
  <c r="Z99" i="16"/>
  <c r="AN99" i="16" s="1"/>
  <c r="AN99" i="12"/>
  <c r="AA100" i="16"/>
  <c r="AO100" i="16" s="1"/>
  <c r="AO100" i="12"/>
  <c r="AB101" i="16"/>
  <c r="AP101" i="16" s="1"/>
  <c r="AP101" i="12"/>
  <c r="AC102" i="16"/>
  <c r="AQ102" i="16" s="1"/>
  <c r="AQ102" i="12"/>
  <c r="AD103" i="16"/>
  <c r="AR103" i="16" s="1"/>
  <c r="AR103" i="12"/>
  <c r="Z107" i="16"/>
  <c r="AN107" i="16" s="1"/>
  <c r="AN107" i="12"/>
  <c r="AA108" i="16"/>
  <c r="AO108" i="16" s="1"/>
  <c r="AO108" i="12"/>
  <c r="AB109" i="16"/>
  <c r="AP109" i="16" s="1"/>
  <c r="AP109" i="12"/>
  <c r="AC110" i="16"/>
  <c r="AQ110" i="12"/>
  <c r="AD111" i="16"/>
  <c r="AR111" i="16" s="1"/>
  <c r="AR111" i="12"/>
  <c r="Z115" i="16"/>
  <c r="AN115" i="16" s="1"/>
  <c r="AN115" i="12"/>
  <c r="AA116" i="16"/>
  <c r="AO116" i="16" s="1"/>
  <c r="AO116" i="12"/>
  <c r="AB117" i="16"/>
  <c r="AP117" i="16" s="1"/>
  <c r="AP117" i="12"/>
  <c r="AC118" i="16"/>
  <c r="AQ118" i="16" s="1"/>
  <c r="AQ118" i="12"/>
  <c r="AD119" i="16"/>
  <c r="AR119" i="12"/>
  <c r="Z123" i="16"/>
  <c r="AN123" i="16" s="1"/>
  <c r="AN123" i="12"/>
  <c r="AA124" i="16"/>
  <c r="AO124" i="16" s="1"/>
  <c r="AO124" i="12"/>
  <c r="AB125" i="16"/>
  <c r="AP125" i="16" s="1"/>
  <c r="AP125" i="12"/>
  <c r="AC126" i="16"/>
  <c r="AQ126" i="16" s="1"/>
  <c r="AQ126" i="12"/>
  <c r="AD127" i="16"/>
  <c r="AR127" i="12"/>
  <c r="Z131" i="16"/>
  <c r="AN131" i="16" s="1"/>
  <c r="AN131" i="12"/>
  <c r="AA132" i="16"/>
  <c r="AO132" i="16" s="1"/>
  <c r="AO132" i="12"/>
  <c r="BO48" i="3"/>
  <c r="BM66" i="3"/>
  <c r="AR8" i="12"/>
  <c r="AP10" i="12"/>
  <c r="AN12" i="12"/>
  <c r="AR13" i="12"/>
  <c r="AR16" i="12"/>
  <c r="AQ21" i="12"/>
  <c r="AN28" i="12"/>
  <c r="AP34" i="12"/>
  <c r="AR40" i="12"/>
  <c r="AP50" i="12"/>
  <c r="AO63" i="12"/>
  <c r="AN76" i="12"/>
  <c r="AR88" i="12"/>
  <c r="AQ101" i="12"/>
  <c r="AP114" i="12"/>
  <c r="AB70" i="16"/>
  <c r="AP70" i="16" s="1"/>
  <c r="AP70" i="12"/>
  <c r="AA85" i="16"/>
  <c r="AO85" i="16" s="1"/>
  <c r="AO85" i="12"/>
  <c r="AC95" i="16"/>
  <c r="AQ95" i="16" s="1"/>
  <c r="AQ95" i="12"/>
  <c r="AA101" i="16"/>
  <c r="AO101" i="16" s="1"/>
  <c r="AO101" i="12"/>
  <c r="AB110" i="16"/>
  <c r="AP110" i="12"/>
  <c r="AA13" i="16"/>
  <c r="AO13" i="16" s="1"/>
  <c r="AO13" i="12"/>
  <c r="AA17" i="16"/>
  <c r="AO17" i="16" s="1"/>
  <c r="AO17" i="12"/>
  <c r="AA18" i="16"/>
  <c r="AO18" i="16" s="1"/>
  <c r="AO18" i="12"/>
  <c r="AA20" i="16"/>
  <c r="AO20" i="16" s="1"/>
  <c r="AO20" i="12"/>
  <c r="AA21" i="16"/>
  <c r="AO21" i="16" s="1"/>
  <c r="AO21" i="12"/>
  <c r="AA22" i="16"/>
  <c r="AO22" i="16" s="1"/>
  <c r="AO22" i="12"/>
  <c r="AA24" i="16"/>
  <c r="AO24" i="16" s="1"/>
  <c r="AO24" i="12"/>
  <c r="AA25" i="16"/>
  <c r="AO25" i="16" s="1"/>
  <c r="AO25" i="12"/>
  <c r="AA26" i="16"/>
  <c r="AO26" i="16" s="1"/>
  <c r="AO26" i="12"/>
  <c r="AA28" i="16"/>
  <c r="AO28" i="16" s="1"/>
  <c r="AO28" i="12"/>
  <c r="AA29" i="16"/>
  <c r="AO29" i="16" s="1"/>
  <c r="AO29" i="12"/>
  <c r="AA30" i="16"/>
  <c r="AO30" i="16" s="1"/>
  <c r="AO30" i="12"/>
  <c r="AA32" i="16"/>
  <c r="AO32" i="16" s="1"/>
  <c r="AO32" i="12"/>
  <c r="AA33" i="16"/>
  <c r="AO33" i="16" s="1"/>
  <c r="AO33" i="12"/>
  <c r="AA34" i="16"/>
  <c r="AO34" i="12"/>
  <c r="AA36" i="16"/>
  <c r="AO36" i="16" s="1"/>
  <c r="AO36" i="12"/>
  <c r="AA37" i="16"/>
  <c r="AO37" i="16" s="1"/>
  <c r="AO37" i="12"/>
  <c r="AA38" i="16"/>
  <c r="AO38" i="16" s="1"/>
  <c r="AO38" i="12"/>
  <c r="AA40" i="16"/>
  <c r="AO40" i="16" s="1"/>
  <c r="AO40" i="12"/>
  <c r="AA41" i="16"/>
  <c r="AO41" i="16" s="1"/>
  <c r="AO41" i="12"/>
  <c r="AA42" i="16"/>
  <c r="AO42" i="16" s="1"/>
  <c r="AO42" i="12"/>
  <c r="AA44" i="16"/>
  <c r="AO44" i="16" s="1"/>
  <c r="AO44" i="12"/>
  <c r="AA45" i="16"/>
  <c r="AO45" i="16" s="1"/>
  <c r="AO45" i="12"/>
  <c r="AA46" i="16"/>
  <c r="AO46" i="16" s="1"/>
  <c r="AO46" i="12"/>
  <c r="AA48" i="16"/>
  <c r="AO48" i="16" s="1"/>
  <c r="AO48" i="12"/>
  <c r="AA49" i="16"/>
  <c r="AO49" i="16" s="1"/>
  <c r="AO49" i="12"/>
  <c r="AA50" i="16"/>
  <c r="AO50" i="16" s="1"/>
  <c r="AO50" i="12"/>
  <c r="AA51" i="16"/>
  <c r="AO51" i="12"/>
  <c r="AA52" i="16"/>
  <c r="AO52" i="16" s="1"/>
  <c r="AO52" i="12"/>
  <c r="AA53" i="16"/>
  <c r="AO53" i="16" s="1"/>
  <c r="AO53" i="12"/>
  <c r="AA54" i="16"/>
  <c r="AO54" i="16" s="1"/>
  <c r="AO54" i="12"/>
  <c r="AA56" i="16"/>
  <c r="AO56" i="16" s="1"/>
  <c r="AO56" i="12"/>
  <c r="AA57" i="16"/>
  <c r="AO57" i="16" s="1"/>
  <c r="AO57" i="12"/>
  <c r="AA58" i="16"/>
  <c r="AO58" i="16" s="1"/>
  <c r="AO58" i="12"/>
  <c r="AA59" i="16"/>
  <c r="AO59" i="16" s="1"/>
  <c r="AO59" i="12"/>
  <c r="AB60" i="16"/>
  <c r="AP60" i="16" s="1"/>
  <c r="AP60" i="12"/>
  <c r="AD62" i="16"/>
  <c r="AR62" i="16" s="1"/>
  <c r="AR62" i="12"/>
  <c r="Z66" i="16"/>
  <c r="AN66" i="16" s="1"/>
  <c r="AN66" i="12"/>
  <c r="AA67" i="16"/>
  <c r="AO67" i="12"/>
  <c r="AB68" i="16"/>
  <c r="AP68" i="16" s="1"/>
  <c r="AP68" i="12"/>
  <c r="AD70" i="16"/>
  <c r="AR70" i="16" s="1"/>
  <c r="AR70" i="12"/>
  <c r="Z74" i="16"/>
  <c r="AN74" i="16" s="1"/>
  <c r="AN74" i="12"/>
  <c r="AA75" i="16"/>
  <c r="AO75" i="16" s="1"/>
  <c r="AO75" i="12"/>
  <c r="AB76" i="16"/>
  <c r="AP76" i="16" s="1"/>
  <c r="AP76" i="12"/>
  <c r="AD78" i="16"/>
  <c r="AR78" i="16" s="1"/>
  <c r="AR78" i="12"/>
  <c r="Z82" i="16"/>
  <c r="AN82" i="16" s="1"/>
  <c r="AN82" i="12"/>
  <c r="AA83" i="16"/>
  <c r="AO83" i="16" s="1"/>
  <c r="AO83" i="12"/>
  <c r="AB84" i="16"/>
  <c r="AP84" i="16" s="1"/>
  <c r="AP84" i="12"/>
  <c r="AD86" i="16"/>
  <c r="AR86" i="16" s="1"/>
  <c r="AR86" i="12"/>
  <c r="Z90" i="16"/>
  <c r="AN90" i="16" s="1"/>
  <c r="AN90" i="12"/>
  <c r="AA91" i="16"/>
  <c r="AO91" i="16" s="1"/>
  <c r="AO91" i="12"/>
  <c r="AB92" i="16"/>
  <c r="AP92" i="16" s="1"/>
  <c r="AP92" i="12"/>
  <c r="AD94" i="16"/>
  <c r="AR94" i="16" s="1"/>
  <c r="AR94" i="12"/>
  <c r="Z98" i="16"/>
  <c r="AN98" i="16" s="1"/>
  <c r="AN98" i="12"/>
  <c r="AA99" i="16"/>
  <c r="AO99" i="16" s="1"/>
  <c r="AO99" i="12"/>
  <c r="AB100" i="16"/>
  <c r="AP100" i="16" s="1"/>
  <c r="AP100" i="12"/>
  <c r="AD102" i="16"/>
  <c r="AR102" i="16" s="1"/>
  <c r="AR102" i="12"/>
  <c r="Z106" i="16"/>
  <c r="AN106" i="16" s="1"/>
  <c r="AN106" i="12"/>
  <c r="AA107" i="16"/>
  <c r="AO107" i="16" s="1"/>
  <c r="AO107" i="12"/>
  <c r="AB108" i="16"/>
  <c r="AP108" i="16" s="1"/>
  <c r="AP108" i="12"/>
  <c r="AD110" i="16"/>
  <c r="AR110" i="12"/>
  <c r="Z114" i="16"/>
  <c r="AN114" i="16" s="1"/>
  <c r="AN114" i="12"/>
  <c r="AA115" i="16"/>
  <c r="AO115" i="16" s="1"/>
  <c r="AO115" i="12"/>
  <c r="AB116" i="16"/>
  <c r="AP116" i="16" s="1"/>
  <c r="AP116" i="12"/>
  <c r="AD118" i="16"/>
  <c r="AR118" i="16" s="1"/>
  <c r="AR118" i="12"/>
  <c r="Z122" i="16"/>
  <c r="AN122" i="16" s="1"/>
  <c r="AN122" i="12"/>
  <c r="AA123" i="16"/>
  <c r="AO123" i="16" s="1"/>
  <c r="AO123" i="12"/>
  <c r="AB124" i="16"/>
  <c r="AP124" i="16" s="1"/>
  <c r="AP124" i="12"/>
  <c r="AC125" i="16"/>
  <c r="AQ125" i="16" s="1"/>
  <c r="AQ125" i="12"/>
  <c r="AD126" i="16"/>
  <c r="AR126" i="16" s="1"/>
  <c r="AR126" i="12"/>
  <c r="Z130" i="16"/>
  <c r="AN130" i="16" s="1"/>
  <c r="AN130" i="12"/>
  <c r="AA131" i="16"/>
  <c r="AO131" i="16" s="1"/>
  <c r="AO131" i="12"/>
  <c r="AB132" i="16"/>
  <c r="AP132" i="16" s="1"/>
  <c r="AP132" i="12"/>
  <c r="BF42" i="3"/>
  <c r="BG42" i="3" s="1"/>
  <c r="BH42" i="3" s="1"/>
  <c r="BI42" i="3" s="1"/>
  <c r="BJ42" i="3" s="1"/>
  <c r="BK42" i="3" s="1"/>
  <c r="BL42" i="3" s="1"/>
  <c r="BT42" i="3" s="1"/>
  <c r="BR52" i="3"/>
  <c r="CJ52" i="3" s="1"/>
  <c r="BQ92" i="3"/>
  <c r="CI92" i="3" s="1"/>
  <c r="BM126" i="3"/>
  <c r="AP7" i="12"/>
  <c r="AN9" i="12"/>
  <c r="AQ10" i="12"/>
  <c r="AO12" i="12"/>
  <c r="AO14" i="12"/>
  <c r="AN17" i="12"/>
  <c r="AP22" i="12"/>
  <c r="AR28" i="12"/>
  <c r="AO35" i="12"/>
  <c r="AQ41" i="12"/>
  <c r="AN52" i="12"/>
  <c r="AR64" i="12"/>
  <c r="AQ77" i="12"/>
  <c r="AP90" i="12"/>
  <c r="AO103" i="12"/>
  <c r="AN116" i="12"/>
  <c r="AC63" i="16"/>
  <c r="AQ63" i="16" s="1"/>
  <c r="AQ63" i="12"/>
  <c r="AC71" i="16"/>
  <c r="AQ71" i="16" s="1"/>
  <c r="AQ71" i="12"/>
  <c r="AA77" i="16"/>
  <c r="AO77" i="16" s="1"/>
  <c r="AO77" i="12"/>
  <c r="AC103" i="16"/>
  <c r="AQ103" i="16" s="1"/>
  <c r="AQ103" i="12"/>
  <c r="AB126" i="16"/>
  <c r="AP126" i="16" s="1"/>
  <c r="AP126" i="12"/>
  <c r="AB16" i="16"/>
  <c r="AP16" i="16" s="1"/>
  <c r="AP16" i="12"/>
  <c r="AB17" i="16"/>
  <c r="AP17" i="16" s="1"/>
  <c r="AP17" i="12"/>
  <c r="AB19" i="16"/>
  <c r="AP19" i="16" s="1"/>
  <c r="AP19" i="12"/>
  <c r="AB20" i="16"/>
  <c r="AP20" i="16" s="1"/>
  <c r="AP20" i="12"/>
  <c r="AB21" i="16"/>
  <c r="AP21" i="16" s="1"/>
  <c r="AP21" i="12"/>
  <c r="AB23" i="16"/>
  <c r="AP23" i="16" s="1"/>
  <c r="AP23" i="12"/>
  <c r="AB24" i="16"/>
  <c r="AP24" i="16" s="1"/>
  <c r="AP24" i="12"/>
  <c r="AB25" i="16"/>
  <c r="AP25" i="16" s="1"/>
  <c r="AP25" i="12"/>
  <c r="AB27" i="16"/>
  <c r="AP27" i="12"/>
  <c r="AB28" i="16"/>
  <c r="AP28" i="16" s="1"/>
  <c r="AP28" i="12"/>
  <c r="AB29" i="16"/>
  <c r="AP29" i="16" s="1"/>
  <c r="AP29" i="12"/>
  <c r="AB31" i="16"/>
  <c r="AP31" i="16" s="1"/>
  <c r="AP31" i="12"/>
  <c r="AB32" i="16"/>
  <c r="AP32" i="16" s="1"/>
  <c r="AP32" i="12"/>
  <c r="AB33" i="16"/>
  <c r="AP33" i="16" s="1"/>
  <c r="AP33" i="12"/>
  <c r="AB35" i="16"/>
  <c r="AP35" i="16" s="1"/>
  <c r="AP35" i="12"/>
  <c r="AB36" i="16"/>
  <c r="AP36" i="16" s="1"/>
  <c r="AP36" i="12"/>
  <c r="AB37" i="16"/>
  <c r="AP37" i="16" s="1"/>
  <c r="AP37" i="12"/>
  <c r="AB39" i="16"/>
  <c r="AP39" i="16" s="1"/>
  <c r="AP39" i="12"/>
  <c r="AB40" i="16"/>
  <c r="AP40" i="16" s="1"/>
  <c r="AP40" i="12"/>
  <c r="AB41" i="16"/>
  <c r="AP41" i="16" s="1"/>
  <c r="AP41" i="12"/>
  <c r="AB43" i="16"/>
  <c r="AP43" i="12"/>
  <c r="AB44" i="16"/>
  <c r="AP44" i="16" s="1"/>
  <c r="AP44" i="12"/>
  <c r="AB45" i="16"/>
  <c r="AP45" i="16" s="1"/>
  <c r="AP45" i="12"/>
  <c r="AB46" i="16"/>
  <c r="AP46" i="16" s="1"/>
  <c r="AP46" i="12"/>
  <c r="AB47" i="16"/>
  <c r="AP47" i="16" s="1"/>
  <c r="AP47" i="12"/>
  <c r="AB48" i="16"/>
  <c r="AP48" i="16" s="1"/>
  <c r="AP48" i="12"/>
  <c r="AB49" i="16"/>
  <c r="AP49" i="16" s="1"/>
  <c r="AP49" i="12"/>
  <c r="AB51" i="16"/>
  <c r="AP51" i="12"/>
  <c r="AB52" i="16"/>
  <c r="AP52" i="16" s="1"/>
  <c r="AP52" i="12"/>
  <c r="AB53" i="16"/>
  <c r="AP53" i="16" s="1"/>
  <c r="AP53" i="12"/>
  <c r="AB54" i="16"/>
  <c r="AP54" i="16" s="1"/>
  <c r="AP54" i="12"/>
  <c r="AB55" i="16"/>
  <c r="AP55" i="16" s="1"/>
  <c r="AP55" i="12"/>
  <c r="AB56" i="16"/>
  <c r="AP56" i="16" s="1"/>
  <c r="AP56" i="12"/>
  <c r="AB57" i="16"/>
  <c r="AP57" i="16" s="1"/>
  <c r="AP57" i="12"/>
  <c r="AB59" i="16"/>
  <c r="AP59" i="16" s="1"/>
  <c r="AP59" i="12"/>
  <c r="AC60" i="16"/>
  <c r="AQ60" i="16" s="1"/>
  <c r="AQ60" i="12"/>
  <c r="AD61" i="16"/>
  <c r="AR61" i="16" s="1"/>
  <c r="AR61" i="12"/>
  <c r="Z65" i="16"/>
  <c r="AN65" i="16" s="1"/>
  <c r="AN65" i="12"/>
  <c r="AA66" i="16"/>
  <c r="AO66" i="16" s="1"/>
  <c r="AO66" i="12"/>
  <c r="AB67" i="16"/>
  <c r="AP67" i="12"/>
  <c r="AC68" i="16"/>
  <c r="AQ68" i="16" s="1"/>
  <c r="AQ68" i="12"/>
  <c r="AD69" i="16"/>
  <c r="AR69" i="16" s="1"/>
  <c r="AR69" i="12"/>
  <c r="Z73" i="16"/>
  <c r="AN73" i="16" s="1"/>
  <c r="AN73" i="12"/>
  <c r="AA74" i="16"/>
  <c r="AO74" i="16" s="1"/>
  <c r="AO74" i="12"/>
  <c r="AB75" i="16"/>
  <c r="AP75" i="16" s="1"/>
  <c r="AP75" i="12"/>
  <c r="AC76" i="16"/>
  <c r="AQ76" i="16" s="1"/>
  <c r="AQ76" i="12"/>
  <c r="AD77" i="16"/>
  <c r="AR77" i="16" s="1"/>
  <c r="AR77" i="12"/>
  <c r="Z81" i="16"/>
  <c r="AN81" i="16" s="1"/>
  <c r="AN81" i="12"/>
  <c r="AA82" i="16"/>
  <c r="AO82" i="16" s="1"/>
  <c r="AO82" i="12"/>
  <c r="AB83" i="16"/>
  <c r="AP83" i="16" s="1"/>
  <c r="AP83" i="12"/>
  <c r="AC84" i="16"/>
  <c r="AQ84" i="16" s="1"/>
  <c r="AQ84" i="12"/>
  <c r="AD85" i="16"/>
  <c r="AR85" i="16" s="1"/>
  <c r="AR85" i="12"/>
  <c r="Z89" i="16"/>
  <c r="AN89" i="16" s="1"/>
  <c r="AN89" i="12"/>
  <c r="AA90" i="16"/>
  <c r="AO90" i="16" s="1"/>
  <c r="AO90" i="12"/>
  <c r="AB91" i="16"/>
  <c r="AP91" i="16" s="1"/>
  <c r="AP91" i="12"/>
  <c r="AC92" i="16"/>
  <c r="AQ92" i="16" s="1"/>
  <c r="AQ92" i="12"/>
  <c r="AD93" i="16"/>
  <c r="AR93" i="16" s="1"/>
  <c r="AR93" i="12"/>
  <c r="Z97" i="16"/>
  <c r="AN97" i="16" s="1"/>
  <c r="AN97" i="12"/>
  <c r="AA98" i="16"/>
  <c r="AO98" i="16" s="1"/>
  <c r="AO98" i="12"/>
  <c r="AB99" i="16"/>
  <c r="AP99" i="16" s="1"/>
  <c r="AP99" i="12"/>
  <c r="AC100" i="16"/>
  <c r="AQ100" i="16" s="1"/>
  <c r="AQ100" i="12"/>
  <c r="AD101" i="16"/>
  <c r="AR101" i="16" s="1"/>
  <c r="AR101" i="12"/>
  <c r="Z105" i="16"/>
  <c r="AN105" i="16" s="1"/>
  <c r="AN105" i="12"/>
  <c r="AA106" i="16"/>
  <c r="AO106" i="16" s="1"/>
  <c r="AO106" i="12"/>
  <c r="AB107" i="16"/>
  <c r="AP107" i="16" s="1"/>
  <c r="AP107" i="12"/>
  <c r="AC108" i="16"/>
  <c r="AQ108" i="16" s="1"/>
  <c r="AQ108" i="12"/>
  <c r="AD109" i="16"/>
  <c r="AR109" i="16" s="1"/>
  <c r="AR109" i="12"/>
  <c r="Z113" i="16"/>
  <c r="AN113" i="16" s="1"/>
  <c r="AN113" i="12"/>
  <c r="AA114" i="16"/>
  <c r="AO114" i="16" s="1"/>
  <c r="AO114" i="12"/>
  <c r="AB115" i="16"/>
  <c r="AP115" i="16" s="1"/>
  <c r="AP115" i="12"/>
  <c r="AC116" i="16"/>
  <c r="AQ116" i="16" s="1"/>
  <c r="AQ116" i="12"/>
  <c r="AD117" i="16"/>
  <c r="AR117" i="16" s="1"/>
  <c r="AR117" i="12"/>
  <c r="Z121" i="16"/>
  <c r="AN121" i="16" s="1"/>
  <c r="AN121" i="12"/>
  <c r="AA122" i="16"/>
  <c r="AO122" i="16" s="1"/>
  <c r="AO122" i="12"/>
  <c r="AB123" i="16"/>
  <c r="AP123" i="16" s="1"/>
  <c r="AP123" i="12"/>
  <c r="AC124" i="16"/>
  <c r="AQ124" i="16" s="1"/>
  <c r="AQ124" i="12"/>
  <c r="AD125" i="16"/>
  <c r="AR125" i="16" s="1"/>
  <c r="AR125" i="12"/>
  <c r="Z129" i="16"/>
  <c r="AN129" i="16" s="1"/>
  <c r="AN129" i="12"/>
  <c r="AA130" i="16"/>
  <c r="AO130" i="16" s="1"/>
  <c r="AO130" i="12"/>
  <c r="AB131" i="16"/>
  <c r="AP131" i="16" s="1"/>
  <c r="AP131" i="12"/>
  <c r="AC132" i="16"/>
  <c r="AQ132" i="16" s="1"/>
  <c r="AQ132" i="12"/>
  <c r="AQ7" i="12"/>
  <c r="AO9" i="12"/>
  <c r="AR10" i="12"/>
  <c r="AP12" i="12"/>
  <c r="AP14" i="12"/>
  <c r="AQ17" i="12"/>
  <c r="AO23" i="12"/>
  <c r="AQ29" i="12"/>
  <c r="AN36" i="12"/>
  <c r="AP42" i="12"/>
  <c r="AQ53" i="12"/>
  <c r="AP66" i="12"/>
  <c r="AO79" i="12"/>
  <c r="AN92" i="12"/>
  <c r="AR104" i="12"/>
  <c r="AQ117" i="12"/>
  <c r="AB62" i="16"/>
  <c r="AP62" i="16" s="1"/>
  <c r="AP62" i="12"/>
  <c r="AA69" i="16"/>
  <c r="AO69" i="16" s="1"/>
  <c r="AO69" i="12"/>
  <c r="AA125" i="16"/>
  <c r="AO125" i="16" s="1"/>
  <c r="AO125" i="12"/>
  <c r="AN100" i="12"/>
  <c r="AC15" i="16"/>
  <c r="AQ15" i="16" s="1"/>
  <c r="AQ15" i="12"/>
  <c r="AC28" i="16"/>
  <c r="AQ28" i="16" s="1"/>
  <c r="AQ28" i="12"/>
  <c r="AC32" i="16"/>
  <c r="AQ32" i="16" s="1"/>
  <c r="AQ32" i="12"/>
  <c r="AC36" i="16"/>
  <c r="AQ36" i="16" s="1"/>
  <c r="AQ36" i="12"/>
  <c r="AC39" i="16"/>
  <c r="AQ39" i="16" s="1"/>
  <c r="AQ39" i="12"/>
  <c r="AC43" i="16"/>
  <c r="AQ43" i="12"/>
  <c r="AC47" i="16"/>
  <c r="AQ47" i="16" s="1"/>
  <c r="AQ47" i="12"/>
  <c r="AC50" i="16"/>
  <c r="AQ50" i="16" s="1"/>
  <c r="AQ50" i="12"/>
  <c r="AC55" i="16"/>
  <c r="AQ55" i="16" s="1"/>
  <c r="AQ55" i="12"/>
  <c r="AC59" i="16"/>
  <c r="AQ59" i="16" s="1"/>
  <c r="AQ59" i="12"/>
  <c r="AA73" i="16"/>
  <c r="AO73" i="16" s="1"/>
  <c r="AO73" i="12"/>
  <c r="AD76" i="16"/>
  <c r="AR76" i="16" s="1"/>
  <c r="AR76" i="12"/>
  <c r="Z80" i="16"/>
  <c r="AN80" i="16" s="1"/>
  <c r="AN80" i="12"/>
  <c r="AD84" i="16"/>
  <c r="AR84" i="16" s="1"/>
  <c r="AR84" i="12"/>
  <c r="Z88" i="16"/>
  <c r="AN88" i="16" s="1"/>
  <c r="AN88" i="12"/>
  <c r="AA113" i="16"/>
  <c r="AO113" i="16" s="1"/>
  <c r="AO113" i="12"/>
  <c r="AC115" i="16"/>
  <c r="AQ115" i="16" s="1"/>
  <c r="AQ115" i="12"/>
  <c r="AA129" i="16"/>
  <c r="AO129" i="16" s="1"/>
  <c r="AO129" i="12"/>
  <c r="AR7" i="12"/>
  <c r="AP9" i="12"/>
  <c r="AN11" i="12"/>
  <c r="AQ12" i="12"/>
  <c r="AQ14" i="12"/>
  <c r="AP18" i="12"/>
  <c r="AN24" i="12"/>
  <c r="AP30" i="12"/>
  <c r="AR36" i="12"/>
  <c r="AO43" i="12"/>
  <c r="AO55" i="12"/>
  <c r="AN68" i="12"/>
  <c r="AR80" i="12"/>
  <c r="AQ93" i="12"/>
  <c r="AP106" i="12"/>
  <c r="AO119" i="12"/>
  <c r="AA61" i="16"/>
  <c r="AO61" i="16" s="1"/>
  <c r="AO61" i="12"/>
  <c r="AB78" i="16"/>
  <c r="AP78" i="16" s="1"/>
  <c r="AP78" i="12"/>
  <c r="AC119" i="16"/>
  <c r="AQ119" i="12"/>
  <c r="AC127" i="16"/>
  <c r="AQ127" i="12"/>
  <c r="AR112" i="12"/>
  <c r="AC19" i="16"/>
  <c r="AQ19" i="16" s="1"/>
  <c r="AQ19" i="12"/>
  <c r="AC22" i="16"/>
  <c r="AQ22" i="16" s="1"/>
  <c r="AQ22" i="12"/>
  <c r="AC31" i="16"/>
  <c r="AQ31" i="16" s="1"/>
  <c r="AQ31" i="12"/>
  <c r="AC34" i="16"/>
  <c r="AQ34" i="12"/>
  <c r="AC44" i="16"/>
  <c r="AQ44" i="16" s="1"/>
  <c r="AQ44" i="12"/>
  <c r="AC48" i="16"/>
  <c r="AQ48" i="16" s="1"/>
  <c r="AQ48" i="12"/>
  <c r="AC52" i="16"/>
  <c r="AQ52" i="16" s="1"/>
  <c r="AQ52" i="12"/>
  <c r="AA65" i="16"/>
  <c r="AO65" i="16" s="1"/>
  <c r="AO65" i="12"/>
  <c r="AC67" i="16"/>
  <c r="AQ67" i="12"/>
  <c r="AA81" i="16"/>
  <c r="AO81" i="16" s="1"/>
  <c r="AO81" i="12"/>
  <c r="AC83" i="16"/>
  <c r="AQ83" i="16" s="1"/>
  <c r="AQ83" i="12"/>
  <c r="Z96" i="16"/>
  <c r="AN96" i="12"/>
  <c r="AA97" i="16"/>
  <c r="AO97" i="16" s="1"/>
  <c r="AO97" i="12"/>
  <c r="AC99" i="16"/>
  <c r="AQ99" i="16" s="1"/>
  <c r="AQ99" i="12"/>
  <c r="AD100" i="16"/>
  <c r="AR100" i="16" s="1"/>
  <c r="AR100" i="12"/>
  <c r="AA105" i="16"/>
  <c r="AO105" i="16" s="1"/>
  <c r="AO105" i="12"/>
  <c r="AD108" i="16"/>
  <c r="AR108" i="16" s="1"/>
  <c r="AR108" i="12"/>
  <c r="AD116" i="16"/>
  <c r="AR116" i="16" s="1"/>
  <c r="AR116" i="12"/>
  <c r="Z120" i="16"/>
  <c r="AN120" i="16" s="1"/>
  <c r="AN120" i="12"/>
  <c r="AA121" i="16"/>
  <c r="AO121" i="16" s="1"/>
  <c r="AO121" i="12"/>
  <c r="AD124" i="16"/>
  <c r="AR124" i="16" s="1"/>
  <c r="AR124" i="12"/>
  <c r="Z128" i="16"/>
  <c r="AN128" i="16" s="1"/>
  <c r="AN128" i="12"/>
  <c r="AB130" i="16"/>
  <c r="AP130" i="16" s="1"/>
  <c r="AP130" i="12"/>
  <c r="AC131" i="16"/>
  <c r="AQ131" i="16" s="1"/>
  <c r="AQ131" i="12"/>
  <c r="AD132" i="16"/>
  <c r="AR132" i="16" s="1"/>
  <c r="AR132" i="12"/>
  <c r="AD14" i="16"/>
  <c r="AR14" i="16" s="1"/>
  <c r="AR14" i="12"/>
  <c r="AD15" i="16"/>
  <c r="AR15" i="16" s="1"/>
  <c r="AR15" i="12"/>
  <c r="AD17" i="16"/>
  <c r="AR17" i="16" s="1"/>
  <c r="AR17" i="12"/>
  <c r="AD18" i="16"/>
  <c r="AR18" i="16" s="1"/>
  <c r="AR18" i="12"/>
  <c r="AD19" i="16"/>
  <c r="AR19" i="16" s="1"/>
  <c r="AR19" i="12"/>
  <c r="AD21" i="16"/>
  <c r="AR21" i="16" s="1"/>
  <c r="AR21" i="12"/>
  <c r="AD22" i="16"/>
  <c r="AR22" i="16" s="1"/>
  <c r="AR22" i="12"/>
  <c r="AD23" i="16"/>
  <c r="AR23" i="16" s="1"/>
  <c r="AR23" i="12"/>
  <c r="AD25" i="16"/>
  <c r="AR25" i="16" s="1"/>
  <c r="AR25" i="12"/>
  <c r="AD26" i="16"/>
  <c r="AR26" i="16" s="1"/>
  <c r="AR26" i="12"/>
  <c r="AD27" i="16"/>
  <c r="AR27" i="12"/>
  <c r="AD29" i="16"/>
  <c r="AR29" i="16" s="1"/>
  <c r="AR29" i="12"/>
  <c r="AD30" i="16"/>
  <c r="AR30" i="16" s="1"/>
  <c r="AR30" i="12"/>
  <c r="AD31" i="16"/>
  <c r="AR31" i="16" s="1"/>
  <c r="AR31" i="12"/>
  <c r="AD33" i="16"/>
  <c r="AR33" i="16" s="1"/>
  <c r="AR33" i="12"/>
  <c r="AD34" i="16"/>
  <c r="AR34" i="12"/>
  <c r="AD35" i="16"/>
  <c r="AR35" i="16" s="1"/>
  <c r="AR35" i="12"/>
  <c r="AD37" i="16"/>
  <c r="AR37" i="16" s="1"/>
  <c r="AR37" i="12"/>
  <c r="AD38" i="16"/>
  <c r="AR38" i="16" s="1"/>
  <c r="AR38" i="12"/>
  <c r="AD39" i="16"/>
  <c r="AR39" i="16" s="1"/>
  <c r="AR39" i="12"/>
  <c r="AD41" i="16"/>
  <c r="AR41" i="16" s="1"/>
  <c r="AR41" i="12"/>
  <c r="AD42" i="16"/>
  <c r="AR42" i="16" s="1"/>
  <c r="AR42" i="12"/>
  <c r="AD43" i="16"/>
  <c r="AR43" i="12"/>
  <c r="AD44" i="16"/>
  <c r="AR44" i="16" s="1"/>
  <c r="AR44" i="12"/>
  <c r="AD45" i="16"/>
  <c r="AR45" i="16" s="1"/>
  <c r="AR45" i="12"/>
  <c r="AD46" i="16"/>
  <c r="AR46" i="16" s="1"/>
  <c r="AR46" i="12"/>
  <c r="AD47" i="16"/>
  <c r="AR47" i="16" s="1"/>
  <c r="AR47" i="12"/>
  <c r="AD49" i="16"/>
  <c r="AR49" i="16" s="1"/>
  <c r="AR49" i="12"/>
  <c r="AD50" i="16"/>
  <c r="AR50" i="16" s="1"/>
  <c r="AR50" i="12"/>
  <c r="AD51" i="16"/>
  <c r="AR51" i="12"/>
  <c r="AD52" i="16"/>
  <c r="AR52" i="16" s="1"/>
  <c r="AR52" i="12"/>
  <c r="AD53" i="16"/>
  <c r="AR53" i="16" s="1"/>
  <c r="AR53" i="12"/>
  <c r="AD54" i="16"/>
  <c r="AR54" i="16" s="1"/>
  <c r="AR54" i="12"/>
  <c r="AD55" i="16"/>
  <c r="AR55" i="16" s="1"/>
  <c r="AR55" i="12"/>
  <c r="AD57" i="16"/>
  <c r="AR57" i="16" s="1"/>
  <c r="AR57" i="12"/>
  <c r="AD58" i="16"/>
  <c r="AR58" i="16" s="1"/>
  <c r="AR58" i="12"/>
  <c r="AD59" i="16"/>
  <c r="AR59" i="16" s="1"/>
  <c r="AR59" i="12"/>
  <c r="Z63" i="16"/>
  <c r="AN63" i="16" s="1"/>
  <c r="AN63" i="12"/>
  <c r="AA64" i="16"/>
  <c r="AO64" i="16" s="1"/>
  <c r="AO64" i="12"/>
  <c r="AB65" i="16"/>
  <c r="AP65" i="16" s="1"/>
  <c r="AP65" i="12"/>
  <c r="AC66" i="16"/>
  <c r="AQ66" i="16" s="1"/>
  <c r="AQ66" i="12"/>
  <c r="AD67" i="16"/>
  <c r="AR67" i="12"/>
  <c r="Z71" i="16"/>
  <c r="AN71" i="16" s="1"/>
  <c r="AN71" i="12"/>
  <c r="AA72" i="16"/>
  <c r="AO72" i="16" s="1"/>
  <c r="AO72" i="12"/>
  <c r="AB73" i="16"/>
  <c r="AP73" i="16" s="1"/>
  <c r="AP73" i="12"/>
  <c r="AC74" i="16"/>
  <c r="AQ74" i="16" s="1"/>
  <c r="AQ74" i="12"/>
  <c r="AD75" i="16"/>
  <c r="AR75" i="16" s="1"/>
  <c r="AR75" i="12"/>
  <c r="Z79" i="16"/>
  <c r="AN79" i="16" s="1"/>
  <c r="AN79" i="12"/>
  <c r="AA80" i="16"/>
  <c r="AO80" i="16" s="1"/>
  <c r="AO80" i="12"/>
  <c r="AB81" i="16"/>
  <c r="AP81" i="16" s="1"/>
  <c r="AP81" i="12"/>
  <c r="AC82" i="16"/>
  <c r="AQ82" i="16" s="1"/>
  <c r="AQ82" i="12"/>
  <c r="AD83" i="16"/>
  <c r="AR83" i="16" s="1"/>
  <c r="AR83" i="12"/>
  <c r="Z87" i="16"/>
  <c r="AN87" i="16" s="1"/>
  <c r="AN87" i="12"/>
  <c r="AA88" i="16"/>
  <c r="AO88" i="16" s="1"/>
  <c r="AO88" i="12"/>
  <c r="AB89" i="16"/>
  <c r="AP89" i="16" s="1"/>
  <c r="AP89" i="12"/>
  <c r="AC90" i="16"/>
  <c r="AQ90" i="16" s="1"/>
  <c r="AQ90" i="12"/>
  <c r="AD91" i="16"/>
  <c r="AR91" i="16" s="1"/>
  <c r="AR91" i="12"/>
  <c r="Z95" i="16"/>
  <c r="AN95" i="16" s="1"/>
  <c r="AN95" i="12"/>
  <c r="AA96" i="16"/>
  <c r="AO96" i="12"/>
  <c r="AB97" i="16"/>
  <c r="AP97" i="16" s="1"/>
  <c r="AP97" i="12"/>
  <c r="AC98" i="16"/>
  <c r="AQ98" i="16" s="1"/>
  <c r="AQ98" i="12"/>
  <c r="AD99" i="16"/>
  <c r="AR99" i="16" s="1"/>
  <c r="AR99" i="12"/>
  <c r="Z103" i="16"/>
  <c r="AN103" i="16" s="1"/>
  <c r="AN103" i="12"/>
  <c r="AA104" i="16"/>
  <c r="AO104" i="16" s="1"/>
  <c r="AO104" i="12"/>
  <c r="AB105" i="16"/>
  <c r="AP105" i="16" s="1"/>
  <c r="AP105" i="12"/>
  <c r="AC106" i="16"/>
  <c r="AQ106" i="16" s="1"/>
  <c r="AQ106" i="12"/>
  <c r="AD107" i="16"/>
  <c r="AR107" i="16" s="1"/>
  <c r="AR107" i="12"/>
  <c r="Z111" i="16"/>
  <c r="AN111" i="16" s="1"/>
  <c r="AN111" i="12"/>
  <c r="AA112" i="16"/>
  <c r="AO112" i="16" s="1"/>
  <c r="AO112" i="12"/>
  <c r="AB113" i="16"/>
  <c r="AP113" i="16" s="1"/>
  <c r="AP113" i="12"/>
  <c r="AC114" i="16"/>
  <c r="AQ114" i="16" s="1"/>
  <c r="AQ114" i="12"/>
  <c r="AD115" i="16"/>
  <c r="AR115" i="16" s="1"/>
  <c r="AR115" i="12"/>
  <c r="Z119" i="16"/>
  <c r="AN119" i="12"/>
  <c r="AA120" i="16"/>
  <c r="AO120" i="16" s="1"/>
  <c r="AO120" i="12"/>
  <c r="AB121" i="16"/>
  <c r="AP121" i="16" s="1"/>
  <c r="AP121" i="12"/>
  <c r="AC122" i="16"/>
  <c r="AQ122" i="16" s="1"/>
  <c r="AQ122" i="12"/>
  <c r="AD123" i="16"/>
  <c r="AR123" i="16" s="1"/>
  <c r="AR123" i="12"/>
  <c r="Z127" i="16"/>
  <c r="AN127" i="12"/>
  <c r="AB129" i="16"/>
  <c r="AP129" i="16" s="1"/>
  <c r="AP129" i="12"/>
  <c r="AC130" i="16"/>
  <c r="AQ130" i="16" s="1"/>
  <c r="AQ130" i="12"/>
  <c r="AD131" i="16"/>
  <c r="AR131" i="16" s="1"/>
  <c r="AR131" i="12"/>
  <c r="BM69" i="3"/>
  <c r="CE69" i="3" s="1"/>
  <c r="BO102" i="3"/>
  <c r="CG102" i="3" s="1"/>
  <c r="BN108" i="3"/>
  <c r="CF108" i="3" s="1"/>
  <c r="BQ114" i="3"/>
  <c r="AN8" i="12"/>
  <c r="AQ9" i="12"/>
  <c r="AO11" i="12"/>
  <c r="AR12" i="12"/>
  <c r="AO15" i="12"/>
  <c r="AQ18" i="12"/>
  <c r="AR24" i="12"/>
  <c r="AO31" i="12"/>
  <c r="AQ37" i="12"/>
  <c r="AN44" i="12"/>
  <c r="AR56" i="12"/>
  <c r="AQ69" i="12"/>
  <c r="AP82" i="12"/>
  <c r="AO95" i="12"/>
  <c r="AN108" i="12"/>
  <c r="AR120" i="12"/>
  <c r="AB86" i="16"/>
  <c r="AP86" i="16" s="1"/>
  <c r="AP86" i="12"/>
  <c r="AB102" i="16"/>
  <c r="AP102" i="16" s="1"/>
  <c r="AP102" i="12"/>
  <c r="AB118" i="16"/>
  <c r="AP118" i="16" s="1"/>
  <c r="AP118" i="12"/>
  <c r="Z132" i="16"/>
  <c r="AN132" i="16" s="1"/>
  <c r="AN132" i="12"/>
  <c r="AC20" i="16"/>
  <c r="AQ20" i="16" s="1"/>
  <c r="AQ20" i="12"/>
  <c r="AC23" i="16"/>
  <c r="AQ23" i="16" s="1"/>
  <c r="AQ23" i="12"/>
  <c r="AC26" i="16"/>
  <c r="AQ26" i="16" s="1"/>
  <c r="AQ26" i="12"/>
  <c r="AC35" i="16"/>
  <c r="AQ35" i="16" s="1"/>
  <c r="AQ35" i="12"/>
  <c r="AC38" i="16"/>
  <c r="AQ38" i="16" s="1"/>
  <c r="AQ38" i="12"/>
  <c r="AC49" i="16"/>
  <c r="AQ49" i="16" s="1"/>
  <c r="AQ49" i="12"/>
  <c r="AC51" i="16"/>
  <c r="AQ51" i="12"/>
  <c r="AC54" i="16"/>
  <c r="AQ54" i="16" s="1"/>
  <c r="AQ54" i="12"/>
  <c r="AC57" i="16"/>
  <c r="AQ57" i="16" s="1"/>
  <c r="AQ57" i="12"/>
  <c r="AD60" i="16"/>
  <c r="AR60" i="16" s="1"/>
  <c r="AR60" i="12"/>
  <c r="Z64" i="16"/>
  <c r="AN64" i="16" s="1"/>
  <c r="AN64" i="12"/>
  <c r="AC91" i="16"/>
  <c r="AQ91" i="16" s="1"/>
  <c r="AQ91" i="12"/>
  <c r="Z104" i="16"/>
  <c r="AN104" i="16" s="1"/>
  <c r="AN104" i="12"/>
  <c r="AC107" i="16"/>
  <c r="AQ107" i="16" s="1"/>
  <c r="AQ107" i="12"/>
  <c r="Z112" i="16"/>
  <c r="AN112" i="16" s="1"/>
  <c r="AN112" i="12"/>
  <c r="AC123" i="16"/>
  <c r="AQ123" i="16" s="1"/>
  <c r="AQ123" i="12"/>
  <c r="AN7" i="12"/>
  <c r="D7" i="16"/>
  <c r="D136" i="16" s="1"/>
  <c r="D147" i="16" s="1"/>
  <c r="Z62" i="16"/>
  <c r="AN62" i="16" s="1"/>
  <c r="AN62" i="12"/>
  <c r="AB64" i="16"/>
  <c r="AP64" i="16" s="1"/>
  <c r="AP64" i="12"/>
  <c r="AC65" i="16"/>
  <c r="AQ65" i="16" s="1"/>
  <c r="AQ65" i="12"/>
  <c r="AD66" i="16"/>
  <c r="AR66" i="16" s="1"/>
  <c r="AR66" i="12"/>
  <c r="Z70" i="16"/>
  <c r="AN70" i="16" s="1"/>
  <c r="AN70" i="12"/>
  <c r="AB72" i="16"/>
  <c r="AP72" i="16" s="1"/>
  <c r="AP72" i="12"/>
  <c r="AC73" i="16"/>
  <c r="AQ73" i="16" s="1"/>
  <c r="AQ73" i="12"/>
  <c r="AD74" i="16"/>
  <c r="AR74" i="16" s="1"/>
  <c r="AR74" i="12"/>
  <c r="Z78" i="16"/>
  <c r="AN78" i="16" s="1"/>
  <c r="AN78" i="12"/>
  <c r="AB80" i="16"/>
  <c r="AP80" i="16" s="1"/>
  <c r="AP80" i="12"/>
  <c r="AC81" i="16"/>
  <c r="AQ81" i="16" s="1"/>
  <c r="AQ81" i="12"/>
  <c r="AD82" i="16"/>
  <c r="AR82" i="16" s="1"/>
  <c r="AR82" i="12"/>
  <c r="Z86" i="16"/>
  <c r="AN86" i="16" s="1"/>
  <c r="AN86" i="12"/>
  <c r="AB88" i="16"/>
  <c r="AP88" i="16" s="1"/>
  <c r="AP88" i="12"/>
  <c r="AC89" i="16"/>
  <c r="AQ89" i="16" s="1"/>
  <c r="AQ89" i="12"/>
  <c r="AD90" i="16"/>
  <c r="AR90" i="16" s="1"/>
  <c r="AR90" i="12"/>
  <c r="Z94" i="16"/>
  <c r="AN94" i="16" s="1"/>
  <c r="AN94" i="12"/>
  <c r="AB96" i="16"/>
  <c r="AP96" i="12"/>
  <c r="AC97" i="16"/>
  <c r="AQ97" i="16" s="1"/>
  <c r="AQ97" i="12"/>
  <c r="AD98" i="16"/>
  <c r="AR98" i="16" s="1"/>
  <c r="AR98" i="12"/>
  <c r="Z102" i="16"/>
  <c r="AN102" i="16" s="1"/>
  <c r="AN102" i="12"/>
  <c r="AB104" i="16"/>
  <c r="AP104" i="16" s="1"/>
  <c r="AP104" i="12"/>
  <c r="AC105" i="16"/>
  <c r="AQ105" i="16" s="1"/>
  <c r="AQ105" i="12"/>
  <c r="AD106" i="16"/>
  <c r="AR106" i="16" s="1"/>
  <c r="AR106" i="12"/>
  <c r="Z110" i="16"/>
  <c r="AN110" i="12"/>
  <c r="AB112" i="16"/>
  <c r="AP112" i="16" s="1"/>
  <c r="AP112" i="12"/>
  <c r="AC113" i="16"/>
  <c r="AQ113" i="16" s="1"/>
  <c r="AQ113" i="12"/>
  <c r="AD114" i="16"/>
  <c r="AR114" i="16" s="1"/>
  <c r="AR114" i="12"/>
  <c r="Z118" i="16"/>
  <c r="AN118" i="16" s="1"/>
  <c r="AN118" i="12"/>
  <c r="AB120" i="16"/>
  <c r="AP120" i="16" s="1"/>
  <c r="AP120" i="12"/>
  <c r="AC121" i="16"/>
  <c r="AQ121" i="16" s="1"/>
  <c r="AQ121" i="12"/>
  <c r="AD122" i="16"/>
  <c r="AR122" i="16" s="1"/>
  <c r="AR122" i="12"/>
  <c r="Z126" i="16"/>
  <c r="AN126" i="16" s="1"/>
  <c r="AN126" i="12"/>
  <c r="AA127" i="16"/>
  <c r="AO127" i="12"/>
  <c r="AB128" i="16"/>
  <c r="AP128" i="16" s="1"/>
  <c r="AP128" i="12"/>
  <c r="AC129" i="16"/>
  <c r="AQ129" i="16" s="1"/>
  <c r="AQ129" i="12"/>
  <c r="AD130" i="16"/>
  <c r="AR130" i="16" s="1"/>
  <c r="AR130" i="12"/>
  <c r="BN69" i="3"/>
  <c r="CF69" i="3" s="1"/>
  <c r="BR102" i="3"/>
  <c r="CJ102" i="3" s="1"/>
  <c r="AO8" i="12"/>
  <c r="AR9" i="12"/>
  <c r="AP11" i="12"/>
  <c r="AN13" i="12"/>
  <c r="AP15" i="12"/>
  <c r="AO19" i="12"/>
  <c r="AQ25" i="12"/>
  <c r="AN32" i="12"/>
  <c r="AP38" i="12"/>
  <c r="AQ45" i="12"/>
  <c r="AP58" i="12"/>
  <c r="AO71" i="12"/>
  <c r="AN84" i="12"/>
  <c r="AR96" i="12"/>
  <c r="AQ109" i="12"/>
  <c r="AP122" i="12"/>
  <c r="CE16" i="7"/>
  <c r="CF87" i="15"/>
  <c r="CR87" i="15" s="1"/>
  <c r="CF83" i="15"/>
  <c r="CE40" i="15"/>
  <c r="CL28" i="7"/>
  <c r="M28" i="22" s="1"/>
  <c r="R61" i="17"/>
  <c r="AE60" i="17"/>
  <c r="AD60" i="17"/>
  <c r="AC60" i="17"/>
  <c r="AB60" i="17"/>
  <c r="AA60" i="17"/>
  <c r="Z60" i="17"/>
  <c r="T60" i="17"/>
  <c r="S60" i="17"/>
  <c r="X60" i="15" s="1"/>
  <c r="X60" i="17"/>
  <c r="X60" i="14" s="1"/>
  <c r="W60" i="17"/>
  <c r="V60" i="17"/>
  <c r="X60" i="3" s="1"/>
  <c r="U60" i="17"/>
  <c r="AU131" i="12"/>
  <c r="AU126" i="12"/>
  <c r="AU128" i="12"/>
  <c r="AU64" i="12"/>
  <c r="AU110" i="12"/>
  <c r="AU130" i="12"/>
  <c r="AU8" i="12"/>
  <c r="AU72" i="12"/>
  <c r="AU112" i="12"/>
  <c r="AU16" i="12"/>
  <c r="AU80" i="12"/>
  <c r="AU118" i="12"/>
  <c r="AU24" i="12"/>
  <c r="AU88" i="12"/>
  <c r="AU32" i="12"/>
  <c r="AU120" i="12"/>
  <c r="AU40" i="12"/>
  <c r="AU96" i="12"/>
  <c r="AU48" i="12"/>
  <c r="AU122" i="12"/>
  <c r="AU56" i="12"/>
  <c r="AU102" i="12"/>
  <c r="AU123" i="12"/>
  <c r="AU104" i="12"/>
  <c r="AU26" i="12"/>
  <c r="AU34" i="12"/>
  <c r="AU42" i="12"/>
  <c r="AU50" i="12"/>
  <c r="AU58" i="12"/>
  <c r="AU66" i="12"/>
  <c r="AU74" i="12"/>
  <c r="AU82" i="12"/>
  <c r="AU90" i="12"/>
  <c r="AU18" i="12"/>
  <c r="AU11" i="12"/>
  <c r="AU19" i="12"/>
  <c r="AU27" i="12"/>
  <c r="AU35" i="12"/>
  <c r="AU43" i="12"/>
  <c r="AU51" i="12"/>
  <c r="AU59" i="12"/>
  <c r="AU67" i="12"/>
  <c r="AU75" i="12"/>
  <c r="AU83" i="12"/>
  <c r="AU91" i="12"/>
  <c r="AU98" i="12"/>
  <c r="AU106" i="12"/>
  <c r="AU114" i="12"/>
  <c r="AU10" i="12"/>
  <c r="AU99" i="12"/>
  <c r="AU107" i="12"/>
  <c r="AU115" i="12"/>
  <c r="AU14" i="12"/>
  <c r="AU22" i="12"/>
  <c r="AU30" i="12"/>
  <c r="AU38" i="12"/>
  <c r="AU46" i="12"/>
  <c r="AU54" i="12"/>
  <c r="AU62" i="12"/>
  <c r="AU70" i="12"/>
  <c r="AU78" i="12"/>
  <c r="AU86" i="12"/>
  <c r="AU94" i="12"/>
  <c r="AM11" i="12"/>
  <c r="AH11" i="16"/>
  <c r="AM11" i="16" s="1"/>
  <c r="AM28" i="12"/>
  <c r="AH28" i="16"/>
  <c r="AM28" i="16" s="1"/>
  <c r="AH58" i="16"/>
  <c r="AM58" i="16" s="1"/>
  <c r="AM9" i="12"/>
  <c r="AH9" i="16"/>
  <c r="AM9" i="16" s="1"/>
  <c r="AM14" i="12"/>
  <c r="AH14" i="16"/>
  <c r="AM14" i="16" s="1"/>
  <c r="AM22" i="12"/>
  <c r="AH22" i="16"/>
  <c r="AM22" i="16" s="1"/>
  <c r="AM31" i="12"/>
  <c r="AH31" i="16"/>
  <c r="AM31" i="16" s="1"/>
  <c r="AM38" i="12"/>
  <c r="AH38" i="16"/>
  <c r="AM38" i="16" s="1"/>
  <c r="AH46" i="16"/>
  <c r="AM46" i="16" s="1"/>
  <c r="AH50" i="16"/>
  <c r="AM50" i="16" s="1"/>
  <c r="AH56" i="16"/>
  <c r="AM56" i="16" s="1"/>
  <c r="AH59" i="16"/>
  <c r="AM59" i="16" s="1"/>
  <c r="AH60" i="16"/>
  <c r="AM60" i="16" s="1"/>
  <c r="AH61" i="16"/>
  <c r="AM61" i="16" s="1"/>
  <c r="AH62" i="16"/>
  <c r="AM62" i="16" s="1"/>
  <c r="AH64" i="16"/>
  <c r="AM64" i="16" s="1"/>
  <c r="AH69" i="16"/>
  <c r="AM69" i="16" s="1"/>
  <c r="AH70" i="16"/>
  <c r="AM70" i="16" s="1"/>
  <c r="AH71" i="16"/>
  <c r="AM71" i="16" s="1"/>
  <c r="AH72" i="16"/>
  <c r="AM72" i="16" s="1"/>
  <c r="AH73" i="16"/>
  <c r="AM73" i="16" s="1"/>
  <c r="AH74" i="16"/>
  <c r="AM74" i="16" s="1"/>
  <c r="AH75" i="16"/>
  <c r="AM75" i="16" s="1"/>
  <c r="AH76" i="16"/>
  <c r="AM76" i="16" s="1"/>
  <c r="AH77" i="16"/>
  <c r="AM77" i="16" s="1"/>
  <c r="AH78" i="16"/>
  <c r="AM78" i="16" s="1"/>
  <c r="AH79" i="16"/>
  <c r="AM79" i="16" s="1"/>
  <c r="AH80" i="16"/>
  <c r="AM80" i="16" s="1"/>
  <c r="AH81" i="16"/>
  <c r="AM81" i="16" s="1"/>
  <c r="AH82" i="16"/>
  <c r="AM82" i="16" s="1"/>
  <c r="AH83" i="16"/>
  <c r="AM83" i="16" s="1"/>
  <c r="AH84" i="16"/>
  <c r="AM84" i="16" s="1"/>
  <c r="AH85" i="16"/>
  <c r="AM85" i="16" s="1"/>
  <c r="AH86" i="16"/>
  <c r="AM86" i="16" s="1"/>
  <c r="AH87" i="16"/>
  <c r="AM87" i="16" s="1"/>
  <c r="AH88" i="16"/>
  <c r="AM88" i="16" s="1"/>
  <c r="AH89" i="16"/>
  <c r="AM89" i="16" s="1"/>
  <c r="AH90" i="16"/>
  <c r="AM90" i="16" s="1"/>
  <c r="AH91" i="16"/>
  <c r="AM91" i="16" s="1"/>
  <c r="AH92" i="16"/>
  <c r="AM92" i="16" s="1"/>
  <c r="AH93" i="16"/>
  <c r="AM93" i="16" s="1"/>
  <c r="AH94" i="16"/>
  <c r="AM94" i="16" s="1"/>
  <c r="AH95" i="16"/>
  <c r="AM95" i="16" s="1"/>
  <c r="AH96" i="16"/>
  <c r="AH97" i="16"/>
  <c r="AM97" i="16" s="1"/>
  <c r="AH98" i="16"/>
  <c r="AM98" i="16" s="1"/>
  <c r="AH99" i="16"/>
  <c r="AM99" i="16" s="1"/>
  <c r="AH100" i="16"/>
  <c r="AM100" i="16" s="1"/>
  <c r="AH101" i="16"/>
  <c r="AM101" i="16" s="1"/>
  <c r="AH102" i="16"/>
  <c r="AM102" i="16" s="1"/>
  <c r="AH103" i="16"/>
  <c r="AM103" i="16" s="1"/>
  <c r="AH104" i="16"/>
  <c r="AM104" i="16" s="1"/>
  <c r="AH105" i="16"/>
  <c r="AM105" i="16" s="1"/>
  <c r="AH106" i="16"/>
  <c r="AM106" i="16" s="1"/>
  <c r="AH107" i="16"/>
  <c r="AM107" i="16" s="1"/>
  <c r="AH108" i="16"/>
  <c r="AM108" i="16" s="1"/>
  <c r="AH109" i="16"/>
  <c r="AM109" i="16" s="1"/>
  <c r="AH110" i="16"/>
  <c r="AH111" i="16"/>
  <c r="AM111" i="16" s="1"/>
  <c r="AH112" i="16"/>
  <c r="AM112" i="16" s="1"/>
  <c r="AH113" i="16"/>
  <c r="AM113" i="16" s="1"/>
  <c r="AH114" i="16"/>
  <c r="AM114" i="16" s="1"/>
  <c r="AH115" i="16"/>
  <c r="AM115" i="16" s="1"/>
  <c r="AH116" i="16"/>
  <c r="AM116" i="16" s="1"/>
  <c r="AH117" i="16"/>
  <c r="AM117" i="16" s="1"/>
  <c r="AH118" i="16"/>
  <c r="AM118" i="16" s="1"/>
  <c r="AH119" i="16"/>
  <c r="AH120" i="16"/>
  <c r="AM120" i="16" s="1"/>
  <c r="AH121" i="16"/>
  <c r="AM121" i="16" s="1"/>
  <c r="AH122" i="16"/>
  <c r="AM122" i="16" s="1"/>
  <c r="AH123" i="16"/>
  <c r="AM123" i="16" s="1"/>
  <c r="AH124" i="16"/>
  <c r="AM124" i="16" s="1"/>
  <c r="AH125" i="16"/>
  <c r="AM125" i="16" s="1"/>
  <c r="AH126" i="16"/>
  <c r="AM126" i="16" s="1"/>
  <c r="AH127" i="16"/>
  <c r="AH128" i="16"/>
  <c r="AM128" i="16" s="1"/>
  <c r="AH129" i="16"/>
  <c r="AM129" i="16" s="1"/>
  <c r="AH130" i="16"/>
  <c r="AM130" i="16" s="1"/>
  <c r="AH131" i="16"/>
  <c r="AM131" i="16" s="1"/>
  <c r="AH132" i="16"/>
  <c r="AM7" i="12"/>
  <c r="AH7" i="16"/>
  <c r="AM16" i="12"/>
  <c r="AH16" i="16"/>
  <c r="AM16" i="16" s="1"/>
  <c r="AM20" i="12"/>
  <c r="AH20" i="16"/>
  <c r="AM20" i="16" s="1"/>
  <c r="AM27" i="12"/>
  <c r="AH27" i="16"/>
  <c r="AM33" i="12"/>
  <c r="AH33" i="16"/>
  <c r="AM33" i="16" s="1"/>
  <c r="AM39" i="12"/>
  <c r="AH39" i="16"/>
  <c r="AM39" i="16" s="1"/>
  <c r="AH47" i="16"/>
  <c r="AM47" i="16" s="1"/>
  <c r="AH53" i="16"/>
  <c r="AM53" i="16" s="1"/>
  <c r="AH66" i="16"/>
  <c r="AM66" i="16" s="1"/>
  <c r="BA46" i="12"/>
  <c r="AM12" i="12"/>
  <c r="AH12" i="16"/>
  <c r="AM12" i="16" s="1"/>
  <c r="AM18" i="12"/>
  <c r="AH18" i="16"/>
  <c r="AM18" i="16" s="1"/>
  <c r="AM24" i="12"/>
  <c r="AH24" i="16"/>
  <c r="AM24" i="16" s="1"/>
  <c r="AM32" i="12"/>
  <c r="AH32" i="16"/>
  <c r="AM32" i="16" s="1"/>
  <c r="AM37" i="12"/>
  <c r="AH37" i="16"/>
  <c r="AM37" i="16" s="1"/>
  <c r="AM42" i="12"/>
  <c r="AH42" i="16"/>
  <c r="AM42" i="16" s="1"/>
  <c r="AH48" i="16"/>
  <c r="AM48" i="16" s="1"/>
  <c r="AH54" i="16"/>
  <c r="AM54" i="16" s="1"/>
  <c r="AH65" i="16"/>
  <c r="AM65" i="16" s="1"/>
  <c r="AM13" i="12"/>
  <c r="AH13" i="16"/>
  <c r="BA13" i="16" s="1"/>
  <c r="AM19" i="12"/>
  <c r="AH19" i="16"/>
  <c r="AM19" i="16" s="1"/>
  <c r="AM25" i="12"/>
  <c r="AH25" i="16"/>
  <c r="AM25" i="16" s="1"/>
  <c r="AM30" i="12"/>
  <c r="AH30" i="16"/>
  <c r="AM30" i="16" s="1"/>
  <c r="AM36" i="12"/>
  <c r="AH36" i="16"/>
  <c r="AM36" i="16" s="1"/>
  <c r="AM43" i="12"/>
  <c r="AH43" i="16"/>
  <c r="AH49" i="16"/>
  <c r="AM49" i="16" s="1"/>
  <c r="AH55" i="16"/>
  <c r="AM55" i="16" s="1"/>
  <c r="AH67" i="16"/>
  <c r="AV14" i="12"/>
  <c r="AM10" i="12"/>
  <c r="AH10" i="16"/>
  <c r="AM10" i="16" s="1"/>
  <c r="AM17" i="12"/>
  <c r="AH17" i="16"/>
  <c r="AM17" i="16" s="1"/>
  <c r="AM23" i="12"/>
  <c r="AH23" i="16"/>
  <c r="AM23" i="16" s="1"/>
  <c r="AM29" i="12"/>
  <c r="AH29" i="16"/>
  <c r="AM29" i="16" s="1"/>
  <c r="AM35" i="12"/>
  <c r="AH35" i="16"/>
  <c r="AM35" i="16" s="1"/>
  <c r="AM41" i="12"/>
  <c r="AH41" i="16"/>
  <c r="AM41" i="16" s="1"/>
  <c r="AH45" i="16"/>
  <c r="AM45" i="16" s="1"/>
  <c r="AH51" i="16"/>
  <c r="AH57" i="16"/>
  <c r="AM57" i="16" s="1"/>
  <c r="AH68" i="16"/>
  <c r="AM68" i="16" s="1"/>
  <c r="AV11" i="12"/>
  <c r="BA22" i="12"/>
  <c r="BA75" i="12"/>
  <c r="AM8" i="12"/>
  <c r="AH8" i="16"/>
  <c r="AM15" i="12"/>
  <c r="AH15" i="16"/>
  <c r="AM15" i="16" s="1"/>
  <c r="AM21" i="12"/>
  <c r="AH21" i="16"/>
  <c r="AM21" i="16" s="1"/>
  <c r="AM26" i="12"/>
  <c r="AH26" i="16"/>
  <c r="AM34" i="12"/>
  <c r="AH34" i="16"/>
  <c r="AM40" i="12"/>
  <c r="AH40" i="16"/>
  <c r="AM40" i="16" s="1"/>
  <c r="AM44" i="12"/>
  <c r="AH44" i="16"/>
  <c r="AM44" i="16" s="1"/>
  <c r="AH52" i="16"/>
  <c r="AM52" i="16" s="1"/>
  <c r="AH63" i="16"/>
  <c r="AM63" i="16" s="1"/>
  <c r="AE135" i="14"/>
  <c r="AU32" i="16"/>
  <c r="AU40" i="16"/>
  <c r="AU56" i="16"/>
  <c r="AU72" i="16"/>
  <c r="AU104" i="16"/>
  <c r="AU120" i="16"/>
  <c r="AU9" i="12"/>
  <c r="AU13" i="12"/>
  <c r="AU17" i="12"/>
  <c r="AU21" i="12"/>
  <c r="AU25" i="12"/>
  <c r="AU29" i="12"/>
  <c r="AU33" i="12"/>
  <c r="AU37" i="12"/>
  <c r="AU41" i="12"/>
  <c r="AU45" i="12"/>
  <c r="AU49" i="12"/>
  <c r="AU53" i="12"/>
  <c r="AU57" i="12"/>
  <c r="AU61" i="12"/>
  <c r="AU65" i="12"/>
  <c r="AU69" i="12"/>
  <c r="AU73" i="12"/>
  <c r="AU77" i="12"/>
  <c r="AU81" i="12"/>
  <c r="AU85" i="12"/>
  <c r="AU89" i="12"/>
  <c r="AU93" i="12"/>
  <c r="AU97" i="12"/>
  <c r="AU101" i="12"/>
  <c r="AU105" i="12"/>
  <c r="AU109" i="12"/>
  <c r="AU113" i="12"/>
  <c r="AU117" i="12"/>
  <c r="AU121" i="12"/>
  <c r="AU125" i="12"/>
  <c r="AU129" i="12"/>
  <c r="AU42" i="16"/>
  <c r="AU50" i="16"/>
  <c r="AU66" i="16"/>
  <c r="AU82" i="16"/>
  <c r="AU98" i="16"/>
  <c r="AU106" i="16"/>
  <c r="AU114" i="16"/>
  <c r="AU122" i="16"/>
  <c r="AU130" i="16"/>
  <c r="AU12" i="12"/>
  <c r="AU20" i="12"/>
  <c r="AU28" i="12"/>
  <c r="AU36" i="12"/>
  <c r="AU44" i="12"/>
  <c r="AU52" i="12"/>
  <c r="AU60" i="12"/>
  <c r="AU68" i="12"/>
  <c r="AU76" i="12"/>
  <c r="AU84" i="12"/>
  <c r="AU92" i="12"/>
  <c r="AU100" i="12"/>
  <c r="AU108" i="12"/>
  <c r="AU116" i="12"/>
  <c r="AU124" i="12"/>
  <c r="AU132" i="12"/>
  <c r="AU11" i="16"/>
  <c r="AU19" i="16"/>
  <c r="AU131" i="16"/>
  <c r="AU7" i="12"/>
  <c r="AU15" i="12"/>
  <c r="AU23" i="12"/>
  <c r="AU31" i="12"/>
  <c r="AU39" i="12"/>
  <c r="AU47" i="12"/>
  <c r="AU55" i="12"/>
  <c r="AU63" i="12"/>
  <c r="AU71" i="12"/>
  <c r="AU79" i="12"/>
  <c r="AU87" i="12"/>
  <c r="AU95" i="12"/>
  <c r="AU103" i="12"/>
  <c r="AU111" i="12"/>
  <c r="AU119" i="12"/>
  <c r="AU127" i="12"/>
  <c r="AU46" i="16"/>
  <c r="AU54" i="16"/>
  <c r="AU78" i="16"/>
  <c r="AU86" i="16"/>
  <c r="AU94" i="16"/>
  <c r="AU102" i="16"/>
  <c r="AU118" i="16"/>
  <c r="AO7" i="16"/>
  <c r="CE8" i="3"/>
  <c r="CE16" i="3"/>
  <c r="CE40" i="3"/>
  <c r="CE11" i="3"/>
  <c r="CE9" i="3"/>
  <c r="CE41" i="3"/>
  <c r="CE10" i="3"/>
  <c r="CE42" i="3"/>
  <c r="CE7" i="3"/>
  <c r="CE136" i="3" s="1"/>
  <c r="CI80" i="14"/>
  <c r="CH76" i="14"/>
  <c r="CE76" i="14"/>
  <c r="CF76" i="14"/>
  <c r="CE112" i="14"/>
  <c r="CE78" i="3"/>
  <c r="CL94" i="3"/>
  <c r="R94" i="22" s="1"/>
  <c r="CL102" i="3"/>
  <c r="R102" i="22" s="1"/>
  <c r="CL110" i="3"/>
  <c r="R110" i="22" s="1"/>
  <c r="CL118" i="3"/>
  <c r="R118" i="22" s="1"/>
  <c r="CG118" i="3"/>
  <c r="CL126" i="3"/>
  <c r="R126" i="22" s="1"/>
  <c r="CE126" i="3"/>
  <c r="CL63" i="3"/>
  <c r="R63" i="22" s="1"/>
  <c r="CL79" i="3"/>
  <c r="R79" i="22" s="1"/>
  <c r="CL87" i="3"/>
  <c r="R87" i="22" s="1"/>
  <c r="CL95" i="3"/>
  <c r="R95" i="22" s="1"/>
  <c r="CE103" i="3"/>
  <c r="CL111" i="3"/>
  <c r="R111" i="22" s="1"/>
  <c r="CE127" i="3"/>
  <c r="CL48" i="3"/>
  <c r="R48" i="22" s="1"/>
  <c r="CG48" i="3"/>
  <c r="CL64" i="3"/>
  <c r="R64" i="22" s="1"/>
  <c r="CL72" i="3"/>
  <c r="R72" i="22" s="1"/>
  <c r="CL88" i="3"/>
  <c r="R88" i="22" s="1"/>
  <c r="CL96" i="3"/>
  <c r="R96" i="22" s="1"/>
  <c r="CE104" i="3"/>
  <c r="CL120" i="3"/>
  <c r="R120" i="22" s="1"/>
  <c r="CE128" i="3"/>
  <c r="CE57" i="3"/>
  <c r="CL73" i="3"/>
  <c r="R73" i="22" s="1"/>
  <c r="CE81" i="3"/>
  <c r="CL89" i="3"/>
  <c r="R89" i="22" s="1"/>
  <c r="CE97" i="3"/>
  <c r="CL121" i="3"/>
  <c r="R121" i="22" s="1"/>
  <c r="CL50" i="3"/>
  <c r="R50" i="22" s="1"/>
  <c r="CG50" i="3"/>
  <c r="CE66" i="3"/>
  <c r="CE82" i="3"/>
  <c r="CL90" i="3"/>
  <c r="R90" i="22" s="1"/>
  <c r="CL98" i="3"/>
  <c r="R98" i="22" s="1"/>
  <c r="CL106" i="3"/>
  <c r="R106" i="22" s="1"/>
  <c r="CL114" i="3"/>
  <c r="R114" i="22" s="1"/>
  <c r="CI114" i="3"/>
  <c r="CF114" i="3"/>
  <c r="CL122" i="3"/>
  <c r="R122" i="22" s="1"/>
  <c r="CL130" i="3"/>
  <c r="R130" i="22" s="1"/>
  <c r="CE130" i="3"/>
  <c r="CE51" i="3"/>
  <c r="CE59" i="3"/>
  <c r="CL75" i="3"/>
  <c r="R75" i="22" s="1"/>
  <c r="CE83" i="3"/>
  <c r="CL91" i="3"/>
  <c r="R91" i="22" s="1"/>
  <c r="CJ91" i="3"/>
  <c r="CL99" i="3"/>
  <c r="R99" i="22" s="1"/>
  <c r="CL107" i="3"/>
  <c r="R107" i="22" s="1"/>
  <c r="CE115" i="3"/>
  <c r="CL123" i="3"/>
  <c r="R123" i="22" s="1"/>
  <c r="CL131" i="3"/>
  <c r="R131" i="22" s="1"/>
  <c r="CL52" i="3"/>
  <c r="R52" i="22" s="1"/>
  <c r="CE76" i="3"/>
  <c r="CE84" i="3"/>
  <c r="CL92" i="3"/>
  <c r="R92" i="22" s="1"/>
  <c r="CL108" i="3"/>
  <c r="R108" i="22" s="1"/>
  <c r="CF116" i="3"/>
  <c r="CE116" i="3"/>
  <c r="CE132" i="3"/>
  <c r="CL53" i="3"/>
  <c r="R53" i="22" s="1"/>
  <c r="CL69" i="3"/>
  <c r="R69" i="22" s="1"/>
  <c r="CJ69" i="3"/>
  <c r="CL101" i="3"/>
  <c r="R101" i="22" s="1"/>
  <c r="CE109" i="3"/>
  <c r="CL14" i="7"/>
  <c r="M14" i="22" s="1"/>
  <c r="CL30" i="7"/>
  <c r="M30" i="22" s="1"/>
  <c r="CL46" i="7"/>
  <c r="M46" i="22" s="1"/>
  <c r="CL36" i="7"/>
  <c r="M36" i="22" s="1"/>
  <c r="CL12" i="7"/>
  <c r="M12" i="22" s="1"/>
  <c r="CL44" i="7"/>
  <c r="M44" i="22" s="1"/>
  <c r="CG12" i="7"/>
  <c r="CL22" i="7"/>
  <c r="M22" i="22" s="1"/>
  <c r="CL38" i="7"/>
  <c r="M38" i="22" s="1"/>
  <c r="CL20" i="7"/>
  <c r="M20" i="22" s="1"/>
  <c r="CE12" i="7"/>
  <c r="CE7" i="7"/>
  <c r="CE136" i="7" s="1"/>
  <c r="CE68" i="7"/>
  <c r="CG92" i="7"/>
  <c r="CL92" i="7"/>
  <c r="M92" i="22" s="1"/>
  <c r="CL100" i="7"/>
  <c r="M100" i="22" s="1"/>
  <c r="CI108" i="7"/>
  <c r="CE108" i="7"/>
  <c r="CL108" i="7"/>
  <c r="M108" i="22" s="1"/>
  <c r="CI116" i="7"/>
  <c r="CL116" i="7"/>
  <c r="M116" i="22" s="1"/>
  <c r="CL132" i="7"/>
  <c r="M132" i="22" s="1"/>
  <c r="CF33" i="7"/>
  <c r="CE53" i="7"/>
  <c r="CE69" i="7"/>
  <c r="CL77" i="7"/>
  <c r="M77" i="22" s="1"/>
  <c r="CL85" i="7"/>
  <c r="M85" i="22" s="1"/>
  <c r="CJ93" i="7"/>
  <c r="CL93" i="7"/>
  <c r="M93" i="22" s="1"/>
  <c r="CL101" i="7"/>
  <c r="M101" i="22" s="1"/>
  <c r="CL109" i="7"/>
  <c r="M109" i="22" s="1"/>
  <c r="CE117" i="7"/>
  <c r="CL117" i="7"/>
  <c r="M117" i="22" s="1"/>
  <c r="CL125" i="7"/>
  <c r="M125" i="22" s="1"/>
  <c r="CG18" i="7"/>
  <c r="CG37" i="7"/>
  <c r="CL62" i="7"/>
  <c r="M62" i="22" s="1"/>
  <c r="CE70" i="7"/>
  <c r="CF86" i="7"/>
  <c r="CL86" i="7"/>
  <c r="M86" i="22" s="1"/>
  <c r="CH94" i="7"/>
  <c r="CL94" i="7"/>
  <c r="M94" i="22" s="1"/>
  <c r="CG102" i="7"/>
  <c r="CL102" i="7"/>
  <c r="M102" i="22" s="1"/>
  <c r="CG110" i="7"/>
  <c r="CF110" i="7"/>
  <c r="CL110" i="7"/>
  <c r="CG118" i="7"/>
  <c r="CF118" i="7"/>
  <c r="CE118" i="7"/>
  <c r="CL118" i="7"/>
  <c r="M118" i="22" s="1"/>
  <c r="CL126" i="7"/>
  <c r="M126" i="22" s="1"/>
  <c r="CH18" i="7"/>
  <c r="CH19" i="7"/>
  <c r="CH21" i="7"/>
  <c r="CH34" i="7"/>
  <c r="CH43" i="7"/>
  <c r="CE55" i="7"/>
  <c r="CF71" i="7"/>
  <c r="CL71" i="7"/>
  <c r="M71" i="22" s="1"/>
  <c r="CE87" i="7"/>
  <c r="CL95" i="7"/>
  <c r="M95" i="22" s="1"/>
  <c r="CG111" i="7"/>
  <c r="CL111" i="7"/>
  <c r="M111" i="22" s="1"/>
  <c r="CE127" i="7"/>
  <c r="CL72" i="7"/>
  <c r="M72" i="22" s="1"/>
  <c r="CL80" i="7"/>
  <c r="M80" i="22" s="1"/>
  <c r="CF88" i="7"/>
  <c r="CL88" i="7"/>
  <c r="M88" i="22" s="1"/>
  <c r="CL96" i="7"/>
  <c r="CE120" i="7"/>
  <c r="CJ32" i="7"/>
  <c r="CJ41" i="7"/>
  <c r="CL73" i="7"/>
  <c r="M73" i="22" s="1"/>
  <c r="CF81" i="7"/>
  <c r="CL81" i="7"/>
  <c r="M81" i="22" s="1"/>
  <c r="CE105" i="7"/>
  <c r="CL105" i="7"/>
  <c r="M105" i="22" s="1"/>
  <c r="CE113" i="7"/>
  <c r="CL113" i="7"/>
  <c r="M113" i="22" s="1"/>
  <c r="CJ121" i="7"/>
  <c r="CI121" i="7"/>
  <c r="CH121" i="7"/>
  <c r="CG121" i="7"/>
  <c r="CF121" i="7"/>
  <c r="CL121" i="7"/>
  <c r="M121" i="22" s="1"/>
  <c r="CL129" i="7"/>
  <c r="M129" i="22" s="1"/>
  <c r="CK31" i="7"/>
  <c r="CK33" i="7"/>
  <c r="CK41" i="7"/>
  <c r="CL58" i="7"/>
  <c r="M58" i="22" s="1"/>
  <c r="CE66" i="7"/>
  <c r="CL66" i="7"/>
  <c r="M66" i="22" s="1"/>
  <c r="CL74" i="7"/>
  <c r="M74" i="22" s="1"/>
  <c r="CL82" i="7"/>
  <c r="M82" i="22" s="1"/>
  <c r="CL90" i="7"/>
  <c r="M90" i="22" s="1"/>
  <c r="CJ106" i="7"/>
  <c r="CL106" i="7"/>
  <c r="M106" i="22" s="1"/>
  <c r="CJ114" i="7"/>
  <c r="CI114" i="7"/>
  <c r="CH114" i="7"/>
  <c r="CL114" i="7"/>
  <c r="M114" i="22" s="1"/>
  <c r="CH122" i="7"/>
  <c r="CG122" i="7"/>
  <c r="CL122" i="7"/>
  <c r="M122" i="22" s="1"/>
  <c r="CL8" i="7"/>
  <c r="CL9" i="7"/>
  <c r="M9" i="22" s="1"/>
  <c r="CL10" i="7"/>
  <c r="M10" i="22" s="1"/>
  <c r="CL11" i="7"/>
  <c r="M11" i="22" s="1"/>
  <c r="CL13" i="7"/>
  <c r="M13" i="22" s="1"/>
  <c r="CL15" i="7"/>
  <c r="M15" i="22" s="1"/>
  <c r="CL16" i="7"/>
  <c r="M16" i="22" s="1"/>
  <c r="CL17" i="7"/>
  <c r="M17" i="22" s="1"/>
  <c r="CL18" i="7"/>
  <c r="M18" i="22" s="1"/>
  <c r="CL19" i="7"/>
  <c r="M19" i="22" s="1"/>
  <c r="CL21" i="7"/>
  <c r="M21" i="22" s="1"/>
  <c r="CL23" i="7"/>
  <c r="M23" i="22" s="1"/>
  <c r="CL24" i="7"/>
  <c r="M24" i="22" s="1"/>
  <c r="CL25" i="7"/>
  <c r="M25" i="22" s="1"/>
  <c r="CL27" i="7"/>
  <c r="CL29" i="7"/>
  <c r="M29" i="22" s="1"/>
  <c r="CL31" i="7"/>
  <c r="M31" i="22" s="1"/>
  <c r="CL32" i="7"/>
  <c r="M32" i="22" s="1"/>
  <c r="CL33" i="7"/>
  <c r="M33" i="22" s="1"/>
  <c r="CL34" i="7"/>
  <c r="CL35" i="7"/>
  <c r="M35" i="22" s="1"/>
  <c r="CL37" i="7"/>
  <c r="M37" i="22" s="1"/>
  <c r="CL39" i="7"/>
  <c r="M39" i="22" s="1"/>
  <c r="CL40" i="7"/>
  <c r="M40" i="22" s="1"/>
  <c r="CL41" i="7"/>
  <c r="M41" i="22" s="1"/>
  <c r="CL42" i="7"/>
  <c r="M42" i="22" s="1"/>
  <c r="CL43" i="7"/>
  <c r="CL45" i="7"/>
  <c r="M45" i="22" s="1"/>
  <c r="CL47" i="7"/>
  <c r="M47" i="22" s="1"/>
  <c r="CJ59" i="7"/>
  <c r="CL59" i="7"/>
  <c r="M59" i="22" s="1"/>
  <c r="CL67" i="7"/>
  <c r="CL75" i="7"/>
  <c r="M75" i="22" s="1"/>
  <c r="CL91" i="7"/>
  <c r="M91" i="22" s="1"/>
  <c r="CL99" i="7"/>
  <c r="M99" i="22" s="1"/>
  <c r="CL107" i="7"/>
  <c r="M107" i="22" s="1"/>
  <c r="CJ115" i="7"/>
  <c r="CI115" i="7"/>
  <c r="CH115" i="7"/>
  <c r="CG115" i="7"/>
  <c r="CF115" i="7"/>
  <c r="CE115" i="7"/>
  <c r="CL115" i="7"/>
  <c r="M115" i="22" s="1"/>
  <c r="CE123" i="7"/>
  <c r="CE131" i="7"/>
  <c r="AV24" i="12"/>
  <c r="BA24" i="12"/>
  <c r="AV32" i="12"/>
  <c r="BA32" i="12"/>
  <c r="AV42" i="12"/>
  <c r="BA42" i="12"/>
  <c r="AV58" i="12"/>
  <c r="BA58" i="12"/>
  <c r="AV9" i="12"/>
  <c r="BA9" i="12"/>
  <c r="AV15" i="12"/>
  <c r="BA15" i="12"/>
  <c r="AV23" i="12"/>
  <c r="BA23" i="12"/>
  <c r="AV31" i="12"/>
  <c r="BA31" i="12"/>
  <c r="AV50" i="12"/>
  <c r="BA50" i="12"/>
  <c r="AV8" i="12"/>
  <c r="BA8" i="12"/>
  <c r="AV17" i="12"/>
  <c r="BA17" i="12"/>
  <c r="AV25" i="12"/>
  <c r="BA25" i="12"/>
  <c r="AV33" i="12"/>
  <c r="BA33" i="12"/>
  <c r="AV41" i="12"/>
  <c r="BA41" i="12"/>
  <c r="AV59" i="12"/>
  <c r="BA11" i="12"/>
  <c r="AV12" i="12"/>
  <c r="BA12" i="12"/>
  <c r="AV18" i="12"/>
  <c r="BA18" i="12"/>
  <c r="AV26" i="12"/>
  <c r="BA26" i="12"/>
  <c r="AV34" i="12"/>
  <c r="BA34" i="12"/>
  <c r="AV38" i="12"/>
  <c r="AV45" i="12"/>
  <c r="BA45" i="12"/>
  <c r="AV52" i="12"/>
  <c r="BA52" i="12"/>
  <c r="AV55" i="12"/>
  <c r="BA55" i="12"/>
  <c r="AV60" i="12"/>
  <c r="BA60" i="12"/>
  <c r="AV63" i="12"/>
  <c r="BA63" i="12"/>
  <c r="AV66" i="12"/>
  <c r="BA66" i="12"/>
  <c r="AV69" i="12"/>
  <c r="BA69" i="12"/>
  <c r="AV73" i="12"/>
  <c r="BA73" i="12"/>
  <c r="AV77" i="12"/>
  <c r="BA77" i="12"/>
  <c r="AV80" i="12"/>
  <c r="BA80" i="12"/>
  <c r="AV84" i="12"/>
  <c r="BA84" i="12"/>
  <c r="AV88" i="12"/>
  <c r="BA88" i="12"/>
  <c r="AV91" i="12"/>
  <c r="AV94" i="12"/>
  <c r="BA94" i="12"/>
  <c r="AV99" i="12"/>
  <c r="AV102" i="12"/>
  <c r="BA102" i="12"/>
  <c r="AV103" i="12"/>
  <c r="BA103" i="12"/>
  <c r="AV106" i="12"/>
  <c r="BA106" i="12"/>
  <c r="AV107" i="12"/>
  <c r="AV108" i="12"/>
  <c r="BA108" i="12"/>
  <c r="AV109" i="12"/>
  <c r="BA109" i="12"/>
  <c r="AV110" i="12"/>
  <c r="BA110" i="12"/>
  <c r="AV111" i="12"/>
  <c r="BA111" i="12"/>
  <c r="AV114" i="12"/>
  <c r="BA114" i="12"/>
  <c r="AV115" i="12"/>
  <c r="AV116" i="12"/>
  <c r="BA116" i="12"/>
  <c r="AV117" i="12"/>
  <c r="BA117" i="12"/>
  <c r="AV118" i="12"/>
  <c r="BA118" i="12"/>
  <c r="AV119" i="12"/>
  <c r="BA119" i="12"/>
  <c r="AV120" i="12"/>
  <c r="BA120" i="12"/>
  <c r="AV121" i="12"/>
  <c r="BA121" i="12"/>
  <c r="AV122" i="12"/>
  <c r="BA122" i="12"/>
  <c r="AV123" i="12"/>
  <c r="BA123" i="12"/>
  <c r="AV124" i="12"/>
  <c r="BA124" i="12"/>
  <c r="AV125" i="12"/>
  <c r="BA125" i="12"/>
  <c r="AV126" i="12"/>
  <c r="BA126" i="12"/>
  <c r="AV127" i="12"/>
  <c r="AV128" i="12"/>
  <c r="BA128" i="12"/>
  <c r="AV129" i="12"/>
  <c r="BA129" i="12"/>
  <c r="AV130" i="12"/>
  <c r="BA130" i="12"/>
  <c r="AV131" i="12"/>
  <c r="BA131" i="12"/>
  <c r="AV132" i="12"/>
  <c r="BA132" i="12"/>
  <c r="BA14" i="12"/>
  <c r="BA99" i="12"/>
  <c r="AV10" i="12"/>
  <c r="BA10" i="12"/>
  <c r="AV19" i="12"/>
  <c r="AV28" i="12"/>
  <c r="BA28" i="12"/>
  <c r="AV35" i="12"/>
  <c r="AV39" i="12"/>
  <c r="BA39" i="12"/>
  <c r="AV43" i="12"/>
  <c r="AV46" i="12"/>
  <c r="AV51" i="12"/>
  <c r="AV54" i="12"/>
  <c r="AV56" i="12"/>
  <c r="BA56" i="12"/>
  <c r="AV61" i="12"/>
  <c r="BA61" i="12"/>
  <c r="AV64" i="12"/>
  <c r="BA64" i="12"/>
  <c r="AV68" i="12"/>
  <c r="BA68" i="12"/>
  <c r="AV71" i="12"/>
  <c r="BA71" i="12"/>
  <c r="AV74" i="12"/>
  <c r="BA74" i="12"/>
  <c r="AV75" i="12"/>
  <c r="AV78" i="12"/>
  <c r="BA78" i="12"/>
  <c r="AV81" i="12"/>
  <c r="BA81" i="12"/>
  <c r="AV83" i="12"/>
  <c r="AV86" i="12"/>
  <c r="BA86" i="12"/>
  <c r="AV89" i="12"/>
  <c r="BA89" i="12"/>
  <c r="AV92" i="12"/>
  <c r="BA92" i="12"/>
  <c r="AV95" i="12"/>
  <c r="BA95" i="12"/>
  <c r="AV97" i="12"/>
  <c r="BA97" i="12"/>
  <c r="AV101" i="12"/>
  <c r="BA101" i="12"/>
  <c r="AV105" i="12"/>
  <c r="BA105" i="12"/>
  <c r="AV113" i="12"/>
  <c r="BA113" i="12"/>
  <c r="BA19" i="12"/>
  <c r="BA51" i="12"/>
  <c r="BA107" i="12"/>
  <c r="AV20" i="12"/>
  <c r="BA20" i="12"/>
  <c r="AV29" i="12"/>
  <c r="BA29" i="12"/>
  <c r="AV37" i="12"/>
  <c r="BA37" i="12"/>
  <c r="AV40" i="12"/>
  <c r="BA40" i="12"/>
  <c r="AV44" i="12"/>
  <c r="BA44" i="12"/>
  <c r="AV48" i="12"/>
  <c r="BA48" i="12"/>
  <c r="AV53" i="12"/>
  <c r="BA53" i="12"/>
  <c r="AV57" i="12"/>
  <c r="BA57" i="12"/>
  <c r="AV62" i="12"/>
  <c r="BA62" i="12"/>
  <c r="AV65" i="12"/>
  <c r="BA65" i="12"/>
  <c r="AV67" i="12"/>
  <c r="AV70" i="12"/>
  <c r="BA70" i="12"/>
  <c r="AV72" i="12"/>
  <c r="BA72" i="12"/>
  <c r="AV76" i="12"/>
  <c r="BA76" i="12"/>
  <c r="AV79" i="12"/>
  <c r="BA79" i="12"/>
  <c r="AV82" i="12"/>
  <c r="BA82" i="12"/>
  <c r="AV85" i="12"/>
  <c r="BA85" i="12"/>
  <c r="AV87" i="12"/>
  <c r="BA87" i="12"/>
  <c r="AV90" i="12"/>
  <c r="BA90" i="12"/>
  <c r="AV93" i="12"/>
  <c r="BA93" i="12"/>
  <c r="AV96" i="12"/>
  <c r="BA96" i="12"/>
  <c r="AV98" i="12"/>
  <c r="BA98" i="12"/>
  <c r="AV100" i="12"/>
  <c r="BA100" i="12"/>
  <c r="AV104" i="12"/>
  <c r="BA104" i="12"/>
  <c r="AV112" i="12"/>
  <c r="BA112" i="12"/>
  <c r="BA54" i="12"/>
  <c r="BA115" i="12"/>
  <c r="AV7" i="12"/>
  <c r="BA7" i="12"/>
  <c r="AV16" i="12"/>
  <c r="BA16" i="12"/>
  <c r="AV22" i="12"/>
  <c r="AV30" i="12"/>
  <c r="AV47" i="12"/>
  <c r="BA47" i="12"/>
  <c r="BA59" i="12"/>
  <c r="BA127" i="12"/>
  <c r="AV13" i="12"/>
  <c r="BA13" i="12"/>
  <c r="AV21" i="12"/>
  <c r="BA21" i="12"/>
  <c r="AV27" i="12"/>
  <c r="AV36" i="12"/>
  <c r="BA36" i="12"/>
  <c r="AV49" i="12"/>
  <c r="BA49" i="12"/>
  <c r="BA30" i="12"/>
  <c r="BA67" i="12"/>
  <c r="CE46" i="15"/>
  <c r="CQ46" i="15" s="1"/>
  <c r="CI47" i="15"/>
  <c r="CU47" i="15" s="1"/>
  <c r="CI48" i="15"/>
  <c r="CU48" i="15" s="1"/>
  <c r="CH47" i="15"/>
  <c r="CT47" i="15" s="1"/>
  <c r="CS116" i="15"/>
  <c r="CL120" i="15"/>
  <c r="AF41" i="12"/>
  <c r="AF41" i="31" s="1"/>
  <c r="AF55" i="12"/>
  <c r="AF55" i="31" s="1"/>
  <c r="AF77" i="12"/>
  <c r="AF77" i="31" s="1"/>
  <c r="AF125" i="12"/>
  <c r="AF125" i="31" s="1"/>
  <c r="AF105" i="12"/>
  <c r="AF105" i="31" s="1"/>
  <c r="AF15" i="12"/>
  <c r="AF15" i="31" s="1"/>
  <c r="AF25" i="12"/>
  <c r="AF25" i="31" s="1"/>
  <c r="AF31" i="12"/>
  <c r="AF31" i="31" s="1"/>
  <c r="AF39" i="12"/>
  <c r="AF39" i="31" s="1"/>
  <c r="AF49" i="12"/>
  <c r="AF49" i="31" s="1"/>
  <c r="AF61" i="12"/>
  <c r="AF61" i="31" s="1"/>
  <c r="AF69" i="12"/>
  <c r="AF69" i="31" s="1"/>
  <c r="AF83" i="12"/>
  <c r="AF83" i="31" s="1"/>
  <c r="AF95" i="12"/>
  <c r="AF95" i="31" s="1"/>
  <c r="AF107" i="12"/>
  <c r="AF107" i="31" s="1"/>
  <c r="AF121" i="12"/>
  <c r="AF121" i="31" s="1"/>
  <c r="AE8" i="12"/>
  <c r="AE10" i="12"/>
  <c r="AE10" i="31" s="1"/>
  <c r="AS10" i="31" s="1"/>
  <c r="AE12" i="12"/>
  <c r="AE12" i="31" s="1"/>
  <c r="AS12" i="31" s="1"/>
  <c r="AE14" i="12"/>
  <c r="AE14" i="31" s="1"/>
  <c r="AS14" i="31" s="1"/>
  <c r="AE16" i="12"/>
  <c r="AE16" i="31" s="1"/>
  <c r="AS16" i="31" s="1"/>
  <c r="AE18" i="12"/>
  <c r="AE18" i="31" s="1"/>
  <c r="AS18" i="31" s="1"/>
  <c r="AE20" i="12"/>
  <c r="AE20" i="31" s="1"/>
  <c r="AS20" i="31" s="1"/>
  <c r="AE22" i="12"/>
  <c r="AE22" i="31" s="1"/>
  <c r="AS22" i="31" s="1"/>
  <c r="AE24" i="12"/>
  <c r="AE24" i="31" s="1"/>
  <c r="AE26" i="12"/>
  <c r="AE26" i="31" s="1"/>
  <c r="AS26" i="31" s="1"/>
  <c r="AE28" i="12"/>
  <c r="AE28" i="31" s="1"/>
  <c r="AS28" i="31" s="1"/>
  <c r="AE30" i="12"/>
  <c r="AE30" i="31" s="1"/>
  <c r="AS30" i="31" s="1"/>
  <c r="AE32" i="12"/>
  <c r="AE32" i="31" s="1"/>
  <c r="AS32" i="31" s="1"/>
  <c r="AE36" i="12"/>
  <c r="AE36" i="31" s="1"/>
  <c r="AS36" i="31" s="1"/>
  <c r="AE38" i="12"/>
  <c r="AE38" i="31" s="1"/>
  <c r="AS38" i="31" s="1"/>
  <c r="AE40" i="12"/>
  <c r="AE40" i="31" s="1"/>
  <c r="AS40" i="31" s="1"/>
  <c r="AE42" i="12"/>
  <c r="AE42" i="31" s="1"/>
  <c r="AS42" i="31" s="1"/>
  <c r="AE44" i="12"/>
  <c r="AE44" i="31" s="1"/>
  <c r="AS44" i="31" s="1"/>
  <c r="AE46" i="12"/>
  <c r="AE46" i="31" s="1"/>
  <c r="AS46" i="31" s="1"/>
  <c r="AE48" i="12"/>
  <c r="AE48" i="31" s="1"/>
  <c r="AS48" i="31" s="1"/>
  <c r="AE50" i="12"/>
  <c r="AE50" i="31" s="1"/>
  <c r="AS50" i="31" s="1"/>
  <c r="AE52" i="12"/>
  <c r="AE52" i="31" s="1"/>
  <c r="AS52" i="31" s="1"/>
  <c r="AE54" i="12"/>
  <c r="AE54" i="31" s="1"/>
  <c r="AS54" i="31" s="1"/>
  <c r="AE56" i="12"/>
  <c r="AE56" i="31" s="1"/>
  <c r="AS56" i="31" s="1"/>
  <c r="AE58" i="12"/>
  <c r="AE58" i="31" s="1"/>
  <c r="AS58" i="31" s="1"/>
  <c r="AE60" i="12"/>
  <c r="AE60" i="31" s="1"/>
  <c r="AS60" i="31" s="1"/>
  <c r="AE62" i="12"/>
  <c r="AE62" i="31" s="1"/>
  <c r="AS62" i="31" s="1"/>
  <c r="AE64" i="12"/>
  <c r="AE64" i="31" s="1"/>
  <c r="AS64" i="31" s="1"/>
  <c r="AE66" i="12"/>
  <c r="AE66" i="31" s="1"/>
  <c r="AS66" i="31" s="1"/>
  <c r="AE68" i="12"/>
  <c r="AE68" i="31" s="1"/>
  <c r="AS68" i="31" s="1"/>
  <c r="AE70" i="12"/>
  <c r="AE70" i="31" s="1"/>
  <c r="AS70" i="31" s="1"/>
  <c r="AE72" i="12"/>
  <c r="AE72" i="31" s="1"/>
  <c r="AS72" i="31" s="1"/>
  <c r="AE74" i="12"/>
  <c r="AE74" i="31" s="1"/>
  <c r="AS74" i="31" s="1"/>
  <c r="AE76" i="12"/>
  <c r="AE76" i="31" s="1"/>
  <c r="AS76" i="31" s="1"/>
  <c r="AE78" i="12"/>
  <c r="AE78" i="31" s="1"/>
  <c r="AS78" i="31" s="1"/>
  <c r="AE80" i="12"/>
  <c r="AE80" i="31" s="1"/>
  <c r="AS80" i="31" s="1"/>
  <c r="AE84" i="12"/>
  <c r="AE84" i="31" s="1"/>
  <c r="AS84" i="31" s="1"/>
  <c r="AE86" i="12"/>
  <c r="AE86" i="31" s="1"/>
  <c r="AS86" i="31" s="1"/>
  <c r="AE88" i="12"/>
  <c r="AE88" i="31" s="1"/>
  <c r="AS88" i="31" s="1"/>
  <c r="AE90" i="12"/>
  <c r="AE90" i="31" s="1"/>
  <c r="AS90" i="31" s="1"/>
  <c r="AE92" i="12"/>
  <c r="AE92" i="31" s="1"/>
  <c r="AS92" i="31" s="1"/>
  <c r="AE94" i="12"/>
  <c r="AE98" i="12"/>
  <c r="AE98" i="31" s="1"/>
  <c r="AS98" i="31" s="1"/>
  <c r="AE100" i="12"/>
  <c r="AE100" i="31" s="1"/>
  <c r="AS100" i="31" s="1"/>
  <c r="AE102" i="12"/>
  <c r="AE102" i="31" s="1"/>
  <c r="AS102" i="31" s="1"/>
  <c r="AE104" i="12"/>
  <c r="AE104" i="31" s="1"/>
  <c r="AS104" i="31" s="1"/>
  <c r="AE106" i="12"/>
  <c r="AE106" i="31" s="1"/>
  <c r="AS106" i="31" s="1"/>
  <c r="AE108" i="12"/>
  <c r="AE108" i="31" s="1"/>
  <c r="AS108" i="31" s="1"/>
  <c r="AE112" i="12"/>
  <c r="AE112" i="31" s="1"/>
  <c r="AS112" i="31" s="1"/>
  <c r="AE114" i="12"/>
  <c r="AE114" i="31" s="1"/>
  <c r="AS114" i="31" s="1"/>
  <c r="AE116" i="12"/>
  <c r="AE116" i="31" s="1"/>
  <c r="AS116" i="31" s="1"/>
  <c r="AE118" i="12"/>
  <c r="AE118" i="31" s="1"/>
  <c r="AS118" i="31" s="1"/>
  <c r="AE120" i="12"/>
  <c r="AE120" i="31" s="1"/>
  <c r="AS120" i="31" s="1"/>
  <c r="AE122" i="12"/>
  <c r="AE122" i="31" s="1"/>
  <c r="AS122" i="31" s="1"/>
  <c r="AE124" i="12"/>
  <c r="AE124" i="31" s="1"/>
  <c r="AS124" i="31" s="1"/>
  <c r="AE126" i="12"/>
  <c r="AE126" i="31" s="1"/>
  <c r="AS126" i="31" s="1"/>
  <c r="AE128" i="12"/>
  <c r="AE128" i="31" s="1"/>
  <c r="AS128" i="31" s="1"/>
  <c r="AE130" i="12"/>
  <c r="AE130" i="31" s="1"/>
  <c r="AS130" i="31" s="1"/>
  <c r="AE132" i="12"/>
  <c r="AE132" i="31" s="1"/>
  <c r="AS132" i="31" s="1"/>
  <c r="AF9" i="12"/>
  <c r="AF9" i="31" s="1"/>
  <c r="AF21" i="12"/>
  <c r="AF21" i="31" s="1"/>
  <c r="AF35" i="12"/>
  <c r="AF35" i="31" s="1"/>
  <c r="AF43" i="12"/>
  <c r="AF53" i="12"/>
  <c r="AF53" i="31" s="1"/>
  <c r="AF65" i="12"/>
  <c r="AF65" i="31" s="1"/>
  <c r="AF75" i="12"/>
  <c r="AF75" i="31" s="1"/>
  <c r="AF85" i="12"/>
  <c r="AF85" i="31" s="1"/>
  <c r="AF93" i="12"/>
  <c r="AF93" i="31" s="1"/>
  <c r="AF101" i="12"/>
  <c r="AF101" i="31" s="1"/>
  <c r="AF111" i="12"/>
  <c r="AF111" i="31" s="1"/>
  <c r="AF131" i="12"/>
  <c r="AF131" i="31" s="1"/>
  <c r="AF12" i="12"/>
  <c r="AF12" i="31" s="1"/>
  <c r="AF16" i="12"/>
  <c r="AF16" i="31" s="1"/>
  <c r="AF20" i="12"/>
  <c r="AF20" i="31" s="1"/>
  <c r="AF22" i="12"/>
  <c r="AF22" i="31" s="1"/>
  <c r="AF26" i="12"/>
  <c r="AF26" i="31" s="1"/>
  <c r="AF28" i="12"/>
  <c r="AF28" i="31" s="1"/>
  <c r="AF30" i="12"/>
  <c r="AF30" i="31" s="1"/>
  <c r="AF32" i="12"/>
  <c r="AF32" i="31" s="1"/>
  <c r="AF36" i="12"/>
  <c r="AF36" i="31" s="1"/>
  <c r="AF38" i="12"/>
  <c r="AF38" i="31" s="1"/>
  <c r="AF40" i="12"/>
  <c r="AF40" i="31" s="1"/>
  <c r="AF42" i="12"/>
  <c r="AF42" i="31" s="1"/>
  <c r="AF46" i="12"/>
  <c r="AF46" i="31" s="1"/>
  <c r="AF50" i="12"/>
  <c r="AF50" i="31" s="1"/>
  <c r="AF56" i="12"/>
  <c r="AF56" i="31" s="1"/>
  <c r="AF62" i="12"/>
  <c r="AF62" i="31" s="1"/>
  <c r="AF64" i="12"/>
  <c r="AF64" i="31" s="1"/>
  <c r="AF68" i="12"/>
  <c r="AF68" i="31" s="1"/>
  <c r="AF70" i="12"/>
  <c r="AF70" i="31" s="1"/>
  <c r="AF72" i="12"/>
  <c r="AF72" i="31" s="1"/>
  <c r="AF74" i="12"/>
  <c r="AF74" i="31" s="1"/>
  <c r="AF76" i="12"/>
  <c r="AF76" i="31" s="1"/>
  <c r="AF78" i="12"/>
  <c r="AF78" i="31" s="1"/>
  <c r="AF80" i="12"/>
  <c r="AF80" i="31" s="1"/>
  <c r="AF84" i="12"/>
  <c r="AF84" i="31" s="1"/>
  <c r="AF86" i="12"/>
  <c r="AF86" i="31" s="1"/>
  <c r="AF88" i="12"/>
  <c r="AF88" i="31" s="1"/>
  <c r="AL88" i="31" s="1"/>
  <c r="AF90" i="12"/>
  <c r="AF90" i="31" s="1"/>
  <c r="AF92" i="12"/>
  <c r="AF92" i="31" s="1"/>
  <c r="AF94" i="12"/>
  <c r="AF94" i="31" s="1"/>
  <c r="AF98" i="12"/>
  <c r="AF98" i="31" s="1"/>
  <c r="AF100" i="12"/>
  <c r="AF100" i="31" s="1"/>
  <c r="AF102" i="12"/>
  <c r="AF102" i="31" s="1"/>
  <c r="AF104" i="12"/>
  <c r="AF104" i="31" s="1"/>
  <c r="AF106" i="12"/>
  <c r="AF106" i="31" s="1"/>
  <c r="AF108" i="12"/>
  <c r="AF108" i="31" s="1"/>
  <c r="AF112" i="12"/>
  <c r="AF112" i="31" s="1"/>
  <c r="AF114" i="12"/>
  <c r="AF114" i="31" s="1"/>
  <c r="AF116" i="12"/>
  <c r="AF116" i="31" s="1"/>
  <c r="AF118" i="12"/>
  <c r="AF118" i="31" s="1"/>
  <c r="AF120" i="12"/>
  <c r="AF120" i="31" s="1"/>
  <c r="AF122" i="12"/>
  <c r="AF122" i="31" s="1"/>
  <c r="AF124" i="12"/>
  <c r="AF124" i="31" s="1"/>
  <c r="AF126" i="12"/>
  <c r="AF126" i="31" s="1"/>
  <c r="AF128" i="12"/>
  <c r="AF128" i="31" s="1"/>
  <c r="AF130" i="12"/>
  <c r="AF130" i="31" s="1"/>
  <c r="AF132" i="12"/>
  <c r="AF132" i="31" s="1"/>
  <c r="AF11" i="12"/>
  <c r="AF11" i="31" s="1"/>
  <c r="AF19" i="12"/>
  <c r="AF19" i="31" s="1"/>
  <c r="AF33" i="12"/>
  <c r="AF33" i="31" s="1"/>
  <c r="AF45" i="12"/>
  <c r="AF45" i="31" s="1"/>
  <c r="AF59" i="12"/>
  <c r="AF59" i="31" s="1"/>
  <c r="AF73" i="12"/>
  <c r="AF87" i="12"/>
  <c r="AF87" i="31" s="1"/>
  <c r="AF97" i="12"/>
  <c r="AF97" i="31" s="1"/>
  <c r="AF109" i="12"/>
  <c r="AF109" i="31" s="1"/>
  <c r="AF117" i="12"/>
  <c r="AF117" i="31" s="1"/>
  <c r="AF129" i="12"/>
  <c r="AF129" i="31" s="1"/>
  <c r="AF10" i="12"/>
  <c r="AF10" i="31" s="1"/>
  <c r="AF14" i="12"/>
  <c r="AF14" i="31" s="1"/>
  <c r="AF18" i="12"/>
  <c r="AF18" i="31" s="1"/>
  <c r="AF24" i="12"/>
  <c r="AF24" i="31" s="1"/>
  <c r="AF48" i="12"/>
  <c r="AF48" i="31" s="1"/>
  <c r="AF52" i="12"/>
  <c r="AF52" i="31" s="1"/>
  <c r="AF54" i="12"/>
  <c r="AF54" i="31" s="1"/>
  <c r="AF58" i="12"/>
  <c r="AF58" i="31" s="1"/>
  <c r="AF60" i="12"/>
  <c r="AF60" i="31" s="1"/>
  <c r="AF66" i="12"/>
  <c r="AF66" i="31" s="1"/>
  <c r="AF82" i="12"/>
  <c r="AF82" i="31" s="1"/>
  <c r="AF13" i="12"/>
  <c r="AF13" i="31" s="1"/>
  <c r="AF63" i="12"/>
  <c r="AF63" i="31" s="1"/>
  <c r="AF71" i="12"/>
  <c r="AF71" i="31" s="1"/>
  <c r="AF81" i="12"/>
  <c r="AF81" i="31" s="1"/>
  <c r="AF89" i="12"/>
  <c r="AF89" i="31" s="1"/>
  <c r="AF99" i="12"/>
  <c r="AF99" i="31" s="1"/>
  <c r="AF113" i="12"/>
  <c r="AF123" i="12"/>
  <c r="AF123" i="31" s="1"/>
  <c r="AF7" i="12"/>
  <c r="AF17" i="12"/>
  <c r="AF23" i="12"/>
  <c r="AF23" i="31" s="1"/>
  <c r="AF29" i="12"/>
  <c r="AF29" i="31" s="1"/>
  <c r="AF37" i="12"/>
  <c r="AF37" i="31" s="1"/>
  <c r="AF47" i="12"/>
  <c r="AF57" i="12"/>
  <c r="AF57" i="31" s="1"/>
  <c r="AF67" i="12"/>
  <c r="AF79" i="12"/>
  <c r="AF79" i="31" s="1"/>
  <c r="AF91" i="12"/>
  <c r="AF91" i="31" s="1"/>
  <c r="AF103" i="12"/>
  <c r="AF103" i="31" s="1"/>
  <c r="AF115" i="12"/>
  <c r="AF115" i="31" s="1"/>
  <c r="AF127" i="12"/>
  <c r="AE9" i="12"/>
  <c r="AE11" i="12"/>
  <c r="AE11" i="31" s="1"/>
  <c r="AS11" i="31" s="1"/>
  <c r="AE13" i="12"/>
  <c r="AE13" i="31" s="1"/>
  <c r="AS13" i="31" s="1"/>
  <c r="AE15" i="12"/>
  <c r="AE17" i="12"/>
  <c r="AE17" i="31" s="1"/>
  <c r="AS17" i="31" s="1"/>
  <c r="AE19" i="12"/>
  <c r="AE19" i="31" s="1"/>
  <c r="AS19" i="31" s="1"/>
  <c r="AE21" i="12"/>
  <c r="AE23" i="12"/>
  <c r="AE23" i="31" s="1"/>
  <c r="AS23" i="31" s="1"/>
  <c r="AE25" i="12"/>
  <c r="AE27" i="12"/>
  <c r="AE29" i="12"/>
  <c r="AE31" i="12"/>
  <c r="AE31" i="31" s="1"/>
  <c r="AS31" i="31" s="1"/>
  <c r="AE33" i="12"/>
  <c r="AE35" i="12"/>
  <c r="AE35" i="31" s="1"/>
  <c r="AS35" i="31" s="1"/>
  <c r="AE37" i="12"/>
  <c r="AE39" i="12"/>
  <c r="AE41" i="12"/>
  <c r="AE45" i="12"/>
  <c r="AE45" i="31" s="1"/>
  <c r="AS45" i="31" s="1"/>
  <c r="AE47" i="12"/>
  <c r="AE47" i="31" s="1"/>
  <c r="AE49" i="12"/>
  <c r="AE53" i="12"/>
  <c r="AE55" i="12"/>
  <c r="AE57" i="12"/>
  <c r="AE61" i="12"/>
  <c r="AE63" i="12"/>
  <c r="AE63" i="31" s="1"/>
  <c r="AS63" i="31" s="1"/>
  <c r="AE65" i="12"/>
  <c r="AE65" i="31" s="1"/>
  <c r="AS65" i="31" s="1"/>
  <c r="AE69" i="12"/>
  <c r="AE69" i="31" s="1"/>
  <c r="AS69" i="31" s="1"/>
  <c r="AE71" i="12"/>
  <c r="AE73" i="12"/>
  <c r="AE75" i="12"/>
  <c r="AE75" i="31" s="1"/>
  <c r="AS75" i="31" s="1"/>
  <c r="AE77" i="12"/>
  <c r="AE79" i="12"/>
  <c r="AE79" i="31" s="1"/>
  <c r="AS79" i="31" s="1"/>
  <c r="AE81" i="12"/>
  <c r="AE81" i="31" s="1"/>
  <c r="AS81" i="31" s="1"/>
  <c r="AE83" i="12"/>
  <c r="AE85" i="12"/>
  <c r="AE87" i="12"/>
  <c r="AE89" i="12"/>
  <c r="AE91" i="12"/>
  <c r="AE91" i="31" s="1"/>
  <c r="AS91" i="31" s="1"/>
  <c r="AE93" i="12"/>
  <c r="AE95" i="12"/>
  <c r="AE97" i="12"/>
  <c r="AE99" i="12"/>
  <c r="AE99" i="31" s="1"/>
  <c r="AS99" i="31" s="1"/>
  <c r="AE101" i="12"/>
  <c r="AE103" i="12"/>
  <c r="AE103" i="31" s="1"/>
  <c r="AS103" i="31" s="1"/>
  <c r="AE105" i="12"/>
  <c r="AE107" i="12"/>
  <c r="AE109" i="12"/>
  <c r="AE111" i="12"/>
  <c r="AE111" i="31" s="1"/>
  <c r="AS111" i="31" s="1"/>
  <c r="AE113" i="12"/>
  <c r="AE115" i="12"/>
  <c r="AE115" i="31" s="1"/>
  <c r="AS115" i="31" s="1"/>
  <c r="AE117" i="12"/>
  <c r="AE117" i="31" s="1"/>
  <c r="AS117" i="31" s="1"/>
  <c r="AE121" i="12"/>
  <c r="AE121" i="31" s="1"/>
  <c r="AS121" i="31" s="1"/>
  <c r="AE123" i="12"/>
  <c r="AE125" i="12"/>
  <c r="AE129" i="12"/>
  <c r="AE129" i="31" s="1"/>
  <c r="AS129" i="31" s="1"/>
  <c r="AE131" i="12"/>
  <c r="E133" i="16"/>
  <c r="F133" i="16"/>
  <c r="G133" i="16"/>
  <c r="H133" i="16"/>
  <c r="CH113" i="15"/>
  <c r="CH106" i="15"/>
  <c r="CF41" i="15"/>
  <c r="CE47" i="15"/>
  <c r="CQ47" i="15" s="1"/>
  <c r="CF65" i="15"/>
  <c r="CF107" i="15"/>
  <c r="CR107" i="15" s="1"/>
  <c r="CK120" i="15"/>
  <c r="CW120" i="15" s="1"/>
  <c r="CH77" i="15"/>
  <c r="CT77" i="15" s="1"/>
  <c r="CE113" i="15"/>
  <c r="Z135" i="15"/>
  <c r="CE32" i="15"/>
  <c r="CI109" i="15"/>
  <c r="CE123" i="15"/>
  <c r="CQ123" i="15" s="1"/>
  <c r="CF47" i="15"/>
  <c r="CR47" i="15" s="1"/>
  <c r="CH104" i="15"/>
  <c r="CI120" i="15"/>
  <c r="CU120" i="15" s="1"/>
  <c r="CH123" i="15"/>
  <c r="CT123" i="15" s="1"/>
  <c r="CI123" i="15"/>
  <c r="CU123" i="15" s="1"/>
  <c r="CI40" i="15"/>
  <c r="CH45" i="15"/>
  <c r="CE106" i="15"/>
  <c r="CE120" i="15"/>
  <c r="CQ120" i="15" s="1"/>
  <c r="BK11" i="15"/>
  <c r="BR11" i="15"/>
  <c r="BK25" i="15"/>
  <c r="BR25" i="15"/>
  <c r="BN33" i="15"/>
  <c r="BG33" i="15"/>
  <c r="BO33" i="15" s="1"/>
  <c r="BS14" i="15"/>
  <c r="CE16" i="15"/>
  <c r="BK29" i="15"/>
  <c r="BR29" i="15"/>
  <c r="BG15" i="15"/>
  <c r="BO15" i="15" s="1"/>
  <c r="BN15" i="15"/>
  <c r="BJ18" i="15"/>
  <c r="BQ18" i="15"/>
  <c r="CE24" i="15"/>
  <c r="BK33" i="15"/>
  <c r="BR33" i="15"/>
  <c r="BG8" i="15"/>
  <c r="BO8" i="15" s="1"/>
  <c r="BN8" i="15"/>
  <c r="BJ10" i="15"/>
  <c r="BQ10" i="15"/>
  <c r="BJ16" i="15"/>
  <c r="BQ16" i="15"/>
  <c r="BJ20" i="15"/>
  <c r="BQ20" i="15"/>
  <c r="BG21" i="15"/>
  <c r="BO21" i="15" s="1"/>
  <c r="BN21" i="15"/>
  <c r="BG23" i="15"/>
  <c r="BO23" i="15" s="1"/>
  <c r="BN23" i="15"/>
  <c r="BJ8" i="15"/>
  <c r="BQ8" i="15"/>
  <c r="BJ12" i="15"/>
  <c r="BQ12" i="15"/>
  <c r="BG13" i="15"/>
  <c r="BO13" i="15" s="1"/>
  <c r="BN13" i="15"/>
  <c r="BJ24" i="15"/>
  <c r="BQ24" i="15"/>
  <c r="BJ26" i="15"/>
  <c r="BQ26" i="15"/>
  <c r="BG17" i="15"/>
  <c r="BO17" i="15" s="1"/>
  <c r="BN17" i="15"/>
  <c r="BG9" i="15"/>
  <c r="BO9" i="15" s="1"/>
  <c r="BN9" i="15"/>
  <c r="BG14" i="15"/>
  <c r="BO14" i="15" s="1"/>
  <c r="BN14" i="15"/>
  <c r="BJ17" i="15"/>
  <c r="BQ17" i="15"/>
  <c r="BG25" i="15"/>
  <c r="BO25" i="15" s="1"/>
  <c r="BN25" i="15"/>
  <c r="BG31" i="15"/>
  <c r="BO31" i="15" s="1"/>
  <c r="BN31" i="15"/>
  <c r="BJ32" i="15"/>
  <c r="BQ32" i="15"/>
  <c r="BJ9" i="15"/>
  <c r="BQ9" i="15"/>
  <c r="BJ28" i="15"/>
  <c r="BQ28" i="15"/>
  <c r="BG29" i="15"/>
  <c r="BO29" i="15" s="1"/>
  <c r="BN29" i="15"/>
  <c r="BM8" i="15"/>
  <c r="BM9" i="15"/>
  <c r="BN10" i="15"/>
  <c r="BP12" i="15"/>
  <c r="BR14" i="15"/>
  <c r="CP15" i="15"/>
  <c r="AA15" i="22" s="1"/>
  <c r="BM17" i="15"/>
  <c r="BN18" i="15"/>
  <c r="BP20" i="15"/>
  <c r="BM25" i="15"/>
  <c r="CE25" i="15" s="1"/>
  <c r="BN26" i="15"/>
  <c r="BP28" i="15"/>
  <c r="BQ29" i="15"/>
  <c r="BM33" i="15"/>
  <c r="CE33" i="15" s="1"/>
  <c r="BJ42" i="15"/>
  <c r="BR42" i="15" s="1"/>
  <c r="BF7" i="15"/>
  <c r="AT9" i="15"/>
  <c r="CP14" i="15"/>
  <c r="AA14" i="22" s="1"/>
  <c r="AK15" i="15"/>
  <c r="AS16" i="15"/>
  <c r="AT17" i="15"/>
  <c r="CP22" i="15"/>
  <c r="AA22" i="22" s="1"/>
  <c r="AK23" i="15"/>
  <c r="AS24" i="15"/>
  <c r="AT25" i="15"/>
  <c r="I138" i="15"/>
  <c r="CP30" i="15"/>
  <c r="AA30" i="22" s="1"/>
  <c r="AK31" i="15"/>
  <c r="AS32" i="15"/>
  <c r="AT33" i="15"/>
  <c r="BJ34" i="15"/>
  <c r="BR34" i="15" s="1"/>
  <c r="AT35" i="15"/>
  <c r="CH35" i="15"/>
  <c r="BG35" i="15"/>
  <c r="BO35" i="15" s="1"/>
  <c r="BN35" i="15"/>
  <c r="BJ36" i="15"/>
  <c r="BR36" i="15" s="1"/>
  <c r="BJ38" i="15"/>
  <c r="BR38" i="15" s="1"/>
  <c r="BG39" i="15"/>
  <c r="BO39" i="15" s="1"/>
  <c r="BN39" i="15"/>
  <c r="BN40" i="15"/>
  <c r="CF40" i="15" s="1"/>
  <c r="AT41" i="15"/>
  <c r="CG46" i="15"/>
  <c r="CS46" i="15" s="1"/>
  <c r="CE50" i="15"/>
  <c r="CQ50" i="15" s="1"/>
  <c r="BP10" i="15"/>
  <c r="BQ11" i="15"/>
  <c r="CP13" i="15"/>
  <c r="AA13" i="22" s="1"/>
  <c r="AK14" i="15"/>
  <c r="BM15" i="15"/>
  <c r="BN16" i="15"/>
  <c r="BP18" i="15"/>
  <c r="CP21" i="15"/>
  <c r="AA21" i="22" s="1"/>
  <c r="BM23" i="15"/>
  <c r="BN24" i="15"/>
  <c r="BP26" i="15"/>
  <c r="J138" i="15"/>
  <c r="CE28" i="15"/>
  <c r="CP29" i="15"/>
  <c r="AA29" i="22" s="1"/>
  <c r="AS31" i="15"/>
  <c r="BM31" i="15"/>
  <c r="AT32" i="15"/>
  <c r="BN32" i="15"/>
  <c r="BN36" i="15"/>
  <c r="CP39" i="15"/>
  <c r="AA39" i="22" s="1"/>
  <c r="CH39" i="15"/>
  <c r="AT39" i="15"/>
  <c r="BQ44" i="15"/>
  <c r="BJ44" i="15"/>
  <c r="BJ46" i="15"/>
  <c r="BQ46" i="15"/>
  <c r="CI46" i="15" s="1"/>
  <c r="CU46" i="15" s="1"/>
  <c r="I136" i="15"/>
  <c r="I133" i="15"/>
  <c r="I137" i="15"/>
  <c r="BP8" i="15"/>
  <c r="BP9" i="15"/>
  <c r="BM14" i="15"/>
  <c r="BP17" i="15"/>
  <c r="CP20" i="15"/>
  <c r="AA20" i="22" s="1"/>
  <c r="AE138" i="15"/>
  <c r="BQ33" i="15"/>
  <c r="I139" i="15"/>
  <c r="AS34" i="15"/>
  <c r="BG37" i="15"/>
  <c r="BO37" i="15" s="1"/>
  <c r="CH41" i="15"/>
  <c r="BG45" i="15"/>
  <c r="BO45" i="15" s="1"/>
  <c r="CG45" i="15" s="1"/>
  <c r="BN45" i="15"/>
  <c r="CF45" i="15" s="1"/>
  <c r="CF48" i="15"/>
  <c r="CR48" i="15" s="1"/>
  <c r="J136" i="15"/>
  <c r="J133" i="15"/>
  <c r="BI7" i="15"/>
  <c r="J137" i="15"/>
  <c r="CP11" i="15"/>
  <c r="AA11" i="22" s="1"/>
  <c r="BM13" i="15"/>
  <c r="BP16" i="15"/>
  <c r="CP19" i="15"/>
  <c r="AA19" i="22" s="1"/>
  <c r="BM21" i="15"/>
  <c r="BN22" i="15"/>
  <c r="BP24" i="15"/>
  <c r="BQ25" i="15"/>
  <c r="AF138" i="15"/>
  <c r="CP27" i="15"/>
  <c r="AA27" i="22" s="1"/>
  <c r="BM29" i="15"/>
  <c r="BP32" i="15"/>
  <c r="J139" i="15"/>
  <c r="CP34" i="15"/>
  <c r="AA34" i="22" s="1"/>
  <c r="AS36" i="15"/>
  <c r="CE36" i="15"/>
  <c r="AS42" i="15"/>
  <c r="BG43" i="15"/>
  <c r="BO43" i="15" s="1"/>
  <c r="BN43" i="15"/>
  <c r="CI7" i="15"/>
  <c r="CI136" i="15" s="1"/>
  <c r="AE137" i="15"/>
  <c r="AE135" i="15" s="1"/>
  <c r="AK11" i="15"/>
  <c r="AK19" i="15"/>
  <c r="AK27" i="15"/>
  <c r="AE139" i="15"/>
  <c r="CE38" i="15"/>
  <c r="AS38" i="15"/>
  <c r="BR45" i="15"/>
  <c r="CJ45" i="15" s="1"/>
  <c r="BK45" i="15"/>
  <c r="CP7" i="15"/>
  <c r="AA7" i="22" s="1"/>
  <c r="AF137" i="15"/>
  <c r="AF135" i="15" s="1"/>
  <c r="CP8" i="15"/>
  <c r="AA8" i="22" s="1"/>
  <c r="BK43" i="15"/>
  <c r="BR43" i="15"/>
  <c r="AT27" i="15"/>
  <c r="BQ43" i="15"/>
  <c r="CG44" i="15"/>
  <c r="CS44" i="15" s="1"/>
  <c r="CP45" i="15"/>
  <c r="AA45" i="22" s="1"/>
  <c r="CI50" i="15"/>
  <c r="CU50" i="15" s="1"/>
  <c r="AT54" i="15"/>
  <c r="CP54" i="15"/>
  <c r="AA54" i="22" s="1"/>
  <c r="BG58" i="15"/>
  <c r="BO58" i="15" s="1"/>
  <c r="BN58" i="15"/>
  <c r="AE140" i="15"/>
  <c r="CH43" i="15"/>
  <c r="AS46" i="15"/>
  <c r="BG47" i="15"/>
  <c r="BO47" i="15" s="1"/>
  <c r="CG47" i="15" s="1"/>
  <c r="CS47" i="15" s="1"/>
  <c r="BG48" i="15"/>
  <c r="BO48" i="15" s="1"/>
  <c r="CG48" i="15" s="1"/>
  <c r="CS48" i="15" s="1"/>
  <c r="BI49" i="15"/>
  <c r="BF51" i="15"/>
  <c r="BI54" i="15"/>
  <c r="AT55" i="15"/>
  <c r="CP55" i="15"/>
  <c r="AA55" i="22" s="1"/>
  <c r="BM37" i="15"/>
  <c r="BN38" i="15"/>
  <c r="AF140" i="15"/>
  <c r="CP43" i="15"/>
  <c r="AA43" i="22" s="1"/>
  <c r="BM45" i="15"/>
  <c r="CE45" i="15" s="1"/>
  <c r="BN46" i="15"/>
  <c r="CF46" i="15" s="1"/>
  <c r="CR46" i="15" s="1"/>
  <c r="AS52" i="15"/>
  <c r="AS53" i="15"/>
  <c r="CF53" i="15"/>
  <c r="AS55" i="15"/>
  <c r="AK55" i="15"/>
  <c r="CD55" i="15" s="1"/>
  <c r="AK56" i="15"/>
  <c r="CD56" i="15" s="1"/>
  <c r="BK58" i="15"/>
  <c r="BR58" i="15"/>
  <c r="AF139" i="15"/>
  <c r="AK43" i="15"/>
  <c r="CD43" i="15" s="1"/>
  <c r="BJ48" i="15"/>
  <c r="AT53" i="15"/>
  <c r="CP53" i="15"/>
  <c r="AA53" i="22" s="1"/>
  <c r="BQ56" i="15"/>
  <c r="BJ56" i="15"/>
  <c r="BJ60" i="15"/>
  <c r="BQ60" i="15"/>
  <c r="BM43" i="15"/>
  <c r="BN44" i="15"/>
  <c r="BP46" i="15"/>
  <c r="CH46" i="15" s="1"/>
  <c r="CT46" i="15" s="1"/>
  <c r="CF50" i="15"/>
  <c r="CR50" i="15" s="1"/>
  <c r="BK55" i="15"/>
  <c r="BR55" i="15"/>
  <c r="BG57" i="15"/>
  <c r="BO57" i="15" s="1"/>
  <c r="CG57" i="15" s="1"/>
  <c r="BN57" i="15"/>
  <c r="CF57" i="15" s="1"/>
  <c r="BG59" i="15"/>
  <c r="BO59" i="15" s="1"/>
  <c r="BN59" i="15"/>
  <c r="AT43" i="15"/>
  <c r="CH49" i="15"/>
  <c r="CT49" i="15" s="1"/>
  <c r="BI53" i="15"/>
  <c r="BQ55" i="15"/>
  <c r="BJ57" i="15"/>
  <c r="BQ57" i="15"/>
  <c r="CI57" i="15" s="1"/>
  <c r="BM41" i="15"/>
  <c r="CE41" i="15" s="1"/>
  <c r="BN42" i="15"/>
  <c r="BP44" i="15"/>
  <c r="BQ45" i="15"/>
  <c r="CI45" i="15" s="1"/>
  <c r="AS48" i="15"/>
  <c r="AT49" i="15"/>
  <c r="CG50" i="15"/>
  <c r="CS50" i="15" s="1"/>
  <c r="I140" i="15"/>
  <c r="AT48" i="15"/>
  <c r="BP48" i="15"/>
  <c r="CH48" i="15" s="1"/>
  <c r="CT48" i="15" s="1"/>
  <c r="BG49" i="15"/>
  <c r="BO49" i="15" s="1"/>
  <c r="BN49" i="15"/>
  <c r="CH50" i="15"/>
  <c r="CT50" i="15" s="1"/>
  <c r="BJ52" i="15"/>
  <c r="BQ52" i="15"/>
  <c r="AS54" i="15"/>
  <c r="CP57" i="15"/>
  <c r="AA57" i="22" s="1"/>
  <c r="BM59" i="15"/>
  <c r="BN60" i="15"/>
  <c r="CH65" i="15"/>
  <c r="BG68" i="15"/>
  <c r="BO68" i="15" s="1"/>
  <c r="BN68" i="15"/>
  <c r="BJ71" i="15"/>
  <c r="BQ71" i="15"/>
  <c r="CP56" i="15"/>
  <c r="AA56" i="22" s="1"/>
  <c r="BM58" i="15"/>
  <c r="BK65" i="15"/>
  <c r="BR65" i="15"/>
  <c r="CJ65" i="15" s="1"/>
  <c r="AS66" i="15"/>
  <c r="BK67" i="15"/>
  <c r="BR67" i="15"/>
  <c r="BM57" i="15"/>
  <c r="CE57" i="15" s="1"/>
  <c r="BP60" i="15"/>
  <c r="CP61" i="15"/>
  <c r="AA61" i="22" s="1"/>
  <c r="BJ68" i="15"/>
  <c r="AK70" i="15"/>
  <c r="BM48" i="15"/>
  <c r="CE48" i="15" s="1"/>
  <c r="CQ48" i="15" s="1"/>
  <c r="I141" i="15"/>
  <c r="AK61" i="15"/>
  <c r="CD61" i="15" s="1"/>
  <c r="AK62" i="15"/>
  <c r="CD62" i="15" s="1"/>
  <c r="BQ67" i="15"/>
  <c r="BP68" i="15"/>
  <c r="CE69" i="15"/>
  <c r="CQ69" i="15" s="1"/>
  <c r="J141" i="15"/>
  <c r="CE60" i="15"/>
  <c r="BN61" i="15"/>
  <c r="BJ66" i="15"/>
  <c r="BQ66" i="15"/>
  <c r="AE141" i="15"/>
  <c r="BN55" i="15"/>
  <c r="BP57" i="15"/>
  <c r="CH57" i="15" s="1"/>
  <c r="BQ58" i="15"/>
  <c r="CH59" i="15"/>
  <c r="CT59" i="15" s="1"/>
  <c r="CP60" i="15"/>
  <c r="AA60" i="22" s="1"/>
  <c r="AT62" i="15"/>
  <c r="BJ64" i="15"/>
  <c r="BQ64" i="15"/>
  <c r="J142" i="15"/>
  <c r="AT67" i="15"/>
  <c r="CP67" i="15"/>
  <c r="AA67" i="22" s="1"/>
  <c r="CP71" i="15"/>
  <c r="AA71" i="22" s="1"/>
  <c r="AF141" i="15"/>
  <c r="CP51" i="15"/>
  <c r="AA51" i="22" s="1"/>
  <c r="BM53" i="15"/>
  <c r="BN54" i="15"/>
  <c r="BP56" i="15"/>
  <c r="CH58" i="15"/>
  <c r="CT58" i="15" s="1"/>
  <c r="AK63" i="15"/>
  <c r="CD63" i="15" s="1"/>
  <c r="AT63" i="15"/>
  <c r="BJ63" i="15"/>
  <c r="BQ63" i="15"/>
  <c r="BP66" i="15"/>
  <c r="AK51" i="15"/>
  <c r="BG65" i="15"/>
  <c r="BO65" i="15" s="1"/>
  <c r="CG65" i="15" s="1"/>
  <c r="BK69" i="15"/>
  <c r="BL70" i="15"/>
  <c r="BT70" i="15" s="1"/>
  <c r="BG71" i="15"/>
  <c r="BO71" i="15" s="1"/>
  <c r="BN71" i="15"/>
  <c r="BG73" i="15"/>
  <c r="BO73" i="15" s="1"/>
  <c r="BN73" i="15"/>
  <c r="AE142" i="15"/>
  <c r="BI74" i="15"/>
  <c r="AS77" i="15"/>
  <c r="AK78" i="15"/>
  <c r="CD78" i="15" s="1"/>
  <c r="CJ78" i="15" s="1"/>
  <c r="CV78" i="15" s="1"/>
  <c r="AS78" i="15"/>
  <c r="AK81" i="15"/>
  <c r="CD81" i="15" s="1"/>
  <c r="BJ81" i="15"/>
  <c r="BQ81" i="15"/>
  <c r="BJ83" i="15"/>
  <c r="BQ83" i="15"/>
  <c r="CI83" i="15" s="1"/>
  <c r="AS84" i="15"/>
  <c r="CG84" i="15"/>
  <c r="CS84" i="15" s="1"/>
  <c r="BJ86" i="15"/>
  <c r="BP64" i="15"/>
  <c r="BQ65" i="15"/>
  <c r="CI65" i="15" s="1"/>
  <c r="AF142" i="15"/>
  <c r="CE74" i="15"/>
  <c r="CQ74" i="15" s="1"/>
  <c r="CP75" i="15"/>
  <c r="AA75" i="22" s="1"/>
  <c r="CH79" i="15"/>
  <c r="CP79" i="15"/>
  <c r="AA79" i="22" s="1"/>
  <c r="BQ85" i="15"/>
  <c r="BP86" i="15"/>
  <c r="BJ88" i="15"/>
  <c r="BQ88" i="15"/>
  <c r="BG93" i="15"/>
  <c r="BO93" i="15" s="1"/>
  <c r="CG93" i="15" s="1"/>
  <c r="BN93" i="15"/>
  <c r="CF93" i="15" s="1"/>
  <c r="BP63" i="15"/>
  <c r="BM68" i="15"/>
  <c r="BN69" i="15"/>
  <c r="BP71" i="15"/>
  <c r="CH73" i="15"/>
  <c r="BM81" i="15"/>
  <c r="CI87" i="15"/>
  <c r="CU87" i="15" s="1"/>
  <c r="BG90" i="15"/>
  <c r="BO90" i="15" s="1"/>
  <c r="BN90" i="15"/>
  <c r="CH93" i="15"/>
  <c r="CE64" i="15"/>
  <c r="CQ64" i="15" s="1"/>
  <c r="CP65" i="15"/>
  <c r="AA65" i="22" s="1"/>
  <c r="CE72" i="15"/>
  <c r="CQ72" i="15" s="1"/>
  <c r="CP73" i="15"/>
  <c r="AA73" i="22" s="1"/>
  <c r="BG79" i="15"/>
  <c r="BO79" i="15" s="1"/>
  <c r="BN79" i="15"/>
  <c r="BG80" i="15"/>
  <c r="BO80" i="15" s="1"/>
  <c r="CG80" i="15" s="1"/>
  <c r="CS80" i="15" s="1"/>
  <c r="BN80" i="15"/>
  <c r="CF80" i="15" s="1"/>
  <c r="CR80" i="15" s="1"/>
  <c r="BJ84" i="15"/>
  <c r="BQ84" i="15"/>
  <c r="AK76" i="15"/>
  <c r="CD76" i="15" s="1"/>
  <c r="CE77" i="15"/>
  <c r="CQ77" i="15" s="1"/>
  <c r="BN77" i="15"/>
  <c r="CF77" i="15" s="1"/>
  <c r="CR77" i="15" s="1"/>
  <c r="BM78" i="15"/>
  <c r="CH80" i="15"/>
  <c r="CT80" i="15" s="1"/>
  <c r="BN84" i="15"/>
  <c r="AT85" i="15"/>
  <c r="CP85" i="15"/>
  <c r="AA85" i="22" s="1"/>
  <c r="CI86" i="15"/>
  <c r="CU86" i="15" s="1"/>
  <c r="CE93" i="15"/>
  <c r="BM73" i="15"/>
  <c r="BN74" i="15"/>
  <c r="BN76" i="15"/>
  <c r="AT78" i="15"/>
  <c r="BJ82" i="15"/>
  <c r="BQ82" i="15"/>
  <c r="I142" i="15"/>
  <c r="AS86" i="15"/>
  <c r="BG86" i="15"/>
  <c r="BO86" i="15" s="1"/>
  <c r="BN86" i="15"/>
  <c r="CH87" i="15"/>
  <c r="CT87" i="15" s="1"/>
  <c r="BG78" i="15"/>
  <c r="BO78" i="15" s="1"/>
  <c r="BN78" i="15"/>
  <c r="BG81" i="15"/>
  <c r="BO81" i="15" s="1"/>
  <c r="BN81" i="15"/>
  <c r="BK85" i="15"/>
  <c r="BR85" i="15"/>
  <c r="BM80" i="15"/>
  <c r="CE80" i="15" s="1"/>
  <c r="CQ80" i="15" s="1"/>
  <c r="BP83" i="15"/>
  <c r="CH83" i="15" s="1"/>
  <c r="CE87" i="15"/>
  <c r="CQ87" i="15" s="1"/>
  <c r="CG88" i="15"/>
  <c r="BJ89" i="15"/>
  <c r="CP93" i="15"/>
  <c r="AA93" i="22" s="1"/>
  <c r="BM79" i="15"/>
  <c r="CE79" i="15" s="1"/>
  <c r="BP82" i="15"/>
  <c r="AS87" i="15"/>
  <c r="CP88" i="15"/>
  <c r="AA88" i="22" s="1"/>
  <c r="AT90" i="15"/>
  <c r="BP92" i="15"/>
  <c r="BQ93" i="15"/>
  <c r="CI93" i="15" s="1"/>
  <c r="BS94" i="15"/>
  <c r="BL94" i="15"/>
  <c r="BT94" i="15" s="1"/>
  <c r="BG95" i="15"/>
  <c r="BO95" i="15" s="1"/>
  <c r="BN95" i="15"/>
  <c r="BK96" i="15"/>
  <c r="BR96" i="15"/>
  <c r="BJ98" i="15"/>
  <c r="BQ98" i="15"/>
  <c r="BS100" i="15"/>
  <c r="BL100" i="15"/>
  <c r="BT100" i="15" s="1"/>
  <c r="CI104" i="15"/>
  <c r="BP81" i="15"/>
  <c r="BM86" i="15"/>
  <c r="BQ91" i="15"/>
  <c r="BR92" i="15"/>
  <c r="AS94" i="15"/>
  <c r="AS95" i="15"/>
  <c r="BJ95" i="15"/>
  <c r="BQ95" i="15"/>
  <c r="BN97" i="15"/>
  <c r="BG97" i="15"/>
  <c r="BO97" i="15" s="1"/>
  <c r="CE82" i="15"/>
  <c r="CQ82" i="15" s="1"/>
  <c r="CP83" i="15"/>
  <c r="AA83" i="22" s="1"/>
  <c r="BN88" i="15"/>
  <c r="AK89" i="15"/>
  <c r="CD89" i="15" s="1"/>
  <c r="BJ90" i="15"/>
  <c r="AT91" i="15"/>
  <c r="AS93" i="15"/>
  <c r="AT95" i="15"/>
  <c r="BP95" i="15"/>
  <c r="BP88" i="15"/>
  <c r="BR94" i="15"/>
  <c r="AK95" i="15"/>
  <c r="CD95" i="15" s="1"/>
  <c r="BG102" i="15"/>
  <c r="BO102" i="15" s="1"/>
  <c r="BN102" i="15"/>
  <c r="CJ93" i="15"/>
  <c r="CG107" i="15"/>
  <c r="CS107" i="15" s="1"/>
  <c r="AK90" i="15"/>
  <c r="CD90" i="15" s="1"/>
  <c r="BK91" i="15"/>
  <c r="BL92" i="15"/>
  <c r="BT92" i="15" s="1"/>
  <c r="BK93" i="15"/>
  <c r="CF104" i="15"/>
  <c r="BR99" i="15"/>
  <c r="BG100" i="15"/>
  <c r="BO100" i="15" s="1"/>
  <c r="BN100" i="15"/>
  <c r="CI107" i="15"/>
  <c r="CU107" i="15" s="1"/>
  <c r="BM95" i="15"/>
  <c r="BN96" i="15"/>
  <c r="BP98" i="15"/>
  <c r="CI100" i="15"/>
  <c r="BJ108" i="15"/>
  <c r="BQ108" i="15"/>
  <c r="BN114" i="15"/>
  <c r="BG114" i="15"/>
  <c r="BO114" i="15" s="1"/>
  <c r="BG120" i="15"/>
  <c r="BO120" i="15" s="1"/>
  <c r="CG120" i="15" s="1"/>
  <c r="CS120" i="15" s="1"/>
  <c r="BN120" i="15"/>
  <c r="CF120" i="15" s="1"/>
  <c r="CR120" i="15" s="1"/>
  <c r="CP92" i="15"/>
  <c r="AA92" i="22" s="1"/>
  <c r="CP100" i="15"/>
  <c r="AA100" i="22" s="1"/>
  <c r="BM100" i="15"/>
  <c r="CE102" i="15"/>
  <c r="CQ102" i="15" s="1"/>
  <c r="CG103" i="15"/>
  <c r="AS103" i="15"/>
  <c r="CP103" i="15"/>
  <c r="AA103" i="22" s="1"/>
  <c r="CI105" i="15"/>
  <c r="CU105" i="15" s="1"/>
  <c r="BP105" i="15"/>
  <c r="CG106" i="15"/>
  <c r="AT109" i="15"/>
  <c r="CP109" i="15"/>
  <c r="AA109" i="22" s="1"/>
  <c r="BF109" i="15"/>
  <c r="BM109" i="15"/>
  <c r="CP112" i="15"/>
  <c r="AA112" i="22" s="1"/>
  <c r="AT112" i="15"/>
  <c r="BG112" i="15"/>
  <c r="BO112" i="15" s="1"/>
  <c r="BN112" i="15"/>
  <c r="AT113" i="15"/>
  <c r="CP113" i="15"/>
  <c r="AA113" i="22" s="1"/>
  <c r="CI113" i="15"/>
  <c r="BF119" i="15"/>
  <c r="BM119" i="15"/>
  <c r="CG98" i="15"/>
  <c r="CP99" i="15"/>
  <c r="AA99" i="22" s="1"/>
  <c r="BQ103" i="15"/>
  <c r="AT106" i="15"/>
  <c r="AT108" i="15"/>
  <c r="AK108" i="15"/>
  <c r="CD108" i="15" s="1"/>
  <c r="BP108" i="15"/>
  <c r="AE144" i="15"/>
  <c r="AK110" i="15"/>
  <c r="CD110" i="15" s="1"/>
  <c r="CE110" i="15"/>
  <c r="BQ96" i="15"/>
  <c r="AT101" i="15"/>
  <c r="BP102" i="15"/>
  <c r="CJ106" i="15"/>
  <c r="BI111" i="15"/>
  <c r="BP111" i="15"/>
  <c r="AE143" i="15"/>
  <c r="CP97" i="15"/>
  <c r="AA97" i="22" s="1"/>
  <c r="BR100" i="15"/>
  <c r="AK105" i="15"/>
  <c r="CD105" i="15" s="1"/>
  <c r="BG105" i="15"/>
  <c r="BO105" i="15" s="1"/>
  <c r="BN105" i="15"/>
  <c r="BK106" i="15"/>
  <c r="CP96" i="15"/>
  <c r="AA96" i="22" s="1"/>
  <c r="CG101" i="15"/>
  <c r="CS101" i="15" s="1"/>
  <c r="AS104" i="15"/>
  <c r="CF106" i="15"/>
  <c r="CP108" i="15"/>
  <c r="AA108" i="22" s="1"/>
  <c r="CH109" i="15"/>
  <c r="CG115" i="15"/>
  <c r="BP116" i="15"/>
  <c r="CH116" i="15" s="1"/>
  <c r="CT116" i="15" s="1"/>
  <c r="BI116" i="15"/>
  <c r="BR117" i="15"/>
  <c r="BM97" i="15"/>
  <c r="BN98" i="15"/>
  <c r="CP104" i="15"/>
  <c r="AA104" i="22" s="1"/>
  <c r="AT104" i="15"/>
  <c r="CG104" i="15"/>
  <c r="CP106" i="15"/>
  <c r="AA106" i="22" s="1"/>
  <c r="CI106" i="15"/>
  <c r="AS107" i="15"/>
  <c r="AK107" i="15"/>
  <c r="CD107" i="15" s="1"/>
  <c r="CH107" i="15"/>
  <c r="CT107" i="15" s="1"/>
  <c r="BP115" i="15"/>
  <c r="CH115" i="15" s="1"/>
  <c r="BI115" i="15"/>
  <c r="CE116" i="15"/>
  <c r="CQ116" i="15" s="1"/>
  <c r="AS96" i="15"/>
  <c r="BJ102" i="15"/>
  <c r="BK103" i="15"/>
  <c r="CE104" i="15"/>
  <c r="AS108" i="15"/>
  <c r="BG108" i="15"/>
  <c r="BO108" i="15" s="1"/>
  <c r="BN108" i="15"/>
  <c r="CG113" i="15"/>
  <c r="BJ127" i="15"/>
  <c r="BQ127" i="15"/>
  <c r="AK109" i="15"/>
  <c r="CD109" i="15" s="1"/>
  <c r="I144" i="15"/>
  <c r="AS110" i="15"/>
  <c r="BJ110" i="15"/>
  <c r="BI112" i="15"/>
  <c r="BJ113" i="15"/>
  <c r="AT115" i="15"/>
  <c r="CP115" i="15"/>
  <c r="AS117" i="15"/>
  <c r="AK117" i="15"/>
  <c r="CD117" i="15" s="1"/>
  <c r="AS118" i="15"/>
  <c r="CH118" i="15"/>
  <c r="CP119" i="15"/>
  <c r="AA119" i="22" s="1"/>
  <c r="BF121" i="15"/>
  <c r="AK113" i="15"/>
  <c r="CD113" i="15" s="1"/>
  <c r="BP114" i="15"/>
  <c r="AS116" i="15"/>
  <c r="CP118" i="15"/>
  <c r="AA118" i="22" s="1"/>
  <c r="AF144" i="15"/>
  <c r="CH112" i="15"/>
  <c r="BM112" i="15"/>
  <c r="AS113" i="15"/>
  <c r="BN113" i="15"/>
  <c r="CF113" i="15" s="1"/>
  <c r="AS115" i="15"/>
  <c r="AF146" i="15"/>
  <c r="CP127" i="15"/>
  <c r="AA127" i="22" s="1"/>
  <c r="BM108" i="15"/>
  <c r="BJ114" i="15"/>
  <c r="BQ114" i="15"/>
  <c r="BJ130" i="15"/>
  <c r="BQ130" i="15"/>
  <c r="BM107" i="15"/>
  <c r="BP110" i="15"/>
  <c r="CE115" i="15"/>
  <c r="BK119" i="15"/>
  <c r="AS124" i="15"/>
  <c r="CH124" i="15"/>
  <c r="CT124" i="15" s="1"/>
  <c r="CE126" i="15"/>
  <c r="CQ126" i="15" s="1"/>
  <c r="BP130" i="15"/>
  <c r="CF111" i="15"/>
  <c r="CP111" i="15"/>
  <c r="AA111" i="22" s="1"/>
  <c r="AS114" i="15"/>
  <c r="CE114" i="15"/>
  <c r="CQ114" i="15" s="1"/>
  <c r="CI117" i="15"/>
  <c r="CU117" i="15" s="1"/>
  <c r="CH120" i="15"/>
  <c r="CT120" i="15" s="1"/>
  <c r="BF123" i="15"/>
  <c r="AT119" i="15"/>
  <c r="AS123" i="15"/>
  <c r="BP126" i="15"/>
  <c r="BM127" i="15"/>
  <c r="CI132" i="15"/>
  <c r="CU132" i="15" s="1"/>
  <c r="BR126" i="15"/>
  <c r="AS132" i="15"/>
  <c r="I145" i="15"/>
  <c r="CE121" i="15"/>
  <c r="CQ121" i="15" s="1"/>
  <c r="CH125" i="15"/>
  <c r="CT125" i="15" s="1"/>
  <c r="BN128" i="15"/>
  <c r="AS130" i="15"/>
  <c r="CG130" i="15"/>
  <c r="CS130" i="15" s="1"/>
  <c r="CH131" i="15"/>
  <c r="BQ119" i="15"/>
  <c r="CH127" i="15"/>
  <c r="I146" i="15"/>
  <c r="AT131" i="15"/>
  <c r="CP131" i="15"/>
  <c r="AA131" i="22" s="1"/>
  <c r="BG131" i="15"/>
  <c r="BO131" i="15" s="1"/>
  <c r="BN131" i="15"/>
  <c r="J144" i="15"/>
  <c r="CH119" i="15"/>
  <c r="BJ122" i="15"/>
  <c r="BQ122" i="15"/>
  <c r="AK125" i="15"/>
  <c r="CD125" i="15" s="1"/>
  <c r="J146" i="15"/>
  <c r="AT127" i="15"/>
  <c r="BG127" i="15"/>
  <c r="BO127" i="15" s="1"/>
  <c r="BN127" i="15"/>
  <c r="AS128" i="15"/>
  <c r="CK128" i="15"/>
  <c r="CW128" i="15" s="1"/>
  <c r="CE122" i="15"/>
  <c r="CQ122" i="15" s="1"/>
  <c r="AK127" i="15"/>
  <c r="CD127" i="15" s="1"/>
  <c r="BS132" i="15"/>
  <c r="AS125" i="15"/>
  <c r="AT126" i="15"/>
  <c r="CH129" i="15"/>
  <c r="CP129" i="15"/>
  <c r="AA129" i="22" s="1"/>
  <c r="BM131" i="15"/>
  <c r="BN132" i="15"/>
  <c r="AE146" i="15"/>
  <c r="BM129" i="15"/>
  <c r="BN130" i="15"/>
  <c r="BP132" i="15"/>
  <c r="CU98" i="14"/>
  <c r="CG10" i="14"/>
  <c r="CI65" i="14"/>
  <c r="CG76" i="14"/>
  <c r="CI112" i="14"/>
  <c r="AD135" i="14"/>
  <c r="CF29" i="14"/>
  <c r="CJ124" i="14"/>
  <c r="CE55" i="14"/>
  <c r="CH79" i="14"/>
  <c r="CH19" i="14"/>
  <c r="CT19" i="14" s="1"/>
  <c r="CU76" i="14"/>
  <c r="CE29" i="14"/>
  <c r="CI61" i="14"/>
  <c r="CG52" i="14"/>
  <c r="CS52" i="14" s="1"/>
  <c r="CF70" i="14"/>
  <c r="CI79" i="14"/>
  <c r="CS55" i="14"/>
  <c r="CJ61" i="14"/>
  <c r="CE21" i="14"/>
  <c r="CG70" i="14"/>
  <c r="BJ10" i="14"/>
  <c r="BQ10" i="14"/>
  <c r="CI10" i="14" s="1"/>
  <c r="BG17" i="14"/>
  <c r="BO17" i="14" s="1"/>
  <c r="BN17" i="14"/>
  <c r="BG19" i="14"/>
  <c r="BO19" i="14" s="1"/>
  <c r="CG19" i="14" s="1"/>
  <c r="CS19" i="14" s="1"/>
  <c r="BN19" i="14"/>
  <c r="CF19" i="14" s="1"/>
  <c r="CR19" i="14" s="1"/>
  <c r="CE25" i="14"/>
  <c r="CF25" i="14"/>
  <c r="CR25" i="14" s="1"/>
  <c r="BJ27" i="14"/>
  <c r="BQ27" i="14"/>
  <c r="CG21" i="14"/>
  <c r="CS21" i="14" s="1"/>
  <c r="BJ22" i="14"/>
  <c r="BQ22" i="14"/>
  <c r="BG23" i="14"/>
  <c r="BO23" i="14" s="1"/>
  <c r="BN23" i="14"/>
  <c r="CG25" i="14"/>
  <c r="CS25" i="14" s="1"/>
  <c r="BG9" i="14"/>
  <c r="BO9" i="14" s="1"/>
  <c r="BN9" i="14"/>
  <c r="BG11" i="14"/>
  <c r="BO11" i="14" s="1"/>
  <c r="CG11" i="14" s="1"/>
  <c r="CS11" i="14" s="1"/>
  <c r="BN11" i="14"/>
  <c r="CF11" i="14" s="1"/>
  <c r="CR11" i="14" s="1"/>
  <c r="CE13" i="14"/>
  <c r="BK19" i="14"/>
  <c r="BR19" i="14"/>
  <c r="CJ19" i="14" s="1"/>
  <c r="CV19" i="14" s="1"/>
  <c r="CH21" i="14"/>
  <c r="CT21" i="14" s="1"/>
  <c r="BJ23" i="14"/>
  <c r="BQ23" i="14"/>
  <c r="CI25" i="14"/>
  <c r="CU25" i="14" s="1"/>
  <c r="CH11" i="14"/>
  <c r="CT11" i="14" s="1"/>
  <c r="CG13" i="14"/>
  <c r="BJ14" i="14"/>
  <c r="BQ14" i="14"/>
  <c r="BG15" i="14"/>
  <c r="BO15" i="14" s="1"/>
  <c r="BN15" i="14"/>
  <c r="BK21" i="14"/>
  <c r="BR21" i="14"/>
  <c r="CJ21" i="14" s="1"/>
  <c r="CV21" i="14" s="1"/>
  <c r="BK11" i="14"/>
  <c r="BR11" i="14"/>
  <c r="CJ11" i="14" s="1"/>
  <c r="CV11" i="14" s="1"/>
  <c r="CH13" i="14"/>
  <c r="CT13" i="14" s="1"/>
  <c r="BJ15" i="14"/>
  <c r="BQ15" i="14"/>
  <c r="CE18" i="14"/>
  <c r="BG20" i="14"/>
  <c r="BO20" i="14" s="1"/>
  <c r="BN20" i="14"/>
  <c r="BG28" i="14"/>
  <c r="BO28" i="14" s="1"/>
  <c r="BN28" i="14"/>
  <c r="BK13" i="14"/>
  <c r="BR13" i="14"/>
  <c r="CJ13" i="14" s="1"/>
  <c r="CV13" i="14" s="1"/>
  <c r="CG18" i="14"/>
  <c r="BJ20" i="14"/>
  <c r="BQ20" i="14"/>
  <c r="CE10" i="14"/>
  <c r="BG12" i="14"/>
  <c r="BO12" i="14" s="1"/>
  <c r="BN12" i="14"/>
  <c r="BJ18" i="14"/>
  <c r="BQ18" i="14"/>
  <c r="CI18" i="14" s="1"/>
  <c r="BG8" i="14"/>
  <c r="BO8" i="14" s="1"/>
  <c r="BN8" i="14"/>
  <c r="BJ12" i="14"/>
  <c r="BQ12" i="14"/>
  <c r="CI7" i="14"/>
  <c r="CH8" i="14"/>
  <c r="CH9" i="14"/>
  <c r="CT9" i="14" s="1"/>
  <c r="CP10" i="14"/>
  <c r="BM12" i="14"/>
  <c r="BN13" i="14"/>
  <c r="CF13" i="14" s="1"/>
  <c r="BP15" i="14"/>
  <c r="CI17" i="14"/>
  <c r="CU17" i="14" s="1"/>
  <c r="CP18" i="14"/>
  <c r="V18" i="22" s="1"/>
  <c r="BM20" i="14"/>
  <c r="BN21" i="14"/>
  <c r="CF21" i="14" s="1"/>
  <c r="CR21" i="14" s="1"/>
  <c r="BP23" i="14"/>
  <c r="CP32" i="14"/>
  <c r="V32" i="22" s="1"/>
  <c r="CH32" i="14"/>
  <c r="BG44" i="14"/>
  <c r="BO44" i="14" s="1"/>
  <c r="BN44" i="14"/>
  <c r="CP7" i="14"/>
  <c r="AF135" i="14"/>
  <c r="CP8" i="14"/>
  <c r="V8" i="22" s="1"/>
  <c r="AK10" i="14"/>
  <c r="CD10" i="14" s="1"/>
  <c r="BM11" i="14"/>
  <c r="CE11" i="14" s="1"/>
  <c r="BP14" i="14"/>
  <c r="CE16" i="14"/>
  <c r="AK18" i="14"/>
  <c r="CD18" i="14" s="1"/>
  <c r="BM19" i="14"/>
  <c r="CE19" i="14" s="1"/>
  <c r="BP22" i="14"/>
  <c r="CH24" i="14"/>
  <c r="BI26" i="14"/>
  <c r="BP27" i="14"/>
  <c r="BM28" i="14"/>
  <c r="BK32" i="14"/>
  <c r="BR32" i="14"/>
  <c r="AK7" i="14"/>
  <c r="CD7" i="14" s="1"/>
  <c r="AK8" i="14"/>
  <c r="CD8" i="14" s="1"/>
  <c r="AK9" i="14"/>
  <c r="CD9" i="14" s="1"/>
  <c r="CP16" i="14"/>
  <c r="V16" i="22" s="1"/>
  <c r="AK17" i="14"/>
  <c r="CD17" i="14" s="1"/>
  <c r="CP24" i="14"/>
  <c r="V24" i="22" s="1"/>
  <c r="BJ29" i="14"/>
  <c r="BM32" i="14"/>
  <c r="AK34" i="14"/>
  <c r="CD34" i="14" s="1"/>
  <c r="BK34" i="14"/>
  <c r="BJ37" i="14"/>
  <c r="BQ37" i="14"/>
  <c r="BG38" i="14"/>
  <c r="BO38" i="14" s="1"/>
  <c r="BN38" i="14"/>
  <c r="BM8" i="14"/>
  <c r="BM9" i="14"/>
  <c r="BN10" i="14"/>
  <c r="CF10" i="14" s="1"/>
  <c r="BP12" i="14"/>
  <c r="BQ13" i="14"/>
  <c r="CI13" i="14" s="1"/>
  <c r="CU13" i="14" s="1"/>
  <c r="CF14" i="14"/>
  <c r="CR14" i="14" s="1"/>
  <c r="CP15" i="14"/>
  <c r="V15" i="22" s="1"/>
  <c r="BM17" i="14"/>
  <c r="BN18" i="14"/>
  <c r="CF18" i="14" s="1"/>
  <c r="BP20" i="14"/>
  <c r="BQ21" i="14"/>
  <c r="CI21" i="14" s="1"/>
  <c r="CU21" i="14" s="1"/>
  <c r="CG22" i="14"/>
  <c r="CS22" i="14" s="1"/>
  <c r="CP23" i="14"/>
  <c r="V23" i="22" s="1"/>
  <c r="BP25" i="14"/>
  <c r="CH25" i="14" s="1"/>
  <c r="CT25" i="14" s="1"/>
  <c r="BQ32" i="14"/>
  <c r="BL33" i="14"/>
  <c r="BT33" i="14" s="1"/>
  <c r="BS33" i="14"/>
  <c r="BJ38" i="14"/>
  <c r="BQ38" i="14"/>
  <c r="CE41" i="14"/>
  <c r="BF7" i="14"/>
  <c r="CH26" i="14"/>
  <c r="CP26" i="14"/>
  <c r="V26" i="22" s="1"/>
  <c r="CP27" i="14"/>
  <c r="V27" i="22" s="1"/>
  <c r="BG27" i="14"/>
  <c r="BO27" i="14" s="1"/>
  <c r="BN27" i="14"/>
  <c r="CH28" i="14"/>
  <c r="CG41" i="14"/>
  <c r="BP10" i="14"/>
  <c r="CH10" i="14" s="1"/>
  <c r="BQ11" i="14"/>
  <c r="CI11" i="14" s="1"/>
  <c r="CU11" i="14" s="1"/>
  <c r="BM15" i="14"/>
  <c r="BP18" i="14"/>
  <c r="CH18" i="14" s="1"/>
  <c r="BQ19" i="14"/>
  <c r="CI19" i="14" s="1"/>
  <c r="CU19" i="14" s="1"/>
  <c r="BM23" i="14"/>
  <c r="BN24" i="14"/>
  <c r="BJ41" i="14"/>
  <c r="BQ41" i="14"/>
  <c r="CI41" i="14" s="1"/>
  <c r="BJ43" i="14"/>
  <c r="BQ43" i="14"/>
  <c r="BG45" i="14"/>
  <c r="BO45" i="14" s="1"/>
  <c r="BN45" i="14"/>
  <c r="BJ25" i="14"/>
  <c r="BF26" i="14"/>
  <c r="BM26" i="14"/>
  <c r="BJ30" i="14"/>
  <c r="BQ30" i="14"/>
  <c r="CH31" i="14"/>
  <c r="BG31" i="14"/>
  <c r="BO31" i="14" s="1"/>
  <c r="BN31" i="14"/>
  <c r="CI33" i="14"/>
  <c r="CU33" i="14" s="1"/>
  <c r="BG35" i="14"/>
  <c r="BO35" i="14" s="1"/>
  <c r="CG35" i="14" s="1"/>
  <c r="BN35" i="14"/>
  <c r="CF35" i="14" s="1"/>
  <c r="J133" i="14"/>
  <c r="BI7" i="14"/>
  <c r="BJ31" i="14"/>
  <c r="BQ31" i="14"/>
  <c r="BG32" i="14"/>
  <c r="BO32" i="14" s="1"/>
  <c r="BN32" i="14"/>
  <c r="BG34" i="14"/>
  <c r="BO34" i="14" s="1"/>
  <c r="BN34" i="14"/>
  <c r="BJ35" i="14"/>
  <c r="BQ35" i="14"/>
  <c r="CI35" i="14" s="1"/>
  <c r="BG40" i="14"/>
  <c r="BO40" i="14" s="1"/>
  <c r="BN40" i="14"/>
  <c r="BP30" i="14"/>
  <c r="BM35" i="14"/>
  <c r="CE35" i="14" s="1"/>
  <c r="BF36" i="14"/>
  <c r="BG37" i="14"/>
  <c r="BO37" i="14" s="1"/>
  <c r="BP38" i="14"/>
  <c r="BI39" i="14"/>
  <c r="CH40" i="14"/>
  <c r="BJ40" i="14"/>
  <c r="CP43" i="14"/>
  <c r="V43" i="22" s="1"/>
  <c r="CI44" i="14"/>
  <c r="CJ45" i="14"/>
  <c r="BK45" i="14"/>
  <c r="CI48" i="14"/>
  <c r="BN48" i="14"/>
  <c r="CP49" i="14"/>
  <c r="V49" i="22" s="1"/>
  <c r="BN49" i="14"/>
  <c r="CF52" i="14"/>
  <c r="CR52" i="14" s="1"/>
  <c r="CH60" i="14"/>
  <c r="BP29" i="14"/>
  <c r="CH29" i="14" s="1"/>
  <c r="BM34" i="14"/>
  <c r="BP37" i="14"/>
  <c r="CH39" i="14"/>
  <c r="CP40" i="14"/>
  <c r="V40" i="22" s="1"/>
  <c r="AK41" i="14"/>
  <c r="CD41" i="14" s="1"/>
  <c r="BG42" i="14"/>
  <c r="BO42" i="14" s="1"/>
  <c r="AK43" i="14"/>
  <c r="CD43" i="14" s="1"/>
  <c r="CP44" i="14"/>
  <c r="V44" i="22" s="1"/>
  <c r="CP45" i="14"/>
  <c r="V45" i="22" s="1"/>
  <c r="BJ46" i="14"/>
  <c r="BQ46" i="14"/>
  <c r="CP47" i="14"/>
  <c r="BG47" i="14"/>
  <c r="BO47" i="14" s="1"/>
  <c r="CG47" i="14" s="1"/>
  <c r="BN47" i="14"/>
  <c r="CF47" i="14" s="1"/>
  <c r="BR60" i="14"/>
  <c r="CJ60" i="14" s="1"/>
  <c r="CG30" i="14"/>
  <c r="CP39" i="14"/>
  <c r="V39" i="22" s="1"/>
  <c r="BN43" i="14"/>
  <c r="BM44" i="14"/>
  <c r="BM45" i="14"/>
  <c r="AK49" i="14"/>
  <c r="CD49" i="14" s="1"/>
  <c r="CH52" i="14"/>
  <c r="CT52" i="14" s="1"/>
  <c r="CE59" i="14"/>
  <c r="CE60" i="14"/>
  <c r="BN33" i="14"/>
  <c r="BP35" i="14"/>
  <c r="CH35" i="14" s="1"/>
  <c r="CE37" i="14"/>
  <c r="CP38" i="14"/>
  <c r="V38" i="22" s="1"/>
  <c r="BM40" i="14"/>
  <c r="BN41" i="14"/>
  <c r="CF41" i="14" s="1"/>
  <c r="CF46" i="14"/>
  <c r="BK47" i="14"/>
  <c r="BR47" i="14"/>
  <c r="CJ47" i="14" s="1"/>
  <c r="BM31" i="14"/>
  <c r="CE36" i="14"/>
  <c r="CE52" i="14"/>
  <c r="CH59" i="14"/>
  <c r="BM30" i="14"/>
  <c r="BP33" i="14"/>
  <c r="BQ34" i="14"/>
  <c r="BM38" i="14"/>
  <c r="BN39" i="14"/>
  <c r="BP41" i="14"/>
  <c r="CH41" i="14" s="1"/>
  <c r="CF42" i="14"/>
  <c r="BP46" i="14"/>
  <c r="BM47" i="14"/>
  <c r="CE47" i="14" s="1"/>
  <c r="BG50" i="14"/>
  <c r="BO50" i="14" s="1"/>
  <c r="BJ51" i="14"/>
  <c r="BQ51" i="14"/>
  <c r="CI52" i="14"/>
  <c r="CU52" i="14" s="1"/>
  <c r="CH55" i="14"/>
  <c r="CF58" i="14"/>
  <c r="CI59" i="14"/>
  <c r="CE61" i="14"/>
  <c r="CJ34" i="14"/>
  <c r="CP42" i="14"/>
  <c r="V42" i="22" s="1"/>
  <c r="BQ47" i="14"/>
  <c r="CI47" i="14" s="1"/>
  <c r="CG58" i="14"/>
  <c r="CG61" i="14"/>
  <c r="CH43" i="14"/>
  <c r="BJ58" i="14"/>
  <c r="BQ58" i="14"/>
  <c r="CI58" i="14" s="1"/>
  <c r="BI50" i="14"/>
  <c r="CE51" i="14"/>
  <c r="BP53" i="14"/>
  <c r="AK55" i="14"/>
  <c r="CD55" i="14" s="1"/>
  <c r="BG56" i="14"/>
  <c r="BO56" i="14" s="1"/>
  <c r="BK61" i="14"/>
  <c r="CE65" i="14"/>
  <c r="BG66" i="14"/>
  <c r="BO66" i="14" s="1"/>
  <c r="BN66" i="14"/>
  <c r="BJ71" i="14"/>
  <c r="BQ71" i="14"/>
  <c r="BK74" i="14"/>
  <c r="BR74" i="14"/>
  <c r="CJ74" i="14" s="1"/>
  <c r="BK110" i="14"/>
  <c r="BR110" i="14"/>
  <c r="CF50" i="14"/>
  <c r="BN51" i="14"/>
  <c r="CJ54" i="14"/>
  <c r="CP54" i="14"/>
  <c r="V54" i="22" s="1"/>
  <c r="BM54" i="14"/>
  <c r="BP58" i="14"/>
  <c r="CH58" i="14" s="1"/>
  <c r="CG60" i="14"/>
  <c r="CP61" i="14"/>
  <c r="V61" i="22" s="1"/>
  <c r="CP64" i="14"/>
  <c r="V64" i="22" s="1"/>
  <c r="CH64" i="14"/>
  <c r="CF65" i="14"/>
  <c r="BJ66" i="14"/>
  <c r="BQ66" i="14"/>
  <c r="BR77" i="14"/>
  <c r="BK77" i="14"/>
  <c r="CI84" i="14"/>
  <c r="CE84" i="14"/>
  <c r="CE49" i="14"/>
  <c r="CE57" i="14"/>
  <c r="BJ62" i="14"/>
  <c r="BQ62" i="14"/>
  <c r="BK64" i="14"/>
  <c r="BR64" i="14"/>
  <c r="CG65" i="14"/>
  <c r="BK67" i="14"/>
  <c r="BR67" i="14"/>
  <c r="BJ69" i="14"/>
  <c r="BQ69" i="14"/>
  <c r="CH70" i="14"/>
  <c r="BJ73" i="14"/>
  <c r="CH84" i="14"/>
  <c r="CH56" i="14"/>
  <c r="BG63" i="14"/>
  <c r="BO63" i="14" s="1"/>
  <c r="BN63" i="14"/>
  <c r="BM68" i="14"/>
  <c r="BK70" i="14"/>
  <c r="BR70" i="14"/>
  <c r="CJ70" i="14" s="1"/>
  <c r="BP45" i="14"/>
  <c r="BM50" i="14"/>
  <c r="CI53" i="14"/>
  <c r="BG54" i="14"/>
  <c r="BO54" i="14" s="1"/>
  <c r="BQ54" i="14"/>
  <c r="CP56" i="14"/>
  <c r="V56" i="22" s="1"/>
  <c r="BJ63" i="14"/>
  <c r="BQ63" i="14"/>
  <c r="BJ65" i="14"/>
  <c r="CG73" i="14"/>
  <c r="CP74" i="14"/>
  <c r="V74" i="22" s="1"/>
  <c r="AK81" i="14"/>
  <c r="CD81" i="14" s="1"/>
  <c r="CP81" i="14"/>
  <c r="V81" i="22" s="1"/>
  <c r="BP62" i="14"/>
  <c r="BP63" i="14"/>
  <c r="CP72" i="14"/>
  <c r="V72" i="22" s="1"/>
  <c r="CI72" i="14"/>
  <c r="CP75" i="14"/>
  <c r="V75" i="22" s="1"/>
  <c r="CE75" i="14"/>
  <c r="CK79" i="14"/>
  <c r="BG80" i="14"/>
  <c r="BO80" i="14" s="1"/>
  <c r="CG80" i="14" s="1"/>
  <c r="BN80" i="14"/>
  <c r="CF80" i="14" s="1"/>
  <c r="CJ89" i="14"/>
  <c r="BK90" i="14"/>
  <c r="BR90" i="14"/>
  <c r="AK52" i="14"/>
  <c r="CD52" i="14" s="1"/>
  <c r="AK60" i="14"/>
  <c r="CD60" i="14" s="1"/>
  <c r="CP66" i="14"/>
  <c r="V66" i="22" s="1"/>
  <c r="CF74" i="14"/>
  <c r="CH75" i="14"/>
  <c r="BJ78" i="14"/>
  <c r="BQ78" i="14"/>
  <c r="CP51" i="14"/>
  <c r="V51" i="22" s="1"/>
  <c r="CF55" i="14"/>
  <c r="CE58" i="14"/>
  <c r="BG59" i="14"/>
  <c r="BO59" i="14" s="1"/>
  <c r="CG59" i="14" s="1"/>
  <c r="CF60" i="14"/>
  <c r="CF62" i="14"/>
  <c r="BG68" i="14"/>
  <c r="BO68" i="14" s="1"/>
  <c r="BN68" i="14"/>
  <c r="CH71" i="14"/>
  <c r="BG71" i="14"/>
  <c r="BO71" i="14" s="1"/>
  <c r="BN71" i="14"/>
  <c r="CH74" i="14"/>
  <c r="BK75" i="14"/>
  <c r="BR80" i="14"/>
  <c r="CJ80" i="14" s="1"/>
  <c r="BK80" i="14"/>
  <c r="CE92" i="14"/>
  <c r="BM74" i="14"/>
  <c r="CE74" i="14" s="1"/>
  <c r="AK75" i="14"/>
  <c r="CD75" i="14" s="1"/>
  <c r="CE77" i="14"/>
  <c r="BP78" i="14"/>
  <c r="BJ81" i="14"/>
  <c r="BQ81" i="14"/>
  <c r="BG82" i="14"/>
  <c r="BO82" i="14" s="1"/>
  <c r="BN82" i="14"/>
  <c r="BK87" i="14"/>
  <c r="BR87" i="14"/>
  <c r="BP61" i="14"/>
  <c r="CH61" i="14" s="1"/>
  <c r="BM66" i="14"/>
  <c r="BN67" i="14"/>
  <c r="BP69" i="14"/>
  <c r="BQ70" i="14"/>
  <c r="CI70" i="14" s="1"/>
  <c r="AK76" i="14"/>
  <c r="CD76" i="14" s="1"/>
  <c r="CP77" i="14"/>
  <c r="V77" i="22" s="1"/>
  <c r="CP78" i="14"/>
  <c r="V78" i="22" s="1"/>
  <c r="BM80" i="14"/>
  <c r="CE80" i="14" s="1"/>
  <c r="BJ82" i="14"/>
  <c r="BQ82" i="14"/>
  <c r="BG83" i="14"/>
  <c r="BO83" i="14" s="1"/>
  <c r="CG83" i="14" s="1"/>
  <c r="BN83" i="14"/>
  <c r="CF83" i="14" s="1"/>
  <c r="CP63" i="14"/>
  <c r="V63" i="22" s="1"/>
  <c r="AK64" i="14"/>
  <c r="CD64" i="14" s="1"/>
  <c r="BG74" i="14"/>
  <c r="BO74" i="14" s="1"/>
  <c r="CG74" i="14" s="1"/>
  <c r="BF75" i="14"/>
  <c r="AK80" i="14"/>
  <c r="CD80" i="14" s="1"/>
  <c r="CP83" i="14"/>
  <c r="CF84" i="14"/>
  <c r="BF89" i="14"/>
  <c r="BM89" i="14"/>
  <c r="CE89" i="14" s="1"/>
  <c r="BJ91" i="14"/>
  <c r="BQ91" i="14"/>
  <c r="CG69" i="14"/>
  <c r="CP70" i="14"/>
  <c r="V70" i="22" s="1"/>
  <c r="BQ74" i="14"/>
  <c r="CI74" i="14" s="1"/>
  <c r="BF78" i="14"/>
  <c r="BM78" i="14"/>
  <c r="CE79" i="14"/>
  <c r="BP82" i="14"/>
  <c r="BK83" i="14"/>
  <c r="BR83" i="14"/>
  <c r="CJ83" i="14" s="1"/>
  <c r="CG85" i="14"/>
  <c r="AK88" i="14"/>
  <c r="CD88" i="14" s="1"/>
  <c r="CP88" i="14"/>
  <c r="V88" i="22" s="1"/>
  <c r="BM63" i="14"/>
  <c r="BN64" i="14"/>
  <c r="BP66" i="14"/>
  <c r="BQ67" i="14"/>
  <c r="CI68" i="14"/>
  <c r="CP69" i="14"/>
  <c r="V69" i="22" s="1"/>
  <c r="BM71" i="14"/>
  <c r="CE83" i="14"/>
  <c r="BJ85" i="14"/>
  <c r="BQ85" i="14"/>
  <c r="CH86" i="14"/>
  <c r="BG86" i="14"/>
  <c r="BO86" i="14" s="1"/>
  <c r="BN86" i="14"/>
  <c r="BL89" i="14"/>
  <c r="BT89" i="14" s="1"/>
  <c r="CL89" i="14" s="1"/>
  <c r="W89" i="22" s="1"/>
  <c r="BS89" i="14"/>
  <c r="CK89" i="14" s="1"/>
  <c r="CP104" i="14"/>
  <c r="V104" i="22" s="1"/>
  <c r="BM62" i="14"/>
  <c r="BP65" i="14"/>
  <c r="CH65" i="14" s="1"/>
  <c r="CG67" i="14"/>
  <c r="BM70" i="14"/>
  <c r="CE70" i="14" s="1"/>
  <c r="BP73" i="14"/>
  <c r="AK77" i="14"/>
  <c r="CD77" i="14" s="1"/>
  <c r="CP79" i="14"/>
  <c r="V79" i="22" s="1"/>
  <c r="CJ79" i="14"/>
  <c r="CI83" i="14"/>
  <c r="AK84" i="14"/>
  <c r="CD84" i="14" s="1"/>
  <c r="BJ86" i="14"/>
  <c r="BQ86" i="14"/>
  <c r="CH89" i="14"/>
  <c r="CP67" i="14"/>
  <c r="V67" i="22" s="1"/>
  <c r="BG79" i="14"/>
  <c r="BO79" i="14" s="1"/>
  <c r="CG79" i="14" s="1"/>
  <c r="BN79" i="14"/>
  <c r="CF79" i="14" s="1"/>
  <c r="CG84" i="14"/>
  <c r="CP87" i="14"/>
  <c r="V87" i="22" s="1"/>
  <c r="CH87" i="14"/>
  <c r="BG87" i="14"/>
  <c r="BO87" i="14" s="1"/>
  <c r="BN87" i="14"/>
  <c r="CF88" i="14"/>
  <c r="BQ89" i="14"/>
  <c r="CI89" i="14" s="1"/>
  <c r="AK90" i="14"/>
  <c r="CD90" i="14" s="1"/>
  <c r="BP81" i="14"/>
  <c r="AK85" i="14"/>
  <c r="CD85" i="14" s="1"/>
  <c r="BM86" i="14"/>
  <c r="BP92" i="14"/>
  <c r="BK93" i="14"/>
  <c r="BR93" i="14"/>
  <c r="BJ95" i="14"/>
  <c r="BQ95" i="14"/>
  <c r="CE102" i="14"/>
  <c r="BP80" i="14"/>
  <c r="CH80" i="14" s="1"/>
  <c r="BG97" i="14"/>
  <c r="BO97" i="14" s="1"/>
  <c r="BN97" i="14"/>
  <c r="AK98" i="14"/>
  <c r="CD98" i="14" s="1"/>
  <c r="CE98" i="14"/>
  <c r="BG100" i="14"/>
  <c r="BO100" i="14" s="1"/>
  <c r="CG100" i="14" s="1"/>
  <c r="BN100" i="14"/>
  <c r="CF100" i="14" s="1"/>
  <c r="BN102" i="14"/>
  <c r="CF102" i="14" s="1"/>
  <c r="BG102" i="14"/>
  <c r="BO102" i="14" s="1"/>
  <c r="CG102" i="14" s="1"/>
  <c r="CE103" i="14"/>
  <c r="AK103" i="14"/>
  <c r="CD103" i="14" s="1"/>
  <c r="BQ107" i="14"/>
  <c r="CI107" i="14" s="1"/>
  <c r="BJ107" i="14"/>
  <c r="CF81" i="14"/>
  <c r="CP82" i="14"/>
  <c r="V82" i="22" s="1"/>
  <c r="CI90" i="14"/>
  <c r="CE93" i="14"/>
  <c r="BN93" i="14"/>
  <c r="BL94" i="14"/>
  <c r="BT94" i="14" s="1"/>
  <c r="BS94" i="14"/>
  <c r="CP97" i="14"/>
  <c r="V97" i="22" s="1"/>
  <c r="CH97" i="14"/>
  <c r="CG98" i="14"/>
  <c r="BG99" i="14"/>
  <c r="BO99" i="14" s="1"/>
  <c r="CG99" i="14" s="1"/>
  <c r="BN99" i="14"/>
  <c r="CF99" i="14" s="1"/>
  <c r="BJ100" i="14"/>
  <c r="BQ100" i="14"/>
  <c r="CI100" i="14" s="1"/>
  <c r="BI101" i="14"/>
  <c r="BP101" i="14"/>
  <c r="CH102" i="14"/>
  <c r="CH98" i="14"/>
  <c r="BJ99" i="14"/>
  <c r="BQ99" i="14"/>
  <c r="CI99" i="14" s="1"/>
  <c r="CJ102" i="14"/>
  <c r="CI106" i="14"/>
  <c r="BM82" i="14"/>
  <c r="BP85" i="14"/>
  <c r="BJ92" i="14"/>
  <c r="BQ92" i="14"/>
  <c r="CI94" i="14"/>
  <c r="CH96" i="14"/>
  <c r="BG96" i="14"/>
  <c r="BO96" i="14" s="1"/>
  <c r="BN96" i="14"/>
  <c r="BQ97" i="14"/>
  <c r="AK99" i="14"/>
  <c r="CD99" i="14" s="1"/>
  <c r="CL102" i="14"/>
  <c r="W102" i="22" s="1"/>
  <c r="CP89" i="14"/>
  <c r="V89" i="22" s="1"/>
  <c r="BN90" i="14"/>
  <c r="CF91" i="14"/>
  <c r="BR94" i="14"/>
  <c r="CE95" i="14"/>
  <c r="BJ96" i="14"/>
  <c r="BQ96" i="14"/>
  <c r="CI102" i="14"/>
  <c r="BJ105" i="14"/>
  <c r="BQ105" i="14"/>
  <c r="CJ98" i="14"/>
  <c r="BF104" i="14"/>
  <c r="BM104" i="14"/>
  <c r="BP95" i="14"/>
  <c r="BM100" i="14"/>
  <c r="CE100" i="14" s="1"/>
  <c r="BP103" i="14"/>
  <c r="CG105" i="14"/>
  <c r="BS112" i="14"/>
  <c r="CK112" i="14" s="1"/>
  <c r="BL112" i="14"/>
  <c r="BT112" i="14" s="1"/>
  <c r="CL112" i="14" s="1"/>
  <c r="BP94" i="14"/>
  <c r="BM99" i="14"/>
  <c r="CE99" i="14" s="1"/>
  <c r="BJ104" i="14"/>
  <c r="BQ104" i="14"/>
  <c r="BG106" i="14"/>
  <c r="BO106" i="14" s="1"/>
  <c r="CG106" i="14" s="1"/>
  <c r="BN106" i="14"/>
  <c r="CF106" i="14" s="1"/>
  <c r="CJ108" i="14"/>
  <c r="BG108" i="14"/>
  <c r="BO108" i="14" s="1"/>
  <c r="BN108" i="14"/>
  <c r="CP96" i="14"/>
  <c r="V96" i="22" s="1"/>
  <c r="CP106" i="14"/>
  <c r="CE109" i="14"/>
  <c r="BM97" i="14"/>
  <c r="BN98" i="14"/>
  <c r="CF98" i="14" s="1"/>
  <c r="BP100" i="14"/>
  <c r="CH100" i="14" s="1"/>
  <c r="CF101" i="14"/>
  <c r="AK106" i="14"/>
  <c r="CD106" i="14" s="1"/>
  <c r="BJ109" i="14"/>
  <c r="BQ109" i="14"/>
  <c r="CI109" i="14" s="1"/>
  <c r="BG116" i="14"/>
  <c r="BO116" i="14" s="1"/>
  <c r="BN116" i="14"/>
  <c r="BP91" i="14"/>
  <c r="BM96" i="14"/>
  <c r="BP99" i="14"/>
  <c r="CH99" i="14" s="1"/>
  <c r="BJ103" i="14"/>
  <c r="BJ106" i="14"/>
  <c r="BK108" i="14"/>
  <c r="BJ111" i="14"/>
  <c r="BQ111" i="14"/>
  <c r="BG113" i="14"/>
  <c r="BO113" i="14" s="1"/>
  <c r="BN113" i="14"/>
  <c r="AK102" i="14"/>
  <c r="CD102" i="14" s="1"/>
  <c r="BP104" i="14"/>
  <c r="AK107" i="14"/>
  <c r="CD107" i="14" s="1"/>
  <c r="CE107" i="14"/>
  <c r="BN110" i="14"/>
  <c r="BG110" i="14"/>
  <c r="BO110" i="14" s="1"/>
  <c r="BG112" i="14"/>
  <c r="BO112" i="14" s="1"/>
  <c r="CG112" i="14" s="1"/>
  <c r="BN112" i="14"/>
  <c r="CF112" i="14" s="1"/>
  <c r="CG107" i="14"/>
  <c r="BM108" i="14"/>
  <c r="BF109" i="14"/>
  <c r="BP111" i="14"/>
  <c r="AK114" i="14"/>
  <c r="CD114" i="14" s="1"/>
  <c r="BI119" i="14"/>
  <c r="CL113" i="14"/>
  <c r="BG114" i="14"/>
  <c r="BO114" i="14" s="1"/>
  <c r="BI115" i="14"/>
  <c r="BI116" i="14"/>
  <c r="BG118" i="14"/>
  <c r="BO118" i="14" s="1"/>
  <c r="AK119" i="14"/>
  <c r="CD119" i="14" s="1"/>
  <c r="BR132" i="14"/>
  <c r="BK132" i="14"/>
  <c r="BM106" i="14"/>
  <c r="CE106" i="14" s="1"/>
  <c r="BN107" i="14"/>
  <c r="CF107" i="14" s="1"/>
  <c r="BP109" i="14"/>
  <c r="CH109" i="14" s="1"/>
  <c r="BQ110" i="14"/>
  <c r="CE111" i="14"/>
  <c r="BR112" i="14"/>
  <c r="CJ112" i="14" s="1"/>
  <c r="BJ114" i="14"/>
  <c r="BQ114" i="14"/>
  <c r="CI125" i="14"/>
  <c r="AK125" i="14"/>
  <c r="CD125" i="14" s="1"/>
  <c r="CH131" i="14"/>
  <c r="CH110" i="14"/>
  <c r="BM113" i="14"/>
  <c r="BM115" i="14"/>
  <c r="BM116" i="14"/>
  <c r="BJ118" i="14"/>
  <c r="CH124" i="14"/>
  <c r="BP107" i="14"/>
  <c r="CH107" i="14" s="1"/>
  <c r="BQ108" i="14"/>
  <c r="CP110" i="14"/>
  <c r="V110" i="22" s="1"/>
  <c r="CH114" i="14"/>
  <c r="CH116" i="14"/>
  <c r="CI117" i="14"/>
  <c r="BG120" i="14"/>
  <c r="BO120" i="14" s="1"/>
  <c r="BN120" i="14"/>
  <c r="BG121" i="14"/>
  <c r="BO121" i="14" s="1"/>
  <c r="BN121" i="14"/>
  <c r="CU128" i="14"/>
  <c r="CH130" i="14"/>
  <c r="BN130" i="14"/>
  <c r="BG130" i="14"/>
  <c r="BO130" i="14" s="1"/>
  <c r="AK110" i="14"/>
  <c r="CD110" i="14" s="1"/>
  <c r="CF115" i="14"/>
  <c r="CI118" i="14"/>
  <c r="CH119" i="14"/>
  <c r="BJ121" i="14"/>
  <c r="BQ121" i="14"/>
  <c r="BJ122" i="14"/>
  <c r="BQ122" i="14"/>
  <c r="BJ123" i="14"/>
  <c r="BJ130" i="14"/>
  <c r="BQ130" i="14"/>
  <c r="BM110" i="14"/>
  <c r="CP112" i="14"/>
  <c r="V112" i="22" s="1"/>
  <c r="CP115" i="14"/>
  <c r="V115" i="22" s="1"/>
  <c r="BG119" i="14"/>
  <c r="BO119" i="14" s="1"/>
  <c r="BN119" i="14"/>
  <c r="BR120" i="14"/>
  <c r="CP127" i="14"/>
  <c r="V127" i="22" s="1"/>
  <c r="CH127" i="14"/>
  <c r="BM128" i="14"/>
  <c r="CE128" i="14" s="1"/>
  <c r="BF128" i="14"/>
  <c r="BG115" i="14"/>
  <c r="BO115" i="14" s="1"/>
  <c r="BM120" i="14"/>
  <c r="CP124" i="14"/>
  <c r="V124" i="22" s="1"/>
  <c r="CF124" i="14"/>
  <c r="BQ127" i="14"/>
  <c r="BR128" i="14"/>
  <c r="CJ128" i="14" s="1"/>
  <c r="BJ129" i="14"/>
  <c r="BQ129" i="14"/>
  <c r="CP130" i="14"/>
  <c r="V130" i="22" s="1"/>
  <c r="BM119" i="14"/>
  <c r="CG123" i="14"/>
  <c r="BN123" i="14"/>
  <c r="BM126" i="14"/>
  <c r="CP131" i="14"/>
  <c r="V131" i="22" s="1"/>
  <c r="BG131" i="14"/>
  <c r="BO131" i="14" s="1"/>
  <c r="CG131" i="14" s="1"/>
  <c r="BN131" i="14"/>
  <c r="CF131" i="14" s="1"/>
  <c r="BM118" i="14"/>
  <c r="BP121" i="14"/>
  <c r="BP123" i="14"/>
  <c r="BP126" i="14"/>
  <c r="BF127" i="14"/>
  <c r="CH128" i="14"/>
  <c r="CE132" i="14"/>
  <c r="CH122" i="14"/>
  <c r="CG124" i="14"/>
  <c r="CF129" i="14"/>
  <c r="CP129" i="14"/>
  <c r="V129" i="22" s="1"/>
  <c r="BI131" i="14"/>
  <c r="BN132" i="14"/>
  <c r="CE121" i="14"/>
  <c r="CP122" i="14"/>
  <c r="V122" i="22" s="1"/>
  <c r="BL128" i="14"/>
  <c r="BT128" i="14" s="1"/>
  <c r="CL128" i="14" s="1"/>
  <c r="BS128" i="14"/>
  <c r="CK128" i="14" s="1"/>
  <c r="CH120" i="14"/>
  <c r="BG126" i="14"/>
  <c r="BO126" i="14" s="1"/>
  <c r="BN126" i="14"/>
  <c r="CE131" i="14"/>
  <c r="BJ126" i="14"/>
  <c r="BQ126" i="14"/>
  <c r="BP125" i="14"/>
  <c r="BM130" i="14"/>
  <c r="BP111" i="3"/>
  <c r="CH111" i="3" s="1"/>
  <c r="BM70" i="3"/>
  <c r="CE70" i="3" s="1"/>
  <c r="BR75" i="3"/>
  <c r="CJ75" i="3" s="1"/>
  <c r="BR111" i="3"/>
  <c r="CJ111" i="3" s="1"/>
  <c r="BM123" i="3"/>
  <c r="CE123" i="3" s="1"/>
  <c r="BO101" i="3"/>
  <c r="CG101" i="3" s="1"/>
  <c r="BP36" i="3"/>
  <c r="BM50" i="3"/>
  <c r="CE50" i="3" s="1"/>
  <c r="BM54" i="3"/>
  <c r="CE54" i="3" s="1"/>
  <c r="BN91" i="3"/>
  <c r="CF91" i="3" s="1"/>
  <c r="BM102" i="3"/>
  <c r="CE102" i="3" s="1"/>
  <c r="BN107" i="3"/>
  <c r="CF107" i="3" s="1"/>
  <c r="BP123" i="3"/>
  <c r="CH123" i="3" s="1"/>
  <c r="BF8" i="3"/>
  <c r="BG8" i="3" s="1"/>
  <c r="BH8" i="3" s="1"/>
  <c r="BI8" i="3" s="1"/>
  <c r="BJ8" i="3" s="1"/>
  <c r="BK8" i="3" s="1"/>
  <c r="BL8" i="3" s="1"/>
  <c r="BT8" i="3" s="1"/>
  <c r="BS45" i="3"/>
  <c r="BO75" i="3"/>
  <c r="CG75" i="3" s="1"/>
  <c r="BQ31" i="3"/>
  <c r="BM25" i="3"/>
  <c r="BO37" i="3"/>
  <c r="CG37" i="3" s="1"/>
  <c r="BQ48" i="3"/>
  <c r="CI48" i="3" s="1"/>
  <c r="BN92" i="3"/>
  <c r="CF92" i="3" s="1"/>
  <c r="BM114" i="3"/>
  <c r="CE114" i="3" s="1"/>
  <c r="BM125" i="3"/>
  <c r="CE125" i="3" s="1"/>
  <c r="BG26" i="7"/>
  <c r="BH26" i="7" s="1"/>
  <c r="BN26" i="7"/>
  <c r="CF26" i="7" s="1"/>
  <c r="BG79" i="7"/>
  <c r="BN79" i="7"/>
  <c r="CF79" i="7" s="1"/>
  <c r="BN7" i="7"/>
  <c r="CF7" i="7" s="1"/>
  <c r="CF136" i="7" s="1"/>
  <c r="BO10" i="7"/>
  <c r="CG10" i="7" s="1"/>
  <c r="BP11" i="7"/>
  <c r="CH11" i="7" s="1"/>
  <c r="BQ14" i="7"/>
  <c r="CI14" i="7" s="1"/>
  <c r="BR17" i="7"/>
  <c r="CJ17" i="7" s="1"/>
  <c r="BS18" i="7"/>
  <c r="CK18" i="7" s="1"/>
  <c r="BM20" i="7"/>
  <c r="CE20" i="7" s="1"/>
  <c r="BQ27" i="7"/>
  <c r="CI27" i="7" s="1"/>
  <c r="BO29" i="7"/>
  <c r="CG29" i="7" s="1"/>
  <c r="BP36" i="7"/>
  <c r="CH36" i="7" s="1"/>
  <c r="BN41" i="7"/>
  <c r="CF41" i="7" s="1"/>
  <c r="BN42" i="7"/>
  <c r="CF42" i="7" s="1"/>
  <c r="BQ43" i="7"/>
  <c r="CI43" i="7" s="1"/>
  <c r="BO45" i="7"/>
  <c r="CG45" i="7" s="1"/>
  <c r="BM52" i="7"/>
  <c r="CE52" i="7" s="1"/>
  <c r="BO58" i="7"/>
  <c r="CG58" i="7" s="1"/>
  <c r="BO62" i="7"/>
  <c r="CG62" i="7" s="1"/>
  <c r="BF69" i="7"/>
  <c r="BG69" i="7" s="1"/>
  <c r="BO69" i="7" s="1"/>
  <c r="CG69" i="7" s="1"/>
  <c r="BP74" i="7"/>
  <c r="CH74" i="7" s="1"/>
  <c r="BQ80" i="7"/>
  <c r="CI80" i="7" s="1"/>
  <c r="BN82" i="7"/>
  <c r="CF82" i="7" s="1"/>
  <c r="BR92" i="7"/>
  <c r="CJ92" i="7" s="1"/>
  <c r="BP95" i="7"/>
  <c r="CH95" i="7" s="1"/>
  <c r="BO100" i="7"/>
  <c r="CG100" i="7" s="1"/>
  <c r="BO101" i="7"/>
  <c r="CG101" i="7" s="1"/>
  <c r="BM109" i="7"/>
  <c r="CE109" i="7" s="1"/>
  <c r="BO110" i="7"/>
  <c r="BR113" i="7"/>
  <c r="CJ113" i="7" s="1"/>
  <c r="BS114" i="7"/>
  <c r="CK114" i="7" s="1"/>
  <c r="BN117" i="7"/>
  <c r="CF117" i="7" s="1"/>
  <c r="BF123" i="7"/>
  <c r="BN129" i="7"/>
  <c r="CF129" i="7" s="1"/>
  <c r="BQ132" i="7"/>
  <c r="CI132" i="7" s="1"/>
  <c r="BT7" i="7"/>
  <c r="CL7" i="7" s="1"/>
  <c r="BP10" i="7"/>
  <c r="CH10" i="7" s="1"/>
  <c r="BQ11" i="7"/>
  <c r="CI11" i="7" s="1"/>
  <c r="BR14" i="7"/>
  <c r="CJ14" i="7" s="1"/>
  <c r="BO20" i="7"/>
  <c r="CG20" i="7" s="1"/>
  <c r="BQ29" i="7"/>
  <c r="CI29" i="7" s="1"/>
  <c r="BO41" i="7"/>
  <c r="CG41" i="7" s="1"/>
  <c r="BQ45" i="7"/>
  <c r="CI45" i="7" s="1"/>
  <c r="BN52" i="7"/>
  <c r="CF52" i="7" s="1"/>
  <c r="BQ58" i="7"/>
  <c r="CI58" i="7" s="1"/>
  <c r="BP62" i="7"/>
  <c r="CH62" i="7" s="1"/>
  <c r="BS74" i="7"/>
  <c r="CK74" i="7" s="1"/>
  <c r="BO82" i="7"/>
  <c r="CG82" i="7" s="1"/>
  <c r="BO85" i="7"/>
  <c r="CG85" i="7" s="1"/>
  <c r="BO86" i="7"/>
  <c r="CG86" i="7" s="1"/>
  <c r="BO88" i="7"/>
  <c r="CG88" i="7" s="1"/>
  <c r="BR91" i="7"/>
  <c r="CJ91" i="7" s="1"/>
  <c r="BS92" i="7"/>
  <c r="CK92" i="7" s="1"/>
  <c r="BS95" i="7"/>
  <c r="CK95" i="7" s="1"/>
  <c r="BM98" i="7"/>
  <c r="BP100" i="7"/>
  <c r="CH100" i="7" s="1"/>
  <c r="BP101" i="7"/>
  <c r="CH101" i="7" s="1"/>
  <c r="BM103" i="7"/>
  <c r="CE103" i="7" s="1"/>
  <c r="BM107" i="7"/>
  <c r="CE107" i="7" s="1"/>
  <c r="BN109" i="7"/>
  <c r="CF109" i="7" s="1"/>
  <c r="BP110" i="7"/>
  <c r="CH110" i="7" s="1"/>
  <c r="BM116" i="7"/>
  <c r="CE116" i="7" s="1"/>
  <c r="BO117" i="7"/>
  <c r="CG117" i="7" s="1"/>
  <c r="BF120" i="7"/>
  <c r="BN120" i="7" s="1"/>
  <c r="CF120" i="7" s="1"/>
  <c r="BR126" i="7"/>
  <c r="CJ126" i="7" s="1"/>
  <c r="BO129" i="7"/>
  <c r="CG129" i="7" s="1"/>
  <c r="BR132" i="7"/>
  <c r="CJ132" i="7" s="1"/>
  <c r="BS8" i="7"/>
  <c r="CK8" i="7" s="1"/>
  <c r="BQ10" i="7"/>
  <c r="CI10" i="7" s="1"/>
  <c r="BR11" i="7"/>
  <c r="CJ11" i="7" s="1"/>
  <c r="BO13" i="7"/>
  <c r="CG13" i="7" s="1"/>
  <c r="BS14" i="7"/>
  <c r="CK14" i="7" s="1"/>
  <c r="BM18" i="7"/>
  <c r="CE18" i="7" s="1"/>
  <c r="BM19" i="7"/>
  <c r="CE19" i="7" s="1"/>
  <c r="BP20" i="7"/>
  <c r="CH20" i="7" s="1"/>
  <c r="BN22" i="7"/>
  <c r="CF22" i="7" s="1"/>
  <c r="BS24" i="7"/>
  <c r="CK24" i="7" s="1"/>
  <c r="BN28" i="7"/>
  <c r="CF28" i="7" s="1"/>
  <c r="BR29" i="7"/>
  <c r="CJ29" i="7" s="1"/>
  <c r="BO35" i="7"/>
  <c r="CG35" i="7" s="1"/>
  <c r="BM37" i="7"/>
  <c r="CE37" i="7" s="1"/>
  <c r="BM39" i="7"/>
  <c r="CE39" i="7" s="1"/>
  <c r="BP41" i="7"/>
  <c r="CH41" i="7" s="1"/>
  <c r="BQ42" i="7"/>
  <c r="CI42" i="7" s="1"/>
  <c r="BN44" i="7"/>
  <c r="CF44" i="7" s="1"/>
  <c r="BR45" i="7"/>
  <c r="CJ45" i="7" s="1"/>
  <c r="BO52" i="7"/>
  <c r="CG52" i="7" s="1"/>
  <c r="BR58" i="7"/>
  <c r="CJ58" i="7" s="1"/>
  <c r="BQ62" i="7"/>
  <c r="CI62" i="7" s="1"/>
  <c r="BR82" i="7"/>
  <c r="CJ82" i="7" s="1"/>
  <c r="BS98" i="7"/>
  <c r="CK98" i="7" s="1"/>
  <c r="BQ100" i="7"/>
  <c r="CI100" i="7" s="1"/>
  <c r="BQ101" i="7"/>
  <c r="CI101" i="7" s="1"/>
  <c r="BN107" i="7"/>
  <c r="CF107" i="7" s="1"/>
  <c r="BN108" i="7"/>
  <c r="CF108" i="7" s="1"/>
  <c r="BO109" i="7"/>
  <c r="CG109" i="7" s="1"/>
  <c r="BM114" i="7"/>
  <c r="CE114" i="7" s="1"/>
  <c r="BN116" i="7"/>
  <c r="CF116" i="7" s="1"/>
  <c r="BP117" i="7"/>
  <c r="CH117" i="7" s="1"/>
  <c r="BP129" i="7"/>
  <c r="CH129" i="7" s="1"/>
  <c r="BS132" i="7"/>
  <c r="CK132" i="7" s="1"/>
  <c r="BR10" i="7"/>
  <c r="CJ10" i="7" s="1"/>
  <c r="BP13" i="7"/>
  <c r="CH13" i="7" s="1"/>
  <c r="BN18" i="7"/>
  <c r="CF18" i="7" s="1"/>
  <c r="BN19" i="7"/>
  <c r="CF19" i="7" s="1"/>
  <c r="BQ20" i="7"/>
  <c r="CI20" i="7" s="1"/>
  <c r="BO22" i="7"/>
  <c r="CG22" i="7" s="1"/>
  <c r="BO28" i="7"/>
  <c r="CG28" i="7" s="1"/>
  <c r="BS29" i="7"/>
  <c r="CK29" i="7" s="1"/>
  <c r="BM33" i="7"/>
  <c r="CE33" i="7" s="1"/>
  <c r="BM34" i="7"/>
  <c r="CE34" i="7" s="1"/>
  <c r="BP35" i="7"/>
  <c r="CH35" i="7" s="1"/>
  <c r="BN37" i="7"/>
  <c r="CF37" i="7" s="1"/>
  <c r="BS39" i="7"/>
  <c r="CK39" i="7" s="1"/>
  <c r="BQ41" i="7"/>
  <c r="CI41" i="7" s="1"/>
  <c r="BR42" i="7"/>
  <c r="CJ42" i="7" s="1"/>
  <c r="BO44" i="7"/>
  <c r="CG44" i="7" s="1"/>
  <c r="BS45" i="7"/>
  <c r="CK45" i="7" s="1"/>
  <c r="BN49" i="7"/>
  <c r="CF49" i="7" s="1"/>
  <c r="BM56" i="7"/>
  <c r="CE56" i="7" s="1"/>
  <c r="BS58" i="7"/>
  <c r="CK58" i="7" s="1"/>
  <c r="BM60" i="7"/>
  <c r="CE60" i="7" s="1"/>
  <c r="BR62" i="7"/>
  <c r="CJ62" i="7" s="1"/>
  <c r="BN66" i="7"/>
  <c r="CF66" i="7" s="1"/>
  <c r="BP67" i="7"/>
  <c r="CH67" i="7" s="1"/>
  <c r="BP73" i="7"/>
  <c r="CH73" i="7" s="1"/>
  <c r="BM75" i="7"/>
  <c r="CE75" i="7" s="1"/>
  <c r="BS77" i="7"/>
  <c r="CK77" i="7" s="1"/>
  <c r="BO81" i="7"/>
  <c r="CG81" i="7" s="1"/>
  <c r="BS82" i="7"/>
  <c r="CK82" i="7" s="1"/>
  <c r="BQ85" i="7"/>
  <c r="CI85" i="7" s="1"/>
  <c r="BQ86" i="7"/>
  <c r="CI86" i="7" s="1"/>
  <c r="BS88" i="7"/>
  <c r="CK88" i="7" s="1"/>
  <c r="BM92" i="7"/>
  <c r="CE92" i="7" s="1"/>
  <c r="BR100" i="7"/>
  <c r="CJ100" i="7" s="1"/>
  <c r="BR101" i="7"/>
  <c r="CJ101" i="7" s="1"/>
  <c r="BO107" i="7"/>
  <c r="CG107" i="7" s="1"/>
  <c r="BO108" i="7"/>
  <c r="CG108" i="7" s="1"/>
  <c r="BP109" i="7"/>
  <c r="CH109" i="7" s="1"/>
  <c r="BM111" i="7"/>
  <c r="CE111" i="7" s="1"/>
  <c r="BN114" i="7"/>
  <c r="CF114" i="7" s="1"/>
  <c r="BO116" i="7"/>
  <c r="CG116" i="7" s="1"/>
  <c r="BM121" i="7"/>
  <c r="CE121" i="7" s="1"/>
  <c r="BN122" i="7"/>
  <c r="CF122" i="7" s="1"/>
  <c r="BS10" i="7"/>
  <c r="CK10" i="7" s="1"/>
  <c r="BS62" i="7"/>
  <c r="CK62" i="7" s="1"/>
  <c r="BO66" i="7"/>
  <c r="CG66" i="7" s="1"/>
  <c r="BQ67" i="7"/>
  <c r="CI67" i="7" s="1"/>
  <c r="BM71" i="7"/>
  <c r="CE71" i="7" s="1"/>
  <c r="BQ73" i="7"/>
  <c r="CI73" i="7" s="1"/>
  <c r="BN75" i="7"/>
  <c r="CF75" i="7" s="1"/>
  <c r="BR85" i="7"/>
  <c r="CJ85" i="7" s="1"/>
  <c r="BR86" i="7"/>
  <c r="CJ86" i="7" s="1"/>
  <c r="BN92" i="7"/>
  <c r="CF92" i="7" s="1"/>
  <c r="BS100" i="7"/>
  <c r="CK100" i="7" s="1"/>
  <c r="BP107" i="7"/>
  <c r="CH107" i="7" s="1"/>
  <c r="BP108" i="7"/>
  <c r="CH108" i="7" s="1"/>
  <c r="BQ109" i="7"/>
  <c r="CI109" i="7" s="1"/>
  <c r="BN111" i="7"/>
  <c r="CF111" i="7" s="1"/>
  <c r="BO114" i="7"/>
  <c r="CG114" i="7" s="1"/>
  <c r="BP116" i="7"/>
  <c r="CH116" i="7" s="1"/>
  <c r="BM10" i="7"/>
  <c r="CE10" i="7" s="1"/>
  <c r="BM11" i="7"/>
  <c r="CE11" i="7" s="1"/>
  <c r="BP12" i="7"/>
  <c r="CH12" i="7" s="1"/>
  <c r="BN14" i="7"/>
  <c r="CF14" i="7" s="1"/>
  <c r="BS16" i="7"/>
  <c r="CK16" i="7" s="1"/>
  <c r="BQ18" i="7"/>
  <c r="CI18" i="7" s="1"/>
  <c r="BR19" i="7"/>
  <c r="CJ19" i="7" s="1"/>
  <c r="BO21" i="7"/>
  <c r="CG21" i="7" s="1"/>
  <c r="BS22" i="7"/>
  <c r="CK22" i="7" s="1"/>
  <c r="BO27" i="7"/>
  <c r="CG27" i="7" s="1"/>
  <c r="BM29" i="7"/>
  <c r="CE29" i="7" s="1"/>
  <c r="BM31" i="7"/>
  <c r="CE31" i="7" s="1"/>
  <c r="BN36" i="7"/>
  <c r="CF36" i="7" s="1"/>
  <c r="BR37" i="7"/>
  <c r="CJ37" i="7" s="1"/>
  <c r="BO43" i="7"/>
  <c r="CG43" i="7" s="1"/>
  <c r="BM45" i="7"/>
  <c r="CE45" i="7" s="1"/>
  <c r="BM47" i="7"/>
  <c r="CE47" i="7" s="1"/>
  <c r="BM58" i="7"/>
  <c r="CE58" i="7" s="1"/>
  <c r="BM62" i="7"/>
  <c r="CE62" i="7" s="1"/>
  <c r="BM63" i="7"/>
  <c r="CE63" i="7" s="1"/>
  <c r="BN74" i="7"/>
  <c r="CF74" i="7" s="1"/>
  <c r="BO80" i="7"/>
  <c r="CG80" i="7" s="1"/>
  <c r="BM90" i="7"/>
  <c r="CE90" i="7" s="1"/>
  <c r="BP92" i="7"/>
  <c r="CH92" i="7" s="1"/>
  <c r="BP93" i="7"/>
  <c r="CH93" i="7" s="1"/>
  <c r="BN95" i="7"/>
  <c r="CF95" i="7" s="1"/>
  <c r="BM100" i="7"/>
  <c r="CE100" i="7" s="1"/>
  <c r="BM101" i="7"/>
  <c r="CE101" i="7" s="1"/>
  <c r="BR107" i="7"/>
  <c r="CJ107" i="7" s="1"/>
  <c r="BR108" i="7"/>
  <c r="CJ108" i="7" s="1"/>
  <c r="BM110" i="7"/>
  <c r="CE110" i="7" s="1"/>
  <c r="BM125" i="7"/>
  <c r="CE125" i="7" s="1"/>
  <c r="BS29" i="3"/>
  <c r="BS52" i="3"/>
  <c r="CK52" i="3" s="1"/>
  <c r="BO63" i="3"/>
  <c r="CG63" i="3" s="1"/>
  <c r="BS72" i="3"/>
  <c r="CK72" i="3" s="1"/>
  <c r="BF82" i="3"/>
  <c r="BG82" i="3" s="1"/>
  <c r="BO91" i="3"/>
  <c r="CG91" i="3" s="1"/>
  <c r="BS102" i="3"/>
  <c r="CK102" i="3" s="1"/>
  <c r="BP106" i="3"/>
  <c r="CH106" i="3" s="1"/>
  <c r="BM110" i="3"/>
  <c r="CE110" i="3" s="1"/>
  <c r="BQ111" i="3"/>
  <c r="CI111" i="3" s="1"/>
  <c r="BM119" i="3"/>
  <c r="CE119" i="3" s="1"/>
  <c r="BR123" i="3"/>
  <c r="CJ123" i="3" s="1"/>
  <c r="BN110" i="3"/>
  <c r="CF110" i="3" s="1"/>
  <c r="BM30" i="3"/>
  <c r="CE30" i="3" s="1"/>
  <c r="BQ53" i="3"/>
  <c r="CI53" i="3" s="1"/>
  <c r="BQ73" i="3"/>
  <c r="CI73" i="3" s="1"/>
  <c r="BS91" i="3"/>
  <c r="CK91" i="3" s="1"/>
  <c r="BM99" i="3"/>
  <c r="CE99" i="3" s="1"/>
  <c r="BF103" i="3"/>
  <c r="BG103" i="3" s="1"/>
  <c r="BH103" i="3" s="1"/>
  <c r="BO110" i="3"/>
  <c r="CG110" i="3" s="1"/>
  <c r="BF116" i="3"/>
  <c r="BG116" i="3" s="1"/>
  <c r="BH116" i="3" s="1"/>
  <c r="BI116" i="3" s="1"/>
  <c r="BJ116" i="3" s="1"/>
  <c r="BK116" i="3" s="1"/>
  <c r="BL116" i="3" s="1"/>
  <c r="BT116" i="3" s="1"/>
  <c r="CL116" i="3" s="1"/>
  <c r="R116" i="22" s="1"/>
  <c r="BM129" i="3"/>
  <c r="CE129" i="3" s="1"/>
  <c r="BR53" i="3"/>
  <c r="CJ53" i="3" s="1"/>
  <c r="BM72" i="3"/>
  <c r="CE72" i="3" s="1"/>
  <c r="BN95" i="3"/>
  <c r="CF95" i="3" s="1"/>
  <c r="BN99" i="3"/>
  <c r="CF99" i="3" s="1"/>
  <c r="BR110" i="3"/>
  <c r="CJ110" i="3" s="1"/>
  <c r="BN21" i="3"/>
  <c r="BM27" i="3"/>
  <c r="BN31" i="3"/>
  <c r="BM39" i="3"/>
  <c r="CE39" i="3" s="1"/>
  <c r="BM49" i="3"/>
  <c r="CE49" i="3" s="1"/>
  <c r="BM60" i="3"/>
  <c r="CE60" i="3" s="1"/>
  <c r="BQ69" i="3"/>
  <c r="CI69" i="3" s="1"/>
  <c r="BN72" i="3"/>
  <c r="CF72" i="3" s="1"/>
  <c r="BR79" i="3"/>
  <c r="CJ79" i="3" s="1"/>
  <c r="BF84" i="3"/>
  <c r="BG84" i="3" s="1"/>
  <c r="BP90" i="3"/>
  <c r="CH90" i="3" s="1"/>
  <c r="BM92" i="3"/>
  <c r="CE92" i="3" s="1"/>
  <c r="BP95" i="3"/>
  <c r="CH95" i="3" s="1"/>
  <c r="BP99" i="3"/>
  <c r="CH99" i="3" s="1"/>
  <c r="BN102" i="3"/>
  <c r="CF102" i="3" s="1"/>
  <c r="BS110" i="3"/>
  <c r="CK110" i="3" s="1"/>
  <c r="BN122" i="3"/>
  <c r="CF122" i="3" s="1"/>
  <c r="BR63" i="3"/>
  <c r="CJ63" i="3" s="1"/>
  <c r="BS106" i="3"/>
  <c r="CK106" i="3" s="1"/>
  <c r="BN27" i="3"/>
  <c r="CF27" i="3" s="1"/>
  <c r="BO31" i="3"/>
  <c r="BN39" i="3"/>
  <c r="BO72" i="3"/>
  <c r="CG72" i="3" s="1"/>
  <c r="BQ99" i="3"/>
  <c r="CI99" i="3" s="1"/>
  <c r="BQ130" i="3"/>
  <c r="CI130" i="3" s="1"/>
  <c r="BM18" i="3"/>
  <c r="CE18" i="3" s="1"/>
  <c r="BP31" i="3"/>
  <c r="BP49" i="3"/>
  <c r="BM52" i="3"/>
  <c r="CE52" i="3" s="1"/>
  <c r="BQ72" i="3"/>
  <c r="CI72" i="3" s="1"/>
  <c r="BP75" i="3"/>
  <c r="CH75" i="3" s="1"/>
  <c r="BM85" i="3"/>
  <c r="CE85" i="3" s="1"/>
  <c r="BM91" i="3"/>
  <c r="CE91" i="3" s="1"/>
  <c r="BP92" i="3"/>
  <c r="CH92" i="3" s="1"/>
  <c r="BQ96" i="3"/>
  <c r="CI96" i="3" s="1"/>
  <c r="BR99" i="3"/>
  <c r="CJ99" i="3" s="1"/>
  <c r="BP102" i="3"/>
  <c r="CH102" i="3" s="1"/>
  <c r="BM105" i="3"/>
  <c r="CE105" i="3" s="1"/>
  <c r="BM111" i="3"/>
  <c r="CE111" i="3" s="1"/>
  <c r="BO118" i="3"/>
  <c r="BG53" i="7"/>
  <c r="BN53" i="7"/>
  <c r="CF53" i="7" s="1"/>
  <c r="BS9" i="7"/>
  <c r="CK9" i="7" s="1"/>
  <c r="BM15" i="7"/>
  <c r="CE15" i="7" s="1"/>
  <c r="BS17" i="7"/>
  <c r="CK17" i="7" s="1"/>
  <c r="BM23" i="7"/>
  <c r="CE23" i="7" s="1"/>
  <c r="BS25" i="7"/>
  <c r="CK25" i="7" s="1"/>
  <c r="BM30" i="7"/>
  <c r="CE30" i="7" s="1"/>
  <c r="BS32" i="7"/>
  <c r="CK32" i="7" s="1"/>
  <c r="BM38" i="7"/>
  <c r="CE38" i="7" s="1"/>
  <c r="BS40" i="7"/>
  <c r="CK40" i="7" s="1"/>
  <c r="BM46" i="7"/>
  <c r="CE46" i="7" s="1"/>
  <c r="BH50" i="7"/>
  <c r="BO50" i="7"/>
  <c r="CG50" i="7" s="1"/>
  <c r="BM51" i="7"/>
  <c r="CE51" i="7" s="1"/>
  <c r="BH63" i="7"/>
  <c r="BO63" i="7"/>
  <c r="CG63" i="7" s="1"/>
  <c r="BM83" i="7"/>
  <c r="CE83" i="7" s="1"/>
  <c r="BF112" i="7"/>
  <c r="BM112" i="7"/>
  <c r="CE112" i="7" s="1"/>
  <c r="BF76" i="7"/>
  <c r="BM76" i="7"/>
  <c r="CE76" i="7" s="1"/>
  <c r="BN15" i="7"/>
  <c r="CF15" i="7" s="1"/>
  <c r="BN23" i="7"/>
  <c r="CF23" i="7" s="1"/>
  <c r="BN30" i="7"/>
  <c r="CF30" i="7" s="1"/>
  <c r="BN38" i="7"/>
  <c r="CF38" i="7" s="1"/>
  <c r="BN46" i="7"/>
  <c r="CF46" i="7" s="1"/>
  <c r="BJ48" i="7"/>
  <c r="BQ48" i="7"/>
  <c r="CI48" i="7" s="1"/>
  <c r="BI49" i="7"/>
  <c r="BP49" i="7"/>
  <c r="CH49" i="7" s="1"/>
  <c r="BF57" i="7"/>
  <c r="BM57" i="7"/>
  <c r="CE57" i="7" s="1"/>
  <c r="BH69" i="7"/>
  <c r="BG103" i="7"/>
  <c r="BN103" i="7"/>
  <c r="CF103" i="7" s="1"/>
  <c r="BF124" i="7"/>
  <c r="BM124" i="7"/>
  <c r="CE124" i="7" s="1"/>
  <c r="BG83" i="7"/>
  <c r="BN83" i="7"/>
  <c r="CF83" i="7" s="1"/>
  <c r="BO7" i="7"/>
  <c r="CG7" i="7" s="1"/>
  <c r="CG136" i="7" s="1"/>
  <c r="BN8" i="7"/>
  <c r="CF8" i="7" s="1"/>
  <c r="BM9" i="7"/>
  <c r="CE9" i="7" s="1"/>
  <c r="BS11" i="7"/>
  <c r="CK11" i="7" s="1"/>
  <c r="BR12" i="7"/>
  <c r="CJ12" i="7" s="1"/>
  <c r="BQ13" i="7"/>
  <c r="CI13" i="7" s="1"/>
  <c r="BP14" i="7"/>
  <c r="CH14" i="7" s="1"/>
  <c r="BO15" i="7"/>
  <c r="CG15" i="7" s="1"/>
  <c r="BN16" i="7"/>
  <c r="CF16" i="7" s="1"/>
  <c r="BM17" i="7"/>
  <c r="CE17" i="7" s="1"/>
  <c r="BS19" i="7"/>
  <c r="CK19" i="7" s="1"/>
  <c r="BR20" i="7"/>
  <c r="CJ20" i="7" s="1"/>
  <c r="BQ21" i="7"/>
  <c r="CI21" i="7" s="1"/>
  <c r="BP22" i="7"/>
  <c r="CH22" i="7" s="1"/>
  <c r="BO23" i="7"/>
  <c r="CG23" i="7" s="1"/>
  <c r="BN24" i="7"/>
  <c r="CF24" i="7" s="1"/>
  <c r="BM25" i="7"/>
  <c r="CE25" i="7" s="1"/>
  <c r="BR27" i="7"/>
  <c r="CJ27" i="7" s="1"/>
  <c r="BQ28" i="7"/>
  <c r="CI28" i="7" s="1"/>
  <c r="BP29" i="7"/>
  <c r="CH29" i="7" s="1"/>
  <c r="BO30" i="7"/>
  <c r="CG30" i="7" s="1"/>
  <c r="BN31" i="7"/>
  <c r="CF31" i="7" s="1"/>
  <c r="BM32" i="7"/>
  <c r="CE32" i="7" s="1"/>
  <c r="BS34" i="7"/>
  <c r="CK34" i="7" s="1"/>
  <c r="BR35" i="7"/>
  <c r="CJ35" i="7" s="1"/>
  <c r="BQ36" i="7"/>
  <c r="CI36" i="7" s="1"/>
  <c r="BP37" i="7"/>
  <c r="CH37" i="7" s="1"/>
  <c r="BO38" i="7"/>
  <c r="CG38" i="7" s="1"/>
  <c r="BN39" i="7"/>
  <c r="CF39" i="7" s="1"/>
  <c r="BM40" i="7"/>
  <c r="CE40" i="7" s="1"/>
  <c r="BS42" i="7"/>
  <c r="CK42" i="7" s="1"/>
  <c r="BR43" i="7"/>
  <c r="CJ43" i="7" s="1"/>
  <c r="BQ44" i="7"/>
  <c r="CI44" i="7" s="1"/>
  <c r="BP45" i="7"/>
  <c r="CH45" i="7" s="1"/>
  <c r="BO46" i="7"/>
  <c r="CG46" i="7" s="1"/>
  <c r="BN47" i="7"/>
  <c r="CF47" i="7" s="1"/>
  <c r="BM48" i="7"/>
  <c r="CE48" i="7" s="1"/>
  <c r="BN50" i="7"/>
  <c r="CF50" i="7" s="1"/>
  <c r="BF61" i="7"/>
  <c r="BM61" i="7"/>
  <c r="CE61" i="7" s="1"/>
  <c r="BN63" i="7"/>
  <c r="CF63" i="7" s="1"/>
  <c r="BF65" i="7"/>
  <c r="BM65" i="7"/>
  <c r="CE65" i="7" s="1"/>
  <c r="BJ84" i="7"/>
  <c r="BQ84" i="7"/>
  <c r="CI84" i="7" s="1"/>
  <c r="BF119" i="7"/>
  <c r="BM119" i="7"/>
  <c r="CE119" i="7" s="1"/>
  <c r="BH128" i="7"/>
  <c r="BO128" i="7"/>
  <c r="CG128" i="7" s="1"/>
  <c r="BF130" i="7"/>
  <c r="BM130" i="7"/>
  <c r="CE130" i="7" s="1"/>
  <c r="BP7" i="7"/>
  <c r="CH7" i="7" s="1"/>
  <c r="CH136" i="7" s="1"/>
  <c r="BO8" i="7"/>
  <c r="CG8" i="7" s="1"/>
  <c r="BN9" i="7"/>
  <c r="CF9" i="7" s="1"/>
  <c r="BS12" i="7"/>
  <c r="CK12" i="7" s="1"/>
  <c r="BR13" i="7"/>
  <c r="CJ13" i="7" s="1"/>
  <c r="BP15" i="7"/>
  <c r="CH15" i="7" s="1"/>
  <c r="BO16" i="7"/>
  <c r="CG16" i="7" s="1"/>
  <c r="BN17" i="7"/>
  <c r="CF17" i="7" s="1"/>
  <c r="BS20" i="7"/>
  <c r="CK20" i="7" s="1"/>
  <c r="BR21" i="7"/>
  <c r="CJ21" i="7" s="1"/>
  <c r="BP23" i="7"/>
  <c r="CH23" i="7" s="1"/>
  <c r="BO24" i="7"/>
  <c r="CG24" i="7" s="1"/>
  <c r="BN25" i="7"/>
  <c r="CF25" i="7" s="1"/>
  <c r="BS27" i="7"/>
  <c r="CK27" i="7" s="1"/>
  <c r="BR28" i="7"/>
  <c r="CJ28" i="7" s="1"/>
  <c r="BP30" i="7"/>
  <c r="CH30" i="7" s="1"/>
  <c r="BO31" i="7"/>
  <c r="CG31" i="7" s="1"/>
  <c r="BN32" i="7"/>
  <c r="CF32" i="7" s="1"/>
  <c r="BS35" i="7"/>
  <c r="CK35" i="7" s="1"/>
  <c r="BR36" i="7"/>
  <c r="CJ36" i="7" s="1"/>
  <c r="BP38" i="7"/>
  <c r="CH38" i="7" s="1"/>
  <c r="BO39" i="7"/>
  <c r="CG39" i="7" s="1"/>
  <c r="BN40" i="7"/>
  <c r="CF40" i="7" s="1"/>
  <c r="BS43" i="7"/>
  <c r="CK43" i="7" s="1"/>
  <c r="BR44" i="7"/>
  <c r="CJ44" i="7" s="1"/>
  <c r="BP46" i="7"/>
  <c r="CH46" i="7" s="1"/>
  <c r="BO47" i="7"/>
  <c r="CG47" i="7" s="1"/>
  <c r="BN48" i="7"/>
  <c r="CF48" i="7" s="1"/>
  <c r="BG56" i="7"/>
  <c r="BN56" i="7"/>
  <c r="CF56" i="7" s="1"/>
  <c r="BF89" i="7"/>
  <c r="BM89" i="7"/>
  <c r="CE89" i="7" s="1"/>
  <c r="BF104" i="7"/>
  <c r="BM104" i="7"/>
  <c r="CE104" i="7" s="1"/>
  <c r="BQ7" i="7"/>
  <c r="CI7" i="7" s="1"/>
  <c r="CI136" i="7" s="1"/>
  <c r="BP8" i="7"/>
  <c r="CH8" i="7" s="1"/>
  <c r="BO9" i="7"/>
  <c r="CG9" i="7" s="1"/>
  <c r="BS13" i="7"/>
  <c r="CK13" i="7" s="1"/>
  <c r="BQ15" i="7"/>
  <c r="CI15" i="7" s="1"/>
  <c r="BP16" i="7"/>
  <c r="CH16" i="7" s="1"/>
  <c r="BO17" i="7"/>
  <c r="CG17" i="7" s="1"/>
  <c r="BS21" i="7"/>
  <c r="CK21" i="7" s="1"/>
  <c r="BQ23" i="7"/>
  <c r="CI23" i="7" s="1"/>
  <c r="BP24" i="7"/>
  <c r="CH24" i="7" s="1"/>
  <c r="BO25" i="7"/>
  <c r="CG25" i="7" s="1"/>
  <c r="BS28" i="7"/>
  <c r="CK28" i="7" s="1"/>
  <c r="BQ30" i="7"/>
  <c r="CI30" i="7" s="1"/>
  <c r="BP31" i="7"/>
  <c r="CH31" i="7" s="1"/>
  <c r="BO32" i="7"/>
  <c r="CG32" i="7" s="1"/>
  <c r="BS36" i="7"/>
  <c r="CK36" i="7" s="1"/>
  <c r="BQ38" i="7"/>
  <c r="CI38" i="7" s="1"/>
  <c r="BP39" i="7"/>
  <c r="CH39" i="7" s="1"/>
  <c r="BO40" i="7"/>
  <c r="CG40" i="7" s="1"/>
  <c r="BS44" i="7"/>
  <c r="CK44" i="7" s="1"/>
  <c r="BQ46" i="7"/>
  <c r="CI46" i="7" s="1"/>
  <c r="BP47" i="7"/>
  <c r="CH47" i="7" s="1"/>
  <c r="BO48" i="7"/>
  <c r="CG48" i="7" s="1"/>
  <c r="BO49" i="7"/>
  <c r="CG49" i="7" s="1"/>
  <c r="BG60" i="7"/>
  <c r="BN60" i="7"/>
  <c r="CF60" i="7" s="1"/>
  <c r="BF97" i="7"/>
  <c r="BM97" i="7"/>
  <c r="CE97" i="7" s="1"/>
  <c r="BR7" i="7"/>
  <c r="CJ7" i="7" s="1"/>
  <c r="CJ136" i="7" s="1"/>
  <c r="BQ8" i="7"/>
  <c r="CI8" i="7" s="1"/>
  <c r="BP9" i="7"/>
  <c r="CH9" i="7" s="1"/>
  <c r="BR15" i="7"/>
  <c r="CJ15" i="7" s="1"/>
  <c r="BQ16" i="7"/>
  <c r="CI16" i="7" s="1"/>
  <c r="BP17" i="7"/>
  <c r="CH17" i="7" s="1"/>
  <c r="BR23" i="7"/>
  <c r="CJ23" i="7" s="1"/>
  <c r="BQ24" i="7"/>
  <c r="CI24" i="7" s="1"/>
  <c r="BP25" i="7"/>
  <c r="CH25" i="7" s="1"/>
  <c r="BR30" i="7"/>
  <c r="CJ30" i="7" s="1"/>
  <c r="BQ31" i="7"/>
  <c r="CI31" i="7" s="1"/>
  <c r="BP32" i="7"/>
  <c r="CH32" i="7" s="1"/>
  <c r="BR38" i="7"/>
  <c r="CJ38" i="7" s="1"/>
  <c r="BQ39" i="7"/>
  <c r="CI39" i="7" s="1"/>
  <c r="BP40" i="7"/>
  <c r="CH40" i="7" s="1"/>
  <c r="BR46" i="7"/>
  <c r="CJ46" i="7" s="1"/>
  <c r="BQ47" i="7"/>
  <c r="CI47" i="7" s="1"/>
  <c r="BP48" i="7"/>
  <c r="CH48" i="7" s="1"/>
  <c r="BF54" i="7"/>
  <c r="BM54" i="7"/>
  <c r="CE54" i="7" s="1"/>
  <c r="BH55" i="7"/>
  <c r="BG64" i="7"/>
  <c r="BN64" i="7"/>
  <c r="CF64" i="7" s="1"/>
  <c r="BF78" i="7"/>
  <c r="BM78" i="7"/>
  <c r="CE78" i="7" s="1"/>
  <c r="BG51" i="7"/>
  <c r="BN51" i="7"/>
  <c r="CF51" i="7" s="1"/>
  <c r="BS7" i="7"/>
  <c r="CK7" i="7" s="1"/>
  <c r="CK136" i="7" s="1"/>
  <c r="BR8" i="7"/>
  <c r="CJ8" i="7" s="1"/>
  <c r="BQ9" i="7"/>
  <c r="CI9" i="7" s="1"/>
  <c r="BO11" i="7"/>
  <c r="CG11" i="7" s="1"/>
  <c r="BN12" i="7"/>
  <c r="CF12" i="7" s="1"/>
  <c r="BM13" i="7"/>
  <c r="CE13" i="7" s="1"/>
  <c r="BS15" i="7"/>
  <c r="CK15" i="7" s="1"/>
  <c r="BR16" i="7"/>
  <c r="CJ16" i="7" s="1"/>
  <c r="BQ17" i="7"/>
  <c r="CI17" i="7" s="1"/>
  <c r="BO19" i="7"/>
  <c r="CG19" i="7" s="1"/>
  <c r="BN20" i="7"/>
  <c r="CF20" i="7" s="1"/>
  <c r="BM21" i="7"/>
  <c r="CE21" i="7" s="1"/>
  <c r="BS23" i="7"/>
  <c r="CK23" i="7" s="1"/>
  <c r="BR24" i="7"/>
  <c r="CJ24" i="7" s="1"/>
  <c r="BQ25" i="7"/>
  <c r="CI25" i="7" s="1"/>
  <c r="BN27" i="7"/>
  <c r="CF27" i="7" s="1"/>
  <c r="BM28" i="7"/>
  <c r="CE28" i="7" s="1"/>
  <c r="BS30" i="7"/>
  <c r="CK30" i="7" s="1"/>
  <c r="BR31" i="7"/>
  <c r="CJ31" i="7" s="1"/>
  <c r="BQ32" i="7"/>
  <c r="CI32" i="7" s="1"/>
  <c r="BO34" i="7"/>
  <c r="CG34" i="7" s="1"/>
  <c r="BN35" i="7"/>
  <c r="CF35" i="7" s="1"/>
  <c r="BM36" i="7"/>
  <c r="CE36" i="7" s="1"/>
  <c r="BS38" i="7"/>
  <c r="CK38" i="7" s="1"/>
  <c r="BR39" i="7"/>
  <c r="CJ39" i="7" s="1"/>
  <c r="BQ40" i="7"/>
  <c r="CI40" i="7" s="1"/>
  <c r="BO42" i="7"/>
  <c r="CG42" i="7" s="1"/>
  <c r="BN43" i="7"/>
  <c r="CF43" i="7" s="1"/>
  <c r="BM44" i="7"/>
  <c r="CE44" i="7" s="1"/>
  <c r="BS46" i="7"/>
  <c r="CK46" i="7" s="1"/>
  <c r="BR47" i="7"/>
  <c r="CJ47" i="7" s="1"/>
  <c r="BI52" i="7"/>
  <c r="BP52" i="7"/>
  <c r="CH52" i="7" s="1"/>
  <c r="BM64" i="7"/>
  <c r="CE64" i="7" s="1"/>
  <c r="BF70" i="7"/>
  <c r="BS91" i="7"/>
  <c r="CK91" i="7" s="1"/>
  <c r="BS99" i="7"/>
  <c r="CK99" i="7" s="1"/>
  <c r="BS106" i="7"/>
  <c r="CK106" i="7" s="1"/>
  <c r="BS113" i="7"/>
  <c r="CK113" i="7" s="1"/>
  <c r="BS126" i="7"/>
  <c r="CK126" i="7" s="1"/>
  <c r="BS59" i="7"/>
  <c r="CK59" i="7" s="1"/>
  <c r="BS67" i="7"/>
  <c r="CK67" i="7" s="1"/>
  <c r="BS72" i="7"/>
  <c r="CK72" i="7" s="1"/>
  <c r="BR73" i="7"/>
  <c r="CJ73" i="7" s="1"/>
  <c r="BQ74" i="7"/>
  <c r="CI74" i="7" s="1"/>
  <c r="BP75" i="7"/>
  <c r="CH75" i="7" s="1"/>
  <c r="BN77" i="7"/>
  <c r="CF77" i="7" s="1"/>
  <c r="BR80" i="7"/>
  <c r="CJ80" i="7" s="1"/>
  <c r="BQ81" i="7"/>
  <c r="CI81" i="7" s="1"/>
  <c r="BP82" i="7"/>
  <c r="CH82" i="7" s="1"/>
  <c r="BM84" i="7"/>
  <c r="CE84" i="7" s="1"/>
  <c r="BS86" i="7"/>
  <c r="CK86" i="7" s="1"/>
  <c r="BP88" i="7"/>
  <c r="CH88" i="7" s="1"/>
  <c r="BN90" i="7"/>
  <c r="CF90" i="7" s="1"/>
  <c r="BM91" i="7"/>
  <c r="CE91" i="7" s="1"/>
  <c r="BS93" i="7"/>
  <c r="CK93" i="7" s="1"/>
  <c r="BR94" i="7"/>
  <c r="CJ94" i="7" s="1"/>
  <c r="BQ95" i="7"/>
  <c r="CI95" i="7" s="1"/>
  <c r="BP96" i="7"/>
  <c r="CH96" i="7" s="1"/>
  <c r="BN98" i="7"/>
  <c r="BM99" i="7"/>
  <c r="CE99" i="7" s="1"/>
  <c r="BS101" i="7"/>
  <c r="CK101" i="7" s="1"/>
  <c r="BR102" i="7"/>
  <c r="CJ102" i="7" s="1"/>
  <c r="BN105" i="7"/>
  <c r="CF105" i="7" s="1"/>
  <c r="BM106" i="7"/>
  <c r="CE106" i="7" s="1"/>
  <c r="BS108" i="7"/>
  <c r="CK108" i="7" s="1"/>
  <c r="BR109" i="7"/>
  <c r="CJ109" i="7" s="1"/>
  <c r="BQ110" i="7"/>
  <c r="CI110" i="7" s="1"/>
  <c r="BP111" i="7"/>
  <c r="CH111" i="7" s="1"/>
  <c r="BM113" i="7"/>
  <c r="BS115" i="7"/>
  <c r="CK115" i="7" s="1"/>
  <c r="BR116" i="7"/>
  <c r="CJ116" i="7" s="1"/>
  <c r="BQ117" i="7"/>
  <c r="CI117" i="7" s="1"/>
  <c r="BP118" i="7"/>
  <c r="CH118" i="7" s="1"/>
  <c r="BS121" i="7"/>
  <c r="CK121" i="7" s="1"/>
  <c r="BR122" i="7"/>
  <c r="CJ122" i="7" s="1"/>
  <c r="BN125" i="7"/>
  <c r="CF125" i="7" s="1"/>
  <c r="BM126" i="7"/>
  <c r="CE126" i="7" s="1"/>
  <c r="BS73" i="7"/>
  <c r="CK73" i="7" s="1"/>
  <c r="BR74" i="7"/>
  <c r="CJ74" i="7" s="1"/>
  <c r="BQ75" i="7"/>
  <c r="CI75" i="7" s="1"/>
  <c r="BO77" i="7"/>
  <c r="CG77" i="7" s="1"/>
  <c r="BS80" i="7"/>
  <c r="CK80" i="7" s="1"/>
  <c r="BR81" i="7"/>
  <c r="CJ81" i="7" s="1"/>
  <c r="BQ82" i="7"/>
  <c r="CI82" i="7" s="1"/>
  <c r="BN84" i="7"/>
  <c r="CF84" i="7" s="1"/>
  <c r="BQ88" i="7"/>
  <c r="CI88" i="7" s="1"/>
  <c r="BO90" i="7"/>
  <c r="CG90" i="7" s="1"/>
  <c r="BN91" i="7"/>
  <c r="CF91" i="7" s="1"/>
  <c r="BS94" i="7"/>
  <c r="CK94" i="7" s="1"/>
  <c r="BR95" i="7"/>
  <c r="CJ95" i="7" s="1"/>
  <c r="BQ96" i="7"/>
  <c r="CI96" i="7" s="1"/>
  <c r="BO98" i="7"/>
  <c r="BN99" i="7"/>
  <c r="CF99" i="7" s="1"/>
  <c r="BS102" i="7"/>
  <c r="CK102" i="7" s="1"/>
  <c r="BO105" i="7"/>
  <c r="CG105" i="7" s="1"/>
  <c r="BN106" i="7"/>
  <c r="CF106" i="7" s="1"/>
  <c r="BS109" i="7"/>
  <c r="CK109" i="7" s="1"/>
  <c r="BR110" i="7"/>
  <c r="CJ110" i="7" s="1"/>
  <c r="BQ111" i="7"/>
  <c r="CI111" i="7" s="1"/>
  <c r="BN113" i="7"/>
  <c r="CF113" i="7" s="1"/>
  <c r="BS116" i="7"/>
  <c r="CK116" i="7" s="1"/>
  <c r="BR117" i="7"/>
  <c r="CJ117" i="7" s="1"/>
  <c r="BQ118" i="7"/>
  <c r="CI118" i="7" s="1"/>
  <c r="BS122" i="7"/>
  <c r="CK122" i="7" s="1"/>
  <c r="BO125" i="7"/>
  <c r="CG125" i="7" s="1"/>
  <c r="BN126" i="7"/>
  <c r="CF126" i="7" s="1"/>
  <c r="BF127" i="7"/>
  <c r="BQ129" i="7"/>
  <c r="CI129" i="7" s="1"/>
  <c r="BM132" i="7"/>
  <c r="CE132" i="7" s="1"/>
  <c r="BP77" i="7"/>
  <c r="CH77" i="7" s="1"/>
  <c r="BO84" i="7"/>
  <c r="CG84" i="7" s="1"/>
  <c r="BP90" i="7"/>
  <c r="CH90" i="7" s="1"/>
  <c r="BO91" i="7"/>
  <c r="CG91" i="7" s="1"/>
  <c r="BP98" i="7"/>
  <c r="BO99" i="7"/>
  <c r="CG99" i="7" s="1"/>
  <c r="BP105" i="7"/>
  <c r="CH105" i="7" s="1"/>
  <c r="BO106" i="7"/>
  <c r="CG106" i="7" s="1"/>
  <c r="BS110" i="7"/>
  <c r="CK110" i="7" s="1"/>
  <c r="BR111" i="7"/>
  <c r="CJ111" i="7" s="1"/>
  <c r="BO113" i="7"/>
  <c r="CG113" i="7" s="1"/>
  <c r="BS117" i="7"/>
  <c r="CK117" i="7" s="1"/>
  <c r="BR118" i="7"/>
  <c r="CJ118" i="7" s="1"/>
  <c r="BP125" i="7"/>
  <c r="CH125" i="7" s="1"/>
  <c r="BO126" i="7"/>
  <c r="CG126" i="7" s="1"/>
  <c r="BR129" i="7"/>
  <c r="CJ129" i="7" s="1"/>
  <c r="BN132" i="7"/>
  <c r="CF132" i="7" s="1"/>
  <c r="BF68" i="7"/>
  <c r="BM73" i="7"/>
  <c r="CE73" i="7" s="1"/>
  <c r="BQ77" i="7"/>
  <c r="CI77" i="7" s="1"/>
  <c r="BM80" i="7"/>
  <c r="CE80" i="7" s="1"/>
  <c r="BP84" i="7"/>
  <c r="CH84" i="7" s="1"/>
  <c r="BF87" i="7"/>
  <c r="BQ90" i="7"/>
  <c r="CI90" i="7" s="1"/>
  <c r="BP91" i="7"/>
  <c r="CH91" i="7" s="1"/>
  <c r="BM94" i="7"/>
  <c r="CE94" i="7" s="1"/>
  <c r="BS96" i="7"/>
  <c r="CK96" i="7" s="1"/>
  <c r="BQ98" i="7"/>
  <c r="CI98" i="7" s="1"/>
  <c r="BP99" i="7"/>
  <c r="CH99" i="7" s="1"/>
  <c r="BM102" i="7"/>
  <c r="CE102" i="7" s="1"/>
  <c r="BQ105" i="7"/>
  <c r="CI105" i="7" s="1"/>
  <c r="BP106" i="7"/>
  <c r="CH106" i="7" s="1"/>
  <c r="BS111" i="7"/>
  <c r="CK111" i="7" s="1"/>
  <c r="BP113" i="7"/>
  <c r="CH113" i="7" s="1"/>
  <c r="BS118" i="7"/>
  <c r="CK118" i="7" s="1"/>
  <c r="BQ125" i="7"/>
  <c r="CI125" i="7" s="1"/>
  <c r="BP126" i="7"/>
  <c r="CH126" i="7" s="1"/>
  <c r="BS129" i="7"/>
  <c r="CK129" i="7" s="1"/>
  <c r="BO132" i="7"/>
  <c r="CG132" i="7" s="1"/>
  <c r="BP58" i="7"/>
  <c r="CH58" i="7" s="1"/>
  <c r="BO59" i="7"/>
  <c r="CG59" i="7" s="1"/>
  <c r="BP66" i="7"/>
  <c r="CH66" i="7" s="1"/>
  <c r="BO67" i="7"/>
  <c r="CG67" i="7" s="1"/>
  <c r="BO72" i="7"/>
  <c r="CG72" i="7" s="1"/>
  <c r="BN73" i="7"/>
  <c r="CF73" i="7" s="1"/>
  <c r="BM74" i="7"/>
  <c r="CE74" i="7" s="1"/>
  <c r="BR77" i="7"/>
  <c r="CJ77" i="7" s="1"/>
  <c r="BN80" i="7"/>
  <c r="CF80" i="7" s="1"/>
  <c r="BM81" i="7"/>
  <c r="CE81" i="7" s="1"/>
  <c r="BR90" i="7"/>
  <c r="CJ90" i="7" s="1"/>
  <c r="BQ91" i="7"/>
  <c r="CI91" i="7" s="1"/>
  <c r="BN94" i="7"/>
  <c r="CF94" i="7" s="1"/>
  <c r="BM95" i="7"/>
  <c r="CE95" i="7" s="1"/>
  <c r="BR98" i="7"/>
  <c r="BQ99" i="7"/>
  <c r="CI99" i="7" s="1"/>
  <c r="BN102" i="7"/>
  <c r="CF102" i="7" s="1"/>
  <c r="BR105" i="7"/>
  <c r="CJ105" i="7" s="1"/>
  <c r="BQ106" i="7"/>
  <c r="CI106" i="7" s="1"/>
  <c r="BQ113" i="7"/>
  <c r="CI113" i="7" s="1"/>
  <c r="BR125" i="7"/>
  <c r="CJ125" i="7" s="1"/>
  <c r="BQ126" i="7"/>
  <c r="CI126" i="7" s="1"/>
  <c r="BP132" i="7"/>
  <c r="CH132" i="7" s="1"/>
  <c r="BG32" i="3"/>
  <c r="BN32" i="3"/>
  <c r="BG43" i="3"/>
  <c r="BN43" i="3"/>
  <c r="BG119" i="3"/>
  <c r="BH119" i="3" s="1"/>
  <c r="BI119" i="3" s="1"/>
  <c r="BN119" i="3"/>
  <c r="CF119" i="3" s="1"/>
  <c r="BG12" i="3"/>
  <c r="BH12" i="3" s="1"/>
  <c r="BI12" i="3" s="1"/>
  <c r="BJ12" i="3" s="1"/>
  <c r="BK12" i="3" s="1"/>
  <c r="BL12" i="3" s="1"/>
  <c r="BT12" i="3" s="1"/>
  <c r="BN12" i="3"/>
  <c r="BM12" i="3"/>
  <c r="BN26" i="3"/>
  <c r="CF26" i="3" s="1"/>
  <c r="BM32" i="3"/>
  <c r="BM43" i="3"/>
  <c r="CE43" i="3" s="1"/>
  <c r="BR46" i="3"/>
  <c r="BR87" i="3"/>
  <c r="CJ87" i="3" s="1"/>
  <c r="BS98" i="3"/>
  <c r="CK98" i="3" s="1"/>
  <c r="BN18" i="3"/>
  <c r="BO20" i="3"/>
  <c r="BS23" i="3"/>
  <c r="BI25" i="3"/>
  <c r="BM36" i="3"/>
  <c r="CE36" i="3" s="1"/>
  <c r="BQ37" i="3"/>
  <c r="BS46" i="3"/>
  <c r="CK46" i="3" s="1"/>
  <c r="BN50" i="3"/>
  <c r="CF50" i="3" s="1"/>
  <c r="BO56" i="3"/>
  <c r="CG56" i="3" s="1"/>
  <c r="BS63" i="3"/>
  <c r="CK63" i="3" s="1"/>
  <c r="BP69" i="3"/>
  <c r="CH69" i="3" s="1"/>
  <c r="BM73" i="3"/>
  <c r="CE73" i="3" s="1"/>
  <c r="BS75" i="3"/>
  <c r="CK75" i="3" s="1"/>
  <c r="BS87" i="3"/>
  <c r="CK87" i="3" s="1"/>
  <c r="BO90" i="3"/>
  <c r="CG90" i="3" s="1"/>
  <c r="BQ91" i="3"/>
  <c r="CI91" i="3" s="1"/>
  <c r="BR92" i="3"/>
  <c r="CJ92" i="3" s="1"/>
  <c r="BO95" i="3"/>
  <c r="CG95" i="3" s="1"/>
  <c r="BN101" i="3"/>
  <c r="CF101" i="3" s="1"/>
  <c r="BQ102" i="3"/>
  <c r="CI102" i="3" s="1"/>
  <c r="BM107" i="3"/>
  <c r="CE107" i="3" s="1"/>
  <c r="BM108" i="3"/>
  <c r="CE108" i="3" s="1"/>
  <c r="BQ110" i="3"/>
  <c r="CI110" i="3" s="1"/>
  <c r="BN118" i="3"/>
  <c r="CF118" i="3" s="1"/>
  <c r="BM122" i="3"/>
  <c r="CE122" i="3" s="1"/>
  <c r="BQ123" i="3"/>
  <c r="CI123" i="3" s="1"/>
  <c r="BP126" i="3"/>
  <c r="CH126" i="3" s="1"/>
  <c r="BN130" i="3"/>
  <c r="CF130" i="3" s="1"/>
  <c r="BN7" i="3"/>
  <c r="CF7" i="3" s="1"/>
  <c r="CF136" i="3" s="1"/>
  <c r="BF9" i="3"/>
  <c r="BG9" i="3" s="1"/>
  <c r="BH9" i="3" s="1"/>
  <c r="BI9" i="3" s="1"/>
  <c r="BJ9" i="3" s="1"/>
  <c r="BK9" i="3" s="1"/>
  <c r="BL9" i="3" s="1"/>
  <c r="BT9" i="3" s="1"/>
  <c r="BP11" i="3"/>
  <c r="BF16" i="3"/>
  <c r="BM19" i="3"/>
  <c r="CE19" i="3" s="1"/>
  <c r="BM24" i="3"/>
  <c r="BO25" i="3"/>
  <c r="BQ36" i="3"/>
  <c r="BM38" i="3"/>
  <c r="BN42" i="3"/>
  <c r="BM64" i="3"/>
  <c r="CE64" i="3" s="1"/>
  <c r="BR73" i="3"/>
  <c r="CJ73" i="3" s="1"/>
  <c r="BF76" i="3"/>
  <c r="BM87" i="3"/>
  <c r="CE87" i="3" s="1"/>
  <c r="BM88" i="3"/>
  <c r="CE88" i="3" s="1"/>
  <c r="BR90" i="3"/>
  <c r="CJ90" i="3" s="1"/>
  <c r="BQ95" i="3"/>
  <c r="CI95" i="3" s="1"/>
  <c r="BM98" i="3"/>
  <c r="CE98" i="3" s="1"/>
  <c r="BS101" i="3"/>
  <c r="CK101" i="3" s="1"/>
  <c r="BO107" i="3"/>
  <c r="CG107" i="3" s="1"/>
  <c r="BQ108" i="3"/>
  <c r="CI108" i="3" s="1"/>
  <c r="BM113" i="3"/>
  <c r="CE113" i="3" s="1"/>
  <c r="BP118" i="3"/>
  <c r="CH118" i="3" s="1"/>
  <c r="BQ122" i="3"/>
  <c r="CI122" i="3" s="1"/>
  <c r="BR11" i="3"/>
  <c r="BF14" i="3"/>
  <c r="BG14" i="3" s="1"/>
  <c r="BH14" i="3" s="1"/>
  <c r="BO19" i="3"/>
  <c r="BN24" i="3"/>
  <c r="BM33" i="3"/>
  <c r="BR36" i="3"/>
  <c r="BM48" i="3"/>
  <c r="CE48" i="3" s="1"/>
  <c r="BO49" i="3"/>
  <c r="BM58" i="3"/>
  <c r="CE58" i="3" s="1"/>
  <c r="BM63" i="3"/>
  <c r="CE63" i="3" s="1"/>
  <c r="BN64" i="3"/>
  <c r="CF64" i="3" s="1"/>
  <c r="BS69" i="3"/>
  <c r="CK69" i="3" s="1"/>
  <c r="BM79" i="3"/>
  <c r="CE79" i="3" s="1"/>
  <c r="BN87" i="3"/>
  <c r="CF87" i="3" s="1"/>
  <c r="BQ88" i="3"/>
  <c r="CI88" i="3" s="1"/>
  <c r="BS90" i="3"/>
  <c r="CK90" i="3" s="1"/>
  <c r="BO94" i="3"/>
  <c r="CG94" i="3" s="1"/>
  <c r="BR95" i="3"/>
  <c r="CJ95" i="3" s="1"/>
  <c r="BN98" i="3"/>
  <c r="CF98" i="3" s="1"/>
  <c r="BN106" i="3"/>
  <c r="CF106" i="3" s="1"/>
  <c r="BP107" i="3"/>
  <c r="CH107" i="3" s="1"/>
  <c r="BR118" i="3"/>
  <c r="CJ118" i="3" s="1"/>
  <c r="BM120" i="3"/>
  <c r="CE120" i="3" s="1"/>
  <c r="BR122" i="3"/>
  <c r="CJ122" i="3" s="1"/>
  <c r="BF128" i="3"/>
  <c r="BG128" i="3" s="1"/>
  <c r="BM131" i="3"/>
  <c r="CE131" i="3" s="1"/>
  <c r="BS11" i="3"/>
  <c r="BP19" i="3"/>
  <c r="BM21" i="3"/>
  <c r="CE21" i="3" s="1"/>
  <c r="BQ24" i="3"/>
  <c r="BN33" i="3"/>
  <c r="BP42" i="3"/>
  <c r="BN48" i="3"/>
  <c r="CF48" i="3" s="1"/>
  <c r="BN63" i="3"/>
  <c r="CF63" i="3" s="1"/>
  <c r="BP64" i="3"/>
  <c r="CH64" i="3" s="1"/>
  <c r="BQ79" i="3"/>
  <c r="CI79" i="3" s="1"/>
  <c r="BO87" i="3"/>
  <c r="CG87" i="3" s="1"/>
  <c r="BR88" i="3"/>
  <c r="CJ88" i="3" s="1"/>
  <c r="BS94" i="3"/>
  <c r="CK94" i="3" s="1"/>
  <c r="BS95" i="3"/>
  <c r="CK95" i="3" s="1"/>
  <c r="BO98" i="3"/>
  <c r="CG98" i="3" s="1"/>
  <c r="BO106" i="3"/>
  <c r="CG106" i="3" s="1"/>
  <c r="BQ107" i="3"/>
  <c r="CI107" i="3" s="1"/>
  <c r="BS118" i="3"/>
  <c r="CK118" i="3" s="1"/>
  <c r="BP120" i="3"/>
  <c r="CH120" i="3" s="1"/>
  <c r="BS122" i="3"/>
  <c r="CK122" i="3" s="1"/>
  <c r="BP131" i="3"/>
  <c r="CH131" i="3" s="1"/>
  <c r="BQ19" i="3"/>
  <c r="BR24" i="3"/>
  <c r="BQ64" i="3"/>
  <c r="CI64" i="3" s="1"/>
  <c r="BP87" i="3"/>
  <c r="CH87" i="3" s="1"/>
  <c r="BQ98" i="3"/>
  <c r="CI98" i="3" s="1"/>
  <c r="BR107" i="3"/>
  <c r="CJ107" i="3" s="1"/>
  <c r="BF11" i="3"/>
  <c r="BS24" i="3"/>
  <c r="CK24" i="3" s="1"/>
  <c r="BM26" i="3"/>
  <c r="BM46" i="3"/>
  <c r="BP48" i="3"/>
  <c r="CH48" i="3" s="1"/>
  <c r="BM55" i="3"/>
  <c r="CE55" i="3" s="1"/>
  <c r="BQ63" i="3"/>
  <c r="CI63" i="3" s="1"/>
  <c r="BR64" i="3"/>
  <c r="CJ64" i="3" s="1"/>
  <c r="BQ87" i="3"/>
  <c r="CI87" i="3" s="1"/>
  <c r="BP89" i="3"/>
  <c r="CH89" i="3" s="1"/>
  <c r="BM95" i="3"/>
  <c r="CE95" i="3" s="1"/>
  <c r="BM96" i="3"/>
  <c r="CE96" i="3" s="1"/>
  <c r="BR98" i="3"/>
  <c r="CJ98" i="3" s="1"/>
  <c r="BS107" i="3"/>
  <c r="CK107" i="3" s="1"/>
  <c r="BO121" i="3"/>
  <c r="CG121" i="3" s="1"/>
  <c r="BG38" i="3"/>
  <c r="BN38" i="3"/>
  <c r="BG54" i="3"/>
  <c r="BN54" i="3"/>
  <c r="CF54" i="3" s="1"/>
  <c r="BH26" i="3"/>
  <c r="BO26" i="3"/>
  <c r="BH18" i="3"/>
  <c r="BO18" i="3"/>
  <c r="BG30" i="3"/>
  <c r="BN30" i="3"/>
  <c r="BF40" i="3"/>
  <c r="BF51" i="3"/>
  <c r="BM61" i="3"/>
  <c r="CE61" i="3" s="1"/>
  <c r="BM65" i="3"/>
  <c r="CE65" i="3" s="1"/>
  <c r="BF100" i="3"/>
  <c r="BM100" i="3"/>
  <c r="CE100" i="3" s="1"/>
  <c r="BG113" i="3"/>
  <c r="BN113" i="3"/>
  <c r="CF113" i="3" s="1"/>
  <c r="BF117" i="3"/>
  <c r="BM117" i="3"/>
  <c r="CE117" i="3" s="1"/>
  <c r="BF13" i="3"/>
  <c r="BI17" i="3"/>
  <c r="BM44" i="3"/>
  <c r="BO7" i="3"/>
  <c r="CG7" i="3" s="1"/>
  <c r="CG136" i="3" s="1"/>
  <c r="BF10" i="3"/>
  <c r="BQ11" i="3"/>
  <c r="BM17" i="3"/>
  <c r="CE17" i="3" s="1"/>
  <c r="BR19" i="3"/>
  <c r="BQ20" i="3"/>
  <c r="BO21" i="3"/>
  <c r="BN22" i="3"/>
  <c r="BM23" i="3"/>
  <c r="CE23" i="3" s="1"/>
  <c r="BO27" i="3"/>
  <c r="BN28" i="3"/>
  <c r="BM29" i="3"/>
  <c r="CE29" i="3" s="1"/>
  <c r="BR31" i="3"/>
  <c r="BO33" i="3"/>
  <c r="BN34" i="3"/>
  <c r="BF35" i="3"/>
  <c r="BS36" i="3"/>
  <c r="BR37" i="3"/>
  <c r="BO39" i="3"/>
  <c r="BN44" i="3"/>
  <c r="CF44" i="3" s="1"/>
  <c r="BM45" i="3"/>
  <c r="BS53" i="3"/>
  <c r="CK53" i="3" s="1"/>
  <c r="BH60" i="3"/>
  <c r="BO60" i="3"/>
  <c r="CG60" i="3" s="1"/>
  <c r="BG67" i="3"/>
  <c r="BN67" i="3"/>
  <c r="CF67" i="3" s="1"/>
  <c r="BF71" i="3"/>
  <c r="BM71" i="3"/>
  <c r="CE71" i="3" s="1"/>
  <c r="BF74" i="3"/>
  <c r="BM74" i="3"/>
  <c r="CE74" i="3" s="1"/>
  <c r="BF77" i="3"/>
  <c r="BM77" i="3"/>
  <c r="CE77" i="3" s="1"/>
  <c r="BF93" i="3"/>
  <c r="BM93" i="3"/>
  <c r="CE93" i="3" s="1"/>
  <c r="BG65" i="3"/>
  <c r="BN65" i="3"/>
  <c r="CF65" i="3" s="1"/>
  <c r="BM86" i="3"/>
  <c r="CE86" i="3" s="1"/>
  <c r="BF86" i="3"/>
  <c r="BM22" i="3"/>
  <c r="CE22" i="3" s="1"/>
  <c r="BP7" i="3"/>
  <c r="CH7" i="3" s="1"/>
  <c r="CH136" i="3" s="1"/>
  <c r="BN17" i="3"/>
  <c r="BS19" i="3"/>
  <c r="BR20" i="3"/>
  <c r="BP21" i="3"/>
  <c r="BO22" i="3"/>
  <c r="BN23" i="3"/>
  <c r="BP27" i="3"/>
  <c r="BO28" i="3"/>
  <c r="BN29" i="3"/>
  <c r="BS31" i="3"/>
  <c r="BP33" i="3"/>
  <c r="BO34" i="3"/>
  <c r="BS37" i="3"/>
  <c r="BP39" i="3"/>
  <c r="BF41" i="3"/>
  <c r="BR42" i="3"/>
  <c r="BO44" i="3"/>
  <c r="BN45" i="3"/>
  <c r="BR48" i="3"/>
  <c r="CJ48" i="3" s="1"/>
  <c r="BF59" i="3"/>
  <c r="BM67" i="3"/>
  <c r="CE67" i="3" s="1"/>
  <c r="BG129" i="3"/>
  <c r="BN129" i="3"/>
  <c r="CF129" i="3" s="1"/>
  <c r="BQ7" i="3"/>
  <c r="CI7" i="3" s="1"/>
  <c r="CI136" i="3" s="1"/>
  <c r="BO17" i="3"/>
  <c r="BS20" i="3"/>
  <c r="CK20" i="3" s="1"/>
  <c r="BQ21" i="3"/>
  <c r="BP22" i="3"/>
  <c r="BO23" i="3"/>
  <c r="BQ27" i="3"/>
  <c r="BP28" i="3"/>
  <c r="BO29" i="3"/>
  <c r="BQ33" i="3"/>
  <c r="BP34" i="3"/>
  <c r="BQ39" i="3"/>
  <c r="BP44" i="3"/>
  <c r="BO45" i="3"/>
  <c r="BN46" i="3"/>
  <c r="BF47" i="3"/>
  <c r="BS48" i="3"/>
  <c r="CK48" i="3" s="1"/>
  <c r="BR49" i="3"/>
  <c r="BQ50" i="3"/>
  <c r="CI50" i="3" s="1"/>
  <c r="BN52" i="3"/>
  <c r="CF52" i="3" s="1"/>
  <c r="BM53" i="3"/>
  <c r="CE53" i="3" s="1"/>
  <c r="BI56" i="3"/>
  <c r="BP56" i="3"/>
  <c r="CH56" i="3" s="1"/>
  <c r="BH58" i="3"/>
  <c r="BO58" i="3"/>
  <c r="CG58" i="3" s="1"/>
  <c r="BN60" i="3"/>
  <c r="CF60" i="3" s="1"/>
  <c r="BF80" i="3"/>
  <c r="BM80" i="3"/>
  <c r="CE80" i="3" s="1"/>
  <c r="BG61" i="3"/>
  <c r="BN61" i="3"/>
  <c r="CF61" i="3" s="1"/>
  <c r="BR7" i="3"/>
  <c r="CJ7" i="3" s="1"/>
  <c r="CJ136" i="3" s="1"/>
  <c r="BF15" i="3"/>
  <c r="BR21" i="3"/>
  <c r="BQ22" i="3"/>
  <c r="BP23" i="3"/>
  <c r="BO24" i="3"/>
  <c r="BR27" i="3"/>
  <c r="BQ28" i="3"/>
  <c r="BP29" i="3"/>
  <c r="BM31" i="3"/>
  <c r="CE31" i="3" s="1"/>
  <c r="BR33" i="3"/>
  <c r="BQ34" i="3"/>
  <c r="CI34" i="3" s="1"/>
  <c r="BN36" i="3"/>
  <c r="BR39" i="3"/>
  <c r="BQ44" i="3"/>
  <c r="BP45" i="3"/>
  <c r="BO46" i="3"/>
  <c r="BS49" i="3"/>
  <c r="BR50" i="3"/>
  <c r="CJ50" i="3" s="1"/>
  <c r="BO52" i="3"/>
  <c r="CG52" i="3" s="1"/>
  <c r="BN53" i="3"/>
  <c r="CF53" i="3" s="1"/>
  <c r="BG55" i="3"/>
  <c r="BN55" i="3"/>
  <c r="CF55" i="3" s="1"/>
  <c r="BF57" i="3"/>
  <c r="BH66" i="3"/>
  <c r="BO66" i="3"/>
  <c r="CG66" i="3" s="1"/>
  <c r="BG70" i="3"/>
  <c r="BN70" i="3"/>
  <c r="CF70" i="3" s="1"/>
  <c r="BG105" i="3"/>
  <c r="BN105" i="3"/>
  <c r="CF105" i="3" s="1"/>
  <c r="BF124" i="3"/>
  <c r="BM124" i="3"/>
  <c r="CE124" i="3" s="1"/>
  <c r="BM28" i="3"/>
  <c r="CE28" i="3" s="1"/>
  <c r="BM34" i="3"/>
  <c r="BS7" i="3"/>
  <c r="CK7" i="3" s="1"/>
  <c r="CK136" i="3" s="1"/>
  <c r="BN19" i="3"/>
  <c r="BM20" i="3"/>
  <c r="BS21" i="3"/>
  <c r="BR22" i="3"/>
  <c r="BQ23" i="3"/>
  <c r="BP24" i="3"/>
  <c r="BN25" i="3"/>
  <c r="CF25" i="3" s="1"/>
  <c r="BS27" i="3"/>
  <c r="BR28" i="3"/>
  <c r="BQ29" i="3"/>
  <c r="BS33" i="3"/>
  <c r="CK33" i="3" s="1"/>
  <c r="BR34" i="3"/>
  <c r="BO36" i="3"/>
  <c r="BN37" i="3"/>
  <c r="BS39" i="3"/>
  <c r="BR44" i="3"/>
  <c r="BQ45" i="3"/>
  <c r="CI45" i="3" s="1"/>
  <c r="BP46" i="3"/>
  <c r="BS50" i="3"/>
  <c r="CK50" i="3" s="1"/>
  <c r="BP52" i="3"/>
  <c r="CH52" i="3" s="1"/>
  <c r="BO53" i="3"/>
  <c r="CG53" i="3" s="1"/>
  <c r="BM56" i="3"/>
  <c r="CE56" i="3" s="1"/>
  <c r="BN58" i="3"/>
  <c r="CF58" i="3" s="1"/>
  <c r="BF62" i="3"/>
  <c r="BM62" i="3"/>
  <c r="CE62" i="3" s="1"/>
  <c r="BG85" i="3"/>
  <c r="BN85" i="3"/>
  <c r="CF85" i="3" s="1"/>
  <c r="BT7" i="3"/>
  <c r="CL7" i="3" s="1"/>
  <c r="BS22" i="3"/>
  <c r="CK22" i="3" s="1"/>
  <c r="BR23" i="3"/>
  <c r="BS28" i="3"/>
  <c r="BR29" i="3"/>
  <c r="BS34" i="3"/>
  <c r="BS44" i="3"/>
  <c r="BR45" i="3"/>
  <c r="BQ46" i="3"/>
  <c r="BQ52" i="3"/>
  <c r="CI52" i="3" s="1"/>
  <c r="BP53" i="3"/>
  <c r="CH53" i="3" s="1"/>
  <c r="BN56" i="3"/>
  <c r="CF56" i="3" s="1"/>
  <c r="BN66" i="3"/>
  <c r="CF66" i="3" s="1"/>
  <c r="BM68" i="3"/>
  <c r="CE68" i="3" s="1"/>
  <c r="BF68" i="3"/>
  <c r="BF112" i="3"/>
  <c r="BM112" i="3"/>
  <c r="CE112" i="3" s="1"/>
  <c r="BG125" i="3"/>
  <c r="BN125" i="3"/>
  <c r="CF125" i="3" s="1"/>
  <c r="BQ89" i="3"/>
  <c r="CI89" i="3" s="1"/>
  <c r="BR96" i="3"/>
  <c r="CJ96" i="3" s="1"/>
  <c r="BR108" i="3"/>
  <c r="CJ108" i="3" s="1"/>
  <c r="BN111" i="3"/>
  <c r="CF111" i="3" s="1"/>
  <c r="BR114" i="3"/>
  <c r="CJ114" i="3" s="1"/>
  <c r="BQ120" i="3"/>
  <c r="CI120" i="3" s="1"/>
  <c r="BP121" i="3"/>
  <c r="CH121" i="3" s="1"/>
  <c r="BO122" i="3"/>
  <c r="CG122" i="3" s="1"/>
  <c r="BN123" i="3"/>
  <c r="CF123" i="3" s="1"/>
  <c r="BQ126" i="3"/>
  <c r="CI126" i="3" s="1"/>
  <c r="BR130" i="3"/>
  <c r="CJ130" i="3" s="1"/>
  <c r="BQ131" i="3"/>
  <c r="CI131" i="3" s="1"/>
  <c r="BP63" i="3"/>
  <c r="CH63" i="3" s="1"/>
  <c r="BO64" i="3"/>
  <c r="CG64" i="3" s="1"/>
  <c r="BS73" i="3"/>
  <c r="CK73" i="3" s="1"/>
  <c r="BQ75" i="3"/>
  <c r="CI75" i="3" s="1"/>
  <c r="BF78" i="3"/>
  <c r="BS79" i="3"/>
  <c r="CK79" i="3" s="1"/>
  <c r="BF83" i="3"/>
  <c r="BS88" i="3"/>
  <c r="CK88" i="3" s="1"/>
  <c r="BR89" i="3"/>
  <c r="CJ89" i="3" s="1"/>
  <c r="BQ90" i="3"/>
  <c r="CI90" i="3" s="1"/>
  <c r="BP91" i="3"/>
  <c r="CH91" i="3" s="1"/>
  <c r="BO92" i="3"/>
  <c r="CG92" i="3" s="1"/>
  <c r="BM94" i="3"/>
  <c r="CE94" i="3" s="1"/>
  <c r="BS96" i="3"/>
  <c r="CK96" i="3" s="1"/>
  <c r="BP98" i="3"/>
  <c r="CH98" i="3" s="1"/>
  <c r="BO99" i="3"/>
  <c r="CG99" i="3" s="1"/>
  <c r="BM101" i="3"/>
  <c r="CE101" i="3" s="1"/>
  <c r="BM106" i="3"/>
  <c r="CE106" i="3" s="1"/>
  <c r="BS108" i="3"/>
  <c r="CK108" i="3" s="1"/>
  <c r="BP110" i="3"/>
  <c r="CH110" i="3" s="1"/>
  <c r="BO111" i="3"/>
  <c r="CG111" i="3" s="1"/>
  <c r="BS114" i="3"/>
  <c r="CK114" i="3" s="1"/>
  <c r="BM118" i="3"/>
  <c r="CE118" i="3" s="1"/>
  <c r="BR120" i="3"/>
  <c r="CJ120" i="3" s="1"/>
  <c r="BQ121" i="3"/>
  <c r="CI121" i="3" s="1"/>
  <c r="BP122" i="3"/>
  <c r="CH122" i="3" s="1"/>
  <c r="BO123" i="3"/>
  <c r="CG123" i="3" s="1"/>
  <c r="BR126" i="3"/>
  <c r="CJ126" i="3" s="1"/>
  <c r="BS130" i="3"/>
  <c r="CK130" i="3" s="1"/>
  <c r="BR131" i="3"/>
  <c r="CJ131" i="3" s="1"/>
  <c r="BS89" i="3"/>
  <c r="CK89" i="3" s="1"/>
  <c r="BN94" i="3"/>
  <c r="CF94" i="3" s="1"/>
  <c r="BS120" i="3"/>
  <c r="CK120" i="3" s="1"/>
  <c r="BR121" i="3"/>
  <c r="CJ121" i="3" s="1"/>
  <c r="BS126" i="3"/>
  <c r="CK126" i="3" s="1"/>
  <c r="BS131" i="3"/>
  <c r="CK131" i="3" s="1"/>
  <c r="BS121" i="3"/>
  <c r="CK121" i="3" s="1"/>
  <c r="BN73" i="3"/>
  <c r="CF73" i="3" s="1"/>
  <c r="BN79" i="3"/>
  <c r="CF79" i="3" s="1"/>
  <c r="BN88" i="3"/>
  <c r="CF88" i="3" s="1"/>
  <c r="BM89" i="3"/>
  <c r="CE89" i="3" s="1"/>
  <c r="BP94" i="3"/>
  <c r="CH94" i="3" s="1"/>
  <c r="BN96" i="3"/>
  <c r="CF96" i="3" s="1"/>
  <c r="BF97" i="3"/>
  <c r="BP101" i="3"/>
  <c r="CH101" i="3" s="1"/>
  <c r="BF109" i="3"/>
  <c r="BF115" i="3"/>
  <c r="BS64" i="3"/>
  <c r="CK64" i="3" s="1"/>
  <c r="BP72" i="3"/>
  <c r="CH72" i="3" s="1"/>
  <c r="BO73" i="3"/>
  <c r="CG73" i="3" s="1"/>
  <c r="BM75" i="3"/>
  <c r="CE75" i="3" s="1"/>
  <c r="BO79" i="3"/>
  <c r="CG79" i="3" s="1"/>
  <c r="BF81" i="3"/>
  <c r="BO88" i="3"/>
  <c r="CG88" i="3" s="1"/>
  <c r="BN89" i="3"/>
  <c r="CF89" i="3" s="1"/>
  <c r="BM90" i="3"/>
  <c r="CE90" i="3" s="1"/>
  <c r="BS92" i="3"/>
  <c r="CK92" i="3" s="1"/>
  <c r="BQ94" i="3"/>
  <c r="CI94" i="3" s="1"/>
  <c r="BO96" i="3"/>
  <c r="CG96" i="3" s="1"/>
  <c r="BS99" i="3"/>
  <c r="CK99" i="3" s="1"/>
  <c r="BQ101" i="3"/>
  <c r="CI101" i="3" s="1"/>
  <c r="BF104" i="3"/>
  <c r="BQ106" i="3"/>
  <c r="CI106" i="3" s="1"/>
  <c r="BO108" i="3"/>
  <c r="CG108" i="3" s="1"/>
  <c r="BS111" i="3"/>
  <c r="CK111" i="3" s="1"/>
  <c r="BO114" i="3"/>
  <c r="CG114" i="3" s="1"/>
  <c r="BQ118" i="3"/>
  <c r="CI118" i="3" s="1"/>
  <c r="BN120" i="3"/>
  <c r="CF120" i="3" s="1"/>
  <c r="BM121" i="3"/>
  <c r="CE121" i="3" s="1"/>
  <c r="BS123" i="3"/>
  <c r="CK123" i="3" s="1"/>
  <c r="BN126" i="3"/>
  <c r="CF126" i="3" s="1"/>
  <c r="BF127" i="3"/>
  <c r="BO130" i="3"/>
  <c r="CG130" i="3" s="1"/>
  <c r="BN131" i="3"/>
  <c r="CF131" i="3" s="1"/>
  <c r="BF132" i="3"/>
  <c r="BP73" i="3"/>
  <c r="CH73" i="3" s="1"/>
  <c r="BN75" i="3"/>
  <c r="CF75" i="3" s="1"/>
  <c r="BP79" i="3"/>
  <c r="CH79" i="3" s="1"/>
  <c r="BP88" i="3"/>
  <c r="CH88" i="3" s="1"/>
  <c r="BO89" i="3"/>
  <c r="CG89" i="3" s="1"/>
  <c r="BN90" i="3"/>
  <c r="CF90" i="3" s="1"/>
  <c r="BR94" i="3"/>
  <c r="CJ94" i="3" s="1"/>
  <c r="BP96" i="3"/>
  <c r="CH96" i="3" s="1"/>
  <c r="BR101" i="3"/>
  <c r="CJ101" i="3" s="1"/>
  <c r="BR106" i="3"/>
  <c r="CJ106" i="3" s="1"/>
  <c r="BP108" i="3"/>
  <c r="CH108" i="3" s="1"/>
  <c r="BP114" i="3"/>
  <c r="CH114" i="3" s="1"/>
  <c r="BO120" i="3"/>
  <c r="CG120" i="3" s="1"/>
  <c r="BN121" i="3"/>
  <c r="CF121" i="3" s="1"/>
  <c r="BO126" i="3"/>
  <c r="CG126" i="3" s="1"/>
  <c r="BP130" i="3"/>
  <c r="CH130" i="3" s="1"/>
  <c r="BO131" i="3"/>
  <c r="CG131" i="3" s="1"/>
  <c r="G14" i="22"/>
  <c r="G16" i="22"/>
  <c r="G18" i="22"/>
  <c r="G20" i="22"/>
  <c r="G22" i="22"/>
  <c r="G24" i="22"/>
  <c r="G26" i="22"/>
  <c r="G32" i="22"/>
  <c r="G44" i="22"/>
  <c r="G133" i="12"/>
  <c r="G15" i="22"/>
  <c r="G23" i="22"/>
  <c r="G31" i="22"/>
  <c r="AE59" i="12"/>
  <c r="AE82" i="12"/>
  <c r="G13" i="22"/>
  <c r="G21" i="22"/>
  <c r="G7" i="22"/>
  <c r="G19" i="22"/>
  <c r="G43" i="22"/>
  <c r="G17" i="22"/>
  <c r="G25" i="22"/>
  <c r="G33" i="22"/>
  <c r="K133" i="12"/>
  <c r="D133" i="12"/>
  <c r="E133" i="12"/>
  <c r="AF119" i="12"/>
  <c r="H133" i="12"/>
  <c r="L133" i="12"/>
  <c r="AF8" i="12"/>
  <c r="AF44" i="12"/>
  <c r="AF44" i="31" s="1"/>
  <c r="AF96" i="12"/>
  <c r="AF110" i="12"/>
  <c r="AF34" i="12"/>
  <c r="F133" i="12"/>
  <c r="AE67" i="12"/>
  <c r="AE119" i="12"/>
  <c r="AF27" i="12"/>
  <c r="AE51" i="12"/>
  <c r="AE110" i="12"/>
  <c r="AE7" i="12"/>
  <c r="AF51" i="12"/>
  <c r="AE127" i="12"/>
  <c r="AE34" i="12"/>
  <c r="AE43" i="12"/>
  <c r="AE96" i="12"/>
  <c r="BA11" i="27" l="1"/>
  <c r="AM26" i="27"/>
  <c r="BG94" i="14"/>
  <c r="BO94" i="14" s="1"/>
  <c r="BN16" i="14"/>
  <c r="BQ99" i="15"/>
  <c r="BN30" i="15"/>
  <c r="AM120" i="27"/>
  <c r="CE17" i="15"/>
  <c r="BA47" i="27"/>
  <c r="BQ28" i="14"/>
  <c r="BQ16" i="14"/>
  <c r="BK79" i="15"/>
  <c r="BR21" i="15"/>
  <c r="BJ48" i="14"/>
  <c r="BA40" i="27"/>
  <c r="BN55" i="7"/>
  <c r="CF55" i="7" s="1"/>
  <c r="BR127" i="14"/>
  <c r="BJ59" i="14"/>
  <c r="BK59" i="14" s="1"/>
  <c r="BR28" i="14"/>
  <c r="BR16" i="14"/>
  <c r="BG103" i="14"/>
  <c r="BO103" i="14" s="1"/>
  <c r="BQ117" i="15"/>
  <c r="BJ120" i="15"/>
  <c r="AM99" i="27"/>
  <c r="BQ72" i="15"/>
  <c r="BR72" i="15"/>
  <c r="BN111" i="14"/>
  <c r="BN34" i="15"/>
  <c r="BN25" i="14"/>
  <c r="BG65" i="14"/>
  <c r="BO65" i="14" s="1"/>
  <c r="CE71" i="15"/>
  <c r="BJ104" i="15"/>
  <c r="BQ79" i="15"/>
  <c r="BQ21" i="15"/>
  <c r="CE9" i="15"/>
  <c r="BN84" i="14"/>
  <c r="AV32" i="27"/>
  <c r="BS116" i="3"/>
  <c r="CK116" i="3" s="1"/>
  <c r="BQ75" i="14"/>
  <c r="CI75" i="14" s="1"/>
  <c r="BL53" i="14"/>
  <c r="BT53" i="14" s="1"/>
  <c r="BQ36" i="14"/>
  <c r="BK42" i="14"/>
  <c r="BL42" i="14" s="1"/>
  <c r="BT42" i="14" s="1"/>
  <c r="CL42" i="14" s="1"/>
  <c r="BR105" i="15"/>
  <c r="BQ27" i="15"/>
  <c r="BK19" i="15"/>
  <c r="AV22" i="27"/>
  <c r="AM14" i="27"/>
  <c r="AM78" i="27"/>
  <c r="AM103" i="27"/>
  <c r="AQ7" i="27"/>
  <c r="AV30" i="27"/>
  <c r="AD139" i="31"/>
  <c r="BN117" i="15"/>
  <c r="BS105" i="15"/>
  <c r="Z144" i="27"/>
  <c r="BA22" i="27"/>
  <c r="BA10" i="27"/>
  <c r="BA110" i="27"/>
  <c r="AV46" i="27"/>
  <c r="BA66" i="27"/>
  <c r="AM30" i="27"/>
  <c r="BA123" i="27"/>
  <c r="BQ120" i="14"/>
  <c r="BQ55" i="14"/>
  <c r="CI55" i="14" s="1"/>
  <c r="BQ42" i="14"/>
  <c r="AV10" i="27"/>
  <c r="AV110" i="27"/>
  <c r="BA46" i="27"/>
  <c r="BA106" i="27"/>
  <c r="AV66" i="27"/>
  <c r="BA26" i="27"/>
  <c r="AV123" i="27"/>
  <c r="BN116" i="3"/>
  <c r="BJ50" i="15"/>
  <c r="BK50" i="15" s="1"/>
  <c r="BL50" i="15" s="1"/>
  <c r="BT50" i="15" s="1"/>
  <c r="CL50" i="15" s="1"/>
  <c r="AV18" i="27"/>
  <c r="BA107" i="27"/>
  <c r="BR55" i="14"/>
  <c r="CJ55" i="14" s="1"/>
  <c r="BR36" i="14"/>
  <c r="CP30" i="14"/>
  <c r="V30" i="22" s="1"/>
  <c r="BR13" i="15"/>
  <c r="BR27" i="15"/>
  <c r="AV80" i="27"/>
  <c r="BR53" i="14"/>
  <c r="BQ19" i="15"/>
  <c r="BQ13" i="15"/>
  <c r="BA14" i="27"/>
  <c r="BA78" i="27"/>
  <c r="AV103" i="27"/>
  <c r="BO116" i="3"/>
  <c r="CG116" i="3" s="1"/>
  <c r="BN72" i="14"/>
  <c r="BN94" i="15"/>
  <c r="BG77" i="14"/>
  <c r="BO77" i="14" s="1"/>
  <c r="CE107" i="15"/>
  <c r="CQ107" i="15" s="1"/>
  <c r="BR70" i="15"/>
  <c r="AV12" i="27"/>
  <c r="AV28" i="27"/>
  <c r="CE145" i="7"/>
  <c r="BJ84" i="14"/>
  <c r="CE109" i="15"/>
  <c r="CE137" i="7"/>
  <c r="BG99" i="15"/>
  <c r="BO99" i="15" s="1"/>
  <c r="CE146" i="7"/>
  <c r="CJ139" i="7"/>
  <c r="CI139" i="7"/>
  <c r="CE144" i="7"/>
  <c r="CG140" i="7"/>
  <c r="T51" i="26"/>
  <c r="R51" i="32"/>
  <c r="R51" i="30"/>
  <c r="CH139" i="7"/>
  <c r="CE140" i="7"/>
  <c r="CF139" i="7"/>
  <c r="CE139" i="7"/>
  <c r="M110" i="22"/>
  <c r="CE141" i="7"/>
  <c r="CG139" i="7"/>
  <c r="CF137" i="7"/>
  <c r="M34" i="22"/>
  <c r="CL139" i="7"/>
  <c r="AG168" i="12" s="1"/>
  <c r="BG125" i="15"/>
  <c r="BO125" i="15" s="1"/>
  <c r="CF140" i="7"/>
  <c r="CK139" i="7"/>
  <c r="O108" i="32"/>
  <c r="O108" i="30"/>
  <c r="Q108" i="26"/>
  <c r="M8" i="22"/>
  <c r="BN124" i="14"/>
  <c r="Q51" i="26"/>
  <c r="O51" i="32"/>
  <c r="O51" i="30"/>
  <c r="AV19" i="27"/>
  <c r="AV127" i="27"/>
  <c r="BA119" i="27"/>
  <c r="AH143" i="27"/>
  <c r="AD146" i="27"/>
  <c r="AD145" i="27"/>
  <c r="BA82" i="27"/>
  <c r="BA53" i="27"/>
  <c r="AV20" i="27"/>
  <c r="AV131" i="27"/>
  <c r="AM115" i="27"/>
  <c r="AV24" i="27"/>
  <c r="BA127" i="27"/>
  <c r="AM119" i="27"/>
  <c r="AM96" i="27"/>
  <c r="AV82" i="27"/>
  <c r="AM20" i="27"/>
  <c r="BA131" i="27"/>
  <c r="AM24" i="27"/>
  <c r="AV126" i="27"/>
  <c r="AH146" i="27"/>
  <c r="BA16" i="27"/>
  <c r="AV120" i="27"/>
  <c r="AV16" i="27"/>
  <c r="BA99" i="27"/>
  <c r="BA15" i="27"/>
  <c r="BA32" i="27"/>
  <c r="AH138" i="27"/>
  <c r="AV47" i="27"/>
  <c r="AV64" i="27"/>
  <c r="AV15" i="27"/>
  <c r="AV96" i="27"/>
  <c r="BA12" i="27"/>
  <c r="AV115" i="27"/>
  <c r="BA28" i="27"/>
  <c r="AV11" i="27"/>
  <c r="AD138" i="31"/>
  <c r="AG146" i="27"/>
  <c r="AD144" i="27"/>
  <c r="AY120" i="31"/>
  <c r="AD142" i="27"/>
  <c r="AY28" i="31"/>
  <c r="AY12" i="31"/>
  <c r="AH142" i="27"/>
  <c r="AB144" i="27"/>
  <c r="AY24" i="31"/>
  <c r="AD140" i="27"/>
  <c r="AF119" i="27"/>
  <c r="AT119" i="27" s="1"/>
  <c r="AF119" i="31"/>
  <c r="AE39" i="27"/>
  <c r="AS39" i="27" s="1"/>
  <c r="AE39" i="31"/>
  <c r="AS39" i="31" s="1"/>
  <c r="AL68" i="31"/>
  <c r="AT68" i="31"/>
  <c r="AZ68" i="31"/>
  <c r="AM117" i="31"/>
  <c r="BA117" i="31"/>
  <c r="AV117" i="31"/>
  <c r="AR107" i="31"/>
  <c r="AK91" i="31"/>
  <c r="AR91" i="31"/>
  <c r="AY91" i="31"/>
  <c r="AR75" i="31"/>
  <c r="AK75" i="31"/>
  <c r="AY75" i="31"/>
  <c r="AR59" i="31"/>
  <c r="AM44" i="31"/>
  <c r="BA44" i="31"/>
  <c r="AV44" i="31"/>
  <c r="AM40" i="31"/>
  <c r="AV40" i="31"/>
  <c r="BA40" i="31"/>
  <c r="AH139" i="31"/>
  <c r="AM30" i="31"/>
  <c r="AV30" i="31"/>
  <c r="BA30" i="31"/>
  <c r="AM26" i="31"/>
  <c r="BA26" i="31"/>
  <c r="AV26" i="31"/>
  <c r="AM22" i="31"/>
  <c r="BA22" i="31"/>
  <c r="AV22" i="31"/>
  <c r="AM18" i="31"/>
  <c r="BA18" i="31"/>
  <c r="AV18" i="31"/>
  <c r="AM14" i="31"/>
  <c r="BA14" i="31"/>
  <c r="AV14" i="31"/>
  <c r="AM10" i="31"/>
  <c r="BA10" i="31"/>
  <c r="AV10" i="31"/>
  <c r="AK26" i="31"/>
  <c r="AR26" i="31"/>
  <c r="AY26" i="31"/>
  <c r="AY10" i="31"/>
  <c r="AK42" i="31"/>
  <c r="AR42" i="31"/>
  <c r="AY42" i="31"/>
  <c r="AK20" i="31"/>
  <c r="AM114" i="31"/>
  <c r="AV114" i="31"/>
  <c r="BA114" i="31"/>
  <c r="AD143" i="31"/>
  <c r="AR96" i="31"/>
  <c r="AM90" i="31"/>
  <c r="BA90" i="31"/>
  <c r="AV90" i="31"/>
  <c r="AF51" i="27"/>
  <c r="AF51" i="31"/>
  <c r="AF34" i="27"/>
  <c r="AF34" i="31"/>
  <c r="AE109" i="27"/>
  <c r="AS109" i="27" s="1"/>
  <c r="AE109" i="31"/>
  <c r="AS109" i="31" s="1"/>
  <c r="AE93" i="27"/>
  <c r="AS93" i="27" s="1"/>
  <c r="AE93" i="31"/>
  <c r="AS93" i="31" s="1"/>
  <c r="AE77" i="27"/>
  <c r="AS77" i="27" s="1"/>
  <c r="AE77" i="31"/>
  <c r="AS77" i="31" s="1"/>
  <c r="AE57" i="27"/>
  <c r="AS57" i="27" s="1"/>
  <c r="AE57" i="31"/>
  <c r="AS57" i="31" s="1"/>
  <c r="AE37" i="27"/>
  <c r="AS37" i="27" s="1"/>
  <c r="AE37" i="31"/>
  <c r="AS37" i="31" s="1"/>
  <c r="AE21" i="27"/>
  <c r="AS21" i="27" s="1"/>
  <c r="AE21" i="31"/>
  <c r="AS21" i="31" s="1"/>
  <c r="AL115" i="31"/>
  <c r="AT115" i="31"/>
  <c r="AZ115" i="31"/>
  <c r="AL29" i="31"/>
  <c r="AT29" i="31"/>
  <c r="AZ29" i="31"/>
  <c r="AL81" i="31"/>
  <c r="AZ81" i="31"/>
  <c r="AT81" i="31"/>
  <c r="AL54" i="31"/>
  <c r="AT54" i="31"/>
  <c r="AZ54" i="31"/>
  <c r="AL117" i="31"/>
  <c r="AT117" i="31"/>
  <c r="AZ117" i="31"/>
  <c r="AL19" i="31"/>
  <c r="AZ19" i="31"/>
  <c r="AT19" i="31"/>
  <c r="AL120" i="31"/>
  <c r="AZ120" i="31"/>
  <c r="AT120" i="31"/>
  <c r="AL102" i="31"/>
  <c r="AZ102" i="31"/>
  <c r="AT102" i="31"/>
  <c r="AL84" i="31"/>
  <c r="AT84" i="31"/>
  <c r="AZ84" i="31"/>
  <c r="AL64" i="31"/>
  <c r="AZ64" i="31"/>
  <c r="AT64" i="31"/>
  <c r="AL36" i="31"/>
  <c r="AZ36" i="31"/>
  <c r="AT36" i="31"/>
  <c r="AL12" i="31"/>
  <c r="AZ12" i="31"/>
  <c r="AT12" i="31"/>
  <c r="AL53" i="31"/>
  <c r="AT53" i="31"/>
  <c r="AZ53" i="31"/>
  <c r="AL121" i="31"/>
  <c r="AZ121" i="31"/>
  <c r="AT121" i="31"/>
  <c r="AL31" i="31"/>
  <c r="AZ31" i="31"/>
  <c r="AT31" i="31"/>
  <c r="BA126" i="27"/>
  <c r="AH145" i="27"/>
  <c r="AG145" i="27"/>
  <c r="AM80" i="27"/>
  <c r="BA48" i="27"/>
  <c r="Z142" i="27"/>
  <c r="AM49" i="27"/>
  <c r="AD141" i="27"/>
  <c r="Z140" i="27"/>
  <c r="Z137" i="27"/>
  <c r="AM132" i="31"/>
  <c r="BA132" i="31"/>
  <c r="AV132" i="31"/>
  <c r="AA146" i="31"/>
  <c r="AO127" i="31"/>
  <c r="AM116" i="31"/>
  <c r="BA116" i="31"/>
  <c r="AV116" i="31"/>
  <c r="Z144" i="31"/>
  <c r="AN110" i="31"/>
  <c r="AK90" i="31"/>
  <c r="AY90" i="31"/>
  <c r="AR90" i="31"/>
  <c r="AM84" i="31"/>
  <c r="BA84" i="31"/>
  <c r="AV84" i="31"/>
  <c r="AK66" i="31"/>
  <c r="AY66" i="31"/>
  <c r="AR66" i="31"/>
  <c r="AM60" i="31"/>
  <c r="AV60" i="31"/>
  <c r="BA60" i="31"/>
  <c r="AM36" i="31"/>
  <c r="AV36" i="31"/>
  <c r="BA36" i="31"/>
  <c r="AK124" i="31"/>
  <c r="AR124" i="31"/>
  <c r="AY124" i="31"/>
  <c r="AM118" i="31"/>
  <c r="AV118" i="31"/>
  <c r="BA118" i="31"/>
  <c r="AR92" i="31"/>
  <c r="AK92" i="31"/>
  <c r="AY92" i="31"/>
  <c r="AM86" i="31"/>
  <c r="BA86" i="31"/>
  <c r="AV86" i="31"/>
  <c r="AC142" i="31"/>
  <c r="AQ67" i="31"/>
  <c r="AK60" i="31"/>
  <c r="AY60" i="31"/>
  <c r="AR60" i="31"/>
  <c r="AM54" i="31"/>
  <c r="AV54" i="31"/>
  <c r="BA54" i="31"/>
  <c r="AK117" i="31"/>
  <c r="AY117" i="31"/>
  <c r="AR117" i="31"/>
  <c r="AK93" i="31"/>
  <c r="AR93" i="31"/>
  <c r="AR33" i="31"/>
  <c r="AK10" i="31"/>
  <c r="AK28" i="31"/>
  <c r="AK126" i="31"/>
  <c r="AY126" i="31"/>
  <c r="AR126" i="31"/>
  <c r="AD144" i="31"/>
  <c r="AR110" i="31"/>
  <c r="AM104" i="31"/>
  <c r="BA104" i="31"/>
  <c r="AV104" i="31"/>
  <c r="AK78" i="31"/>
  <c r="AR78" i="31"/>
  <c r="AY78" i="31"/>
  <c r="AM72" i="31"/>
  <c r="BA72" i="31"/>
  <c r="AV72" i="31"/>
  <c r="AK46" i="31"/>
  <c r="AY46" i="31"/>
  <c r="AR46" i="31"/>
  <c r="AC136" i="31"/>
  <c r="AQ7" i="31"/>
  <c r="AM103" i="31"/>
  <c r="BA103" i="31"/>
  <c r="AV103" i="31"/>
  <c r="AY32" i="31"/>
  <c r="AY11" i="31"/>
  <c r="AD145" i="31"/>
  <c r="AR119" i="31"/>
  <c r="AK103" i="31"/>
  <c r="AR103" i="31"/>
  <c r="AY103" i="31"/>
  <c r="AM89" i="31"/>
  <c r="AV89" i="31"/>
  <c r="BA89" i="31"/>
  <c r="AK79" i="31"/>
  <c r="AR79" i="31"/>
  <c r="AY79" i="31"/>
  <c r="AK63" i="31"/>
  <c r="AR63" i="31"/>
  <c r="AY63" i="31"/>
  <c r="AR47" i="31"/>
  <c r="AB140" i="31"/>
  <c r="AP43" i="31"/>
  <c r="AA137" i="31"/>
  <c r="AO8" i="31"/>
  <c r="AD140" i="31"/>
  <c r="AR43" i="31"/>
  <c r="AM130" i="31"/>
  <c r="BA130" i="31"/>
  <c r="AV130" i="31"/>
  <c r="AK120" i="31"/>
  <c r="AY56" i="31"/>
  <c r="AM50" i="31"/>
  <c r="BA50" i="31"/>
  <c r="AV50" i="31"/>
  <c r="AE131" i="27"/>
  <c r="AS131" i="27" s="1"/>
  <c r="AE131" i="31"/>
  <c r="AS131" i="31" s="1"/>
  <c r="AE61" i="27"/>
  <c r="AS61" i="27" s="1"/>
  <c r="AE61" i="31"/>
  <c r="AS61" i="31" s="1"/>
  <c r="AL58" i="31"/>
  <c r="AZ58" i="31"/>
  <c r="AT58" i="31"/>
  <c r="AL38" i="31"/>
  <c r="AZ38" i="31"/>
  <c r="AT38" i="31"/>
  <c r="AT23" i="31"/>
  <c r="AZ23" i="31"/>
  <c r="AL118" i="31"/>
  <c r="AT118" i="31"/>
  <c r="AZ118" i="31"/>
  <c r="AL107" i="31"/>
  <c r="AZ107" i="31"/>
  <c r="AT107" i="31"/>
  <c r="AV92" i="27"/>
  <c r="AH140" i="27"/>
  <c r="Z143" i="27"/>
  <c r="AP7" i="27"/>
  <c r="AU127" i="27"/>
  <c r="AR118" i="27"/>
  <c r="AV48" i="27"/>
  <c r="BA65" i="27"/>
  <c r="AC146" i="27"/>
  <c r="AA137" i="27"/>
  <c r="AH141" i="27"/>
  <c r="Z146" i="31"/>
  <c r="AN127" i="31"/>
  <c r="AK115" i="31"/>
  <c r="AR115" i="31"/>
  <c r="AY115" i="31"/>
  <c r="AM101" i="31"/>
  <c r="AV101" i="31"/>
  <c r="BA101" i="31"/>
  <c r="AA143" i="31"/>
  <c r="AO96" i="31"/>
  <c r="AM85" i="31"/>
  <c r="BA85" i="31"/>
  <c r="AV85" i="31"/>
  <c r="AM69" i="31"/>
  <c r="BA69" i="31"/>
  <c r="AV69" i="31"/>
  <c r="AM53" i="31"/>
  <c r="BA53" i="31"/>
  <c r="AV53" i="31"/>
  <c r="AM43" i="31"/>
  <c r="AH140" i="31"/>
  <c r="AV43" i="31"/>
  <c r="BA43" i="31"/>
  <c r="AM39" i="31"/>
  <c r="BA39" i="31"/>
  <c r="AV39" i="31"/>
  <c r="AM33" i="31"/>
  <c r="BA33" i="31"/>
  <c r="AV33" i="31"/>
  <c r="AM29" i="31"/>
  <c r="BA29" i="31"/>
  <c r="AV29" i="31"/>
  <c r="AM25" i="31"/>
  <c r="BA25" i="31"/>
  <c r="AV25" i="31"/>
  <c r="AM21" i="31"/>
  <c r="BA21" i="31"/>
  <c r="AV21" i="31"/>
  <c r="AM17" i="31"/>
  <c r="BA17" i="31"/>
  <c r="AV17" i="31"/>
  <c r="AM13" i="31"/>
  <c r="BA13" i="31"/>
  <c r="AV13" i="31"/>
  <c r="AM9" i="31"/>
  <c r="BA9" i="31"/>
  <c r="AV9" i="31"/>
  <c r="AG144" i="31"/>
  <c r="AU110" i="31"/>
  <c r="AK22" i="31"/>
  <c r="AR22" i="31"/>
  <c r="AY22" i="31"/>
  <c r="AK12" i="31"/>
  <c r="AL23" i="31"/>
  <c r="AM55" i="31"/>
  <c r="AV55" i="31"/>
  <c r="BA55" i="31"/>
  <c r="AK39" i="31"/>
  <c r="AY39" i="31"/>
  <c r="AR39" i="31"/>
  <c r="AR15" i="31"/>
  <c r="AC145" i="31"/>
  <c r="AQ119" i="31"/>
  <c r="AK56" i="31"/>
  <c r="AM123" i="31"/>
  <c r="AV123" i="31"/>
  <c r="BA123" i="31"/>
  <c r="AM107" i="31"/>
  <c r="AV107" i="31"/>
  <c r="BA107" i="31"/>
  <c r="AC143" i="31"/>
  <c r="AQ96" i="31"/>
  <c r="AK81" i="31"/>
  <c r="AY81" i="31"/>
  <c r="AR81" i="31"/>
  <c r="AK65" i="31"/>
  <c r="AY65" i="31"/>
  <c r="AR65" i="31"/>
  <c r="AR49" i="31"/>
  <c r="AM71" i="31"/>
  <c r="AV71" i="31"/>
  <c r="BA71" i="31"/>
  <c r="AK23" i="31"/>
  <c r="AY23" i="31"/>
  <c r="AR23" i="31"/>
  <c r="AL122" i="31"/>
  <c r="AZ122" i="31"/>
  <c r="AT122" i="31"/>
  <c r="AL16" i="31"/>
  <c r="AZ16" i="31"/>
  <c r="AT16" i="31"/>
  <c r="AL39" i="31"/>
  <c r="AZ39" i="31"/>
  <c r="AT39" i="31"/>
  <c r="AE55" i="27"/>
  <c r="AS55" i="27" s="1"/>
  <c r="AE55" i="31"/>
  <c r="AS55" i="31" s="1"/>
  <c r="AL52" i="31"/>
  <c r="AZ52" i="31"/>
  <c r="AT52" i="31"/>
  <c r="AL62" i="31"/>
  <c r="AT62" i="31"/>
  <c r="AZ62" i="31"/>
  <c r="AE123" i="27"/>
  <c r="AS123" i="27" s="1"/>
  <c r="AE123" i="31"/>
  <c r="AS123" i="31" s="1"/>
  <c r="AE105" i="27"/>
  <c r="AS105" i="27" s="1"/>
  <c r="AE105" i="31"/>
  <c r="AS105" i="31" s="1"/>
  <c r="AE73" i="27"/>
  <c r="AS73" i="27" s="1"/>
  <c r="AE73" i="31"/>
  <c r="AS73" i="31" s="1"/>
  <c r="AE33" i="27"/>
  <c r="AS33" i="27" s="1"/>
  <c r="AE33" i="31"/>
  <c r="AS33" i="31" s="1"/>
  <c r="AL91" i="31"/>
  <c r="AT91" i="31"/>
  <c r="AZ91" i="31"/>
  <c r="AL48" i="31"/>
  <c r="AT48" i="31"/>
  <c r="AZ48" i="31"/>
  <c r="AL132" i="31"/>
  <c r="AZ132" i="31"/>
  <c r="AT132" i="31"/>
  <c r="AL35" i="31"/>
  <c r="AT35" i="31"/>
  <c r="AZ35" i="31"/>
  <c r="AL15" i="31"/>
  <c r="AZ15" i="31"/>
  <c r="AT15" i="31"/>
  <c r="BA92" i="27"/>
  <c r="AH144" i="27"/>
  <c r="AV94" i="27"/>
  <c r="AV105" i="27"/>
  <c r="AV65" i="27"/>
  <c r="AC145" i="27"/>
  <c r="BA37" i="27"/>
  <c r="AK130" i="31"/>
  <c r="AR130" i="31"/>
  <c r="AY130" i="31"/>
  <c r="AK114" i="31"/>
  <c r="AY114" i="31"/>
  <c r="AR114" i="31"/>
  <c r="AM108" i="31"/>
  <c r="AV108" i="31"/>
  <c r="BA108" i="31"/>
  <c r="AB143" i="31"/>
  <c r="AP96" i="31"/>
  <c r="AR82" i="31"/>
  <c r="AM76" i="31"/>
  <c r="BA76" i="31"/>
  <c r="AV76" i="31"/>
  <c r="AK58" i="31"/>
  <c r="AY58" i="31"/>
  <c r="AR58" i="31"/>
  <c r="AM52" i="31"/>
  <c r="BA52" i="31"/>
  <c r="AV52" i="31"/>
  <c r="AD136" i="31"/>
  <c r="AR7" i="31"/>
  <c r="AK116" i="31"/>
  <c r="AY116" i="31"/>
  <c r="AR116" i="31"/>
  <c r="AM110" i="31"/>
  <c r="AH144" i="31"/>
  <c r="BA110" i="31"/>
  <c r="AV110" i="31"/>
  <c r="AK84" i="31"/>
  <c r="AR84" i="31"/>
  <c r="AY84" i="31"/>
  <c r="AM78" i="31"/>
  <c r="BA78" i="31"/>
  <c r="AV78" i="31"/>
  <c r="AK52" i="31"/>
  <c r="AR52" i="31"/>
  <c r="AY52" i="31"/>
  <c r="AM46" i="31"/>
  <c r="AV46" i="31"/>
  <c r="BA46" i="31"/>
  <c r="AR101" i="31"/>
  <c r="AR77" i="31"/>
  <c r="AR61" i="31"/>
  <c r="AK44" i="31"/>
  <c r="AY44" i="31"/>
  <c r="AR44" i="31"/>
  <c r="AK30" i="31"/>
  <c r="AR30" i="31"/>
  <c r="AY30" i="31"/>
  <c r="AK21" i="31"/>
  <c r="AY21" i="31"/>
  <c r="AR21" i="31"/>
  <c r="AM120" i="31"/>
  <c r="AV120" i="31"/>
  <c r="BA120" i="31"/>
  <c r="AK102" i="31"/>
  <c r="AR102" i="31"/>
  <c r="AY102" i="31"/>
  <c r="AM96" i="31"/>
  <c r="AH143" i="31"/>
  <c r="BA96" i="31"/>
  <c r="AV96" i="31"/>
  <c r="AK70" i="31"/>
  <c r="AY70" i="31"/>
  <c r="AR70" i="31"/>
  <c r="AM64" i="31"/>
  <c r="BA64" i="31"/>
  <c r="AV64" i="31"/>
  <c r="AA141" i="31"/>
  <c r="AO51" i="31"/>
  <c r="AM95" i="31"/>
  <c r="AV95" i="31"/>
  <c r="BA95" i="31"/>
  <c r="AB142" i="31"/>
  <c r="AP67" i="31"/>
  <c r="AK32" i="31"/>
  <c r="AK11" i="31"/>
  <c r="AM129" i="31"/>
  <c r="AV129" i="31"/>
  <c r="BA129" i="31"/>
  <c r="AM113" i="31"/>
  <c r="AV113" i="31"/>
  <c r="BA113" i="31"/>
  <c r="AM97" i="31"/>
  <c r="AV97" i="31"/>
  <c r="BA97" i="31"/>
  <c r="AM73" i="31"/>
  <c r="AV73" i="31"/>
  <c r="BA73" i="31"/>
  <c r="AM57" i="31"/>
  <c r="BA57" i="31"/>
  <c r="AV57" i="31"/>
  <c r="AY16" i="31"/>
  <c r="AK128" i="31"/>
  <c r="AY128" i="31"/>
  <c r="AR128" i="31"/>
  <c r="AY112" i="31"/>
  <c r="AM106" i="31"/>
  <c r="BA106" i="31"/>
  <c r="AV106" i="31"/>
  <c r="AY88" i="31"/>
  <c r="AM82" i="31"/>
  <c r="AV82" i="31"/>
  <c r="BA82" i="31"/>
  <c r="AY72" i="31"/>
  <c r="AM66" i="31"/>
  <c r="AV66" i="31"/>
  <c r="BA66" i="31"/>
  <c r="AY48" i="31"/>
  <c r="Z139" i="31"/>
  <c r="AE127" i="27"/>
  <c r="AE127" i="31"/>
  <c r="AE95" i="27"/>
  <c r="AS95" i="27" s="1"/>
  <c r="AE95" i="31"/>
  <c r="AS95" i="31" s="1"/>
  <c r="AL89" i="31"/>
  <c r="AZ89" i="31"/>
  <c r="AT89" i="31"/>
  <c r="AL104" i="31"/>
  <c r="AZ104" i="31"/>
  <c r="AT104" i="31"/>
  <c r="AL41" i="31"/>
  <c r="AT41" i="31"/>
  <c r="AZ41" i="31"/>
  <c r="AE107" i="27"/>
  <c r="AS107" i="27" s="1"/>
  <c r="AE107" i="31"/>
  <c r="AS107" i="31" s="1"/>
  <c r="AL103" i="31"/>
  <c r="AT103" i="31"/>
  <c r="AZ103" i="31"/>
  <c r="AL11" i="31"/>
  <c r="AZ11" i="31"/>
  <c r="AT11" i="31"/>
  <c r="AL32" i="31"/>
  <c r="AZ32" i="31"/>
  <c r="AT32" i="31"/>
  <c r="AF43" i="27"/>
  <c r="AF43" i="31"/>
  <c r="AE110" i="27"/>
  <c r="AE110" i="31"/>
  <c r="AE89" i="27"/>
  <c r="AS89" i="27" s="1"/>
  <c r="AE89" i="31"/>
  <c r="AS89" i="31" s="1"/>
  <c r="AE53" i="27"/>
  <c r="AS53" i="27" s="1"/>
  <c r="AE53" i="31"/>
  <c r="AS53" i="31" s="1"/>
  <c r="AF17" i="27"/>
  <c r="AF17" i="31"/>
  <c r="AL63" i="31"/>
  <c r="AT63" i="31"/>
  <c r="AZ63" i="31"/>
  <c r="AL97" i="31"/>
  <c r="AT97" i="31"/>
  <c r="AZ97" i="31"/>
  <c r="AL116" i="31"/>
  <c r="AZ116" i="31"/>
  <c r="AT116" i="31"/>
  <c r="AL98" i="31"/>
  <c r="AT98" i="31"/>
  <c r="AZ98" i="31"/>
  <c r="AL78" i="31"/>
  <c r="AZ78" i="31"/>
  <c r="AT78" i="31"/>
  <c r="AL56" i="31"/>
  <c r="AZ56" i="31"/>
  <c r="AT56" i="31"/>
  <c r="AL30" i="31"/>
  <c r="AT30" i="31"/>
  <c r="AZ30" i="31"/>
  <c r="AL111" i="31"/>
  <c r="AZ111" i="31"/>
  <c r="AT111" i="31"/>
  <c r="AL95" i="31"/>
  <c r="AT95" i="31"/>
  <c r="AZ95" i="31"/>
  <c r="AE51" i="27"/>
  <c r="AK51" i="27" s="1"/>
  <c r="AE51" i="31"/>
  <c r="AK51" i="31" s="1"/>
  <c r="AL44" i="31"/>
  <c r="AT44" i="31"/>
  <c r="AZ44" i="31"/>
  <c r="AE82" i="27"/>
  <c r="AS82" i="27" s="1"/>
  <c r="AE82" i="31"/>
  <c r="AS82" i="31" s="1"/>
  <c r="AE87" i="27"/>
  <c r="AS87" i="27" s="1"/>
  <c r="AE87" i="31"/>
  <c r="AS87" i="31" s="1"/>
  <c r="AE71" i="27"/>
  <c r="AS71" i="27" s="1"/>
  <c r="AE71" i="31"/>
  <c r="AS71" i="31" s="1"/>
  <c r="AE49" i="27"/>
  <c r="AS49" i="27" s="1"/>
  <c r="AE49" i="31"/>
  <c r="AS49" i="31" s="1"/>
  <c r="AE15" i="27"/>
  <c r="AS15" i="27" s="1"/>
  <c r="AE15" i="31"/>
  <c r="AS15" i="31" s="1"/>
  <c r="AL79" i="31"/>
  <c r="AT79" i="31"/>
  <c r="AZ79" i="31"/>
  <c r="AF7" i="27"/>
  <c r="AF7" i="31"/>
  <c r="AL13" i="31"/>
  <c r="AZ13" i="31"/>
  <c r="AT13" i="31"/>
  <c r="AT24" i="31"/>
  <c r="AL24" i="31"/>
  <c r="AZ24" i="31"/>
  <c r="AL87" i="31"/>
  <c r="AZ87" i="31"/>
  <c r="AT87" i="31"/>
  <c r="AL130" i="31"/>
  <c r="AT130" i="31"/>
  <c r="AZ130" i="31"/>
  <c r="AL114" i="31"/>
  <c r="AZ114" i="31"/>
  <c r="AT114" i="31"/>
  <c r="AL94" i="31"/>
  <c r="AT94" i="31"/>
  <c r="AZ94" i="31"/>
  <c r="AL76" i="31"/>
  <c r="AZ76" i="31"/>
  <c r="AT76" i="31"/>
  <c r="AL50" i="31"/>
  <c r="AT50" i="31"/>
  <c r="AZ50" i="31"/>
  <c r="AL28" i="31"/>
  <c r="AT28" i="31"/>
  <c r="AZ28" i="31"/>
  <c r="AL101" i="31"/>
  <c r="AZ101" i="31"/>
  <c r="AT101" i="31"/>
  <c r="AL21" i="31"/>
  <c r="AZ21" i="31"/>
  <c r="AT21" i="31"/>
  <c r="AL83" i="31"/>
  <c r="AZ83" i="31"/>
  <c r="AT83" i="31"/>
  <c r="AL105" i="31"/>
  <c r="AZ105" i="31"/>
  <c r="AT105" i="31"/>
  <c r="AM26" i="16"/>
  <c r="CV58" i="24"/>
  <c r="BA94" i="27"/>
  <c r="BA62" i="27"/>
  <c r="BA121" i="27"/>
  <c r="BA105" i="27"/>
  <c r="BA81" i="27"/>
  <c r="AV37" i="27"/>
  <c r="AV21" i="27"/>
  <c r="AR131" i="31"/>
  <c r="AM125" i="31"/>
  <c r="AV125" i="31"/>
  <c r="BA125" i="31"/>
  <c r="AM109" i="31"/>
  <c r="AV109" i="31"/>
  <c r="BA109" i="31"/>
  <c r="AK99" i="31"/>
  <c r="AR99" i="31"/>
  <c r="AY99" i="31"/>
  <c r="AR83" i="31"/>
  <c r="AD142" i="31"/>
  <c r="AR67" i="31"/>
  <c r="AD141" i="31"/>
  <c r="AR51" i="31"/>
  <c r="AM42" i="31"/>
  <c r="BA42" i="31"/>
  <c r="AV42" i="31"/>
  <c r="AM32" i="31"/>
  <c r="BA32" i="31"/>
  <c r="AV32" i="31"/>
  <c r="AM28" i="31"/>
  <c r="AV28" i="31"/>
  <c r="BA28" i="31"/>
  <c r="AM24" i="31"/>
  <c r="AV24" i="31"/>
  <c r="BA24" i="31"/>
  <c r="AM20" i="31"/>
  <c r="BA20" i="31"/>
  <c r="AV20" i="31"/>
  <c r="AM16" i="31"/>
  <c r="AV16" i="31"/>
  <c r="BA16" i="31"/>
  <c r="AM12" i="31"/>
  <c r="AV12" i="31"/>
  <c r="BA12" i="31"/>
  <c r="AG139" i="31"/>
  <c r="AU34" i="31"/>
  <c r="AK19" i="31"/>
  <c r="AR19" i="31"/>
  <c r="AY19" i="31"/>
  <c r="AM79" i="31"/>
  <c r="BA79" i="31"/>
  <c r="AV79" i="31"/>
  <c r="AY36" i="31"/>
  <c r="AC139" i="31"/>
  <c r="AR25" i="31"/>
  <c r="AB138" i="31"/>
  <c r="AY40" i="31"/>
  <c r="AK16" i="31"/>
  <c r="AK112" i="31"/>
  <c r="AK88" i="31"/>
  <c r="AK72" i="31"/>
  <c r="AA136" i="31"/>
  <c r="AO7" i="31"/>
  <c r="AB146" i="31"/>
  <c r="AP127" i="31"/>
  <c r="AK121" i="31"/>
  <c r="AY121" i="31"/>
  <c r="AR121" i="31"/>
  <c r="AK105" i="31"/>
  <c r="AR105" i="31"/>
  <c r="AY105" i="31"/>
  <c r="AM75" i="31"/>
  <c r="BA75" i="31"/>
  <c r="AV75" i="31"/>
  <c r="AM59" i="31"/>
  <c r="BA59" i="31"/>
  <c r="AV59" i="31"/>
  <c r="Z140" i="31"/>
  <c r="AN43" i="31"/>
  <c r="AB141" i="31"/>
  <c r="AP51" i="31"/>
  <c r="AK18" i="31"/>
  <c r="AY18" i="31"/>
  <c r="AR18" i="31"/>
  <c r="AF127" i="27"/>
  <c r="AL127" i="27" s="1"/>
  <c r="AF127" i="31"/>
  <c r="AL129" i="31"/>
  <c r="AT129" i="31"/>
  <c r="AZ129" i="31"/>
  <c r="AF110" i="27"/>
  <c r="AF110" i="31"/>
  <c r="AL71" i="31"/>
  <c r="AZ71" i="31"/>
  <c r="AT71" i="31"/>
  <c r="AL80" i="31"/>
  <c r="AZ80" i="31"/>
  <c r="AT80" i="31"/>
  <c r="AF96" i="27"/>
  <c r="AF96" i="31"/>
  <c r="AE96" i="27"/>
  <c r="AS96" i="27" s="1"/>
  <c r="AE96" i="31"/>
  <c r="AF27" i="27"/>
  <c r="AL27" i="27" s="1"/>
  <c r="AF27" i="31"/>
  <c r="AF8" i="27"/>
  <c r="AL8" i="27" s="1"/>
  <c r="AF8" i="31"/>
  <c r="AE59" i="27"/>
  <c r="AS59" i="27" s="1"/>
  <c r="AE59" i="31"/>
  <c r="AS59" i="31" s="1"/>
  <c r="AE101" i="27"/>
  <c r="AS101" i="27" s="1"/>
  <c r="AE101" i="31"/>
  <c r="AS101" i="31" s="1"/>
  <c r="AE85" i="27"/>
  <c r="AS85" i="27" s="1"/>
  <c r="AE85" i="31"/>
  <c r="AS85" i="31" s="1"/>
  <c r="AS47" i="31"/>
  <c r="AE29" i="27"/>
  <c r="AS29" i="27" s="1"/>
  <c r="AE29" i="31"/>
  <c r="AS29" i="31" s="1"/>
  <c r="AF67" i="27"/>
  <c r="AF67" i="31"/>
  <c r="AL123" i="31"/>
  <c r="AT123" i="31"/>
  <c r="AZ123" i="31"/>
  <c r="AL82" i="31"/>
  <c r="AZ82" i="31"/>
  <c r="AT82" i="31"/>
  <c r="AL18" i="31"/>
  <c r="AT18" i="31"/>
  <c r="AZ18" i="31"/>
  <c r="AF73" i="27"/>
  <c r="AF73" i="31"/>
  <c r="AL128" i="31"/>
  <c r="AZ128" i="31"/>
  <c r="AT128" i="31"/>
  <c r="AL112" i="31"/>
  <c r="AZ112" i="31"/>
  <c r="AT112" i="31"/>
  <c r="AL92" i="31"/>
  <c r="AT92" i="31"/>
  <c r="AZ92" i="31"/>
  <c r="AL74" i="31"/>
  <c r="AT74" i="31"/>
  <c r="AZ74" i="31"/>
  <c r="AL46" i="31"/>
  <c r="AT46" i="31"/>
  <c r="AZ46" i="31"/>
  <c r="AL26" i="31"/>
  <c r="AT26" i="31"/>
  <c r="AZ26" i="31"/>
  <c r="AL93" i="31"/>
  <c r="AT93" i="31"/>
  <c r="AZ93" i="31"/>
  <c r="AL9" i="31"/>
  <c r="AT9" i="31"/>
  <c r="AZ9" i="31"/>
  <c r="AL69" i="31"/>
  <c r="AZ69" i="31"/>
  <c r="AT69" i="31"/>
  <c r="AL125" i="31"/>
  <c r="AZ125" i="31"/>
  <c r="AT125" i="31"/>
  <c r="AR50" i="27"/>
  <c r="AV62" i="27"/>
  <c r="AV112" i="27"/>
  <c r="AV121" i="27"/>
  <c r="AV81" i="27"/>
  <c r="AP110" i="27"/>
  <c r="AM124" i="31"/>
  <c r="BA124" i="31"/>
  <c r="AV124" i="31"/>
  <c r="AA145" i="31"/>
  <c r="AO119" i="31"/>
  <c r="AK106" i="31"/>
  <c r="AY106" i="31"/>
  <c r="AR106" i="31"/>
  <c r="AM100" i="31"/>
  <c r="BA100" i="31"/>
  <c r="AV100" i="31"/>
  <c r="AK74" i="31"/>
  <c r="AY74" i="31"/>
  <c r="AR74" i="31"/>
  <c r="AM68" i="31"/>
  <c r="AV68" i="31"/>
  <c r="BA68" i="31"/>
  <c r="AG141" i="31"/>
  <c r="AU51" i="31"/>
  <c r="AK132" i="31"/>
  <c r="AY132" i="31"/>
  <c r="AR132" i="31"/>
  <c r="AK108" i="31"/>
  <c r="AY108" i="31"/>
  <c r="AR108" i="31"/>
  <c r="AM102" i="31"/>
  <c r="AV102" i="31"/>
  <c r="BA102" i="31"/>
  <c r="Z143" i="31"/>
  <c r="AN96" i="31"/>
  <c r="AK76" i="31"/>
  <c r="AY76" i="31"/>
  <c r="AR76" i="31"/>
  <c r="AM70" i="31"/>
  <c r="BA70" i="31"/>
  <c r="AV70" i="31"/>
  <c r="AC141" i="31"/>
  <c r="AQ51" i="31"/>
  <c r="AR125" i="31"/>
  <c r="AM111" i="31"/>
  <c r="BA111" i="31"/>
  <c r="AV111" i="31"/>
  <c r="AM87" i="31"/>
  <c r="BA87" i="31"/>
  <c r="AV87" i="31"/>
  <c r="AR41" i="31"/>
  <c r="AR29" i="31"/>
  <c r="AK14" i="31"/>
  <c r="AY14" i="31"/>
  <c r="AR14" i="31"/>
  <c r="AM128" i="31"/>
  <c r="AV128" i="31"/>
  <c r="BA128" i="31"/>
  <c r="AG145" i="31"/>
  <c r="AU119" i="31"/>
  <c r="AR94" i="31"/>
  <c r="AM88" i="31"/>
  <c r="BA88" i="31"/>
  <c r="AV88" i="31"/>
  <c r="AK62" i="31"/>
  <c r="AY62" i="31"/>
  <c r="AR62" i="31"/>
  <c r="AM56" i="31"/>
  <c r="AV56" i="31"/>
  <c r="BA56" i="31"/>
  <c r="AC140" i="31"/>
  <c r="AQ43" i="31"/>
  <c r="AH146" i="31"/>
  <c r="AM127" i="31"/>
  <c r="BA127" i="31"/>
  <c r="AV127" i="31"/>
  <c r="AM47" i="31"/>
  <c r="AV47" i="31"/>
  <c r="BA47" i="31"/>
  <c r="AD146" i="31"/>
  <c r="AR127" i="31"/>
  <c r="AK111" i="31"/>
  <c r="AY111" i="31"/>
  <c r="AR111" i="31"/>
  <c r="AG143" i="31"/>
  <c r="AU96" i="31"/>
  <c r="AK87" i="31"/>
  <c r="AR87" i="31"/>
  <c r="AR71" i="31"/>
  <c r="Z142" i="31"/>
  <c r="AN67" i="31"/>
  <c r="AR55" i="31"/>
  <c r="Z141" i="31"/>
  <c r="AN51" i="31"/>
  <c r="AB137" i="31"/>
  <c r="AP8" i="31"/>
  <c r="AK40" i="31"/>
  <c r="AD137" i="31"/>
  <c r="AR8" i="31"/>
  <c r="AC146" i="31"/>
  <c r="AQ127" i="31"/>
  <c r="AM122" i="31"/>
  <c r="AV122" i="31"/>
  <c r="BA122" i="31"/>
  <c r="AY104" i="31"/>
  <c r="AY80" i="31"/>
  <c r="AY64" i="31"/>
  <c r="AK48" i="31"/>
  <c r="AA139" i="31"/>
  <c r="AK89" i="31"/>
  <c r="AY89" i="31"/>
  <c r="AR89" i="31"/>
  <c r="Z138" i="31"/>
  <c r="AL33" i="31"/>
  <c r="AT33" i="31"/>
  <c r="AZ33" i="31"/>
  <c r="AL65" i="31"/>
  <c r="AZ65" i="31"/>
  <c r="AT65" i="31"/>
  <c r="AK24" i="31"/>
  <c r="AS24" i="31"/>
  <c r="AE125" i="27"/>
  <c r="AS125" i="27" s="1"/>
  <c r="AE125" i="31"/>
  <c r="AS125" i="31" s="1"/>
  <c r="AL109" i="31"/>
  <c r="AT109" i="31"/>
  <c r="AZ109" i="31"/>
  <c r="AL131" i="31"/>
  <c r="AT131" i="31"/>
  <c r="AZ131" i="31"/>
  <c r="AE43" i="27"/>
  <c r="AS43" i="27" s="1"/>
  <c r="AE43" i="31"/>
  <c r="AE119" i="27"/>
  <c r="AY119" i="27" s="1"/>
  <c r="AE119" i="31"/>
  <c r="AE83" i="27"/>
  <c r="AS83" i="27" s="1"/>
  <c r="AE83" i="31"/>
  <c r="AS83" i="31" s="1"/>
  <c r="AE27" i="27"/>
  <c r="AS27" i="27" s="1"/>
  <c r="AE27" i="31"/>
  <c r="AL57" i="31"/>
  <c r="AZ57" i="31"/>
  <c r="AT57" i="31"/>
  <c r="AF113" i="27"/>
  <c r="AF113" i="31"/>
  <c r="AL66" i="31"/>
  <c r="AT66" i="31"/>
  <c r="AZ66" i="31"/>
  <c r="AL14" i="31"/>
  <c r="AZ14" i="31"/>
  <c r="AT14" i="31"/>
  <c r="AL59" i="31"/>
  <c r="AZ59" i="31"/>
  <c r="AT59" i="31"/>
  <c r="AL126" i="31"/>
  <c r="AZ126" i="31"/>
  <c r="AT126" i="31"/>
  <c r="AT108" i="31"/>
  <c r="AZ108" i="31"/>
  <c r="AL90" i="31"/>
  <c r="AT90" i="31"/>
  <c r="AZ90" i="31"/>
  <c r="AL72" i="31"/>
  <c r="AT72" i="31"/>
  <c r="AZ72" i="31"/>
  <c r="AT42" i="31"/>
  <c r="AL42" i="31"/>
  <c r="AZ42" i="31"/>
  <c r="AL22" i="31"/>
  <c r="AZ22" i="31"/>
  <c r="AT22" i="31"/>
  <c r="AL85" i="31"/>
  <c r="AT85" i="31"/>
  <c r="AZ85" i="31"/>
  <c r="AL61" i="31"/>
  <c r="AT61" i="31"/>
  <c r="AZ61" i="31"/>
  <c r="AL77" i="31"/>
  <c r="AZ77" i="31"/>
  <c r="AT77" i="31"/>
  <c r="AA146" i="27"/>
  <c r="AA145" i="27"/>
  <c r="BA112" i="27"/>
  <c r="AA138" i="27"/>
  <c r="AB146" i="27"/>
  <c r="AR123" i="31"/>
  <c r="Z145" i="31"/>
  <c r="AN119" i="31"/>
  <c r="AM93" i="31"/>
  <c r="BA93" i="31"/>
  <c r="AV93" i="31"/>
  <c r="AM77" i="31"/>
  <c r="BA77" i="31"/>
  <c r="AV77" i="31"/>
  <c r="AM61" i="31"/>
  <c r="AV61" i="31"/>
  <c r="BA61" i="31"/>
  <c r="AM45" i="31"/>
  <c r="BA45" i="31"/>
  <c r="AV45" i="31"/>
  <c r="AM41" i="31"/>
  <c r="AV41" i="31"/>
  <c r="BA41" i="31"/>
  <c r="AM31" i="31"/>
  <c r="BA31" i="31"/>
  <c r="AV31" i="31"/>
  <c r="AH138" i="31"/>
  <c r="AM27" i="31"/>
  <c r="AV27" i="31"/>
  <c r="BA27" i="31"/>
  <c r="AM23" i="31"/>
  <c r="AV23" i="31"/>
  <c r="BA23" i="31"/>
  <c r="AM19" i="31"/>
  <c r="AV19" i="31"/>
  <c r="BA19" i="31"/>
  <c r="AM15" i="31"/>
  <c r="BA15" i="31"/>
  <c r="AV15" i="31"/>
  <c r="AM11" i="31"/>
  <c r="AV11" i="31"/>
  <c r="BA11" i="31"/>
  <c r="AH137" i="31"/>
  <c r="AK35" i="31"/>
  <c r="AR35" i="31"/>
  <c r="AY35" i="31"/>
  <c r="AR17" i="31"/>
  <c r="AK45" i="31"/>
  <c r="AY45" i="31"/>
  <c r="AR45" i="31"/>
  <c r="AK36" i="31"/>
  <c r="AC138" i="31"/>
  <c r="AY20" i="31"/>
  <c r="AK31" i="31"/>
  <c r="AR31" i="31"/>
  <c r="AY31" i="31"/>
  <c r="AM98" i="31"/>
  <c r="BA98" i="31"/>
  <c r="AV98" i="31"/>
  <c r="AM74" i="31"/>
  <c r="BA74" i="31"/>
  <c r="AV74" i="31"/>
  <c r="AM58" i="31"/>
  <c r="BA58" i="31"/>
  <c r="AV58" i="31"/>
  <c r="AA140" i="31"/>
  <c r="AO43" i="31"/>
  <c r="AM131" i="31"/>
  <c r="BA131" i="31"/>
  <c r="AV131" i="31"/>
  <c r="AM115" i="31"/>
  <c r="BA115" i="31"/>
  <c r="AV115" i="31"/>
  <c r="AA144" i="31"/>
  <c r="AO110" i="31"/>
  <c r="AM99" i="31"/>
  <c r="BA99" i="31"/>
  <c r="AV99" i="31"/>
  <c r="AR73" i="31"/>
  <c r="AR57" i="31"/>
  <c r="AR109" i="31"/>
  <c r="AM63" i="31"/>
  <c r="BA63" i="31"/>
  <c r="AV63" i="31"/>
  <c r="AL37" i="31"/>
  <c r="AZ37" i="31"/>
  <c r="AT37" i="31"/>
  <c r="AL86" i="31"/>
  <c r="AT86" i="31"/>
  <c r="AZ86" i="31"/>
  <c r="AE8" i="27"/>
  <c r="AS8" i="27" s="1"/>
  <c r="AE8" i="31"/>
  <c r="AE7" i="27"/>
  <c r="AS7" i="27" s="1"/>
  <c r="AE7" i="31"/>
  <c r="AK7" i="31" s="1"/>
  <c r="AL100" i="31"/>
  <c r="AZ100" i="31"/>
  <c r="AT100" i="31"/>
  <c r="AL25" i="31"/>
  <c r="AZ25" i="31"/>
  <c r="AT25" i="31"/>
  <c r="AE34" i="27"/>
  <c r="AY34" i="27" s="1"/>
  <c r="AE34" i="31"/>
  <c r="AE67" i="27"/>
  <c r="AS67" i="27" s="1"/>
  <c r="AE67" i="31"/>
  <c r="AE113" i="27"/>
  <c r="AS113" i="27" s="1"/>
  <c r="AE113" i="31"/>
  <c r="AS113" i="31" s="1"/>
  <c r="AE97" i="27"/>
  <c r="AS97" i="27" s="1"/>
  <c r="AE97" i="31"/>
  <c r="AS97" i="31" s="1"/>
  <c r="AE41" i="27"/>
  <c r="AS41" i="27" s="1"/>
  <c r="AE41" i="31"/>
  <c r="AS41" i="31" s="1"/>
  <c r="AE25" i="27"/>
  <c r="AS25" i="27" s="1"/>
  <c r="AE25" i="31"/>
  <c r="AS25" i="31" s="1"/>
  <c r="AE9" i="27"/>
  <c r="AS9" i="27" s="1"/>
  <c r="AE9" i="31"/>
  <c r="AF47" i="27"/>
  <c r="AL47" i="27" s="1"/>
  <c r="AF47" i="31"/>
  <c r="AY47" i="31" s="1"/>
  <c r="AL99" i="31"/>
  <c r="AT99" i="31"/>
  <c r="AZ99" i="31"/>
  <c r="AL60" i="31"/>
  <c r="AT60" i="31"/>
  <c r="AZ60" i="31"/>
  <c r="AL10" i="31"/>
  <c r="AZ10" i="31"/>
  <c r="AT10" i="31"/>
  <c r="AL45" i="31"/>
  <c r="AZ45" i="31"/>
  <c r="AT45" i="31"/>
  <c r="AL124" i="31"/>
  <c r="AT124" i="31"/>
  <c r="AZ124" i="31"/>
  <c r="AL106" i="31"/>
  <c r="AZ106" i="31"/>
  <c r="AT106" i="31"/>
  <c r="AT88" i="31"/>
  <c r="AZ88" i="31"/>
  <c r="AL70" i="31"/>
  <c r="AZ70" i="31"/>
  <c r="AT70" i="31"/>
  <c r="AL40" i="31"/>
  <c r="AT40" i="31"/>
  <c r="AZ40" i="31"/>
  <c r="AL20" i="31"/>
  <c r="AT20" i="31"/>
  <c r="AZ20" i="31"/>
  <c r="AL75" i="31"/>
  <c r="AZ75" i="31"/>
  <c r="AT75" i="31"/>
  <c r="AE94" i="27"/>
  <c r="AS94" i="27" s="1"/>
  <c r="AE94" i="31"/>
  <c r="AS94" i="31" s="1"/>
  <c r="AL49" i="31"/>
  <c r="AT49" i="31"/>
  <c r="AZ49" i="31"/>
  <c r="AL55" i="31"/>
  <c r="AT55" i="31"/>
  <c r="AZ55" i="31"/>
  <c r="CW30" i="24"/>
  <c r="CW138" i="24" s="1"/>
  <c r="Z146" i="27"/>
  <c r="Z145" i="27"/>
  <c r="AG139" i="27"/>
  <c r="AK122" i="31"/>
  <c r="AR122" i="31"/>
  <c r="AY122" i="31"/>
  <c r="AK98" i="31"/>
  <c r="AR98" i="31"/>
  <c r="AY98" i="31"/>
  <c r="AM92" i="31"/>
  <c r="BA92" i="31"/>
  <c r="AV92" i="31"/>
  <c r="AG142" i="31"/>
  <c r="AU67" i="31"/>
  <c r="AK50" i="31"/>
  <c r="AY50" i="31"/>
  <c r="AR50" i="31"/>
  <c r="AL108" i="31"/>
  <c r="AM37" i="31"/>
  <c r="BA37" i="31"/>
  <c r="AV37" i="31"/>
  <c r="AM126" i="31"/>
  <c r="BA126" i="31"/>
  <c r="AV126" i="31"/>
  <c r="AK100" i="31"/>
  <c r="AY100" i="31"/>
  <c r="AR100" i="31"/>
  <c r="AM94" i="31"/>
  <c r="BA94" i="31"/>
  <c r="AV94" i="31"/>
  <c r="AK68" i="31"/>
  <c r="AR68" i="31"/>
  <c r="AY68" i="31"/>
  <c r="AM62" i="31"/>
  <c r="AV62" i="31"/>
  <c r="BA62" i="31"/>
  <c r="AG138" i="31"/>
  <c r="AU27" i="31"/>
  <c r="AR85" i="31"/>
  <c r="AK69" i="31"/>
  <c r="AY69" i="31"/>
  <c r="AR69" i="31"/>
  <c r="AR53" i="31"/>
  <c r="AR37" i="31"/>
  <c r="AG146" i="31"/>
  <c r="AU127" i="31"/>
  <c r="AK118" i="31"/>
  <c r="AR118" i="31"/>
  <c r="AY118" i="31"/>
  <c r="AM112" i="31"/>
  <c r="BA112" i="31"/>
  <c r="AV112" i="31"/>
  <c r="AK86" i="31"/>
  <c r="AY86" i="31"/>
  <c r="AR86" i="31"/>
  <c r="AM80" i="31"/>
  <c r="AV80" i="31"/>
  <c r="BA80" i="31"/>
  <c r="AA142" i="31"/>
  <c r="AO67" i="31"/>
  <c r="AK54" i="31"/>
  <c r="AY54" i="31"/>
  <c r="AR54" i="31"/>
  <c r="AM48" i="31"/>
  <c r="BA48" i="31"/>
  <c r="AV48" i="31"/>
  <c r="AC137" i="31"/>
  <c r="AQ8" i="31"/>
  <c r="AK38" i="31"/>
  <c r="AR38" i="31"/>
  <c r="AY38" i="31"/>
  <c r="AM121" i="31"/>
  <c r="BA121" i="31"/>
  <c r="AV121" i="31"/>
  <c r="AC144" i="31"/>
  <c r="AQ110" i="31"/>
  <c r="AM105" i="31"/>
  <c r="BA105" i="31"/>
  <c r="AV105" i="31"/>
  <c r="AK95" i="31"/>
  <c r="AY95" i="31"/>
  <c r="AR95" i="31"/>
  <c r="AM81" i="31"/>
  <c r="BA81" i="31"/>
  <c r="AV81" i="31"/>
  <c r="AM65" i="31"/>
  <c r="BA65" i="31"/>
  <c r="AV65" i="31"/>
  <c r="AM49" i="31"/>
  <c r="BA49" i="31"/>
  <c r="AV49" i="31"/>
  <c r="AB139" i="31"/>
  <c r="AP34" i="31"/>
  <c r="AB136" i="31"/>
  <c r="AP7" i="31"/>
  <c r="AB144" i="31"/>
  <c r="AP110" i="31"/>
  <c r="AK104" i="31"/>
  <c r="AK80" i="31"/>
  <c r="AK64" i="31"/>
  <c r="AY13" i="31"/>
  <c r="AA138" i="31"/>
  <c r="AO27" i="31"/>
  <c r="AK129" i="31"/>
  <c r="AR129" i="31"/>
  <c r="AY129" i="31"/>
  <c r="AB145" i="31"/>
  <c r="AP119" i="31"/>
  <c r="AR113" i="31"/>
  <c r="AR97" i="31"/>
  <c r="AM67" i="31"/>
  <c r="AH142" i="31"/>
  <c r="BA67" i="31"/>
  <c r="AV67" i="31"/>
  <c r="AM51" i="31"/>
  <c r="AH141" i="31"/>
  <c r="AV51" i="31"/>
  <c r="BA51" i="31"/>
  <c r="Z137" i="31"/>
  <c r="AN8" i="31"/>
  <c r="AM119" i="31"/>
  <c r="AH145" i="31"/>
  <c r="AV119" i="31"/>
  <c r="BA119" i="31"/>
  <c r="AK13" i="31"/>
  <c r="AZ45" i="12"/>
  <c r="AF45" i="27"/>
  <c r="AF88" i="16"/>
  <c r="AF88" i="27"/>
  <c r="AE130" i="16"/>
  <c r="AE130" i="27"/>
  <c r="AE26" i="16"/>
  <c r="AS26" i="16" s="1"/>
  <c r="AE26" i="27"/>
  <c r="AF52" i="16"/>
  <c r="AF52" i="27"/>
  <c r="AZ8" i="27"/>
  <c r="AT8" i="27"/>
  <c r="AE117" i="16"/>
  <c r="AE117" i="27"/>
  <c r="AE69" i="16"/>
  <c r="AE69" i="27"/>
  <c r="AE47" i="16"/>
  <c r="AE47" i="27"/>
  <c r="AE13" i="16"/>
  <c r="AE13" i="27"/>
  <c r="AS13" i="27" s="1"/>
  <c r="AL67" i="27"/>
  <c r="AT67" i="27"/>
  <c r="AZ67" i="27"/>
  <c r="AF123" i="16"/>
  <c r="AF123" i="27"/>
  <c r="AY123" i="27" s="1"/>
  <c r="AF82" i="16"/>
  <c r="AF82" i="27"/>
  <c r="AK82" i="27" s="1"/>
  <c r="AF18" i="16"/>
  <c r="AF18" i="27"/>
  <c r="AL73" i="27"/>
  <c r="AZ73" i="27"/>
  <c r="AT73" i="27"/>
  <c r="AF128" i="16"/>
  <c r="AF128" i="27"/>
  <c r="AF112" i="16"/>
  <c r="AF112" i="27"/>
  <c r="AF92" i="16"/>
  <c r="AF92" i="27"/>
  <c r="AF74" i="16"/>
  <c r="AF74" i="27"/>
  <c r="AF46" i="16"/>
  <c r="AF46" i="27"/>
  <c r="AF26" i="16"/>
  <c r="AF26" i="27"/>
  <c r="AF93" i="16"/>
  <c r="AF93" i="27"/>
  <c r="AZ9" i="12"/>
  <c r="AF9" i="27"/>
  <c r="AE118" i="16"/>
  <c r="AE118" i="27"/>
  <c r="AE100" i="16"/>
  <c r="AE100" i="27"/>
  <c r="AE80" i="16"/>
  <c r="AE80" i="27"/>
  <c r="AS80" i="27" s="1"/>
  <c r="AE64" i="16"/>
  <c r="AE64" i="27"/>
  <c r="AS64" i="27" s="1"/>
  <c r="AE48" i="16"/>
  <c r="AE48" i="27"/>
  <c r="AS48" i="27" s="1"/>
  <c r="AE30" i="16"/>
  <c r="AE30" i="27"/>
  <c r="AE14" i="16"/>
  <c r="AE14" i="27"/>
  <c r="AF69" i="16"/>
  <c r="AF69" i="27"/>
  <c r="AF125" i="16"/>
  <c r="AF125" i="27"/>
  <c r="AR194" i="12"/>
  <c r="AG141" i="27"/>
  <c r="D133" i="27"/>
  <c r="D136" i="27"/>
  <c r="D147" i="27" s="1"/>
  <c r="AN7" i="27"/>
  <c r="AM38" i="27"/>
  <c r="AV38" i="27"/>
  <c r="BA38" i="27"/>
  <c r="AG138" i="27"/>
  <c r="AI149" i="27" s="1"/>
  <c r="AK149" i="27" s="1"/>
  <c r="AB142" i="27"/>
  <c r="AR40" i="27"/>
  <c r="AD139" i="27"/>
  <c r="AR34" i="27"/>
  <c r="AR28" i="27"/>
  <c r="AR16" i="27"/>
  <c r="AR13" i="27"/>
  <c r="AR9" i="27"/>
  <c r="AR56" i="27"/>
  <c r="AC143" i="27"/>
  <c r="AM83" i="27"/>
  <c r="BA83" i="27"/>
  <c r="AV83" i="27"/>
  <c r="AF60" i="16"/>
  <c r="AF60" i="27"/>
  <c r="AF106" i="16"/>
  <c r="AF106" i="27"/>
  <c r="AF75" i="16"/>
  <c r="AF75" i="27"/>
  <c r="AE10" i="16"/>
  <c r="AE10" i="27"/>
  <c r="AS10" i="27" s="1"/>
  <c r="AM35" i="27"/>
  <c r="BA35" i="27"/>
  <c r="AV35" i="27"/>
  <c r="AB141" i="27"/>
  <c r="AR104" i="27"/>
  <c r="AF109" i="16"/>
  <c r="AZ109" i="16" s="1"/>
  <c r="AF109" i="27"/>
  <c r="AE115" i="16"/>
  <c r="AE115" i="27"/>
  <c r="AE99" i="16"/>
  <c r="AE99" i="27"/>
  <c r="AE65" i="16"/>
  <c r="AE65" i="27"/>
  <c r="AE45" i="16"/>
  <c r="AE45" i="27"/>
  <c r="AE11" i="16"/>
  <c r="AE11" i="27"/>
  <c r="AS11" i="27" s="1"/>
  <c r="AF57" i="16"/>
  <c r="AF57" i="27"/>
  <c r="AF66" i="16"/>
  <c r="AF66" i="27"/>
  <c r="AF14" i="16"/>
  <c r="AF14" i="27"/>
  <c r="AZ59" i="12"/>
  <c r="AF59" i="27"/>
  <c r="AF126" i="16"/>
  <c r="AT126" i="16" s="1"/>
  <c r="AF126" i="27"/>
  <c r="AF108" i="16"/>
  <c r="AF108" i="27"/>
  <c r="AF90" i="16"/>
  <c r="AF90" i="27"/>
  <c r="AF72" i="16"/>
  <c r="AF72" i="27"/>
  <c r="AF42" i="16"/>
  <c r="AF42" i="27"/>
  <c r="AF22" i="16"/>
  <c r="AF22" i="27"/>
  <c r="AF85" i="16"/>
  <c r="AT85" i="16" s="1"/>
  <c r="AF85" i="27"/>
  <c r="AK85" i="27" s="1"/>
  <c r="AE132" i="16"/>
  <c r="AE132" i="27"/>
  <c r="AE116" i="16"/>
  <c r="AE116" i="27"/>
  <c r="AE98" i="16"/>
  <c r="AE98" i="27"/>
  <c r="AE78" i="16"/>
  <c r="AE78" i="27"/>
  <c r="AE62" i="16"/>
  <c r="AE62" i="27"/>
  <c r="AE46" i="16"/>
  <c r="AE46" i="27"/>
  <c r="AE28" i="16"/>
  <c r="AE28" i="27"/>
  <c r="AS28" i="27" s="1"/>
  <c r="AE12" i="16"/>
  <c r="AE12" i="27"/>
  <c r="AS12" i="27" s="1"/>
  <c r="AF61" i="16"/>
  <c r="AF61" i="27"/>
  <c r="AF77" i="16"/>
  <c r="AT77" i="16" s="1"/>
  <c r="AF77" i="27"/>
  <c r="AY77" i="27" s="1"/>
  <c r="AR175" i="12"/>
  <c r="AR171" i="12"/>
  <c r="AR174" i="12"/>
  <c r="AR169" i="12"/>
  <c r="AR173" i="12"/>
  <c r="AR168" i="12"/>
  <c r="AR167" i="12"/>
  <c r="AR177" i="12"/>
  <c r="AR176" i="12"/>
  <c r="AR172" i="12"/>
  <c r="AW170" i="12"/>
  <c r="AK43" i="27"/>
  <c r="AO177" i="12"/>
  <c r="AO173" i="12"/>
  <c r="AO168" i="12"/>
  <c r="AO167" i="12"/>
  <c r="AO176" i="12"/>
  <c r="AO172" i="12"/>
  <c r="AO175" i="12"/>
  <c r="AO171" i="12"/>
  <c r="AO174" i="12"/>
  <c r="AO169" i="12"/>
  <c r="AC140" i="27"/>
  <c r="AR48" i="27"/>
  <c r="AA139" i="27"/>
  <c r="AO34" i="27"/>
  <c r="AY51" i="27"/>
  <c r="AM91" i="27"/>
  <c r="AV91" i="27"/>
  <c r="BA91" i="27"/>
  <c r="Z139" i="27"/>
  <c r="AN34" i="27"/>
  <c r="AF49" i="16"/>
  <c r="AT49" i="16" s="1"/>
  <c r="AF49" i="27"/>
  <c r="AY49" i="27" s="1"/>
  <c r="AM174" i="12"/>
  <c r="AM169" i="12"/>
  <c r="AM177" i="12"/>
  <c r="AM173" i="12"/>
  <c r="AM168" i="12"/>
  <c r="AM167" i="12"/>
  <c r="AM176" i="12"/>
  <c r="AM172" i="12"/>
  <c r="AM175" i="12"/>
  <c r="AM171" i="12"/>
  <c r="AL174" i="12"/>
  <c r="AL169" i="12"/>
  <c r="AL177" i="12"/>
  <c r="AL173" i="12"/>
  <c r="AL168" i="12"/>
  <c r="AL167" i="12"/>
  <c r="AL172" i="12"/>
  <c r="AL175" i="12"/>
  <c r="AL171" i="12"/>
  <c r="AL176" i="12"/>
  <c r="AS127" i="27"/>
  <c r="AL119" i="27"/>
  <c r="AE111" i="16"/>
  <c r="AE111" i="27"/>
  <c r="AE79" i="16"/>
  <c r="AE79" i="27"/>
  <c r="AE23" i="16"/>
  <c r="AE23" i="27"/>
  <c r="AF37" i="16"/>
  <c r="AF37" i="27"/>
  <c r="AF89" i="16"/>
  <c r="AF89" i="27"/>
  <c r="AF58" i="16"/>
  <c r="AF58" i="27"/>
  <c r="AF129" i="16"/>
  <c r="AF129" i="27"/>
  <c r="AF33" i="16"/>
  <c r="AF33" i="27"/>
  <c r="AF122" i="16"/>
  <c r="AF122" i="27"/>
  <c r="AF104" i="16"/>
  <c r="AF104" i="27"/>
  <c r="AF86" i="16"/>
  <c r="AF86" i="27"/>
  <c r="AF68" i="16"/>
  <c r="AF68" i="27"/>
  <c r="AF38" i="16"/>
  <c r="AF38" i="27"/>
  <c r="AF16" i="16"/>
  <c r="AF16" i="27"/>
  <c r="AF65" i="16"/>
  <c r="AF65" i="27"/>
  <c r="AE128" i="16"/>
  <c r="AE128" i="27"/>
  <c r="AE112" i="16"/>
  <c r="AE112" i="27"/>
  <c r="AS112" i="27" s="1"/>
  <c r="AE92" i="16"/>
  <c r="AE92" i="27"/>
  <c r="AE74" i="16"/>
  <c r="AE74" i="27"/>
  <c r="AE58" i="16"/>
  <c r="AE58" i="27"/>
  <c r="AE42" i="16"/>
  <c r="AE42" i="27"/>
  <c r="AE24" i="16"/>
  <c r="AE24" i="27"/>
  <c r="AS24" i="27" s="1"/>
  <c r="AF39" i="16"/>
  <c r="AT39" i="16" s="1"/>
  <c r="AF39" i="27"/>
  <c r="AK39" i="27" s="1"/>
  <c r="AF41" i="16"/>
  <c r="AT41" i="16" s="1"/>
  <c r="AF41" i="27"/>
  <c r="AY125" i="27"/>
  <c r="AG144" i="27"/>
  <c r="AR36" i="27"/>
  <c r="Z141" i="27"/>
  <c r="AB139" i="27"/>
  <c r="AE81" i="16"/>
  <c r="AE81" i="27"/>
  <c r="AF10" i="16"/>
  <c r="AF10" i="27"/>
  <c r="AF40" i="16"/>
  <c r="AF40" i="27"/>
  <c r="AE60" i="16"/>
  <c r="AE60" i="27"/>
  <c r="AD138" i="27"/>
  <c r="AR27" i="27"/>
  <c r="AH136" i="27"/>
  <c r="AM7" i="27"/>
  <c r="BA7" i="27"/>
  <c r="AV7" i="27"/>
  <c r="AL51" i="27"/>
  <c r="AZ51" i="27"/>
  <c r="AT51" i="27"/>
  <c r="AL34" i="27"/>
  <c r="AT34" i="27"/>
  <c r="AZ34" i="27"/>
  <c r="AE129" i="16"/>
  <c r="AE129" i="27"/>
  <c r="AF115" i="16"/>
  <c r="AF115" i="27"/>
  <c r="AF29" i="16"/>
  <c r="AF29" i="27"/>
  <c r="AZ81" i="12"/>
  <c r="AF81" i="27"/>
  <c r="AF54" i="16"/>
  <c r="AF54" i="27"/>
  <c r="AT117" i="12"/>
  <c r="AF117" i="27"/>
  <c r="AF19" i="16"/>
  <c r="AF19" i="27"/>
  <c r="AF120" i="16"/>
  <c r="AF120" i="27"/>
  <c r="AF102" i="16"/>
  <c r="AF102" i="27"/>
  <c r="AF84" i="16"/>
  <c r="AF84" i="27"/>
  <c r="AF64" i="16"/>
  <c r="AF64" i="27"/>
  <c r="AF36" i="16"/>
  <c r="AF36" i="27"/>
  <c r="AF12" i="16"/>
  <c r="AF12" i="27"/>
  <c r="AF53" i="16"/>
  <c r="AT53" i="16" s="1"/>
  <c r="AF53" i="27"/>
  <c r="AE126" i="16"/>
  <c r="AE126" i="27"/>
  <c r="AE108" i="16"/>
  <c r="AE108" i="27"/>
  <c r="AE90" i="16"/>
  <c r="AE90" i="27"/>
  <c r="AE72" i="16"/>
  <c r="AE72" i="27"/>
  <c r="AS72" i="27" s="1"/>
  <c r="AE56" i="16"/>
  <c r="AE56" i="27"/>
  <c r="AS56" i="27" s="1"/>
  <c r="AE40" i="16"/>
  <c r="AE40" i="27"/>
  <c r="AS40" i="27" s="1"/>
  <c r="AE22" i="16"/>
  <c r="AE22" i="27"/>
  <c r="AF121" i="16"/>
  <c r="AF121" i="27"/>
  <c r="AF31" i="16"/>
  <c r="AF31" i="27"/>
  <c r="AG142" i="27"/>
  <c r="AM34" i="27"/>
  <c r="AH139" i="27"/>
  <c r="AV34" i="27"/>
  <c r="BA34" i="27"/>
  <c r="AY67" i="27"/>
  <c r="AR11" i="27"/>
  <c r="AD137" i="27"/>
  <c r="AC138" i="27"/>
  <c r="AQ27" i="27"/>
  <c r="AG143" i="27"/>
  <c r="AR120" i="27"/>
  <c r="AA140" i="27"/>
  <c r="AB145" i="27"/>
  <c r="AE76" i="16"/>
  <c r="AE76" i="27"/>
  <c r="AE91" i="16"/>
  <c r="AE91" i="27"/>
  <c r="AE75" i="16"/>
  <c r="AE75" i="27"/>
  <c r="AE35" i="16"/>
  <c r="AE35" i="27"/>
  <c r="AE19" i="16"/>
  <c r="AE19" i="27"/>
  <c r="AF103" i="16"/>
  <c r="AF103" i="27"/>
  <c r="AF23" i="16"/>
  <c r="AF23" i="27"/>
  <c r="AF71" i="16"/>
  <c r="AF71" i="27"/>
  <c r="AF11" i="16"/>
  <c r="AF11" i="27"/>
  <c r="AF118" i="16"/>
  <c r="AF118" i="27"/>
  <c r="AF100" i="16"/>
  <c r="AF100" i="27"/>
  <c r="AF80" i="16"/>
  <c r="AF80" i="27"/>
  <c r="AY80" i="27" s="1"/>
  <c r="AF32" i="16"/>
  <c r="AF32" i="27"/>
  <c r="AL43" i="27"/>
  <c r="AT43" i="27"/>
  <c r="AZ43" i="27"/>
  <c r="AE124" i="16"/>
  <c r="AE124" i="27"/>
  <c r="AE106" i="16"/>
  <c r="AK106" i="16" s="1"/>
  <c r="AE106" i="27"/>
  <c r="AE88" i="16"/>
  <c r="AE88" i="27"/>
  <c r="AS88" i="27" s="1"/>
  <c r="AE70" i="16"/>
  <c r="AE70" i="27"/>
  <c r="AE54" i="16"/>
  <c r="AE54" i="27"/>
  <c r="AE38" i="16"/>
  <c r="AE38" i="27"/>
  <c r="AE20" i="16"/>
  <c r="AE20" i="27"/>
  <c r="AS20" i="27" s="1"/>
  <c r="AF107" i="16"/>
  <c r="AF107" i="27"/>
  <c r="AY107" i="27" s="1"/>
  <c r="AF25" i="16"/>
  <c r="AF25" i="27"/>
  <c r="AY25" i="27" s="1"/>
  <c r="AS175" i="12"/>
  <c r="AS171" i="12"/>
  <c r="AS174" i="12"/>
  <c r="AS169" i="12"/>
  <c r="AS167" i="12"/>
  <c r="AS177" i="12"/>
  <c r="AS173" i="12"/>
  <c r="AS168" i="12"/>
  <c r="AS176" i="12"/>
  <c r="AS172" i="12"/>
  <c r="AA143" i="27"/>
  <c r="AK67" i="27"/>
  <c r="AC141" i="27"/>
  <c r="AG137" i="27"/>
  <c r="AU8" i="27"/>
  <c r="AK125" i="27"/>
  <c r="AR32" i="27"/>
  <c r="AR20" i="27"/>
  <c r="AK8" i="27"/>
  <c r="AA141" i="27"/>
  <c r="AK119" i="27"/>
  <c r="AB140" i="27"/>
  <c r="AD143" i="27"/>
  <c r="AE63" i="16"/>
  <c r="AE63" i="27"/>
  <c r="AF124" i="16"/>
  <c r="AF124" i="27"/>
  <c r="AF20" i="16"/>
  <c r="AF20" i="27"/>
  <c r="AE44" i="16"/>
  <c r="AE44" i="27"/>
  <c r="AR24" i="27"/>
  <c r="AR12" i="27"/>
  <c r="AF62" i="16"/>
  <c r="AF62" i="27"/>
  <c r="AS110" i="27"/>
  <c r="AT96" i="27"/>
  <c r="AE17" i="16"/>
  <c r="AE17" i="27"/>
  <c r="AF91" i="16"/>
  <c r="AK91" i="16" s="1"/>
  <c r="AF91" i="27"/>
  <c r="AL17" i="27"/>
  <c r="AZ17" i="27"/>
  <c r="AT17" i="27"/>
  <c r="AT63" i="12"/>
  <c r="AF63" i="27"/>
  <c r="AF48" i="16"/>
  <c r="AF48" i="27"/>
  <c r="AF97" i="16"/>
  <c r="AF97" i="27"/>
  <c r="AF132" i="16"/>
  <c r="AF132" i="27"/>
  <c r="AF116" i="16"/>
  <c r="AF116" i="27"/>
  <c r="AF98" i="16"/>
  <c r="AF98" i="27"/>
  <c r="AF78" i="16"/>
  <c r="AF78" i="27"/>
  <c r="AF56" i="16"/>
  <c r="AF56" i="27"/>
  <c r="AF30" i="16"/>
  <c r="AZ30" i="16" s="1"/>
  <c r="AF30" i="27"/>
  <c r="AF111" i="16"/>
  <c r="AF111" i="27"/>
  <c r="AF35" i="16"/>
  <c r="AF35" i="27"/>
  <c r="AE122" i="16"/>
  <c r="AE122" i="27"/>
  <c r="AE104" i="16"/>
  <c r="AE104" i="27"/>
  <c r="AS104" i="27" s="1"/>
  <c r="AE86" i="16"/>
  <c r="AE86" i="27"/>
  <c r="AE68" i="16"/>
  <c r="AE68" i="27"/>
  <c r="AE52" i="16"/>
  <c r="AE52" i="27"/>
  <c r="AE36" i="16"/>
  <c r="AK36" i="16" s="1"/>
  <c r="AE36" i="27"/>
  <c r="AS36" i="27" s="1"/>
  <c r="AE18" i="16"/>
  <c r="AE18" i="27"/>
  <c r="AF95" i="16"/>
  <c r="AF95" i="27"/>
  <c r="AK95" i="27" s="1"/>
  <c r="AF15" i="16"/>
  <c r="AF15" i="27"/>
  <c r="AK15" i="27" s="1"/>
  <c r="AC137" i="27"/>
  <c r="AK93" i="27"/>
  <c r="AK77" i="27"/>
  <c r="AY43" i="27"/>
  <c r="AR10" i="27"/>
  <c r="AC139" i="27"/>
  <c r="AQ34" i="27"/>
  <c r="AB138" i="27"/>
  <c r="AP27" i="27"/>
  <c r="AR88" i="27"/>
  <c r="AR72" i="27"/>
  <c r="AA144" i="27"/>
  <c r="AY57" i="27"/>
  <c r="AF99" i="16"/>
  <c r="AF99" i="27"/>
  <c r="AF70" i="16"/>
  <c r="AF70" i="27"/>
  <c r="AE114" i="16"/>
  <c r="AE114" i="27"/>
  <c r="AF55" i="16"/>
  <c r="AT55" i="16" s="1"/>
  <c r="AF55" i="27"/>
  <c r="AT174" i="12"/>
  <c r="AX174" i="12" s="1"/>
  <c r="AT169" i="12"/>
  <c r="AX169" i="12" s="1"/>
  <c r="AT176" i="12"/>
  <c r="AX176" i="12" s="1"/>
  <c r="AT177" i="12"/>
  <c r="AX177" i="12" s="1"/>
  <c r="AT173" i="12"/>
  <c r="AX173" i="12" s="1"/>
  <c r="AT168" i="12"/>
  <c r="AX168" i="12" s="1"/>
  <c r="AT167" i="12"/>
  <c r="AX167" i="12" s="1"/>
  <c r="AT175" i="12"/>
  <c r="AX175" i="12" s="1"/>
  <c r="AT171" i="12"/>
  <c r="AX171" i="12" s="1"/>
  <c r="AT172" i="12"/>
  <c r="AX172" i="12" s="1"/>
  <c r="AX170" i="12"/>
  <c r="AK175" i="12"/>
  <c r="AK171" i="12"/>
  <c r="AK174" i="12"/>
  <c r="AK169" i="12"/>
  <c r="AK177" i="12"/>
  <c r="AK173" i="12"/>
  <c r="AK168" i="12"/>
  <c r="AK176" i="12"/>
  <c r="AK172" i="12"/>
  <c r="AK167" i="12"/>
  <c r="AF131" i="16"/>
  <c r="AF131" i="27"/>
  <c r="AY131" i="27" s="1"/>
  <c r="AS51" i="27"/>
  <c r="AF44" i="16"/>
  <c r="AF44" i="27"/>
  <c r="AE121" i="16"/>
  <c r="AE121" i="27"/>
  <c r="AE103" i="16"/>
  <c r="AK103" i="16" s="1"/>
  <c r="AE103" i="27"/>
  <c r="AE31" i="16"/>
  <c r="AE31" i="27"/>
  <c r="AF79" i="16"/>
  <c r="AF79" i="27"/>
  <c r="AT13" i="12"/>
  <c r="AF13" i="27"/>
  <c r="AF24" i="16"/>
  <c r="AF24" i="27"/>
  <c r="AF87" i="16"/>
  <c r="AF87" i="27"/>
  <c r="AF130" i="16"/>
  <c r="AF130" i="27"/>
  <c r="AF114" i="16"/>
  <c r="AF114" i="27"/>
  <c r="AF94" i="16"/>
  <c r="AF94" i="27"/>
  <c r="AF76" i="16"/>
  <c r="AF76" i="27"/>
  <c r="AF50" i="16"/>
  <c r="AF50" i="27"/>
  <c r="AF28" i="16"/>
  <c r="AK28" i="16" s="1"/>
  <c r="AF28" i="27"/>
  <c r="AF101" i="16"/>
  <c r="AF101" i="27"/>
  <c r="AF21" i="16"/>
  <c r="AT21" i="16" s="1"/>
  <c r="AF21" i="27"/>
  <c r="AE120" i="16"/>
  <c r="AK120" i="16" s="1"/>
  <c r="AE120" i="27"/>
  <c r="AS120" i="27" s="1"/>
  <c r="AE102" i="16"/>
  <c r="AK102" i="16" s="1"/>
  <c r="AE102" i="27"/>
  <c r="AE84" i="16"/>
  <c r="AE84" i="27"/>
  <c r="AE66" i="16"/>
  <c r="AK66" i="16" s="1"/>
  <c r="AE66" i="27"/>
  <c r="AE50" i="16"/>
  <c r="AK50" i="16" s="1"/>
  <c r="AE50" i="27"/>
  <c r="AE32" i="16"/>
  <c r="AE32" i="27"/>
  <c r="AS32" i="27" s="1"/>
  <c r="AE16" i="16"/>
  <c r="AE16" i="27"/>
  <c r="AS16" i="27" s="1"/>
  <c r="AF83" i="16"/>
  <c r="AF83" i="27"/>
  <c r="AF105" i="16"/>
  <c r="AT105" i="16" s="1"/>
  <c r="AF105" i="27"/>
  <c r="AB143" i="27"/>
  <c r="AM8" i="27"/>
  <c r="AH137" i="27"/>
  <c r="BA8" i="27"/>
  <c r="AV8" i="27"/>
  <c r="AC142" i="27"/>
  <c r="AG140" i="27"/>
  <c r="AU43" i="27"/>
  <c r="AG136" i="27"/>
  <c r="AU7" i="27"/>
  <c r="AB137" i="27"/>
  <c r="AA142" i="27"/>
  <c r="AN177" i="12"/>
  <c r="AN173" i="12"/>
  <c r="AN168" i="12"/>
  <c r="AN171" i="12"/>
  <c r="AN167" i="12"/>
  <c r="AN176" i="12"/>
  <c r="AN172" i="12"/>
  <c r="AN174" i="12"/>
  <c r="AN169" i="12"/>
  <c r="AN175" i="12"/>
  <c r="AC144" i="27"/>
  <c r="AR112" i="27"/>
  <c r="AR80" i="27"/>
  <c r="AR64" i="27"/>
  <c r="AK57" i="27"/>
  <c r="Z138" i="27"/>
  <c r="AN27" i="27"/>
  <c r="CQ52" i="14"/>
  <c r="CQ19" i="14"/>
  <c r="CQ25" i="14"/>
  <c r="CS13" i="14"/>
  <c r="CQ13" i="14"/>
  <c r="CQ21" i="14"/>
  <c r="CQ11" i="14"/>
  <c r="W112" i="22"/>
  <c r="W128" i="22"/>
  <c r="W113" i="22"/>
  <c r="CR13" i="14"/>
  <c r="CJ138" i="7"/>
  <c r="CK138" i="7"/>
  <c r="CE138" i="7"/>
  <c r="CG138" i="7"/>
  <c r="CH138" i="7"/>
  <c r="CF138" i="7"/>
  <c r="CI138" i="7"/>
  <c r="M27" i="22"/>
  <c r="M140" i="22" s="1"/>
  <c r="CL138" i="7"/>
  <c r="CE183" i="12" s="1"/>
  <c r="BA37" i="16"/>
  <c r="AL62" i="16"/>
  <c r="AL89" i="16"/>
  <c r="AL25" i="16"/>
  <c r="AL120" i="16"/>
  <c r="AL121" i="16"/>
  <c r="AL12" i="16"/>
  <c r="AL107" i="16"/>
  <c r="AL119" i="16"/>
  <c r="AL116" i="16"/>
  <c r="AL84" i="16"/>
  <c r="AL52" i="16"/>
  <c r="AL13" i="16"/>
  <c r="AL40" i="16"/>
  <c r="AL35" i="16"/>
  <c r="AL11" i="16"/>
  <c r="AL78" i="16"/>
  <c r="AL56" i="16"/>
  <c r="AL48" i="16"/>
  <c r="AL97" i="16"/>
  <c r="AL57" i="16"/>
  <c r="AL98" i="16"/>
  <c r="AL123" i="16"/>
  <c r="AL67" i="16"/>
  <c r="AG138" i="16"/>
  <c r="AL27" i="16"/>
  <c r="AU73" i="16"/>
  <c r="AL73" i="16"/>
  <c r="AL109" i="16"/>
  <c r="AL77" i="16"/>
  <c r="AL45" i="16"/>
  <c r="AL39" i="16"/>
  <c r="AL33" i="16"/>
  <c r="AL28" i="16"/>
  <c r="AL20" i="16"/>
  <c r="AL9" i="16"/>
  <c r="AL70" i="16"/>
  <c r="AL95" i="16"/>
  <c r="AL63" i="16"/>
  <c r="AL128" i="16"/>
  <c r="AL129" i="16"/>
  <c r="AL90" i="16"/>
  <c r="AL115" i="16"/>
  <c r="AL108" i="16"/>
  <c r="AL76" i="16"/>
  <c r="AL49" i="16"/>
  <c r="AL82" i="16"/>
  <c r="AG141" i="16"/>
  <c r="AL51" i="16"/>
  <c r="AG137" i="16"/>
  <c r="AL8" i="16"/>
  <c r="AL101" i="16"/>
  <c r="AL69" i="16"/>
  <c r="AL44" i="16"/>
  <c r="AL38" i="16"/>
  <c r="AL32" i="16"/>
  <c r="AL26" i="16"/>
  <c r="AL19" i="16"/>
  <c r="AL126" i="16"/>
  <c r="AL54" i="16"/>
  <c r="AL87" i="16"/>
  <c r="AL55" i="16"/>
  <c r="AL112" i="16"/>
  <c r="AL74" i="16"/>
  <c r="AL99" i="16"/>
  <c r="AL100" i="16"/>
  <c r="AL68" i="16"/>
  <c r="AL22" i="16"/>
  <c r="AL10" i="16"/>
  <c r="AL37" i="16"/>
  <c r="AL31" i="16"/>
  <c r="AL24" i="16"/>
  <c r="AL17" i="16"/>
  <c r="AL118" i="16"/>
  <c r="AL46" i="16"/>
  <c r="AL104" i="16"/>
  <c r="AL113" i="16"/>
  <c r="AL81" i="16"/>
  <c r="AL130" i="16"/>
  <c r="AL66" i="16"/>
  <c r="AL91" i="16"/>
  <c r="AG140" i="16"/>
  <c r="AL43" i="16"/>
  <c r="AL7" i="16"/>
  <c r="AG144" i="16"/>
  <c r="AL110" i="16"/>
  <c r="AL18" i="16"/>
  <c r="AL125" i="16"/>
  <c r="AL93" i="16"/>
  <c r="AL61" i="16"/>
  <c r="AL42" i="16"/>
  <c r="AL23" i="16"/>
  <c r="AL102" i="16"/>
  <c r="AL111" i="16"/>
  <c r="AL79" i="16"/>
  <c r="AL47" i="16"/>
  <c r="AL88" i="16"/>
  <c r="AL122" i="16"/>
  <c r="AL58" i="16"/>
  <c r="AL83" i="16"/>
  <c r="AL127" i="16"/>
  <c r="AL124" i="16"/>
  <c r="AL92" i="16"/>
  <c r="AL60" i="16"/>
  <c r="AL15" i="16"/>
  <c r="AL41" i="16"/>
  <c r="AL36" i="16"/>
  <c r="AL30" i="16"/>
  <c r="AL16" i="16"/>
  <c r="AL94" i="16"/>
  <c r="AL72" i="16"/>
  <c r="AL105" i="16"/>
  <c r="AL65" i="16"/>
  <c r="AL114" i="16"/>
  <c r="AL50" i="16"/>
  <c r="AL75" i="16"/>
  <c r="AG139" i="16"/>
  <c r="AL34" i="16"/>
  <c r="AG143" i="16"/>
  <c r="AL96" i="16"/>
  <c r="AL117" i="16"/>
  <c r="AL85" i="16"/>
  <c r="AL53" i="16"/>
  <c r="AL29" i="16"/>
  <c r="AL21" i="16"/>
  <c r="AL14" i="16"/>
  <c r="AL86" i="16"/>
  <c r="AL103" i="16"/>
  <c r="AL71" i="16"/>
  <c r="AL80" i="16"/>
  <c r="AL64" i="16"/>
  <c r="AL106" i="16"/>
  <c r="AL131" i="16"/>
  <c r="AL59" i="16"/>
  <c r="CE142" i="7"/>
  <c r="M67" i="22"/>
  <c r="M43" i="22"/>
  <c r="CS40" i="15"/>
  <c r="CT40" i="15"/>
  <c r="CQ36" i="15"/>
  <c r="CT41" i="15"/>
  <c r="CS41" i="15"/>
  <c r="CQ41" i="15"/>
  <c r="CQ40" i="15"/>
  <c r="CT35" i="15"/>
  <c r="CQ38" i="15"/>
  <c r="CR40" i="15"/>
  <c r="CU40" i="15"/>
  <c r="CR41" i="15"/>
  <c r="AE194" i="12"/>
  <c r="AG142" i="16"/>
  <c r="M96" i="22"/>
  <c r="CS98" i="15"/>
  <c r="M7" i="22"/>
  <c r="M138" i="22" s="1"/>
  <c r="CL136" i="7"/>
  <c r="CR30" i="24"/>
  <c r="CR138" i="24" s="1"/>
  <c r="CH98" i="7"/>
  <c r="CE98" i="7"/>
  <c r="CE143" i="7" s="1"/>
  <c r="CG98" i="7"/>
  <c r="CJ98" i="7"/>
  <c r="CF98" i="7"/>
  <c r="CQ30" i="24"/>
  <c r="CQ138" i="24" s="1"/>
  <c r="CS30" i="24"/>
  <c r="CS138" i="24" s="1"/>
  <c r="CT30" i="24"/>
  <c r="CT138" i="24" s="1"/>
  <c r="CX30" i="24"/>
  <c r="CX138" i="24" s="1"/>
  <c r="CV30" i="24"/>
  <c r="CV138" i="24" s="1"/>
  <c r="CR58" i="24"/>
  <c r="AV194" i="12"/>
  <c r="AF194" i="12"/>
  <c r="AU195" i="12"/>
  <c r="AQ194" i="12"/>
  <c r="AP194" i="12"/>
  <c r="CW58" i="24"/>
  <c r="AZ73" i="12"/>
  <c r="AF195" i="12"/>
  <c r="AO195" i="12"/>
  <c r="AQ195" i="12"/>
  <c r="AN195" i="12"/>
  <c r="AO194" i="12"/>
  <c r="CU58" i="24"/>
  <c r="AR195" i="12"/>
  <c r="CH59" i="24"/>
  <c r="CT59" i="24" s="1"/>
  <c r="CG59" i="24"/>
  <c r="CS59" i="24" s="1"/>
  <c r="CE59" i="24"/>
  <c r="CQ59" i="24" s="1"/>
  <c r="CF59" i="24"/>
  <c r="CR59" i="24" s="1"/>
  <c r="CI59" i="24"/>
  <c r="CU59" i="24" s="1"/>
  <c r="CJ59" i="24"/>
  <c r="CV59" i="24" s="1"/>
  <c r="CL59" i="24"/>
  <c r="CX59" i="24" s="1"/>
  <c r="CK59" i="24"/>
  <c r="CW59" i="24" s="1"/>
  <c r="AU194" i="12"/>
  <c r="CS58" i="24"/>
  <c r="BA60" i="24"/>
  <c r="AY60" i="24"/>
  <c r="AZ60" i="24"/>
  <c r="CP60" i="24" s="1"/>
  <c r="G45" i="22" s="1"/>
  <c r="AN194" i="12"/>
  <c r="CQ58" i="24"/>
  <c r="AM60" i="24"/>
  <c r="AK60" i="24"/>
  <c r="CD60" i="24" s="1"/>
  <c r="AL60" i="24"/>
  <c r="AK45" i="12"/>
  <c r="AP195" i="12"/>
  <c r="CT58" i="24"/>
  <c r="AE195" i="12"/>
  <c r="AV195" i="12"/>
  <c r="CX58" i="24"/>
  <c r="CD19" i="15"/>
  <c r="CE19" i="15" s="1"/>
  <c r="CD11" i="15"/>
  <c r="CE11" i="15" s="1"/>
  <c r="CD14" i="15"/>
  <c r="CE14" i="15" s="1"/>
  <c r="CD23" i="15"/>
  <c r="CE23" i="15" s="1"/>
  <c r="CD51" i="15"/>
  <c r="X60" i="19"/>
  <c r="CD31" i="15"/>
  <c r="CD70" i="15"/>
  <c r="CE70" i="15" s="1"/>
  <c r="CQ70" i="15" s="1"/>
  <c r="CD15" i="15"/>
  <c r="CE15" i="15" s="1"/>
  <c r="X60" i="24"/>
  <c r="CD27" i="15"/>
  <c r="AU43" i="16"/>
  <c r="X60" i="7"/>
  <c r="X60" i="12" s="1"/>
  <c r="DA34" i="7"/>
  <c r="CG54" i="15"/>
  <c r="CS54" i="15" s="1"/>
  <c r="CG42" i="15"/>
  <c r="BN69" i="14"/>
  <c r="BJ31" i="15"/>
  <c r="BR31" i="15" s="1"/>
  <c r="BQ79" i="14"/>
  <c r="BG122" i="15"/>
  <c r="BO122" i="15" s="1"/>
  <c r="BA105" i="16"/>
  <c r="BQ87" i="14"/>
  <c r="BJ8" i="14"/>
  <c r="BJ62" i="15"/>
  <c r="BG19" i="15"/>
  <c r="BO19" i="15" s="1"/>
  <c r="BG81" i="14"/>
  <c r="BO81" i="14" s="1"/>
  <c r="BJ40" i="15"/>
  <c r="BK40" i="15" s="1"/>
  <c r="BN72" i="15"/>
  <c r="CU138" i="24"/>
  <c r="BQ12" i="3"/>
  <c r="CI12" i="3" s="1"/>
  <c r="BQ9" i="14"/>
  <c r="BJ9" i="14"/>
  <c r="BP9" i="3"/>
  <c r="BJ37" i="15"/>
  <c r="BR37" i="15" s="1"/>
  <c r="CJ37" i="15" s="1"/>
  <c r="BQ37" i="15"/>
  <c r="BJ87" i="15"/>
  <c r="BJ39" i="15"/>
  <c r="BQ39" i="15"/>
  <c r="CI39" i="15" s="1"/>
  <c r="CP12" i="15"/>
  <c r="AA12" i="22" s="1"/>
  <c r="BG11" i="15"/>
  <c r="BO11" i="15" s="1"/>
  <c r="BJ41" i="15"/>
  <c r="BQ41" i="15"/>
  <c r="CI41" i="15" s="1"/>
  <c r="BJ22" i="15"/>
  <c r="CP28" i="14"/>
  <c r="V28" i="22" s="1"/>
  <c r="CP31" i="14"/>
  <c r="V31" i="22" s="1"/>
  <c r="CL136" i="3"/>
  <c r="R7" i="22"/>
  <c r="R138" i="22" s="1"/>
  <c r="M141" i="22"/>
  <c r="CX120" i="15"/>
  <c r="AB120" i="22"/>
  <c r="G37" i="22"/>
  <c r="G42" i="22"/>
  <c r="G8" i="22"/>
  <c r="CO8" i="3"/>
  <c r="CR7" i="14"/>
  <c r="CR136" i="14" s="1"/>
  <c r="V7" i="22"/>
  <c r="CS10" i="14"/>
  <c r="V10" i="22"/>
  <c r="G35" i="22"/>
  <c r="G40" i="22"/>
  <c r="CO29" i="3"/>
  <c r="G29" i="22"/>
  <c r="G38" i="22"/>
  <c r="G27" i="22"/>
  <c r="CO27" i="3"/>
  <c r="G36" i="22"/>
  <c r="G41" i="22"/>
  <c r="CO9" i="3"/>
  <c r="G9" i="22"/>
  <c r="CO28" i="3"/>
  <c r="G28" i="22"/>
  <c r="CO12" i="3"/>
  <c r="G12" i="22"/>
  <c r="CP29" i="14"/>
  <c r="CR29" i="14" s="1"/>
  <c r="CO11" i="3"/>
  <c r="G11" i="22"/>
  <c r="CR115" i="15"/>
  <c r="AA115" i="22"/>
  <c r="CT106" i="14"/>
  <c r="V106" i="22"/>
  <c r="CT83" i="14"/>
  <c r="V83" i="22"/>
  <c r="CT47" i="14"/>
  <c r="V47" i="22"/>
  <c r="CO30" i="3"/>
  <c r="G30" i="22"/>
  <c r="G39" i="22"/>
  <c r="BG91" i="15"/>
  <c r="BO91" i="15" s="1"/>
  <c r="CG91" i="15" s="1"/>
  <c r="CS91" i="15" s="1"/>
  <c r="BN91" i="15"/>
  <c r="BG52" i="15"/>
  <c r="BO52" i="15" s="1"/>
  <c r="BN52" i="15"/>
  <c r="BR132" i="15"/>
  <c r="BQ77" i="15"/>
  <c r="CI77" i="15" s="1"/>
  <c r="CU77" i="15" s="1"/>
  <c r="BJ77" i="15"/>
  <c r="BJ35" i="15"/>
  <c r="BR35" i="15" s="1"/>
  <c r="BG106" i="15"/>
  <c r="BO106" i="15" s="1"/>
  <c r="BN106" i="15"/>
  <c r="BQ69" i="15"/>
  <c r="CP10" i="15"/>
  <c r="AA10" i="22" s="1"/>
  <c r="BQ59" i="15"/>
  <c r="CI59" i="15" s="1"/>
  <c r="CU59" i="15" s="1"/>
  <c r="BJ59" i="15"/>
  <c r="BN20" i="15"/>
  <c r="BG20" i="15"/>
  <c r="BO20" i="15" s="1"/>
  <c r="BQ60" i="14"/>
  <c r="CI60" i="14" s="1"/>
  <c r="CU60" i="14" s="1"/>
  <c r="BQ124" i="14"/>
  <c r="CI124" i="14" s="1"/>
  <c r="BR17" i="14"/>
  <c r="BR24" i="14"/>
  <c r="BG88" i="14"/>
  <c r="BO88" i="14" s="1"/>
  <c r="BQ56" i="14"/>
  <c r="BJ56" i="14"/>
  <c r="BN52" i="14"/>
  <c r="BG52" i="14"/>
  <c r="BO52" i="14" s="1"/>
  <c r="BN122" i="14"/>
  <c r="BS17" i="14"/>
  <c r="BK124" i="14"/>
  <c r="BQ24" i="14"/>
  <c r="BL79" i="14"/>
  <c r="BT79" i="14" s="1"/>
  <c r="CL79" i="14" s="1"/>
  <c r="W79" i="22" s="1"/>
  <c r="BJ72" i="14"/>
  <c r="BQ72" i="14"/>
  <c r="BN46" i="14"/>
  <c r="BG46" i="14"/>
  <c r="BO46" i="14" s="1"/>
  <c r="BN125" i="14"/>
  <c r="BG125" i="14"/>
  <c r="BO125" i="14" s="1"/>
  <c r="CE146" i="3"/>
  <c r="BN64" i="15"/>
  <c r="J147" i="15"/>
  <c r="I147" i="15"/>
  <c r="BQ121" i="15"/>
  <c r="BJ121" i="15"/>
  <c r="BG66" i="15"/>
  <c r="BO66" i="15" s="1"/>
  <c r="CG66" i="15" s="1"/>
  <c r="CS66" i="15" s="1"/>
  <c r="BN66" i="15"/>
  <c r="BK124" i="15"/>
  <c r="BR124" i="15"/>
  <c r="BQ51" i="15"/>
  <c r="BJ51" i="15"/>
  <c r="BQ30" i="15"/>
  <c r="BJ30" i="15"/>
  <c r="BQ128" i="15"/>
  <c r="BJ128" i="15"/>
  <c r="AU34" i="16"/>
  <c r="BJ125" i="15"/>
  <c r="BQ125" i="15"/>
  <c r="BN104" i="15"/>
  <c r="BG104" i="15"/>
  <c r="BO104" i="15" s="1"/>
  <c r="BG82" i="15"/>
  <c r="BO82" i="15" s="1"/>
  <c r="BN82" i="15"/>
  <c r="AV114" i="16"/>
  <c r="AU110" i="16"/>
  <c r="BJ131" i="15"/>
  <c r="BQ131" i="15"/>
  <c r="BQ73" i="15"/>
  <c r="CI73" i="15" s="1"/>
  <c r="CU73" i="15" s="1"/>
  <c r="BJ73" i="15"/>
  <c r="BJ47" i="15"/>
  <c r="BQ47" i="15"/>
  <c r="BG50" i="15"/>
  <c r="BO50" i="15" s="1"/>
  <c r="BN50" i="15"/>
  <c r="BJ123" i="15"/>
  <c r="BQ123" i="15"/>
  <c r="BG103" i="15"/>
  <c r="BO103" i="15" s="1"/>
  <c r="BN103" i="15"/>
  <c r="BK31" i="15"/>
  <c r="BQ97" i="15"/>
  <c r="BJ97" i="15"/>
  <c r="BN56" i="15"/>
  <c r="BG56" i="15"/>
  <c r="BO56" i="15" s="1"/>
  <c r="CG56" i="15" s="1"/>
  <c r="CS56" i="15" s="1"/>
  <c r="BL78" i="15"/>
  <c r="BT78" i="15" s="1"/>
  <c r="CL78" i="15" s="1"/>
  <c r="BS78" i="15"/>
  <c r="CK78" i="15" s="1"/>
  <c r="CW78" i="15" s="1"/>
  <c r="BQ23" i="15"/>
  <c r="BJ23" i="15"/>
  <c r="BQ107" i="15"/>
  <c r="BJ107" i="15"/>
  <c r="BN116" i="15"/>
  <c r="CF116" i="15" s="1"/>
  <c r="CR116" i="15" s="1"/>
  <c r="BK109" i="15"/>
  <c r="CH78" i="15"/>
  <c r="CT78" i="15" s="1"/>
  <c r="CG75" i="15"/>
  <c r="CS75" i="15" s="1"/>
  <c r="BQ129" i="15"/>
  <c r="BJ129" i="15"/>
  <c r="BJ101" i="15"/>
  <c r="BQ101" i="15"/>
  <c r="BQ61" i="15"/>
  <c r="BJ61" i="15"/>
  <c r="BN27" i="15"/>
  <c r="BG27" i="15"/>
  <c r="BO27" i="15" s="1"/>
  <c r="BN85" i="15"/>
  <c r="CF85" i="15" s="1"/>
  <c r="CR85" i="15" s="1"/>
  <c r="BG85" i="15"/>
  <c r="BO85" i="15" s="1"/>
  <c r="BN12" i="15"/>
  <c r="BG12" i="15"/>
  <c r="BO12" i="15" s="1"/>
  <c r="BN70" i="15"/>
  <c r="BG70" i="15"/>
  <c r="BO70" i="15" s="1"/>
  <c r="BJ75" i="15"/>
  <c r="BR75" i="15" s="1"/>
  <c r="CJ75" i="15" s="1"/>
  <c r="CV75" i="15" s="1"/>
  <c r="BN110" i="15"/>
  <c r="BK118" i="15"/>
  <c r="BA30" i="16"/>
  <c r="BN28" i="15"/>
  <c r="BG28" i="15"/>
  <c r="BO28" i="15" s="1"/>
  <c r="BQ80" i="15"/>
  <c r="CI80" i="15" s="1"/>
  <c r="CU80" i="15" s="1"/>
  <c r="BJ80" i="15"/>
  <c r="BN101" i="15"/>
  <c r="BG101" i="15"/>
  <c r="BO101" i="15" s="1"/>
  <c r="BS126" i="15"/>
  <c r="BL126" i="15"/>
  <c r="BT126" i="15" s="1"/>
  <c r="BQ15" i="15"/>
  <c r="BJ15" i="15"/>
  <c r="BN118" i="15"/>
  <c r="BG118" i="15"/>
  <c r="BO118" i="15" s="1"/>
  <c r="BQ76" i="15"/>
  <c r="BJ76" i="15"/>
  <c r="BN126" i="15"/>
  <c r="BG126" i="15"/>
  <c r="BO126" i="15" s="1"/>
  <c r="BN14" i="14"/>
  <c r="BG14" i="14"/>
  <c r="BO14" i="14" s="1"/>
  <c r="BK97" i="14"/>
  <c r="BS97" i="14" s="1"/>
  <c r="CK97" i="14" s="1"/>
  <c r="BQ98" i="14"/>
  <c r="BJ98" i="14"/>
  <c r="BG92" i="14"/>
  <c r="BO92" i="14" s="1"/>
  <c r="BN92" i="14"/>
  <c r="BN76" i="14"/>
  <c r="BG76" i="14"/>
  <c r="BO76" i="14" s="1"/>
  <c r="BN53" i="14"/>
  <c r="BG53" i="14"/>
  <c r="BO53" i="14" s="1"/>
  <c r="BR125" i="14"/>
  <c r="BK125" i="14"/>
  <c r="BQ49" i="14"/>
  <c r="BJ49" i="14"/>
  <c r="BJ52" i="14"/>
  <c r="BQ52" i="14"/>
  <c r="BG101" i="14"/>
  <c r="BO101" i="14" s="1"/>
  <c r="BN101" i="14"/>
  <c r="BK48" i="14"/>
  <c r="BR48" i="14"/>
  <c r="BQ113" i="14"/>
  <c r="BJ113" i="14"/>
  <c r="BG117" i="14"/>
  <c r="BO117" i="14" s="1"/>
  <c r="BN117" i="14"/>
  <c r="BR54" i="14"/>
  <c r="BK54" i="14"/>
  <c r="BQ88" i="14"/>
  <c r="BJ88" i="14"/>
  <c r="BJ76" i="14"/>
  <c r="BQ76" i="14"/>
  <c r="BQ117" i="14"/>
  <c r="BJ117" i="14"/>
  <c r="BQ68" i="14"/>
  <c r="BJ68" i="14"/>
  <c r="BQ44" i="14"/>
  <c r="BJ44" i="14"/>
  <c r="BN73" i="14"/>
  <c r="BG73" i="14"/>
  <c r="BO73" i="14" s="1"/>
  <c r="BN129" i="14"/>
  <c r="BG129" i="14"/>
  <c r="BO129" i="14" s="1"/>
  <c r="BN85" i="14"/>
  <c r="BG85" i="14"/>
  <c r="BO85" i="14" s="1"/>
  <c r="BG105" i="14"/>
  <c r="BO105" i="14" s="1"/>
  <c r="BN105" i="14"/>
  <c r="BJ102" i="14"/>
  <c r="BQ102" i="14"/>
  <c r="BN22" i="14"/>
  <c r="BG22" i="14"/>
  <c r="BO22" i="14" s="1"/>
  <c r="BR57" i="14"/>
  <c r="BK57" i="14"/>
  <c r="BA33" i="16"/>
  <c r="CE144" i="3"/>
  <c r="CE141" i="3"/>
  <c r="CE143" i="3"/>
  <c r="CE142" i="3"/>
  <c r="AV85" i="16"/>
  <c r="AU67" i="16"/>
  <c r="BN103" i="3"/>
  <c r="CF103" i="3" s="1"/>
  <c r="AV46" i="16"/>
  <c r="AU96" i="16"/>
  <c r="CE145" i="3"/>
  <c r="BS42" i="3"/>
  <c r="CK42" i="3" s="1"/>
  <c r="BP119" i="3"/>
  <c r="CH119" i="3" s="1"/>
  <c r="BQ42" i="3"/>
  <c r="BO119" i="3"/>
  <c r="CG119" i="3" s="1"/>
  <c r="BO42" i="3"/>
  <c r="CG42" i="3" s="1"/>
  <c r="BQ9" i="3"/>
  <c r="AV14" i="16"/>
  <c r="AN7" i="16"/>
  <c r="AU51" i="16"/>
  <c r="AV35" i="16"/>
  <c r="AV129" i="16"/>
  <c r="AV125" i="16"/>
  <c r="AV66" i="16"/>
  <c r="AE146" i="12"/>
  <c r="AP146" i="12" s="1"/>
  <c r="AF141" i="12"/>
  <c r="AQ141" i="12" s="1"/>
  <c r="H27" i="22"/>
  <c r="AE142" i="12"/>
  <c r="AP142" i="12" s="1"/>
  <c r="AT39" i="12"/>
  <c r="AE140" i="12"/>
  <c r="AP140" i="12" s="1"/>
  <c r="AU8" i="16"/>
  <c r="AE7" i="16"/>
  <c r="AE136" i="16" s="1"/>
  <c r="AE136" i="12"/>
  <c r="AP136" i="12" s="1"/>
  <c r="AM67" i="16"/>
  <c r="AH142" i="16"/>
  <c r="AQ119" i="16"/>
  <c r="AC145" i="16"/>
  <c r="AQ110" i="16"/>
  <c r="AC144" i="16"/>
  <c r="AN67" i="16"/>
  <c r="Z142" i="16"/>
  <c r="AN51" i="16"/>
  <c r="Z141" i="16"/>
  <c r="AO27" i="16"/>
  <c r="AA138" i="16"/>
  <c r="AE51" i="16"/>
  <c r="AE141" i="12"/>
  <c r="AP141" i="12" s="1"/>
  <c r="AE110" i="16"/>
  <c r="AE144" i="12"/>
  <c r="AP144" i="12" s="1"/>
  <c r="AF34" i="16"/>
  <c r="AF139" i="12"/>
  <c r="AQ139" i="12" s="1"/>
  <c r="AQ170" i="12" s="1"/>
  <c r="AM127" i="16"/>
  <c r="AH146" i="16"/>
  <c r="AM119" i="16"/>
  <c r="AH145" i="16"/>
  <c r="AN110" i="16"/>
  <c r="Z144" i="16"/>
  <c r="AN119" i="16"/>
  <c r="Z145" i="16"/>
  <c r="AP43" i="16"/>
  <c r="AB140" i="16"/>
  <c r="AP27" i="16"/>
  <c r="AB138" i="16"/>
  <c r="AR110" i="16"/>
  <c r="AD144" i="16"/>
  <c r="AQ27" i="16"/>
  <c r="AC138" i="16"/>
  <c r="AR8" i="16"/>
  <c r="AD137" i="16"/>
  <c r="AP34" i="16"/>
  <c r="AB139" i="16"/>
  <c r="AU119" i="16"/>
  <c r="AG145" i="16"/>
  <c r="AF110" i="16"/>
  <c r="AF144" i="12"/>
  <c r="AQ144" i="12" s="1"/>
  <c r="AF127" i="16"/>
  <c r="AF146" i="12"/>
  <c r="AQ146" i="12" s="1"/>
  <c r="AE8" i="16"/>
  <c r="AE137" i="12"/>
  <c r="AP137" i="12" s="1"/>
  <c r="AV33" i="16"/>
  <c r="AR127" i="16"/>
  <c r="AD146" i="16"/>
  <c r="AO110" i="16"/>
  <c r="AA144" i="16"/>
  <c r="AQ96" i="16"/>
  <c r="AC143" i="16"/>
  <c r="AQ8" i="16"/>
  <c r="AC137" i="16"/>
  <c r="AO8" i="16"/>
  <c r="AA137" i="16"/>
  <c r="AE34" i="16"/>
  <c r="AE139" i="12"/>
  <c r="AP139" i="12" s="1"/>
  <c r="AP170" i="12" s="1"/>
  <c r="AE119" i="16"/>
  <c r="AE145" i="12"/>
  <c r="AP145" i="12" s="1"/>
  <c r="AF96" i="16"/>
  <c r="AF143" i="12"/>
  <c r="AQ143" i="12" s="1"/>
  <c r="AF119" i="16"/>
  <c r="AF145" i="12"/>
  <c r="AQ145" i="12" s="1"/>
  <c r="AM110" i="16"/>
  <c r="AH144" i="16"/>
  <c r="AR34" i="16"/>
  <c r="AD139" i="16"/>
  <c r="AQ67" i="16"/>
  <c r="AC142" i="16"/>
  <c r="AP67" i="16"/>
  <c r="AB142" i="16"/>
  <c r="AP51" i="16"/>
  <c r="AB141" i="16"/>
  <c r="AO51" i="16"/>
  <c r="AA141" i="16"/>
  <c r="AP110" i="16"/>
  <c r="AB144" i="16"/>
  <c r="AR7" i="16"/>
  <c r="AD136" i="16"/>
  <c r="AP8" i="16"/>
  <c r="AB137" i="16"/>
  <c r="AN8" i="16"/>
  <c r="Z137" i="16"/>
  <c r="AF43" i="16"/>
  <c r="AF140" i="12"/>
  <c r="AQ140" i="12" s="1"/>
  <c r="AR119" i="16"/>
  <c r="AD145" i="16"/>
  <c r="AN34" i="16"/>
  <c r="Z139" i="16"/>
  <c r="AP127" i="16"/>
  <c r="AB146" i="16"/>
  <c r="AO119" i="16"/>
  <c r="AA145" i="16"/>
  <c r="AU7" i="16"/>
  <c r="AG136" i="16"/>
  <c r="AQ7" i="16"/>
  <c r="AC136" i="16"/>
  <c r="AF8" i="16"/>
  <c r="AF137" i="12"/>
  <c r="AQ137" i="12" s="1"/>
  <c r="AM7" i="16"/>
  <c r="AH136" i="16"/>
  <c r="AO96" i="16"/>
  <c r="AA143" i="16"/>
  <c r="AR43" i="16"/>
  <c r="AD140" i="16"/>
  <c r="AR27" i="16"/>
  <c r="AD138" i="16"/>
  <c r="AN96" i="16"/>
  <c r="Z143" i="16"/>
  <c r="AQ34" i="16"/>
  <c r="AC139" i="16"/>
  <c r="AO67" i="16"/>
  <c r="AA142" i="16"/>
  <c r="AO34" i="16"/>
  <c r="AA139" i="16"/>
  <c r="AP7" i="16"/>
  <c r="AB136" i="16"/>
  <c r="AE96" i="16"/>
  <c r="AE143" i="12"/>
  <c r="AP143" i="12" s="1"/>
  <c r="AF27" i="16"/>
  <c r="AF138" i="12"/>
  <c r="AQ138" i="12" s="1"/>
  <c r="AF7" i="16"/>
  <c r="AF136" i="16" s="1"/>
  <c r="AF136" i="12"/>
  <c r="AQ136" i="12" s="1"/>
  <c r="AM34" i="16"/>
  <c r="AH139" i="16"/>
  <c r="AM8" i="16"/>
  <c r="AH137" i="16"/>
  <c r="AM43" i="16"/>
  <c r="AH140" i="16"/>
  <c r="AQ127" i="16"/>
  <c r="AC146" i="16"/>
  <c r="AQ43" i="16"/>
  <c r="AC140" i="16"/>
  <c r="AN43" i="16"/>
  <c r="Z140" i="16"/>
  <c r="AN27" i="16"/>
  <c r="Z138" i="16"/>
  <c r="AP119" i="16"/>
  <c r="AB145" i="16"/>
  <c r="AO43" i="16"/>
  <c r="AA140" i="16"/>
  <c r="AE27" i="16"/>
  <c r="AE138" i="12"/>
  <c r="AP138" i="12" s="1"/>
  <c r="AF67" i="16"/>
  <c r="AF142" i="12"/>
  <c r="AQ142" i="12" s="1"/>
  <c r="AM51" i="16"/>
  <c r="AH141" i="16"/>
  <c r="AM27" i="16"/>
  <c r="AH138" i="16"/>
  <c r="AM96" i="16"/>
  <c r="AH143" i="16"/>
  <c r="AO127" i="16"/>
  <c r="AA146" i="16"/>
  <c r="AP96" i="16"/>
  <c r="AB143" i="16"/>
  <c r="AQ51" i="16"/>
  <c r="AC141" i="16"/>
  <c r="AN127" i="16"/>
  <c r="Z146" i="16"/>
  <c r="AR67" i="16"/>
  <c r="AD142" i="16"/>
  <c r="AR51" i="16"/>
  <c r="AD141" i="16"/>
  <c r="AU127" i="16"/>
  <c r="AG146" i="16"/>
  <c r="AR96" i="16"/>
  <c r="AD143" i="16"/>
  <c r="AV11" i="16"/>
  <c r="AV93" i="16"/>
  <c r="AV77" i="16"/>
  <c r="AZ53" i="12"/>
  <c r="AV10" i="16"/>
  <c r="AV57" i="16"/>
  <c r="AV105" i="16"/>
  <c r="AV101" i="16"/>
  <c r="AV81" i="16"/>
  <c r="AV109" i="16"/>
  <c r="AV73" i="16"/>
  <c r="BA129" i="16"/>
  <c r="AV89" i="16"/>
  <c r="AV121" i="16"/>
  <c r="AV113" i="16"/>
  <c r="AV97" i="16"/>
  <c r="AV117" i="16"/>
  <c r="AV69" i="16"/>
  <c r="AV60" i="16"/>
  <c r="AV74" i="16"/>
  <c r="AV61" i="16"/>
  <c r="BO131" i="7"/>
  <c r="CG131" i="7" s="1"/>
  <c r="AV39" i="16"/>
  <c r="BQ131" i="7"/>
  <c r="CI131" i="7" s="1"/>
  <c r="BP131" i="7"/>
  <c r="CH131" i="7" s="1"/>
  <c r="BR131" i="7"/>
  <c r="CJ131" i="7" s="1"/>
  <c r="AT49" i="12"/>
  <c r="AT55" i="12"/>
  <c r="AV78" i="16"/>
  <c r="AV102" i="16"/>
  <c r="BS131" i="7"/>
  <c r="CK131" i="7" s="1"/>
  <c r="BN131" i="7"/>
  <c r="CF131" i="7" s="1"/>
  <c r="BA122" i="16"/>
  <c r="AV17" i="16"/>
  <c r="AV86" i="16"/>
  <c r="AV130" i="16"/>
  <c r="AV126" i="16"/>
  <c r="AK121" i="16"/>
  <c r="AV16" i="16"/>
  <c r="AV98" i="16"/>
  <c r="AV90" i="16"/>
  <c r="AV82" i="16"/>
  <c r="AV70" i="16"/>
  <c r="AV22" i="16"/>
  <c r="AV110" i="16"/>
  <c r="AV28" i="16"/>
  <c r="AV118" i="16"/>
  <c r="AV106" i="16"/>
  <c r="AV94" i="16"/>
  <c r="AV50" i="16"/>
  <c r="AT53" i="12"/>
  <c r="CR83" i="15"/>
  <c r="CE31" i="15"/>
  <c r="CE56" i="15"/>
  <c r="CQ56" i="15" s="1"/>
  <c r="CF62" i="15"/>
  <c r="CR62" i="15" s="1"/>
  <c r="CE63" i="15"/>
  <c r="CQ63" i="15" s="1"/>
  <c r="BB36" i="12"/>
  <c r="BO14" i="3"/>
  <c r="CG14" i="3" s="1"/>
  <c r="BO9" i="3"/>
  <c r="BR9" i="3"/>
  <c r="CJ9" i="3" s="1"/>
  <c r="BQ8" i="3"/>
  <c r="CI8" i="3" s="1"/>
  <c r="BN9" i="3"/>
  <c r="CF9" i="3" s="1"/>
  <c r="BO103" i="3"/>
  <c r="CG103" i="3" s="1"/>
  <c r="BS9" i="3"/>
  <c r="BP8" i="3"/>
  <c r="CH8" i="3" s="1"/>
  <c r="BR8" i="3"/>
  <c r="CJ8" i="3" s="1"/>
  <c r="BO8" i="3"/>
  <c r="BN14" i="3"/>
  <c r="CF14" i="3" s="1"/>
  <c r="BN8" i="3"/>
  <c r="CF8" i="3" s="1"/>
  <c r="BS8" i="3"/>
  <c r="CK8" i="3" s="1"/>
  <c r="AZ49" i="12"/>
  <c r="AV36" i="16"/>
  <c r="AV65" i="16"/>
  <c r="BO26" i="7"/>
  <c r="CG26" i="7" s="1"/>
  <c r="CG137" i="7" s="1"/>
  <c r="AV30" i="16"/>
  <c r="BA21" i="16"/>
  <c r="AV55" i="16"/>
  <c r="BG120" i="7"/>
  <c r="BO120" i="7" s="1"/>
  <c r="CG120" i="7" s="1"/>
  <c r="AZ55" i="12"/>
  <c r="AV21" i="16"/>
  <c r="AV44" i="16"/>
  <c r="BA52" i="16"/>
  <c r="AV67" i="16"/>
  <c r="BN69" i="7"/>
  <c r="CF69" i="7" s="1"/>
  <c r="AZ39" i="12"/>
  <c r="AT77" i="12"/>
  <c r="AV18" i="16"/>
  <c r="AV52" i="16"/>
  <c r="AV37" i="16"/>
  <c r="AV12" i="16"/>
  <c r="BS12" i="3"/>
  <c r="CK12" i="3" s="1"/>
  <c r="AZ77" i="12"/>
  <c r="AZ41" i="12"/>
  <c r="AV41" i="16"/>
  <c r="AZ21" i="12"/>
  <c r="AT41" i="12"/>
  <c r="AV122" i="16"/>
  <c r="BN82" i="3"/>
  <c r="CF82" i="3" s="1"/>
  <c r="AT21" i="12"/>
  <c r="AZ105" i="12"/>
  <c r="AK46" i="16"/>
  <c r="BA71" i="16"/>
  <c r="AT105" i="12"/>
  <c r="AZ85" i="12"/>
  <c r="AV68" i="16"/>
  <c r="AT85" i="12"/>
  <c r="BB39" i="12"/>
  <c r="CH89" i="15"/>
  <c r="CT89" i="15" s="1"/>
  <c r="CF78" i="15"/>
  <c r="CR78" i="15" s="1"/>
  <c r="CE78" i="15"/>
  <c r="CQ78" i="15" s="1"/>
  <c r="BB41" i="12"/>
  <c r="CG78" i="15"/>
  <c r="CS78" i="15" s="1"/>
  <c r="CH55" i="15"/>
  <c r="CT55" i="15" s="1"/>
  <c r="CH76" i="15"/>
  <c r="CT76" i="15" s="1"/>
  <c r="BB42" i="12"/>
  <c r="BB11" i="12"/>
  <c r="BB30" i="12"/>
  <c r="BB29" i="12"/>
  <c r="CI90" i="15"/>
  <c r="CU90" i="15" s="1"/>
  <c r="CI78" i="15"/>
  <c r="CU78" i="15" s="1"/>
  <c r="CQ109" i="14"/>
  <c r="CS123" i="14"/>
  <c r="CU117" i="14"/>
  <c r="CU125" i="14"/>
  <c r="CS107" i="14"/>
  <c r="CS105" i="14"/>
  <c r="CV98" i="14"/>
  <c r="CQ95" i="14"/>
  <c r="CT102" i="14"/>
  <c r="CS100" i="14"/>
  <c r="CT86" i="14"/>
  <c r="CU68" i="14"/>
  <c r="CS85" i="14"/>
  <c r="CR84" i="14"/>
  <c r="CQ80" i="14"/>
  <c r="CV80" i="14"/>
  <c r="CS73" i="14"/>
  <c r="CT58" i="14"/>
  <c r="CR41" i="14"/>
  <c r="CQ59" i="14"/>
  <c r="CU80" i="14"/>
  <c r="CQ121" i="14"/>
  <c r="CT120" i="14"/>
  <c r="CQ132" i="14"/>
  <c r="CT116" i="14"/>
  <c r="CX113" i="14"/>
  <c r="CT99" i="14"/>
  <c r="CR101" i="14"/>
  <c r="CQ98" i="14"/>
  <c r="CT65" i="14"/>
  <c r="CT76" i="14"/>
  <c r="CQ57" i="14"/>
  <c r="CR50" i="14"/>
  <c r="CU59" i="14"/>
  <c r="CU48" i="14"/>
  <c r="CR35" i="14"/>
  <c r="CQ41" i="14"/>
  <c r="CS76" i="14"/>
  <c r="CS98" i="14"/>
  <c r="CR55" i="14"/>
  <c r="CU58" i="14"/>
  <c r="CQ60" i="14"/>
  <c r="CW128" i="14"/>
  <c r="CT128" i="14"/>
  <c r="CT114" i="14"/>
  <c r="CT100" i="14"/>
  <c r="CR91" i="14"/>
  <c r="CV102" i="14"/>
  <c r="CU107" i="14"/>
  <c r="CR62" i="14"/>
  <c r="CT84" i="14"/>
  <c r="CU55" i="14"/>
  <c r="CR58" i="14"/>
  <c r="CS35" i="14"/>
  <c r="CU65" i="14"/>
  <c r="CR100" i="14"/>
  <c r="CS41" i="14"/>
  <c r="CX128" i="14"/>
  <c r="CU118" i="14"/>
  <c r="CR98" i="14"/>
  <c r="CQ99" i="14"/>
  <c r="CQ100" i="14"/>
  <c r="CU102" i="14"/>
  <c r="CU99" i="14"/>
  <c r="CU100" i="14"/>
  <c r="CR60" i="14"/>
  <c r="CS65" i="14"/>
  <c r="CQ84" i="14"/>
  <c r="CR65" i="14"/>
  <c r="CT55" i="14"/>
  <c r="CQ37" i="14"/>
  <c r="CV60" i="14"/>
  <c r="CU35" i="14"/>
  <c r="CU41" i="14"/>
  <c r="CQ128" i="14"/>
  <c r="CQ111" i="14"/>
  <c r="CU94" i="14"/>
  <c r="CQ103" i="14"/>
  <c r="CR59" i="14"/>
  <c r="CR80" i="14"/>
  <c r="CU84" i="14"/>
  <c r="CT41" i="14"/>
  <c r="CT59" i="14"/>
  <c r="CT60" i="14"/>
  <c r="CQ55" i="14"/>
  <c r="CR107" i="14"/>
  <c r="CT71" i="14"/>
  <c r="CR46" i="14"/>
  <c r="CV128" i="14"/>
  <c r="CX102" i="14"/>
  <c r="CT98" i="14"/>
  <c r="CR99" i="14"/>
  <c r="CQ93" i="14"/>
  <c r="CS102" i="14"/>
  <c r="CT80" i="14"/>
  <c r="CS59" i="14"/>
  <c r="CS80" i="14"/>
  <c r="CQ65" i="14"/>
  <c r="CS58" i="14"/>
  <c r="CT35" i="14"/>
  <c r="CQ35" i="14"/>
  <c r="CR76" i="14"/>
  <c r="CU53" i="14"/>
  <c r="CS60" i="14"/>
  <c r="CT107" i="14"/>
  <c r="CT109" i="14"/>
  <c r="CQ107" i="14"/>
  <c r="CU109" i="14"/>
  <c r="CV108" i="14"/>
  <c r="CS99" i="14"/>
  <c r="CU90" i="14"/>
  <c r="CR102" i="14"/>
  <c r="CQ102" i="14"/>
  <c r="CS84" i="14"/>
  <c r="CQ92" i="14"/>
  <c r="CQ58" i="14"/>
  <c r="CV55" i="14"/>
  <c r="CQ36" i="14"/>
  <c r="CQ76" i="14"/>
  <c r="CQ16" i="15"/>
  <c r="CQ17" i="15"/>
  <c r="CQ9" i="15"/>
  <c r="CQ28" i="15"/>
  <c r="CQ25" i="15"/>
  <c r="CQ33" i="15"/>
  <c r="CQ24" i="15"/>
  <c r="CQ26" i="15"/>
  <c r="CQ32" i="15"/>
  <c r="R62" i="17"/>
  <c r="AE61" i="17"/>
  <c r="AD61" i="17"/>
  <c r="AC61" i="17"/>
  <c r="AB61" i="17"/>
  <c r="AA61" i="17"/>
  <c r="Z61" i="17"/>
  <c r="V61" i="17"/>
  <c r="X61" i="3" s="1"/>
  <c r="U61" i="17"/>
  <c r="X61" i="7" s="1"/>
  <c r="X61" i="12" s="1"/>
  <c r="T61" i="17"/>
  <c r="S61" i="17"/>
  <c r="X61" i="15" s="1"/>
  <c r="X61" i="17"/>
  <c r="X61" i="14" s="1"/>
  <c r="W61" i="17"/>
  <c r="X61" i="19" s="1"/>
  <c r="AE131" i="16"/>
  <c r="AE113" i="16"/>
  <c r="AE101" i="16"/>
  <c r="AK21" i="12"/>
  <c r="AE21" i="16"/>
  <c r="AS94" i="12"/>
  <c r="AE94" i="16"/>
  <c r="AK94" i="16" s="1"/>
  <c r="AE59" i="16"/>
  <c r="AE125" i="16"/>
  <c r="AK125" i="16" s="1"/>
  <c r="AE89" i="16"/>
  <c r="AE77" i="16"/>
  <c r="AK77" i="16" s="1"/>
  <c r="AE61" i="16"/>
  <c r="AK33" i="12"/>
  <c r="AE33" i="16"/>
  <c r="AK33" i="16" s="1"/>
  <c r="AK129" i="16"/>
  <c r="AE49" i="16"/>
  <c r="AE67" i="16"/>
  <c r="AE123" i="16"/>
  <c r="AK123" i="16" s="1"/>
  <c r="AE109" i="16"/>
  <c r="AE87" i="16"/>
  <c r="AK87" i="16" s="1"/>
  <c r="AE57" i="16"/>
  <c r="AK57" i="16" s="1"/>
  <c r="AE93" i="16"/>
  <c r="AK37" i="12"/>
  <c r="AE37" i="16"/>
  <c r="AK37" i="16" s="1"/>
  <c r="AE82" i="16"/>
  <c r="AK82" i="16" s="1"/>
  <c r="AE107" i="16"/>
  <c r="AK107" i="16" s="1"/>
  <c r="AE97" i="16"/>
  <c r="AK97" i="16" s="1"/>
  <c r="AE73" i="16"/>
  <c r="AK41" i="12"/>
  <c r="AE41" i="16"/>
  <c r="AK29" i="12"/>
  <c r="AE29" i="16"/>
  <c r="AK15" i="12"/>
  <c r="AE15" i="16"/>
  <c r="AK9" i="12"/>
  <c r="AE9" i="16"/>
  <c r="AE127" i="16"/>
  <c r="AE95" i="16"/>
  <c r="AK95" i="16" s="1"/>
  <c r="AE85" i="16"/>
  <c r="AE71" i="16"/>
  <c r="AK71" i="16" s="1"/>
  <c r="AE55" i="16"/>
  <c r="AK43" i="12"/>
  <c r="AE43" i="16"/>
  <c r="AE105" i="16"/>
  <c r="AE83" i="16"/>
  <c r="AE53" i="16"/>
  <c r="AK53" i="16" s="1"/>
  <c r="AK39" i="12"/>
  <c r="AE39" i="16"/>
  <c r="AK39" i="16" s="1"/>
  <c r="AK25" i="12"/>
  <c r="AE25" i="16"/>
  <c r="AK25" i="16" s="1"/>
  <c r="AK19" i="12"/>
  <c r="AK23" i="12"/>
  <c r="AK11" i="12"/>
  <c r="AZ109" i="12"/>
  <c r="AT109" i="12"/>
  <c r="AK13" i="12"/>
  <c r="AT51" i="12"/>
  <c r="AF51" i="16"/>
  <c r="AZ117" i="12"/>
  <c r="AF117" i="16"/>
  <c r="AZ117" i="16" s="1"/>
  <c r="AZ63" i="12"/>
  <c r="AF63" i="16"/>
  <c r="AT47" i="12"/>
  <c r="AF47" i="16"/>
  <c r="AZ47" i="16" s="1"/>
  <c r="AZ13" i="12"/>
  <c r="AF13" i="16"/>
  <c r="AT13" i="16" s="1"/>
  <c r="AK22" i="12"/>
  <c r="AT113" i="12"/>
  <c r="AF113" i="16"/>
  <c r="AZ113" i="16" s="1"/>
  <c r="AT73" i="12"/>
  <c r="AF73" i="16"/>
  <c r="AZ73" i="16" s="1"/>
  <c r="AT9" i="12"/>
  <c r="AF9" i="16"/>
  <c r="AZ9" i="16" s="1"/>
  <c r="AT81" i="12"/>
  <c r="AF81" i="16"/>
  <c r="AK7" i="12"/>
  <c r="AT59" i="12"/>
  <c r="AF59" i="16"/>
  <c r="AT59" i="16" s="1"/>
  <c r="AZ17" i="12"/>
  <c r="AF17" i="16"/>
  <c r="AT45" i="12"/>
  <c r="AF45" i="16"/>
  <c r="AK45" i="16" s="1"/>
  <c r="BA63" i="16"/>
  <c r="AV19" i="16"/>
  <c r="BA24" i="16"/>
  <c r="AV48" i="16"/>
  <c r="AV24" i="16"/>
  <c r="AV63" i="16"/>
  <c r="AV34" i="16"/>
  <c r="AV8" i="16"/>
  <c r="AV43" i="16"/>
  <c r="AV7" i="16"/>
  <c r="BA15" i="16"/>
  <c r="AV32" i="16"/>
  <c r="AV25" i="16"/>
  <c r="AV15" i="16"/>
  <c r="BA54" i="16"/>
  <c r="AV49" i="16"/>
  <c r="AV40" i="16"/>
  <c r="AV54" i="16"/>
  <c r="CL12" i="3"/>
  <c r="R12" i="22" s="1"/>
  <c r="CK39" i="3"/>
  <c r="CL28" i="3"/>
  <c r="R28" i="22" s="1"/>
  <c r="CK27" i="3"/>
  <c r="CI24" i="3"/>
  <c r="AV26" i="16"/>
  <c r="AV42" i="16"/>
  <c r="CI44" i="3"/>
  <c r="CJ39" i="3"/>
  <c r="CL39" i="3"/>
  <c r="R39" i="22" s="1"/>
  <c r="BA58" i="16"/>
  <c r="BA83" i="16"/>
  <c r="AV103" i="16"/>
  <c r="AV131" i="16"/>
  <c r="AV119" i="16"/>
  <c r="AV111" i="16"/>
  <c r="AV95" i="16"/>
  <c r="AV71" i="16"/>
  <c r="AV127" i="16"/>
  <c r="AV115" i="16"/>
  <c r="AV107" i="16"/>
  <c r="AV91" i="16"/>
  <c r="AV45" i="16"/>
  <c r="AV31" i="16"/>
  <c r="BA23" i="16"/>
  <c r="AV87" i="16"/>
  <c r="AV62" i="16"/>
  <c r="AV79" i="16"/>
  <c r="AV47" i="16"/>
  <c r="AV83" i="16"/>
  <c r="AV75" i="16"/>
  <c r="AV56" i="16"/>
  <c r="AV123" i="16"/>
  <c r="AV99" i="16"/>
  <c r="AV23" i="16"/>
  <c r="AV58" i="16"/>
  <c r="BA115" i="16"/>
  <c r="AV53" i="16"/>
  <c r="AV9" i="16"/>
  <c r="AV100" i="16"/>
  <c r="AV124" i="16"/>
  <c r="AV116" i="16"/>
  <c r="AV84" i="16"/>
  <c r="AV27" i="16"/>
  <c r="AV64" i="16"/>
  <c r="AV132" i="16"/>
  <c r="AV108" i="16"/>
  <c r="AV38" i="16"/>
  <c r="AV112" i="16"/>
  <c r="AV76" i="16"/>
  <c r="AV120" i="16"/>
  <c r="AV80" i="16"/>
  <c r="AV51" i="16"/>
  <c r="AV128" i="16"/>
  <c r="AV92" i="16"/>
  <c r="AV88" i="16"/>
  <c r="BA53" i="16"/>
  <c r="AV104" i="16"/>
  <c r="AV96" i="16"/>
  <c r="AV72" i="16"/>
  <c r="AV29" i="16"/>
  <c r="AV59" i="16"/>
  <c r="AM13" i="16"/>
  <c r="AV13" i="16"/>
  <c r="D133" i="16"/>
  <c r="BA80" i="16"/>
  <c r="BA76" i="16"/>
  <c r="BA108" i="16"/>
  <c r="BA97" i="16"/>
  <c r="BA130" i="16"/>
  <c r="BA56" i="16"/>
  <c r="BA79" i="16"/>
  <c r="BA119" i="16"/>
  <c r="BA26" i="16"/>
  <c r="BA40" i="16"/>
  <c r="BA9" i="16"/>
  <c r="BA28" i="16"/>
  <c r="BA127" i="16"/>
  <c r="BA113" i="16"/>
  <c r="CI54" i="14"/>
  <c r="CJ28" i="3"/>
  <c r="CU109" i="15"/>
  <c r="CK28" i="3"/>
  <c r="CT104" i="15"/>
  <c r="CL23" i="3"/>
  <c r="R23" i="22" s="1"/>
  <c r="CH24" i="3"/>
  <c r="CG27" i="3"/>
  <c r="CI39" i="3"/>
  <c r="AZ39" i="16"/>
  <c r="K133" i="16"/>
  <c r="AU10" i="16"/>
  <c r="CI22" i="3"/>
  <c r="CF74" i="15"/>
  <c r="CR74" i="15" s="1"/>
  <c r="CI21" i="3"/>
  <c r="CF81" i="15"/>
  <c r="CR81" i="15" s="1"/>
  <c r="CI9" i="3"/>
  <c r="CF32" i="3"/>
  <c r="CH9" i="3"/>
  <c r="CH28" i="3"/>
  <c r="CH21" i="3"/>
  <c r="CG19" i="3"/>
  <c r="CI28" i="3"/>
  <c r="CL42" i="3"/>
  <c r="R42" i="22" s="1"/>
  <c r="CK23" i="3"/>
  <c r="CJ23" i="3"/>
  <c r="CT113" i="15"/>
  <c r="CJ42" i="3"/>
  <c r="CH23" i="3"/>
  <c r="BE23" i="12" s="1"/>
  <c r="CI42" i="3"/>
  <c r="CI23" i="3"/>
  <c r="CH42" i="3"/>
  <c r="CH22" i="3"/>
  <c r="CH92" i="14"/>
  <c r="CF43" i="3"/>
  <c r="CF22" i="3"/>
  <c r="CE21" i="15"/>
  <c r="CK44" i="3"/>
  <c r="CI27" i="3"/>
  <c r="CH37" i="3"/>
  <c r="CJ27" i="3"/>
  <c r="CL44" i="3"/>
  <c r="R44" i="22" s="1"/>
  <c r="CV75" i="14"/>
  <c r="CL27" i="3"/>
  <c r="R27" i="22" s="1"/>
  <c r="CJ44" i="3"/>
  <c r="CH27" i="3"/>
  <c r="CE8" i="14"/>
  <c r="CI37" i="3"/>
  <c r="CH25" i="3"/>
  <c r="CK49" i="14"/>
  <c r="CR65" i="15"/>
  <c r="CL21" i="3"/>
  <c r="R21" i="22" s="1"/>
  <c r="CG26" i="3"/>
  <c r="CK21" i="3"/>
  <c r="CR70" i="14"/>
  <c r="CL11" i="3"/>
  <c r="R11" i="22" s="1"/>
  <c r="CT79" i="14"/>
  <c r="CL36" i="3"/>
  <c r="R36" i="22" s="1"/>
  <c r="CI29" i="3"/>
  <c r="CU93" i="15"/>
  <c r="CJ36" i="3"/>
  <c r="CJ11" i="3"/>
  <c r="CI11" i="3"/>
  <c r="CG29" i="3"/>
  <c r="CG18" i="3"/>
  <c r="CF18" i="3"/>
  <c r="CK29" i="3"/>
  <c r="CK36" i="3"/>
  <c r="CK11" i="3"/>
  <c r="CI36" i="3"/>
  <c r="CH36" i="3"/>
  <c r="CF17" i="3"/>
  <c r="CJ29" i="3"/>
  <c r="CH29" i="3"/>
  <c r="CG36" i="3"/>
  <c r="CF36" i="3"/>
  <c r="CH17" i="3"/>
  <c r="CG17" i="3"/>
  <c r="CH11" i="3"/>
  <c r="CF29" i="3"/>
  <c r="CL29" i="3"/>
  <c r="R29" i="22" s="1"/>
  <c r="CJ24" i="3"/>
  <c r="CF28" i="3"/>
  <c r="CG21" i="3"/>
  <c r="CG49" i="3"/>
  <c r="CG39" i="3"/>
  <c r="CF30" i="3"/>
  <c r="CH49" i="3"/>
  <c r="CH19" i="3"/>
  <c r="CI49" i="3"/>
  <c r="CI31" i="3"/>
  <c r="CJ49" i="3"/>
  <c r="CL19" i="3"/>
  <c r="R19" i="22" s="1"/>
  <c r="CK19" i="3"/>
  <c r="CJ19" i="3"/>
  <c r="CK49" i="3"/>
  <c r="CF19" i="3"/>
  <c r="CL49" i="3"/>
  <c r="R49" i="22" s="1"/>
  <c r="CG31" i="3"/>
  <c r="CI19" i="3"/>
  <c r="CL31" i="3"/>
  <c r="R31" i="22" s="1"/>
  <c r="CK31" i="3"/>
  <c r="CJ31" i="3"/>
  <c r="CF49" i="3"/>
  <c r="CH31" i="3"/>
  <c r="BE31" i="12" s="1"/>
  <c r="CF31" i="3"/>
  <c r="BA38" i="16"/>
  <c r="BA85" i="16"/>
  <c r="BA121" i="16"/>
  <c r="BA73" i="16"/>
  <c r="BA126" i="16"/>
  <c r="CE35" i="15"/>
  <c r="BA57" i="16"/>
  <c r="BA118" i="16"/>
  <c r="BA120" i="16"/>
  <c r="BA64" i="16"/>
  <c r="BA74" i="16"/>
  <c r="BA123" i="16"/>
  <c r="CE131" i="15"/>
  <c r="CQ131" i="15" s="1"/>
  <c r="CE9" i="14"/>
  <c r="CI92" i="14"/>
  <c r="CQ112" i="14"/>
  <c r="CU75" i="14"/>
  <c r="BA49" i="16"/>
  <c r="BA39" i="16"/>
  <c r="BA102" i="16"/>
  <c r="BA110" i="16"/>
  <c r="AZ49" i="16"/>
  <c r="BA19" i="16"/>
  <c r="BA91" i="16"/>
  <c r="BA78" i="16"/>
  <c r="CI103" i="14"/>
  <c r="CR74" i="14"/>
  <c r="BA107" i="16"/>
  <c r="BA70" i="16"/>
  <c r="BA95" i="16"/>
  <c r="CG9" i="3"/>
  <c r="CG8" i="3"/>
  <c r="CK9" i="3"/>
  <c r="CJ21" i="3"/>
  <c r="CG28" i="3"/>
  <c r="CF21" i="3"/>
  <c r="CL8" i="3"/>
  <c r="R8" i="22" s="1"/>
  <c r="CL9" i="3"/>
  <c r="R9" i="22" s="1"/>
  <c r="CJ22" i="3"/>
  <c r="CF42" i="3"/>
  <c r="CG22" i="3"/>
  <c r="CI33" i="3"/>
  <c r="CL22" i="3"/>
  <c r="R22" i="22" s="1"/>
  <c r="CJ33" i="3"/>
  <c r="CG23" i="3"/>
  <c r="CF24" i="3"/>
  <c r="CF38" i="3"/>
  <c r="CF23" i="3"/>
  <c r="BA69" i="16"/>
  <c r="BA41" i="16"/>
  <c r="BA66" i="16"/>
  <c r="BA84" i="16"/>
  <c r="CK34" i="3"/>
  <c r="CH39" i="3"/>
  <c r="CG46" i="3"/>
  <c r="CF39" i="3"/>
  <c r="CJ46" i="3"/>
  <c r="CG24" i="3"/>
  <c r="CE34" i="3"/>
  <c r="CE47" i="3"/>
  <c r="CE15" i="3"/>
  <c r="CE20" i="3"/>
  <c r="CE33" i="3"/>
  <c r="CE46" i="3"/>
  <c r="CE14" i="3"/>
  <c r="CE32" i="3"/>
  <c r="CE45" i="3"/>
  <c r="CE13" i="3"/>
  <c r="CR10" i="14"/>
  <c r="BA93" i="16"/>
  <c r="BA55" i="16"/>
  <c r="CL46" i="3"/>
  <c r="R46" i="22" s="1"/>
  <c r="CH46" i="3"/>
  <c r="CG45" i="3"/>
  <c r="CG20" i="3"/>
  <c r="CF46" i="3"/>
  <c r="CK45" i="3"/>
  <c r="CT10" i="14"/>
  <c r="CI32" i="14"/>
  <c r="CU32" i="14" s="1"/>
  <c r="BA89" i="16"/>
  <c r="BA32" i="16"/>
  <c r="BA111" i="16"/>
  <c r="CL45" i="3"/>
  <c r="R45" i="22" s="1"/>
  <c r="CL20" i="3"/>
  <c r="R20" i="22" s="1"/>
  <c r="CJ20" i="3"/>
  <c r="CI46" i="3"/>
  <c r="CH45" i="3"/>
  <c r="CG44" i="3"/>
  <c r="CF45" i="3"/>
  <c r="CF37" i="3"/>
  <c r="CG33" i="3"/>
  <c r="CL37" i="3"/>
  <c r="R37" i="22" s="1"/>
  <c r="CJ45" i="3"/>
  <c r="CE26" i="3"/>
  <c r="BB26" i="12" s="1"/>
  <c r="CE44" i="3"/>
  <c r="CE12" i="3"/>
  <c r="CE25" i="3"/>
  <c r="BB25" i="12" s="1"/>
  <c r="CE38" i="3"/>
  <c r="BB38" i="12" s="1"/>
  <c r="CE27" i="3"/>
  <c r="CE24" i="3"/>
  <c r="CE37" i="3"/>
  <c r="CE35" i="3"/>
  <c r="BA43" i="16"/>
  <c r="CH44" i="3"/>
  <c r="CH20" i="3"/>
  <c r="CG34" i="3"/>
  <c r="CF20" i="3"/>
  <c r="CF12" i="3"/>
  <c r="CK37" i="3"/>
  <c r="CE118" i="15"/>
  <c r="CQ118" i="15" s="1"/>
  <c r="BA31" i="16"/>
  <c r="CL34" i="3"/>
  <c r="R34" i="22" s="1"/>
  <c r="CJ34" i="3"/>
  <c r="CI20" i="3"/>
  <c r="CG25" i="3"/>
  <c r="CJ37" i="3"/>
  <c r="BA27" i="16"/>
  <c r="CH34" i="3"/>
  <c r="CF34" i="3"/>
  <c r="CL24" i="3"/>
  <c r="R24" i="22" s="1"/>
  <c r="CH33" i="3"/>
  <c r="CF33" i="3"/>
  <c r="CL33" i="3"/>
  <c r="R33" i="22" s="1"/>
  <c r="BA44" i="16"/>
  <c r="BA101" i="16"/>
  <c r="BA12" i="16"/>
  <c r="BA131" i="16"/>
  <c r="BA34" i="16"/>
  <c r="BA128" i="16"/>
  <c r="BA61" i="16"/>
  <c r="BA90" i="16"/>
  <c r="BA51" i="16"/>
  <c r="CT28" i="14"/>
  <c r="CG126" i="14"/>
  <c r="CK113" i="14"/>
  <c r="CE126" i="14"/>
  <c r="CT39" i="14"/>
  <c r="CH113" i="14"/>
  <c r="CF108" i="14"/>
  <c r="CU72" i="14"/>
  <c r="CI130" i="14"/>
  <c r="CR81" i="14"/>
  <c r="CS30" i="14"/>
  <c r="CI67" i="14"/>
  <c r="CF27" i="14"/>
  <c r="CR27" i="14" s="1"/>
  <c r="CG119" i="14"/>
  <c r="CG113" i="14"/>
  <c r="CH91" i="14"/>
  <c r="CV83" i="14"/>
  <c r="CQ131" i="14"/>
  <c r="CS124" i="14"/>
  <c r="CH48" i="14"/>
  <c r="CI108" i="14"/>
  <c r="CH94" i="14"/>
  <c r="CH50" i="14"/>
  <c r="CK48" i="14"/>
  <c r="CF48" i="14"/>
  <c r="CT24" i="14"/>
  <c r="CE113" i="14"/>
  <c r="CI93" i="14"/>
  <c r="CE91" i="14"/>
  <c r="CI56" i="14"/>
  <c r="CI86" i="14"/>
  <c r="CH67" i="14"/>
  <c r="CF56" i="14"/>
  <c r="CE48" i="14"/>
  <c r="CF126" i="14"/>
  <c r="CJ113" i="14"/>
  <c r="CT97" i="14"/>
  <c r="CE78" i="14"/>
  <c r="CG82" i="14"/>
  <c r="CG71" i="14"/>
  <c r="CT75" i="14"/>
  <c r="CG27" i="14"/>
  <c r="CS27" i="14" s="1"/>
  <c r="CG86" i="14"/>
  <c r="CE54" i="14"/>
  <c r="CE110" i="14"/>
  <c r="CT130" i="14"/>
  <c r="CI113" i="14"/>
  <c r="CG68" i="14"/>
  <c r="CQ75" i="14"/>
  <c r="CE42" i="14"/>
  <c r="CH78" i="14"/>
  <c r="CG91" i="14"/>
  <c r="CQ77" i="14"/>
  <c r="CH37" i="14"/>
  <c r="BA112" i="16"/>
  <c r="BA132" i="16"/>
  <c r="BA98" i="16"/>
  <c r="BA48" i="16"/>
  <c r="BA22" i="16"/>
  <c r="BA125" i="16"/>
  <c r="BA65" i="16"/>
  <c r="BA29" i="16"/>
  <c r="BA35" i="16"/>
  <c r="BA114" i="16"/>
  <c r="BA11" i="16"/>
  <c r="BA94" i="16"/>
  <c r="BA103" i="16"/>
  <c r="BA17" i="16"/>
  <c r="BA8" i="16"/>
  <c r="BA116" i="16"/>
  <c r="BA92" i="16"/>
  <c r="BA60" i="16"/>
  <c r="BA72" i="16"/>
  <c r="BA82" i="16"/>
  <c r="BA88" i="16"/>
  <c r="BA36" i="16"/>
  <c r="BA81" i="16"/>
  <c r="BA86" i="16"/>
  <c r="BA62" i="16"/>
  <c r="BA47" i="16"/>
  <c r="BA67" i="16"/>
  <c r="BA117" i="16"/>
  <c r="BA124" i="16"/>
  <c r="BA14" i="16"/>
  <c r="BA7" i="16"/>
  <c r="L133" i="16"/>
  <c r="BA45" i="16"/>
  <c r="BA18" i="16"/>
  <c r="BA100" i="16"/>
  <c r="AV20" i="16"/>
  <c r="BA20" i="16"/>
  <c r="BA109" i="16"/>
  <c r="BA77" i="16"/>
  <c r="BA10" i="16"/>
  <c r="BA59" i="16"/>
  <c r="BA46" i="16"/>
  <c r="BA87" i="16"/>
  <c r="BA16" i="16"/>
  <c r="BA25" i="16"/>
  <c r="BA96" i="16"/>
  <c r="BA68" i="16"/>
  <c r="BA99" i="16"/>
  <c r="BA50" i="16"/>
  <c r="BA106" i="16"/>
  <c r="BA104" i="16"/>
  <c r="BA42" i="16"/>
  <c r="BA75" i="16"/>
  <c r="CF42" i="15"/>
  <c r="CF86" i="15"/>
  <c r="CR86" i="15" s="1"/>
  <c r="CH56" i="15"/>
  <c r="CT56" i="15" s="1"/>
  <c r="CT45" i="15"/>
  <c r="CH63" i="15"/>
  <c r="CT63" i="15" s="1"/>
  <c r="CT57" i="15"/>
  <c r="CH84" i="15"/>
  <c r="CT84" i="15" s="1"/>
  <c r="CE42" i="15"/>
  <c r="CG36" i="15"/>
  <c r="CE37" i="15"/>
  <c r="CK132" i="15"/>
  <c r="CW132" i="15" s="1"/>
  <c r="CJ121" i="15"/>
  <c r="CV121" i="15" s="1"/>
  <c r="CG86" i="15"/>
  <c r="CS86" i="15" s="1"/>
  <c r="CK121" i="15"/>
  <c r="CW121" i="15" s="1"/>
  <c r="CI37" i="15"/>
  <c r="CE39" i="15"/>
  <c r="CH36" i="15"/>
  <c r="CI35" i="15"/>
  <c r="CH37" i="15"/>
  <c r="CE86" i="15"/>
  <c r="CQ86" i="15" s="1"/>
  <c r="CF129" i="15"/>
  <c r="CR129" i="15" s="1"/>
  <c r="CT118" i="15"/>
  <c r="CS104" i="15"/>
  <c r="CH44" i="15"/>
  <c r="CT44" i="15" s="1"/>
  <c r="CG37" i="15"/>
  <c r="CF105" i="15"/>
  <c r="CR105" i="15" s="1"/>
  <c r="CJ126" i="15"/>
  <c r="CV126" i="15" s="1"/>
  <c r="CS113" i="15"/>
  <c r="CG118" i="15"/>
  <c r="CS118" i="15" s="1"/>
  <c r="CI84" i="15"/>
  <c r="CU84" i="15" s="1"/>
  <c r="CG39" i="15"/>
  <c r="CG126" i="15"/>
  <c r="CS126" i="15" s="1"/>
  <c r="CG81" i="15"/>
  <c r="CS81" i="15" s="1"/>
  <c r="CT73" i="15"/>
  <c r="CI63" i="15"/>
  <c r="CU63" i="15" s="1"/>
  <c r="CF60" i="15"/>
  <c r="CR60" i="15" s="1"/>
  <c r="CS88" i="15"/>
  <c r="CI60" i="15"/>
  <c r="CU60" i="15" s="1"/>
  <c r="CE111" i="15"/>
  <c r="CQ111" i="15" s="1"/>
  <c r="CE99" i="15"/>
  <c r="CQ99" i="15" s="1"/>
  <c r="CH62" i="15"/>
  <c r="CT62" i="15" s="1"/>
  <c r="CF49" i="15"/>
  <c r="CR49" i="15" s="1"/>
  <c r="CL132" i="15"/>
  <c r="CL124" i="15"/>
  <c r="CR93" i="15"/>
  <c r="CQ71" i="15"/>
  <c r="CH85" i="15"/>
  <c r="CT85" i="15" s="1"/>
  <c r="CG85" i="15"/>
  <c r="CS85" i="15" s="1"/>
  <c r="CT129" i="15"/>
  <c r="CV109" i="15"/>
  <c r="CI103" i="15"/>
  <c r="CU103" i="15" s="1"/>
  <c r="CE100" i="15"/>
  <c r="CQ100" i="15" s="1"/>
  <c r="CE53" i="15"/>
  <c r="CQ53" i="15" s="1"/>
  <c r="CH60" i="15"/>
  <c r="CT60" i="15" s="1"/>
  <c r="CS57" i="15"/>
  <c r="CG60" i="15"/>
  <c r="CS60" i="15" s="1"/>
  <c r="CF124" i="15"/>
  <c r="CR124" i="15" s="1"/>
  <c r="CH81" i="15"/>
  <c r="CT81" i="15" s="1"/>
  <c r="CQ93" i="15"/>
  <c r="CI122" i="15"/>
  <c r="CU122" i="15" s="1"/>
  <c r="CE108" i="15"/>
  <c r="CQ108" i="15" s="1"/>
  <c r="CJ103" i="15"/>
  <c r="CV103" i="15" s="1"/>
  <c r="CF79" i="15"/>
  <c r="CR79" i="15" s="1"/>
  <c r="CJ79" i="15"/>
  <c r="CV79" i="15" s="1"/>
  <c r="CH110" i="15"/>
  <c r="CG79" i="15"/>
  <c r="CS79" i="15" s="1"/>
  <c r="CE68" i="15"/>
  <c r="CQ68" i="15" s="1"/>
  <c r="CE29" i="15"/>
  <c r="AK17" i="12"/>
  <c r="AK118" i="16"/>
  <c r="AZ47" i="12"/>
  <c r="AK108" i="16"/>
  <c r="AK98" i="16"/>
  <c r="AK22" i="16"/>
  <c r="AK114" i="16"/>
  <c r="AK54" i="16"/>
  <c r="AK14" i="12"/>
  <c r="AK34" i="12"/>
  <c r="AZ53" i="16"/>
  <c r="AS27" i="12"/>
  <c r="AY27" i="12"/>
  <c r="AS86" i="12"/>
  <c r="AY86" i="12"/>
  <c r="AS25" i="12"/>
  <c r="AY25" i="12"/>
  <c r="AS16" i="12"/>
  <c r="AY16" i="12"/>
  <c r="AT110" i="12"/>
  <c r="AZ110" i="12"/>
  <c r="AT70" i="12"/>
  <c r="AZ70" i="12"/>
  <c r="AT26" i="12"/>
  <c r="AZ26" i="12"/>
  <c r="AK30" i="12"/>
  <c r="AS119" i="12"/>
  <c r="AY119" i="12"/>
  <c r="AS87" i="12"/>
  <c r="AY87" i="12"/>
  <c r="AS55" i="12"/>
  <c r="AY55" i="12"/>
  <c r="AS23" i="12"/>
  <c r="AY23" i="12"/>
  <c r="AT132" i="12"/>
  <c r="AZ132" i="12"/>
  <c r="AS122" i="12"/>
  <c r="AY122" i="12"/>
  <c r="AS82" i="12"/>
  <c r="AY82" i="12"/>
  <c r="AS50" i="12"/>
  <c r="AY50" i="12"/>
  <c r="AS18" i="12"/>
  <c r="AY18" i="12"/>
  <c r="AT129" i="12"/>
  <c r="AZ129" i="12"/>
  <c r="AT65" i="12"/>
  <c r="AZ65" i="12"/>
  <c r="AS117" i="12"/>
  <c r="AY117" i="12"/>
  <c r="AS85" i="12"/>
  <c r="AY85" i="12"/>
  <c r="AS53" i="12"/>
  <c r="AY53" i="12"/>
  <c r="AS21" i="12"/>
  <c r="AY21" i="12"/>
  <c r="AS108" i="12"/>
  <c r="AY108" i="12"/>
  <c r="AS76" i="12"/>
  <c r="AY76" i="12"/>
  <c r="AS44" i="12"/>
  <c r="AY44" i="12"/>
  <c r="AS12" i="12"/>
  <c r="AY12" i="12"/>
  <c r="AT20" i="12"/>
  <c r="AZ20" i="12"/>
  <c r="AT28" i="12"/>
  <c r="AZ28" i="12"/>
  <c r="AT27" i="12"/>
  <c r="AZ27" i="12"/>
  <c r="AT95" i="12"/>
  <c r="AZ95" i="12"/>
  <c r="AT115" i="12"/>
  <c r="AZ115" i="12"/>
  <c r="AT111" i="12"/>
  <c r="AZ111" i="12"/>
  <c r="AT43" i="12"/>
  <c r="AZ43" i="12"/>
  <c r="AT131" i="12"/>
  <c r="AZ131" i="12"/>
  <c r="AK128" i="16"/>
  <c r="AK38" i="12"/>
  <c r="AS110" i="12"/>
  <c r="AS123" i="12"/>
  <c r="AY123" i="12"/>
  <c r="AS48" i="12"/>
  <c r="AY48" i="12"/>
  <c r="AT54" i="12"/>
  <c r="AZ54" i="12"/>
  <c r="AY110" i="12"/>
  <c r="AS115" i="12"/>
  <c r="AY115" i="12"/>
  <c r="AS19" i="12"/>
  <c r="AY19" i="12"/>
  <c r="AS78" i="12"/>
  <c r="AY78" i="12"/>
  <c r="AT125" i="12"/>
  <c r="AZ125" i="12"/>
  <c r="AS113" i="12"/>
  <c r="AY113" i="12"/>
  <c r="AS81" i="12"/>
  <c r="AY81" i="12"/>
  <c r="AS17" i="12"/>
  <c r="AY17" i="12"/>
  <c r="AS104" i="12"/>
  <c r="AY104" i="12"/>
  <c r="AS72" i="12"/>
  <c r="AY72" i="12"/>
  <c r="AS40" i="12"/>
  <c r="AY40" i="12"/>
  <c r="AT12" i="12"/>
  <c r="AZ12" i="12"/>
  <c r="AT108" i="12"/>
  <c r="AZ108" i="12"/>
  <c r="AT100" i="12"/>
  <c r="AZ100" i="12"/>
  <c r="AT92" i="12"/>
  <c r="AZ92" i="12"/>
  <c r="AT84" i="12"/>
  <c r="AZ84" i="12"/>
  <c r="AT76" i="12"/>
  <c r="AZ76" i="12"/>
  <c r="AT68" i="12"/>
  <c r="AZ68" i="12"/>
  <c r="AT60" i="12"/>
  <c r="AZ60" i="12"/>
  <c r="AT52" i="12"/>
  <c r="AZ52" i="12"/>
  <c r="AT38" i="12"/>
  <c r="AZ38" i="12"/>
  <c r="AT22" i="12"/>
  <c r="AZ22" i="12"/>
  <c r="AT40" i="12"/>
  <c r="AZ40" i="12"/>
  <c r="AT119" i="12"/>
  <c r="AZ119" i="12"/>
  <c r="AT83" i="12"/>
  <c r="AZ83" i="12"/>
  <c r="AT79" i="12"/>
  <c r="AZ79" i="12"/>
  <c r="AT11" i="12"/>
  <c r="AZ11" i="12"/>
  <c r="AT99" i="12"/>
  <c r="AZ99" i="12"/>
  <c r="BC113" i="12"/>
  <c r="BE7" i="12"/>
  <c r="AK35" i="12"/>
  <c r="AK27" i="12"/>
  <c r="AZ113" i="12"/>
  <c r="AK68" i="16"/>
  <c r="AK28" i="12"/>
  <c r="AK20" i="12"/>
  <c r="AK12" i="12"/>
  <c r="AS59" i="12"/>
  <c r="AY59" i="12"/>
  <c r="AS126" i="12"/>
  <c r="AY126" i="12"/>
  <c r="AS121" i="12"/>
  <c r="AY121" i="12"/>
  <c r="AT94" i="12"/>
  <c r="AZ94" i="12"/>
  <c r="AT42" i="12"/>
  <c r="AZ42" i="12"/>
  <c r="AS51" i="12"/>
  <c r="AY51" i="12"/>
  <c r="AT120" i="12"/>
  <c r="AZ120" i="12"/>
  <c r="AS118" i="12"/>
  <c r="AY118" i="12"/>
  <c r="AS46" i="12"/>
  <c r="AY46" i="12"/>
  <c r="AT61" i="12"/>
  <c r="AZ61" i="12"/>
  <c r="AS49" i="12"/>
  <c r="AY49" i="12"/>
  <c r="AS111" i="12"/>
  <c r="AY111" i="12"/>
  <c r="AS79" i="12"/>
  <c r="AY79" i="12"/>
  <c r="AS47" i="12"/>
  <c r="AY47" i="12"/>
  <c r="AS15" i="12"/>
  <c r="AY15" i="12"/>
  <c r="AT130" i="12"/>
  <c r="AZ130" i="12"/>
  <c r="AS114" i="12"/>
  <c r="AY114" i="12"/>
  <c r="AS74" i="12"/>
  <c r="AY74" i="12"/>
  <c r="AS42" i="12"/>
  <c r="AY42" i="12"/>
  <c r="AS10" i="12"/>
  <c r="AY10" i="12"/>
  <c r="AT121" i="12"/>
  <c r="AZ121" i="12"/>
  <c r="AT57" i="12"/>
  <c r="AZ57" i="12"/>
  <c r="AS109" i="12"/>
  <c r="AY109" i="12"/>
  <c r="AS77" i="12"/>
  <c r="AY77" i="12"/>
  <c r="AS45" i="12"/>
  <c r="AY45" i="12"/>
  <c r="AS13" i="12"/>
  <c r="AY13" i="12"/>
  <c r="AS132" i="12"/>
  <c r="AY132" i="12"/>
  <c r="AS100" i="12"/>
  <c r="AY100" i="12"/>
  <c r="AS68" i="12"/>
  <c r="AY68" i="12"/>
  <c r="AS36" i="12"/>
  <c r="AY36" i="12"/>
  <c r="AT24" i="12"/>
  <c r="AZ24" i="12"/>
  <c r="AT87" i="12"/>
  <c r="AZ87" i="12"/>
  <c r="AT19" i="12"/>
  <c r="AZ19" i="12"/>
  <c r="AT15" i="12"/>
  <c r="AZ15" i="12"/>
  <c r="AT67" i="12"/>
  <c r="AZ67" i="12"/>
  <c r="BB8" i="12"/>
  <c r="BB111" i="12"/>
  <c r="AK44" i="12"/>
  <c r="AK36" i="12"/>
  <c r="AK10" i="16"/>
  <c r="AY94" i="12"/>
  <c r="AT86" i="12"/>
  <c r="AZ86" i="12"/>
  <c r="AT10" i="12"/>
  <c r="AT10" i="16"/>
  <c r="AZ10" i="12"/>
  <c r="AS83" i="12"/>
  <c r="AY83" i="12"/>
  <c r="AS75" i="12"/>
  <c r="AY75" i="12"/>
  <c r="AS11" i="12"/>
  <c r="AY11" i="12"/>
  <c r="AT126" i="12"/>
  <c r="AZ126" i="12"/>
  <c r="AS106" i="12"/>
  <c r="AY106" i="12"/>
  <c r="AS70" i="12"/>
  <c r="AY70" i="12"/>
  <c r="AT101" i="12"/>
  <c r="AZ101" i="12"/>
  <c r="AT37" i="12"/>
  <c r="AZ37" i="12"/>
  <c r="AS105" i="12"/>
  <c r="AY105" i="12"/>
  <c r="AS73" i="12"/>
  <c r="AY73" i="12"/>
  <c r="AS41" i="12"/>
  <c r="AY41" i="12"/>
  <c r="AS9" i="12"/>
  <c r="AY9" i="12"/>
  <c r="AS128" i="12"/>
  <c r="AY128" i="12"/>
  <c r="AS96" i="12"/>
  <c r="AY96" i="12"/>
  <c r="AS64" i="12"/>
  <c r="AY64" i="12"/>
  <c r="AS32" i="12"/>
  <c r="AY32" i="12"/>
  <c r="AT114" i="12"/>
  <c r="AZ114" i="12"/>
  <c r="AT106" i="12"/>
  <c r="AZ106" i="12"/>
  <c r="AT98" i="12"/>
  <c r="AZ98" i="12"/>
  <c r="AT90" i="12"/>
  <c r="AZ90" i="12"/>
  <c r="AT82" i="12"/>
  <c r="AZ82" i="12"/>
  <c r="AT74" i="12"/>
  <c r="AZ74" i="12"/>
  <c r="AT66" i="12"/>
  <c r="AZ66" i="12"/>
  <c r="AT58" i="12"/>
  <c r="AZ58" i="12"/>
  <c r="AT50" i="12"/>
  <c r="AZ50" i="12"/>
  <c r="AT34" i="12"/>
  <c r="AZ34" i="12"/>
  <c r="AT18" i="12"/>
  <c r="AZ18" i="12"/>
  <c r="AT23" i="12"/>
  <c r="AZ23" i="12"/>
  <c r="AT35" i="12"/>
  <c r="AZ35" i="12"/>
  <c r="AZ51" i="12"/>
  <c r="AK26" i="12"/>
  <c r="AK18" i="12"/>
  <c r="AK10" i="12"/>
  <c r="AS91" i="12"/>
  <c r="AY91" i="12"/>
  <c r="AS54" i="12"/>
  <c r="AY54" i="12"/>
  <c r="AT69" i="12"/>
  <c r="AZ69" i="12"/>
  <c r="AS57" i="12"/>
  <c r="AY57" i="12"/>
  <c r="AS80" i="12"/>
  <c r="AY80" i="12"/>
  <c r="AT44" i="12"/>
  <c r="AZ44" i="12"/>
  <c r="AT78" i="12"/>
  <c r="AZ78" i="12"/>
  <c r="AT91" i="12"/>
  <c r="AZ91" i="12"/>
  <c r="AS14" i="12"/>
  <c r="AY14" i="12"/>
  <c r="AS107" i="12"/>
  <c r="AY107" i="12"/>
  <c r="AS43" i="12"/>
  <c r="AY43" i="12"/>
  <c r="AS38" i="12"/>
  <c r="AY38" i="12"/>
  <c r="AS103" i="12"/>
  <c r="AY103" i="12"/>
  <c r="AS71" i="12"/>
  <c r="AY71" i="12"/>
  <c r="AS39" i="12"/>
  <c r="AY39" i="12"/>
  <c r="AS7" i="12"/>
  <c r="AY7" i="12"/>
  <c r="AT122" i="12"/>
  <c r="AZ122" i="12"/>
  <c r="AS102" i="12"/>
  <c r="AY102" i="12"/>
  <c r="AS66" i="12"/>
  <c r="AY66" i="12"/>
  <c r="AS34" i="12"/>
  <c r="AY34" i="12"/>
  <c r="AT124" i="12"/>
  <c r="AZ124" i="12"/>
  <c r="AT97" i="12"/>
  <c r="AZ97" i="12"/>
  <c r="AT33" i="12"/>
  <c r="AZ33" i="12"/>
  <c r="AS101" i="12"/>
  <c r="AY101" i="12"/>
  <c r="AS69" i="12"/>
  <c r="AY69" i="12"/>
  <c r="AS37" i="12"/>
  <c r="AY37" i="12"/>
  <c r="AS124" i="12"/>
  <c r="AY124" i="12"/>
  <c r="AS92" i="12"/>
  <c r="AY92" i="12"/>
  <c r="AS60" i="12"/>
  <c r="AY60" i="12"/>
  <c r="AS28" i="12"/>
  <c r="AY28" i="12"/>
  <c r="AT48" i="12"/>
  <c r="AZ48" i="12"/>
  <c r="AT8" i="12"/>
  <c r="AT103" i="12"/>
  <c r="AZ103" i="12"/>
  <c r="BB28" i="12"/>
  <c r="BB110" i="12"/>
  <c r="AT17" i="12"/>
  <c r="AK42" i="12"/>
  <c r="AY8" i="12"/>
  <c r="AS22" i="12"/>
  <c r="AY22" i="12"/>
  <c r="AS89" i="12"/>
  <c r="AY89" i="12"/>
  <c r="AS112" i="12"/>
  <c r="AY112" i="12"/>
  <c r="AT36" i="12"/>
  <c r="AZ36" i="12"/>
  <c r="AT102" i="12"/>
  <c r="AZ102" i="12"/>
  <c r="AT62" i="12"/>
  <c r="AZ62" i="12"/>
  <c r="AT75" i="12"/>
  <c r="AZ75" i="12"/>
  <c r="AS131" i="12"/>
  <c r="AY131" i="12"/>
  <c r="AS99" i="12"/>
  <c r="AY99" i="12"/>
  <c r="AS67" i="12"/>
  <c r="AY67" i="12"/>
  <c r="AS35" i="12"/>
  <c r="AY35" i="12"/>
  <c r="AT118" i="12"/>
  <c r="AZ118" i="12"/>
  <c r="AS98" i="12"/>
  <c r="AY98" i="12"/>
  <c r="AS62" i="12"/>
  <c r="AY62" i="12"/>
  <c r="AS30" i="12"/>
  <c r="AY30" i="12"/>
  <c r="AT93" i="12"/>
  <c r="AZ93" i="12"/>
  <c r="AT29" i="12"/>
  <c r="AZ29" i="12"/>
  <c r="AS129" i="12"/>
  <c r="AY129" i="12"/>
  <c r="AS97" i="12"/>
  <c r="AY97" i="12"/>
  <c r="AS65" i="12"/>
  <c r="AY65" i="12"/>
  <c r="AS33" i="12"/>
  <c r="AY33" i="12"/>
  <c r="AS120" i="12"/>
  <c r="AY120" i="12"/>
  <c r="AS88" i="12"/>
  <c r="AY88" i="12"/>
  <c r="AS56" i="12"/>
  <c r="AY56" i="12"/>
  <c r="AS24" i="12"/>
  <c r="AY24" i="12"/>
  <c r="AT32" i="12"/>
  <c r="AZ32" i="12"/>
  <c r="AT112" i="12"/>
  <c r="AZ112" i="12"/>
  <c r="AT104" i="12"/>
  <c r="AZ104" i="12"/>
  <c r="AT96" i="12"/>
  <c r="AZ96" i="12"/>
  <c r="AT88" i="12"/>
  <c r="AZ88" i="12"/>
  <c r="AT80" i="12"/>
  <c r="AZ80" i="12"/>
  <c r="AT72" i="12"/>
  <c r="AZ72" i="12"/>
  <c r="AT64" i="12"/>
  <c r="AZ64" i="12"/>
  <c r="AT56" i="12"/>
  <c r="AZ56" i="12"/>
  <c r="AT46" i="12"/>
  <c r="AZ46" i="12"/>
  <c r="AT30" i="12"/>
  <c r="AZ30" i="12"/>
  <c r="AT14" i="12"/>
  <c r="AZ14" i="12"/>
  <c r="AT107" i="12"/>
  <c r="AZ107" i="12"/>
  <c r="AT127" i="12"/>
  <c r="AZ127" i="12"/>
  <c r="AT71" i="12"/>
  <c r="AZ71" i="12"/>
  <c r="BC114" i="12"/>
  <c r="AK31" i="12"/>
  <c r="AK40" i="16"/>
  <c r="AK32" i="12"/>
  <c r="AK24" i="12"/>
  <c r="AK16" i="12"/>
  <c r="AK8" i="12"/>
  <c r="AT116" i="12"/>
  <c r="AZ116" i="12"/>
  <c r="AS127" i="12"/>
  <c r="AY127" i="12"/>
  <c r="AS95" i="12"/>
  <c r="AY95" i="12"/>
  <c r="AS63" i="12"/>
  <c r="AY63" i="12"/>
  <c r="AS31" i="12"/>
  <c r="AY31" i="12"/>
  <c r="AS130" i="12"/>
  <c r="AY130" i="12"/>
  <c r="AS90" i="12"/>
  <c r="AY90" i="12"/>
  <c r="AS58" i="12"/>
  <c r="AY58" i="12"/>
  <c r="AS26" i="12"/>
  <c r="AY26" i="12"/>
  <c r="AT89" i="12"/>
  <c r="AZ89" i="12"/>
  <c r="AT25" i="12"/>
  <c r="AZ25" i="12"/>
  <c r="AT128" i="12"/>
  <c r="AZ128" i="12"/>
  <c r="AS125" i="12"/>
  <c r="AY125" i="12"/>
  <c r="AS93" i="12"/>
  <c r="AY93" i="12"/>
  <c r="AS61" i="12"/>
  <c r="AY61" i="12"/>
  <c r="AS29" i="12"/>
  <c r="AY29" i="12"/>
  <c r="AS116" i="12"/>
  <c r="AY116" i="12"/>
  <c r="AS84" i="12"/>
  <c r="AY84" i="12"/>
  <c r="AS52" i="12"/>
  <c r="AY52" i="12"/>
  <c r="AS20" i="12"/>
  <c r="AY20" i="12"/>
  <c r="AT16" i="12"/>
  <c r="AZ16" i="12"/>
  <c r="AT123" i="12"/>
  <c r="AZ123" i="12"/>
  <c r="AT31" i="12"/>
  <c r="AZ31" i="12"/>
  <c r="AT7" i="12"/>
  <c r="AZ7" i="12"/>
  <c r="AZ10" i="16"/>
  <c r="AK40" i="12"/>
  <c r="AS8" i="12"/>
  <c r="CQ106" i="15"/>
  <c r="CV106" i="15"/>
  <c r="CJ131" i="15"/>
  <c r="CV131" i="15" s="1"/>
  <c r="CR111" i="15"/>
  <c r="CH102" i="15"/>
  <c r="CT102" i="15" s="1"/>
  <c r="CH90" i="15"/>
  <c r="CT90" i="15" s="1"/>
  <c r="CF102" i="15"/>
  <c r="CR102" i="15" s="1"/>
  <c r="CE73" i="15"/>
  <c r="CQ73" i="15" s="1"/>
  <c r="CE85" i="15"/>
  <c r="CQ85" i="15" s="1"/>
  <c r="CE81" i="15"/>
  <c r="CQ81" i="15" s="1"/>
  <c r="CI79" i="15"/>
  <c r="CU79" i="15" s="1"/>
  <c r="CE59" i="15"/>
  <c r="CQ59" i="15" s="1"/>
  <c r="CH132" i="15"/>
  <c r="CT132" i="15" s="1"/>
  <c r="CJ128" i="15"/>
  <c r="CV128" i="15" s="1"/>
  <c r="CG132" i="15"/>
  <c r="CS132" i="15" s="1"/>
  <c r="CI108" i="15"/>
  <c r="CU108" i="15" s="1"/>
  <c r="CG102" i="15"/>
  <c r="CS102" i="15" s="1"/>
  <c r="CH103" i="15"/>
  <c r="CT103" i="15" s="1"/>
  <c r="CK100" i="15"/>
  <c r="CW100" i="15" s="1"/>
  <c r="CQ79" i="15"/>
  <c r="CT83" i="15"/>
  <c r="CG82" i="15"/>
  <c r="CS82" i="15" s="1"/>
  <c r="CE84" i="15"/>
  <c r="CQ84" i="15" s="1"/>
  <c r="CI66" i="15"/>
  <c r="CU66" i="15" s="1"/>
  <c r="CE54" i="15"/>
  <c r="CQ54" i="15" s="1"/>
  <c r="CE95" i="15"/>
  <c r="CQ95" i="15" s="1"/>
  <c r="CE103" i="15"/>
  <c r="CQ103" i="15" s="1"/>
  <c r="CI82" i="15"/>
  <c r="CU82" i="15" s="1"/>
  <c r="CE90" i="15"/>
  <c r="CQ90" i="15" s="1"/>
  <c r="CU83" i="15"/>
  <c r="CE61" i="15"/>
  <c r="CQ61" i="15" s="1"/>
  <c r="CR106" i="15"/>
  <c r="CG131" i="15"/>
  <c r="CS131" i="15" s="1"/>
  <c r="CF98" i="15"/>
  <c r="CJ100" i="15"/>
  <c r="CV100" i="15" s="1"/>
  <c r="CE119" i="15"/>
  <c r="CI102" i="15"/>
  <c r="CU102" i="15" s="1"/>
  <c r="CJ94" i="15"/>
  <c r="CV94" i="15" s="1"/>
  <c r="CE101" i="15"/>
  <c r="CQ101" i="15" s="1"/>
  <c r="CJ85" i="15"/>
  <c r="CV85" i="15" s="1"/>
  <c r="CG76" i="15"/>
  <c r="CS76" i="15" s="1"/>
  <c r="CF55" i="15"/>
  <c r="CR55" i="15" s="1"/>
  <c r="CQ57" i="15"/>
  <c r="CF44" i="15"/>
  <c r="CR44" i="15" s="1"/>
  <c r="CG55" i="15"/>
  <c r="CS55" i="15" s="1"/>
  <c r="CF35" i="15"/>
  <c r="CJ119" i="15"/>
  <c r="CH126" i="15"/>
  <c r="CT126" i="15" s="1"/>
  <c r="CI121" i="15"/>
  <c r="CU121" i="15" s="1"/>
  <c r="CT112" i="15"/>
  <c r="CJ132" i="15"/>
  <c r="CV132" i="15" s="1"/>
  <c r="CE97" i="15"/>
  <c r="CQ97" i="15" s="1"/>
  <c r="CG111" i="15"/>
  <c r="CS111" i="15" s="1"/>
  <c r="CG110" i="15"/>
  <c r="CF100" i="15"/>
  <c r="CR100" i="15" s="1"/>
  <c r="CI95" i="15"/>
  <c r="CU95" i="15" s="1"/>
  <c r="CH86" i="15"/>
  <c r="CT86" i="15" s="1"/>
  <c r="CI81" i="15"/>
  <c r="CU81" i="15" s="1"/>
  <c r="CF73" i="15"/>
  <c r="CR73" i="15" s="1"/>
  <c r="CE67" i="15"/>
  <c r="CS83" i="15"/>
  <c r="CE43" i="15"/>
  <c r="CG43" i="15"/>
  <c r="CF132" i="15"/>
  <c r="CR132" i="15" s="1"/>
  <c r="CI129" i="15"/>
  <c r="CU129" i="15" s="1"/>
  <c r="CE132" i="15"/>
  <c r="CQ132" i="15" s="1"/>
  <c r="CF110" i="15"/>
  <c r="CT109" i="15"/>
  <c r="CI110" i="15"/>
  <c r="CQ113" i="15"/>
  <c r="CF103" i="15"/>
  <c r="CR103" i="15" s="1"/>
  <c r="CQ92" i="15"/>
  <c r="CF82" i="15"/>
  <c r="CR82" i="15" s="1"/>
  <c r="CI85" i="15"/>
  <c r="CU85" i="15" s="1"/>
  <c r="CG61" i="15"/>
  <c r="CS61" i="15" s="1"/>
  <c r="CI55" i="15"/>
  <c r="CU55" i="15" s="1"/>
  <c r="CR57" i="15"/>
  <c r="CF39" i="15"/>
  <c r="CF88" i="15"/>
  <c r="CR88" i="15" s="1"/>
  <c r="CF95" i="15"/>
  <c r="CR95" i="15" s="1"/>
  <c r="CQ83" i="15"/>
  <c r="CE13" i="15"/>
  <c r="CU7" i="15"/>
  <c r="CQ110" i="15"/>
  <c r="CT43" i="15"/>
  <c r="CT127" i="15"/>
  <c r="CK129" i="15"/>
  <c r="CW129" i="15" s="1"/>
  <c r="CF131" i="15"/>
  <c r="CR131" i="15" s="1"/>
  <c r="CK124" i="15"/>
  <c r="CW124" i="15" s="1"/>
  <c r="CI126" i="15"/>
  <c r="CU126" i="15" s="1"/>
  <c r="CF126" i="15"/>
  <c r="CR126" i="15" s="1"/>
  <c r="CK126" i="15"/>
  <c r="CW126" i="15" s="1"/>
  <c r="CQ115" i="15"/>
  <c r="CI114" i="15"/>
  <c r="CU114" i="15" s="1"/>
  <c r="CT119" i="15"/>
  <c r="CQ104" i="15"/>
  <c r="BJ115" i="15"/>
  <c r="BQ115" i="15"/>
  <c r="CI115" i="15" s="1"/>
  <c r="CU115" i="15" s="1"/>
  <c r="BL109" i="15"/>
  <c r="BT109" i="15" s="1"/>
  <c r="CL109" i="15" s="1"/>
  <c r="BS109" i="15"/>
  <c r="CK109" i="15" s="1"/>
  <c r="CW109" i="15" s="1"/>
  <c r="CF112" i="15"/>
  <c r="CR112" i="15" s="1"/>
  <c r="CS106" i="15"/>
  <c r="CG114" i="15"/>
  <c r="CS114" i="15" s="1"/>
  <c r="CU100" i="15"/>
  <c r="CG100" i="15"/>
  <c r="CS100" i="15" s="1"/>
  <c r="CV93" i="15"/>
  <c r="CH88" i="15"/>
  <c r="CT88" i="15" s="1"/>
  <c r="CJ92" i="15"/>
  <c r="CV92" i="15" s="1"/>
  <c r="BK98" i="15"/>
  <c r="BR98" i="15"/>
  <c r="CJ98" i="15" s="1"/>
  <c r="CH92" i="15"/>
  <c r="CT92" i="15" s="1"/>
  <c r="CT106" i="15"/>
  <c r="BK89" i="15"/>
  <c r="BR89" i="15"/>
  <c r="CJ89" i="15" s="1"/>
  <c r="CV89" i="15" s="1"/>
  <c r="CG89" i="15"/>
  <c r="CS89" i="15" s="1"/>
  <c r="CF89" i="15"/>
  <c r="CR89" i="15" s="1"/>
  <c r="CF84" i="15"/>
  <c r="CR84" i="15" s="1"/>
  <c r="CE88" i="15"/>
  <c r="CQ88" i="15" s="1"/>
  <c r="CU65" i="15"/>
  <c r="CH74" i="15"/>
  <c r="CT74" i="15" s="1"/>
  <c r="CE76" i="15"/>
  <c r="CQ76" i="15" s="1"/>
  <c r="CH61" i="15"/>
  <c r="CT61" i="15" s="1"/>
  <c r="CF59" i="15"/>
  <c r="CR59" i="15" s="1"/>
  <c r="CE49" i="15"/>
  <c r="CQ49" i="15" s="1"/>
  <c r="BK56" i="15"/>
  <c r="BR56" i="15"/>
  <c r="CJ56" i="15" s="1"/>
  <c r="CV56" i="15" s="1"/>
  <c r="CE66" i="15"/>
  <c r="CQ66" i="15" s="1"/>
  <c r="BJ54" i="15"/>
  <c r="BQ54" i="15"/>
  <c r="CI54" i="15" s="1"/>
  <c r="CU54" i="15" s="1"/>
  <c r="CH34" i="15"/>
  <c r="BK44" i="15"/>
  <c r="BR44" i="15"/>
  <c r="CJ44" i="15" s="1"/>
  <c r="CV44" i="15" s="1"/>
  <c r="CG35" i="15"/>
  <c r="CE51" i="15"/>
  <c r="BL19" i="15"/>
  <c r="BT19" i="15" s="1"/>
  <c r="BS19" i="15"/>
  <c r="BL29" i="15"/>
  <c r="BT29" i="15" s="1"/>
  <c r="BS29" i="15"/>
  <c r="CE12" i="15"/>
  <c r="BL25" i="15"/>
  <c r="BT25" i="15" s="1"/>
  <c r="BS25" i="15"/>
  <c r="CE130" i="15"/>
  <c r="CQ130" i="15" s="1"/>
  <c r="CI125" i="15"/>
  <c r="CU125" i="15" s="1"/>
  <c r="CF128" i="15"/>
  <c r="CR128" i="15" s="1"/>
  <c r="CG129" i="15"/>
  <c r="CS129" i="15" s="1"/>
  <c r="BR114" i="15"/>
  <c r="CJ114" i="15" s="1"/>
  <c r="CV114" i="15" s="1"/>
  <c r="BK114" i="15"/>
  <c r="CE128" i="15"/>
  <c r="CQ128" i="15" s="1"/>
  <c r="CI127" i="15"/>
  <c r="BL103" i="15"/>
  <c r="BT103" i="15" s="1"/>
  <c r="CL103" i="15" s="1"/>
  <c r="BS103" i="15"/>
  <c r="CK103" i="15" s="1"/>
  <c r="CW103" i="15" s="1"/>
  <c r="CT115" i="15"/>
  <c r="CJ117" i="15"/>
  <c r="CV117" i="15" s="1"/>
  <c r="BL106" i="15"/>
  <c r="BT106" i="15" s="1"/>
  <c r="CL106" i="15" s="1"/>
  <c r="BS106" i="15"/>
  <c r="CK106" i="15" s="1"/>
  <c r="CW106" i="15" s="1"/>
  <c r="CI131" i="15"/>
  <c r="CU131" i="15" s="1"/>
  <c r="CH108" i="15"/>
  <c r="CT108" i="15" s="1"/>
  <c r="CG112" i="15"/>
  <c r="CS112" i="15" s="1"/>
  <c r="CH105" i="15"/>
  <c r="CT105" i="15" s="1"/>
  <c r="CF114" i="15"/>
  <c r="CR114" i="15" s="1"/>
  <c r="CR104" i="15"/>
  <c r="CK105" i="15"/>
  <c r="CW105" i="15" s="1"/>
  <c r="BK90" i="15"/>
  <c r="BR90" i="15"/>
  <c r="CJ90" i="15" s="1"/>
  <c r="CV90" i="15" s="1"/>
  <c r="CI91" i="15"/>
  <c r="CU91" i="15" s="1"/>
  <c r="BL85" i="15"/>
  <c r="BT85" i="15" s="1"/>
  <c r="CL85" i="15" s="1"/>
  <c r="BS85" i="15"/>
  <c r="CK85" i="15" s="1"/>
  <c r="CW85" i="15" s="1"/>
  <c r="CH64" i="15"/>
  <c r="CT64" i="15" s="1"/>
  <c r="BL69" i="15"/>
  <c r="BT69" i="15" s="1"/>
  <c r="BS69" i="15"/>
  <c r="CH75" i="15"/>
  <c r="CT75" i="15" s="1"/>
  <c r="CE58" i="15"/>
  <c r="CQ58" i="15" s="1"/>
  <c r="BR71" i="15"/>
  <c r="BK71" i="15"/>
  <c r="BK52" i="15"/>
  <c r="BR52" i="15"/>
  <c r="BJ53" i="15"/>
  <c r="BQ53" i="15"/>
  <c r="CI53" i="15" s="1"/>
  <c r="CU53" i="15" s="1"/>
  <c r="CG59" i="15"/>
  <c r="CS59" i="15" s="1"/>
  <c r="CI56" i="15"/>
  <c r="CU56" i="15" s="1"/>
  <c r="CF63" i="15"/>
  <c r="CR63" i="15" s="1"/>
  <c r="CQ45" i="15"/>
  <c r="CI61" i="15"/>
  <c r="CU61" i="15" s="1"/>
  <c r="BG51" i="15"/>
  <c r="BO51" i="15" s="1"/>
  <c r="BN51" i="15"/>
  <c r="CJ43" i="15"/>
  <c r="CR7" i="15"/>
  <c r="CQ7" i="15"/>
  <c r="CE34" i="15"/>
  <c r="CG34" i="15"/>
  <c r="CH54" i="15"/>
  <c r="CT54" i="15" s="1"/>
  <c r="CH38" i="15"/>
  <c r="CI44" i="15"/>
  <c r="CU44" i="15" s="1"/>
  <c r="CE44" i="15"/>
  <c r="CQ44" i="15" s="1"/>
  <c r="CE22" i="15"/>
  <c r="BL13" i="15"/>
  <c r="BT13" i="15" s="1"/>
  <c r="BS13" i="15"/>
  <c r="BK24" i="15"/>
  <c r="BR24" i="15"/>
  <c r="BK12" i="15"/>
  <c r="BR12" i="15"/>
  <c r="CE10" i="15"/>
  <c r="CJ125" i="15"/>
  <c r="CV125" i="15" s="1"/>
  <c r="CE125" i="15"/>
  <c r="CQ125" i="15" s="1"/>
  <c r="BN121" i="15"/>
  <c r="CF121" i="15" s="1"/>
  <c r="CR121" i="15" s="1"/>
  <c r="BG121" i="15"/>
  <c r="BO121" i="15" s="1"/>
  <c r="CG121" i="15" s="1"/>
  <c r="CS121" i="15" s="1"/>
  <c r="BR127" i="15"/>
  <c r="CJ127" i="15" s="1"/>
  <c r="BK127" i="15"/>
  <c r="BK102" i="15"/>
  <c r="BR102" i="15"/>
  <c r="CJ102" i="15" s="1"/>
  <c r="CV102" i="15" s="1"/>
  <c r="BL117" i="15"/>
  <c r="BT117" i="15" s="1"/>
  <c r="CL117" i="15" s="1"/>
  <c r="BS117" i="15"/>
  <c r="CK117" i="15" s="1"/>
  <c r="CW117" i="15" s="1"/>
  <c r="CH98" i="15"/>
  <c r="BL99" i="15"/>
  <c r="BT99" i="15" s="1"/>
  <c r="BS99" i="15"/>
  <c r="CL105" i="15"/>
  <c r="BK95" i="15"/>
  <c r="BR95" i="15"/>
  <c r="CJ95" i="15" s="1"/>
  <c r="CV95" i="15" s="1"/>
  <c r="BL96" i="15"/>
  <c r="BT96" i="15" s="1"/>
  <c r="BS96" i="15"/>
  <c r="BK84" i="15"/>
  <c r="BR84" i="15"/>
  <c r="CJ84" i="15" s="1"/>
  <c r="CV84" i="15" s="1"/>
  <c r="CG92" i="15"/>
  <c r="CS92" i="15" s="1"/>
  <c r="BK83" i="15"/>
  <c r="BR83" i="15"/>
  <c r="CJ83" i="15" s="1"/>
  <c r="CV83" i="15" s="1"/>
  <c r="CS65" i="15"/>
  <c r="BS72" i="15"/>
  <c r="BL72" i="15"/>
  <c r="BT72" i="15" s="1"/>
  <c r="BK66" i="15"/>
  <c r="BR66" i="15"/>
  <c r="CJ66" i="15" s="1"/>
  <c r="CV66" i="15" s="1"/>
  <c r="CV65" i="15"/>
  <c r="CQ60" i="15"/>
  <c r="BL43" i="15"/>
  <c r="BT43" i="15" s="1"/>
  <c r="CL43" i="15" s="1"/>
  <c r="AB43" i="22" s="1"/>
  <c r="BS43" i="15"/>
  <c r="CK43" i="15" s="1"/>
  <c r="CI42" i="15"/>
  <c r="BK28" i="15"/>
  <c r="BR28" i="15"/>
  <c r="BK16" i="15"/>
  <c r="BR16" i="15"/>
  <c r="CI34" i="15"/>
  <c r="CE20" i="15"/>
  <c r="CF130" i="15"/>
  <c r="CR130" i="15" s="1"/>
  <c r="CJ129" i="15"/>
  <c r="CV129" i="15" s="1"/>
  <c r="CL125" i="15"/>
  <c r="CL129" i="15"/>
  <c r="CI124" i="15"/>
  <c r="CU124" i="15" s="1"/>
  <c r="CG124" i="15"/>
  <c r="CS124" i="15" s="1"/>
  <c r="CE124" i="15"/>
  <c r="CI130" i="15"/>
  <c r="CU130" i="15" s="1"/>
  <c r="BR113" i="15"/>
  <c r="CJ113" i="15" s="1"/>
  <c r="CV113" i="15" s="1"/>
  <c r="BK113" i="15"/>
  <c r="BJ116" i="15"/>
  <c r="BQ116" i="15"/>
  <c r="CI116" i="15" s="1"/>
  <c r="CU116" i="15" s="1"/>
  <c r="CG105" i="15"/>
  <c r="CS105" i="15" s="1"/>
  <c r="CF117" i="15"/>
  <c r="CR117" i="15" s="1"/>
  <c r="CH91" i="15"/>
  <c r="CT91" i="15" s="1"/>
  <c r="CE91" i="15"/>
  <c r="CQ91" i="15" s="1"/>
  <c r="BR108" i="15"/>
  <c r="CJ108" i="15" s="1"/>
  <c r="CV108" i="15" s="1"/>
  <c r="BK108" i="15"/>
  <c r="CE98" i="15"/>
  <c r="CQ98" i="15" s="1"/>
  <c r="BK82" i="15"/>
  <c r="BR82" i="15"/>
  <c r="CJ82" i="15" s="1"/>
  <c r="CV82" i="15" s="1"/>
  <c r="CS93" i="15"/>
  <c r="CI89" i="15"/>
  <c r="CU89" i="15" s="1"/>
  <c r="CF64" i="15"/>
  <c r="CR64" i="15" s="1"/>
  <c r="CT79" i="15"/>
  <c r="CI76" i="15"/>
  <c r="CG64" i="15"/>
  <c r="CS64" i="15" s="1"/>
  <c r="CF75" i="15"/>
  <c r="CR75" i="15" s="1"/>
  <c r="BL65" i="15"/>
  <c r="BT65" i="15" s="1"/>
  <c r="CL65" i="15" s="1"/>
  <c r="BS65" i="15"/>
  <c r="CK65" i="15" s="1"/>
  <c r="CW65" i="15" s="1"/>
  <c r="CJ58" i="15"/>
  <c r="CV58" i="15" s="1"/>
  <c r="CR53" i="15"/>
  <c r="CI38" i="15"/>
  <c r="BK34" i="15"/>
  <c r="BS34" i="15" s="1"/>
  <c r="CJ34" i="15"/>
  <c r="BK42" i="15"/>
  <c r="BS42" i="15" s="1"/>
  <c r="CJ42" i="15"/>
  <c r="BL21" i="15"/>
  <c r="BT21" i="15" s="1"/>
  <c r="BS21" i="15"/>
  <c r="BL33" i="15"/>
  <c r="BT33" i="15" s="1"/>
  <c r="BS33" i="15"/>
  <c r="CE18" i="15"/>
  <c r="CE129" i="15"/>
  <c r="CQ129" i="15" s="1"/>
  <c r="CG128" i="15"/>
  <c r="CS128" i="15" s="1"/>
  <c r="BR122" i="15"/>
  <c r="CJ122" i="15" s="1"/>
  <c r="CV122" i="15" s="1"/>
  <c r="BK122" i="15"/>
  <c r="CI119" i="15"/>
  <c r="CJ124" i="15"/>
  <c r="CV124" i="15" s="1"/>
  <c r="BK130" i="15"/>
  <c r="BR130" i="15"/>
  <c r="CJ130" i="15" s="1"/>
  <c r="CV130" i="15" s="1"/>
  <c r="CI128" i="15"/>
  <c r="CR113" i="15"/>
  <c r="BS118" i="15"/>
  <c r="CK118" i="15" s="1"/>
  <c r="CW118" i="15" s="1"/>
  <c r="BL118" i="15"/>
  <c r="BT118" i="15" s="1"/>
  <c r="CL118" i="15" s="1"/>
  <c r="BQ112" i="15"/>
  <c r="CI112" i="15" s="1"/>
  <c r="CU112" i="15" s="1"/>
  <c r="BJ112" i="15"/>
  <c r="CF108" i="15"/>
  <c r="CR108" i="15" s="1"/>
  <c r="CG122" i="15"/>
  <c r="CS122" i="15" s="1"/>
  <c r="CF125" i="15"/>
  <c r="CR125" i="15" s="1"/>
  <c r="CG117" i="15"/>
  <c r="CS117" i="15" s="1"/>
  <c r="BG119" i="15"/>
  <c r="BO119" i="15" s="1"/>
  <c r="CG119" i="15" s="1"/>
  <c r="BN119" i="15"/>
  <c r="CF119" i="15" s="1"/>
  <c r="CQ109" i="15"/>
  <c r="BL93" i="15"/>
  <c r="BT93" i="15" s="1"/>
  <c r="CL93" i="15" s="1"/>
  <c r="BS93" i="15"/>
  <c r="CK93" i="15" s="1"/>
  <c r="CW93" i="15" s="1"/>
  <c r="CU104" i="15"/>
  <c r="CG95" i="15"/>
  <c r="CS95" i="15" s="1"/>
  <c r="CT93" i="15"/>
  <c r="CJ91" i="15"/>
  <c r="CV91" i="15" s="1"/>
  <c r="BR81" i="15"/>
  <c r="CJ81" i="15" s="1"/>
  <c r="CV81" i="15" s="1"/>
  <c r="BK81" i="15"/>
  <c r="CG73" i="15"/>
  <c r="CS73" i="15" s="1"/>
  <c r="CG74" i="15"/>
  <c r="CS74" i="15" s="1"/>
  <c r="CF66" i="15"/>
  <c r="CR66" i="15" s="1"/>
  <c r="CI75" i="15"/>
  <c r="CU75" i="15" s="1"/>
  <c r="CF61" i="15"/>
  <c r="CR61" i="15" s="1"/>
  <c r="BK68" i="15"/>
  <c r="BR68" i="15"/>
  <c r="CG63" i="15"/>
  <c r="CS63" i="15" s="1"/>
  <c r="CG49" i="15"/>
  <c r="CS49" i="15" s="1"/>
  <c r="CJ55" i="15"/>
  <c r="CV55" i="15" s="1"/>
  <c r="BS58" i="15"/>
  <c r="CK58" i="15" s="1"/>
  <c r="CW58" i="15" s="1"/>
  <c r="BL58" i="15"/>
  <c r="BT58" i="15" s="1"/>
  <c r="CL58" i="15" s="1"/>
  <c r="CF56" i="15"/>
  <c r="CR56" i="15" s="1"/>
  <c r="BJ49" i="15"/>
  <c r="BQ49" i="15"/>
  <c r="CI49" i="15" s="1"/>
  <c r="CU49" i="15" s="1"/>
  <c r="CF58" i="15"/>
  <c r="CR58" i="15" s="1"/>
  <c r="CI43" i="15"/>
  <c r="BL45" i="15"/>
  <c r="BT45" i="15" s="1"/>
  <c r="CL45" i="15" s="1"/>
  <c r="BS45" i="15"/>
  <c r="CK45" i="15" s="1"/>
  <c r="CW45" i="15" s="1"/>
  <c r="CR45" i="15"/>
  <c r="CF34" i="15"/>
  <c r="CT39" i="15"/>
  <c r="BK38" i="15"/>
  <c r="BS38" i="15" s="1"/>
  <c r="CJ38" i="15"/>
  <c r="BK9" i="15"/>
  <c r="BR9" i="15"/>
  <c r="BK17" i="15"/>
  <c r="BR17" i="15"/>
  <c r="BK8" i="15"/>
  <c r="BR8" i="15"/>
  <c r="CF127" i="15"/>
  <c r="CL128" i="15"/>
  <c r="CH122" i="15"/>
  <c r="CT122" i="15" s="1"/>
  <c r="CE127" i="15"/>
  <c r="BN123" i="15"/>
  <c r="CF123" i="15" s="1"/>
  <c r="CR123" i="15" s="1"/>
  <c r="BG123" i="15"/>
  <c r="BO123" i="15" s="1"/>
  <c r="CG123" i="15" s="1"/>
  <c r="CS123" i="15" s="1"/>
  <c r="CL126" i="15"/>
  <c r="CF118" i="15"/>
  <c r="CR118" i="15" s="1"/>
  <c r="CI118" i="15"/>
  <c r="CU118" i="15" s="1"/>
  <c r="CJ118" i="15"/>
  <c r="CV118" i="15" s="1"/>
  <c r="BR110" i="15"/>
  <c r="CJ110" i="15" s="1"/>
  <c r="BK110" i="15"/>
  <c r="CG108" i="15"/>
  <c r="CS108" i="15" s="1"/>
  <c r="CU106" i="15"/>
  <c r="CF122" i="15"/>
  <c r="CR122" i="15" s="1"/>
  <c r="CS115" i="15"/>
  <c r="CF101" i="15"/>
  <c r="CR101" i="15" s="1"/>
  <c r="BK104" i="15"/>
  <c r="BR104" i="15"/>
  <c r="CJ104" i="15" s="1"/>
  <c r="CV104" i="15" s="1"/>
  <c r="CH111" i="15"/>
  <c r="CT111" i="15" s="1"/>
  <c r="CH100" i="15"/>
  <c r="CT100" i="15" s="1"/>
  <c r="CU113" i="15"/>
  <c r="BG109" i="15"/>
  <c r="BO109" i="15" s="1"/>
  <c r="CG109" i="15" s="1"/>
  <c r="CS109" i="15" s="1"/>
  <c r="BN109" i="15"/>
  <c r="CF109" i="15" s="1"/>
  <c r="CR109" i="15" s="1"/>
  <c r="CS103" i="15"/>
  <c r="CH94" i="15"/>
  <c r="CT94" i="15" s="1"/>
  <c r="CL92" i="15"/>
  <c r="CH95" i="15"/>
  <c r="CT95" i="15" s="1"/>
  <c r="CF94" i="15"/>
  <c r="CR94" i="15" s="1"/>
  <c r="CL100" i="15"/>
  <c r="CL94" i="15"/>
  <c r="CH82" i="15"/>
  <c r="CT82" i="15" s="1"/>
  <c r="CF91" i="15"/>
  <c r="CR91" i="15" s="1"/>
  <c r="CE89" i="15"/>
  <c r="CQ89" i="15" s="1"/>
  <c r="BK75" i="15"/>
  <c r="CH66" i="15"/>
  <c r="CT66" i="15" s="1"/>
  <c r="CF54" i="15"/>
  <c r="CR54" i="15" s="1"/>
  <c r="CI64" i="15"/>
  <c r="CU64" i="15" s="1"/>
  <c r="CI58" i="15"/>
  <c r="CU58" i="15" s="1"/>
  <c r="CE75" i="15"/>
  <c r="CQ75" i="15" s="1"/>
  <c r="CT65" i="15"/>
  <c r="BL55" i="15"/>
  <c r="BT55" i="15" s="1"/>
  <c r="CL55" i="15" s="1"/>
  <c r="BS55" i="15"/>
  <c r="CK55" i="15" s="1"/>
  <c r="CW55" i="15" s="1"/>
  <c r="BK48" i="15"/>
  <c r="BR48" i="15"/>
  <c r="CJ48" i="15" s="1"/>
  <c r="CV48" i="15" s="1"/>
  <c r="CE55" i="15"/>
  <c r="CQ55" i="15" s="1"/>
  <c r="CG58" i="15"/>
  <c r="CS58" i="15" s="1"/>
  <c r="CE52" i="15"/>
  <c r="CV45" i="15"/>
  <c r="CS45" i="15"/>
  <c r="CE27" i="15"/>
  <c r="CG38" i="15"/>
  <c r="CI36" i="15"/>
  <c r="CE30" i="15"/>
  <c r="CK125" i="15"/>
  <c r="CW125" i="15" s="1"/>
  <c r="CG127" i="15"/>
  <c r="CT131" i="15"/>
  <c r="CH130" i="15"/>
  <c r="CT130" i="15" s="1"/>
  <c r="CL121" i="15"/>
  <c r="CG125" i="15"/>
  <c r="CS125" i="15" s="1"/>
  <c r="CE112" i="15"/>
  <c r="CQ112" i="15" s="1"/>
  <c r="CH114" i="15"/>
  <c r="CT114" i="15" s="1"/>
  <c r="CH121" i="15"/>
  <c r="CT121" i="15" s="1"/>
  <c r="BJ111" i="15"/>
  <c r="BQ111" i="15"/>
  <c r="CI111" i="15" s="1"/>
  <c r="CU111" i="15" s="1"/>
  <c r="CJ105" i="15"/>
  <c r="CV105" i="15" s="1"/>
  <c r="CE105" i="15"/>
  <c r="CQ105" i="15" s="1"/>
  <c r="BL91" i="15"/>
  <c r="BT91" i="15" s="1"/>
  <c r="CL91" i="15" s="1"/>
  <c r="BS91" i="15"/>
  <c r="CK91" i="15" s="1"/>
  <c r="CW91" i="15" s="1"/>
  <c r="CI94" i="15"/>
  <c r="CU94" i="15" s="1"/>
  <c r="CE94" i="15"/>
  <c r="CQ94" i="15" s="1"/>
  <c r="CK94" i="15"/>
  <c r="CW94" i="15" s="1"/>
  <c r="BL79" i="15"/>
  <c r="BT79" i="15" s="1"/>
  <c r="CL79" i="15" s="1"/>
  <c r="BS79" i="15"/>
  <c r="CK79" i="15" s="1"/>
  <c r="CW79" i="15" s="1"/>
  <c r="CF76" i="15"/>
  <c r="CR76" i="15" s="1"/>
  <c r="CF90" i="15"/>
  <c r="CR90" i="15" s="1"/>
  <c r="CI88" i="15"/>
  <c r="CU88" i="15" s="1"/>
  <c r="BK86" i="15"/>
  <c r="BR86" i="15"/>
  <c r="CJ86" i="15" s="1"/>
  <c r="CV86" i="15" s="1"/>
  <c r="BK64" i="15"/>
  <c r="BR64" i="15"/>
  <c r="CJ64" i="15" s="1"/>
  <c r="CV64" i="15" s="1"/>
  <c r="CQ65" i="15"/>
  <c r="CI62" i="15"/>
  <c r="CU62" i="15" s="1"/>
  <c r="CE62" i="15"/>
  <c r="CQ62" i="15" s="1"/>
  <c r="CU45" i="15"/>
  <c r="CU57" i="15"/>
  <c r="CG62" i="15"/>
  <c r="CS62" i="15" s="1"/>
  <c r="CF38" i="15"/>
  <c r="CF43" i="15"/>
  <c r="BR7" i="15"/>
  <c r="CJ7" i="15" s="1"/>
  <c r="CJ136" i="15" s="1"/>
  <c r="BJ7" i="15"/>
  <c r="CF36" i="15"/>
  <c r="CH42" i="15"/>
  <c r="BK36" i="15"/>
  <c r="BS36" i="15" s="1"/>
  <c r="CJ36" i="15"/>
  <c r="BO7" i="15"/>
  <c r="CG7" i="15" s="1"/>
  <c r="CG136" i="15" s="1"/>
  <c r="BG7" i="15"/>
  <c r="BP7" i="15" s="1"/>
  <c r="CH7" i="15" s="1"/>
  <c r="CH136" i="15" s="1"/>
  <c r="CE8" i="15"/>
  <c r="CF37" i="15"/>
  <c r="CF13" i="15"/>
  <c r="BK10" i="15"/>
  <c r="BR10" i="15"/>
  <c r="BK18" i="15"/>
  <c r="BR18" i="15"/>
  <c r="BL11" i="15"/>
  <c r="BT11" i="15" s="1"/>
  <c r="BS11" i="15"/>
  <c r="CH117" i="15"/>
  <c r="CT117" i="15" s="1"/>
  <c r="CE117" i="15"/>
  <c r="CQ117" i="15" s="1"/>
  <c r="BL119" i="15"/>
  <c r="BT119" i="15" s="1"/>
  <c r="CL119" i="15" s="1"/>
  <c r="AB119" i="22" s="1"/>
  <c r="BS119" i="15"/>
  <c r="CK119" i="15" s="1"/>
  <c r="CH128" i="15"/>
  <c r="CT128" i="15" s="1"/>
  <c r="CI98" i="15"/>
  <c r="CI92" i="15"/>
  <c r="CU92" i="15" s="1"/>
  <c r="CF92" i="15"/>
  <c r="CR92" i="15" s="1"/>
  <c r="CK92" i="15"/>
  <c r="CW92" i="15" s="1"/>
  <c r="CG90" i="15"/>
  <c r="CS90" i="15" s="1"/>
  <c r="BR88" i="15"/>
  <c r="CJ88" i="15" s="1"/>
  <c r="CV88" i="15" s="1"/>
  <c r="BK88" i="15"/>
  <c r="BJ74" i="15"/>
  <c r="BQ74" i="15"/>
  <c r="CI74" i="15" s="1"/>
  <c r="CU74" i="15" s="1"/>
  <c r="BR63" i="15"/>
  <c r="CJ63" i="15" s="1"/>
  <c r="CV63" i="15" s="1"/>
  <c r="BK63" i="15"/>
  <c r="BL67" i="15"/>
  <c r="BT67" i="15" s="1"/>
  <c r="BS67" i="15"/>
  <c r="BR57" i="15"/>
  <c r="CJ57" i="15" s="1"/>
  <c r="CV57" i="15" s="1"/>
  <c r="BK57" i="15"/>
  <c r="BK60" i="15"/>
  <c r="BR60" i="15"/>
  <c r="CJ60" i="15" s="1"/>
  <c r="CV60" i="15" s="1"/>
  <c r="BK46" i="15"/>
  <c r="BR46" i="15"/>
  <c r="CJ46" i="15" s="1"/>
  <c r="CV46" i="15" s="1"/>
  <c r="CG53" i="15"/>
  <c r="CS53" i="15" s="1"/>
  <c r="CH53" i="15"/>
  <c r="CT53" i="15" s="1"/>
  <c r="BK32" i="15"/>
  <c r="BR32" i="15"/>
  <c r="BK26" i="15"/>
  <c r="BR26" i="15"/>
  <c r="CG13" i="15"/>
  <c r="BK20" i="15"/>
  <c r="BR20" i="15"/>
  <c r="BL27" i="15"/>
  <c r="BT27" i="15" s="1"/>
  <c r="BS27" i="15"/>
  <c r="CI69" i="14"/>
  <c r="CQ70" i="14"/>
  <c r="CU70" i="14"/>
  <c r="CI96" i="14"/>
  <c r="CH66" i="14"/>
  <c r="CT26" i="14"/>
  <c r="CV124" i="14"/>
  <c r="CH108" i="14"/>
  <c r="CG108" i="14"/>
  <c r="CG93" i="14"/>
  <c r="CF64" i="14"/>
  <c r="CG92" i="14"/>
  <c r="CH69" i="14"/>
  <c r="CQ74" i="14"/>
  <c r="CI34" i="14"/>
  <c r="CG24" i="14"/>
  <c r="CS24" i="14" s="1"/>
  <c r="CH17" i="14"/>
  <c r="CT17" i="14" s="1"/>
  <c r="CF17" i="14"/>
  <c r="CR17" i="14" s="1"/>
  <c r="CU83" i="14"/>
  <c r="CI36" i="14"/>
  <c r="CF32" i="14"/>
  <c r="CR32" i="14" s="1"/>
  <c r="CJ32" i="14"/>
  <c r="CV32" i="14" s="1"/>
  <c r="CS18" i="14"/>
  <c r="CF20" i="14"/>
  <c r="CR20" i="14" s="1"/>
  <c r="CI9" i="14"/>
  <c r="CU9" i="14" s="1"/>
  <c r="CI8" i="14"/>
  <c r="CU8" i="14" s="1"/>
  <c r="CG125" i="14"/>
  <c r="CH123" i="14"/>
  <c r="CQ89" i="14"/>
  <c r="CE66" i="14"/>
  <c r="CU61" i="14"/>
  <c r="CU112" i="14"/>
  <c r="CG32" i="14"/>
  <c r="CS32" i="14" s="1"/>
  <c r="CI24" i="14"/>
  <c r="CU24" i="14" s="1"/>
  <c r="CR115" i="14"/>
  <c r="CG129" i="14"/>
  <c r="CG132" i="14"/>
  <c r="CT122" i="14"/>
  <c r="CK125" i="14"/>
  <c r="CI129" i="14"/>
  <c r="CQ124" i="14"/>
  <c r="CI132" i="14"/>
  <c r="CI110" i="14"/>
  <c r="CT112" i="14"/>
  <c r="CT87" i="14"/>
  <c r="CE62" i="14"/>
  <c r="CJ68" i="14"/>
  <c r="CF69" i="14"/>
  <c r="CQ49" i="14"/>
  <c r="CI66" i="14"/>
  <c r="CF66" i="14"/>
  <c r="CQ16" i="14"/>
  <c r="CH118" i="14"/>
  <c r="CH132" i="14"/>
  <c r="CU74" i="14"/>
  <c r="CG66" i="14"/>
  <c r="CE31" i="14"/>
  <c r="CK54" i="14"/>
  <c r="CF24" i="14"/>
  <c r="CR24" i="14" s="1"/>
  <c r="CE119" i="14"/>
  <c r="CF111" i="14"/>
  <c r="CG130" i="14"/>
  <c r="CG110" i="14"/>
  <c r="CH115" i="14"/>
  <c r="CG96" i="14"/>
  <c r="CH85" i="14"/>
  <c r="CF93" i="14"/>
  <c r="CJ93" i="14"/>
  <c r="CG87" i="14"/>
  <c r="CF72" i="14"/>
  <c r="CG94" i="14"/>
  <c r="CL56" i="14"/>
  <c r="CS47" i="14"/>
  <c r="CG42" i="14"/>
  <c r="CH38" i="14"/>
  <c r="CJ42" i="14"/>
  <c r="CF16" i="14"/>
  <c r="CR16" i="14" s="1"/>
  <c r="CI28" i="14"/>
  <c r="CU28" i="14" s="1"/>
  <c r="CR18" i="14"/>
  <c r="CE130" i="14"/>
  <c r="CE120" i="14"/>
  <c r="CE108" i="14"/>
  <c r="CG117" i="14"/>
  <c r="CH93" i="14"/>
  <c r="CJ87" i="14"/>
  <c r="CF68" i="14"/>
  <c r="CE72" i="14"/>
  <c r="CV70" i="14"/>
  <c r="CL68" i="14"/>
  <c r="W68" i="22" s="1"/>
  <c r="CI71" i="14"/>
  <c r="CL49" i="14"/>
  <c r="CH51" i="14"/>
  <c r="CT51" i="14" s="1"/>
  <c r="CL57" i="14"/>
  <c r="CV45" i="14"/>
  <c r="CG37" i="14"/>
  <c r="CJ36" i="14"/>
  <c r="CE15" i="14"/>
  <c r="CJ44" i="14"/>
  <c r="CE17" i="14"/>
  <c r="CX79" i="14"/>
  <c r="CI14" i="14"/>
  <c r="CU14" i="14" s="1"/>
  <c r="CE87" i="14"/>
  <c r="CG72" i="14"/>
  <c r="CE38" i="14"/>
  <c r="CI38" i="14"/>
  <c r="CF38" i="14"/>
  <c r="CF30" i="14"/>
  <c r="CE85" i="14"/>
  <c r="CE68" i="14"/>
  <c r="CQ47" i="14"/>
  <c r="CG51" i="14"/>
  <c r="CS51" i="14" s="1"/>
  <c r="CE12" i="14"/>
  <c r="CF23" i="14"/>
  <c r="CR23" i="14" s="1"/>
  <c r="CF123" i="14"/>
  <c r="CG115" i="14"/>
  <c r="CG122" i="14"/>
  <c r="CH104" i="14"/>
  <c r="CG111" i="14"/>
  <c r="CE86" i="14"/>
  <c r="CH88" i="14"/>
  <c r="CF92" i="14"/>
  <c r="CI85" i="14"/>
  <c r="CG54" i="14"/>
  <c r="CU47" i="14"/>
  <c r="CE26" i="14"/>
  <c r="CH12" i="14"/>
  <c r="CT12" i="14" s="1"/>
  <c r="CI37" i="14"/>
  <c r="CT32" i="14"/>
  <c r="CI127" i="14"/>
  <c r="CR88" i="14"/>
  <c r="CH57" i="14"/>
  <c r="CH62" i="14"/>
  <c r="CV47" i="14"/>
  <c r="CE44" i="14"/>
  <c r="CT40" i="14"/>
  <c r="CJ127" i="14"/>
  <c r="CR129" i="14"/>
  <c r="CS131" i="14"/>
  <c r="CR124" i="14"/>
  <c r="CS112" i="14"/>
  <c r="CI104" i="14"/>
  <c r="CH81" i="14"/>
  <c r="CF87" i="14"/>
  <c r="CS69" i="14"/>
  <c r="CR83" i="14"/>
  <c r="CE50" i="14"/>
  <c r="CI62" i="14"/>
  <c r="CJ77" i="14"/>
  <c r="CT64" i="14"/>
  <c r="CJ56" i="14"/>
  <c r="CF51" i="14"/>
  <c r="CR51" i="14" s="1"/>
  <c r="CJ72" i="14"/>
  <c r="CG64" i="14"/>
  <c r="CL54" i="14"/>
  <c r="CF54" i="14"/>
  <c r="CE30" i="14"/>
  <c r="CG34" i="14"/>
  <c r="CT18" i="14"/>
  <c r="CJ17" i="14"/>
  <c r="CV17" i="14" s="1"/>
  <c r="CG12" i="14"/>
  <c r="CS12" i="14" s="1"/>
  <c r="CL17" i="14"/>
  <c r="CV34" i="14"/>
  <c r="CT110" i="14"/>
  <c r="CQ27" i="14"/>
  <c r="CT8" i="14"/>
  <c r="CQ51" i="14"/>
  <c r="CT43" i="14"/>
  <c r="CI136" i="14"/>
  <c r="CU7" i="14"/>
  <c r="CT119" i="14"/>
  <c r="CS67" i="14"/>
  <c r="CI121" i="14"/>
  <c r="BK118" i="14"/>
  <c r="BR118" i="14"/>
  <c r="CJ118" i="14" s="1"/>
  <c r="BQ116" i="14"/>
  <c r="CI116" i="14" s="1"/>
  <c r="BJ116" i="14"/>
  <c r="BL108" i="14"/>
  <c r="BT108" i="14" s="1"/>
  <c r="CL108" i="14" s="1"/>
  <c r="W108" i="22" s="1"/>
  <c r="BS108" i="14"/>
  <c r="CK108" i="14" s="1"/>
  <c r="BK121" i="14"/>
  <c r="BR121" i="14"/>
  <c r="CJ121" i="14" s="1"/>
  <c r="CQ106" i="14"/>
  <c r="CF97" i="14"/>
  <c r="BR85" i="14"/>
  <c r="CJ85" i="14" s="1"/>
  <c r="BK85" i="14"/>
  <c r="CF94" i="14"/>
  <c r="BL75" i="14"/>
  <c r="BT75" i="14" s="1"/>
  <c r="CL75" i="14" s="1"/>
  <c r="W75" i="22" s="1"/>
  <c r="BS75" i="14"/>
  <c r="CK75" i="14" s="1"/>
  <c r="CJ67" i="14"/>
  <c r="CJ110" i="14"/>
  <c r="CH46" i="14"/>
  <c r="CF53" i="14"/>
  <c r="CS70" i="14"/>
  <c r="CF43" i="14"/>
  <c r="BL60" i="14"/>
  <c r="BT60" i="14" s="1"/>
  <c r="CL60" i="14" s="1"/>
  <c r="BS60" i="14"/>
  <c r="CK60" i="14" s="1"/>
  <c r="BR46" i="14"/>
  <c r="CJ46" i="14" s="1"/>
  <c r="BK46" i="14"/>
  <c r="BG36" i="14"/>
  <c r="BO36" i="14" s="1"/>
  <c r="CG36" i="14" s="1"/>
  <c r="BN36" i="14"/>
  <c r="CF36" i="14" s="1"/>
  <c r="CG39" i="14"/>
  <c r="CH44" i="14"/>
  <c r="CE28" i="14"/>
  <c r="CQ28" i="14" s="1"/>
  <c r="CH14" i="14"/>
  <c r="CT14" i="14" s="1"/>
  <c r="CF44" i="14"/>
  <c r="CE20" i="14"/>
  <c r="CF22" i="14"/>
  <c r="CR22" i="14" s="1"/>
  <c r="CJ24" i="14"/>
  <c r="CV24" i="14" s="1"/>
  <c r="CQ10" i="14"/>
  <c r="CG20" i="14"/>
  <c r="CS20" i="14" s="1"/>
  <c r="CE24" i="14"/>
  <c r="BK14" i="14"/>
  <c r="BR14" i="14"/>
  <c r="CJ14" i="14" s="1"/>
  <c r="CV14" i="14" s="1"/>
  <c r="CF9" i="14"/>
  <c r="CR9" i="14" s="1"/>
  <c r="CG23" i="14"/>
  <c r="CS23" i="14" s="1"/>
  <c r="CI27" i="14"/>
  <c r="CG17" i="14"/>
  <c r="CS17" i="14" s="1"/>
  <c r="CI73" i="14"/>
  <c r="BK130" i="14"/>
  <c r="BR130" i="14"/>
  <c r="CJ130" i="14" s="1"/>
  <c r="CI126" i="14"/>
  <c r="CH129" i="14"/>
  <c r="CF132" i="14"/>
  <c r="CE118" i="14"/>
  <c r="CU124" i="14"/>
  <c r="BR129" i="14"/>
  <c r="CJ129" i="14" s="1"/>
  <c r="BK129" i="14"/>
  <c r="CE127" i="14"/>
  <c r="CE123" i="14"/>
  <c r="CE129" i="14"/>
  <c r="CF130" i="14"/>
  <c r="CF121" i="14"/>
  <c r="CE115" i="14"/>
  <c r="CI114" i="14"/>
  <c r="BL132" i="14"/>
  <c r="BT132" i="14" s="1"/>
  <c r="CL132" i="14" s="1"/>
  <c r="BS132" i="14"/>
  <c r="CK132" i="14" s="1"/>
  <c r="CG114" i="14"/>
  <c r="CF110" i="14"/>
  <c r="BK103" i="14"/>
  <c r="BR103" i="14"/>
  <c r="CJ103" i="14" s="1"/>
  <c r="CE97" i="14"/>
  <c r="CG103" i="14"/>
  <c r="CH103" i="14"/>
  <c r="CE104" i="14"/>
  <c r="CJ94" i="14"/>
  <c r="CH101" i="14"/>
  <c r="CE88" i="14"/>
  <c r="CG97" i="14"/>
  <c r="CH90" i="14"/>
  <c r="CT89" i="14"/>
  <c r="CE81" i="14"/>
  <c r="CW89" i="14"/>
  <c r="CQ83" i="14"/>
  <c r="BL83" i="14"/>
  <c r="BT83" i="14" s="1"/>
  <c r="CL83" i="14" s="1"/>
  <c r="W83" i="22" s="1"/>
  <c r="BS83" i="14"/>
  <c r="CK83" i="14" s="1"/>
  <c r="BG89" i="14"/>
  <c r="BO89" i="14" s="1"/>
  <c r="CG89" i="14" s="1"/>
  <c r="BN89" i="14"/>
  <c r="CF89" i="14" s="1"/>
  <c r="CS83" i="14"/>
  <c r="CT61" i="14"/>
  <c r="CT74" i="14"/>
  <c r="CE67" i="14"/>
  <c r="CJ90" i="14"/>
  <c r="BK65" i="14"/>
  <c r="BR65" i="14"/>
  <c r="CJ65" i="14" s="1"/>
  <c r="CH45" i="14"/>
  <c r="CI64" i="14"/>
  <c r="BS67" i="14"/>
  <c r="CK67" i="14" s="1"/>
  <c r="BL67" i="14"/>
  <c r="BT67" i="14" s="1"/>
  <c r="CL67" i="14" s="1"/>
  <c r="W67" i="22" s="1"/>
  <c r="BR66" i="14"/>
  <c r="CJ66" i="14" s="1"/>
  <c r="BK66" i="14"/>
  <c r="CV54" i="14"/>
  <c r="BL110" i="14"/>
  <c r="BT110" i="14" s="1"/>
  <c r="CL110" i="14" s="1"/>
  <c r="BS110" i="14"/>
  <c r="CK110" i="14" s="1"/>
  <c r="BK71" i="14"/>
  <c r="BR71" i="14"/>
  <c r="CJ71" i="14" s="1"/>
  <c r="CH53" i="14"/>
  <c r="BR58" i="14"/>
  <c r="CJ58" i="14" s="1"/>
  <c r="BK58" i="14"/>
  <c r="CS61" i="14"/>
  <c r="CJ49" i="14"/>
  <c r="CG53" i="14"/>
  <c r="CH33" i="14"/>
  <c r="CT33" i="14" s="1"/>
  <c r="CH72" i="14"/>
  <c r="CE40" i="14"/>
  <c r="CI42" i="14"/>
  <c r="CH54" i="14"/>
  <c r="CU44" i="14"/>
  <c r="CI45" i="14"/>
  <c r="BN26" i="14"/>
  <c r="CF26" i="14" s="1"/>
  <c r="CR26" i="14" s="1"/>
  <c r="BG26" i="14"/>
  <c r="BO26" i="14" s="1"/>
  <c r="CG26" i="14" s="1"/>
  <c r="CS26" i="14" s="1"/>
  <c r="CG46" i="14"/>
  <c r="CH36" i="14"/>
  <c r="CE39" i="14"/>
  <c r="CE32" i="14"/>
  <c r="CQ32" i="14" s="1"/>
  <c r="CH42" i="14"/>
  <c r="CH27" i="14"/>
  <c r="CG44" i="14"/>
  <c r="CJ9" i="14"/>
  <c r="CV9" i="14" s="1"/>
  <c r="CH16" i="14"/>
  <c r="CT16" i="14" s="1"/>
  <c r="BL24" i="14"/>
  <c r="BT24" i="14" s="1"/>
  <c r="CL24" i="14" s="1"/>
  <c r="BS24" i="14"/>
  <c r="CK24" i="14" s="1"/>
  <c r="CW24" i="14" s="1"/>
  <c r="BL13" i="14"/>
  <c r="BT13" i="14" s="1"/>
  <c r="CL13" i="14" s="1"/>
  <c r="BS13" i="14"/>
  <c r="CK13" i="14" s="1"/>
  <c r="CW13" i="14" s="1"/>
  <c r="CQ18" i="14"/>
  <c r="CG9" i="14"/>
  <c r="CS9" i="14" s="1"/>
  <c r="CI22" i="14"/>
  <c r="CU22" i="14" s="1"/>
  <c r="BK27" i="14"/>
  <c r="BR27" i="14"/>
  <c r="CJ27" i="14" s="1"/>
  <c r="CJ16" i="14"/>
  <c r="CV16" i="14" s="1"/>
  <c r="BR91" i="14"/>
  <c r="CJ91" i="14" s="1"/>
  <c r="BK91" i="14"/>
  <c r="BR41" i="14"/>
  <c r="CJ41" i="14" s="1"/>
  <c r="BK41" i="14"/>
  <c r="CG43" i="14"/>
  <c r="CF122" i="14"/>
  <c r="CE116" i="14"/>
  <c r="BJ119" i="14"/>
  <c r="BQ119" i="14"/>
  <c r="CI119" i="14" s="1"/>
  <c r="BL93" i="14"/>
  <c r="BT93" i="14" s="1"/>
  <c r="CL93" i="14" s="1"/>
  <c r="W93" i="22" s="1"/>
  <c r="BS93" i="14"/>
  <c r="CK93" i="14" s="1"/>
  <c r="BR126" i="14"/>
  <c r="CJ126" i="14" s="1"/>
  <c r="BK126" i="14"/>
  <c r="BJ131" i="14"/>
  <c r="BQ131" i="14"/>
  <c r="CI131" i="14" s="1"/>
  <c r="BN128" i="14"/>
  <c r="CF128" i="14" s="1"/>
  <c r="BG128" i="14"/>
  <c r="BO128" i="14" s="1"/>
  <c r="CG128" i="14" s="1"/>
  <c r="CE122" i="14"/>
  <c r="CL125" i="14"/>
  <c r="CG121" i="14"/>
  <c r="BR114" i="14"/>
  <c r="CJ114" i="14" s="1"/>
  <c r="BK114" i="14"/>
  <c r="CJ132" i="14"/>
  <c r="CH111" i="14"/>
  <c r="CE114" i="14"/>
  <c r="BK109" i="14"/>
  <c r="BR109" i="14"/>
  <c r="CJ109" i="14" s="1"/>
  <c r="CK117" i="14"/>
  <c r="CR106" i="14"/>
  <c r="CH117" i="14"/>
  <c r="BN104" i="14"/>
  <c r="CF104" i="14" s="1"/>
  <c r="BG104" i="14"/>
  <c r="BO104" i="14" s="1"/>
  <c r="CG104" i="14" s="1"/>
  <c r="CI97" i="14"/>
  <c r="BR99" i="14"/>
  <c r="CJ99" i="14" s="1"/>
  <c r="BK99" i="14"/>
  <c r="BQ101" i="14"/>
  <c r="CI101" i="14" s="1"/>
  <c r="BJ101" i="14"/>
  <c r="CV79" i="14"/>
  <c r="CX89" i="14"/>
  <c r="CH82" i="14"/>
  <c r="CG88" i="14"/>
  <c r="BG75" i="14"/>
  <c r="BO75" i="14" s="1"/>
  <c r="CG75" i="14" s="1"/>
  <c r="BN75" i="14"/>
  <c r="CF75" i="14" s="1"/>
  <c r="CE90" i="14"/>
  <c r="CI82" i="14"/>
  <c r="CG95" i="14"/>
  <c r="CI81" i="14"/>
  <c r="BL80" i="14"/>
  <c r="BT80" i="14" s="1"/>
  <c r="CL80" i="14" s="1"/>
  <c r="W80" i="22" s="1"/>
  <c r="BS80" i="14"/>
  <c r="CK80" i="14" s="1"/>
  <c r="CF73" i="14"/>
  <c r="CE64" i="14"/>
  <c r="BS90" i="14"/>
  <c r="CK90" i="14" s="1"/>
  <c r="BL90" i="14"/>
  <c r="BT90" i="14" s="1"/>
  <c r="CL90" i="14" s="1"/>
  <c r="W90" i="22" s="1"/>
  <c r="CI63" i="14"/>
  <c r="CF95" i="14"/>
  <c r="CF63" i="14"/>
  <c r="BK73" i="14"/>
  <c r="BR73" i="14"/>
  <c r="CJ73" i="14" s="1"/>
  <c r="CI88" i="14"/>
  <c r="CJ53" i="14"/>
  <c r="CF85" i="14"/>
  <c r="CH68" i="14"/>
  <c r="BS61" i="14"/>
  <c r="CK61" i="14" s="1"/>
  <c r="BL61" i="14"/>
  <c r="BT61" i="14" s="1"/>
  <c r="CL61" i="14" s="1"/>
  <c r="CK57" i="14"/>
  <c r="CR61" i="14"/>
  <c r="CR42" i="14"/>
  <c r="CG62" i="14"/>
  <c r="CG49" i="14"/>
  <c r="CJ48" i="14"/>
  <c r="CE34" i="14"/>
  <c r="CF49" i="14"/>
  <c r="CF40" i="14"/>
  <c r="CI31" i="14"/>
  <c r="CE43" i="14"/>
  <c r="CF31" i="14"/>
  <c r="BK25" i="14"/>
  <c r="BR25" i="14"/>
  <c r="CJ25" i="14" s="1"/>
  <c r="CV25" i="14" s="1"/>
  <c r="CF45" i="14"/>
  <c r="CI40" i="14"/>
  <c r="BJ26" i="14"/>
  <c r="BQ26" i="14"/>
  <c r="CI26" i="14" s="1"/>
  <c r="CU26" i="14" s="1"/>
  <c r="CJ28" i="14"/>
  <c r="CV28" i="14" s="1"/>
  <c r="CI12" i="14"/>
  <c r="CU12" i="14" s="1"/>
  <c r="CE22" i="14"/>
  <c r="CK9" i="14"/>
  <c r="CW9" i="14" s="1"/>
  <c r="CI15" i="14"/>
  <c r="CU15" i="14" s="1"/>
  <c r="BL21" i="14"/>
  <c r="BT21" i="14" s="1"/>
  <c r="CL21" i="14" s="1"/>
  <c r="BS21" i="14"/>
  <c r="CK21" i="14" s="1"/>
  <c r="CW21" i="14" s="1"/>
  <c r="BS19" i="14"/>
  <c r="CK19" i="14" s="1"/>
  <c r="CW19" i="14" s="1"/>
  <c r="BL19" i="14"/>
  <c r="BT19" i="14" s="1"/>
  <c r="CL19" i="14" s="1"/>
  <c r="CK8" i="14"/>
  <c r="BK22" i="14"/>
  <c r="BR22" i="14"/>
  <c r="CJ22" i="14" s="1"/>
  <c r="CV22" i="14" s="1"/>
  <c r="BL16" i="14"/>
  <c r="BT16" i="14" s="1"/>
  <c r="CL16" i="14" s="1"/>
  <c r="BS16" i="14"/>
  <c r="CK16" i="14" s="1"/>
  <c r="CW16" i="14" s="1"/>
  <c r="CE105" i="14"/>
  <c r="BR78" i="14"/>
  <c r="CJ78" i="14" s="1"/>
  <c r="BK78" i="14"/>
  <c r="CI120" i="14"/>
  <c r="CH121" i="14"/>
  <c r="BJ115" i="14"/>
  <c r="BQ115" i="14"/>
  <c r="CI115" i="14" s="1"/>
  <c r="BK106" i="14"/>
  <c r="BR106" i="14"/>
  <c r="CJ106" i="14" s="1"/>
  <c r="CF105" i="14"/>
  <c r="BK105" i="14"/>
  <c r="BR105" i="14"/>
  <c r="CJ105" i="14" s="1"/>
  <c r="CR131" i="14"/>
  <c r="BL124" i="14"/>
  <c r="BT124" i="14" s="1"/>
  <c r="CL124" i="14" s="1"/>
  <c r="BS124" i="14"/>
  <c r="CK124" i="14" s="1"/>
  <c r="CF120" i="14"/>
  <c r="CV112" i="14"/>
  <c r="CF125" i="14"/>
  <c r="BG109" i="14"/>
  <c r="BO109" i="14" s="1"/>
  <c r="CG109" i="14" s="1"/>
  <c r="BN109" i="14"/>
  <c r="CF109" i="14" s="1"/>
  <c r="CF113" i="14"/>
  <c r="CE96" i="14"/>
  <c r="CL117" i="14"/>
  <c r="CS106" i="14"/>
  <c r="CF90" i="14"/>
  <c r="CF96" i="14"/>
  <c r="BK92" i="14"/>
  <c r="BR92" i="14"/>
  <c r="CJ92" i="14" s="1"/>
  <c r="CK94" i="14"/>
  <c r="CJ88" i="14"/>
  <c r="CF86" i="14"/>
  <c r="CE71" i="14"/>
  <c r="CE63" i="14"/>
  <c r="CQ79" i="14"/>
  <c r="CI87" i="14"/>
  <c r="CS74" i="14"/>
  <c r="BK82" i="14"/>
  <c r="BR82" i="14"/>
  <c r="CJ82" i="14" s="1"/>
  <c r="CE94" i="14"/>
  <c r="BR81" i="14"/>
  <c r="CJ81" i="14" s="1"/>
  <c r="BK81" i="14"/>
  <c r="CF71" i="14"/>
  <c r="CE73" i="14"/>
  <c r="CV89" i="14"/>
  <c r="BK63" i="14"/>
  <c r="BR63" i="14"/>
  <c r="CJ63" i="14" s="1"/>
  <c r="CG81" i="14"/>
  <c r="CG63" i="14"/>
  <c r="CT70" i="14"/>
  <c r="CJ64" i="14"/>
  <c r="CV74" i="14"/>
  <c r="CK56" i="14"/>
  <c r="CL48" i="14"/>
  <c r="CQ61" i="14"/>
  <c r="CI51" i="14"/>
  <c r="CH49" i="14"/>
  <c r="CF57" i="14"/>
  <c r="CG48" i="14"/>
  <c r="CJ57" i="14"/>
  <c r="CR47" i="14"/>
  <c r="BK40" i="14"/>
  <c r="BR40" i="14"/>
  <c r="CJ40" i="14" s="1"/>
  <c r="CG40" i="14"/>
  <c r="BK31" i="14"/>
  <c r="BR31" i="14"/>
  <c r="CJ31" i="14" s="1"/>
  <c r="CG31" i="14"/>
  <c r="CG45" i="14"/>
  <c r="CE23" i="14"/>
  <c r="CJ33" i="14"/>
  <c r="CV33" i="14" s="1"/>
  <c r="BK38" i="14"/>
  <c r="BR38" i="14"/>
  <c r="CJ38" i="14" s="1"/>
  <c r="CG38" i="14"/>
  <c r="BK29" i="14"/>
  <c r="BR29" i="14"/>
  <c r="CJ29" i="14" s="1"/>
  <c r="CF37" i="14"/>
  <c r="BL28" i="14"/>
  <c r="BT28" i="14" s="1"/>
  <c r="CL28" i="14" s="1"/>
  <c r="BS28" i="14"/>
  <c r="CK28" i="14" s="1"/>
  <c r="CW28" i="14" s="1"/>
  <c r="CJ8" i="14"/>
  <c r="BK12" i="14"/>
  <c r="BR12" i="14"/>
  <c r="CJ12" i="14" s="1"/>
  <c r="CV12" i="14" s="1"/>
  <c r="CU18" i="14"/>
  <c r="CL9" i="14"/>
  <c r="BK15" i="14"/>
  <c r="BR15" i="14"/>
  <c r="CJ15" i="14" s="1"/>
  <c r="CV15" i="14" s="1"/>
  <c r="CK17" i="14"/>
  <c r="CW17" i="14" s="1"/>
  <c r="CL8" i="14"/>
  <c r="W8" i="22" s="1"/>
  <c r="CE14" i="14"/>
  <c r="BS77" i="14"/>
  <c r="CK77" i="14" s="1"/>
  <c r="BL77" i="14"/>
  <c r="BT77" i="14" s="1"/>
  <c r="CL77" i="14" s="1"/>
  <c r="W77" i="22" s="1"/>
  <c r="BR30" i="14"/>
  <c r="CJ30" i="14" s="1"/>
  <c r="BK30" i="14"/>
  <c r="CE125" i="14"/>
  <c r="CJ120" i="14"/>
  <c r="BK123" i="14"/>
  <c r="BR123" i="14"/>
  <c r="CJ123" i="14" s="1"/>
  <c r="CG120" i="14"/>
  <c r="CF118" i="14"/>
  <c r="CT96" i="14"/>
  <c r="CJ97" i="14"/>
  <c r="BK100" i="14"/>
  <c r="BR100" i="14"/>
  <c r="CJ100" i="14" s="1"/>
  <c r="CL94" i="14"/>
  <c r="W94" i="22" s="1"/>
  <c r="BR107" i="14"/>
  <c r="CJ107" i="14" s="1"/>
  <c r="BK107" i="14"/>
  <c r="CU89" i="14"/>
  <c r="CH105" i="14"/>
  <c r="CU79" i="14"/>
  <c r="BL64" i="14"/>
  <c r="BT64" i="14" s="1"/>
  <c r="CL64" i="14" s="1"/>
  <c r="BS64" i="14"/>
  <c r="CK64" i="14" s="1"/>
  <c r="BS74" i="14"/>
  <c r="CK74" i="14" s="1"/>
  <c r="BL74" i="14"/>
  <c r="BT74" i="14" s="1"/>
  <c r="CL74" i="14" s="1"/>
  <c r="W74" i="22" s="1"/>
  <c r="BK51" i="14"/>
  <c r="BR51" i="14"/>
  <c r="CJ51" i="14" s="1"/>
  <c r="CE69" i="14"/>
  <c r="CE56" i="14"/>
  <c r="CH30" i="14"/>
  <c r="CI43" i="14"/>
  <c r="CK33" i="14"/>
  <c r="CW33" i="14" s="1"/>
  <c r="CG33" i="14"/>
  <c r="CS33" i="14" s="1"/>
  <c r="CH22" i="14"/>
  <c r="CT22" i="14" s="1"/>
  <c r="CH34" i="14"/>
  <c r="CI16" i="14"/>
  <c r="CU16" i="14" s="1"/>
  <c r="BR18" i="14"/>
  <c r="CJ18" i="14" s="1"/>
  <c r="CV18" i="14" s="1"/>
  <c r="BK18" i="14"/>
  <c r="CI20" i="14"/>
  <c r="CU20" i="14" s="1"/>
  <c r="CF28" i="14"/>
  <c r="CR28" i="14" s="1"/>
  <c r="CG14" i="14"/>
  <c r="CS14" i="14" s="1"/>
  <c r="CU10" i="14"/>
  <c r="CG116" i="14"/>
  <c r="CI105" i="14"/>
  <c r="CI46" i="14"/>
  <c r="BS127" i="14"/>
  <c r="CK127" i="14" s="1"/>
  <c r="BL127" i="14"/>
  <c r="BT127" i="14" s="1"/>
  <c r="CL127" i="14" s="1"/>
  <c r="BS120" i="14"/>
  <c r="CK120" i="14" s="1"/>
  <c r="BL120" i="14"/>
  <c r="BT120" i="14" s="1"/>
  <c r="CL120" i="14" s="1"/>
  <c r="CI122" i="14"/>
  <c r="CJ125" i="14"/>
  <c r="CG118" i="14"/>
  <c r="CF114" i="14"/>
  <c r="CI111" i="14"/>
  <c r="CF117" i="14"/>
  <c r="BR104" i="14"/>
  <c r="CJ104" i="14" s="1"/>
  <c r="BK104" i="14"/>
  <c r="CX112" i="14"/>
  <c r="BK96" i="14"/>
  <c r="BR96" i="14"/>
  <c r="CJ96" i="14" s="1"/>
  <c r="CE82" i="14"/>
  <c r="BL97" i="14"/>
  <c r="BT97" i="14" s="1"/>
  <c r="CL97" i="14" s="1"/>
  <c r="W97" i="22" s="1"/>
  <c r="CI95" i="14"/>
  <c r="CR79" i="14"/>
  <c r="BK86" i="14"/>
  <c r="BR86" i="14"/>
  <c r="CJ86" i="14" s="1"/>
  <c r="BG78" i="14"/>
  <c r="BO78" i="14" s="1"/>
  <c r="CG78" i="14" s="1"/>
  <c r="BN78" i="14"/>
  <c r="CF78" i="14" s="1"/>
  <c r="BL87" i="14"/>
  <c r="BT87" i="14" s="1"/>
  <c r="CL87" i="14" s="1"/>
  <c r="W87" i="22" s="1"/>
  <c r="BS87" i="14"/>
  <c r="CK87" i="14" s="1"/>
  <c r="CI77" i="14"/>
  <c r="CF77" i="14"/>
  <c r="CG77" i="14"/>
  <c r="BK69" i="14"/>
  <c r="BR69" i="14"/>
  <c r="CJ69" i="14" s="1"/>
  <c r="BJ50" i="14"/>
  <c r="BQ50" i="14"/>
  <c r="CI50" i="14" s="1"/>
  <c r="CE53" i="14"/>
  <c r="CE46" i="14"/>
  <c r="CG50" i="14"/>
  <c r="CF39" i="14"/>
  <c r="CK53" i="14"/>
  <c r="BS47" i="14"/>
  <c r="CK47" i="14" s="1"/>
  <c r="BL47" i="14"/>
  <c r="BT47" i="14" s="1"/>
  <c r="CL47" i="14" s="1"/>
  <c r="CV61" i="14"/>
  <c r="BJ39" i="14"/>
  <c r="BQ39" i="14"/>
  <c r="CI39" i="14" s="1"/>
  <c r="BK35" i="14"/>
  <c r="BR35" i="14"/>
  <c r="CJ35" i="14" s="1"/>
  <c r="BL36" i="14"/>
  <c r="BT36" i="14" s="1"/>
  <c r="CL36" i="14" s="1"/>
  <c r="BS36" i="14"/>
  <c r="CK36" i="14" s="1"/>
  <c r="BK43" i="14"/>
  <c r="BR43" i="14"/>
  <c r="CJ43" i="14" s="1"/>
  <c r="CL33" i="14"/>
  <c r="BK37" i="14"/>
  <c r="BR37" i="14"/>
  <c r="CJ37" i="14" s="1"/>
  <c r="CS7" i="14"/>
  <c r="CQ7" i="14"/>
  <c r="CE33" i="14"/>
  <c r="CQ33" i="14" s="1"/>
  <c r="CH15" i="14"/>
  <c r="CT15" i="14" s="1"/>
  <c r="CF8" i="14"/>
  <c r="CG16" i="14"/>
  <c r="CS16" i="14" s="1"/>
  <c r="BK20" i="14"/>
  <c r="BR20" i="14"/>
  <c r="CJ20" i="14" s="1"/>
  <c r="CV20" i="14" s="1"/>
  <c r="CG28" i="14"/>
  <c r="CS28" i="14" s="1"/>
  <c r="CF15" i="14"/>
  <c r="CR15" i="14" s="1"/>
  <c r="BR10" i="14"/>
  <c r="CJ10" i="14" s="1"/>
  <c r="CV10" i="14" s="1"/>
  <c r="BK10" i="14"/>
  <c r="BK23" i="14"/>
  <c r="BR23" i="14"/>
  <c r="CJ23" i="14" s="1"/>
  <c r="CV23" i="14" s="1"/>
  <c r="BG127" i="14"/>
  <c r="BO127" i="14" s="1"/>
  <c r="CG127" i="14" s="1"/>
  <c r="BN127" i="14"/>
  <c r="CF127" i="14" s="1"/>
  <c r="CH125" i="14"/>
  <c r="CH126" i="14"/>
  <c r="CT127" i="14"/>
  <c r="CF119" i="14"/>
  <c r="BK122" i="14"/>
  <c r="BR122" i="14"/>
  <c r="CJ122" i="14" s="1"/>
  <c r="CI123" i="14"/>
  <c r="CT124" i="14"/>
  <c r="CT131" i="14"/>
  <c r="CJ117" i="14"/>
  <c r="CE117" i="14"/>
  <c r="CR112" i="14"/>
  <c r="BK111" i="14"/>
  <c r="BR111" i="14"/>
  <c r="CJ111" i="14" s="1"/>
  <c r="CF116" i="14"/>
  <c r="CG101" i="14"/>
  <c r="CE101" i="14"/>
  <c r="CW112" i="14"/>
  <c r="CH95" i="14"/>
  <c r="CG90" i="14"/>
  <c r="CU106" i="14"/>
  <c r="CF103" i="14"/>
  <c r="BK95" i="14"/>
  <c r="BR95" i="14"/>
  <c r="CJ95" i="14" s="1"/>
  <c r="CS79" i="14"/>
  <c r="CH73" i="14"/>
  <c r="CH77" i="14"/>
  <c r="CI91" i="14"/>
  <c r="CF67" i="14"/>
  <c r="CF82" i="14"/>
  <c r="CI78" i="14"/>
  <c r="CW79" i="14"/>
  <c r="CH63" i="14"/>
  <c r="BL70" i="14"/>
  <c r="BT70" i="14" s="1"/>
  <c r="CL70" i="14" s="1"/>
  <c r="W70" i="22" s="1"/>
  <c r="BS70" i="14"/>
  <c r="CK70" i="14" s="1"/>
  <c r="CT56" i="14"/>
  <c r="CK68" i="14"/>
  <c r="BR62" i="14"/>
  <c r="CJ62" i="14" s="1"/>
  <c r="BK62" i="14"/>
  <c r="CG56" i="14"/>
  <c r="BS55" i="14"/>
  <c r="CK55" i="14" s="1"/>
  <c r="BL55" i="14"/>
  <c r="BT55" i="14" s="1"/>
  <c r="CL55" i="14" s="1"/>
  <c r="CI57" i="14"/>
  <c r="CI49" i="14"/>
  <c r="CG57" i="14"/>
  <c r="CL53" i="14"/>
  <c r="CF33" i="14"/>
  <c r="CR33" i="14" s="1"/>
  <c r="CE45" i="14"/>
  <c r="BS45" i="14"/>
  <c r="CK45" i="14" s="1"/>
  <c r="BL45" i="14"/>
  <c r="BT45" i="14" s="1"/>
  <c r="CL45" i="14" s="1"/>
  <c r="CF34" i="14"/>
  <c r="BR7" i="14"/>
  <c r="CJ7" i="14" s="1"/>
  <c r="BJ7" i="14"/>
  <c r="CI30" i="14"/>
  <c r="BO7" i="14"/>
  <c r="BG7" i="14"/>
  <c r="BP7" i="14" s="1"/>
  <c r="CH7" i="14" s="1"/>
  <c r="CH20" i="14"/>
  <c r="CT20" i="14" s="1"/>
  <c r="BL34" i="14"/>
  <c r="BT34" i="14" s="1"/>
  <c r="CL34" i="14" s="1"/>
  <c r="BS34" i="14"/>
  <c r="CK34" i="14" s="1"/>
  <c r="BL32" i="14"/>
  <c r="BT32" i="14" s="1"/>
  <c r="CL32" i="14" s="1"/>
  <c r="BS32" i="14"/>
  <c r="CK32" i="14" s="1"/>
  <c r="CW32" i="14" s="1"/>
  <c r="CH23" i="14"/>
  <c r="CT23" i="14" s="1"/>
  <c r="CG8" i="14"/>
  <c r="CF12" i="14"/>
  <c r="CR12" i="14" s="1"/>
  <c r="BS11" i="14"/>
  <c r="CK11" i="14" s="1"/>
  <c r="CW11" i="14" s="1"/>
  <c r="BL11" i="14"/>
  <c r="BT11" i="14" s="1"/>
  <c r="CL11" i="14" s="1"/>
  <c r="CG15" i="14"/>
  <c r="CS15" i="14" s="1"/>
  <c r="CI23" i="14"/>
  <c r="CU23" i="14" s="1"/>
  <c r="BQ116" i="3"/>
  <c r="CI116" i="3" s="1"/>
  <c r="BR116" i="3"/>
  <c r="CJ116" i="3" s="1"/>
  <c r="BP116" i="3"/>
  <c r="CH116" i="3" s="1"/>
  <c r="BG123" i="7"/>
  <c r="BN123" i="7"/>
  <c r="CF123" i="7" s="1"/>
  <c r="BH79" i="7"/>
  <c r="BO79" i="7"/>
  <c r="CG79" i="7" s="1"/>
  <c r="BI26" i="7"/>
  <c r="BP26" i="7"/>
  <c r="CH26" i="7" s="1"/>
  <c r="CH137" i="7" s="1"/>
  <c r="BN128" i="3"/>
  <c r="CF128" i="3" s="1"/>
  <c r="BI103" i="3"/>
  <c r="BP103" i="3"/>
  <c r="CH103" i="3" s="1"/>
  <c r="BN84" i="3"/>
  <c r="CF84" i="3" s="1"/>
  <c r="BR12" i="3"/>
  <c r="CJ12" i="3" s="1"/>
  <c r="BP12" i="3"/>
  <c r="CH12" i="3" s="1"/>
  <c r="BO12" i="3"/>
  <c r="CG12" i="3" s="1"/>
  <c r="BI63" i="7"/>
  <c r="BP63" i="7"/>
  <c r="CH63" i="7" s="1"/>
  <c r="BH51" i="7"/>
  <c r="BO51" i="7"/>
  <c r="CG51" i="7" s="1"/>
  <c r="BG54" i="7"/>
  <c r="BN54" i="7"/>
  <c r="CF54" i="7" s="1"/>
  <c r="BG104" i="7"/>
  <c r="BN104" i="7"/>
  <c r="CF104" i="7" s="1"/>
  <c r="BG119" i="7"/>
  <c r="BN119" i="7"/>
  <c r="CF119" i="7" s="1"/>
  <c r="BG87" i="7"/>
  <c r="BN87" i="7"/>
  <c r="CF87" i="7" s="1"/>
  <c r="BH120" i="7"/>
  <c r="BK84" i="7"/>
  <c r="BR84" i="7"/>
  <c r="CJ84" i="7" s="1"/>
  <c r="BG124" i="7"/>
  <c r="BN124" i="7"/>
  <c r="CF124" i="7" s="1"/>
  <c r="BJ49" i="7"/>
  <c r="BQ49" i="7"/>
  <c r="CI49" i="7" s="1"/>
  <c r="BG78" i="7"/>
  <c r="BN78" i="7"/>
  <c r="CF78" i="7" s="1"/>
  <c r="BG89" i="7"/>
  <c r="BN89" i="7"/>
  <c r="CF89" i="7" s="1"/>
  <c r="BG76" i="7"/>
  <c r="BN76" i="7"/>
  <c r="CF76" i="7" s="1"/>
  <c r="BI50" i="7"/>
  <c r="BP50" i="7"/>
  <c r="CH50" i="7" s="1"/>
  <c r="CH140" i="7" s="1"/>
  <c r="BG70" i="7"/>
  <c r="BN70" i="7"/>
  <c r="CF70" i="7" s="1"/>
  <c r="BG130" i="7"/>
  <c r="BN130" i="7"/>
  <c r="CF130" i="7" s="1"/>
  <c r="BG65" i="7"/>
  <c r="BN65" i="7"/>
  <c r="CF65" i="7" s="1"/>
  <c r="BH103" i="7"/>
  <c r="BO103" i="7"/>
  <c r="CG103" i="7" s="1"/>
  <c r="BK48" i="7"/>
  <c r="BR48" i="7"/>
  <c r="CJ48" i="7" s="1"/>
  <c r="BH64" i="7"/>
  <c r="BO64" i="7"/>
  <c r="CG64" i="7" s="1"/>
  <c r="BG97" i="7"/>
  <c r="BN97" i="7"/>
  <c r="CF97" i="7" s="1"/>
  <c r="BN112" i="7"/>
  <c r="CF112" i="7" s="1"/>
  <c r="CF144" i="7" s="1"/>
  <c r="BG112" i="7"/>
  <c r="BH83" i="7"/>
  <c r="BO83" i="7"/>
  <c r="CG83" i="7" s="1"/>
  <c r="BG127" i="7"/>
  <c r="BN127" i="7"/>
  <c r="CF127" i="7" s="1"/>
  <c r="CF146" i="7" s="1"/>
  <c r="BH56" i="7"/>
  <c r="BO56" i="7"/>
  <c r="CG56" i="7" s="1"/>
  <c r="BI128" i="7"/>
  <c r="BP128" i="7"/>
  <c r="CH128" i="7" s="1"/>
  <c r="BI69" i="7"/>
  <c r="BP69" i="7"/>
  <c r="CH69" i="7" s="1"/>
  <c r="BG57" i="7"/>
  <c r="BN57" i="7"/>
  <c r="CF57" i="7" s="1"/>
  <c r="BG68" i="7"/>
  <c r="BN68" i="7"/>
  <c r="CF68" i="7" s="1"/>
  <c r="BJ52" i="7"/>
  <c r="BQ52" i="7"/>
  <c r="CI52" i="7" s="1"/>
  <c r="BI55" i="7"/>
  <c r="BP55" i="7"/>
  <c r="CH55" i="7" s="1"/>
  <c r="BH60" i="7"/>
  <c r="BO60" i="7"/>
  <c r="CG60" i="7" s="1"/>
  <c r="BG61" i="7"/>
  <c r="BN61" i="7"/>
  <c r="CF61" i="7" s="1"/>
  <c r="BH53" i="7"/>
  <c r="BO53" i="7"/>
  <c r="CG53" i="7" s="1"/>
  <c r="BG16" i="3"/>
  <c r="BN16" i="3"/>
  <c r="CF16" i="3" s="1"/>
  <c r="BG11" i="3"/>
  <c r="BO11" i="3" s="1"/>
  <c r="CG11" i="3" s="1"/>
  <c r="BN11" i="3"/>
  <c r="CF11" i="3" s="1"/>
  <c r="BI14" i="3"/>
  <c r="BP14" i="3"/>
  <c r="CH14" i="3" s="1"/>
  <c r="BJ119" i="3"/>
  <c r="BQ119" i="3"/>
  <c r="CI119" i="3" s="1"/>
  <c r="BJ25" i="3"/>
  <c r="BQ25" i="3"/>
  <c r="CI25" i="3" s="1"/>
  <c r="BH43" i="3"/>
  <c r="BO43" i="3"/>
  <c r="CG43" i="3" s="1"/>
  <c r="BG76" i="3"/>
  <c r="BN76" i="3"/>
  <c r="CF76" i="3" s="1"/>
  <c r="BH32" i="3"/>
  <c r="BO32" i="3"/>
  <c r="CG32" i="3" s="1"/>
  <c r="BG132" i="3"/>
  <c r="BN132" i="3"/>
  <c r="CF132" i="3" s="1"/>
  <c r="BG115" i="3"/>
  <c r="BN115" i="3"/>
  <c r="CF115" i="3" s="1"/>
  <c r="BC115" i="12" s="1"/>
  <c r="BH85" i="3"/>
  <c r="BO85" i="3"/>
  <c r="CG85" i="3" s="1"/>
  <c r="BH84" i="3"/>
  <c r="BO84" i="3"/>
  <c r="CG84" i="3" s="1"/>
  <c r="BG77" i="3"/>
  <c r="BN77" i="3"/>
  <c r="CF77" i="3" s="1"/>
  <c r="BI60" i="3"/>
  <c r="BP60" i="3"/>
  <c r="CH60" i="3" s="1"/>
  <c r="BG35" i="3"/>
  <c r="BN35" i="3"/>
  <c r="CF35" i="3" s="1"/>
  <c r="BJ17" i="3"/>
  <c r="BQ17" i="3"/>
  <c r="CI17" i="3" s="1"/>
  <c r="BG81" i="3"/>
  <c r="BN81" i="3"/>
  <c r="CF81" i="3" s="1"/>
  <c r="BG109" i="3"/>
  <c r="BN109" i="3"/>
  <c r="CF109" i="3" s="1"/>
  <c r="BI66" i="3"/>
  <c r="BP66" i="3"/>
  <c r="CH66" i="3" s="1"/>
  <c r="BJ56" i="3"/>
  <c r="BQ56" i="3"/>
  <c r="CI56" i="3" s="1"/>
  <c r="BG86" i="3"/>
  <c r="BN86" i="3"/>
  <c r="CF86" i="3" s="1"/>
  <c r="BG13" i="3"/>
  <c r="BN13" i="3"/>
  <c r="CF13" i="3" s="1"/>
  <c r="BG100" i="3"/>
  <c r="BN100" i="3"/>
  <c r="CF100" i="3" s="1"/>
  <c r="BI18" i="3"/>
  <c r="BP18" i="3"/>
  <c r="CH18" i="3" s="1"/>
  <c r="BG62" i="3"/>
  <c r="BN62" i="3"/>
  <c r="CF62" i="3" s="1"/>
  <c r="BG57" i="3"/>
  <c r="BN57" i="3"/>
  <c r="CF57" i="3" s="1"/>
  <c r="BH61" i="3"/>
  <c r="BO61" i="3"/>
  <c r="CG61" i="3" s="1"/>
  <c r="BH82" i="3"/>
  <c r="BO82" i="3"/>
  <c r="CG82" i="3" s="1"/>
  <c r="BG41" i="3"/>
  <c r="BN41" i="3"/>
  <c r="CF41" i="3" s="1"/>
  <c r="BG74" i="3"/>
  <c r="BN74" i="3"/>
  <c r="CF74" i="3" s="1"/>
  <c r="BG127" i="3"/>
  <c r="BN127" i="3"/>
  <c r="CF127" i="3" s="1"/>
  <c r="BG97" i="3"/>
  <c r="BN97" i="3"/>
  <c r="CF97" i="3" s="1"/>
  <c r="BG124" i="3"/>
  <c r="BN124" i="3"/>
  <c r="CF124" i="3" s="1"/>
  <c r="CF145" i="3" s="1"/>
  <c r="BG15" i="3"/>
  <c r="BN15" i="3"/>
  <c r="CF15" i="3" s="1"/>
  <c r="BG10" i="3"/>
  <c r="BN10" i="3"/>
  <c r="CF10" i="3" s="1"/>
  <c r="BG117" i="3"/>
  <c r="BN117" i="3"/>
  <c r="CF117" i="3" s="1"/>
  <c r="BC117" i="12" s="1"/>
  <c r="BC117" i="31" s="1"/>
  <c r="BI26" i="3"/>
  <c r="BP26" i="3"/>
  <c r="CH26" i="3" s="1"/>
  <c r="BG83" i="3"/>
  <c r="BN83" i="3"/>
  <c r="CF83" i="3" s="1"/>
  <c r="BH125" i="3"/>
  <c r="BO125" i="3"/>
  <c r="CG125" i="3" s="1"/>
  <c r="BH55" i="3"/>
  <c r="BO55" i="3"/>
  <c r="CG55" i="3" s="1"/>
  <c r="BG80" i="3"/>
  <c r="BN80" i="3"/>
  <c r="CF80" i="3" s="1"/>
  <c r="BG59" i="3"/>
  <c r="BN59" i="3"/>
  <c r="CF59" i="3" s="1"/>
  <c r="BH65" i="3"/>
  <c r="BO65" i="3"/>
  <c r="CG65" i="3" s="1"/>
  <c r="BG71" i="3"/>
  <c r="BN71" i="3"/>
  <c r="CF71" i="3" s="1"/>
  <c r="BG51" i="3"/>
  <c r="BN51" i="3"/>
  <c r="CF51" i="3" s="1"/>
  <c r="BH105" i="3"/>
  <c r="BO105" i="3"/>
  <c r="CG105" i="3" s="1"/>
  <c r="BH128" i="3"/>
  <c r="BO128" i="3"/>
  <c r="CG128" i="3" s="1"/>
  <c r="BG40" i="3"/>
  <c r="BN40" i="3"/>
  <c r="CF40" i="3" s="1"/>
  <c r="BH54" i="3"/>
  <c r="BO54" i="3"/>
  <c r="CG54" i="3" s="1"/>
  <c r="BG78" i="3"/>
  <c r="BN78" i="3"/>
  <c r="CF78" i="3" s="1"/>
  <c r="BG112" i="3"/>
  <c r="BN112" i="3"/>
  <c r="CF112" i="3" s="1"/>
  <c r="BH129" i="3"/>
  <c r="BO129" i="3"/>
  <c r="CG129" i="3" s="1"/>
  <c r="BG93" i="3"/>
  <c r="BN93" i="3"/>
  <c r="CF93" i="3" s="1"/>
  <c r="BH67" i="3"/>
  <c r="BO67" i="3"/>
  <c r="CG67" i="3" s="1"/>
  <c r="BG104" i="3"/>
  <c r="BN104" i="3"/>
  <c r="CF104" i="3" s="1"/>
  <c r="BG68" i="3"/>
  <c r="BN68" i="3"/>
  <c r="CF68" i="3" s="1"/>
  <c r="BH70" i="3"/>
  <c r="BO70" i="3"/>
  <c r="CG70" i="3" s="1"/>
  <c r="BI58" i="3"/>
  <c r="BP58" i="3"/>
  <c r="CH58" i="3" s="1"/>
  <c r="BG47" i="3"/>
  <c r="BN47" i="3"/>
  <c r="CF47" i="3" s="1"/>
  <c r="BH113" i="3"/>
  <c r="BO113" i="3"/>
  <c r="CG113" i="3" s="1"/>
  <c r="BH30" i="3"/>
  <c r="BO30" i="3"/>
  <c r="CG30" i="3" s="1"/>
  <c r="BH38" i="3"/>
  <c r="BO38" i="3"/>
  <c r="CG38" i="3" s="1"/>
  <c r="H41" i="22"/>
  <c r="H42" i="22"/>
  <c r="H35" i="22"/>
  <c r="H38" i="22"/>
  <c r="H113" i="22"/>
  <c r="H40" i="22"/>
  <c r="H26" i="22"/>
  <c r="H31" i="22"/>
  <c r="H44" i="22"/>
  <c r="J133" i="12"/>
  <c r="I133" i="12"/>
  <c r="AK24" i="27" l="1"/>
  <c r="AK84" i="16"/>
  <c r="AK48" i="16"/>
  <c r="X61" i="27"/>
  <c r="X61" i="16"/>
  <c r="X61" i="31"/>
  <c r="X60" i="16"/>
  <c r="X60" i="31"/>
  <c r="X60" i="27"/>
  <c r="CT30" i="14"/>
  <c r="CU30" i="14"/>
  <c r="CV30" i="14"/>
  <c r="CQ30" i="14"/>
  <c r="CR30" i="14"/>
  <c r="AY93" i="31"/>
  <c r="AY20" i="27"/>
  <c r="AY88" i="27"/>
  <c r="AY101" i="27"/>
  <c r="D38" i="29"/>
  <c r="AY73" i="27"/>
  <c r="AY96" i="27"/>
  <c r="AK67" i="31"/>
  <c r="AY57" i="31"/>
  <c r="AY131" i="31"/>
  <c r="AK101" i="16"/>
  <c r="AK75" i="16"/>
  <c r="AK57" i="31"/>
  <c r="AK131" i="31"/>
  <c r="AK73" i="27"/>
  <c r="BR59" i="14"/>
  <c r="CJ59" i="14" s="1"/>
  <c r="AK97" i="27"/>
  <c r="BS50" i="15"/>
  <c r="CK50" i="15" s="1"/>
  <c r="CW50" i="15" s="1"/>
  <c r="AK15" i="16"/>
  <c r="AZ21" i="16"/>
  <c r="AK64" i="27"/>
  <c r="AK110" i="27"/>
  <c r="BK120" i="15"/>
  <c r="BR120" i="15"/>
  <c r="CJ120" i="15" s="1"/>
  <c r="CV120" i="15" s="1"/>
  <c r="BS42" i="14"/>
  <c r="CK42" i="14" s="1"/>
  <c r="AK19" i="16"/>
  <c r="AZ47" i="27"/>
  <c r="AK92" i="16"/>
  <c r="AK93" i="16"/>
  <c r="AK80" i="16"/>
  <c r="AT47" i="27"/>
  <c r="AK83" i="16"/>
  <c r="AK21" i="16"/>
  <c r="BR50" i="15"/>
  <c r="CJ50" i="15" s="1"/>
  <c r="CV50" i="15" s="1"/>
  <c r="AY83" i="27"/>
  <c r="AK14" i="16"/>
  <c r="AK44" i="16"/>
  <c r="AK24" i="16"/>
  <c r="AK70" i="16"/>
  <c r="AK72" i="27"/>
  <c r="AK21" i="27"/>
  <c r="AK104" i="16"/>
  <c r="AY41" i="27"/>
  <c r="AK94" i="27"/>
  <c r="AS34" i="27"/>
  <c r="AY119" i="31"/>
  <c r="CF141" i="7"/>
  <c r="AK105" i="16"/>
  <c r="AK34" i="27"/>
  <c r="AY93" i="27"/>
  <c r="AE136" i="27"/>
  <c r="AY85" i="31"/>
  <c r="AK80" i="27"/>
  <c r="AY48" i="27"/>
  <c r="AK97" i="31"/>
  <c r="AK85" i="31"/>
  <c r="CF143" i="7"/>
  <c r="BX51" i="15"/>
  <c r="AK35" i="16"/>
  <c r="AY64" i="27"/>
  <c r="BK84" i="14"/>
  <c r="BR84" i="14"/>
  <c r="CJ84" i="14" s="1"/>
  <c r="CV84" i="14" s="1"/>
  <c r="BB28" i="31"/>
  <c r="O138" i="32"/>
  <c r="O153" i="32" s="1"/>
  <c r="O138" i="30"/>
  <c r="O153" i="30" s="1"/>
  <c r="BC114" i="31"/>
  <c r="BR40" i="15"/>
  <c r="CJ40" i="15" s="1"/>
  <c r="BI8" i="12"/>
  <c r="CF145" i="7"/>
  <c r="P138" i="32"/>
  <c r="P153" i="32" s="1"/>
  <c r="P138" i="30"/>
  <c r="P153" i="30" s="1"/>
  <c r="U51" i="26"/>
  <c r="S51" i="32"/>
  <c r="S51" i="30"/>
  <c r="BE7" i="31"/>
  <c r="BB38" i="31"/>
  <c r="S51" i="26"/>
  <c r="Q51" i="32"/>
  <c r="Q51" i="30"/>
  <c r="BC113" i="31"/>
  <c r="BB29" i="31"/>
  <c r="AK88" i="27"/>
  <c r="AK16" i="16"/>
  <c r="AK58" i="16"/>
  <c r="R51" i="26"/>
  <c r="P51" i="32"/>
  <c r="P51" i="30"/>
  <c r="BB8" i="31"/>
  <c r="BB30" i="31"/>
  <c r="AK60" i="16"/>
  <c r="AK115" i="16"/>
  <c r="AK7" i="27"/>
  <c r="BB26" i="31"/>
  <c r="BB42" i="31"/>
  <c r="BB39" i="31"/>
  <c r="AZ7" i="27"/>
  <c r="AK20" i="16"/>
  <c r="AS119" i="27"/>
  <c r="AT7" i="27"/>
  <c r="AK112" i="16"/>
  <c r="AL7" i="27"/>
  <c r="AK33" i="27"/>
  <c r="AY9" i="27"/>
  <c r="AY61" i="31"/>
  <c r="AZ55" i="16"/>
  <c r="AF136" i="27"/>
  <c r="AY53" i="31"/>
  <c r="AY71" i="31"/>
  <c r="AY110" i="31"/>
  <c r="AZ127" i="27"/>
  <c r="AK53" i="31"/>
  <c r="AK71" i="31"/>
  <c r="AY7" i="27"/>
  <c r="AK111" i="16"/>
  <c r="AK11" i="16"/>
  <c r="AT127" i="27"/>
  <c r="AZ119" i="27"/>
  <c r="AK123" i="27"/>
  <c r="AY97" i="31"/>
  <c r="AK55" i="16"/>
  <c r="AK127" i="27"/>
  <c r="AK124" i="16"/>
  <c r="AK122" i="16"/>
  <c r="AK96" i="27"/>
  <c r="AK64" i="16"/>
  <c r="BB8" i="27"/>
  <c r="AK32" i="16"/>
  <c r="AK76" i="16"/>
  <c r="AI149" i="31"/>
  <c r="AK149" i="31" s="1"/>
  <c r="AK61" i="31"/>
  <c r="AK30" i="16"/>
  <c r="AK100" i="16"/>
  <c r="AK12" i="16"/>
  <c r="AK90" i="16"/>
  <c r="AT30" i="16"/>
  <c r="AK109" i="27"/>
  <c r="AK31" i="16"/>
  <c r="AK56" i="16"/>
  <c r="AY89" i="27"/>
  <c r="AK26" i="16"/>
  <c r="AK73" i="31"/>
  <c r="AK29" i="31"/>
  <c r="AY10" i="27"/>
  <c r="AZ96" i="27"/>
  <c r="AK38" i="16"/>
  <c r="AY37" i="27"/>
  <c r="AK8" i="31"/>
  <c r="AL96" i="27"/>
  <c r="AK113" i="31"/>
  <c r="BB29" i="27"/>
  <c r="AT110" i="27"/>
  <c r="AK10" i="27"/>
  <c r="AY87" i="27"/>
  <c r="AZ110" i="27"/>
  <c r="AK59" i="27"/>
  <c r="AK74" i="16"/>
  <c r="AK69" i="16"/>
  <c r="AK52" i="16"/>
  <c r="AK82" i="31"/>
  <c r="AL110" i="27"/>
  <c r="AY82" i="27"/>
  <c r="AK89" i="16"/>
  <c r="AK86" i="16"/>
  <c r="AY109" i="27"/>
  <c r="AY73" i="31"/>
  <c r="AY29" i="31"/>
  <c r="AF145" i="16"/>
  <c r="AY72" i="27"/>
  <c r="AY71" i="27"/>
  <c r="AK88" i="16"/>
  <c r="AK77" i="31"/>
  <c r="AK81" i="16"/>
  <c r="AK78" i="16"/>
  <c r="AK53" i="27"/>
  <c r="G7" i="29"/>
  <c r="G136" i="29" s="1"/>
  <c r="AK12" i="27"/>
  <c r="AE141" i="27"/>
  <c r="AE146" i="27"/>
  <c r="AF142" i="27"/>
  <c r="AK79" i="16"/>
  <c r="AK9" i="27"/>
  <c r="AY8" i="31"/>
  <c r="AY25" i="31"/>
  <c r="AZ105" i="16"/>
  <c r="AK131" i="16"/>
  <c r="AK89" i="27"/>
  <c r="AK71" i="27"/>
  <c r="AK29" i="27"/>
  <c r="AK112" i="27"/>
  <c r="AK18" i="16"/>
  <c r="AY8" i="27"/>
  <c r="AK110" i="31"/>
  <c r="D39" i="29"/>
  <c r="AK17" i="16"/>
  <c r="AK29" i="16"/>
  <c r="AF146" i="16"/>
  <c r="AK87" i="27"/>
  <c r="AK41" i="27"/>
  <c r="AY29" i="27"/>
  <c r="AK20" i="27"/>
  <c r="AY51" i="31"/>
  <c r="AF143" i="16"/>
  <c r="D42" i="29"/>
  <c r="AY53" i="27"/>
  <c r="AY125" i="31"/>
  <c r="AE144" i="27"/>
  <c r="AK99" i="16"/>
  <c r="AY113" i="27"/>
  <c r="AY87" i="31"/>
  <c r="AY77" i="31"/>
  <c r="AY112" i="27"/>
  <c r="AK11" i="27"/>
  <c r="AY113" i="31"/>
  <c r="AL113" i="31"/>
  <c r="AZ113" i="31"/>
  <c r="AT113" i="31"/>
  <c r="AY41" i="31"/>
  <c r="AL27" i="31"/>
  <c r="AF138" i="31"/>
  <c r="AT27" i="31"/>
  <c r="AZ27" i="31"/>
  <c r="AY110" i="27"/>
  <c r="AK15" i="31"/>
  <c r="AL17" i="31"/>
  <c r="AT17" i="31"/>
  <c r="AZ17" i="31"/>
  <c r="AE146" i="31"/>
  <c r="AS127" i="31"/>
  <c r="S138" i="32"/>
  <c r="S153" i="32" s="1"/>
  <c r="S138" i="30"/>
  <c r="S153" i="30" s="1"/>
  <c r="AK85" i="16"/>
  <c r="AE143" i="27"/>
  <c r="AY37" i="31"/>
  <c r="AK41" i="31"/>
  <c r="AL67" i="31"/>
  <c r="AF142" i="31"/>
  <c r="AT67" i="31"/>
  <c r="AZ67" i="31"/>
  <c r="AE143" i="31"/>
  <c r="AS96" i="31"/>
  <c r="AF136" i="31"/>
  <c r="AL7" i="31"/>
  <c r="AZ7" i="31"/>
  <c r="AT7" i="31"/>
  <c r="AY127" i="27"/>
  <c r="AY49" i="31"/>
  <c r="AY96" i="31"/>
  <c r="AE145" i="31"/>
  <c r="AS119" i="31"/>
  <c r="AL127" i="31"/>
  <c r="AF146" i="31"/>
  <c r="AZ127" i="31"/>
  <c r="AT127" i="31"/>
  <c r="AF140" i="31"/>
  <c r="AL43" i="31"/>
  <c r="AT43" i="31"/>
  <c r="AZ43" i="31"/>
  <c r="BB110" i="16"/>
  <c r="BB110" i="31"/>
  <c r="BB41" i="16"/>
  <c r="BB41" i="31"/>
  <c r="BB36" i="16"/>
  <c r="BB36" i="31"/>
  <c r="AK32" i="27"/>
  <c r="AY27" i="27"/>
  <c r="AF137" i="27"/>
  <c r="AE142" i="31"/>
  <c r="AS67" i="31"/>
  <c r="AY109" i="31"/>
  <c r="AY17" i="31"/>
  <c r="AE140" i="31"/>
  <c r="AS43" i="31"/>
  <c r="AY94" i="31"/>
  <c r="AK125" i="31"/>
  <c r="AK25" i="31"/>
  <c r="AY7" i="31"/>
  <c r="AY33" i="31"/>
  <c r="AF139" i="31"/>
  <c r="AL34" i="31"/>
  <c r="AT34" i="31"/>
  <c r="AZ34" i="31"/>
  <c r="AY59" i="31"/>
  <c r="T138" i="32"/>
  <c r="T153" i="32" s="1"/>
  <c r="T138" i="30"/>
  <c r="T153" i="30" s="1"/>
  <c r="AK41" i="16"/>
  <c r="AT113" i="27"/>
  <c r="AZ27" i="27"/>
  <c r="AK37" i="31"/>
  <c r="AK109" i="31"/>
  <c r="AK17" i="31"/>
  <c r="AY55" i="31"/>
  <c r="AK94" i="31"/>
  <c r="AL96" i="31"/>
  <c r="AF143" i="31"/>
  <c r="AZ96" i="31"/>
  <c r="AT96" i="31"/>
  <c r="AF144" i="31"/>
  <c r="AL110" i="31"/>
  <c r="AZ110" i="31"/>
  <c r="AT110" i="31"/>
  <c r="AY83" i="31"/>
  <c r="AE141" i="31"/>
  <c r="AS51" i="31"/>
  <c r="AK49" i="31"/>
  <c r="AK119" i="31"/>
  <c r="AK33" i="31"/>
  <c r="AK96" i="31"/>
  <c r="AK59" i="31"/>
  <c r="AY107" i="31"/>
  <c r="BB111" i="16"/>
  <c r="BB111" i="31"/>
  <c r="BC115" i="16"/>
  <c r="BC115" i="31"/>
  <c r="U138" i="32"/>
  <c r="U153" i="32" s="1"/>
  <c r="U138" i="30"/>
  <c r="U153" i="30" s="1"/>
  <c r="R138" i="32"/>
  <c r="R153" i="32" s="1"/>
  <c r="R138" i="30"/>
  <c r="R153" i="30" s="1"/>
  <c r="BE136" i="31"/>
  <c r="BB25" i="16"/>
  <c r="BB25" i="31"/>
  <c r="AF145" i="27"/>
  <c r="AK27" i="27"/>
  <c r="AK116" i="16"/>
  <c r="AK42" i="16"/>
  <c r="AZ113" i="27"/>
  <c r="AT27" i="27"/>
  <c r="AE139" i="31"/>
  <c r="AS34" i="31"/>
  <c r="AK34" i="31"/>
  <c r="AY34" i="31"/>
  <c r="AE136" i="31"/>
  <c r="AS7" i="31"/>
  <c r="AY123" i="31"/>
  <c r="AE138" i="31"/>
  <c r="AS27" i="31"/>
  <c r="AK27" i="31"/>
  <c r="AY27" i="31"/>
  <c r="AY127" i="31"/>
  <c r="AK83" i="31"/>
  <c r="AY101" i="31"/>
  <c r="AY43" i="31"/>
  <c r="AF141" i="31"/>
  <c r="AL51" i="31"/>
  <c r="AZ51" i="31"/>
  <c r="AT51" i="31"/>
  <c r="AK107" i="31"/>
  <c r="AS9" i="31"/>
  <c r="AK9" i="31"/>
  <c r="AY9" i="31"/>
  <c r="AZ41" i="16"/>
  <c r="BB11" i="16"/>
  <c r="BB11" i="31"/>
  <c r="AF138" i="16"/>
  <c r="AY61" i="27"/>
  <c r="AY85" i="27"/>
  <c r="AK131" i="27"/>
  <c r="AK113" i="27"/>
  <c r="AL113" i="27"/>
  <c r="AK123" i="31"/>
  <c r="AK55" i="31"/>
  <c r="AK127" i="31"/>
  <c r="AL8" i="31"/>
  <c r="AF137" i="31"/>
  <c r="AT8" i="31"/>
  <c r="AZ8" i="31"/>
  <c r="AK101" i="31"/>
  <c r="AF145" i="31"/>
  <c r="AL119" i="31"/>
  <c r="AT119" i="31"/>
  <c r="AZ119" i="31"/>
  <c r="Q138" i="32"/>
  <c r="Q153" i="32" s="1"/>
  <c r="Q138" i="30"/>
  <c r="Q153" i="30" s="1"/>
  <c r="AZ85" i="16"/>
  <c r="AF139" i="27"/>
  <c r="AF143" i="27"/>
  <c r="AY97" i="27"/>
  <c r="AK23" i="16"/>
  <c r="AK62" i="16"/>
  <c r="AK72" i="16"/>
  <c r="AK65" i="16"/>
  <c r="AK61" i="27"/>
  <c r="AK130" i="16"/>
  <c r="AL47" i="31"/>
  <c r="AZ47" i="31"/>
  <c r="AT47" i="31"/>
  <c r="AE137" i="31"/>
  <c r="AS8" i="31"/>
  <c r="AL73" i="31"/>
  <c r="AT73" i="31"/>
  <c r="AZ73" i="31"/>
  <c r="AK47" i="31"/>
  <c r="AY67" i="31"/>
  <c r="AE144" i="31"/>
  <c r="AS110" i="31"/>
  <c r="AY82" i="31"/>
  <c r="AY15" i="31"/>
  <c r="AK43" i="31"/>
  <c r="AK126" i="16"/>
  <c r="AK109" i="16"/>
  <c r="AK61" i="16"/>
  <c r="AZ77" i="16"/>
  <c r="AK63" i="16"/>
  <c r="AT109" i="16"/>
  <c r="AK49" i="16"/>
  <c r="AZ126" i="16"/>
  <c r="AF139" i="16"/>
  <c r="BB36" i="27"/>
  <c r="BC115" i="27"/>
  <c r="D11" i="29"/>
  <c r="BB25" i="27"/>
  <c r="AL91" i="27"/>
  <c r="AZ91" i="27"/>
  <c r="AT91" i="27"/>
  <c r="AY24" i="27"/>
  <c r="AL40" i="27"/>
  <c r="AT40" i="27"/>
  <c r="AZ40" i="27"/>
  <c r="AW169" i="12"/>
  <c r="AS78" i="27"/>
  <c r="AY78" i="27"/>
  <c r="AK78" i="27"/>
  <c r="AL85" i="27"/>
  <c r="AT85" i="27"/>
  <c r="AZ85" i="27"/>
  <c r="AL90" i="27"/>
  <c r="AZ90" i="27"/>
  <c r="AT90" i="27"/>
  <c r="AL14" i="27"/>
  <c r="AZ14" i="27"/>
  <c r="AT14" i="27"/>
  <c r="AL75" i="27"/>
  <c r="AT75" i="27"/>
  <c r="AZ75" i="27"/>
  <c r="AS14" i="27"/>
  <c r="AK14" i="27"/>
  <c r="AY14" i="27"/>
  <c r="AL93" i="27"/>
  <c r="AZ93" i="27"/>
  <c r="AT93" i="27"/>
  <c r="AL92" i="27"/>
  <c r="AZ92" i="27"/>
  <c r="AT92" i="27"/>
  <c r="AP167" i="12"/>
  <c r="AP176" i="12"/>
  <c r="AP172" i="12"/>
  <c r="AP175" i="12"/>
  <c r="AP171" i="12"/>
  <c r="AP174" i="12"/>
  <c r="AP177" i="12"/>
  <c r="AP173" i="12"/>
  <c r="AP187" i="12" s="1"/>
  <c r="AP168" i="12"/>
  <c r="AP169" i="12"/>
  <c r="AV170" i="12"/>
  <c r="E115" i="29"/>
  <c r="AS102" i="27"/>
  <c r="AK102" i="27"/>
  <c r="AY102" i="27"/>
  <c r="AL28" i="27"/>
  <c r="AT28" i="27"/>
  <c r="AZ28" i="27"/>
  <c r="AL114" i="27"/>
  <c r="AZ114" i="27"/>
  <c r="AT114" i="27"/>
  <c r="AL13" i="27"/>
  <c r="AT13" i="27"/>
  <c r="AZ13" i="27"/>
  <c r="AS31" i="27"/>
  <c r="AY31" i="27"/>
  <c r="AK31" i="27"/>
  <c r="AL44" i="27"/>
  <c r="AZ44" i="27"/>
  <c r="AT44" i="27"/>
  <c r="AL55" i="27"/>
  <c r="AZ55" i="27"/>
  <c r="AT55" i="27"/>
  <c r="AS18" i="27"/>
  <c r="AK18" i="27"/>
  <c r="AY18" i="27"/>
  <c r="AS86" i="27"/>
  <c r="AK86" i="27"/>
  <c r="AY86" i="27"/>
  <c r="AL111" i="27"/>
  <c r="AZ111" i="27"/>
  <c r="AT111" i="27"/>
  <c r="AL98" i="27"/>
  <c r="AZ98" i="27"/>
  <c r="AT98" i="27"/>
  <c r="AL48" i="27"/>
  <c r="AT48" i="27"/>
  <c r="AZ48" i="27"/>
  <c r="AS63" i="27"/>
  <c r="AY63" i="27"/>
  <c r="AK63" i="27"/>
  <c r="AL118" i="27"/>
  <c r="AZ118" i="27"/>
  <c r="AT118" i="27"/>
  <c r="AL103" i="27"/>
  <c r="AT103" i="27"/>
  <c r="AZ103" i="27"/>
  <c r="AS91" i="27"/>
  <c r="AK91" i="27"/>
  <c r="AY91" i="27"/>
  <c r="AS22" i="27"/>
  <c r="AY22" i="27"/>
  <c r="AK22" i="27"/>
  <c r="AS90" i="27"/>
  <c r="AY90" i="27"/>
  <c r="AK90" i="27"/>
  <c r="AL12" i="27"/>
  <c r="AT12" i="27"/>
  <c r="AZ12" i="27"/>
  <c r="AL102" i="27"/>
  <c r="AZ102" i="27"/>
  <c r="AT102" i="27"/>
  <c r="AL54" i="27"/>
  <c r="AZ54" i="27"/>
  <c r="AT54" i="27"/>
  <c r="AS129" i="27"/>
  <c r="AY129" i="27"/>
  <c r="AK129" i="27"/>
  <c r="AK107" i="27"/>
  <c r="AS74" i="27"/>
  <c r="AK74" i="27"/>
  <c r="AY74" i="27"/>
  <c r="AL65" i="27"/>
  <c r="AT65" i="27"/>
  <c r="AZ65" i="27"/>
  <c r="AL86" i="27"/>
  <c r="AT86" i="27"/>
  <c r="AZ86" i="27"/>
  <c r="AL129" i="27"/>
  <c r="AT129" i="27"/>
  <c r="AZ129" i="27"/>
  <c r="AS111" i="27"/>
  <c r="AK111" i="27"/>
  <c r="AY111" i="27"/>
  <c r="AW174" i="12"/>
  <c r="AS99" i="27"/>
  <c r="AK99" i="27"/>
  <c r="AY99" i="27"/>
  <c r="AE145" i="27"/>
  <c r="AK104" i="27"/>
  <c r="AK16" i="27"/>
  <c r="AL18" i="27"/>
  <c r="AT18" i="27"/>
  <c r="AZ18" i="27"/>
  <c r="AS117" i="27"/>
  <c r="AK117" i="27"/>
  <c r="AY117" i="27"/>
  <c r="AL52" i="27"/>
  <c r="AZ52" i="27"/>
  <c r="AT52" i="27"/>
  <c r="AL88" i="27"/>
  <c r="AT88" i="27"/>
  <c r="AZ88" i="27"/>
  <c r="AQ176" i="12"/>
  <c r="AQ172" i="12"/>
  <c r="AQ175" i="12"/>
  <c r="AQ171" i="12"/>
  <c r="AQ174" i="12"/>
  <c r="AQ169" i="12"/>
  <c r="AQ177" i="12"/>
  <c r="AQ173" i="12"/>
  <c r="AQ168" i="12"/>
  <c r="AQ167" i="12"/>
  <c r="BB41" i="27"/>
  <c r="AF144" i="27"/>
  <c r="AK101" i="27"/>
  <c r="AS17" i="27"/>
  <c r="AK17" i="27"/>
  <c r="AY17" i="27"/>
  <c r="AY95" i="27"/>
  <c r="AY32" i="27"/>
  <c r="AF140" i="27"/>
  <c r="AL10" i="27"/>
  <c r="AZ10" i="27"/>
  <c r="AT10" i="27"/>
  <c r="AE137" i="27"/>
  <c r="AK48" i="27"/>
  <c r="AW172" i="12"/>
  <c r="AW171" i="12"/>
  <c r="AS98" i="27"/>
  <c r="AK98" i="27"/>
  <c r="AY98" i="27"/>
  <c r="AL22" i="27"/>
  <c r="AT22" i="27"/>
  <c r="AZ22" i="27"/>
  <c r="AL108" i="27"/>
  <c r="AT108" i="27"/>
  <c r="AZ108" i="27"/>
  <c r="AL66" i="27"/>
  <c r="AZ66" i="27"/>
  <c r="AT66" i="27"/>
  <c r="AL106" i="27"/>
  <c r="AT106" i="27"/>
  <c r="AZ106" i="27"/>
  <c r="AS30" i="27"/>
  <c r="AK30" i="27"/>
  <c r="AY30" i="27"/>
  <c r="AS100" i="27"/>
  <c r="AY100" i="27"/>
  <c r="AK100" i="27"/>
  <c r="AL26" i="27"/>
  <c r="AT26" i="27"/>
  <c r="AZ26" i="27"/>
  <c r="AL112" i="27"/>
  <c r="AZ112" i="27"/>
  <c r="AT112" i="27"/>
  <c r="AL105" i="27"/>
  <c r="AZ105" i="27"/>
  <c r="AT105" i="27"/>
  <c r="AS50" i="27"/>
  <c r="AY50" i="27"/>
  <c r="AK50" i="27"/>
  <c r="AL50" i="27"/>
  <c r="AZ50" i="27"/>
  <c r="AT50" i="27"/>
  <c r="AL130" i="27"/>
  <c r="AZ130" i="27"/>
  <c r="AT130" i="27"/>
  <c r="AS103" i="27"/>
  <c r="AK103" i="27"/>
  <c r="AY103" i="27"/>
  <c r="AS114" i="27"/>
  <c r="AK114" i="27"/>
  <c r="AY114" i="27"/>
  <c r="AL30" i="27"/>
  <c r="AZ30" i="27"/>
  <c r="AT30" i="27"/>
  <c r="AL116" i="27"/>
  <c r="AZ116" i="27"/>
  <c r="AT116" i="27"/>
  <c r="AL63" i="27"/>
  <c r="AT63" i="27"/>
  <c r="AZ63" i="27"/>
  <c r="AL62" i="27"/>
  <c r="AZ62" i="27"/>
  <c r="AT62" i="27"/>
  <c r="AS44" i="27"/>
  <c r="AK44" i="27"/>
  <c r="AY44" i="27"/>
  <c r="AS38" i="27"/>
  <c r="AK38" i="27"/>
  <c r="AY38" i="27"/>
  <c r="AS106" i="27"/>
  <c r="AK106" i="27"/>
  <c r="AY106" i="27"/>
  <c r="AL32" i="27"/>
  <c r="AT32" i="27"/>
  <c r="AZ32" i="27"/>
  <c r="AL11" i="27"/>
  <c r="AT11" i="27"/>
  <c r="AZ11" i="27"/>
  <c r="AS19" i="27"/>
  <c r="AY19" i="27"/>
  <c r="AK19" i="27"/>
  <c r="AS76" i="27"/>
  <c r="AK76" i="27"/>
  <c r="AY76" i="27"/>
  <c r="AY94" i="27"/>
  <c r="AS108" i="27"/>
  <c r="AK108" i="27"/>
  <c r="AY108" i="27"/>
  <c r="AL36" i="27"/>
  <c r="AT36" i="27"/>
  <c r="AZ36" i="27"/>
  <c r="AL120" i="27"/>
  <c r="AZ120" i="27"/>
  <c r="AT120" i="27"/>
  <c r="AL81" i="27"/>
  <c r="AT81" i="27"/>
  <c r="AZ81" i="27"/>
  <c r="AY36" i="27"/>
  <c r="AS92" i="27"/>
  <c r="AK92" i="27"/>
  <c r="AY92" i="27"/>
  <c r="AL16" i="27"/>
  <c r="AT16" i="27"/>
  <c r="AZ16" i="27"/>
  <c r="AL104" i="27"/>
  <c r="AZ104" i="27"/>
  <c r="AT104" i="27"/>
  <c r="AL58" i="27"/>
  <c r="AT58" i="27"/>
  <c r="AZ58" i="27"/>
  <c r="AF146" i="27"/>
  <c r="AL49" i="27"/>
  <c r="AT49" i="27"/>
  <c r="AZ49" i="27"/>
  <c r="AK55" i="27"/>
  <c r="AW176" i="12"/>
  <c r="AW175" i="12"/>
  <c r="AS115" i="27"/>
  <c r="AK115" i="27"/>
  <c r="AY115" i="27"/>
  <c r="AE140" i="27"/>
  <c r="AY28" i="27"/>
  <c r="AL82" i="27"/>
  <c r="AZ82" i="27"/>
  <c r="AT82" i="27"/>
  <c r="AL45" i="27"/>
  <c r="AZ45" i="27"/>
  <c r="AT45" i="27"/>
  <c r="AF141" i="27"/>
  <c r="AS81" i="27"/>
  <c r="AK81" i="27"/>
  <c r="AY81" i="27"/>
  <c r="AW177" i="12"/>
  <c r="AL77" i="27"/>
  <c r="AT77" i="27"/>
  <c r="AZ77" i="27"/>
  <c r="AS46" i="27"/>
  <c r="AK46" i="27"/>
  <c r="AY46" i="27"/>
  <c r="AS116" i="27"/>
  <c r="AK116" i="27"/>
  <c r="AY116" i="27"/>
  <c r="AL42" i="27"/>
  <c r="AZ42" i="27"/>
  <c r="AT42" i="27"/>
  <c r="AL126" i="27"/>
  <c r="AZ126" i="27"/>
  <c r="AT126" i="27"/>
  <c r="AE138" i="27"/>
  <c r="AL109" i="27"/>
  <c r="AZ109" i="27"/>
  <c r="AT109" i="27"/>
  <c r="AL60" i="27"/>
  <c r="AT60" i="27"/>
  <c r="AZ60" i="27"/>
  <c r="AY56" i="27"/>
  <c r="AY40" i="27"/>
  <c r="AL125" i="27"/>
  <c r="AT125" i="27"/>
  <c r="AZ125" i="27"/>
  <c r="AS118" i="27"/>
  <c r="AK118" i="27"/>
  <c r="AY118" i="27"/>
  <c r="AL46" i="27"/>
  <c r="AT46" i="27"/>
  <c r="AZ46" i="27"/>
  <c r="AL128" i="27"/>
  <c r="AT128" i="27"/>
  <c r="AZ128" i="27"/>
  <c r="D111" i="29"/>
  <c r="AL83" i="27"/>
  <c r="AZ83" i="27"/>
  <c r="AT83" i="27"/>
  <c r="AS66" i="27"/>
  <c r="AK66" i="27"/>
  <c r="AY66" i="27"/>
  <c r="AL21" i="27"/>
  <c r="AZ21" i="27"/>
  <c r="AT21" i="27"/>
  <c r="AY21" i="27"/>
  <c r="AL76" i="27"/>
  <c r="AT76" i="27"/>
  <c r="AZ76" i="27"/>
  <c r="AL87" i="27"/>
  <c r="AZ87" i="27"/>
  <c r="AT87" i="27"/>
  <c r="AS121" i="27"/>
  <c r="AK121" i="27"/>
  <c r="AY121" i="27"/>
  <c r="AL131" i="27"/>
  <c r="AZ131" i="27"/>
  <c r="AT131" i="27"/>
  <c r="AL70" i="27"/>
  <c r="AT70" i="27"/>
  <c r="AZ70" i="27"/>
  <c r="AK105" i="27"/>
  <c r="AL15" i="27"/>
  <c r="AZ15" i="27"/>
  <c r="AT15" i="27"/>
  <c r="AY15" i="27"/>
  <c r="AS52" i="27"/>
  <c r="AK52" i="27"/>
  <c r="AY52" i="27"/>
  <c r="AS122" i="27"/>
  <c r="AK122" i="27"/>
  <c r="AY122" i="27"/>
  <c r="AL56" i="27"/>
  <c r="AT56" i="27"/>
  <c r="AZ56" i="27"/>
  <c r="AL132" i="27"/>
  <c r="AT132" i="27"/>
  <c r="AZ132" i="27"/>
  <c r="AY12" i="27"/>
  <c r="AL20" i="27"/>
  <c r="AT20" i="27"/>
  <c r="AZ20" i="27"/>
  <c r="AY105" i="27"/>
  <c r="AL25" i="27"/>
  <c r="AT25" i="27"/>
  <c r="AZ25" i="27"/>
  <c r="AS54" i="27"/>
  <c r="AK54" i="27"/>
  <c r="AY54" i="27"/>
  <c r="AS124" i="27"/>
  <c r="AK124" i="27"/>
  <c r="AY124" i="27"/>
  <c r="AL80" i="27"/>
  <c r="AZ80" i="27"/>
  <c r="AT80" i="27"/>
  <c r="AL71" i="27"/>
  <c r="AT71" i="27"/>
  <c r="AZ71" i="27"/>
  <c r="AS35" i="27"/>
  <c r="AK35" i="27"/>
  <c r="AY35" i="27"/>
  <c r="AY120" i="27"/>
  <c r="AL31" i="27"/>
  <c r="AT31" i="27"/>
  <c r="AZ31" i="27"/>
  <c r="AS126" i="27"/>
  <c r="AK126" i="27"/>
  <c r="AY126" i="27"/>
  <c r="AL64" i="27"/>
  <c r="AZ64" i="27"/>
  <c r="AT64" i="27"/>
  <c r="AL19" i="27"/>
  <c r="AZ19" i="27"/>
  <c r="AT19" i="27"/>
  <c r="AL29" i="27"/>
  <c r="AZ29" i="27"/>
  <c r="AT29" i="27"/>
  <c r="AK36" i="27"/>
  <c r="AL41" i="27"/>
  <c r="AZ41" i="27"/>
  <c r="AT41" i="27"/>
  <c r="AS42" i="27"/>
  <c r="AK42" i="27"/>
  <c r="AY42" i="27"/>
  <c r="AL38" i="27"/>
  <c r="AZ38" i="27"/>
  <c r="AT38" i="27"/>
  <c r="AL122" i="27"/>
  <c r="AT122" i="27"/>
  <c r="AZ122" i="27"/>
  <c r="AL89" i="27"/>
  <c r="AT89" i="27"/>
  <c r="AZ89" i="27"/>
  <c r="AS23" i="27"/>
  <c r="AK23" i="27"/>
  <c r="AY23" i="27"/>
  <c r="D41" i="29"/>
  <c r="AK25" i="27"/>
  <c r="AW167" i="12"/>
  <c r="AS45" i="27"/>
  <c r="AK45" i="27"/>
  <c r="AY45" i="27"/>
  <c r="AK56" i="27"/>
  <c r="AY13" i="27"/>
  <c r="AK28" i="27"/>
  <c r="AK40" i="27"/>
  <c r="AL123" i="27"/>
  <c r="AT123" i="27"/>
  <c r="AZ123" i="27"/>
  <c r="AS47" i="27"/>
  <c r="AY47" i="27"/>
  <c r="AK47" i="27"/>
  <c r="D36" i="29"/>
  <c r="AF138" i="27"/>
  <c r="AS26" i="27"/>
  <c r="AK26" i="27"/>
  <c r="AY26" i="27"/>
  <c r="BB111" i="27"/>
  <c r="AK83" i="27"/>
  <c r="AK120" i="27"/>
  <c r="AY11" i="27"/>
  <c r="AS60" i="27"/>
  <c r="AY60" i="27"/>
  <c r="AK60" i="27"/>
  <c r="AW168" i="12"/>
  <c r="AL61" i="27"/>
  <c r="AT61" i="27"/>
  <c r="AZ61" i="27"/>
  <c r="AS62" i="27"/>
  <c r="AK62" i="27"/>
  <c r="AY62" i="27"/>
  <c r="AS132" i="27"/>
  <c r="AY132" i="27"/>
  <c r="AK132" i="27"/>
  <c r="AL72" i="27"/>
  <c r="AT72" i="27"/>
  <c r="AZ72" i="27"/>
  <c r="AL59" i="27"/>
  <c r="AT59" i="27"/>
  <c r="AZ59" i="27"/>
  <c r="AY59" i="27"/>
  <c r="AK49" i="27"/>
  <c r="AY55" i="27"/>
  <c r="AK13" i="27"/>
  <c r="AL69" i="27"/>
  <c r="AT69" i="27"/>
  <c r="AZ69" i="27"/>
  <c r="AL9" i="27"/>
  <c r="AT9" i="27"/>
  <c r="AZ9" i="27"/>
  <c r="AL74" i="27"/>
  <c r="AT74" i="27"/>
  <c r="AZ74" i="27"/>
  <c r="D25" i="29"/>
  <c r="AS84" i="27"/>
  <c r="AY84" i="27"/>
  <c r="AK84" i="27"/>
  <c r="AL101" i="27"/>
  <c r="AT101" i="27"/>
  <c r="AZ101" i="27"/>
  <c r="AL94" i="27"/>
  <c r="AT94" i="27"/>
  <c r="AZ94" i="27"/>
  <c r="AL24" i="27"/>
  <c r="AZ24" i="27"/>
  <c r="AT24" i="27"/>
  <c r="AL79" i="27"/>
  <c r="AZ79" i="27"/>
  <c r="AT79" i="27"/>
  <c r="AL99" i="27"/>
  <c r="AZ99" i="27"/>
  <c r="AT99" i="27"/>
  <c r="AL95" i="27"/>
  <c r="AT95" i="27"/>
  <c r="AZ95" i="27"/>
  <c r="AS68" i="27"/>
  <c r="AK68" i="27"/>
  <c r="AY68" i="27"/>
  <c r="AL35" i="27"/>
  <c r="AZ35" i="27"/>
  <c r="AT35" i="27"/>
  <c r="AL78" i="27"/>
  <c r="AT78" i="27"/>
  <c r="AZ78" i="27"/>
  <c r="AL97" i="27"/>
  <c r="AZ97" i="27"/>
  <c r="AT97" i="27"/>
  <c r="AL124" i="27"/>
  <c r="AT124" i="27"/>
  <c r="AZ124" i="27"/>
  <c r="AL107" i="27"/>
  <c r="AT107" i="27"/>
  <c r="AZ107" i="27"/>
  <c r="AS70" i="27"/>
  <c r="AK70" i="27"/>
  <c r="AY70" i="27"/>
  <c r="AL100" i="27"/>
  <c r="AT100" i="27"/>
  <c r="AZ100" i="27"/>
  <c r="AL23" i="27"/>
  <c r="AZ23" i="27"/>
  <c r="AT23" i="27"/>
  <c r="AS75" i="27"/>
  <c r="AK75" i="27"/>
  <c r="AY75" i="27"/>
  <c r="AL121" i="27"/>
  <c r="AZ121" i="27"/>
  <c r="AT121" i="27"/>
  <c r="AL53" i="27"/>
  <c r="AT53" i="27"/>
  <c r="AZ53" i="27"/>
  <c r="AL84" i="27"/>
  <c r="AT84" i="27"/>
  <c r="AZ84" i="27"/>
  <c r="AL117" i="27"/>
  <c r="AT117" i="27"/>
  <c r="AZ117" i="27"/>
  <c r="AL115" i="27"/>
  <c r="AZ115" i="27"/>
  <c r="AT115" i="27"/>
  <c r="AL39" i="27"/>
  <c r="AT39" i="27"/>
  <c r="AZ39" i="27"/>
  <c r="AY39" i="27"/>
  <c r="AS58" i="27"/>
  <c r="AY58" i="27"/>
  <c r="AK58" i="27"/>
  <c r="AS128" i="27"/>
  <c r="AK128" i="27"/>
  <c r="AY128" i="27"/>
  <c r="AL68" i="27"/>
  <c r="AT68" i="27"/>
  <c r="AZ68" i="27"/>
  <c r="AL33" i="27"/>
  <c r="AT33" i="27"/>
  <c r="AZ33" i="27"/>
  <c r="AY33" i="27"/>
  <c r="AL37" i="27"/>
  <c r="AT37" i="27"/>
  <c r="AZ37" i="27"/>
  <c r="AK37" i="27"/>
  <c r="AS79" i="27"/>
  <c r="AK79" i="27"/>
  <c r="AY79" i="27"/>
  <c r="AE139" i="27"/>
  <c r="AW173" i="12"/>
  <c r="AL57" i="27"/>
  <c r="AT57" i="27"/>
  <c r="AZ57" i="27"/>
  <c r="AS65" i="27"/>
  <c r="AK65" i="27"/>
  <c r="AY65" i="27"/>
  <c r="AY104" i="27"/>
  <c r="AY16" i="27"/>
  <c r="AS69" i="27"/>
  <c r="AK69" i="27"/>
  <c r="AY69" i="27"/>
  <c r="AS130" i="27"/>
  <c r="AK130" i="27"/>
  <c r="AY130" i="27"/>
  <c r="AE142" i="27"/>
  <c r="W48" i="22"/>
  <c r="BC113" i="27"/>
  <c r="E113" i="29"/>
  <c r="CQ20" i="14"/>
  <c r="CQ26" i="14"/>
  <c r="D26" i="29"/>
  <c r="W57" i="22"/>
  <c r="R138" i="26"/>
  <c r="R153" i="26" s="1"/>
  <c r="W53" i="22"/>
  <c r="BC117" i="27"/>
  <c r="E117" i="29"/>
  <c r="W64" i="22"/>
  <c r="CQ23" i="14"/>
  <c r="BC113" i="16"/>
  <c r="BB26" i="16"/>
  <c r="W127" i="22"/>
  <c r="W47" i="22"/>
  <c r="BC114" i="27"/>
  <c r="E114" i="29"/>
  <c r="CQ22" i="14"/>
  <c r="CQ17" i="14"/>
  <c r="W49" i="22"/>
  <c r="CQ9" i="14"/>
  <c r="CU54" i="14"/>
  <c r="D30" i="29"/>
  <c r="W55" i="22"/>
  <c r="CQ24" i="14"/>
  <c r="W60" i="22"/>
  <c r="W54" i="22"/>
  <c r="CQ8" i="14"/>
  <c r="D8" i="29"/>
  <c r="BB26" i="27"/>
  <c r="W36" i="22"/>
  <c r="CQ15" i="14"/>
  <c r="CQ12" i="14"/>
  <c r="W56" i="22"/>
  <c r="BB30" i="27"/>
  <c r="BC114" i="16"/>
  <c r="BB28" i="27"/>
  <c r="D110" i="29"/>
  <c r="BB110" i="27"/>
  <c r="BB38" i="16"/>
  <c r="W45" i="22"/>
  <c r="W125" i="22"/>
  <c r="W120" i="22"/>
  <c r="CQ14" i="14"/>
  <c r="W117" i="22"/>
  <c r="W42" i="22"/>
  <c r="W110" i="22"/>
  <c r="BB38" i="27"/>
  <c r="W34" i="22"/>
  <c r="BC117" i="16"/>
  <c r="W124" i="22"/>
  <c r="W61" i="22"/>
  <c r="Q138" i="26"/>
  <c r="Q153" i="26" s="1"/>
  <c r="S138" i="26"/>
  <c r="S153" i="26" s="1"/>
  <c r="U138" i="26"/>
  <c r="U153" i="26" s="1"/>
  <c r="W132" i="22"/>
  <c r="W138" i="26"/>
  <c r="W153" i="26" s="1"/>
  <c r="T138" i="26"/>
  <c r="T153" i="26" s="1"/>
  <c r="V138" i="26"/>
  <c r="V153" i="26" s="1"/>
  <c r="BB29" i="16"/>
  <c r="D29" i="29"/>
  <c r="BB28" i="16"/>
  <c r="D28" i="29"/>
  <c r="CF142" i="7"/>
  <c r="CQ42" i="15"/>
  <c r="BB42" i="27"/>
  <c r="CU41" i="15"/>
  <c r="CS42" i="15"/>
  <c r="CV36" i="15"/>
  <c r="CU35" i="15"/>
  <c r="CQ37" i="15"/>
  <c r="CV40" i="15"/>
  <c r="CR42" i="15"/>
  <c r="CS37" i="15"/>
  <c r="CT36" i="15"/>
  <c r="CS36" i="15"/>
  <c r="CQ35" i="15"/>
  <c r="CR36" i="15"/>
  <c r="CU36" i="15"/>
  <c r="CS39" i="15"/>
  <c r="CU37" i="15"/>
  <c r="BB42" i="16"/>
  <c r="BB39" i="16"/>
  <c r="CR37" i="15"/>
  <c r="CS38" i="15"/>
  <c r="CV37" i="15"/>
  <c r="CT42" i="15"/>
  <c r="CQ39" i="15"/>
  <c r="BB39" i="27"/>
  <c r="CS35" i="15"/>
  <c r="CR39" i="15"/>
  <c r="CR35" i="15"/>
  <c r="CT38" i="15"/>
  <c r="CU38" i="15"/>
  <c r="CU39" i="15"/>
  <c r="CV42" i="15"/>
  <c r="CR38" i="15"/>
  <c r="CV38" i="15"/>
  <c r="CU42" i="15"/>
  <c r="CT37" i="15"/>
  <c r="BB30" i="16"/>
  <c r="CQ31" i="15"/>
  <c r="CQ15" i="15"/>
  <c r="CQ11" i="15"/>
  <c r="BB11" i="27"/>
  <c r="BB8" i="16"/>
  <c r="CQ23" i="15"/>
  <c r="BE7" i="16"/>
  <c r="BE136" i="16" s="1"/>
  <c r="BE7" i="27"/>
  <c r="AI149" i="16"/>
  <c r="AK149" i="16" s="1"/>
  <c r="CE133" i="7"/>
  <c r="CT98" i="15"/>
  <c r="CV98" i="15"/>
  <c r="CR98" i="15"/>
  <c r="AL45" i="12" a="1"/>
  <c r="AL45" i="12" s="1"/>
  <c r="AM45" i="12"/>
  <c r="CF140" i="15"/>
  <c r="AS194" i="12"/>
  <c r="AL61" i="24"/>
  <c r="AM61" i="24"/>
  <c r="AK61" i="24"/>
  <c r="CD61" i="24" s="1"/>
  <c r="AT194" i="12"/>
  <c r="AT195" i="12"/>
  <c r="AS195" i="12"/>
  <c r="X61" i="24"/>
  <c r="AY61" i="24"/>
  <c r="AZ61" i="24"/>
  <c r="CP61" i="24" s="1"/>
  <c r="G46" i="22" s="1"/>
  <c r="BA61" i="24"/>
  <c r="CE60" i="24"/>
  <c r="CQ60" i="24" s="1"/>
  <c r="CG60" i="24"/>
  <c r="CS60" i="24" s="1"/>
  <c r="CF60" i="24"/>
  <c r="CR60" i="24" s="1"/>
  <c r="CH60" i="24"/>
  <c r="CT60" i="24" s="1"/>
  <c r="CK60" i="24"/>
  <c r="CW60" i="24" s="1"/>
  <c r="CI60" i="24"/>
  <c r="CU60" i="24" s="1"/>
  <c r="CJ60" i="24"/>
  <c r="CV60" i="24" s="1"/>
  <c r="CL60" i="24"/>
  <c r="CX60" i="24" s="1"/>
  <c r="BW19" i="15"/>
  <c r="CG19" i="15" s="1"/>
  <c r="BY15" i="15"/>
  <c r="CI15" i="15" s="1"/>
  <c r="BX19" i="15"/>
  <c r="CE161" i="7"/>
  <c r="CE160" i="7"/>
  <c r="CE159" i="7"/>
  <c r="CE158" i="7"/>
  <c r="CE157" i="7"/>
  <c r="CE156" i="7"/>
  <c r="CE155" i="7"/>
  <c r="CE154" i="7"/>
  <c r="CE153" i="7"/>
  <c r="BW27" i="15"/>
  <c r="CG27" i="15" s="1"/>
  <c r="BX11" i="15"/>
  <c r="BY97" i="15"/>
  <c r="CI97" i="15" s="1"/>
  <c r="BY52" i="15"/>
  <c r="BY13" i="15"/>
  <c r="BY101" i="15"/>
  <c r="CI101" i="15" s="1"/>
  <c r="BY71" i="15"/>
  <c r="CI71" i="15" s="1"/>
  <c r="BY21" i="15"/>
  <c r="CI21" i="15" s="1"/>
  <c r="BY9" i="15"/>
  <c r="CI9" i="15" s="1"/>
  <c r="BY20" i="15"/>
  <c r="BY12" i="15"/>
  <c r="CI12" i="15" s="1"/>
  <c r="BY25" i="15"/>
  <c r="BY68" i="15"/>
  <c r="CI68" i="15" s="1"/>
  <c r="BY24" i="15"/>
  <c r="CI24" i="15" s="1"/>
  <c r="BY8" i="15"/>
  <c r="BY22" i="15"/>
  <c r="CI22" i="15" s="1"/>
  <c r="BY30" i="15"/>
  <c r="BY72" i="15"/>
  <c r="CI72" i="15" s="1"/>
  <c r="BY28" i="15"/>
  <c r="CI28" i="15" s="1"/>
  <c r="BY29" i="15"/>
  <c r="BY69" i="15"/>
  <c r="CI69" i="15" s="1"/>
  <c r="BY17" i="15"/>
  <c r="CI17" i="15" s="1"/>
  <c r="BY10" i="15"/>
  <c r="BY16" i="15"/>
  <c r="CI16" i="15" s="1"/>
  <c r="BY32" i="15"/>
  <c r="BY33" i="15"/>
  <c r="BY26" i="15"/>
  <c r="CI26" i="15" s="1"/>
  <c r="BY18" i="15"/>
  <c r="BY99" i="15"/>
  <c r="CI99" i="15" s="1"/>
  <c r="BY67" i="15"/>
  <c r="CF157" i="7"/>
  <c r="CF160" i="7"/>
  <c r="CF159" i="7"/>
  <c r="CF158" i="7"/>
  <c r="CF153" i="7"/>
  <c r="CF154" i="7"/>
  <c r="CF156" i="7"/>
  <c r="CF161" i="7"/>
  <c r="CF155" i="7"/>
  <c r="BW15" i="15"/>
  <c r="CG15" i="15" s="1"/>
  <c r="BW70" i="15"/>
  <c r="CG70" i="15" s="1"/>
  <c r="BW51" i="15"/>
  <c r="BW23" i="15"/>
  <c r="CG23" i="15" s="1"/>
  <c r="BW14" i="15"/>
  <c r="CG14" i="15" s="1"/>
  <c r="BY11" i="15"/>
  <c r="CI11" i="15" s="1"/>
  <c r="BV25" i="15"/>
  <c r="CF25" i="15" s="1"/>
  <c r="BV32" i="15"/>
  <c r="CF32" i="15" s="1"/>
  <c r="BV17" i="15"/>
  <c r="CF17" i="15" s="1"/>
  <c r="BV26" i="15"/>
  <c r="CF26" i="15" s="1"/>
  <c r="BV72" i="15"/>
  <c r="CF72" i="15" s="1"/>
  <c r="BV18" i="15"/>
  <c r="CF18" i="15" s="1"/>
  <c r="BV33" i="15"/>
  <c r="CF33" i="15" s="1"/>
  <c r="BV69" i="15"/>
  <c r="CF69" i="15" s="1"/>
  <c r="BV99" i="15"/>
  <c r="CF99" i="15" s="1"/>
  <c r="BV22" i="15"/>
  <c r="CF22" i="15" s="1"/>
  <c r="BV30" i="15"/>
  <c r="CF30" i="15" s="1"/>
  <c r="CR30" i="15" s="1"/>
  <c r="BV20" i="15"/>
  <c r="CF20" i="15" s="1"/>
  <c r="BV24" i="15"/>
  <c r="CF24" i="15" s="1"/>
  <c r="BV97" i="15"/>
  <c r="CF97" i="15" s="1"/>
  <c r="BV12" i="15"/>
  <c r="CF12" i="15" s="1"/>
  <c r="BV8" i="15"/>
  <c r="CF8" i="15" s="1"/>
  <c r="BV67" i="15"/>
  <c r="BV10" i="15"/>
  <c r="CF10" i="15" s="1"/>
  <c r="BV71" i="15"/>
  <c r="CF71" i="15" s="1"/>
  <c r="BV16" i="15"/>
  <c r="CF16" i="15" s="1"/>
  <c r="BV21" i="15"/>
  <c r="CF21" i="15" s="1"/>
  <c r="BV28" i="15"/>
  <c r="CF28" i="15" s="1"/>
  <c r="BV29" i="15"/>
  <c r="CF29" i="15" s="1"/>
  <c r="BV52" i="15"/>
  <c r="CF52" i="15" s="1"/>
  <c r="BV68" i="15"/>
  <c r="CF68" i="15" s="1"/>
  <c r="BV9" i="15"/>
  <c r="CF9" i="15" s="1"/>
  <c r="BV15" i="15"/>
  <c r="CF15" i="15" s="1"/>
  <c r="BV70" i="15"/>
  <c r="CF70" i="15" s="1"/>
  <c r="BV51" i="15"/>
  <c r="CF51" i="15" s="1"/>
  <c r="BV23" i="15"/>
  <c r="CF23" i="15" s="1"/>
  <c r="BV14" i="15"/>
  <c r="CF14" i="15" s="1"/>
  <c r="BW11" i="15"/>
  <c r="CG11" i="15" s="1"/>
  <c r="BV31" i="15"/>
  <c r="CF31" i="15" s="1"/>
  <c r="BV11" i="15"/>
  <c r="CF11" i="15" s="1"/>
  <c r="BY19" i="15"/>
  <c r="CI19" i="15" s="1"/>
  <c r="CG51" i="15"/>
  <c r="BX101" i="15"/>
  <c r="CH101" i="15" s="1"/>
  <c r="BX71" i="15"/>
  <c r="CH71" i="15" s="1"/>
  <c r="BX16" i="15"/>
  <c r="BX32" i="15"/>
  <c r="CH32" i="15" s="1"/>
  <c r="BX10" i="15"/>
  <c r="CH10" i="15" s="1"/>
  <c r="BX52" i="15"/>
  <c r="BX68" i="15"/>
  <c r="CH68" i="15" s="1"/>
  <c r="BX72" i="15"/>
  <c r="CH72" i="15" s="1"/>
  <c r="BX13" i="15"/>
  <c r="CH13" i="15" s="1"/>
  <c r="BX20" i="15"/>
  <c r="CH20" i="15" s="1"/>
  <c r="BX12" i="15"/>
  <c r="BX67" i="15"/>
  <c r="BX69" i="15"/>
  <c r="CH69" i="15" s="1"/>
  <c r="BX25" i="15"/>
  <c r="BX9" i="15"/>
  <c r="CH9" i="15" s="1"/>
  <c r="BX30" i="15"/>
  <c r="CH30" i="15" s="1"/>
  <c r="BX21" i="15"/>
  <c r="CH21" i="15" s="1"/>
  <c r="BX28" i="15"/>
  <c r="CH28" i="15" s="1"/>
  <c r="BX29" i="15"/>
  <c r="BX99" i="15"/>
  <c r="CH99" i="15" s="1"/>
  <c r="BX17" i="15"/>
  <c r="CH17" i="15" s="1"/>
  <c r="BX22" i="15"/>
  <c r="BX33" i="15"/>
  <c r="CH33" i="15" s="1"/>
  <c r="BX26" i="15"/>
  <c r="CH26" i="15" s="1"/>
  <c r="BX24" i="15"/>
  <c r="CH24" i="15" s="1"/>
  <c r="BX97" i="15"/>
  <c r="CH97" i="15" s="1"/>
  <c r="BX8" i="15"/>
  <c r="CH8" i="15" s="1"/>
  <c r="BX18" i="15"/>
  <c r="CH18" i="15" s="1"/>
  <c r="CG158" i="7"/>
  <c r="CG153" i="7"/>
  <c r="CG161" i="7"/>
  <c r="CG157" i="7"/>
  <c r="CG160" i="7"/>
  <c r="CG156" i="7"/>
  <c r="CG154" i="7"/>
  <c r="CG159" i="7"/>
  <c r="CG155" i="7"/>
  <c r="BX15" i="15"/>
  <c r="CH15" i="15" s="1"/>
  <c r="BY70" i="15"/>
  <c r="CI70" i="15" s="1"/>
  <c r="BW31" i="15"/>
  <c r="CG31" i="15" s="1"/>
  <c r="CH51" i="15"/>
  <c r="BX23" i="15"/>
  <c r="CH23" i="15" s="1"/>
  <c r="BE23" i="31" s="1"/>
  <c r="CH158" i="7"/>
  <c r="CH154" i="7"/>
  <c r="CH160" i="7"/>
  <c r="CH156" i="7"/>
  <c r="CH159" i="7"/>
  <c r="CH155" i="7"/>
  <c r="CH153" i="7"/>
  <c r="CH161" i="7"/>
  <c r="CH157" i="7"/>
  <c r="BX27" i="15"/>
  <c r="CH27" i="15" s="1"/>
  <c r="BX70" i="15"/>
  <c r="CH70" i="15" s="1"/>
  <c r="BY51" i="15"/>
  <c r="BV19" i="15"/>
  <c r="CF19" i="15" s="1"/>
  <c r="BW10" i="15"/>
  <c r="CG10" i="15" s="1"/>
  <c r="BW71" i="15"/>
  <c r="CG71" i="15" s="1"/>
  <c r="BW16" i="15"/>
  <c r="CG16" i="15" s="1"/>
  <c r="BW21" i="15"/>
  <c r="CG21" i="15" s="1"/>
  <c r="BW28" i="15"/>
  <c r="CG28" i="15" s="1"/>
  <c r="BW29" i="15"/>
  <c r="CG29" i="15" s="1"/>
  <c r="CS29" i="15" s="1"/>
  <c r="BW52" i="15"/>
  <c r="CG52" i="15" s="1"/>
  <c r="BW68" i="15"/>
  <c r="CG68" i="15" s="1"/>
  <c r="BW9" i="15"/>
  <c r="CG9" i="15" s="1"/>
  <c r="BW22" i="15"/>
  <c r="CG22" i="15" s="1"/>
  <c r="BW30" i="15"/>
  <c r="CG30" i="15" s="1"/>
  <c r="BW17" i="15"/>
  <c r="CG17" i="15" s="1"/>
  <c r="BW26" i="15"/>
  <c r="CG26" i="15" s="1"/>
  <c r="BW72" i="15"/>
  <c r="CG72" i="15" s="1"/>
  <c r="BW18" i="15"/>
  <c r="CG18" i="15" s="1"/>
  <c r="BW33" i="15"/>
  <c r="CG33" i="15" s="1"/>
  <c r="BW69" i="15"/>
  <c r="CG69" i="15" s="1"/>
  <c r="BW99" i="15"/>
  <c r="CG99" i="15" s="1"/>
  <c r="BW20" i="15"/>
  <c r="CG20" i="15" s="1"/>
  <c r="BW24" i="15"/>
  <c r="CG24" i="15" s="1"/>
  <c r="BW97" i="15"/>
  <c r="CG97" i="15" s="1"/>
  <c r="BW12" i="15"/>
  <c r="CG12" i="15" s="1"/>
  <c r="BW8" i="15"/>
  <c r="CG8" i="15" s="1"/>
  <c r="BW67" i="15"/>
  <c r="BW25" i="15"/>
  <c r="CG25" i="15" s="1"/>
  <c r="BW32" i="15"/>
  <c r="CG32" i="15" s="1"/>
  <c r="BY27" i="15"/>
  <c r="CI27" i="15" s="1"/>
  <c r="BX31" i="15"/>
  <c r="CH31" i="15" s="1"/>
  <c r="G31" i="29" s="1"/>
  <c r="BY23" i="15"/>
  <c r="CI23" i="15" s="1"/>
  <c r="BY14" i="15"/>
  <c r="CI14" i="15" s="1"/>
  <c r="BV27" i="15"/>
  <c r="CF27" i="15" s="1"/>
  <c r="BY31" i="15"/>
  <c r="CI31" i="15" s="1"/>
  <c r="BX14" i="15"/>
  <c r="CH14" i="15" s="1"/>
  <c r="BE136" i="12"/>
  <c r="BE181" i="12" s="1"/>
  <c r="Q7" i="32" s="1"/>
  <c r="AT81" i="16"/>
  <c r="CV29" i="14"/>
  <c r="CS31" i="14"/>
  <c r="CR31" i="14"/>
  <c r="CR138" i="14" s="1"/>
  <c r="CT31" i="14"/>
  <c r="CV31" i="14"/>
  <c r="CU31" i="14"/>
  <c r="CQ31" i="14"/>
  <c r="BK8" i="14"/>
  <c r="BR8" i="14"/>
  <c r="BK9" i="14"/>
  <c r="BR9" i="14"/>
  <c r="CS7" i="15"/>
  <c r="BK62" i="15"/>
  <c r="BR62" i="15"/>
  <c r="CJ62" i="15" s="1"/>
  <c r="CV62" i="15" s="1"/>
  <c r="CI52" i="15"/>
  <c r="CI51" i="15"/>
  <c r="CH52" i="15"/>
  <c r="BK37" i="15"/>
  <c r="BS37" i="15" s="1"/>
  <c r="CK37" i="15" s="1"/>
  <c r="BK22" i="15"/>
  <c r="BR22" i="15"/>
  <c r="BK39" i="15"/>
  <c r="BR39" i="15"/>
  <c r="CJ39" i="15" s="1"/>
  <c r="BR41" i="15"/>
  <c r="CJ41" i="15" s="1"/>
  <c r="BK41" i="15"/>
  <c r="BS40" i="15"/>
  <c r="CK40" i="15" s="1"/>
  <c r="BL40" i="15"/>
  <c r="CH11" i="15"/>
  <c r="CH25" i="15"/>
  <c r="CH12" i="15"/>
  <c r="CH29" i="15"/>
  <c r="CH16" i="15"/>
  <c r="CH19" i="15"/>
  <c r="CH22" i="15"/>
  <c r="CI18" i="15"/>
  <c r="CI10" i="15"/>
  <c r="CI29" i="15"/>
  <c r="CI13" i="15"/>
  <c r="CI33" i="15"/>
  <c r="CI8" i="15"/>
  <c r="CI30" i="15"/>
  <c r="CI20" i="15"/>
  <c r="CI25" i="15"/>
  <c r="CI32" i="15"/>
  <c r="BK87" i="15"/>
  <c r="BR87" i="15"/>
  <c r="CJ87" i="15" s="1"/>
  <c r="CV87" i="15" s="1"/>
  <c r="AK7" i="16"/>
  <c r="BE37" i="12"/>
  <c r="BE20" i="12"/>
  <c r="BB17" i="12"/>
  <c r="BE12" i="12"/>
  <c r="CX32" i="14"/>
  <c r="W32" i="22"/>
  <c r="CX28" i="14"/>
  <c r="W28" i="22"/>
  <c r="CF146" i="3"/>
  <c r="CX11" i="14"/>
  <c r="W11" i="22"/>
  <c r="CX9" i="14"/>
  <c r="W9" i="22"/>
  <c r="CX19" i="14"/>
  <c r="W19" i="22"/>
  <c r="CX17" i="14"/>
  <c r="W17" i="22"/>
  <c r="CX13" i="14"/>
  <c r="W13" i="22"/>
  <c r="CX33" i="14"/>
  <c r="W33" i="22"/>
  <c r="CX21" i="14"/>
  <c r="W21" i="22"/>
  <c r="CX16" i="14"/>
  <c r="W16" i="22"/>
  <c r="CX24" i="14"/>
  <c r="W24" i="22"/>
  <c r="CX58" i="15"/>
  <c r="AB58" i="22"/>
  <c r="CX125" i="15"/>
  <c r="AB125" i="22"/>
  <c r="CX105" i="15"/>
  <c r="AB105" i="22"/>
  <c r="CX85" i="15"/>
  <c r="AB85" i="22"/>
  <c r="CX92" i="15"/>
  <c r="AB92" i="22"/>
  <c r="CX50" i="15"/>
  <c r="AB50" i="22"/>
  <c r="CX55" i="15"/>
  <c r="AB55" i="22"/>
  <c r="CX45" i="15"/>
  <c r="AB45" i="22"/>
  <c r="CX93" i="15"/>
  <c r="AB93" i="22"/>
  <c r="CX128" i="15"/>
  <c r="AB128" i="22"/>
  <c r="CX103" i="15"/>
  <c r="AB103" i="22"/>
  <c r="CX124" i="15"/>
  <c r="AB124" i="22"/>
  <c r="CX91" i="15"/>
  <c r="AB91" i="22"/>
  <c r="CX132" i="15"/>
  <c r="AB132" i="22"/>
  <c r="CX78" i="15"/>
  <c r="AB78" i="22"/>
  <c r="CX79" i="15"/>
  <c r="AB79" i="22"/>
  <c r="CX94" i="15"/>
  <c r="AB94" i="22"/>
  <c r="CX118" i="15"/>
  <c r="AB118" i="22"/>
  <c r="CX117" i="15"/>
  <c r="AB117" i="22"/>
  <c r="H7" i="22"/>
  <c r="CX121" i="15"/>
  <c r="AB121" i="22"/>
  <c r="CX100" i="15"/>
  <c r="AB100" i="22"/>
  <c r="CX126" i="15"/>
  <c r="AB126" i="22"/>
  <c r="CX65" i="15"/>
  <c r="AB65" i="22"/>
  <c r="CX129" i="15"/>
  <c r="AB129" i="22"/>
  <c r="CX106" i="15"/>
  <c r="AB106" i="22"/>
  <c r="CX109" i="15"/>
  <c r="AB109" i="22"/>
  <c r="CT29" i="14"/>
  <c r="P12" i="22"/>
  <c r="CP12" i="3"/>
  <c r="Q12" i="22" s="1"/>
  <c r="P29" i="22"/>
  <c r="CP29" i="3"/>
  <c r="Q29" i="22" s="1"/>
  <c r="P8" i="22"/>
  <c r="CP8" i="3"/>
  <c r="Q8" i="22" s="1"/>
  <c r="P11" i="22"/>
  <c r="CP11" i="3"/>
  <c r="Q11" i="22" s="1"/>
  <c r="P28" i="22"/>
  <c r="CP28" i="3"/>
  <c r="Q28" i="22" s="1"/>
  <c r="P27" i="22"/>
  <c r="CP27" i="3"/>
  <c r="Q27" i="22" s="1"/>
  <c r="G10" i="22"/>
  <c r="CO10" i="3"/>
  <c r="V29" i="22"/>
  <c r="CU29" i="14"/>
  <c r="P9" i="22"/>
  <c r="CP9" i="3"/>
  <c r="Q9" i="22" s="1"/>
  <c r="CQ29" i="14"/>
  <c r="CS29" i="14"/>
  <c r="P30" i="22"/>
  <c r="CP30" i="3"/>
  <c r="Q30" i="22" s="1"/>
  <c r="CF144" i="3"/>
  <c r="BE21" i="12"/>
  <c r="BE21" i="31" s="1"/>
  <c r="CE137" i="3"/>
  <c r="CE137" i="15"/>
  <c r="CF142" i="3"/>
  <c r="CG139" i="15"/>
  <c r="BK77" i="15"/>
  <c r="BR77" i="15"/>
  <c r="CJ77" i="15" s="1"/>
  <c r="CV77" i="15" s="1"/>
  <c r="CJ146" i="15"/>
  <c r="BK59" i="15"/>
  <c r="BR59" i="15"/>
  <c r="CJ59" i="15" s="1"/>
  <c r="CV59" i="15" s="1"/>
  <c r="CJ35" i="15"/>
  <c r="BK35" i="15"/>
  <c r="BS35" i="15" s="1"/>
  <c r="BR72" i="14"/>
  <c r="BK72" i="14"/>
  <c r="BK56" i="14"/>
  <c r="BR56" i="14"/>
  <c r="CE140" i="3"/>
  <c r="CF138" i="3"/>
  <c r="CE138" i="3"/>
  <c r="CF143" i="3"/>
  <c r="BH27" i="12"/>
  <c r="BB13" i="12"/>
  <c r="BB13" i="31" s="1"/>
  <c r="BB35" i="12"/>
  <c r="BB35" i="31" s="1"/>
  <c r="CU110" i="15"/>
  <c r="CI144" i="15"/>
  <c r="CG145" i="15"/>
  <c r="CI146" i="15"/>
  <c r="CE141" i="15"/>
  <c r="CR110" i="15"/>
  <c r="CR144" i="15" s="1"/>
  <c r="CF144" i="15"/>
  <c r="CS43" i="15"/>
  <c r="CG140" i="15"/>
  <c r="BK47" i="15"/>
  <c r="BR47" i="15"/>
  <c r="CJ47" i="15" s="1"/>
  <c r="CV47" i="15" s="1"/>
  <c r="BK128" i="15"/>
  <c r="BR128" i="15"/>
  <c r="BL124" i="15"/>
  <c r="BT124" i="15" s="1"/>
  <c r="BS124" i="15"/>
  <c r="BK73" i="15"/>
  <c r="BR73" i="15"/>
  <c r="CJ73" i="15" s="1"/>
  <c r="CV73" i="15" s="1"/>
  <c r="CQ43" i="15"/>
  <c r="CE140" i="15"/>
  <c r="CF146" i="15"/>
  <c r="CI140" i="15"/>
  <c r="CI145" i="15"/>
  <c r="BR61" i="15"/>
  <c r="CJ61" i="15" s="1"/>
  <c r="CV61" i="15" s="1"/>
  <c r="BK61" i="15"/>
  <c r="CH145" i="15"/>
  <c r="AK110" i="16"/>
  <c r="CH140" i="15"/>
  <c r="BK107" i="15"/>
  <c r="BR107" i="15"/>
  <c r="CJ107" i="15" s="1"/>
  <c r="CV107" i="15" s="1"/>
  <c r="BK30" i="15"/>
  <c r="BR30" i="15"/>
  <c r="BR121" i="15"/>
  <c r="BK121" i="15"/>
  <c r="CV119" i="15"/>
  <c r="CQ96" i="15"/>
  <c r="CQ143" i="15" s="1"/>
  <c r="CE143" i="15"/>
  <c r="CG146" i="15"/>
  <c r="CE139" i="15"/>
  <c r="CS110" i="15"/>
  <c r="CS144" i="15" s="1"/>
  <c r="CG144" i="15"/>
  <c r="CQ119" i="15"/>
  <c r="CE145" i="15"/>
  <c r="AY8" i="16"/>
  <c r="CH146" i="15"/>
  <c r="BR123" i="15"/>
  <c r="CJ123" i="15" s="1"/>
  <c r="CV123" i="15" s="1"/>
  <c r="BK123" i="15"/>
  <c r="BK131" i="15"/>
  <c r="BR131" i="15"/>
  <c r="BR125" i="15"/>
  <c r="BK125" i="15"/>
  <c r="CI139" i="15"/>
  <c r="CF139" i="15"/>
  <c r="CQ67" i="15"/>
  <c r="CQ142" i="15" s="1"/>
  <c r="CE142" i="15"/>
  <c r="BR15" i="15"/>
  <c r="BK15" i="15"/>
  <c r="BR101" i="15"/>
  <c r="BK101" i="15"/>
  <c r="BK97" i="15"/>
  <c r="BR97" i="15"/>
  <c r="BR51" i="15"/>
  <c r="BK51" i="15"/>
  <c r="CE138" i="15"/>
  <c r="BR129" i="15"/>
  <c r="BK129" i="15"/>
  <c r="CE146" i="15"/>
  <c r="CF145" i="15"/>
  <c r="CH139" i="15"/>
  <c r="CT110" i="15"/>
  <c r="CT144" i="15" s="1"/>
  <c r="CH144" i="15"/>
  <c r="AK119" i="16"/>
  <c r="BK76" i="15"/>
  <c r="BR76" i="15"/>
  <c r="CJ76" i="15" s="1"/>
  <c r="CV76" i="15" s="1"/>
  <c r="BK80" i="15"/>
  <c r="BR80" i="15"/>
  <c r="CJ80" i="15" s="1"/>
  <c r="CV80" i="15" s="1"/>
  <c r="CE144" i="15"/>
  <c r="BR23" i="15"/>
  <c r="BK23" i="15"/>
  <c r="BL31" i="15"/>
  <c r="BT31" i="15" s="1"/>
  <c r="BS31" i="15"/>
  <c r="BK52" i="14"/>
  <c r="BR52" i="14"/>
  <c r="CJ52" i="14" s="1"/>
  <c r="CV52" i="14" s="1"/>
  <c r="BR102" i="14"/>
  <c r="BK102" i="14"/>
  <c r="BR76" i="14"/>
  <c r="CJ76" i="14" s="1"/>
  <c r="CV76" i="14" s="1"/>
  <c r="BK76" i="14"/>
  <c r="BR113" i="14"/>
  <c r="BK113" i="14"/>
  <c r="BR49" i="14"/>
  <c r="BK49" i="14"/>
  <c r="BR44" i="14"/>
  <c r="BK44" i="14"/>
  <c r="BR88" i="14"/>
  <c r="BK88" i="14"/>
  <c r="BL125" i="14"/>
  <c r="BT125" i="14" s="1"/>
  <c r="BS125" i="14"/>
  <c r="BK98" i="14"/>
  <c r="BR98" i="14"/>
  <c r="BS57" i="14"/>
  <c r="BL57" i="14"/>
  <c r="BT57" i="14" s="1"/>
  <c r="BK68" i="14"/>
  <c r="BR68" i="14"/>
  <c r="BS48" i="14"/>
  <c r="BL48" i="14"/>
  <c r="BT48" i="14" s="1"/>
  <c r="BS54" i="14"/>
  <c r="BL54" i="14"/>
  <c r="BT54" i="14" s="1"/>
  <c r="BK117" i="14"/>
  <c r="BR117" i="14"/>
  <c r="CF141" i="3"/>
  <c r="CE139" i="3"/>
  <c r="CF139" i="3"/>
  <c r="CG138" i="3"/>
  <c r="CF137" i="3"/>
  <c r="CF140" i="3"/>
  <c r="AK8" i="16"/>
  <c r="AS8" i="16"/>
  <c r="AK96" i="16"/>
  <c r="BD22" i="12"/>
  <c r="BD22" i="31" s="1"/>
  <c r="BE27" i="12"/>
  <c r="BB9" i="12"/>
  <c r="BB34" i="12"/>
  <c r="BE19" i="12"/>
  <c r="BE24" i="12"/>
  <c r="BE24" i="31" s="1"/>
  <c r="AE141" i="16"/>
  <c r="BB40" i="12"/>
  <c r="BB40" i="27" s="1"/>
  <c r="AK127" i="16"/>
  <c r="AE146" i="16"/>
  <c r="AF142" i="16"/>
  <c r="AE139" i="16"/>
  <c r="AE138" i="16"/>
  <c r="AS94" i="16"/>
  <c r="AE143" i="16"/>
  <c r="AF137" i="16"/>
  <c r="AF140" i="16"/>
  <c r="AF144" i="16"/>
  <c r="AK27" i="16"/>
  <c r="AK34" i="16"/>
  <c r="AT51" i="16"/>
  <c r="AF141" i="16"/>
  <c r="AK43" i="16"/>
  <c r="AE140" i="16"/>
  <c r="AE137" i="16"/>
  <c r="AK67" i="16"/>
  <c r="AE142" i="16"/>
  <c r="AE145" i="16"/>
  <c r="AS110" i="16"/>
  <c r="AE144" i="16"/>
  <c r="AT63" i="16"/>
  <c r="AZ51" i="16"/>
  <c r="BB33" i="12"/>
  <c r="BB33" i="31" s="1"/>
  <c r="BE14" i="12"/>
  <c r="BE14" i="31" s="1"/>
  <c r="BB15" i="12"/>
  <c r="BE45" i="12"/>
  <c r="BE18" i="12"/>
  <c r="BB32" i="12"/>
  <c r="BB32" i="31" s="1"/>
  <c r="BE44" i="12"/>
  <c r="AK47" i="16"/>
  <c r="AZ81" i="16"/>
  <c r="CF133" i="7"/>
  <c r="CU98" i="15"/>
  <c r="CQ124" i="15"/>
  <c r="CU128" i="15"/>
  <c r="CU76" i="15"/>
  <c r="CV104" i="14"/>
  <c r="CR118" i="14"/>
  <c r="CR109" i="14"/>
  <c r="CU120" i="14"/>
  <c r="CT90" i="14"/>
  <c r="CS39" i="14"/>
  <c r="CT81" i="14"/>
  <c r="CQ44" i="14"/>
  <c r="CS111" i="14"/>
  <c r="CS72" i="14"/>
  <c r="CQ72" i="14"/>
  <c r="CS94" i="14"/>
  <c r="CV68" i="14"/>
  <c r="CQ91" i="14"/>
  <c r="CU49" i="14"/>
  <c r="CU91" i="14"/>
  <c r="CS90" i="14"/>
  <c r="CU50" i="14"/>
  <c r="CW87" i="14"/>
  <c r="CW97" i="14"/>
  <c r="CR117" i="14"/>
  <c r="CS120" i="14"/>
  <c r="CR37" i="14"/>
  <c r="CS45" i="14"/>
  <c r="CV57" i="14"/>
  <c r="CQ73" i="14"/>
  <c r="CU87" i="14"/>
  <c r="CS109" i="14"/>
  <c r="CV59" i="14"/>
  <c r="CS49" i="14"/>
  <c r="CR85" i="14"/>
  <c r="CX90" i="14"/>
  <c r="CU82" i="14"/>
  <c r="CR104" i="14"/>
  <c r="CV132" i="14"/>
  <c r="CU131" i="14"/>
  <c r="CQ116" i="14"/>
  <c r="CT36" i="14"/>
  <c r="CT54" i="14"/>
  <c r="CV65" i="14"/>
  <c r="CS89" i="14"/>
  <c r="CS97" i="14"/>
  <c r="CV103" i="14"/>
  <c r="CR121" i="14"/>
  <c r="CQ118" i="14"/>
  <c r="CW60" i="14"/>
  <c r="CS34" i="14"/>
  <c r="CU104" i="14"/>
  <c r="CT104" i="14"/>
  <c r="CQ68" i="14"/>
  <c r="CQ87" i="14"/>
  <c r="CR68" i="14"/>
  <c r="CR72" i="14"/>
  <c r="CS130" i="14"/>
  <c r="CT132" i="14"/>
  <c r="CQ62" i="14"/>
  <c r="CQ66" i="14"/>
  <c r="CS91" i="14"/>
  <c r="CQ54" i="14"/>
  <c r="CV113" i="14"/>
  <c r="CU93" i="14"/>
  <c r="CT48" i="14"/>
  <c r="CU67" i="14"/>
  <c r="CQ126" i="14"/>
  <c r="CU77" i="14"/>
  <c r="CV48" i="14"/>
  <c r="CU63" i="14"/>
  <c r="CT111" i="14"/>
  <c r="CT46" i="14"/>
  <c r="CW125" i="14"/>
  <c r="CQ110" i="14"/>
  <c r="CU57" i="14"/>
  <c r="CW70" i="14"/>
  <c r="CT77" i="14"/>
  <c r="CT95" i="14"/>
  <c r="CQ117" i="14"/>
  <c r="CX47" i="14"/>
  <c r="CX87" i="14"/>
  <c r="CX97" i="14"/>
  <c r="CU111" i="14"/>
  <c r="CX74" i="14"/>
  <c r="CV107" i="14"/>
  <c r="CV123" i="14"/>
  <c r="CS48" i="14"/>
  <c r="CV64" i="14"/>
  <c r="CR71" i="14"/>
  <c r="CR125" i="14"/>
  <c r="CR105" i="14"/>
  <c r="CS62" i="14"/>
  <c r="CV53" i="14"/>
  <c r="CW90" i="14"/>
  <c r="CQ90" i="14"/>
  <c r="CT117" i="14"/>
  <c r="CR122" i="14"/>
  <c r="CS46" i="14"/>
  <c r="CU42" i="14"/>
  <c r="CV58" i="14"/>
  <c r="CV66" i="14"/>
  <c r="CW83" i="14"/>
  <c r="CQ88" i="14"/>
  <c r="CR130" i="14"/>
  <c r="CR132" i="14"/>
  <c r="CX60" i="14"/>
  <c r="CV121" i="14"/>
  <c r="CU121" i="14"/>
  <c r="CV77" i="14"/>
  <c r="CT62" i="14"/>
  <c r="CS122" i="14"/>
  <c r="CQ85" i="14"/>
  <c r="CX57" i="14"/>
  <c r="CV87" i="14"/>
  <c r="CS87" i="14"/>
  <c r="CR111" i="14"/>
  <c r="CT118" i="14"/>
  <c r="CS132" i="14"/>
  <c r="CT69" i="14"/>
  <c r="CT66" i="14"/>
  <c r="CT78" i="14"/>
  <c r="CS86" i="14"/>
  <c r="CR126" i="14"/>
  <c r="CQ113" i="14"/>
  <c r="CW113" i="14"/>
  <c r="CU103" i="14"/>
  <c r="CS57" i="14"/>
  <c r="CU95" i="14"/>
  <c r="CV105" i="14"/>
  <c r="CQ39" i="14"/>
  <c r="CR89" i="14"/>
  <c r="CQ115" i="14"/>
  <c r="CR97" i="14"/>
  <c r="CV56" i="14"/>
  <c r="CS37" i="14"/>
  <c r="CU34" i="14"/>
  <c r="CU108" i="14"/>
  <c r="CX45" i="14"/>
  <c r="CX55" i="14"/>
  <c r="CX70" i="14"/>
  <c r="CT73" i="14"/>
  <c r="CV117" i="14"/>
  <c r="CT126" i="14"/>
  <c r="CW36" i="14"/>
  <c r="CW47" i="14"/>
  <c r="CV69" i="14"/>
  <c r="CR78" i="14"/>
  <c r="CQ82" i="14"/>
  <c r="CR114" i="14"/>
  <c r="CU46" i="14"/>
  <c r="CW74" i="14"/>
  <c r="CX94" i="14"/>
  <c r="CX77" i="14"/>
  <c r="CR57" i="14"/>
  <c r="CQ63" i="14"/>
  <c r="CR90" i="14"/>
  <c r="CV106" i="14"/>
  <c r="CU88" i="14"/>
  <c r="CQ64" i="14"/>
  <c r="CR75" i="14"/>
  <c r="CV114" i="14"/>
  <c r="CQ40" i="14"/>
  <c r="CT53" i="14"/>
  <c r="CV90" i="14"/>
  <c r="CX83" i="14"/>
  <c r="CT101" i="14"/>
  <c r="CQ129" i="14"/>
  <c r="CT129" i="14"/>
  <c r="CR36" i="14"/>
  <c r="CW75" i="14"/>
  <c r="CR54" i="14"/>
  <c r="CU62" i="14"/>
  <c r="CT57" i="14"/>
  <c r="CS54" i="14"/>
  <c r="CS115" i="14"/>
  <c r="CT93" i="14"/>
  <c r="CV42" i="14"/>
  <c r="CV93" i="14"/>
  <c r="CQ119" i="14"/>
  <c r="CS129" i="14"/>
  <c r="CT123" i="14"/>
  <c r="CU36" i="14"/>
  <c r="CS92" i="14"/>
  <c r="CU96" i="14"/>
  <c r="CQ42" i="14"/>
  <c r="CQ48" i="14"/>
  <c r="CS126" i="14"/>
  <c r="CW120" i="14"/>
  <c r="CW56" i="14"/>
  <c r="CV92" i="14"/>
  <c r="CT68" i="14"/>
  <c r="CS95" i="14"/>
  <c r="CR128" i="14"/>
  <c r="CT45" i="14"/>
  <c r="CQ97" i="14"/>
  <c r="CV118" i="14"/>
  <c r="CS110" i="14"/>
  <c r="CW45" i="14"/>
  <c r="CW55" i="14"/>
  <c r="CT63" i="14"/>
  <c r="CQ101" i="14"/>
  <c r="CT125" i="14"/>
  <c r="CX36" i="14"/>
  <c r="CW53" i="14"/>
  <c r="CS78" i="14"/>
  <c r="CS118" i="14"/>
  <c r="CW64" i="14"/>
  <c r="CV100" i="14"/>
  <c r="CV120" i="14"/>
  <c r="CW77" i="14"/>
  <c r="CS38" i="14"/>
  <c r="CT49" i="14"/>
  <c r="CS63" i="14"/>
  <c r="CV81" i="14"/>
  <c r="CQ71" i="14"/>
  <c r="CR120" i="14"/>
  <c r="CV78" i="14"/>
  <c r="CV73" i="14"/>
  <c r="CR73" i="14"/>
  <c r="CS75" i="14"/>
  <c r="CU101" i="14"/>
  <c r="CW117" i="14"/>
  <c r="CS121" i="14"/>
  <c r="CV126" i="14"/>
  <c r="CS44" i="14"/>
  <c r="CT72" i="14"/>
  <c r="CV71" i="14"/>
  <c r="CV94" i="14"/>
  <c r="CS114" i="14"/>
  <c r="CQ123" i="14"/>
  <c r="CU126" i="14"/>
  <c r="CR44" i="14"/>
  <c r="CS36" i="14"/>
  <c r="CX75" i="14"/>
  <c r="CW108" i="14"/>
  <c r="CX54" i="14"/>
  <c r="CQ50" i="14"/>
  <c r="CU85" i="14"/>
  <c r="CR123" i="14"/>
  <c r="CX49" i="14"/>
  <c r="CS117" i="14"/>
  <c r="CT38" i="14"/>
  <c r="CR93" i="14"/>
  <c r="CR66" i="14"/>
  <c r="CU110" i="14"/>
  <c r="CS125" i="14"/>
  <c r="CR64" i="14"/>
  <c r="CR56" i="14"/>
  <c r="CR48" i="14"/>
  <c r="CU130" i="14"/>
  <c r="CW49" i="14"/>
  <c r="CQ45" i="14"/>
  <c r="CS56" i="14"/>
  <c r="CV35" i="14"/>
  <c r="CQ125" i="14"/>
  <c r="CV38" i="14"/>
  <c r="CS40" i="14"/>
  <c r="CS81" i="14"/>
  <c r="CQ94" i="14"/>
  <c r="CR86" i="14"/>
  <c r="CU115" i="14"/>
  <c r="CQ105" i="14"/>
  <c r="CR40" i="14"/>
  <c r="CW57" i="14"/>
  <c r="CW80" i="14"/>
  <c r="CS88" i="14"/>
  <c r="CV109" i="14"/>
  <c r="CX125" i="14"/>
  <c r="CW93" i="14"/>
  <c r="CV41" i="14"/>
  <c r="CU45" i="14"/>
  <c r="CQ104" i="14"/>
  <c r="CW132" i="14"/>
  <c r="CV130" i="14"/>
  <c r="CR94" i="14"/>
  <c r="CX108" i="14"/>
  <c r="CS64" i="14"/>
  <c r="CU127" i="14"/>
  <c r="CR92" i="14"/>
  <c r="CR38" i="14"/>
  <c r="CV44" i="14"/>
  <c r="CU71" i="14"/>
  <c r="CQ108" i="14"/>
  <c r="CS42" i="14"/>
  <c r="CT85" i="14"/>
  <c r="CW54" i="14"/>
  <c r="CU66" i="14"/>
  <c r="CU132" i="14"/>
  <c r="CS93" i="14"/>
  <c r="CS68" i="14"/>
  <c r="CS71" i="14"/>
  <c r="CT67" i="14"/>
  <c r="CW48" i="14"/>
  <c r="CT91" i="14"/>
  <c r="CU92" i="14"/>
  <c r="CW68" i="14"/>
  <c r="CV46" i="14"/>
  <c r="CV125" i="14"/>
  <c r="CW124" i="14"/>
  <c r="CU78" i="14"/>
  <c r="CR116" i="14"/>
  <c r="CU123" i="14"/>
  <c r="CS50" i="14"/>
  <c r="CS77" i="14"/>
  <c r="CU122" i="14"/>
  <c r="CU105" i="14"/>
  <c r="CQ56" i="14"/>
  <c r="CV97" i="14"/>
  <c r="CV40" i="14"/>
  <c r="CV63" i="14"/>
  <c r="CV82" i="14"/>
  <c r="CV88" i="14"/>
  <c r="CX124" i="14"/>
  <c r="CU40" i="14"/>
  <c r="CR49" i="14"/>
  <c r="CX61" i="14"/>
  <c r="CR63" i="14"/>
  <c r="CX80" i="14"/>
  <c r="CT82" i="14"/>
  <c r="CV99" i="14"/>
  <c r="CQ122" i="14"/>
  <c r="CX93" i="14"/>
  <c r="CT42" i="14"/>
  <c r="CW42" i="14"/>
  <c r="CS53" i="14"/>
  <c r="CQ81" i="14"/>
  <c r="CT103" i="14"/>
  <c r="CX132" i="14"/>
  <c r="CV72" i="14"/>
  <c r="CV127" i="14"/>
  <c r="CT88" i="14"/>
  <c r="CU38" i="14"/>
  <c r="CX68" i="14"/>
  <c r="CQ120" i="14"/>
  <c r="CS96" i="14"/>
  <c r="CS108" i="14"/>
  <c r="CU69" i="14"/>
  <c r="CU113" i="14"/>
  <c r="CS82" i="14"/>
  <c r="CU86" i="14"/>
  <c r="CT50" i="14"/>
  <c r="CS113" i="14"/>
  <c r="CR108" i="14"/>
  <c r="CQ53" i="14"/>
  <c r="CS104" i="14"/>
  <c r="CV95" i="14"/>
  <c r="CS101" i="14"/>
  <c r="CV37" i="14"/>
  <c r="CR39" i="14"/>
  <c r="CV86" i="14"/>
  <c r="CX64" i="14"/>
  <c r="CX117" i="14"/>
  <c r="CX53" i="14"/>
  <c r="CV62" i="14"/>
  <c r="CR82" i="14"/>
  <c r="CR103" i="14"/>
  <c r="CV111" i="14"/>
  <c r="CV122" i="14"/>
  <c r="CU39" i="14"/>
  <c r="CQ46" i="14"/>
  <c r="CR77" i="14"/>
  <c r="CX120" i="14"/>
  <c r="CS116" i="14"/>
  <c r="CQ69" i="14"/>
  <c r="CT105" i="14"/>
  <c r="CX48" i="14"/>
  <c r="CW94" i="14"/>
  <c r="CR113" i="14"/>
  <c r="CT121" i="14"/>
  <c r="CR45" i="14"/>
  <c r="CW61" i="14"/>
  <c r="CR95" i="14"/>
  <c r="CU81" i="14"/>
  <c r="CU97" i="14"/>
  <c r="CQ114" i="14"/>
  <c r="CS128" i="14"/>
  <c r="CV91" i="14"/>
  <c r="CX42" i="14"/>
  <c r="CV49" i="14"/>
  <c r="CU64" i="14"/>
  <c r="CS103" i="14"/>
  <c r="CU114" i="14"/>
  <c r="CV129" i="14"/>
  <c r="CU73" i="14"/>
  <c r="CT44" i="14"/>
  <c r="CR53" i="14"/>
  <c r="CV85" i="14"/>
  <c r="CU116" i="14"/>
  <c r="CR87" i="14"/>
  <c r="CU37" i="14"/>
  <c r="CQ86" i="14"/>
  <c r="CQ38" i="14"/>
  <c r="CV36" i="14"/>
  <c r="CQ130" i="14"/>
  <c r="CX56" i="14"/>
  <c r="CT115" i="14"/>
  <c r="CS66" i="14"/>
  <c r="CR69" i="14"/>
  <c r="CU129" i="14"/>
  <c r="CT108" i="14"/>
  <c r="CT37" i="14"/>
  <c r="CQ78" i="14"/>
  <c r="CU56" i="14"/>
  <c r="CT94" i="14"/>
  <c r="CS119" i="14"/>
  <c r="CT113" i="14"/>
  <c r="CT92" i="14"/>
  <c r="CQ52" i="15"/>
  <c r="CS21" i="15"/>
  <c r="CR22" i="15"/>
  <c r="CS13" i="15"/>
  <c r="CS19" i="15"/>
  <c r="CQ18" i="15"/>
  <c r="CS11" i="15"/>
  <c r="CQ19" i="15"/>
  <c r="CQ21" i="15"/>
  <c r="CQ10" i="15"/>
  <c r="CS26" i="15"/>
  <c r="CR27" i="15"/>
  <c r="CQ20" i="15"/>
  <c r="CQ22" i="15"/>
  <c r="CQ12" i="15"/>
  <c r="CQ29" i="15"/>
  <c r="CQ14" i="15"/>
  <c r="CR13" i="15"/>
  <c r="CQ13" i="15"/>
  <c r="CQ30" i="15"/>
  <c r="AT9" i="16"/>
  <c r="AZ63" i="16"/>
  <c r="AT17" i="16"/>
  <c r="AZ17" i="16"/>
  <c r="AT47" i="16"/>
  <c r="AZ59" i="16"/>
  <c r="AK51" i="16"/>
  <c r="AK59" i="16"/>
  <c r="R63" i="17"/>
  <c r="AA62" i="17"/>
  <c r="Z62" i="17"/>
  <c r="AE62" i="17"/>
  <c r="AD62" i="17"/>
  <c r="AC62" i="17"/>
  <c r="AB62" i="17"/>
  <c r="X62" i="17"/>
  <c r="X62" i="14" s="1"/>
  <c r="W62" i="17"/>
  <c r="X62" i="19" s="1"/>
  <c r="V62" i="17"/>
  <c r="X62" i="3" s="1"/>
  <c r="U62" i="17"/>
  <c r="X62" i="7" s="1"/>
  <c r="T62" i="17"/>
  <c r="S62" i="17"/>
  <c r="X62" i="15" s="1"/>
  <c r="AK9" i="16"/>
  <c r="AK113" i="16"/>
  <c r="AT113" i="16"/>
  <c r="AT45" i="16"/>
  <c r="AZ45" i="16"/>
  <c r="AK117" i="16"/>
  <c r="AT117" i="16"/>
  <c r="AK13" i="16"/>
  <c r="AZ13" i="16"/>
  <c r="AK73" i="16"/>
  <c r="AT73" i="16"/>
  <c r="CT140" i="15"/>
  <c r="CI144" i="14"/>
  <c r="CI146" i="14"/>
  <c r="CH146" i="14"/>
  <c r="CS140" i="15"/>
  <c r="BI44" i="12"/>
  <c r="BG11" i="12"/>
  <c r="BE111" i="12"/>
  <c r="AS112" i="16"/>
  <c r="AY112" i="16"/>
  <c r="AY60" i="16"/>
  <c r="AS60" i="16"/>
  <c r="AT124" i="16"/>
  <c r="AZ124" i="16"/>
  <c r="AT101" i="16"/>
  <c r="AZ101" i="16"/>
  <c r="AS13" i="16"/>
  <c r="AY13" i="16"/>
  <c r="AT68" i="16"/>
  <c r="AZ68" i="16"/>
  <c r="AS72" i="16"/>
  <c r="AY72" i="16"/>
  <c r="AS81" i="16"/>
  <c r="AY81" i="16"/>
  <c r="AS115" i="16"/>
  <c r="AY115" i="16"/>
  <c r="AY12" i="16"/>
  <c r="AS12" i="16"/>
  <c r="AS55" i="16"/>
  <c r="AY55" i="16"/>
  <c r="AS25" i="16"/>
  <c r="AY25" i="16"/>
  <c r="BG110" i="12"/>
  <c r="BI31" i="12"/>
  <c r="BI42" i="12"/>
  <c r="BC13" i="12"/>
  <c r="BC13" i="31" s="1"/>
  <c r="BF21" i="12"/>
  <c r="BH7" i="12"/>
  <c r="BC8" i="12"/>
  <c r="BE34" i="12"/>
  <c r="BD42" i="12"/>
  <c r="BD30" i="12"/>
  <c r="BD30" i="31" s="1"/>
  <c r="BF7" i="12"/>
  <c r="BC43" i="12"/>
  <c r="BE25" i="12"/>
  <c r="BE25" i="31" s="1"/>
  <c r="BB24" i="12"/>
  <c r="BF116" i="12"/>
  <c r="BE28" i="12"/>
  <c r="BE28" i="31" s="1"/>
  <c r="BB27" i="12"/>
  <c r="BB27" i="31" s="1"/>
  <c r="BB14" i="12"/>
  <c r="BG24" i="12"/>
  <c r="BB43" i="12"/>
  <c r="BF24" i="12"/>
  <c r="AT16" i="16"/>
  <c r="AZ16" i="16"/>
  <c r="AS125" i="16"/>
  <c r="AY125" i="16"/>
  <c r="AT89" i="16"/>
  <c r="AZ89" i="16"/>
  <c r="AS31" i="16"/>
  <c r="AY31" i="16"/>
  <c r="AT104" i="16"/>
  <c r="AZ104" i="16"/>
  <c r="AT118" i="16"/>
  <c r="AZ118" i="16"/>
  <c r="AT33" i="16"/>
  <c r="AZ33" i="16"/>
  <c r="AS91" i="16"/>
  <c r="AY91" i="16"/>
  <c r="AT90" i="16"/>
  <c r="AZ90" i="16"/>
  <c r="AS9" i="16"/>
  <c r="AY9" i="16"/>
  <c r="AS105" i="16"/>
  <c r="AY105" i="16"/>
  <c r="AT24" i="16"/>
  <c r="AZ24" i="16"/>
  <c r="AS10" i="16"/>
  <c r="AY10" i="16"/>
  <c r="AS15" i="16"/>
  <c r="AY15" i="16"/>
  <c r="AT120" i="16"/>
  <c r="AZ120" i="16"/>
  <c r="AT42" i="16"/>
  <c r="AZ42" i="16"/>
  <c r="AT40" i="16"/>
  <c r="AZ40" i="16"/>
  <c r="AT92" i="16"/>
  <c r="AZ92" i="16"/>
  <c r="AS78" i="16"/>
  <c r="AY78" i="16"/>
  <c r="AT115" i="16"/>
  <c r="AZ115" i="16"/>
  <c r="AS108" i="16"/>
  <c r="AY108" i="16"/>
  <c r="BH31" i="12"/>
  <c r="AT7" i="16"/>
  <c r="AZ7" i="16"/>
  <c r="J133" i="16"/>
  <c r="BC21" i="12"/>
  <c r="BC21" i="31" s="1"/>
  <c r="BF29" i="12"/>
  <c r="BF33" i="12"/>
  <c r="BF33" i="31" s="1"/>
  <c r="BD37" i="12"/>
  <c r="BC16" i="12"/>
  <c r="BC16" i="31" s="1"/>
  <c r="BD18" i="12"/>
  <c r="BD18" i="31" s="1"/>
  <c r="BB20" i="12"/>
  <c r="BC116" i="12"/>
  <c r="BC30" i="12"/>
  <c r="BB10" i="12"/>
  <c r="BB10" i="31" s="1"/>
  <c r="BD23" i="12"/>
  <c r="BD23" i="31" s="1"/>
  <c r="BD39" i="12"/>
  <c r="AT31" i="16"/>
  <c r="AZ31" i="16"/>
  <c r="AS84" i="16"/>
  <c r="AY84" i="16"/>
  <c r="AS90" i="16"/>
  <c r="AY90" i="16"/>
  <c r="AS127" i="16"/>
  <c r="AY127" i="16"/>
  <c r="AT116" i="16"/>
  <c r="AZ116" i="16"/>
  <c r="AT64" i="16"/>
  <c r="AZ64" i="16"/>
  <c r="AS24" i="16"/>
  <c r="AY24" i="16"/>
  <c r="AT29" i="16"/>
  <c r="AZ29" i="16"/>
  <c r="AS62" i="16"/>
  <c r="AY62" i="16"/>
  <c r="AS99" i="16"/>
  <c r="AY99" i="16"/>
  <c r="AT102" i="16"/>
  <c r="AZ102" i="16"/>
  <c r="AT48" i="16"/>
  <c r="AZ48" i="16"/>
  <c r="AS34" i="16"/>
  <c r="AY34" i="16"/>
  <c r="AS39" i="16"/>
  <c r="AY39" i="16"/>
  <c r="AS107" i="16"/>
  <c r="AY107" i="16"/>
  <c r="AT44" i="16"/>
  <c r="AZ44" i="16"/>
  <c r="AT50" i="16"/>
  <c r="AZ50" i="16"/>
  <c r="AT114" i="16"/>
  <c r="AZ114" i="16"/>
  <c r="AS70" i="16"/>
  <c r="AY70" i="16"/>
  <c r="AS83" i="16"/>
  <c r="AY83" i="16"/>
  <c r="AS100" i="16"/>
  <c r="AY100" i="16"/>
  <c r="AS114" i="16"/>
  <c r="AY114" i="16"/>
  <c r="AS111" i="16"/>
  <c r="AY111" i="16"/>
  <c r="AS46" i="16"/>
  <c r="AY46" i="16"/>
  <c r="AS126" i="16"/>
  <c r="AY126" i="16"/>
  <c r="AT99" i="16"/>
  <c r="AZ99" i="16"/>
  <c r="AT52" i="16"/>
  <c r="AZ52" i="16"/>
  <c r="AT12" i="16"/>
  <c r="AZ12" i="16"/>
  <c r="AS123" i="16"/>
  <c r="AY123" i="16"/>
  <c r="AS85" i="16"/>
  <c r="AY85" i="16"/>
  <c r="AT132" i="16"/>
  <c r="AZ132" i="16"/>
  <c r="AT110" i="16"/>
  <c r="AY110" i="16"/>
  <c r="AZ110" i="16"/>
  <c r="AS86" i="16"/>
  <c r="AY86" i="16"/>
  <c r="BG116" i="12"/>
  <c r="BC35" i="12"/>
  <c r="AS103" i="16"/>
  <c r="AY103" i="16"/>
  <c r="AS64" i="16"/>
  <c r="AY64" i="16"/>
  <c r="AT61" i="16"/>
  <c r="AZ61" i="16"/>
  <c r="BI27" i="12"/>
  <c r="BC33" i="12"/>
  <c r="BD21" i="12"/>
  <c r="BF12" i="12"/>
  <c r="BF12" i="31" s="1"/>
  <c r="BD33" i="12"/>
  <c r="BD33" i="31" s="1"/>
  <c r="BC11" i="12"/>
  <c r="BC11" i="31" s="1"/>
  <c r="BF34" i="12"/>
  <c r="BF28" i="12"/>
  <c r="BF28" i="31" s="1"/>
  <c r="BC15" i="12"/>
  <c r="BF45" i="12"/>
  <c r="BC17" i="12"/>
  <c r="BC32" i="12"/>
  <c r="BG20" i="12"/>
  <c r="BC44" i="12"/>
  <c r="BD113" i="12"/>
  <c r="BD43" i="12"/>
  <c r="BE29" i="12"/>
  <c r="BE39" i="12"/>
  <c r="BE39" i="31" s="1"/>
  <c r="BC12" i="12"/>
  <c r="BE36" i="12"/>
  <c r="BD14" i="12"/>
  <c r="BC110" i="12"/>
  <c r="BD24" i="12"/>
  <c r="BB21" i="12"/>
  <c r="BG31" i="12"/>
  <c r="AS61" i="16"/>
  <c r="AY61" i="16"/>
  <c r="AT107" i="16"/>
  <c r="AZ107" i="16"/>
  <c r="AT88" i="16"/>
  <c r="AZ88" i="16"/>
  <c r="AS120" i="16"/>
  <c r="AY120" i="16"/>
  <c r="AS97" i="16"/>
  <c r="AY97" i="16"/>
  <c r="AS89" i="16"/>
  <c r="AY89" i="16"/>
  <c r="AT103" i="16"/>
  <c r="AZ103" i="16"/>
  <c r="AS92" i="16"/>
  <c r="AY92" i="16"/>
  <c r="AS38" i="16"/>
  <c r="AY38" i="16"/>
  <c r="AT69" i="16"/>
  <c r="AZ69" i="16"/>
  <c r="AT74" i="16"/>
  <c r="AZ74" i="16"/>
  <c r="AS96" i="16"/>
  <c r="AY96" i="16"/>
  <c r="AY26" i="16"/>
  <c r="AT19" i="16"/>
  <c r="AZ19" i="16"/>
  <c r="AS45" i="16"/>
  <c r="AY45" i="16"/>
  <c r="AT57" i="16"/>
  <c r="AZ57" i="16"/>
  <c r="AT83" i="16"/>
  <c r="AZ83" i="16"/>
  <c r="AT76" i="16"/>
  <c r="AZ76" i="16"/>
  <c r="AS104" i="16"/>
  <c r="AY104" i="16"/>
  <c r="AS113" i="16"/>
  <c r="AY113" i="16"/>
  <c r="AT43" i="16"/>
  <c r="AZ43" i="16"/>
  <c r="AT95" i="16"/>
  <c r="AZ95" i="16"/>
  <c r="AT28" i="16"/>
  <c r="AZ28" i="16"/>
  <c r="AY44" i="16"/>
  <c r="AS44" i="16"/>
  <c r="AT129" i="16"/>
  <c r="AZ129" i="16"/>
  <c r="AS82" i="16"/>
  <c r="AY82" i="16"/>
  <c r="AS87" i="16"/>
  <c r="AY87" i="16"/>
  <c r="AS88" i="16"/>
  <c r="AY88" i="16"/>
  <c r="AS102" i="16"/>
  <c r="AY102" i="16"/>
  <c r="AT23" i="16"/>
  <c r="AZ23" i="16"/>
  <c r="AS50" i="16"/>
  <c r="AY50" i="16"/>
  <c r="BG9" i="12"/>
  <c r="BC25" i="12"/>
  <c r="BC9" i="12"/>
  <c r="BF39" i="12"/>
  <c r="BG44" i="12"/>
  <c r="BB12" i="12"/>
  <c r="BB31" i="12"/>
  <c r="BC20" i="12"/>
  <c r="BC20" i="31" s="1"/>
  <c r="BC24" i="12"/>
  <c r="BC24" i="31" s="1"/>
  <c r="BE8" i="12"/>
  <c r="BB45" i="12"/>
  <c r="BD110" i="12"/>
  <c r="BG42" i="12"/>
  <c r="BB116" i="12"/>
  <c r="BE22" i="12"/>
  <c r="BB117" i="12"/>
  <c r="BC41" i="12"/>
  <c r="BC41" i="31" s="1"/>
  <c r="AS20" i="16"/>
  <c r="AY20" i="16"/>
  <c r="AT128" i="16"/>
  <c r="AZ128" i="16"/>
  <c r="AS63" i="16"/>
  <c r="AY63" i="16"/>
  <c r="AT71" i="16"/>
  <c r="AZ71" i="16"/>
  <c r="AT46" i="16"/>
  <c r="AZ46" i="16"/>
  <c r="AT112" i="16"/>
  <c r="AZ112" i="16"/>
  <c r="AS35" i="16"/>
  <c r="AY35" i="16"/>
  <c r="AS131" i="16"/>
  <c r="AY131" i="16"/>
  <c r="AT75" i="16"/>
  <c r="AZ75" i="16"/>
  <c r="AS69" i="16"/>
  <c r="AY69" i="16"/>
  <c r="AT97" i="16"/>
  <c r="AZ97" i="16"/>
  <c r="AT122" i="16"/>
  <c r="AZ122" i="16"/>
  <c r="AS14" i="16"/>
  <c r="AY14" i="16"/>
  <c r="AT91" i="16"/>
  <c r="AZ91" i="16"/>
  <c r="AT18" i="16"/>
  <c r="AZ18" i="16"/>
  <c r="AT98" i="16"/>
  <c r="AZ98" i="16"/>
  <c r="AS41" i="16"/>
  <c r="AY41" i="16"/>
  <c r="AS11" i="16"/>
  <c r="AY11" i="16"/>
  <c r="AT86" i="16"/>
  <c r="AZ86" i="16"/>
  <c r="AY36" i="16"/>
  <c r="AS36" i="16"/>
  <c r="AS132" i="16"/>
  <c r="AY132" i="16"/>
  <c r="AS42" i="16"/>
  <c r="AY42" i="16"/>
  <c r="AS47" i="16"/>
  <c r="AY47" i="16"/>
  <c r="AS51" i="16"/>
  <c r="AY51" i="16"/>
  <c r="AT94" i="16"/>
  <c r="AY94" i="16"/>
  <c r="AZ94" i="16"/>
  <c r="AT22" i="16"/>
  <c r="AZ22" i="16"/>
  <c r="AT100" i="16"/>
  <c r="AZ100" i="16"/>
  <c r="AT54" i="16"/>
  <c r="AZ54" i="16"/>
  <c r="AS21" i="16"/>
  <c r="AY21" i="16"/>
  <c r="AT26" i="16"/>
  <c r="AZ26" i="16"/>
  <c r="BH42" i="12"/>
  <c r="BC111" i="12"/>
  <c r="BG27" i="12"/>
  <c r="BI7" i="12"/>
  <c r="AS65" i="16"/>
  <c r="AY65" i="16"/>
  <c r="AS109" i="16"/>
  <c r="AY109" i="16"/>
  <c r="BF19" i="12"/>
  <c r="BF19" i="31" s="1"/>
  <c r="BD11" i="12"/>
  <c r="BD17" i="12"/>
  <c r="BC29" i="12"/>
  <c r="BD32" i="12"/>
  <c r="BC38" i="12"/>
  <c r="BF110" i="12"/>
  <c r="BC42" i="12"/>
  <c r="BC42" i="31" s="1"/>
  <c r="BF20" i="12"/>
  <c r="BE114" i="12"/>
  <c r="BE114" i="31" s="1"/>
  <c r="BF31" i="12"/>
  <c r="BD25" i="12"/>
  <c r="BD25" i="31" s="1"/>
  <c r="BF114" i="12"/>
  <c r="BD9" i="12"/>
  <c r="BD9" i="31" s="1"/>
  <c r="BC27" i="12"/>
  <c r="BC31" i="12"/>
  <c r="BC28" i="12"/>
  <c r="BC28" i="31" s="1"/>
  <c r="BD29" i="12"/>
  <c r="BF22" i="12"/>
  <c r="BC37" i="12"/>
  <c r="BB23" i="12"/>
  <c r="BC22" i="12"/>
  <c r="BC22" i="31" s="1"/>
  <c r="BF27" i="12"/>
  <c r="BF27" i="31" s="1"/>
  <c r="BD7" i="12"/>
  <c r="BC10" i="12"/>
  <c r="BC10" i="31" s="1"/>
  <c r="BE26" i="12"/>
  <c r="BE116" i="12"/>
  <c r="BE116" i="31" s="1"/>
  <c r="BD12" i="12"/>
  <c r="BB113" i="12"/>
  <c r="BE33" i="12"/>
  <c r="BE42" i="12"/>
  <c r="BB7" i="12"/>
  <c r="BB18" i="12"/>
  <c r="BD44" i="12"/>
  <c r="BF9" i="12"/>
  <c r="BD8" i="12"/>
  <c r="BG7" i="12"/>
  <c r="AS116" i="16"/>
  <c r="AY116" i="16"/>
  <c r="AS130" i="16"/>
  <c r="AY130" i="16"/>
  <c r="AT72" i="16"/>
  <c r="AZ72" i="16"/>
  <c r="AS56" i="16"/>
  <c r="AY56" i="16"/>
  <c r="AS33" i="16"/>
  <c r="AY33" i="16"/>
  <c r="AT93" i="16"/>
  <c r="AZ93" i="16"/>
  <c r="AS98" i="16"/>
  <c r="AY98" i="16"/>
  <c r="AT36" i="16"/>
  <c r="AZ36" i="16"/>
  <c r="AS22" i="16"/>
  <c r="AY22" i="16"/>
  <c r="AS28" i="16"/>
  <c r="AY28" i="16"/>
  <c r="AS124" i="16"/>
  <c r="AY124" i="16"/>
  <c r="AS66" i="16"/>
  <c r="AY66" i="16"/>
  <c r="AS71" i="16"/>
  <c r="AY71" i="16"/>
  <c r="AS80" i="16"/>
  <c r="AY80" i="16"/>
  <c r="AS54" i="16"/>
  <c r="AY54" i="16"/>
  <c r="AT58" i="16"/>
  <c r="AZ58" i="16"/>
  <c r="AY32" i="16"/>
  <c r="AS32" i="16"/>
  <c r="AT37" i="16"/>
  <c r="AZ37" i="16"/>
  <c r="AS106" i="16"/>
  <c r="AY106" i="16"/>
  <c r="AT67" i="16"/>
  <c r="AZ67" i="16"/>
  <c r="AT87" i="16"/>
  <c r="AZ87" i="16"/>
  <c r="AS77" i="16"/>
  <c r="AY77" i="16"/>
  <c r="AS49" i="16"/>
  <c r="AY49" i="16"/>
  <c r="AS118" i="16"/>
  <c r="AY118" i="16"/>
  <c r="AS59" i="16"/>
  <c r="AY59" i="16"/>
  <c r="AT11" i="16"/>
  <c r="AZ11" i="16"/>
  <c r="AT119" i="16"/>
  <c r="AZ119" i="16"/>
  <c r="AS40" i="16"/>
  <c r="AY40" i="16"/>
  <c r="AS19" i="16"/>
  <c r="AY19" i="16"/>
  <c r="AT111" i="16"/>
  <c r="AZ111" i="16"/>
  <c r="AT20" i="16"/>
  <c r="AZ20" i="16"/>
  <c r="AS117" i="16"/>
  <c r="AY117" i="16"/>
  <c r="AS18" i="16"/>
  <c r="AY18" i="16"/>
  <c r="AS23" i="16"/>
  <c r="AY23" i="16"/>
  <c r="AY16" i="16"/>
  <c r="AS16" i="16"/>
  <c r="BC40" i="12"/>
  <c r="BD34" i="12"/>
  <c r="AS57" i="16"/>
  <c r="AY57" i="16"/>
  <c r="AT66" i="16"/>
  <c r="AZ66" i="16"/>
  <c r="BD27" i="12"/>
  <c r="BD28" i="12"/>
  <c r="BD28" i="31" s="1"/>
  <c r="BC39" i="12"/>
  <c r="BC45" i="12"/>
  <c r="BD45" i="12"/>
  <c r="BC18" i="12"/>
  <c r="BC18" i="31" s="1"/>
  <c r="BD20" i="12"/>
  <c r="BD20" i="31" s="1"/>
  <c r="BD116" i="12"/>
  <c r="BE11" i="12"/>
  <c r="BB114" i="12"/>
  <c r="BB115" i="12"/>
  <c r="BB37" i="12"/>
  <c r="BB19" i="12"/>
  <c r="BB19" i="31" s="1"/>
  <c r="BD114" i="12"/>
  <c r="BF17" i="12"/>
  <c r="AT123" i="16"/>
  <c r="AZ123" i="16"/>
  <c r="AS93" i="16"/>
  <c r="AY93" i="16"/>
  <c r="AT25" i="16"/>
  <c r="AZ25" i="16"/>
  <c r="AT14" i="16"/>
  <c r="AZ14" i="16"/>
  <c r="AT96" i="16"/>
  <c r="AZ96" i="16"/>
  <c r="AT35" i="16"/>
  <c r="AZ35" i="16"/>
  <c r="AT82" i="16"/>
  <c r="AZ82" i="16"/>
  <c r="AS128" i="16"/>
  <c r="AY128" i="16"/>
  <c r="AS73" i="16"/>
  <c r="AY73" i="16"/>
  <c r="AT130" i="16"/>
  <c r="AZ130" i="16"/>
  <c r="AT60" i="16"/>
  <c r="AZ60" i="16"/>
  <c r="AT84" i="16"/>
  <c r="AZ84" i="16"/>
  <c r="AS17" i="16"/>
  <c r="AY17" i="16"/>
  <c r="AS76" i="16"/>
  <c r="AY76" i="16"/>
  <c r="AS122" i="16"/>
  <c r="AY122" i="16"/>
  <c r="AS119" i="16"/>
  <c r="AY119" i="16"/>
  <c r="AS27" i="16"/>
  <c r="AY27" i="16"/>
  <c r="BD38" i="12"/>
  <c r="BC14" i="12"/>
  <c r="AS29" i="16"/>
  <c r="AY29" i="16"/>
  <c r="AT80" i="16"/>
  <c r="AZ80" i="16"/>
  <c r="AS37" i="16"/>
  <c r="AY37" i="16"/>
  <c r="BC26" i="12"/>
  <c r="BC26" i="31" s="1"/>
  <c r="BC36" i="12"/>
  <c r="BD31" i="12"/>
  <c r="BC19" i="12"/>
  <c r="BB16" i="12"/>
  <c r="BB16" i="31" s="1"/>
  <c r="BH44" i="12"/>
  <c r="BG23" i="12"/>
  <c r="BF8" i="12"/>
  <c r="BF8" i="31" s="1"/>
  <c r="BD26" i="12"/>
  <c r="BF25" i="12"/>
  <c r="BF25" i="31" s="1"/>
  <c r="BD36" i="12"/>
  <c r="BF37" i="12"/>
  <c r="BD111" i="12"/>
  <c r="BD19" i="12"/>
  <c r="BF36" i="12"/>
  <c r="BF111" i="12"/>
  <c r="BF11" i="12"/>
  <c r="BE9" i="12"/>
  <c r="BB22" i="12"/>
  <c r="BC7" i="12"/>
  <c r="BF23" i="12"/>
  <c r="BF44" i="12"/>
  <c r="BB44" i="12"/>
  <c r="BC23" i="12"/>
  <c r="BC23" i="31" s="1"/>
  <c r="BF42" i="12"/>
  <c r="BE110" i="12"/>
  <c r="BE110" i="31" s="1"/>
  <c r="BE17" i="12"/>
  <c r="BC34" i="12"/>
  <c r="AY52" i="16"/>
  <c r="AS52" i="16"/>
  <c r="AS58" i="16"/>
  <c r="AY58" i="16"/>
  <c r="AS95" i="16"/>
  <c r="AY95" i="16"/>
  <c r="AT127" i="16"/>
  <c r="AZ127" i="16"/>
  <c r="AT56" i="16"/>
  <c r="AZ56" i="16"/>
  <c r="AT32" i="16"/>
  <c r="AZ32" i="16"/>
  <c r="AS129" i="16"/>
  <c r="AY129" i="16"/>
  <c r="AS30" i="16"/>
  <c r="AY30" i="16"/>
  <c r="AS67" i="16"/>
  <c r="AY67" i="16"/>
  <c r="AT62" i="16"/>
  <c r="AZ62" i="16"/>
  <c r="AT8" i="16"/>
  <c r="AZ8" i="16"/>
  <c r="AS101" i="16"/>
  <c r="AY101" i="16"/>
  <c r="AS7" i="16"/>
  <c r="I133" i="16"/>
  <c r="AY7" i="16"/>
  <c r="AS43" i="16"/>
  <c r="AY43" i="16"/>
  <c r="AT78" i="16"/>
  <c r="AZ78" i="16"/>
  <c r="AT34" i="16"/>
  <c r="AZ34" i="16"/>
  <c r="AT106" i="16"/>
  <c r="AZ106" i="16"/>
  <c r="AS75" i="16"/>
  <c r="AY75" i="16"/>
  <c r="AT15" i="16"/>
  <c r="AZ15" i="16"/>
  <c r="AS68" i="16"/>
  <c r="AY68" i="16"/>
  <c r="AT121" i="16"/>
  <c r="AZ121" i="16"/>
  <c r="AS74" i="16"/>
  <c r="AY74" i="16"/>
  <c r="AS79" i="16"/>
  <c r="AY79" i="16"/>
  <c r="AS121" i="16"/>
  <c r="AY121" i="16"/>
  <c r="AT79" i="16"/>
  <c r="AZ79" i="16"/>
  <c r="AT38" i="16"/>
  <c r="AZ38" i="16"/>
  <c r="AT108" i="16"/>
  <c r="AZ108" i="16"/>
  <c r="AT125" i="16"/>
  <c r="AZ125" i="16"/>
  <c r="AS48" i="16"/>
  <c r="AY48" i="16"/>
  <c r="AT131" i="16"/>
  <c r="AZ131" i="16"/>
  <c r="AT27" i="16"/>
  <c r="AZ27" i="16"/>
  <c r="AS53" i="16"/>
  <c r="AY53" i="16"/>
  <c r="AT65" i="16"/>
  <c r="AZ65" i="16"/>
  <c r="AT70" i="16"/>
  <c r="AZ70" i="16"/>
  <c r="CT7" i="15"/>
  <c r="CR43" i="15"/>
  <c r="CR140" i="15" s="1"/>
  <c r="CQ27" i="15"/>
  <c r="CR119" i="15"/>
  <c r="CR145" i="15" s="1"/>
  <c r="BK112" i="15"/>
  <c r="BR112" i="15"/>
  <c r="CJ112" i="15" s="1"/>
  <c r="CV34" i="15"/>
  <c r="CQ140" i="15"/>
  <c r="CS51" i="15"/>
  <c r="BK54" i="15"/>
  <c r="BR54" i="15"/>
  <c r="CJ54" i="15" s="1"/>
  <c r="CV54" i="15" s="1"/>
  <c r="BS89" i="15"/>
  <c r="CK89" i="15" s="1"/>
  <c r="BL89" i="15"/>
  <c r="BT89" i="15" s="1"/>
  <c r="CL89" i="15" s="1"/>
  <c r="AB89" i="22" s="1"/>
  <c r="BS32" i="15"/>
  <c r="BL32" i="15"/>
  <c r="BT32" i="15" s="1"/>
  <c r="CU43" i="15"/>
  <c r="CU140" i="15" s="1"/>
  <c r="BL68" i="15"/>
  <c r="BT68" i="15" s="1"/>
  <c r="BS68" i="15"/>
  <c r="CR8" i="15"/>
  <c r="BS46" i="15"/>
  <c r="CK46" i="15" s="1"/>
  <c r="CW46" i="15" s="1"/>
  <c r="BL46" i="15"/>
  <c r="BT46" i="15" s="1"/>
  <c r="CL46" i="15" s="1"/>
  <c r="BL60" i="15"/>
  <c r="BT60" i="15" s="1"/>
  <c r="CL60" i="15" s="1"/>
  <c r="BS60" i="15"/>
  <c r="CK60" i="15" s="1"/>
  <c r="CW60" i="15" s="1"/>
  <c r="BL63" i="15"/>
  <c r="BT63" i="15" s="1"/>
  <c r="CL63" i="15" s="1"/>
  <c r="BS63" i="15"/>
  <c r="CK63" i="15" s="1"/>
  <c r="CW63" i="15" s="1"/>
  <c r="BL86" i="15"/>
  <c r="BT86" i="15" s="1"/>
  <c r="CL86" i="15" s="1"/>
  <c r="BS86" i="15"/>
  <c r="CK86" i="15" s="1"/>
  <c r="CW86" i="15" s="1"/>
  <c r="BL48" i="15"/>
  <c r="BT48" i="15" s="1"/>
  <c r="CL48" i="15" s="1"/>
  <c r="BS48" i="15"/>
  <c r="CK48" i="15" s="1"/>
  <c r="CW48" i="15" s="1"/>
  <c r="CR127" i="15"/>
  <c r="CR146" i="15" s="1"/>
  <c r="BL17" i="15"/>
  <c r="BT17" i="15" s="1"/>
  <c r="BS17" i="15"/>
  <c r="CK38" i="15"/>
  <c r="BL38" i="15"/>
  <c r="CS119" i="15"/>
  <c r="CS145" i="15" s="1"/>
  <c r="CK34" i="15"/>
  <c r="BL34" i="15"/>
  <c r="CU34" i="15"/>
  <c r="BL52" i="15"/>
  <c r="BT52" i="15" s="1"/>
  <c r="BS52" i="15"/>
  <c r="BL90" i="15"/>
  <c r="BT90" i="15" s="1"/>
  <c r="CL90" i="15" s="1"/>
  <c r="BS90" i="15"/>
  <c r="CK90" i="15" s="1"/>
  <c r="CW90" i="15" s="1"/>
  <c r="CU127" i="15"/>
  <c r="CU144" i="15"/>
  <c r="CT145" i="15"/>
  <c r="BL44" i="15"/>
  <c r="BT44" i="15" s="1"/>
  <c r="CL44" i="15" s="1"/>
  <c r="BS44" i="15"/>
  <c r="CK44" i="15" s="1"/>
  <c r="CW44" i="15" s="1"/>
  <c r="BL20" i="15"/>
  <c r="BT20" i="15" s="1"/>
  <c r="BS20" i="15"/>
  <c r="BL57" i="15"/>
  <c r="BT57" i="15" s="1"/>
  <c r="CL57" i="15" s="1"/>
  <c r="BS57" i="15"/>
  <c r="CK57" i="15" s="1"/>
  <c r="CW57" i="15" s="1"/>
  <c r="CW119" i="15"/>
  <c r="BL36" i="15"/>
  <c r="CK36" i="15"/>
  <c r="BL75" i="15"/>
  <c r="BT75" i="15" s="1"/>
  <c r="CL75" i="15" s="1"/>
  <c r="BS75" i="15"/>
  <c r="CK75" i="15" s="1"/>
  <c r="CW75" i="15" s="1"/>
  <c r="CU119" i="15"/>
  <c r="CU145" i="15" s="1"/>
  <c r="BL108" i="15"/>
  <c r="BT108" i="15" s="1"/>
  <c r="CL108" i="15" s="1"/>
  <c r="BS108" i="15"/>
  <c r="CK108" i="15" s="1"/>
  <c r="CW108" i="15" s="1"/>
  <c r="BL28" i="15"/>
  <c r="BT28" i="15" s="1"/>
  <c r="BS28" i="15"/>
  <c r="BL83" i="15"/>
  <c r="BT83" i="15" s="1"/>
  <c r="CL83" i="15" s="1"/>
  <c r="BS83" i="15"/>
  <c r="CK83" i="15" s="1"/>
  <c r="CW83" i="15" s="1"/>
  <c r="BL95" i="15"/>
  <c r="BT95" i="15" s="1"/>
  <c r="CL95" i="15" s="1"/>
  <c r="BS95" i="15"/>
  <c r="CK95" i="15" s="1"/>
  <c r="CW95" i="15" s="1"/>
  <c r="BL12" i="15"/>
  <c r="BT12" i="15" s="1"/>
  <c r="BS12" i="15"/>
  <c r="CQ34" i="15"/>
  <c r="BL114" i="15"/>
  <c r="BT114" i="15" s="1"/>
  <c r="CL114" i="15" s="1"/>
  <c r="BS114" i="15"/>
  <c r="CK114" i="15" s="1"/>
  <c r="CW114" i="15" s="1"/>
  <c r="CT146" i="15"/>
  <c r="CS34" i="15"/>
  <c r="BL71" i="15"/>
  <c r="BT71" i="15" s="1"/>
  <c r="BS71" i="15"/>
  <c r="BK74" i="15"/>
  <c r="BR74" i="15"/>
  <c r="CJ74" i="15" s="1"/>
  <c r="CX119" i="15"/>
  <c r="BL18" i="15"/>
  <c r="BT18" i="15" s="1"/>
  <c r="BS18" i="15"/>
  <c r="BS64" i="15"/>
  <c r="CK64" i="15" s="1"/>
  <c r="CW64" i="15" s="1"/>
  <c r="BL64" i="15"/>
  <c r="BT64" i="15" s="1"/>
  <c r="CL64" i="15" s="1"/>
  <c r="BL9" i="15"/>
  <c r="BT9" i="15" s="1"/>
  <c r="BS9" i="15"/>
  <c r="BL81" i="15"/>
  <c r="BT81" i="15" s="1"/>
  <c r="CL81" i="15" s="1"/>
  <c r="BS81" i="15"/>
  <c r="CK81" i="15" s="1"/>
  <c r="CW81" i="15" s="1"/>
  <c r="BS122" i="15"/>
  <c r="CK122" i="15" s="1"/>
  <c r="CW122" i="15" s="1"/>
  <c r="BL122" i="15"/>
  <c r="BT122" i="15" s="1"/>
  <c r="CL122" i="15" s="1"/>
  <c r="BS82" i="15"/>
  <c r="CK82" i="15" s="1"/>
  <c r="CW82" i="15" s="1"/>
  <c r="BL82" i="15"/>
  <c r="BT82" i="15" s="1"/>
  <c r="CL82" i="15" s="1"/>
  <c r="BK116" i="15"/>
  <c r="BR116" i="15"/>
  <c r="CJ116" i="15" s="1"/>
  <c r="CV116" i="15" s="1"/>
  <c r="BS16" i="15"/>
  <c r="BL16" i="15"/>
  <c r="BT16" i="15" s="1"/>
  <c r="CQ136" i="15"/>
  <c r="BL98" i="15"/>
  <c r="BT98" i="15" s="1"/>
  <c r="CL98" i="15" s="1"/>
  <c r="AB98" i="22" s="1"/>
  <c r="BS98" i="15"/>
  <c r="CK98" i="15" s="1"/>
  <c r="BK115" i="15"/>
  <c r="BR115" i="15"/>
  <c r="CJ115" i="15" s="1"/>
  <c r="CV115" i="15" s="1"/>
  <c r="CS127" i="15"/>
  <c r="CS146" i="15" s="1"/>
  <c r="BL8" i="15"/>
  <c r="BT8" i="15" s="1"/>
  <c r="BS8" i="15"/>
  <c r="CR34" i="15"/>
  <c r="BR49" i="15"/>
  <c r="CJ49" i="15" s="1"/>
  <c r="CV49" i="15" s="1"/>
  <c r="BK49" i="15"/>
  <c r="BL102" i="15"/>
  <c r="BT102" i="15" s="1"/>
  <c r="CL102" i="15" s="1"/>
  <c r="AB102" i="22" s="1"/>
  <c r="BS102" i="15"/>
  <c r="CK102" i="15" s="1"/>
  <c r="BS24" i="15"/>
  <c r="BL24" i="15"/>
  <c r="BT24" i="15" s="1"/>
  <c r="CR136" i="15"/>
  <c r="BL56" i="15"/>
  <c r="BT56" i="15" s="1"/>
  <c r="CL56" i="15" s="1"/>
  <c r="BS56" i="15"/>
  <c r="CK56" i="15" s="1"/>
  <c r="CW56" i="15" s="1"/>
  <c r="BR111" i="15"/>
  <c r="CJ111" i="15" s="1"/>
  <c r="CV111" i="15" s="1"/>
  <c r="BK111" i="15"/>
  <c r="BL26" i="15"/>
  <c r="BT26" i="15" s="1"/>
  <c r="BS26" i="15"/>
  <c r="BS88" i="15"/>
  <c r="CK88" i="15" s="1"/>
  <c r="CW88" i="15" s="1"/>
  <c r="BL88" i="15"/>
  <c r="BT88" i="15" s="1"/>
  <c r="CL88" i="15" s="1"/>
  <c r="CQ8" i="15"/>
  <c r="BS7" i="15"/>
  <c r="CK7" i="15" s="1"/>
  <c r="CK136" i="15" s="1"/>
  <c r="BK7" i="15"/>
  <c r="BS110" i="15"/>
  <c r="CK110" i="15" s="1"/>
  <c r="BL110" i="15"/>
  <c r="BT110" i="15" s="1"/>
  <c r="CL110" i="15" s="1"/>
  <c r="AB110" i="22" s="1"/>
  <c r="CQ127" i="15"/>
  <c r="CQ146" i="15" s="1"/>
  <c r="BL113" i="15"/>
  <c r="BT113" i="15" s="1"/>
  <c r="CL113" i="15" s="1"/>
  <c r="AB113" i="22" s="1"/>
  <c r="BS113" i="15"/>
  <c r="CK113" i="15" s="1"/>
  <c r="CW113" i="15" s="1"/>
  <c r="CW43" i="15"/>
  <c r="BL66" i="15"/>
  <c r="BT66" i="15" s="1"/>
  <c r="CL66" i="15" s="1"/>
  <c r="BS66" i="15"/>
  <c r="CK66" i="15" s="1"/>
  <c r="CW66" i="15" s="1"/>
  <c r="BL84" i="15"/>
  <c r="BT84" i="15" s="1"/>
  <c r="CL84" i="15" s="1"/>
  <c r="AB84" i="22" s="1"/>
  <c r="BS84" i="15"/>
  <c r="CK84" i="15" s="1"/>
  <c r="BL127" i="15"/>
  <c r="BT127" i="15" s="1"/>
  <c r="CL127" i="15" s="1"/>
  <c r="AB127" i="22" s="1"/>
  <c r="BS127" i="15"/>
  <c r="CK127" i="15" s="1"/>
  <c r="CV43" i="15"/>
  <c r="CQ51" i="15"/>
  <c r="CT34" i="15"/>
  <c r="CQ144" i="15"/>
  <c r="CU136" i="15"/>
  <c r="BL10" i="15"/>
  <c r="BT10" i="15" s="1"/>
  <c r="BS10" i="15"/>
  <c r="CV7" i="15"/>
  <c r="CS136" i="15"/>
  <c r="BS104" i="15"/>
  <c r="CK104" i="15" s="1"/>
  <c r="CW104" i="15" s="1"/>
  <c r="BL104" i="15"/>
  <c r="BT104" i="15" s="1"/>
  <c r="CL104" i="15" s="1"/>
  <c r="CV110" i="15"/>
  <c r="BL130" i="15"/>
  <c r="BT130" i="15" s="1"/>
  <c r="CL130" i="15" s="1"/>
  <c r="BS130" i="15"/>
  <c r="CK130" i="15" s="1"/>
  <c r="CW130" i="15" s="1"/>
  <c r="BL42" i="15"/>
  <c r="CK42" i="15"/>
  <c r="CX43" i="15"/>
  <c r="CV127" i="15"/>
  <c r="CV146" i="15" s="1"/>
  <c r="BK53" i="15"/>
  <c r="BR53" i="15"/>
  <c r="CJ53" i="15" s="1"/>
  <c r="CG138" i="14"/>
  <c r="CG139" i="14"/>
  <c r="CE145" i="14"/>
  <c r="CF141" i="14"/>
  <c r="CF142" i="14"/>
  <c r="CR67" i="14"/>
  <c r="BL111" i="14"/>
  <c r="BT111" i="14" s="1"/>
  <c r="CL111" i="14" s="1"/>
  <c r="BS111" i="14"/>
  <c r="CK111" i="14" s="1"/>
  <c r="BS122" i="14"/>
  <c r="CK122" i="14" s="1"/>
  <c r="BL122" i="14"/>
  <c r="BT122" i="14" s="1"/>
  <c r="CL122" i="14" s="1"/>
  <c r="CR127" i="14"/>
  <c r="CF146" i="14"/>
  <c r="CI139" i="14"/>
  <c r="CJ141" i="14"/>
  <c r="CV51" i="14"/>
  <c r="BL107" i="14"/>
  <c r="BT107" i="14" s="1"/>
  <c r="CL107" i="14" s="1"/>
  <c r="W107" i="22" s="1"/>
  <c r="BS107" i="14"/>
  <c r="CK107" i="14" s="1"/>
  <c r="CF143" i="14"/>
  <c r="CR96" i="14"/>
  <c r="CG141" i="14"/>
  <c r="BR119" i="14"/>
  <c r="CJ119" i="14" s="1"/>
  <c r="BK119" i="14"/>
  <c r="CX110" i="14"/>
  <c r="BL129" i="14"/>
  <c r="BT129" i="14" s="1"/>
  <c r="CL129" i="14" s="1"/>
  <c r="BS129" i="14"/>
  <c r="CK129" i="14" s="1"/>
  <c r="CG144" i="14"/>
  <c r="CI138" i="14"/>
  <c r="CU27" i="14"/>
  <c r="BL118" i="14"/>
  <c r="BT118" i="14" s="1"/>
  <c r="CL118" i="14" s="1"/>
  <c r="BS118" i="14"/>
  <c r="CK118" i="14" s="1"/>
  <c r="CH145" i="14"/>
  <c r="CT137" i="14"/>
  <c r="CG146" i="14"/>
  <c r="CS127" i="14"/>
  <c r="CH141" i="14"/>
  <c r="CF137" i="14"/>
  <c r="CR8" i="14"/>
  <c r="BL37" i="14"/>
  <c r="BT37" i="14" s="1"/>
  <c r="CL37" i="14" s="1"/>
  <c r="BS37" i="14"/>
  <c r="CK37" i="14" s="1"/>
  <c r="BL69" i="14"/>
  <c r="BT69" i="14" s="1"/>
  <c r="CL69" i="14" s="1"/>
  <c r="W69" i="22" s="1"/>
  <c r="BS69" i="14"/>
  <c r="CK69" i="14" s="1"/>
  <c r="BS51" i="14"/>
  <c r="CK51" i="14" s="1"/>
  <c r="BL51" i="14"/>
  <c r="BT51" i="14" s="1"/>
  <c r="CL51" i="14" s="1"/>
  <c r="W51" i="22" s="1"/>
  <c r="CI143" i="14"/>
  <c r="BL29" i="14"/>
  <c r="BT29" i="14" s="1"/>
  <c r="CL29" i="14" s="1"/>
  <c r="BS29" i="14"/>
  <c r="CK29" i="14" s="1"/>
  <c r="CW29" i="14" s="1"/>
  <c r="BL81" i="14"/>
  <c r="BT81" i="14" s="1"/>
  <c r="CL81" i="14" s="1"/>
  <c r="W81" i="22" s="1"/>
  <c r="BS81" i="14"/>
  <c r="CK81" i="14" s="1"/>
  <c r="BS105" i="14"/>
  <c r="CK105" i="14" s="1"/>
  <c r="BL105" i="14"/>
  <c r="BT105" i="14" s="1"/>
  <c r="CL105" i="14" s="1"/>
  <c r="W105" i="22" s="1"/>
  <c r="CU137" i="14"/>
  <c r="CJ138" i="14"/>
  <c r="CV27" i="14"/>
  <c r="CV67" i="14"/>
  <c r="CH137" i="14"/>
  <c r="CF138" i="14"/>
  <c r="CE144" i="14"/>
  <c r="BL10" i="14"/>
  <c r="BT10" i="14" s="1"/>
  <c r="CL10" i="14" s="1"/>
  <c r="BS10" i="14"/>
  <c r="CK10" i="14" s="1"/>
  <c r="CW10" i="14" s="1"/>
  <c r="BS35" i="14"/>
  <c r="CK35" i="14" s="1"/>
  <c r="BL35" i="14"/>
  <c r="BT35" i="14" s="1"/>
  <c r="CL35" i="14" s="1"/>
  <c r="BS31" i="14"/>
  <c r="CK31" i="14" s="1"/>
  <c r="BL31" i="14"/>
  <c r="BT31" i="14" s="1"/>
  <c r="CL31" i="14" s="1"/>
  <c r="W31" i="22" s="1"/>
  <c r="CI137" i="14"/>
  <c r="BL114" i="14"/>
  <c r="BT114" i="14" s="1"/>
  <c r="CL114" i="14" s="1"/>
  <c r="BS114" i="14"/>
  <c r="CK114" i="14" s="1"/>
  <c r="BK131" i="14"/>
  <c r="BR131" i="14"/>
  <c r="CJ131" i="14" s="1"/>
  <c r="BS27" i="14"/>
  <c r="CK27" i="14" s="1"/>
  <c r="BL27" i="14"/>
  <c r="BT27" i="14" s="1"/>
  <c r="CL27" i="14" s="1"/>
  <c r="W27" i="22" s="1"/>
  <c r="BL58" i="14"/>
  <c r="BT58" i="14" s="1"/>
  <c r="CL58" i="14" s="1"/>
  <c r="BS58" i="14"/>
  <c r="CK58" i="14" s="1"/>
  <c r="BL66" i="14"/>
  <c r="BT66" i="14" s="1"/>
  <c r="CL66" i="14" s="1"/>
  <c r="BS66" i="14"/>
  <c r="CK66" i="14" s="1"/>
  <c r="BS130" i="14"/>
  <c r="CK130" i="14" s="1"/>
  <c r="BL130" i="14"/>
  <c r="BT130" i="14" s="1"/>
  <c r="CL130" i="14" s="1"/>
  <c r="BS46" i="14"/>
  <c r="CK46" i="14" s="1"/>
  <c r="BL46" i="14"/>
  <c r="BT46" i="14" s="1"/>
  <c r="CL46" i="14" s="1"/>
  <c r="BL121" i="14"/>
  <c r="BT121" i="14" s="1"/>
  <c r="CL121" i="14" s="1"/>
  <c r="BS121" i="14"/>
  <c r="CK121" i="14" s="1"/>
  <c r="CG145" i="14"/>
  <c r="CU136" i="14"/>
  <c r="CW34" i="14"/>
  <c r="CF145" i="14"/>
  <c r="CR119" i="14"/>
  <c r="BL23" i="14"/>
  <c r="BT23" i="14" s="1"/>
  <c r="CL23" i="14" s="1"/>
  <c r="BS23" i="14"/>
  <c r="CK23" i="14" s="1"/>
  <c r="CW23" i="14" s="1"/>
  <c r="CV43" i="14"/>
  <c r="CV96" i="14"/>
  <c r="CI140" i="14"/>
  <c r="CU43" i="14"/>
  <c r="CH143" i="14"/>
  <c r="BL12" i="14"/>
  <c r="BT12" i="14" s="1"/>
  <c r="CL12" i="14" s="1"/>
  <c r="BS12" i="14"/>
  <c r="CK12" i="14" s="1"/>
  <c r="CW12" i="14" s="1"/>
  <c r="CI141" i="14"/>
  <c r="CU51" i="14"/>
  <c r="BL22" i="14"/>
  <c r="BT22" i="14" s="1"/>
  <c r="CL22" i="14" s="1"/>
  <c r="BS22" i="14"/>
  <c r="CK22" i="14" s="1"/>
  <c r="CW22" i="14" s="1"/>
  <c r="CE139" i="14"/>
  <c r="CQ34" i="14"/>
  <c r="BL73" i="14"/>
  <c r="BT73" i="14" s="1"/>
  <c r="CL73" i="14" s="1"/>
  <c r="W73" i="22" s="1"/>
  <c r="BS73" i="14"/>
  <c r="CK73" i="14" s="1"/>
  <c r="BK101" i="14"/>
  <c r="BR101" i="14"/>
  <c r="CJ101" i="14" s="1"/>
  <c r="BS126" i="14"/>
  <c r="CK126" i="14" s="1"/>
  <c r="BL126" i="14"/>
  <c r="BT126" i="14" s="1"/>
  <c r="CL126" i="14" s="1"/>
  <c r="CG140" i="14"/>
  <c r="CS43" i="14"/>
  <c r="BL65" i="14"/>
  <c r="BT65" i="14" s="1"/>
  <c r="CL65" i="14" s="1"/>
  <c r="BS65" i="14"/>
  <c r="CK65" i="14" s="1"/>
  <c r="CE138" i="14"/>
  <c r="CX34" i="14"/>
  <c r="BS7" i="14"/>
  <c r="CK7" i="14" s="1"/>
  <c r="BK7" i="14"/>
  <c r="BS43" i="14"/>
  <c r="CK43" i="14" s="1"/>
  <c r="BL43" i="14"/>
  <c r="BT43" i="14" s="1"/>
  <c r="CL43" i="14" s="1"/>
  <c r="BK39" i="14"/>
  <c r="BR39" i="14"/>
  <c r="CJ39" i="14" s="1"/>
  <c r="BS86" i="14"/>
  <c r="CK86" i="14" s="1"/>
  <c r="BL86" i="14"/>
  <c r="BT86" i="14" s="1"/>
  <c r="CL86" i="14" s="1"/>
  <c r="W86" i="22" s="1"/>
  <c r="BL96" i="14"/>
  <c r="BT96" i="14" s="1"/>
  <c r="CL96" i="14" s="1"/>
  <c r="W96" i="22" s="1"/>
  <c r="BS96" i="14"/>
  <c r="CK96" i="14" s="1"/>
  <c r="CX127" i="14"/>
  <c r="CI142" i="14"/>
  <c r="BL18" i="14"/>
  <c r="BT18" i="14" s="1"/>
  <c r="CL18" i="14" s="1"/>
  <c r="BS18" i="14"/>
  <c r="CK18" i="14" s="1"/>
  <c r="CW18" i="14" s="1"/>
  <c r="BS100" i="14"/>
  <c r="CK100" i="14" s="1"/>
  <c r="BL100" i="14"/>
  <c r="BT100" i="14" s="1"/>
  <c r="CL100" i="14" s="1"/>
  <c r="W100" i="22" s="1"/>
  <c r="BL30" i="14"/>
  <c r="BT30" i="14" s="1"/>
  <c r="CL30" i="14" s="1"/>
  <c r="BS30" i="14"/>
  <c r="CK30" i="14" s="1"/>
  <c r="CW30" i="14" s="1"/>
  <c r="CX8" i="14"/>
  <c r="CV8" i="14"/>
  <c r="BL38" i="14"/>
  <c r="BT38" i="14" s="1"/>
  <c r="CL38" i="14" s="1"/>
  <c r="BS38" i="14"/>
  <c r="CK38" i="14" s="1"/>
  <c r="CE143" i="14"/>
  <c r="CQ96" i="14"/>
  <c r="BL106" i="14"/>
  <c r="BT106" i="14" s="1"/>
  <c r="CL106" i="14" s="1"/>
  <c r="W106" i="22" s="1"/>
  <c r="BS106" i="14"/>
  <c r="CK106" i="14" s="1"/>
  <c r="BS59" i="14"/>
  <c r="CK59" i="14" s="1"/>
  <c r="BL59" i="14"/>
  <c r="BT59" i="14" s="1"/>
  <c r="CL59" i="14" s="1"/>
  <c r="CW8" i="14"/>
  <c r="BL41" i="14"/>
  <c r="BT41" i="14" s="1"/>
  <c r="CL41" i="14" s="1"/>
  <c r="BS41" i="14"/>
  <c r="CK41" i="14" s="1"/>
  <c r="BS103" i="14"/>
  <c r="CK103" i="14" s="1"/>
  <c r="BL103" i="14"/>
  <c r="BT103" i="14" s="1"/>
  <c r="CL103" i="14" s="1"/>
  <c r="W103" i="22" s="1"/>
  <c r="BL14" i="14"/>
  <c r="BT14" i="14" s="1"/>
  <c r="CL14" i="14" s="1"/>
  <c r="BS14" i="14"/>
  <c r="CK14" i="14" s="1"/>
  <c r="CW14" i="14" s="1"/>
  <c r="CH142" i="14"/>
  <c r="CJ136" i="14"/>
  <c r="CV7" i="14"/>
  <c r="BL62" i="14"/>
  <c r="BT62" i="14" s="1"/>
  <c r="CL62" i="14" s="1"/>
  <c r="BS62" i="14"/>
  <c r="CK62" i="14" s="1"/>
  <c r="CQ136" i="14"/>
  <c r="CW127" i="14"/>
  <c r="BL40" i="14"/>
  <c r="BT40" i="14" s="1"/>
  <c r="CL40" i="14" s="1"/>
  <c r="BS40" i="14"/>
  <c r="CK40" i="14" s="1"/>
  <c r="BL63" i="14"/>
  <c r="BT63" i="14" s="1"/>
  <c r="CL63" i="14" s="1"/>
  <c r="BS63" i="14"/>
  <c r="CK63" i="14" s="1"/>
  <c r="BS82" i="14"/>
  <c r="CK82" i="14" s="1"/>
  <c r="BL82" i="14"/>
  <c r="BT82" i="14" s="1"/>
  <c r="CL82" i="14" s="1"/>
  <c r="W82" i="22" s="1"/>
  <c r="BS78" i="14"/>
  <c r="CK78" i="14" s="1"/>
  <c r="BL78" i="14"/>
  <c r="BT78" i="14" s="1"/>
  <c r="CL78" i="14" s="1"/>
  <c r="W78" i="22" s="1"/>
  <c r="BS25" i="14"/>
  <c r="CK25" i="14" s="1"/>
  <c r="CW25" i="14" s="1"/>
  <c r="BL25" i="14"/>
  <c r="BT25" i="14" s="1"/>
  <c r="CL25" i="14" s="1"/>
  <c r="BL99" i="14"/>
  <c r="BT99" i="14" s="1"/>
  <c r="CL99" i="14" s="1"/>
  <c r="W99" i="22" s="1"/>
  <c r="BS99" i="14"/>
  <c r="CK99" i="14" s="1"/>
  <c r="CH138" i="14"/>
  <c r="CT27" i="14"/>
  <c r="CE142" i="14"/>
  <c r="CQ67" i="14"/>
  <c r="CF144" i="14"/>
  <c r="CR110" i="14"/>
  <c r="CE137" i="14"/>
  <c r="BL85" i="14"/>
  <c r="BT85" i="14" s="1"/>
  <c r="CL85" i="14" s="1"/>
  <c r="W85" i="22" s="1"/>
  <c r="BS85" i="14"/>
  <c r="CK85" i="14" s="1"/>
  <c r="BK116" i="14"/>
  <c r="BR116" i="14"/>
  <c r="CJ116" i="14" s="1"/>
  <c r="CH140" i="14"/>
  <c r="CH144" i="14"/>
  <c r="CF139" i="14"/>
  <c r="CR34" i="14"/>
  <c r="BL95" i="14"/>
  <c r="BT95" i="14" s="1"/>
  <c r="CL95" i="14" s="1"/>
  <c r="W95" i="22" s="1"/>
  <c r="BS95" i="14"/>
  <c r="CK95" i="14" s="1"/>
  <c r="CS136" i="14"/>
  <c r="BK50" i="14"/>
  <c r="BR50" i="14"/>
  <c r="CJ50" i="14" s="1"/>
  <c r="BL104" i="14"/>
  <c r="BT104" i="14" s="1"/>
  <c r="CL104" i="14" s="1"/>
  <c r="W104" i="22" s="1"/>
  <c r="BS104" i="14"/>
  <c r="CK104" i="14" s="1"/>
  <c r="BK115" i="14"/>
  <c r="BR115" i="14"/>
  <c r="CJ115" i="14" s="1"/>
  <c r="BL109" i="14"/>
  <c r="BT109" i="14" s="1"/>
  <c r="CL109" i="14" s="1"/>
  <c r="W109" i="22" s="1"/>
  <c r="BS109" i="14"/>
  <c r="CK109" i="14" s="1"/>
  <c r="BS91" i="14"/>
  <c r="CK91" i="14" s="1"/>
  <c r="BL91" i="14"/>
  <c r="BT91" i="14" s="1"/>
  <c r="CL91" i="14" s="1"/>
  <c r="W91" i="22" s="1"/>
  <c r="BL71" i="14"/>
  <c r="BT71" i="14" s="1"/>
  <c r="CL71" i="14" s="1"/>
  <c r="W71" i="22" s="1"/>
  <c r="BS71" i="14"/>
  <c r="CK71" i="14" s="1"/>
  <c r="CX67" i="14"/>
  <c r="CF140" i="14"/>
  <c r="CR43" i="14"/>
  <c r="CG137" i="14"/>
  <c r="CS8" i="14"/>
  <c r="CS137" i="14" s="1"/>
  <c r="CH136" i="14"/>
  <c r="CT7" i="14"/>
  <c r="BL20" i="14"/>
  <c r="BT20" i="14" s="1"/>
  <c r="CL20" i="14" s="1"/>
  <c r="BS20" i="14"/>
  <c r="CK20" i="14" s="1"/>
  <c r="CW20" i="14" s="1"/>
  <c r="CH139" i="14"/>
  <c r="CT34" i="14"/>
  <c r="CG143" i="14"/>
  <c r="BL123" i="14"/>
  <c r="BT123" i="14" s="1"/>
  <c r="CL123" i="14" s="1"/>
  <c r="BS123" i="14"/>
  <c r="CK123" i="14" s="1"/>
  <c r="BL15" i="14"/>
  <c r="BT15" i="14" s="1"/>
  <c r="CL15" i="14" s="1"/>
  <c r="BS15" i="14"/>
  <c r="CK15" i="14" s="1"/>
  <c r="CW15" i="14" s="1"/>
  <c r="BS92" i="14"/>
  <c r="CK92" i="14" s="1"/>
  <c r="BL92" i="14"/>
  <c r="BT92" i="14" s="1"/>
  <c r="CL92" i="14" s="1"/>
  <c r="W92" i="22" s="1"/>
  <c r="BR26" i="14"/>
  <c r="CJ26" i="14" s="1"/>
  <c r="CV26" i="14" s="1"/>
  <c r="BK26" i="14"/>
  <c r="CE140" i="14"/>
  <c r="CQ43" i="14"/>
  <c r="CI145" i="14"/>
  <c r="CU119" i="14"/>
  <c r="CW110" i="14"/>
  <c r="CW67" i="14"/>
  <c r="CQ127" i="14"/>
  <c r="CE146" i="14"/>
  <c r="CV110" i="14"/>
  <c r="CG142" i="14"/>
  <c r="CE141" i="14"/>
  <c r="BJ26" i="7"/>
  <c r="BQ26" i="7"/>
  <c r="CI26" i="7" s="1"/>
  <c r="CI137" i="7" s="1"/>
  <c r="BI79" i="7"/>
  <c r="BP79" i="7"/>
  <c r="CH79" i="7" s="1"/>
  <c r="BH123" i="7"/>
  <c r="BO123" i="7"/>
  <c r="CG123" i="7" s="1"/>
  <c r="BJ103" i="3"/>
  <c r="BQ103" i="3"/>
  <c r="CI103" i="3" s="1"/>
  <c r="BI60" i="7"/>
  <c r="BP60" i="7"/>
  <c r="CH60" i="7" s="1"/>
  <c r="BH57" i="7"/>
  <c r="BO57" i="7"/>
  <c r="CG57" i="7" s="1"/>
  <c r="BH127" i="7"/>
  <c r="BO127" i="7"/>
  <c r="CG127" i="7" s="1"/>
  <c r="BI64" i="7"/>
  <c r="BP64" i="7"/>
  <c r="CH64" i="7" s="1"/>
  <c r="BH130" i="7"/>
  <c r="BO130" i="7"/>
  <c r="CG130" i="7" s="1"/>
  <c r="BH89" i="7"/>
  <c r="BO89" i="7"/>
  <c r="CG89" i="7" s="1"/>
  <c r="BL84" i="7"/>
  <c r="BS84" i="7"/>
  <c r="CK84" i="7" s="1"/>
  <c r="BH104" i="7"/>
  <c r="BO104" i="7"/>
  <c r="CG104" i="7" s="1"/>
  <c r="BJ55" i="7"/>
  <c r="BQ55" i="7"/>
  <c r="CI55" i="7" s="1"/>
  <c r="BJ69" i="7"/>
  <c r="BQ69" i="7"/>
  <c r="CI69" i="7" s="1"/>
  <c r="BI83" i="7"/>
  <c r="BP83" i="7"/>
  <c r="CH83" i="7" s="1"/>
  <c r="BL48" i="7"/>
  <c r="BT48" i="7" s="1"/>
  <c r="CL48" i="7" s="1"/>
  <c r="BS48" i="7"/>
  <c r="CK48" i="7" s="1"/>
  <c r="BH70" i="7"/>
  <c r="BO70" i="7"/>
  <c r="CG70" i="7" s="1"/>
  <c r="BH78" i="7"/>
  <c r="BO78" i="7"/>
  <c r="CG78" i="7" s="1"/>
  <c r="BI120" i="7"/>
  <c r="BP120" i="7"/>
  <c r="CH120" i="7" s="1"/>
  <c r="BH54" i="7"/>
  <c r="BO54" i="7"/>
  <c r="CG54" i="7" s="1"/>
  <c r="BH112" i="7"/>
  <c r="BO112" i="7"/>
  <c r="CG112" i="7" s="1"/>
  <c r="CG144" i="7" s="1"/>
  <c r="BI53" i="7"/>
  <c r="BP53" i="7"/>
  <c r="CH53" i="7" s="1"/>
  <c r="BK52" i="7"/>
  <c r="BR52" i="7"/>
  <c r="CJ52" i="7" s="1"/>
  <c r="BJ128" i="7"/>
  <c r="BQ128" i="7"/>
  <c r="CI128" i="7" s="1"/>
  <c r="BI103" i="7"/>
  <c r="BP103" i="7"/>
  <c r="CH103" i="7" s="1"/>
  <c r="BJ50" i="7"/>
  <c r="BQ50" i="7"/>
  <c r="CI50" i="7" s="1"/>
  <c r="CI140" i="7" s="1"/>
  <c r="BK49" i="7"/>
  <c r="BR49" i="7"/>
  <c r="CJ49" i="7" s="1"/>
  <c r="BH87" i="7"/>
  <c r="BO87" i="7"/>
  <c r="CG87" i="7" s="1"/>
  <c r="BI51" i="7"/>
  <c r="BP51" i="7"/>
  <c r="CH51" i="7" s="1"/>
  <c r="BH61" i="7"/>
  <c r="BO61" i="7"/>
  <c r="CG61" i="7" s="1"/>
  <c r="BH68" i="7"/>
  <c r="BO68" i="7"/>
  <c r="CG68" i="7" s="1"/>
  <c r="BI56" i="7"/>
  <c r="BP56" i="7"/>
  <c r="CH56" i="7" s="1"/>
  <c r="BH97" i="7"/>
  <c r="BO97" i="7"/>
  <c r="CG97" i="7" s="1"/>
  <c r="BH65" i="7"/>
  <c r="BO65" i="7"/>
  <c r="CG65" i="7" s="1"/>
  <c r="BH76" i="7"/>
  <c r="BO76" i="7"/>
  <c r="CG76" i="7" s="1"/>
  <c r="BH124" i="7"/>
  <c r="BO124" i="7"/>
  <c r="CG124" i="7" s="1"/>
  <c r="BH119" i="7"/>
  <c r="BO119" i="7"/>
  <c r="CG119" i="7" s="1"/>
  <c r="BJ63" i="7"/>
  <c r="BQ63" i="7"/>
  <c r="CI63" i="7" s="1"/>
  <c r="BK25" i="3"/>
  <c r="BR25" i="3"/>
  <c r="CJ25" i="3" s="1"/>
  <c r="BH16" i="3"/>
  <c r="BO16" i="3"/>
  <c r="CG16" i="3" s="1"/>
  <c r="BD16" i="12" s="1"/>
  <c r="BD16" i="31" s="1"/>
  <c r="BI32" i="3"/>
  <c r="BP32" i="3"/>
  <c r="CH32" i="3" s="1"/>
  <c r="BE32" i="12" s="1"/>
  <c r="BK119" i="3"/>
  <c r="BR119" i="3"/>
  <c r="CJ119" i="3" s="1"/>
  <c r="BH76" i="3"/>
  <c r="BO76" i="3"/>
  <c r="CG76" i="3" s="1"/>
  <c r="BJ14" i="3"/>
  <c r="BQ14" i="3"/>
  <c r="CI14" i="3" s="1"/>
  <c r="BF14" i="12" s="1"/>
  <c r="BI43" i="3"/>
  <c r="BP43" i="3"/>
  <c r="CH43" i="3" s="1"/>
  <c r="BI70" i="3"/>
  <c r="BP70" i="3"/>
  <c r="CH70" i="3" s="1"/>
  <c r="BH86" i="3"/>
  <c r="BO86" i="3"/>
  <c r="CG86" i="3" s="1"/>
  <c r="BI30" i="3"/>
  <c r="BP30" i="3"/>
  <c r="CH30" i="3" s="1"/>
  <c r="BE30" i="12" s="1"/>
  <c r="BH93" i="3"/>
  <c r="BO93" i="3"/>
  <c r="CG93" i="3" s="1"/>
  <c r="BI54" i="3"/>
  <c r="BP54" i="3"/>
  <c r="CH54" i="3" s="1"/>
  <c r="BJ26" i="3"/>
  <c r="BQ26" i="3"/>
  <c r="CI26" i="3" s="1"/>
  <c r="BH124" i="3"/>
  <c r="BO124" i="3"/>
  <c r="CG124" i="3" s="1"/>
  <c r="CG145" i="3" s="1"/>
  <c r="BH41" i="3"/>
  <c r="BO41" i="3"/>
  <c r="CG41" i="3" s="1"/>
  <c r="BD41" i="12" s="1"/>
  <c r="BD41" i="31" s="1"/>
  <c r="BH62" i="3"/>
  <c r="BO62" i="3"/>
  <c r="CG62" i="3" s="1"/>
  <c r="BH81" i="3"/>
  <c r="BO81" i="3"/>
  <c r="CG81" i="3" s="1"/>
  <c r="BH77" i="3"/>
  <c r="BO77" i="3"/>
  <c r="CG77" i="3" s="1"/>
  <c r="BH132" i="3"/>
  <c r="BO132" i="3"/>
  <c r="CG132" i="3" s="1"/>
  <c r="BI113" i="3"/>
  <c r="BP113" i="3"/>
  <c r="CH113" i="3" s="1"/>
  <c r="BE113" i="12" s="1"/>
  <c r="BH68" i="3"/>
  <c r="BO68" i="3"/>
  <c r="CG68" i="3" s="1"/>
  <c r="BI129" i="3"/>
  <c r="BP129" i="3"/>
  <c r="CH129" i="3" s="1"/>
  <c r="BH40" i="3"/>
  <c r="BO40" i="3"/>
  <c r="CG40" i="3" s="1"/>
  <c r="BD40" i="12" s="1"/>
  <c r="BH71" i="3"/>
  <c r="BO71" i="3"/>
  <c r="CG71" i="3" s="1"/>
  <c r="BI55" i="3"/>
  <c r="BP55" i="3"/>
  <c r="CH55" i="3" s="1"/>
  <c r="BH117" i="3"/>
  <c r="BO117" i="3"/>
  <c r="CG117" i="3" s="1"/>
  <c r="BD117" i="12" s="1"/>
  <c r="BH97" i="3"/>
  <c r="BO97" i="3"/>
  <c r="CG97" i="3" s="1"/>
  <c r="BI82" i="3"/>
  <c r="BP82" i="3"/>
  <c r="CH82" i="3" s="1"/>
  <c r="BJ18" i="3"/>
  <c r="BQ18" i="3"/>
  <c r="CI18" i="3" s="1"/>
  <c r="BF18" i="12" s="1"/>
  <c r="BF18" i="31" s="1"/>
  <c r="BK56" i="3"/>
  <c r="BR56" i="3"/>
  <c r="CJ56" i="3" s="1"/>
  <c r="BK17" i="3"/>
  <c r="BR17" i="3"/>
  <c r="CJ17" i="3" s="1"/>
  <c r="BG17" i="12" s="1"/>
  <c r="BI84" i="3"/>
  <c r="BP84" i="3"/>
  <c r="CH84" i="3" s="1"/>
  <c r="BH80" i="3"/>
  <c r="BO80" i="3"/>
  <c r="CG80" i="3" s="1"/>
  <c r="BH112" i="3"/>
  <c r="BO112" i="3"/>
  <c r="CG112" i="3" s="1"/>
  <c r="BI65" i="3"/>
  <c r="BP65" i="3"/>
  <c r="CH65" i="3" s="1"/>
  <c r="BH10" i="3"/>
  <c r="BO10" i="3"/>
  <c r="CG10" i="3" s="1"/>
  <c r="BD10" i="12" s="1"/>
  <c r="BD10" i="31" s="1"/>
  <c r="BI61" i="3"/>
  <c r="BP61" i="3"/>
  <c r="CH61" i="3" s="1"/>
  <c r="BH100" i="3"/>
  <c r="BO100" i="3"/>
  <c r="CG100" i="3" s="1"/>
  <c r="BJ66" i="3"/>
  <c r="BQ66" i="3"/>
  <c r="CI66" i="3" s="1"/>
  <c r="BH35" i="3"/>
  <c r="BO35" i="3"/>
  <c r="CG35" i="3" s="1"/>
  <c r="BD35" i="12" s="1"/>
  <c r="BD35" i="31" s="1"/>
  <c r="BH51" i="3"/>
  <c r="BO51" i="3"/>
  <c r="CG51" i="3" s="1"/>
  <c r="BH47" i="3"/>
  <c r="BO47" i="3"/>
  <c r="CG47" i="3" s="1"/>
  <c r="BH104" i="3"/>
  <c r="BO104" i="3"/>
  <c r="CG104" i="3" s="1"/>
  <c r="BI128" i="3"/>
  <c r="BP128" i="3"/>
  <c r="CH128" i="3" s="1"/>
  <c r="BI125" i="3"/>
  <c r="BP125" i="3"/>
  <c r="CH125" i="3" s="1"/>
  <c r="BH127" i="3"/>
  <c r="BO127" i="3"/>
  <c r="CG127" i="3" s="1"/>
  <c r="BI85" i="3"/>
  <c r="BP85" i="3"/>
  <c r="CH85" i="3" s="1"/>
  <c r="BI38" i="3"/>
  <c r="BP38" i="3"/>
  <c r="CH38" i="3" s="1"/>
  <c r="BE38" i="12" s="1"/>
  <c r="BJ58" i="3"/>
  <c r="BQ58" i="3"/>
  <c r="CI58" i="3" s="1"/>
  <c r="BI67" i="3"/>
  <c r="BP67" i="3"/>
  <c r="CH67" i="3" s="1"/>
  <c r="BH78" i="3"/>
  <c r="BO78" i="3"/>
  <c r="CG78" i="3" s="1"/>
  <c r="BI105" i="3"/>
  <c r="BP105" i="3"/>
  <c r="CH105" i="3" s="1"/>
  <c r="BH59" i="3"/>
  <c r="BO59" i="3"/>
  <c r="CG59" i="3" s="1"/>
  <c r="BH83" i="3"/>
  <c r="BO83" i="3"/>
  <c r="CG83" i="3" s="1"/>
  <c r="BH15" i="3"/>
  <c r="BO15" i="3"/>
  <c r="CG15" i="3" s="1"/>
  <c r="BD15" i="12" s="1"/>
  <c r="BH74" i="3"/>
  <c r="BO74" i="3"/>
  <c r="CG74" i="3" s="1"/>
  <c r="BH57" i="3"/>
  <c r="BO57" i="3"/>
  <c r="CG57" i="3" s="1"/>
  <c r="BH13" i="3"/>
  <c r="BO13" i="3"/>
  <c r="CG13" i="3" s="1"/>
  <c r="BD13" i="12" s="1"/>
  <c r="BH109" i="3"/>
  <c r="BO109" i="3"/>
  <c r="CG109" i="3" s="1"/>
  <c r="BJ60" i="3"/>
  <c r="BQ60" i="3"/>
  <c r="CI60" i="3" s="1"/>
  <c r="BH115" i="3"/>
  <c r="BO115" i="3"/>
  <c r="CG115" i="3" s="1"/>
  <c r="BD115" i="12" s="1"/>
  <c r="H117" i="22"/>
  <c r="H110" i="22"/>
  <c r="H115" i="22"/>
  <c r="H13" i="22"/>
  <c r="H17" i="22"/>
  <c r="H15" i="22"/>
  <c r="H116" i="22"/>
  <c r="H23" i="22"/>
  <c r="H20" i="22"/>
  <c r="H9" i="22"/>
  <c r="H11" i="22"/>
  <c r="X62" i="12" l="1"/>
  <c r="BS120" i="15"/>
  <c r="BL120" i="15"/>
  <c r="BT120" i="15" s="1"/>
  <c r="BD15" i="31"/>
  <c r="BC17" i="31"/>
  <c r="BF29" i="31"/>
  <c r="BF21" i="31"/>
  <c r="BC19" i="31"/>
  <c r="BE33" i="31"/>
  <c r="BC30" i="31"/>
  <c r="BC15" i="31"/>
  <c r="BE9" i="31"/>
  <c r="BE8" i="31"/>
  <c r="BF9" i="31"/>
  <c r="BF22" i="31"/>
  <c r="BF31" i="31"/>
  <c r="Q143" i="32"/>
  <c r="BL37" i="15"/>
  <c r="BE12" i="31"/>
  <c r="CG141" i="7"/>
  <c r="CG146" i="7"/>
  <c r="BE17" i="31"/>
  <c r="BE26" i="31"/>
  <c r="BE22" i="31"/>
  <c r="BE20" i="31"/>
  <c r="BF11" i="31"/>
  <c r="CG143" i="7"/>
  <c r="BE27" i="31"/>
  <c r="BL84" i="14"/>
  <c r="BT84" i="14" s="1"/>
  <c r="CL84" i="14" s="1"/>
  <c r="BS84" i="14"/>
  <c r="CK84" i="14" s="1"/>
  <c r="CW84" i="14" s="1"/>
  <c r="Q58" i="32"/>
  <c r="Q58" i="30"/>
  <c r="O58" i="32"/>
  <c r="O58" i="30"/>
  <c r="R58" i="32"/>
  <c r="R58" i="30"/>
  <c r="Q55" i="26"/>
  <c r="O55" i="32"/>
  <c r="O55" i="30"/>
  <c r="V51" i="26"/>
  <c r="T51" i="32"/>
  <c r="T51" i="30"/>
  <c r="R55" i="26"/>
  <c r="P55" i="32"/>
  <c r="P55" i="30"/>
  <c r="BE32" i="31"/>
  <c r="CG145" i="7"/>
  <c r="BH7" i="31"/>
  <c r="BH136" i="31" s="1"/>
  <c r="R78" i="26"/>
  <c r="P78" i="32"/>
  <c r="P78" i="30"/>
  <c r="Q78" i="26"/>
  <c r="O78" i="32"/>
  <c r="O78" i="30"/>
  <c r="R54" i="26"/>
  <c r="P54" i="32"/>
  <c r="P54" i="30"/>
  <c r="BE31" i="31"/>
  <c r="M48" i="22"/>
  <c r="S54" i="26"/>
  <c r="BV39" i="26" s="1"/>
  <c r="Q54" i="32"/>
  <c r="Q54" i="30"/>
  <c r="Q54" i="26"/>
  <c r="O54" i="32"/>
  <c r="O54" i="30"/>
  <c r="T55" i="26"/>
  <c r="R55" i="32"/>
  <c r="R55" i="30"/>
  <c r="BG116" i="31"/>
  <c r="T54" i="26"/>
  <c r="BW39" i="26" s="1"/>
  <c r="R54" i="32"/>
  <c r="R54" i="30"/>
  <c r="S55" i="26"/>
  <c r="Q55" i="32"/>
  <c r="Q55" i="30"/>
  <c r="P58" i="32"/>
  <c r="P58" i="30"/>
  <c r="BT84" i="7"/>
  <c r="CL84" i="7" s="1"/>
  <c r="M84" i="22" s="1"/>
  <c r="Q31" i="26"/>
  <c r="O31" i="32"/>
  <c r="O31" i="30"/>
  <c r="R31" i="26"/>
  <c r="P31" i="32"/>
  <c r="P31" i="30"/>
  <c r="BE18" i="31"/>
  <c r="J7" i="29"/>
  <c r="J136" i="29" s="1"/>
  <c r="CQ137" i="14"/>
  <c r="G12" i="29"/>
  <c r="BC45" i="16"/>
  <c r="BC45" i="31"/>
  <c r="BD13" i="27"/>
  <c r="BD13" i="31"/>
  <c r="BD117" i="16"/>
  <c r="BD117" i="31"/>
  <c r="BD19" i="16"/>
  <c r="BD19" i="31"/>
  <c r="BD115" i="16"/>
  <c r="BD115" i="31"/>
  <c r="T31" i="26"/>
  <c r="R31" i="32"/>
  <c r="R31" i="30"/>
  <c r="BC34" i="16"/>
  <c r="BC34" i="31"/>
  <c r="E7" i="29"/>
  <c r="E136" i="29" s="1"/>
  <c r="BC7" i="31"/>
  <c r="BF37" i="16"/>
  <c r="BF37" i="31"/>
  <c r="BD45" i="16"/>
  <c r="BD45" i="31"/>
  <c r="BC38" i="16"/>
  <c r="BC38" i="31"/>
  <c r="BD110" i="16"/>
  <c r="BD110" i="31"/>
  <c r="BF39" i="16"/>
  <c r="BF39" i="31"/>
  <c r="BF45" i="16"/>
  <c r="BF45" i="31"/>
  <c r="BC33" i="16"/>
  <c r="BC33" i="31"/>
  <c r="BC35" i="27"/>
  <c r="BC35" i="31"/>
  <c r="BB43" i="16"/>
  <c r="BB43" i="31"/>
  <c r="BC43" i="16"/>
  <c r="BC43" i="31"/>
  <c r="G44" i="29"/>
  <c r="BE44" i="31"/>
  <c r="BB23" i="16"/>
  <c r="BB23" i="31"/>
  <c r="BB45" i="16"/>
  <c r="BB45" i="31"/>
  <c r="BC116" i="16"/>
  <c r="BC116" i="31"/>
  <c r="S31" i="26"/>
  <c r="Q31" i="32"/>
  <c r="Q31" i="30"/>
  <c r="BC36" i="16"/>
  <c r="BC36" i="31"/>
  <c r="BC14" i="16"/>
  <c r="BC14" i="31"/>
  <c r="BB115" i="16"/>
  <c r="BB115" i="31"/>
  <c r="BC39" i="16"/>
  <c r="BC39" i="31"/>
  <c r="BC40" i="16"/>
  <c r="BC40" i="31"/>
  <c r="BD8" i="16"/>
  <c r="BD8" i="31"/>
  <c r="BD12" i="16"/>
  <c r="BD12" i="31"/>
  <c r="BC37" i="16"/>
  <c r="BC37" i="31"/>
  <c r="BC29" i="16"/>
  <c r="BC29" i="31"/>
  <c r="BC25" i="16"/>
  <c r="BC25" i="31"/>
  <c r="BB21" i="27"/>
  <c r="BB21" i="31"/>
  <c r="BD43" i="16"/>
  <c r="BD43" i="31"/>
  <c r="BB20" i="16"/>
  <c r="BB20" i="31"/>
  <c r="BB14" i="16"/>
  <c r="BB14" i="31"/>
  <c r="Y138" i="26"/>
  <c r="W138" i="30"/>
  <c r="W179" i="30" s="1"/>
  <c r="BE19" i="16"/>
  <c r="BE19" i="31"/>
  <c r="BB22" i="16"/>
  <c r="BB22" i="31"/>
  <c r="BD32" i="16"/>
  <c r="BD32" i="31"/>
  <c r="T78" i="26"/>
  <c r="R78" i="32"/>
  <c r="R78" i="30"/>
  <c r="BF42" i="16"/>
  <c r="BF42" i="31"/>
  <c r="BD26" i="16"/>
  <c r="BD26" i="31"/>
  <c r="BD38" i="16"/>
  <c r="BD38" i="31"/>
  <c r="BB114" i="16"/>
  <c r="BB114" i="31"/>
  <c r="BD17" i="16"/>
  <c r="BD17" i="31"/>
  <c r="BD24" i="16"/>
  <c r="BD24" i="31"/>
  <c r="BD113" i="16"/>
  <c r="BD113" i="31"/>
  <c r="BF34" i="16"/>
  <c r="BF34" i="31"/>
  <c r="BD42" i="16"/>
  <c r="BD42" i="31"/>
  <c r="BG110" i="16"/>
  <c r="BG110" i="31"/>
  <c r="AB138" i="26"/>
  <c r="Z138" i="30"/>
  <c r="Z179" i="30" s="1"/>
  <c r="BE45" i="16"/>
  <c r="BE45" i="31"/>
  <c r="BB34" i="16"/>
  <c r="BB34" i="31"/>
  <c r="BE37" i="16"/>
  <c r="BE37" i="31"/>
  <c r="H20" i="29"/>
  <c r="F20" i="29"/>
  <c r="G20" i="29"/>
  <c r="E18" i="29"/>
  <c r="F23" i="29"/>
  <c r="H12" i="29"/>
  <c r="BD31" i="16"/>
  <c r="BD31" i="31"/>
  <c r="I7" i="29"/>
  <c r="I136" i="29" s="1"/>
  <c r="BG7" i="31"/>
  <c r="BB17" i="16"/>
  <c r="BB17" i="31"/>
  <c r="AV174" i="12"/>
  <c r="BE113" i="16"/>
  <c r="BE113" i="31"/>
  <c r="BF111" i="16"/>
  <c r="BF111" i="31"/>
  <c r="BE11" i="16"/>
  <c r="BE11" i="31"/>
  <c r="BD27" i="16"/>
  <c r="BD27" i="31"/>
  <c r="BD44" i="16"/>
  <c r="BD44" i="31"/>
  <c r="BD29" i="16"/>
  <c r="BD29" i="31"/>
  <c r="BD11" i="16"/>
  <c r="BD11" i="31"/>
  <c r="BC111" i="16"/>
  <c r="BC111" i="31"/>
  <c r="BB117" i="16"/>
  <c r="BB117" i="31"/>
  <c r="BC110" i="16"/>
  <c r="BC110" i="31"/>
  <c r="BC44" i="16"/>
  <c r="BC44" i="31"/>
  <c r="BE34" i="16"/>
  <c r="BE34" i="31"/>
  <c r="BE111" i="16"/>
  <c r="BE111" i="31"/>
  <c r="AC138" i="26"/>
  <c r="AA138" i="30"/>
  <c r="AA179" i="30" s="1"/>
  <c r="Z138" i="26"/>
  <c r="X138" i="30"/>
  <c r="X179" i="30" s="1"/>
  <c r="BB15" i="16"/>
  <c r="BB15" i="31"/>
  <c r="BB9" i="16"/>
  <c r="BB9" i="31"/>
  <c r="BD36" i="16"/>
  <c r="BD36" i="31"/>
  <c r="BB37" i="27"/>
  <c r="BB37" i="31"/>
  <c r="BF114" i="16"/>
  <c r="BF114" i="31"/>
  <c r="BE38" i="16"/>
  <c r="BE38" i="31"/>
  <c r="BD40" i="16"/>
  <c r="BD40" i="31"/>
  <c r="U78" i="26"/>
  <c r="S78" i="32"/>
  <c r="S78" i="30"/>
  <c r="BB44" i="16"/>
  <c r="BB44" i="31"/>
  <c r="BF36" i="16"/>
  <c r="BF36" i="31"/>
  <c r="BD116" i="16"/>
  <c r="BD116" i="31"/>
  <c r="BB18" i="27"/>
  <c r="BB18" i="31"/>
  <c r="BF20" i="16"/>
  <c r="BF20" i="31"/>
  <c r="J42" i="29"/>
  <c r="BH42" i="31"/>
  <c r="BB31" i="27"/>
  <c r="BB31" i="31"/>
  <c r="BB138" i="31" s="1"/>
  <c r="BD14" i="16"/>
  <c r="BD14" i="31"/>
  <c r="BD39" i="16"/>
  <c r="BD39" i="31"/>
  <c r="BD37" i="16"/>
  <c r="BD37" i="31"/>
  <c r="BF116" i="16"/>
  <c r="BF116" i="31"/>
  <c r="BC8" i="16"/>
  <c r="BC8" i="31"/>
  <c r="BE30" i="16"/>
  <c r="BE30" i="31"/>
  <c r="U31" i="26"/>
  <c r="S31" i="32"/>
  <c r="S31" i="30"/>
  <c r="H44" i="29"/>
  <c r="BF44" i="31"/>
  <c r="BF17" i="16"/>
  <c r="BF17" i="31"/>
  <c r="D7" i="29"/>
  <c r="D136" i="29" s="1"/>
  <c r="BB7" i="31"/>
  <c r="F7" i="29"/>
  <c r="F136" i="29" s="1"/>
  <c r="BD7" i="31"/>
  <c r="BC31" i="16"/>
  <c r="BC31" i="31"/>
  <c r="BB116" i="16"/>
  <c r="BB116" i="31"/>
  <c r="BB12" i="16"/>
  <c r="BB12" i="31"/>
  <c r="BE36" i="16"/>
  <c r="BE36" i="31"/>
  <c r="BC32" i="16"/>
  <c r="BC32" i="31"/>
  <c r="BB24" i="16"/>
  <c r="BB24" i="31"/>
  <c r="AA138" i="26"/>
  <c r="Y138" i="30"/>
  <c r="Y179" i="30" s="1"/>
  <c r="BD34" i="16"/>
  <c r="BD34" i="31"/>
  <c r="BB113" i="16"/>
  <c r="BB113" i="31"/>
  <c r="BC9" i="16"/>
  <c r="BC9" i="31"/>
  <c r="BE29" i="16"/>
  <c r="BE29" i="31"/>
  <c r="H7" i="29"/>
  <c r="H136" i="29" s="1"/>
  <c r="BF7" i="31"/>
  <c r="BF14" i="16"/>
  <c r="BF14" i="31"/>
  <c r="S78" i="26"/>
  <c r="Q78" i="32"/>
  <c r="Q78" i="30"/>
  <c r="BF23" i="16"/>
  <c r="BF23" i="31"/>
  <c r="BD111" i="16"/>
  <c r="BD111" i="31"/>
  <c r="BD114" i="16"/>
  <c r="BD114" i="31"/>
  <c r="BE42" i="16"/>
  <c r="BE42" i="31"/>
  <c r="BC27" i="16"/>
  <c r="BC27" i="31"/>
  <c r="BF110" i="16"/>
  <c r="BF110" i="31"/>
  <c r="BG42" i="16"/>
  <c r="BG42" i="31"/>
  <c r="I44" i="29"/>
  <c r="BG44" i="31"/>
  <c r="BC12" i="16"/>
  <c r="BC12" i="31"/>
  <c r="BD21" i="16"/>
  <c r="BD21" i="31"/>
  <c r="BF24" i="16"/>
  <c r="BF24" i="31"/>
  <c r="BB40" i="16"/>
  <c r="BB40" i="31"/>
  <c r="BB43" i="27"/>
  <c r="H18" i="29"/>
  <c r="F16" i="29"/>
  <c r="E23" i="29"/>
  <c r="BD34" i="27"/>
  <c r="BF34" i="27"/>
  <c r="BF114" i="27"/>
  <c r="F114" i="29"/>
  <c r="F39" i="29"/>
  <c r="F42" i="29"/>
  <c r="E40" i="29"/>
  <c r="BE114" i="16"/>
  <c r="BE114" i="27"/>
  <c r="G114" i="29"/>
  <c r="G22" i="29"/>
  <c r="G25" i="29"/>
  <c r="G24" i="29"/>
  <c r="G21" i="29"/>
  <c r="E24" i="29"/>
  <c r="BC38" i="27"/>
  <c r="BE38" i="27"/>
  <c r="BC37" i="27"/>
  <c r="BF36" i="27"/>
  <c r="BE36" i="27"/>
  <c r="BC116" i="27"/>
  <c r="BC34" i="27"/>
  <c r="BB20" i="27"/>
  <c r="D24" i="29"/>
  <c r="BF110" i="27"/>
  <c r="E44" i="29"/>
  <c r="BB34" i="27"/>
  <c r="BC111" i="27"/>
  <c r="I110" i="29"/>
  <c r="BC110" i="27"/>
  <c r="AV171" i="12"/>
  <c r="BC41" i="16"/>
  <c r="E41" i="29"/>
  <c r="BC41" i="27"/>
  <c r="BB18" i="16"/>
  <c r="D18" i="29"/>
  <c r="BB35" i="16"/>
  <c r="D35" i="29"/>
  <c r="H11" i="29"/>
  <c r="G11" i="29"/>
  <c r="G14" i="29"/>
  <c r="F25" i="29"/>
  <c r="F9" i="29"/>
  <c r="E16" i="29"/>
  <c r="BB23" i="27"/>
  <c r="F111" i="29"/>
  <c r="E116" i="29"/>
  <c r="F110" i="29"/>
  <c r="BB114" i="27"/>
  <c r="D115" i="29"/>
  <c r="BE34" i="27"/>
  <c r="BB117" i="27"/>
  <c r="H110" i="29"/>
  <c r="D17" i="29"/>
  <c r="F45" i="29"/>
  <c r="BC44" i="27"/>
  <c r="E111" i="29"/>
  <c r="BG110" i="27"/>
  <c r="E110" i="29"/>
  <c r="G42" i="29"/>
  <c r="E38" i="29"/>
  <c r="G36" i="29"/>
  <c r="AV175" i="12"/>
  <c r="H34" i="29"/>
  <c r="BC42" i="16"/>
  <c r="E42" i="29"/>
  <c r="BB13" i="16"/>
  <c r="D13" i="29"/>
  <c r="H8" i="29"/>
  <c r="E19" i="29"/>
  <c r="G9" i="29"/>
  <c r="H19" i="29"/>
  <c r="E15" i="29"/>
  <c r="E17" i="29"/>
  <c r="F15" i="29"/>
  <c r="H22" i="29"/>
  <c r="H21" i="29"/>
  <c r="BE37" i="27"/>
  <c r="BG42" i="27"/>
  <c r="BE42" i="27"/>
  <c r="BC36" i="27"/>
  <c r="BD37" i="27"/>
  <c r="BD111" i="27"/>
  <c r="BE111" i="27"/>
  <c r="BD110" i="27"/>
  <c r="D114" i="29"/>
  <c r="BB115" i="27"/>
  <c r="G113" i="29"/>
  <c r="BC43" i="27"/>
  <c r="H45" i="29"/>
  <c r="D117" i="29"/>
  <c r="BD116" i="27"/>
  <c r="BB12" i="27"/>
  <c r="BD45" i="27"/>
  <c r="D23" i="29"/>
  <c r="D20" i="29"/>
  <c r="E45" i="29"/>
  <c r="G34" i="29"/>
  <c r="AV172" i="12"/>
  <c r="F37" i="29"/>
  <c r="BE116" i="16"/>
  <c r="BE116" i="27"/>
  <c r="G116" i="29"/>
  <c r="BB16" i="16"/>
  <c r="D16" i="29"/>
  <c r="BB16" i="27"/>
  <c r="BB10" i="16"/>
  <c r="D10" i="29"/>
  <c r="G19" i="29"/>
  <c r="G18" i="29"/>
  <c r="F8" i="29"/>
  <c r="F18" i="29"/>
  <c r="E9" i="29"/>
  <c r="BB113" i="27"/>
  <c r="BB44" i="27"/>
  <c r="G111" i="29"/>
  <c r="BB45" i="27"/>
  <c r="BB24" i="27"/>
  <c r="BE45" i="27"/>
  <c r="BE113" i="27"/>
  <c r="D15" i="29"/>
  <c r="E43" i="29"/>
  <c r="BF45" i="27"/>
  <c r="F113" i="29"/>
  <c r="F44" i="29"/>
  <c r="F116" i="29"/>
  <c r="BB22" i="27"/>
  <c r="F115" i="29"/>
  <c r="D22" i="29"/>
  <c r="BF111" i="27"/>
  <c r="BC45" i="27"/>
  <c r="F38" i="29"/>
  <c r="G37" i="29"/>
  <c r="H36" i="29"/>
  <c r="F34" i="29"/>
  <c r="AV169" i="12"/>
  <c r="AV176" i="12"/>
  <c r="H39" i="29"/>
  <c r="E36" i="29"/>
  <c r="BD41" i="16"/>
  <c r="F41" i="29"/>
  <c r="BD41" i="27"/>
  <c r="BD13" i="16"/>
  <c r="F13" i="29"/>
  <c r="BB19" i="16"/>
  <c r="D19" i="29"/>
  <c r="BE39" i="16"/>
  <c r="G39" i="29"/>
  <c r="BE39" i="27"/>
  <c r="BC35" i="16"/>
  <c r="E35" i="29"/>
  <c r="BC13" i="16"/>
  <c r="E13" i="29"/>
  <c r="G8" i="29"/>
  <c r="G26" i="29"/>
  <c r="H14" i="29"/>
  <c r="G17" i="29"/>
  <c r="E25" i="29"/>
  <c r="H17" i="29"/>
  <c r="H24" i="29"/>
  <c r="BF42" i="27"/>
  <c r="BF39" i="27"/>
  <c r="BC39" i="27"/>
  <c r="BF37" i="27"/>
  <c r="BB35" i="27"/>
  <c r="BC42" i="27"/>
  <c r="D113" i="29"/>
  <c r="D44" i="29"/>
  <c r="D45" i="29"/>
  <c r="BD40" i="27"/>
  <c r="H116" i="29"/>
  <c r="D14" i="29"/>
  <c r="G45" i="29"/>
  <c r="BD113" i="27"/>
  <c r="BD44" i="27"/>
  <c r="BD117" i="27"/>
  <c r="BD115" i="27"/>
  <c r="H111" i="29"/>
  <c r="BB116" i="27"/>
  <c r="E39" i="29"/>
  <c r="BB19" i="27"/>
  <c r="BB13" i="27"/>
  <c r="E34" i="29"/>
  <c r="I42" i="29"/>
  <c r="D34" i="29"/>
  <c r="AV168" i="12"/>
  <c r="AV167" i="12"/>
  <c r="BC13" i="27"/>
  <c r="F40" i="29"/>
  <c r="BB37" i="16"/>
  <c r="D37" i="29"/>
  <c r="H9" i="29"/>
  <c r="H23" i="29"/>
  <c r="BF116" i="27"/>
  <c r="BB9" i="27"/>
  <c r="D12" i="29"/>
  <c r="BC40" i="27"/>
  <c r="F117" i="29"/>
  <c r="F43" i="29"/>
  <c r="D116" i="29"/>
  <c r="BB10" i="27"/>
  <c r="G38" i="29"/>
  <c r="AV173" i="12"/>
  <c r="F36" i="29"/>
  <c r="BD35" i="16"/>
  <c r="F35" i="29"/>
  <c r="BE110" i="16"/>
  <c r="G110" i="29"/>
  <c r="BE110" i="27"/>
  <c r="BB21" i="16"/>
  <c r="D21" i="29"/>
  <c r="H25" i="29"/>
  <c r="F24" i="29"/>
  <c r="F17" i="29"/>
  <c r="E14" i="29"/>
  <c r="F14" i="29"/>
  <c r="BB15" i="27"/>
  <c r="BD35" i="27"/>
  <c r="BD38" i="27"/>
  <c r="BD39" i="27"/>
  <c r="BD36" i="27"/>
  <c r="BD42" i="27"/>
  <c r="BB17" i="27"/>
  <c r="BB14" i="27"/>
  <c r="D43" i="29"/>
  <c r="H114" i="29"/>
  <c r="D9" i="29"/>
  <c r="BD43" i="27"/>
  <c r="BD114" i="27"/>
  <c r="D40" i="29"/>
  <c r="E37" i="29"/>
  <c r="H42" i="29"/>
  <c r="AV177" i="12"/>
  <c r="H37" i="29"/>
  <c r="S7" i="26"/>
  <c r="S143" i="26" s="1"/>
  <c r="S158" i="26" s="1"/>
  <c r="Q7" i="30"/>
  <c r="Q143" i="30" s="1"/>
  <c r="Q158" i="30" s="1"/>
  <c r="W66" i="22"/>
  <c r="W114" i="22"/>
  <c r="W122" i="22"/>
  <c r="BG116" i="16"/>
  <c r="W62" i="22"/>
  <c r="W41" i="22"/>
  <c r="W121" i="22"/>
  <c r="W58" i="22"/>
  <c r="W129" i="22"/>
  <c r="W123" i="22"/>
  <c r="W63" i="22"/>
  <c r="W38" i="22"/>
  <c r="W46" i="22"/>
  <c r="W37" i="22"/>
  <c r="W111" i="22"/>
  <c r="W59" i="22"/>
  <c r="W43" i="22"/>
  <c r="W65" i="22"/>
  <c r="W35" i="22"/>
  <c r="W40" i="22"/>
  <c r="W130" i="22"/>
  <c r="W118" i="22"/>
  <c r="I116" i="29"/>
  <c r="BG116" i="27"/>
  <c r="W126" i="22"/>
  <c r="BF22" i="16"/>
  <c r="BF31" i="16"/>
  <c r="BF21" i="16"/>
  <c r="BC30" i="16"/>
  <c r="BC15" i="16"/>
  <c r="F30" i="29"/>
  <c r="G28" i="29"/>
  <c r="H28" i="29"/>
  <c r="F32" i="29"/>
  <c r="G30" i="29"/>
  <c r="F31" i="29"/>
  <c r="F27" i="29"/>
  <c r="BB32" i="16"/>
  <c r="D32" i="29"/>
  <c r="BB32" i="27"/>
  <c r="H33" i="29"/>
  <c r="G32" i="29"/>
  <c r="H31" i="29"/>
  <c r="F33" i="29"/>
  <c r="G33" i="29"/>
  <c r="BB33" i="16"/>
  <c r="D33" i="29"/>
  <c r="BB33" i="27"/>
  <c r="BB27" i="16"/>
  <c r="D27" i="29"/>
  <c r="E32" i="29"/>
  <c r="E31" i="29"/>
  <c r="BB31" i="16"/>
  <c r="D31" i="29"/>
  <c r="H29" i="29"/>
  <c r="G27" i="29"/>
  <c r="H27" i="29"/>
  <c r="G29" i="29"/>
  <c r="E29" i="29"/>
  <c r="E33" i="29"/>
  <c r="BB27" i="27"/>
  <c r="BC28" i="27"/>
  <c r="E28" i="29"/>
  <c r="BC23" i="16"/>
  <c r="BE28" i="16"/>
  <c r="BD22" i="27"/>
  <c r="F22" i="29"/>
  <c r="BC21" i="27"/>
  <c r="E21" i="29"/>
  <c r="BE23" i="16"/>
  <c r="G23" i="29"/>
  <c r="BF19" i="16"/>
  <c r="BD33" i="16"/>
  <c r="BD10" i="27"/>
  <c r="F10" i="29"/>
  <c r="BC20" i="27"/>
  <c r="E20" i="29"/>
  <c r="BC26" i="27"/>
  <c r="E26" i="29"/>
  <c r="BC30" i="27"/>
  <c r="E30" i="29"/>
  <c r="BF33" i="16"/>
  <c r="BE25" i="16"/>
  <c r="BC27" i="27"/>
  <c r="E27" i="29"/>
  <c r="BC11" i="27"/>
  <c r="E11" i="29"/>
  <c r="BC10" i="27"/>
  <c r="E10" i="29"/>
  <c r="BC22" i="27"/>
  <c r="E22" i="29"/>
  <c r="BD12" i="27"/>
  <c r="F12" i="29"/>
  <c r="BD29" i="27"/>
  <c r="F29" i="29"/>
  <c r="BE17" i="16"/>
  <c r="BD26" i="27"/>
  <c r="F26" i="29"/>
  <c r="BD28" i="27"/>
  <c r="F28" i="29"/>
  <c r="BD11" i="27"/>
  <c r="F11" i="29"/>
  <c r="BC8" i="27"/>
  <c r="E8" i="29"/>
  <c r="BD19" i="27"/>
  <c r="F19" i="29"/>
  <c r="BE9" i="16"/>
  <c r="BD21" i="27"/>
  <c r="F21" i="29"/>
  <c r="BC12" i="27"/>
  <c r="E12" i="29"/>
  <c r="CG142" i="7"/>
  <c r="BF44" i="16"/>
  <c r="BF44" i="27"/>
  <c r="BG44" i="16"/>
  <c r="BG44" i="27"/>
  <c r="BE44" i="16"/>
  <c r="BE44" i="27"/>
  <c r="CQ139" i="15"/>
  <c r="CR97" i="15"/>
  <c r="Q58" i="26"/>
  <c r="BC28" i="16"/>
  <c r="BH42" i="16"/>
  <c r="CV39" i="15"/>
  <c r="CS99" i="15"/>
  <c r="CS71" i="15"/>
  <c r="CT101" i="15"/>
  <c r="CR51" i="15"/>
  <c r="CR72" i="15"/>
  <c r="CU72" i="15"/>
  <c r="CT71" i="15"/>
  <c r="CU97" i="15"/>
  <c r="T58" i="26"/>
  <c r="CT139" i="15"/>
  <c r="BD20" i="16"/>
  <c r="BD23" i="16"/>
  <c r="CV35" i="15"/>
  <c r="CS69" i="15"/>
  <c r="CT72" i="15"/>
  <c r="CR70" i="15"/>
  <c r="CS70" i="15"/>
  <c r="BF29" i="16"/>
  <c r="CG67" i="15"/>
  <c r="BW96" i="15"/>
  <c r="CG96" i="15" s="1"/>
  <c r="CS68" i="15"/>
  <c r="CU70" i="15"/>
  <c r="CT68" i="15"/>
  <c r="CR71" i="15"/>
  <c r="BC18" i="16"/>
  <c r="BF27" i="16"/>
  <c r="CW42" i="15"/>
  <c r="BH42" i="27"/>
  <c r="CW38" i="15"/>
  <c r="BE33" i="16"/>
  <c r="CS52" i="15"/>
  <c r="CS141" i="15" s="1"/>
  <c r="CU71" i="15"/>
  <c r="CT97" i="15"/>
  <c r="S58" i="26"/>
  <c r="BD16" i="16"/>
  <c r="CS139" i="15"/>
  <c r="CR139" i="15"/>
  <c r="CW37" i="15"/>
  <c r="CS72" i="15"/>
  <c r="CT70" i="15"/>
  <c r="CT69" i="15"/>
  <c r="CR68" i="15"/>
  <c r="CF67" i="15"/>
  <c r="BV96" i="15"/>
  <c r="CF96" i="15" s="1"/>
  <c r="CR99" i="15"/>
  <c r="CI67" i="15"/>
  <c r="CI142" i="15" s="1"/>
  <c r="BY96" i="15"/>
  <c r="CI96" i="15" s="1"/>
  <c r="CU101" i="15"/>
  <c r="CV41" i="15"/>
  <c r="CW36" i="15"/>
  <c r="BE8" i="16"/>
  <c r="BD30" i="16"/>
  <c r="CW40" i="15"/>
  <c r="CT52" i="15"/>
  <c r="CS97" i="15"/>
  <c r="R58" i="26"/>
  <c r="CT99" i="15"/>
  <c r="CH67" i="15"/>
  <c r="BX96" i="15"/>
  <c r="CH96" i="15" s="1"/>
  <c r="CR69" i="15"/>
  <c r="CU99" i="15"/>
  <c r="CU69" i="15"/>
  <c r="CU68" i="15"/>
  <c r="CU139" i="15"/>
  <c r="CU51" i="15"/>
  <c r="CU28" i="15"/>
  <c r="BF28" i="27"/>
  <c r="CT32" i="15"/>
  <c r="BE32" i="27"/>
  <c r="CT27" i="15"/>
  <c r="BE27" i="27"/>
  <c r="BE32" i="16"/>
  <c r="CT31" i="15"/>
  <c r="BE31" i="27"/>
  <c r="CR29" i="15"/>
  <c r="BC29" i="27"/>
  <c r="CR33" i="15"/>
  <c r="BC33" i="27"/>
  <c r="CU30" i="15"/>
  <c r="CU29" i="15"/>
  <c r="BF29" i="27"/>
  <c r="CT33" i="15"/>
  <c r="BE33" i="27"/>
  <c r="CU27" i="15"/>
  <c r="BF27" i="27"/>
  <c r="CS30" i="15"/>
  <c r="BD30" i="27"/>
  <c r="CT28" i="15"/>
  <c r="BE28" i="27"/>
  <c r="BE27" i="16"/>
  <c r="CU32" i="15"/>
  <c r="CS32" i="15"/>
  <c r="BD32" i="27"/>
  <c r="CS28" i="15"/>
  <c r="CT29" i="15"/>
  <c r="BE29" i="27"/>
  <c r="CS31" i="15"/>
  <c r="BD31" i="27"/>
  <c r="CS27" i="15"/>
  <c r="BD27" i="27"/>
  <c r="CG138" i="15"/>
  <c r="CU31" i="15"/>
  <c r="BF31" i="27"/>
  <c r="CS33" i="15"/>
  <c r="BD33" i="27"/>
  <c r="BF28" i="16"/>
  <c r="CR32" i="15"/>
  <c r="BC32" i="27"/>
  <c r="BD28" i="16"/>
  <c r="CU33" i="15"/>
  <c r="BF33" i="27"/>
  <c r="CT30" i="15"/>
  <c r="BE30" i="27"/>
  <c r="CR31" i="15"/>
  <c r="BC31" i="27"/>
  <c r="BE31" i="16"/>
  <c r="CR21" i="15"/>
  <c r="BD22" i="16"/>
  <c r="BF11" i="16"/>
  <c r="BC24" i="16"/>
  <c r="CS22" i="15"/>
  <c r="BE21" i="16"/>
  <c r="BE24" i="16"/>
  <c r="BC21" i="16"/>
  <c r="CS10" i="15"/>
  <c r="BD9" i="16"/>
  <c r="CR26" i="15"/>
  <c r="CR20" i="15"/>
  <c r="BE18" i="16"/>
  <c r="BF18" i="16"/>
  <c r="BD25" i="16"/>
  <c r="BD10" i="16"/>
  <c r="BC26" i="16"/>
  <c r="BF9" i="16"/>
  <c r="BE14" i="16"/>
  <c r="BC20" i="16"/>
  <c r="BC16" i="16"/>
  <c r="CU25" i="15"/>
  <c r="BF25" i="27"/>
  <c r="CR17" i="15"/>
  <c r="BC17" i="27"/>
  <c r="CS15" i="15"/>
  <c r="BD15" i="27"/>
  <c r="CU16" i="15"/>
  <c r="CT9" i="15"/>
  <c r="BE9" i="27"/>
  <c r="CS8" i="15"/>
  <c r="BD8" i="27"/>
  <c r="BD18" i="16"/>
  <c r="CR10" i="15"/>
  <c r="CU20" i="15"/>
  <c r="BF20" i="27"/>
  <c r="CT17" i="15"/>
  <c r="BE17" i="27"/>
  <c r="CU14" i="15"/>
  <c r="BF14" i="27"/>
  <c r="CR25" i="15"/>
  <c r="BC25" i="27"/>
  <c r="CU17" i="15"/>
  <c r="BF17" i="27"/>
  <c r="CU24" i="15"/>
  <c r="BF24" i="27"/>
  <c r="CU12" i="15"/>
  <c r="BF12" i="27"/>
  <c r="CT22" i="15"/>
  <c r="BE22" i="27"/>
  <c r="CT23" i="15"/>
  <c r="BE23" i="27"/>
  <c r="CS18" i="15"/>
  <c r="BD18" i="27"/>
  <c r="CT15" i="15"/>
  <c r="CR9" i="15"/>
  <c r="BC9" i="27"/>
  <c r="BF8" i="16"/>
  <c r="BE26" i="16"/>
  <c r="BC11" i="16"/>
  <c r="CU13" i="15"/>
  <c r="CT25" i="15"/>
  <c r="BE25" i="27"/>
  <c r="CU23" i="15"/>
  <c r="BF23" i="27"/>
  <c r="CT12" i="15"/>
  <c r="BE12" i="27"/>
  <c r="CR19" i="15"/>
  <c r="BC19" i="27"/>
  <c r="CU26" i="15"/>
  <c r="BD15" i="16"/>
  <c r="BC10" i="16"/>
  <c r="BE22" i="16"/>
  <c r="CR11" i="15"/>
  <c r="CU22" i="15"/>
  <c r="BF22" i="27"/>
  <c r="CU21" i="15"/>
  <c r="BF21" i="27"/>
  <c r="CT19" i="15"/>
  <c r="BE19" i="27"/>
  <c r="CT11" i="15"/>
  <c r="BE11" i="27"/>
  <c r="CS24" i="15"/>
  <c r="BD24" i="27"/>
  <c r="CS17" i="15"/>
  <c r="BD17" i="27"/>
  <c r="CR14" i="15"/>
  <c r="BC14" i="27"/>
  <c r="CS14" i="15"/>
  <c r="BD14" i="27"/>
  <c r="BF25" i="16"/>
  <c r="BF12" i="16"/>
  <c r="BE12" i="16"/>
  <c r="CU15" i="15"/>
  <c r="CT8" i="15"/>
  <c r="BE8" i="27"/>
  <c r="CS20" i="15"/>
  <c r="BD20" i="27"/>
  <c r="CS16" i="15"/>
  <c r="BD16" i="27"/>
  <c r="CT20" i="15"/>
  <c r="BE20" i="27"/>
  <c r="CR23" i="15"/>
  <c r="BC23" i="27"/>
  <c r="CR18" i="15"/>
  <c r="BC18" i="27"/>
  <c r="CS23" i="15"/>
  <c r="BD23" i="27"/>
  <c r="BC17" i="16"/>
  <c r="CU11" i="15"/>
  <c r="BF11" i="27"/>
  <c r="CU10" i="15"/>
  <c r="CT16" i="15"/>
  <c r="CT10" i="15"/>
  <c r="CT24" i="15"/>
  <c r="BE24" i="27"/>
  <c r="CT21" i="15"/>
  <c r="BE21" i="27"/>
  <c r="CT13" i="15"/>
  <c r="CR24" i="15"/>
  <c r="BC24" i="27"/>
  <c r="CU8" i="15"/>
  <c r="BF8" i="27"/>
  <c r="CT26" i="15"/>
  <c r="BE26" i="27"/>
  <c r="CR15" i="15"/>
  <c r="BC15" i="27"/>
  <c r="BC19" i="16"/>
  <c r="BC22" i="16"/>
  <c r="BE20" i="16"/>
  <c r="CU9" i="15"/>
  <c r="BF9" i="27"/>
  <c r="CU19" i="15"/>
  <c r="BF19" i="27"/>
  <c r="CU18" i="15"/>
  <c r="BF18" i="27"/>
  <c r="CT18" i="15"/>
  <c r="BE18" i="27"/>
  <c r="CT14" i="15"/>
  <c r="BE14" i="27"/>
  <c r="CS25" i="15"/>
  <c r="BD25" i="27"/>
  <c r="CS9" i="15"/>
  <c r="BD9" i="27"/>
  <c r="CR16" i="15"/>
  <c r="BC16" i="27"/>
  <c r="BC7" i="16"/>
  <c r="BC136" i="16" s="1"/>
  <c r="BC7" i="27"/>
  <c r="BG7" i="16"/>
  <c r="BG136" i="16" s="1"/>
  <c r="BG7" i="27"/>
  <c r="BF7" i="16"/>
  <c r="BF136" i="16" s="1"/>
  <c r="BF7" i="27"/>
  <c r="BB7" i="16"/>
  <c r="BB136" i="16" s="1"/>
  <c r="BB7" i="27"/>
  <c r="BD7" i="16"/>
  <c r="BD136" i="16" s="1"/>
  <c r="BD7" i="27"/>
  <c r="BH7" i="16"/>
  <c r="BH136" i="16" s="1"/>
  <c r="BH7" i="27"/>
  <c r="BE136" i="27"/>
  <c r="AM46" i="12"/>
  <c r="AL46" i="12" a="1"/>
  <c r="AL46" i="12" s="1"/>
  <c r="AK46" i="12"/>
  <c r="CH142" i="15"/>
  <c r="CG141" i="15"/>
  <c r="CF137" i="15"/>
  <c r="CF138" i="15"/>
  <c r="CR28" i="15"/>
  <c r="CR12" i="15"/>
  <c r="X62" i="24"/>
  <c r="AY62" i="24"/>
  <c r="AZ62" i="24"/>
  <c r="CP62" i="24" s="1"/>
  <c r="G47" i="22" s="1"/>
  <c r="BA62" i="24"/>
  <c r="AM62" i="24"/>
  <c r="AK62" i="24"/>
  <c r="CD62" i="24" s="1"/>
  <c r="AL62" i="24"/>
  <c r="CH61" i="24"/>
  <c r="CG61" i="24"/>
  <c r="CF61" i="24"/>
  <c r="CL61" i="24"/>
  <c r="CX61" i="24" s="1"/>
  <c r="CJ61" i="24"/>
  <c r="CV61" i="24" s="1"/>
  <c r="CI61" i="24"/>
  <c r="CE61" i="24"/>
  <c r="CK61" i="24"/>
  <c r="CW61" i="24" s="1"/>
  <c r="CQ138" i="14"/>
  <c r="CR52" i="15"/>
  <c r="CF141" i="15"/>
  <c r="CS12" i="15"/>
  <c r="CG137" i="15"/>
  <c r="BZ11" i="15"/>
  <c r="BZ69" i="15"/>
  <c r="CJ69" i="15" s="1"/>
  <c r="BZ21" i="15"/>
  <c r="CJ21" i="15" s="1"/>
  <c r="BZ101" i="15"/>
  <c r="CJ101" i="15" s="1"/>
  <c r="BZ97" i="15"/>
  <c r="CJ97" i="15" s="1"/>
  <c r="BZ19" i="15"/>
  <c r="CJ19" i="15" s="1"/>
  <c r="BZ23" i="15"/>
  <c r="CJ23" i="15" s="1"/>
  <c r="BG23" i="31" s="1"/>
  <c r="BZ52" i="15"/>
  <c r="CJ52" i="15" s="1"/>
  <c r="BZ16" i="15"/>
  <c r="CJ16" i="15" s="1"/>
  <c r="BZ30" i="15"/>
  <c r="CJ30" i="15" s="1"/>
  <c r="BZ20" i="15"/>
  <c r="CJ20" i="15" s="1"/>
  <c r="I20" i="29" s="1"/>
  <c r="CI157" i="7"/>
  <c r="CI154" i="7"/>
  <c r="CI159" i="7"/>
  <c r="CI160" i="7"/>
  <c r="CI155" i="7"/>
  <c r="CI158" i="7"/>
  <c r="CI156" i="7"/>
  <c r="CI153" i="7"/>
  <c r="CI161" i="7"/>
  <c r="BZ72" i="15"/>
  <c r="CJ72" i="15" s="1"/>
  <c r="BZ10" i="15"/>
  <c r="CJ10" i="15" s="1"/>
  <c r="BZ22" i="15"/>
  <c r="CJ22" i="15" s="1"/>
  <c r="BZ67" i="15"/>
  <c r="BZ26" i="15"/>
  <c r="CJ26" i="15" s="1"/>
  <c r="BZ17" i="15"/>
  <c r="CJ17" i="15" s="1"/>
  <c r="BG17" i="31" s="1"/>
  <c r="BZ8" i="15"/>
  <c r="CJ8" i="15" s="1"/>
  <c r="BZ14" i="15"/>
  <c r="CJ14" i="15" s="1"/>
  <c r="BZ15" i="15"/>
  <c r="CJ15" i="15" s="1"/>
  <c r="BZ33" i="15"/>
  <c r="CJ33" i="15" s="1"/>
  <c r="BZ9" i="15"/>
  <c r="CJ9" i="15" s="1"/>
  <c r="BG9" i="31" s="1"/>
  <c r="BZ24" i="15"/>
  <c r="CJ24" i="15" s="1"/>
  <c r="BG24" i="31" s="1"/>
  <c r="BZ31" i="15"/>
  <c r="CJ31" i="15" s="1"/>
  <c r="I31" i="29" s="1"/>
  <c r="BZ18" i="15"/>
  <c r="CJ18" i="15" s="1"/>
  <c r="BZ29" i="15"/>
  <c r="CJ29" i="15" s="1"/>
  <c r="BZ13" i="15"/>
  <c r="CJ13" i="15" s="1"/>
  <c r="BZ70" i="15"/>
  <c r="CJ70" i="15" s="1"/>
  <c r="BZ68" i="15"/>
  <c r="CJ68" i="15" s="1"/>
  <c r="BZ28" i="15"/>
  <c r="CJ28" i="15" s="1"/>
  <c r="BZ25" i="15"/>
  <c r="CJ25" i="15" s="1"/>
  <c r="BZ51" i="15"/>
  <c r="CJ51" i="15" s="1"/>
  <c r="BZ99" i="15"/>
  <c r="CJ99" i="15" s="1"/>
  <c r="BZ32" i="15"/>
  <c r="CJ32" i="15" s="1"/>
  <c r="BZ71" i="15"/>
  <c r="CJ71" i="15" s="1"/>
  <c r="BZ12" i="15"/>
  <c r="CJ12" i="15" s="1"/>
  <c r="BZ27" i="15"/>
  <c r="CJ27" i="15" s="1"/>
  <c r="BG27" i="31" s="1"/>
  <c r="BI136" i="12"/>
  <c r="BI181" i="12" s="1"/>
  <c r="BH136" i="12"/>
  <c r="BH181" i="12" s="1"/>
  <c r="T7" i="32" s="1"/>
  <c r="T143" i="32" s="1"/>
  <c r="CS138" i="14"/>
  <c r="CV138" i="14"/>
  <c r="CU138" i="14"/>
  <c r="CT138" i="14"/>
  <c r="CQ145" i="15"/>
  <c r="BL8" i="14"/>
  <c r="BT8" i="14" s="1"/>
  <c r="BS8" i="14"/>
  <c r="BS62" i="15"/>
  <c r="CK62" i="15" s="1"/>
  <c r="CW62" i="15" s="1"/>
  <c r="BL62" i="15"/>
  <c r="BT62" i="15" s="1"/>
  <c r="CL62" i="15" s="1"/>
  <c r="BL9" i="14"/>
  <c r="BT9" i="14" s="1"/>
  <c r="BS9" i="14"/>
  <c r="CH137" i="15"/>
  <c r="CI137" i="15"/>
  <c r="CH141" i="15"/>
  <c r="CU52" i="15"/>
  <c r="CI141" i="15"/>
  <c r="CT51" i="15"/>
  <c r="CH138" i="15"/>
  <c r="CI138" i="15"/>
  <c r="BT34" i="15"/>
  <c r="CL34" i="15" s="1"/>
  <c r="BS39" i="15"/>
  <c r="CK39" i="15" s="1"/>
  <c r="BL39" i="15"/>
  <c r="BL22" i="15"/>
  <c r="BT22" i="15" s="1"/>
  <c r="BS22" i="15"/>
  <c r="BT42" i="15"/>
  <c r="CL42" i="15" s="1"/>
  <c r="BI42" i="27" s="1"/>
  <c r="BT37" i="15"/>
  <c r="CL37" i="15" s="1"/>
  <c r="BT38" i="15"/>
  <c r="CL38" i="15" s="1"/>
  <c r="BS87" i="15"/>
  <c r="CK87" i="15" s="1"/>
  <c r="CW87" i="15" s="1"/>
  <c r="BL87" i="15"/>
  <c r="BT87" i="15" s="1"/>
  <c r="CL87" i="15" s="1"/>
  <c r="BT40" i="15"/>
  <c r="CL40" i="15" s="1"/>
  <c r="CJ11" i="15"/>
  <c r="I11" i="29" s="1"/>
  <c r="BS41" i="15"/>
  <c r="CK41" i="15" s="1"/>
  <c r="BL41" i="15"/>
  <c r="BT36" i="15"/>
  <c r="CL36" i="15" s="1"/>
  <c r="CJ142" i="14"/>
  <c r="CV145" i="15"/>
  <c r="CX14" i="14"/>
  <c r="W14" i="22"/>
  <c r="CX18" i="14"/>
  <c r="W18" i="22"/>
  <c r="CX20" i="14"/>
  <c r="W20" i="22"/>
  <c r="CX25" i="14"/>
  <c r="W25" i="22"/>
  <c r="CX23" i="14"/>
  <c r="W23" i="22"/>
  <c r="CX30" i="14"/>
  <c r="W30" i="22"/>
  <c r="CX15" i="14"/>
  <c r="W15" i="22"/>
  <c r="CX12" i="14"/>
  <c r="W12" i="22"/>
  <c r="CX29" i="14"/>
  <c r="W29" i="22"/>
  <c r="CX22" i="14"/>
  <c r="W22" i="22"/>
  <c r="CX10" i="14"/>
  <c r="W10" i="22"/>
  <c r="CX104" i="15"/>
  <c r="AB104" i="22"/>
  <c r="CX56" i="15"/>
  <c r="AB56" i="22"/>
  <c r="CX64" i="15"/>
  <c r="AB64" i="22"/>
  <c r="H138" i="22"/>
  <c r="CX86" i="15"/>
  <c r="AB86" i="22"/>
  <c r="CX122" i="15"/>
  <c r="AB122" i="22"/>
  <c r="CX108" i="15"/>
  <c r="AB108" i="22"/>
  <c r="CX63" i="15"/>
  <c r="AB63" i="22"/>
  <c r="CX44" i="15"/>
  <c r="AB44" i="22"/>
  <c r="CX66" i="15"/>
  <c r="AB66" i="22"/>
  <c r="CX95" i="15"/>
  <c r="AB95" i="22"/>
  <c r="CX57" i="15"/>
  <c r="AB57" i="22"/>
  <c r="CX82" i="15"/>
  <c r="AB82" i="22"/>
  <c r="CX81" i="15"/>
  <c r="AB81" i="22"/>
  <c r="CX75" i="15"/>
  <c r="AB75" i="22"/>
  <c r="CX90" i="15"/>
  <c r="AB90" i="22"/>
  <c r="CX83" i="15"/>
  <c r="AB83" i="22"/>
  <c r="CX48" i="15"/>
  <c r="AB48" i="22"/>
  <c r="CX46" i="15"/>
  <c r="AB46" i="22"/>
  <c r="CX60" i="15"/>
  <c r="AB60" i="22"/>
  <c r="CX130" i="15"/>
  <c r="AB130" i="22"/>
  <c r="CX88" i="15"/>
  <c r="AB88" i="22"/>
  <c r="CX114" i="15"/>
  <c r="AB114" i="22"/>
  <c r="P10" i="22"/>
  <c r="CP10" i="3"/>
  <c r="Q10" i="22" s="1"/>
  <c r="CT143" i="14"/>
  <c r="CJ139" i="15"/>
  <c r="BL59" i="15"/>
  <c r="BT59" i="15" s="1"/>
  <c r="CL59" i="15" s="1"/>
  <c r="BS59" i="15"/>
  <c r="CK59" i="15" s="1"/>
  <c r="CW59" i="15" s="1"/>
  <c r="CK35" i="15"/>
  <c r="BL35" i="15"/>
  <c r="CJ145" i="15"/>
  <c r="BL77" i="15"/>
  <c r="BT77" i="15" s="1"/>
  <c r="CL77" i="15" s="1"/>
  <c r="BS77" i="15"/>
  <c r="CK77" i="15" s="1"/>
  <c r="CW77" i="15" s="1"/>
  <c r="BL56" i="14"/>
  <c r="BT56" i="14" s="1"/>
  <c r="BS56" i="14"/>
  <c r="BL72" i="14"/>
  <c r="BT72" i="14" s="1"/>
  <c r="CL72" i="14" s="1"/>
  <c r="BS72" i="14"/>
  <c r="CK72" i="14" s="1"/>
  <c r="CW72" i="14" s="1"/>
  <c r="CG142" i="3"/>
  <c r="H24" i="22"/>
  <c r="BS97" i="15"/>
  <c r="BL97" i="15"/>
  <c r="BT97" i="15" s="1"/>
  <c r="BL23" i="15"/>
  <c r="BT23" i="15" s="1"/>
  <c r="BS23" i="15"/>
  <c r="BS101" i="15"/>
  <c r="BL101" i="15"/>
  <c r="BT101" i="15" s="1"/>
  <c r="BL107" i="15"/>
  <c r="BT107" i="15" s="1"/>
  <c r="CL107" i="15" s="1"/>
  <c r="BS107" i="15"/>
  <c r="CK107" i="15" s="1"/>
  <c r="CW107" i="15" s="1"/>
  <c r="BL129" i="15"/>
  <c r="BT129" i="15" s="1"/>
  <c r="BS129" i="15"/>
  <c r="BL125" i="15"/>
  <c r="BT125" i="15" s="1"/>
  <c r="BS125" i="15"/>
  <c r="BL15" i="15"/>
  <c r="BT15" i="15" s="1"/>
  <c r="BS15" i="15"/>
  <c r="CJ144" i="15"/>
  <c r="CJ140" i="15"/>
  <c r="BL121" i="15"/>
  <c r="BT121" i="15" s="1"/>
  <c r="BS121" i="15"/>
  <c r="BS80" i="15"/>
  <c r="CK80" i="15" s="1"/>
  <c r="CW80" i="15" s="1"/>
  <c r="BL80" i="15"/>
  <c r="BT80" i="15" s="1"/>
  <c r="CL80" i="15" s="1"/>
  <c r="BL51" i="15"/>
  <c r="BT51" i="15" s="1"/>
  <c r="BS51" i="15"/>
  <c r="BL131" i="15"/>
  <c r="BT131" i="15" s="1"/>
  <c r="CL131" i="15" s="1"/>
  <c r="BS131" i="15"/>
  <c r="CK131" i="15" s="1"/>
  <c r="CW131" i="15" s="1"/>
  <c r="BS128" i="15"/>
  <c r="BL128" i="15"/>
  <c r="BT128" i="15" s="1"/>
  <c r="BS123" i="15"/>
  <c r="CK123" i="15" s="1"/>
  <c r="CW123" i="15" s="1"/>
  <c r="CW145" i="15" s="1"/>
  <c r="BL123" i="15"/>
  <c r="BT123" i="15" s="1"/>
  <c r="CL123" i="15" s="1"/>
  <c r="BL73" i="15"/>
  <c r="BT73" i="15" s="1"/>
  <c r="CL73" i="15" s="1"/>
  <c r="BS73" i="15"/>
  <c r="CK73" i="15" s="1"/>
  <c r="CW73" i="15" s="1"/>
  <c r="BS76" i="15"/>
  <c r="CK76" i="15" s="1"/>
  <c r="CW76" i="15" s="1"/>
  <c r="BL76" i="15"/>
  <c r="BT76" i="15" s="1"/>
  <c r="CL76" i="15" s="1"/>
  <c r="BL30" i="15"/>
  <c r="BT30" i="15" s="1"/>
  <c r="BS30" i="15"/>
  <c r="BS61" i="15"/>
  <c r="CK61" i="15" s="1"/>
  <c r="CW61" i="15" s="1"/>
  <c r="BL61" i="15"/>
  <c r="BT61" i="15" s="1"/>
  <c r="CL61" i="15" s="1"/>
  <c r="BL47" i="15"/>
  <c r="BT47" i="15" s="1"/>
  <c r="CL47" i="15" s="1"/>
  <c r="BS47" i="15"/>
  <c r="CK47" i="15" s="1"/>
  <c r="BL113" i="14"/>
  <c r="BT113" i="14" s="1"/>
  <c r="BS113" i="14"/>
  <c r="BS88" i="14"/>
  <c r="CK88" i="14" s="1"/>
  <c r="CW88" i="14" s="1"/>
  <c r="BL88" i="14"/>
  <c r="BT88" i="14" s="1"/>
  <c r="CL88" i="14" s="1"/>
  <c r="BL76" i="14"/>
  <c r="BT76" i="14" s="1"/>
  <c r="CL76" i="14" s="1"/>
  <c r="BS76" i="14"/>
  <c r="CK76" i="14" s="1"/>
  <c r="CW76" i="14" s="1"/>
  <c r="BL68" i="14"/>
  <c r="BT68" i="14" s="1"/>
  <c r="BS68" i="14"/>
  <c r="BS44" i="14"/>
  <c r="CK44" i="14" s="1"/>
  <c r="BH44" i="31" s="1"/>
  <c r="BL44" i="14"/>
  <c r="BT44" i="14" s="1"/>
  <c r="CL44" i="14" s="1"/>
  <c r="K44" i="29" s="1"/>
  <c r="BL102" i="14"/>
  <c r="BT102" i="14" s="1"/>
  <c r="BS102" i="14"/>
  <c r="CK102" i="14" s="1"/>
  <c r="CW102" i="14" s="1"/>
  <c r="BL117" i="14"/>
  <c r="BT117" i="14" s="1"/>
  <c r="BS117" i="14"/>
  <c r="BL49" i="14"/>
  <c r="BT49" i="14" s="1"/>
  <c r="BS49" i="14"/>
  <c r="BL98" i="14"/>
  <c r="BT98" i="14" s="1"/>
  <c r="CL98" i="14" s="1"/>
  <c r="BS98" i="14"/>
  <c r="CK98" i="14" s="1"/>
  <c r="CW98" i="14" s="1"/>
  <c r="BL52" i="14"/>
  <c r="BT52" i="14" s="1"/>
  <c r="CL52" i="14" s="1"/>
  <c r="BS52" i="14"/>
  <c r="CK52" i="14" s="1"/>
  <c r="CW52" i="14" s="1"/>
  <c r="CG139" i="3"/>
  <c r="BE43" i="12"/>
  <c r="CG146" i="3"/>
  <c r="CG144" i="3"/>
  <c r="CH138" i="3"/>
  <c r="CG140" i="3"/>
  <c r="CG137" i="3"/>
  <c r="CG143" i="3"/>
  <c r="CG141" i="3"/>
  <c r="BD137" i="12"/>
  <c r="BC137" i="12"/>
  <c r="BD136" i="12"/>
  <c r="BD181" i="12" s="1"/>
  <c r="P7" i="32" s="1"/>
  <c r="P143" i="32" s="1"/>
  <c r="BC139" i="12"/>
  <c r="BB136" i="12"/>
  <c r="BB181" i="12" s="1"/>
  <c r="BC138" i="12"/>
  <c r="BB138" i="12"/>
  <c r="BC136" i="12"/>
  <c r="BC181" i="12" s="1"/>
  <c r="O7" i="32" s="1"/>
  <c r="O143" i="32" s="1"/>
  <c r="BD138" i="12"/>
  <c r="BB139" i="12"/>
  <c r="BG136" i="12"/>
  <c r="BG181" i="12" s="1"/>
  <c r="S7" i="32" s="1"/>
  <c r="S143" i="32" s="1"/>
  <c r="BF136" i="12"/>
  <c r="BF181" i="12" s="1"/>
  <c r="R7" i="32" s="1"/>
  <c r="R143" i="32" s="1"/>
  <c r="BD139" i="12"/>
  <c r="BE138" i="12"/>
  <c r="BB137" i="12"/>
  <c r="CU139" i="14"/>
  <c r="CU146" i="15"/>
  <c r="CQ141" i="14"/>
  <c r="CV141" i="14"/>
  <c r="CT145" i="14"/>
  <c r="CV136" i="14"/>
  <c r="CT142" i="14"/>
  <c r="CT146" i="14"/>
  <c r="CU144" i="14"/>
  <c r="CT141" i="14"/>
  <c r="CT144" i="14"/>
  <c r="CS142" i="14"/>
  <c r="CS139" i="14"/>
  <c r="CS144" i="14"/>
  <c r="CS141" i="14"/>
  <c r="CU146" i="14"/>
  <c r="CX113" i="15"/>
  <c r="CV112" i="15"/>
  <c r="CV144" i="15" s="1"/>
  <c r="CW84" i="15"/>
  <c r="CX89" i="15"/>
  <c r="CW98" i="15"/>
  <c r="CW89" i="15"/>
  <c r="CV74" i="15"/>
  <c r="CW102" i="15"/>
  <c r="CX98" i="15"/>
  <c r="CX84" i="15"/>
  <c r="CX102" i="15"/>
  <c r="CW46" i="14"/>
  <c r="CW105" i="14"/>
  <c r="CW71" i="14"/>
  <c r="CS143" i="14"/>
  <c r="CR139" i="14"/>
  <c r="CX99" i="14"/>
  <c r="CX63" i="14"/>
  <c r="CW41" i="14"/>
  <c r="CW100" i="14"/>
  <c r="CW86" i="14"/>
  <c r="CX126" i="14"/>
  <c r="CX130" i="14"/>
  <c r="CX35" i="14"/>
  <c r="CS145" i="14"/>
  <c r="CW81" i="14"/>
  <c r="CX69" i="14"/>
  <c r="CQ144" i="14"/>
  <c r="CX95" i="14"/>
  <c r="CU140" i="14"/>
  <c r="CX123" i="14"/>
  <c r="CQ146" i="14"/>
  <c r="CX71" i="14"/>
  <c r="CW104" i="14"/>
  <c r="CR144" i="14"/>
  <c r="CW40" i="14"/>
  <c r="CX41" i="14"/>
  <c r="CW38" i="14"/>
  <c r="CV39" i="14"/>
  <c r="CW126" i="14"/>
  <c r="CU142" i="14"/>
  <c r="CW130" i="14"/>
  <c r="CW35" i="14"/>
  <c r="CV142" i="14"/>
  <c r="CX81" i="14"/>
  <c r="CW37" i="14"/>
  <c r="CW129" i="14"/>
  <c r="CU143" i="14"/>
  <c r="CR146" i="14"/>
  <c r="CT139" i="14"/>
  <c r="CX91" i="14"/>
  <c r="CX104" i="14"/>
  <c r="CX40" i="14"/>
  <c r="CT140" i="14"/>
  <c r="CX38" i="14"/>
  <c r="CV101" i="14"/>
  <c r="CV143" i="14" s="1"/>
  <c r="CU141" i="14"/>
  <c r="CW66" i="14"/>
  <c r="CW114" i="14"/>
  <c r="CX37" i="14"/>
  <c r="CX129" i="14"/>
  <c r="CW107" i="14"/>
  <c r="CX122" i="14"/>
  <c r="CR141" i="14"/>
  <c r="CW99" i="14"/>
  <c r="CX100" i="14"/>
  <c r="CX92" i="14"/>
  <c r="CW91" i="14"/>
  <c r="CV50" i="14"/>
  <c r="CQ142" i="14"/>
  <c r="CX78" i="14"/>
  <c r="CX59" i="14"/>
  <c r="CX66" i="14"/>
  <c r="CX114" i="14"/>
  <c r="CX107" i="14"/>
  <c r="CW122" i="14"/>
  <c r="CX85" i="14"/>
  <c r="CX86" i="14"/>
  <c r="CW69" i="14"/>
  <c r="CW109" i="14"/>
  <c r="CV116" i="14"/>
  <c r="CW78" i="14"/>
  <c r="CW59" i="14"/>
  <c r="CQ145" i="14"/>
  <c r="CW123" i="14"/>
  <c r="CW63" i="14"/>
  <c r="CQ143" i="14"/>
  <c r="CR143" i="14"/>
  <c r="CU145" i="14"/>
  <c r="CW92" i="14"/>
  <c r="CW65" i="14"/>
  <c r="CW73" i="14"/>
  <c r="CW121" i="14"/>
  <c r="CW58" i="14"/>
  <c r="CW118" i="14"/>
  <c r="CW111" i="14"/>
  <c r="CR140" i="14"/>
  <c r="CX109" i="14"/>
  <c r="CX82" i="14"/>
  <c r="CW62" i="14"/>
  <c r="CW106" i="14"/>
  <c r="CX65" i="14"/>
  <c r="CX73" i="14"/>
  <c r="CX121" i="14"/>
  <c r="CX58" i="14"/>
  <c r="CX31" i="14"/>
  <c r="CX118" i="14"/>
  <c r="CX111" i="14"/>
  <c r="CQ140" i="14"/>
  <c r="CW103" i="14"/>
  <c r="CV115" i="14"/>
  <c r="CW95" i="14"/>
  <c r="CW85" i="14"/>
  <c r="CW82" i="14"/>
  <c r="CX62" i="14"/>
  <c r="CX103" i="14"/>
  <c r="CX106" i="14"/>
  <c r="CS140" i="14"/>
  <c r="CQ139" i="14"/>
  <c r="CR145" i="14"/>
  <c r="CX46" i="14"/>
  <c r="CW31" i="14"/>
  <c r="CX105" i="14"/>
  <c r="CS146" i="14"/>
  <c r="CR142" i="14"/>
  <c r="CQ141" i="15"/>
  <c r="CQ138" i="15"/>
  <c r="CQ137" i="15"/>
  <c r="CV136" i="15"/>
  <c r="BF26" i="12"/>
  <c r="BF26" i="27" s="1"/>
  <c r="R64" i="17"/>
  <c r="AC63" i="17"/>
  <c r="AB63" i="17"/>
  <c r="AA63" i="17"/>
  <c r="Z63" i="17"/>
  <c r="AE63" i="17"/>
  <c r="AD63" i="17"/>
  <c r="X63" i="17"/>
  <c r="X63" i="14" s="1"/>
  <c r="W63" i="17"/>
  <c r="X63" i="19" s="1"/>
  <c r="V63" i="17"/>
  <c r="X63" i="3" s="1"/>
  <c r="U63" i="17"/>
  <c r="X63" i="7" s="1"/>
  <c r="X63" i="12" s="1"/>
  <c r="T63" i="17"/>
  <c r="S63" i="17"/>
  <c r="X63" i="15" s="1"/>
  <c r="CJ139" i="14"/>
  <c r="CV140" i="15"/>
  <c r="BI11" i="12"/>
  <c r="BI20" i="12"/>
  <c r="BG8" i="12"/>
  <c r="BG8" i="31" s="1"/>
  <c r="BH11" i="12"/>
  <c r="BG45" i="12"/>
  <c r="BG45" i="31" s="1"/>
  <c r="BG21" i="12"/>
  <c r="BH116" i="12"/>
  <c r="BG37" i="12"/>
  <c r="BG37" i="31" s="1"/>
  <c r="BI9" i="12"/>
  <c r="BI116" i="12"/>
  <c r="BG33" i="12"/>
  <c r="BG33" i="31" s="1"/>
  <c r="BG22" i="12"/>
  <c r="BG28" i="12"/>
  <c r="BH20" i="12"/>
  <c r="BG12" i="12"/>
  <c r="BG12" i="31" s="1"/>
  <c r="BI23" i="12"/>
  <c r="BH9" i="12"/>
  <c r="BG111" i="12"/>
  <c r="BG111" i="31" s="1"/>
  <c r="BH23" i="12"/>
  <c r="BG36" i="12"/>
  <c r="BG36" i="31" s="1"/>
  <c r="BH110" i="12"/>
  <c r="BH110" i="31" s="1"/>
  <c r="BG46" i="12"/>
  <c r="BG46" i="31" s="1"/>
  <c r="BG39" i="12"/>
  <c r="BG34" i="12"/>
  <c r="BG34" i="31" s="1"/>
  <c r="BG25" i="12"/>
  <c r="BG25" i="31" s="1"/>
  <c r="BG29" i="12"/>
  <c r="BG19" i="12"/>
  <c r="BG19" i="31" s="1"/>
  <c r="BG114" i="12"/>
  <c r="BG114" i="31" s="1"/>
  <c r="BI110" i="12"/>
  <c r="BI110" i="31" s="1"/>
  <c r="CQ133" i="15"/>
  <c r="BS112" i="15"/>
  <c r="CK112" i="15" s="1"/>
  <c r="BL112" i="15"/>
  <c r="BT112" i="15" s="1"/>
  <c r="CL112" i="15" s="1"/>
  <c r="AB112" i="22" s="1"/>
  <c r="CX110" i="15"/>
  <c r="BS49" i="15"/>
  <c r="CK49" i="15" s="1"/>
  <c r="BL49" i="15"/>
  <c r="BT49" i="15" s="1"/>
  <c r="CL49" i="15" s="1"/>
  <c r="CW127" i="15"/>
  <c r="CW110" i="15"/>
  <c r="CT136" i="15"/>
  <c r="CX127" i="15"/>
  <c r="BT7" i="15"/>
  <c r="CL7" i="15" s="1"/>
  <c r="BL7" i="15"/>
  <c r="CV53" i="15"/>
  <c r="CW7" i="15"/>
  <c r="BS115" i="15"/>
  <c r="CK115" i="15" s="1"/>
  <c r="CW115" i="15" s="1"/>
  <c r="BL115" i="15"/>
  <c r="BT115" i="15" s="1"/>
  <c r="CL115" i="15" s="1"/>
  <c r="BL116" i="15"/>
  <c r="BT116" i="15" s="1"/>
  <c r="CL116" i="15" s="1"/>
  <c r="BS116" i="15"/>
  <c r="CK116" i="15" s="1"/>
  <c r="CW116" i="15" s="1"/>
  <c r="CW34" i="15"/>
  <c r="BL54" i="15"/>
  <c r="BT54" i="15" s="1"/>
  <c r="CL54" i="15" s="1"/>
  <c r="BS54" i="15"/>
  <c r="CK54" i="15" s="1"/>
  <c r="CW54" i="15" s="1"/>
  <c r="BL53" i="15"/>
  <c r="BT53" i="15" s="1"/>
  <c r="CL53" i="15" s="1"/>
  <c r="AB53" i="22" s="1"/>
  <c r="BS53" i="15"/>
  <c r="CK53" i="15" s="1"/>
  <c r="CW53" i="15" s="1"/>
  <c r="BL111" i="15"/>
  <c r="BT111" i="15" s="1"/>
  <c r="CL111" i="15" s="1"/>
  <c r="BS111" i="15"/>
  <c r="CK111" i="15" s="1"/>
  <c r="CW111" i="15" s="1"/>
  <c r="BL74" i="15"/>
  <c r="BT74" i="15" s="1"/>
  <c r="CL74" i="15" s="1"/>
  <c r="AB74" i="22" s="1"/>
  <c r="BS74" i="15"/>
  <c r="CK74" i="15" s="1"/>
  <c r="CJ143" i="14"/>
  <c r="CS133" i="14"/>
  <c r="BL116" i="14"/>
  <c r="BT116" i="14" s="1"/>
  <c r="CL116" i="14" s="1"/>
  <c r="BS116" i="14"/>
  <c r="CK116" i="14" s="1"/>
  <c r="CV137" i="14"/>
  <c r="BS115" i="14"/>
  <c r="CK115" i="14" s="1"/>
  <c r="BL115" i="14"/>
  <c r="BT115" i="14" s="1"/>
  <c r="CL115" i="14" s="1"/>
  <c r="CJ137" i="14"/>
  <c r="CJ144" i="14"/>
  <c r="BL39" i="14"/>
  <c r="BT39" i="14" s="1"/>
  <c r="CL39" i="14" s="1"/>
  <c r="BS39" i="14"/>
  <c r="CK39" i="14" s="1"/>
  <c r="CR137" i="14"/>
  <c r="CR133" i="14"/>
  <c r="BS26" i="14"/>
  <c r="CK26" i="14" s="1"/>
  <c r="CW26" i="14" s="1"/>
  <c r="CW137" i="14" s="1"/>
  <c r="BL26" i="14"/>
  <c r="BT26" i="14" s="1"/>
  <c r="CL26" i="14" s="1"/>
  <c r="BL50" i="14"/>
  <c r="BT50" i="14" s="1"/>
  <c r="CL50" i="14" s="1"/>
  <c r="BS50" i="14"/>
  <c r="CK50" i="14" s="1"/>
  <c r="CX43" i="14"/>
  <c r="CT133" i="14"/>
  <c r="CT136" i="14"/>
  <c r="CW43" i="14"/>
  <c r="CL138" i="14"/>
  <c r="CX27" i="14"/>
  <c r="CX51" i="14"/>
  <c r="BS119" i="14"/>
  <c r="CK119" i="14" s="1"/>
  <c r="BL119" i="14"/>
  <c r="BT119" i="14" s="1"/>
  <c r="CL119" i="14" s="1"/>
  <c r="CW96" i="14"/>
  <c r="BS101" i="14"/>
  <c r="CK101" i="14" s="1"/>
  <c r="BL101" i="14"/>
  <c r="BT101" i="14" s="1"/>
  <c r="CL101" i="14" s="1"/>
  <c r="CK138" i="14"/>
  <c r="CW27" i="14"/>
  <c r="CW51" i="14"/>
  <c r="CJ145" i="14"/>
  <c r="CV119" i="14"/>
  <c r="CX96" i="14"/>
  <c r="BT7" i="14"/>
  <c r="CL7" i="14" s="1"/>
  <c r="BL7" i="14"/>
  <c r="CV131" i="14"/>
  <c r="CJ146" i="14"/>
  <c r="CQ133" i="14"/>
  <c r="CK136" i="14"/>
  <c r="CW7" i="14"/>
  <c r="CJ140" i="14"/>
  <c r="CU133" i="14"/>
  <c r="BL131" i="14"/>
  <c r="BT131" i="14" s="1"/>
  <c r="CL131" i="14" s="1"/>
  <c r="BS131" i="14"/>
  <c r="CK131" i="14" s="1"/>
  <c r="BI123" i="7"/>
  <c r="BP123" i="7"/>
  <c r="CH123" i="7" s="1"/>
  <c r="BJ79" i="7"/>
  <c r="BQ79" i="7"/>
  <c r="CI79" i="7" s="1"/>
  <c r="BK26" i="7"/>
  <c r="BR26" i="7"/>
  <c r="CJ26" i="7" s="1"/>
  <c r="CJ137" i="7" s="1"/>
  <c r="BK103" i="3"/>
  <c r="BR103" i="3"/>
  <c r="CJ103" i="3" s="1"/>
  <c r="BI78" i="7"/>
  <c r="BP78" i="7"/>
  <c r="CH78" i="7" s="1"/>
  <c r="BI124" i="7"/>
  <c r="BP124" i="7"/>
  <c r="CH124" i="7" s="1"/>
  <c r="BJ56" i="7"/>
  <c r="BQ56" i="7"/>
  <c r="CI56" i="7" s="1"/>
  <c r="BI87" i="7"/>
  <c r="BP87" i="7"/>
  <c r="CH87" i="7" s="1"/>
  <c r="BK128" i="7"/>
  <c r="BR128" i="7"/>
  <c r="CJ128" i="7" s="1"/>
  <c r="BI54" i="7"/>
  <c r="BP54" i="7"/>
  <c r="CH54" i="7" s="1"/>
  <c r="BI104" i="7"/>
  <c r="BP104" i="7"/>
  <c r="CH104" i="7" s="1"/>
  <c r="BJ64" i="7"/>
  <c r="BQ64" i="7"/>
  <c r="CI64" i="7" s="1"/>
  <c r="BK69" i="7"/>
  <c r="BR69" i="7"/>
  <c r="CJ69" i="7" s="1"/>
  <c r="BI65" i="7"/>
  <c r="BP65" i="7"/>
  <c r="CH65" i="7" s="1"/>
  <c r="BK50" i="7"/>
  <c r="BR50" i="7"/>
  <c r="CJ50" i="7" s="1"/>
  <c r="CJ140" i="7" s="1"/>
  <c r="BI57" i="7"/>
  <c r="BP57" i="7"/>
  <c r="CH57" i="7" s="1"/>
  <c r="BI76" i="7"/>
  <c r="BP76" i="7"/>
  <c r="CH76" i="7" s="1"/>
  <c r="BI68" i="7"/>
  <c r="BP68" i="7"/>
  <c r="CH68" i="7" s="1"/>
  <c r="BL49" i="7"/>
  <c r="BT49" i="7" s="1"/>
  <c r="CL49" i="7" s="1"/>
  <c r="BS49" i="7"/>
  <c r="CK49" i="7" s="1"/>
  <c r="BL52" i="7"/>
  <c r="BT52" i="7" s="1"/>
  <c r="CL52" i="7" s="1"/>
  <c r="M52" i="22" s="1"/>
  <c r="BS52" i="7"/>
  <c r="CK52" i="7" s="1"/>
  <c r="BJ120" i="7"/>
  <c r="BQ120" i="7"/>
  <c r="CI120" i="7" s="1"/>
  <c r="BJ83" i="7"/>
  <c r="BQ83" i="7"/>
  <c r="CI83" i="7" s="1"/>
  <c r="BI127" i="7"/>
  <c r="BP127" i="7"/>
  <c r="CH127" i="7" s="1"/>
  <c r="BK63" i="7"/>
  <c r="BR63" i="7"/>
  <c r="CJ63" i="7" s="1"/>
  <c r="BI61" i="7"/>
  <c r="BP61" i="7"/>
  <c r="CH61" i="7" s="1"/>
  <c r="BJ53" i="7"/>
  <c r="BQ53" i="7"/>
  <c r="CI53" i="7" s="1"/>
  <c r="BI89" i="7"/>
  <c r="BP89" i="7"/>
  <c r="CH89" i="7" s="1"/>
  <c r="BI119" i="7"/>
  <c r="BP119" i="7"/>
  <c r="CH119" i="7" s="1"/>
  <c r="BI97" i="7"/>
  <c r="BP97" i="7"/>
  <c r="CH97" i="7" s="1"/>
  <c r="BJ51" i="7"/>
  <c r="BQ51" i="7"/>
  <c r="CI51" i="7" s="1"/>
  <c r="BJ103" i="7"/>
  <c r="BQ103" i="7"/>
  <c r="CI103" i="7" s="1"/>
  <c r="BI112" i="7"/>
  <c r="BP112" i="7"/>
  <c r="CH112" i="7" s="1"/>
  <c r="CH144" i="7" s="1"/>
  <c r="BI70" i="7"/>
  <c r="BP70" i="7"/>
  <c r="CH70" i="7" s="1"/>
  <c r="BK55" i="7"/>
  <c r="BR55" i="7"/>
  <c r="CJ55" i="7" s="1"/>
  <c r="BI130" i="7"/>
  <c r="BP130" i="7"/>
  <c r="CH130" i="7" s="1"/>
  <c r="BJ60" i="7"/>
  <c r="BQ60" i="7"/>
  <c r="CI60" i="7" s="1"/>
  <c r="BL25" i="3"/>
  <c r="BT25" i="3" s="1"/>
  <c r="CL25" i="3" s="1"/>
  <c r="R25" i="22" s="1"/>
  <c r="BS25" i="3"/>
  <c r="CK25" i="3" s="1"/>
  <c r="BL119" i="3"/>
  <c r="BT119" i="3" s="1"/>
  <c r="CL119" i="3" s="1"/>
  <c r="R119" i="22" s="1"/>
  <c r="BS119" i="3"/>
  <c r="CK119" i="3" s="1"/>
  <c r="BJ43" i="3"/>
  <c r="BQ43" i="3"/>
  <c r="CI43" i="3" s="1"/>
  <c r="BJ32" i="3"/>
  <c r="BQ32" i="3"/>
  <c r="CI32" i="3" s="1"/>
  <c r="BF32" i="12" s="1"/>
  <c r="BK14" i="3"/>
  <c r="BR14" i="3"/>
  <c r="CJ14" i="3" s="1"/>
  <c r="BG14" i="12" s="1"/>
  <c r="BG14" i="31" s="1"/>
  <c r="BI16" i="3"/>
  <c r="BP16" i="3"/>
  <c r="CH16" i="3" s="1"/>
  <c r="BE16" i="12" s="1"/>
  <c r="BI76" i="3"/>
  <c r="BP76" i="3"/>
  <c r="CH76" i="3" s="1"/>
  <c r="H21" i="22"/>
  <c r="BK58" i="3"/>
  <c r="BR58" i="3"/>
  <c r="CJ58" i="3" s="1"/>
  <c r="BJ61" i="3"/>
  <c r="BQ61" i="3"/>
  <c r="CI61" i="3" s="1"/>
  <c r="BI80" i="3"/>
  <c r="BP80" i="3"/>
  <c r="CH80" i="3" s="1"/>
  <c r="BI68" i="3"/>
  <c r="BP68" i="3"/>
  <c r="CH68" i="3" s="1"/>
  <c r="BI86" i="3"/>
  <c r="BP86" i="3"/>
  <c r="CH86" i="3" s="1"/>
  <c r="BI74" i="3"/>
  <c r="BP74" i="3"/>
  <c r="CH74" i="3" s="1"/>
  <c r="BJ128" i="3"/>
  <c r="BQ128" i="3"/>
  <c r="CI128" i="3" s="1"/>
  <c r="BI10" i="3"/>
  <c r="BP10" i="3"/>
  <c r="CH10" i="3" s="1"/>
  <c r="BJ113" i="3"/>
  <c r="BQ113" i="3"/>
  <c r="CI113" i="3" s="1"/>
  <c r="BF113" i="12" s="1"/>
  <c r="BF113" i="31" s="1"/>
  <c r="BJ54" i="3"/>
  <c r="BQ54" i="3"/>
  <c r="CI54" i="3" s="1"/>
  <c r="BI109" i="3"/>
  <c r="BP109" i="3"/>
  <c r="CH109" i="3" s="1"/>
  <c r="BI15" i="3"/>
  <c r="BP15" i="3"/>
  <c r="CH15" i="3" s="1"/>
  <c r="BE15" i="12" s="1"/>
  <c r="BI78" i="3"/>
  <c r="BP78" i="3"/>
  <c r="CH78" i="3" s="1"/>
  <c r="BJ85" i="3"/>
  <c r="BQ85" i="3"/>
  <c r="CI85" i="3" s="1"/>
  <c r="BI104" i="3"/>
  <c r="BP104" i="3"/>
  <c r="CH104" i="3" s="1"/>
  <c r="BK66" i="3"/>
  <c r="BR66" i="3"/>
  <c r="CJ66" i="3" s="1"/>
  <c r="BJ65" i="3"/>
  <c r="BQ65" i="3"/>
  <c r="CI65" i="3" s="1"/>
  <c r="BL17" i="3"/>
  <c r="BT17" i="3" s="1"/>
  <c r="CL17" i="3" s="1"/>
  <c r="BS17" i="3"/>
  <c r="CK17" i="3" s="1"/>
  <c r="BH17" i="12" s="1"/>
  <c r="BI97" i="3"/>
  <c r="BP97" i="3"/>
  <c r="CH97" i="3" s="1"/>
  <c r="BI40" i="3"/>
  <c r="BP40" i="3"/>
  <c r="CH40" i="3" s="1"/>
  <c r="BE40" i="12" s="1"/>
  <c r="BE40" i="31" s="1"/>
  <c r="BI132" i="3"/>
  <c r="BP132" i="3"/>
  <c r="CH132" i="3" s="1"/>
  <c r="BI41" i="3"/>
  <c r="BP41" i="3"/>
  <c r="CH41" i="3" s="1"/>
  <c r="BE41" i="12" s="1"/>
  <c r="BE41" i="31" s="1"/>
  <c r="BI93" i="3"/>
  <c r="BP93" i="3"/>
  <c r="CH93" i="3" s="1"/>
  <c r="BI115" i="3"/>
  <c r="BP115" i="3"/>
  <c r="CH115" i="3" s="1"/>
  <c r="BE115" i="12" s="1"/>
  <c r="BE115" i="31" s="1"/>
  <c r="BI59" i="3"/>
  <c r="BP59" i="3"/>
  <c r="CH59" i="3" s="1"/>
  <c r="BI51" i="3"/>
  <c r="BP51" i="3"/>
  <c r="CH51" i="3" s="1"/>
  <c r="BJ55" i="3"/>
  <c r="BQ55" i="3"/>
  <c r="CI55" i="3" s="1"/>
  <c r="BK26" i="3"/>
  <c r="BR26" i="3"/>
  <c r="CJ26" i="3" s="1"/>
  <c r="BK60" i="3"/>
  <c r="BR60" i="3"/>
  <c r="CJ60" i="3" s="1"/>
  <c r="BJ38" i="3"/>
  <c r="BQ38" i="3"/>
  <c r="CI38" i="3" s="1"/>
  <c r="BF38" i="12" s="1"/>
  <c r="BF38" i="31" s="1"/>
  <c r="BJ84" i="3"/>
  <c r="BQ84" i="3"/>
  <c r="CI84" i="3" s="1"/>
  <c r="BI71" i="3"/>
  <c r="BP71" i="3"/>
  <c r="CH71" i="3" s="1"/>
  <c r="BJ70" i="3"/>
  <c r="BQ70" i="3"/>
  <c r="CI70" i="3" s="1"/>
  <c r="BI57" i="3"/>
  <c r="BP57" i="3"/>
  <c r="CH57" i="3" s="1"/>
  <c r="BJ125" i="3"/>
  <c r="BQ125" i="3"/>
  <c r="CI125" i="3" s="1"/>
  <c r="BK18" i="3"/>
  <c r="BR18" i="3"/>
  <c r="CJ18" i="3" s="1"/>
  <c r="BG18" i="12" s="1"/>
  <c r="BG18" i="31" s="1"/>
  <c r="BI81" i="3"/>
  <c r="BP81" i="3"/>
  <c r="CH81" i="3" s="1"/>
  <c r="BJ105" i="3"/>
  <c r="BQ105" i="3"/>
  <c r="CI105" i="3" s="1"/>
  <c r="BI35" i="3"/>
  <c r="BP35" i="3"/>
  <c r="CH35" i="3" s="1"/>
  <c r="BJ82" i="3"/>
  <c r="BQ82" i="3"/>
  <c r="CI82" i="3" s="1"/>
  <c r="BI62" i="3"/>
  <c r="BP62" i="3"/>
  <c r="CH62" i="3" s="1"/>
  <c r="BI13" i="3"/>
  <c r="BP13" i="3"/>
  <c r="CH13" i="3" s="1"/>
  <c r="BE13" i="12" s="1"/>
  <c r="BI83" i="3"/>
  <c r="BP83" i="3"/>
  <c r="CH83" i="3" s="1"/>
  <c r="BJ67" i="3"/>
  <c r="BQ67" i="3"/>
  <c r="CI67" i="3" s="1"/>
  <c r="BI127" i="3"/>
  <c r="BP127" i="3"/>
  <c r="CH127" i="3" s="1"/>
  <c r="CH146" i="3" s="1"/>
  <c r="BI47" i="3"/>
  <c r="BP47" i="3"/>
  <c r="CH47" i="3" s="1"/>
  <c r="BI100" i="3"/>
  <c r="BP100" i="3"/>
  <c r="CH100" i="3" s="1"/>
  <c r="BI112" i="3"/>
  <c r="BP112" i="3"/>
  <c r="CH112" i="3" s="1"/>
  <c r="BS56" i="3"/>
  <c r="CK56" i="3" s="1"/>
  <c r="BL56" i="3"/>
  <c r="BT56" i="3" s="1"/>
  <c r="CL56" i="3" s="1"/>
  <c r="R56" i="22" s="1"/>
  <c r="BI117" i="3"/>
  <c r="BP117" i="3"/>
  <c r="CH117" i="3" s="1"/>
  <c r="BE117" i="12" s="1"/>
  <c r="BE117" i="31" s="1"/>
  <c r="BJ129" i="3"/>
  <c r="BQ129" i="3"/>
  <c r="CI129" i="3" s="1"/>
  <c r="BI77" i="3"/>
  <c r="BP77" i="3"/>
  <c r="CH77" i="3" s="1"/>
  <c r="BI124" i="3"/>
  <c r="BP124" i="3"/>
  <c r="CH124" i="3" s="1"/>
  <c r="CH145" i="3" s="1"/>
  <c r="BJ30" i="3"/>
  <c r="BQ30" i="3"/>
  <c r="CI30" i="3" s="1"/>
  <c r="H30" i="22"/>
  <c r="H45" i="22"/>
  <c r="AH45" i="22" s="1"/>
  <c r="H33" i="22"/>
  <c r="H22" i="22"/>
  <c r="H28" i="22"/>
  <c r="H111" i="22"/>
  <c r="H37" i="22"/>
  <c r="H25" i="22"/>
  <c r="H29" i="22"/>
  <c r="H36" i="22"/>
  <c r="H32" i="22"/>
  <c r="H43" i="22"/>
  <c r="H46" i="22"/>
  <c r="H39" i="22"/>
  <c r="H34" i="22"/>
  <c r="H18" i="22"/>
  <c r="H16" i="22"/>
  <c r="H12" i="22"/>
  <c r="H14" i="22"/>
  <c r="H19" i="22"/>
  <c r="H114" i="22"/>
  <c r="H8" i="22"/>
  <c r="H10" i="22"/>
  <c r="X63" i="31" l="1"/>
  <c r="X63" i="27"/>
  <c r="X63" i="16"/>
  <c r="X62" i="31"/>
  <c r="X62" i="27"/>
  <c r="X62" i="16"/>
  <c r="BB139" i="16"/>
  <c r="BG28" i="31"/>
  <c r="BI7" i="31"/>
  <c r="BI136" i="31" s="1"/>
  <c r="BG22" i="31"/>
  <c r="CH145" i="7"/>
  <c r="BE138" i="31"/>
  <c r="W84" i="22"/>
  <c r="CX84" i="14"/>
  <c r="CH141" i="7"/>
  <c r="S52" i="26"/>
  <c r="Q52" i="32"/>
  <c r="Q52" i="30"/>
  <c r="CH143" i="15"/>
  <c r="R108" i="32"/>
  <c r="R108" i="30"/>
  <c r="Q108" i="32"/>
  <c r="Q108" i="30"/>
  <c r="BG11" i="31"/>
  <c r="U54" i="26"/>
  <c r="BX39" i="26" s="1"/>
  <c r="S54" i="32"/>
  <c r="S54" i="30"/>
  <c r="T53" i="26"/>
  <c r="R53" i="32"/>
  <c r="R53" i="30"/>
  <c r="Q53" i="26"/>
  <c r="O53" i="32"/>
  <c r="O53" i="30"/>
  <c r="BG20" i="31"/>
  <c r="S53" i="26"/>
  <c r="Q53" i="32"/>
  <c r="Q53" i="30"/>
  <c r="Q52" i="26"/>
  <c r="O52" i="32"/>
  <c r="O52" i="30"/>
  <c r="CH143" i="7"/>
  <c r="R56" i="26"/>
  <c r="P56" i="32"/>
  <c r="P56" i="30"/>
  <c r="BG31" i="31"/>
  <c r="BI44" i="31"/>
  <c r="U55" i="26"/>
  <c r="S55" i="32"/>
  <c r="S55" i="30"/>
  <c r="T56" i="26"/>
  <c r="R56" i="32"/>
  <c r="R56" i="30"/>
  <c r="R52" i="26"/>
  <c r="P52" i="32"/>
  <c r="P52" i="30"/>
  <c r="S57" i="26"/>
  <c r="Q57" i="32"/>
  <c r="Q57" i="30"/>
  <c r="S108" i="32"/>
  <c r="S108" i="30"/>
  <c r="BI42" i="31"/>
  <c r="K42" i="29"/>
  <c r="S56" i="26"/>
  <c r="Q56" i="32"/>
  <c r="Q56" i="30"/>
  <c r="Q56" i="26"/>
  <c r="O56" i="32"/>
  <c r="O56" i="30"/>
  <c r="T57" i="26"/>
  <c r="R57" i="32"/>
  <c r="R57" i="30"/>
  <c r="R53" i="26"/>
  <c r="P53" i="32"/>
  <c r="P53" i="30"/>
  <c r="BI42" i="16"/>
  <c r="CH146" i="7"/>
  <c r="T52" i="26"/>
  <c r="R52" i="32"/>
  <c r="R52" i="30"/>
  <c r="S58" i="32"/>
  <c r="S58" i="30"/>
  <c r="P108" i="32"/>
  <c r="P108" i="30"/>
  <c r="CV139" i="15"/>
  <c r="BB137" i="31"/>
  <c r="BC138" i="31"/>
  <c r="BC139" i="16"/>
  <c r="BD137" i="31"/>
  <c r="BB139" i="27"/>
  <c r="BE16" i="16"/>
  <c r="BE16" i="31"/>
  <c r="U7" i="30"/>
  <c r="U7" i="32"/>
  <c r="BD139" i="27"/>
  <c r="BF136" i="31"/>
  <c r="AC179" i="26"/>
  <c r="AC211" i="26" s="1"/>
  <c r="BG136" i="31"/>
  <c r="BC139" i="31"/>
  <c r="BE13" i="16"/>
  <c r="BE13" i="31"/>
  <c r="G43" i="29"/>
  <c r="BE43" i="31"/>
  <c r="BD136" i="31"/>
  <c r="BC137" i="31"/>
  <c r="AB179" i="26"/>
  <c r="AB211" i="26" s="1"/>
  <c r="I14" i="29"/>
  <c r="AA179" i="26"/>
  <c r="AA211" i="26" s="1"/>
  <c r="BD138" i="31"/>
  <c r="BG29" i="16"/>
  <c r="BG29" i="31"/>
  <c r="BG39" i="16"/>
  <c r="BG39" i="31"/>
  <c r="BH116" i="16"/>
  <c r="BH116" i="31"/>
  <c r="I8" i="29"/>
  <c r="I21" i="29"/>
  <c r="BB136" i="31"/>
  <c r="AB179" i="30"/>
  <c r="AC179" i="30" s="1"/>
  <c r="BF32" i="16"/>
  <c r="BF32" i="31"/>
  <c r="V31" i="26"/>
  <c r="T31" i="32"/>
  <c r="T31" i="30"/>
  <c r="W31" i="26"/>
  <c r="U31" i="32"/>
  <c r="U31" i="30"/>
  <c r="BG21" i="16"/>
  <c r="BG21" i="31"/>
  <c r="BB139" i="31"/>
  <c r="Y179" i="26"/>
  <c r="BI116" i="16"/>
  <c r="BI116" i="31"/>
  <c r="BE15" i="16"/>
  <c r="BE15" i="31"/>
  <c r="BD139" i="31"/>
  <c r="Z179" i="26"/>
  <c r="Z211" i="26" s="1"/>
  <c r="BC136" i="31"/>
  <c r="BF26" i="16"/>
  <c r="BF26" i="31"/>
  <c r="I25" i="29"/>
  <c r="BD139" i="16"/>
  <c r="BB137" i="16"/>
  <c r="D139" i="29"/>
  <c r="E139" i="29"/>
  <c r="D137" i="29"/>
  <c r="BB137" i="27"/>
  <c r="BC139" i="27"/>
  <c r="BE40" i="16"/>
  <c r="BE40" i="27"/>
  <c r="G40" i="29"/>
  <c r="BG114" i="16"/>
  <c r="I114" i="29"/>
  <c r="BG114" i="27"/>
  <c r="BG36" i="16"/>
  <c r="I36" i="29"/>
  <c r="BG36" i="27"/>
  <c r="I18" i="29"/>
  <c r="G13" i="29"/>
  <c r="F139" i="29"/>
  <c r="G15" i="29"/>
  <c r="BH110" i="16"/>
  <c r="J110" i="29"/>
  <c r="BH110" i="27"/>
  <c r="BG111" i="16"/>
  <c r="BG111" i="27"/>
  <c r="I111" i="29"/>
  <c r="BE117" i="16"/>
  <c r="G117" i="29"/>
  <c r="BE117" i="27"/>
  <c r="BF38" i="16"/>
  <c r="BF38" i="27"/>
  <c r="H38" i="29"/>
  <c r="BE41" i="16"/>
  <c r="G41" i="29"/>
  <c r="BE41" i="27"/>
  <c r="I22" i="29"/>
  <c r="BG34" i="16"/>
  <c r="I34" i="29"/>
  <c r="BG34" i="27"/>
  <c r="BG37" i="16"/>
  <c r="I37" i="29"/>
  <c r="BG37" i="27"/>
  <c r="I19" i="29"/>
  <c r="BE15" i="27"/>
  <c r="BG39" i="27"/>
  <c r="G16" i="29"/>
  <c r="BI110" i="16"/>
  <c r="K110" i="29"/>
  <c r="BI110" i="27"/>
  <c r="BF113" i="16"/>
  <c r="H113" i="29"/>
  <c r="BF113" i="27"/>
  <c r="I12" i="29"/>
  <c r="BE115" i="16"/>
  <c r="BE115" i="27"/>
  <c r="G115" i="29"/>
  <c r="BG45" i="16"/>
  <c r="BG45" i="27"/>
  <c r="I45" i="29"/>
  <c r="BG46" i="16"/>
  <c r="I46" i="29"/>
  <c r="BG46" i="27"/>
  <c r="BE13" i="27"/>
  <c r="BE16" i="27"/>
  <c r="H26" i="29"/>
  <c r="I39" i="29"/>
  <c r="T7" i="26"/>
  <c r="T143" i="26" s="1"/>
  <c r="T158" i="26" s="1"/>
  <c r="R7" i="30"/>
  <c r="R143" i="30" s="1"/>
  <c r="R158" i="30" s="1"/>
  <c r="U7" i="26"/>
  <c r="U143" i="26" s="1"/>
  <c r="U158" i="26" s="1"/>
  <c r="S7" i="30"/>
  <c r="S143" i="30" s="1"/>
  <c r="S158" i="30" s="1"/>
  <c r="R7" i="26"/>
  <c r="R143" i="26" s="1"/>
  <c r="R158" i="26" s="1"/>
  <c r="P7" i="30"/>
  <c r="P143" i="30" s="1"/>
  <c r="P158" i="30" s="1"/>
  <c r="V7" i="26"/>
  <c r="V143" i="26" s="1"/>
  <c r="V158" i="26" s="1"/>
  <c r="T7" i="30"/>
  <c r="T143" i="30" s="1"/>
  <c r="T158" i="30" s="1"/>
  <c r="Q7" i="26"/>
  <c r="Q143" i="26" s="1"/>
  <c r="Q158" i="26" s="1"/>
  <c r="O7" i="30"/>
  <c r="O143" i="30" s="1"/>
  <c r="O158" i="30" s="1"/>
  <c r="BC138" i="16"/>
  <c r="W119" i="22"/>
  <c r="W147" i="22" s="1"/>
  <c r="W7" i="22"/>
  <c r="W138" i="22" s="1"/>
  <c r="K7" i="29"/>
  <c r="K136" i="29" s="1"/>
  <c r="BH116" i="27"/>
  <c r="J116" i="29"/>
  <c r="W116" i="22"/>
  <c r="BI116" i="27"/>
  <c r="K116" i="29"/>
  <c r="CW44" i="14"/>
  <c r="J44" i="29"/>
  <c r="BI44" i="27"/>
  <c r="W50" i="22"/>
  <c r="BI44" i="16"/>
  <c r="W115" i="22"/>
  <c r="W146" i="22" s="1"/>
  <c r="BH44" i="27"/>
  <c r="CV140" i="14"/>
  <c r="BI7" i="27"/>
  <c r="BI136" i="27" s="1"/>
  <c r="BH44" i="16"/>
  <c r="W39" i="22"/>
  <c r="W141" i="22" s="1"/>
  <c r="W131" i="22"/>
  <c r="W148" i="22" s="1"/>
  <c r="BI7" i="16"/>
  <c r="BI136" i="16" s="1"/>
  <c r="BB138" i="27"/>
  <c r="G138" i="29"/>
  <c r="BG14" i="16"/>
  <c r="BG25" i="16"/>
  <c r="BB138" i="16"/>
  <c r="D138" i="29"/>
  <c r="I29" i="29"/>
  <c r="W7" i="26"/>
  <c r="BU181" i="12"/>
  <c r="I28" i="29"/>
  <c r="I33" i="29"/>
  <c r="H32" i="29"/>
  <c r="BF32" i="27"/>
  <c r="F138" i="29"/>
  <c r="F137" i="29"/>
  <c r="BG17" i="16"/>
  <c r="I17" i="29"/>
  <c r="BG24" i="16"/>
  <c r="I24" i="29"/>
  <c r="BG9" i="16"/>
  <c r="I9" i="29"/>
  <c r="CR138" i="15"/>
  <c r="BG23" i="27"/>
  <c r="I23" i="29"/>
  <c r="BG27" i="16"/>
  <c r="I27" i="29"/>
  <c r="E137" i="29"/>
  <c r="E138" i="29"/>
  <c r="BG28" i="16"/>
  <c r="BD138" i="16"/>
  <c r="BC138" i="27"/>
  <c r="CH142" i="7"/>
  <c r="BE43" i="16"/>
  <c r="DA48" i="20"/>
  <c r="BE43" i="27"/>
  <c r="CV68" i="15"/>
  <c r="U108" i="26"/>
  <c r="CU96" i="15"/>
  <c r="CS67" i="15"/>
  <c r="CV70" i="15"/>
  <c r="CV72" i="15"/>
  <c r="CV97" i="15"/>
  <c r="U58" i="26"/>
  <c r="CR141" i="15"/>
  <c r="CU67" i="15"/>
  <c r="BG33" i="16"/>
  <c r="CV71" i="15"/>
  <c r="CV101" i="15"/>
  <c r="CW41" i="15"/>
  <c r="CT141" i="15"/>
  <c r="CG142" i="15"/>
  <c r="CW35" i="15"/>
  <c r="CW39" i="15"/>
  <c r="CV52" i="15"/>
  <c r="CV99" i="15"/>
  <c r="CV69" i="15"/>
  <c r="T108" i="26"/>
  <c r="CT96" i="15"/>
  <c r="R108" i="26"/>
  <c r="CR96" i="15"/>
  <c r="CF143" i="15"/>
  <c r="CV51" i="15"/>
  <c r="CI143" i="15"/>
  <c r="CT67" i="15"/>
  <c r="CR67" i="15"/>
  <c r="CF142" i="15"/>
  <c r="CU141" i="15"/>
  <c r="CJ67" i="15"/>
  <c r="CJ142" i="15" s="1"/>
  <c r="BZ96" i="15"/>
  <c r="CJ96" i="15" s="1"/>
  <c r="S108" i="26"/>
  <c r="CS96" i="15"/>
  <c r="CS133" i="15" s="1"/>
  <c r="CG143" i="15"/>
  <c r="BD138" i="27"/>
  <c r="CU138" i="15"/>
  <c r="CV27" i="15"/>
  <c r="BG27" i="27"/>
  <c r="CV33" i="15"/>
  <c r="BG33" i="27"/>
  <c r="BE138" i="27"/>
  <c r="CT138" i="15"/>
  <c r="CS138" i="15"/>
  <c r="CV28" i="15"/>
  <c r="BG28" i="27"/>
  <c r="CV32" i="15"/>
  <c r="CV29" i="15"/>
  <c r="BG29" i="27"/>
  <c r="CV31" i="15"/>
  <c r="BG31" i="27"/>
  <c r="BG31" i="16"/>
  <c r="BG18" i="16"/>
  <c r="BG19" i="16"/>
  <c r="CU137" i="15"/>
  <c r="BG22" i="16"/>
  <c r="BC137" i="27"/>
  <c r="BG12" i="16"/>
  <c r="CV21" i="15"/>
  <c r="BG21" i="27"/>
  <c r="CV11" i="15"/>
  <c r="BG11" i="27"/>
  <c r="CV17" i="15"/>
  <c r="BG17" i="27"/>
  <c r="CV8" i="15"/>
  <c r="BG8" i="27"/>
  <c r="BG8" i="16"/>
  <c r="CV14" i="15"/>
  <c r="BG14" i="27"/>
  <c r="CV16" i="15"/>
  <c r="BG11" i="16"/>
  <c r="CV13" i="15"/>
  <c r="CT137" i="15"/>
  <c r="CV20" i="15"/>
  <c r="BG20" i="27"/>
  <c r="CV25" i="15"/>
  <c r="BG25" i="27"/>
  <c r="CV24" i="15"/>
  <c r="BG24" i="27"/>
  <c r="BG20" i="16"/>
  <c r="BD137" i="27"/>
  <c r="CV26" i="15"/>
  <c r="CV10" i="15"/>
  <c r="CV9" i="15"/>
  <c r="BG9" i="27"/>
  <c r="CS137" i="15"/>
  <c r="CV18" i="15"/>
  <c r="BG18" i="27"/>
  <c r="CV19" i="15"/>
  <c r="BG19" i="27"/>
  <c r="CR137" i="15"/>
  <c r="CV22" i="15"/>
  <c r="BG22" i="27"/>
  <c r="CV12" i="15"/>
  <c r="BG12" i="27"/>
  <c r="CV15" i="15"/>
  <c r="BG23" i="16"/>
  <c r="BH136" i="27"/>
  <c r="BF136" i="27"/>
  <c r="BD136" i="27"/>
  <c r="BG136" i="27"/>
  <c r="BB136" i="27"/>
  <c r="BC136" i="27"/>
  <c r="AL47" i="12" a="1"/>
  <c r="AL47" i="12" s="1"/>
  <c r="AM47" i="12"/>
  <c r="AK47" i="12"/>
  <c r="BC137" i="16"/>
  <c r="BD137" i="16"/>
  <c r="CK141" i="14"/>
  <c r="CI62" i="24"/>
  <c r="CU62" i="24" s="1"/>
  <c r="CE62" i="24"/>
  <c r="CJ62" i="24"/>
  <c r="CV62" i="24" s="1"/>
  <c r="CG62" i="24"/>
  <c r="CH62" i="24"/>
  <c r="CT62" i="24" s="1"/>
  <c r="CF62" i="24"/>
  <c r="CK62" i="24"/>
  <c r="CW62" i="24" s="1"/>
  <c r="CL62" i="24"/>
  <c r="CR61" i="24"/>
  <c r="BC46" i="12"/>
  <c r="BC46" i="31" s="1"/>
  <c r="CS61" i="24"/>
  <c r="BD46" i="12"/>
  <c r="BD46" i="31" s="1"/>
  <c r="CT61" i="24"/>
  <c r="BE46" i="12"/>
  <c r="BE46" i="31" s="1"/>
  <c r="AY63" i="24"/>
  <c r="AZ63" i="24"/>
  <c r="CP63" i="24" s="1"/>
  <c r="G48" i="22" s="1"/>
  <c r="BA63" i="24"/>
  <c r="AK63" i="24"/>
  <c r="CD63" i="24" s="1"/>
  <c r="AL63" i="24"/>
  <c r="AM63" i="24"/>
  <c r="CQ61" i="24"/>
  <c r="BB46" i="12"/>
  <c r="BB46" i="31" s="1"/>
  <c r="CU61" i="24"/>
  <c r="BF46" i="12"/>
  <c r="BF46" i="31" s="1"/>
  <c r="CJ143" i="15"/>
  <c r="CA23" i="15"/>
  <c r="CK23" i="15" s="1"/>
  <c r="BH23" i="31" s="1"/>
  <c r="CA52" i="15"/>
  <c r="CK52" i="15" s="1"/>
  <c r="CA17" i="15"/>
  <c r="CK17" i="15" s="1"/>
  <c r="BH17" i="31" s="1"/>
  <c r="CA21" i="15"/>
  <c r="CK21" i="15" s="1"/>
  <c r="CJ157" i="7"/>
  <c r="CJ158" i="7"/>
  <c r="CJ155" i="7"/>
  <c r="CJ153" i="7"/>
  <c r="CJ161" i="7"/>
  <c r="CJ160" i="7"/>
  <c r="CJ159" i="7"/>
  <c r="CJ156" i="7"/>
  <c r="CJ154" i="7"/>
  <c r="BB177" i="12"/>
  <c r="BB176" i="12"/>
  <c r="BB175" i="12"/>
  <c r="BB174" i="12"/>
  <c r="BB173" i="12"/>
  <c r="BB172" i="12"/>
  <c r="BB171" i="12"/>
  <c r="BB169" i="12"/>
  <c r="BB168" i="12"/>
  <c r="CA31" i="15"/>
  <c r="CK31" i="15" s="1"/>
  <c r="CA11" i="15"/>
  <c r="CK11" i="15" s="1"/>
  <c r="BH11" i="31" s="1"/>
  <c r="CA71" i="15"/>
  <c r="CK71" i="15" s="1"/>
  <c r="CA97" i="15"/>
  <c r="CK97" i="15" s="1"/>
  <c r="CA25" i="15"/>
  <c r="CK25" i="15" s="1"/>
  <c r="BD177" i="12"/>
  <c r="BD176" i="12"/>
  <c r="BD175" i="12"/>
  <c r="BD174" i="12"/>
  <c r="P47" i="32" s="1"/>
  <c r="BD173" i="12"/>
  <c r="P46" i="32" s="1"/>
  <c r="P107" i="32" s="1"/>
  <c r="BD172" i="12"/>
  <c r="P45" i="32" s="1"/>
  <c r="BD171" i="12"/>
  <c r="P44" i="32" s="1"/>
  <c r="BD169" i="12"/>
  <c r="P42" i="32" s="1"/>
  <c r="BD168" i="12"/>
  <c r="P41" i="32" s="1"/>
  <c r="CA19" i="15"/>
  <c r="CK19" i="15" s="1"/>
  <c r="CA30" i="15"/>
  <c r="CK30" i="15" s="1"/>
  <c r="CA101" i="15"/>
  <c r="CK101" i="15" s="1"/>
  <c r="CA29" i="15"/>
  <c r="CK29" i="15" s="1"/>
  <c r="CA10" i="15"/>
  <c r="CK10" i="15" s="1"/>
  <c r="CA27" i="15"/>
  <c r="CK27" i="15" s="1"/>
  <c r="CA22" i="15"/>
  <c r="CK22" i="15" s="1"/>
  <c r="CA26" i="15"/>
  <c r="CK26" i="15" s="1"/>
  <c r="CA28" i="15"/>
  <c r="CK28" i="15" s="1"/>
  <c r="CA12" i="15"/>
  <c r="CK12" i="15" s="1"/>
  <c r="BC177" i="12"/>
  <c r="BC176" i="12"/>
  <c r="BC175" i="12"/>
  <c r="BC174" i="12"/>
  <c r="O47" i="32" s="1"/>
  <c r="BC173" i="12"/>
  <c r="O46" i="32" s="1"/>
  <c r="BC172" i="12"/>
  <c r="O45" i="32" s="1"/>
  <c r="BC171" i="12"/>
  <c r="O44" i="32" s="1"/>
  <c r="BC169" i="12"/>
  <c r="O42" i="32" s="1"/>
  <c r="BC168" i="12"/>
  <c r="CA14" i="15"/>
  <c r="CK14" i="15" s="1"/>
  <c r="CA69" i="15"/>
  <c r="CK69" i="15" s="1"/>
  <c r="CA99" i="15"/>
  <c r="CK99" i="15" s="1"/>
  <c r="CA67" i="15"/>
  <c r="CA20" i="15"/>
  <c r="CK20" i="15" s="1"/>
  <c r="BH20" i="31" s="1"/>
  <c r="CA15" i="15"/>
  <c r="CK15" i="15" s="1"/>
  <c r="CA72" i="15"/>
  <c r="CK72" i="15" s="1"/>
  <c r="CA33" i="15"/>
  <c r="CK33" i="15" s="1"/>
  <c r="CA8" i="15"/>
  <c r="CK8" i="15" s="1"/>
  <c r="CA13" i="15"/>
  <c r="CK13" i="15" s="1"/>
  <c r="X63" i="24"/>
  <c r="CA70" i="15"/>
  <c r="CK70" i="15" s="1"/>
  <c r="CA18" i="15"/>
  <c r="CK18" i="15" s="1"/>
  <c r="CA32" i="15"/>
  <c r="CK32" i="15" s="1"/>
  <c r="CA24" i="15"/>
  <c r="CK24" i="15" s="1"/>
  <c r="CA51" i="15"/>
  <c r="CK51" i="15" s="1"/>
  <c r="CA68" i="15"/>
  <c r="CK68" i="15" s="1"/>
  <c r="CA16" i="15"/>
  <c r="CK16" i="15" s="1"/>
  <c r="CA9" i="15"/>
  <c r="CK9" i="15" s="1"/>
  <c r="BH9" i="31" s="1"/>
  <c r="BC161" i="12"/>
  <c r="BC160" i="12"/>
  <c r="BC159" i="12"/>
  <c r="BC158" i="12"/>
  <c r="O14" i="32" s="1"/>
  <c r="BC157" i="12"/>
  <c r="O13" i="32" s="1"/>
  <c r="BC156" i="12"/>
  <c r="O12" i="32" s="1"/>
  <c r="BC155" i="12"/>
  <c r="O11" i="32" s="1"/>
  <c r="BC154" i="12"/>
  <c r="O10" i="32" s="1"/>
  <c r="BC153" i="12"/>
  <c r="O9" i="32" s="1"/>
  <c r="BB161" i="12"/>
  <c r="BB160" i="12"/>
  <c r="BB159" i="12"/>
  <c r="BB158" i="12"/>
  <c r="BB157" i="12"/>
  <c r="BB156" i="12"/>
  <c r="BB155" i="12"/>
  <c r="BB154" i="12"/>
  <c r="BB153" i="12"/>
  <c r="BD157" i="12"/>
  <c r="P13" i="32" s="1"/>
  <c r="BD161" i="12"/>
  <c r="BD156" i="12"/>
  <c r="P12" i="32" s="1"/>
  <c r="BD154" i="12"/>
  <c r="P10" i="32" s="1"/>
  <c r="BD160" i="12"/>
  <c r="BD155" i="12"/>
  <c r="P11" i="32" s="1"/>
  <c r="BD158" i="12"/>
  <c r="P14" i="32" s="1"/>
  <c r="BD159" i="12"/>
  <c r="BD153" i="12"/>
  <c r="P9" i="32" s="1"/>
  <c r="CX62" i="15"/>
  <c r="AB62" i="22"/>
  <c r="BE138" i="16"/>
  <c r="CV23" i="15"/>
  <c r="CJ137" i="15"/>
  <c r="CX37" i="15"/>
  <c r="AB37" i="22"/>
  <c r="AH37" i="22" s="1"/>
  <c r="AJ37" i="22" s="1"/>
  <c r="AB34" i="22"/>
  <c r="CX34" i="15"/>
  <c r="AB38" i="22"/>
  <c r="CX38" i="15"/>
  <c r="AB42" i="22"/>
  <c r="AH42" i="22" s="1"/>
  <c r="AM42" i="22" s="1"/>
  <c r="CX42" i="15"/>
  <c r="AB40" i="22"/>
  <c r="CX40" i="15"/>
  <c r="CJ138" i="15"/>
  <c r="CV30" i="15"/>
  <c r="CX36" i="15"/>
  <c r="AB36" i="22"/>
  <c r="AH36" i="22" s="1"/>
  <c r="CJ141" i="15"/>
  <c r="BT41" i="15"/>
  <c r="CL41" i="15" s="1"/>
  <c r="CX87" i="15"/>
  <c r="AB87" i="22"/>
  <c r="BT35" i="15"/>
  <c r="CL35" i="15" s="1"/>
  <c r="BT39" i="15"/>
  <c r="CL39" i="15" s="1"/>
  <c r="CK142" i="14"/>
  <c r="W140" i="22"/>
  <c r="M49" i="22"/>
  <c r="CX44" i="14"/>
  <c r="W44" i="22"/>
  <c r="W142" i="22" s="1"/>
  <c r="CX98" i="14"/>
  <c r="W98" i="22"/>
  <c r="CX76" i="14"/>
  <c r="W76" i="22"/>
  <c r="CX72" i="14"/>
  <c r="W72" i="22"/>
  <c r="CX26" i="14"/>
  <c r="CX137" i="14" s="1"/>
  <c r="W26" i="22"/>
  <c r="W139" i="22" s="1"/>
  <c r="CX88" i="14"/>
  <c r="W88" i="22"/>
  <c r="BI17" i="12"/>
  <c r="R17" i="22"/>
  <c r="W101" i="22"/>
  <c r="CX52" i="14"/>
  <c r="CX141" i="14" s="1"/>
  <c r="W52" i="22"/>
  <c r="W143" i="22" s="1"/>
  <c r="H140" i="22"/>
  <c r="CX47" i="15"/>
  <c r="AB47" i="22"/>
  <c r="H139" i="22"/>
  <c r="CX61" i="15"/>
  <c r="AB61" i="22"/>
  <c r="CX73" i="15"/>
  <c r="AB73" i="22"/>
  <c r="CX131" i="15"/>
  <c r="CX146" i="15" s="1"/>
  <c r="AB131" i="22"/>
  <c r="CX123" i="15"/>
  <c r="CX145" i="15" s="1"/>
  <c r="AB123" i="22"/>
  <c r="AB147" i="22" s="1"/>
  <c r="H141" i="22"/>
  <c r="AI45" i="22"/>
  <c r="AL45" i="22"/>
  <c r="AK45" i="22"/>
  <c r="AN45" i="22" s="1"/>
  <c r="AO45" i="22" s="1"/>
  <c r="BS45" i="16" s="1"/>
  <c r="AJ45" i="22"/>
  <c r="AM45" i="22"/>
  <c r="CX54" i="15"/>
  <c r="AB54" i="22"/>
  <c r="CX107" i="15"/>
  <c r="AB107" i="22"/>
  <c r="CX59" i="15"/>
  <c r="AB59" i="22"/>
  <c r="CW146" i="15"/>
  <c r="CX80" i="15"/>
  <c r="AB80" i="22"/>
  <c r="CL136" i="15"/>
  <c r="AB7" i="22"/>
  <c r="CX76" i="15"/>
  <c r="AB76" i="22"/>
  <c r="CX77" i="15"/>
  <c r="AB77" i="22"/>
  <c r="CX116" i="15"/>
  <c r="AB116" i="22"/>
  <c r="AH46" i="22"/>
  <c r="CX111" i="15"/>
  <c r="AB111" i="22"/>
  <c r="CX115" i="15"/>
  <c r="AB115" i="22"/>
  <c r="CL140" i="15"/>
  <c r="AB49" i="22"/>
  <c r="CL141" i="14"/>
  <c r="CK139" i="15"/>
  <c r="CV144" i="14"/>
  <c r="CK145" i="15"/>
  <c r="CL146" i="15"/>
  <c r="CL142" i="14"/>
  <c r="CH144" i="3"/>
  <c r="CH142" i="3"/>
  <c r="BI24" i="12"/>
  <c r="BH24" i="12"/>
  <c r="BH24" i="31" s="1"/>
  <c r="CK144" i="15"/>
  <c r="CL145" i="15"/>
  <c r="CK146" i="15"/>
  <c r="CW47" i="15"/>
  <c r="CK140" i="15"/>
  <c r="CL144" i="15"/>
  <c r="CW142" i="14"/>
  <c r="BF30" i="12"/>
  <c r="BF30" i="31" s="1"/>
  <c r="CI138" i="3"/>
  <c r="BE10" i="12"/>
  <c r="BE10" i="31" s="1"/>
  <c r="CH137" i="3"/>
  <c r="BF43" i="12"/>
  <c r="CH143" i="3"/>
  <c r="BE35" i="12"/>
  <c r="BE35" i="31" s="1"/>
  <c r="BE139" i="31" s="1"/>
  <c r="CH139" i="3"/>
  <c r="CH140" i="3"/>
  <c r="CH141" i="3"/>
  <c r="CV133" i="14"/>
  <c r="CW136" i="14"/>
  <c r="CU147" i="14"/>
  <c r="CW138" i="14"/>
  <c r="CW74" i="15"/>
  <c r="CX112" i="15"/>
  <c r="CW112" i="15"/>
  <c r="CW144" i="15" s="1"/>
  <c r="CQ147" i="15"/>
  <c r="CS147" i="14"/>
  <c r="CQ147" i="14"/>
  <c r="CT147" i="14"/>
  <c r="CX115" i="14"/>
  <c r="CV139" i="14"/>
  <c r="CW141" i="14"/>
  <c r="CV146" i="14"/>
  <c r="CR147" i="14"/>
  <c r="CV145" i="14"/>
  <c r="CX131" i="14"/>
  <c r="CX138" i="14"/>
  <c r="CW39" i="14"/>
  <c r="CW116" i="14"/>
  <c r="CX101" i="14"/>
  <c r="CW50" i="14"/>
  <c r="CX116" i="14"/>
  <c r="CW101" i="14"/>
  <c r="CW143" i="14" s="1"/>
  <c r="CX50" i="14"/>
  <c r="CW136" i="15"/>
  <c r="BG26" i="12"/>
  <c r="R65" i="17"/>
  <c r="AE64" i="17"/>
  <c r="AD64" i="17"/>
  <c r="AC64" i="17"/>
  <c r="AB64" i="17"/>
  <c r="AA64" i="17"/>
  <c r="Z64" i="17"/>
  <c r="T64" i="17"/>
  <c r="S64" i="17"/>
  <c r="X64" i="15" s="1"/>
  <c r="X64" i="17"/>
  <c r="X64" i="14" s="1"/>
  <c r="W64" i="17"/>
  <c r="V64" i="17"/>
  <c r="X64" i="3" s="1"/>
  <c r="U64" i="17"/>
  <c r="CK137" i="14"/>
  <c r="CL144" i="14"/>
  <c r="CL140" i="14"/>
  <c r="BI114" i="12"/>
  <c r="BI114" i="31" s="1"/>
  <c r="BI46" i="12"/>
  <c r="BI46" i="31" s="1"/>
  <c r="BI36" i="12"/>
  <c r="BI37" i="12"/>
  <c r="BI22" i="12"/>
  <c r="BH114" i="12"/>
  <c r="BH114" i="31" s="1"/>
  <c r="BH21" i="12"/>
  <c r="BH21" i="31" s="1"/>
  <c r="BH46" i="12"/>
  <c r="BH46" i="31" s="1"/>
  <c r="BH22" i="12"/>
  <c r="BH22" i="31" s="1"/>
  <c r="BI19" i="12"/>
  <c r="BI33" i="12"/>
  <c r="BI21" i="12"/>
  <c r="BH36" i="12"/>
  <c r="BH36" i="31" s="1"/>
  <c r="BH111" i="12"/>
  <c r="BH111" i="31" s="1"/>
  <c r="BH33" i="12"/>
  <c r="BH33" i="31" s="1"/>
  <c r="BI12" i="12"/>
  <c r="BI111" i="12"/>
  <c r="BI111" i="31" s="1"/>
  <c r="BH34" i="12"/>
  <c r="BH34" i="31" s="1"/>
  <c r="BH29" i="12"/>
  <c r="BH45" i="12"/>
  <c r="BH45" i="31" s="1"/>
  <c r="BH37" i="12"/>
  <c r="BH37" i="31" s="1"/>
  <c r="BH19" i="12"/>
  <c r="BI34" i="12"/>
  <c r="BI29" i="12"/>
  <c r="BI45" i="12"/>
  <c r="BI45" i="31" s="1"/>
  <c r="BH39" i="12"/>
  <c r="BH28" i="12"/>
  <c r="BH8" i="12"/>
  <c r="BH12" i="12"/>
  <c r="BI25" i="12"/>
  <c r="BI39" i="12"/>
  <c r="BH25" i="12"/>
  <c r="BH25" i="31" s="1"/>
  <c r="BI28" i="12"/>
  <c r="CX74" i="15"/>
  <c r="CX53" i="15"/>
  <c r="CX49" i="15"/>
  <c r="CX7" i="15"/>
  <c r="CW49" i="15"/>
  <c r="CL137" i="14"/>
  <c r="CL143" i="14"/>
  <c r="CK139" i="14"/>
  <c r="CW115" i="14"/>
  <c r="CK144" i="14"/>
  <c r="CX39" i="14"/>
  <c r="CL139" i="14"/>
  <c r="CW131" i="14"/>
  <c r="CK146" i="14"/>
  <c r="CK143" i="14"/>
  <c r="CL145" i="14"/>
  <c r="CX119" i="14"/>
  <c r="CL136" i="14"/>
  <c r="CX7" i="14"/>
  <c r="CK145" i="14"/>
  <c r="CW119" i="14"/>
  <c r="CK140" i="14"/>
  <c r="CL146" i="14"/>
  <c r="BL26" i="7"/>
  <c r="BT26" i="7" s="1"/>
  <c r="CL26" i="7" s="1"/>
  <c r="CL137" i="7" s="1"/>
  <c r="AG152" i="12" s="1"/>
  <c r="BS26" i="7"/>
  <c r="CK26" i="7" s="1"/>
  <c r="CK137" i="7" s="1"/>
  <c r="BK79" i="7"/>
  <c r="BR79" i="7"/>
  <c r="CJ79" i="7" s="1"/>
  <c r="BJ123" i="7"/>
  <c r="BQ123" i="7"/>
  <c r="CI123" i="7" s="1"/>
  <c r="BL103" i="3"/>
  <c r="BT103" i="3" s="1"/>
  <c r="CL103" i="3" s="1"/>
  <c r="R103" i="22" s="1"/>
  <c r="BS103" i="3"/>
  <c r="CK103" i="3" s="1"/>
  <c r="BK60" i="7"/>
  <c r="BR60" i="7"/>
  <c r="CJ60" i="7" s="1"/>
  <c r="BL63" i="7"/>
  <c r="BT63" i="7" s="1"/>
  <c r="CL63" i="7" s="1"/>
  <c r="BS63" i="7"/>
  <c r="CK63" i="7" s="1"/>
  <c r="BJ57" i="7"/>
  <c r="BQ57" i="7"/>
  <c r="CI57" i="7" s="1"/>
  <c r="BK64" i="7"/>
  <c r="BR64" i="7"/>
  <c r="CJ64" i="7" s="1"/>
  <c r="BJ87" i="7"/>
  <c r="BQ87" i="7"/>
  <c r="CI87" i="7" s="1"/>
  <c r="BJ112" i="7"/>
  <c r="BQ112" i="7"/>
  <c r="CI112" i="7" s="1"/>
  <c r="CI144" i="7" s="1"/>
  <c r="BJ119" i="7"/>
  <c r="BQ119" i="7"/>
  <c r="CI119" i="7" s="1"/>
  <c r="BJ130" i="7"/>
  <c r="BQ130" i="7"/>
  <c r="CI130" i="7" s="1"/>
  <c r="BK103" i="7"/>
  <c r="BR103" i="7"/>
  <c r="CJ103" i="7" s="1"/>
  <c r="BJ89" i="7"/>
  <c r="BQ89" i="7"/>
  <c r="CI89" i="7" s="1"/>
  <c r="BJ127" i="7"/>
  <c r="BQ127" i="7"/>
  <c r="CI127" i="7" s="1"/>
  <c r="BL50" i="7"/>
  <c r="BT50" i="7" s="1"/>
  <c r="CL50" i="7" s="1"/>
  <c r="CL140" i="7" s="1"/>
  <c r="BS50" i="7"/>
  <c r="CK50" i="7" s="1"/>
  <c r="BJ104" i="7"/>
  <c r="BQ104" i="7"/>
  <c r="CI104" i="7" s="1"/>
  <c r="BK56" i="7"/>
  <c r="BR56" i="7"/>
  <c r="CJ56" i="7" s="1"/>
  <c r="BK51" i="7"/>
  <c r="BR51" i="7"/>
  <c r="CJ51" i="7" s="1"/>
  <c r="BK83" i="7"/>
  <c r="BR83" i="7"/>
  <c r="CJ83" i="7" s="1"/>
  <c r="BJ54" i="7"/>
  <c r="BQ54" i="7"/>
  <c r="CI54" i="7" s="1"/>
  <c r="BL55" i="7"/>
  <c r="BT55" i="7" s="1"/>
  <c r="CL55" i="7" s="1"/>
  <c r="M55" i="22" s="1"/>
  <c r="BS55" i="7"/>
  <c r="CK55" i="7" s="1"/>
  <c r="BK53" i="7"/>
  <c r="BR53" i="7"/>
  <c r="CJ53" i="7" s="1"/>
  <c r="BJ68" i="7"/>
  <c r="BQ68" i="7"/>
  <c r="CI68" i="7" s="1"/>
  <c r="BJ65" i="7"/>
  <c r="BQ65" i="7"/>
  <c r="CI65" i="7" s="1"/>
  <c r="BJ124" i="7"/>
  <c r="BQ124" i="7"/>
  <c r="CI124" i="7" s="1"/>
  <c r="BJ70" i="7"/>
  <c r="BQ70" i="7"/>
  <c r="CI70" i="7" s="1"/>
  <c r="BJ97" i="7"/>
  <c r="BQ97" i="7"/>
  <c r="CI97" i="7" s="1"/>
  <c r="BJ61" i="7"/>
  <c r="BQ61" i="7"/>
  <c r="CI61" i="7" s="1"/>
  <c r="BK120" i="7"/>
  <c r="BR120" i="7"/>
  <c r="CJ120" i="7" s="1"/>
  <c r="BJ76" i="7"/>
  <c r="BQ76" i="7"/>
  <c r="CI76" i="7" s="1"/>
  <c r="BL69" i="7"/>
  <c r="BS69" i="7"/>
  <c r="CK69" i="7" s="1"/>
  <c r="BL128" i="7"/>
  <c r="BT128" i="7" s="1"/>
  <c r="CL128" i="7" s="1"/>
  <c r="M128" i="22" s="1"/>
  <c r="BS128" i="7"/>
  <c r="CK128" i="7" s="1"/>
  <c r="BJ78" i="7"/>
  <c r="BQ78" i="7"/>
  <c r="CI78" i="7" s="1"/>
  <c r="BK32" i="3"/>
  <c r="BR32" i="3"/>
  <c r="CJ32" i="3" s="1"/>
  <c r="BG32" i="12" s="1"/>
  <c r="BJ76" i="3"/>
  <c r="BQ76" i="3"/>
  <c r="CI76" i="3" s="1"/>
  <c r="BK43" i="3"/>
  <c r="BR43" i="3"/>
  <c r="CJ43" i="3" s="1"/>
  <c r="BJ16" i="3"/>
  <c r="BQ16" i="3"/>
  <c r="CI16" i="3" s="1"/>
  <c r="BF16" i="12" s="1"/>
  <c r="BF16" i="31" s="1"/>
  <c r="BL14" i="3"/>
  <c r="BT14" i="3" s="1"/>
  <c r="CL14" i="3" s="1"/>
  <c r="BS14" i="3"/>
  <c r="CK14" i="3" s="1"/>
  <c r="BH14" i="12" s="1"/>
  <c r="BJ47" i="3"/>
  <c r="BQ47" i="3"/>
  <c r="CI47" i="3" s="1"/>
  <c r="BF47" i="12" s="1"/>
  <c r="BF47" i="31" s="1"/>
  <c r="BK54" i="3"/>
  <c r="BR54" i="3"/>
  <c r="CJ54" i="3" s="1"/>
  <c r="BJ62" i="3"/>
  <c r="BQ62" i="3"/>
  <c r="CI62" i="3" s="1"/>
  <c r="BK70" i="3"/>
  <c r="BR70" i="3"/>
  <c r="CJ70" i="3" s="1"/>
  <c r="BJ59" i="3"/>
  <c r="BQ59" i="3"/>
  <c r="CI59" i="3" s="1"/>
  <c r="BK65" i="3"/>
  <c r="BR65" i="3"/>
  <c r="CJ65" i="3" s="1"/>
  <c r="BJ78" i="3"/>
  <c r="BQ78" i="3"/>
  <c r="CI78" i="3" s="1"/>
  <c r="BJ86" i="3"/>
  <c r="BQ86" i="3"/>
  <c r="CI86" i="3" s="1"/>
  <c r="BJ117" i="3"/>
  <c r="BQ117" i="3"/>
  <c r="CI117" i="3" s="1"/>
  <c r="BF117" i="12" s="1"/>
  <c r="BF117" i="31" s="1"/>
  <c r="BJ13" i="3"/>
  <c r="BQ13" i="3"/>
  <c r="CI13" i="3" s="1"/>
  <c r="BF13" i="12" s="1"/>
  <c r="BF13" i="31" s="1"/>
  <c r="BK38" i="3"/>
  <c r="BR38" i="3"/>
  <c r="CJ38" i="3" s="1"/>
  <c r="BG38" i="12" s="1"/>
  <c r="BG38" i="31" s="1"/>
  <c r="BJ41" i="3"/>
  <c r="BQ41" i="3"/>
  <c r="CI41" i="3" s="1"/>
  <c r="BF41" i="12" s="1"/>
  <c r="BF41" i="31" s="1"/>
  <c r="BJ74" i="3"/>
  <c r="BQ74" i="3"/>
  <c r="CI74" i="3" s="1"/>
  <c r="BJ124" i="3"/>
  <c r="BQ124" i="3"/>
  <c r="CI124" i="3" s="1"/>
  <c r="CI145" i="3" s="1"/>
  <c r="BJ127" i="3"/>
  <c r="BQ127" i="3"/>
  <c r="CI127" i="3" s="1"/>
  <c r="BJ81" i="3"/>
  <c r="BQ81" i="3"/>
  <c r="CI81" i="3" s="1"/>
  <c r="BL60" i="3"/>
  <c r="BT60" i="3" s="1"/>
  <c r="CL60" i="3" s="1"/>
  <c r="R60" i="22" s="1"/>
  <c r="BS60" i="3"/>
  <c r="CK60" i="3" s="1"/>
  <c r="BJ132" i="3"/>
  <c r="BQ132" i="3"/>
  <c r="CI132" i="3" s="1"/>
  <c r="BK113" i="3"/>
  <c r="BR113" i="3"/>
  <c r="CJ113" i="3" s="1"/>
  <c r="BG113" i="12" s="1"/>
  <c r="BG113" i="31" s="1"/>
  <c r="BL58" i="3"/>
  <c r="BT58" i="3" s="1"/>
  <c r="CL58" i="3" s="1"/>
  <c r="BS58" i="3"/>
  <c r="CK58" i="3" s="1"/>
  <c r="BJ77" i="3"/>
  <c r="BQ77" i="3"/>
  <c r="CI77" i="3" s="1"/>
  <c r="BJ112" i="3"/>
  <c r="BQ112" i="3"/>
  <c r="CI112" i="3" s="1"/>
  <c r="BK67" i="3"/>
  <c r="BR67" i="3"/>
  <c r="CJ67" i="3" s="1"/>
  <c r="BK82" i="3"/>
  <c r="BR82" i="3"/>
  <c r="CJ82" i="3" s="1"/>
  <c r="BL18" i="3"/>
  <c r="BT18" i="3" s="1"/>
  <c r="CL18" i="3" s="1"/>
  <c r="BS18" i="3"/>
  <c r="CK18" i="3" s="1"/>
  <c r="BH18" i="12" s="1"/>
  <c r="BJ71" i="3"/>
  <c r="BQ71" i="3"/>
  <c r="CI71" i="3" s="1"/>
  <c r="BL26" i="3"/>
  <c r="BT26" i="3" s="1"/>
  <c r="CL26" i="3" s="1"/>
  <c r="R26" i="22" s="1"/>
  <c r="BS26" i="3"/>
  <c r="CK26" i="3" s="1"/>
  <c r="BJ115" i="3"/>
  <c r="BQ115" i="3"/>
  <c r="CI115" i="3" s="1"/>
  <c r="BF115" i="12" s="1"/>
  <c r="BF115" i="31" s="1"/>
  <c r="BJ40" i="3"/>
  <c r="BQ40" i="3"/>
  <c r="CI40" i="3" s="1"/>
  <c r="BF40" i="12" s="1"/>
  <c r="BF40" i="31" s="1"/>
  <c r="BL66" i="3"/>
  <c r="BT66" i="3" s="1"/>
  <c r="CL66" i="3" s="1"/>
  <c r="BS66" i="3"/>
  <c r="CK66" i="3" s="1"/>
  <c r="BJ15" i="3"/>
  <c r="BQ15" i="3"/>
  <c r="CI15" i="3" s="1"/>
  <c r="BF15" i="12" s="1"/>
  <c r="BF15" i="31" s="1"/>
  <c r="BJ10" i="3"/>
  <c r="BQ10" i="3"/>
  <c r="CI10" i="3" s="1"/>
  <c r="BJ68" i="3"/>
  <c r="BQ68" i="3"/>
  <c r="CI68" i="3" s="1"/>
  <c r="BK30" i="3"/>
  <c r="BR30" i="3"/>
  <c r="CJ30" i="3" s="1"/>
  <c r="BK105" i="3"/>
  <c r="BR105" i="3"/>
  <c r="CJ105" i="3" s="1"/>
  <c r="BJ51" i="3"/>
  <c r="BQ51" i="3"/>
  <c r="CI51" i="3" s="1"/>
  <c r="BK61" i="3"/>
  <c r="BR61" i="3"/>
  <c r="CJ61" i="3" s="1"/>
  <c r="BJ57" i="3"/>
  <c r="BQ57" i="3"/>
  <c r="CI57" i="3" s="1"/>
  <c r="BK85" i="3"/>
  <c r="BR85" i="3"/>
  <c r="CJ85" i="3" s="1"/>
  <c r="BK129" i="3"/>
  <c r="BR129" i="3"/>
  <c r="CJ129" i="3" s="1"/>
  <c r="BJ100" i="3"/>
  <c r="BQ100" i="3"/>
  <c r="CI100" i="3" s="1"/>
  <c r="BJ83" i="3"/>
  <c r="BQ83" i="3"/>
  <c r="CI83" i="3" s="1"/>
  <c r="BJ35" i="3"/>
  <c r="BQ35" i="3"/>
  <c r="CI35" i="3" s="1"/>
  <c r="BK125" i="3"/>
  <c r="BR125" i="3"/>
  <c r="CJ125" i="3" s="1"/>
  <c r="BK84" i="3"/>
  <c r="BR84" i="3"/>
  <c r="CJ84" i="3" s="1"/>
  <c r="BK55" i="3"/>
  <c r="BR55" i="3"/>
  <c r="CJ55" i="3" s="1"/>
  <c r="BJ93" i="3"/>
  <c r="BQ93" i="3"/>
  <c r="CI93" i="3" s="1"/>
  <c r="BJ97" i="3"/>
  <c r="BQ97" i="3"/>
  <c r="CI97" i="3" s="1"/>
  <c r="BJ104" i="3"/>
  <c r="BQ104" i="3"/>
  <c r="CI104" i="3" s="1"/>
  <c r="BJ109" i="3"/>
  <c r="BQ109" i="3"/>
  <c r="CI109" i="3" s="1"/>
  <c r="BK128" i="3"/>
  <c r="BR128" i="3"/>
  <c r="CJ128" i="3" s="1"/>
  <c r="BJ80" i="3"/>
  <c r="BQ80" i="3"/>
  <c r="CI80" i="3" s="1"/>
  <c r="BU7" i="27" l="1"/>
  <c r="BF138" i="31"/>
  <c r="BH14" i="31"/>
  <c r="BH19" i="31"/>
  <c r="BH29" i="31"/>
  <c r="CI143" i="7"/>
  <c r="BH18" i="31"/>
  <c r="CI141" i="7"/>
  <c r="BH28" i="31"/>
  <c r="CI145" i="7"/>
  <c r="BH12" i="31"/>
  <c r="V55" i="26"/>
  <c r="T55" i="32"/>
  <c r="T55" i="30"/>
  <c r="W55" i="26"/>
  <c r="U55" i="32"/>
  <c r="U55" i="30"/>
  <c r="U57" i="26"/>
  <c r="S57" i="32"/>
  <c r="S57" i="30"/>
  <c r="Q57" i="26"/>
  <c r="O57" i="32"/>
  <c r="O57" i="30"/>
  <c r="U53" i="26"/>
  <c r="S53" i="32"/>
  <c r="S53" i="30"/>
  <c r="J31" i="29"/>
  <c r="BH31" i="31"/>
  <c r="CI146" i="7"/>
  <c r="U52" i="26"/>
  <c r="S52" i="32"/>
  <c r="S52" i="30"/>
  <c r="V54" i="26"/>
  <c r="BY39" i="26" s="1"/>
  <c r="T54" i="32"/>
  <c r="T54" i="30"/>
  <c r="W51" i="26"/>
  <c r="U51" i="32"/>
  <c r="U143" i="32" s="1"/>
  <c r="U51" i="30"/>
  <c r="U143" i="30" s="1"/>
  <c r="U158" i="30" s="1"/>
  <c r="U56" i="26"/>
  <c r="S56" i="32"/>
  <c r="S56" i="30"/>
  <c r="J27" i="29"/>
  <c r="BH27" i="31"/>
  <c r="T108" i="32"/>
  <c r="T108" i="30"/>
  <c r="T58" i="32"/>
  <c r="T58" i="30"/>
  <c r="R57" i="26"/>
  <c r="P57" i="32"/>
  <c r="P57" i="30"/>
  <c r="CW139" i="15"/>
  <c r="BH39" i="16"/>
  <c r="BH39" i="31"/>
  <c r="BI36" i="27"/>
  <c r="BI36" i="31"/>
  <c r="H43" i="29"/>
  <c r="BF43" i="31"/>
  <c r="O41" i="30"/>
  <c r="O41" i="32"/>
  <c r="V78" i="26"/>
  <c r="T78" i="32"/>
  <c r="T78" i="30"/>
  <c r="CT133" i="15"/>
  <c r="P106" i="32"/>
  <c r="BE137" i="31"/>
  <c r="Y211" i="26"/>
  <c r="AD211" i="26" s="1"/>
  <c r="AD179" i="26"/>
  <c r="AE179" i="26" s="1"/>
  <c r="W220" i="26" s="1"/>
  <c r="Z164" i="32"/>
  <c r="Z196" i="32" s="1"/>
  <c r="AG138" i="32" s="1"/>
  <c r="AA164" i="32"/>
  <c r="AA196" i="32" s="1"/>
  <c r="AH138" i="32" s="1"/>
  <c r="W164" i="32"/>
  <c r="BI39" i="16"/>
  <c r="BI39" i="31"/>
  <c r="BI34" i="27"/>
  <c r="BI34" i="31"/>
  <c r="BG32" i="16"/>
  <c r="BG32" i="31"/>
  <c r="W78" i="26"/>
  <c r="U78" i="32"/>
  <c r="U78" i="30"/>
  <c r="Y164" i="32"/>
  <c r="Y196" i="32" s="1"/>
  <c r="AF138" i="32" s="1"/>
  <c r="BI39" i="27"/>
  <c r="BH8" i="16"/>
  <c r="BH8" i="31"/>
  <c r="BI37" i="27"/>
  <c r="BI37" i="31"/>
  <c r="BG26" i="16"/>
  <c r="BG26" i="31"/>
  <c r="X164" i="32"/>
  <c r="X196" i="32" s="1"/>
  <c r="AE138" i="32" s="1"/>
  <c r="BF41" i="16"/>
  <c r="H41" i="29"/>
  <c r="BF41" i="27"/>
  <c r="BH111" i="16"/>
  <c r="J111" i="29"/>
  <c r="BH111" i="27"/>
  <c r="BH114" i="16"/>
  <c r="J114" i="29"/>
  <c r="BH114" i="27"/>
  <c r="J25" i="29"/>
  <c r="BB46" i="16"/>
  <c r="BB46" i="27"/>
  <c r="D46" i="29"/>
  <c r="BC46" i="16"/>
  <c r="BC46" i="27"/>
  <c r="E46" i="29"/>
  <c r="BE35" i="16"/>
  <c r="BE139" i="16" s="1"/>
  <c r="BE35" i="27"/>
  <c r="BE139" i="27" s="1"/>
  <c r="G35" i="29"/>
  <c r="G139" i="29" s="1"/>
  <c r="BG113" i="16"/>
  <c r="I113" i="29"/>
  <c r="BG113" i="27"/>
  <c r="BG38" i="16"/>
  <c r="BG38" i="27"/>
  <c r="I38" i="29"/>
  <c r="BF16" i="16"/>
  <c r="H16" i="29"/>
  <c r="BF16" i="27"/>
  <c r="BH45" i="16"/>
  <c r="BH45" i="27"/>
  <c r="J45" i="29"/>
  <c r="BI37" i="16"/>
  <c r="K37" i="29"/>
  <c r="J8" i="29"/>
  <c r="J14" i="29"/>
  <c r="BG26" i="27"/>
  <c r="K39" i="29"/>
  <c r="BF15" i="16"/>
  <c r="BF15" i="27"/>
  <c r="H15" i="29"/>
  <c r="BI36" i="16"/>
  <c r="K36" i="29"/>
  <c r="J24" i="29"/>
  <c r="BH36" i="16"/>
  <c r="J36" i="29"/>
  <c r="BH36" i="27"/>
  <c r="BF13" i="16"/>
  <c r="BF13" i="27"/>
  <c r="H13" i="29"/>
  <c r="BH34" i="16"/>
  <c r="J34" i="29"/>
  <c r="BH34" i="27"/>
  <c r="BI46" i="16"/>
  <c r="BI46" i="27"/>
  <c r="K46" i="29"/>
  <c r="J12" i="29"/>
  <c r="BE46" i="16"/>
  <c r="BE46" i="27"/>
  <c r="G46" i="29"/>
  <c r="BI114" i="16"/>
  <c r="BI114" i="27"/>
  <c r="K114" i="29"/>
  <c r="BE10" i="16"/>
  <c r="BE137" i="16" s="1"/>
  <c r="BE10" i="27"/>
  <c r="BE137" i="27" s="1"/>
  <c r="G10" i="29"/>
  <c r="G137" i="29" s="1"/>
  <c r="J18" i="29"/>
  <c r="BH37" i="16"/>
  <c r="BH37" i="27"/>
  <c r="J37" i="29"/>
  <c r="BI45" i="16"/>
  <c r="BI45" i="27"/>
  <c r="K45" i="29"/>
  <c r="BF40" i="16"/>
  <c r="H40" i="29"/>
  <c r="BF40" i="27"/>
  <c r="BF117" i="16"/>
  <c r="H117" i="29"/>
  <c r="BF117" i="27"/>
  <c r="BF47" i="16"/>
  <c r="H47" i="29"/>
  <c r="BF47" i="27"/>
  <c r="BH46" i="16"/>
  <c r="J46" i="29"/>
  <c r="BH46" i="27"/>
  <c r="J19" i="29"/>
  <c r="J39" i="29"/>
  <c r="I26" i="29"/>
  <c r="BF115" i="16"/>
  <c r="H115" i="29"/>
  <c r="BF115" i="27"/>
  <c r="BI111" i="16"/>
  <c r="K111" i="29"/>
  <c r="BI111" i="27"/>
  <c r="BI34" i="16"/>
  <c r="K34" i="29"/>
  <c r="J22" i="29"/>
  <c r="J21" i="29"/>
  <c r="BF46" i="16"/>
  <c r="BF46" i="27"/>
  <c r="H46" i="29"/>
  <c r="BD46" i="16"/>
  <c r="BD46" i="27"/>
  <c r="F46" i="29"/>
  <c r="BH39" i="27"/>
  <c r="W143" i="26"/>
  <c r="W158" i="26" s="1"/>
  <c r="BT69" i="7"/>
  <c r="CL69" i="7" s="1"/>
  <c r="M69" i="22" s="1"/>
  <c r="R11" i="26"/>
  <c r="P11" i="30"/>
  <c r="Q47" i="26"/>
  <c r="O47" i="30"/>
  <c r="R45" i="26"/>
  <c r="P45" i="30"/>
  <c r="Q46" i="26"/>
  <c r="O46" i="30"/>
  <c r="R42" i="26"/>
  <c r="P42" i="30"/>
  <c r="R10" i="26"/>
  <c r="P10" i="30"/>
  <c r="R44" i="26"/>
  <c r="P44" i="30"/>
  <c r="R12" i="26"/>
  <c r="P12" i="30"/>
  <c r="Q14" i="26"/>
  <c r="O14" i="30"/>
  <c r="R46" i="26"/>
  <c r="R107" i="26" s="1"/>
  <c r="P46" i="30"/>
  <c r="P107" i="30" s="1"/>
  <c r="Q11" i="26"/>
  <c r="O11" i="30"/>
  <c r="Q12" i="26"/>
  <c r="O12" i="30"/>
  <c r="Q13" i="26"/>
  <c r="O13" i="30"/>
  <c r="R9" i="26"/>
  <c r="P9" i="30"/>
  <c r="R13" i="26"/>
  <c r="R106" i="26" s="1"/>
  <c r="P13" i="30"/>
  <c r="Q42" i="26"/>
  <c r="O42" i="30"/>
  <c r="R47" i="26"/>
  <c r="P47" i="30"/>
  <c r="Q10" i="26"/>
  <c r="O10" i="30"/>
  <c r="Q44" i="26"/>
  <c r="O44" i="30"/>
  <c r="R41" i="26"/>
  <c r="P41" i="30"/>
  <c r="R14" i="26"/>
  <c r="P14" i="30"/>
  <c r="Q9" i="26"/>
  <c r="O9" i="30"/>
  <c r="Q45" i="26"/>
  <c r="O45" i="30"/>
  <c r="CW140" i="14"/>
  <c r="BH28" i="16"/>
  <c r="BH29" i="16"/>
  <c r="J29" i="29"/>
  <c r="BG32" i="27"/>
  <c r="BF30" i="16"/>
  <c r="BF138" i="16" s="1"/>
  <c r="H30" i="29"/>
  <c r="H138" i="29" s="1"/>
  <c r="BF30" i="27"/>
  <c r="BF138" i="27" s="1"/>
  <c r="BV181" i="12"/>
  <c r="BX181" i="12"/>
  <c r="BW181" i="12"/>
  <c r="J28" i="29"/>
  <c r="BY181" i="12"/>
  <c r="I32" i="29"/>
  <c r="J33" i="29"/>
  <c r="CR133" i="15"/>
  <c r="CU133" i="15"/>
  <c r="BH17" i="16"/>
  <c r="J17" i="29"/>
  <c r="BH23" i="27"/>
  <c r="J23" i="29"/>
  <c r="BH11" i="16"/>
  <c r="J11" i="29"/>
  <c r="BH9" i="16"/>
  <c r="J9" i="29"/>
  <c r="BH20" i="16"/>
  <c r="J20" i="29"/>
  <c r="CI142" i="7"/>
  <c r="BF43" i="16"/>
  <c r="DB48" i="20"/>
  <c r="DB50" i="20" s="1"/>
  <c r="BF43" i="27"/>
  <c r="DA50" i="20"/>
  <c r="CV141" i="15"/>
  <c r="CW51" i="15"/>
  <c r="CW69" i="15"/>
  <c r="CW97" i="15"/>
  <c r="V58" i="26"/>
  <c r="CW101" i="15"/>
  <c r="CW71" i="15"/>
  <c r="CT143" i="15"/>
  <c r="CW68" i="15"/>
  <c r="CW52" i="15"/>
  <c r="CU142" i="15"/>
  <c r="CW72" i="15"/>
  <c r="CS143" i="15"/>
  <c r="V108" i="26"/>
  <c r="CV96" i="15"/>
  <c r="CR142" i="15"/>
  <c r="CR143" i="15"/>
  <c r="CU143" i="15"/>
  <c r="CW70" i="15"/>
  <c r="CV67" i="15"/>
  <c r="CT142" i="15"/>
  <c r="CS142" i="15"/>
  <c r="CK67" i="15"/>
  <c r="CK142" i="15" s="1"/>
  <c r="CA96" i="15"/>
  <c r="CK96" i="15" s="1"/>
  <c r="CW32" i="15"/>
  <c r="BH31" i="27"/>
  <c r="BH31" i="16"/>
  <c r="CW33" i="15"/>
  <c r="BH33" i="27"/>
  <c r="BH27" i="27"/>
  <c r="BH27" i="16"/>
  <c r="CW29" i="15"/>
  <c r="BH29" i="27"/>
  <c r="CV138" i="15"/>
  <c r="BH33" i="16"/>
  <c r="CW28" i="15"/>
  <c r="BH28" i="27"/>
  <c r="BH25" i="16"/>
  <c r="BH14" i="16"/>
  <c r="BH18" i="16"/>
  <c r="BH12" i="16"/>
  <c r="CW25" i="15"/>
  <c r="BH25" i="27"/>
  <c r="CW24" i="15"/>
  <c r="BH24" i="27"/>
  <c r="CW19" i="15"/>
  <c r="BH19" i="27"/>
  <c r="CW13" i="15"/>
  <c r="CW22" i="15"/>
  <c r="BH22" i="27"/>
  <c r="CW21" i="15"/>
  <c r="BH21" i="27"/>
  <c r="BH24" i="16"/>
  <c r="CW16" i="15"/>
  <c r="CW8" i="15"/>
  <c r="BH8" i="27"/>
  <c r="CW10" i="15"/>
  <c r="BH22" i="16"/>
  <c r="CW14" i="15"/>
  <c r="BH14" i="27"/>
  <c r="CW11" i="15"/>
  <c r="BH11" i="27"/>
  <c r="CW26" i="15"/>
  <c r="CW12" i="15"/>
  <c r="BH12" i="27"/>
  <c r="BH19" i="16"/>
  <c r="BH21" i="16"/>
  <c r="CV137" i="15"/>
  <c r="CW18" i="15"/>
  <c r="BH18" i="27"/>
  <c r="CW17" i="15"/>
  <c r="BH17" i="27"/>
  <c r="CW9" i="15"/>
  <c r="BH9" i="27"/>
  <c r="CW20" i="15"/>
  <c r="BH20" i="27"/>
  <c r="BH23" i="16"/>
  <c r="BC182" i="12"/>
  <c r="O8" i="32" s="1"/>
  <c r="O144" i="32" s="1"/>
  <c r="Q41" i="26"/>
  <c r="AL48" i="12" a="1"/>
  <c r="AL48" i="12" s="1"/>
  <c r="AM48" i="12"/>
  <c r="AK48" i="12"/>
  <c r="BB183" i="12"/>
  <c r="BD184" i="12"/>
  <c r="P43" i="32" s="1"/>
  <c r="P146" i="32" s="1"/>
  <c r="BD183" i="12"/>
  <c r="P20" i="32" s="1"/>
  <c r="P145" i="32" s="1"/>
  <c r="BC183" i="12"/>
  <c r="O20" i="32" s="1"/>
  <c r="O145" i="32" s="1"/>
  <c r="AK64" i="24"/>
  <c r="CD64" i="24" s="1"/>
  <c r="AL64" i="24"/>
  <c r="AM64" i="24"/>
  <c r="CR62" i="24"/>
  <c r="BC47" i="12"/>
  <c r="BC47" i="31" s="1"/>
  <c r="CS62" i="24"/>
  <c r="BD47" i="12"/>
  <c r="BD47" i="31" s="1"/>
  <c r="BE47" i="12"/>
  <c r="BE47" i="31" s="1"/>
  <c r="CQ62" i="24"/>
  <c r="BB47" i="12"/>
  <c r="BB47" i="31" s="1"/>
  <c r="CX62" i="24"/>
  <c r="H47" i="22"/>
  <c r="X64" i="24"/>
  <c r="AZ64" i="24"/>
  <c r="CP64" i="24" s="1"/>
  <c r="G49" i="22" s="1"/>
  <c r="BA64" i="24"/>
  <c r="AY64" i="24"/>
  <c r="CI63" i="24"/>
  <c r="CG63" i="24"/>
  <c r="CH63" i="24"/>
  <c r="CF63" i="24"/>
  <c r="CE63" i="24"/>
  <c r="CJ63" i="24"/>
  <c r="CL63" i="24"/>
  <c r="CK63" i="24"/>
  <c r="BB184" i="12"/>
  <c r="BC184" i="12"/>
  <c r="O43" i="32" s="1"/>
  <c r="O146" i="32" s="1"/>
  <c r="CB67" i="15"/>
  <c r="CB70" i="15"/>
  <c r="CL70" i="15" s="1"/>
  <c r="CB72" i="15"/>
  <c r="CL72" i="15" s="1"/>
  <c r="CB99" i="15"/>
  <c r="CL99" i="15" s="1"/>
  <c r="CB32" i="15"/>
  <c r="CB11" i="15"/>
  <c r="CL11" i="15" s="1"/>
  <c r="CB17" i="15"/>
  <c r="CB18" i="15"/>
  <c r="CL18" i="15" s="1"/>
  <c r="CB16" i="15"/>
  <c r="CW99" i="15"/>
  <c r="CB51" i="15"/>
  <c r="CL51" i="15" s="1"/>
  <c r="CB15" i="15"/>
  <c r="CL15" i="15" s="1"/>
  <c r="CB30" i="15"/>
  <c r="CL30" i="15" s="1"/>
  <c r="CB97" i="15"/>
  <c r="CL97" i="15" s="1"/>
  <c r="CB68" i="15"/>
  <c r="CL68" i="15" s="1"/>
  <c r="CB23" i="15"/>
  <c r="CL23" i="15" s="1"/>
  <c r="CB69" i="15"/>
  <c r="CL69" i="15" s="1"/>
  <c r="CB9" i="15"/>
  <c r="CL9" i="15" s="1"/>
  <c r="CB52" i="15"/>
  <c r="CL52" i="15" s="1"/>
  <c r="CB29" i="15"/>
  <c r="CL29" i="15" s="1"/>
  <c r="BI29" i="31" s="1"/>
  <c r="X64" i="19"/>
  <c r="CB19" i="15"/>
  <c r="CL19" i="15" s="1"/>
  <c r="BI19" i="31" s="1"/>
  <c r="CB33" i="15"/>
  <c r="CL33" i="15" s="1"/>
  <c r="BI33" i="31" s="1"/>
  <c r="CB71" i="15"/>
  <c r="CL71" i="15" s="1"/>
  <c r="CB21" i="15"/>
  <c r="CL21" i="15" s="1"/>
  <c r="BI21" i="31" s="1"/>
  <c r="CB28" i="15"/>
  <c r="CL28" i="15" s="1"/>
  <c r="BI28" i="31" s="1"/>
  <c r="CB31" i="15"/>
  <c r="CL31" i="15" s="1"/>
  <c r="CB12" i="15"/>
  <c r="CB25" i="15"/>
  <c r="CL25" i="15" s="1"/>
  <c r="BI25" i="31" s="1"/>
  <c r="CB10" i="15"/>
  <c r="CL10" i="15" s="1"/>
  <c r="CB8" i="15"/>
  <c r="CL8" i="15" s="1"/>
  <c r="BB182" i="12"/>
  <c r="CK159" i="7"/>
  <c r="CK157" i="7"/>
  <c r="CK155" i="7"/>
  <c r="CK154" i="7"/>
  <c r="CK160" i="7"/>
  <c r="CK158" i="7"/>
  <c r="CK156" i="7"/>
  <c r="CK153" i="7"/>
  <c r="CK161" i="7"/>
  <c r="CB27" i="15"/>
  <c r="CL27" i="15" s="1"/>
  <c r="CB20" i="15"/>
  <c r="CL20" i="15" s="1"/>
  <c r="CB101" i="15"/>
  <c r="CL101" i="15" s="1"/>
  <c r="CB26" i="15"/>
  <c r="CL26" i="15" s="1"/>
  <c r="CB24" i="15"/>
  <c r="CL24" i="15" s="1"/>
  <c r="BI24" i="31" s="1"/>
  <c r="CB14" i="15"/>
  <c r="CL14" i="15" s="1"/>
  <c r="CB13" i="15"/>
  <c r="CL13" i="15" s="1"/>
  <c r="CB22" i="15"/>
  <c r="CL22" i="15" s="1"/>
  <c r="BI22" i="31" s="1"/>
  <c r="BD182" i="12"/>
  <c r="P8" i="32" s="1"/>
  <c r="P144" i="32" s="1"/>
  <c r="X64" i="7"/>
  <c r="X64" i="12" s="1"/>
  <c r="CX143" i="14"/>
  <c r="CX140" i="14"/>
  <c r="AL42" i="22"/>
  <c r="AJ42" i="22"/>
  <c r="CW30" i="15"/>
  <c r="CK138" i="15"/>
  <c r="AM36" i="22"/>
  <c r="AJ36" i="22"/>
  <c r="AL36" i="22"/>
  <c r="AI42" i="22"/>
  <c r="AI36" i="22"/>
  <c r="CK141" i="15"/>
  <c r="CW15" i="15"/>
  <c r="CK137" i="15"/>
  <c r="CX35" i="15"/>
  <c r="CL12" i="15"/>
  <c r="BI12" i="31" s="1"/>
  <c r="AB35" i="22"/>
  <c r="CL17" i="15"/>
  <c r="BI17" i="31" s="1"/>
  <c r="CL32" i="15"/>
  <c r="CL16" i="15"/>
  <c r="CL139" i="15"/>
  <c r="CW23" i="15"/>
  <c r="AB41" i="22"/>
  <c r="CX41" i="15"/>
  <c r="AK36" i="22"/>
  <c r="AN36" i="22" s="1"/>
  <c r="AO36" i="22" s="1"/>
  <c r="BS36" i="16" s="1"/>
  <c r="AK42" i="22"/>
  <c r="AN42" i="22" s="1"/>
  <c r="AO42" i="22" s="1"/>
  <c r="BS42" i="16" s="1"/>
  <c r="CW27" i="15"/>
  <c r="CW31" i="15"/>
  <c r="CX39" i="15"/>
  <c r="AB39" i="22"/>
  <c r="AH39" i="22" s="1"/>
  <c r="AK37" i="22"/>
  <c r="AN37" i="22" s="1"/>
  <c r="AO37" i="22" s="1"/>
  <c r="BS37" i="16" s="1"/>
  <c r="AI37" i="22"/>
  <c r="AM37" i="22"/>
  <c r="AL37" i="22"/>
  <c r="CX142" i="14"/>
  <c r="AH44" i="22"/>
  <c r="AK44" i="22" s="1"/>
  <c r="AN44" i="22" s="1"/>
  <c r="AO44" i="22" s="1"/>
  <c r="BS44" i="16" s="1"/>
  <c r="CX140" i="15"/>
  <c r="CX144" i="15"/>
  <c r="W145" i="22"/>
  <c r="M63" i="22"/>
  <c r="R66" i="22"/>
  <c r="M26" i="22"/>
  <c r="W144" i="22"/>
  <c r="BI18" i="12"/>
  <c r="R18" i="22"/>
  <c r="M50" i="22"/>
  <c r="R58" i="22"/>
  <c r="BI14" i="12"/>
  <c r="R14" i="22"/>
  <c r="AB146" i="22"/>
  <c r="BE137" i="12"/>
  <c r="AL46" i="22"/>
  <c r="AK46" i="22"/>
  <c r="AN46" i="22" s="1"/>
  <c r="AO46" i="22" s="1"/>
  <c r="BS46" i="16" s="1"/>
  <c r="AI46" i="22"/>
  <c r="AM46" i="22"/>
  <c r="AJ46" i="22"/>
  <c r="AB142" i="22"/>
  <c r="AB148" i="22"/>
  <c r="AB138" i="22"/>
  <c r="AI138" i="22" s="1"/>
  <c r="AO138" i="22" s="1"/>
  <c r="AO7" i="22"/>
  <c r="BS7" i="16" s="1"/>
  <c r="BS135" i="16" s="1"/>
  <c r="AH7" i="22"/>
  <c r="CW140" i="15"/>
  <c r="CI142" i="3"/>
  <c r="CI143" i="3"/>
  <c r="BF138" i="12"/>
  <c r="CI140" i="3"/>
  <c r="BG30" i="12"/>
  <c r="BG30" i="31" s="1"/>
  <c r="CJ138" i="3"/>
  <c r="CI144" i="3"/>
  <c r="BG43" i="12"/>
  <c r="BE139" i="12"/>
  <c r="CI146" i="3"/>
  <c r="BF35" i="12"/>
  <c r="BF35" i="31" s="1"/>
  <c r="BF139" i="31" s="1"/>
  <c r="CI139" i="3"/>
  <c r="CI141" i="3"/>
  <c r="BF10" i="12"/>
  <c r="BF10" i="31" s="1"/>
  <c r="CI137" i="3"/>
  <c r="CW133" i="14"/>
  <c r="CX136" i="14"/>
  <c r="CX133" i="14"/>
  <c r="CV147" i="14"/>
  <c r="CW146" i="14"/>
  <c r="CX146" i="14"/>
  <c r="CX144" i="14"/>
  <c r="CX139" i="14"/>
  <c r="CW145" i="14"/>
  <c r="CX145" i="14"/>
  <c r="CW144" i="14"/>
  <c r="CW139" i="14"/>
  <c r="CX136" i="15"/>
  <c r="BH26" i="12"/>
  <c r="BI26" i="12"/>
  <c r="BI26" i="31" s="1"/>
  <c r="R66" i="17"/>
  <c r="AE65" i="17"/>
  <c r="AD65" i="17"/>
  <c r="AC65" i="17"/>
  <c r="AB65" i="17"/>
  <c r="AA65" i="17"/>
  <c r="Z65" i="17"/>
  <c r="V65" i="17"/>
  <c r="X65" i="3" s="1"/>
  <c r="U65" i="17"/>
  <c r="X65" i="7" s="1"/>
  <c r="X65" i="12" s="1"/>
  <c r="T65" i="17"/>
  <c r="S65" i="17"/>
  <c r="X65" i="15" s="1"/>
  <c r="X65" i="17"/>
  <c r="X65" i="14" s="1"/>
  <c r="W65" i="17"/>
  <c r="X65" i="19" s="1"/>
  <c r="BK123" i="7"/>
  <c r="BR123" i="7"/>
  <c r="CJ123" i="7" s="1"/>
  <c r="BL79" i="7"/>
  <c r="BS79" i="7"/>
  <c r="CK79" i="7" s="1"/>
  <c r="BL120" i="7"/>
  <c r="BT120" i="7" s="1"/>
  <c r="CL120" i="7" s="1"/>
  <c r="BS120" i="7"/>
  <c r="CK120" i="7" s="1"/>
  <c r="BK78" i="7"/>
  <c r="BR78" i="7"/>
  <c r="CJ78" i="7" s="1"/>
  <c r="BL56" i="7"/>
  <c r="BT56" i="7" s="1"/>
  <c r="CL56" i="7" s="1"/>
  <c r="BS56" i="7"/>
  <c r="CK56" i="7" s="1"/>
  <c r="BK97" i="7"/>
  <c r="BR97" i="7"/>
  <c r="CJ97" i="7" s="1"/>
  <c r="BL83" i="7"/>
  <c r="BS83" i="7"/>
  <c r="CK83" i="7" s="1"/>
  <c r="BK124" i="7"/>
  <c r="BR124" i="7"/>
  <c r="CJ124" i="7" s="1"/>
  <c r="BK68" i="7"/>
  <c r="BR68" i="7"/>
  <c r="CJ68" i="7" s="1"/>
  <c r="BK130" i="7"/>
  <c r="BR130" i="7"/>
  <c r="CJ130" i="7" s="1"/>
  <c r="BL64" i="7"/>
  <c r="BT64" i="7" s="1"/>
  <c r="CL64" i="7" s="1"/>
  <c r="BS64" i="7"/>
  <c r="CK64" i="7" s="1"/>
  <c r="BK76" i="7"/>
  <c r="BR76" i="7"/>
  <c r="CJ76" i="7" s="1"/>
  <c r="BK70" i="7"/>
  <c r="BR70" i="7"/>
  <c r="CJ70" i="7" s="1"/>
  <c r="BL53" i="7"/>
  <c r="BT53" i="7" s="1"/>
  <c r="CL53" i="7" s="1"/>
  <c r="BS53" i="7"/>
  <c r="CK53" i="7" s="1"/>
  <c r="BL51" i="7"/>
  <c r="BT51" i="7" s="1"/>
  <c r="CL51" i="7" s="1"/>
  <c r="BS51" i="7"/>
  <c r="CK51" i="7" s="1"/>
  <c r="BK127" i="7"/>
  <c r="BR127" i="7"/>
  <c r="CJ127" i="7" s="1"/>
  <c r="BK119" i="7"/>
  <c r="BR119" i="7"/>
  <c r="CJ119" i="7" s="1"/>
  <c r="BK57" i="7"/>
  <c r="BR57" i="7"/>
  <c r="CJ57" i="7" s="1"/>
  <c r="BK89" i="7"/>
  <c r="BR89" i="7"/>
  <c r="CJ89" i="7" s="1"/>
  <c r="BK112" i="7"/>
  <c r="BR112" i="7"/>
  <c r="CJ112" i="7" s="1"/>
  <c r="CJ144" i="7" s="1"/>
  <c r="BK61" i="7"/>
  <c r="BR61" i="7"/>
  <c r="CJ61" i="7" s="1"/>
  <c r="BK65" i="7"/>
  <c r="BR65" i="7"/>
  <c r="CJ65" i="7" s="1"/>
  <c r="BK54" i="7"/>
  <c r="BR54" i="7"/>
  <c r="CJ54" i="7" s="1"/>
  <c r="BK104" i="7"/>
  <c r="BR104" i="7"/>
  <c r="CJ104" i="7" s="1"/>
  <c r="BL103" i="7"/>
  <c r="BT103" i="7" s="1"/>
  <c r="CL103" i="7" s="1"/>
  <c r="BS103" i="7"/>
  <c r="CK103" i="7" s="1"/>
  <c r="BK87" i="7"/>
  <c r="BR87" i="7"/>
  <c r="CJ87" i="7" s="1"/>
  <c r="BL60" i="7"/>
  <c r="BT60" i="7" s="1"/>
  <c r="CL60" i="7" s="1"/>
  <c r="BS60" i="7"/>
  <c r="CK60" i="7" s="1"/>
  <c r="BK16" i="3"/>
  <c r="BR16" i="3"/>
  <c r="CJ16" i="3" s="1"/>
  <c r="BG16" i="12" s="1"/>
  <c r="BG16" i="31" s="1"/>
  <c r="BL43" i="3"/>
  <c r="BT43" i="3" s="1"/>
  <c r="CL43" i="3" s="1"/>
  <c r="R43" i="22" s="1"/>
  <c r="BS43" i="3"/>
  <c r="CK43" i="3" s="1"/>
  <c r="BK76" i="3"/>
  <c r="BR76" i="3"/>
  <c r="CJ76" i="3" s="1"/>
  <c r="BL32" i="3"/>
  <c r="BT32" i="3" s="1"/>
  <c r="CL32" i="3" s="1"/>
  <c r="BS32" i="3"/>
  <c r="CK32" i="3" s="1"/>
  <c r="BH32" i="12" s="1"/>
  <c r="BK80" i="3"/>
  <c r="BR80" i="3"/>
  <c r="CJ80" i="3" s="1"/>
  <c r="BK97" i="3"/>
  <c r="BR97" i="3"/>
  <c r="CJ97" i="3" s="1"/>
  <c r="BL125" i="3"/>
  <c r="BT125" i="3" s="1"/>
  <c r="CL125" i="3" s="1"/>
  <c r="BS125" i="3"/>
  <c r="CK125" i="3" s="1"/>
  <c r="BL129" i="3"/>
  <c r="BT129" i="3" s="1"/>
  <c r="CL129" i="3" s="1"/>
  <c r="BS129" i="3"/>
  <c r="CK129" i="3" s="1"/>
  <c r="BK51" i="3"/>
  <c r="BR51" i="3"/>
  <c r="CJ51" i="3" s="1"/>
  <c r="BK10" i="3"/>
  <c r="BR10" i="3"/>
  <c r="CJ10" i="3" s="1"/>
  <c r="BK115" i="3"/>
  <c r="BR115" i="3"/>
  <c r="CJ115" i="3" s="1"/>
  <c r="BG115" i="12" s="1"/>
  <c r="BG115" i="31" s="1"/>
  <c r="BL82" i="3"/>
  <c r="BT82" i="3" s="1"/>
  <c r="CL82" i="3" s="1"/>
  <c r="BS82" i="3"/>
  <c r="CK82" i="3" s="1"/>
  <c r="BK81" i="3"/>
  <c r="BR81" i="3"/>
  <c r="CJ81" i="3" s="1"/>
  <c r="BK41" i="3"/>
  <c r="BR41" i="3"/>
  <c r="CJ41" i="3" s="1"/>
  <c r="BG41" i="12" s="1"/>
  <c r="BG41" i="31" s="1"/>
  <c r="BK86" i="3"/>
  <c r="BR86" i="3"/>
  <c r="CJ86" i="3" s="1"/>
  <c r="BL70" i="3"/>
  <c r="BT70" i="3" s="1"/>
  <c r="CL70" i="3" s="1"/>
  <c r="R70" i="22" s="1"/>
  <c r="BS70" i="3"/>
  <c r="CK70" i="3" s="1"/>
  <c r="BK93" i="3"/>
  <c r="BR93" i="3"/>
  <c r="CJ93" i="3" s="1"/>
  <c r="BK127" i="3"/>
  <c r="BR127" i="3"/>
  <c r="CJ127" i="3" s="1"/>
  <c r="BL105" i="3"/>
  <c r="BT105" i="3" s="1"/>
  <c r="CL105" i="3" s="1"/>
  <c r="BS105" i="3"/>
  <c r="CK105" i="3" s="1"/>
  <c r="BL38" i="3"/>
  <c r="BT38" i="3" s="1"/>
  <c r="CL38" i="3" s="1"/>
  <c r="BS38" i="3"/>
  <c r="CK38" i="3" s="1"/>
  <c r="BH38" i="12" s="1"/>
  <c r="BH38" i="31" s="1"/>
  <c r="BL67" i="3"/>
  <c r="BT67" i="3" s="1"/>
  <c r="CL67" i="3" s="1"/>
  <c r="R67" i="22" s="1"/>
  <c r="BS67" i="3"/>
  <c r="CK67" i="3" s="1"/>
  <c r="BK62" i="3"/>
  <c r="BR62" i="3"/>
  <c r="CJ62" i="3" s="1"/>
  <c r="BK109" i="3"/>
  <c r="BR109" i="3"/>
  <c r="CJ109" i="3" s="1"/>
  <c r="BL55" i="3"/>
  <c r="BT55" i="3" s="1"/>
  <c r="CL55" i="3" s="1"/>
  <c r="BS55" i="3"/>
  <c r="CK55" i="3" s="1"/>
  <c r="BK83" i="3"/>
  <c r="BR83" i="3"/>
  <c r="CJ83" i="3" s="1"/>
  <c r="BK57" i="3"/>
  <c r="BR57" i="3"/>
  <c r="CJ57" i="3" s="1"/>
  <c r="BL30" i="3"/>
  <c r="BT30" i="3" s="1"/>
  <c r="CL30" i="3" s="1"/>
  <c r="R30" i="22" s="1"/>
  <c r="BS30" i="3"/>
  <c r="CK30" i="3" s="1"/>
  <c r="BK71" i="3"/>
  <c r="BR71" i="3"/>
  <c r="CJ71" i="3" s="1"/>
  <c r="BK112" i="3"/>
  <c r="BR112" i="3"/>
  <c r="CJ112" i="3" s="1"/>
  <c r="BK132" i="3"/>
  <c r="BR132" i="3"/>
  <c r="CJ132" i="3" s="1"/>
  <c r="BK124" i="3"/>
  <c r="BR124" i="3"/>
  <c r="CJ124" i="3" s="1"/>
  <c r="BK13" i="3"/>
  <c r="BR13" i="3"/>
  <c r="CJ13" i="3" s="1"/>
  <c r="BG13" i="12" s="1"/>
  <c r="BG13" i="31" s="1"/>
  <c r="BL65" i="3"/>
  <c r="BT65" i="3" s="1"/>
  <c r="CL65" i="3" s="1"/>
  <c r="R65" i="22" s="1"/>
  <c r="BS65" i="3"/>
  <c r="CK65" i="3" s="1"/>
  <c r="BL54" i="3"/>
  <c r="BT54" i="3" s="1"/>
  <c r="CL54" i="3" s="1"/>
  <c r="R54" i="22" s="1"/>
  <c r="BS54" i="3"/>
  <c r="CK54" i="3" s="1"/>
  <c r="BK35" i="3"/>
  <c r="BR35" i="3"/>
  <c r="CJ35" i="3" s="1"/>
  <c r="BK15" i="3"/>
  <c r="BR15" i="3"/>
  <c r="CJ15" i="3" s="1"/>
  <c r="BG15" i="12" s="1"/>
  <c r="BG15" i="31" s="1"/>
  <c r="BK78" i="3"/>
  <c r="BR78" i="3"/>
  <c r="CJ78" i="3" s="1"/>
  <c r="BL128" i="3"/>
  <c r="BT128" i="3" s="1"/>
  <c r="CL128" i="3" s="1"/>
  <c r="BS128" i="3"/>
  <c r="CK128" i="3" s="1"/>
  <c r="BL85" i="3"/>
  <c r="BT85" i="3" s="1"/>
  <c r="CL85" i="3" s="1"/>
  <c r="BS85" i="3"/>
  <c r="CK85" i="3" s="1"/>
  <c r="BL113" i="3"/>
  <c r="BT113" i="3" s="1"/>
  <c r="CL113" i="3" s="1"/>
  <c r="BS113" i="3"/>
  <c r="CK113" i="3" s="1"/>
  <c r="BH113" i="12" s="1"/>
  <c r="BH113" i="31" s="1"/>
  <c r="BK104" i="3"/>
  <c r="BR104" i="3"/>
  <c r="CJ104" i="3" s="1"/>
  <c r="BL84" i="3"/>
  <c r="BT84" i="3" s="1"/>
  <c r="CL84" i="3" s="1"/>
  <c r="BS84" i="3"/>
  <c r="CK84" i="3" s="1"/>
  <c r="BK100" i="3"/>
  <c r="BR100" i="3"/>
  <c r="CJ100" i="3" s="1"/>
  <c r="BL61" i="3"/>
  <c r="BT61" i="3" s="1"/>
  <c r="CL61" i="3" s="1"/>
  <c r="R61" i="22" s="1"/>
  <c r="BS61" i="3"/>
  <c r="CK61" i="3" s="1"/>
  <c r="BK68" i="3"/>
  <c r="BR68" i="3"/>
  <c r="CJ68" i="3" s="1"/>
  <c r="BK40" i="3"/>
  <c r="BR40" i="3"/>
  <c r="CJ40" i="3" s="1"/>
  <c r="BG40" i="12" s="1"/>
  <c r="BG40" i="31" s="1"/>
  <c r="BK77" i="3"/>
  <c r="BR77" i="3"/>
  <c r="CJ77" i="3" s="1"/>
  <c r="BK74" i="3"/>
  <c r="BR74" i="3"/>
  <c r="CJ74" i="3" s="1"/>
  <c r="BK117" i="3"/>
  <c r="BR117" i="3"/>
  <c r="CJ117" i="3" s="1"/>
  <c r="BG117" i="12" s="1"/>
  <c r="BG117" i="31" s="1"/>
  <c r="BK59" i="3"/>
  <c r="BR59" i="3"/>
  <c r="CJ59" i="3" s="1"/>
  <c r="BK47" i="3"/>
  <c r="BR47" i="3"/>
  <c r="CJ47" i="3" s="1"/>
  <c r="BG47" i="12" s="1"/>
  <c r="BG47" i="31" s="1"/>
  <c r="X65" i="31" l="1"/>
  <c r="X65" i="27"/>
  <c r="X65" i="16"/>
  <c r="X64" i="31"/>
  <c r="X64" i="27"/>
  <c r="X64" i="16"/>
  <c r="AF179" i="26"/>
  <c r="CJ141" i="7"/>
  <c r="CJ143" i="7"/>
  <c r="CJ145" i="7"/>
  <c r="V57" i="26"/>
  <c r="T57" i="32"/>
  <c r="T57" i="30"/>
  <c r="K8" i="29"/>
  <c r="BI8" i="31"/>
  <c r="W54" i="26"/>
  <c r="BZ39" i="26" s="1"/>
  <c r="U54" i="32"/>
  <c r="U54" i="30"/>
  <c r="K9" i="29"/>
  <c r="BI9" i="31"/>
  <c r="BI18" i="31"/>
  <c r="V56" i="26"/>
  <c r="T56" i="32"/>
  <c r="T56" i="30"/>
  <c r="M51" i="22"/>
  <c r="BT79" i="7"/>
  <c r="CL79" i="7" s="1"/>
  <c r="M79" i="22" s="1"/>
  <c r="U58" i="32"/>
  <c r="U58" i="30"/>
  <c r="K11" i="29"/>
  <c r="BI11" i="31"/>
  <c r="BI14" i="31"/>
  <c r="U108" i="32"/>
  <c r="W108" i="26"/>
  <c r="U108" i="30"/>
  <c r="K20" i="29"/>
  <c r="BI20" i="31"/>
  <c r="K31" i="29"/>
  <c r="BI31" i="31"/>
  <c r="BT83" i="7"/>
  <c r="CL83" i="7" s="1"/>
  <c r="M83" i="22" s="1"/>
  <c r="K23" i="29"/>
  <c r="BI23" i="31"/>
  <c r="CJ146" i="7"/>
  <c r="V52" i="26"/>
  <c r="T52" i="32"/>
  <c r="T52" i="30"/>
  <c r="V53" i="26"/>
  <c r="T53" i="32"/>
  <c r="T53" i="30"/>
  <c r="K27" i="29"/>
  <c r="BI27" i="31"/>
  <c r="CK143" i="15"/>
  <c r="I43" i="29"/>
  <c r="BG43" i="31"/>
  <c r="AG136" i="32"/>
  <c r="AG133" i="32"/>
  <c r="AG130" i="32"/>
  <c r="AG137" i="32"/>
  <c r="AG132" i="32"/>
  <c r="AG131" i="32"/>
  <c r="AG135" i="32"/>
  <c r="AG129" i="32"/>
  <c r="AG128" i="32"/>
  <c r="AG134" i="32"/>
  <c r="AE136" i="32"/>
  <c r="AE132" i="32"/>
  <c r="AE129" i="32"/>
  <c r="AE137" i="32"/>
  <c r="AE131" i="32"/>
  <c r="AE133" i="32"/>
  <c r="AE134" i="32"/>
  <c r="AE130" i="32"/>
  <c r="AE128" i="32"/>
  <c r="AE135" i="32"/>
  <c r="AF128" i="32"/>
  <c r="AF129" i="32"/>
  <c r="AF136" i="32"/>
  <c r="AF137" i="32"/>
  <c r="AF131" i="32"/>
  <c r="AF134" i="32"/>
  <c r="AF130" i="32"/>
  <c r="AF133" i="32"/>
  <c r="AF135" i="32"/>
  <c r="AF132" i="32"/>
  <c r="BH32" i="16"/>
  <c r="BH32" i="31"/>
  <c r="BF137" i="31"/>
  <c r="BH26" i="16"/>
  <c r="BH26" i="31"/>
  <c r="BH26" i="27"/>
  <c r="W196" i="32"/>
  <c r="AB164" i="32"/>
  <c r="AH128" i="32"/>
  <c r="AH129" i="32"/>
  <c r="AH132" i="32"/>
  <c r="AH130" i="32"/>
  <c r="AH134" i="32"/>
  <c r="AH137" i="32"/>
  <c r="AH136" i="32"/>
  <c r="AH131" i="32"/>
  <c r="AH135" i="32"/>
  <c r="AH133" i="32"/>
  <c r="BT44" i="16"/>
  <c r="BT45" i="16"/>
  <c r="BT36" i="16"/>
  <c r="BU45" i="16"/>
  <c r="BG117" i="16"/>
  <c r="BG117" i="27"/>
  <c r="I117" i="29"/>
  <c r="BG15" i="16"/>
  <c r="I15" i="29"/>
  <c r="BG15" i="27"/>
  <c r="BF10" i="16"/>
  <c r="BF137" i="16" s="1"/>
  <c r="H10" i="29"/>
  <c r="H137" i="29" s="1"/>
  <c r="BF10" i="27"/>
  <c r="BF137" i="27" s="1"/>
  <c r="BG40" i="16"/>
  <c r="BG40" i="27"/>
  <c r="I40" i="29"/>
  <c r="BG41" i="16"/>
  <c r="I41" i="29"/>
  <c r="BG41" i="27"/>
  <c r="BH38" i="16"/>
  <c r="J38" i="29"/>
  <c r="BH38" i="27"/>
  <c r="BB47" i="16"/>
  <c r="D47" i="29"/>
  <c r="BB47" i="27"/>
  <c r="BC47" i="16"/>
  <c r="BC47" i="27"/>
  <c r="E47" i="29"/>
  <c r="J26" i="29"/>
  <c r="BH113" i="16"/>
  <c r="BH113" i="27"/>
  <c r="J113" i="29"/>
  <c r="BE47" i="16"/>
  <c r="BE47" i="27"/>
  <c r="G47" i="29"/>
  <c r="BG13" i="16"/>
  <c r="I13" i="29"/>
  <c r="BG13" i="27"/>
  <c r="BG47" i="16"/>
  <c r="I47" i="29"/>
  <c r="BG47" i="27"/>
  <c r="BG115" i="16"/>
  <c r="BG115" i="27"/>
  <c r="I115" i="29"/>
  <c r="BD47" i="16"/>
  <c r="BD47" i="27"/>
  <c r="F47" i="29"/>
  <c r="BG16" i="16"/>
  <c r="I16" i="29"/>
  <c r="BG16" i="27"/>
  <c r="BF35" i="16"/>
  <c r="BF139" i="16" s="1"/>
  <c r="H35" i="29"/>
  <c r="H139" i="29" s="1"/>
  <c r="BF35" i="27"/>
  <c r="BF139" i="27" s="1"/>
  <c r="P106" i="30"/>
  <c r="Q8" i="26"/>
  <c r="O8" i="30"/>
  <c r="O144" i="30" s="1"/>
  <c r="O159" i="30" s="1"/>
  <c r="R43" i="26"/>
  <c r="R146" i="26" s="1"/>
  <c r="R161" i="26" s="1"/>
  <c r="P43" i="30"/>
  <c r="P146" i="30" s="1"/>
  <c r="P161" i="30" s="1"/>
  <c r="R8" i="26"/>
  <c r="R144" i="26" s="1"/>
  <c r="R159" i="26" s="1"/>
  <c r="P8" i="30"/>
  <c r="P144" i="30" s="1"/>
  <c r="P159" i="30" s="1"/>
  <c r="Q43" i="26"/>
  <c r="Q146" i="26" s="1"/>
  <c r="Q161" i="26" s="1"/>
  <c r="O43" i="30"/>
  <c r="O146" i="30" s="1"/>
  <c r="O161" i="30" s="1"/>
  <c r="Q20" i="26"/>
  <c r="Q145" i="26" s="1"/>
  <c r="Q160" i="26" s="1"/>
  <c r="O20" i="30"/>
  <c r="O145" i="30" s="1"/>
  <c r="O160" i="30" s="1"/>
  <c r="R20" i="26"/>
  <c r="R145" i="26" s="1"/>
  <c r="R160" i="26" s="1"/>
  <c r="P20" i="30"/>
  <c r="P145" i="30" s="1"/>
  <c r="P160" i="30" s="1"/>
  <c r="CS147" i="15"/>
  <c r="BH32" i="27"/>
  <c r="BG30" i="27"/>
  <c r="BG138" i="27" s="1"/>
  <c r="I30" i="29"/>
  <c r="I138" i="29" s="1"/>
  <c r="J32" i="29"/>
  <c r="BZ181" i="12"/>
  <c r="CA181" i="12"/>
  <c r="CB181" i="12"/>
  <c r="BI22" i="27"/>
  <c r="K22" i="29"/>
  <c r="BI21" i="27"/>
  <c r="K21" i="29"/>
  <c r="BI33" i="27"/>
  <c r="K33" i="29"/>
  <c r="BI18" i="27"/>
  <c r="K18" i="29"/>
  <c r="CR147" i="15"/>
  <c r="BI25" i="27"/>
  <c r="K25" i="29"/>
  <c r="BI12" i="27"/>
  <c r="BU12" i="27" s="1"/>
  <c r="K12" i="29"/>
  <c r="BI14" i="27"/>
  <c r="K14" i="29"/>
  <c r="BI24" i="27"/>
  <c r="K24" i="29"/>
  <c r="BI26" i="27"/>
  <c r="K26" i="29"/>
  <c r="BI19" i="27"/>
  <c r="K19" i="29"/>
  <c r="BI29" i="27"/>
  <c r="K29" i="29"/>
  <c r="BI17" i="27"/>
  <c r="K17" i="29"/>
  <c r="BI28" i="27"/>
  <c r="K28" i="29"/>
  <c r="CJ142" i="7"/>
  <c r="Q144" i="26"/>
  <c r="Q159" i="26" s="1"/>
  <c r="BU36" i="16"/>
  <c r="BU44" i="16"/>
  <c r="BG43" i="16"/>
  <c r="DC48" i="20"/>
  <c r="BG43" i="27"/>
  <c r="CU147" i="15"/>
  <c r="CT147" i="15"/>
  <c r="CW141" i="15"/>
  <c r="W58" i="26"/>
  <c r="CV143" i="15"/>
  <c r="CV133" i="15"/>
  <c r="CW96" i="15"/>
  <c r="CV142" i="15"/>
  <c r="CL67" i="15"/>
  <c r="CX67" i="15" s="1"/>
  <c r="CB96" i="15"/>
  <c r="CL96" i="15" s="1"/>
  <c r="CW67" i="15"/>
  <c r="BI26" i="16"/>
  <c r="BI27" i="27"/>
  <c r="BI27" i="16"/>
  <c r="BI33" i="16"/>
  <c r="BI29" i="16"/>
  <c r="BI31" i="27"/>
  <c r="BI31" i="16"/>
  <c r="BI28" i="16"/>
  <c r="BI18" i="16"/>
  <c r="BI19" i="16"/>
  <c r="BI21" i="16"/>
  <c r="BI11" i="27"/>
  <c r="BU11" i="27" s="1"/>
  <c r="BI11" i="16"/>
  <c r="BI14" i="16"/>
  <c r="BI20" i="27"/>
  <c r="BI20" i="16"/>
  <c r="BI25" i="16"/>
  <c r="BI22" i="16"/>
  <c r="BI9" i="27"/>
  <c r="BI9" i="16"/>
  <c r="BI24" i="16"/>
  <c r="BI17" i="16"/>
  <c r="BI8" i="27"/>
  <c r="BI8" i="16"/>
  <c r="BI23" i="27"/>
  <c r="BI23" i="16"/>
  <c r="BI12" i="16"/>
  <c r="BG138" i="12"/>
  <c r="BG30" i="16"/>
  <c r="BG138" i="16" s="1"/>
  <c r="AM49" i="12"/>
  <c r="AL49" i="12" a="1"/>
  <c r="AL49" i="12" s="1"/>
  <c r="AK49" i="12"/>
  <c r="CU63" i="24"/>
  <c r="BF48" i="12"/>
  <c r="BF48" i="31" s="1"/>
  <c r="AZ65" i="24"/>
  <c r="CP65" i="24" s="1"/>
  <c r="G50" i="22" s="1"/>
  <c r="BA65" i="24"/>
  <c r="AY65" i="24"/>
  <c r="CW63" i="24"/>
  <c r="BH48" i="12"/>
  <c r="BH48" i="31" s="1"/>
  <c r="CX63" i="24"/>
  <c r="H48" i="22"/>
  <c r="AH48" i="22" s="1"/>
  <c r="BI48" i="12"/>
  <c r="BI48" i="31" s="1"/>
  <c r="CV63" i="24"/>
  <c r="BG48" i="12"/>
  <c r="BG48" i="31" s="1"/>
  <c r="AK65" i="24"/>
  <c r="CD65" i="24" s="1"/>
  <c r="AL65" i="24"/>
  <c r="AM65" i="24"/>
  <c r="CQ63" i="24"/>
  <c r="BB48" i="12"/>
  <c r="BB48" i="31" s="1"/>
  <c r="CR63" i="24"/>
  <c r="BC48" i="12"/>
  <c r="BC48" i="31" s="1"/>
  <c r="CT63" i="24"/>
  <c r="BE48" i="12"/>
  <c r="BE48" i="31" s="1"/>
  <c r="CH64" i="24"/>
  <c r="CE64" i="24"/>
  <c r="CI64" i="24"/>
  <c r="CJ64" i="24"/>
  <c r="CF64" i="24"/>
  <c r="CG64" i="24"/>
  <c r="CL64" i="24"/>
  <c r="CK64" i="24"/>
  <c r="CS63" i="24"/>
  <c r="BD48" i="12"/>
  <c r="BD48" i="31" s="1"/>
  <c r="CL161" i="7"/>
  <c r="CL160" i="7"/>
  <c r="CL159" i="7"/>
  <c r="CL158" i="7"/>
  <c r="CL157" i="7"/>
  <c r="CL156" i="7"/>
  <c r="CL155" i="7"/>
  <c r="CL154" i="7"/>
  <c r="CL153" i="7"/>
  <c r="CX101" i="15"/>
  <c r="AB101" i="22"/>
  <c r="CX71" i="15"/>
  <c r="AB71" i="22"/>
  <c r="CX69" i="15"/>
  <c r="AB69" i="22"/>
  <c r="CX68" i="15"/>
  <c r="AB68" i="22"/>
  <c r="CX97" i="15"/>
  <c r="AB97" i="22"/>
  <c r="CL143" i="15"/>
  <c r="X65" i="24"/>
  <c r="BE177" i="12"/>
  <c r="BE176" i="12"/>
  <c r="BE175" i="12"/>
  <c r="BE174" i="12"/>
  <c r="Q47" i="32" s="1"/>
  <c r="BE173" i="12"/>
  <c r="Q46" i="32" s="1"/>
  <c r="Q107" i="32" s="1"/>
  <c r="BE172" i="12"/>
  <c r="Q45" i="32" s="1"/>
  <c r="BE171" i="12"/>
  <c r="Q44" i="32" s="1"/>
  <c r="BE169" i="12"/>
  <c r="Q42" i="32" s="1"/>
  <c r="BE168" i="12"/>
  <c r="CX99" i="15"/>
  <c r="AB99" i="22"/>
  <c r="CX72" i="15"/>
  <c r="AB72" i="22"/>
  <c r="CX70" i="15"/>
  <c r="AB70" i="22"/>
  <c r="BE160" i="12"/>
  <c r="BE159" i="12"/>
  <c r="BE157" i="12"/>
  <c r="Q13" i="32" s="1"/>
  <c r="BE155" i="12"/>
  <c r="Q11" i="32" s="1"/>
  <c r="BE153" i="12"/>
  <c r="Q9" i="32" s="1"/>
  <c r="BE161" i="12"/>
  <c r="BE158" i="12"/>
  <c r="Q14" i="32" s="1"/>
  <c r="BE156" i="12"/>
  <c r="Q12" i="32" s="1"/>
  <c r="BE154" i="12"/>
  <c r="Q10" i="32" s="1"/>
  <c r="AJ44" i="22"/>
  <c r="AM44" i="22"/>
  <c r="AB141" i="22"/>
  <c r="CW137" i="15"/>
  <c r="AB24" i="22"/>
  <c r="AH24" i="22" s="1"/>
  <c r="CX24" i="15"/>
  <c r="AI44" i="22"/>
  <c r="AK39" i="22"/>
  <c r="AN39" i="22" s="1"/>
  <c r="AO39" i="22" s="1"/>
  <c r="BS39" i="16" s="1"/>
  <c r="AM39" i="22"/>
  <c r="AI39" i="22"/>
  <c r="AJ39" i="22"/>
  <c r="AL39" i="22"/>
  <c r="CX23" i="15"/>
  <c r="AB23" i="22"/>
  <c r="AH23" i="22" s="1"/>
  <c r="AB16" i="22"/>
  <c r="CX16" i="15"/>
  <c r="AB29" i="22"/>
  <c r="AH29" i="22" s="1"/>
  <c r="CX29" i="15"/>
  <c r="AB12" i="22"/>
  <c r="AH12" i="22" s="1"/>
  <c r="CX12" i="15"/>
  <c r="AB28" i="22"/>
  <c r="AH28" i="22" s="1"/>
  <c r="CX28" i="15"/>
  <c r="AB32" i="22"/>
  <c r="CX32" i="15"/>
  <c r="AB17" i="22"/>
  <c r="AH17" i="22" s="1"/>
  <c r="CX17" i="15"/>
  <c r="AB51" i="22"/>
  <c r="CL141" i="15"/>
  <c r="CX51" i="15"/>
  <c r="AB22" i="22"/>
  <c r="AH22" i="22" s="1"/>
  <c r="CX22" i="15"/>
  <c r="AB11" i="22"/>
  <c r="AH11" i="22" s="1"/>
  <c r="CX11" i="15"/>
  <c r="AB27" i="22"/>
  <c r="AH27" i="22" s="1"/>
  <c r="CX27" i="15"/>
  <c r="CL138" i="15"/>
  <c r="CX139" i="15"/>
  <c r="AB8" i="22"/>
  <c r="CX8" i="15"/>
  <c r="CL137" i="15"/>
  <c r="AB10" i="22"/>
  <c r="CX10" i="15"/>
  <c r="AB26" i="22"/>
  <c r="AH26" i="22" s="1"/>
  <c r="CX26" i="15"/>
  <c r="AB15" i="22"/>
  <c r="CX15" i="15"/>
  <c r="CX31" i="15"/>
  <c r="AB31" i="22"/>
  <c r="AH31" i="22" s="1"/>
  <c r="AB21" i="22"/>
  <c r="AH21" i="22" s="1"/>
  <c r="CX21" i="15"/>
  <c r="AB52" i="22"/>
  <c r="CX52" i="15"/>
  <c r="AB20" i="22"/>
  <c r="AH20" i="22" s="1"/>
  <c r="CX20" i="15"/>
  <c r="AB13" i="22"/>
  <c r="CX13" i="15"/>
  <c r="AB9" i="22"/>
  <c r="AH9" i="22" s="1"/>
  <c r="CX9" i="15"/>
  <c r="AB25" i="22"/>
  <c r="AH25" i="22" s="1"/>
  <c r="CX25" i="15"/>
  <c r="AB14" i="22"/>
  <c r="AH14" i="22" s="1"/>
  <c r="CX14" i="15"/>
  <c r="AL44" i="22"/>
  <c r="CW138" i="15"/>
  <c r="CX30" i="15"/>
  <c r="AB30" i="22"/>
  <c r="AH30" i="22" s="1"/>
  <c r="AM30" i="22" s="1"/>
  <c r="AB19" i="22"/>
  <c r="AH19" i="22" s="1"/>
  <c r="CX19" i="15"/>
  <c r="AB33" i="22"/>
  <c r="AH33" i="22" s="1"/>
  <c r="CX33" i="15"/>
  <c r="AB18" i="22"/>
  <c r="AH18" i="22" s="1"/>
  <c r="CX18" i="15"/>
  <c r="BF139" i="12"/>
  <c r="BI113" i="12"/>
  <c r="BI113" i="31" s="1"/>
  <c r="R113" i="22"/>
  <c r="R55" i="22"/>
  <c r="BI38" i="12"/>
  <c r="BI38" i="31" s="1"/>
  <c r="R38" i="22"/>
  <c r="AH38" i="22" s="1"/>
  <c r="R82" i="22"/>
  <c r="R129" i="22"/>
  <c r="BI32" i="12"/>
  <c r="R32" i="22"/>
  <c r="M60" i="22"/>
  <c r="M64" i="22"/>
  <c r="R85" i="22"/>
  <c r="R105" i="22"/>
  <c r="R125" i="22"/>
  <c r="M53" i="22"/>
  <c r="R84" i="22"/>
  <c r="R128" i="22"/>
  <c r="AH43" i="22"/>
  <c r="M56" i="22"/>
  <c r="M139" i="22"/>
  <c r="AL7" i="22"/>
  <c r="AL138" i="22" s="1"/>
  <c r="AI7" i="22"/>
  <c r="AH138" i="22"/>
  <c r="M103" i="22"/>
  <c r="M120" i="22"/>
  <c r="CJ142" i="3"/>
  <c r="BF137" i="12"/>
  <c r="CJ146" i="3"/>
  <c r="BG10" i="12"/>
  <c r="BG10" i="31" s="1"/>
  <c r="CJ137" i="3"/>
  <c r="CJ143" i="3"/>
  <c r="BH43" i="12"/>
  <c r="CJ140" i="3"/>
  <c r="BI43" i="12"/>
  <c r="CJ141" i="3"/>
  <c r="BI30" i="12"/>
  <c r="CL138" i="3"/>
  <c r="CF183" i="12" s="1"/>
  <c r="CJ144" i="3"/>
  <c r="BG35" i="12"/>
  <c r="BG35" i="31" s="1"/>
  <c r="BG139" i="31" s="1"/>
  <c r="CJ139" i="3"/>
  <c r="CJ145" i="3"/>
  <c r="BH30" i="12"/>
  <c r="BH30" i="31" s="1"/>
  <c r="BH138" i="31" s="1"/>
  <c r="CK138" i="3"/>
  <c r="CX147" i="14"/>
  <c r="CW147" i="14"/>
  <c r="R67" i="17"/>
  <c r="AA66" i="17"/>
  <c r="Z66" i="17"/>
  <c r="AE66" i="17"/>
  <c r="AD66" i="17"/>
  <c r="AC66" i="17"/>
  <c r="AB66" i="17"/>
  <c r="X66" i="17"/>
  <c r="X66" i="14" s="1"/>
  <c r="W66" i="17"/>
  <c r="X66" i="19" s="1"/>
  <c r="V66" i="17"/>
  <c r="X66" i="3" s="1"/>
  <c r="U66" i="17"/>
  <c r="X66" i="7" s="1"/>
  <c r="X66" i="12" s="1"/>
  <c r="T66" i="17"/>
  <c r="S66" i="17"/>
  <c r="BL123" i="7"/>
  <c r="BT123" i="7" s="1"/>
  <c r="CL123" i="7" s="1"/>
  <c r="BS123" i="7"/>
  <c r="CK123" i="7" s="1"/>
  <c r="BL78" i="7"/>
  <c r="BS78" i="7"/>
  <c r="CK78" i="7" s="1"/>
  <c r="BL124" i="7"/>
  <c r="BT124" i="7" s="1"/>
  <c r="CL124" i="7" s="1"/>
  <c r="M124" i="22" s="1"/>
  <c r="BS124" i="7"/>
  <c r="CK124" i="7" s="1"/>
  <c r="BL57" i="7"/>
  <c r="BT57" i="7" s="1"/>
  <c r="CL57" i="7" s="1"/>
  <c r="M57" i="22" s="1"/>
  <c r="BS57" i="7"/>
  <c r="CK57" i="7" s="1"/>
  <c r="BL112" i="7"/>
  <c r="BT112" i="7" s="1"/>
  <c r="CL112" i="7" s="1"/>
  <c r="CL144" i="7" s="1"/>
  <c r="BS112" i="7"/>
  <c r="CK112" i="7" s="1"/>
  <c r="CK144" i="7" s="1"/>
  <c r="BL127" i="7"/>
  <c r="BT127" i="7" s="1"/>
  <c r="CL127" i="7" s="1"/>
  <c r="BS127" i="7"/>
  <c r="CK127" i="7" s="1"/>
  <c r="BL87" i="7"/>
  <c r="BS87" i="7"/>
  <c r="CK87" i="7" s="1"/>
  <c r="BL65" i="7"/>
  <c r="BT65" i="7" s="1"/>
  <c r="CL65" i="7" s="1"/>
  <c r="BS65" i="7"/>
  <c r="CK65" i="7" s="1"/>
  <c r="BL130" i="7"/>
  <c r="BT130" i="7" s="1"/>
  <c r="CL130" i="7" s="1"/>
  <c r="BS130" i="7"/>
  <c r="CK130" i="7" s="1"/>
  <c r="CK140" i="7" s="1"/>
  <c r="BL97" i="7"/>
  <c r="BT97" i="7" s="1"/>
  <c r="CL97" i="7" s="1"/>
  <c r="BS97" i="7"/>
  <c r="CK97" i="7" s="1"/>
  <c r="BL61" i="7"/>
  <c r="BT61" i="7" s="1"/>
  <c r="CL61" i="7" s="1"/>
  <c r="BS61" i="7"/>
  <c r="CK61" i="7" s="1"/>
  <c r="BL119" i="7"/>
  <c r="BT119" i="7" s="1"/>
  <c r="CL119" i="7" s="1"/>
  <c r="BS119" i="7"/>
  <c r="CK119" i="7" s="1"/>
  <c r="BL70" i="7"/>
  <c r="BS70" i="7"/>
  <c r="CK70" i="7" s="1"/>
  <c r="BL68" i="7"/>
  <c r="BS68" i="7"/>
  <c r="CK68" i="7" s="1"/>
  <c r="BL104" i="7"/>
  <c r="BT104" i="7" s="1"/>
  <c r="CL104" i="7" s="1"/>
  <c r="M104" i="22" s="1"/>
  <c r="BS104" i="7"/>
  <c r="CK104" i="7" s="1"/>
  <c r="BL76" i="7"/>
  <c r="BS76" i="7"/>
  <c r="CK76" i="7" s="1"/>
  <c r="BL54" i="7"/>
  <c r="BT54" i="7" s="1"/>
  <c r="CL54" i="7" s="1"/>
  <c r="BS54" i="7"/>
  <c r="CK54" i="7" s="1"/>
  <c r="BL89" i="7"/>
  <c r="BS89" i="7"/>
  <c r="CK89" i="7" s="1"/>
  <c r="BL16" i="3"/>
  <c r="BT16" i="3" s="1"/>
  <c r="CL16" i="3" s="1"/>
  <c r="BS16" i="3"/>
  <c r="CK16" i="3" s="1"/>
  <c r="BH16" i="12" s="1"/>
  <c r="BH16" i="31" s="1"/>
  <c r="BL76" i="3"/>
  <c r="BT76" i="3" s="1"/>
  <c r="CL76" i="3" s="1"/>
  <c r="R76" i="22" s="1"/>
  <c r="BS76" i="3"/>
  <c r="CK76" i="3" s="1"/>
  <c r="BL74" i="3"/>
  <c r="BT74" i="3" s="1"/>
  <c r="CL74" i="3" s="1"/>
  <c r="BS74" i="3"/>
  <c r="CK74" i="3" s="1"/>
  <c r="BL15" i="3"/>
  <c r="BT15" i="3" s="1"/>
  <c r="CL15" i="3" s="1"/>
  <c r="BS15" i="3"/>
  <c r="CK15" i="3" s="1"/>
  <c r="BH15" i="12" s="1"/>
  <c r="BH15" i="31" s="1"/>
  <c r="BL13" i="3"/>
  <c r="BT13" i="3" s="1"/>
  <c r="CL13" i="3" s="1"/>
  <c r="BS13" i="3"/>
  <c r="CK13" i="3" s="1"/>
  <c r="BH13" i="12" s="1"/>
  <c r="BH13" i="31" s="1"/>
  <c r="BL71" i="3"/>
  <c r="BT71" i="3" s="1"/>
  <c r="CL71" i="3" s="1"/>
  <c r="BS71" i="3"/>
  <c r="CK71" i="3" s="1"/>
  <c r="BL47" i="3"/>
  <c r="BT47" i="3" s="1"/>
  <c r="CL47" i="3" s="1"/>
  <c r="BS47" i="3"/>
  <c r="CK47" i="3" s="1"/>
  <c r="BH47" i="12" s="1"/>
  <c r="BH47" i="31" s="1"/>
  <c r="BL77" i="3"/>
  <c r="BT77" i="3" s="1"/>
  <c r="CL77" i="3" s="1"/>
  <c r="BS77" i="3"/>
  <c r="CK77" i="3" s="1"/>
  <c r="BL100" i="3"/>
  <c r="BT100" i="3" s="1"/>
  <c r="CL100" i="3" s="1"/>
  <c r="BS100" i="3"/>
  <c r="CK100" i="3" s="1"/>
  <c r="BL35" i="3"/>
  <c r="BT35" i="3" s="1"/>
  <c r="CL35" i="3" s="1"/>
  <c r="R35" i="22" s="1"/>
  <c r="BS35" i="3"/>
  <c r="CK35" i="3" s="1"/>
  <c r="BL124" i="3"/>
  <c r="BT124" i="3" s="1"/>
  <c r="CL124" i="3" s="1"/>
  <c r="BS124" i="3"/>
  <c r="CK124" i="3" s="1"/>
  <c r="CK145" i="3" s="1"/>
  <c r="BL109" i="3"/>
  <c r="BT109" i="3" s="1"/>
  <c r="CL109" i="3" s="1"/>
  <c r="BS109" i="3"/>
  <c r="CK109" i="3" s="1"/>
  <c r="BL86" i="3"/>
  <c r="BT86" i="3" s="1"/>
  <c r="CL86" i="3" s="1"/>
  <c r="BS86" i="3"/>
  <c r="CK86" i="3" s="1"/>
  <c r="BL115" i="3"/>
  <c r="BT115" i="3" s="1"/>
  <c r="CL115" i="3" s="1"/>
  <c r="BS115" i="3"/>
  <c r="CK115" i="3" s="1"/>
  <c r="BH115" i="12" s="1"/>
  <c r="BH115" i="31" s="1"/>
  <c r="BL59" i="3"/>
  <c r="BT59" i="3" s="1"/>
  <c r="CL59" i="3" s="1"/>
  <c r="BS59" i="3"/>
  <c r="CK59" i="3" s="1"/>
  <c r="BL40" i="3"/>
  <c r="BT40" i="3" s="1"/>
  <c r="CL40" i="3" s="1"/>
  <c r="BS40" i="3"/>
  <c r="CK40" i="3" s="1"/>
  <c r="BH40" i="12" s="1"/>
  <c r="BH40" i="31" s="1"/>
  <c r="BL132" i="3"/>
  <c r="BT132" i="3" s="1"/>
  <c r="CL132" i="3" s="1"/>
  <c r="BS132" i="3"/>
  <c r="CK132" i="3" s="1"/>
  <c r="BL57" i="3"/>
  <c r="BT57" i="3" s="1"/>
  <c r="CL57" i="3" s="1"/>
  <c r="BS57" i="3"/>
  <c r="CK57" i="3" s="1"/>
  <c r="BL62" i="3"/>
  <c r="BT62" i="3" s="1"/>
  <c r="CL62" i="3" s="1"/>
  <c r="BS62" i="3"/>
  <c r="CK62" i="3" s="1"/>
  <c r="BL127" i="3"/>
  <c r="BT127" i="3" s="1"/>
  <c r="CL127" i="3" s="1"/>
  <c r="R127" i="22" s="1"/>
  <c r="BS127" i="3"/>
  <c r="CK127" i="3" s="1"/>
  <c r="BL41" i="3"/>
  <c r="BT41" i="3" s="1"/>
  <c r="CL41" i="3" s="1"/>
  <c r="BS41" i="3"/>
  <c r="CK41" i="3" s="1"/>
  <c r="BH41" i="12" s="1"/>
  <c r="BH41" i="31" s="1"/>
  <c r="BL10" i="3"/>
  <c r="BT10" i="3" s="1"/>
  <c r="CL10" i="3" s="1"/>
  <c r="R10" i="22" s="1"/>
  <c r="BS10" i="3"/>
  <c r="CK10" i="3" s="1"/>
  <c r="BL97" i="3"/>
  <c r="BT97" i="3" s="1"/>
  <c r="CL97" i="3" s="1"/>
  <c r="BS97" i="3"/>
  <c r="CK97" i="3" s="1"/>
  <c r="BL117" i="3"/>
  <c r="BT117" i="3" s="1"/>
  <c r="CL117" i="3" s="1"/>
  <c r="BS117" i="3"/>
  <c r="CK117" i="3" s="1"/>
  <c r="BH117" i="12" s="1"/>
  <c r="BH117" i="31" s="1"/>
  <c r="BL68" i="3"/>
  <c r="BT68" i="3" s="1"/>
  <c r="CL68" i="3" s="1"/>
  <c r="R68" i="22" s="1"/>
  <c r="BS68" i="3"/>
  <c r="CK68" i="3" s="1"/>
  <c r="BL104" i="3"/>
  <c r="BT104" i="3" s="1"/>
  <c r="CL104" i="3" s="1"/>
  <c r="R104" i="22" s="1"/>
  <c r="BS104" i="3"/>
  <c r="CK104" i="3" s="1"/>
  <c r="BL78" i="3"/>
  <c r="BT78" i="3" s="1"/>
  <c r="CL78" i="3" s="1"/>
  <c r="R78" i="22" s="1"/>
  <c r="BS78" i="3"/>
  <c r="CK78" i="3" s="1"/>
  <c r="BL112" i="3"/>
  <c r="BT112" i="3" s="1"/>
  <c r="CL112" i="3" s="1"/>
  <c r="R112" i="22" s="1"/>
  <c r="BS112" i="3"/>
  <c r="CK112" i="3" s="1"/>
  <c r="BL83" i="3"/>
  <c r="BT83" i="3" s="1"/>
  <c r="CL83" i="3" s="1"/>
  <c r="BS83" i="3"/>
  <c r="CK83" i="3" s="1"/>
  <c r="BL93" i="3"/>
  <c r="BT93" i="3" s="1"/>
  <c r="CL93" i="3" s="1"/>
  <c r="BS93" i="3"/>
  <c r="CK93" i="3" s="1"/>
  <c r="BL81" i="3"/>
  <c r="BT81" i="3" s="1"/>
  <c r="CL81" i="3" s="1"/>
  <c r="BS81" i="3"/>
  <c r="CK81" i="3" s="1"/>
  <c r="BL51" i="3"/>
  <c r="BT51" i="3" s="1"/>
  <c r="CL51" i="3" s="1"/>
  <c r="R51" i="22" s="1"/>
  <c r="BS51" i="3"/>
  <c r="CK51" i="3" s="1"/>
  <c r="BL80" i="3"/>
  <c r="BT80" i="3" s="1"/>
  <c r="CL80" i="3" s="1"/>
  <c r="BS80" i="3"/>
  <c r="CK80" i="3" s="1"/>
  <c r="CK143" i="7" l="1"/>
  <c r="CK146" i="7"/>
  <c r="CK141" i="7"/>
  <c r="CL141" i="7"/>
  <c r="CK145" i="7"/>
  <c r="BT76" i="7"/>
  <c r="CL76" i="7" s="1"/>
  <c r="M76" i="22" s="1"/>
  <c r="M119" i="22"/>
  <c r="CL145" i="7"/>
  <c r="W52" i="26"/>
  <c r="U52" i="32"/>
  <c r="U52" i="30"/>
  <c r="BT87" i="7"/>
  <c r="CL87" i="7" s="1"/>
  <c r="M87" i="22" s="1"/>
  <c r="BT89" i="7"/>
  <c r="CL89" i="7" s="1"/>
  <c r="M89" i="22" s="1"/>
  <c r="M127" i="22"/>
  <c r="CL146" i="7"/>
  <c r="BT78" i="7"/>
  <c r="CL78" i="7" s="1"/>
  <c r="M78" i="22" s="1"/>
  <c r="W53" i="26"/>
  <c r="U53" i="32"/>
  <c r="U53" i="30"/>
  <c r="W56" i="26"/>
  <c r="U56" i="32"/>
  <c r="U56" i="30"/>
  <c r="J43" i="29"/>
  <c r="BH43" i="31"/>
  <c r="Q41" i="30"/>
  <c r="Q41" i="32"/>
  <c r="BG137" i="31"/>
  <c r="BI30" i="16"/>
  <c r="BI30" i="31"/>
  <c r="K43" i="29"/>
  <c r="BI43" i="31"/>
  <c r="AC164" i="32"/>
  <c r="AD164" i="32" s="1"/>
  <c r="AB196" i="32"/>
  <c r="BI32" i="16"/>
  <c r="BI138" i="16" s="1"/>
  <c r="BI32" i="31"/>
  <c r="Q106" i="32"/>
  <c r="AD131" i="32"/>
  <c r="AD128" i="32"/>
  <c r="AD135" i="32"/>
  <c r="AD136" i="32"/>
  <c r="AD132" i="32"/>
  <c r="AD129" i="32"/>
  <c r="AD137" i="32"/>
  <c r="AD133" i="32"/>
  <c r="AD134" i="32"/>
  <c r="AD130" i="32"/>
  <c r="AD138" i="32"/>
  <c r="BE48" i="16"/>
  <c r="BE48" i="27"/>
  <c r="G48" i="29"/>
  <c r="BH48" i="16"/>
  <c r="BH48" i="27"/>
  <c r="J48" i="29"/>
  <c r="BH40" i="16"/>
  <c r="BH40" i="27"/>
  <c r="J40" i="29"/>
  <c r="BH47" i="16"/>
  <c r="BH47" i="27"/>
  <c r="J47" i="29"/>
  <c r="BC48" i="16"/>
  <c r="BC48" i="27"/>
  <c r="E48" i="29"/>
  <c r="BI113" i="16"/>
  <c r="BI113" i="27"/>
  <c r="K113" i="29"/>
  <c r="BI38" i="16"/>
  <c r="BU37" i="16" s="1"/>
  <c r="K38" i="29"/>
  <c r="BI38" i="27"/>
  <c r="BH115" i="16"/>
  <c r="BH115" i="27"/>
  <c r="J115" i="29"/>
  <c r="BG48" i="16"/>
  <c r="I48" i="29"/>
  <c r="BG48" i="27"/>
  <c r="BH117" i="16"/>
  <c r="J117" i="29"/>
  <c r="BH117" i="27"/>
  <c r="BG35" i="16"/>
  <c r="BG139" i="16" s="1"/>
  <c r="I35" i="29"/>
  <c r="I139" i="29" s="1"/>
  <c r="BG35" i="27"/>
  <c r="BG139" i="27" s="1"/>
  <c r="BI48" i="16"/>
  <c r="BI48" i="27"/>
  <c r="K48" i="29"/>
  <c r="BH15" i="16"/>
  <c r="BH15" i="27"/>
  <c r="J15" i="29"/>
  <c r="BH41" i="16"/>
  <c r="J41" i="29"/>
  <c r="BH41" i="27"/>
  <c r="BH13" i="16"/>
  <c r="BH13" i="27"/>
  <c r="J13" i="29"/>
  <c r="BH16" i="16"/>
  <c r="J16" i="29"/>
  <c r="BH16" i="27"/>
  <c r="BG10" i="16"/>
  <c r="BG137" i="16" s="1"/>
  <c r="I10" i="29"/>
  <c r="I137" i="29" s="1"/>
  <c r="BG10" i="27"/>
  <c r="BG137" i="27" s="1"/>
  <c r="BD48" i="16"/>
  <c r="F48" i="29"/>
  <c r="BD48" i="27"/>
  <c r="BB48" i="16"/>
  <c r="BB48" i="27"/>
  <c r="D48" i="29"/>
  <c r="BF48" i="16"/>
  <c r="H48" i="29"/>
  <c r="BF48" i="27"/>
  <c r="BT70" i="7"/>
  <c r="CL70" i="7" s="1"/>
  <c r="M70" i="22" s="1"/>
  <c r="BT68" i="7"/>
  <c r="CL68" i="7" s="1"/>
  <c r="S10" i="26"/>
  <c r="Q10" i="30"/>
  <c r="S14" i="26"/>
  <c r="Q14" i="30"/>
  <c r="S45" i="26"/>
  <c r="BV44" i="26" s="1"/>
  <c r="Q45" i="30"/>
  <c r="S44" i="26"/>
  <c r="Q44" i="30"/>
  <c r="S46" i="26"/>
  <c r="S107" i="26" s="1"/>
  <c r="Q46" i="30"/>
  <c r="S42" i="26"/>
  <c r="BV43" i="26" s="1"/>
  <c r="Q42" i="30"/>
  <c r="S12" i="26"/>
  <c r="Q12" i="30"/>
  <c r="S9" i="26"/>
  <c r="Q9" i="30"/>
  <c r="S47" i="26"/>
  <c r="BV46" i="26" s="1"/>
  <c r="Q47" i="30"/>
  <c r="S11" i="26"/>
  <c r="Q11" i="30"/>
  <c r="S13" i="26"/>
  <c r="S106" i="26" s="1"/>
  <c r="Q13" i="30"/>
  <c r="CL142" i="15"/>
  <c r="CV147" i="15"/>
  <c r="CK142" i="7"/>
  <c r="CI183" i="12"/>
  <c r="CG183" i="12"/>
  <c r="CH183" i="12"/>
  <c r="K32" i="29"/>
  <c r="BI32" i="27"/>
  <c r="K30" i="29"/>
  <c r="BI30" i="27"/>
  <c r="BH30" i="16"/>
  <c r="BH138" i="16" s="1"/>
  <c r="BH30" i="27"/>
  <c r="BH138" i="27" s="1"/>
  <c r="J30" i="29"/>
  <c r="J138" i="29" s="1"/>
  <c r="CW133" i="15"/>
  <c r="BU7" i="16"/>
  <c r="BU135" i="16" s="1"/>
  <c r="BT7" i="16"/>
  <c r="BT135" i="16" s="1"/>
  <c r="BI43" i="16"/>
  <c r="DE48" i="20"/>
  <c r="DE50" i="20" s="1"/>
  <c r="BI43" i="27"/>
  <c r="BH43" i="16"/>
  <c r="DD48" i="20"/>
  <c r="DD50" i="20" s="1"/>
  <c r="BH43" i="27"/>
  <c r="DC50" i="20"/>
  <c r="CW142" i="15"/>
  <c r="AB96" i="22"/>
  <c r="AN96" i="22" s="1"/>
  <c r="CX96" i="15"/>
  <c r="CX143" i="15" s="1"/>
  <c r="CW143" i="15"/>
  <c r="AB67" i="22"/>
  <c r="AB144" i="22" s="1"/>
  <c r="BE182" i="12"/>
  <c r="Q8" i="32" s="1"/>
  <c r="Q144" i="32" s="1"/>
  <c r="S41" i="26"/>
  <c r="BV42" i="26" s="1"/>
  <c r="BE163" i="12"/>
  <c r="BE164" i="12" s="1"/>
  <c r="M97" i="22"/>
  <c r="M145" i="22" s="1"/>
  <c r="CL143" i="7"/>
  <c r="CE188" i="12" s="1"/>
  <c r="BE183" i="12"/>
  <c r="Q20" i="32" s="1"/>
  <c r="Q145" i="32" s="1"/>
  <c r="AT140" i="12"/>
  <c r="AL50" i="12" a="1"/>
  <c r="AL50" i="12" s="1"/>
  <c r="AM50" i="12"/>
  <c r="AK50" i="12"/>
  <c r="BE184" i="12"/>
  <c r="Q43" i="32" s="1"/>
  <c r="Q146" i="32" s="1"/>
  <c r="AH32" i="22"/>
  <c r="AH140" i="22" s="1"/>
  <c r="CU64" i="24"/>
  <c r="BF49" i="12"/>
  <c r="BF49" i="31" s="1"/>
  <c r="CQ64" i="24"/>
  <c r="BB49" i="12"/>
  <c r="BB49" i="31" s="1"/>
  <c r="AK66" i="24"/>
  <c r="CD66" i="24" s="1"/>
  <c r="AL66" i="24"/>
  <c r="AM66" i="24"/>
  <c r="CT64" i="24"/>
  <c r="BE49" i="12"/>
  <c r="BE49" i="31" s="1"/>
  <c r="CE65" i="24"/>
  <c r="CF65" i="24"/>
  <c r="CG65" i="24"/>
  <c r="CH65" i="24"/>
  <c r="CI65" i="24"/>
  <c r="CJ65" i="24"/>
  <c r="CL65" i="24"/>
  <c r="CK65" i="24"/>
  <c r="CW64" i="24"/>
  <c r="BH49" i="12"/>
  <c r="BH49" i="31" s="1"/>
  <c r="CX64" i="24"/>
  <c r="H49" i="22"/>
  <c r="BI49" i="12"/>
  <c r="BI49" i="31" s="1"/>
  <c r="CS64" i="24"/>
  <c r="BD49" i="12"/>
  <c r="BD49" i="31" s="1"/>
  <c r="AJ48" i="22"/>
  <c r="AI48" i="22"/>
  <c r="AM48" i="22"/>
  <c r="AK48" i="22"/>
  <c r="AN48" i="22" s="1"/>
  <c r="AO48" i="22" s="1"/>
  <c r="BS48" i="16" s="1"/>
  <c r="AL48" i="22"/>
  <c r="BA66" i="24"/>
  <c r="AY66" i="24"/>
  <c r="AZ66" i="24"/>
  <c r="CP66" i="24" s="1"/>
  <c r="G51" i="22" s="1"/>
  <c r="CR64" i="24"/>
  <c r="BC49" i="12"/>
  <c r="BC49" i="31" s="1"/>
  <c r="CV64" i="24"/>
  <c r="BG49" i="12"/>
  <c r="BG49" i="31" s="1"/>
  <c r="AB145" i="22"/>
  <c r="X66" i="24"/>
  <c r="BF177" i="12"/>
  <c r="BF176" i="12"/>
  <c r="BF175" i="12"/>
  <c r="BF174" i="12"/>
  <c r="R47" i="32" s="1"/>
  <c r="BF173" i="12"/>
  <c r="R46" i="32" s="1"/>
  <c r="R107" i="32" s="1"/>
  <c r="BF172" i="12"/>
  <c r="R45" i="32" s="1"/>
  <c r="BF171" i="12"/>
  <c r="R44" i="32" s="1"/>
  <c r="BF169" i="12"/>
  <c r="R42" i="32" s="1"/>
  <c r="BF168" i="12"/>
  <c r="CX142" i="15"/>
  <c r="M141" i="15"/>
  <c r="X66" i="15"/>
  <c r="X66" i="16" s="1"/>
  <c r="BF161" i="12"/>
  <c r="BF160" i="12"/>
  <c r="BF159" i="12"/>
  <c r="BF158" i="12"/>
  <c r="R14" i="32" s="1"/>
  <c r="BF157" i="12"/>
  <c r="R13" i="32" s="1"/>
  <c r="BF156" i="12"/>
  <c r="R12" i="32" s="1"/>
  <c r="BF155" i="12"/>
  <c r="R11" i="32" s="1"/>
  <c r="BF154" i="12"/>
  <c r="R10" i="32" s="1"/>
  <c r="BF153" i="12"/>
  <c r="R9" i="32" s="1"/>
  <c r="AL18" i="22"/>
  <c r="AK18" i="22"/>
  <c r="AN18" i="22" s="1"/>
  <c r="AO18" i="22" s="1"/>
  <c r="BS18" i="16" s="1"/>
  <c r="BT18" i="16" s="1"/>
  <c r="AM14" i="22"/>
  <c r="AI14" i="22"/>
  <c r="AM18" i="22"/>
  <c r="AI18" i="22"/>
  <c r="AJ18" i="22"/>
  <c r="AK9" i="22"/>
  <c r="AN9" i="22" s="1"/>
  <c r="AO9" i="22" s="1"/>
  <c r="BS9" i="16" s="1"/>
  <c r="AL9" i="22"/>
  <c r="AM9" i="22"/>
  <c r="AI9" i="22"/>
  <c r="AJ9" i="22"/>
  <c r="AK11" i="22"/>
  <c r="AN11" i="22" s="1"/>
  <c r="AO11" i="22" s="1"/>
  <c r="BS11" i="16" s="1"/>
  <c r="AI11" i="22"/>
  <c r="AM11" i="22"/>
  <c r="AL11" i="22"/>
  <c r="AJ11" i="22"/>
  <c r="AM29" i="22"/>
  <c r="AI29" i="22"/>
  <c r="AJ29" i="22"/>
  <c r="AL29" i="22"/>
  <c r="AK29" i="22"/>
  <c r="AN29" i="22" s="1"/>
  <c r="AO29" i="22" s="1"/>
  <c r="BS29" i="16" s="1"/>
  <c r="AJ21" i="22"/>
  <c r="AK21" i="22"/>
  <c r="AN21" i="22" s="1"/>
  <c r="AO21" i="22" s="1"/>
  <c r="BS21" i="16" s="1"/>
  <c r="BT21" i="16" s="1"/>
  <c r="AI21" i="22"/>
  <c r="AL21" i="22"/>
  <c r="AM21" i="22"/>
  <c r="AL22" i="22"/>
  <c r="AJ22" i="22"/>
  <c r="AK22" i="22"/>
  <c r="AN22" i="22" s="1"/>
  <c r="AO22" i="22" s="1"/>
  <c r="BS22" i="16" s="1"/>
  <c r="BT22" i="16" s="1"/>
  <c r="AI22" i="22"/>
  <c r="AM22" i="22"/>
  <c r="CX141" i="15"/>
  <c r="AM28" i="22"/>
  <c r="AL28" i="22"/>
  <c r="AK28" i="22"/>
  <c r="AN28" i="22" s="1"/>
  <c r="AO28" i="22" s="1"/>
  <c r="BS28" i="16" s="1"/>
  <c r="BT28" i="16" s="1"/>
  <c r="AJ28" i="22"/>
  <c r="AI28" i="22"/>
  <c r="AJ14" i="22"/>
  <c r="AJ33" i="22"/>
  <c r="AL33" i="22"/>
  <c r="AK33" i="22"/>
  <c r="AN33" i="22" s="1"/>
  <c r="AO33" i="22" s="1"/>
  <c r="BS33" i="16" s="1"/>
  <c r="AM33" i="22"/>
  <c r="AI33" i="22"/>
  <c r="AL31" i="22"/>
  <c r="AM31" i="22"/>
  <c r="AK31" i="22"/>
  <c r="AN31" i="22" s="1"/>
  <c r="AO31" i="22" s="1"/>
  <c r="BS31" i="16" s="1"/>
  <c r="AI31" i="22"/>
  <c r="AJ31" i="22"/>
  <c r="CX138" i="15"/>
  <c r="AJ23" i="22"/>
  <c r="AI23" i="22"/>
  <c r="AL23" i="22"/>
  <c r="AM23" i="22"/>
  <c r="AK23" i="22"/>
  <c r="AN23" i="22" s="1"/>
  <c r="AO23" i="22" s="1"/>
  <c r="BS23" i="16" s="1"/>
  <c r="BT23" i="16" s="1"/>
  <c r="AL14" i="22"/>
  <c r="CX133" i="15"/>
  <c r="CX137" i="15"/>
  <c r="AK27" i="22"/>
  <c r="AN27" i="22" s="1"/>
  <c r="AO27" i="22" s="1"/>
  <c r="BS27" i="16" s="1"/>
  <c r="BT27" i="16" s="1"/>
  <c r="AM27" i="22"/>
  <c r="AI27" i="22"/>
  <c r="AJ27" i="22"/>
  <c r="AL27" i="22"/>
  <c r="AB143" i="22"/>
  <c r="AK14" i="22"/>
  <c r="AN14" i="22" s="1"/>
  <c r="AO14" i="22" s="1"/>
  <c r="BS14" i="16" s="1"/>
  <c r="AJ19" i="22"/>
  <c r="AL19" i="22"/>
  <c r="AK19" i="22"/>
  <c r="AN19" i="22" s="1"/>
  <c r="AO19" i="22" s="1"/>
  <c r="BS19" i="16" s="1"/>
  <c r="BT19" i="16" s="1"/>
  <c r="AM19" i="22"/>
  <c r="AI19" i="22"/>
  <c r="AL25" i="22"/>
  <c r="AJ25" i="22"/>
  <c r="AK25" i="22"/>
  <c r="AN25" i="22" s="1"/>
  <c r="AO25" i="22" s="1"/>
  <c r="BS25" i="16" s="1"/>
  <c r="BT25" i="16" s="1"/>
  <c r="AI25" i="22"/>
  <c r="AM25" i="22"/>
  <c r="AI20" i="22"/>
  <c r="AK20" i="22"/>
  <c r="AN20" i="22" s="1"/>
  <c r="AO20" i="22" s="1"/>
  <c r="BS20" i="16" s="1"/>
  <c r="AL20" i="22"/>
  <c r="AJ20" i="22"/>
  <c r="AM20" i="22"/>
  <c r="AH8" i="22"/>
  <c r="AB139" i="22"/>
  <c r="AM12" i="22"/>
  <c r="AI12" i="22"/>
  <c r="AL12" i="22"/>
  <c r="AJ12" i="22"/>
  <c r="AK12" i="22"/>
  <c r="AN12" i="22" s="1"/>
  <c r="AO12" i="22" s="1"/>
  <c r="BS12" i="16" s="1"/>
  <c r="AM24" i="22"/>
  <c r="AL24" i="22"/>
  <c r="AK24" i="22"/>
  <c r="AN24" i="22" s="1"/>
  <c r="AO24" i="22" s="1"/>
  <c r="BS24" i="16" s="1"/>
  <c r="BT24" i="16" s="1"/>
  <c r="AJ24" i="22"/>
  <c r="AI24" i="22"/>
  <c r="AB140" i="22"/>
  <c r="AM17" i="22"/>
  <c r="AI17" i="22"/>
  <c r="AJ17" i="22"/>
  <c r="AL17" i="22"/>
  <c r="AK17" i="22"/>
  <c r="AN17" i="22" s="1"/>
  <c r="AO17" i="22" s="1"/>
  <c r="BS17" i="16" s="1"/>
  <c r="BT17" i="16" s="1"/>
  <c r="BG137" i="12"/>
  <c r="AI30" i="22"/>
  <c r="AJ30" i="22"/>
  <c r="R140" i="22"/>
  <c r="AK30" i="22"/>
  <c r="AN30" i="22" s="1"/>
  <c r="AO30" i="22" s="1"/>
  <c r="BS30" i="16" s="1"/>
  <c r="BT30" i="16" s="1"/>
  <c r="AL30" i="22"/>
  <c r="BI117" i="12"/>
  <c r="BI117" i="31" s="1"/>
  <c r="R117" i="22"/>
  <c r="BI40" i="12"/>
  <c r="BI40" i="31" s="1"/>
  <c r="R40" i="22"/>
  <c r="AH40" i="22" s="1"/>
  <c r="R77" i="22"/>
  <c r="BI15" i="12"/>
  <c r="BI15" i="31" s="1"/>
  <c r="R15" i="22"/>
  <c r="AH15" i="22" s="1"/>
  <c r="R80" i="22"/>
  <c r="AI43" i="22"/>
  <c r="AK43" i="22"/>
  <c r="AJ43" i="22"/>
  <c r="AM43" i="22"/>
  <c r="AL43" i="22"/>
  <c r="M61" i="22"/>
  <c r="M54" i="22"/>
  <c r="R83" i="22"/>
  <c r="R109" i="22"/>
  <c r="R81" i="22"/>
  <c r="CL143" i="3"/>
  <c r="CF188" i="12" s="1"/>
  <c r="R97" i="22"/>
  <c r="R62" i="22"/>
  <c r="R59" i="22"/>
  <c r="CL145" i="3"/>
  <c r="R124" i="22"/>
  <c r="R147" i="22" s="1"/>
  <c r="BI47" i="12"/>
  <c r="BI47" i="31" s="1"/>
  <c r="R47" i="22"/>
  <c r="R74" i="22"/>
  <c r="BI41" i="12"/>
  <c r="BI41" i="31" s="1"/>
  <c r="R41" i="22"/>
  <c r="AH41" i="22" s="1"/>
  <c r="R100" i="22"/>
  <c r="BI16" i="12"/>
  <c r="BI16" i="31" s="1"/>
  <c r="R16" i="22"/>
  <c r="AH16" i="22" s="1"/>
  <c r="CK143" i="3"/>
  <c r="R93" i="22"/>
  <c r="AH10" i="22"/>
  <c r="R57" i="22"/>
  <c r="BI115" i="12"/>
  <c r="BI115" i="31" s="1"/>
  <c r="R115" i="22"/>
  <c r="AH35" i="22"/>
  <c r="R71" i="22"/>
  <c r="M65" i="22"/>
  <c r="AM26" i="22"/>
  <c r="AL26" i="22"/>
  <c r="AK26" i="22"/>
  <c r="AN26" i="22" s="1"/>
  <c r="AO26" i="22" s="1"/>
  <c r="BS26" i="16" s="1"/>
  <c r="BU26" i="16" s="1"/>
  <c r="AJ26" i="22"/>
  <c r="AI26" i="22"/>
  <c r="AM38" i="22"/>
  <c r="AL38" i="22"/>
  <c r="AK38" i="22"/>
  <c r="AN38" i="22" s="1"/>
  <c r="AO38" i="22" s="1"/>
  <c r="BS38" i="16" s="1"/>
  <c r="AJ38" i="22"/>
  <c r="AI38" i="22"/>
  <c r="R86" i="22"/>
  <c r="R132" i="22"/>
  <c r="BI13" i="12"/>
  <c r="BI13" i="31" s="1"/>
  <c r="R13" i="22"/>
  <c r="AH13" i="22" s="1"/>
  <c r="M130" i="22"/>
  <c r="M123" i="22"/>
  <c r="M112" i="22"/>
  <c r="CL144" i="3"/>
  <c r="BG139" i="12"/>
  <c r="CL142" i="3"/>
  <c r="CK142" i="3"/>
  <c r="CK144" i="3"/>
  <c r="CK146" i="3"/>
  <c r="BH35" i="12"/>
  <c r="BH35" i="31" s="1"/>
  <c r="BH139" i="31" s="1"/>
  <c r="CK139" i="3"/>
  <c r="BH10" i="12"/>
  <c r="BH10" i="31" s="1"/>
  <c r="CK137" i="3"/>
  <c r="BI10" i="12"/>
  <c r="BI10" i="31" s="1"/>
  <c r="CL137" i="3"/>
  <c r="AG153" i="12" s="1"/>
  <c r="BI35" i="12"/>
  <c r="BI35" i="31" s="1"/>
  <c r="CL139" i="3"/>
  <c r="AG169" i="12" s="1"/>
  <c r="BH138" i="12"/>
  <c r="CK140" i="3"/>
  <c r="BI138" i="12"/>
  <c r="CK141" i="3"/>
  <c r="CL141" i="3"/>
  <c r="CL146" i="3"/>
  <c r="CL140" i="3"/>
  <c r="R68" i="17"/>
  <c r="AC67" i="17"/>
  <c r="AB67" i="17"/>
  <c r="AA67" i="17"/>
  <c r="Z67" i="17"/>
  <c r="AE67" i="17"/>
  <c r="AD67" i="17"/>
  <c r="X67" i="17"/>
  <c r="X67" i="14" s="1"/>
  <c r="W67" i="17"/>
  <c r="X67" i="19" s="1"/>
  <c r="V67" i="17"/>
  <c r="X67" i="3" s="1"/>
  <c r="U67" i="17"/>
  <c r="X67" i="7" s="1"/>
  <c r="X67" i="12" s="1"/>
  <c r="T67" i="17"/>
  <c r="S67" i="17"/>
  <c r="X67" i="15" s="1"/>
  <c r="CV7" i="7"/>
  <c r="CV136" i="7" s="1"/>
  <c r="CU7" i="7"/>
  <c r="CU136" i="7" s="1"/>
  <c r="CW7" i="7"/>
  <c r="CW136" i="7" s="1"/>
  <c r="CT7" i="7"/>
  <c r="CT136" i="7" s="1"/>
  <c r="CR7" i="7"/>
  <c r="CR136" i="7" s="1"/>
  <c r="CX7" i="7"/>
  <c r="CX136" i="7" s="1"/>
  <c r="CS7" i="7"/>
  <c r="CS136" i="7" s="1"/>
  <c r="CQ7" i="7"/>
  <c r="CQ136" i="7" s="1"/>
  <c r="X67" i="16" l="1"/>
  <c r="X67" i="31"/>
  <c r="X67" i="27"/>
  <c r="X66" i="27"/>
  <c r="X66" i="31"/>
  <c r="W57" i="26"/>
  <c r="U57" i="32"/>
  <c r="U57" i="30"/>
  <c r="CW147" i="15"/>
  <c r="BI139" i="31"/>
  <c r="BT29" i="16"/>
  <c r="R41" i="30"/>
  <c r="R41" i="32"/>
  <c r="BI137" i="31"/>
  <c r="BT31" i="16"/>
  <c r="BH137" i="31"/>
  <c r="R106" i="32"/>
  <c r="BI138" i="31"/>
  <c r="BT37" i="16"/>
  <c r="BH35" i="16"/>
  <c r="J35" i="29"/>
  <c r="J139" i="29" s="1"/>
  <c r="BH35" i="27"/>
  <c r="BH139" i="27" s="1"/>
  <c r="BI40" i="16"/>
  <c r="BU39" i="16" s="1"/>
  <c r="K40" i="29"/>
  <c r="BI40" i="27"/>
  <c r="BI35" i="16"/>
  <c r="K35" i="29"/>
  <c r="BI35" i="27"/>
  <c r="BI16" i="16"/>
  <c r="BI16" i="27"/>
  <c r="K16" i="29"/>
  <c r="BI117" i="16"/>
  <c r="BI117" i="27"/>
  <c r="K117" i="29"/>
  <c r="BI13" i="16"/>
  <c r="BT12" i="16" s="1"/>
  <c r="BI13" i="27"/>
  <c r="K13" i="29"/>
  <c r="BI41" i="16"/>
  <c r="K41" i="29"/>
  <c r="BI41" i="27"/>
  <c r="BI15" i="16"/>
  <c r="BT14" i="16" s="1"/>
  <c r="BI15" i="27"/>
  <c r="BU8" i="27" s="1"/>
  <c r="K15" i="29"/>
  <c r="BI10" i="16"/>
  <c r="BI10" i="27"/>
  <c r="K10" i="29"/>
  <c r="BI115" i="16"/>
  <c r="K115" i="29"/>
  <c r="BI115" i="27"/>
  <c r="BH49" i="16"/>
  <c r="BH49" i="27"/>
  <c r="J49" i="29"/>
  <c r="BB49" i="16"/>
  <c r="D49" i="29"/>
  <c r="BB49" i="27"/>
  <c r="BE49" i="16"/>
  <c r="BE49" i="27"/>
  <c r="G49" i="29"/>
  <c r="BF49" i="16"/>
  <c r="BF49" i="27"/>
  <c r="H49" i="29"/>
  <c r="BD49" i="16"/>
  <c r="BD49" i="27"/>
  <c r="F49" i="29"/>
  <c r="BH10" i="16"/>
  <c r="BH137" i="16" s="1"/>
  <c r="BH10" i="27"/>
  <c r="BH137" i="27" s="1"/>
  <c r="J10" i="29"/>
  <c r="J137" i="29" s="1"/>
  <c r="BG49" i="16"/>
  <c r="BG49" i="27"/>
  <c r="I49" i="29"/>
  <c r="BI47" i="16"/>
  <c r="BT46" i="16" s="1"/>
  <c r="BI47" i="27"/>
  <c r="K47" i="29"/>
  <c r="BC49" i="16"/>
  <c r="BC49" i="27"/>
  <c r="E49" i="29"/>
  <c r="BI49" i="16"/>
  <c r="BI49" i="27"/>
  <c r="K49" i="29"/>
  <c r="BV45" i="26"/>
  <c r="M68" i="22"/>
  <c r="M144" i="22" s="1"/>
  <c r="CL142" i="7"/>
  <c r="T11" i="26"/>
  <c r="R11" i="30"/>
  <c r="T13" i="26"/>
  <c r="T106" i="26" s="1"/>
  <c r="R13" i="30"/>
  <c r="T47" i="26"/>
  <c r="BW46" i="26" s="1"/>
  <c r="R47" i="30"/>
  <c r="T14" i="26"/>
  <c r="R14" i="30"/>
  <c r="S8" i="26"/>
  <c r="S144" i="26" s="1"/>
  <c r="S159" i="26" s="1"/>
  <c r="Q8" i="30"/>
  <c r="Q144" i="30" s="1"/>
  <c r="Q159" i="30" s="1"/>
  <c r="T42" i="26"/>
  <c r="BW43" i="26" s="1"/>
  <c r="R42" i="30"/>
  <c r="T46" i="26"/>
  <c r="BW45" i="26" s="1"/>
  <c r="R46" i="30"/>
  <c r="T12" i="26"/>
  <c r="R12" i="30"/>
  <c r="S43" i="26"/>
  <c r="BV40" i="26" s="1"/>
  <c r="Q43" i="30"/>
  <c r="T44" i="26"/>
  <c r="R44" i="30"/>
  <c r="Q106" i="30"/>
  <c r="Q107" i="30"/>
  <c r="T10" i="26"/>
  <c r="R10" i="30"/>
  <c r="T9" i="26"/>
  <c r="R9" i="30"/>
  <c r="T45" i="26"/>
  <c r="BW44" i="26" s="1"/>
  <c r="R45" i="30"/>
  <c r="S20" i="26"/>
  <c r="S145" i="26" s="1"/>
  <c r="S160" i="26" s="1"/>
  <c r="Q20" i="30"/>
  <c r="Q145" i="30" s="1"/>
  <c r="Q160" i="30" s="1"/>
  <c r="K138" i="29"/>
  <c r="BI138" i="27"/>
  <c r="AH152" i="12"/>
  <c r="AH151" i="12"/>
  <c r="AH153" i="12"/>
  <c r="AH167" i="12"/>
  <c r="AH168" i="12"/>
  <c r="AH169" i="12"/>
  <c r="AK32" i="22"/>
  <c r="AN32" i="22" s="1"/>
  <c r="AO32" i="22" s="1"/>
  <c r="BS32" i="16" s="1"/>
  <c r="BT32" i="16" s="1"/>
  <c r="BT42" i="16"/>
  <c r="BU42" i="16"/>
  <c r="BT33" i="16"/>
  <c r="BU33" i="16"/>
  <c r="BU18" i="16"/>
  <c r="BU29" i="16"/>
  <c r="BU21" i="16"/>
  <c r="BU30" i="16"/>
  <c r="BU22" i="16"/>
  <c r="BU23" i="16"/>
  <c r="BU31" i="16"/>
  <c r="BT26" i="16"/>
  <c r="BU25" i="16"/>
  <c r="BU27" i="16"/>
  <c r="BT20" i="16"/>
  <c r="BU20" i="16"/>
  <c r="BU17" i="16"/>
  <c r="BU28" i="16"/>
  <c r="BU19" i="16"/>
  <c r="BT38" i="16"/>
  <c r="BU38" i="16"/>
  <c r="BT11" i="16"/>
  <c r="BU11" i="16"/>
  <c r="BU24" i="16"/>
  <c r="DF48" i="20"/>
  <c r="DF50" i="20" s="1"/>
  <c r="AL32" i="22"/>
  <c r="AL140" i="22" s="1"/>
  <c r="AM32" i="22"/>
  <c r="AM140" i="22" s="1"/>
  <c r="AI32" i="22"/>
  <c r="AJ32" i="22"/>
  <c r="AJ140" i="22" s="1"/>
  <c r="BF182" i="12"/>
  <c r="R8" i="32" s="1"/>
  <c r="R144" i="32" s="1"/>
  <c r="T41" i="26"/>
  <c r="BW42" i="26" s="1"/>
  <c r="BF184" i="12"/>
  <c r="R43" i="32" s="1"/>
  <c r="R146" i="32" s="1"/>
  <c r="AL51" i="12" a="1"/>
  <c r="AL51" i="12" s="1"/>
  <c r="AM51" i="12"/>
  <c r="AK51" i="12"/>
  <c r="BF183" i="12"/>
  <c r="R20" i="32" s="1"/>
  <c r="R145" i="32" s="1"/>
  <c r="AK67" i="24"/>
  <c r="CD67" i="24" s="1"/>
  <c r="AL67" i="24"/>
  <c r="AM67" i="24"/>
  <c r="CW65" i="24"/>
  <c r="BH50" i="12"/>
  <c r="BH50" i="31" s="1"/>
  <c r="BH140" i="31" s="1"/>
  <c r="CX65" i="24"/>
  <c r="H50" i="22"/>
  <c r="AH50" i="22" s="1"/>
  <c r="BI50" i="12"/>
  <c r="BI50" i="31" s="1"/>
  <c r="BI140" i="31" s="1"/>
  <c r="CH66" i="24"/>
  <c r="CE66" i="24"/>
  <c r="CF66" i="24"/>
  <c r="CI66" i="24"/>
  <c r="CG66" i="24"/>
  <c r="CJ66" i="24"/>
  <c r="CL66" i="24"/>
  <c r="CK66" i="24"/>
  <c r="BA67" i="24"/>
  <c r="AY67" i="24"/>
  <c r="AZ67" i="24"/>
  <c r="CP67" i="24" s="1"/>
  <c r="AH49" i="22"/>
  <c r="CV65" i="24"/>
  <c r="BG50" i="12"/>
  <c r="BG50" i="31" s="1"/>
  <c r="BG140" i="31" s="1"/>
  <c r="CU65" i="24"/>
  <c r="BF50" i="12"/>
  <c r="BF50" i="31" s="1"/>
  <c r="CT65" i="24"/>
  <c r="BE50" i="12"/>
  <c r="BE50" i="31" s="1"/>
  <c r="CS65" i="24"/>
  <c r="BD50" i="12"/>
  <c r="BD50" i="31" s="1"/>
  <c r="CR65" i="24"/>
  <c r="BC50" i="12"/>
  <c r="BC50" i="31" s="1"/>
  <c r="CQ65" i="24"/>
  <c r="BB50" i="12"/>
  <c r="BB50" i="31" s="1"/>
  <c r="BG177" i="12"/>
  <c r="BG176" i="12"/>
  <c r="BG175" i="12"/>
  <c r="BG174" i="12"/>
  <c r="S47" i="32" s="1"/>
  <c r="BG173" i="12"/>
  <c r="S46" i="32" s="1"/>
  <c r="S107" i="32" s="1"/>
  <c r="BG172" i="12"/>
  <c r="S45" i="32" s="1"/>
  <c r="BG171" i="12"/>
  <c r="S44" i="32" s="1"/>
  <c r="BG169" i="12"/>
  <c r="S42" i="32" s="1"/>
  <c r="BG168" i="12"/>
  <c r="X67" i="24"/>
  <c r="BG161" i="12"/>
  <c r="BG160" i="12"/>
  <c r="BG159" i="12"/>
  <c r="BG158" i="12"/>
  <c r="S14" i="32" s="1"/>
  <c r="BG157" i="12"/>
  <c r="S13" i="32" s="1"/>
  <c r="BG156" i="12"/>
  <c r="S12" i="32" s="1"/>
  <c r="BG155" i="12"/>
  <c r="S11" i="32" s="1"/>
  <c r="BG154" i="12"/>
  <c r="S10" i="32" s="1"/>
  <c r="BG153" i="12"/>
  <c r="S9" i="32" s="1"/>
  <c r="BH139" i="16"/>
  <c r="CX147" i="15"/>
  <c r="AI140" i="22"/>
  <c r="AJ8" i="22"/>
  <c r="AI8" i="22"/>
  <c r="AK8" i="22"/>
  <c r="AN8" i="22" s="1"/>
  <c r="AO8" i="22" s="1"/>
  <c r="BS8" i="16" s="1"/>
  <c r="AL8" i="22"/>
  <c r="AM8" i="22"/>
  <c r="BH137" i="12"/>
  <c r="BI137" i="12"/>
  <c r="R143" i="22"/>
  <c r="R139" i="22"/>
  <c r="AI139" i="22" s="1"/>
  <c r="R145" i="22"/>
  <c r="AI10" i="22"/>
  <c r="AJ10" i="22"/>
  <c r="AK10" i="22"/>
  <c r="AL10" i="22"/>
  <c r="AM10" i="22"/>
  <c r="AH139" i="22"/>
  <c r="AH47" i="22"/>
  <c r="R142" i="22"/>
  <c r="AI40" i="22"/>
  <c r="AM40" i="22"/>
  <c r="AL40" i="22"/>
  <c r="AK40" i="22"/>
  <c r="AN40" i="22" s="1"/>
  <c r="AO40" i="22" s="1"/>
  <c r="BS40" i="16" s="1"/>
  <c r="AJ40" i="22"/>
  <c r="AJ41" i="22"/>
  <c r="AI41" i="22"/>
  <c r="AK41" i="22"/>
  <c r="AN41" i="22" s="1"/>
  <c r="AO41" i="22" s="1"/>
  <c r="BS41" i="16" s="1"/>
  <c r="AL41" i="22"/>
  <c r="AM41" i="22"/>
  <c r="M142" i="22"/>
  <c r="AJ35" i="22"/>
  <c r="AL35" i="22"/>
  <c r="AK35" i="22"/>
  <c r="AN35" i="22" s="1"/>
  <c r="AO35" i="22" s="1"/>
  <c r="BS35" i="16" s="1"/>
  <c r="AI35" i="22"/>
  <c r="AM35" i="22"/>
  <c r="M143" i="22"/>
  <c r="R141" i="22"/>
  <c r="AI141" i="22" s="1"/>
  <c r="AN43" i="22"/>
  <c r="AI13" i="22"/>
  <c r="AJ13" i="22"/>
  <c r="AM13" i="22"/>
  <c r="AK13" i="22"/>
  <c r="AN13" i="22" s="1"/>
  <c r="AO13" i="22" s="1"/>
  <c r="BS13" i="16" s="1"/>
  <c r="AL13" i="22"/>
  <c r="AK15" i="22"/>
  <c r="AN15" i="22" s="1"/>
  <c r="AO15" i="22" s="1"/>
  <c r="BS15" i="16" s="1"/>
  <c r="AJ15" i="22"/>
  <c r="AI15" i="22"/>
  <c r="AL15" i="22"/>
  <c r="AM15" i="22"/>
  <c r="R146" i="22"/>
  <c r="AI16" i="22"/>
  <c r="AM16" i="22"/>
  <c r="AK16" i="22"/>
  <c r="AN16" i="22" s="1"/>
  <c r="AO16" i="22" s="1"/>
  <c r="BS16" i="16" s="1"/>
  <c r="AL16" i="22"/>
  <c r="AJ16" i="22"/>
  <c r="R148" i="22"/>
  <c r="R144" i="22"/>
  <c r="BI139" i="12"/>
  <c r="M147" i="22"/>
  <c r="M148" i="22"/>
  <c r="M146" i="22"/>
  <c r="BH139" i="12"/>
  <c r="R69" i="17"/>
  <c r="AE68" i="17"/>
  <c r="AD68" i="17"/>
  <c r="AC68" i="17"/>
  <c r="AB68" i="17"/>
  <c r="AA68" i="17"/>
  <c r="Z68" i="17"/>
  <c r="T68" i="17"/>
  <c r="S68" i="17"/>
  <c r="X68" i="15" s="1"/>
  <c r="X68" i="17"/>
  <c r="X68" i="14" s="1"/>
  <c r="W68" i="17"/>
  <c r="V68" i="17"/>
  <c r="X68" i="3" s="1"/>
  <c r="U68" i="17"/>
  <c r="CU47" i="7"/>
  <c r="CU14" i="7"/>
  <c r="CS42" i="7"/>
  <c r="CV108" i="7"/>
  <c r="CW18" i="7"/>
  <c r="CR36" i="7"/>
  <c r="CS12" i="7"/>
  <c r="CS87" i="7"/>
  <c r="CX22" i="7"/>
  <c r="CX37" i="7"/>
  <c r="CX125" i="7"/>
  <c r="CR46" i="7"/>
  <c r="CS107" i="7"/>
  <c r="CS33" i="7"/>
  <c r="CW115" i="7"/>
  <c r="CS114" i="7"/>
  <c r="CR42" i="7"/>
  <c r="CS92" i="7"/>
  <c r="CR89" i="7"/>
  <c r="CW59" i="7"/>
  <c r="CS94" i="7"/>
  <c r="CW76" i="7"/>
  <c r="CS63" i="7"/>
  <c r="CR128" i="7"/>
  <c r="CS70" i="7"/>
  <c r="CW23" i="7"/>
  <c r="CU76" i="7"/>
  <c r="CR98" i="7"/>
  <c r="CW35" i="7"/>
  <c r="CV19" i="7"/>
  <c r="CT18" i="7"/>
  <c r="CV46" i="7"/>
  <c r="CW60" i="7"/>
  <c r="CU23" i="7"/>
  <c r="CW47" i="7"/>
  <c r="CU49" i="7"/>
  <c r="CW10" i="7"/>
  <c r="CT40" i="7"/>
  <c r="CW70" i="7"/>
  <c r="CT37" i="7"/>
  <c r="CT15" i="7"/>
  <c r="CV116" i="7"/>
  <c r="CQ10" i="7"/>
  <c r="CT23" i="7"/>
  <c r="CV18" i="7"/>
  <c r="CR104" i="7"/>
  <c r="CU96" i="7"/>
  <c r="CR126" i="7"/>
  <c r="CW71" i="7"/>
  <c r="CR103" i="7"/>
  <c r="CW79" i="7"/>
  <c r="CW31" i="7"/>
  <c r="CT46" i="7"/>
  <c r="CX99" i="7"/>
  <c r="CT68" i="7"/>
  <c r="CQ79" i="7"/>
  <c r="CQ14" i="7"/>
  <c r="CR77" i="7"/>
  <c r="CS41" i="7"/>
  <c r="CX23" i="7"/>
  <c r="CR65" i="7"/>
  <c r="CW109" i="7"/>
  <c r="CT24" i="7"/>
  <c r="CT38" i="7"/>
  <c r="CX8" i="7"/>
  <c r="CQ52" i="7"/>
  <c r="CQ75" i="7"/>
  <c r="CU54" i="7"/>
  <c r="CS47" i="7"/>
  <c r="CQ20" i="7"/>
  <c r="CU28" i="7"/>
  <c r="CV106" i="7"/>
  <c r="CW83" i="7"/>
  <c r="CT78" i="7"/>
  <c r="CR14" i="7"/>
  <c r="CX45" i="7"/>
  <c r="CT116" i="7"/>
  <c r="CV55" i="7"/>
  <c r="CX84" i="7"/>
  <c r="CR71" i="7"/>
  <c r="CV37" i="7"/>
  <c r="CX18" i="7"/>
  <c r="CQ60" i="7"/>
  <c r="CQ80" i="7"/>
  <c r="CQ115" i="7"/>
  <c r="CX57" i="7"/>
  <c r="CX20" i="7"/>
  <c r="CQ48" i="7"/>
  <c r="CX130" i="7"/>
  <c r="CU58" i="7"/>
  <c r="CQ90" i="7"/>
  <c r="CR73" i="7"/>
  <c r="CT11" i="7"/>
  <c r="CS14" i="7"/>
  <c r="CQ121" i="7"/>
  <c r="CV24" i="7"/>
  <c r="CQ26" i="7"/>
  <c r="CX122" i="7"/>
  <c r="CW58" i="7"/>
  <c r="CR51" i="7"/>
  <c r="CT86" i="7"/>
  <c r="CU25" i="7"/>
  <c r="CT112" i="7"/>
  <c r="CQ51" i="7"/>
  <c r="CQ73" i="7"/>
  <c r="CQ40" i="7"/>
  <c r="CQ65" i="7"/>
  <c r="CW9" i="7"/>
  <c r="CS117" i="7"/>
  <c r="CW61" i="7"/>
  <c r="CQ61" i="7"/>
  <c r="CQ130" i="7"/>
  <c r="CR123" i="7"/>
  <c r="CU89" i="7"/>
  <c r="CR96" i="7"/>
  <c r="CT13" i="7"/>
  <c r="CQ91" i="7"/>
  <c r="CQ76" i="7"/>
  <c r="CT27" i="7"/>
  <c r="CX43" i="7"/>
  <c r="CV59" i="7"/>
  <c r="CQ37" i="7"/>
  <c r="CT26" i="7"/>
  <c r="CW8" i="7"/>
  <c r="CQ63" i="7"/>
  <c r="CQ123" i="7"/>
  <c r="CS57" i="7"/>
  <c r="CW67" i="7"/>
  <c r="CS71" i="7"/>
  <c r="CQ50" i="7"/>
  <c r="CQ47" i="7"/>
  <c r="CS24" i="7"/>
  <c r="CW78" i="7"/>
  <c r="CT76" i="7"/>
  <c r="CQ97" i="7"/>
  <c r="CT57" i="7"/>
  <c r="CR58" i="7"/>
  <c r="CX115" i="7"/>
  <c r="CT14" i="7"/>
  <c r="CR26" i="7"/>
  <c r="CS27" i="7"/>
  <c r="CW24" i="7"/>
  <c r="CT83" i="7"/>
  <c r="CV122" i="7"/>
  <c r="CQ84" i="7"/>
  <c r="CT60" i="7"/>
  <c r="CV98" i="7"/>
  <c r="CQ18" i="7"/>
  <c r="CV49" i="7"/>
  <c r="CR22" i="7"/>
  <c r="CQ117" i="7"/>
  <c r="CX48" i="7"/>
  <c r="CT111" i="7"/>
  <c r="CT20" i="7"/>
  <c r="CQ127" i="7"/>
  <c r="CV94" i="7"/>
  <c r="CQ119" i="7"/>
  <c r="CQ45" i="7"/>
  <c r="CQ129" i="7"/>
  <c r="CQ11" i="7"/>
  <c r="CU38" i="7"/>
  <c r="CS64" i="7"/>
  <c r="CU71" i="7"/>
  <c r="CQ122" i="7"/>
  <c r="CQ100" i="7"/>
  <c r="CS49" i="7"/>
  <c r="CU19" i="7"/>
  <c r="CU43" i="7"/>
  <c r="CR35" i="7"/>
  <c r="CQ74" i="7"/>
  <c r="CV52" i="7"/>
  <c r="CQ78" i="7"/>
  <c r="CQ86" i="7"/>
  <c r="CQ108" i="7"/>
  <c r="CS62" i="7"/>
  <c r="CS15" i="7"/>
  <c r="CQ85" i="7"/>
  <c r="CW51" i="7"/>
  <c r="CT106" i="7"/>
  <c r="CS31" i="7"/>
  <c r="CW20" i="7"/>
  <c r="CQ62" i="7"/>
  <c r="CU39" i="7"/>
  <c r="CR20" i="7"/>
  <c r="CT30" i="7"/>
  <c r="CR43" i="7"/>
  <c r="CW44" i="7"/>
  <c r="CR24" i="7"/>
  <c r="CW65" i="7"/>
  <c r="CR27" i="7"/>
  <c r="CQ87" i="7"/>
  <c r="CT55" i="7"/>
  <c r="CQ72" i="7"/>
  <c r="CR28" i="7"/>
  <c r="CQ104" i="7"/>
  <c r="CT43" i="7"/>
  <c r="CQ110" i="7"/>
  <c r="CR21" i="7"/>
  <c r="CQ128" i="7"/>
  <c r="CX29" i="7"/>
  <c r="CQ54" i="7"/>
  <c r="CT52" i="7"/>
  <c r="CU42" i="7"/>
  <c r="CQ19" i="7"/>
  <c r="CQ77" i="7"/>
  <c r="CT9" i="7"/>
  <c r="CU22" i="7"/>
  <c r="CW40" i="7"/>
  <c r="CQ95" i="7"/>
  <c r="CQ69" i="7"/>
  <c r="CU110" i="7"/>
  <c r="CQ101" i="7"/>
  <c r="CQ126" i="7"/>
  <c r="CT47" i="7"/>
  <c r="CQ125" i="7"/>
  <c r="CQ71" i="7"/>
  <c r="CU126" i="7"/>
  <c r="CQ57" i="7"/>
  <c r="CV38" i="7"/>
  <c r="CQ41" i="7"/>
  <c r="CW64" i="7"/>
  <c r="CW27" i="7"/>
  <c r="CR124" i="7"/>
  <c r="CW74" i="7"/>
  <c r="CS88" i="7"/>
  <c r="CS74" i="7"/>
  <c r="CQ34" i="7"/>
  <c r="CW130" i="7"/>
  <c r="CU85" i="7"/>
  <c r="CX12" i="7"/>
  <c r="CR40" i="7"/>
  <c r="CQ113" i="7"/>
  <c r="CQ30" i="7"/>
  <c r="CR116" i="7"/>
  <c r="CU10" i="7"/>
  <c r="CU40" i="7"/>
  <c r="CX34" i="7"/>
  <c r="CQ111" i="7"/>
  <c r="CR9" i="7"/>
  <c r="CS81" i="7"/>
  <c r="CU128" i="7"/>
  <c r="CR10" i="7"/>
  <c r="CX54" i="7"/>
  <c r="CQ81" i="7"/>
  <c r="CQ8" i="7"/>
  <c r="CX27" i="7"/>
  <c r="CQ118" i="7"/>
  <c r="CQ21" i="7"/>
  <c r="CQ35" i="7"/>
  <c r="CV75" i="7"/>
  <c r="CR95" i="7"/>
  <c r="CS86" i="7"/>
  <c r="CU60" i="7"/>
  <c r="CT125" i="7"/>
  <c r="CQ109" i="7"/>
  <c r="CU33" i="7"/>
  <c r="CR119" i="7"/>
  <c r="CW101" i="7"/>
  <c r="CS25" i="7"/>
  <c r="CQ9" i="7"/>
  <c r="CV115" i="7"/>
  <c r="CW106" i="7"/>
  <c r="CQ13" i="7"/>
  <c r="CV51" i="7"/>
  <c r="CX89" i="7"/>
  <c r="CX19" i="7"/>
  <c r="CQ82" i="7"/>
  <c r="CX60" i="7"/>
  <c r="CR88" i="7"/>
  <c r="CV14" i="7"/>
  <c r="CX39" i="7"/>
  <c r="CT51" i="7"/>
  <c r="CQ83" i="7"/>
  <c r="CU16" i="7"/>
  <c r="CX83" i="7"/>
  <c r="CR29" i="7"/>
  <c r="CS84" i="7"/>
  <c r="CS8" i="7"/>
  <c r="CQ103" i="7"/>
  <c r="CQ12" i="7"/>
  <c r="CR41" i="7"/>
  <c r="CS109" i="7"/>
  <c r="CV131" i="7"/>
  <c r="CU122" i="7"/>
  <c r="CU26" i="7"/>
  <c r="CQ32" i="7"/>
  <c r="CQ25" i="7"/>
  <c r="CQ46" i="7"/>
  <c r="CW14" i="7"/>
  <c r="CU67" i="7"/>
  <c r="CX35" i="7"/>
  <c r="CV36" i="7"/>
  <c r="CX86" i="7"/>
  <c r="CW22" i="7"/>
  <c r="CU75" i="7"/>
  <c r="CW82" i="7"/>
  <c r="CW72" i="7"/>
  <c r="CV72" i="7"/>
  <c r="CQ70" i="7"/>
  <c r="CU104" i="7"/>
  <c r="CU41" i="7"/>
  <c r="CV74" i="7"/>
  <c r="CR12" i="7"/>
  <c r="CS21" i="7"/>
  <c r="CV129" i="7"/>
  <c r="CS13" i="7"/>
  <c r="CS10" i="7"/>
  <c r="CW53" i="7"/>
  <c r="CR85" i="7"/>
  <c r="CR47" i="7"/>
  <c r="CR32" i="7"/>
  <c r="CQ112" i="7"/>
  <c r="CS126" i="7"/>
  <c r="CX21" i="7"/>
  <c r="CU97" i="7"/>
  <c r="CT44" i="7"/>
  <c r="CS26" i="7"/>
  <c r="CV100" i="7"/>
  <c r="CQ131" i="7"/>
  <c r="CS29" i="7"/>
  <c r="CU81" i="7"/>
  <c r="CW37" i="7"/>
  <c r="CV47" i="7"/>
  <c r="CU86" i="7"/>
  <c r="CX77" i="7"/>
  <c r="CR66" i="7"/>
  <c r="CS48" i="7"/>
  <c r="CQ102" i="7"/>
  <c r="CQ98" i="7"/>
  <c r="CV81" i="7"/>
  <c r="CX40" i="7"/>
  <c r="CR83" i="7"/>
  <c r="CX17" i="7"/>
  <c r="CU117" i="7"/>
  <c r="CV89" i="7"/>
  <c r="CQ93" i="7"/>
  <c r="CQ24" i="7"/>
  <c r="CQ53" i="7"/>
  <c r="CQ64" i="7"/>
  <c r="CR33" i="7"/>
  <c r="CX56" i="7"/>
  <c r="CR23" i="7"/>
  <c r="CW29" i="7"/>
  <c r="CS104" i="7"/>
  <c r="CW32" i="7"/>
  <c r="CV92" i="7"/>
  <c r="CT58" i="7"/>
  <c r="CV118" i="7"/>
  <c r="CR75" i="7"/>
  <c r="CQ29" i="7"/>
  <c r="CX117" i="7"/>
  <c r="CV91" i="7"/>
  <c r="CX13" i="7"/>
  <c r="CR25" i="7"/>
  <c r="CS17" i="7"/>
  <c r="CS112" i="7"/>
  <c r="CQ42" i="7"/>
  <c r="CV105" i="7"/>
  <c r="CU51" i="7"/>
  <c r="CV69" i="7"/>
  <c r="CT36" i="7"/>
  <c r="CS36" i="7"/>
  <c r="CT97" i="7"/>
  <c r="CR72" i="7"/>
  <c r="CX31" i="7"/>
  <c r="CQ33" i="7"/>
  <c r="CQ89" i="7"/>
  <c r="CQ96" i="7"/>
  <c r="CV25" i="7"/>
  <c r="CU52" i="7"/>
  <c r="CX16" i="7"/>
  <c r="CR61" i="7"/>
  <c r="CR118" i="7"/>
  <c r="CS18" i="7"/>
  <c r="CW55" i="7"/>
  <c r="CR101" i="7"/>
  <c r="CV58" i="7"/>
  <c r="CR74" i="7"/>
  <c r="CV132" i="7"/>
  <c r="CV45" i="7"/>
  <c r="CQ105" i="7"/>
  <c r="CW91" i="7"/>
  <c r="CQ106" i="7"/>
  <c r="CQ27" i="7"/>
  <c r="CW84" i="7"/>
  <c r="CV29" i="7"/>
  <c r="CQ22" i="7"/>
  <c r="CU108" i="7"/>
  <c r="CU100" i="7"/>
  <c r="CS113" i="7"/>
  <c r="CV41" i="7"/>
  <c r="CW93" i="7"/>
  <c r="CQ36" i="7"/>
  <c r="CT82" i="7"/>
  <c r="CW120" i="7"/>
  <c r="CV60" i="7"/>
  <c r="CR84" i="7"/>
  <c r="CX28" i="7"/>
  <c r="CR19" i="7"/>
  <c r="CV103" i="7"/>
  <c r="CU29" i="7"/>
  <c r="CX36" i="7"/>
  <c r="CW36" i="7"/>
  <c r="CW54" i="7"/>
  <c r="CU8" i="7"/>
  <c r="CQ67" i="7"/>
  <c r="CS20" i="7"/>
  <c r="CQ94" i="7"/>
  <c r="CW123" i="7"/>
  <c r="CS58" i="7"/>
  <c r="CR16" i="7"/>
  <c r="CX131" i="7"/>
  <c r="CU13" i="7"/>
  <c r="CR121" i="7"/>
  <c r="CR13" i="7"/>
  <c r="CR99" i="7"/>
  <c r="CR122" i="7"/>
  <c r="CX64" i="7"/>
  <c r="CX61" i="7"/>
  <c r="CV110" i="7"/>
  <c r="CW111" i="7"/>
  <c r="CX14" i="7"/>
  <c r="CV9" i="7"/>
  <c r="CR100" i="7"/>
  <c r="CT127" i="7"/>
  <c r="CW77" i="7"/>
  <c r="CQ66" i="7"/>
  <c r="CQ88" i="7"/>
  <c r="CR94" i="7"/>
  <c r="CS118" i="7"/>
  <c r="CX42" i="7"/>
  <c r="CQ132" i="7"/>
  <c r="CT108" i="7"/>
  <c r="CV76" i="7"/>
  <c r="CT39" i="7"/>
  <c r="CR45" i="7"/>
  <c r="CX116" i="7"/>
  <c r="CS72" i="7"/>
  <c r="CV65" i="7"/>
  <c r="CR18" i="7"/>
  <c r="CU95" i="7"/>
  <c r="CV23" i="7"/>
  <c r="CR52" i="7"/>
  <c r="CX132" i="7"/>
  <c r="CS75" i="7"/>
  <c r="CW62" i="7"/>
  <c r="CQ49" i="7"/>
  <c r="CT33" i="7"/>
  <c r="CQ92" i="7"/>
  <c r="CV34" i="7"/>
  <c r="CU45" i="7"/>
  <c r="CR34" i="7"/>
  <c r="CX52" i="7"/>
  <c r="CW12" i="7"/>
  <c r="CV102" i="7"/>
  <c r="CT113" i="7"/>
  <c r="CU129" i="7"/>
  <c r="CT21" i="7"/>
  <c r="CT29" i="7"/>
  <c r="CU101" i="7"/>
  <c r="CR69" i="7"/>
  <c r="CR125" i="7"/>
  <c r="CW66" i="7"/>
  <c r="CR93" i="7"/>
  <c r="CS68" i="7"/>
  <c r="CW90" i="7"/>
  <c r="CQ39" i="7"/>
  <c r="CS11" i="7"/>
  <c r="CU18" i="7"/>
  <c r="CT104" i="7"/>
  <c r="CS127" i="7"/>
  <c r="CT126" i="7"/>
  <c r="CU102" i="7"/>
  <c r="CU124" i="7"/>
  <c r="CV112" i="7"/>
  <c r="CV99" i="7"/>
  <c r="CX55" i="7"/>
  <c r="CW100" i="7"/>
  <c r="CR39" i="7"/>
  <c r="CX124" i="7"/>
  <c r="CR120" i="7"/>
  <c r="CU74" i="7"/>
  <c r="CU44" i="7"/>
  <c r="CU84" i="7"/>
  <c r="CT80" i="7"/>
  <c r="CV40" i="7"/>
  <c r="CW75" i="7"/>
  <c r="CQ107" i="7"/>
  <c r="CX104" i="7"/>
  <c r="CX74" i="7"/>
  <c r="CV96" i="7"/>
  <c r="CS110" i="7"/>
  <c r="CQ68" i="7"/>
  <c r="CV53" i="7"/>
  <c r="CU114" i="7"/>
  <c r="CR37" i="7"/>
  <c r="CQ120" i="7"/>
  <c r="CV125" i="7"/>
  <c r="CU50" i="7"/>
  <c r="CX65" i="7"/>
  <c r="CX108" i="7"/>
  <c r="CS53" i="7"/>
  <c r="CT34" i="7"/>
  <c r="CV32" i="7"/>
  <c r="CV44" i="7"/>
  <c r="CS38" i="7"/>
  <c r="CQ56" i="7"/>
  <c r="CW128" i="7"/>
  <c r="CX80" i="7"/>
  <c r="CX69" i="7"/>
  <c r="CS16" i="7"/>
  <c r="CX67" i="7"/>
  <c r="CV17" i="7"/>
  <c r="CQ55" i="7"/>
  <c r="CW124" i="7"/>
  <c r="CS55" i="7"/>
  <c r="CQ23" i="7"/>
  <c r="CR115" i="7"/>
  <c r="CU31" i="7"/>
  <c r="CW73" i="7"/>
  <c r="CQ114" i="7"/>
  <c r="CS34" i="7"/>
  <c r="CQ28" i="7"/>
  <c r="CU88" i="7"/>
  <c r="CQ31" i="7"/>
  <c r="CU115" i="7"/>
  <c r="CW15" i="7"/>
  <c r="CS67" i="7"/>
  <c r="CQ116" i="7"/>
  <c r="CU119" i="7"/>
  <c r="CS125" i="7"/>
  <c r="CT12" i="7"/>
  <c r="CT94" i="7"/>
  <c r="CW16" i="7"/>
  <c r="CV56" i="7"/>
  <c r="CT22" i="7"/>
  <c r="CW94" i="7"/>
  <c r="CX90" i="7"/>
  <c r="CV117" i="7"/>
  <c r="CS44" i="7"/>
  <c r="CW50" i="7"/>
  <c r="CQ99" i="7"/>
  <c r="CR30" i="7"/>
  <c r="CV70" i="7"/>
  <c r="CS19" i="7"/>
  <c r="CS65" i="7"/>
  <c r="CU90" i="7"/>
  <c r="CS98" i="7"/>
  <c r="CW57" i="7"/>
  <c r="CV77" i="7"/>
  <c r="CV114" i="7"/>
  <c r="CX59" i="7"/>
  <c r="CV21" i="7"/>
  <c r="CR44" i="7"/>
  <c r="CR112" i="7"/>
  <c r="CU30" i="7"/>
  <c r="CR48" i="7"/>
  <c r="CX127" i="7"/>
  <c r="CS102" i="7"/>
  <c r="CS116" i="7"/>
  <c r="CU98" i="7"/>
  <c r="CT109" i="7"/>
  <c r="CW49" i="7"/>
  <c r="CW126" i="7"/>
  <c r="CV48" i="7"/>
  <c r="CX50" i="7"/>
  <c r="CX106" i="7"/>
  <c r="CX10" i="7"/>
  <c r="CW129" i="7"/>
  <c r="CU36" i="7"/>
  <c r="CX26" i="7"/>
  <c r="CX49" i="7"/>
  <c r="CV66" i="7"/>
  <c r="CQ17" i="7"/>
  <c r="CW131" i="7"/>
  <c r="CS89" i="7"/>
  <c r="CV78" i="7"/>
  <c r="CW45" i="7"/>
  <c r="CR87" i="7"/>
  <c r="CU56" i="7"/>
  <c r="CS61" i="7"/>
  <c r="CS35" i="7"/>
  <c r="CU123" i="7"/>
  <c r="CX98" i="7"/>
  <c r="CV80" i="7"/>
  <c r="CV63" i="7"/>
  <c r="CR63" i="7"/>
  <c r="CT63" i="7"/>
  <c r="CS51" i="7"/>
  <c r="CW114" i="7"/>
  <c r="CR56" i="7"/>
  <c r="CX73" i="7"/>
  <c r="CS39" i="7"/>
  <c r="CX96" i="7"/>
  <c r="CR31" i="7"/>
  <c r="CT122" i="7"/>
  <c r="CX78" i="7"/>
  <c r="CW19" i="7"/>
  <c r="CU55" i="7"/>
  <c r="CW80" i="7"/>
  <c r="CU103" i="7"/>
  <c r="CV84" i="7"/>
  <c r="CV119" i="7"/>
  <c r="CR132" i="7"/>
  <c r="CW112" i="7"/>
  <c r="CS22" i="7"/>
  <c r="CT90" i="7"/>
  <c r="CU21" i="7"/>
  <c r="CT74" i="7"/>
  <c r="CT17" i="7"/>
  <c r="CW110" i="7"/>
  <c r="CV104" i="7"/>
  <c r="CV107" i="7"/>
  <c r="CQ58" i="7"/>
  <c r="CT62" i="7"/>
  <c r="CV31" i="7"/>
  <c r="CT103" i="7"/>
  <c r="CR81" i="7"/>
  <c r="CX47" i="7"/>
  <c r="CV15" i="7"/>
  <c r="CX46" i="7"/>
  <c r="CT115" i="7"/>
  <c r="CU109" i="7"/>
  <c r="CU106" i="7"/>
  <c r="CQ38" i="7"/>
  <c r="CQ15" i="7"/>
  <c r="CS108" i="7"/>
  <c r="CT121" i="7"/>
  <c r="CS66" i="7"/>
  <c r="CT67" i="7"/>
  <c r="CS56" i="7"/>
  <c r="CV95" i="7"/>
  <c r="CX44" i="7"/>
  <c r="CR15" i="7"/>
  <c r="CT56" i="7"/>
  <c r="CT53" i="7"/>
  <c r="CW52" i="7"/>
  <c r="CR54" i="7"/>
  <c r="CR130" i="7"/>
  <c r="CR57" i="7"/>
  <c r="CV27" i="7"/>
  <c r="CV20" i="7"/>
  <c r="CT49" i="7"/>
  <c r="CV57" i="7"/>
  <c r="CS119" i="7"/>
  <c r="CQ124" i="7"/>
  <c r="CV93" i="7"/>
  <c r="CU83" i="7"/>
  <c r="CV67" i="7"/>
  <c r="CT31" i="7"/>
  <c r="CW86" i="7"/>
  <c r="CU99" i="7"/>
  <c r="CS37" i="7"/>
  <c r="CT35" i="7"/>
  <c r="CR62" i="7"/>
  <c r="CR8" i="7"/>
  <c r="CW28" i="7"/>
  <c r="CX100" i="7"/>
  <c r="CV86" i="7"/>
  <c r="CW88" i="7"/>
  <c r="CU125" i="7"/>
  <c r="CU105" i="7"/>
  <c r="CU131" i="7"/>
  <c r="CS123" i="7"/>
  <c r="CW81" i="7"/>
  <c r="CW48" i="7"/>
  <c r="CS100" i="7"/>
  <c r="CW56" i="7"/>
  <c r="CT75" i="7"/>
  <c r="CT79" i="7"/>
  <c r="CW39" i="7"/>
  <c r="CT28" i="7"/>
  <c r="CU32" i="7"/>
  <c r="CS130" i="7"/>
  <c r="CS59" i="7"/>
  <c r="CR64" i="7"/>
  <c r="CS96" i="7"/>
  <c r="CW69" i="7"/>
  <c r="CU11" i="7"/>
  <c r="CS77" i="7"/>
  <c r="CV71" i="7"/>
  <c r="CU130" i="7"/>
  <c r="CX41" i="7"/>
  <c r="CR68" i="7"/>
  <c r="CT85" i="7"/>
  <c r="CS115" i="7"/>
  <c r="CX129" i="7"/>
  <c r="CX120" i="7"/>
  <c r="CS40" i="7"/>
  <c r="CS106" i="7"/>
  <c r="CS103" i="7"/>
  <c r="CW38" i="7"/>
  <c r="CR114" i="7"/>
  <c r="CS43" i="7"/>
  <c r="CS23" i="7"/>
  <c r="CS45" i="7"/>
  <c r="CT93" i="7"/>
  <c r="CV121" i="7"/>
  <c r="CW107" i="7"/>
  <c r="CX75" i="7"/>
  <c r="CU69" i="7"/>
  <c r="CV54" i="7"/>
  <c r="CR109" i="7"/>
  <c r="CX102" i="7"/>
  <c r="CX95" i="7"/>
  <c r="CW105" i="7"/>
  <c r="CV87" i="7"/>
  <c r="CU59" i="7"/>
  <c r="CX103" i="7"/>
  <c r="CT32" i="7"/>
  <c r="CV30" i="7"/>
  <c r="CR79" i="7"/>
  <c r="CV127" i="7"/>
  <c r="CR129" i="7"/>
  <c r="CV124" i="7"/>
  <c r="CW68" i="7"/>
  <c r="CR117" i="7"/>
  <c r="CV97" i="7"/>
  <c r="CT50" i="7"/>
  <c r="CS46" i="7"/>
  <c r="CW63" i="7"/>
  <c r="CR107" i="7"/>
  <c r="CT77" i="7"/>
  <c r="CX92" i="7"/>
  <c r="CV61" i="7"/>
  <c r="CV123" i="7"/>
  <c r="CW26" i="7"/>
  <c r="CR106" i="7"/>
  <c r="CQ43" i="7"/>
  <c r="CV16" i="7"/>
  <c r="CV26" i="7"/>
  <c r="CW98" i="7"/>
  <c r="CW21" i="7"/>
  <c r="CS85" i="7"/>
  <c r="CT95" i="7"/>
  <c r="CU77" i="7"/>
  <c r="CU121" i="7"/>
  <c r="CT73" i="7"/>
  <c r="CS83" i="7"/>
  <c r="CU70" i="7"/>
  <c r="CX32" i="7"/>
  <c r="CW42" i="7"/>
  <c r="CW13" i="7"/>
  <c r="CU34" i="7"/>
  <c r="CS60" i="7"/>
  <c r="CT64" i="7"/>
  <c r="CQ44" i="7"/>
  <c r="CR11" i="7"/>
  <c r="CU116" i="7"/>
  <c r="CU64" i="7"/>
  <c r="CS122" i="7"/>
  <c r="CT120" i="7"/>
  <c r="CV113" i="7"/>
  <c r="CU24" i="7"/>
  <c r="CX11" i="7"/>
  <c r="CT54" i="7"/>
  <c r="CT10" i="7"/>
  <c r="CV128" i="7"/>
  <c r="CX126" i="7"/>
  <c r="CW102" i="7"/>
  <c r="CX62" i="7"/>
  <c r="CT117" i="7"/>
  <c r="CT81" i="7"/>
  <c r="CT102" i="7"/>
  <c r="CU15" i="7"/>
  <c r="CU78" i="7"/>
  <c r="CT114" i="7"/>
  <c r="CW95" i="7"/>
  <c r="CR90" i="7"/>
  <c r="CS91" i="7"/>
  <c r="CR91" i="7"/>
  <c r="CV88" i="7"/>
  <c r="CS50" i="7"/>
  <c r="CT48" i="7"/>
  <c r="CR70" i="7"/>
  <c r="CX101" i="7"/>
  <c r="CU111" i="7"/>
  <c r="CX118" i="7"/>
  <c r="CU82" i="7"/>
  <c r="CX123" i="7"/>
  <c r="CW17" i="7"/>
  <c r="CX97" i="7"/>
  <c r="CV83" i="7"/>
  <c r="CR92" i="7"/>
  <c r="CU61" i="7"/>
  <c r="CR76" i="7"/>
  <c r="CW113" i="7"/>
  <c r="CV22" i="7"/>
  <c r="CX76" i="7"/>
  <c r="CX15" i="7"/>
  <c r="CT41" i="7"/>
  <c r="CU9" i="7"/>
  <c r="CX53" i="7"/>
  <c r="CX111" i="7"/>
  <c r="CX107" i="7"/>
  <c r="CV13" i="7"/>
  <c r="CR97" i="7"/>
  <c r="CS79" i="7"/>
  <c r="CV11" i="7"/>
  <c r="CU80" i="7"/>
  <c r="CT59" i="7"/>
  <c r="CW119" i="7"/>
  <c r="CV33" i="7"/>
  <c r="CS105" i="7"/>
  <c r="CR105" i="7"/>
  <c r="CW89" i="7"/>
  <c r="CR102" i="7"/>
  <c r="CU87" i="7"/>
  <c r="CX81" i="7"/>
  <c r="CU118" i="7"/>
  <c r="CT99" i="7"/>
  <c r="CU73" i="7"/>
  <c r="CT25" i="7"/>
  <c r="CT124" i="7"/>
  <c r="CW99" i="7"/>
  <c r="CX85" i="7"/>
  <c r="CV79" i="7"/>
  <c r="CX63" i="7"/>
  <c r="CU53" i="7"/>
  <c r="CW25" i="7"/>
  <c r="CX25" i="7"/>
  <c r="CW118" i="7"/>
  <c r="CT88" i="7"/>
  <c r="CT105" i="7"/>
  <c r="CS9" i="7"/>
  <c r="CV50" i="7"/>
  <c r="CX66" i="7"/>
  <c r="CS90" i="7"/>
  <c r="CT98" i="7"/>
  <c r="CX68" i="7"/>
  <c r="CX30" i="7"/>
  <c r="CS93" i="7"/>
  <c r="CT8" i="7"/>
  <c r="CU91" i="7"/>
  <c r="CV28" i="7"/>
  <c r="CU107" i="7"/>
  <c r="CR38" i="7"/>
  <c r="CU112" i="7"/>
  <c r="CR82" i="7"/>
  <c r="CW122" i="7"/>
  <c r="CV12" i="7"/>
  <c r="CW46" i="7"/>
  <c r="CR78" i="7"/>
  <c r="CR67" i="7"/>
  <c r="CX112" i="7"/>
  <c r="CU79" i="7"/>
  <c r="CV111" i="7"/>
  <c r="CW127" i="7"/>
  <c r="CT71" i="7"/>
  <c r="CV73" i="7"/>
  <c r="CU27" i="7"/>
  <c r="CT130" i="7"/>
  <c r="CT65" i="7"/>
  <c r="CT42" i="7"/>
  <c r="CX94" i="7"/>
  <c r="CV120" i="7"/>
  <c r="CQ59" i="7"/>
  <c r="CV126" i="7"/>
  <c r="CS120" i="7"/>
  <c r="CU65" i="7"/>
  <c r="CW96" i="7"/>
  <c r="CS32" i="7"/>
  <c r="CT19" i="7"/>
  <c r="CW41" i="7"/>
  <c r="CS28" i="7"/>
  <c r="CT123" i="7"/>
  <c r="CS99" i="7"/>
  <c r="CX109" i="7"/>
  <c r="CT69" i="7"/>
  <c r="CW121" i="7"/>
  <c r="CX72" i="7"/>
  <c r="CT100" i="7"/>
  <c r="CW34" i="7"/>
  <c r="CT70" i="7"/>
  <c r="CS52" i="7"/>
  <c r="CX71" i="7"/>
  <c r="CR110" i="7"/>
  <c r="CU17" i="7"/>
  <c r="CU72" i="7"/>
  <c r="CX9" i="7"/>
  <c r="CR53" i="7"/>
  <c r="CU63" i="7"/>
  <c r="CX110" i="7"/>
  <c r="CW104" i="7"/>
  <c r="CW33" i="7"/>
  <c r="CT118" i="7"/>
  <c r="CV101" i="7"/>
  <c r="CX87" i="7"/>
  <c r="CU68" i="7"/>
  <c r="CW43" i="7"/>
  <c r="CW125" i="7"/>
  <c r="CR111" i="7"/>
  <c r="CV39" i="7"/>
  <c r="CS97" i="7"/>
  <c r="CW132" i="7"/>
  <c r="CU37" i="7"/>
  <c r="CT110" i="7"/>
  <c r="CV90" i="7"/>
  <c r="CT96" i="7"/>
  <c r="CW85" i="7"/>
  <c r="CX105" i="7"/>
  <c r="CR55" i="7"/>
  <c r="CR49" i="7"/>
  <c r="CU93" i="7"/>
  <c r="CT119" i="7"/>
  <c r="CS30" i="7"/>
  <c r="CV35" i="7"/>
  <c r="CS121" i="7"/>
  <c r="CS132" i="7"/>
  <c r="CX88" i="7"/>
  <c r="CV8" i="7"/>
  <c r="CV85" i="7"/>
  <c r="CV62" i="7"/>
  <c r="CX70" i="7"/>
  <c r="CV68" i="7"/>
  <c r="CS82" i="7"/>
  <c r="CW92" i="7"/>
  <c r="CS129" i="7"/>
  <c r="CT84" i="7"/>
  <c r="CT107" i="7"/>
  <c r="CU66" i="7"/>
  <c r="CR86" i="7"/>
  <c r="CX33" i="7"/>
  <c r="CW108" i="7"/>
  <c r="CU35" i="7"/>
  <c r="CW116" i="7"/>
  <c r="CU94" i="7"/>
  <c r="CR108" i="7"/>
  <c r="CT91" i="7"/>
  <c r="CS54" i="7"/>
  <c r="CU127" i="7"/>
  <c r="CT87" i="7"/>
  <c r="CU92" i="7"/>
  <c r="CU12" i="7"/>
  <c r="CQ16" i="7"/>
  <c r="CT128" i="7"/>
  <c r="CX58" i="7"/>
  <c r="CX24" i="7"/>
  <c r="CX91" i="7"/>
  <c r="CT92" i="7"/>
  <c r="CV43" i="7"/>
  <c r="CV109" i="7"/>
  <c r="CV130" i="7"/>
  <c r="CT101" i="7"/>
  <c r="CV10" i="7"/>
  <c r="CX128" i="7"/>
  <c r="CS131" i="7"/>
  <c r="CX119" i="7"/>
  <c r="CR59" i="7"/>
  <c r="CS78" i="7"/>
  <c r="CS128" i="7"/>
  <c r="CX79" i="7"/>
  <c r="CU132" i="7"/>
  <c r="CT45" i="7"/>
  <c r="CS69" i="7"/>
  <c r="CW117" i="7"/>
  <c r="CW11" i="7"/>
  <c r="CX121" i="7"/>
  <c r="CU62" i="7"/>
  <c r="CR50" i="7"/>
  <c r="CX113" i="7"/>
  <c r="CV82" i="7"/>
  <c r="CV42" i="7"/>
  <c r="CS80" i="7"/>
  <c r="CU57" i="7"/>
  <c r="CS124" i="7"/>
  <c r="CT131" i="7"/>
  <c r="CW30" i="7"/>
  <c r="CR113" i="7"/>
  <c r="CX51" i="7"/>
  <c r="CU120" i="7"/>
  <c r="CR127" i="7"/>
  <c r="CW97" i="7"/>
  <c r="CS101" i="7"/>
  <c r="CT66" i="7"/>
  <c r="CT89" i="7"/>
  <c r="CR80" i="7"/>
  <c r="CW87" i="7"/>
  <c r="CR17" i="7"/>
  <c r="CU48" i="7"/>
  <c r="CX93" i="7"/>
  <c r="CT129" i="7"/>
  <c r="CT61" i="7"/>
  <c r="CT132" i="7"/>
  <c r="CX114" i="7"/>
  <c r="CS76" i="7"/>
  <c r="CU20" i="7"/>
  <c r="CX82" i="7"/>
  <c r="CT72" i="7"/>
  <c r="CS73" i="7"/>
  <c r="CT16" i="7"/>
  <c r="CR131" i="7"/>
  <c r="CS95" i="7"/>
  <c r="CU46" i="7"/>
  <c r="CR60" i="7"/>
  <c r="CU113" i="7"/>
  <c r="CX38" i="7"/>
  <c r="CS111" i="7"/>
  <c r="CV64" i="7"/>
  <c r="CW103" i="7"/>
  <c r="BU9" i="27" l="1"/>
  <c r="BI139" i="16"/>
  <c r="S41" i="30"/>
  <c r="S41" i="32"/>
  <c r="S106" i="32"/>
  <c r="BI137" i="16"/>
  <c r="BT40" i="16"/>
  <c r="BT15" i="16"/>
  <c r="BU9" i="16"/>
  <c r="BT39" i="16"/>
  <c r="BT9" i="16"/>
  <c r="BU14" i="16"/>
  <c r="BU12" i="16"/>
  <c r="BU46" i="16"/>
  <c r="BI139" i="27"/>
  <c r="K139" i="29"/>
  <c r="BU48" i="16"/>
  <c r="BT48" i="16"/>
  <c r="BC50" i="27"/>
  <c r="BC140" i="27" s="1"/>
  <c r="E50" i="29"/>
  <c r="BG50" i="16"/>
  <c r="BG140" i="16" s="1"/>
  <c r="I50" i="29"/>
  <c r="I140" i="29" s="1"/>
  <c r="BG50" i="27"/>
  <c r="BG140" i="27" s="1"/>
  <c r="BI50" i="16"/>
  <c r="BI140" i="16" s="1"/>
  <c r="BI50" i="27"/>
  <c r="BI140" i="27" s="1"/>
  <c r="K50" i="29"/>
  <c r="K140" i="29" s="1"/>
  <c r="F50" i="29"/>
  <c r="BD50" i="27"/>
  <c r="BH50" i="16"/>
  <c r="BH50" i="27"/>
  <c r="BH140" i="27" s="1"/>
  <c r="J50" i="29"/>
  <c r="J140" i="29" s="1"/>
  <c r="BE50" i="16"/>
  <c r="BE140" i="16" s="1"/>
  <c r="BE50" i="27"/>
  <c r="G50" i="29"/>
  <c r="BB50" i="16"/>
  <c r="BB140" i="16" s="1"/>
  <c r="BB50" i="27"/>
  <c r="BB140" i="27" s="1"/>
  <c r="D50" i="29"/>
  <c r="D140" i="29" s="1"/>
  <c r="BF50" i="16"/>
  <c r="BF140" i="16" s="1"/>
  <c r="BF50" i="27"/>
  <c r="BF140" i="27" s="1"/>
  <c r="H50" i="29"/>
  <c r="U10" i="29"/>
  <c r="K137" i="29"/>
  <c r="U8" i="29"/>
  <c r="U11" i="29"/>
  <c r="U9" i="29"/>
  <c r="BI137" i="27"/>
  <c r="T107" i="26"/>
  <c r="S146" i="26"/>
  <c r="S161" i="26" s="1"/>
  <c r="Q146" i="30"/>
  <c r="Q161" i="30" s="1"/>
  <c r="U10" i="26"/>
  <c r="S10" i="30"/>
  <c r="U12" i="26"/>
  <c r="S12" i="30"/>
  <c r="R106" i="30"/>
  <c r="U9" i="26"/>
  <c r="S9" i="30"/>
  <c r="T43" i="26"/>
  <c r="BW40" i="26" s="1"/>
  <c r="R43" i="30"/>
  <c r="U13" i="26"/>
  <c r="U106" i="26" s="1"/>
  <c r="S13" i="30"/>
  <c r="U42" i="26"/>
  <c r="BX43" i="26" s="1"/>
  <c r="S42" i="30"/>
  <c r="T8" i="26"/>
  <c r="T144" i="26" s="1"/>
  <c r="T159" i="26" s="1"/>
  <c r="R8" i="30"/>
  <c r="R144" i="30" s="1"/>
  <c r="R159" i="30" s="1"/>
  <c r="U11" i="26"/>
  <c r="S11" i="30"/>
  <c r="U14" i="26"/>
  <c r="S14" i="30"/>
  <c r="U44" i="26"/>
  <c r="S44" i="30"/>
  <c r="R107" i="30"/>
  <c r="U47" i="26"/>
  <c r="BX46" i="26" s="1"/>
  <c r="S47" i="30"/>
  <c r="U45" i="26"/>
  <c r="BX44" i="26" s="1"/>
  <c r="S45" i="30"/>
  <c r="T20" i="26"/>
  <c r="T145" i="26" s="1"/>
  <c r="T160" i="26" s="1"/>
  <c r="R20" i="30"/>
  <c r="R145" i="30" s="1"/>
  <c r="R160" i="30" s="1"/>
  <c r="U46" i="26"/>
  <c r="U107" i="26" s="1"/>
  <c r="S46" i="30"/>
  <c r="AN140" i="22"/>
  <c r="AO140" i="22" s="1"/>
  <c r="AK140" i="22"/>
  <c r="BX167" i="12"/>
  <c r="CB170" i="12"/>
  <c r="CB167" i="12"/>
  <c r="BX170" i="12"/>
  <c r="BS137" i="16"/>
  <c r="BW170" i="12"/>
  <c r="BW167" i="12"/>
  <c r="CA167" i="12"/>
  <c r="CA170" i="12"/>
  <c r="BV167" i="12"/>
  <c r="BZ167" i="12"/>
  <c r="BZ170" i="12"/>
  <c r="BV170" i="12"/>
  <c r="BX151" i="12"/>
  <c r="BX152" i="12"/>
  <c r="CB151" i="12"/>
  <c r="CB152" i="12"/>
  <c r="BV151" i="12"/>
  <c r="BZ152" i="12"/>
  <c r="BZ151" i="12"/>
  <c r="BV152" i="12"/>
  <c r="CA152" i="12"/>
  <c r="CA151" i="12"/>
  <c r="BW152" i="12"/>
  <c r="BW151" i="12"/>
  <c r="BU32" i="16"/>
  <c r="BU137" i="16" s="1"/>
  <c r="BT137" i="16"/>
  <c r="BT8" i="16"/>
  <c r="BU8" i="16"/>
  <c r="BT16" i="16"/>
  <c r="BU16" i="16"/>
  <c r="BT41" i="16"/>
  <c r="BU41" i="16"/>
  <c r="BT13" i="16"/>
  <c r="BU13" i="16"/>
  <c r="BU40" i="16"/>
  <c r="BT35" i="16"/>
  <c r="BU35" i="16"/>
  <c r="BU15" i="16"/>
  <c r="BI140" i="12"/>
  <c r="BG182" i="12"/>
  <c r="S8" i="32" s="1"/>
  <c r="U41" i="26"/>
  <c r="BX42" i="26" s="1"/>
  <c r="BC50" i="16"/>
  <c r="BC140" i="16" s="1"/>
  <c r="BD50" i="16"/>
  <c r="BD140" i="16" s="1"/>
  <c r="BG183" i="12"/>
  <c r="S20" i="32" s="1"/>
  <c r="S145" i="32" s="1"/>
  <c r="BG184" i="12"/>
  <c r="S43" i="32" s="1"/>
  <c r="S146" i="32" s="1"/>
  <c r="BD140" i="12"/>
  <c r="BD185" i="12" s="1"/>
  <c r="P121" i="32" s="1"/>
  <c r="P147" i="32" s="1"/>
  <c r="H142" i="22"/>
  <c r="AI142" i="22" s="1"/>
  <c r="BG140" i="12"/>
  <c r="BG185" i="12" s="1"/>
  <c r="S121" i="32" s="1"/>
  <c r="S147" i="32" s="1"/>
  <c r="BB140" i="12"/>
  <c r="BB185" i="12" s="1"/>
  <c r="BC140" i="12"/>
  <c r="BC185" i="12" s="1"/>
  <c r="O121" i="32" s="1"/>
  <c r="O147" i="32" s="1"/>
  <c r="BF140" i="12"/>
  <c r="BF185" i="12" s="1"/>
  <c r="R121" i="32" s="1"/>
  <c r="R147" i="32" s="1"/>
  <c r="CW66" i="24"/>
  <c r="BH51" i="12"/>
  <c r="BH51" i="31" s="1"/>
  <c r="CX66" i="24"/>
  <c r="H51" i="22"/>
  <c r="BI51" i="12"/>
  <c r="BI51" i="31" s="1"/>
  <c r="AK50" i="22"/>
  <c r="AN50" i="22" s="1"/>
  <c r="AO50" i="22" s="1"/>
  <c r="BS50" i="16" s="1"/>
  <c r="AI50" i="22"/>
  <c r="AM50" i="22"/>
  <c r="AJ50" i="22"/>
  <c r="AL50" i="22"/>
  <c r="CV66" i="24"/>
  <c r="BG51" i="12"/>
  <c r="BG51" i="31" s="1"/>
  <c r="BA68" i="24"/>
  <c r="AY68" i="24"/>
  <c r="AZ68" i="24"/>
  <c r="CP68" i="24" s="1"/>
  <c r="BE140" i="12"/>
  <c r="BE185" i="12" s="1"/>
  <c r="Q121" i="32" s="1"/>
  <c r="Q147" i="32" s="1"/>
  <c r="CS66" i="24"/>
  <c r="BD51" i="12"/>
  <c r="BD51" i="31" s="1"/>
  <c r="AK68" i="24"/>
  <c r="CD68" i="24" s="1"/>
  <c r="AL68" i="24"/>
  <c r="AM68" i="24"/>
  <c r="CU66" i="24"/>
  <c r="BF51" i="12"/>
  <c r="BF51" i="31" s="1"/>
  <c r="CR66" i="24"/>
  <c r="BC51" i="12"/>
  <c r="BC51" i="31" s="1"/>
  <c r="CI67" i="24"/>
  <c r="CF67" i="24"/>
  <c r="CG67" i="24"/>
  <c r="CE67" i="24"/>
  <c r="CJ67" i="24"/>
  <c r="CH67" i="24"/>
  <c r="CL67" i="24"/>
  <c r="CK67" i="24"/>
  <c r="AI49" i="22"/>
  <c r="AK49" i="22"/>
  <c r="AN49" i="22" s="1"/>
  <c r="AO49" i="22" s="1"/>
  <c r="BS49" i="16" s="1"/>
  <c r="AL49" i="22"/>
  <c r="AJ49" i="22"/>
  <c r="AM49" i="22"/>
  <c r="CQ66" i="24"/>
  <c r="BB51" i="12"/>
  <c r="BB51" i="31" s="1"/>
  <c r="CT66" i="24"/>
  <c r="BE51" i="12"/>
  <c r="BE51" i="31" s="1"/>
  <c r="BH140" i="16"/>
  <c r="BH140" i="12"/>
  <c r="X68" i="19"/>
  <c r="BH177" i="12"/>
  <c r="BH176" i="12"/>
  <c r="BH175" i="12"/>
  <c r="BH174" i="12"/>
  <c r="T47" i="32" s="1"/>
  <c r="BH173" i="12"/>
  <c r="T46" i="32" s="1"/>
  <c r="T107" i="32" s="1"/>
  <c r="BH172" i="12"/>
  <c r="T45" i="32" s="1"/>
  <c r="BH171" i="12"/>
  <c r="T44" i="32" s="1"/>
  <c r="BH169" i="12"/>
  <c r="T42" i="32" s="1"/>
  <c r="BH168" i="12"/>
  <c r="X68" i="24"/>
  <c r="BI177" i="12"/>
  <c r="BU177" i="12" s="1"/>
  <c r="BI176" i="12"/>
  <c r="BU176" i="12" s="1"/>
  <c r="BI175" i="12"/>
  <c r="BI174" i="12"/>
  <c r="BI173" i="12"/>
  <c r="U46" i="32" s="1"/>
  <c r="U107" i="32" s="1"/>
  <c r="BI172" i="12"/>
  <c r="BI171" i="12"/>
  <c r="BI169" i="12"/>
  <c r="BI168" i="12"/>
  <c r="BI161" i="12"/>
  <c r="BI160" i="12"/>
  <c r="BI159" i="12"/>
  <c r="BI158" i="12"/>
  <c r="BI157" i="12"/>
  <c r="BI156" i="12"/>
  <c r="BI155" i="12"/>
  <c r="BI154" i="12"/>
  <c r="BI153" i="12"/>
  <c r="U9" i="32" s="1"/>
  <c r="BH159" i="12"/>
  <c r="BH153" i="12"/>
  <c r="T9" i="32" s="1"/>
  <c r="BH161" i="12"/>
  <c r="BH156" i="12"/>
  <c r="T12" i="32" s="1"/>
  <c r="BH154" i="12"/>
  <c r="T10" i="32" s="1"/>
  <c r="BH160" i="12"/>
  <c r="BH158" i="12"/>
  <c r="T14" i="32" s="1"/>
  <c r="BH157" i="12"/>
  <c r="T13" i="32" s="1"/>
  <c r="BH155" i="12"/>
  <c r="T11" i="32" s="1"/>
  <c r="X68" i="7"/>
  <c r="X68" i="12" s="1"/>
  <c r="AM139" i="22"/>
  <c r="AN10" i="22"/>
  <c r="AK139" i="22"/>
  <c r="AL139" i="22"/>
  <c r="AJ139" i="22"/>
  <c r="AO43" i="22"/>
  <c r="BS43" i="16" s="1"/>
  <c r="AK47" i="22"/>
  <c r="AJ47" i="22"/>
  <c r="AI47" i="22"/>
  <c r="AM47" i="22"/>
  <c r="AL47" i="22"/>
  <c r="AH142" i="22"/>
  <c r="CV140" i="7"/>
  <c r="CV155" i="7" s="1"/>
  <c r="CW146" i="7"/>
  <c r="CW161" i="7" s="1"/>
  <c r="CU146" i="7"/>
  <c r="CU161" i="7" s="1"/>
  <c r="CU138" i="7"/>
  <c r="CU153" i="7" s="1"/>
  <c r="CS143" i="7"/>
  <c r="CS158" i="7" s="1"/>
  <c r="CS145" i="7"/>
  <c r="CS160" i="7" s="1"/>
  <c r="CS141" i="7"/>
  <c r="CS156" i="7" s="1"/>
  <c r="CQ144" i="7"/>
  <c r="CQ159" i="7" s="1"/>
  <c r="CQ145" i="7"/>
  <c r="CQ160" i="7" s="1"/>
  <c r="CR146" i="7"/>
  <c r="CR161" i="7" s="1"/>
  <c r="CW143" i="7"/>
  <c r="CW158" i="7" s="1"/>
  <c r="CR144" i="7"/>
  <c r="CR159" i="7" s="1"/>
  <c r="CS140" i="7"/>
  <c r="CS155" i="7" s="1"/>
  <c r="CT142" i="7"/>
  <c r="CT157" i="7" s="1"/>
  <c r="CX146" i="7"/>
  <c r="CX161" i="7" s="1"/>
  <c r="CQ142" i="7"/>
  <c r="CQ157" i="7" s="1"/>
  <c r="CS137" i="7"/>
  <c r="CX138" i="7"/>
  <c r="CX153" i="7" s="1"/>
  <c r="CW138" i="7"/>
  <c r="CW153" i="7" s="1"/>
  <c r="CR138" i="7"/>
  <c r="CR153" i="7" s="1"/>
  <c r="CU137" i="7"/>
  <c r="CS138" i="7"/>
  <c r="CS153" i="7" s="1"/>
  <c r="CX145" i="7"/>
  <c r="CX160" i="7" s="1"/>
  <c r="CR142" i="7"/>
  <c r="CR157" i="7" s="1"/>
  <c r="CS144" i="7"/>
  <c r="CS159" i="7" s="1"/>
  <c r="CR139" i="7"/>
  <c r="CR154" i="7" s="1"/>
  <c r="CV144" i="7"/>
  <c r="CV159" i="7" s="1"/>
  <c r="CT140" i="7"/>
  <c r="CT155" i="7" s="1"/>
  <c r="CW137" i="7"/>
  <c r="CR141" i="7"/>
  <c r="CR156" i="7" s="1"/>
  <c r="CW144" i="7"/>
  <c r="CW159" i="7" s="1"/>
  <c r="CV145" i="7"/>
  <c r="CV160" i="7" s="1"/>
  <c r="CV143" i="7"/>
  <c r="CV158" i="7" s="1"/>
  <c r="CQ139" i="7"/>
  <c r="CQ154" i="7" s="1"/>
  <c r="CU144" i="7"/>
  <c r="CU159" i="7" s="1"/>
  <c r="CQ146" i="7"/>
  <c r="CQ161" i="7" s="1"/>
  <c r="CR143" i="7"/>
  <c r="CR158" i="7" s="1"/>
  <c r="CX139" i="7"/>
  <c r="CX154" i="7" s="1"/>
  <c r="CX141" i="7"/>
  <c r="CX156" i="7" s="1"/>
  <c r="CW140" i="7"/>
  <c r="CW155" i="7" s="1"/>
  <c r="CW145" i="7"/>
  <c r="CW160" i="7" s="1"/>
  <c r="CX143" i="7"/>
  <c r="CX158" i="7" s="1"/>
  <c r="CU145" i="7"/>
  <c r="CU160" i="7" s="1"/>
  <c r="CS139" i="7"/>
  <c r="CS154" i="7" s="1"/>
  <c r="CV139" i="7"/>
  <c r="CV154" i="7" s="1"/>
  <c r="CU142" i="7"/>
  <c r="CU157" i="7" s="1"/>
  <c r="CR140" i="7"/>
  <c r="CR155" i="7" s="1"/>
  <c r="CW141" i="7"/>
  <c r="CW156" i="7" s="1"/>
  <c r="CT143" i="7"/>
  <c r="CT158" i="7" s="1"/>
  <c r="CT145" i="7"/>
  <c r="CT160" i="7" s="1"/>
  <c r="CT144" i="7"/>
  <c r="CT159" i="7" s="1"/>
  <c r="CW139" i="7"/>
  <c r="CW154" i="7" s="1"/>
  <c r="CT137" i="7"/>
  <c r="CQ140" i="7"/>
  <c r="CQ155" i="7" s="1"/>
  <c r="CV146" i="7"/>
  <c r="CV161" i="7" s="1"/>
  <c r="CV142" i="7"/>
  <c r="CV157" i="7" s="1"/>
  <c r="CV138" i="7"/>
  <c r="CV153" i="7" s="1"/>
  <c r="CT146" i="7"/>
  <c r="CT161" i="7" s="1"/>
  <c r="CR145" i="7"/>
  <c r="CR160" i="7" s="1"/>
  <c r="CX137" i="7"/>
  <c r="CU139" i="7"/>
  <c r="CU154" i="7" s="1"/>
  <c r="CR137" i="7"/>
  <c r="CS142" i="7"/>
  <c r="CS157" i="7" s="1"/>
  <c r="CX142" i="7"/>
  <c r="CX157" i="7" s="1"/>
  <c r="CQ138" i="7"/>
  <c r="CQ153" i="7" s="1"/>
  <c r="CQ143" i="7"/>
  <c r="CQ158" i="7" s="1"/>
  <c r="CT141" i="7"/>
  <c r="CT156" i="7" s="1"/>
  <c r="CV141" i="7"/>
  <c r="CV156" i="7" s="1"/>
  <c r="CU140" i="7"/>
  <c r="CU155" i="7" s="1"/>
  <c r="CW142" i="7"/>
  <c r="CW157" i="7" s="1"/>
  <c r="CX140" i="7"/>
  <c r="CX155" i="7" s="1"/>
  <c r="CQ141" i="7"/>
  <c r="CQ156" i="7" s="1"/>
  <c r="CQ137" i="7"/>
  <c r="CX144" i="7"/>
  <c r="CX159" i="7" s="1"/>
  <c r="CV137" i="7"/>
  <c r="CT139" i="7"/>
  <c r="CT154" i="7" s="1"/>
  <c r="CS146" i="7"/>
  <c r="CS161" i="7" s="1"/>
  <c r="CU141" i="7"/>
  <c r="CU156" i="7" s="1"/>
  <c r="CT138" i="7"/>
  <c r="CT153" i="7" s="1"/>
  <c r="CU143" i="7"/>
  <c r="CU158" i="7" s="1"/>
  <c r="CV133" i="7"/>
  <c r="CX133" i="7"/>
  <c r="CW133" i="7"/>
  <c r="R70" i="17"/>
  <c r="AE69" i="17"/>
  <c r="AD69" i="17"/>
  <c r="AC69" i="17"/>
  <c r="AB69" i="17"/>
  <c r="AA69" i="17"/>
  <c r="Z69" i="17"/>
  <c r="V69" i="17"/>
  <c r="X69" i="3" s="1"/>
  <c r="U69" i="17"/>
  <c r="X69" i="7" s="1"/>
  <c r="X69" i="12" s="1"/>
  <c r="T69" i="17"/>
  <c r="S69" i="17"/>
  <c r="X69" i="15" s="1"/>
  <c r="X69" i="17"/>
  <c r="X69" i="14" s="1"/>
  <c r="W69" i="17"/>
  <c r="X69" i="19" s="1"/>
  <c r="CT133" i="7"/>
  <c r="CR133" i="7"/>
  <c r="CU133" i="7"/>
  <c r="CQ133" i="7"/>
  <c r="CS133" i="7"/>
  <c r="X68" i="16" l="1"/>
  <c r="X68" i="31"/>
  <c r="X68" i="27"/>
  <c r="X69" i="27"/>
  <c r="X69" i="16"/>
  <c r="X69" i="31"/>
  <c r="S144" i="32"/>
  <c r="U14" i="30"/>
  <c r="U14" i="32"/>
  <c r="U47" i="30"/>
  <c r="U47" i="32"/>
  <c r="T106" i="32"/>
  <c r="U10" i="30"/>
  <c r="U10" i="32"/>
  <c r="U41" i="30"/>
  <c r="U41" i="32"/>
  <c r="U11" i="30"/>
  <c r="U11" i="32"/>
  <c r="U42" i="30"/>
  <c r="U42" i="32"/>
  <c r="U12" i="30"/>
  <c r="U12" i="32"/>
  <c r="U44" i="30"/>
  <c r="U44" i="32"/>
  <c r="U13" i="30"/>
  <c r="U106" i="30" s="1"/>
  <c r="U13" i="32"/>
  <c r="U45" i="30"/>
  <c r="U45" i="32"/>
  <c r="T41" i="30"/>
  <c r="T41" i="32"/>
  <c r="BT49" i="16"/>
  <c r="BX45" i="26"/>
  <c r="T146" i="26"/>
  <c r="T161" i="26" s="1"/>
  <c r="BI51" i="16"/>
  <c r="BI51" i="27"/>
  <c r="K51" i="29"/>
  <c r="BG51" i="16"/>
  <c r="I51" i="29"/>
  <c r="BG51" i="27"/>
  <c r="BF51" i="16"/>
  <c r="BF51" i="27"/>
  <c r="H51" i="29"/>
  <c r="BE51" i="16"/>
  <c r="G51" i="29"/>
  <c r="BE51" i="27"/>
  <c r="BD51" i="16"/>
  <c r="F51" i="29"/>
  <c r="BD51" i="27"/>
  <c r="BB51" i="16"/>
  <c r="D51" i="29"/>
  <c r="BB51" i="27"/>
  <c r="BC51" i="16"/>
  <c r="E51" i="29"/>
  <c r="BC51" i="27"/>
  <c r="BH51" i="16"/>
  <c r="J51" i="29"/>
  <c r="BH51" i="27"/>
  <c r="R146" i="30"/>
  <c r="R161" i="30" s="1"/>
  <c r="V11" i="26"/>
  <c r="T11" i="30"/>
  <c r="V45" i="26"/>
  <c r="BY44" i="26" s="1"/>
  <c r="T45" i="30"/>
  <c r="U20" i="26"/>
  <c r="U145" i="26" s="1"/>
  <c r="U160" i="26" s="1"/>
  <c r="S20" i="30"/>
  <c r="S145" i="30" s="1"/>
  <c r="S160" i="30" s="1"/>
  <c r="S107" i="30"/>
  <c r="V13" i="26"/>
  <c r="V106" i="26" s="1"/>
  <c r="T13" i="30"/>
  <c r="W9" i="26"/>
  <c r="U9" i="30"/>
  <c r="V46" i="26"/>
  <c r="V107" i="26" s="1"/>
  <c r="T46" i="30"/>
  <c r="V10" i="26"/>
  <c r="T10" i="30"/>
  <c r="S121" i="26"/>
  <c r="S147" i="26" s="1"/>
  <c r="S162" i="26" s="1"/>
  <c r="Q121" i="30"/>
  <c r="Q147" i="30" s="1"/>
  <c r="Q162" i="30" s="1"/>
  <c r="U121" i="26"/>
  <c r="U147" i="26" s="1"/>
  <c r="U162" i="26" s="1"/>
  <c r="S121" i="30"/>
  <c r="S147" i="30" s="1"/>
  <c r="S162" i="30" s="1"/>
  <c r="V12" i="26"/>
  <c r="T12" i="30"/>
  <c r="T121" i="26"/>
  <c r="T147" i="26" s="1"/>
  <c r="T162" i="26" s="1"/>
  <c r="R121" i="30"/>
  <c r="R147" i="30" s="1"/>
  <c r="R162" i="30" s="1"/>
  <c r="U8" i="26"/>
  <c r="U144" i="26" s="1"/>
  <c r="U159" i="26" s="1"/>
  <c r="S8" i="30"/>
  <c r="S144" i="30" s="1"/>
  <c r="S159" i="30" s="1"/>
  <c r="S106" i="30"/>
  <c r="BU173" i="12"/>
  <c r="BW173" i="12" s="1"/>
  <c r="U46" i="30"/>
  <c r="V42" i="26"/>
  <c r="BY43" i="26" s="1"/>
  <c r="T42" i="30"/>
  <c r="R121" i="26"/>
  <c r="R147" i="26" s="1"/>
  <c r="R162" i="26" s="1"/>
  <c r="P121" i="30"/>
  <c r="P147" i="30" s="1"/>
  <c r="P162" i="30" s="1"/>
  <c r="V14" i="26"/>
  <c r="T14" i="30"/>
  <c r="V47" i="26"/>
  <c r="BY46" i="26" s="1"/>
  <c r="T47" i="30"/>
  <c r="V9" i="26"/>
  <c r="T9" i="30"/>
  <c r="V44" i="26"/>
  <c r="T44" i="30"/>
  <c r="Q121" i="26"/>
  <c r="Q147" i="26" s="1"/>
  <c r="Q162" i="26" s="1"/>
  <c r="O121" i="30"/>
  <c r="O147" i="30" s="1"/>
  <c r="O162" i="30" s="1"/>
  <c r="U43" i="26"/>
  <c r="U146" i="26" s="1"/>
  <c r="U161" i="26" s="1"/>
  <c r="S43" i="30"/>
  <c r="W44" i="26"/>
  <c r="BU171" i="12"/>
  <c r="W14" i="26"/>
  <c r="BU158" i="12"/>
  <c r="BY158" i="12" s="1"/>
  <c r="W13" i="26"/>
  <c r="W106" i="26" s="1"/>
  <c r="BU157" i="12"/>
  <c r="BY157" i="12" s="1"/>
  <c r="W47" i="26"/>
  <c r="BZ46" i="26" s="1"/>
  <c r="BU174" i="12"/>
  <c r="BY174" i="12" s="1"/>
  <c r="BU160" i="12"/>
  <c r="BY160" i="12" s="1"/>
  <c r="BU175" i="12"/>
  <c r="BY175" i="12" s="1"/>
  <c r="W12" i="26"/>
  <c r="BU156" i="12"/>
  <c r="BY156" i="12" s="1"/>
  <c r="W45" i="26"/>
  <c r="BZ44" i="26" s="1"/>
  <c r="BU172" i="12"/>
  <c r="BU159" i="12"/>
  <c r="BY159" i="12" s="1"/>
  <c r="BU153" i="12"/>
  <c r="BU161" i="12"/>
  <c r="BY161" i="12" s="1"/>
  <c r="BY176" i="12"/>
  <c r="BX176" i="12"/>
  <c r="BW176" i="12"/>
  <c r="BV176" i="12"/>
  <c r="W10" i="26"/>
  <c r="BU154" i="12"/>
  <c r="BY154" i="12" s="1"/>
  <c r="BI182" i="12"/>
  <c r="BU168" i="12"/>
  <c r="BY177" i="12"/>
  <c r="BX177" i="12"/>
  <c r="BW177" i="12"/>
  <c r="BV177" i="12"/>
  <c r="W11" i="26"/>
  <c r="BU155" i="12"/>
  <c r="BY155" i="12" s="1"/>
  <c r="W42" i="26"/>
  <c r="BZ43" i="26" s="1"/>
  <c r="BU169" i="12"/>
  <c r="W46" i="26"/>
  <c r="W107" i="26" s="1"/>
  <c r="BT43" i="16"/>
  <c r="BU43" i="16"/>
  <c r="BU49" i="16"/>
  <c r="W41" i="26"/>
  <c r="BZ42" i="26" s="1"/>
  <c r="BH182" i="12"/>
  <c r="T8" i="32" s="1"/>
  <c r="V41" i="26"/>
  <c r="BY42" i="26" s="1"/>
  <c r="BH183" i="12"/>
  <c r="T20" i="32" s="1"/>
  <c r="T145" i="32" s="1"/>
  <c r="BI163" i="12"/>
  <c r="BI185" i="12"/>
  <c r="BI184" i="12"/>
  <c r="BH184" i="12"/>
  <c r="T43" i="32" s="1"/>
  <c r="T146" i="32" s="1"/>
  <c r="BI183" i="12"/>
  <c r="BH185" i="12"/>
  <c r="T121" i="32" s="1"/>
  <c r="T147" i="32" s="1"/>
  <c r="AL142" i="22"/>
  <c r="AJ142" i="22"/>
  <c r="AM142" i="22"/>
  <c r="CR67" i="24"/>
  <c r="BC118" i="12"/>
  <c r="BC118" i="31" s="1"/>
  <c r="AY69" i="24"/>
  <c r="AZ69" i="24"/>
  <c r="CP69" i="24" s="1"/>
  <c r="G52" i="22" s="1"/>
  <c r="BA69" i="24"/>
  <c r="CU67" i="24"/>
  <c r="BF118" i="12"/>
  <c r="BF118" i="31" s="1"/>
  <c r="CW67" i="24"/>
  <c r="BH118" i="12"/>
  <c r="BH118" i="31" s="1"/>
  <c r="CF68" i="24"/>
  <c r="CE68" i="24"/>
  <c r="CJ68" i="24"/>
  <c r="CI68" i="24"/>
  <c r="CG68" i="24"/>
  <c r="CH68" i="24"/>
  <c r="CL68" i="24"/>
  <c r="CK68" i="24"/>
  <c r="AH51" i="22"/>
  <c r="CX67" i="24"/>
  <c r="H118" i="22"/>
  <c r="BI118" i="12"/>
  <c r="BI118" i="31" s="1"/>
  <c r="CT67" i="24"/>
  <c r="BE118" i="12"/>
  <c r="BE118" i="31" s="1"/>
  <c r="CV67" i="24"/>
  <c r="BG118" i="12"/>
  <c r="BG118" i="31" s="1"/>
  <c r="AK69" i="24"/>
  <c r="CD69" i="24" s="1"/>
  <c r="AL69" i="24"/>
  <c r="AM69" i="24"/>
  <c r="CQ67" i="24"/>
  <c r="BB118" i="12"/>
  <c r="BB118" i="31" s="1"/>
  <c r="CS67" i="24"/>
  <c r="BD118" i="12"/>
  <c r="BD118" i="31" s="1"/>
  <c r="X69" i="24"/>
  <c r="X137" i="15"/>
  <c r="X138" i="15"/>
  <c r="X139" i="15"/>
  <c r="X140" i="15"/>
  <c r="X141" i="15"/>
  <c r="CQ162" i="7"/>
  <c r="CT162" i="7"/>
  <c r="CS162" i="7"/>
  <c r="CR162" i="7"/>
  <c r="CU162" i="7"/>
  <c r="CW162" i="7"/>
  <c r="CX162" i="7"/>
  <c r="CV162" i="7"/>
  <c r="AN47" i="22"/>
  <c r="AK142" i="22"/>
  <c r="AO10" i="22"/>
  <c r="BS10" i="16" s="1"/>
  <c r="AN139" i="22"/>
  <c r="AO139" i="22" s="1"/>
  <c r="CX147" i="7"/>
  <c r="CR147" i="7"/>
  <c r="CV147" i="7"/>
  <c r="CQ147" i="7"/>
  <c r="CS147" i="7"/>
  <c r="CT147" i="7"/>
  <c r="CW147" i="7"/>
  <c r="CU147" i="7"/>
  <c r="R71" i="17"/>
  <c r="AA70" i="17"/>
  <c r="Z70" i="17"/>
  <c r="AE70" i="17"/>
  <c r="AD70" i="17"/>
  <c r="AC70" i="17"/>
  <c r="AB70" i="17"/>
  <c r="X70" i="17"/>
  <c r="X70" i="14" s="1"/>
  <c r="W70" i="17"/>
  <c r="X70" i="19" s="1"/>
  <c r="V70" i="17"/>
  <c r="X70" i="3" s="1"/>
  <c r="U70" i="17"/>
  <c r="X70" i="7" s="1"/>
  <c r="X70" i="12" s="1"/>
  <c r="T70" i="17"/>
  <c r="S70" i="17"/>
  <c r="X70" i="15" s="1"/>
  <c r="CT7" i="3"/>
  <c r="CT136" i="3" s="1"/>
  <c r="CW7" i="3"/>
  <c r="CU7" i="3"/>
  <c r="CV7" i="3"/>
  <c r="CX7" i="3"/>
  <c r="CQ7" i="3"/>
  <c r="CR7" i="3"/>
  <c r="CS7" i="3"/>
  <c r="X70" i="31" l="1"/>
  <c r="X70" i="27"/>
  <c r="X70" i="16"/>
  <c r="T144" i="32"/>
  <c r="U106" i="32"/>
  <c r="U8" i="30"/>
  <c r="U4" i="30" s="1"/>
  <c r="U8" i="32"/>
  <c r="U144" i="32" s="1"/>
  <c r="U121" i="30"/>
  <c r="U147" i="30" s="1"/>
  <c r="U162" i="30" s="1"/>
  <c r="U121" i="32"/>
  <c r="U147" i="32" s="1"/>
  <c r="U20" i="30"/>
  <c r="U145" i="30" s="1"/>
  <c r="U160" i="30" s="1"/>
  <c r="U20" i="32"/>
  <c r="U145" i="32" s="1"/>
  <c r="U43" i="30"/>
  <c r="U146" i="30" s="1"/>
  <c r="U161" i="30" s="1"/>
  <c r="U43" i="32"/>
  <c r="U146" i="32" s="1"/>
  <c r="BU50" i="16"/>
  <c r="BT50" i="16"/>
  <c r="BG118" i="16"/>
  <c r="BG118" i="27"/>
  <c r="I118" i="29"/>
  <c r="BH118" i="16"/>
  <c r="BH118" i="27"/>
  <c r="J118" i="29"/>
  <c r="BF118" i="16"/>
  <c r="H118" i="29"/>
  <c r="BF118" i="27"/>
  <c r="BD118" i="16"/>
  <c r="BD118" i="27"/>
  <c r="F118" i="29"/>
  <c r="BC118" i="16"/>
  <c r="E118" i="29"/>
  <c r="BC118" i="27"/>
  <c r="BB118" i="16"/>
  <c r="D118" i="29"/>
  <c r="BB118" i="27"/>
  <c r="BI118" i="16"/>
  <c r="K118" i="29"/>
  <c r="BI118" i="27"/>
  <c r="BE118" i="16"/>
  <c r="BE118" i="27"/>
  <c r="G118" i="29"/>
  <c r="BX40" i="26"/>
  <c r="BY173" i="12"/>
  <c r="CB173" i="12" s="1"/>
  <c r="BX173" i="12"/>
  <c r="BV173" i="12"/>
  <c r="S146" i="30"/>
  <c r="S161" i="30" s="1"/>
  <c r="V8" i="26"/>
  <c r="V144" i="26" s="1"/>
  <c r="V159" i="26" s="1"/>
  <c r="T8" i="30"/>
  <c r="T144" i="30" s="1"/>
  <c r="T159" i="30" s="1"/>
  <c r="T107" i="30"/>
  <c r="U107" i="30"/>
  <c r="T106" i="30"/>
  <c r="V20" i="26"/>
  <c r="V145" i="26" s="1"/>
  <c r="V160" i="26" s="1"/>
  <c r="T20" i="30"/>
  <c r="T145" i="30" s="1"/>
  <c r="T160" i="30" s="1"/>
  <c r="BY45" i="26"/>
  <c r="V121" i="26"/>
  <c r="V147" i="26" s="1"/>
  <c r="V162" i="26" s="1"/>
  <c r="T121" i="30"/>
  <c r="T147" i="30" s="1"/>
  <c r="T162" i="30" s="1"/>
  <c r="V43" i="26"/>
  <c r="V146" i="26" s="1"/>
  <c r="V161" i="26" s="1"/>
  <c r="T43" i="30"/>
  <c r="BU182" i="12"/>
  <c r="BW182" i="12" s="1"/>
  <c r="W8" i="26"/>
  <c r="CB157" i="12"/>
  <c r="BZ157" i="12"/>
  <c r="CA157" i="12"/>
  <c r="W121" i="26"/>
  <c r="W147" i="26" s="1"/>
  <c r="W162" i="26" s="1"/>
  <c r="BU185" i="12"/>
  <c r="BY168" i="12"/>
  <c r="BX168" i="12"/>
  <c r="BW168" i="12"/>
  <c r="BV168" i="12"/>
  <c r="CB176" i="12"/>
  <c r="CA176" i="12"/>
  <c r="BZ176" i="12"/>
  <c r="BY172" i="12"/>
  <c r="BX172" i="12"/>
  <c r="BW172" i="12"/>
  <c r="BV172" i="12"/>
  <c r="BV160" i="12"/>
  <c r="BX160" i="12"/>
  <c r="BW160" i="12"/>
  <c r="BX155" i="12"/>
  <c r="BW155" i="12"/>
  <c r="BV155" i="12"/>
  <c r="BX161" i="12"/>
  <c r="BW161" i="12"/>
  <c r="BV161" i="12"/>
  <c r="BX174" i="12"/>
  <c r="BW174" i="12"/>
  <c r="BV174" i="12"/>
  <c r="CB159" i="12"/>
  <c r="CA159" i="12"/>
  <c r="BZ159" i="12"/>
  <c r="W20" i="26"/>
  <c r="W145" i="26" s="1"/>
  <c r="W160" i="26" s="1"/>
  <c r="BU183" i="12"/>
  <c r="BZ155" i="12"/>
  <c r="CB155" i="12"/>
  <c r="CA155" i="12"/>
  <c r="CB154" i="12"/>
  <c r="BZ154" i="12"/>
  <c r="CA154" i="12"/>
  <c r="CB161" i="12"/>
  <c r="CA161" i="12"/>
  <c r="BZ161" i="12"/>
  <c r="CB156" i="12"/>
  <c r="CA156" i="12"/>
  <c r="BZ156" i="12"/>
  <c r="CB174" i="12"/>
  <c r="CA174" i="12"/>
  <c r="BZ174" i="12"/>
  <c r="BX154" i="12"/>
  <c r="BV154" i="12"/>
  <c r="BW154" i="12"/>
  <c r="BX153" i="12"/>
  <c r="BW153" i="12"/>
  <c r="BV153" i="12"/>
  <c r="BX156" i="12"/>
  <c r="BW156" i="12"/>
  <c r="BV156" i="12"/>
  <c r="CB158" i="12"/>
  <c r="CA158" i="12"/>
  <c r="BZ158" i="12"/>
  <c r="BY169" i="12"/>
  <c r="BW169" i="12"/>
  <c r="BV169" i="12"/>
  <c r="BX169" i="12"/>
  <c r="CA177" i="12"/>
  <c r="BZ177" i="12"/>
  <c r="CB177" i="12"/>
  <c r="BV159" i="12"/>
  <c r="BX159" i="12"/>
  <c r="BW159" i="12"/>
  <c r="CA160" i="12"/>
  <c r="BZ160" i="12"/>
  <c r="CB160" i="12"/>
  <c r="W43" i="26"/>
  <c r="BZ40" i="26" s="1"/>
  <c r="BU184" i="12"/>
  <c r="BY153" i="12"/>
  <c r="BX158" i="12"/>
  <c r="BW158" i="12"/>
  <c r="BV158" i="12"/>
  <c r="BX175" i="12"/>
  <c r="BV175" i="12"/>
  <c r="BW175" i="12"/>
  <c r="BW157" i="12"/>
  <c r="BV157" i="12"/>
  <c r="BX157" i="12"/>
  <c r="CB175" i="12"/>
  <c r="CA175" i="12"/>
  <c r="BZ175" i="12"/>
  <c r="BY171" i="12"/>
  <c r="BX171" i="12"/>
  <c r="BW171" i="12"/>
  <c r="BV171" i="12"/>
  <c r="BZ45" i="26"/>
  <c r="BT10" i="16"/>
  <c r="BT136" i="16" s="1"/>
  <c r="BU10" i="16"/>
  <c r="BU136" i="16" s="1"/>
  <c r="BS136" i="16"/>
  <c r="BI180" i="12"/>
  <c r="AM52" i="12"/>
  <c r="AL52" i="12" a="1"/>
  <c r="AL52" i="12" s="1"/>
  <c r="AK52" i="12"/>
  <c r="AY70" i="24"/>
  <c r="AZ70" i="24"/>
  <c r="CP70" i="24" s="1"/>
  <c r="BA70" i="24"/>
  <c r="AK70" i="24"/>
  <c r="CD70" i="24" s="1"/>
  <c r="AL70" i="24"/>
  <c r="AM70" i="24"/>
  <c r="CE69" i="24"/>
  <c r="CI69" i="24"/>
  <c r="CH69" i="24"/>
  <c r="CF69" i="24"/>
  <c r="CG69" i="24"/>
  <c r="CJ69" i="24"/>
  <c r="CK69" i="24"/>
  <c r="CL69" i="24"/>
  <c r="CT68" i="24"/>
  <c r="CS68" i="24"/>
  <c r="AI51" i="22"/>
  <c r="AM51" i="22"/>
  <c r="AL51" i="22"/>
  <c r="AK51" i="22"/>
  <c r="AJ51" i="22"/>
  <c r="CU68" i="24"/>
  <c r="CV68" i="24"/>
  <c r="CQ68" i="24"/>
  <c r="CR68" i="24"/>
  <c r="CW68" i="24"/>
  <c r="CX68" i="24"/>
  <c r="X70" i="24"/>
  <c r="AO47" i="22"/>
  <c r="BS47" i="16" s="1"/>
  <c r="AN142" i="22"/>
  <c r="AO142" i="22" s="1"/>
  <c r="BR7" i="12"/>
  <c r="CX136" i="3"/>
  <c r="BO7" i="12"/>
  <c r="BO7" i="27" s="1"/>
  <c r="P7" i="29" s="1"/>
  <c r="P136" i="29" s="1"/>
  <c r="CU136" i="3"/>
  <c r="BQ7" i="12"/>
  <c r="BQ7" i="27" s="1"/>
  <c r="R7" i="29" s="1"/>
  <c r="R136" i="29" s="1"/>
  <c r="CW136" i="3"/>
  <c r="BK7" i="12"/>
  <c r="CQ136" i="3"/>
  <c r="BP7" i="12"/>
  <c r="BP7" i="27" s="1"/>
  <c r="Q7" i="29" s="1"/>
  <c r="Q136" i="29" s="1"/>
  <c r="CV136" i="3"/>
  <c r="BM7" i="12"/>
  <c r="CS136" i="3"/>
  <c r="BL7" i="12"/>
  <c r="CR136" i="3"/>
  <c r="R72" i="17"/>
  <c r="AC71" i="17"/>
  <c r="AB71" i="17"/>
  <c r="AA71" i="17"/>
  <c r="Z71" i="17"/>
  <c r="AE71" i="17"/>
  <c r="AD71" i="17"/>
  <c r="X71" i="17"/>
  <c r="X71" i="14" s="1"/>
  <c r="W71" i="17"/>
  <c r="X71" i="19" s="1"/>
  <c r="V71" i="17"/>
  <c r="X71" i="3" s="1"/>
  <c r="U71" i="17"/>
  <c r="T71" i="17"/>
  <c r="S71" i="17"/>
  <c r="X71" i="15" s="1"/>
  <c r="BN7" i="12"/>
  <c r="U144" i="30" l="1"/>
  <c r="U159" i="30" s="1"/>
  <c r="BZ173" i="12"/>
  <c r="BY40" i="26"/>
  <c r="CA173" i="12"/>
  <c r="BY182" i="12"/>
  <c r="BZ182" i="12" s="1"/>
  <c r="T146" i="30"/>
  <c r="T161" i="30" s="1"/>
  <c r="BV182" i="12"/>
  <c r="BX182" i="12"/>
  <c r="CB153" i="12"/>
  <c r="BZ153" i="12"/>
  <c r="CA153" i="12"/>
  <c r="W146" i="26"/>
  <c r="W161" i="26" s="1"/>
  <c r="CB168" i="12"/>
  <c r="CA168" i="12"/>
  <c r="BZ168" i="12"/>
  <c r="BY183" i="12"/>
  <c r="BX183" i="12"/>
  <c r="BV183" i="12"/>
  <c r="BW183" i="12"/>
  <c r="BZ172" i="12"/>
  <c r="CB172" i="12"/>
  <c r="CA172" i="12"/>
  <c r="BX185" i="12"/>
  <c r="BW185" i="12"/>
  <c r="BV185" i="12"/>
  <c r="CA169" i="12"/>
  <c r="BZ169" i="12"/>
  <c r="CB169" i="12"/>
  <c r="BY185" i="12"/>
  <c r="BY184" i="12"/>
  <c r="BX184" i="12"/>
  <c r="BW184" i="12"/>
  <c r="BV184" i="12"/>
  <c r="CA171" i="12"/>
  <c r="BZ171" i="12"/>
  <c r="CB171" i="12"/>
  <c r="BT47" i="16"/>
  <c r="BT139" i="16" s="1"/>
  <c r="BU47" i="16"/>
  <c r="BU139" i="16" s="1"/>
  <c r="BS139" i="16"/>
  <c r="BN7" i="16"/>
  <c r="BN136" i="16" s="1"/>
  <c r="BN7" i="27"/>
  <c r="BM7" i="16"/>
  <c r="BM136" i="16" s="1"/>
  <c r="BM7" i="27"/>
  <c r="N7" i="29" s="1"/>
  <c r="N136" i="29" s="1"/>
  <c r="BP136" i="27"/>
  <c r="BR7" i="16"/>
  <c r="BR136" i="16" s="1"/>
  <c r="BR7" i="27"/>
  <c r="S7" i="29" s="1"/>
  <c r="S136" i="29" s="1"/>
  <c r="BO136" i="27"/>
  <c r="BK7" i="16"/>
  <c r="BK136" i="16" s="1"/>
  <c r="BK7" i="27"/>
  <c r="W4" i="26"/>
  <c r="W144" i="26"/>
  <c r="W159" i="26" s="1"/>
  <c r="BL7" i="16"/>
  <c r="BL136" i="16" s="1"/>
  <c r="BL7" i="27"/>
  <c r="M7" i="29" s="1"/>
  <c r="M136" i="29" s="1"/>
  <c r="BQ136" i="27"/>
  <c r="CU69" i="24"/>
  <c r="BF52" i="12"/>
  <c r="BF52" i="31" s="1"/>
  <c r="CQ69" i="24"/>
  <c r="BB52" i="12"/>
  <c r="BB52" i="31" s="1"/>
  <c r="AY71" i="24"/>
  <c r="AZ71" i="24"/>
  <c r="CP71" i="24" s="1"/>
  <c r="BA71" i="24"/>
  <c r="CX69" i="24"/>
  <c r="H52" i="22"/>
  <c r="BI52" i="12"/>
  <c r="BI52" i="31" s="1"/>
  <c r="CW69" i="24"/>
  <c r="BH52" i="12"/>
  <c r="BH52" i="31" s="1"/>
  <c r="CV69" i="24"/>
  <c r="BG52" i="12"/>
  <c r="BG52" i="31" s="1"/>
  <c r="CE70" i="24"/>
  <c r="CH70" i="24"/>
  <c r="CJ70" i="24"/>
  <c r="CI70" i="24"/>
  <c r="CF70" i="24"/>
  <c r="CK70" i="24"/>
  <c r="CG70" i="24"/>
  <c r="CL70" i="24"/>
  <c r="AK71" i="24"/>
  <c r="CD71" i="24" s="1"/>
  <c r="AL71" i="24"/>
  <c r="AM71" i="24"/>
  <c r="CS69" i="24"/>
  <c r="BD52" i="12"/>
  <c r="BD52" i="31" s="1"/>
  <c r="AN51" i="22"/>
  <c r="CR69" i="24"/>
  <c r="BC52" i="12"/>
  <c r="BC52" i="31" s="1"/>
  <c r="CT69" i="24"/>
  <c r="BE52" i="12"/>
  <c r="BE52" i="31" s="1"/>
  <c r="X71" i="24"/>
  <c r="X71" i="7"/>
  <c r="X71" i="12" s="1"/>
  <c r="BQ7" i="16"/>
  <c r="BQ136" i="16" s="1"/>
  <c r="BO7" i="16"/>
  <c r="BP7" i="16"/>
  <c r="BP136" i="16" s="1"/>
  <c r="BP136" i="12"/>
  <c r="BP181" i="12" s="1"/>
  <c r="BQ136" i="12"/>
  <c r="BQ181" i="12" s="1"/>
  <c r="BO136" i="12"/>
  <c r="BO181" i="12" s="1"/>
  <c r="BK136" i="12"/>
  <c r="BK181" i="12" s="1"/>
  <c r="BL136" i="12"/>
  <c r="BL181" i="12" s="1"/>
  <c r="BM136" i="12"/>
  <c r="BM181" i="12" s="1"/>
  <c r="BR136" i="12"/>
  <c r="BR181" i="12" s="1"/>
  <c r="BN136" i="12"/>
  <c r="BN181" i="12" s="1"/>
  <c r="R73" i="17"/>
  <c r="AE72" i="17"/>
  <c r="AD72" i="17"/>
  <c r="AC72" i="17"/>
  <c r="AB72" i="17"/>
  <c r="AA72" i="17"/>
  <c r="Z72" i="17"/>
  <c r="T72" i="17"/>
  <c r="S72" i="17"/>
  <c r="X72" i="15" s="1"/>
  <c r="X72" i="17"/>
  <c r="X72" i="14" s="1"/>
  <c r="W72" i="17"/>
  <c r="V72" i="17"/>
  <c r="X72" i="3" s="1"/>
  <c r="U72" i="17"/>
  <c r="BJ7" i="12"/>
  <c r="CR43" i="3"/>
  <c r="CS62" i="3"/>
  <c r="CW65" i="3"/>
  <c r="CW115" i="3"/>
  <c r="CV51" i="3"/>
  <c r="CV37" i="3"/>
  <c r="BP37" i="12" s="1"/>
  <c r="CV59" i="3"/>
  <c r="CR122" i="3"/>
  <c r="CX8" i="3"/>
  <c r="CU96" i="3"/>
  <c r="CX18" i="3"/>
  <c r="BR18" i="12" s="1"/>
  <c r="CT76" i="3"/>
  <c r="CT30" i="3"/>
  <c r="BN30" i="12" s="1"/>
  <c r="CR20" i="3"/>
  <c r="BL20" i="12" s="1"/>
  <c r="CW14" i="3"/>
  <c r="BQ14" i="12" s="1"/>
  <c r="CR126" i="3"/>
  <c r="CW61" i="3"/>
  <c r="CQ70" i="3"/>
  <c r="CS86" i="3"/>
  <c r="CV94" i="3"/>
  <c r="CW40" i="3"/>
  <c r="BQ40" i="12" s="1"/>
  <c r="CR24" i="3"/>
  <c r="BL24" i="12" s="1"/>
  <c r="CU14" i="3"/>
  <c r="BO14" i="12" s="1"/>
  <c r="CT83" i="3"/>
  <c r="CT116" i="3"/>
  <c r="CU76" i="3"/>
  <c r="CS14" i="3"/>
  <c r="BM14" i="12" s="1"/>
  <c r="CV122" i="3"/>
  <c r="CW71" i="3"/>
  <c r="CU54" i="3"/>
  <c r="CU97" i="3"/>
  <c r="CV55" i="3"/>
  <c r="CW109" i="3"/>
  <c r="CR71" i="3"/>
  <c r="CS109" i="3"/>
  <c r="CW13" i="3"/>
  <c r="BQ13" i="12" s="1"/>
  <c r="CQ72" i="3"/>
  <c r="CS57" i="3"/>
  <c r="CQ26" i="3"/>
  <c r="BK26" i="12" s="1"/>
  <c r="CW48" i="3"/>
  <c r="BQ48" i="12" s="1"/>
  <c r="CQ61" i="3"/>
  <c r="CW47" i="3"/>
  <c r="BQ47" i="12" s="1"/>
  <c r="CW79" i="3"/>
  <c r="CX61" i="3"/>
  <c r="CQ119" i="3"/>
  <c r="CT46" i="3"/>
  <c r="BN46" i="12" s="1"/>
  <c r="CX35" i="3"/>
  <c r="BR35" i="12" s="1"/>
  <c r="CR66" i="3"/>
  <c r="CU26" i="3"/>
  <c r="BO26" i="12" s="1"/>
  <c r="CQ77" i="3"/>
  <c r="CX99" i="3"/>
  <c r="CW130" i="3"/>
  <c r="CS74" i="3"/>
  <c r="CT38" i="3"/>
  <c r="BN38" i="12" s="1"/>
  <c r="CU43" i="3"/>
  <c r="CQ18" i="3"/>
  <c r="BK18" i="12" s="1"/>
  <c r="CS63" i="3"/>
  <c r="CT112" i="3"/>
  <c r="CQ41" i="3"/>
  <c r="BK41" i="12" s="1"/>
  <c r="CQ63" i="3"/>
  <c r="CR61" i="3"/>
  <c r="CQ80" i="3"/>
  <c r="CR10" i="3"/>
  <c r="BL10" i="12" s="1"/>
  <c r="CS15" i="3"/>
  <c r="BM15" i="12" s="1"/>
  <c r="CT37" i="3"/>
  <c r="BN37" i="12" s="1"/>
  <c r="CU42" i="3"/>
  <c r="BO42" i="12" s="1"/>
  <c r="CU49" i="3"/>
  <c r="BO49" i="12" s="1"/>
  <c r="CU23" i="3"/>
  <c r="BO23" i="12" s="1"/>
  <c r="CX37" i="3"/>
  <c r="BR37" i="12" s="1"/>
  <c r="CW35" i="3"/>
  <c r="BQ35" i="12" s="1"/>
  <c r="CW24" i="3"/>
  <c r="BQ24" i="12" s="1"/>
  <c r="CW59" i="3"/>
  <c r="CS107" i="3"/>
  <c r="CQ84" i="3"/>
  <c r="CR119" i="3"/>
  <c r="CQ71" i="3"/>
  <c r="CV108" i="3"/>
  <c r="CR103" i="3"/>
  <c r="CT52" i="3"/>
  <c r="BN52" i="12" s="1"/>
  <c r="CS41" i="3"/>
  <c r="BM41" i="12" s="1"/>
  <c r="CT9" i="3"/>
  <c r="BN9" i="12" s="1"/>
  <c r="CU44" i="3"/>
  <c r="BO44" i="12" s="1"/>
  <c r="CX22" i="3"/>
  <c r="BR22" i="12" s="1"/>
  <c r="CQ50" i="3"/>
  <c r="BK50" i="12" s="1"/>
  <c r="CQ91" i="3"/>
  <c r="CQ45" i="3"/>
  <c r="BK45" i="12" s="1"/>
  <c r="CX132" i="3"/>
  <c r="CS33" i="3"/>
  <c r="BM33" i="12" s="1"/>
  <c r="CQ127" i="3"/>
  <c r="CW76" i="3"/>
  <c r="CV38" i="3"/>
  <c r="BP38" i="12" s="1"/>
  <c r="CT68" i="3"/>
  <c r="CU28" i="3"/>
  <c r="BO28" i="12" s="1"/>
  <c r="CV19" i="3"/>
  <c r="BP19" i="12" s="1"/>
  <c r="CW18" i="3"/>
  <c r="BQ18" i="12" s="1"/>
  <c r="CQ62" i="3"/>
  <c r="CQ101" i="3"/>
  <c r="CT26" i="3"/>
  <c r="BN26" i="12" s="1"/>
  <c r="CQ130" i="3"/>
  <c r="CR22" i="3"/>
  <c r="BL22" i="12" s="1"/>
  <c r="CS8" i="3"/>
  <c r="CX43" i="3"/>
  <c r="CQ120" i="3"/>
  <c r="CQ122" i="3"/>
  <c r="CQ73" i="3"/>
  <c r="CQ65" i="3"/>
  <c r="CQ126" i="3"/>
  <c r="CT20" i="3"/>
  <c r="BN20" i="12" s="1"/>
  <c r="CQ111" i="3"/>
  <c r="CR58" i="3"/>
  <c r="CQ94" i="3"/>
  <c r="CW9" i="3"/>
  <c r="BQ9" i="12" s="1"/>
  <c r="CQ78" i="3"/>
  <c r="CR96" i="3"/>
  <c r="CQ33" i="3"/>
  <c r="BK33" i="12" s="1"/>
  <c r="CQ34" i="3"/>
  <c r="CV72" i="3"/>
  <c r="CW64" i="3"/>
  <c r="CR26" i="3"/>
  <c r="BL26" i="12" s="1"/>
  <c r="CR51" i="3"/>
  <c r="CW101" i="3"/>
  <c r="CT47" i="3"/>
  <c r="BN47" i="12" s="1"/>
  <c r="CQ90" i="3"/>
  <c r="CQ79" i="3"/>
  <c r="CX23" i="3"/>
  <c r="BR23" i="12" s="1"/>
  <c r="CT55" i="3"/>
  <c r="CQ51" i="3"/>
  <c r="CT57" i="3"/>
  <c r="CX57" i="3"/>
  <c r="CQ123" i="3"/>
  <c r="CR118" i="3"/>
  <c r="CS70" i="3"/>
  <c r="CX20" i="3"/>
  <c r="BR20" i="12" s="1"/>
  <c r="CV14" i="3"/>
  <c r="BP14" i="12" s="1"/>
  <c r="CU89" i="3"/>
  <c r="CS71" i="3"/>
  <c r="CS24" i="3"/>
  <c r="BM24" i="12" s="1"/>
  <c r="CS75" i="3"/>
  <c r="CQ125" i="3"/>
  <c r="CR73" i="3"/>
  <c r="CS38" i="3"/>
  <c r="BM38" i="12" s="1"/>
  <c r="CU13" i="3"/>
  <c r="BO13" i="12" s="1"/>
  <c r="CU8" i="3"/>
  <c r="CR123" i="3"/>
  <c r="CU22" i="3"/>
  <c r="BO22" i="12" s="1"/>
  <c r="CU79" i="3"/>
  <c r="CR65" i="3"/>
  <c r="CW44" i="3"/>
  <c r="BQ44" i="12" s="1"/>
  <c r="CT27" i="3"/>
  <c r="CW83" i="3"/>
  <c r="CR35" i="3"/>
  <c r="BL35" i="12" s="1"/>
  <c r="CV46" i="3"/>
  <c r="BP46" i="12" s="1"/>
  <c r="CQ86" i="3"/>
  <c r="CX45" i="3"/>
  <c r="BR45" i="12" s="1"/>
  <c r="CU71" i="3"/>
  <c r="CR116" i="3"/>
  <c r="CX130" i="3"/>
  <c r="CW23" i="3"/>
  <c r="BQ23" i="12" s="1"/>
  <c r="CQ128" i="3"/>
  <c r="CX83" i="3"/>
  <c r="CR75" i="3"/>
  <c r="CQ109" i="3"/>
  <c r="CV52" i="3"/>
  <c r="BP52" i="12" s="1"/>
  <c r="CQ87" i="3"/>
  <c r="CR39" i="3"/>
  <c r="BL39" i="12" s="1"/>
  <c r="CU39" i="3"/>
  <c r="BO39" i="12" s="1"/>
  <c r="CS21" i="3"/>
  <c r="BM21" i="12" s="1"/>
  <c r="CV9" i="3"/>
  <c r="BP9" i="12" s="1"/>
  <c r="CR101" i="3"/>
  <c r="CW58" i="3"/>
  <c r="CS114" i="3"/>
  <c r="CQ69" i="3"/>
  <c r="CQ105" i="3"/>
  <c r="CQ29" i="3"/>
  <c r="BK29" i="12" s="1"/>
  <c r="CT86" i="3"/>
  <c r="CR21" i="3"/>
  <c r="BL21" i="12" s="1"/>
  <c r="CT127" i="3"/>
  <c r="CU33" i="3"/>
  <c r="BO33" i="12" s="1"/>
  <c r="CR77" i="3"/>
  <c r="CT82" i="3"/>
  <c r="CX34" i="3"/>
  <c r="CV106" i="3"/>
  <c r="CQ48" i="3"/>
  <c r="BK48" i="12" s="1"/>
  <c r="CX84" i="3"/>
  <c r="CR27" i="3"/>
  <c r="CW60" i="3"/>
  <c r="CV87" i="3"/>
  <c r="CW120" i="3"/>
  <c r="CT40" i="3"/>
  <c r="BN40" i="12" s="1"/>
  <c r="CT43" i="3"/>
  <c r="CQ117" i="3"/>
  <c r="CW70" i="3"/>
  <c r="CT18" i="3"/>
  <c r="BN18" i="12" s="1"/>
  <c r="CV15" i="3"/>
  <c r="BP15" i="12" s="1"/>
  <c r="CV114" i="3"/>
  <c r="CU36" i="3"/>
  <c r="BO36" i="12" s="1"/>
  <c r="CS12" i="3"/>
  <c r="BM12" i="12" s="1"/>
  <c r="CV77" i="3"/>
  <c r="CW72" i="3"/>
  <c r="CT111" i="3"/>
  <c r="CX49" i="3"/>
  <c r="BR49" i="12" s="1"/>
  <c r="CS58" i="3"/>
  <c r="CU83" i="3"/>
  <c r="CT24" i="3"/>
  <c r="BN24" i="12" s="1"/>
  <c r="CR9" i="3"/>
  <c r="BL9" i="12" s="1"/>
  <c r="CT14" i="3"/>
  <c r="BN14" i="12" s="1"/>
  <c r="CX125" i="3"/>
  <c r="CQ75" i="3"/>
  <c r="CQ14" i="3"/>
  <c r="BK14" i="12" s="1"/>
  <c r="CU19" i="3"/>
  <c r="BO19" i="12" s="1"/>
  <c r="CQ129" i="3"/>
  <c r="CV118" i="3"/>
  <c r="CQ96" i="3"/>
  <c r="CQ103" i="3"/>
  <c r="CV18" i="3"/>
  <c r="BP18" i="12" s="1"/>
  <c r="CR88" i="3"/>
  <c r="CX54" i="3"/>
  <c r="CQ19" i="3"/>
  <c r="BK19" i="12" s="1"/>
  <c r="CS49" i="3"/>
  <c r="BM49" i="12" s="1"/>
  <c r="CQ12" i="3"/>
  <c r="BK12" i="12" s="1"/>
  <c r="CV25" i="3"/>
  <c r="BP25" i="12" s="1"/>
  <c r="CQ10" i="3"/>
  <c r="BK10" i="12" s="1"/>
  <c r="CW31" i="3"/>
  <c r="BQ31" i="12" s="1"/>
  <c r="CR104" i="3"/>
  <c r="CW54" i="3"/>
  <c r="CQ53" i="3"/>
  <c r="CT15" i="3"/>
  <c r="BN15" i="12" s="1"/>
  <c r="CV116" i="3"/>
  <c r="CR121" i="3"/>
  <c r="CU119" i="3"/>
  <c r="CX124" i="3"/>
  <c r="CS113" i="3"/>
  <c r="CS47" i="3"/>
  <c r="BM47" i="12" s="1"/>
  <c r="CQ35" i="3"/>
  <c r="BK35" i="12" s="1"/>
  <c r="CQ97" i="3"/>
  <c r="CT13" i="3"/>
  <c r="BN13" i="12" s="1"/>
  <c r="CQ83" i="3"/>
  <c r="CQ95" i="3"/>
  <c r="CU47" i="3"/>
  <c r="BO47" i="12" s="1"/>
  <c r="CQ115" i="3"/>
  <c r="CX117" i="3"/>
  <c r="CU40" i="3"/>
  <c r="BO40" i="12" s="1"/>
  <c r="CQ82" i="3"/>
  <c r="CT51" i="3"/>
  <c r="CR28" i="3"/>
  <c r="BL28" i="12" s="1"/>
  <c r="CV98" i="3"/>
  <c r="CU104" i="3"/>
  <c r="CV53" i="3"/>
  <c r="CW20" i="3"/>
  <c r="BQ20" i="12" s="1"/>
  <c r="CQ37" i="3"/>
  <c r="BK37" i="12" s="1"/>
  <c r="CR34" i="3"/>
  <c r="CQ121" i="3"/>
  <c r="CR46" i="3"/>
  <c r="BL46" i="12" s="1"/>
  <c r="CW78" i="3"/>
  <c r="CQ40" i="3"/>
  <c r="BK40" i="12" s="1"/>
  <c r="CQ11" i="3"/>
  <c r="BK11" i="12" s="1"/>
  <c r="CV36" i="3"/>
  <c r="BP36" i="12" s="1"/>
  <c r="CR89" i="3"/>
  <c r="CX69" i="3"/>
  <c r="CR40" i="3"/>
  <c r="BL40" i="12" s="1"/>
  <c r="CQ24" i="3"/>
  <c r="BK24" i="12" s="1"/>
  <c r="CS94" i="3"/>
  <c r="CQ20" i="3"/>
  <c r="BK20" i="12" s="1"/>
  <c r="CQ102" i="3"/>
  <c r="CT60" i="3"/>
  <c r="CS92" i="3"/>
  <c r="CQ13" i="3"/>
  <c r="BK13" i="12" s="1"/>
  <c r="CS84" i="3"/>
  <c r="CT23" i="3"/>
  <c r="BN23" i="12" s="1"/>
  <c r="CX12" i="3"/>
  <c r="BR12" i="12" s="1"/>
  <c r="CR128" i="3"/>
  <c r="CU60" i="3"/>
  <c r="CQ23" i="3"/>
  <c r="BK23" i="12" s="1"/>
  <c r="CW37" i="3"/>
  <c r="BQ37" i="12" s="1"/>
  <c r="CQ8" i="3"/>
  <c r="CS10" i="3"/>
  <c r="BM10" i="12" s="1"/>
  <c r="CU126" i="3"/>
  <c r="CR125" i="3"/>
  <c r="CQ107" i="3"/>
  <c r="CR42" i="3"/>
  <c r="BL42" i="12" s="1"/>
  <c r="CX13" i="3"/>
  <c r="BR13" i="12" s="1"/>
  <c r="CR25" i="3"/>
  <c r="BL25" i="12" s="1"/>
  <c r="CQ52" i="3"/>
  <c r="BK52" i="12" s="1"/>
  <c r="CQ27" i="3"/>
  <c r="CS25" i="3"/>
  <c r="BM25" i="12" s="1"/>
  <c r="CS42" i="3"/>
  <c r="BM42" i="12" s="1"/>
  <c r="CV49" i="3"/>
  <c r="BP49" i="12" s="1"/>
  <c r="CR29" i="3"/>
  <c r="BL29" i="12" s="1"/>
  <c r="CW22" i="3"/>
  <c r="BQ22" i="12" s="1"/>
  <c r="CQ47" i="3"/>
  <c r="BK47" i="12" s="1"/>
  <c r="CQ100" i="3"/>
  <c r="CS11" i="3"/>
  <c r="BM11" i="12" s="1"/>
  <c r="CR45" i="3"/>
  <c r="BL45" i="12" s="1"/>
  <c r="CX77" i="3"/>
  <c r="CQ110" i="3"/>
  <c r="CT58" i="3"/>
  <c r="CW50" i="3"/>
  <c r="BQ50" i="12" s="1"/>
  <c r="CR33" i="3"/>
  <c r="BL33" i="12" s="1"/>
  <c r="CW126" i="3"/>
  <c r="CS66" i="3"/>
  <c r="CS68" i="3"/>
  <c r="CX47" i="3"/>
  <c r="BR47" i="12" s="1"/>
  <c r="CR84" i="3"/>
  <c r="CW15" i="3"/>
  <c r="BQ15" i="12" s="1"/>
  <c r="CX31" i="3"/>
  <c r="BR31" i="12" s="1"/>
  <c r="CU81" i="3"/>
  <c r="CS72" i="3"/>
  <c r="CV117" i="3"/>
  <c r="CS20" i="3"/>
  <c r="BM20" i="12" s="1"/>
  <c r="CV96" i="3"/>
  <c r="CQ54" i="3"/>
  <c r="CQ76" i="3"/>
  <c r="CQ104" i="3"/>
  <c r="CQ106" i="3"/>
  <c r="CR95" i="3"/>
  <c r="CS43" i="3"/>
  <c r="CW51" i="3"/>
  <c r="CU110" i="3"/>
  <c r="CS88" i="3"/>
  <c r="CT53" i="3"/>
  <c r="CT80" i="3"/>
  <c r="CR115" i="3"/>
  <c r="CR12" i="3"/>
  <c r="BL12" i="12" s="1"/>
  <c r="CQ74" i="3"/>
  <c r="CT33" i="3"/>
  <c r="BN33" i="12" s="1"/>
  <c r="CV81" i="3"/>
  <c r="CS36" i="3"/>
  <c r="BM36" i="12" s="1"/>
  <c r="CQ64" i="3"/>
  <c r="CR32" i="3"/>
  <c r="BL32" i="12" s="1"/>
  <c r="CV115" i="3"/>
  <c r="CX64" i="3"/>
  <c r="CV100" i="3"/>
  <c r="CW66" i="3"/>
  <c r="CS44" i="3"/>
  <c r="BM44" i="12" s="1"/>
  <c r="CU102" i="3"/>
  <c r="CT78" i="3"/>
  <c r="CV58" i="3"/>
  <c r="CQ85" i="3"/>
  <c r="CR41" i="3"/>
  <c r="BL41" i="12" s="1"/>
  <c r="CU38" i="3"/>
  <c r="BO38" i="12" s="1"/>
  <c r="CV89" i="3"/>
  <c r="CQ9" i="3"/>
  <c r="BK9" i="12" s="1"/>
  <c r="CX122" i="3"/>
  <c r="CX52" i="3"/>
  <c r="BR52" i="12" s="1"/>
  <c r="CU86" i="3"/>
  <c r="CR120" i="3"/>
  <c r="CU75" i="3"/>
  <c r="CV29" i="3"/>
  <c r="BP29" i="12" s="1"/>
  <c r="CT39" i="3"/>
  <c r="BN39" i="12" s="1"/>
  <c r="CQ30" i="3"/>
  <c r="BK30" i="12" s="1"/>
  <c r="CW73" i="3"/>
  <c r="CS102" i="3"/>
  <c r="CX17" i="3"/>
  <c r="BR17" i="12" s="1"/>
  <c r="CV74" i="3"/>
  <c r="CX50" i="3"/>
  <c r="BR50" i="12" s="1"/>
  <c r="CU45" i="3"/>
  <c r="BO45" i="12" s="1"/>
  <c r="CX36" i="3"/>
  <c r="BR36" i="12" s="1"/>
  <c r="CV20" i="3"/>
  <c r="BP20" i="12" s="1"/>
  <c r="CR36" i="3"/>
  <c r="BL36" i="12" s="1"/>
  <c r="CU88" i="3"/>
  <c r="CV110" i="3"/>
  <c r="CV99" i="3"/>
  <c r="CV78" i="3"/>
  <c r="CR19" i="3"/>
  <c r="BL19" i="12" s="1"/>
  <c r="CW55" i="3"/>
  <c r="CU129" i="3"/>
  <c r="CS55" i="3"/>
  <c r="CS87" i="3"/>
  <c r="CR37" i="3"/>
  <c r="BL37" i="12" s="1"/>
  <c r="CQ22" i="3"/>
  <c r="BK22" i="12" s="1"/>
  <c r="CU101" i="3"/>
  <c r="CV103" i="3"/>
  <c r="CX131" i="3"/>
  <c r="CR100" i="3"/>
  <c r="CU123" i="3"/>
  <c r="CT22" i="3"/>
  <c r="BN22" i="12" s="1"/>
  <c r="CX115" i="3"/>
  <c r="CQ118" i="3"/>
  <c r="CW74" i="3"/>
  <c r="CV75" i="3"/>
  <c r="CU25" i="3"/>
  <c r="BO25" i="12" s="1"/>
  <c r="CU85" i="3"/>
  <c r="CU10" i="3"/>
  <c r="BO10" i="12" s="1"/>
  <c r="CR93" i="3"/>
  <c r="CV56" i="3"/>
  <c r="CR87" i="3"/>
  <c r="CX19" i="3"/>
  <c r="BR19" i="12" s="1"/>
  <c r="CQ67" i="3"/>
  <c r="CV41" i="3"/>
  <c r="BP41" i="12" s="1"/>
  <c r="CX89" i="3"/>
  <c r="CT28" i="3"/>
  <c r="BN28" i="12" s="1"/>
  <c r="CV132" i="3"/>
  <c r="CW32" i="3"/>
  <c r="BQ32" i="12" s="1"/>
  <c r="CS48" i="3"/>
  <c r="BM48" i="12" s="1"/>
  <c r="CW93" i="3"/>
  <c r="CS127" i="3"/>
  <c r="CW91" i="3"/>
  <c r="CU52" i="3"/>
  <c r="BO52" i="12" s="1"/>
  <c r="CX16" i="3"/>
  <c r="BR16" i="12" s="1"/>
  <c r="CU115" i="3"/>
  <c r="CV54" i="3"/>
  <c r="CU95" i="3"/>
  <c r="CQ113" i="3"/>
  <c r="CQ81" i="3"/>
  <c r="CS117" i="3"/>
  <c r="CW67" i="3"/>
  <c r="CQ32" i="3"/>
  <c r="BK32" i="12" s="1"/>
  <c r="CT125" i="3"/>
  <c r="CU58" i="3"/>
  <c r="CV92" i="3"/>
  <c r="CW27" i="3"/>
  <c r="CS64" i="3"/>
  <c r="CQ131" i="3"/>
  <c r="CU67" i="3"/>
  <c r="CV91" i="3"/>
  <c r="CQ42" i="3"/>
  <c r="BK42" i="12" s="1"/>
  <c r="CW53" i="3"/>
  <c r="CW124" i="3"/>
  <c r="CX27" i="3"/>
  <c r="CV107" i="3"/>
  <c r="CW29" i="3"/>
  <c r="BQ29" i="12" s="1"/>
  <c r="CU117" i="3"/>
  <c r="CT97" i="3"/>
  <c r="CT113" i="3"/>
  <c r="CV60" i="3"/>
  <c r="CV65" i="3"/>
  <c r="CV40" i="3"/>
  <c r="BP40" i="12" s="1"/>
  <c r="CX106" i="3"/>
  <c r="CS116" i="3"/>
  <c r="CR98" i="3"/>
  <c r="CX39" i="3"/>
  <c r="BR39" i="12" s="1"/>
  <c r="CQ46" i="3"/>
  <c r="BK46" i="12" s="1"/>
  <c r="CR14" i="3"/>
  <c r="BL14" i="12" s="1"/>
  <c r="CR79" i="3"/>
  <c r="CX60" i="3"/>
  <c r="CT11" i="3"/>
  <c r="BN11" i="12" s="1"/>
  <c r="CQ108" i="3"/>
  <c r="CQ25" i="3"/>
  <c r="BK25" i="12" s="1"/>
  <c r="CS81" i="3"/>
  <c r="CU16" i="3"/>
  <c r="BO16" i="12" s="1"/>
  <c r="CR94" i="3"/>
  <c r="CQ124" i="3"/>
  <c r="CS108" i="3"/>
  <c r="CV131" i="3"/>
  <c r="CX78" i="3"/>
  <c r="CS40" i="3"/>
  <c r="BM40" i="12" s="1"/>
  <c r="CX29" i="3"/>
  <c r="BR29" i="12" s="1"/>
  <c r="CU114" i="3"/>
  <c r="CU131" i="3"/>
  <c r="CS126" i="3"/>
  <c r="CR99" i="3"/>
  <c r="CR23" i="3"/>
  <c r="BL23" i="12" s="1"/>
  <c r="CS29" i="3"/>
  <c r="BM29" i="12" s="1"/>
  <c r="CW10" i="3"/>
  <c r="BQ10" i="12" s="1"/>
  <c r="CW30" i="3"/>
  <c r="BQ30" i="12" s="1"/>
  <c r="CX116" i="3"/>
  <c r="CW100" i="3"/>
  <c r="CU29" i="3"/>
  <c r="BO29" i="12" s="1"/>
  <c r="CR85" i="3"/>
  <c r="CR74" i="3"/>
  <c r="CR67" i="3"/>
  <c r="BL67" i="12" s="1"/>
  <c r="BL67" i="27" s="1"/>
  <c r="M67" i="29" s="1"/>
  <c r="CX65" i="3"/>
  <c r="CT50" i="3"/>
  <c r="BN50" i="12" s="1"/>
  <c r="CV24" i="3"/>
  <c r="BP24" i="12" s="1"/>
  <c r="CV17" i="3"/>
  <c r="BP17" i="12" s="1"/>
  <c r="CU109" i="3"/>
  <c r="CR31" i="3"/>
  <c r="BL31" i="12" s="1"/>
  <c r="CX67" i="3"/>
  <c r="CR69" i="3"/>
  <c r="CU99" i="3"/>
  <c r="CX59" i="3"/>
  <c r="CR54" i="3"/>
  <c r="CX108" i="3"/>
  <c r="CT115" i="3"/>
  <c r="CS39" i="3"/>
  <c r="BM39" i="12" s="1"/>
  <c r="CU100" i="3"/>
  <c r="CR30" i="3"/>
  <c r="BL30" i="12" s="1"/>
  <c r="CU56" i="3"/>
  <c r="CU32" i="3"/>
  <c r="BO32" i="12" s="1"/>
  <c r="CS91" i="3"/>
  <c r="CT63" i="3"/>
  <c r="CT84" i="3"/>
  <c r="CS131" i="3"/>
  <c r="CX40" i="3"/>
  <c r="BR40" i="12" s="1"/>
  <c r="CX42" i="3"/>
  <c r="BR42" i="12" s="1"/>
  <c r="CV105" i="3"/>
  <c r="CU77" i="3"/>
  <c r="CS125" i="3"/>
  <c r="CS106" i="3"/>
  <c r="CU90" i="3"/>
  <c r="CT12" i="3"/>
  <c r="BN12" i="12" s="1"/>
  <c r="CS16" i="3"/>
  <c r="BM16" i="12" s="1"/>
  <c r="CW131" i="3"/>
  <c r="CV127" i="3"/>
  <c r="CW113" i="3"/>
  <c r="CS51" i="3"/>
  <c r="CR90" i="3"/>
  <c r="CX80" i="3"/>
  <c r="CU59" i="3"/>
  <c r="CR112" i="3"/>
  <c r="CX11" i="3"/>
  <c r="BR11" i="12" s="1"/>
  <c r="CU74" i="3"/>
  <c r="CU125" i="3"/>
  <c r="CW8" i="3"/>
  <c r="CR47" i="3"/>
  <c r="BL47" i="12" s="1"/>
  <c r="CV23" i="3"/>
  <c r="BP23" i="12" s="1"/>
  <c r="CS27" i="3"/>
  <c r="CQ57" i="3"/>
  <c r="CV129" i="3"/>
  <c r="CW36" i="3"/>
  <c r="BQ36" i="12" s="1"/>
  <c r="CV44" i="3"/>
  <c r="BP44" i="12" s="1"/>
  <c r="CX55" i="3"/>
  <c r="CU122" i="3"/>
  <c r="CU84" i="3"/>
  <c r="CT73" i="3"/>
  <c r="CR15" i="3"/>
  <c r="BL15" i="12" s="1"/>
  <c r="CV45" i="3"/>
  <c r="BP45" i="12" s="1"/>
  <c r="CR129" i="3"/>
  <c r="CT93" i="3"/>
  <c r="CV71" i="3"/>
  <c r="CV95" i="3"/>
  <c r="CQ38" i="3"/>
  <c r="BK38" i="12" s="1"/>
  <c r="CV69" i="3"/>
  <c r="CR130" i="3"/>
  <c r="CX129" i="3"/>
  <c r="CV84" i="3"/>
  <c r="CX71" i="3"/>
  <c r="CU41" i="3"/>
  <c r="BO41" i="12" s="1"/>
  <c r="CT126" i="3"/>
  <c r="CS19" i="3"/>
  <c r="BM19" i="12" s="1"/>
  <c r="CT67" i="3"/>
  <c r="CT64" i="3"/>
  <c r="CT44" i="3"/>
  <c r="BN44" i="12" s="1"/>
  <c r="CW122" i="3"/>
  <c r="CW123" i="3"/>
  <c r="CU105" i="3"/>
  <c r="CT34" i="3"/>
  <c r="CV93" i="3"/>
  <c r="CT121" i="3"/>
  <c r="CW98" i="3"/>
  <c r="CV113" i="3"/>
  <c r="CT36" i="3"/>
  <c r="BN36" i="12" s="1"/>
  <c r="CV119" i="3"/>
  <c r="CW12" i="3"/>
  <c r="BQ12" i="12" s="1"/>
  <c r="CW129" i="3"/>
  <c r="CS35" i="3"/>
  <c r="BM35" i="12" s="1"/>
  <c r="CT49" i="3"/>
  <c r="BN49" i="12" s="1"/>
  <c r="CS73" i="3"/>
  <c r="CU112" i="3"/>
  <c r="CS123" i="3"/>
  <c r="CS26" i="3"/>
  <c r="BM26" i="12" s="1"/>
  <c r="CX48" i="3"/>
  <c r="BR48" i="12" s="1"/>
  <c r="CS31" i="3"/>
  <c r="BM31" i="12" s="1"/>
  <c r="CT106" i="3"/>
  <c r="CS13" i="3"/>
  <c r="BM13" i="12" s="1"/>
  <c r="CR13" i="3"/>
  <c r="BL13" i="12" s="1"/>
  <c r="CS118" i="3"/>
  <c r="CW128" i="3"/>
  <c r="CQ56" i="3"/>
  <c r="CV76" i="3"/>
  <c r="CW114" i="3"/>
  <c r="CW110" i="3"/>
  <c r="CS110" i="3"/>
  <c r="CV21" i="3"/>
  <c r="BP21" i="12" s="1"/>
  <c r="CW16" i="3"/>
  <c r="BQ16" i="12" s="1"/>
  <c r="CW112" i="3"/>
  <c r="CU24" i="3"/>
  <c r="BO24" i="12" s="1"/>
  <c r="CX73" i="3"/>
  <c r="CV112" i="3"/>
  <c r="CR76" i="3"/>
  <c r="CQ31" i="3"/>
  <c r="BK31" i="12" s="1"/>
  <c r="CV32" i="3"/>
  <c r="BP32" i="12" s="1"/>
  <c r="CU55" i="3"/>
  <c r="CT128" i="3"/>
  <c r="CX86" i="3"/>
  <c r="CX14" i="3"/>
  <c r="BR14" i="12" s="1"/>
  <c r="CQ89" i="3"/>
  <c r="CX104" i="3"/>
  <c r="CR52" i="3"/>
  <c r="BL52" i="12" s="1"/>
  <c r="CU51" i="3"/>
  <c r="CW106" i="3"/>
  <c r="CU124" i="3"/>
  <c r="CQ36" i="3"/>
  <c r="BK36" i="12" s="1"/>
  <c r="CQ88" i="3"/>
  <c r="CQ132" i="3"/>
  <c r="CV66" i="3"/>
  <c r="CS45" i="3"/>
  <c r="BM45" i="12" s="1"/>
  <c r="CT69" i="3"/>
  <c r="CT102" i="3"/>
  <c r="CW94" i="3"/>
  <c r="CT123" i="3"/>
  <c r="CU80" i="3"/>
  <c r="CR124" i="3"/>
  <c r="CW57" i="3"/>
  <c r="CS67" i="3"/>
  <c r="CU50" i="3"/>
  <c r="BO50" i="12" s="1"/>
  <c r="CS17" i="3"/>
  <c r="BM17" i="12" s="1"/>
  <c r="CV80" i="3"/>
  <c r="CR56" i="3"/>
  <c r="CX76" i="3"/>
  <c r="CW90" i="3"/>
  <c r="CS9" i="3"/>
  <c r="BM9" i="12" s="1"/>
  <c r="CX91" i="3"/>
  <c r="CQ112" i="3"/>
  <c r="CQ55" i="3"/>
  <c r="CQ21" i="3"/>
  <c r="BK21" i="12" s="1"/>
  <c r="CX21" i="3"/>
  <c r="BR21" i="12" s="1"/>
  <c r="CS18" i="3"/>
  <c r="BM18" i="12" s="1"/>
  <c r="CR18" i="3"/>
  <c r="BL18" i="12" s="1"/>
  <c r="CX127" i="3"/>
  <c r="CS104" i="3"/>
  <c r="CT8" i="3"/>
  <c r="CR83" i="3"/>
  <c r="CX28" i="3"/>
  <c r="BR28" i="12" s="1"/>
  <c r="CQ98" i="3"/>
  <c r="CR57" i="3"/>
  <c r="CV97" i="3"/>
  <c r="CV47" i="3"/>
  <c r="BP47" i="12" s="1"/>
  <c r="CU30" i="3"/>
  <c r="BO30" i="12" s="1"/>
  <c r="CV48" i="3"/>
  <c r="BP48" i="12" s="1"/>
  <c r="CS34" i="3"/>
  <c r="CQ15" i="3"/>
  <c r="BK15" i="12" s="1"/>
  <c r="CR72" i="3"/>
  <c r="CS122" i="3"/>
  <c r="CQ92" i="3"/>
  <c r="CR16" i="3"/>
  <c r="BL16" i="12" s="1"/>
  <c r="CT91" i="3"/>
  <c r="CW75" i="3"/>
  <c r="CX103" i="3"/>
  <c r="CX62" i="3"/>
  <c r="CW34" i="3"/>
  <c r="CU106" i="3"/>
  <c r="CS59" i="3"/>
  <c r="CS53" i="3"/>
  <c r="CS112" i="3"/>
  <c r="CT108" i="3"/>
  <c r="CV125" i="3"/>
  <c r="CR117" i="3"/>
  <c r="CW82" i="3"/>
  <c r="CQ60" i="3"/>
  <c r="CT62" i="3"/>
  <c r="CU21" i="3"/>
  <c r="BO21" i="12" s="1"/>
  <c r="CV16" i="3"/>
  <c r="BP16" i="12" s="1"/>
  <c r="CX96" i="3"/>
  <c r="CR44" i="3"/>
  <c r="BL44" i="12" s="1"/>
  <c r="CW77" i="3"/>
  <c r="CW45" i="3"/>
  <c r="BQ45" i="12" s="1"/>
  <c r="CR62" i="3"/>
  <c r="CV63" i="3"/>
  <c r="CU27" i="3"/>
  <c r="CS97" i="3"/>
  <c r="CU69" i="3"/>
  <c r="CW38" i="3"/>
  <c r="BQ38" i="12" s="1"/>
  <c r="CS22" i="3"/>
  <c r="BM22" i="12" s="1"/>
  <c r="CV34" i="3"/>
  <c r="CU73" i="3"/>
  <c r="CS115" i="3"/>
  <c r="CW49" i="3"/>
  <c r="BQ49" i="12" s="1"/>
  <c r="CV67" i="3"/>
  <c r="CS69" i="3"/>
  <c r="CS93" i="3"/>
  <c r="CV128" i="3"/>
  <c r="CS79" i="3"/>
  <c r="CW21" i="3"/>
  <c r="BQ21" i="12" s="1"/>
  <c r="CX100" i="3"/>
  <c r="CR110" i="3"/>
  <c r="CR107" i="3"/>
  <c r="CS32" i="3"/>
  <c r="BM32" i="12" s="1"/>
  <c r="CS103" i="3"/>
  <c r="CT129" i="3"/>
  <c r="CU11" i="3"/>
  <c r="BO11" i="12" s="1"/>
  <c r="CV61" i="3"/>
  <c r="CR132" i="3"/>
  <c r="CU18" i="3"/>
  <c r="BO18" i="12" s="1"/>
  <c r="CT94" i="3"/>
  <c r="CS89" i="3"/>
  <c r="CR48" i="3"/>
  <c r="BL48" i="12" s="1"/>
  <c r="CW107" i="3"/>
  <c r="CX75" i="3"/>
  <c r="CT42" i="3"/>
  <c r="BN42" i="12" s="1"/>
  <c r="CX9" i="3"/>
  <c r="BR9" i="12" s="1"/>
  <c r="CS96" i="3"/>
  <c r="CX126" i="3"/>
  <c r="CT66" i="3"/>
  <c r="CW86" i="3"/>
  <c r="CX119" i="3"/>
  <c r="CT117" i="3"/>
  <c r="CX123" i="3"/>
  <c r="CW127" i="3"/>
  <c r="CU64" i="3"/>
  <c r="CS50" i="3"/>
  <c r="BM50" i="12" s="1"/>
  <c r="CW105" i="3"/>
  <c r="CT32" i="3"/>
  <c r="BN32" i="12" s="1"/>
  <c r="CT98" i="3"/>
  <c r="CV86" i="3"/>
  <c r="CQ93" i="3"/>
  <c r="CR97" i="3"/>
  <c r="CT109" i="3"/>
  <c r="CU70" i="3"/>
  <c r="CS54" i="3"/>
  <c r="CV26" i="3"/>
  <c r="BP26" i="12" s="1"/>
  <c r="CS65" i="3"/>
  <c r="CT77" i="3"/>
  <c r="CR105" i="3"/>
  <c r="CW25" i="3"/>
  <c r="BQ25" i="12" s="1"/>
  <c r="CT56" i="3"/>
  <c r="CQ116" i="3"/>
  <c r="CW19" i="3"/>
  <c r="BQ19" i="12" s="1"/>
  <c r="CW28" i="3"/>
  <c r="BQ28" i="12" s="1"/>
  <c r="CV27" i="3"/>
  <c r="CS98" i="3"/>
  <c r="CU128" i="3"/>
  <c r="CR131" i="3"/>
  <c r="CR38" i="3"/>
  <c r="BL38" i="12" s="1"/>
  <c r="CX15" i="3"/>
  <c r="BR15" i="12" s="1"/>
  <c r="CR114" i="3"/>
  <c r="CS128" i="3"/>
  <c r="CV43" i="3"/>
  <c r="CU111" i="3"/>
  <c r="CW63" i="3"/>
  <c r="CX107" i="3"/>
  <c r="CW99" i="3"/>
  <c r="CX121" i="3"/>
  <c r="CT31" i="3"/>
  <c r="BN31" i="12" s="1"/>
  <c r="CT118" i="3"/>
  <c r="CX51" i="3"/>
  <c r="CV28" i="3"/>
  <c r="BP28" i="12" s="1"/>
  <c r="CU127" i="3"/>
  <c r="CU94" i="3"/>
  <c r="CX79" i="3"/>
  <c r="CR92" i="3"/>
  <c r="CS105" i="3"/>
  <c r="CT41" i="3"/>
  <c r="BN41" i="12" s="1"/>
  <c r="CU66" i="3"/>
  <c r="CT17" i="3"/>
  <c r="BN17" i="12" s="1"/>
  <c r="CX74" i="3"/>
  <c r="CT10" i="3"/>
  <c r="BN10" i="12" s="1"/>
  <c r="CR64" i="3"/>
  <c r="CW84" i="3"/>
  <c r="CV104" i="3"/>
  <c r="CW62" i="3"/>
  <c r="CV102" i="3"/>
  <c r="CX90" i="3"/>
  <c r="CW52" i="3"/>
  <c r="BQ52" i="12" s="1"/>
  <c r="CT75" i="3"/>
  <c r="CX41" i="3"/>
  <c r="BR41" i="12" s="1"/>
  <c r="CW43" i="3"/>
  <c r="CT81" i="3"/>
  <c r="CR86" i="3"/>
  <c r="CV31" i="3"/>
  <c r="BP31" i="12" s="1"/>
  <c r="CW103" i="3"/>
  <c r="CW116" i="3"/>
  <c r="CR111" i="3"/>
  <c r="CW108" i="3"/>
  <c r="CX101" i="3"/>
  <c r="CU118" i="3"/>
  <c r="CW69" i="3"/>
  <c r="CQ114" i="3"/>
  <c r="CT101" i="3"/>
  <c r="CR106" i="3"/>
  <c r="CT87" i="3"/>
  <c r="CW39" i="3"/>
  <c r="BQ39" i="12" s="1"/>
  <c r="CT19" i="3"/>
  <c r="BN19" i="12" s="1"/>
  <c r="CU108" i="3"/>
  <c r="CR127" i="3"/>
  <c r="CU93" i="3"/>
  <c r="CX46" i="3"/>
  <c r="BR46" i="12" s="1"/>
  <c r="CX44" i="3"/>
  <c r="BR44" i="12" s="1"/>
  <c r="CQ28" i="3"/>
  <c r="BK28" i="12" s="1"/>
  <c r="CX10" i="3"/>
  <c r="BR10" i="12" s="1"/>
  <c r="CS61" i="3"/>
  <c r="CR63" i="3"/>
  <c r="CT90" i="3"/>
  <c r="CT110" i="3"/>
  <c r="CT119" i="3"/>
  <c r="CS120" i="3"/>
  <c r="CV12" i="3"/>
  <c r="BP12" i="12" s="1"/>
  <c r="CV30" i="3"/>
  <c r="BP30" i="12" s="1"/>
  <c r="CV124" i="3"/>
  <c r="CR102" i="3"/>
  <c r="CW111" i="3"/>
  <c r="CS129" i="3"/>
  <c r="CX33" i="3"/>
  <c r="BR33" i="12" s="1"/>
  <c r="CX24" i="3"/>
  <c r="BR24" i="12" s="1"/>
  <c r="CX66" i="3"/>
  <c r="CX56" i="3"/>
  <c r="CX114" i="3"/>
  <c r="CR53" i="3"/>
  <c r="CQ68" i="3"/>
  <c r="CX92" i="3"/>
  <c r="CQ58" i="3"/>
  <c r="CX26" i="3"/>
  <c r="BR26" i="12" s="1"/>
  <c r="CW80" i="3"/>
  <c r="CQ49" i="3"/>
  <c r="BK49" i="12" s="1"/>
  <c r="CW81" i="3"/>
  <c r="CT70" i="3"/>
  <c r="CV68" i="3"/>
  <c r="CT122" i="3"/>
  <c r="CX25" i="3"/>
  <c r="BR25" i="12" s="1"/>
  <c r="CQ44" i="3"/>
  <c r="BK44" i="12" s="1"/>
  <c r="CT104" i="3"/>
  <c r="CU130" i="3"/>
  <c r="CX102" i="3"/>
  <c r="CT79" i="3"/>
  <c r="CT103" i="3"/>
  <c r="CU34" i="3"/>
  <c r="CV126" i="3"/>
  <c r="CW85" i="3"/>
  <c r="CR49" i="3"/>
  <c r="BL49" i="12" s="1"/>
  <c r="CQ39" i="3"/>
  <c r="BK39" i="12" s="1"/>
  <c r="CX81" i="3"/>
  <c r="CX98" i="3"/>
  <c r="CQ66" i="3"/>
  <c r="CT59" i="3"/>
  <c r="CT114" i="3"/>
  <c r="CS124" i="3"/>
  <c r="CW97" i="3"/>
  <c r="CV22" i="3"/>
  <c r="BP22" i="12" s="1"/>
  <c r="CV64" i="3"/>
  <c r="CR91" i="3"/>
  <c r="CX97" i="3"/>
  <c r="CT71" i="3"/>
  <c r="CV120" i="3"/>
  <c r="CT45" i="3"/>
  <c r="BN45" i="12" s="1"/>
  <c r="CW11" i="3"/>
  <c r="BQ11" i="12" s="1"/>
  <c r="CX93" i="3"/>
  <c r="CU46" i="3"/>
  <c r="BO46" i="12" s="1"/>
  <c r="CT131" i="3"/>
  <c r="CR109" i="3"/>
  <c r="CX128" i="3"/>
  <c r="CU78" i="3"/>
  <c r="CU15" i="3"/>
  <c r="BO15" i="12" s="1"/>
  <c r="CX120" i="3"/>
  <c r="CS30" i="3"/>
  <c r="BM30" i="12" s="1"/>
  <c r="CT89" i="3"/>
  <c r="CS132" i="3"/>
  <c r="CW42" i="3"/>
  <c r="BQ42" i="12" s="1"/>
  <c r="CS60" i="3"/>
  <c r="CT74" i="3"/>
  <c r="CX94" i="3"/>
  <c r="CW87" i="3"/>
  <c r="CU12" i="3"/>
  <c r="BO12" i="12" s="1"/>
  <c r="CU107" i="3"/>
  <c r="CX113" i="3"/>
  <c r="CV73" i="3"/>
  <c r="CS37" i="3"/>
  <c r="BM37" i="12" s="1"/>
  <c r="CX70" i="3"/>
  <c r="CX88" i="3"/>
  <c r="CR80" i="3"/>
  <c r="CX111" i="3"/>
  <c r="CU82" i="3"/>
  <c r="CU62" i="3"/>
  <c r="CT16" i="3"/>
  <c r="BN16" i="12" s="1"/>
  <c r="CV109" i="3"/>
  <c r="CR78" i="3"/>
  <c r="CS52" i="3"/>
  <c r="BM52" i="12" s="1"/>
  <c r="CU120" i="3"/>
  <c r="CV70" i="3"/>
  <c r="CR60" i="3"/>
  <c r="CQ17" i="3"/>
  <c r="BK17" i="12" s="1"/>
  <c r="CV8" i="3"/>
  <c r="CT88" i="3"/>
  <c r="CX63" i="3"/>
  <c r="CV88" i="3"/>
  <c r="CR68" i="3"/>
  <c r="CS111" i="3"/>
  <c r="CS99" i="3"/>
  <c r="CV130" i="3"/>
  <c r="CX109" i="3"/>
  <c r="CV123" i="3"/>
  <c r="CR82" i="3"/>
  <c r="CU92" i="3"/>
  <c r="CV13" i="3"/>
  <c r="BP13" i="12" s="1"/>
  <c r="CV90" i="3"/>
  <c r="CV11" i="3"/>
  <c r="BP11" i="12" s="1"/>
  <c r="CS82" i="3"/>
  <c r="CW95" i="3"/>
  <c r="CU103" i="3"/>
  <c r="CV121" i="3"/>
  <c r="CT35" i="3"/>
  <c r="BN35" i="12" s="1"/>
  <c r="CX85" i="3"/>
  <c r="CS80" i="3"/>
  <c r="CW132" i="3"/>
  <c r="CU65" i="3"/>
  <c r="CT105" i="3"/>
  <c r="CW92" i="3"/>
  <c r="CR108" i="3"/>
  <c r="CT130" i="3"/>
  <c r="CX58" i="3"/>
  <c r="CT72" i="3"/>
  <c r="CU20" i="3"/>
  <c r="BO20" i="12" s="1"/>
  <c r="CS119" i="3"/>
  <c r="CU68" i="3"/>
  <c r="CT107" i="3"/>
  <c r="CW89" i="3"/>
  <c r="CX82" i="3"/>
  <c r="CT65" i="3"/>
  <c r="CS95" i="3"/>
  <c r="CT124" i="3"/>
  <c r="CT95" i="3"/>
  <c r="CR113" i="3"/>
  <c r="CX105" i="3"/>
  <c r="CV33" i="3"/>
  <c r="BP33" i="12" s="1"/>
  <c r="CV111" i="3"/>
  <c r="CT25" i="3"/>
  <c r="BN25" i="12" s="1"/>
  <c r="CS121" i="3"/>
  <c r="CU72" i="3"/>
  <c r="CU121" i="3"/>
  <c r="CU87" i="3"/>
  <c r="CT132" i="3"/>
  <c r="CT96" i="3"/>
  <c r="CS85" i="3"/>
  <c r="CU61" i="3"/>
  <c r="CS23" i="3"/>
  <c r="BM23" i="12" s="1"/>
  <c r="CW41" i="3"/>
  <c r="BQ41" i="12" s="1"/>
  <c r="CU63" i="3"/>
  <c r="CX53" i="3"/>
  <c r="CQ59" i="3"/>
  <c r="CU53" i="3"/>
  <c r="CW68" i="3"/>
  <c r="CU48" i="3"/>
  <c r="BO48" i="12" s="1"/>
  <c r="CX110" i="3"/>
  <c r="CV50" i="3"/>
  <c r="BP50" i="12" s="1"/>
  <c r="CQ16" i="3"/>
  <c r="BK16" i="12" s="1"/>
  <c r="CW56" i="3"/>
  <c r="CQ99" i="3"/>
  <c r="CT99" i="3"/>
  <c r="CR70" i="3"/>
  <c r="CT100" i="3"/>
  <c r="CX118" i="3"/>
  <c r="CU31" i="3"/>
  <c r="BO31" i="12" s="1"/>
  <c r="CX87" i="3"/>
  <c r="CS100" i="3"/>
  <c r="CV85" i="3"/>
  <c r="CU35" i="3"/>
  <c r="BO35" i="12" s="1"/>
  <c r="CS90" i="3"/>
  <c r="CW46" i="3"/>
  <c r="BQ46" i="12" s="1"/>
  <c r="CR50" i="3"/>
  <c r="BL50" i="12" s="1"/>
  <c r="CR17" i="3"/>
  <c r="BL17" i="12" s="1"/>
  <c r="CS56" i="3"/>
  <c r="CT85" i="3"/>
  <c r="CU98" i="3"/>
  <c r="CR81" i="3"/>
  <c r="CW33" i="3"/>
  <c r="BQ33" i="12" s="1"/>
  <c r="CU132" i="3"/>
  <c r="CT48" i="3"/>
  <c r="BN48" i="12" s="1"/>
  <c r="CW121" i="3"/>
  <c r="CT92" i="3"/>
  <c r="CR59" i="3"/>
  <c r="CW96" i="3"/>
  <c r="CV57" i="3"/>
  <c r="CU37" i="3"/>
  <c r="BO37" i="12" s="1"/>
  <c r="CW117" i="3"/>
  <c r="CS130" i="3"/>
  <c r="CX68" i="3"/>
  <c r="CU91" i="3"/>
  <c r="CV62" i="3"/>
  <c r="CS76" i="3"/>
  <c r="CR11" i="3"/>
  <c r="CV35" i="3"/>
  <c r="BP35" i="12" s="1"/>
  <c r="CS46" i="3"/>
  <c r="BM46" i="12" s="1"/>
  <c r="CV79" i="3"/>
  <c r="CV42" i="3"/>
  <c r="BP42" i="12" s="1"/>
  <c r="CW104" i="3"/>
  <c r="CW26" i="3"/>
  <c r="BQ26" i="12" s="1"/>
  <c r="CW118" i="3"/>
  <c r="CV10" i="3"/>
  <c r="BP10" i="12" s="1"/>
  <c r="CT120" i="3"/>
  <c r="CW17" i="3"/>
  <c r="BQ17" i="12" s="1"/>
  <c r="CW102" i="3"/>
  <c r="CT54" i="3"/>
  <c r="CX95" i="3"/>
  <c r="CX32" i="3"/>
  <c r="BR32" i="12" s="1"/>
  <c r="CR8" i="3"/>
  <c r="CS78" i="3"/>
  <c r="CV83" i="3"/>
  <c r="CT21" i="3"/>
  <c r="BN21" i="12" s="1"/>
  <c r="CV101" i="3"/>
  <c r="CX30" i="3"/>
  <c r="BR30" i="12" s="1"/>
  <c r="CS28" i="3"/>
  <c r="BM28" i="12" s="1"/>
  <c r="CX72" i="3"/>
  <c r="CT29" i="3"/>
  <c r="BN29" i="12" s="1"/>
  <c r="CT61" i="3"/>
  <c r="CR55" i="3"/>
  <c r="CU116" i="3"/>
  <c r="CX38" i="3"/>
  <c r="BR38" i="12" s="1"/>
  <c r="CW88" i="3"/>
  <c r="CQ43" i="3"/>
  <c r="CU113" i="3"/>
  <c r="CU57" i="3"/>
  <c r="CW119" i="3"/>
  <c r="CV39" i="3"/>
  <c r="BP39" i="12" s="1"/>
  <c r="CU9" i="3"/>
  <c r="BO9" i="12" s="1"/>
  <c r="CU17" i="3"/>
  <c r="BO17" i="12" s="1"/>
  <c r="CS77" i="3"/>
  <c r="CV82" i="3"/>
  <c r="CS83" i="3"/>
  <c r="CX112" i="3"/>
  <c r="CS101" i="3"/>
  <c r="CW125" i="3"/>
  <c r="O7" i="29" l="1"/>
  <c r="O136" i="29" s="1"/>
  <c r="BV7" i="27"/>
  <c r="BT7" i="27"/>
  <c r="X71" i="31"/>
  <c r="X71" i="27"/>
  <c r="X71" i="16"/>
  <c r="CA182" i="12"/>
  <c r="CB182" i="12"/>
  <c r="BM22" i="16"/>
  <c r="BM22" i="27"/>
  <c r="N22" i="29" s="1"/>
  <c r="BK15" i="16"/>
  <c r="BK15" i="27"/>
  <c r="BK21" i="16"/>
  <c r="BK21" i="27"/>
  <c r="BN36" i="16"/>
  <c r="BN36" i="27"/>
  <c r="BQ36" i="16"/>
  <c r="BQ36" i="27"/>
  <c r="R36" i="29" s="1"/>
  <c r="BQ10" i="16"/>
  <c r="BQ10" i="27"/>
  <c r="R10" i="29" s="1"/>
  <c r="BM40" i="16"/>
  <c r="BM40" i="27"/>
  <c r="N40" i="29" s="1"/>
  <c r="BK25" i="16"/>
  <c r="BK25" i="27"/>
  <c r="BO52" i="16"/>
  <c r="BO52" i="27"/>
  <c r="P52" i="29" s="1"/>
  <c r="BP20" i="16"/>
  <c r="BP20" i="27"/>
  <c r="Q20" i="29" s="1"/>
  <c r="BK9" i="16"/>
  <c r="BK9" i="27"/>
  <c r="BM44" i="16"/>
  <c r="BM44" i="27"/>
  <c r="N44" i="29" s="1"/>
  <c r="BR47" i="16"/>
  <c r="BR47" i="27"/>
  <c r="BM42" i="16"/>
  <c r="BM42" i="27"/>
  <c r="N42" i="29" s="1"/>
  <c r="BR12" i="16"/>
  <c r="BR12" i="27"/>
  <c r="S12" i="29" s="1"/>
  <c r="BK10" i="16"/>
  <c r="BK10" i="27"/>
  <c r="BN14" i="16"/>
  <c r="BN14" i="27"/>
  <c r="BO39" i="16"/>
  <c r="BO39" i="27"/>
  <c r="P39" i="29" s="1"/>
  <c r="BQ23" i="16"/>
  <c r="BQ23" i="27"/>
  <c r="R23" i="29" s="1"/>
  <c r="BO13" i="16"/>
  <c r="BO13" i="27"/>
  <c r="P13" i="29" s="1"/>
  <c r="BP14" i="16"/>
  <c r="BP14" i="27"/>
  <c r="Q14" i="29" s="1"/>
  <c r="BP19" i="16"/>
  <c r="BP19" i="27"/>
  <c r="Q19" i="29" s="1"/>
  <c r="BK45" i="16"/>
  <c r="BK45" i="27"/>
  <c r="BQ35" i="16"/>
  <c r="BQ35" i="27"/>
  <c r="R35" i="29" s="1"/>
  <c r="BN38" i="16"/>
  <c r="BN38" i="27"/>
  <c r="BN46" i="16"/>
  <c r="BN46" i="27"/>
  <c r="BL24" i="16"/>
  <c r="BL24" i="27"/>
  <c r="M24" i="29" s="1"/>
  <c r="BL20" i="16"/>
  <c r="BL20" i="27"/>
  <c r="M20" i="29" s="1"/>
  <c r="BP37" i="16"/>
  <c r="BP37" i="27"/>
  <c r="Q37" i="29" s="1"/>
  <c r="BC52" i="16"/>
  <c r="BC52" i="27"/>
  <c r="E52" i="29"/>
  <c r="BG52" i="16"/>
  <c r="I52" i="29"/>
  <c r="BG52" i="27"/>
  <c r="BP41" i="16"/>
  <c r="BP41" i="27"/>
  <c r="Q41" i="29" s="1"/>
  <c r="BO25" i="16"/>
  <c r="BO25" i="27"/>
  <c r="P25" i="29" s="1"/>
  <c r="BR36" i="16"/>
  <c r="BR36" i="27"/>
  <c r="S36" i="29" s="1"/>
  <c r="BN39" i="16"/>
  <c r="BN39" i="27"/>
  <c r="BM20" i="16"/>
  <c r="BM20" i="27"/>
  <c r="N20" i="29" s="1"/>
  <c r="BL45" i="16"/>
  <c r="BL45" i="27"/>
  <c r="M45" i="29" s="1"/>
  <c r="BM25" i="16"/>
  <c r="BM25" i="27"/>
  <c r="N25" i="29" s="1"/>
  <c r="BN23" i="16"/>
  <c r="BN23" i="27"/>
  <c r="BK24" i="16"/>
  <c r="BK24" i="27"/>
  <c r="BL46" i="16"/>
  <c r="BL46" i="27"/>
  <c r="M46" i="29" s="1"/>
  <c r="BP25" i="16"/>
  <c r="BP25" i="27"/>
  <c r="Q25" i="29" s="1"/>
  <c r="BL9" i="16"/>
  <c r="BL9" i="27"/>
  <c r="M9" i="29" s="1"/>
  <c r="BM12" i="16"/>
  <c r="BM12" i="27"/>
  <c r="N12" i="29" s="1"/>
  <c r="BN40" i="16"/>
  <c r="BN40" i="27"/>
  <c r="BL39" i="16"/>
  <c r="BL39" i="27"/>
  <c r="M39" i="29" s="1"/>
  <c r="BM38" i="16"/>
  <c r="BM38" i="27"/>
  <c r="N38" i="29" s="1"/>
  <c r="BR20" i="16"/>
  <c r="BR20" i="27"/>
  <c r="S20" i="29" s="1"/>
  <c r="BR23" i="16"/>
  <c r="BR23" i="27"/>
  <c r="S23" i="29" s="1"/>
  <c r="BR37" i="16"/>
  <c r="BR37" i="27"/>
  <c r="S37" i="29" s="1"/>
  <c r="BQ40" i="16"/>
  <c r="BQ40" i="27"/>
  <c r="R40" i="29" s="1"/>
  <c r="BP10" i="16"/>
  <c r="BP10" i="27"/>
  <c r="Q10" i="29" s="1"/>
  <c r="BQ42" i="16"/>
  <c r="BQ42" i="27"/>
  <c r="R42" i="29" s="1"/>
  <c r="BQ38" i="16"/>
  <c r="BQ38" i="27"/>
  <c r="R38" i="29" s="1"/>
  <c r="BM17" i="16"/>
  <c r="BM17" i="27"/>
  <c r="N17" i="29" s="1"/>
  <c r="BK16" i="16"/>
  <c r="BK16" i="27"/>
  <c r="BK17" i="16"/>
  <c r="BK17" i="27"/>
  <c r="BQ19" i="16"/>
  <c r="BQ19" i="27"/>
  <c r="R19" i="29" s="1"/>
  <c r="BP48" i="16"/>
  <c r="BP48" i="27"/>
  <c r="BO50" i="16"/>
  <c r="BO50" i="27"/>
  <c r="P50" i="29" s="1"/>
  <c r="BP21" i="16"/>
  <c r="BP21" i="27"/>
  <c r="Q21" i="29" s="1"/>
  <c r="BL13" i="16"/>
  <c r="BL13" i="27"/>
  <c r="M13" i="29" s="1"/>
  <c r="BL15" i="16"/>
  <c r="BL15" i="27"/>
  <c r="M15" i="29" s="1"/>
  <c r="BM16" i="16"/>
  <c r="BM16" i="27"/>
  <c r="N16" i="29" s="1"/>
  <c r="BR40" i="16"/>
  <c r="BR40" i="27"/>
  <c r="S40" i="29" s="1"/>
  <c r="BL23" i="16"/>
  <c r="BL23" i="27"/>
  <c r="M23" i="29" s="1"/>
  <c r="BN11" i="16"/>
  <c r="BN11" i="27"/>
  <c r="BL19" i="16"/>
  <c r="BL19" i="27"/>
  <c r="M19" i="29" s="1"/>
  <c r="BO45" i="16"/>
  <c r="BO45" i="27"/>
  <c r="BO38" i="16"/>
  <c r="BO38" i="27"/>
  <c r="P38" i="29" s="1"/>
  <c r="BM11" i="16"/>
  <c r="BM11" i="27"/>
  <c r="N11" i="29" s="1"/>
  <c r="BM10" i="16"/>
  <c r="BM10" i="27"/>
  <c r="N10" i="29" s="1"/>
  <c r="BL40" i="16"/>
  <c r="BL40" i="27"/>
  <c r="M40" i="29" s="1"/>
  <c r="BN13" i="16"/>
  <c r="BN13" i="27"/>
  <c r="BK12" i="16"/>
  <c r="BK12" i="27"/>
  <c r="BN24" i="16"/>
  <c r="BN24" i="27"/>
  <c r="BO36" i="16"/>
  <c r="BO36" i="27"/>
  <c r="P36" i="29" s="1"/>
  <c r="BN20" i="16"/>
  <c r="BN20" i="27"/>
  <c r="BL22" i="16"/>
  <c r="BL22" i="27"/>
  <c r="M22" i="29" s="1"/>
  <c r="BK50" i="16"/>
  <c r="BK50" i="27"/>
  <c r="BO23" i="16"/>
  <c r="BO23" i="27"/>
  <c r="P23" i="29" s="1"/>
  <c r="BQ13" i="16"/>
  <c r="BQ13" i="27"/>
  <c r="R13" i="29" s="1"/>
  <c r="BH52" i="16"/>
  <c r="BH52" i="27"/>
  <c r="J52" i="29"/>
  <c r="BB52" i="16"/>
  <c r="D52" i="29"/>
  <c r="BB52" i="27"/>
  <c r="BL44" i="16"/>
  <c r="BL44" i="27"/>
  <c r="M44" i="29" s="1"/>
  <c r="BQ16" i="16"/>
  <c r="BQ16" i="27"/>
  <c r="R16" i="29" s="1"/>
  <c r="BR11" i="16"/>
  <c r="BR11" i="27"/>
  <c r="S11" i="29" s="1"/>
  <c r="BR42" i="16"/>
  <c r="BR42" i="27"/>
  <c r="S42" i="29" s="1"/>
  <c r="BP42" i="16"/>
  <c r="BP42" i="27"/>
  <c r="Q42" i="29" s="1"/>
  <c r="BL17" i="16"/>
  <c r="BL17" i="27"/>
  <c r="M17" i="29" s="1"/>
  <c r="BP50" i="16"/>
  <c r="BP50" i="27"/>
  <c r="Q50" i="29" s="1"/>
  <c r="BQ41" i="16"/>
  <c r="BQ41" i="27"/>
  <c r="R41" i="29" s="1"/>
  <c r="BO20" i="16"/>
  <c r="BO20" i="27"/>
  <c r="P20" i="29" s="1"/>
  <c r="BP11" i="16"/>
  <c r="BP11" i="27"/>
  <c r="Q11" i="29" s="1"/>
  <c r="BO46" i="16"/>
  <c r="BO46" i="27"/>
  <c r="BN19" i="16"/>
  <c r="BN19" i="27"/>
  <c r="BR15" i="16"/>
  <c r="BR15" i="27"/>
  <c r="S15" i="29" s="1"/>
  <c r="BM50" i="16"/>
  <c r="BM50" i="27"/>
  <c r="N50" i="29" s="1"/>
  <c r="BP16" i="16"/>
  <c r="BP16" i="27"/>
  <c r="Q16" i="29" s="1"/>
  <c r="BM45" i="16"/>
  <c r="BM45" i="27"/>
  <c r="N45" i="29" s="1"/>
  <c r="BL52" i="16"/>
  <c r="BL52" i="27"/>
  <c r="M52" i="29" s="1"/>
  <c r="BM13" i="16"/>
  <c r="BM13" i="27"/>
  <c r="N13" i="29" s="1"/>
  <c r="BN49" i="16"/>
  <c r="BN49" i="27"/>
  <c r="BN12" i="16"/>
  <c r="BN12" i="27"/>
  <c r="BM39" i="16"/>
  <c r="BM39" i="27"/>
  <c r="N39" i="29" s="1"/>
  <c r="BP40" i="16"/>
  <c r="BP40" i="27"/>
  <c r="Q40" i="29" s="1"/>
  <c r="BR19" i="16"/>
  <c r="BR19" i="27"/>
  <c r="S19" i="29" s="1"/>
  <c r="BR50" i="16"/>
  <c r="BR50" i="27"/>
  <c r="S50" i="29" s="1"/>
  <c r="BL41" i="16"/>
  <c r="BL41" i="27"/>
  <c r="M41" i="29" s="1"/>
  <c r="BL12" i="16"/>
  <c r="BL12" i="27"/>
  <c r="M12" i="29" s="1"/>
  <c r="BK52" i="16"/>
  <c r="BK52" i="27"/>
  <c r="BK13" i="16"/>
  <c r="BK13" i="27"/>
  <c r="BN15" i="16"/>
  <c r="BN15" i="27"/>
  <c r="BM49" i="16"/>
  <c r="BM49" i="27"/>
  <c r="N49" i="29" s="1"/>
  <c r="BP52" i="16"/>
  <c r="BP52" i="27"/>
  <c r="Q52" i="29" s="1"/>
  <c r="BP38" i="16"/>
  <c r="BP38" i="27"/>
  <c r="Q38" i="29" s="1"/>
  <c r="BR22" i="16"/>
  <c r="BR22" i="27"/>
  <c r="S22" i="29" s="1"/>
  <c r="BO49" i="16"/>
  <c r="BO49" i="27"/>
  <c r="BK41" i="16"/>
  <c r="BK41" i="27"/>
  <c r="BM14" i="16"/>
  <c r="BM14" i="27"/>
  <c r="N14" i="29" s="1"/>
  <c r="BR18" i="16"/>
  <c r="BR18" i="27"/>
  <c r="S18" i="29" s="1"/>
  <c r="BD52" i="16"/>
  <c r="BD52" i="27"/>
  <c r="F52" i="29"/>
  <c r="BM37" i="16"/>
  <c r="BM37" i="27"/>
  <c r="N37" i="29" s="1"/>
  <c r="BN41" i="16"/>
  <c r="BN41" i="27"/>
  <c r="BL48" i="16"/>
  <c r="BL48" i="27"/>
  <c r="M48" i="29" s="1"/>
  <c r="BR38" i="16"/>
  <c r="BR38" i="27"/>
  <c r="S38" i="29" s="1"/>
  <c r="BL50" i="16"/>
  <c r="BL50" i="27"/>
  <c r="M50" i="29" s="1"/>
  <c r="BM23" i="16"/>
  <c r="BM23" i="27"/>
  <c r="N23" i="29" s="1"/>
  <c r="BP22" i="16"/>
  <c r="BP22" i="27"/>
  <c r="Q22" i="29" s="1"/>
  <c r="BK39" i="16"/>
  <c r="BK39" i="27"/>
  <c r="BK49" i="16"/>
  <c r="BK49" i="27"/>
  <c r="BR10" i="16"/>
  <c r="BR10" i="27"/>
  <c r="S10" i="29" s="1"/>
  <c r="BQ39" i="16"/>
  <c r="BQ39" i="27"/>
  <c r="R39" i="29" s="1"/>
  <c r="BR41" i="16"/>
  <c r="BR41" i="27"/>
  <c r="S41" i="29" s="1"/>
  <c r="BL38" i="16"/>
  <c r="BL38" i="27"/>
  <c r="M38" i="29" s="1"/>
  <c r="BO18" i="16"/>
  <c r="BO18" i="27"/>
  <c r="P18" i="29" s="1"/>
  <c r="BQ49" i="16"/>
  <c r="BQ49" i="27"/>
  <c r="BO21" i="16"/>
  <c r="BO21" i="27"/>
  <c r="P21" i="29" s="1"/>
  <c r="BL16" i="16"/>
  <c r="BL16" i="27"/>
  <c r="M16" i="29" s="1"/>
  <c r="BP47" i="16"/>
  <c r="BP47" i="27"/>
  <c r="BM9" i="16"/>
  <c r="BM9" i="27"/>
  <c r="N9" i="29" s="1"/>
  <c r="BM35" i="16"/>
  <c r="BM35" i="27"/>
  <c r="N35" i="29" s="1"/>
  <c r="BM19" i="16"/>
  <c r="BM19" i="27"/>
  <c r="N19" i="29" s="1"/>
  <c r="BK38" i="16"/>
  <c r="BK38" i="27"/>
  <c r="BP23" i="16"/>
  <c r="BP23" i="27"/>
  <c r="Q23" i="29" s="1"/>
  <c r="BM48" i="16"/>
  <c r="BM48" i="27"/>
  <c r="N48" i="29" s="1"/>
  <c r="BK22" i="16"/>
  <c r="BK22" i="27"/>
  <c r="BK47" i="16"/>
  <c r="BK47" i="27"/>
  <c r="BL25" i="16"/>
  <c r="BL25" i="27"/>
  <c r="M25" i="29" s="1"/>
  <c r="BQ37" i="16"/>
  <c r="BQ37" i="27"/>
  <c r="R37" i="29" s="1"/>
  <c r="BK37" i="16"/>
  <c r="BK37" i="27"/>
  <c r="BO40" i="16"/>
  <c r="BO40" i="27"/>
  <c r="P40" i="29" s="1"/>
  <c r="BK35" i="16"/>
  <c r="BK35" i="27"/>
  <c r="BK19" i="16"/>
  <c r="BK19" i="27"/>
  <c r="BO19" i="16"/>
  <c r="BO19" i="27"/>
  <c r="P19" i="29" s="1"/>
  <c r="BP15" i="16"/>
  <c r="BP15" i="27"/>
  <c r="Q15" i="29" s="1"/>
  <c r="BR45" i="16"/>
  <c r="BR45" i="27"/>
  <c r="BN47" i="16"/>
  <c r="BN47" i="27"/>
  <c r="BN26" i="16"/>
  <c r="BN26" i="27"/>
  <c r="BO42" i="16"/>
  <c r="BO42" i="27"/>
  <c r="P42" i="29" s="1"/>
  <c r="BQ47" i="16"/>
  <c r="BQ47" i="27"/>
  <c r="BI52" i="16"/>
  <c r="BI52" i="27"/>
  <c r="K52" i="29"/>
  <c r="BF52" i="16"/>
  <c r="BF52" i="27"/>
  <c r="H52" i="29"/>
  <c r="BQ26" i="16"/>
  <c r="BQ26" i="27"/>
  <c r="R26" i="29" s="1"/>
  <c r="BN16" i="16"/>
  <c r="BN16" i="27"/>
  <c r="BP26" i="16"/>
  <c r="BP26" i="27"/>
  <c r="Q26" i="29" s="1"/>
  <c r="BO17" i="16"/>
  <c r="BO17" i="27"/>
  <c r="P17" i="29" s="1"/>
  <c r="BN48" i="16"/>
  <c r="BN48" i="27"/>
  <c r="BO12" i="16"/>
  <c r="BO12" i="27"/>
  <c r="P12" i="29" s="1"/>
  <c r="BO9" i="16"/>
  <c r="BO9" i="27"/>
  <c r="P9" i="29" s="1"/>
  <c r="BN21" i="16"/>
  <c r="BN21" i="27"/>
  <c r="BQ17" i="16"/>
  <c r="BQ17" i="27"/>
  <c r="R17" i="29" s="1"/>
  <c r="BM46" i="16"/>
  <c r="BM46" i="27"/>
  <c r="N46" i="29" s="1"/>
  <c r="BQ46" i="16"/>
  <c r="BQ46" i="27"/>
  <c r="BO48" i="16"/>
  <c r="BO48" i="27"/>
  <c r="BN25" i="16"/>
  <c r="BN25" i="27"/>
  <c r="BP13" i="16"/>
  <c r="BP13" i="27"/>
  <c r="Q13" i="29" s="1"/>
  <c r="BQ11" i="16"/>
  <c r="BQ11" i="27"/>
  <c r="R11" i="29" s="1"/>
  <c r="BL49" i="16"/>
  <c r="BL49" i="27"/>
  <c r="M49" i="29" s="1"/>
  <c r="BP12" i="16"/>
  <c r="BP12" i="27"/>
  <c r="Q12" i="29" s="1"/>
  <c r="BN10" i="16"/>
  <c r="BN10" i="27"/>
  <c r="BQ25" i="16"/>
  <c r="BQ25" i="27"/>
  <c r="R25" i="29" s="1"/>
  <c r="BR9" i="16"/>
  <c r="BR9" i="27"/>
  <c r="S9" i="29" s="1"/>
  <c r="BL18" i="16"/>
  <c r="BL18" i="27"/>
  <c r="M18" i="29" s="1"/>
  <c r="BL47" i="16"/>
  <c r="BL47" i="27"/>
  <c r="M47" i="29" s="1"/>
  <c r="BP17" i="16"/>
  <c r="BP17" i="27"/>
  <c r="Q17" i="29" s="1"/>
  <c r="BL14" i="16"/>
  <c r="BL14" i="27"/>
  <c r="M14" i="29" s="1"/>
  <c r="BL37" i="16"/>
  <c r="BL37" i="27"/>
  <c r="M37" i="29" s="1"/>
  <c r="BR17" i="16"/>
  <c r="BR17" i="27"/>
  <c r="S17" i="29" s="1"/>
  <c r="BQ50" i="16"/>
  <c r="BQ50" i="27"/>
  <c r="R50" i="29" s="1"/>
  <c r="BQ22" i="16"/>
  <c r="BQ22" i="27"/>
  <c r="R22" i="29" s="1"/>
  <c r="BR13" i="16"/>
  <c r="BR13" i="27"/>
  <c r="S13" i="29" s="1"/>
  <c r="BK23" i="16"/>
  <c r="BK23" i="27"/>
  <c r="BP36" i="16"/>
  <c r="BP36" i="27"/>
  <c r="Q36" i="29" s="1"/>
  <c r="BQ20" i="16"/>
  <c r="BQ20" i="27"/>
  <c r="R20" i="29" s="1"/>
  <c r="BM47" i="16"/>
  <c r="BM47" i="27"/>
  <c r="N47" i="29" s="1"/>
  <c r="BK14" i="16"/>
  <c r="BK14" i="27"/>
  <c r="BR49" i="16"/>
  <c r="BR49" i="27"/>
  <c r="BN18" i="16"/>
  <c r="BN18" i="27"/>
  <c r="BO22" i="16"/>
  <c r="BO22" i="27"/>
  <c r="P22" i="29" s="1"/>
  <c r="BM24" i="16"/>
  <c r="BM24" i="27"/>
  <c r="N24" i="29" s="1"/>
  <c r="BN9" i="16"/>
  <c r="BN9" i="27"/>
  <c r="BN37" i="16"/>
  <c r="BN37" i="27"/>
  <c r="BO26" i="16"/>
  <c r="BO26" i="27"/>
  <c r="P26" i="29" s="1"/>
  <c r="BP45" i="16"/>
  <c r="BP45" i="27"/>
  <c r="BP39" i="16"/>
  <c r="BP39" i="27"/>
  <c r="Q39" i="29" s="1"/>
  <c r="BP35" i="16"/>
  <c r="BP35" i="27"/>
  <c r="Q35" i="29" s="1"/>
  <c r="BO37" i="16"/>
  <c r="BO37" i="27"/>
  <c r="P37" i="29" s="1"/>
  <c r="BN35" i="16"/>
  <c r="BN35" i="27"/>
  <c r="BM52" i="16"/>
  <c r="BM52" i="27"/>
  <c r="N52" i="29" s="1"/>
  <c r="BO15" i="16"/>
  <c r="BO15" i="27"/>
  <c r="P15" i="29" s="1"/>
  <c r="BN45" i="16"/>
  <c r="BN45" i="27"/>
  <c r="BK44" i="16"/>
  <c r="BK44" i="27"/>
  <c r="BR26" i="16"/>
  <c r="BR26" i="27"/>
  <c r="S26" i="29" s="1"/>
  <c r="BR24" i="16"/>
  <c r="BR24" i="27"/>
  <c r="S24" i="29" s="1"/>
  <c r="BQ52" i="16"/>
  <c r="BQ52" i="27"/>
  <c r="R52" i="29" s="1"/>
  <c r="BN42" i="16"/>
  <c r="BN42" i="27"/>
  <c r="BQ21" i="16"/>
  <c r="BQ21" i="27"/>
  <c r="R21" i="29" s="1"/>
  <c r="BM18" i="16"/>
  <c r="BM18" i="27"/>
  <c r="N18" i="29" s="1"/>
  <c r="BR14" i="16"/>
  <c r="BR14" i="27"/>
  <c r="S14" i="29" s="1"/>
  <c r="BR48" i="16"/>
  <c r="BR48" i="27"/>
  <c r="BQ12" i="16"/>
  <c r="BQ12" i="27"/>
  <c r="R12" i="29" s="1"/>
  <c r="BO41" i="16"/>
  <c r="BO41" i="27"/>
  <c r="P41" i="29" s="1"/>
  <c r="BP24" i="16"/>
  <c r="BP24" i="27"/>
  <c r="Q24" i="29" s="1"/>
  <c r="BO16" i="16"/>
  <c r="BO16" i="27"/>
  <c r="P16" i="29" s="1"/>
  <c r="BK46" i="16"/>
  <c r="BK46" i="27"/>
  <c r="BK42" i="16"/>
  <c r="BK42" i="27"/>
  <c r="BN22" i="16"/>
  <c r="BN22" i="27"/>
  <c r="BR52" i="16"/>
  <c r="BR52" i="27"/>
  <c r="S52" i="29" s="1"/>
  <c r="BQ15" i="16"/>
  <c r="BQ15" i="27"/>
  <c r="R15" i="29" s="1"/>
  <c r="BL42" i="16"/>
  <c r="BL42" i="27"/>
  <c r="M42" i="29" s="1"/>
  <c r="BK11" i="16"/>
  <c r="BK11" i="27"/>
  <c r="BL21" i="16"/>
  <c r="BL21" i="27"/>
  <c r="M21" i="29" s="1"/>
  <c r="BP9" i="16"/>
  <c r="BP9" i="27"/>
  <c r="Q9" i="29" s="1"/>
  <c r="BP46" i="16"/>
  <c r="BP46" i="27"/>
  <c r="BQ9" i="16"/>
  <c r="BQ9" i="27"/>
  <c r="R9" i="29" s="1"/>
  <c r="BM41" i="16"/>
  <c r="BM41" i="27"/>
  <c r="N41" i="29" s="1"/>
  <c r="BM15" i="16"/>
  <c r="BM15" i="27"/>
  <c r="N15" i="29" s="1"/>
  <c r="BK18" i="16"/>
  <c r="BK18" i="27"/>
  <c r="BQ48" i="16"/>
  <c r="BQ48" i="27"/>
  <c r="BE52" i="16"/>
  <c r="BE52" i="27"/>
  <c r="G52" i="29"/>
  <c r="BO35" i="16"/>
  <c r="BO35" i="27"/>
  <c r="P35" i="29" s="1"/>
  <c r="BR25" i="16"/>
  <c r="BR25" i="27"/>
  <c r="S25" i="29" s="1"/>
  <c r="BR46" i="16"/>
  <c r="BR46" i="27"/>
  <c r="BN17" i="16"/>
  <c r="BN17" i="27"/>
  <c r="BO11" i="16"/>
  <c r="BO11" i="27"/>
  <c r="P11" i="29" s="1"/>
  <c r="BQ45" i="16"/>
  <c r="BQ45" i="27"/>
  <c r="BR21" i="16"/>
  <c r="BR21" i="27"/>
  <c r="S21" i="29" s="1"/>
  <c r="BK36" i="16"/>
  <c r="BK36" i="27"/>
  <c r="BO24" i="16"/>
  <c r="BO24" i="27"/>
  <c r="P24" i="29" s="1"/>
  <c r="BM26" i="16"/>
  <c r="BM26" i="27"/>
  <c r="N26" i="29" s="1"/>
  <c r="BN50" i="16"/>
  <c r="BN50" i="27"/>
  <c r="BR39" i="16"/>
  <c r="BR39" i="27"/>
  <c r="S39" i="29" s="1"/>
  <c r="BR16" i="16"/>
  <c r="BR16" i="27"/>
  <c r="S16" i="29" s="1"/>
  <c r="BO10" i="16"/>
  <c r="BO10" i="27"/>
  <c r="P10" i="29" s="1"/>
  <c r="BL36" i="16"/>
  <c r="BL36" i="27"/>
  <c r="M36" i="29" s="1"/>
  <c r="BM36" i="16"/>
  <c r="BM36" i="27"/>
  <c r="N36" i="29" s="1"/>
  <c r="BP49" i="16"/>
  <c r="BP49" i="27"/>
  <c r="BK20" i="16"/>
  <c r="BK20" i="27"/>
  <c r="BK40" i="16"/>
  <c r="BK40" i="27"/>
  <c r="BO47" i="16"/>
  <c r="BO47" i="27"/>
  <c r="BP18" i="16"/>
  <c r="BP18" i="27"/>
  <c r="Q18" i="29" s="1"/>
  <c r="BK48" i="16"/>
  <c r="BK48" i="27"/>
  <c r="BM21" i="16"/>
  <c r="BM21" i="27"/>
  <c r="N21" i="29" s="1"/>
  <c r="BL35" i="16"/>
  <c r="BL35" i="27"/>
  <c r="M35" i="29" s="1"/>
  <c r="BL26" i="16"/>
  <c r="BL26" i="27"/>
  <c r="M26" i="29" s="1"/>
  <c r="BQ18" i="16"/>
  <c r="BQ18" i="27"/>
  <c r="R18" i="29" s="1"/>
  <c r="BN52" i="16"/>
  <c r="BN52" i="27"/>
  <c r="BQ24" i="16"/>
  <c r="BQ24" i="27"/>
  <c r="R24" i="29" s="1"/>
  <c r="BL10" i="16"/>
  <c r="BL10" i="27"/>
  <c r="M10" i="29" s="1"/>
  <c r="BR35" i="16"/>
  <c r="BR35" i="27"/>
  <c r="S35" i="29" s="1"/>
  <c r="BK26" i="16"/>
  <c r="BK26" i="27"/>
  <c r="BO14" i="16"/>
  <c r="BO14" i="27"/>
  <c r="P14" i="29" s="1"/>
  <c r="BQ14" i="16"/>
  <c r="BQ14" i="27"/>
  <c r="R14" i="29" s="1"/>
  <c r="BR33" i="16"/>
  <c r="BR33" i="27"/>
  <c r="S33" i="29" s="1"/>
  <c r="CB185" i="12"/>
  <c r="CA185" i="12"/>
  <c r="BZ185" i="12"/>
  <c r="BN29" i="16"/>
  <c r="BN29" i="27"/>
  <c r="BP31" i="16"/>
  <c r="BP31" i="27"/>
  <c r="Q31" i="29" s="1"/>
  <c r="BR28" i="16"/>
  <c r="BR28" i="27"/>
  <c r="S28" i="29" s="1"/>
  <c r="BK30" i="16"/>
  <c r="BK30" i="27"/>
  <c r="BK29" i="16"/>
  <c r="BK29" i="27"/>
  <c r="BQ28" i="16"/>
  <c r="BQ28" i="27"/>
  <c r="R28" i="29" s="1"/>
  <c r="BL30" i="16"/>
  <c r="BL30" i="27"/>
  <c r="M30" i="29" s="1"/>
  <c r="BQ29" i="16"/>
  <c r="BQ29" i="27"/>
  <c r="R29" i="29" s="1"/>
  <c r="BO28" i="16"/>
  <c r="BO28" i="27"/>
  <c r="P28" i="29" s="1"/>
  <c r="BN30" i="16"/>
  <c r="BN30" i="27"/>
  <c r="BQ30" i="16"/>
  <c r="BQ30" i="27"/>
  <c r="R30" i="29" s="1"/>
  <c r="BR32" i="16"/>
  <c r="BR32" i="27"/>
  <c r="S32" i="29" s="1"/>
  <c r="BN32" i="16"/>
  <c r="BN32" i="27"/>
  <c r="BM29" i="16"/>
  <c r="BM29" i="27"/>
  <c r="N29" i="29" s="1"/>
  <c r="BN33" i="16"/>
  <c r="BN33" i="27"/>
  <c r="BL28" i="16"/>
  <c r="BL28" i="27"/>
  <c r="M28" i="29" s="1"/>
  <c r="BM28" i="16"/>
  <c r="BM28" i="27"/>
  <c r="N28" i="29" s="1"/>
  <c r="BN31" i="16"/>
  <c r="BN31" i="27"/>
  <c r="BM32" i="16"/>
  <c r="BM32" i="27"/>
  <c r="N32" i="29" s="1"/>
  <c r="BP32" i="16"/>
  <c r="BP32" i="27"/>
  <c r="Q32" i="29" s="1"/>
  <c r="BP29" i="16"/>
  <c r="BP29" i="27"/>
  <c r="Q29" i="29" s="1"/>
  <c r="BK32" i="16"/>
  <c r="BK32" i="27"/>
  <c r="BN28" i="16"/>
  <c r="BN28" i="27"/>
  <c r="BQ31" i="16"/>
  <c r="BQ31" i="27"/>
  <c r="R31" i="29" s="1"/>
  <c r="BR30" i="16"/>
  <c r="BR30" i="27"/>
  <c r="S30" i="29" s="1"/>
  <c r="BO31" i="16"/>
  <c r="BO31" i="27"/>
  <c r="P31" i="29" s="1"/>
  <c r="BO30" i="16"/>
  <c r="BO30" i="27"/>
  <c r="P30" i="29" s="1"/>
  <c r="BK31" i="16"/>
  <c r="BK31" i="27"/>
  <c r="BL31" i="16"/>
  <c r="BL31" i="27"/>
  <c r="M31" i="29" s="1"/>
  <c r="BK33" i="16"/>
  <c r="BK33" i="27"/>
  <c r="BP33" i="16"/>
  <c r="BP33" i="27"/>
  <c r="Q33" i="29" s="1"/>
  <c r="BR29" i="16"/>
  <c r="BR29" i="27"/>
  <c r="S29" i="29" s="1"/>
  <c r="BM30" i="16"/>
  <c r="BM30" i="27"/>
  <c r="N30" i="29" s="1"/>
  <c r="BP30" i="16"/>
  <c r="BP30" i="27"/>
  <c r="Q30" i="29" s="1"/>
  <c r="BO29" i="16"/>
  <c r="BO29" i="27"/>
  <c r="P29" i="29" s="1"/>
  <c r="BL33" i="16"/>
  <c r="BL33" i="27"/>
  <c r="M33" i="29" s="1"/>
  <c r="BO33" i="16"/>
  <c r="BO33" i="27"/>
  <c r="P33" i="29" s="1"/>
  <c r="CB183" i="12"/>
  <c r="CA183" i="12"/>
  <c r="BZ183" i="12"/>
  <c r="BP28" i="16"/>
  <c r="BP28" i="27"/>
  <c r="Q28" i="29" s="1"/>
  <c r="BO32" i="16"/>
  <c r="BO32" i="27"/>
  <c r="P32" i="29" s="1"/>
  <c r="BK28" i="16"/>
  <c r="BK28" i="27"/>
  <c r="BM31" i="16"/>
  <c r="BM31" i="27"/>
  <c r="N31" i="29" s="1"/>
  <c r="BQ32" i="16"/>
  <c r="BQ32" i="27"/>
  <c r="R32" i="29" s="1"/>
  <c r="BL32" i="16"/>
  <c r="BL32" i="27"/>
  <c r="M32" i="29" s="1"/>
  <c r="BR31" i="16"/>
  <c r="BR31" i="27"/>
  <c r="S31" i="29" s="1"/>
  <c r="BQ33" i="16"/>
  <c r="BQ33" i="27"/>
  <c r="R33" i="29" s="1"/>
  <c r="BL29" i="16"/>
  <c r="BL29" i="27"/>
  <c r="M29" i="29" s="1"/>
  <c r="BM33" i="16"/>
  <c r="BM33" i="27"/>
  <c r="N33" i="29" s="1"/>
  <c r="CB184" i="12"/>
  <c r="CA184" i="12"/>
  <c r="BZ184" i="12"/>
  <c r="BN44" i="16"/>
  <c r="BN44" i="27"/>
  <c r="BQ44" i="16"/>
  <c r="BQ44" i="27"/>
  <c r="BO44" i="16"/>
  <c r="BO44" i="27"/>
  <c r="BR44" i="16"/>
  <c r="BR44" i="27"/>
  <c r="BP44" i="16"/>
  <c r="BP44" i="27"/>
  <c r="BL136" i="27"/>
  <c r="BR136" i="27"/>
  <c r="BP154" i="16"/>
  <c r="BP180" i="16"/>
  <c r="BP167" i="16"/>
  <c r="BR154" i="16"/>
  <c r="BR180" i="16"/>
  <c r="BR167" i="16"/>
  <c r="BN180" i="16"/>
  <c r="BN167" i="16"/>
  <c r="BK136" i="27"/>
  <c r="BM136" i="27"/>
  <c r="BQ154" i="16"/>
  <c r="BQ180" i="16"/>
  <c r="BQ167" i="16"/>
  <c r="BN136" i="27"/>
  <c r="BJ7" i="27"/>
  <c r="AW136" i="16"/>
  <c r="BN154" i="16"/>
  <c r="BO136" i="16"/>
  <c r="BJ41" i="16"/>
  <c r="BJ7" i="16"/>
  <c r="BJ136" i="12"/>
  <c r="CS70" i="24"/>
  <c r="CW70" i="24"/>
  <c r="AZ72" i="24"/>
  <c r="CP72" i="24" s="1"/>
  <c r="G53" i="22" s="1"/>
  <c r="BA72" i="24"/>
  <c r="AY72" i="24"/>
  <c r="CR70" i="24"/>
  <c r="AL72" i="24"/>
  <c r="AM72" i="24"/>
  <c r="AK72" i="24"/>
  <c r="CD72" i="24" s="1"/>
  <c r="CU70" i="24"/>
  <c r="CV70" i="24"/>
  <c r="CT70" i="24"/>
  <c r="AO51" i="22"/>
  <c r="BS51" i="16" s="1"/>
  <c r="CH71" i="24"/>
  <c r="CE71" i="24"/>
  <c r="CF71" i="24"/>
  <c r="CG71" i="24"/>
  <c r="CI71" i="24"/>
  <c r="CJ71" i="24"/>
  <c r="CL71" i="24"/>
  <c r="CK71" i="24"/>
  <c r="CQ70" i="24"/>
  <c r="AH52" i="22"/>
  <c r="CX70" i="24"/>
  <c r="X72" i="19"/>
  <c r="X72" i="24"/>
  <c r="X72" i="7"/>
  <c r="X72" i="12" s="1"/>
  <c r="CR144" i="3"/>
  <c r="CR143" i="3"/>
  <c r="CU143" i="3"/>
  <c r="CW146" i="3"/>
  <c r="CT139" i="3"/>
  <c r="CV144" i="3"/>
  <c r="BL27" i="12"/>
  <c r="BL138" i="12" s="1"/>
  <c r="CR138" i="3"/>
  <c r="CT146" i="3"/>
  <c r="CQ146" i="3"/>
  <c r="BR8" i="12"/>
  <c r="BR8" i="27" s="1"/>
  <c r="CX137" i="3"/>
  <c r="BL43" i="12"/>
  <c r="CR140" i="3"/>
  <c r="BL51" i="12"/>
  <c r="CR141" i="3"/>
  <c r="BO27" i="12"/>
  <c r="BO138" i="12" s="1"/>
  <c r="CU138" i="3"/>
  <c r="CW144" i="3"/>
  <c r="BQ8" i="12"/>
  <c r="CW137" i="3"/>
  <c r="CS143" i="3"/>
  <c r="CU146" i="3"/>
  <c r="BM51" i="12"/>
  <c r="BM51" i="27" s="1"/>
  <c r="CS141" i="3"/>
  <c r="CT143" i="3"/>
  <c r="CV139" i="3"/>
  <c r="CU137" i="3"/>
  <c r="BO43" i="12"/>
  <c r="CU140" i="3"/>
  <c r="CW143" i="3"/>
  <c r="CU139" i="3"/>
  <c r="CT144" i="3"/>
  <c r="BR51" i="12"/>
  <c r="BR51" i="27" s="1"/>
  <c r="CX141" i="3"/>
  <c r="BP43" i="12"/>
  <c r="CV140" i="3"/>
  <c r="BP27" i="12"/>
  <c r="BP27" i="27" s="1"/>
  <c r="CV138" i="3"/>
  <c r="CX145" i="3"/>
  <c r="CV146" i="3"/>
  <c r="CU142" i="3"/>
  <c r="CW142" i="3"/>
  <c r="CU144" i="3"/>
  <c r="CV143" i="3"/>
  <c r="CU145" i="3"/>
  <c r="BN43" i="12"/>
  <c r="CT140" i="3"/>
  <c r="BR43" i="12"/>
  <c r="CX140" i="3"/>
  <c r="CX144" i="3"/>
  <c r="CQ144" i="3"/>
  <c r="BP8" i="12"/>
  <c r="CV137" i="3"/>
  <c r="CR146" i="3"/>
  <c r="CS139" i="3"/>
  <c r="CR142" i="3"/>
  <c r="BQ51" i="12"/>
  <c r="CW141" i="3"/>
  <c r="CQ143" i="3"/>
  <c r="CX139" i="3"/>
  <c r="BN27" i="12"/>
  <c r="CT138" i="3"/>
  <c r="BM8" i="12"/>
  <c r="CS137" i="3"/>
  <c r="CQ145" i="3"/>
  <c r="BP51" i="12"/>
  <c r="BP51" i="27" s="1"/>
  <c r="CV141" i="3"/>
  <c r="CX146" i="3"/>
  <c r="CW145" i="3"/>
  <c r="CT145" i="3"/>
  <c r="CW139" i="3"/>
  <c r="BL8" i="12"/>
  <c r="CR137" i="3"/>
  <c r="BK43" i="12"/>
  <c r="CQ140" i="3"/>
  <c r="CS145" i="3"/>
  <c r="CX143" i="3"/>
  <c r="BN8" i="12"/>
  <c r="CT137" i="3"/>
  <c r="BO51" i="12"/>
  <c r="CU141" i="3"/>
  <c r="CX142" i="3"/>
  <c r="CS146" i="3"/>
  <c r="CQ142" i="3"/>
  <c r="BM43" i="12"/>
  <c r="CS140" i="3"/>
  <c r="BK27" i="12"/>
  <c r="CQ138" i="3"/>
  <c r="BN51" i="12"/>
  <c r="BN51" i="27" s="1"/>
  <c r="CT141" i="3"/>
  <c r="CQ139" i="3"/>
  <c r="CV145" i="3"/>
  <c r="BK51" i="12"/>
  <c r="CQ141" i="3"/>
  <c r="BQ43" i="12"/>
  <c r="CW140" i="3"/>
  <c r="CV142" i="3"/>
  <c r="CS142" i="3"/>
  <c r="CS144" i="3"/>
  <c r="CT142" i="3"/>
  <c r="BM27" i="12"/>
  <c r="CS138" i="3"/>
  <c r="BR27" i="12"/>
  <c r="CX138" i="3"/>
  <c r="BQ27" i="12"/>
  <c r="CW138" i="3"/>
  <c r="BK8" i="12"/>
  <c r="BK8" i="27" s="1"/>
  <c r="CQ137" i="3"/>
  <c r="CR139" i="3"/>
  <c r="CR145" i="3"/>
  <c r="CV133" i="3"/>
  <c r="Y209" i="32" s="1"/>
  <c r="CW133" i="3"/>
  <c r="Z209" i="32" s="1"/>
  <c r="CX133" i="3"/>
  <c r="AA209" i="32" s="1"/>
  <c r="R74" i="17"/>
  <c r="AE73" i="17"/>
  <c r="AD73" i="17"/>
  <c r="AC73" i="17"/>
  <c r="AB73" i="17"/>
  <c r="AA73" i="17"/>
  <c r="Z73" i="17"/>
  <c r="V73" i="17"/>
  <c r="X73" i="3" s="1"/>
  <c r="U73" i="17"/>
  <c r="X73" i="7" s="1"/>
  <c r="X73" i="12" s="1"/>
  <c r="T73" i="17"/>
  <c r="S73" i="17"/>
  <c r="X73" i="15" s="1"/>
  <c r="X73" i="17"/>
  <c r="X73" i="14" s="1"/>
  <c r="W73" i="17"/>
  <c r="X73" i="19" s="1"/>
  <c r="CR133" i="3"/>
  <c r="BL11" i="12"/>
  <c r="BJ17" i="12"/>
  <c r="BJ46" i="12"/>
  <c r="BJ39" i="12"/>
  <c r="BJ16" i="12"/>
  <c r="BJ28" i="12"/>
  <c r="BJ10" i="12"/>
  <c r="BJ15" i="12"/>
  <c r="BJ21" i="12"/>
  <c r="BJ32" i="12"/>
  <c r="BJ38" i="12"/>
  <c r="BJ36" i="12"/>
  <c r="BJ49" i="12"/>
  <c r="BJ22" i="12"/>
  <c r="BJ44" i="12"/>
  <c r="BJ31" i="12"/>
  <c r="BJ40" i="12"/>
  <c r="BJ25" i="12"/>
  <c r="BJ23" i="12"/>
  <c r="BJ9" i="12"/>
  <c r="BJ47" i="12"/>
  <c r="BJ12" i="12"/>
  <c r="BJ42" i="12"/>
  <c r="BJ19" i="12"/>
  <c r="CT133" i="3"/>
  <c r="W209" i="32" s="1"/>
  <c r="BJ30" i="12"/>
  <c r="BJ48" i="12"/>
  <c r="BJ13" i="12"/>
  <c r="CU133" i="3"/>
  <c r="X209" i="32" s="1"/>
  <c r="BJ50" i="12"/>
  <c r="BJ29" i="12"/>
  <c r="CQ133" i="3"/>
  <c r="BJ20" i="12"/>
  <c r="BJ37" i="12"/>
  <c r="BJ24" i="12"/>
  <c r="BJ33" i="12"/>
  <c r="BJ52" i="12"/>
  <c r="BJ35" i="12"/>
  <c r="BJ14" i="12"/>
  <c r="BJ18" i="12"/>
  <c r="BJ41" i="12"/>
  <c r="BJ26" i="12"/>
  <c r="CS133" i="3"/>
  <c r="BO8" i="12"/>
  <c r="BJ45" i="12"/>
  <c r="BJ36" i="16" l="1"/>
  <c r="X73" i="31"/>
  <c r="X73" i="27"/>
  <c r="X73" i="16"/>
  <c r="BV12" i="27"/>
  <c r="BT12" i="27"/>
  <c r="BV9" i="27"/>
  <c r="BT9" i="27"/>
  <c r="X72" i="31"/>
  <c r="X72" i="27"/>
  <c r="X72" i="16"/>
  <c r="BV11" i="27"/>
  <c r="BT11" i="27"/>
  <c r="BJ40" i="16"/>
  <c r="BJ20" i="16"/>
  <c r="BJ12" i="16"/>
  <c r="BJ10" i="16"/>
  <c r="BJ22" i="16"/>
  <c r="BJ26" i="16"/>
  <c r="BJ15" i="16"/>
  <c r="BJ42" i="16"/>
  <c r="BJ13" i="16"/>
  <c r="BJ38" i="16"/>
  <c r="BJ9" i="16"/>
  <c r="BJ23" i="16"/>
  <c r="BJ39" i="16"/>
  <c r="BJ17" i="16"/>
  <c r="BJ19" i="16"/>
  <c r="BJ25" i="16"/>
  <c r="BJ21" i="16"/>
  <c r="BJ48" i="16"/>
  <c r="BJ50" i="16"/>
  <c r="BJ47" i="16"/>
  <c r="BJ37" i="16"/>
  <c r="BJ11" i="16"/>
  <c r="BJ35" i="16"/>
  <c r="S44" i="29"/>
  <c r="BJ45" i="16"/>
  <c r="Q46" i="29"/>
  <c r="P48" i="29"/>
  <c r="Q47" i="29"/>
  <c r="R45" i="29"/>
  <c r="Q49" i="29"/>
  <c r="P45" i="29"/>
  <c r="P44" i="29"/>
  <c r="BJ49" i="16"/>
  <c r="S49" i="29"/>
  <c r="R46" i="29"/>
  <c r="P47" i="29"/>
  <c r="P46" i="29"/>
  <c r="S47" i="29"/>
  <c r="R44" i="29"/>
  <c r="S48" i="29"/>
  <c r="Q45" i="29"/>
  <c r="S46" i="29"/>
  <c r="P49" i="29"/>
  <c r="Q48" i="29"/>
  <c r="Q44" i="29"/>
  <c r="O44" i="29"/>
  <c r="R48" i="29"/>
  <c r="R47" i="29"/>
  <c r="S45" i="29"/>
  <c r="R49" i="29"/>
  <c r="BJ14" i="16"/>
  <c r="BJ24" i="16"/>
  <c r="BJ18" i="16"/>
  <c r="BJ16" i="16"/>
  <c r="BJ46" i="16"/>
  <c r="BJ52" i="16"/>
  <c r="O23" i="29"/>
  <c r="BJ23" i="27"/>
  <c r="O39" i="29"/>
  <c r="BJ39" i="27"/>
  <c r="O36" i="29"/>
  <c r="BJ36" i="27"/>
  <c r="BO51" i="16"/>
  <c r="BO51" i="27"/>
  <c r="O22" i="29"/>
  <c r="BJ22" i="27"/>
  <c r="O48" i="29"/>
  <c r="BJ48" i="27"/>
  <c r="O11" i="29"/>
  <c r="BJ11" i="27"/>
  <c r="BO8" i="16"/>
  <c r="BO8" i="27"/>
  <c r="BM8" i="16"/>
  <c r="BM137" i="16" s="1"/>
  <c r="BM8" i="27"/>
  <c r="N51" i="29"/>
  <c r="O15" i="29"/>
  <c r="BJ15" i="27"/>
  <c r="O37" i="29"/>
  <c r="BJ37" i="27"/>
  <c r="O18" i="29"/>
  <c r="BJ18" i="27"/>
  <c r="O21" i="29"/>
  <c r="BJ21" i="27"/>
  <c r="O41" i="29"/>
  <c r="BJ41" i="27"/>
  <c r="O20" i="29"/>
  <c r="BJ20" i="27"/>
  <c r="O13" i="29"/>
  <c r="BJ13" i="27"/>
  <c r="BK51" i="16"/>
  <c r="BK51" i="27"/>
  <c r="O12" i="29"/>
  <c r="BJ12" i="27"/>
  <c r="O19" i="29"/>
  <c r="BJ19" i="27"/>
  <c r="BN137" i="12"/>
  <c r="BN168" i="12" s="1"/>
  <c r="BN182" i="12" s="1"/>
  <c r="BN8" i="27"/>
  <c r="BL11" i="16"/>
  <c r="BL11" i="27"/>
  <c r="M11" i="29" s="1"/>
  <c r="O9" i="29"/>
  <c r="BJ9" i="27"/>
  <c r="O26" i="29"/>
  <c r="BJ26" i="27"/>
  <c r="O40" i="29"/>
  <c r="BJ40" i="27"/>
  <c r="O46" i="29"/>
  <c r="BJ46" i="27"/>
  <c r="BL8" i="16"/>
  <c r="BL8" i="27"/>
  <c r="BM43" i="16"/>
  <c r="BM140" i="16" s="1"/>
  <c r="BM43" i="27"/>
  <c r="BP8" i="16"/>
  <c r="BP137" i="16" s="1"/>
  <c r="BP8" i="27"/>
  <c r="BL43" i="16"/>
  <c r="BL140" i="16" s="1"/>
  <c r="BL43" i="27"/>
  <c r="BK137" i="27"/>
  <c r="BQ8" i="16"/>
  <c r="BQ137" i="16" s="1"/>
  <c r="BQ181" i="16" s="1"/>
  <c r="BQ8" i="27"/>
  <c r="O17" i="29"/>
  <c r="BJ17" i="27"/>
  <c r="O49" i="29"/>
  <c r="BJ49" i="27"/>
  <c r="O45" i="29"/>
  <c r="BJ45" i="27"/>
  <c r="O25" i="29"/>
  <c r="BJ25" i="27"/>
  <c r="BL51" i="16"/>
  <c r="BL51" i="27"/>
  <c r="BK43" i="16"/>
  <c r="BK140" i="16" s="1"/>
  <c r="BK43" i="27"/>
  <c r="BK140" i="27" s="1"/>
  <c r="Q51" i="29"/>
  <c r="S8" i="29"/>
  <c r="BR137" i="27"/>
  <c r="O42" i="29"/>
  <c r="BJ42" i="27"/>
  <c r="O35" i="29"/>
  <c r="BJ35" i="27"/>
  <c r="O10" i="29"/>
  <c r="BJ10" i="27"/>
  <c r="O16" i="29"/>
  <c r="BJ16" i="27"/>
  <c r="O47" i="29"/>
  <c r="BJ47" i="27"/>
  <c r="O24" i="29"/>
  <c r="BJ24" i="27"/>
  <c r="O38" i="29"/>
  <c r="BJ38" i="27"/>
  <c r="O14" i="29"/>
  <c r="BJ14" i="27"/>
  <c r="O51" i="29"/>
  <c r="BQ51" i="16"/>
  <c r="BQ51" i="27"/>
  <c r="S51" i="29"/>
  <c r="O52" i="29"/>
  <c r="BJ52" i="27"/>
  <c r="O50" i="29"/>
  <c r="BJ50" i="27"/>
  <c r="BJ30" i="16"/>
  <c r="BJ28" i="16"/>
  <c r="BJ31" i="16"/>
  <c r="BJ32" i="16"/>
  <c r="BJ29" i="16"/>
  <c r="BJ33" i="16"/>
  <c r="BL27" i="16"/>
  <c r="BL138" i="16" s="1"/>
  <c r="BL27" i="27"/>
  <c r="O32" i="29"/>
  <c r="BJ32" i="27"/>
  <c r="O29" i="29"/>
  <c r="BJ29" i="27"/>
  <c r="BK27" i="16"/>
  <c r="BK138" i="16" s="1"/>
  <c r="BK27" i="27"/>
  <c r="BK138" i="27" s="1"/>
  <c r="Q27" i="29"/>
  <c r="BP138" i="27"/>
  <c r="O28" i="29"/>
  <c r="BJ28" i="27"/>
  <c r="O33" i="29"/>
  <c r="BJ33" i="27"/>
  <c r="BR27" i="16"/>
  <c r="BR138" i="16" s="1"/>
  <c r="BR27" i="27"/>
  <c r="BM27" i="16"/>
  <c r="BM138" i="16" s="1"/>
  <c r="BM27" i="27"/>
  <c r="BN27" i="16"/>
  <c r="BN138" i="16" s="1"/>
  <c r="BN27" i="27"/>
  <c r="BQ27" i="16"/>
  <c r="BQ138" i="16" s="1"/>
  <c r="BQ27" i="27"/>
  <c r="BO27" i="16"/>
  <c r="BO138" i="16" s="1"/>
  <c r="BO156" i="16" s="1"/>
  <c r="BO27" i="27"/>
  <c r="Q138" i="29"/>
  <c r="O31" i="29"/>
  <c r="BJ31" i="27"/>
  <c r="O30" i="29"/>
  <c r="BJ30" i="27"/>
  <c r="BT51" i="16"/>
  <c r="BU51" i="16"/>
  <c r="BJ44" i="16"/>
  <c r="BN43" i="16"/>
  <c r="BN140" i="16" s="1"/>
  <c r="BN43" i="27"/>
  <c r="DA44" i="20"/>
  <c r="BQ43" i="27"/>
  <c r="DD44" i="20"/>
  <c r="DD46" i="20" s="1"/>
  <c r="BO43" i="16"/>
  <c r="BO140" i="16" s="1"/>
  <c r="BO158" i="16" s="1"/>
  <c r="BO43" i="27"/>
  <c r="DB44" i="20"/>
  <c r="DB46" i="20" s="1"/>
  <c r="BP140" i="12"/>
  <c r="BP171" i="12" s="1"/>
  <c r="BP43" i="27"/>
  <c r="DC44" i="20"/>
  <c r="DC46" i="20" s="1"/>
  <c r="BJ44" i="27"/>
  <c r="BR43" i="16"/>
  <c r="BR140" i="16" s="1"/>
  <c r="BR43" i="27"/>
  <c r="DE44" i="20"/>
  <c r="DE46" i="20" s="1"/>
  <c r="AW136" i="27"/>
  <c r="BJ136" i="27"/>
  <c r="BO180" i="16"/>
  <c r="BO167" i="16"/>
  <c r="BJ136" i="16"/>
  <c r="BO154" i="16"/>
  <c r="BO169" i="12"/>
  <c r="AL53" i="12" a="1"/>
  <c r="AL53" i="12" s="1"/>
  <c r="AM53" i="12"/>
  <c r="AK53" i="12"/>
  <c r="AM73" i="24"/>
  <c r="AK73" i="24"/>
  <c r="CD73" i="24" s="1"/>
  <c r="AL73" i="24"/>
  <c r="CR71" i="24"/>
  <c r="CQ71" i="24"/>
  <c r="CE72" i="24"/>
  <c r="CH72" i="24"/>
  <c r="CF72" i="24"/>
  <c r="CG72" i="24"/>
  <c r="CI72" i="24"/>
  <c r="CJ72" i="24"/>
  <c r="CK72" i="24"/>
  <c r="CL72" i="24"/>
  <c r="CT71" i="24"/>
  <c r="CW71" i="24"/>
  <c r="CX71" i="24"/>
  <c r="X73" i="24"/>
  <c r="AZ73" i="24"/>
  <c r="CP73" i="24" s="1"/>
  <c r="G54" i="22" s="1"/>
  <c r="BA73" i="24"/>
  <c r="AY73" i="24"/>
  <c r="CV71" i="24"/>
  <c r="CU71" i="24"/>
  <c r="AM52" i="22"/>
  <c r="AK52" i="22"/>
  <c r="AJ52" i="22"/>
  <c r="AL52" i="22"/>
  <c r="AI52" i="22"/>
  <c r="CS71" i="24"/>
  <c r="BO153" i="12"/>
  <c r="BO140" i="12"/>
  <c r="BQ137" i="12"/>
  <c r="BL140" i="12"/>
  <c r="BP27" i="16"/>
  <c r="BP138" i="16" s="1"/>
  <c r="BN8" i="16"/>
  <c r="BP43" i="16"/>
  <c r="BP140" i="16" s="1"/>
  <c r="BM51" i="16"/>
  <c r="BR8" i="16"/>
  <c r="BK8" i="16"/>
  <c r="BQ43" i="16"/>
  <c r="BQ140" i="16" s="1"/>
  <c r="BN51" i="16"/>
  <c r="BP51" i="16"/>
  <c r="BR51" i="16"/>
  <c r="BP138" i="12"/>
  <c r="BK137" i="12"/>
  <c r="BQ140" i="12"/>
  <c r="BR137" i="12"/>
  <c r="BO137" i="12"/>
  <c r="BM137" i="12"/>
  <c r="BP137" i="12"/>
  <c r="BN140" i="12"/>
  <c r="BM138" i="12"/>
  <c r="BN138" i="12"/>
  <c r="BL137" i="12"/>
  <c r="BQ138" i="12"/>
  <c r="BR140" i="12"/>
  <c r="BK140" i="12"/>
  <c r="BJ51" i="12"/>
  <c r="BR138" i="12"/>
  <c r="BM140" i="12"/>
  <c r="CS147" i="3"/>
  <c r="CV147" i="3"/>
  <c r="CW147" i="3"/>
  <c r="CT147" i="3"/>
  <c r="BK138" i="12"/>
  <c r="CR147" i="3"/>
  <c r="CX147" i="3"/>
  <c r="BJ27" i="12"/>
  <c r="CQ147" i="3"/>
  <c r="BJ43" i="12"/>
  <c r="CU147" i="3"/>
  <c r="R75" i="17"/>
  <c r="AA74" i="17"/>
  <c r="Z74" i="17"/>
  <c r="AE74" i="17"/>
  <c r="AD74" i="17"/>
  <c r="AC74" i="17"/>
  <c r="AB74" i="17"/>
  <c r="X74" i="17"/>
  <c r="X74" i="14" s="1"/>
  <c r="W74" i="17"/>
  <c r="X74" i="19" s="1"/>
  <c r="V74" i="17"/>
  <c r="X74" i="3" s="1"/>
  <c r="U74" i="17"/>
  <c r="X74" i="7" s="1"/>
  <c r="T74" i="17"/>
  <c r="S74" i="17"/>
  <c r="X74" i="15" s="1"/>
  <c r="BJ11" i="12"/>
  <c r="BJ8" i="12"/>
  <c r="X73" i="26" l="1"/>
  <c r="X40" i="26"/>
  <c r="Y40" i="26" s="1"/>
  <c r="W40" i="32" s="1"/>
  <c r="X95" i="26"/>
  <c r="AA95" i="26" s="1"/>
  <c r="Y95" i="32" s="1"/>
  <c r="X62" i="26"/>
  <c r="X18" i="26"/>
  <c r="Y18" i="26" s="1"/>
  <c r="W18" i="32" s="1"/>
  <c r="X29" i="26"/>
  <c r="AC29" i="26" s="1"/>
  <c r="AA29" i="32" s="1"/>
  <c r="X84" i="26"/>
  <c r="Y84" i="26" s="1"/>
  <c r="W84" i="32" s="1"/>
  <c r="X51" i="26"/>
  <c r="X7" i="26"/>
  <c r="BT8" i="27"/>
  <c r="BV8" i="27"/>
  <c r="X74" i="12"/>
  <c r="S43" i="29"/>
  <c r="S140" i="29" s="1"/>
  <c r="Q43" i="29"/>
  <c r="Q140" i="29" s="1"/>
  <c r="P43" i="29"/>
  <c r="P140" i="29" s="1"/>
  <c r="O43" i="29"/>
  <c r="O140" i="29" s="1"/>
  <c r="R43" i="29"/>
  <c r="R140" i="29" s="1"/>
  <c r="BJ51" i="27"/>
  <c r="BQ155" i="16"/>
  <c r="BQ168" i="16"/>
  <c r="T8" i="29"/>
  <c r="S137" i="29"/>
  <c r="R51" i="29"/>
  <c r="R8" i="29"/>
  <c r="R137" i="29" s="1"/>
  <c r="BQ137" i="27"/>
  <c r="N43" i="29"/>
  <c r="N140" i="29" s="1"/>
  <c r="BM140" i="27"/>
  <c r="N8" i="29"/>
  <c r="N137" i="29" s="1"/>
  <c r="BM137" i="27"/>
  <c r="M43" i="29"/>
  <c r="M140" i="29" s="1"/>
  <c r="BL140" i="27"/>
  <c r="O8" i="29"/>
  <c r="O137" i="29" s="1"/>
  <c r="BN137" i="27"/>
  <c r="BJ8" i="27"/>
  <c r="M51" i="29"/>
  <c r="M8" i="29"/>
  <c r="M137" i="29" s="1"/>
  <c r="BL137" i="27"/>
  <c r="P8" i="29"/>
  <c r="P137" i="29" s="1"/>
  <c r="BO137" i="27"/>
  <c r="Q8" i="29"/>
  <c r="Q137" i="29" s="1"/>
  <c r="BP137" i="27"/>
  <c r="P51" i="29"/>
  <c r="V95" i="30"/>
  <c r="V84" i="30"/>
  <c r="V73" i="30"/>
  <c r="V29" i="30"/>
  <c r="V62" i="30"/>
  <c r="V51" i="30"/>
  <c r="V18" i="30"/>
  <c r="V7" i="30"/>
  <c r="V40" i="30"/>
  <c r="BO182" i="16"/>
  <c r="R27" i="29"/>
  <c r="R138" i="29" s="1"/>
  <c r="BQ138" i="27"/>
  <c r="BO169" i="16"/>
  <c r="O27" i="29"/>
  <c r="O138" i="29" s="1"/>
  <c r="BN138" i="27"/>
  <c r="BJ27" i="27"/>
  <c r="N27" i="29"/>
  <c r="N138" i="29" s="1"/>
  <c r="BM138" i="27"/>
  <c r="M27" i="29"/>
  <c r="M138" i="29" s="1"/>
  <c r="BL138" i="27"/>
  <c r="P27" i="29"/>
  <c r="P138" i="29" s="1"/>
  <c r="BO138" i="27"/>
  <c r="S27" i="29"/>
  <c r="S138" i="29" s="1"/>
  <c r="BR138" i="27"/>
  <c r="BP155" i="12"/>
  <c r="BP185" i="12" s="1"/>
  <c r="BO140" i="27"/>
  <c r="BR140" i="27"/>
  <c r="BQ140" i="27"/>
  <c r="DF44" i="20"/>
  <c r="DF46" i="20" s="1"/>
  <c r="DA46" i="20"/>
  <c r="BO171" i="16"/>
  <c r="BP140" i="27"/>
  <c r="BN140" i="27"/>
  <c r="BJ43" i="27"/>
  <c r="BO184" i="16"/>
  <c r="BP156" i="16"/>
  <c r="BP182" i="16"/>
  <c r="BP169" i="16"/>
  <c r="BQ156" i="16"/>
  <c r="BQ182" i="16"/>
  <c r="BQ169" i="16"/>
  <c r="BR156" i="16"/>
  <c r="BR182" i="16"/>
  <c r="BR169" i="16"/>
  <c r="BN158" i="16"/>
  <c r="BN184" i="16"/>
  <c r="BN171" i="16"/>
  <c r="BQ158" i="16"/>
  <c r="BQ184" i="16"/>
  <c r="BQ171" i="16"/>
  <c r="BN156" i="16"/>
  <c r="BN169" i="16"/>
  <c r="BN182" i="16"/>
  <c r="BP155" i="16"/>
  <c r="BP181" i="16"/>
  <c r="BP168" i="16"/>
  <c r="BP158" i="16"/>
  <c r="BP184" i="16"/>
  <c r="BP171" i="16"/>
  <c r="BR158" i="16"/>
  <c r="BR184" i="16"/>
  <c r="BR171" i="16"/>
  <c r="BJ180" i="16"/>
  <c r="BJ167" i="16"/>
  <c r="BF167" i="16" s="1"/>
  <c r="BJ154" i="16"/>
  <c r="BJ43" i="16"/>
  <c r="BJ27" i="16"/>
  <c r="BN137" i="16"/>
  <c r="BJ8" i="16"/>
  <c r="BJ51" i="16"/>
  <c r="BO183" i="12"/>
  <c r="BL169" i="12"/>
  <c r="BQ169" i="12"/>
  <c r="BL171" i="12"/>
  <c r="BN171" i="12"/>
  <c r="BJ137" i="12"/>
  <c r="BM171" i="12"/>
  <c r="BQ171" i="12"/>
  <c r="BO171" i="12"/>
  <c r="BK169" i="12"/>
  <c r="BN169" i="12"/>
  <c r="BP169" i="12"/>
  <c r="BK171" i="12"/>
  <c r="BM169" i="12"/>
  <c r="AW140" i="16"/>
  <c r="BJ140" i="16"/>
  <c r="AW138" i="16"/>
  <c r="BJ138" i="16"/>
  <c r="AM54" i="12"/>
  <c r="AL54" i="12" a="1"/>
  <c r="AL54" i="12" s="1"/>
  <c r="AK54" i="12"/>
  <c r="BK137" i="16"/>
  <c r="BR137" i="16"/>
  <c r="BR169" i="12"/>
  <c r="BJ138" i="12"/>
  <c r="BR171" i="12"/>
  <c r="BJ140" i="12"/>
  <c r="CR72" i="24"/>
  <c r="BC53" i="12"/>
  <c r="BC53" i="31" s="1"/>
  <c r="CT72" i="24"/>
  <c r="BE53" i="12"/>
  <c r="BE53" i="31" s="1"/>
  <c r="AK74" i="24"/>
  <c r="CD74" i="24" s="1"/>
  <c r="AL74" i="24"/>
  <c r="AM74" i="24"/>
  <c r="CQ72" i="24"/>
  <c r="BB53" i="12"/>
  <c r="BB53" i="31" s="1"/>
  <c r="CX72" i="24"/>
  <c r="BR53" i="12" s="1"/>
  <c r="BR53" i="27" s="1"/>
  <c r="H53" i="22"/>
  <c r="BI53" i="12"/>
  <c r="BI53" i="31" s="1"/>
  <c r="CW72" i="24"/>
  <c r="BQ53" i="12" s="1"/>
  <c r="BQ53" i="27" s="1"/>
  <c r="R53" i="29" s="1"/>
  <c r="BH53" i="12"/>
  <c r="BH53" i="31" s="1"/>
  <c r="CE73" i="24"/>
  <c r="CI73" i="24"/>
  <c r="CF73" i="24"/>
  <c r="CG73" i="24"/>
  <c r="CH73" i="24"/>
  <c r="CJ73" i="24"/>
  <c r="CL73" i="24"/>
  <c r="CK73" i="24"/>
  <c r="BA74" i="24"/>
  <c r="AY74" i="24"/>
  <c r="AZ74" i="24"/>
  <c r="CP74" i="24" s="1"/>
  <c r="G55" i="22" s="1"/>
  <c r="CV72" i="24"/>
  <c r="BG53" i="12"/>
  <c r="BG53" i="31" s="1"/>
  <c r="AN52" i="22"/>
  <c r="CU72" i="24"/>
  <c r="BF53" i="12"/>
  <c r="BF53" i="31" s="1"/>
  <c r="CS72" i="24"/>
  <c r="BD53" i="12"/>
  <c r="BD53" i="31" s="1"/>
  <c r="BQ168" i="12"/>
  <c r="BQ182" i="12" s="1"/>
  <c r="BM168" i="12"/>
  <c r="BM182" i="12" s="1"/>
  <c r="BR168" i="12"/>
  <c r="BR182" i="12" s="1"/>
  <c r="X74" i="24"/>
  <c r="BL168" i="12"/>
  <c r="BL182" i="12" s="1"/>
  <c r="BP168" i="12"/>
  <c r="BP182" i="12" s="1"/>
  <c r="BO168" i="12"/>
  <c r="BO182" i="12" s="1"/>
  <c r="BK168" i="12"/>
  <c r="BK182" i="12" s="1"/>
  <c r="BR155" i="12"/>
  <c r="BK153" i="12"/>
  <c r="BN155" i="12"/>
  <c r="BQ155" i="12"/>
  <c r="BO155" i="12"/>
  <c r="BM155" i="12"/>
  <c r="BQ153" i="12"/>
  <c r="BM153" i="12"/>
  <c r="BR153" i="12"/>
  <c r="BL153" i="12"/>
  <c r="BK155" i="12"/>
  <c r="BL155" i="12"/>
  <c r="BN153" i="12"/>
  <c r="BP153" i="12"/>
  <c r="BL137" i="16"/>
  <c r="BO137" i="16"/>
  <c r="R76" i="17"/>
  <c r="AC75" i="17"/>
  <c r="AB75" i="17"/>
  <c r="AA75" i="17"/>
  <c r="Z75" i="17"/>
  <c r="AE75" i="17"/>
  <c r="AD75" i="17"/>
  <c r="X75" i="17"/>
  <c r="X75" i="14" s="1"/>
  <c r="W75" i="17"/>
  <c r="X75" i="19" s="1"/>
  <c r="V75" i="17"/>
  <c r="X75" i="3" s="1"/>
  <c r="U75" i="17"/>
  <c r="X75" i="7" s="1"/>
  <c r="X75" i="12" s="1"/>
  <c r="T75" i="17"/>
  <c r="S75" i="17"/>
  <c r="X75" i="15" s="1"/>
  <c r="X97" i="26" l="1"/>
  <c r="X9" i="26"/>
  <c r="X64" i="26"/>
  <c r="X31" i="26"/>
  <c r="X86" i="26"/>
  <c r="X53" i="26"/>
  <c r="X20" i="26"/>
  <c r="X42" i="26"/>
  <c r="X75" i="26"/>
  <c r="X33" i="26"/>
  <c r="X88" i="26"/>
  <c r="X55" i="26"/>
  <c r="X22" i="26"/>
  <c r="X77" i="26"/>
  <c r="X44" i="26"/>
  <c r="X66" i="26"/>
  <c r="X99" i="26"/>
  <c r="X11" i="26"/>
  <c r="X74" i="16"/>
  <c r="X74" i="31"/>
  <c r="X74" i="27"/>
  <c r="X75" i="16"/>
  <c r="X75" i="31"/>
  <c r="X75" i="27"/>
  <c r="BE53" i="16"/>
  <c r="BE53" i="27"/>
  <c r="G53" i="29"/>
  <c r="BG53" i="16"/>
  <c r="BG53" i="27"/>
  <c r="I53" i="29"/>
  <c r="BD53" i="16"/>
  <c r="BD53" i="27"/>
  <c r="F53" i="29"/>
  <c r="BF53" i="16"/>
  <c r="BF53" i="27"/>
  <c r="H53" i="29"/>
  <c r="BI53" i="16"/>
  <c r="BI53" i="27"/>
  <c r="K53" i="29"/>
  <c r="S53" i="29"/>
  <c r="BC53" i="16"/>
  <c r="E53" i="29"/>
  <c r="BC53" i="27"/>
  <c r="AW137" i="27"/>
  <c r="BJ137" i="27"/>
  <c r="BB53" i="16"/>
  <c r="D53" i="29"/>
  <c r="BB53" i="27"/>
  <c r="BH53" i="16"/>
  <c r="BH53" i="27"/>
  <c r="J53" i="29"/>
  <c r="Z18" i="26"/>
  <c r="X18" i="32" s="1"/>
  <c r="AB18" i="26"/>
  <c r="Z18" i="32" s="1"/>
  <c r="AC18" i="26"/>
  <c r="AA18" i="32" s="1"/>
  <c r="AA18" i="26"/>
  <c r="Y18" i="32" s="1"/>
  <c r="AA121" i="26"/>
  <c r="Y121" i="30"/>
  <c r="Y178" i="30" s="1"/>
  <c r="Y189" i="30" s="1"/>
  <c r="W18" i="30"/>
  <c r="X18" i="30"/>
  <c r="AA18" i="30"/>
  <c r="Z18" i="30"/>
  <c r="Y18" i="30"/>
  <c r="Y51" i="30"/>
  <c r="X51" i="30"/>
  <c r="AA51" i="30"/>
  <c r="W51" i="30"/>
  <c r="Z51" i="30"/>
  <c r="Z62" i="30"/>
  <c r="X62" i="30"/>
  <c r="W62" i="30"/>
  <c r="AA62" i="30"/>
  <c r="Y62" i="30"/>
  <c r="V99" i="30"/>
  <c r="V88" i="30"/>
  <c r="V77" i="30"/>
  <c r="V55" i="30"/>
  <c r="V66" i="30"/>
  <c r="V44" i="30"/>
  <c r="V11" i="30"/>
  <c r="V22" i="30"/>
  <c r="V33" i="30"/>
  <c r="Y29" i="30"/>
  <c r="X29" i="30"/>
  <c r="W29" i="30"/>
  <c r="AA29" i="30"/>
  <c r="Z29" i="30"/>
  <c r="AA73" i="30"/>
  <c r="Y73" i="30"/>
  <c r="X73" i="30"/>
  <c r="W73" i="30"/>
  <c r="Z73" i="30"/>
  <c r="Z84" i="30"/>
  <c r="W84" i="30"/>
  <c r="AA84" i="30"/>
  <c r="Y84" i="30"/>
  <c r="X84" i="30"/>
  <c r="X40" i="30"/>
  <c r="AA40" i="30"/>
  <c r="Z40" i="30"/>
  <c r="Y40" i="30"/>
  <c r="W40" i="30"/>
  <c r="Z95" i="30"/>
  <c r="Y95" i="30"/>
  <c r="X95" i="30"/>
  <c r="W95" i="30"/>
  <c r="AA95" i="30"/>
  <c r="V97" i="30"/>
  <c r="V86" i="30"/>
  <c r="V64" i="30"/>
  <c r="V75" i="30"/>
  <c r="V31" i="30"/>
  <c r="V53" i="30"/>
  <c r="V20" i="30"/>
  <c r="V9" i="30"/>
  <c r="V42" i="30"/>
  <c r="Y7" i="30"/>
  <c r="AA7" i="30"/>
  <c r="Z7" i="30"/>
  <c r="W7" i="30"/>
  <c r="X7" i="30"/>
  <c r="AW138" i="27"/>
  <c r="BJ138" i="27"/>
  <c r="BP183" i="12"/>
  <c r="BK185" i="12"/>
  <c r="AC84" i="26"/>
  <c r="AA84" i="32" s="1"/>
  <c r="Y51" i="26"/>
  <c r="W51" i="32" s="1"/>
  <c r="Z51" i="26"/>
  <c r="X51" i="32" s="1"/>
  <c r="AB84" i="26"/>
  <c r="Z84" i="32" s="1"/>
  <c r="AA84" i="26"/>
  <c r="Y84" i="32" s="1"/>
  <c r="AA51" i="26"/>
  <c r="Y51" i="32" s="1"/>
  <c r="AC40" i="26"/>
  <c r="AA40" i="32" s="1"/>
  <c r="Z40" i="26"/>
  <c r="X40" i="32" s="1"/>
  <c r="AA40" i="26"/>
  <c r="Y40" i="32" s="1"/>
  <c r="AB40" i="26"/>
  <c r="Z40" i="32" s="1"/>
  <c r="Y29" i="26"/>
  <c r="W29" i="32" s="1"/>
  <c r="AA29" i="26"/>
  <c r="Y29" i="32" s="1"/>
  <c r="AB29" i="26"/>
  <c r="Z29" i="32" s="1"/>
  <c r="Z84" i="26"/>
  <c r="X84" i="32" s="1"/>
  <c r="Z73" i="26"/>
  <c r="X73" i="32" s="1"/>
  <c r="Z29" i="26"/>
  <c r="X29" i="32" s="1"/>
  <c r="AC62" i="26"/>
  <c r="AA62" i="32" s="1"/>
  <c r="AC95" i="26"/>
  <c r="AA95" i="32" s="1"/>
  <c r="AA73" i="26"/>
  <c r="Y73" i="32" s="1"/>
  <c r="AA62" i="26"/>
  <c r="Y62" i="32" s="1"/>
  <c r="Y95" i="26"/>
  <c r="W95" i="32" s="1"/>
  <c r="Y62" i="26"/>
  <c r="W62" i="32" s="1"/>
  <c r="AB73" i="26"/>
  <c r="Z73" i="32" s="1"/>
  <c r="Z62" i="26"/>
  <c r="X62" i="32" s="1"/>
  <c r="AC73" i="26"/>
  <c r="AA73" i="32" s="1"/>
  <c r="Z95" i="26"/>
  <c r="X95" i="32" s="1"/>
  <c r="AB62" i="26"/>
  <c r="Z62" i="32" s="1"/>
  <c r="Y73" i="26"/>
  <c r="W73" i="32" s="1"/>
  <c r="AB95" i="26"/>
  <c r="Z95" i="32" s="1"/>
  <c r="AC51" i="26"/>
  <c r="AA51" i="32" s="1"/>
  <c r="AB51" i="26"/>
  <c r="Z51" i="32" s="1"/>
  <c r="BN181" i="16"/>
  <c r="BN168" i="16"/>
  <c r="BF180" i="16"/>
  <c r="BE180" i="16"/>
  <c r="BH180" i="16"/>
  <c r="BI180" i="16"/>
  <c r="BG180" i="16"/>
  <c r="BO155" i="16"/>
  <c r="BO181" i="16"/>
  <c r="BO168" i="16"/>
  <c r="BR155" i="16"/>
  <c r="BR181" i="16"/>
  <c r="BR168" i="16"/>
  <c r="BJ156" i="16"/>
  <c r="BE156" i="16" s="1"/>
  <c r="BJ169" i="16"/>
  <c r="BG169" i="16" s="1"/>
  <c r="BJ182" i="16"/>
  <c r="BG182" i="16" s="1"/>
  <c r="BJ158" i="16"/>
  <c r="BG158" i="16" s="1"/>
  <c r="BJ171" i="16"/>
  <c r="BJ184" i="16"/>
  <c r="BF184" i="16" s="1"/>
  <c r="BE167" i="16"/>
  <c r="BI167" i="16"/>
  <c r="BG167" i="16"/>
  <c r="BH167" i="16"/>
  <c r="BE154" i="16"/>
  <c r="BG154" i="16"/>
  <c r="BI154" i="16"/>
  <c r="BH154" i="16"/>
  <c r="AC7" i="26"/>
  <c r="AA7" i="32" s="1"/>
  <c r="Y7" i="26"/>
  <c r="W7" i="32" s="1"/>
  <c r="Z7" i="26"/>
  <c r="X7" i="32" s="1"/>
  <c r="AA7" i="26"/>
  <c r="Y7" i="32" s="1"/>
  <c r="AB7" i="26"/>
  <c r="Z7" i="32" s="1"/>
  <c r="AW137" i="16"/>
  <c r="BN155" i="16"/>
  <c r="BF154" i="16"/>
  <c r="BJ137" i="16"/>
  <c r="BL185" i="12"/>
  <c r="BL183" i="12"/>
  <c r="BK183" i="12"/>
  <c r="BR183" i="12"/>
  <c r="BR185" i="12"/>
  <c r="BQ183" i="12"/>
  <c r="BM185" i="12"/>
  <c r="BN183" i="12"/>
  <c r="BM183" i="12"/>
  <c r="BO185" i="12"/>
  <c r="BN185" i="12"/>
  <c r="W121" i="30" s="1"/>
  <c r="W178" i="30" s="1"/>
  <c r="BQ185" i="12"/>
  <c r="AL55" i="12" a="1"/>
  <c r="AL55" i="12" s="1"/>
  <c r="AM55" i="12"/>
  <c r="AK55" i="12"/>
  <c r="CQ73" i="24"/>
  <c r="BK54" i="12" s="1"/>
  <c r="BK54" i="27" s="1"/>
  <c r="BB54" i="12"/>
  <c r="BB54" i="31" s="1"/>
  <c r="BM53" i="12"/>
  <c r="BM53" i="27" s="1"/>
  <c r="BO53" i="12"/>
  <c r="BO53" i="27" s="1"/>
  <c r="CW73" i="24"/>
  <c r="BH54" i="12"/>
  <c r="BH54" i="31" s="1"/>
  <c r="BK53" i="12"/>
  <c r="BK53" i="27" s="1"/>
  <c r="BN53" i="12"/>
  <c r="BN53" i="27" s="1"/>
  <c r="CX73" i="24"/>
  <c r="H54" i="22"/>
  <c r="AH54" i="22" s="1"/>
  <c r="BI54" i="12"/>
  <c r="BI54" i="31" s="1"/>
  <c r="AH53" i="22"/>
  <c r="CV73" i="24"/>
  <c r="BP54" i="12" s="1"/>
  <c r="BG54" i="12"/>
  <c r="BG54" i="31" s="1"/>
  <c r="BR53" i="16"/>
  <c r="AK75" i="24"/>
  <c r="CD75" i="24" s="1"/>
  <c r="AL75" i="24"/>
  <c r="AM75" i="24"/>
  <c r="BA75" i="24"/>
  <c r="AY75" i="24"/>
  <c r="AZ75" i="24"/>
  <c r="CP75" i="24" s="1"/>
  <c r="G56" i="22" s="1"/>
  <c r="AO52" i="22"/>
  <c r="BS52" i="16" s="1"/>
  <c r="CT73" i="24"/>
  <c r="BN54" i="12" s="1"/>
  <c r="BE54" i="12"/>
  <c r="BE54" i="31" s="1"/>
  <c r="BQ53" i="16"/>
  <c r="CS73" i="24"/>
  <c r="BM54" i="12" s="1"/>
  <c r="BD54" i="12"/>
  <c r="BD54" i="31" s="1"/>
  <c r="CR73" i="24"/>
  <c r="BL54" i="12" s="1"/>
  <c r="BC54" i="12"/>
  <c r="BC54" i="31" s="1"/>
  <c r="CH74" i="24"/>
  <c r="CE74" i="24"/>
  <c r="CJ74" i="24"/>
  <c r="CK74" i="24"/>
  <c r="CG74" i="24"/>
  <c r="CF74" i="24"/>
  <c r="CI74" i="24"/>
  <c r="CL74" i="24"/>
  <c r="BL53" i="12"/>
  <c r="BL53" i="27" s="1"/>
  <c r="BP53" i="12"/>
  <c r="BP53" i="27" s="1"/>
  <c r="CU73" i="24"/>
  <c r="BO54" i="12" s="1"/>
  <c r="BF54" i="12"/>
  <c r="BF54" i="31" s="1"/>
  <c r="X75" i="24"/>
  <c r="R77" i="17"/>
  <c r="AE76" i="17"/>
  <c r="AD76" i="17"/>
  <c r="AC76" i="17"/>
  <c r="AB76" i="17"/>
  <c r="AA76" i="17"/>
  <c r="Z76" i="17"/>
  <c r="T76" i="17"/>
  <c r="S76" i="17"/>
  <c r="X76" i="15" s="1"/>
  <c r="X76" i="17"/>
  <c r="X76" i="14" s="1"/>
  <c r="W76" i="17"/>
  <c r="X76" i="19" s="1"/>
  <c r="V76" i="17"/>
  <c r="X76" i="3" s="1"/>
  <c r="U76" i="17"/>
  <c r="X41" i="26" l="1"/>
  <c r="X96" i="26"/>
  <c r="X8" i="26"/>
  <c r="X63" i="26"/>
  <c r="Y63" i="26" s="1"/>
  <c r="W63" i="32" s="1"/>
  <c r="X30" i="26"/>
  <c r="X74" i="26"/>
  <c r="AB74" i="26" s="1"/>
  <c r="Z74" i="32" s="1"/>
  <c r="X85" i="26"/>
  <c r="AC85" i="26" s="1"/>
  <c r="AA85" i="32" s="1"/>
  <c r="X52" i="26"/>
  <c r="AA52" i="26" s="1"/>
  <c r="Y52" i="32" s="1"/>
  <c r="X19" i="26"/>
  <c r="AA178" i="26"/>
  <c r="AA210" i="26" s="1"/>
  <c r="AA143" i="32"/>
  <c r="X143" i="32"/>
  <c r="W143" i="32"/>
  <c r="Z143" i="32"/>
  <c r="Y143" i="32"/>
  <c r="BD54" i="16"/>
  <c r="BD54" i="27"/>
  <c r="F54" i="29"/>
  <c r="BF54" i="16"/>
  <c r="BF54" i="27"/>
  <c r="H54" i="29"/>
  <c r="BM54" i="16"/>
  <c r="BM54" i="27"/>
  <c r="N54" i="29" s="1"/>
  <c r="BG54" i="16"/>
  <c r="I54" i="29"/>
  <c r="BG54" i="27"/>
  <c r="BH54" i="16"/>
  <c r="BH54" i="27"/>
  <c r="J54" i="29"/>
  <c r="BP54" i="16"/>
  <c r="BP54" i="27"/>
  <c r="Q54" i="29" s="1"/>
  <c r="P53" i="29"/>
  <c r="M53" i="29"/>
  <c r="BI54" i="16"/>
  <c r="K54" i="29"/>
  <c r="BI54" i="27"/>
  <c r="N53" i="29"/>
  <c r="BO54" i="16"/>
  <c r="BO54" i="27"/>
  <c r="P54" i="29" s="1"/>
  <c r="Q53" i="29"/>
  <c r="BC54" i="16"/>
  <c r="BC54" i="27"/>
  <c r="E54" i="29"/>
  <c r="BE54" i="16"/>
  <c r="BE54" i="27"/>
  <c r="G54" i="29"/>
  <c r="BB54" i="16"/>
  <c r="BB54" i="27"/>
  <c r="D54" i="29"/>
  <c r="BL54" i="16"/>
  <c r="BL54" i="27"/>
  <c r="M54" i="29" s="1"/>
  <c r="BN54" i="16"/>
  <c r="BN54" i="27"/>
  <c r="BU52" i="16"/>
  <c r="O53" i="29"/>
  <c r="BJ53" i="27"/>
  <c r="AC121" i="26"/>
  <c r="AA121" i="30"/>
  <c r="AA178" i="30" s="1"/>
  <c r="AA189" i="30" s="1"/>
  <c r="W189" i="30"/>
  <c r="AB121" i="26"/>
  <c r="Z121" i="30"/>
  <c r="Z178" i="30" s="1"/>
  <c r="Z189" i="30" s="1"/>
  <c r="Z121" i="26"/>
  <c r="X121" i="30"/>
  <c r="X178" i="30" s="1"/>
  <c r="X189" i="30" s="1"/>
  <c r="V96" i="30"/>
  <c r="V85" i="30"/>
  <c r="V63" i="30"/>
  <c r="V52" i="30"/>
  <c r="V8" i="30"/>
  <c r="V74" i="30"/>
  <c r="V30" i="30"/>
  <c r="V19" i="30"/>
  <c r="V41" i="30"/>
  <c r="Z20" i="30"/>
  <c r="W20" i="30"/>
  <c r="AA20" i="30"/>
  <c r="X20" i="30"/>
  <c r="Y20" i="30"/>
  <c r="W33" i="30"/>
  <c r="AA33" i="30"/>
  <c r="Z33" i="30"/>
  <c r="Y33" i="30"/>
  <c r="X33" i="30"/>
  <c r="X99" i="30"/>
  <c r="W99" i="30"/>
  <c r="AA99" i="30"/>
  <c r="Z99" i="30"/>
  <c r="Y99" i="30"/>
  <c r="X143" i="30"/>
  <c r="X158" i="30" s="1"/>
  <c r="AH158" i="30" s="1"/>
  <c r="W53" i="30"/>
  <c r="AA53" i="30"/>
  <c r="X53" i="30"/>
  <c r="Z53" i="30"/>
  <c r="Y53" i="30"/>
  <c r="X22" i="30"/>
  <c r="AA22" i="30"/>
  <c r="Z22" i="30"/>
  <c r="Y22" i="30"/>
  <c r="W22" i="30"/>
  <c r="W143" i="30"/>
  <c r="W158" i="30" s="1"/>
  <c r="AG158" i="30" s="1"/>
  <c r="W31" i="30"/>
  <c r="Z31" i="30"/>
  <c r="Y31" i="30"/>
  <c r="X31" i="30"/>
  <c r="AA31" i="30"/>
  <c r="X11" i="30"/>
  <c r="W11" i="30"/>
  <c r="Z11" i="30"/>
  <c r="Y11" i="30"/>
  <c r="AA11" i="30"/>
  <c r="Z143" i="30"/>
  <c r="Z158" i="30" s="1"/>
  <c r="AJ158" i="30" s="1"/>
  <c r="W75" i="30"/>
  <c r="AA75" i="30"/>
  <c r="Z75" i="30"/>
  <c r="Y75" i="30"/>
  <c r="X75" i="30"/>
  <c r="W44" i="30"/>
  <c r="Z44" i="30"/>
  <c r="Y44" i="30"/>
  <c r="X44" i="30"/>
  <c r="AA44" i="30"/>
  <c r="AA143" i="30"/>
  <c r="AA158" i="30" s="1"/>
  <c r="AK158" i="30" s="1"/>
  <c r="Z64" i="30"/>
  <c r="X64" i="30"/>
  <c r="W64" i="30"/>
  <c r="AA64" i="30"/>
  <c r="Y64" i="30"/>
  <c r="Z66" i="30"/>
  <c r="X66" i="30"/>
  <c r="W66" i="30"/>
  <c r="Y66" i="30"/>
  <c r="AA66" i="30"/>
  <c r="Y143" i="30"/>
  <c r="Y158" i="30" s="1"/>
  <c r="AI158" i="30" s="1"/>
  <c r="Z86" i="30"/>
  <c r="Y86" i="30"/>
  <c r="X86" i="30"/>
  <c r="W86" i="30"/>
  <c r="AA86" i="30"/>
  <c r="X55" i="30"/>
  <c r="Y55" i="30"/>
  <c r="W55" i="30"/>
  <c r="AA55" i="30"/>
  <c r="Z55" i="30"/>
  <c r="AA42" i="30"/>
  <c r="Z42" i="30"/>
  <c r="W42" i="30"/>
  <c r="X42" i="30"/>
  <c r="Y42" i="30"/>
  <c r="Z97" i="30"/>
  <c r="Y97" i="30"/>
  <c r="X97" i="30"/>
  <c r="W97" i="30"/>
  <c r="AA97" i="30"/>
  <c r="X77" i="30"/>
  <c r="AA77" i="30"/>
  <c r="Z77" i="30"/>
  <c r="Y77" i="30"/>
  <c r="W77" i="30"/>
  <c r="AA9" i="30"/>
  <c r="X9" i="30"/>
  <c r="W9" i="30"/>
  <c r="Y9" i="30"/>
  <c r="Z9" i="30"/>
  <c r="AA88" i="30"/>
  <c r="Z88" i="30"/>
  <c r="Y88" i="30"/>
  <c r="X88" i="30"/>
  <c r="W88" i="30"/>
  <c r="BF158" i="16"/>
  <c r="BT52" i="16"/>
  <c r="Y121" i="26"/>
  <c r="AC143" i="26"/>
  <c r="AC158" i="26" s="1"/>
  <c r="AL158" i="26" s="1"/>
  <c r="Z143" i="26"/>
  <c r="Z158" i="26" s="1"/>
  <c r="AI158" i="26" s="1"/>
  <c r="AA143" i="26"/>
  <c r="AA158" i="26" s="1"/>
  <c r="AJ158" i="26" s="1"/>
  <c r="Y143" i="26"/>
  <c r="Y158" i="26" s="1"/>
  <c r="AH158" i="26" s="1"/>
  <c r="BI158" i="16"/>
  <c r="BH169" i="16"/>
  <c r="AB143" i="26"/>
  <c r="AB158" i="26" s="1"/>
  <c r="AK158" i="26" s="1"/>
  <c r="BE169" i="16"/>
  <c r="BF156" i="16"/>
  <c r="BG156" i="16"/>
  <c r="BI156" i="16"/>
  <c r="BH156" i="16"/>
  <c r="BH184" i="16"/>
  <c r="BI171" i="16"/>
  <c r="BF171" i="16"/>
  <c r="BG171" i="16"/>
  <c r="BI182" i="16"/>
  <c r="BF182" i="16"/>
  <c r="BG184" i="16"/>
  <c r="BE184" i="16"/>
  <c r="BI169" i="16"/>
  <c r="BF169" i="16"/>
  <c r="BE158" i="16"/>
  <c r="BE171" i="16"/>
  <c r="BH182" i="16"/>
  <c r="BJ181" i="16"/>
  <c r="BF181" i="16" s="1"/>
  <c r="BJ168" i="16"/>
  <c r="BF168" i="16" s="1"/>
  <c r="BE182" i="16"/>
  <c r="BH171" i="16"/>
  <c r="BH158" i="16"/>
  <c r="BI184" i="16"/>
  <c r="BJ155" i="16"/>
  <c r="BE155" i="16" s="1"/>
  <c r="Y96" i="26"/>
  <c r="W96" i="32" s="1"/>
  <c r="Z30" i="26"/>
  <c r="X30" i="32" s="1"/>
  <c r="AC77" i="26"/>
  <c r="AA77" i="32" s="1"/>
  <c r="Z77" i="26"/>
  <c r="X77" i="32" s="1"/>
  <c r="AA77" i="26"/>
  <c r="Y77" i="32" s="1"/>
  <c r="AB77" i="26"/>
  <c r="Z77" i="32" s="1"/>
  <c r="Y77" i="26"/>
  <c r="W77" i="32" s="1"/>
  <c r="AA20" i="26"/>
  <c r="Y20" i="32" s="1"/>
  <c r="Y20" i="26"/>
  <c r="W20" i="32" s="1"/>
  <c r="Z20" i="26"/>
  <c r="X20" i="32" s="1"/>
  <c r="AC20" i="26"/>
  <c r="AA20" i="32" s="1"/>
  <c r="AB20" i="26"/>
  <c r="Z20" i="32" s="1"/>
  <c r="Z53" i="26"/>
  <c r="X53" i="32" s="1"/>
  <c r="AC53" i="26"/>
  <c r="AA53" i="32" s="1"/>
  <c r="AA53" i="26"/>
  <c r="Y53" i="32" s="1"/>
  <c r="AB53" i="26"/>
  <c r="Z53" i="32" s="1"/>
  <c r="Y53" i="26"/>
  <c r="W53" i="32" s="1"/>
  <c r="AC22" i="26"/>
  <c r="AA22" i="32" s="1"/>
  <c r="AA22" i="26"/>
  <c r="Y22" i="32" s="1"/>
  <c r="AB22" i="26"/>
  <c r="Z22" i="32" s="1"/>
  <c r="Z22" i="26"/>
  <c r="X22" i="32" s="1"/>
  <c r="Y22" i="26"/>
  <c r="W22" i="32" s="1"/>
  <c r="Y86" i="26"/>
  <c r="W86" i="32" s="1"/>
  <c r="AA86" i="26"/>
  <c r="Y86" i="32" s="1"/>
  <c r="AC86" i="26"/>
  <c r="AA86" i="32" s="1"/>
  <c r="AB86" i="26"/>
  <c r="Z86" i="32" s="1"/>
  <c r="Z86" i="26"/>
  <c r="X86" i="32" s="1"/>
  <c r="AC55" i="26"/>
  <c r="AA55" i="32" s="1"/>
  <c r="AA55" i="26"/>
  <c r="Y55" i="32" s="1"/>
  <c r="Z55" i="26"/>
  <c r="X55" i="32" s="1"/>
  <c r="Y55" i="26"/>
  <c r="W55" i="32" s="1"/>
  <c r="AB55" i="26"/>
  <c r="Z55" i="32" s="1"/>
  <c r="AA33" i="26"/>
  <c r="Y33" i="32" s="1"/>
  <c r="AB33" i="26"/>
  <c r="Z33" i="32" s="1"/>
  <c r="Z33" i="26"/>
  <c r="X33" i="32" s="1"/>
  <c r="Y33" i="26"/>
  <c r="W33" i="32" s="1"/>
  <c r="AC33" i="26"/>
  <c r="AA33" i="32" s="1"/>
  <c r="AC88" i="26"/>
  <c r="AA88" i="32" s="1"/>
  <c r="AA88" i="26"/>
  <c r="Y88" i="32" s="1"/>
  <c r="Z88" i="26"/>
  <c r="X88" i="32" s="1"/>
  <c r="AB88" i="26"/>
  <c r="Z88" i="32" s="1"/>
  <c r="Y88" i="26"/>
  <c r="W88" i="32" s="1"/>
  <c r="Y9" i="26"/>
  <c r="W9" i="32" s="1"/>
  <c r="Z9" i="26"/>
  <c r="X9" i="32" s="1"/>
  <c r="AA9" i="26"/>
  <c r="Y9" i="32" s="1"/>
  <c r="AC9" i="26"/>
  <c r="AA9" i="32" s="1"/>
  <c r="AB9" i="26"/>
  <c r="Z9" i="32" s="1"/>
  <c r="Z64" i="26"/>
  <c r="X64" i="32" s="1"/>
  <c r="AB64" i="26"/>
  <c r="Z64" i="32" s="1"/>
  <c r="AA64" i="26"/>
  <c r="Y64" i="32" s="1"/>
  <c r="Y64" i="26"/>
  <c r="W64" i="32" s="1"/>
  <c r="AC64" i="26"/>
  <c r="AA64" i="32" s="1"/>
  <c r="AB66" i="26"/>
  <c r="Z66" i="32" s="1"/>
  <c r="AC66" i="26"/>
  <c r="AA66" i="32" s="1"/>
  <c r="AA66" i="26"/>
  <c r="Y66" i="32" s="1"/>
  <c r="Y66" i="26"/>
  <c r="W66" i="32" s="1"/>
  <c r="Z66" i="26"/>
  <c r="X66" i="32" s="1"/>
  <c r="Y11" i="26"/>
  <c r="W11" i="32" s="1"/>
  <c r="Z11" i="26"/>
  <c r="X11" i="32" s="1"/>
  <c r="AA11" i="26"/>
  <c r="Y11" i="32" s="1"/>
  <c r="AB11" i="26"/>
  <c r="Z11" i="32" s="1"/>
  <c r="AC11" i="26"/>
  <c r="AA11" i="32" s="1"/>
  <c r="AA97" i="26"/>
  <c r="Y97" i="32" s="1"/>
  <c r="AC97" i="26"/>
  <c r="AA97" i="32" s="1"/>
  <c r="Y97" i="26"/>
  <c r="W97" i="32" s="1"/>
  <c r="AB97" i="26"/>
  <c r="Z97" i="32" s="1"/>
  <c r="Z97" i="26"/>
  <c r="X97" i="32" s="1"/>
  <c r="AA99" i="26"/>
  <c r="Y99" i="32" s="1"/>
  <c r="Z99" i="26"/>
  <c r="X99" i="32" s="1"/>
  <c r="Y99" i="26"/>
  <c r="W99" i="32" s="1"/>
  <c r="AC99" i="26"/>
  <c r="AA99" i="32" s="1"/>
  <c r="AB99" i="26"/>
  <c r="Z99" i="32" s="1"/>
  <c r="AB31" i="26"/>
  <c r="Z31" i="32" s="1"/>
  <c r="AC31" i="26"/>
  <c r="AA31" i="32" s="1"/>
  <c r="AA31" i="26"/>
  <c r="Y31" i="32" s="1"/>
  <c r="Z31" i="26"/>
  <c r="X31" i="32" s="1"/>
  <c r="Y31" i="26"/>
  <c r="W31" i="32" s="1"/>
  <c r="Y42" i="26"/>
  <c r="W42" i="32" s="1"/>
  <c r="Z42" i="26"/>
  <c r="X42" i="32" s="1"/>
  <c r="AA42" i="26"/>
  <c r="Y42" i="32" s="1"/>
  <c r="AC42" i="26"/>
  <c r="AA42" i="32" s="1"/>
  <c r="AB42" i="26"/>
  <c r="Z42" i="32" s="1"/>
  <c r="Z75" i="26"/>
  <c r="X75" i="32" s="1"/>
  <c r="Y75" i="26"/>
  <c r="W75" i="32" s="1"/>
  <c r="AB75" i="26"/>
  <c r="Z75" i="32" s="1"/>
  <c r="AC75" i="26"/>
  <c r="AA75" i="32" s="1"/>
  <c r="AA75" i="26"/>
  <c r="Y75" i="32" s="1"/>
  <c r="Y44" i="26"/>
  <c r="W44" i="32" s="1"/>
  <c r="Z44" i="26"/>
  <c r="X44" i="32" s="1"/>
  <c r="AA44" i="26"/>
  <c r="Y44" i="32" s="1"/>
  <c r="AC44" i="26"/>
  <c r="AA44" i="32" s="1"/>
  <c r="AB44" i="26"/>
  <c r="Z44" i="32" s="1"/>
  <c r="AM56" i="12"/>
  <c r="AL56" i="12" a="1"/>
  <c r="AL56" i="12" s="1"/>
  <c r="AK56" i="12"/>
  <c r="CU74" i="24"/>
  <c r="BO55" i="12" s="1"/>
  <c r="BF55" i="12"/>
  <c r="BF55" i="31" s="1"/>
  <c r="CG75" i="24"/>
  <c r="CF75" i="24"/>
  <c r="CE75" i="24"/>
  <c r="CH75" i="24"/>
  <c r="CI75" i="24"/>
  <c r="CJ75" i="24"/>
  <c r="CL75" i="24"/>
  <c r="CK75" i="24"/>
  <c r="AM53" i="22"/>
  <c r="AL53" i="22"/>
  <c r="AK53" i="22"/>
  <c r="AI53" i="22"/>
  <c r="AJ53" i="22"/>
  <c r="BN53" i="16"/>
  <c r="CR74" i="24"/>
  <c r="BL55" i="12" s="1"/>
  <c r="BC55" i="12"/>
  <c r="BC55" i="31" s="1"/>
  <c r="BA76" i="24"/>
  <c r="AY76" i="24"/>
  <c r="AZ76" i="24"/>
  <c r="CP76" i="24" s="1"/>
  <c r="G57" i="22" s="1"/>
  <c r="CS74" i="24"/>
  <c r="BD55" i="12"/>
  <c r="BD55" i="31" s="1"/>
  <c r="BK53" i="16"/>
  <c r="BJ53" i="12"/>
  <c r="BO53" i="16"/>
  <c r="BK54" i="16"/>
  <c r="AK76" i="24"/>
  <c r="CD76" i="24" s="1"/>
  <c r="AL76" i="24"/>
  <c r="AM76" i="24"/>
  <c r="BP53" i="16"/>
  <c r="CW74" i="24"/>
  <c r="BQ55" i="12" s="1"/>
  <c r="BH55" i="12"/>
  <c r="BH55" i="31" s="1"/>
  <c r="BM53" i="16"/>
  <c r="BL53" i="16"/>
  <c r="CQ74" i="24"/>
  <c r="BB55" i="12"/>
  <c r="BB55" i="31" s="1"/>
  <c r="AK54" i="22"/>
  <c r="AN54" i="22" s="1"/>
  <c r="AO54" i="22" s="1"/>
  <c r="BS54" i="16" s="1"/>
  <c r="AJ54" i="22"/>
  <c r="AI54" i="22"/>
  <c r="AM54" i="22"/>
  <c r="AL54" i="22"/>
  <c r="CV74" i="24"/>
  <c r="BG55" i="12"/>
  <c r="BG55" i="31" s="1"/>
  <c r="CT74" i="24"/>
  <c r="BN55" i="12" s="1"/>
  <c r="BE55" i="12"/>
  <c r="BE55" i="31" s="1"/>
  <c r="BR54" i="12"/>
  <c r="BR54" i="27" s="1"/>
  <c r="BQ54" i="12"/>
  <c r="BQ54" i="27" s="1"/>
  <c r="CX74" i="24"/>
  <c r="BR55" i="12" s="1"/>
  <c r="H55" i="22"/>
  <c r="BI55" i="12"/>
  <c r="BI55" i="31" s="1"/>
  <c r="X76" i="24"/>
  <c r="X76" i="7"/>
  <c r="X76" i="12" s="1"/>
  <c r="R78" i="17"/>
  <c r="AE77" i="17"/>
  <c r="AD77" i="17"/>
  <c r="AC77" i="17"/>
  <c r="AB77" i="17"/>
  <c r="AA77" i="17"/>
  <c r="Z77" i="17"/>
  <c r="V77" i="17"/>
  <c r="X77" i="3" s="1"/>
  <c r="U77" i="17"/>
  <c r="X77" i="7" s="1"/>
  <c r="X77" i="12" s="1"/>
  <c r="T77" i="17"/>
  <c r="S77" i="17"/>
  <c r="X77" i="15" s="1"/>
  <c r="X77" i="17"/>
  <c r="X77" i="14" s="1"/>
  <c r="W77" i="17"/>
  <c r="X77" i="19" s="1"/>
  <c r="X77" i="27" l="1"/>
  <c r="X77" i="16"/>
  <c r="X77" i="31"/>
  <c r="X76" i="16"/>
  <c r="X76" i="31"/>
  <c r="X76" i="27"/>
  <c r="Z178" i="26"/>
  <c r="Z210" i="26" s="1"/>
  <c r="X147" i="32"/>
  <c r="AB178" i="26"/>
  <c r="AB210" i="26" s="1"/>
  <c r="Z147" i="32"/>
  <c r="Y163" i="32"/>
  <c r="Y178" i="26"/>
  <c r="Y210" i="26" s="1"/>
  <c r="AC178" i="26"/>
  <c r="AC210" i="26" s="1"/>
  <c r="AA147" i="32"/>
  <c r="Y147" i="32"/>
  <c r="AI19" i="26"/>
  <c r="AK18" i="26"/>
  <c r="AH18" i="26"/>
  <c r="AG18" i="26"/>
  <c r="AK19" i="26"/>
  <c r="AI18" i="26"/>
  <c r="AJ19" i="26"/>
  <c r="AG19" i="26"/>
  <c r="AH19" i="26"/>
  <c r="AJ18" i="26"/>
  <c r="W147" i="32"/>
  <c r="BG55" i="16"/>
  <c r="BG55" i="27"/>
  <c r="I55" i="29"/>
  <c r="BD55" i="16"/>
  <c r="F55" i="29"/>
  <c r="BD55" i="27"/>
  <c r="BE55" i="16"/>
  <c r="G55" i="29"/>
  <c r="BE55" i="27"/>
  <c r="BF55" i="16"/>
  <c r="BF55" i="27"/>
  <c r="H55" i="29"/>
  <c r="BI55" i="16"/>
  <c r="BI55" i="27"/>
  <c r="K55" i="29"/>
  <c r="BN55" i="16"/>
  <c r="BN55" i="27"/>
  <c r="BO55" i="16"/>
  <c r="BO55" i="27"/>
  <c r="BC55" i="16"/>
  <c r="BC55" i="27"/>
  <c r="E55" i="29"/>
  <c r="BL55" i="16"/>
  <c r="BL55" i="27"/>
  <c r="M55" i="29" s="1"/>
  <c r="O54" i="29"/>
  <c r="BJ54" i="27"/>
  <c r="BR55" i="16"/>
  <c r="BR55" i="27"/>
  <c r="S55" i="29" s="1"/>
  <c r="BH55" i="16"/>
  <c r="BH55" i="27"/>
  <c r="J55" i="29"/>
  <c r="R54" i="29"/>
  <c r="BQ55" i="16"/>
  <c r="BQ55" i="27"/>
  <c r="R55" i="29" s="1"/>
  <c r="BB55" i="16"/>
  <c r="BB55" i="27"/>
  <c r="D55" i="29"/>
  <c r="S54" i="29"/>
  <c r="AB178" i="30"/>
  <c r="AC178" i="30" s="1"/>
  <c r="AA19" i="30"/>
  <c r="Z19" i="30"/>
  <c r="Y19" i="30"/>
  <c r="X19" i="30"/>
  <c r="W19" i="30"/>
  <c r="X30" i="30"/>
  <c r="AA30" i="30"/>
  <c r="Z30" i="30"/>
  <c r="Y30" i="30"/>
  <c r="W30" i="30"/>
  <c r="AA74" i="30"/>
  <c r="Z74" i="30"/>
  <c r="Y74" i="30"/>
  <c r="X74" i="30"/>
  <c r="W74" i="30"/>
  <c r="Z145" i="30"/>
  <c r="Z160" i="30" s="1"/>
  <c r="AJ160" i="30" s="1"/>
  <c r="AA147" i="30"/>
  <c r="AA162" i="30" s="1"/>
  <c r="AK162" i="30" s="1"/>
  <c r="Y8" i="30"/>
  <c r="X8" i="30"/>
  <c r="W8" i="30"/>
  <c r="Z8" i="30"/>
  <c r="AA8" i="30"/>
  <c r="Y145" i="30"/>
  <c r="Y160" i="30" s="1"/>
  <c r="AI160" i="30" s="1"/>
  <c r="Y147" i="30"/>
  <c r="Y162" i="30" s="1"/>
  <c r="AI162" i="30" s="1"/>
  <c r="W52" i="30"/>
  <c r="AA52" i="30"/>
  <c r="Y52" i="30"/>
  <c r="X52" i="30"/>
  <c r="Z52" i="30"/>
  <c r="W145" i="30"/>
  <c r="W160" i="30" s="1"/>
  <c r="AG160" i="30" s="1"/>
  <c r="Z147" i="30"/>
  <c r="Z162" i="30" s="1"/>
  <c r="AJ162" i="30" s="1"/>
  <c r="X63" i="30"/>
  <c r="AA63" i="30"/>
  <c r="Z63" i="30"/>
  <c r="Y63" i="30"/>
  <c r="W63" i="30"/>
  <c r="X145" i="30"/>
  <c r="X160" i="30" s="1"/>
  <c r="AH160" i="30" s="1"/>
  <c r="W147" i="30"/>
  <c r="W162" i="30" s="1"/>
  <c r="AG162" i="30" s="1"/>
  <c r="AA85" i="30"/>
  <c r="Z85" i="30"/>
  <c r="Y85" i="30"/>
  <c r="X85" i="30"/>
  <c r="W85" i="30"/>
  <c r="AA145" i="30"/>
  <c r="AA160" i="30" s="1"/>
  <c r="AK160" i="30" s="1"/>
  <c r="X147" i="30"/>
  <c r="X162" i="30" s="1"/>
  <c r="AH162" i="30" s="1"/>
  <c r="Y41" i="30"/>
  <c r="W41" i="30"/>
  <c r="Z41" i="30"/>
  <c r="X41" i="30"/>
  <c r="AA41" i="30"/>
  <c r="AA96" i="30"/>
  <c r="Z96" i="30"/>
  <c r="Y96" i="30"/>
  <c r="X96" i="30"/>
  <c r="W96" i="30"/>
  <c r="BE168" i="16"/>
  <c r="AC8" i="26"/>
  <c r="AA8" i="32" s="1"/>
  <c r="Z8" i="26"/>
  <c r="X8" i="32" s="1"/>
  <c r="BH181" i="16"/>
  <c r="BG181" i="16"/>
  <c r="BE181" i="16"/>
  <c r="BI181" i="16"/>
  <c r="BH168" i="16"/>
  <c r="BG168" i="16"/>
  <c r="BI168" i="16"/>
  <c r="AB8" i="26"/>
  <c r="Z8" i="32" s="1"/>
  <c r="AA8" i="26"/>
  <c r="Y8" i="32" s="1"/>
  <c r="Y8" i="26"/>
  <c r="W8" i="32" s="1"/>
  <c r="BH155" i="16"/>
  <c r="BG155" i="16"/>
  <c r="BF155" i="16"/>
  <c r="BI155" i="16"/>
  <c r="Y147" i="26"/>
  <c r="Y162" i="26" s="1"/>
  <c r="AH162" i="26" s="1"/>
  <c r="AB145" i="26"/>
  <c r="AB160" i="26" s="1"/>
  <c r="AK160" i="26" s="1"/>
  <c r="AC145" i="26"/>
  <c r="AC160" i="26" s="1"/>
  <c r="AL160" i="26" s="1"/>
  <c r="AA145" i="26"/>
  <c r="AA160" i="26" s="1"/>
  <c r="AJ160" i="26" s="1"/>
  <c r="AC147" i="26"/>
  <c r="AC162" i="26" s="1"/>
  <c r="AL162" i="26" s="1"/>
  <c r="Z145" i="26"/>
  <c r="Z160" i="26" s="1"/>
  <c r="AI160" i="26" s="1"/>
  <c r="AB147" i="26"/>
  <c r="AB162" i="26" s="1"/>
  <c r="AK162" i="26" s="1"/>
  <c r="Y145" i="26"/>
  <c r="Y160" i="26" s="1"/>
  <c r="AH160" i="26" s="1"/>
  <c r="AA147" i="26"/>
  <c r="AA162" i="26" s="1"/>
  <c r="AJ162" i="26" s="1"/>
  <c r="Z147" i="26"/>
  <c r="Z162" i="26" s="1"/>
  <c r="AI162" i="26" s="1"/>
  <c r="Z96" i="26"/>
  <c r="X96" i="32" s="1"/>
  <c r="AC41" i="26"/>
  <c r="AA41" i="32" s="1"/>
  <c r="Z41" i="26"/>
  <c r="X41" i="32" s="1"/>
  <c r="Y41" i="26"/>
  <c r="W41" i="32" s="1"/>
  <c r="AB96" i="26"/>
  <c r="Z96" i="32" s="1"/>
  <c r="AC96" i="26"/>
  <c r="AA96" i="32" s="1"/>
  <c r="AA96" i="26"/>
  <c r="Y96" i="32" s="1"/>
  <c r="Y74" i="26"/>
  <c r="W74" i="32" s="1"/>
  <c r="Z74" i="26"/>
  <c r="X74" i="32" s="1"/>
  <c r="AA85" i="26"/>
  <c r="Y85" i="32" s="1"/>
  <c r="Z85" i="26"/>
  <c r="X85" i="32" s="1"/>
  <c r="AA74" i="26"/>
  <c r="Y74" i="32" s="1"/>
  <c r="AB85" i="26"/>
  <c r="Z85" i="32" s="1"/>
  <c r="AC74" i="26"/>
  <c r="AA74" i="32" s="1"/>
  <c r="Y85" i="26"/>
  <c r="W85" i="32" s="1"/>
  <c r="Y30" i="26"/>
  <c r="W30" i="32" s="1"/>
  <c r="AA30" i="26"/>
  <c r="Y30" i="32" s="1"/>
  <c r="AB41" i="26"/>
  <c r="Z41" i="32" s="1"/>
  <c r="AA41" i="26"/>
  <c r="Y41" i="32" s="1"/>
  <c r="AC63" i="26"/>
  <c r="AA63" i="32" s="1"/>
  <c r="AC19" i="26"/>
  <c r="AA19" i="32" s="1"/>
  <c r="AB30" i="26"/>
  <c r="Z30" i="32" s="1"/>
  <c r="AC30" i="26"/>
  <c r="AA30" i="32" s="1"/>
  <c r="AA63" i="26"/>
  <c r="Y63" i="32" s="1"/>
  <c r="Z52" i="26"/>
  <c r="X52" i="32" s="1"/>
  <c r="AC52" i="26"/>
  <c r="AA52" i="32" s="1"/>
  <c r="AB63" i="26"/>
  <c r="Z63" i="32" s="1"/>
  <c r="Z63" i="26"/>
  <c r="X63" i="32" s="1"/>
  <c r="AK44" i="26"/>
  <c r="AB19" i="26"/>
  <c r="Z19" i="32" s="1"/>
  <c r="AB52" i="26"/>
  <c r="Z52" i="32" s="1"/>
  <c r="AA19" i="26"/>
  <c r="Y19" i="32" s="1"/>
  <c r="Y19" i="26"/>
  <c r="W19" i="32" s="1"/>
  <c r="Z19" i="26"/>
  <c r="X19" i="32" s="1"/>
  <c r="Y52" i="26"/>
  <c r="W52" i="32" s="1"/>
  <c r="BJ53" i="16"/>
  <c r="AJ44" i="26"/>
  <c r="AG44" i="26"/>
  <c r="AI44" i="26"/>
  <c r="AH44" i="26"/>
  <c r="AG20" i="26"/>
  <c r="AG8" i="26"/>
  <c r="AJ20" i="26"/>
  <c r="AJ8" i="26"/>
  <c r="AH20" i="26"/>
  <c r="AH8" i="26"/>
  <c r="AK20" i="26"/>
  <c r="AK8" i="26"/>
  <c r="AI20" i="26"/>
  <c r="AI8" i="26"/>
  <c r="AM57" i="12"/>
  <c r="AL57" i="12" a="1"/>
  <c r="AL57" i="12" s="1"/>
  <c r="AK57" i="12"/>
  <c r="BJ54" i="12"/>
  <c r="AK77" i="24"/>
  <c r="CD77" i="24" s="1"/>
  <c r="AL77" i="24"/>
  <c r="AM77" i="24"/>
  <c r="BP55" i="12"/>
  <c r="BP55" i="27" s="1"/>
  <c r="AN53" i="22"/>
  <c r="CQ75" i="24"/>
  <c r="BK56" i="12" s="1"/>
  <c r="BK56" i="27" s="1"/>
  <c r="BB56" i="12"/>
  <c r="BB56" i="31" s="1"/>
  <c r="AH55" i="22"/>
  <c r="BR54" i="16"/>
  <c r="CR75" i="24"/>
  <c r="BC56" i="12"/>
  <c r="BC56" i="31" s="1"/>
  <c r="BK55" i="12"/>
  <c r="BK55" i="27" s="1"/>
  <c r="CS75" i="24"/>
  <c r="BM56" i="12" s="1"/>
  <c r="BD56" i="12"/>
  <c r="BD56" i="31" s="1"/>
  <c r="BM55" i="12"/>
  <c r="BM55" i="27" s="1"/>
  <c r="CW75" i="24"/>
  <c r="BH56" i="12"/>
  <c r="BH56" i="31" s="1"/>
  <c r="CX75" i="24"/>
  <c r="BR56" i="12" s="1"/>
  <c r="H56" i="22"/>
  <c r="AH56" i="22" s="1"/>
  <c r="BI56" i="12"/>
  <c r="BI56" i="31" s="1"/>
  <c r="CF76" i="24"/>
  <c r="CE76" i="24"/>
  <c r="CH76" i="24"/>
  <c r="CJ76" i="24"/>
  <c r="CG76" i="24"/>
  <c r="CI76" i="24"/>
  <c r="CL76" i="24"/>
  <c r="CK76" i="24"/>
  <c r="CV75" i="24"/>
  <c r="BP56" i="12" s="1"/>
  <c r="BG56" i="12"/>
  <c r="BG56" i="31" s="1"/>
  <c r="CU75" i="24"/>
  <c r="BF56" i="12"/>
  <c r="BF56" i="31" s="1"/>
  <c r="AY77" i="24"/>
  <c r="AZ77" i="24"/>
  <c r="CP77" i="24" s="1"/>
  <c r="BA77" i="24"/>
  <c r="BQ54" i="16"/>
  <c r="CT75" i="24"/>
  <c r="BE56" i="12"/>
  <c r="BE56" i="31" s="1"/>
  <c r="X77" i="24"/>
  <c r="R79" i="17"/>
  <c r="AA78" i="17"/>
  <c r="Z78" i="17"/>
  <c r="AE78" i="17"/>
  <c r="AD78" i="17"/>
  <c r="AC78" i="17"/>
  <c r="AB78" i="17"/>
  <c r="X78" i="17"/>
  <c r="X78" i="14" s="1"/>
  <c r="W78" i="17"/>
  <c r="X78" i="19" s="1"/>
  <c r="V78" i="17"/>
  <c r="X78" i="3" s="1"/>
  <c r="U78" i="17"/>
  <c r="X78" i="7" s="1"/>
  <c r="T78" i="17"/>
  <c r="S78" i="17"/>
  <c r="X78" i="15" s="1"/>
  <c r="X78" i="12" l="1"/>
  <c r="X145" i="32"/>
  <c r="AI21" i="26"/>
  <c r="AK21" i="26"/>
  <c r="AH21" i="26"/>
  <c r="Y145" i="32"/>
  <c r="AA145" i="32"/>
  <c r="AD178" i="26"/>
  <c r="AE178" i="26" s="1"/>
  <c r="AD210" i="26"/>
  <c r="Y195" i="32"/>
  <c r="Y174" i="32"/>
  <c r="Z163" i="32"/>
  <c r="AA163" i="32"/>
  <c r="W163" i="32"/>
  <c r="X163" i="32"/>
  <c r="AJ21" i="26"/>
  <c r="AL19" i="26"/>
  <c r="AL18" i="26"/>
  <c r="Z145" i="32"/>
  <c r="AG21" i="26"/>
  <c r="W145" i="32"/>
  <c r="AG7" i="26"/>
  <c r="W144" i="32"/>
  <c r="AI7" i="26"/>
  <c r="Y144" i="32"/>
  <c r="AJ7" i="26"/>
  <c r="AH7" i="26"/>
  <c r="AK7" i="26"/>
  <c r="BT54" i="16"/>
  <c r="BU54" i="16"/>
  <c r="BF56" i="16"/>
  <c r="H56" i="29"/>
  <c r="BF56" i="27"/>
  <c r="BG56" i="16"/>
  <c r="BG56" i="27"/>
  <c r="I56" i="29"/>
  <c r="O55" i="29"/>
  <c r="BJ55" i="27"/>
  <c r="BE56" i="16"/>
  <c r="BE56" i="27"/>
  <c r="G56" i="29"/>
  <c r="N55" i="29"/>
  <c r="BC56" i="16"/>
  <c r="BC56" i="27"/>
  <c r="E56" i="29"/>
  <c r="BH56" i="16"/>
  <c r="BH56" i="27"/>
  <c r="J56" i="29"/>
  <c r="BI56" i="16"/>
  <c r="BI56" i="27"/>
  <c r="K56" i="29"/>
  <c r="BD56" i="16"/>
  <c r="BD56" i="27"/>
  <c r="F56" i="29"/>
  <c r="BM56" i="16"/>
  <c r="BM56" i="27"/>
  <c r="N56" i="29" s="1"/>
  <c r="P55" i="29"/>
  <c r="BP56" i="16"/>
  <c r="BP56" i="27"/>
  <c r="Q56" i="29" s="1"/>
  <c r="BB56" i="16"/>
  <c r="BB56" i="27"/>
  <c r="D56" i="29"/>
  <c r="BR56" i="16"/>
  <c r="BR56" i="27"/>
  <c r="Q55" i="29"/>
  <c r="X144" i="30"/>
  <c r="X159" i="30" s="1"/>
  <c r="AH159" i="30" s="1"/>
  <c r="Y144" i="30"/>
  <c r="Y159" i="30" s="1"/>
  <c r="AI159" i="30" s="1"/>
  <c r="AA144" i="30"/>
  <c r="AA159" i="30" s="1"/>
  <c r="AK159" i="30" s="1"/>
  <c r="Z144" i="30"/>
  <c r="Z159" i="30" s="1"/>
  <c r="AJ159" i="30" s="1"/>
  <c r="W144" i="30"/>
  <c r="W159" i="30" s="1"/>
  <c r="AG159" i="30" s="1"/>
  <c r="AI43" i="26"/>
  <c r="Y144" i="26"/>
  <c r="Y159" i="26" s="1"/>
  <c r="AH159" i="26" s="1"/>
  <c r="AB144" i="26"/>
  <c r="AB159" i="26" s="1"/>
  <c r="AK159" i="26" s="1"/>
  <c r="Z144" i="26"/>
  <c r="Z159" i="26" s="1"/>
  <c r="AI159" i="26" s="1"/>
  <c r="AC144" i="26"/>
  <c r="AC159" i="26" s="1"/>
  <c r="AL159" i="26" s="1"/>
  <c r="AA144" i="26"/>
  <c r="AA159" i="26" s="1"/>
  <c r="AJ159" i="26" s="1"/>
  <c r="AG14" i="26"/>
  <c r="AK14" i="26"/>
  <c r="BJ54" i="16"/>
  <c r="AH14" i="26"/>
  <c r="AJ43" i="26"/>
  <c r="AH43" i="26"/>
  <c r="AJ14" i="26"/>
  <c r="AI14" i="26"/>
  <c r="AK43" i="26"/>
  <c r="AG43" i="26"/>
  <c r="AL44" i="26"/>
  <c r="AL8" i="26"/>
  <c r="AL20" i="26"/>
  <c r="CR76" i="24"/>
  <c r="BL57" i="12" s="1"/>
  <c r="BC57" i="12"/>
  <c r="BC57" i="31" s="1"/>
  <c r="BO56" i="12"/>
  <c r="BO56" i="27" s="1"/>
  <c r="P56" i="29" s="1"/>
  <c r="CW76" i="24"/>
  <c r="BQ57" i="12" s="1"/>
  <c r="BH57" i="12"/>
  <c r="BH57" i="31" s="1"/>
  <c r="CX76" i="24"/>
  <c r="BR57" i="12" s="1"/>
  <c r="H57" i="22"/>
  <c r="AH57" i="22" s="1"/>
  <c r="BI57" i="12"/>
  <c r="BI57" i="31" s="1"/>
  <c r="AL56" i="22"/>
  <c r="AK56" i="22"/>
  <c r="AN56" i="22" s="1"/>
  <c r="AO56" i="22" s="1"/>
  <c r="BS56" i="16" s="1"/>
  <c r="AM56" i="22"/>
  <c r="AJ56" i="22"/>
  <c r="AI56" i="22"/>
  <c r="BQ56" i="12"/>
  <c r="BQ56" i="27" s="1"/>
  <c r="R56" i="29" s="1"/>
  <c r="BP55" i="16"/>
  <c r="BJ55" i="16" s="1"/>
  <c r="CU76" i="24"/>
  <c r="BO57" i="12" s="1"/>
  <c r="BF57" i="12"/>
  <c r="BF57" i="31" s="1"/>
  <c r="BK55" i="16"/>
  <c r="BJ55" i="12"/>
  <c r="BK56" i="16"/>
  <c r="CS76" i="24"/>
  <c r="BD57" i="12"/>
  <c r="BD57" i="31" s="1"/>
  <c r="CV76" i="24"/>
  <c r="BP57" i="12" s="1"/>
  <c r="BG57" i="12"/>
  <c r="BG57" i="31" s="1"/>
  <c r="BM55" i="16"/>
  <c r="AO53" i="22"/>
  <c r="BS53" i="16" s="1"/>
  <c r="AY78" i="24"/>
  <c r="AZ78" i="24"/>
  <c r="CP78" i="24" s="1"/>
  <c r="G58" i="22" s="1"/>
  <c r="BA78" i="24"/>
  <c r="AM78" i="24"/>
  <c r="AK78" i="24"/>
  <c r="CD78" i="24" s="1"/>
  <c r="AL78" i="24"/>
  <c r="CT76" i="24"/>
  <c r="BN57" i="12" s="1"/>
  <c r="BE57" i="12"/>
  <c r="BE57" i="31" s="1"/>
  <c r="BL56" i="12"/>
  <c r="BL56" i="27" s="1"/>
  <c r="BN56" i="12"/>
  <c r="BN56" i="27" s="1"/>
  <c r="CQ76" i="24"/>
  <c r="BK57" i="12" s="1"/>
  <c r="BK57" i="27" s="1"/>
  <c r="BB57" i="12"/>
  <c r="BB57" i="31" s="1"/>
  <c r="AL55" i="22"/>
  <c r="AM55" i="22"/>
  <c r="AJ55" i="22"/>
  <c r="AK55" i="22"/>
  <c r="AI55" i="22"/>
  <c r="CI77" i="24"/>
  <c r="CH77" i="24"/>
  <c r="CF77" i="24"/>
  <c r="CE77" i="24"/>
  <c r="CG77" i="24"/>
  <c r="CJ77" i="24"/>
  <c r="CK77" i="24"/>
  <c r="CL77" i="24"/>
  <c r="X78" i="24"/>
  <c r="R80" i="17"/>
  <c r="AC79" i="17"/>
  <c r="AB79" i="17"/>
  <c r="AA79" i="17"/>
  <c r="Z79" i="17"/>
  <c r="AE79" i="17"/>
  <c r="AD79" i="17"/>
  <c r="X79" i="17"/>
  <c r="X79" i="14" s="1"/>
  <c r="W79" i="17"/>
  <c r="X79" i="19" s="1"/>
  <c r="V79" i="17"/>
  <c r="X79" i="3" s="1"/>
  <c r="U79" i="17"/>
  <c r="X79" i="7" s="1"/>
  <c r="X79" i="12" s="1"/>
  <c r="T79" i="17"/>
  <c r="S79" i="17"/>
  <c r="X79" i="15" s="1"/>
  <c r="X79" i="31" l="1"/>
  <c r="X79" i="27"/>
  <c r="X79" i="16"/>
  <c r="X78" i="31"/>
  <c r="X78" i="27"/>
  <c r="X78" i="16"/>
  <c r="AL21" i="26"/>
  <c r="W195" i="32"/>
  <c r="AB163" i="32"/>
  <c r="W174" i="32"/>
  <c r="AA195" i="32"/>
  <c r="AA174" i="32"/>
  <c r="Z174" i="32"/>
  <c r="Z195" i="32"/>
  <c r="X195" i="32"/>
  <c r="X174" i="32"/>
  <c r="AF125" i="32"/>
  <c r="AF126" i="32"/>
  <c r="AF122" i="32"/>
  <c r="AF119" i="32"/>
  <c r="AF124" i="32"/>
  <c r="AF127" i="32"/>
  <c r="AF120" i="32"/>
  <c r="AF123" i="32"/>
  <c r="AF117" i="32"/>
  <c r="AF118" i="32"/>
  <c r="AF121" i="32"/>
  <c r="AA144" i="32"/>
  <c r="X144" i="32"/>
  <c r="Z144" i="32"/>
  <c r="AL7" i="26"/>
  <c r="AF178" i="26"/>
  <c r="W214" i="26"/>
  <c r="BH57" i="16"/>
  <c r="J57" i="29"/>
  <c r="BH57" i="27"/>
  <c r="BD57" i="16"/>
  <c r="BD57" i="27"/>
  <c r="F57" i="29"/>
  <c r="M56" i="29"/>
  <c r="BQ57" i="16"/>
  <c r="BQ57" i="27"/>
  <c r="R57" i="29" s="1"/>
  <c r="BE57" i="16"/>
  <c r="BE57" i="27"/>
  <c r="G57" i="29"/>
  <c r="BN57" i="16"/>
  <c r="BN57" i="27"/>
  <c r="BC57" i="16"/>
  <c r="BC57" i="27"/>
  <c r="E57" i="29"/>
  <c r="O56" i="29"/>
  <c r="BJ56" i="27"/>
  <c r="BR57" i="16"/>
  <c r="BR57" i="27"/>
  <c r="S57" i="29" s="1"/>
  <c r="BL57" i="16"/>
  <c r="BL57" i="27"/>
  <c r="M57" i="29" s="1"/>
  <c r="BG57" i="16"/>
  <c r="BG57" i="27"/>
  <c r="I57" i="29"/>
  <c r="BI57" i="16"/>
  <c r="K57" i="29"/>
  <c r="BI57" i="27"/>
  <c r="S56" i="29"/>
  <c r="BF57" i="16"/>
  <c r="BF57" i="27"/>
  <c r="H57" i="29"/>
  <c r="BB57" i="16"/>
  <c r="BB57" i="27"/>
  <c r="D57" i="29"/>
  <c r="BO57" i="16"/>
  <c r="BO57" i="27"/>
  <c r="P57" i="29" s="1"/>
  <c r="BP57" i="16"/>
  <c r="BP57" i="27"/>
  <c r="BT53" i="16"/>
  <c r="BU53" i="16"/>
  <c r="AL14" i="26"/>
  <c r="AL43" i="26"/>
  <c r="AL58" i="12" a="1"/>
  <c r="AL58" i="12" s="1"/>
  <c r="AM58" i="12"/>
  <c r="AK58" i="12"/>
  <c r="BJ56" i="12"/>
  <c r="CX77" i="24"/>
  <c r="BN56" i="16"/>
  <c r="CW77" i="24"/>
  <c r="CV77" i="24"/>
  <c r="AN55" i="22"/>
  <c r="BO56" i="16"/>
  <c r="AL57" i="22"/>
  <c r="AK57" i="22"/>
  <c r="AN57" i="22" s="1"/>
  <c r="AO57" i="22" s="1"/>
  <c r="BS57" i="16" s="1"/>
  <c r="AM57" i="22"/>
  <c r="AI57" i="22"/>
  <c r="AJ57" i="22"/>
  <c r="CQ77" i="24"/>
  <c r="BQ56" i="16"/>
  <c r="CS77" i="24"/>
  <c r="CR77" i="24"/>
  <c r="AK79" i="24"/>
  <c r="CD79" i="24" s="1"/>
  <c r="AL79" i="24"/>
  <c r="AM79" i="24"/>
  <c r="BM57" i="12"/>
  <c r="CT77" i="24"/>
  <c r="AY79" i="24"/>
  <c r="AZ79" i="24"/>
  <c r="CP79" i="24" s="1"/>
  <c r="G59" i="22" s="1"/>
  <c r="BA79" i="24"/>
  <c r="CU77" i="24"/>
  <c r="BK57" i="16"/>
  <c r="BL56" i="16"/>
  <c r="CH78" i="24"/>
  <c r="CE78" i="24"/>
  <c r="CF78" i="24"/>
  <c r="CG78" i="24"/>
  <c r="CI78" i="24"/>
  <c r="CJ78" i="24"/>
  <c r="CL78" i="24"/>
  <c r="CK78" i="24"/>
  <c r="X79" i="24"/>
  <c r="R81" i="17"/>
  <c r="AE80" i="17"/>
  <c r="AD80" i="17"/>
  <c r="AC80" i="17"/>
  <c r="AB80" i="17"/>
  <c r="AA80" i="17"/>
  <c r="Z80" i="17"/>
  <c r="T80" i="17"/>
  <c r="S80" i="17"/>
  <c r="X80" i="15" s="1"/>
  <c r="X80" i="17"/>
  <c r="X80" i="14" s="1"/>
  <c r="W80" i="17"/>
  <c r="X80" i="19" s="1"/>
  <c r="V80" i="17"/>
  <c r="X80" i="3" s="1"/>
  <c r="U80" i="17"/>
  <c r="X80" i="7" s="1"/>
  <c r="X80" i="12" l="1"/>
  <c r="AH118" i="32"/>
  <c r="AH126" i="32"/>
  <c r="AH119" i="32"/>
  <c r="AH123" i="32"/>
  <c r="AH117" i="32"/>
  <c r="AH125" i="32"/>
  <c r="AH127" i="32"/>
  <c r="AH122" i="32"/>
  <c r="AH120" i="32"/>
  <c r="AH124" i="32"/>
  <c r="AH121" i="32"/>
  <c r="AB195" i="32"/>
  <c r="AC163" i="32"/>
  <c r="AD163" i="32" s="1"/>
  <c r="AD126" i="32"/>
  <c r="AD122" i="32"/>
  <c r="AD117" i="32"/>
  <c r="AD119" i="32"/>
  <c r="AD123" i="32"/>
  <c r="AD127" i="32"/>
  <c r="AD120" i="32"/>
  <c r="AD125" i="32"/>
  <c r="AD124" i="32"/>
  <c r="AD118" i="32"/>
  <c r="AD121" i="32"/>
  <c r="AE122" i="32"/>
  <c r="AE127" i="32"/>
  <c r="AE124" i="32"/>
  <c r="AE117" i="32"/>
  <c r="AE125" i="32"/>
  <c r="AE118" i="32"/>
  <c r="AE126" i="32"/>
  <c r="AE120" i="32"/>
  <c r="AE123" i="32"/>
  <c r="AE119" i="32"/>
  <c r="AE121" i="32"/>
  <c r="AG127" i="32"/>
  <c r="AG125" i="32"/>
  <c r="AG123" i="32"/>
  <c r="AG124" i="32"/>
  <c r="AG120" i="32"/>
  <c r="AG118" i="32"/>
  <c r="AG122" i="32"/>
  <c r="AG119" i="32"/>
  <c r="AG117" i="32"/>
  <c r="AG126" i="32"/>
  <c r="AG121" i="32"/>
  <c r="BU56" i="16"/>
  <c r="BT56" i="16"/>
  <c r="BJ57" i="16"/>
  <c r="BJ57" i="12"/>
  <c r="BM57" i="27"/>
  <c r="O57" i="29"/>
  <c r="BJ57" i="27"/>
  <c r="Q57" i="29"/>
  <c r="BJ56" i="16"/>
  <c r="AL59" i="12" a="1"/>
  <c r="AL59" i="12" s="1"/>
  <c r="AM59" i="12"/>
  <c r="AK59" i="12"/>
  <c r="CX78" i="24"/>
  <c r="H58" i="22"/>
  <c r="AH58" i="22" s="1"/>
  <c r="BI58" i="12"/>
  <c r="BI58" i="31" s="1"/>
  <c r="CV78" i="24"/>
  <c r="BP58" i="12" s="1"/>
  <c r="BP58" i="27" s="1"/>
  <c r="Q58" i="29" s="1"/>
  <c r="BG58" i="12"/>
  <c r="BG58" i="31" s="1"/>
  <c r="CU78" i="24"/>
  <c r="BO58" i="12" s="1"/>
  <c r="BO58" i="27" s="1"/>
  <c r="BF58" i="12"/>
  <c r="BF58" i="31" s="1"/>
  <c r="CF79" i="24"/>
  <c r="CE79" i="24"/>
  <c r="CI79" i="24"/>
  <c r="CH79" i="24"/>
  <c r="CG79" i="24"/>
  <c r="CJ79" i="24"/>
  <c r="CL79" i="24"/>
  <c r="CK79" i="24"/>
  <c r="AO55" i="22"/>
  <c r="BS55" i="16" s="1"/>
  <c r="CW78" i="24"/>
  <c r="BH58" i="12"/>
  <c r="BH58" i="31" s="1"/>
  <c r="CS78" i="24"/>
  <c r="BM58" i="12" s="1"/>
  <c r="BD58" i="12"/>
  <c r="BD58" i="31" s="1"/>
  <c r="CR78" i="24"/>
  <c r="BL58" i="12" s="1"/>
  <c r="BL58" i="27" s="1"/>
  <c r="M58" i="29" s="1"/>
  <c r="BC58" i="12"/>
  <c r="BC58" i="31" s="1"/>
  <c r="AK80" i="24"/>
  <c r="CD80" i="24" s="1"/>
  <c r="AL80" i="24"/>
  <c r="AM80" i="24"/>
  <c r="AZ80" i="24"/>
  <c r="CP80" i="24" s="1"/>
  <c r="G60" i="22" s="1"/>
  <c r="BA80" i="24"/>
  <c r="AY80" i="24"/>
  <c r="CQ78" i="24"/>
  <c r="BK58" i="12" s="1"/>
  <c r="BK58" i="27" s="1"/>
  <c r="BB58" i="12"/>
  <c r="BB58" i="31" s="1"/>
  <c r="CT78" i="24"/>
  <c r="BE58" i="12"/>
  <c r="BE58" i="31" s="1"/>
  <c r="BM57" i="16"/>
  <c r="X80" i="24"/>
  <c r="R82" i="17"/>
  <c r="AE81" i="17"/>
  <c r="AD81" i="17"/>
  <c r="AC81" i="17"/>
  <c r="AB81" i="17"/>
  <c r="AA81" i="17"/>
  <c r="Z81" i="17"/>
  <c r="V81" i="17"/>
  <c r="X81" i="3" s="1"/>
  <c r="U81" i="17"/>
  <c r="X81" i="7" s="1"/>
  <c r="X81" i="12" s="1"/>
  <c r="T81" i="17"/>
  <c r="S81" i="17"/>
  <c r="X81" i="15" s="1"/>
  <c r="X81" i="17"/>
  <c r="X81" i="14" s="1"/>
  <c r="W81" i="17"/>
  <c r="X81" i="19" s="1"/>
  <c r="X81" i="31" l="1"/>
  <c r="X81" i="27"/>
  <c r="X81" i="16"/>
  <c r="X80" i="31"/>
  <c r="X80" i="27"/>
  <c r="X80" i="16"/>
  <c r="BB58" i="16"/>
  <c r="D58" i="29"/>
  <c r="BB58" i="27"/>
  <c r="BF58" i="16"/>
  <c r="BF58" i="27"/>
  <c r="H58" i="29"/>
  <c r="BH58" i="16"/>
  <c r="J58" i="29"/>
  <c r="BH58" i="27"/>
  <c r="P58" i="29"/>
  <c r="BG58" i="16"/>
  <c r="I58" i="29"/>
  <c r="BG58" i="27"/>
  <c r="BE58" i="16"/>
  <c r="G58" i="29"/>
  <c r="BE58" i="27"/>
  <c r="BD58" i="16"/>
  <c r="BD58" i="27"/>
  <c r="F58" i="29"/>
  <c r="N57" i="29"/>
  <c r="BC58" i="16"/>
  <c r="BC58" i="27"/>
  <c r="E58" i="29"/>
  <c r="BM58" i="16"/>
  <c r="BM58" i="27"/>
  <c r="N58" i="29" s="1"/>
  <c r="BI58" i="16"/>
  <c r="K58" i="29"/>
  <c r="BI58" i="27"/>
  <c r="BT55" i="16"/>
  <c r="BU55" i="16"/>
  <c r="AM60" i="12"/>
  <c r="AL60" i="12" a="1"/>
  <c r="AL60" i="12" s="1"/>
  <c r="AK60" i="12"/>
  <c r="AZ81" i="24"/>
  <c r="CP81" i="24" s="1"/>
  <c r="G61" i="22" s="1"/>
  <c r="BA81" i="24"/>
  <c r="AY81" i="24"/>
  <c r="BL58" i="16"/>
  <c r="CS79" i="24"/>
  <c r="BM59" i="12" s="1"/>
  <c r="BM59" i="27" s="1"/>
  <c r="N59" i="29" s="1"/>
  <c r="BD59" i="12"/>
  <c r="BD59" i="31" s="1"/>
  <c r="BO58" i="16"/>
  <c r="AK81" i="24"/>
  <c r="CD81" i="24" s="1"/>
  <c r="AL81" i="24"/>
  <c r="AM81" i="24"/>
  <c r="BQ58" i="12"/>
  <c r="BQ58" i="27" s="1"/>
  <c r="R58" i="29" s="1"/>
  <c r="CT79" i="24"/>
  <c r="BN59" i="12" s="1"/>
  <c r="BE59" i="12"/>
  <c r="BE59" i="31" s="1"/>
  <c r="CU79" i="24"/>
  <c r="BO59" i="12" s="1"/>
  <c r="BF59" i="12"/>
  <c r="BF59" i="31" s="1"/>
  <c r="BN58" i="12"/>
  <c r="BN58" i="27" s="1"/>
  <c r="CQ79" i="24"/>
  <c r="BK59" i="12" s="1"/>
  <c r="BK59" i="27" s="1"/>
  <c r="BB59" i="12"/>
  <c r="BB59" i="31" s="1"/>
  <c r="CR79" i="24"/>
  <c r="BL59" i="12" s="1"/>
  <c r="BC59" i="12"/>
  <c r="BC59" i="31" s="1"/>
  <c r="BP58" i="16"/>
  <c r="CW79" i="24"/>
  <c r="BQ59" i="12" s="1"/>
  <c r="BH59" i="12"/>
  <c r="BH59" i="31" s="1"/>
  <c r="BK58" i="16"/>
  <c r="CH80" i="24"/>
  <c r="CF80" i="24"/>
  <c r="CE80" i="24"/>
  <c r="CG80" i="24"/>
  <c r="CI80" i="24"/>
  <c r="CJ80" i="24"/>
  <c r="CL80" i="24"/>
  <c r="CK80" i="24"/>
  <c r="CX79" i="24"/>
  <c r="BR59" i="12" s="1"/>
  <c r="H59" i="22"/>
  <c r="AH59" i="22" s="1"/>
  <c r="BI59" i="12"/>
  <c r="BI59" i="31" s="1"/>
  <c r="AJ58" i="22"/>
  <c r="AI58" i="22"/>
  <c r="AM58" i="22"/>
  <c r="AL58" i="22"/>
  <c r="AK58" i="22"/>
  <c r="AN58" i="22" s="1"/>
  <c r="CV79" i="24"/>
  <c r="BP59" i="12" s="1"/>
  <c r="BG59" i="12"/>
  <c r="BG59" i="31" s="1"/>
  <c r="BR58" i="12"/>
  <c r="BR58" i="27" s="1"/>
  <c r="X81" i="24"/>
  <c r="R83" i="17"/>
  <c r="AA82" i="17"/>
  <c r="Z82" i="17"/>
  <c r="AE82" i="17"/>
  <c r="AD82" i="17"/>
  <c r="AC82" i="17"/>
  <c r="AB82" i="17"/>
  <c r="X82" i="17"/>
  <c r="X82" i="14" s="1"/>
  <c r="W82" i="17"/>
  <c r="X82" i="19" s="1"/>
  <c r="V82" i="17"/>
  <c r="X82" i="3" s="1"/>
  <c r="U82" i="17"/>
  <c r="X82" i="7" s="1"/>
  <c r="X82" i="12" s="1"/>
  <c r="T82" i="17"/>
  <c r="S82" i="17"/>
  <c r="X82" i="15" s="1"/>
  <c r="X82" i="16" l="1"/>
  <c r="X82" i="31"/>
  <c r="X82" i="27"/>
  <c r="BU57" i="16"/>
  <c r="BT57" i="16"/>
  <c r="BL59" i="16"/>
  <c r="BL59" i="27"/>
  <c r="M59" i="29" s="1"/>
  <c r="BH59" i="16"/>
  <c r="BH59" i="27"/>
  <c r="J59" i="29"/>
  <c r="O58" i="29"/>
  <c r="BJ58" i="27"/>
  <c r="BQ59" i="16"/>
  <c r="BQ59" i="27"/>
  <c r="R59" i="29" s="1"/>
  <c r="BF59" i="16"/>
  <c r="BF59" i="27"/>
  <c r="H59" i="29"/>
  <c r="S58" i="29"/>
  <c r="BG59" i="16"/>
  <c r="BG59" i="27"/>
  <c r="I59" i="29"/>
  <c r="BE59" i="16"/>
  <c r="G59" i="29"/>
  <c r="BE59" i="27"/>
  <c r="BD59" i="16"/>
  <c r="BD59" i="27"/>
  <c r="F59" i="29"/>
  <c r="BO59" i="16"/>
  <c r="BO59" i="27"/>
  <c r="P59" i="29" s="1"/>
  <c r="BP59" i="16"/>
  <c r="BP59" i="27"/>
  <c r="BI59" i="16"/>
  <c r="BI59" i="27"/>
  <c r="K59" i="29"/>
  <c r="BC59" i="16"/>
  <c r="BC59" i="27"/>
  <c r="E59" i="29"/>
  <c r="BN59" i="16"/>
  <c r="BN59" i="27"/>
  <c r="BR59" i="16"/>
  <c r="BR59" i="27"/>
  <c r="S59" i="29" s="1"/>
  <c r="BB59" i="16"/>
  <c r="BB59" i="27"/>
  <c r="D59" i="29"/>
  <c r="AM61" i="12"/>
  <c r="AL61" i="12" a="1"/>
  <c r="AL61" i="12" s="1"/>
  <c r="AK61" i="12"/>
  <c r="CS80" i="24"/>
  <c r="BM60" i="12" s="1"/>
  <c r="BD60" i="12"/>
  <c r="BD60" i="31" s="1"/>
  <c r="BK59" i="16"/>
  <c r="BJ59" i="12"/>
  <c r="CU80" i="24"/>
  <c r="BO60" i="12" s="1"/>
  <c r="BF60" i="12"/>
  <c r="BF60" i="31" s="1"/>
  <c r="BA82" i="24"/>
  <c r="AY82" i="24"/>
  <c r="AZ82" i="24"/>
  <c r="CP82" i="24" s="1"/>
  <c r="G62" i="22" s="1"/>
  <c r="CQ80" i="24"/>
  <c r="BK60" i="12" s="1"/>
  <c r="BK60" i="27" s="1"/>
  <c r="BB60" i="12"/>
  <c r="BB60" i="31" s="1"/>
  <c r="BQ58" i="16"/>
  <c r="BM59" i="16"/>
  <c r="AM82" i="24"/>
  <c r="AK82" i="24"/>
  <c r="CD82" i="24" s="1"/>
  <c r="AL82" i="24"/>
  <c r="AI59" i="22"/>
  <c r="AK59" i="22"/>
  <c r="AN59" i="22" s="1"/>
  <c r="AO59" i="22" s="1"/>
  <c r="BS59" i="16" s="1"/>
  <c r="AM59" i="22"/>
  <c r="AJ59" i="22"/>
  <c r="AL59" i="22"/>
  <c r="CR80" i="24"/>
  <c r="BL60" i="12" s="1"/>
  <c r="BC60" i="12"/>
  <c r="BC60" i="31" s="1"/>
  <c r="BN58" i="16"/>
  <c r="CT80" i="24"/>
  <c r="BN60" i="12" s="1"/>
  <c r="BE60" i="12"/>
  <c r="BE60" i="31" s="1"/>
  <c r="AO58" i="22"/>
  <c r="BS58" i="16" s="1"/>
  <c r="CW80" i="24"/>
  <c r="BQ60" i="12" s="1"/>
  <c r="BH60" i="12"/>
  <c r="BH60" i="31" s="1"/>
  <c r="CX80" i="24"/>
  <c r="BR60" i="12" s="1"/>
  <c r="H60" i="22"/>
  <c r="AH60" i="22" s="1"/>
  <c r="BI60" i="12"/>
  <c r="BI60" i="31" s="1"/>
  <c r="BJ58" i="12"/>
  <c r="CH81" i="24"/>
  <c r="CI81" i="24"/>
  <c r="CE81" i="24"/>
  <c r="CF81" i="24"/>
  <c r="CG81" i="24"/>
  <c r="CJ81" i="24"/>
  <c r="CK81" i="24"/>
  <c r="CL81" i="24"/>
  <c r="BR58" i="16"/>
  <c r="CV80" i="24"/>
  <c r="BP60" i="12" s="1"/>
  <c r="BG60" i="12"/>
  <c r="BG60" i="31" s="1"/>
  <c r="X82" i="24"/>
  <c r="R84" i="17"/>
  <c r="AC83" i="17"/>
  <c r="AB83" i="17"/>
  <c r="AA83" i="17"/>
  <c r="Z83" i="17"/>
  <c r="AE83" i="17"/>
  <c r="AD83" i="17"/>
  <c r="X83" i="17"/>
  <c r="X83" i="14" s="1"/>
  <c r="W83" i="17"/>
  <c r="X83" i="19" s="1"/>
  <c r="V83" i="17"/>
  <c r="X83" i="3" s="1"/>
  <c r="U83" i="17"/>
  <c r="T83" i="17"/>
  <c r="S83" i="17"/>
  <c r="X83" i="15" s="1"/>
  <c r="BJ59" i="16" l="1"/>
  <c r="BH60" i="16"/>
  <c r="J60" i="29"/>
  <c r="BH60" i="27"/>
  <c r="BQ60" i="16"/>
  <c r="BQ60" i="27"/>
  <c r="R60" i="29" s="1"/>
  <c r="BF60" i="16"/>
  <c r="H60" i="29"/>
  <c r="BF60" i="27"/>
  <c r="O59" i="29"/>
  <c r="BJ59" i="27"/>
  <c r="Q59" i="29"/>
  <c r="BO60" i="16"/>
  <c r="BO60" i="27"/>
  <c r="P60" i="29" s="1"/>
  <c r="BT58" i="16"/>
  <c r="BI60" i="16"/>
  <c r="BI60" i="27"/>
  <c r="K60" i="29"/>
  <c r="BE60" i="16"/>
  <c r="G60" i="29"/>
  <c r="BE60" i="27"/>
  <c r="BB60" i="16"/>
  <c r="BB60" i="27"/>
  <c r="D60" i="29"/>
  <c r="BN60" i="16"/>
  <c r="BN60" i="27"/>
  <c r="BP60" i="16"/>
  <c r="BP60" i="27"/>
  <c r="Q60" i="29" s="1"/>
  <c r="BR60" i="16"/>
  <c r="BR60" i="27"/>
  <c r="S60" i="29" s="1"/>
  <c r="BD60" i="16"/>
  <c r="BD60" i="27"/>
  <c r="F60" i="29"/>
  <c r="BC60" i="16"/>
  <c r="BC60" i="27"/>
  <c r="E60" i="29"/>
  <c r="BM60" i="16"/>
  <c r="BM60" i="27"/>
  <c r="N60" i="29" s="1"/>
  <c r="BG60" i="16"/>
  <c r="I60" i="29"/>
  <c r="BG60" i="27"/>
  <c r="BL60" i="16"/>
  <c r="BL60" i="27"/>
  <c r="M60" i="29" s="1"/>
  <c r="BU58" i="16"/>
  <c r="BJ58" i="16"/>
  <c r="AL62" i="12" a="1"/>
  <c r="AL62" i="12" s="1"/>
  <c r="AM62" i="12"/>
  <c r="AK62" i="12"/>
  <c r="CU81" i="24"/>
  <c r="BO61" i="12" s="1"/>
  <c r="BO61" i="27" s="1"/>
  <c r="P61" i="29" s="1"/>
  <c r="BF61" i="12"/>
  <c r="BF61" i="31" s="1"/>
  <c r="CT81" i="24"/>
  <c r="BN61" i="12" s="1"/>
  <c r="BE61" i="12"/>
  <c r="BE61" i="31" s="1"/>
  <c r="CX81" i="24"/>
  <c r="BR61" i="12" s="1"/>
  <c r="H61" i="22"/>
  <c r="AH61" i="22" s="1"/>
  <c r="BI61" i="12"/>
  <c r="BI61" i="31" s="1"/>
  <c r="CV81" i="24"/>
  <c r="BP61" i="12" s="1"/>
  <c r="BG61" i="12"/>
  <c r="BG61" i="31" s="1"/>
  <c r="AJ60" i="22"/>
  <c r="AK60" i="22"/>
  <c r="AN60" i="22" s="1"/>
  <c r="AO60" i="22" s="1"/>
  <c r="BS60" i="16" s="1"/>
  <c r="AI60" i="22"/>
  <c r="AM60" i="22"/>
  <c r="AL60" i="22"/>
  <c r="BK60" i="16"/>
  <c r="BJ60" i="12"/>
  <c r="BA83" i="24"/>
  <c r="AY83" i="24"/>
  <c r="AZ83" i="24"/>
  <c r="CP83" i="24" s="1"/>
  <c r="G63" i="22" s="1"/>
  <c r="CS81" i="24"/>
  <c r="BM61" i="12" s="1"/>
  <c r="BD61" i="12"/>
  <c r="BD61" i="31" s="1"/>
  <c r="CF82" i="24"/>
  <c r="CH82" i="24"/>
  <c r="CE82" i="24"/>
  <c r="CG82" i="24"/>
  <c r="CJ82" i="24"/>
  <c r="CI82" i="24"/>
  <c r="CL82" i="24"/>
  <c r="CK82" i="24"/>
  <c r="AM83" i="24"/>
  <c r="AK83" i="24"/>
  <c r="CD83" i="24" s="1"/>
  <c r="AL83" i="24"/>
  <c r="CW81" i="24"/>
  <c r="BQ61" i="12" s="1"/>
  <c r="BH61" i="12"/>
  <c r="BH61" i="31" s="1"/>
  <c r="CR81" i="24"/>
  <c r="BL61" i="12" s="1"/>
  <c r="BL61" i="27" s="1"/>
  <c r="M61" i="29" s="1"/>
  <c r="BC61" i="12"/>
  <c r="BC61" i="31" s="1"/>
  <c r="CQ81" i="24"/>
  <c r="BK61" i="12" s="1"/>
  <c r="BK61" i="27" s="1"/>
  <c r="BB61" i="12"/>
  <c r="BB61" i="31" s="1"/>
  <c r="X83" i="24"/>
  <c r="X83" i="7"/>
  <c r="X83" i="12" s="1"/>
  <c r="R85" i="17"/>
  <c r="AE84" i="17"/>
  <c r="AD84" i="17"/>
  <c r="AC84" i="17"/>
  <c r="AB84" i="17"/>
  <c r="AA84" i="17"/>
  <c r="Z84" i="17"/>
  <c r="T84" i="17"/>
  <c r="S84" i="17"/>
  <c r="X84" i="15" s="1"/>
  <c r="X84" i="17"/>
  <c r="X84" i="14" s="1"/>
  <c r="W84" i="17"/>
  <c r="X84" i="19" s="1"/>
  <c r="V84" i="17"/>
  <c r="X84" i="3" s="1"/>
  <c r="U84" i="17"/>
  <c r="X84" i="7" s="1"/>
  <c r="X84" i="12" s="1"/>
  <c r="X83" i="16" l="1"/>
  <c r="X83" i="31"/>
  <c r="X83" i="27"/>
  <c r="X84" i="16"/>
  <c r="X84" i="31"/>
  <c r="X84" i="27"/>
  <c r="BU59" i="16"/>
  <c r="BT59" i="16"/>
  <c r="BJ60" i="16"/>
  <c r="BN61" i="16"/>
  <c r="BN61" i="27"/>
  <c r="BC61" i="16"/>
  <c r="BC61" i="27"/>
  <c r="E61" i="29"/>
  <c r="BP61" i="16"/>
  <c r="BP61" i="27"/>
  <c r="Q61" i="29" s="1"/>
  <c r="BI61" i="16"/>
  <c r="K61" i="29"/>
  <c r="BI61" i="27"/>
  <c r="BH61" i="16"/>
  <c r="BH61" i="27"/>
  <c r="J61" i="29"/>
  <c r="BD61" i="16"/>
  <c r="BD61" i="27"/>
  <c r="F61" i="29"/>
  <c r="O60" i="29"/>
  <c r="BJ60" i="27"/>
  <c r="BQ61" i="16"/>
  <c r="BQ61" i="27"/>
  <c r="R61" i="29" s="1"/>
  <c r="BM61" i="16"/>
  <c r="BM61" i="27"/>
  <c r="N61" i="29" s="1"/>
  <c r="BR61" i="16"/>
  <c r="BR61" i="27"/>
  <c r="S61" i="29" s="1"/>
  <c r="BB61" i="16"/>
  <c r="D61" i="29"/>
  <c r="BB61" i="27"/>
  <c r="BF61" i="16"/>
  <c r="H61" i="29"/>
  <c r="BF61" i="27"/>
  <c r="BG61" i="16"/>
  <c r="BG61" i="27"/>
  <c r="I61" i="29"/>
  <c r="BE61" i="16"/>
  <c r="G61" i="29"/>
  <c r="BE61" i="27"/>
  <c r="AL63" i="12" a="1"/>
  <c r="AL63" i="12" s="1"/>
  <c r="AM63" i="12"/>
  <c r="AK63" i="12"/>
  <c r="CS82" i="24"/>
  <c r="BM62" i="12" s="1"/>
  <c r="BD62" i="12"/>
  <c r="BD62" i="31" s="1"/>
  <c r="BL61" i="16"/>
  <c r="CQ82" i="24"/>
  <c r="BK62" i="12" s="1"/>
  <c r="BK62" i="27" s="1"/>
  <c r="BB62" i="12"/>
  <c r="BB62" i="31" s="1"/>
  <c r="CT82" i="24"/>
  <c r="BN62" i="12" s="1"/>
  <c r="BE62" i="12"/>
  <c r="BE62" i="31" s="1"/>
  <c r="AK84" i="24"/>
  <c r="CD84" i="24" s="1"/>
  <c r="AL84" i="24"/>
  <c r="AM84" i="24"/>
  <c r="CW82" i="24"/>
  <c r="BQ62" i="12" s="1"/>
  <c r="BH62" i="12"/>
  <c r="BH62" i="31" s="1"/>
  <c r="CR82" i="24"/>
  <c r="BL62" i="12" s="1"/>
  <c r="BC62" i="12"/>
  <c r="BC62" i="31" s="1"/>
  <c r="CX82" i="24"/>
  <c r="BR62" i="12" s="1"/>
  <c r="H62" i="22"/>
  <c r="AH62" i="22" s="1"/>
  <c r="BI62" i="12"/>
  <c r="BI62" i="31" s="1"/>
  <c r="BO61" i="16"/>
  <c r="CU82" i="24"/>
  <c r="BO62" i="12" s="1"/>
  <c r="BF62" i="12"/>
  <c r="BF62" i="31" s="1"/>
  <c r="BA84" i="24"/>
  <c r="AY84" i="24"/>
  <c r="AZ84" i="24"/>
  <c r="CP84" i="24" s="1"/>
  <c r="G64" i="22" s="1"/>
  <c r="BK61" i="16"/>
  <c r="BJ61" i="12"/>
  <c r="CE83" i="24"/>
  <c r="CF83" i="24"/>
  <c r="CI83" i="24"/>
  <c r="CH83" i="24"/>
  <c r="CG83" i="24"/>
  <c r="CJ83" i="24"/>
  <c r="CK83" i="24"/>
  <c r="CL83" i="24"/>
  <c r="CV82" i="24"/>
  <c r="BP62" i="12" s="1"/>
  <c r="BG62" i="12"/>
  <c r="BG62" i="31" s="1"/>
  <c r="AI61" i="22"/>
  <c r="AM61" i="22"/>
  <c r="AL61" i="22"/>
  <c r="AK61" i="22"/>
  <c r="AN61" i="22" s="1"/>
  <c r="AO61" i="22" s="1"/>
  <c r="BS61" i="16" s="1"/>
  <c r="AJ61" i="22"/>
  <c r="X84" i="24"/>
  <c r="R86" i="17"/>
  <c r="AE85" i="17"/>
  <c r="AD85" i="17"/>
  <c r="AC85" i="17"/>
  <c r="AB85" i="17"/>
  <c r="AA85" i="17"/>
  <c r="Z85" i="17"/>
  <c r="V85" i="17"/>
  <c r="X85" i="3" s="1"/>
  <c r="U85" i="17"/>
  <c r="X85" i="7" s="1"/>
  <c r="T85" i="17"/>
  <c r="S85" i="17"/>
  <c r="X85" i="15" s="1"/>
  <c r="X85" i="17"/>
  <c r="X85" i="14" s="1"/>
  <c r="W85" i="17"/>
  <c r="X85" i="19" s="1"/>
  <c r="X85" i="12" l="1"/>
  <c r="BT60" i="16"/>
  <c r="BM62" i="16"/>
  <c r="BM62" i="27"/>
  <c r="N62" i="29" s="1"/>
  <c r="BI62" i="16"/>
  <c r="BI62" i="27"/>
  <c r="K62" i="29"/>
  <c r="BR62" i="16"/>
  <c r="BR62" i="27"/>
  <c r="S62" i="29" s="1"/>
  <c r="BD62" i="16"/>
  <c r="F62" i="29"/>
  <c r="BD62" i="27"/>
  <c r="BG62" i="16"/>
  <c r="BG62" i="27"/>
  <c r="I62" i="29"/>
  <c r="BC62" i="16"/>
  <c r="BC62" i="27"/>
  <c r="E62" i="29"/>
  <c r="BE62" i="16"/>
  <c r="BE62" i="27"/>
  <c r="G62" i="29"/>
  <c r="BL62" i="16"/>
  <c r="BL62" i="27"/>
  <c r="M62" i="29" s="1"/>
  <c r="BN62" i="16"/>
  <c r="BN62" i="27"/>
  <c r="O61" i="29"/>
  <c r="BJ61" i="27"/>
  <c r="BP62" i="16"/>
  <c r="BP62" i="27"/>
  <c r="Q62" i="29" s="1"/>
  <c r="BF62" i="16"/>
  <c r="BF62" i="27"/>
  <c r="H62" i="29"/>
  <c r="BH62" i="16"/>
  <c r="BH62" i="27"/>
  <c r="J62" i="29"/>
  <c r="BB62" i="16"/>
  <c r="BB62" i="27"/>
  <c r="D62" i="29"/>
  <c r="BU60" i="16"/>
  <c r="BO62" i="16"/>
  <c r="BO62" i="27"/>
  <c r="P62" i="29" s="1"/>
  <c r="BQ62" i="16"/>
  <c r="BQ62" i="27"/>
  <c r="R62" i="29" s="1"/>
  <c r="BJ61" i="16"/>
  <c r="AM64" i="12"/>
  <c r="AL64" i="12" a="1"/>
  <c r="AL64" i="12" s="1"/>
  <c r="AK64" i="12"/>
  <c r="AY85" i="24"/>
  <c r="AZ85" i="24"/>
  <c r="CP85" i="24" s="1"/>
  <c r="G65" i="22" s="1"/>
  <c r="BA85" i="24"/>
  <c r="CV83" i="24"/>
  <c r="BP63" i="12" s="1"/>
  <c r="BG63" i="12"/>
  <c r="BG63" i="31" s="1"/>
  <c r="CS83" i="24"/>
  <c r="BM63" i="12" s="1"/>
  <c r="BD63" i="12"/>
  <c r="BD63" i="31" s="1"/>
  <c r="CT83" i="24"/>
  <c r="BN63" i="12" s="1"/>
  <c r="BE63" i="12"/>
  <c r="BE63" i="31" s="1"/>
  <c r="CU83" i="24"/>
  <c r="BO63" i="12" s="1"/>
  <c r="BF63" i="12"/>
  <c r="BF63" i="31" s="1"/>
  <c r="AI62" i="22"/>
  <c r="AM62" i="22"/>
  <c r="AK62" i="22"/>
  <c r="AN62" i="22" s="1"/>
  <c r="AO62" i="22" s="1"/>
  <c r="BS62" i="16" s="1"/>
  <c r="AJ62" i="22"/>
  <c r="AL62" i="22"/>
  <c r="BK62" i="16"/>
  <c r="BJ62" i="12"/>
  <c r="CR83" i="24"/>
  <c r="BL63" i="12" s="1"/>
  <c r="BC63" i="12"/>
  <c r="BC63" i="31" s="1"/>
  <c r="CH84" i="24"/>
  <c r="CE84" i="24"/>
  <c r="CF84" i="24"/>
  <c r="CG84" i="24"/>
  <c r="CJ84" i="24"/>
  <c r="CI84" i="24"/>
  <c r="CL84" i="24"/>
  <c r="CK84" i="24"/>
  <c r="CQ83" i="24"/>
  <c r="BK63" i="12" s="1"/>
  <c r="BK63" i="27" s="1"/>
  <c r="BB63" i="12"/>
  <c r="BB63" i="31" s="1"/>
  <c r="CX83" i="24"/>
  <c r="BR63" i="12" s="1"/>
  <c r="H63" i="22"/>
  <c r="AH63" i="22" s="1"/>
  <c r="BI63" i="12"/>
  <c r="BI63" i="31" s="1"/>
  <c r="AK85" i="24"/>
  <c r="CD85" i="24" s="1"/>
  <c r="AL85" i="24"/>
  <c r="AM85" i="24"/>
  <c r="CW83" i="24"/>
  <c r="BQ63" i="12" s="1"/>
  <c r="BH63" i="12"/>
  <c r="BH63" i="31" s="1"/>
  <c r="X85" i="24"/>
  <c r="R87" i="17"/>
  <c r="AA86" i="17"/>
  <c r="Z86" i="17"/>
  <c r="AE86" i="17"/>
  <c r="AD86" i="17"/>
  <c r="AC86" i="17"/>
  <c r="AB86" i="17"/>
  <c r="X86" i="17"/>
  <c r="X86" i="14" s="1"/>
  <c r="W86" i="17"/>
  <c r="X86" i="19" s="1"/>
  <c r="V86" i="17"/>
  <c r="X86" i="3" s="1"/>
  <c r="U86" i="17"/>
  <c r="X86" i="7" s="1"/>
  <c r="T86" i="17"/>
  <c r="S86" i="17"/>
  <c r="X86" i="15" s="1"/>
  <c r="X86" i="12" l="1"/>
  <c r="X85" i="27"/>
  <c r="X85" i="16"/>
  <c r="X85" i="31"/>
  <c r="BU61" i="16"/>
  <c r="BT61" i="16"/>
  <c r="BJ62" i="16"/>
  <c r="BO63" i="16"/>
  <c r="BO63" i="27"/>
  <c r="P63" i="29" s="1"/>
  <c r="O62" i="29"/>
  <c r="BJ62" i="27"/>
  <c r="BI63" i="16"/>
  <c r="BI63" i="27"/>
  <c r="K63" i="29"/>
  <c r="BE63" i="16"/>
  <c r="BE63" i="27"/>
  <c r="G63" i="29"/>
  <c r="BN63" i="16"/>
  <c r="BN63" i="27"/>
  <c r="BH63" i="16"/>
  <c r="J63" i="29"/>
  <c r="BH63" i="27"/>
  <c r="BR63" i="16"/>
  <c r="BR63" i="27"/>
  <c r="S63" i="29" s="1"/>
  <c r="BD63" i="16"/>
  <c r="BD63" i="27"/>
  <c r="F63" i="29"/>
  <c r="BM63" i="16"/>
  <c r="BM63" i="27"/>
  <c r="N63" i="29" s="1"/>
  <c r="BQ63" i="16"/>
  <c r="BQ63" i="27"/>
  <c r="R63" i="29" s="1"/>
  <c r="BG63" i="16"/>
  <c r="I63" i="29"/>
  <c r="BG63" i="27"/>
  <c r="BB63" i="16"/>
  <c r="BB63" i="27"/>
  <c r="D63" i="29"/>
  <c r="BC63" i="16"/>
  <c r="BC63" i="27"/>
  <c r="E63" i="29"/>
  <c r="BP63" i="16"/>
  <c r="BP63" i="27"/>
  <c r="Q63" i="29" s="1"/>
  <c r="BL63" i="16"/>
  <c r="BL63" i="27"/>
  <c r="M63" i="29" s="1"/>
  <c r="BF63" i="16"/>
  <c r="BF63" i="27"/>
  <c r="H63" i="29"/>
  <c r="AM65" i="12"/>
  <c r="AL65" i="12" a="1"/>
  <c r="AL65" i="12" s="1"/>
  <c r="AK65" i="12"/>
  <c r="CS84" i="24"/>
  <c r="BM64" i="12" s="1"/>
  <c r="BD64" i="12"/>
  <c r="BD64" i="31" s="1"/>
  <c r="CW84" i="24"/>
  <c r="BQ64" i="12" s="1"/>
  <c r="BH64" i="12"/>
  <c r="BH64" i="31" s="1"/>
  <c r="AY86" i="24"/>
  <c r="AZ86" i="24"/>
  <c r="CP86" i="24" s="1"/>
  <c r="G66" i="22" s="1"/>
  <c r="BA86" i="24"/>
  <c r="CX84" i="24"/>
  <c r="BR64" i="12" s="1"/>
  <c r="H64" i="22"/>
  <c r="AH64" i="22" s="1"/>
  <c r="BI64" i="12"/>
  <c r="BI64" i="31" s="1"/>
  <c r="CE85" i="24"/>
  <c r="CG85" i="24"/>
  <c r="CI85" i="24"/>
  <c r="CF85" i="24"/>
  <c r="CH85" i="24"/>
  <c r="CJ85" i="24"/>
  <c r="CK85" i="24"/>
  <c r="CL85" i="24"/>
  <c r="CU84" i="24"/>
  <c r="BO64" i="12" s="1"/>
  <c r="BF64" i="12"/>
  <c r="BF64" i="31" s="1"/>
  <c r="CV84" i="24"/>
  <c r="BP64" i="12" s="1"/>
  <c r="BG64" i="12"/>
  <c r="BG64" i="31" s="1"/>
  <c r="AJ63" i="22"/>
  <c r="AI63" i="22"/>
  <c r="AM63" i="22"/>
  <c r="AL63" i="22"/>
  <c r="AK63" i="22"/>
  <c r="AN63" i="22" s="1"/>
  <c r="AO63" i="22" s="1"/>
  <c r="BS63" i="16" s="1"/>
  <c r="CR84" i="24"/>
  <c r="BL64" i="12" s="1"/>
  <c r="BC64" i="12"/>
  <c r="BC64" i="31" s="1"/>
  <c r="AK86" i="24"/>
  <c r="CD86" i="24" s="1"/>
  <c r="AL86" i="24"/>
  <c r="AM86" i="24"/>
  <c r="CQ84" i="24"/>
  <c r="BK64" i="12" s="1"/>
  <c r="BK64" i="27" s="1"/>
  <c r="BB64" i="12"/>
  <c r="BB64" i="31" s="1"/>
  <c r="BK63" i="16"/>
  <c r="BJ63" i="12"/>
  <c r="CT84" i="24"/>
  <c r="BN64" i="12" s="1"/>
  <c r="BE64" i="12"/>
  <c r="BE64" i="31" s="1"/>
  <c r="X86" i="24"/>
  <c r="R88" i="17"/>
  <c r="AC87" i="17"/>
  <c r="AB87" i="17"/>
  <c r="AA87" i="17"/>
  <c r="Z87" i="17"/>
  <c r="AE87" i="17"/>
  <c r="AD87" i="17"/>
  <c r="X87" i="17"/>
  <c r="X87" i="14" s="1"/>
  <c r="W87" i="17"/>
  <c r="X87" i="19" s="1"/>
  <c r="V87" i="17"/>
  <c r="X87" i="3" s="1"/>
  <c r="U87" i="17"/>
  <c r="X87" i="7" s="1"/>
  <c r="X87" i="12" s="1"/>
  <c r="T87" i="17"/>
  <c r="S87" i="17"/>
  <c r="X87" i="15" s="1"/>
  <c r="X87" i="31" l="1"/>
  <c r="X87" i="27"/>
  <c r="X87" i="16"/>
  <c r="X86" i="31"/>
  <c r="X86" i="27"/>
  <c r="X86" i="16"/>
  <c r="BT62" i="16"/>
  <c r="BU62" i="16"/>
  <c r="BJ63" i="16"/>
  <c r="BB64" i="16"/>
  <c r="BB64" i="27"/>
  <c r="D64" i="29"/>
  <c r="BF64" i="16"/>
  <c r="BF64" i="27"/>
  <c r="H64" i="29"/>
  <c r="O63" i="29"/>
  <c r="BJ63" i="27"/>
  <c r="BO64" i="16"/>
  <c r="BO64" i="27"/>
  <c r="P64" i="29" s="1"/>
  <c r="BH64" i="16"/>
  <c r="BH64" i="27"/>
  <c r="J64" i="29"/>
  <c r="BL64" i="16"/>
  <c r="BL64" i="27"/>
  <c r="M64" i="29" s="1"/>
  <c r="BE64" i="16"/>
  <c r="BE64" i="27"/>
  <c r="G64" i="29"/>
  <c r="BD64" i="16"/>
  <c r="F64" i="29"/>
  <c r="BD64" i="27"/>
  <c r="BI64" i="16"/>
  <c r="K64" i="29"/>
  <c r="BI64" i="27"/>
  <c r="BQ64" i="16"/>
  <c r="BQ64" i="27"/>
  <c r="R64" i="29" s="1"/>
  <c r="BN64" i="16"/>
  <c r="BN64" i="27"/>
  <c r="BG64" i="16"/>
  <c r="BG64" i="27"/>
  <c r="I64" i="29"/>
  <c r="BR64" i="16"/>
  <c r="BR64" i="27"/>
  <c r="S64" i="29" s="1"/>
  <c r="BM64" i="16"/>
  <c r="BM64" i="27"/>
  <c r="N64" i="29" s="1"/>
  <c r="BC64" i="16"/>
  <c r="E64" i="29"/>
  <c r="BC64" i="27"/>
  <c r="BP64" i="16"/>
  <c r="BP64" i="27"/>
  <c r="Q64" i="29" s="1"/>
  <c r="AM66" i="12"/>
  <c r="AL66" i="12" a="1"/>
  <c r="AL66" i="12" s="1"/>
  <c r="AK66" i="12"/>
  <c r="CT85" i="24"/>
  <c r="BN65" i="12" s="1"/>
  <c r="BE65" i="12"/>
  <c r="BE65" i="31" s="1"/>
  <c r="CR85" i="24"/>
  <c r="BL65" i="12" s="1"/>
  <c r="BC65" i="12"/>
  <c r="BC65" i="31" s="1"/>
  <c r="CU85" i="24"/>
  <c r="BO65" i="12" s="1"/>
  <c r="BF65" i="12"/>
  <c r="BF65" i="31" s="1"/>
  <c r="CS85" i="24"/>
  <c r="BM65" i="12" s="1"/>
  <c r="BD65" i="12"/>
  <c r="BD65" i="31" s="1"/>
  <c r="BK64" i="16"/>
  <c r="BJ64" i="12"/>
  <c r="CQ85" i="24"/>
  <c r="BK65" i="12" s="1"/>
  <c r="BK65" i="27" s="1"/>
  <c r="BB65" i="12"/>
  <c r="BB65" i="31" s="1"/>
  <c r="AK87" i="24"/>
  <c r="CD87" i="24" s="1"/>
  <c r="AL87" i="24"/>
  <c r="AM87" i="24"/>
  <c r="AY87" i="24"/>
  <c r="AZ87" i="24"/>
  <c r="CP87" i="24" s="1"/>
  <c r="G67" i="22" s="1"/>
  <c r="BA87" i="24"/>
  <c r="CX85" i="24"/>
  <c r="BR65" i="12" s="1"/>
  <c r="H65" i="22"/>
  <c r="AH65" i="22" s="1"/>
  <c r="BI65" i="12"/>
  <c r="BI65" i="31" s="1"/>
  <c r="CG86" i="24"/>
  <c r="BD86" i="12" s="1"/>
  <c r="BD86" i="31" s="1"/>
  <c r="CE86" i="24"/>
  <c r="BB86" i="12" s="1"/>
  <c r="BB86" i="31" s="1"/>
  <c r="CH86" i="24"/>
  <c r="BE86" i="12" s="1"/>
  <c r="BE86" i="31" s="1"/>
  <c r="CI86" i="24"/>
  <c r="BF86" i="12" s="1"/>
  <c r="BF86" i="31" s="1"/>
  <c r="CF86" i="24"/>
  <c r="BC86" i="12" s="1"/>
  <c r="BC86" i="31" s="1"/>
  <c r="CJ86" i="24"/>
  <c r="BG86" i="12" s="1"/>
  <c r="BG86" i="31" s="1"/>
  <c r="CL86" i="24"/>
  <c r="CK86" i="24"/>
  <c r="BH86" i="12" s="1"/>
  <c r="BH86" i="31" s="1"/>
  <c r="CW85" i="24"/>
  <c r="BQ65" i="12" s="1"/>
  <c r="BH65" i="12"/>
  <c r="BH65" i="31" s="1"/>
  <c r="AJ64" i="22"/>
  <c r="AM64" i="22"/>
  <c r="AL64" i="22"/>
  <c r="AK64" i="22"/>
  <c r="AN64" i="22" s="1"/>
  <c r="AO64" i="22" s="1"/>
  <c r="BS64" i="16" s="1"/>
  <c r="AI64" i="22"/>
  <c r="CV85" i="24"/>
  <c r="BP65" i="12" s="1"/>
  <c r="BG65" i="12"/>
  <c r="BG65" i="31" s="1"/>
  <c r="X87" i="24"/>
  <c r="R89" i="17"/>
  <c r="AE88" i="17"/>
  <c r="AD88" i="17"/>
  <c r="AC88" i="17"/>
  <c r="AB88" i="17"/>
  <c r="AA88" i="17"/>
  <c r="Z88" i="17"/>
  <c r="T88" i="17"/>
  <c r="S88" i="17"/>
  <c r="X88" i="15" s="1"/>
  <c r="X88" i="17"/>
  <c r="X88" i="14" s="1"/>
  <c r="W88" i="17"/>
  <c r="V88" i="17"/>
  <c r="X88" i="3" s="1"/>
  <c r="U88" i="17"/>
  <c r="X88" i="7" s="1"/>
  <c r="X88" i="12" s="1"/>
  <c r="BT63" i="16" l="1"/>
  <c r="BJ64" i="16"/>
  <c r="BR65" i="16"/>
  <c r="BR65" i="27"/>
  <c r="S65" i="29" s="1"/>
  <c r="BF65" i="16"/>
  <c r="BF65" i="27"/>
  <c r="H65" i="29"/>
  <c r="BB65" i="16"/>
  <c r="BB65" i="27"/>
  <c r="D65" i="29"/>
  <c r="BO65" i="16"/>
  <c r="BO65" i="27"/>
  <c r="P65" i="29" s="1"/>
  <c r="BC65" i="16"/>
  <c r="BC65" i="27"/>
  <c r="E65" i="29"/>
  <c r="O64" i="29"/>
  <c r="BJ64" i="27"/>
  <c r="BL65" i="16"/>
  <c r="BL65" i="27"/>
  <c r="M65" i="29" s="1"/>
  <c r="BN65" i="16"/>
  <c r="BN65" i="27"/>
  <c r="BH65" i="16"/>
  <c r="BH65" i="27"/>
  <c r="J65" i="29"/>
  <c r="BU63" i="16"/>
  <c r="BM65" i="16"/>
  <c r="BM65" i="27"/>
  <c r="N65" i="29" s="1"/>
  <c r="BG65" i="16"/>
  <c r="I65" i="29"/>
  <c r="BG65" i="27"/>
  <c r="BQ65" i="16"/>
  <c r="BQ65" i="27"/>
  <c r="R65" i="29" s="1"/>
  <c r="BP65" i="16"/>
  <c r="BP65" i="27"/>
  <c r="Q65" i="29" s="1"/>
  <c r="BI65" i="16"/>
  <c r="BI65" i="27"/>
  <c r="K65" i="29"/>
  <c r="BD65" i="16"/>
  <c r="BD65" i="27"/>
  <c r="F65" i="29"/>
  <c r="BE65" i="16"/>
  <c r="BE65" i="27"/>
  <c r="G65" i="29"/>
  <c r="BG86" i="16"/>
  <c r="BG86" i="27"/>
  <c r="I86" i="29"/>
  <c r="BH86" i="16"/>
  <c r="BH86" i="27"/>
  <c r="J86" i="29"/>
  <c r="BF86" i="16"/>
  <c r="H86" i="29"/>
  <c r="BF86" i="27"/>
  <c r="BE86" i="16"/>
  <c r="BE86" i="27"/>
  <c r="G86" i="29"/>
  <c r="BB86" i="16"/>
  <c r="BB86" i="27"/>
  <c r="D86" i="29"/>
  <c r="BC86" i="16"/>
  <c r="BC86" i="27"/>
  <c r="E86" i="29"/>
  <c r="BD86" i="16"/>
  <c r="BD86" i="27"/>
  <c r="F86" i="29"/>
  <c r="AL67" i="12" a="1"/>
  <c r="AL67" i="12" s="1"/>
  <c r="AM67" i="12"/>
  <c r="AK67" i="12"/>
  <c r="H86" i="22"/>
  <c r="BI86" i="12"/>
  <c r="BI86" i="31" s="1"/>
  <c r="CU86" i="24"/>
  <c r="BO66" i="12" s="1"/>
  <c r="BF66" i="12"/>
  <c r="BF66" i="31" s="1"/>
  <c r="BK65" i="16"/>
  <c r="BJ65" i="12"/>
  <c r="CT86" i="24"/>
  <c r="BN66" i="12" s="1"/>
  <c r="BE66" i="12"/>
  <c r="BE66" i="31" s="1"/>
  <c r="CQ86" i="24"/>
  <c r="BK66" i="12" s="1"/>
  <c r="BK66" i="27" s="1"/>
  <c r="BB66" i="12"/>
  <c r="BB66" i="31" s="1"/>
  <c r="CS86" i="24"/>
  <c r="BM66" i="12" s="1"/>
  <c r="BD66" i="12"/>
  <c r="BD66" i="31" s="1"/>
  <c r="CW86" i="24"/>
  <c r="BQ66" i="12" s="1"/>
  <c r="BH66" i="12"/>
  <c r="BH66" i="31" s="1"/>
  <c r="X88" i="24"/>
  <c r="AZ88" i="24"/>
  <c r="CP88" i="24" s="1"/>
  <c r="G68" i="22" s="1"/>
  <c r="BA88" i="24"/>
  <c r="AY88" i="24"/>
  <c r="CX86" i="24"/>
  <c r="BR66" i="12" s="1"/>
  <c r="H66" i="22"/>
  <c r="AH66" i="22" s="1"/>
  <c r="BI66" i="12"/>
  <c r="BI66" i="31" s="1"/>
  <c r="AM65" i="22"/>
  <c r="AL65" i="22"/>
  <c r="AJ65" i="22"/>
  <c r="AK65" i="22"/>
  <c r="AN65" i="22" s="1"/>
  <c r="AO65" i="22" s="1"/>
  <c r="BS65" i="16" s="1"/>
  <c r="AI65" i="22"/>
  <c r="AL88" i="24"/>
  <c r="AM88" i="24"/>
  <c r="AK88" i="24"/>
  <c r="CD88" i="24" s="1"/>
  <c r="CE87" i="24"/>
  <c r="BB87" i="12" s="1"/>
  <c r="BB87" i="31" s="1"/>
  <c r="CI87" i="24"/>
  <c r="BF87" i="12" s="1"/>
  <c r="BF87" i="31" s="1"/>
  <c r="CG87" i="24"/>
  <c r="BD87" i="12" s="1"/>
  <c r="BD87" i="31" s="1"/>
  <c r="CF87" i="24"/>
  <c r="BC87" i="12" s="1"/>
  <c r="BC87" i="31" s="1"/>
  <c r="CH87" i="24"/>
  <c r="BE87" i="12" s="1"/>
  <c r="BE87" i="31" s="1"/>
  <c r="CJ87" i="24"/>
  <c r="BG87" i="12" s="1"/>
  <c r="BG87" i="31" s="1"/>
  <c r="CK87" i="24"/>
  <c r="BH87" i="12" s="1"/>
  <c r="BH87" i="31" s="1"/>
  <c r="CL87" i="24"/>
  <c r="CV86" i="24"/>
  <c r="BP66" i="12" s="1"/>
  <c r="BG66" i="12"/>
  <c r="BG66" i="31" s="1"/>
  <c r="CR86" i="24"/>
  <c r="BL66" i="12" s="1"/>
  <c r="BC66" i="12"/>
  <c r="BC66" i="31" s="1"/>
  <c r="X88" i="19"/>
  <c r="X88" i="31" s="1"/>
  <c r="R90" i="17"/>
  <c r="AE89" i="17"/>
  <c r="AD89" i="17"/>
  <c r="AC89" i="17"/>
  <c r="AB89" i="17"/>
  <c r="AA89" i="17"/>
  <c r="Z89" i="17"/>
  <c r="V89" i="17"/>
  <c r="X89" i="3" s="1"/>
  <c r="U89" i="17"/>
  <c r="X89" i="7" s="1"/>
  <c r="T89" i="17"/>
  <c r="S89" i="17"/>
  <c r="X89" i="15" s="1"/>
  <c r="X89" i="17"/>
  <c r="X89" i="14" s="1"/>
  <c r="W89" i="17"/>
  <c r="X89" i="19" s="1"/>
  <c r="X88" i="16" l="1"/>
  <c r="X88" i="27"/>
  <c r="X89" i="12"/>
  <c r="BT64" i="16"/>
  <c r="BN66" i="16"/>
  <c r="BN66" i="27"/>
  <c r="BJ65" i="16"/>
  <c r="O65" i="29"/>
  <c r="BJ65" i="27"/>
  <c r="BI66" i="16"/>
  <c r="BI66" i="27"/>
  <c r="K66" i="29"/>
  <c r="BM66" i="16"/>
  <c r="BM66" i="27"/>
  <c r="N66" i="29" s="1"/>
  <c r="BF66" i="16"/>
  <c r="BF66" i="27"/>
  <c r="H66" i="29"/>
  <c r="BU64" i="16"/>
  <c r="BL66" i="16"/>
  <c r="BL66" i="27"/>
  <c r="M66" i="29" s="1"/>
  <c r="BB66" i="16"/>
  <c r="BB66" i="27"/>
  <c r="D66" i="29"/>
  <c r="BO66" i="16"/>
  <c r="BO66" i="27"/>
  <c r="P66" i="29" s="1"/>
  <c r="BQ66" i="16"/>
  <c r="BQ66" i="27"/>
  <c r="R66" i="29" s="1"/>
  <c r="BR66" i="16"/>
  <c r="BR66" i="27"/>
  <c r="S66" i="29" s="1"/>
  <c r="BC66" i="16"/>
  <c r="E66" i="29"/>
  <c r="BC66" i="27"/>
  <c r="BH66" i="16"/>
  <c r="BH66" i="27"/>
  <c r="J66" i="29"/>
  <c r="BG66" i="16"/>
  <c r="I66" i="29"/>
  <c r="BG66" i="27"/>
  <c r="BP66" i="16"/>
  <c r="BP66" i="27"/>
  <c r="Q66" i="29" s="1"/>
  <c r="BD66" i="16"/>
  <c r="BD66" i="27"/>
  <c r="F66" i="29"/>
  <c r="BE66" i="16"/>
  <c r="BE66" i="27"/>
  <c r="G66" i="29"/>
  <c r="BC87" i="16"/>
  <c r="BC87" i="27"/>
  <c r="E87" i="29"/>
  <c r="BD87" i="16"/>
  <c r="F87" i="29"/>
  <c r="BD87" i="27"/>
  <c r="BE87" i="16"/>
  <c r="G87" i="29"/>
  <c r="BE87" i="27"/>
  <c r="BI86" i="16"/>
  <c r="BI86" i="27"/>
  <c r="K86" i="29"/>
  <c r="BF87" i="16"/>
  <c r="H87" i="29"/>
  <c r="BF87" i="27"/>
  <c r="BB87" i="16"/>
  <c r="BB87" i="27"/>
  <c r="D87" i="29"/>
  <c r="BH87" i="16"/>
  <c r="J87" i="29"/>
  <c r="BH87" i="27"/>
  <c r="BG87" i="16"/>
  <c r="BG87" i="27"/>
  <c r="I87" i="29"/>
  <c r="AL68" i="12" a="1"/>
  <c r="AL68" i="12" s="1"/>
  <c r="AM68" i="12"/>
  <c r="AK68" i="12"/>
  <c r="H87" i="22"/>
  <c r="BI87" i="12"/>
  <c r="BI87" i="31" s="1"/>
  <c r="CX87" i="24"/>
  <c r="BR67" i="12" s="1"/>
  <c r="BR67" i="27" s="1"/>
  <c r="H67" i="22"/>
  <c r="BI67" i="12"/>
  <c r="BI67" i="31" s="1"/>
  <c r="AM89" i="24"/>
  <c r="AK89" i="24"/>
  <c r="CD89" i="24" s="1"/>
  <c r="AL89" i="24"/>
  <c r="CW87" i="24"/>
  <c r="BQ67" i="12" s="1"/>
  <c r="BQ67" i="27" s="1"/>
  <c r="BH67" i="12"/>
  <c r="BH67" i="31" s="1"/>
  <c r="CF88" i="24"/>
  <c r="BC88" i="12" s="1"/>
  <c r="BC88" i="31" s="1"/>
  <c r="CG88" i="24"/>
  <c r="BD88" i="12" s="1"/>
  <c r="BD88" i="31" s="1"/>
  <c r="CE88" i="24"/>
  <c r="BB88" i="12" s="1"/>
  <c r="BB88" i="31" s="1"/>
  <c r="CH88" i="24"/>
  <c r="BE88" i="12" s="1"/>
  <c r="BE88" i="31" s="1"/>
  <c r="CI88" i="24"/>
  <c r="BF88" i="12" s="1"/>
  <c r="BF88" i="31" s="1"/>
  <c r="CJ88" i="24"/>
  <c r="BG88" i="12" s="1"/>
  <c r="BG88" i="31" s="1"/>
  <c r="CL88" i="24"/>
  <c r="CK88" i="24"/>
  <c r="BH88" i="12" s="1"/>
  <c r="BH88" i="31" s="1"/>
  <c r="AL66" i="22"/>
  <c r="AK66" i="22"/>
  <c r="AN66" i="22" s="1"/>
  <c r="AO66" i="22" s="1"/>
  <c r="BS66" i="16" s="1"/>
  <c r="AJ66" i="22"/>
  <c r="AI66" i="22"/>
  <c r="AM66" i="22"/>
  <c r="CV87" i="24"/>
  <c r="BP67" i="12" s="1"/>
  <c r="BP67" i="27" s="1"/>
  <c r="BG67" i="12"/>
  <c r="BG67" i="31" s="1"/>
  <c r="CT87" i="24"/>
  <c r="BN67" i="12" s="1"/>
  <c r="BN67" i="27" s="1"/>
  <c r="BE67" i="12"/>
  <c r="BE67" i="31" s="1"/>
  <c r="CR87" i="24"/>
  <c r="BC67" i="12"/>
  <c r="BC67" i="31" s="1"/>
  <c r="CS87" i="24"/>
  <c r="BM67" i="12" s="1"/>
  <c r="BM67" i="27" s="1"/>
  <c r="BD67" i="12"/>
  <c r="BD67" i="31" s="1"/>
  <c r="AZ89" i="24"/>
  <c r="CP89" i="24" s="1"/>
  <c r="G69" i="22" s="1"/>
  <c r="BA89" i="24"/>
  <c r="AY89" i="24"/>
  <c r="CU87" i="24"/>
  <c r="BO67" i="12" s="1"/>
  <c r="BO67" i="27" s="1"/>
  <c r="BF67" i="12"/>
  <c r="BF67" i="31" s="1"/>
  <c r="BK66" i="16"/>
  <c r="BJ66" i="12"/>
  <c r="CQ87" i="24"/>
  <c r="BK67" i="12" s="1"/>
  <c r="BK67" i="27" s="1"/>
  <c r="BB67" i="12"/>
  <c r="BB67" i="31" s="1"/>
  <c r="X89" i="24"/>
  <c r="R91" i="17"/>
  <c r="AA90" i="17"/>
  <c r="Z90" i="17"/>
  <c r="AE90" i="17"/>
  <c r="AD90" i="17"/>
  <c r="AC90" i="17"/>
  <c r="AB90" i="17"/>
  <c r="X90" i="17"/>
  <c r="X90" i="14" s="1"/>
  <c r="W90" i="17"/>
  <c r="X90" i="19" s="1"/>
  <c r="V90" i="17"/>
  <c r="X90" i="3" s="1"/>
  <c r="U90" i="17"/>
  <c r="X90" i="7" s="1"/>
  <c r="X90" i="12" s="1"/>
  <c r="T90" i="17"/>
  <c r="S90" i="17"/>
  <c r="X90" i="15" s="1"/>
  <c r="X90" i="16" l="1"/>
  <c r="X90" i="31"/>
  <c r="X90" i="27"/>
  <c r="X89" i="31"/>
  <c r="X89" i="27"/>
  <c r="X89" i="16"/>
  <c r="BT65" i="16"/>
  <c r="BU65" i="16"/>
  <c r="BJ66" i="16"/>
  <c r="O66" i="29"/>
  <c r="BJ66" i="27"/>
  <c r="BI87" i="16"/>
  <c r="BI87" i="27"/>
  <c r="K87" i="29"/>
  <c r="BF88" i="16"/>
  <c r="BF88" i="27"/>
  <c r="H88" i="29"/>
  <c r="BE88" i="16"/>
  <c r="BE88" i="27"/>
  <c r="G88" i="29"/>
  <c r="BG88" i="16"/>
  <c r="BG88" i="27"/>
  <c r="I88" i="29"/>
  <c r="BB88" i="16"/>
  <c r="BB88" i="27"/>
  <c r="D88" i="29"/>
  <c r="BD88" i="16"/>
  <c r="BD88" i="27"/>
  <c r="F88" i="29"/>
  <c r="BC88" i="16"/>
  <c r="BC88" i="27"/>
  <c r="E88" i="29"/>
  <c r="BH88" i="16"/>
  <c r="BH88" i="27"/>
  <c r="J88" i="29"/>
  <c r="Q67" i="29"/>
  <c r="BD67" i="16"/>
  <c r="F67" i="29"/>
  <c r="BD67" i="27"/>
  <c r="BF67" i="16"/>
  <c r="H67" i="29"/>
  <c r="BF67" i="27"/>
  <c r="P67" i="29"/>
  <c r="BG67" i="16"/>
  <c r="I67" i="29"/>
  <c r="BG67" i="27"/>
  <c r="BC67" i="16"/>
  <c r="E67" i="29"/>
  <c r="BC67" i="27"/>
  <c r="N67" i="29"/>
  <c r="BI67" i="16"/>
  <c r="K67" i="29"/>
  <c r="BI67" i="27"/>
  <c r="R67" i="29"/>
  <c r="BB67" i="16"/>
  <c r="BB67" i="27"/>
  <c r="D67" i="29"/>
  <c r="BE67" i="16"/>
  <c r="G67" i="29"/>
  <c r="BE67" i="27"/>
  <c r="O67" i="29"/>
  <c r="BH67" i="16"/>
  <c r="J67" i="29"/>
  <c r="BH67" i="27"/>
  <c r="S67" i="29"/>
  <c r="AM69" i="12"/>
  <c r="AL69" i="12" a="1"/>
  <c r="AL69" i="12" s="1"/>
  <c r="AK69" i="12"/>
  <c r="H88" i="22"/>
  <c r="BI88" i="12"/>
  <c r="BI88" i="31" s="1"/>
  <c r="CX88" i="24"/>
  <c r="BR68" i="12" s="1"/>
  <c r="H68" i="22"/>
  <c r="AH68" i="22" s="1"/>
  <c r="BI68" i="12"/>
  <c r="BI68" i="31" s="1"/>
  <c r="BQ67" i="16"/>
  <c r="BM67" i="16"/>
  <c r="BP67" i="16"/>
  <c r="CV88" i="24"/>
  <c r="BP68" i="12" s="1"/>
  <c r="BG68" i="12"/>
  <c r="BG68" i="31" s="1"/>
  <c r="CU88" i="24"/>
  <c r="BO68" i="12" s="1"/>
  <c r="BF68" i="12"/>
  <c r="BF68" i="31" s="1"/>
  <c r="BO67" i="16"/>
  <c r="CT88" i="24"/>
  <c r="BN68" i="12" s="1"/>
  <c r="BE68" i="12"/>
  <c r="BE68" i="31" s="1"/>
  <c r="CH89" i="24"/>
  <c r="CE89" i="24"/>
  <c r="CG89" i="24"/>
  <c r="CI89" i="24"/>
  <c r="CF89" i="24"/>
  <c r="CJ89" i="24"/>
  <c r="CL89" i="24"/>
  <c r="CK89" i="24"/>
  <c r="CQ88" i="24"/>
  <c r="BK68" i="12" s="1"/>
  <c r="BK68" i="27" s="1"/>
  <c r="BB68" i="12"/>
  <c r="BB68" i="31" s="1"/>
  <c r="BL67" i="16"/>
  <c r="CS88" i="24"/>
  <c r="BM68" i="12" s="1"/>
  <c r="BD68" i="12"/>
  <c r="BD68" i="31" s="1"/>
  <c r="X90" i="24"/>
  <c r="BA90" i="24"/>
  <c r="AY90" i="24"/>
  <c r="AZ90" i="24"/>
  <c r="CP90" i="24" s="1"/>
  <c r="G70" i="22" s="1"/>
  <c r="CR88" i="24"/>
  <c r="BL68" i="12" s="1"/>
  <c r="BC68" i="12"/>
  <c r="BC68" i="31" s="1"/>
  <c r="AH67" i="22"/>
  <c r="AK90" i="24"/>
  <c r="CD90" i="24" s="1"/>
  <c r="AL90" i="24"/>
  <c r="AM90" i="24"/>
  <c r="BK67" i="16"/>
  <c r="BJ67" i="12"/>
  <c r="BN67" i="16"/>
  <c r="CW88" i="24"/>
  <c r="BQ68" i="12" s="1"/>
  <c r="BH68" i="12"/>
  <c r="BH68" i="31" s="1"/>
  <c r="BR67" i="16"/>
  <c r="R92" i="17"/>
  <c r="AC91" i="17"/>
  <c r="AB91" i="17"/>
  <c r="AA91" i="17"/>
  <c r="Z91" i="17"/>
  <c r="AE91" i="17"/>
  <c r="AD91" i="17"/>
  <c r="X91" i="17"/>
  <c r="X91" i="14" s="1"/>
  <c r="W91" i="17"/>
  <c r="X91" i="19" s="1"/>
  <c r="V91" i="17"/>
  <c r="X91" i="3" s="1"/>
  <c r="U91" i="17"/>
  <c r="X91" i="7" s="1"/>
  <c r="T91" i="17"/>
  <c r="S91" i="17"/>
  <c r="X91" i="15" s="1"/>
  <c r="X91" i="12" l="1"/>
  <c r="BI88" i="16"/>
  <c r="K88" i="29"/>
  <c r="BI88" i="27"/>
  <c r="BT66" i="16"/>
  <c r="BU66" i="16"/>
  <c r="BI68" i="16"/>
  <c r="K68" i="29"/>
  <c r="BI68" i="27"/>
  <c r="BQ68" i="16"/>
  <c r="BQ68" i="27"/>
  <c r="BR68" i="16"/>
  <c r="BR68" i="27"/>
  <c r="BN68" i="16"/>
  <c r="BN68" i="27"/>
  <c r="BL68" i="16"/>
  <c r="BL68" i="27"/>
  <c r="M68" i="29" s="1"/>
  <c r="BB68" i="16"/>
  <c r="BB68" i="27"/>
  <c r="D68" i="29"/>
  <c r="BP68" i="16"/>
  <c r="BP68" i="27"/>
  <c r="BC68" i="16"/>
  <c r="E68" i="29"/>
  <c r="BC68" i="27"/>
  <c r="BF68" i="16"/>
  <c r="H68" i="29"/>
  <c r="BF68" i="27"/>
  <c r="BG68" i="16"/>
  <c r="I68" i="29"/>
  <c r="BG68" i="27"/>
  <c r="BD68" i="16"/>
  <c r="F68" i="29"/>
  <c r="BD68" i="27"/>
  <c r="BM68" i="16"/>
  <c r="BM68" i="27"/>
  <c r="N68" i="29" s="1"/>
  <c r="BO68" i="16"/>
  <c r="BO68" i="27"/>
  <c r="BH68" i="16"/>
  <c r="J68" i="29"/>
  <c r="BH68" i="27"/>
  <c r="BE68" i="16"/>
  <c r="G68" i="29"/>
  <c r="BE68" i="27"/>
  <c r="BJ67" i="27"/>
  <c r="BJ67" i="16"/>
  <c r="AM70" i="12"/>
  <c r="AL70" i="12" a="1"/>
  <c r="AL70" i="12" s="1"/>
  <c r="AK70" i="12"/>
  <c r="AK91" i="24"/>
  <c r="CD91" i="24" s="1"/>
  <c r="AL91" i="24"/>
  <c r="AM91" i="24"/>
  <c r="CQ89" i="24"/>
  <c r="BK69" i="12" s="1"/>
  <c r="BK69" i="27" s="1"/>
  <c r="BB69" i="12"/>
  <c r="BB69" i="31" s="1"/>
  <c r="AI68" i="22"/>
  <c r="AM68" i="22"/>
  <c r="AL68" i="22"/>
  <c r="AJ68" i="22"/>
  <c r="AK68" i="22"/>
  <c r="AN68" i="22" s="1"/>
  <c r="AO68" i="22" s="1"/>
  <c r="BS68" i="16" s="1"/>
  <c r="BA91" i="24"/>
  <c r="AY91" i="24"/>
  <c r="AZ91" i="24"/>
  <c r="CP91" i="24" s="1"/>
  <c r="G71" i="22" s="1"/>
  <c r="CT89" i="24"/>
  <c r="BN69" i="12" s="1"/>
  <c r="BN69" i="27" s="1"/>
  <c r="BE69" i="12"/>
  <c r="BE69" i="31" s="1"/>
  <c r="CH90" i="24"/>
  <c r="CG90" i="24"/>
  <c r="CF90" i="24"/>
  <c r="CE90" i="24"/>
  <c r="CI90" i="24"/>
  <c r="CJ90" i="24"/>
  <c r="CL90" i="24"/>
  <c r="CK90" i="24"/>
  <c r="AI67" i="22"/>
  <c r="AM67" i="22"/>
  <c r="AJ67" i="22"/>
  <c r="AL67" i="22"/>
  <c r="AK67" i="22"/>
  <c r="CW89" i="24"/>
  <c r="BQ69" i="12" s="1"/>
  <c r="BH69" i="12"/>
  <c r="BH69" i="31" s="1"/>
  <c r="BK68" i="16"/>
  <c r="BJ68" i="12"/>
  <c r="CX89" i="24"/>
  <c r="BR69" i="12" s="1"/>
  <c r="BR69" i="27" s="1"/>
  <c r="H69" i="22"/>
  <c r="BI69" i="12"/>
  <c r="BI69" i="31" s="1"/>
  <c r="CV89" i="24"/>
  <c r="BP69" i="12" s="1"/>
  <c r="BP69" i="27" s="1"/>
  <c r="BG69" i="12"/>
  <c r="BG69" i="31" s="1"/>
  <c r="CR89" i="24"/>
  <c r="BL69" i="12" s="1"/>
  <c r="BC69" i="12"/>
  <c r="BC69" i="31" s="1"/>
  <c r="CU89" i="24"/>
  <c r="BO69" i="12" s="1"/>
  <c r="BO69" i="27" s="1"/>
  <c r="BF69" i="12"/>
  <c r="BF69" i="31" s="1"/>
  <c r="CS89" i="24"/>
  <c r="BM69" i="12" s="1"/>
  <c r="BD69" i="12"/>
  <c r="BD69" i="31" s="1"/>
  <c r="X91" i="24"/>
  <c r="R93" i="17"/>
  <c r="AE92" i="17"/>
  <c r="AD92" i="17"/>
  <c r="AC92" i="17"/>
  <c r="AB92" i="17"/>
  <c r="AA92" i="17"/>
  <c r="Z92" i="17"/>
  <c r="T92" i="17"/>
  <c r="S92" i="17"/>
  <c r="X92" i="15" s="1"/>
  <c r="X92" i="17"/>
  <c r="X92" i="14" s="1"/>
  <c r="W92" i="17"/>
  <c r="X92" i="19" s="1"/>
  <c r="V92" i="17"/>
  <c r="X92" i="3" s="1"/>
  <c r="U92" i="17"/>
  <c r="X92" i="7" s="1"/>
  <c r="X92" i="12" s="1"/>
  <c r="X92" i="16" l="1"/>
  <c r="X92" i="31"/>
  <c r="X92" i="27"/>
  <c r="X91" i="16"/>
  <c r="X91" i="31"/>
  <c r="X91" i="27"/>
  <c r="O68" i="29"/>
  <c r="Q68" i="29"/>
  <c r="P68" i="29"/>
  <c r="R68" i="29"/>
  <c r="P69" i="29"/>
  <c r="Q69" i="29"/>
  <c r="O69" i="29"/>
  <c r="BJ68" i="16"/>
  <c r="S69" i="29"/>
  <c r="BL69" i="16"/>
  <c r="BL69" i="27"/>
  <c r="M69" i="29" s="1"/>
  <c r="BE69" i="16"/>
  <c r="G69" i="29"/>
  <c r="BE69" i="27"/>
  <c r="BF69" i="16"/>
  <c r="H69" i="29"/>
  <c r="BF69" i="27"/>
  <c r="BD69" i="16"/>
  <c r="F69" i="29"/>
  <c r="BD69" i="27"/>
  <c r="BQ69" i="16"/>
  <c r="BQ69" i="27"/>
  <c r="BI69" i="16"/>
  <c r="K69" i="29"/>
  <c r="BI69" i="27"/>
  <c r="BC69" i="16"/>
  <c r="E69" i="29"/>
  <c r="BC69" i="27"/>
  <c r="BG69" i="16"/>
  <c r="I69" i="29"/>
  <c r="BG69" i="27"/>
  <c r="BH69" i="16"/>
  <c r="J69" i="29"/>
  <c r="BH69" i="27"/>
  <c r="BM69" i="16"/>
  <c r="BM69" i="27"/>
  <c r="N69" i="29" s="1"/>
  <c r="BB69" i="16"/>
  <c r="BB69" i="27"/>
  <c r="D69" i="29"/>
  <c r="BJ68" i="27"/>
  <c r="S68" i="29"/>
  <c r="AL71" i="12" a="1"/>
  <c r="AL71" i="12" s="1"/>
  <c r="AM71" i="12"/>
  <c r="AK71" i="12"/>
  <c r="AN67" i="22"/>
  <c r="CV90" i="24"/>
  <c r="BP70" i="12" s="1"/>
  <c r="BG70" i="12"/>
  <c r="BG70" i="31" s="1"/>
  <c r="CU90" i="24"/>
  <c r="BO70" i="12" s="1"/>
  <c r="BF70" i="12"/>
  <c r="BF70" i="31" s="1"/>
  <c r="CQ90" i="24"/>
  <c r="BK70" i="12" s="1"/>
  <c r="BK70" i="27" s="1"/>
  <c r="BB70" i="12"/>
  <c r="BB70" i="31" s="1"/>
  <c r="BN69" i="16"/>
  <c r="BP69" i="16"/>
  <c r="AH69" i="22"/>
  <c r="CR90" i="24"/>
  <c r="BL70" i="12" s="1"/>
  <c r="BL70" i="27" s="1"/>
  <c r="M70" i="29" s="1"/>
  <c r="BC70" i="12"/>
  <c r="BC70" i="31" s="1"/>
  <c r="BR69" i="16"/>
  <c r="CS90" i="24"/>
  <c r="BM70" i="12" s="1"/>
  <c r="BD70" i="12"/>
  <c r="BD70" i="31" s="1"/>
  <c r="BO69" i="16"/>
  <c r="CT90" i="24"/>
  <c r="BN70" i="12" s="1"/>
  <c r="BE70" i="12"/>
  <c r="BE70" i="31" s="1"/>
  <c r="AK92" i="24"/>
  <c r="CD92" i="24" s="1"/>
  <c r="AL92" i="24"/>
  <c r="AM92" i="24"/>
  <c r="X92" i="24"/>
  <c r="BA92" i="24"/>
  <c r="AY92" i="24"/>
  <c r="AZ92" i="24"/>
  <c r="CP92" i="24" s="1"/>
  <c r="G72" i="22" s="1"/>
  <c r="CW90" i="24"/>
  <c r="BQ70" i="12" s="1"/>
  <c r="BQ70" i="27" s="1"/>
  <c r="BH70" i="12"/>
  <c r="BH70" i="31" s="1"/>
  <c r="BK69" i="16"/>
  <c r="BJ69" i="12"/>
  <c r="CH91" i="24"/>
  <c r="BE91" i="12" s="1"/>
  <c r="BE91" i="31" s="1"/>
  <c r="CG91" i="24"/>
  <c r="BD91" i="12" s="1"/>
  <c r="BD91" i="31" s="1"/>
  <c r="CI91" i="24"/>
  <c r="BF91" i="12" s="1"/>
  <c r="BF91" i="31" s="1"/>
  <c r="CF91" i="24"/>
  <c r="BC91" i="12" s="1"/>
  <c r="BC91" i="31" s="1"/>
  <c r="CE91" i="24"/>
  <c r="BB91" i="12" s="1"/>
  <c r="BB91" i="31" s="1"/>
  <c r="CJ91" i="24"/>
  <c r="BG91" i="12" s="1"/>
  <c r="BG91" i="31" s="1"/>
  <c r="CK91" i="24"/>
  <c r="BH91" i="12" s="1"/>
  <c r="BH91" i="31" s="1"/>
  <c r="CL91" i="24"/>
  <c r="CX90" i="24"/>
  <c r="BR70" i="12" s="1"/>
  <c r="H70" i="22"/>
  <c r="AH70" i="22" s="1"/>
  <c r="BI70" i="12"/>
  <c r="BI70" i="31" s="1"/>
  <c r="R94" i="17"/>
  <c r="AE93" i="17"/>
  <c r="AD93" i="17"/>
  <c r="AC93" i="17"/>
  <c r="AB93" i="17"/>
  <c r="AA93" i="17"/>
  <c r="Z93" i="17"/>
  <c r="V93" i="17"/>
  <c r="X93" i="3" s="1"/>
  <c r="U93" i="17"/>
  <c r="X93" i="7" s="1"/>
  <c r="X93" i="12" s="1"/>
  <c r="T93" i="17"/>
  <c r="S93" i="17"/>
  <c r="X93" i="15" s="1"/>
  <c r="X93" i="17"/>
  <c r="X93" i="14" s="1"/>
  <c r="W93" i="17"/>
  <c r="X93" i="19" s="1"/>
  <c r="X93" i="27" l="1"/>
  <c r="X93" i="16"/>
  <c r="X93" i="31"/>
  <c r="R69" i="29"/>
  <c r="R70" i="29"/>
  <c r="BG91" i="16"/>
  <c r="BG91" i="27"/>
  <c r="I91" i="29"/>
  <c r="BB91" i="16"/>
  <c r="D91" i="29"/>
  <c r="BB91" i="27"/>
  <c r="BC91" i="16"/>
  <c r="BC91" i="27"/>
  <c r="E91" i="29"/>
  <c r="BH91" i="16"/>
  <c r="BH91" i="27"/>
  <c r="J91" i="29"/>
  <c r="BF91" i="16"/>
  <c r="BF91" i="27"/>
  <c r="H91" i="29"/>
  <c r="BD91" i="16"/>
  <c r="BD91" i="27"/>
  <c r="F91" i="29"/>
  <c r="BE91" i="16"/>
  <c r="BE91" i="27"/>
  <c r="G91" i="29"/>
  <c r="BT68" i="16"/>
  <c r="BO70" i="16"/>
  <c r="BO70" i="27"/>
  <c r="BN70" i="16"/>
  <c r="BN70" i="27"/>
  <c r="BP70" i="16"/>
  <c r="BP70" i="27"/>
  <c r="BC70" i="16"/>
  <c r="E70" i="29"/>
  <c r="BC70" i="27"/>
  <c r="BG70" i="16"/>
  <c r="I70" i="29"/>
  <c r="BG70" i="27"/>
  <c r="BM70" i="16"/>
  <c r="BM70" i="27"/>
  <c r="N70" i="29" s="1"/>
  <c r="BD70" i="16"/>
  <c r="F70" i="29"/>
  <c r="BD70" i="27"/>
  <c r="BH70" i="16"/>
  <c r="J70" i="29"/>
  <c r="BH70" i="27"/>
  <c r="BB70" i="16"/>
  <c r="BB70" i="27"/>
  <c r="D70" i="29"/>
  <c r="BR70" i="16"/>
  <c r="BR70" i="27"/>
  <c r="BI70" i="16"/>
  <c r="K70" i="29"/>
  <c r="BI70" i="27"/>
  <c r="BE70" i="16"/>
  <c r="G70" i="29"/>
  <c r="BE70" i="27"/>
  <c r="BF70" i="16"/>
  <c r="H70" i="29"/>
  <c r="BF70" i="27"/>
  <c r="BU68" i="16"/>
  <c r="BJ69" i="27"/>
  <c r="BJ69" i="16"/>
  <c r="AI194" i="12"/>
  <c r="AL72" i="12" a="1"/>
  <c r="AL72" i="12" s="1"/>
  <c r="AM72" i="12"/>
  <c r="AK72" i="12"/>
  <c r="H91" i="22"/>
  <c r="BI91" i="12"/>
  <c r="BI91" i="31" s="1"/>
  <c r="AY93" i="24"/>
  <c r="AZ93" i="24"/>
  <c r="CP93" i="24" s="1"/>
  <c r="G73" i="22" s="1"/>
  <c r="BA93" i="24"/>
  <c r="CT91" i="24"/>
  <c r="BN71" i="12" s="1"/>
  <c r="BE71" i="12"/>
  <c r="BE71" i="31" s="1"/>
  <c r="BK70" i="16"/>
  <c r="BJ70" i="12"/>
  <c r="CS91" i="24"/>
  <c r="BM71" i="12" s="1"/>
  <c r="BM71" i="27" s="1"/>
  <c r="BD71" i="12"/>
  <c r="BD71" i="31" s="1"/>
  <c r="CX91" i="24"/>
  <c r="BR71" i="12" s="1"/>
  <c r="H71" i="22"/>
  <c r="AH71" i="22" s="1"/>
  <c r="BI71" i="12"/>
  <c r="BI71" i="31" s="1"/>
  <c r="CW91" i="24"/>
  <c r="BQ71" i="12" s="1"/>
  <c r="BH71" i="12"/>
  <c r="BH71" i="31" s="1"/>
  <c r="AK93" i="24"/>
  <c r="CD93" i="24" s="1"/>
  <c r="AL93" i="24"/>
  <c r="AM93" i="24"/>
  <c r="CV91" i="24"/>
  <c r="BP71" i="12" s="1"/>
  <c r="BP71" i="27" s="1"/>
  <c r="BG71" i="12"/>
  <c r="BG71" i="31" s="1"/>
  <c r="CQ91" i="24"/>
  <c r="BK71" i="12" s="1"/>
  <c r="BK71" i="27" s="1"/>
  <c r="BB71" i="12"/>
  <c r="BB71" i="31" s="1"/>
  <c r="X194" i="12"/>
  <c r="BL70" i="16"/>
  <c r="CR91" i="24"/>
  <c r="BL71" i="12" s="1"/>
  <c r="BL71" i="27" s="1"/>
  <c r="BC71" i="12"/>
  <c r="BC71" i="31" s="1"/>
  <c r="BQ70" i="16"/>
  <c r="AO67" i="22"/>
  <c r="BS67" i="16" s="1"/>
  <c r="AI70" i="22"/>
  <c r="AJ70" i="22"/>
  <c r="AM70" i="22"/>
  <c r="AL70" i="22"/>
  <c r="AK70" i="22"/>
  <c r="AN70" i="22" s="1"/>
  <c r="AO70" i="22" s="1"/>
  <c r="BS70" i="16" s="1"/>
  <c r="CU91" i="24"/>
  <c r="BO71" i="12" s="1"/>
  <c r="BO71" i="27" s="1"/>
  <c r="BF71" i="12"/>
  <c r="BF71" i="31" s="1"/>
  <c r="M194" i="12"/>
  <c r="AW194" i="12"/>
  <c r="CE92" i="24"/>
  <c r="CI92" i="24"/>
  <c r="CJ92" i="24"/>
  <c r="CH92" i="24"/>
  <c r="CF92" i="24"/>
  <c r="CK92" i="24"/>
  <c r="CL92" i="24"/>
  <c r="CG92" i="24"/>
  <c r="AJ69" i="22"/>
  <c r="AL69" i="22"/>
  <c r="AM69" i="22"/>
  <c r="AI69" i="22"/>
  <c r="AK69" i="22"/>
  <c r="X93" i="24"/>
  <c r="R95" i="17"/>
  <c r="AA94" i="17"/>
  <c r="Z94" i="17"/>
  <c r="AE94" i="17"/>
  <c r="AD94" i="17"/>
  <c r="AC94" i="17"/>
  <c r="AB94" i="17"/>
  <c r="X94" i="17"/>
  <c r="X94" i="14" s="1"/>
  <c r="W94" i="17"/>
  <c r="X94" i="19" s="1"/>
  <c r="V94" i="17"/>
  <c r="X94" i="3" s="1"/>
  <c r="U94" i="17"/>
  <c r="X94" i="7" s="1"/>
  <c r="X94" i="12" s="1"/>
  <c r="T94" i="17"/>
  <c r="S94" i="17"/>
  <c r="X94" i="15" s="1"/>
  <c r="X94" i="31" l="1"/>
  <c r="X94" i="27"/>
  <c r="X94" i="16"/>
  <c r="O70" i="29"/>
  <c r="P70" i="29"/>
  <c r="Q70" i="29"/>
  <c r="BI91" i="16"/>
  <c r="BI91" i="27"/>
  <c r="K91" i="29"/>
  <c r="BJ70" i="16"/>
  <c r="BJ70" i="27"/>
  <c r="S70" i="29"/>
  <c r="N71" i="29"/>
  <c r="BB71" i="16"/>
  <c r="BB71" i="27"/>
  <c r="D71" i="29"/>
  <c r="BH71" i="16"/>
  <c r="J71" i="29"/>
  <c r="BH71" i="27"/>
  <c r="BG71" i="16"/>
  <c r="I71" i="29"/>
  <c r="BG71" i="27"/>
  <c r="Q71" i="29"/>
  <c r="BQ71" i="16"/>
  <c r="BQ71" i="27"/>
  <c r="BE71" i="16"/>
  <c r="G71" i="29"/>
  <c r="BE71" i="27"/>
  <c r="BI71" i="16"/>
  <c r="K71" i="29"/>
  <c r="BI71" i="27"/>
  <c r="BN71" i="16"/>
  <c r="BN71" i="27"/>
  <c r="BF71" i="16"/>
  <c r="H71" i="29"/>
  <c r="BF71" i="27"/>
  <c r="P71" i="29"/>
  <c r="BC71" i="16"/>
  <c r="E71" i="29"/>
  <c r="BC71" i="27"/>
  <c r="BR71" i="16"/>
  <c r="BR71" i="27"/>
  <c r="M71" i="29"/>
  <c r="BD71" i="16"/>
  <c r="F71" i="29"/>
  <c r="BD71" i="27"/>
  <c r="BT67" i="16"/>
  <c r="BU67" i="16"/>
  <c r="AM73" i="12"/>
  <c r="AL73" i="12" a="1"/>
  <c r="AL73" i="12" s="1"/>
  <c r="AK73" i="12"/>
  <c r="CV92" i="24"/>
  <c r="BP72" i="12" s="1"/>
  <c r="BG72" i="12"/>
  <c r="BG72" i="31" s="1"/>
  <c r="AK94" i="24"/>
  <c r="CD94" i="24" s="1"/>
  <c r="AL94" i="24"/>
  <c r="AM94" i="24"/>
  <c r="CW92" i="24"/>
  <c r="BQ72" i="12" s="1"/>
  <c r="BQ72" i="27" s="1"/>
  <c r="BH72" i="12"/>
  <c r="CE93" i="24"/>
  <c r="BB93" i="12" s="1"/>
  <c r="BB93" i="31" s="1"/>
  <c r="CF93" i="24"/>
  <c r="BC93" i="12" s="1"/>
  <c r="BC93" i="31" s="1"/>
  <c r="CG93" i="24"/>
  <c r="BD93" i="12" s="1"/>
  <c r="BD93" i="31" s="1"/>
  <c r="CI93" i="24"/>
  <c r="BF93" i="12" s="1"/>
  <c r="BF93" i="31" s="1"/>
  <c r="CH93" i="24"/>
  <c r="BE93" i="12" s="1"/>
  <c r="BE93" i="31" s="1"/>
  <c r="CJ93" i="24"/>
  <c r="BG93" i="12" s="1"/>
  <c r="BG93" i="31" s="1"/>
  <c r="CL93" i="24"/>
  <c r="CK93" i="24"/>
  <c r="BH93" i="12" s="1"/>
  <c r="BH93" i="31" s="1"/>
  <c r="CR92" i="24"/>
  <c r="BL72" i="12" s="1"/>
  <c r="BC72" i="12"/>
  <c r="BC72" i="31" s="1"/>
  <c r="CT92" i="24"/>
  <c r="BN72" i="12" s="1"/>
  <c r="BN72" i="27" s="1"/>
  <c r="BE72" i="12"/>
  <c r="BE72" i="31" s="1"/>
  <c r="BO71" i="16"/>
  <c r="BK71" i="16"/>
  <c r="BJ71" i="12"/>
  <c r="BM71" i="16"/>
  <c r="BL71" i="16"/>
  <c r="CU92" i="24"/>
  <c r="BO72" i="12" s="1"/>
  <c r="BF72" i="12"/>
  <c r="BF72" i="31" s="1"/>
  <c r="BP71" i="16"/>
  <c r="AN69" i="22"/>
  <c r="CQ92" i="24"/>
  <c r="BK72" i="12" s="1"/>
  <c r="BB72" i="12"/>
  <c r="BB72" i="31" s="1"/>
  <c r="CS92" i="24"/>
  <c r="BM72" i="12" s="1"/>
  <c r="BM72" i="27" s="1"/>
  <c r="N72" i="29" s="1"/>
  <c r="BD72" i="12"/>
  <c r="BD72" i="31" s="1"/>
  <c r="AY94" i="24"/>
  <c r="AZ94" i="24"/>
  <c r="CP94" i="24" s="1"/>
  <c r="G74" i="22" s="1"/>
  <c r="BA94" i="24"/>
  <c r="CX92" i="24"/>
  <c r="BR72" i="12" s="1"/>
  <c r="H72" i="22"/>
  <c r="AH72" i="22" s="1"/>
  <c r="BI72" i="12"/>
  <c r="BI72" i="31" s="1"/>
  <c r="AL71" i="22"/>
  <c r="AK71" i="22"/>
  <c r="AN71" i="22" s="1"/>
  <c r="AO71" i="22" s="1"/>
  <c r="BS71" i="16" s="1"/>
  <c r="AJ71" i="22"/>
  <c r="AI71" i="22"/>
  <c r="AM71" i="22"/>
  <c r="X94" i="24"/>
  <c r="R96" i="17"/>
  <c r="AC95" i="17"/>
  <c r="AB95" i="17"/>
  <c r="AA95" i="17"/>
  <c r="Z95" i="17"/>
  <c r="AE95" i="17"/>
  <c r="AD95" i="17"/>
  <c r="X95" i="17"/>
  <c r="X95" i="14" s="1"/>
  <c r="W95" i="17"/>
  <c r="X95" i="19" s="1"/>
  <c r="V95" i="17"/>
  <c r="X95" i="3" s="1"/>
  <c r="U95" i="17"/>
  <c r="T95" i="17"/>
  <c r="S95" i="17"/>
  <c r="X95" i="15" s="1"/>
  <c r="BH194" i="12" l="1"/>
  <c r="BH72" i="31"/>
  <c r="R72" i="29"/>
  <c r="O72" i="29"/>
  <c r="BC93" i="16"/>
  <c r="BC93" i="27"/>
  <c r="E93" i="29"/>
  <c r="BB93" i="16"/>
  <c r="BB93" i="27"/>
  <c r="D93" i="29"/>
  <c r="BH93" i="16"/>
  <c r="BH93" i="27"/>
  <c r="J93" i="29"/>
  <c r="BG93" i="16"/>
  <c r="BG93" i="27"/>
  <c r="I93" i="29"/>
  <c r="BE93" i="16"/>
  <c r="BE93" i="27"/>
  <c r="G93" i="29"/>
  <c r="BF93" i="16"/>
  <c r="BF93" i="27"/>
  <c r="H93" i="29"/>
  <c r="BD93" i="16"/>
  <c r="BD93" i="27"/>
  <c r="F93" i="29"/>
  <c r="BT70" i="16"/>
  <c r="BO72" i="16"/>
  <c r="BO72" i="27"/>
  <c r="BE72" i="16"/>
  <c r="G72" i="29"/>
  <c r="BE72" i="27"/>
  <c r="BD72" i="16"/>
  <c r="F72" i="29"/>
  <c r="BD72" i="27"/>
  <c r="BB72" i="16"/>
  <c r="D72" i="29"/>
  <c r="BB72" i="27"/>
  <c r="BL72" i="16"/>
  <c r="BL72" i="27"/>
  <c r="BG72" i="16"/>
  <c r="I72" i="29"/>
  <c r="BG72" i="27"/>
  <c r="BI72" i="16"/>
  <c r="K72" i="29"/>
  <c r="BI72" i="27"/>
  <c r="BR194" i="12"/>
  <c r="BR72" i="27"/>
  <c r="BH72" i="16"/>
  <c r="J72" i="29"/>
  <c r="BH72" i="27"/>
  <c r="BP72" i="16"/>
  <c r="BP72" i="27"/>
  <c r="BC72" i="16"/>
  <c r="E72" i="29"/>
  <c r="BC72" i="27"/>
  <c r="BK194" i="12"/>
  <c r="BK72" i="27"/>
  <c r="BF72" i="16"/>
  <c r="H72" i="29"/>
  <c r="BF72" i="27"/>
  <c r="BU70" i="16"/>
  <c r="BJ71" i="27"/>
  <c r="S71" i="29"/>
  <c r="O71" i="29"/>
  <c r="R71" i="29"/>
  <c r="BP194" i="12"/>
  <c r="BJ71" i="16"/>
  <c r="BG194" i="12"/>
  <c r="BL194" i="12"/>
  <c r="AM74" i="12"/>
  <c r="AL74" i="12" a="1"/>
  <c r="AL74" i="12" s="1"/>
  <c r="AK74" i="12"/>
  <c r="BC194" i="12"/>
  <c r="H93" i="22"/>
  <c r="BI93" i="12"/>
  <c r="BI93" i="31" s="1"/>
  <c r="BF194" i="12"/>
  <c r="CT93" i="24"/>
  <c r="BN73" i="12" s="1"/>
  <c r="BN73" i="27" s="1"/>
  <c r="BE73" i="12"/>
  <c r="BE73" i="31" s="1"/>
  <c r="BE194" i="12"/>
  <c r="CU93" i="24"/>
  <c r="BO73" i="12" s="1"/>
  <c r="BO73" i="27" s="1"/>
  <c r="BF73" i="12"/>
  <c r="BF73" i="31" s="1"/>
  <c r="BI194" i="12"/>
  <c r="BN72" i="16"/>
  <c r="BN194" i="12"/>
  <c r="CS93" i="24"/>
  <c r="BM73" i="12" s="1"/>
  <c r="BM73" i="27" s="1"/>
  <c r="N73" i="29" s="1"/>
  <c r="BD73" i="12"/>
  <c r="BD73" i="31" s="1"/>
  <c r="CR93" i="24"/>
  <c r="BL73" i="12" s="1"/>
  <c r="BL73" i="27" s="1"/>
  <c r="M73" i="29" s="1"/>
  <c r="BC73" i="12"/>
  <c r="BC73" i="31" s="1"/>
  <c r="AI72" i="22"/>
  <c r="AJ72" i="22"/>
  <c r="AM72" i="22"/>
  <c r="AK72" i="22"/>
  <c r="AN72" i="22" s="1"/>
  <c r="AO72" i="22" s="1"/>
  <c r="BS72" i="16" s="1"/>
  <c r="AL72" i="22"/>
  <c r="BB194" i="12"/>
  <c r="CQ93" i="24"/>
  <c r="BK73" i="12" s="1"/>
  <c r="BK73" i="27" s="1"/>
  <c r="BB73" i="12"/>
  <c r="BB73" i="31" s="1"/>
  <c r="CH94" i="24"/>
  <c r="BE94" i="12" s="1"/>
  <c r="BE94" i="31" s="1"/>
  <c r="CE94" i="24"/>
  <c r="BB94" i="12" s="1"/>
  <c r="BB94" i="31" s="1"/>
  <c r="CI94" i="24"/>
  <c r="BF94" i="12" s="1"/>
  <c r="BF94" i="31" s="1"/>
  <c r="CJ94" i="24"/>
  <c r="BG94" i="12" s="1"/>
  <c r="BG94" i="31" s="1"/>
  <c r="CL94" i="24"/>
  <c r="CG94" i="24"/>
  <c r="BD94" i="12" s="1"/>
  <c r="BD94" i="31" s="1"/>
  <c r="CK94" i="24"/>
  <c r="BH94" i="12" s="1"/>
  <c r="BH94" i="31" s="1"/>
  <c r="CF94" i="24"/>
  <c r="BC94" i="12" s="1"/>
  <c r="BC94" i="31" s="1"/>
  <c r="BR72" i="16"/>
  <c r="BK72" i="16"/>
  <c r="BJ72" i="12"/>
  <c r="CW93" i="24"/>
  <c r="BQ73" i="12" s="1"/>
  <c r="BQ73" i="27" s="1"/>
  <c r="BH73" i="12"/>
  <c r="BH73" i="31" s="1"/>
  <c r="AK95" i="24"/>
  <c r="CD95" i="24" s="1"/>
  <c r="AL95" i="24"/>
  <c r="AM95" i="24"/>
  <c r="AY95" i="24"/>
  <c r="AZ95" i="24"/>
  <c r="CP95" i="24" s="1"/>
  <c r="G75" i="22" s="1"/>
  <c r="BA95" i="24"/>
  <c r="BD194" i="12"/>
  <c r="BO194" i="12"/>
  <c r="CX93" i="24"/>
  <c r="BR73" i="12" s="1"/>
  <c r="BR73" i="27" s="1"/>
  <c r="H73" i="22"/>
  <c r="BI73" i="12"/>
  <c r="BI73" i="31" s="1"/>
  <c r="BQ72" i="16"/>
  <c r="BQ194" i="12"/>
  <c r="BM72" i="16"/>
  <c r="BM194" i="12"/>
  <c r="AO69" i="22"/>
  <c r="BS69" i="16" s="1"/>
  <c r="CV93" i="24"/>
  <c r="BP73" i="12" s="1"/>
  <c r="BP73" i="27" s="1"/>
  <c r="BG73" i="12"/>
  <c r="BG73" i="31" s="1"/>
  <c r="X95" i="24"/>
  <c r="X95" i="7"/>
  <c r="X95" i="12" s="1"/>
  <c r="R97" i="17"/>
  <c r="AE96" i="17"/>
  <c r="AD96" i="17"/>
  <c r="AC96" i="17"/>
  <c r="AB96" i="17"/>
  <c r="AA96" i="17"/>
  <c r="Z96" i="17"/>
  <c r="T96" i="17"/>
  <c r="S96" i="17"/>
  <c r="X96" i="15" s="1"/>
  <c r="X96" i="17"/>
  <c r="X96" i="14" s="1"/>
  <c r="W96" i="17"/>
  <c r="X96" i="19" s="1"/>
  <c r="V96" i="17"/>
  <c r="X96" i="3" s="1"/>
  <c r="U96" i="17"/>
  <c r="X96" i="7" s="1"/>
  <c r="X96" i="12" s="1"/>
  <c r="X96" i="31" l="1"/>
  <c r="X96" i="27"/>
  <c r="X96" i="16"/>
  <c r="X95" i="31"/>
  <c r="X95" i="27"/>
  <c r="X95" i="16"/>
  <c r="Q73" i="29"/>
  <c r="S73" i="29"/>
  <c r="P73" i="29"/>
  <c r="R73" i="29"/>
  <c r="BG94" i="16"/>
  <c r="BG94" i="27"/>
  <c r="I94" i="29"/>
  <c r="O73" i="29"/>
  <c r="BG73" i="16"/>
  <c r="BG73" i="27"/>
  <c r="I73" i="29"/>
  <c r="BF94" i="16"/>
  <c r="BF94" i="27"/>
  <c r="H94" i="29"/>
  <c r="BB94" i="16"/>
  <c r="BB94" i="27"/>
  <c r="D94" i="29"/>
  <c r="BI93" i="16"/>
  <c r="BI93" i="27"/>
  <c r="K93" i="29"/>
  <c r="BI73" i="16"/>
  <c r="BI73" i="27"/>
  <c r="K73" i="29"/>
  <c r="BE94" i="16"/>
  <c r="BE94" i="27"/>
  <c r="G94" i="29"/>
  <c r="BC94" i="16"/>
  <c r="E94" i="29"/>
  <c r="BC94" i="27"/>
  <c r="BB73" i="16"/>
  <c r="BB73" i="27"/>
  <c r="D73" i="29"/>
  <c r="BC73" i="16"/>
  <c r="BC73" i="27"/>
  <c r="E73" i="29"/>
  <c r="BF73" i="16"/>
  <c r="BF73" i="27"/>
  <c r="H73" i="29"/>
  <c r="BH94" i="16"/>
  <c r="BH94" i="27"/>
  <c r="J94" i="29"/>
  <c r="BD94" i="16"/>
  <c r="F94" i="29"/>
  <c r="BD94" i="27"/>
  <c r="BD73" i="16"/>
  <c r="BD73" i="27"/>
  <c r="F73" i="29"/>
  <c r="BH73" i="16"/>
  <c r="BH73" i="27"/>
  <c r="J73" i="29"/>
  <c r="BE73" i="16"/>
  <c r="BE73" i="27"/>
  <c r="G73" i="29"/>
  <c r="BT71" i="16"/>
  <c r="BU71" i="16"/>
  <c r="BJ72" i="27"/>
  <c r="S72" i="29"/>
  <c r="M72" i="29"/>
  <c r="Q72" i="29"/>
  <c r="P72" i="29"/>
  <c r="BT69" i="16"/>
  <c r="BU69" i="16"/>
  <c r="BJ72" i="16"/>
  <c r="AL75" i="12" a="1"/>
  <c r="AL75" i="12" s="1"/>
  <c r="AM75" i="12"/>
  <c r="AK75" i="12"/>
  <c r="H94" i="22"/>
  <c r="BI94" i="12"/>
  <c r="BI94" i="31" s="1"/>
  <c r="AK96" i="24"/>
  <c r="AL96" i="24"/>
  <c r="AM96" i="24"/>
  <c r="CE95" i="24"/>
  <c r="CF95" i="24"/>
  <c r="CH95" i="24"/>
  <c r="CG95" i="24"/>
  <c r="CI95" i="24"/>
  <c r="CJ95" i="24"/>
  <c r="CK95" i="24"/>
  <c r="CL95" i="24"/>
  <c r="BR73" i="16"/>
  <c r="CW94" i="24"/>
  <c r="BQ74" i="12" s="1"/>
  <c r="BQ74" i="27" s="1"/>
  <c r="BH74" i="12"/>
  <c r="BH74" i="31" s="1"/>
  <c r="BK73" i="16"/>
  <c r="BJ73" i="12"/>
  <c r="BM73" i="16"/>
  <c r="AH73" i="22"/>
  <c r="CR94" i="24"/>
  <c r="BL74" i="12" s="1"/>
  <c r="BC74" i="12"/>
  <c r="BC74" i="31" s="1"/>
  <c r="BQ73" i="16"/>
  <c r="CS94" i="24"/>
  <c r="BM74" i="12" s="1"/>
  <c r="BD74" i="12"/>
  <c r="BD74" i="31" s="1"/>
  <c r="BN73" i="16"/>
  <c r="AZ96" i="24"/>
  <c r="CP96" i="24" s="1"/>
  <c r="BA96" i="24"/>
  <c r="AY96" i="24"/>
  <c r="CX94" i="24"/>
  <c r="BR74" i="12" s="1"/>
  <c r="BR74" i="27" s="1"/>
  <c r="H74" i="22"/>
  <c r="AH74" i="22" s="1"/>
  <c r="BI74" i="12"/>
  <c r="BI74" i="31" s="1"/>
  <c r="BL73" i="16"/>
  <c r="BO73" i="16"/>
  <c r="BP73" i="16"/>
  <c r="CU94" i="24"/>
  <c r="BO74" i="12" s="1"/>
  <c r="BO74" i="27" s="1"/>
  <c r="BF74" i="12"/>
  <c r="BF74" i="31" s="1"/>
  <c r="CV94" i="24"/>
  <c r="BP74" i="12" s="1"/>
  <c r="BG74" i="12"/>
  <c r="BG74" i="31" s="1"/>
  <c r="CQ94" i="24"/>
  <c r="BK74" i="12" s="1"/>
  <c r="BK74" i="27" s="1"/>
  <c r="BB74" i="12"/>
  <c r="BB74" i="31" s="1"/>
  <c r="CT94" i="24"/>
  <c r="BN74" i="12" s="1"/>
  <c r="BN74" i="27" s="1"/>
  <c r="BE74" i="12"/>
  <c r="BE74" i="31" s="1"/>
  <c r="X96" i="24"/>
  <c r="R98" i="17"/>
  <c r="AE97" i="17"/>
  <c r="AD97" i="17"/>
  <c r="AC97" i="17"/>
  <c r="AB97" i="17"/>
  <c r="AA97" i="17"/>
  <c r="Z97" i="17"/>
  <c r="V97" i="17"/>
  <c r="X97" i="3" s="1"/>
  <c r="U97" i="17"/>
  <c r="X97" i="7" s="1"/>
  <c r="T97" i="17"/>
  <c r="S97" i="17"/>
  <c r="X97" i="15" s="1"/>
  <c r="X97" i="17"/>
  <c r="X97" i="14" s="1"/>
  <c r="W97" i="17"/>
  <c r="X97" i="19" s="1"/>
  <c r="X97" i="12" l="1"/>
  <c r="CD96" i="24"/>
  <c r="CK96" i="24" s="1"/>
  <c r="S74" i="29"/>
  <c r="R74" i="29"/>
  <c r="P74" i="29"/>
  <c r="BJ73" i="27"/>
  <c r="BT72" i="16"/>
  <c r="BC74" i="16"/>
  <c r="BC74" i="27"/>
  <c r="E74" i="29"/>
  <c r="O74" i="29"/>
  <c r="BU72" i="16"/>
  <c r="BB74" i="16"/>
  <c r="D74" i="29"/>
  <c r="BB74" i="27"/>
  <c r="BD74" i="16"/>
  <c r="BD74" i="27"/>
  <c r="F74" i="29"/>
  <c r="BF74" i="16"/>
  <c r="H74" i="29"/>
  <c r="BF74" i="27"/>
  <c r="BI74" i="16"/>
  <c r="BI74" i="27"/>
  <c r="K74" i="29"/>
  <c r="BM74" i="16"/>
  <c r="BM74" i="27"/>
  <c r="BH74" i="16"/>
  <c r="J74" i="29"/>
  <c r="BH74" i="27"/>
  <c r="BI94" i="16"/>
  <c r="BI94" i="27"/>
  <c r="K94" i="29"/>
  <c r="BL74" i="16"/>
  <c r="BL74" i="27"/>
  <c r="BG74" i="16"/>
  <c r="BG74" i="27"/>
  <c r="I74" i="29"/>
  <c r="BP74" i="16"/>
  <c r="BP74" i="27"/>
  <c r="BE74" i="16"/>
  <c r="BE74" i="27"/>
  <c r="G74" i="29"/>
  <c r="V68" i="29"/>
  <c r="BJ73" i="16"/>
  <c r="CV95" i="24"/>
  <c r="BP75" i="12" s="1"/>
  <c r="BP75" i="27" s="1"/>
  <c r="BG75" i="12"/>
  <c r="BG75" i="31" s="1"/>
  <c r="AI74" i="22"/>
  <c r="AM74" i="22"/>
  <c r="AL74" i="22"/>
  <c r="AK74" i="22"/>
  <c r="AN74" i="22" s="1"/>
  <c r="AO74" i="22" s="1"/>
  <c r="BS74" i="16" s="1"/>
  <c r="AJ74" i="22"/>
  <c r="CU95" i="24"/>
  <c r="BO75" i="12" s="1"/>
  <c r="BF75" i="12"/>
  <c r="BF75" i="31" s="1"/>
  <c r="AZ97" i="24"/>
  <c r="CP97" i="24" s="1"/>
  <c r="BA97" i="24"/>
  <c r="AY97" i="24"/>
  <c r="BN74" i="16"/>
  <c r="BR74" i="16"/>
  <c r="BQ74" i="16"/>
  <c r="CS95" i="24"/>
  <c r="BM75" i="12" s="1"/>
  <c r="BM75" i="27" s="1"/>
  <c r="N75" i="29" s="1"/>
  <c r="BD75" i="12"/>
  <c r="BD75" i="31" s="1"/>
  <c r="CT95" i="24"/>
  <c r="BN75" i="12" s="1"/>
  <c r="BE75" i="12"/>
  <c r="BE75" i="31" s="1"/>
  <c r="AL97" i="24"/>
  <c r="AM97" i="24"/>
  <c r="AK97" i="24"/>
  <c r="CD97" i="24" s="1"/>
  <c r="CR95" i="24"/>
  <c r="BL75" i="12" s="1"/>
  <c r="BL75" i="27" s="1"/>
  <c r="M75" i="29" s="1"/>
  <c r="BC75" i="12"/>
  <c r="BC75" i="31" s="1"/>
  <c r="CQ95" i="24"/>
  <c r="BK75" i="12" s="1"/>
  <c r="BK75" i="27" s="1"/>
  <c r="BB75" i="12"/>
  <c r="BB75" i="31" s="1"/>
  <c r="BO74" i="16"/>
  <c r="CX95" i="24"/>
  <c r="BR75" i="12" s="1"/>
  <c r="BR75" i="27" s="1"/>
  <c r="H75" i="22"/>
  <c r="AH75" i="22" s="1"/>
  <c r="BI75" i="12"/>
  <c r="BI75" i="31" s="1"/>
  <c r="BK74" i="16"/>
  <c r="BJ74" i="12"/>
  <c r="AI73" i="22"/>
  <c r="AM73" i="22"/>
  <c r="AL73" i="22"/>
  <c r="AK73" i="22"/>
  <c r="AJ73" i="22"/>
  <c r="CW95" i="24"/>
  <c r="BQ75" i="12" s="1"/>
  <c r="BQ75" i="27" s="1"/>
  <c r="BH75" i="12"/>
  <c r="BH75" i="31" s="1"/>
  <c r="X97" i="24"/>
  <c r="R99" i="17"/>
  <c r="AA98" i="17"/>
  <c r="Z98" i="17"/>
  <c r="AE98" i="17"/>
  <c r="AD98" i="17"/>
  <c r="AC98" i="17"/>
  <c r="AB98" i="17"/>
  <c r="X98" i="17"/>
  <c r="X98" i="14" s="1"/>
  <c r="W98" i="17"/>
  <c r="X98" i="19" s="1"/>
  <c r="V98" i="17"/>
  <c r="X98" i="3" s="1"/>
  <c r="U98" i="17"/>
  <c r="X98" i="7" s="1"/>
  <c r="X98" i="12" s="1"/>
  <c r="T98" i="17"/>
  <c r="S98" i="17"/>
  <c r="X98" i="15" s="1"/>
  <c r="X98" i="16" l="1"/>
  <c r="X98" i="31"/>
  <c r="X98" i="27"/>
  <c r="X97" i="31"/>
  <c r="X97" i="27"/>
  <c r="X97" i="16"/>
  <c r="CL96" i="24"/>
  <c r="CX96" i="24" s="1"/>
  <c r="CI96" i="24"/>
  <c r="CE96" i="24"/>
  <c r="CJ96" i="24"/>
  <c r="CV96" i="24" s="1"/>
  <c r="CG96" i="24"/>
  <c r="CS96" i="24" s="1"/>
  <c r="CF96" i="24"/>
  <c r="CR96" i="24" s="1"/>
  <c r="CH96" i="24"/>
  <c r="CT96" i="24" s="1"/>
  <c r="Q75" i="29"/>
  <c r="R75" i="29"/>
  <c r="S75" i="29"/>
  <c r="BJ74" i="27"/>
  <c r="BB75" i="16"/>
  <c r="BB75" i="27"/>
  <c r="D75" i="29"/>
  <c r="BG75" i="16"/>
  <c r="BG75" i="27"/>
  <c r="I75" i="29"/>
  <c r="BE75" i="16"/>
  <c r="BE75" i="27"/>
  <c r="G75" i="29"/>
  <c r="BI75" i="16"/>
  <c r="BI75" i="27"/>
  <c r="K75" i="29"/>
  <c r="BH75" i="16"/>
  <c r="BH75" i="27"/>
  <c r="J75" i="29"/>
  <c r="M74" i="29"/>
  <c r="Q74" i="29"/>
  <c r="N74" i="29"/>
  <c r="BD75" i="16"/>
  <c r="BD75" i="27"/>
  <c r="F75" i="29"/>
  <c r="BN75" i="16"/>
  <c r="BN75" i="27"/>
  <c r="BF75" i="16"/>
  <c r="BF75" i="27"/>
  <c r="H75" i="29"/>
  <c r="BC75" i="16"/>
  <c r="BC75" i="27"/>
  <c r="E75" i="29"/>
  <c r="BO75" i="16"/>
  <c r="BO75" i="27"/>
  <c r="BJ74" i="16"/>
  <c r="AI75" i="22"/>
  <c r="AM75" i="22"/>
  <c r="AL75" i="22"/>
  <c r="AK75" i="22"/>
  <c r="AN75" i="22" s="1"/>
  <c r="AO75" i="22" s="1"/>
  <c r="BS75" i="16" s="1"/>
  <c r="AJ75" i="22"/>
  <c r="BK75" i="16"/>
  <c r="BJ75" i="12"/>
  <c r="CQ96" i="24"/>
  <c r="CE141" i="24"/>
  <c r="CE142" i="24"/>
  <c r="BR75" i="16"/>
  <c r="CG141" i="24"/>
  <c r="CG142" i="24"/>
  <c r="CH141" i="24"/>
  <c r="CH142" i="24"/>
  <c r="BL75" i="16"/>
  <c r="BM75" i="16"/>
  <c r="CL141" i="24"/>
  <c r="CL142" i="24"/>
  <c r="CE97" i="24"/>
  <c r="CH97" i="24"/>
  <c r="CI97" i="24"/>
  <c r="CG97" i="24"/>
  <c r="CF97" i="24"/>
  <c r="CJ97" i="24"/>
  <c r="CK97" i="24"/>
  <c r="CL97" i="24"/>
  <c r="CW96" i="24"/>
  <c r="CK141" i="24"/>
  <c r="CK142" i="24"/>
  <c r="CJ141" i="24"/>
  <c r="CJ142" i="24"/>
  <c r="AL98" i="24"/>
  <c r="AM98" i="24"/>
  <c r="AK98" i="24"/>
  <c r="CD98" i="24" s="1"/>
  <c r="CU96" i="24"/>
  <c r="CI141" i="24"/>
  <c r="CI142" i="24"/>
  <c r="BP75" i="16"/>
  <c r="BA98" i="24"/>
  <c r="AY98" i="24"/>
  <c r="AZ98" i="24"/>
  <c r="CP98" i="24" s="1"/>
  <c r="G76" i="22" s="1"/>
  <c r="BQ75" i="16"/>
  <c r="AN73" i="22"/>
  <c r="CF141" i="24"/>
  <c r="CF142" i="24"/>
  <c r="X98" i="24"/>
  <c r="R100" i="17"/>
  <c r="AC99" i="17"/>
  <c r="AB99" i="17"/>
  <c r="AA99" i="17"/>
  <c r="Z99" i="17"/>
  <c r="AE99" i="17"/>
  <c r="AD99" i="17"/>
  <c r="X99" i="17"/>
  <c r="X99" i="14" s="1"/>
  <c r="W99" i="17"/>
  <c r="X99" i="19" s="1"/>
  <c r="V99" i="17"/>
  <c r="X99" i="3" s="1"/>
  <c r="U99" i="17"/>
  <c r="X99" i="7" s="1"/>
  <c r="X99" i="12" s="1"/>
  <c r="T99" i="17"/>
  <c r="S99" i="17"/>
  <c r="X99" i="15" s="1"/>
  <c r="X99" i="16" l="1"/>
  <c r="X99" i="31"/>
  <c r="X99" i="27"/>
  <c r="BU74" i="16"/>
  <c r="BT74" i="16"/>
  <c r="P75" i="29"/>
  <c r="O75" i="29"/>
  <c r="BJ75" i="27"/>
  <c r="BJ75" i="16"/>
  <c r="AL76" i="12" a="1"/>
  <c r="AL76" i="12" s="1"/>
  <c r="AM76" i="12"/>
  <c r="AK76" i="12"/>
  <c r="CU141" i="24"/>
  <c r="CU142" i="24"/>
  <c r="CV97" i="24"/>
  <c r="BG112" i="12"/>
  <c r="BG112" i="31" s="1"/>
  <c r="BG144" i="31" s="1"/>
  <c r="AO73" i="22"/>
  <c r="BS73" i="16" s="1"/>
  <c r="CR97" i="24"/>
  <c r="BC112" i="12"/>
  <c r="BC112" i="31" s="1"/>
  <c r="BC144" i="31" s="1"/>
  <c r="BI141" i="12"/>
  <c r="BI186" i="12" s="1"/>
  <c r="BD141" i="12"/>
  <c r="BD186" i="12" s="1"/>
  <c r="P67" i="32" s="1"/>
  <c r="P148" i="32" s="1"/>
  <c r="CQ140" i="24"/>
  <c r="CQ141" i="24"/>
  <c r="CQ142" i="24"/>
  <c r="BA99" i="24"/>
  <c r="AY99" i="24"/>
  <c r="AZ99" i="24"/>
  <c r="CP99" i="24" s="1"/>
  <c r="BC141" i="12"/>
  <c r="BC186" i="12" s="1"/>
  <c r="O67" i="32" s="1"/>
  <c r="O148" i="32" s="1"/>
  <c r="CH98" i="24"/>
  <c r="CF98" i="24"/>
  <c r="CG98" i="24"/>
  <c r="CE98" i="24"/>
  <c r="CI98" i="24"/>
  <c r="CJ98" i="24"/>
  <c r="CK98" i="24"/>
  <c r="CL98" i="24"/>
  <c r="CS97" i="24"/>
  <c r="BD112" i="12"/>
  <c r="BD112" i="31" s="1"/>
  <c r="BD144" i="31" s="1"/>
  <c r="H143" i="22"/>
  <c r="AI143" i="22" s="1"/>
  <c r="BE141" i="12"/>
  <c r="BE186" i="12" s="1"/>
  <c r="Q67" i="32" s="1"/>
  <c r="Q148" i="32" s="1"/>
  <c r="BH141" i="12"/>
  <c r="BH186" i="12" s="1"/>
  <c r="T67" i="32" s="1"/>
  <c r="T148" i="32" s="1"/>
  <c r="CU97" i="24"/>
  <c r="BF112" i="12"/>
  <c r="BF112" i="31" s="1"/>
  <c r="BF144" i="31" s="1"/>
  <c r="CS141" i="24"/>
  <c r="CS142" i="24"/>
  <c r="CT139" i="24"/>
  <c r="CT140" i="24"/>
  <c r="CT141" i="24"/>
  <c r="CT142" i="24"/>
  <c r="CW141" i="24"/>
  <c r="CW142" i="24"/>
  <c r="CQ97" i="24"/>
  <c r="BB112" i="12"/>
  <c r="BB112" i="31" s="1"/>
  <c r="BB144" i="31" s="1"/>
  <c r="BF141" i="12"/>
  <c r="BF186" i="12" s="1"/>
  <c r="R67" i="32" s="1"/>
  <c r="R148" i="32" s="1"/>
  <c r="BG141" i="12"/>
  <c r="BG186" i="12" s="1"/>
  <c r="S67" i="32" s="1"/>
  <c r="S148" i="32" s="1"/>
  <c r="CX97" i="24"/>
  <c r="H112" i="22"/>
  <c r="BI112" i="12"/>
  <c r="BI112" i="31" s="1"/>
  <c r="BI144" i="31" s="1"/>
  <c r="CV141" i="24"/>
  <c r="CV142" i="24"/>
  <c r="AM99" i="24"/>
  <c r="AK99" i="24"/>
  <c r="CD99" i="24" s="1"/>
  <c r="AL99" i="24"/>
  <c r="CR141" i="24"/>
  <c r="CR142" i="24"/>
  <c r="CT97" i="24"/>
  <c r="BE112" i="12"/>
  <c r="BE112" i="31" s="1"/>
  <c r="BE144" i="31" s="1"/>
  <c r="CX141" i="24"/>
  <c r="CX142" i="24"/>
  <c r="CW97" i="24"/>
  <c r="BH112" i="12"/>
  <c r="BH112" i="31" s="1"/>
  <c r="BH144" i="31" s="1"/>
  <c r="BB141" i="12"/>
  <c r="BB186" i="12" s="1"/>
  <c r="X99" i="24"/>
  <c r="R101" i="17"/>
  <c r="AE100" i="17"/>
  <c r="AD100" i="17"/>
  <c r="AC100" i="17"/>
  <c r="AB100" i="17"/>
  <c r="AA100" i="17"/>
  <c r="Z100" i="17"/>
  <c r="T100" i="17"/>
  <c r="S100" i="17"/>
  <c r="X100" i="15" s="1"/>
  <c r="X100" i="17"/>
  <c r="X100" i="14" s="1"/>
  <c r="W100" i="17"/>
  <c r="X100" i="19" s="1"/>
  <c r="V100" i="17"/>
  <c r="X100" i="3" s="1"/>
  <c r="U100" i="17"/>
  <c r="U67" i="30" l="1"/>
  <c r="U148" i="30" s="1"/>
  <c r="U67" i="32"/>
  <c r="U148" i="32" s="1"/>
  <c r="BG112" i="16"/>
  <c r="BG144" i="16" s="1"/>
  <c r="I112" i="29"/>
  <c r="I144" i="29" s="1"/>
  <c r="BG112" i="27"/>
  <c r="BG144" i="27" s="1"/>
  <c r="BD112" i="16"/>
  <c r="BD144" i="16" s="1"/>
  <c r="F112" i="29"/>
  <c r="F144" i="29" s="1"/>
  <c r="BD112" i="27"/>
  <c r="BD144" i="27" s="1"/>
  <c r="BB112" i="16"/>
  <c r="BB144" i="16" s="1"/>
  <c r="D112" i="29"/>
  <c r="D144" i="29" s="1"/>
  <c r="BB112" i="27"/>
  <c r="BB144" i="27" s="1"/>
  <c r="BE112" i="16"/>
  <c r="G112" i="29"/>
  <c r="G144" i="29" s="1"/>
  <c r="BE112" i="27"/>
  <c r="BE144" i="27" s="1"/>
  <c r="BF112" i="16"/>
  <c r="BF144" i="16" s="1"/>
  <c r="H112" i="29"/>
  <c r="H144" i="29" s="1"/>
  <c r="BF112" i="27"/>
  <c r="BF144" i="27" s="1"/>
  <c r="BC112" i="16"/>
  <c r="BC144" i="16" s="1"/>
  <c r="BC112" i="27"/>
  <c r="BC144" i="27" s="1"/>
  <c r="E112" i="29"/>
  <c r="E144" i="29" s="1"/>
  <c r="BI112" i="16"/>
  <c r="BI112" i="27"/>
  <c r="BI144" i="27" s="1"/>
  <c r="K112" i="29"/>
  <c r="K144" i="29" s="1"/>
  <c r="BH112" i="16"/>
  <c r="BH144" i="16" s="1"/>
  <c r="BH112" i="27"/>
  <c r="BH144" i="27" s="1"/>
  <c r="J112" i="29"/>
  <c r="J144" i="29" s="1"/>
  <c r="S67" i="26"/>
  <c r="S148" i="26" s="1"/>
  <c r="Q67" i="30"/>
  <c r="Q148" i="30" s="1"/>
  <c r="V67" i="26"/>
  <c r="V148" i="26" s="1"/>
  <c r="T67" i="30"/>
  <c r="T148" i="30" s="1"/>
  <c r="U67" i="26"/>
  <c r="U148" i="26" s="1"/>
  <c r="S67" i="30"/>
  <c r="S148" i="30" s="1"/>
  <c r="Q67" i="26"/>
  <c r="Q148" i="26" s="1"/>
  <c r="O67" i="30"/>
  <c r="O148" i="30" s="1"/>
  <c r="T67" i="26"/>
  <c r="T148" i="26" s="1"/>
  <c r="R67" i="30"/>
  <c r="R148" i="30" s="1"/>
  <c r="R67" i="26"/>
  <c r="R148" i="26" s="1"/>
  <c r="P67" i="30"/>
  <c r="P148" i="30" s="1"/>
  <c r="W67" i="26"/>
  <c r="W148" i="26" s="1"/>
  <c r="BU186" i="12"/>
  <c r="BT73" i="16"/>
  <c r="BU73" i="16"/>
  <c r="X100" i="24"/>
  <c r="BA100" i="24"/>
  <c r="AY100" i="24"/>
  <c r="AZ100" i="24"/>
  <c r="CP100" i="24" s="1"/>
  <c r="BL141" i="12"/>
  <c r="CT98" i="24"/>
  <c r="BE76" i="12"/>
  <c r="BE76" i="31" s="1"/>
  <c r="BD141" i="16"/>
  <c r="BR141" i="12"/>
  <c r="BF144" i="12"/>
  <c r="BF189" i="12" s="1"/>
  <c r="CX98" i="24"/>
  <c r="H76" i="22"/>
  <c r="BI76" i="12"/>
  <c r="BI76" i="31" s="1"/>
  <c r="BK141" i="12"/>
  <c r="BG144" i="12"/>
  <c r="BG189" i="12" s="1"/>
  <c r="BP141" i="12"/>
  <c r="BB144" i="12"/>
  <c r="BB189" i="12" s="1"/>
  <c r="AK100" i="24"/>
  <c r="CD100" i="24" s="1"/>
  <c r="AL100" i="24"/>
  <c r="AM100" i="24"/>
  <c r="BG141" i="16"/>
  <c r="BQ141" i="12"/>
  <c r="BE141" i="16"/>
  <c r="CW98" i="24"/>
  <c r="BH76" i="12"/>
  <c r="BH76" i="31" s="1"/>
  <c r="CV98" i="24"/>
  <c r="BG76" i="12"/>
  <c r="BG76" i="31" s="1"/>
  <c r="BH144" i="12"/>
  <c r="BH189" i="12" s="1"/>
  <c r="CI99" i="24"/>
  <c r="CE99" i="24"/>
  <c r="CH99" i="24"/>
  <c r="CJ99" i="24"/>
  <c r="CK99" i="24"/>
  <c r="CL99" i="24"/>
  <c r="CG99" i="24"/>
  <c r="CF99" i="24"/>
  <c r="BI144" i="16"/>
  <c r="BI144" i="12"/>
  <c r="BI189" i="12" s="1"/>
  <c r="CU98" i="24"/>
  <c r="BF76" i="12"/>
  <c r="BF76" i="31" s="1"/>
  <c r="BC141" i="16"/>
  <c r="BI141" i="16"/>
  <c r="BO141" i="12"/>
  <c r="AH143" i="22"/>
  <c r="BE144" i="16"/>
  <c r="BE144" i="12"/>
  <c r="BE189" i="12" s="1"/>
  <c r="H146" i="22"/>
  <c r="AI146" i="22" s="1"/>
  <c r="CQ98" i="24"/>
  <c r="BB76" i="12"/>
  <c r="BB76" i="31" s="1"/>
  <c r="BC144" i="12"/>
  <c r="BC189" i="12" s="1"/>
  <c r="BB141" i="16"/>
  <c r="BF141" i="16"/>
  <c r="BM141" i="12"/>
  <c r="BH141" i="16"/>
  <c r="CS98" i="24"/>
  <c r="BD76" i="12"/>
  <c r="BD76" i="31" s="1"/>
  <c r="BN141" i="12"/>
  <c r="BD144" i="12"/>
  <c r="BD189" i="12" s="1"/>
  <c r="CR98" i="24"/>
  <c r="BC76" i="12"/>
  <c r="BC76" i="31" s="1"/>
  <c r="X100" i="7"/>
  <c r="X100" i="12" s="1"/>
  <c r="R102" i="17"/>
  <c r="AE101" i="17"/>
  <c r="AD101" i="17"/>
  <c r="AC101" i="17"/>
  <c r="AB101" i="17"/>
  <c r="AA101" i="17"/>
  <c r="Z101" i="17"/>
  <c r="V101" i="17"/>
  <c r="X101" i="3" s="1"/>
  <c r="U101" i="17"/>
  <c r="X101" i="7" s="1"/>
  <c r="X101" i="12" s="1"/>
  <c r="T101" i="17"/>
  <c r="S101" i="17"/>
  <c r="X101" i="15" s="1"/>
  <c r="X101" i="17"/>
  <c r="X101" i="14" s="1"/>
  <c r="W101" i="17"/>
  <c r="X101" i="19" s="1"/>
  <c r="X100" i="16" l="1"/>
  <c r="X100" i="31"/>
  <c r="X100" i="27"/>
  <c r="X101" i="27"/>
  <c r="X101" i="16"/>
  <c r="X101" i="31"/>
  <c r="U163" i="30"/>
  <c r="S166" i="30"/>
  <c r="Q163" i="30"/>
  <c r="U166" i="26"/>
  <c r="T163" i="30"/>
  <c r="R163" i="30"/>
  <c r="P163" i="30"/>
  <c r="O163" i="30"/>
  <c r="S163" i="30"/>
  <c r="R166" i="26"/>
  <c r="P166" i="30"/>
  <c r="V166" i="26"/>
  <c r="T166" i="30"/>
  <c r="W166" i="26"/>
  <c r="U166" i="30"/>
  <c r="S166" i="26"/>
  <c r="Q166" i="30"/>
  <c r="Q166" i="26"/>
  <c r="O166" i="30"/>
  <c r="T166" i="26"/>
  <c r="R166" i="30"/>
  <c r="BE76" i="16"/>
  <c r="BE76" i="27"/>
  <c r="G76" i="29"/>
  <c r="BI76" i="16"/>
  <c r="BI76" i="27"/>
  <c r="K76" i="29"/>
  <c r="BG76" i="16"/>
  <c r="I76" i="29"/>
  <c r="BG76" i="27"/>
  <c r="BB76" i="16"/>
  <c r="BB76" i="27"/>
  <c r="D76" i="29"/>
  <c r="BC76" i="16"/>
  <c r="BC76" i="27"/>
  <c r="E76" i="29"/>
  <c r="BF76" i="16"/>
  <c r="BF76" i="27"/>
  <c r="H76" i="29"/>
  <c r="BH76" i="16"/>
  <c r="BH76" i="27"/>
  <c r="J76" i="29"/>
  <c r="BD76" i="16"/>
  <c r="BD76" i="27"/>
  <c r="F76" i="29"/>
  <c r="BU189" i="12"/>
  <c r="BY186" i="12"/>
  <c r="BW186" i="12"/>
  <c r="BX186" i="12"/>
  <c r="BV186" i="12"/>
  <c r="BJ141" i="12"/>
  <c r="T163" i="26"/>
  <c r="R163" i="26"/>
  <c r="U163" i="26"/>
  <c r="S163" i="26"/>
  <c r="Q163" i="26"/>
  <c r="W163" i="26"/>
  <c r="V163" i="26"/>
  <c r="BO172" i="12"/>
  <c r="BO156" i="12"/>
  <c r="CR99" i="24"/>
  <c r="BN141" i="16"/>
  <c r="BM172" i="12"/>
  <c r="BM156" i="12"/>
  <c r="BK76" i="12"/>
  <c r="BK76" i="27" s="1"/>
  <c r="AL143" i="22"/>
  <c r="BO141" i="16"/>
  <c r="CS99" i="24"/>
  <c r="BP172" i="12"/>
  <c r="BP156" i="12"/>
  <c r="BL172" i="12"/>
  <c r="BL156" i="12"/>
  <c r="AY101" i="24"/>
  <c r="AZ101" i="24"/>
  <c r="CP101" i="24" s="1"/>
  <c r="BA101" i="24"/>
  <c r="BL76" i="12"/>
  <c r="BL76" i="27" s="1"/>
  <c r="AM143" i="22"/>
  <c r="CX99" i="24"/>
  <c r="BK141" i="16"/>
  <c r="BM141" i="16"/>
  <c r="CW99" i="24"/>
  <c r="BP141" i="16"/>
  <c r="BR172" i="12"/>
  <c r="BR156" i="12"/>
  <c r="BL141" i="16"/>
  <c r="AK143" i="22"/>
  <c r="BO76" i="12"/>
  <c r="BO76" i="27" s="1"/>
  <c r="CV99" i="24"/>
  <c r="BP76" i="12"/>
  <c r="BP76" i="27" s="1"/>
  <c r="BQ172" i="12"/>
  <c r="BQ156" i="12"/>
  <c r="AH76" i="22"/>
  <c r="BN76" i="12"/>
  <c r="BN76" i="27" s="1"/>
  <c r="AM101" i="24"/>
  <c r="AK101" i="24"/>
  <c r="CD101" i="24" s="1"/>
  <c r="AL101" i="24"/>
  <c r="AJ143" i="22"/>
  <c r="CT99" i="24"/>
  <c r="CE100" i="24"/>
  <c r="CH100" i="24"/>
  <c r="CF100" i="24"/>
  <c r="CG100" i="24"/>
  <c r="CI100" i="24"/>
  <c r="CJ100" i="24"/>
  <c r="CK100" i="24"/>
  <c r="CL100" i="24"/>
  <c r="BR141" i="16"/>
  <c r="BM76" i="12"/>
  <c r="BM76" i="27" s="1"/>
  <c r="BN172" i="12"/>
  <c r="BN156" i="12"/>
  <c r="CQ99" i="24"/>
  <c r="BQ141" i="16"/>
  <c r="BR76" i="12"/>
  <c r="BR76" i="27" s="1"/>
  <c r="CU99" i="24"/>
  <c r="BQ76" i="12"/>
  <c r="BQ76" i="27" s="1"/>
  <c r="BK172" i="12"/>
  <c r="BK156" i="12"/>
  <c r="X101" i="24"/>
  <c r="R103" i="17"/>
  <c r="AA102" i="17"/>
  <c r="Z102" i="17"/>
  <c r="AE102" i="17"/>
  <c r="AD102" i="17"/>
  <c r="AC102" i="17"/>
  <c r="AB102" i="17"/>
  <c r="X102" i="17"/>
  <c r="X102" i="14" s="1"/>
  <c r="W102" i="17"/>
  <c r="X102" i="19" s="1"/>
  <c r="V102" i="17"/>
  <c r="X102" i="3" s="1"/>
  <c r="U102" i="17"/>
  <c r="X102" i="7" s="1"/>
  <c r="X102" i="12" s="1"/>
  <c r="T102" i="17"/>
  <c r="S102" i="17"/>
  <c r="X102" i="15" s="1"/>
  <c r="X102" i="31" l="1"/>
  <c r="X102" i="27"/>
  <c r="X102" i="16"/>
  <c r="BT75" i="16"/>
  <c r="BU75" i="16"/>
  <c r="O76" i="29"/>
  <c r="BJ76" i="27"/>
  <c r="Q76" i="29"/>
  <c r="S76" i="29"/>
  <c r="P76" i="29"/>
  <c r="N76" i="29"/>
  <c r="R76" i="29"/>
  <c r="M76" i="29"/>
  <c r="CA186" i="12"/>
  <c r="BZ186" i="12"/>
  <c r="CB186" i="12"/>
  <c r="BV189" i="12"/>
  <c r="BX189" i="12"/>
  <c r="BW189" i="12"/>
  <c r="BY189" i="12"/>
  <c r="BP186" i="12"/>
  <c r="BO186" i="12"/>
  <c r="BN186" i="12"/>
  <c r="BL186" i="12"/>
  <c r="BQ159" i="16"/>
  <c r="BQ185" i="16"/>
  <c r="BQ172" i="16"/>
  <c r="BN159" i="16"/>
  <c r="BN185" i="16"/>
  <c r="BN172" i="16"/>
  <c r="BR159" i="16"/>
  <c r="BR185" i="16"/>
  <c r="BR172" i="16"/>
  <c r="BP159" i="16"/>
  <c r="BP185" i="16"/>
  <c r="BP172" i="16"/>
  <c r="BO159" i="16"/>
  <c r="BO185" i="16"/>
  <c r="BO172" i="16"/>
  <c r="BK186" i="12"/>
  <c r="BR186" i="12"/>
  <c r="BM186" i="12"/>
  <c r="BQ186" i="12"/>
  <c r="AW141" i="16"/>
  <c r="BJ141" i="16"/>
  <c r="AM77" i="12"/>
  <c r="AL77" i="12" a="1"/>
  <c r="AL77" i="12" s="1"/>
  <c r="AK77" i="12"/>
  <c r="G77" i="22"/>
  <c r="G101" i="22"/>
  <c r="CQ100" i="24"/>
  <c r="CX100" i="24"/>
  <c r="BN76" i="16"/>
  <c r="AN143" i="22"/>
  <c r="AO143" i="22" s="1"/>
  <c r="CW100" i="24"/>
  <c r="BP76" i="16"/>
  <c r="BK76" i="16"/>
  <c r="BJ76" i="12"/>
  <c r="BR76" i="16"/>
  <c r="CV100" i="24"/>
  <c r="BM76" i="16"/>
  <c r="CU100" i="24"/>
  <c r="CG101" i="24"/>
  <c r="BD101" i="12" s="1"/>
  <c r="BD101" i="31" s="1"/>
  <c r="CI101" i="24"/>
  <c r="BF101" i="12" s="1"/>
  <c r="BF101" i="31" s="1"/>
  <c r="CF101" i="24"/>
  <c r="BC101" i="12" s="1"/>
  <c r="BC101" i="31" s="1"/>
  <c r="CH101" i="24"/>
  <c r="BE101" i="12" s="1"/>
  <c r="BE101" i="31" s="1"/>
  <c r="CE101" i="24"/>
  <c r="BB101" i="12" s="1"/>
  <c r="BB101" i="31" s="1"/>
  <c r="CJ101" i="24"/>
  <c r="BG101" i="12" s="1"/>
  <c r="BG101" i="31" s="1"/>
  <c r="CL101" i="24"/>
  <c r="CK101" i="24"/>
  <c r="BH101" i="12" s="1"/>
  <c r="BH101" i="31" s="1"/>
  <c r="AK76" i="22"/>
  <c r="AI76" i="22"/>
  <c r="AM76" i="22"/>
  <c r="AL76" i="22"/>
  <c r="AJ76" i="22"/>
  <c r="CS100" i="24"/>
  <c r="X102" i="24"/>
  <c r="AY102" i="24"/>
  <c r="AZ102" i="24"/>
  <c r="CP102" i="24" s="1"/>
  <c r="BA102" i="24"/>
  <c r="CR100" i="24"/>
  <c r="AK102" i="24"/>
  <c r="CD102" i="24" s="1"/>
  <c r="AL102" i="24"/>
  <c r="AM102" i="24"/>
  <c r="BQ76" i="16"/>
  <c r="CT100" i="24"/>
  <c r="BO76" i="16"/>
  <c r="BL76" i="16"/>
  <c r="R104" i="17"/>
  <c r="AC103" i="17"/>
  <c r="AB103" i="17"/>
  <c r="AA103" i="17"/>
  <c r="Z103" i="17"/>
  <c r="AE103" i="17"/>
  <c r="AD103" i="17"/>
  <c r="X103" i="17"/>
  <c r="X103" i="14" s="1"/>
  <c r="W103" i="17"/>
  <c r="X103" i="19" s="1"/>
  <c r="V103" i="17"/>
  <c r="X103" i="3" s="1"/>
  <c r="U103" i="17"/>
  <c r="T103" i="17"/>
  <c r="S103" i="17"/>
  <c r="X103" i="15" s="1"/>
  <c r="X89" i="26" l="1"/>
  <c r="X56" i="26"/>
  <c r="X23" i="26"/>
  <c r="X78" i="26"/>
  <c r="X45" i="26"/>
  <c r="X100" i="26"/>
  <c r="X12" i="26"/>
  <c r="X67" i="26"/>
  <c r="X34" i="26"/>
  <c r="V100" i="30"/>
  <c r="V89" i="30"/>
  <c r="V56" i="30"/>
  <c r="V78" i="30"/>
  <c r="V34" i="30"/>
  <c r="V23" i="30"/>
  <c r="V12" i="30"/>
  <c r="V67" i="30"/>
  <c r="V45" i="30"/>
  <c r="BC101" i="16"/>
  <c r="BC101" i="27"/>
  <c r="E101" i="29"/>
  <c r="BF101" i="16"/>
  <c r="H101" i="29"/>
  <c r="BF101" i="27"/>
  <c r="BH101" i="16"/>
  <c r="J101" i="29"/>
  <c r="BH101" i="27"/>
  <c r="BE101" i="16"/>
  <c r="BE101" i="27"/>
  <c r="G101" i="29"/>
  <c r="BD101" i="16"/>
  <c r="BD101" i="27"/>
  <c r="F101" i="29"/>
  <c r="BG101" i="16"/>
  <c r="I101" i="29"/>
  <c r="BG101" i="27"/>
  <c r="BB101" i="16"/>
  <c r="BB101" i="27"/>
  <c r="D101" i="29"/>
  <c r="BZ189" i="12"/>
  <c r="CB189" i="12"/>
  <c r="CA189" i="12"/>
  <c r="BJ159" i="16"/>
  <c r="BE159" i="16" s="1"/>
  <c r="BJ172" i="16"/>
  <c r="BI172" i="16" s="1"/>
  <c r="BJ185" i="16"/>
  <c r="BH185" i="16" s="1"/>
  <c r="BJ76" i="16"/>
  <c r="AM101" i="12"/>
  <c r="AL101" i="12" a="1"/>
  <c r="AL101" i="12" s="1"/>
  <c r="AK101" i="12"/>
  <c r="AM78" i="12"/>
  <c r="AL78" i="12" a="1"/>
  <c r="AL78" i="12" s="1"/>
  <c r="AK78" i="12"/>
  <c r="H101" i="22"/>
  <c r="AH101" i="22" s="1"/>
  <c r="BI101" i="12"/>
  <c r="BI101" i="31" s="1"/>
  <c r="G78" i="22"/>
  <c r="G102" i="22"/>
  <c r="CE102" i="24"/>
  <c r="BB102" i="12" s="1"/>
  <c r="BB102" i="31" s="1"/>
  <c r="CH102" i="24"/>
  <c r="BE102" i="12" s="1"/>
  <c r="BE102" i="31" s="1"/>
  <c r="CI102" i="24"/>
  <c r="BF102" i="12" s="1"/>
  <c r="BF102" i="31" s="1"/>
  <c r="CF102" i="24"/>
  <c r="BC102" i="12" s="1"/>
  <c r="BC102" i="31" s="1"/>
  <c r="CG102" i="24"/>
  <c r="BD102" i="12" s="1"/>
  <c r="BD102" i="31" s="1"/>
  <c r="CJ102" i="24"/>
  <c r="BG102" i="12" s="1"/>
  <c r="BG102" i="31" s="1"/>
  <c r="CK102" i="24"/>
  <c r="BH102" i="12" s="1"/>
  <c r="BH102" i="31" s="1"/>
  <c r="CL102" i="24"/>
  <c r="CX101" i="24"/>
  <c r="BR101" i="12" s="1"/>
  <c r="H77" i="22"/>
  <c r="BI77" i="12"/>
  <c r="BI77" i="31" s="1"/>
  <c r="CV101" i="24"/>
  <c r="BP101" i="12" s="1"/>
  <c r="BG77" i="12"/>
  <c r="BG77" i="31" s="1"/>
  <c r="CQ101" i="24"/>
  <c r="BK101" i="12" s="1"/>
  <c r="BK101" i="27" s="1"/>
  <c r="BB77" i="12"/>
  <c r="BB77" i="31" s="1"/>
  <c r="AY103" i="24"/>
  <c r="AZ103" i="24"/>
  <c r="CP103" i="24" s="1"/>
  <c r="BA103" i="24"/>
  <c r="CT101" i="24"/>
  <c r="BN101" i="12" s="1"/>
  <c r="BE77" i="12"/>
  <c r="BE77" i="31" s="1"/>
  <c r="CR101" i="24"/>
  <c r="BL101" i="12" s="1"/>
  <c r="BC77" i="12"/>
  <c r="BC77" i="31" s="1"/>
  <c r="AK103" i="24"/>
  <c r="CD103" i="24" s="1"/>
  <c r="AL103" i="24"/>
  <c r="AM103" i="24"/>
  <c r="CU101" i="24"/>
  <c r="BO101" i="12" s="1"/>
  <c r="BF77" i="12"/>
  <c r="BF77" i="31" s="1"/>
  <c r="AN76" i="22"/>
  <c r="CS101" i="24"/>
  <c r="BM101" i="12" s="1"/>
  <c r="BD77" i="12"/>
  <c r="BD77" i="31" s="1"/>
  <c r="CW101" i="24"/>
  <c r="BQ101" i="12" s="1"/>
  <c r="BH77" i="12"/>
  <c r="BH77" i="31" s="1"/>
  <c r="X103" i="24"/>
  <c r="X103" i="7"/>
  <c r="X103" i="12" s="1"/>
  <c r="R105" i="17"/>
  <c r="AE104" i="17"/>
  <c r="AD104" i="17"/>
  <c r="AC104" i="17"/>
  <c r="AB104" i="17"/>
  <c r="AA104" i="17"/>
  <c r="Z104" i="17"/>
  <c r="T104" i="17"/>
  <c r="S104" i="17"/>
  <c r="X104" i="15" s="1"/>
  <c r="X104" i="17"/>
  <c r="X104" i="14" s="1"/>
  <c r="W104" i="17"/>
  <c r="X104" i="19" s="1"/>
  <c r="V104" i="17"/>
  <c r="X104" i="3" s="1"/>
  <c r="U104" i="17"/>
  <c r="X104" i="7" s="1"/>
  <c r="X104" i="12" s="1"/>
  <c r="X104" i="31" l="1"/>
  <c r="X104" i="27"/>
  <c r="X104" i="16"/>
  <c r="X103" i="31"/>
  <c r="X103" i="27"/>
  <c r="X103" i="16"/>
  <c r="Y67" i="30"/>
  <c r="X67" i="30"/>
  <c r="W67" i="30"/>
  <c r="AA67" i="30"/>
  <c r="Z67" i="30"/>
  <c r="Z12" i="30"/>
  <c r="AA12" i="30"/>
  <c r="X12" i="30"/>
  <c r="Y12" i="30"/>
  <c r="W12" i="30"/>
  <c r="Z23" i="30"/>
  <c r="X23" i="30"/>
  <c r="W23" i="30"/>
  <c r="AA23" i="30"/>
  <c r="Y23" i="30"/>
  <c r="Y34" i="30"/>
  <c r="W34" i="30"/>
  <c r="X34" i="30"/>
  <c r="AA34" i="30"/>
  <c r="Z34" i="30"/>
  <c r="Y78" i="30"/>
  <c r="X78" i="30"/>
  <c r="AA78" i="30"/>
  <c r="W78" i="30"/>
  <c r="Z78" i="30"/>
  <c r="X56" i="30"/>
  <c r="W56" i="30"/>
  <c r="Z56" i="30"/>
  <c r="Y56" i="30"/>
  <c r="AA56" i="30"/>
  <c r="AA89" i="30"/>
  <c r="Z89" i="30"/>
  <c r="Y89" i="30"/>
  <c r="X89" i="30"/>
  <c r="W89" i="30"/>
  <c r="Z45" i="30"/>
  <c r="Y45" i="30"/>
  <c r="W45" i="30"/>
  <c r="X45" i="30"/>
  <c r="AA45" i="30"/>
  <c r="AA100" i="30"/>
  <c r="Z100" i="30"/>
  <c r="Y100" i="30"/>
  <c r="X100" i="30"/>
  <c r="W100" i="30"/>
  <c r="BD77" i="16"/>
  <c r="BD77" i="27"/>
  <c r="F77" i="29"/>
  <c r="BC77" i="16"/>
  <c r="BC77" i="27"/>
  <c r="E77" i="29"/>
  <c r="BB77" i="16"/>
  <c r="D77" i="29"/>
  <c r="BB77" i="27"/>
  <c r="BF77" i="16"/>
  <c r="BF77" i="27"/>
  <c r="H77" i="29"/>
  <c r="BE77" i="16"/>
  <c r="G77" i="29"/>
  <c r="BE77" i="27"/>
  <c r="BG77" i="16"/>
  <c r="BG77" i="27"/>
  <c r="I77" i="29"/>
  <c r="BI77" i="16"/>
  <c r="BI77" i="27"/>
  <c r="K77" i="29"/>
  <c r="BH77" i="16"/>
  <c r="J77" i="29"/>
  <c r="BH77" i="27"/>
  <c r="BG102" i="16"/>
  <c r="BG102" i="27"/>
  <c r="I102" i="29"/>
  <c r="BH102" i="16"/>
  <c r="J102" i="29"/>
  <c r="BH102" i="27"/>
  <c r="BD102" i="16"/>
  <c r="BD102" i="27"/>
  <c r="F102" i="29"/>
  <c r="BM101" i="16"/>
  <c r="BM101" i="27"/>
  <c r="N101" i="29" s="1"/>
  <c r="BN101" i="16"/>
  <c r="BN101" i="27"/>
  <c r="BC102" i="16"/>
  <c r="BC102" i="27"/>
  <c r="E102" i="29"/>
  <c r="BI101" i="16"/>
  <c r="BI101" i="27"/>
  <c r="K101" i="29"/>
  <c r="BO101" i="16"/>
  <c r="BO101" i="27"/>
  <c r="BP101" i="16"/>
  <c r="BP101" i="27"/>
  <c r="BF102" i="16"/>
  <c r="BF102" i="27"/>
  <c r="H102" i="29"/>
  <c r="BE102" i="16"/>
  <c r="BE102" i="27"/>
  <c r="G102" i="29"/>
  <c r="BL101" i="16"/>
  <c r="BL101" i="27"/>
  <c r="M101" i="29" s="1"/>
  <c r="BR101" i="16"/>
  <c r="BR101" i="27"/>
  <c r="BB102" i="16"/>
  <c r="D102" i="29"/>
  <c r="BB102" i="27"/>
  <c r="BQ101" i="16"/>
  <c r="BQ101" i="27"/>
  <c r="BI185" i="16"/>
  <c r="BG172" i="16"/>
  <c r="BE172" i="16"/>
  <c r="BG185" i="16"/>
  <c r="BH172" i="16"/>
  <c r="BF172" i="16"/>
  <c r="BH159" i="16"/>
  <c r="BF159" i="16"/>
  <c r="BI159" i="16"/>
  <c r="BG159" i="16"/>
  <c r="BE185" i="16"/>
  <c r="BF185" i="16"/>
  <c r="Y12" i="26"/>
  <c r="W12" i="32" s="1"/>
  <c r="Z12" i="26"/>
  <c r="X12" i="32" s="1"/>
  <c r="AA12" i="26"/>
  <c r="Y12" i="32" s="1"/>
  <c r="AC12" i="26"/>
  <c r="AA12" i="32" s="1"/>
  <c r="AB12" i="26"/>
  <c r="Z12" i="32" s="1"/>
  <c r="AB100" i="26"/>
  <c r="Z100" i="32" s="1"/>
  <c r="AA100" i="26"/>
  <c r="Y100" i="32" s="1"/>
  <c r="Z100" i="26"/>
  <c r="X100" i="32" s="1"/>
  <c r="Y100" i="26"/>
  <c r="W100" i="32" s="1"/>
  <c r="AC100" i="26"/>
  <c r="AA100" i="32" s="1"/>
  <c r="AC45" i="26"/>
  <c r="AA45" i="32" s="1"/>
  <c r="Y45" i="26"/>
  <c r="W45" i="32" s="1"/>
  <c r="Z45" i="26"/>
  <c r="X45" i="32" s="1"/>
  <c r="AA45" i="26"/>
  <c r="Y45" i="32" s="1"/>
  <c r="AB45" i="26"/>
  <c r="Z45" i="32" s="1"/>
  <c r="AC78" i="26"/>
  <c r="AA78" i="32" s="1"/>
  <c r="AB78" i="26"/>
  <c r="Z78" i="32" s="1"/>
  <c r="AA78" i="26"/>
  <c r="Y78" i="32" s="1"/>
  <c r="Z78" i="26"/>
  <c r="X78" i="32" s="1"/>
  <c r="Y78" i="26"/>
  <c r="W78" i="32" s="1"/>
  <c r="Y34" i="26"/>
  <c r="W34" i="32" s="1"/>
  <c r="AC34" i="26"/>
  <c r="AA34" i="32" s="1"/>
  <c r="Z34" i="26"/>
  <c r="X34" i="32" s="1"/>
  <c r="AA34" i="26"/>
  <c r="Y34" i="32" s="1"/>
  <c r="AB34" i="26"/>
  <c r="Z34" i="32" s="1"/>
  <c r="AC67" i="26"/>
  <c r="AA67" i="32" s="1"/>
  <c r="Y67" i="26"/>
  <c r="W67" i="32" s="1"/>
  <c r="AA67" i="26"/>
  <c r="Y67" i="32" s="1"/>
  <c r="AB67" i="26"/>
  <c r="Z67" i="32" s="1"/>
  <c r="Z67" i="26"/>
  <c r="X67" i="32" s="1"/>
  <c r="Y23" i="26"/>
  <c r="W23" i="32" s="1"/>
  <c r="AC23" i="26"/>
  <c r="AA23" i="32" s="1"/>
  <c r="Z23" i="26"/>
  <c r="X23" i="32" s="1"/>
  <c r="AA23" i="26"/>
  <c r="Y23" i="32" s="1"/>
  <c r="AB23" i="26"/>
  <c r="Z23" i="32" s="1"/>
  <c r="Y89" i="26"/>
  <c r="W89" i="32" s="1"/>
  <c r="AA89" i="26"/>
  <c r="Y89" i="32" s="1"/>
  <c r="AC89" i="26"/>
  <c r="AA89" i="32" s="1"/>
  <c r="AB89" i="26"/>
  <c r="Z89" i="32" s="1"/>
  <c r="Z89" i="26"/>
  <c r="X89" i="32" s="1"/>
  <c r="AC56" i="26"/>
  <c r="AA56" i="32" s="1"/>
  <c r="AA56" i="26"/>
  <c r="Y56" i="32" s="1"/>
  <c r="AB56" i="26"/>
  <c r="Z56" i="32" s="1"/>
  <c r="Z56" i="26"/>
  <c r="X56" i="32" s="1"/>
  <c r="Y56" i="26"/>
  <c r="W56" i="32" s="1"/>
  <c r="AL102" i="12" a="1"/>
  <c r="AL102" i="12" s="1"/>
  <c r="AM102" i="12"/>
  <c r="AK102" i="12"/>
  <c r="AL79" i="12" a="1"/>
  <c r="AL79" i="12" s="1"/>
  <c r="AM79" i="12"/>
  <c r="AK79" i="12"/>
  <c r="AI101" i="22"/>
  <c r="AL101" i="22"/>
  <c r="AM101" i="22"/>
  <c r="AK101" i="22"/>
  <c r="AN101" i="22" s="1"/>
  <c r="AO101" i="22" s="1"/>
  <c r="BS101" i="16" s="1"/>
  <c r="AJ101" i="22"/>
  <c r="H102" i="22"/>
  <c r="AH102" i="22" s="1"/>
  <c r="BI102" i="12"/>
  <c r="BI102" i="31" s="1"/>
  <c r="G79" i="22"/>
  <c r="G103" i="22"/>
  <c r="BK101" i="16"/>
  <c r="BJ101" i="12"/>
  <c r="BR77" i="12"/>
  <c r="BR77" i="27" s="1"/>
  <c r="CQ102" i="24"/>
  <c r="BB78" i="12"/>
  <c r="BB78" i="31" s="1"/>
  <c r="BO77" i="12"/>
  <c r="BO77" i="27" s="1"/>
  <c r="CX102" i="24"/>
  <c r="H78" i="22"/>
  <c r="AH78" i="22" s="1"/>
  <c r="BI78" i="12"/>
  <c r="BI78" i="31" s="1"/>
  <c r="BP77" i="12"/>
  <c r="BP77" i="27" s="1"/>
  <c r="CW102" i="24"/>
  <c r="BH78" i="12"/>
  <c r="BH78" i="31" s="1"/>
  <c r="BN77" i="12"/>
  <c r="BN77" i="27" s="1"/>
  <c r="BL77" i="12"/>
  <c r="BL77" i="27" s="1"/>
  <c r="CV102" i="24"/>
  <c r="BG78" i="12"/>
  <c r="BG78" i="31" s="1"/>
  <c r="BM77" i="12"/>
  <c r="BM77" i="27" s="1"/>
  <c r="CR102" i="24"/>
  <c r="BC78" i="12"/>
  <c r="BC78" i="31" s="1"/>
  <c r="CS102" i="24"/>
  <c r="BD78" i="12"/>
  <c r="BD78" i="31" s="1"/>
  <c r="AO76" i="22"/>
  <c r="BS76" i="16" s="1"/>
  <c r="CI103" i="24"/>
  <c r="BF103" i="12" s="1"/>
  <c r="BF103" i="31" s="1"/>
  <c r="CE103" i="24"/>
  <c r="BB103" i="12" s="1"/>
  <c r="BB103" i="31" s="1"/>
  <c r="CH103" i="24"/>
  <c r="BE103" i="12" s="1"/>
  <c r="BE103" i="31" s="1"/>
  <c r="CG103" i="24"/>
  <c r="BD103" i="12" s="1"/>
  <c r="BD103" i="31" s="1"/>
  <c r="CF103" i="24"/>
  <c r="BC103" i="12" s="1"/>
  <c r="BC103" i="31" s="1"/>
  <c r="CJ103" i="24"/>
  <c r="BG103" i="12" s="1"/>
  <c r="BG103" i="31" s="1"/>
  <c r="CL103" i="24"/>
  <c r="CK103" i="24"/>
  <c r="BH103" i="12" s="1"/>
  <c r="BH103" i="31" s="1"/>
  <c r="BK77" i="12"/>
  <c r="BK77" i="27" s="1"/>
  <c r="CU102" i="24"/>
  <c r="BF78" i="12"/>
  <c r="BF78" i="31" s="1"/>
  <c r="AZ104" i="24"/>
  <c r="CP104" i="24" s="1"/>
  <c r="BA104" i="24"/>
  <c r="AY104" i="24"/>
  <c r="BQ77" i="12"/>
  <c r="BQ77" i="27" s="1"/>
  <c r="AH77" i="22"/>
  <c r="CT102" i="24"/>
  <c r="BE78" i="12"/>
  <c r="BE78" i="31" s="1"/>
  <c r="AK104" i="24"/>
  <c r="CD104" i="24" s="1"/>
  <c r="AL104" i="24"/>
  <c r="AM104" i="24"/>
  <c r="X104" i="24"/>
  <c r="R106" i="17"/>
  <c r="AE105" i="17"/>
  <c r="AD105" i="17"/>
  <c r="AC105" i="17"/>
  <c r="AB105" i="17"/>
  <c r="AA105" i="17"/>
  <c r="Z105" i="17"/>
  <c r="V105" i="17"/>
  <c r="X105" i="3" s="1"/>
  <c r="U105" i="17"/>
  <c r="X105" i="7" s="1"/>
  <c r="X105" i="12" s="1"/>
  <c r="T105" i="17"/>
  <c r="S105" i="17"/>
  <c r="X105" i="15" s="1"/>
  <c r="X105" i="17"/>
  <c r="X105" i="14" s="1"/>
  <c r="W105" i="17"/>
  <c r="Q101" i="29" l="1"/>
  <c r="R101" i="29"/>
  <c r="P101" i="29"/>
  <c r="S101" i="29"/>
  <c r="AI63" i="26"/>
  <c r="AG62" i="26"/>
  <c r="W148" i="32"/>
  <c r="AH62" i="26"/>
  <c r="X148" i="32"/>
  <c r="AI62" i="26"/>
  <c r="AJ62" i="26"/>
  <c r="Z148" i="32"/>
  <c r="AK63" i="26"/>
  <c r="AK62" i="26"/>
  <c r="X148" i="30"/>
  <c r="X163" i="30" s="1"/>
  <c r="AH163" i="30" s="1"/>
  <c r="AA148" i="30"/>
  <c r="AA163" i="30" s="1"/>
  <c r="AK163" i="30" s="1"/>
  <c r="Z148" i="30"/>
  <c r="Z163" i="30" s="1"/>
  <c r="AJ163" i="30" s="1"/>
  <c r="W148" i="30"/>
  <c r="W163" i="30" s="1"/>
  <c r="AG163" i="30" s="1"/>
  <c r="Y148" i="30"/>
  <c r="Y163" i="30" s="1"/>
  <c r="AI163" i="30" s="1"/>
  <c r="BU76" i="16"/>
  <c r="BH78" i="16"/>
  <c r="BH78" i="27"/>
  <c r="J78" i="29"/>
  <c r="BC78" i="16"/>
  <c r="BC78" i="27"/>
  <c r="E78" i="29"/>
  <c r="Q77" i="29"/>
  <c r="BG78" i="16"/>
  <c r="BG78" i="27"/>
  <c r="I78" i="29"/>
  <c r="BI78" i="16"/>
  <c r="K78" i="29"/>
  <c r="BI78" i="27"/>
  <c r="R77" i="29"/>
  <c r="M77" i="29"/>
  <c r="BD78" i="16"/>
  <c r="BD78" i="27"/>
  <c r="F78" i="29"/>
  <c r="O77" i="29"/>
  <c r="BJ77" i="27"/>
  <c r="P77" i="29"/>
  <c r="BB78" i="16"/>
  <c r="BB78" i="27"/>
  <c r="D78" i="29"/>
  <c r="BE78" i="16"/>
  <c r="BE78" i="27"/>
  <c r="G78" i="29"/>
  <c r="BF78" i="16"/>
  <c r="BF78" i="27"/>
  <c r="H78" i="29"/>
  <c r="N77" i="29"/>
  <c r="S77" i="29"/>
  <c r="BJ101" i="16"/>
  <c r="BH103" i="16"/>
  <c r="BH103" i="27"/>
  <c r="J103" i="29"/>
  <c r="BE103" i="16"/>
  <c r="BE103" i="27"/>
  <c r="G103" i="29"/>
  <c r="O101" i="29"/>
  <c r="BJ101" i="27"/>
  <c r="BF103" i="16"/>
  <c r="BF103" i="27"/>
  <c r="H103" i="29"/>
  <c r="BI102" i="16"/>
  <c r="BT101" i="16" s="1"/>
  <c r="BI102" i="27"/>
  <c r="K102" i="29"/>
  <c r="BC103" i="16"/>
  <c r="BC103" i="27"/>
  <c r="E103" i="29"/>
  <c r="BG103" i="16"/>
  <c r="I103" i="29"/>
  <c r="BG103" i="27"/>
  <c r="BD103" i="16"/>
  <c r="BD103" i="27"/>
  <c r="F103" i="29"/>
  <c r="BB103" i="16"/>
  <c r="D103" i="29"/>
  <c r="BB103" i="27"/>
  <c r="BT76" i="16"/>
  <c r="AB148" i="26"/>
  <c r="AB163" i="26" s="1"/>
  <c r="AK163" i="26" s="1"/>
  <c r="AC148" i="26"/>
  <c r="AC163" i="26" s="1"/>
  <c r="AL163" i="26" s="1"/>
  <c r="AA148" i="26"/>
  <c r="AA163" i="26" s="1"/>
  <c r="AJ163" i="26" s="1"/>
  <c r="Z148" i="26"/>
  <c r="Z163" i="26" s="1"/>
  <c r="AI163" i="26" s="1"/>
  <c r="Y148" i="26"/>
  <c r="Y163" i="26" s="1"/>
  <c r="AH163" i="26" s="1"/>
  <c r="AJ63" i="26"/>
  <c r="AK45" i="26"/>
  <c r="AJ9" i="26"/>
  <c r="AJ64" i="26"/>
  <c r="AG63" i="26"/>
  <c r="AK9" i="26"/>
  <c r="AK64" i="26"/>
  <c r="AJ45" i="26"/>
  <c r="AI9" i="26"/>
  <c r="AI64" i="26"/>
  <c r="AI45" i="26"/>
  <c r="AH9" i="26"/>
  <c r="AH64" i="26"/>
  <c r="AH45" i="26"/>
  <c r="AG9" i="26"/>
  <c r="AG64" i="26"/>
  <c r="AG45" i="26"/>
  <c r="AH63" i="26"/>
  <c r="AM103" i="12"/>
  <c r="AL103" i="12" a="1"/>
  <c r="AL103" i="12" s="1"/>
  <c r="AK103" i="12"/>
  <c r="AL80" i="12" a="1"/>
  <c r="AL80" i="12" s="1"/>
  <c r="AM80" i="12"/>
  <c r="AK80" i="12"/>
  <c r="H103" i="22"/>
  <c r="BI103" i="12"/>
  <c r="BI103" i="31" s="1"/>
  <c r="BP78" i="12"/>
  <c r="BP102" i="12"/>
  <c r="BK78" i="12"/>
  <c r="BK102" i="12"/>
  <c r="BK102" i="27" s="1"/>
  <c r="AI102" i="22"/>
  <c r="AM102" i="22"/>
  <c r="AL102" i="22"/>
  <c r="AK102" i="22"/>
  <c r="AN102" i="22" s="1"/>
  <c r="AO102" i="22" s="1"/>
  <c r="BS102" i="16" s="1"/>
  <c r="AJ102" i="22"/>
  <c r="G80" i="22"/>
  <c r="G104" i="22"/>
  <c r="BM78" i="12"/>
  <c r="BM102" i="12"/>
  <c r="BL78" i="12"/>
  <c r="BL102" i="12"/>
  <c r="BR78" i="12"/>
  <c r="BR102" i="12"/>
  <c r="BN78" i="12"/>
  <c r="BN102" i="12"/>
  <c r="BO78" i="12"/>
  <c r="BO102" i="12"/>
  <c r="BQ78" i="12"/>
  <c r="BQ102" i="12"/>
  <c r="AH103" i="22"/>
  <c r="CT103" i="24"/>
  <c r="BE79" i="12"/>
  <c r="BE79" i="31" s="1"/>
  <c r="CQ103" i="24"/>
  <c r="BK103" i="12" s="1"/>
  <c r="BK103" i="27" s="1"/>
  <c r="BB79" i="12"/>
  <c r="BB79" i="31" s="1"/>
  <c r="BM77" i="16"/>
  <c r="BP77" i="16"/>
  <c r="AM78" i="22"/>
  <c r="AI78" i="22"/>
  <c r="AK78" i="22"/>
  <c r="AN78" i="22" s="1"/>
  <c r="AO78" i="22" s="1"/>
  <c r="BS78" i="16" s="1"/>
  <c r="AJ78" i="22"/>
  <c r="AL78" i="22"/>
  <c r="AZ105" i="24"/>
  <c r="CP105" i="24" s="1"/>
  <c r="BA105" i="24"/>
  <c r="AY105" i="24"/>
  <c r="BK77" i="16"/>
  <c r="BJ77" i="12"/>
  <c r="CU103" i="24"/>
  <c r="BF79" i="12"/>
  <c r="BF79" i="31" s="1"/>
  <c r="AK105" i="24"/>
  <c r="CD105" i="24" s="1"/>
  <c r="AL105" i="24"/>
  <c r="AM105" i="24"/>
  <c r="CE104" i="24"/>
  <c r="BB104" i="12" s="1"/>
  <c r="BB104" i="31" s="1"/>
  <c r="CF104" i="24"/>
  <c r="BC104" i="12" s="1"/>
  <c r="BC104" i="31" s="1"/>
  <c r="CH104" i="24"/>
  <c r="BE104" i="12" s="1"/>
  <c r="BE104" i="31" s="1"/>
  <c r="CG104" i="24"/>
  <c r="BD104" i="12" s="1"/>
  <c r="BD104" i="31" s="1"/>
  <c r="CI104" i="24"/>
  <c r="BF104" i="12" s="1"/>
  <c r="BF104" i="31" s="1"/>
  <c r="CJ104" i="24"/>
  <c r="BG104" i="12" s="1"/>
  <c r="BG104" i="31" s="1"/>
  <c r="CK104" i="24"/>
  <c r="BH104" i="12" s="1"/>
  <c r="BH104" i="31" s="1"/>
  <c r="CL104" i="24"/>
  <c r="CW103" i="24"/>
  <c r="BQ103" i="12" s="1"/>
  <c r="BH79" i="12"/>
  <c r="BH79" i="31" s="1"/>
  <c r="BR77" i="16"/>
  <c r="BQ77" i="16"/>
  <c r="CV103" i="24"/>
  <c r="BP103" i="12" s="1"/>
  <c r="BG79" i="12"/>
  <c r="BG79" i="31" s="1"/>
  <c r="BN77" i="16"/>
  <c r="AL77" i="22"/>
  <c r="AJ77" i="22"/>
  <c r="AK77" i="22"/>
  <c r="AN77" i="22" s="1"/>
  <c r="AI77" i="22"/>
  <c r="AM77" i="22"/>
  <c r="CR103" i="24"/>
  <c r="BL103" i="12" s="1"/>
  <c r="BC79" i="12"/>
  <c r="BC79" i="31" s="1"/>
  <c r="BL77" i="16"/>
  <c r="CX103" i="24"/>
  <c r="H79" i="22"/>
  <c r="BI79" i="12"/>
  <c r="BI79" i="31" s="1"/>
  <c r="CS103" i="24"/>
  <c r="BM103" i="12" s="1"/>
  <c r="BD79" i="12"/>
  <c r="BD79" i="31" s="1"/>
  <c r="BO77" i="16"/>
  <c r="X105" i="19"/>
  <c r="X105" i="31" s="1"/>
  <c r="X105" i="24"/>
  <c r="R107" i="17"/>
  <c r="AA106" i="17"/>
  <c r="Z106" i="17"/>
  <c r="AE106" i="17"/>
  <c r="AD106" i="17"/>
  <c r="AC106" i="17"/>
  <c r="AB106" i="17"/>
  <c r="X106" i="17"/>
  <c r="X106" i="14" s="1"/>
  <c r="W106" i="17"/>
  <c r="X106" i="19" s="1"/>
  <c r="V106" i="17"/>
  <c r="X106" i="3" s="1"/>
  <c r="U106" i="17"/>
  <c r="X106" i="7" s="1"/>
  <c r="T106" i="17"/>
  <c r="S106" i="17"/>
  <c r="X106" i="15" s="1"/>
  <c r="X106" i="12" l="1"/>
  <c r="X105" i="16"/>
  <c r="X105" i="27"/>
  <c r="Y148" i="32"/>
  <c r="AJ65" i="26"/>
  <c r="AK65" i="26"/>
  <c r="AA148" i="32"/>
  <c r="AH65" i="26"/>
  <c r="AL62" i="26"/>
  <c r="AI65" i="26"/>
  <c r="AG65" i="26"/>
  <c r="BU101" i="16"/>
  <c r="BR78" i="16"/>
  <c r="BR78" i="27"/>
  <c r="BD79" i="16"/>
  <c r="BD79" i="27"/>
  <c r="F79" i="29"/>
  <c r="BH79" i="16"/>
  <c r="BH79" i="27"/>
  <c r="J79" i="29"/>
  <c r="BQ78" i="16"/>
  <c r="BQ78" i="27"/>
  <c r="BL78" i="16"/>
  <c r="BL78" i="27"/>
  <c r="BG79" i="16"/>
  <c r="BG79" i="27"/>
  <c r="I79" i="29"/>
  <c r="BB79" i="16"/>
  <c r="BB79" i="27"/>
  <c r="D79" i="29"/>
  <c r="BO78" i="16"/>
  <c r="BO78" i="27"/>
  <c r="BF79" i="16"/>
  <c r="BF79" i="27"/>
  <c r="H79" i="29"/>
  <c r="BK78" i="16"/>
  <c r="BK78" i="27"/>
  <c r="BC79" i="16"/>
  <c r="E79" i="29"/>
  <c r="BC79" i="27"/>
  <c r="BP78" i="16"/>
  <c r="BP78" i="27"/>
  <c r="BI79" i="16"/>
  <c r="BI79" i="27"/>
  <c r="K79" i="29"/>
  <c r="BM78" i="16"/>
  <c r="BM78" i="27"/>
  <c r="BE79" i="16"/>
  <c r="G79" i="29"/>
  <c r="BE79" i="27"/>
  <c r="BN78" i="16"/>
  <c r="BN78" i="27"/>
  <c r="BR102" i="16"/>
  <c r="BR102" i="27"/>
  <c r="BL103" i="16"/>
  <c r="BL103" i="27"/>
  <c r="M103" i="29" s="1"/>
  <c r="BL102" i="16"/>
  <c r="BL102" i="27"/>
  <c r="M102" i="29" s="1"/>
  <c r="BM103" i="16"/>
  <c r="BM103" i="27"/>
  <c r="N103" i="29" s="1"/>
  <c r="BH104" i="16"/>
  <c r="BH104" i="27"/>
  <c r="J104" i="29"/>
  <c r="BQ103" i="16"/>
  <c r="BQ103" i="27"/>
  <c r="BB104" i="16"/>
  <c r="BB104" i="27"/>
  <c r="D104" i="29"/>
  <c r="BQ102" i="16"/>
  <c r="BQ102" i="27"/>
  <c r="BG104" i="16"/>
  <c r="BG104" i="27"/>
  <c r="I104" i="29"/>
  <c r="BO102" i="16"/>
  <c r="BO102" i="27"/>
  <c r="BM102" i="16"/>
  <c r="BM102" i="27"/>
  <c r="N102" i="29" s="1"/>
  <c r="BF104" i="16"/>
  <c r="BF104" i="27"/>
  <c r="H104" i="29"/>
  <c r="BD104" i="16"/>
  <c r="F104" i="29"/>
  <c r="BD104" i="27"/>
  <c r="BN102" i="16"/>
  <c r="BN102" i="27"/>
  <c r="BC104" i="16"/>
  <c r="BC104" i="27"/>
  <c r="E104" i="29"/>
  <c r="BI103" i="16"/>
  <c r="BU102" i="16" s="1"/>
  <c r="K103" i="29"/>
  <c r="BI103" i="27"/>
  <c r="BP103" i="16"/>
  <c r="BP103" i="27"/>
  <c r="BE104" i="16"/>
  <c r="BE104" i="27"/>
  <c r="G104" i="29"/>
  <c r="BP102" i="16"/>
  <c r="BP102" i="27"/>
  <c r="BJ77" i="16"/>
  <c r="AL9" i="26"/>
  <c r="AL45" i="26"/>
  <c r="AL63" i="26"/>
  <c r="AL64" i="26"/>
  <c r="AM81" i="12"/>
  <c r="AL81" i="12" a="1"/>
  <c r="AL81" i="12" s="1"/>
  <c r="AK81" i="12"/>
  <c r="AL104" i="12" a="1"/>
  <c r="AL104" i="12" s="1"/>
  <c r="AM104" i="12"/>
  <c r="AK104" i="12"/>
  <c r="BJ78" i="12"/>
  <c r="G81" i="22"/>
  <c r="G105" i="22"/>
  <c r="BR79" i="12"/>
  <c r="BR103" i="12"/>
  <c r="BO79" i="12"/>
  <c r="BO103" i="12"/>
  <c r="BK102" i="16"/>
  <c r="BJ102" i="12"/>
  <c r="BK103" i="16"/>
  <c r="H104" i="22"/>
  <c r="AH104" i="22" s="1"/>
  <c r="BI104" i="12"/>
  <c r="BI104" i="31" s="1"/>
  <c r="BN79" i="12"/>
  <c r="BN103" i="12"/>
  <c r="AI103" i="22"/>
  <c r="AK103" i="22"/>
  <c r="AN103" i="22" s="1"/>
  <c r="AO103" i="22" s="1"/>
  <c r="BS103" i="16" s="1"/>
  <c r="AJ103" i="22"/>
  <c r="AM103" i="22"/>
  <c r="AL103" i="22"/>
  <c r="CW104" i="24"/>
  <c r="BH80" i="12"/>
  <c r="BH80" i="31" s="1"/>
  <c r="BP79" i="12"/>
  <c r="BP79" i="27" s="1"/>
  <c r="CV104" i="24"/>
  <c r="BP104" i="12" s="1"/>
  <c r="BG80" i="12"/>
  <c r="BG80" i="31" s="1"/>
  <c r="AK106" i="24"/>
  <c r="CD106" i="24" s="1"/>
  <c r="AL106" i="24"/>
  <c r="AM106" i="24"/>
  <c r="AH79" i="22"/>
  <c r="AO77" i="22"/>
  <c r="BS77" i="16" s="1"/>
  <c r="CU104" i="24"/>
  <c r="BO104" i="12" s="1"/>
  <c r="BF80" i="12"/>
  <c r="BF80" i="31" s="1"/>
  <c r="CI105" i="24"/>
  <c r="BF105" i="12" s="1"/>
  <c r="BF105" i="31" s="1"/>
  <c r="CE105" i="24"/>
  <c r="BB105" i="12" s="1"/>
  <c r="BB105" i="31" s="1"/>
  <c r="CH105" i="24"/>
  <c r="BE105" i="12" s="1"/>
  <c r="BE105" i="31" s="1"/>
  <c r="CG105" i="24"/>
  <c r="BD105" i="12" s="1"/>
  <c r="BD105" i="31" s="1"/>
  <c r="CJ105" i="24"/>
  <c r="BG105" i="12" s="1"/>
  <c r="BG105" i="31" s="1"/>
  <c r="CF105" i="24"/>
  <c r="BC105" i="12" s="1"/>
  <c r="BC105" i="31" s="1"/>
  <c r="CL105" i="24"/>
  <c r="CK105" i="24"/>
  <c r="BH105" i="12" s="1"/>
  <c r="BH105" i="31" s="1"/>
  <c r="BA106" i="24"/>
  <c r="AY106" i="24"/>
  <c r="AZ106" i="24"/>
  <c r="CP106" i="24" s="1"/>
  <c r="G82" i="22" s="1"/>
  <c r="CS104" i="24"/>
  <c r="BD80" i="12"/>
  <c r="BD80" i="31" s="1"/>
  <c r="BK79" i="12"/>
  <c r="BK79" i="27" s="1"/>
  <c r="BL79" i="12"/>
  <c r="BL79" i="27" s="1"/>
  <c r="M79" i="29" s="1"/>
  <c r="CT104" i="24"/>
  <c r="BN104" i="12" s="1"/>
  <c r="BE80" i="12"/>
  <c r="BE80" i="31" s="1"/>
  <c r="CR104" i="24"/>
  <c r="BC80" i="12"/>
  <c r="BC80" i="31" s="1"/>
  <c r="BM79" i="12"/>
  <c r="BM79" i="27" s="1"/>
  <c r="N79" i="29" s="1"/>
  <c r="BQ79" i="12"/>
  <c r="BQ79" i="27" s="1"/>
  <c r="CQ104" i="24"/>
  <c r="BB80" i="12"/>
  <c r="BB80" i="31" s="1"/>
  <c r="CX104" i="24"/>
  <c r="H80" i="22"/>
  <c r="AH80" i="22" s="1"/>
  <c r="BI80" i="12"/>
  <c r="BI80" i="31" s="1"/>
  <c r="X106" i="24"/>
  <c r="R108" i="17"/>
  <c r="AC107" i="17"/>
  <c r="AB107" i="17"/>
  <c r="AA107" i="17"/>
  <c r="Z107" i="17"/>
  <c r="AE107" i="17"/>
  <c r="AD107" i="17"/>
  <c r="X107" i="17"/>
  <c r="X107" i="14" s="1"/>
  <c r="W107" i="17"/>
  <c r="X107" i="19" s="1"/>
  <c r="V107" i="17"/>
  <c r="X107" i="3" s="1"/>
  <c r="U107" i="17"/>
  <c r="X107" i="7" s="1"/>
  <c r="X107" i="12" s="1"/>
  <c r="T107" i="17"/>
  <c r="S107" i="17"/>
  <c r="X107" i="15" s="1"/>
  <c r="X107" i="16" l="1"/>
  <c r="X107" i="31"/>
  <c r="X107" i="27"/>
  <c r="X106" i="16"/>
  <c r="X106" i="31"/>
  <c r="X106" i="27"/>
  <c r="AL65" i="26"/>
  <c r="R102" i="29"/>
  <c r="S102" i="29"/>
  <c r="R78" i="29"/>
  <c r="Q103" i="29"/>
  <c r="O102" i="29"/>
  <c r="R79" i="29"/>
  <c r="Q102" i="29"/>
  <c r="Q79" i="29"/>
  <c r="R103" i="29"/>
  <c r="P102" i="29"/>
  <c r="BT102" i="16"/>
  <c r="BJ78" i="16"/>
  <c r="BT78" i="16"/>
  <c r="BU78" i="16"/>
  <c r="BC80" i="16"/>
  <c r="E80" i="29"/>
  <c r="BC80" i="27"/>
  <c r="BO79" i="16"/>
  <c r="BO79" i="27"/>
  <c r="BN79" i="16"/>
  <c r="BN79" i="27"/>
  <c r="BH80" i="16"/>
  <c r="BH80" i="27"/>
  <c r="J80" i="29"/>
  <c r="BE80" i="16"/>
  <c r="BE80" i="27"/>
  <c r="G80" i="29"/>
  <c r="M78" i="29"/>
  <c r="N78" i="29"/>
  <c r="BB80" i="16"/>
  <c r="D80" i="29"/>
  <c r="BB80" i="27"/>
  <c r="O78" i="29"/>
  <c r="BJ78" i="27"/>
  <c r="BR79" i="16"/>
  <c r="BR79" i="27"/>
  <c r="BD80" i="16"/>
  <c r="F80" i="29"/>
  <c r="BD80" i="27"/>
  <c r="BF80" i="16"/>
  <c r="BF80" i="27"/>
  <c r="H80" i="29"/>
  <c r="BG80" i="16"/>
  <c r="BG80" i="27"/>
  <c r="I80" i="29"/>
  <c r="Q78" i="29"/>
  <c r="S78" i="29"/>
  <c r="P78" i="29"/>
  <c r="BI80" i="16"/>
  <c r="BI80" i="27"/>
  <c r="K80" i="29"/>
  <c r="BJ102" i="16"/>
  <c r="BP104" i="16"/>
  <c r="BP104" i="27"/>
  <c r="BO103" i="16"/>
  <c r="BO103" i="27"/>
  <c r="BC105" i="16"/>
  <c r="E105" i="29"/>
  <c r="BC105" i="27"/>
  <c r="BN103" i="16"/>
  <c r="BN103" i="27"/>
  <c r="BR103" i="16"/>
  <c r="BR103" i="27"/>
  <c r="BF105" i="16"/>
  <c r="BF105" i="27"/>
  <c r="H105" i="29"/>
  <c r="BG105" i="16"/>
  <c r="BG105" i="27"/>
  <c r="I105" i="29"/>
  <c r="BD105" i="16"/>
  <c r="F105" i="29"/>
  <c r="BD105" i="27"/>
  <c r="BI104" i="16"/>
  <c r="BU103" i="16" s="1"/>
  <c r="BI104" i="27"/>
  <c r="K104" i="29"/>
  <c r="BO104" i="16"/>
  <c r="BO104" i="27"/>
  <c r="BN104" i="16"/>
  <c r="BN104" i="27"/>
  <c r="BE105" i="16"/>
  <c r="G105" i="29"/>
  <c r="BE105" i="27"/>
  <c r="BB105" i="16"/>
  <c r="BB105" i="27"/>
  <c r="D105" i="29"/>
  <c r="BJ102" i="27"/>
  <c r="BH105" i="16"/>
  <c r="BH105" i="27"/>
  <c r="J105" i="29"/>
  <c r="BT77" i="16"/>
  <c r="BU77" i="16"/>
  <c r="AM82" i="12"/>
  <c r="AL82" i="12" a="1"/>
  <c r="AL82" i="12" s="1"/>
  <c r="AK82" i="12"/>
  <c r="AM105" i="12"/>
  <c r="AL105" i="12" a="1"/>
  <c r="AL105" i="12" s="1"/>
  <c r="AK105" i="12"/>
  <c r="BQ80" i="12"/>
  <c r="BQ104" i="12"/>
  <c r="BR80" i="12"/>
  <c r="BR104" i="12"/>
  <c r="BL80" i="12"/>
  <c r="BL104" i="12"/>
  <c r="BM80" i="12"/>
  <c r="BM104" i="12"/>
  <c r="BK80" i="12"/>
  <c r="BK104" i="12"/>
  <c r="BK104" i="27" s="1"/>
  <c r="AM104" i="22"/>
  <c r="AJ104" i="22"/>
  <c r="AK104" i="22"/>
  <c r="AN104" i="22" s="1"/>
  <c r="AO104" i="22" s="1"/>
  <c r="BS104" i="16" s="1"/>
  <c r="AI104" i="22"/>
  <c r="AL104" i="22"/>
  <c r="H105" i="22"/>
  <c r="AH105" i="22" s="1"/>
  <c r="BI105" i="12"/>
  <c r="BI105" i="31" s="1"/>
  <c r="BJ103" i="12"/>
  <c r="CS105" i="24"/>
  <c r="BM105" i="12" s="1"/>
  <c r="BD81" i="12"/>
  <c r="BD81" i="31" s="1"/>
  <c r="AL79" i="22"/>
  <c r="AI79" i="22"/>
  <c r="AM79" i="22"/>
  <c r="AK79" i="22"/>
  <c r="AN79" i="22" s="1"/>
  <c r="AO79" i="22" s="1"/>
  <c r="BS79" i="16" s="1"/>
  <c r="AJ79" i="22"/>
  <c r="BP80" i="12"/>
  <c r="AK107" i="24"/>
  <c r="CD107" i="24" s="1"/>
  <c r="AL107" i="24"/>
  <c r="AM107" i="24"/>
  <c r="BL79" i="16"/>
  <c r="CT105" i="24"/>
  <c r="BE81" i="12"/>
  <c r="BE81" i="31" s="1"/>
  <c r="BA107" i="24"/>
  <c r="AY107" i="24"/>
  <c r="AZ107" i="24"/>
  <c r="CP107" i="24" s="1"/>
  <c r="G83" i="22" s="1"/>
  <c r="CQ105" i="24"/>
  <c r="BB81" i="12"/>
  <c r="BB81" i="31" s="1"/>
  <c r="AL80" i="22"/>
  <c r="AJ80" i="22"/>
  <c r="AK80" i="22"/>
  <c r="AN80" i="22" s="1"/>
  <c r="AO80" i="22" s="1"/>
  <c r="BS80" i="16" s="1"/>
  <c r="AI80" i="22"/>
  <c r="AM80" i="22"/>
  <c r="CU105" i="24"/>
  <c r="BF81" i="12"/>
  <c r="BF81" i="31" s="1"/>
  <c r="BP79" i="16"/>
  <c r="BQ79" i="16"/>
  <c r="BK79" i="16"/>
  <c r="BJ79" i="12"/>
  <c r="CW105" i="24"/>
  <c r="BQ105" i="12" s="1"/>
  <c r="BH81" i="12"/>
  <c r="BH81" i="31" s="1"/>
  <c r="BN80" i="12"/>
  <c r="BN80" i="27" s="1"/>
  <c r="CX105" i="24"/>
  <c r="H81" i="22"/>
  <c r="AH81" i="22" s="1"/>
  <c r="BI81" i="12"/>
  <c r="BI81" i="31" s="1"/>
  <c r="BO80" i="12"/>
  <c r="BO80" i="27" s="1"/>
  <c r="CF106" i="24"/>
  <c r="CH106" i="24"/>
  <c r="CE106" i="24"/>
  <c r="CG106" i="24"/>
  <c r="CI106" i="24"/>
  <c r="CJ106" i="24"/>
  <c r="CL106" i="24"/>
  <c r="CK106" i="24"/>
  <c r="CR105" i="24"/>
  <c r="BC81" i="12"/>
  <c r="BC81" i="31" s="1"/>
  <c r="BM79" i="16"/>
  <c r="CV105" i="24"/>
  <c r="BP105" i="12" s="1"/>
  <c r="BG81" i="12"/>
  <c r="BG81" i="31" s="1"/>
  <c r="X107" i="24"/>
  <c r="R109" i="17"/>
  <c r="AE108" i="17"/>
  <c r="AD108" i="17"/>
  <c r="AC108" i="17"/>
  <c r="AB108" i="17"/>
  <c r="AA108" i="17"/>
  <c r="Z108" i="17"/>
  <c r="T108" i="17"/>
  <c r="S108" i="17"/>
  <c r="X108" i="15" s="1"/>
  <c r="X108" i="17"/>
  <c r="X108" i="14" s="1"/>
  <c r="W108" i="17"/>
  <c r="X108" i="19" s="1"/>
  <c r="V108" i="17"/>
  <c r="X108" i="3" s="1"/>
  <c r="U108" i="17"/>
  <c r="S79" i="29" l="1"/>
  <c r="P104" i="29"/>
  <c r="P80" i="29"/>
  <c r="P79" i="29"/>
  <c r="P103" i="29"/>
  <c r="S103" i="29"/>
  <c r="Q104" i="29"/>
  <c r="BT103" i="16"/>
  <c r="BT79" i="16"/>
  <c r="BJ103" i="16"/>
  <c r="O80" i="29"/>
  <c r="BB81" i="16"/>
  <c r="D81" i="29"/>
  <c r="BB81" i="27"/>
  <c r="BM80" i="16"/>
  <c r="BM80" i="27"/>
  <c r="N80" i="29" s="1"/>
  <c r="BG81" i="16"/>
  <c r="BG81" i="27"/>
  <c r="I81" i="29"/>
  <c r="O79" i="29"/>
  <c r="BJ79" i="27"/>
  <c r="BC81" i="16"/>
  <c r="BC81" i="27"/>
  <c r="E81" i="29"/>
  <c r="BL80" i="16"/>
  <c r="BL80" i="27"/>
  <c r="BI81" i="16"/>
  <c r="K81" i="29"/>
  <c r="BI81" i="27"/>
  <c r="BH81" i="16"/>
  <c r="BH81" i="27"/>
  <c r="J81" i="29"/>
  <c r="BF81" i="16"/>
  <c r="H81" i="29"/>
  <c r="BF81" i="27"/>
  <c r="BD81" i="16"/>
  <c r="BD81" i="27"/>
  <c r="F81" i="29"/>
  <c r="BR80" i="16"/>
  <c r="BR80" i="27"/>
  <c r="BP80" i="16"/>
  <c r="BP80" i="27"/>
  <c r="BE81" i="16"/>
  <c r="BE81" i="27"/>
  <c r="G81" i="29"/>
  <c r="BK80" i="16"/>
  <c r="BK80" i="27"/>
  <c r="BQ80" i="16"/>
  <c r="BQ80" i="27"/>
  <c r="BM104" i="16"/>
  <c r="BM104" i="27"/>
  <c r="N104" i="29" s="1"/>
  <c r="BP105" i="16"/>
  <c r="BP105" i="27"/>
  <c r="BR104" i="16"/>
  <c r="BR104" i="27"/>
  <c r="BQ105" i="16"/>
  <c r="BQ105" i="27"/>
  <c r="BM105" i="16"/>
  <c r="BM105" i="27"/>
  <c r="N105" i="29" s="1"/>
  <c r="O104" i="29"/>
  <c r="BQ104" i="16"/>
  <c r="BQ104" i="27"/>
  <c r="BL104" i="16"/>
  <c r="BL104" i="27"/>
  <c r="M104" i="29" s="1"/>
  <c r="BI105" i="16"/>
  <c r="BT104" i="16" s="1"/>
  <c r="BI105" i="27"/>
  <c r="K105" i="29"/>
  <c r="O103" i="29"/>
  <c r="BJ103" i="27"/>
  <c r="BU79" i="16"/>
  <c r="BJ79" i="16"/>
  <c r="AL83" i="12" a="1"/>
  <c r="AL83" i="12" s="1"/>
  <c r="AM83" i="12"/>
  <c r="AK83" i="12"/>
  <c r="BK81" i="12"/>
  <c r="BK81" i="27" s="1"/>
  <c r="BK105" i="12"/>
  <c r="BK105" i="27" s="1"/>
  <c r="AI105" i="22"/>
  <c r="AM105" i="22"/>
  <c r="AJ105" i="22"/>
  <c r="AK105" i="22"/>
  <c r="AN105" i="22" s="1"/>
  <c r="AO105" i="22" s="1"/>
  <c r="BS105" i="16" s="1"/>
  <c r="AL105" i="22"/>
  <c r="BL81" i="12"/>
  <c r="BL105" i="12"/>
  <c r="BO81" i="12"/>
  <c r="BO105" i="12"/>
  <c r="BR81" i="12"/>
  <c r="BR105" i="12"/>
  <c r="BJ80" i="12"/>
  <c r="BK104" i="16"/>
  <c r="BJ104" i="12"/>
  <c r="BN81" i="12"/>
  <c r="BN105" i="12"/>
  <c r="AI81" i="22"/>
  <c r="AM81" i="22"/>
  <c r="AL81" i="22"/>
  <c r="AJ81" i="22"/>
  <c r="AK81" i="22"/>
  <c r="AN81" i="22" s="1"/>
  <c r="AO81" i="22" s="1"/>
  <c r="BS81" i="16" s="1"/>
  <c r="CT106" i="24"/>
  <c r="BE82" i="12"/>
  <c r="BE82" i="31" s="1"/>
  <c r="CR106" i="24"/>
  <c r="BL82" i="12" s="1"/>
  <c r="BL82" i="27" s="1"/>
  <c r="M82" i="29" s="1"/>
  <c r="BC82" i="12"/>
  <c r="BC82" i="31" s="1"/>
  <c r="BP81" i="12"/>
  <c r="BP81" i="27" s="1"/>
  <c r="CW106" i="24"/>
  <c r="BQ82" i="12" s="1"/>
  <c r="BH82" i="12"/>
  <c r="BH82" i="31" s="1"/>
  <c r="BQ81" i="12"/>
  <c r="BQ81" i="27" s="1"/>
  <c r="BA108" i="24"/>
  <c r="AY108" i="24"/>
  <c r="AZ108" i="24"/>
  <c r="CP108" i="24" s="1"/>
  <c r="CV106" i="24"/>
  <c r="BP82" i="12" s="1"/>
  <c r="BG82" i="12"/>
  <c r="BG82" i="31" s="1"/>
  <c r="BO80" i="16"/>
  <c r="BN80" i="16"/>
  <c r="CI107" i="24"/>
  <c r="CE107" i="24"/>
  <c r="CJ107" i="24"/>
  <c r="CH107" i="24"/>
  <c r="CK107" i="24"/>
  <c r="CF107" i="24"/>
  <c r="CL107" i="24"/>
  <c r="CG107" i="24"/>
  <c r="CQ106" i="24"/>
  <c r="BB82" i="12"/>
  <c r="BB82" i="31" s="1"/>
  <c r="CX106" i="24"/>
  <c r="BR82" i="12" s="1"/>
  <c r="H82" i="22"/>
  <c r="AH82" i="22" s="1"/>
  <c r="BI82" i="12"/>
  <c r="BI82" i="31" s="1"/>
  <c r="AK108" i="24"/>
  <c r="CD108" i="24" s="1"/>
  <c r="AL108" i="24"/>
  <c r="AM108" i="24"/>
  <c r="CU106" i="24"/>
  <c r="BF82" i="12"/>
  <c r="BF82" i="31" s="1"/>
  <c r="CS106" i="24"/>
  <c r="BM82" i="12" s="1"/>
  <c r="BD82" i="12"/>
  <c r="BD82" i="31" s="1"/>
  <c r="BM81" i="12"/>
  <c r="BM81" i="27" s="1"/>
  <c r="N81" i="29" s="1"/>
  <c r="X108" i="24"/>
  <c r="X108" i="7"/>
  <c r="X108" i="12" s="1"/>
  <c r="R110" i="17"/>
  <c r="AE109" i="17"/>
  <c r="AD109" i="17"/>
  <c r="AC109" i="17"/>
  <c r="AB109" i="17"/>
  <c r="AA109" i="17"/>
  <c r="Z109" i="17"/>
  <c r="V109" i="17"/>
  <c r="X109" i="3" s="1"/>
  <c r="U109" i="17"/>
  <c r="X109" i="7" s="1"/>
  <c r="X109" i="12" s="1"/>
  <c r="T109" i="17"/>
  <c r="S109" i="17"/>
  <c r="X109" i="15" s="1"/>
  <c r="X109" i="17"/>
  <c r="X109" i="14" s="1"/>
  <c r="W109" i="17"/>
  <c r="X109" i="19" s="1"/>
  <c r="X108" i="16" l="1"/>
  <c r="X108" i="31"/>
  <c r="X108" i="27"/>
  <c r="X109" i="27"/>
  <c r="X109" i="16"/>
  <c r="X109" i="31"/>
  <c r="R81" i="29"/>
  <c r="R105" i="29"/>
  <c r="R80" i="29"/>
  <c r="S104" i="29"/>
  <c r="Q81" i="29"/>
  <c r="R104" i="29"/>
  <c r="S80" i="29"/>
  <c r="Q105" i="29"/>
  <c r="BJ104" i="16"/>
  <c r="BU80" i="16"/>
  <c r="BT80" i="16"/>
  <c r="BJ80" i="27"/>
  <c r="BR82" i="16"/>
  <c r="BR82" i="27"/>
  <c r="BK81" i="16"/>
  <c r="BO81" i="16"/>
  <c r="BO81" i="27"/>
  <c r="BF82" i="16"/>
  <c r="BF82" i="27"/>
  <c r="H82" i="29"/>
  <c r="BP82" i="16"/>
  <c r="BP82" i="27"/>
  <c r="BB82" i="16"/>
  <c r="D82" i="29"/>
  <c r="BB82" i="27"/>
  <c r="BR81" i="16"/>
  <c r="BR81" i="27"/>
  <c r="BE82" i="16"/>
  <c r="BE82" i="27"/>
  <c r="G82" i="29"/>
  <c r="BN81" i="16"/>
  <c r="BN81" i="27"/>
  <c r="BC82" i="16"/>
  <c r="BC82" i="27"/>
  <c r="E82" i="29"/>
  <c r="BL81" i="16"/>
  <c r="BL81" i="27"/>
  <c r="M81" i="29" s="1"/>
  <c r="BM82" i="16"/>
  <c r="BM82" i="27"/>
  <c r="N82" i="29" s="1"/>
  <c r="BD82" i="16"/>
  <c r="BD82" i="27"/>
  <c r="F82" i="29"/>
  <c r="BI82" i="16"/>
  <c r="BI82" i="27"/>
  <c r="K82" i="29"/>
  <c r="BH82" i="16"/>
  <c r="BH82" i="27"/>
  <c r="J82" i="29"/>
  <c r="BG82" i="16"/>
  <c r="I82" i="29"/>
  <c r="BG82" i="27"/>
  <c r="BQ82" i="16"/>
  <c r="BQ82" i="27"/>
  <c r="Q80" i="29"/>
  <c r="M80" i="29"/>
  <c r="BU104" i="16"/>
  <c r="BR105" i="16"/>
  <c r="BR105" i="27"/>
  <c r="BJ104" i="27"/>
  <c r="BO105" i="16"/>
  <c r="BO105" i="27"/>
  <c r="BL105" i="16"/>
  <c r="BL105" i="27"/>
  <c r="M105" i="29" s="1"/>
  <c r="BN105" i="16"/>
  <c r="BN105" i="27"/>
  <c r="BJ80" i="16"/>
  <c r="AI195" i="12"/>
  <c r="AL84" i="12" a="1"/>
  <c r="AL84" i="12" s="1"/>
  <c r="AM84" i="12"/>
  <c r="AK84" i="12"/>
  <c r="BJ81" i="12"/>
  <c r="G84" i="22"/>
  <c r="G108" i="22"/>
  <c r="BK105" i="16"/>
  <c r="BJ105" i="12"/>
  <c r="CR107" i="24"/>
  <c r="BL83" i="12" s="1"/>
  <c r="BC83" i="12"/>
  <c r="BC83" i="31" s="1"/>
  <c r="BQ81" i="16"/>
  <c r="X195" i="12"/>
  <c r="BO82" i="12"/>
  <c r="BO82" i="27" s="1"/>
  <c r="CW107" i="24"/>
  <c r="BH83" i="12"/>
  <c r="BH83" i="31" s="1"/>
  <c r="BL82" i="16"/>
  <c r="AI82" i="22"/>
  <c r="AJ82" i="22"/>
  <c r="AM82" i="22"/>
  <c r="AL82" i="22"/>
  <c r="AK82" i="22"/>
  <c r="AN82" i="22" s="1"/>
  <c r="AO82" i="22" s="1"/>
  <c r="BS82" i="16" s="1"/>
  <c r="CT107" i="24"/>
  <c r="BN83" i="12" s="1"/>
  <c r="BE83" i="12"/>
  <c r="BE83" i="31" s="1"/>
  <c r="M195" i="12"/>
  <c r="AW195" i="12"/>
  <c r="BN82" i="12"/>
  <c r="BN82" i="27" s="1"/>
  <c r="CV107" i="24"/>
  <c r="BP83" i="12" s="1"/>
  <c r="BG83" i="12"/>
  <c r="BG83" i="31" s="1"/>
  <c r="BM81" i="16"/>
  <c r="BP81" i="16"/>
  <c r="CQ107" i="24"/>
  <c r="BK83" i="12" s="1"/>
  <c r="BK83" i="27" s="1"/>
  <c r="BB83" i="12"/>
  <c r="BB83" i="31" s="1"/>
  <c r="CH108" i="24"/>
  <c r="BE108" i="12" s="1"/>
  <c r="BE108" i="31" s="1"/>
  <c r="CF108" i="24"/>
  <c r="BC108" i="12" s="1"/>
  <c r="BC108" i="31" s="1"/>
  <c r="CE108" i="24"/>
  <c r="BB108" i="12" s="1"/>
  <c r="BB108" i="31" s="1"/>
  <c r="CG108" i="24"/>
  <c r="BD108" i="12" s="1"/>
  <c r="BD108" i="31" s="1"/>
  <c r="CI108" i="24"/>
  <c r="BF108" i="12" s="1"/>
  <c r="BF108" i="31" s="1"/>
  <c r="CJ108" i="24"/>
  <c r="BG108" i="12" s="1"/>
  <c r="BG108" i="31" s="1"/>
  <c r="CK108" i="24"/>
  <c r="BH108" i="12" s="1"/>
  <c r="BH108" i="31" s="1"/>
  <c r="CL108" i="24"/>
  <c r="BK82" i="12"/>
  <c r="BK82" i="27" s="1"/>
  <c r="CU107" i="24"/>
  <c r="BO83" i="12" s="1"/>
  <c r="BF83" i="12"/>
  <c r="BF83" i="31" s="1"/>
  <c r="AY109" i="24"/>
  <c r="AZ109" i="24"/>
  <c r="CP109" i="24" s="1"/>
  <c r="BA109" i="24"/>
  <c r="AK109" i="24"/>
  <c r="CD109" i="24" s="1"/>
  <c r="AL109" i="24"/>
  <c r="AM109" i="24"/>
  <c r="CS107" i="24"/>
  <c r="BD83" i="12"/>
  <c r="BD83" i="31" s="1"/>
  <c r="CX107" i="24"/>
  <c r="BR83" i="12" s="1"/>
  <c r="H83" i="22"/>
  <c r="AH83" i="22" s="1"/>
  <c r="BI83" i="12"/>
  <c r="BI83" i="31" s="1"/>
  <c r="X109" i="24"/>
  <c r="R111" i="17"/>
  <c r="AA110" i="17"/>
  <c r="Z110" i="17"/>
  <c r="AE110" i="17"/>
  <c r="AD110" i="17"/>
  <c r="AC110" i="17"/>
  <c r="AB110" i="17"/>
  <c r="X110" i="17"/>
  <c r="X110" i="14" s="1"/>
  <c r="W110" i="17"/>
  <c r="X110" i="19" s="1"/>
  <c r="V110" i="17"/>
  <c r="X110" i="3" s="1"/>
  <c r="U110" i="17"/>
  <c r="X110" i="7" s="1"/>
  <c r="X110" i="12" s="1"/>
  <c r="T110" i="17"/>
  <c r="S110" i="17"/>
  <c r="X110" i="15" s="1"/>
  <c r="X110" i="31" l="1"/>
  <c r="X110" i="27"/>
  <c r="X110" i="16"/>
  <c r="Q82" i="29"/>
  <c r="S82" i="29"/>
  <c r="P105" i="29"/>
  <c r="R82" i="29"/>
  <c r="S81" i="29"/>
  <c r="S105" i="29"/>
  <c r="P81" i="29"/>
  <c r="P82" i="29"/>
  <c r="BJ105" i="16"/>
  <c r="BT81" i="16"/>
  <c r="BU81" i="16"/>
  <c r="BB83" i="16"/>
  <c r="BB83" i="27"/>
  <c r="D83" i="29"/>
  <c r="BF83" i="16"/>
  <c r="BF83" i="27"/>
  <c r="H83" i="29"/>
  <c r="BP83" i="16"/>
  <c r="BP83" i="27"/>
  <c r="BO83" i="16"/>
  <c r="BO83" i="27"/>
  <c r="O82" i="29"/>
  <c r="BJ82" i="27"/>
  <c r="BC83" i="16"/>
  <c r="BC83" i="27"/>
  <c r="E83" i="29"/>
  <c r="BI83" i="16"/>
  <c r="K83" i="29"/>
  <c r="BI83" i="27"/>
  <c r="BL83" i="16"/>
  <c r="BL83" i="27"/>
  <c r="M83" i="29" s="1"/>
  <c r="O81" i="29"/>
  <c r="BJ81" i="27"/>
  <c r="BR83" i="16"/>
  <c r="BR83" i="27"/>
  <c r="BE83" i="16"/>
  <c r="BE83" i="27"/>
  <c r="G83" i="29"/>
  <c r="BH83" i="16"/>
  <c r="BH83" i="27"/>
  <c r="J83" i="29"/>
  <c r="BD83" i="16"/>
  <c r="BD83" i="27"/>
  <c r="F83" i="29"/>
  <c r="BN83" i="16"/>
  <c r="BN83" i="27"/>
  <c r="BG83" i="16"/>
  <c r="I83" i="29"/>
  <c r="BG83" i="27"/>
  <c r="BH108" i="16"/>
  <c r="J108" i="29"/>
  <c r="BH108" i="27"/>
  <c r="BD108" i="16"/>
  <c r="BD108" i="27"/>
  <c r="F108" i="29"/>
  <c r="BG108" i="16"/>
  <c r="I108" i="29"/>
  <c r="BG108" i="27"/>
  <c r="BB108" i="16"/>
  <c r="BB108" i="27"/>
  <c r="D108" i="29"/>
  <c r="BF108" i="16"/>
  <c r="BF108" i="27"/>
  <c r="H108" i="29"/>
  <c r="BC108" i="16"/>
  <c r="BC108" i="27"/>
  <c r="E108" i="29"/>
  <c r="BE108" i="16"/>
  <c r="BE108" i="27"/>
  <c r="G108" i="29"/>
  <c r="O105" i="29"/>
  <c r="BJ105" i="27"/>
  <c r="BJ81" i="16"/>
  <c r="AL108" i="12" a="1"/>
  <c r="AL108" i="12" s="1"/>
  <c r="AM108" i="12"/>
  <c r="AK108" i="12"/>
  <c r="AL85" i="12" a="1"/>
  <c r="AL85" i="12" s="1"/>
  <c r="AM85" i="12"/>
  <c r="AK85" i="12"/>
  <c r="H108" i="22"/>
  <c r="AH108" i="22" s="1"/>
  <c r="BI108" i="12"/>
  <c r="BI108" i="31" s="1"/>
  <c r="G85" i="22"/>
  <c r="G109" i="22"/>
  <c r="BM83" i="12"/>
  <c r="CU108" i="24"/>
  <c r="BF84" i="12"/>
  <c r="BF84" i="31" s="1"/>
  <c r="BN82" i="16"/>
  <c r="BO82" i="16"/>
  <c r="AY110" i="24"/>
  <c r="AZ110" i="24"/>
  <c r="CP110" i="24" s="1"/>
  <c r="BA110" i="24"/>
  <c r="AI83" i="22"/>
  <c r="AM83" i="22"/>
  <c r="AK83" i="22"/>
  <c r="AN83" i="22" s="1"/>
  <c r="AO83" i="22" s="1"/>
  <c r="BS83" i="16" s="1"/>
  <c r="AJ83" i="22"/>
  <c r="AL83" i="22"/>
  <c r="CS108" i="24"/>
  <c r="BD84" i="12"/>
  <c r="BD84" i="31" s="1"/>
  <c r="AK110" i="24"/>
  <c r="CD110" i="24" s="1"/>
  <c r="AL110" i="24"/>
  <c r="AM110" i="24"/>
  <c r="CQ108" i="24"/>
  <c r="BB84" i="12"/>
  <c r="BB84" i="31" s="1"/>
  <c r="CR108" i="24"/>
  <c r="BC84" i="12"/>
  <c r="BC84" i="31" s="1"/>
  <c r="CI109" i="24"/>
  <c r="BF109" i="12" s="1"/>
  <c r="BF109" i="31" s="1"/>
  <c r="CH109" i="24"/>
  <c r="BE109" i="12" s="1"/>
  <c r="BE109" i="31" s="1"/>
  <c r="CE109" i="24"/>
  <c r="BB109" i="12" s="1"/>
  <c r="BB109" i="31" s="1"/>
  <c r="CF109" i="24"/>
  <c r="BC109" i="12" s="1"/>
  <c r="BC109" i="31" s="1"/>
  <c r="CG109" i="24"/>
  <c r="BD109" i="12" s="1"/>
  <c r="BD109" i="31" s="1"/>
  <c r="CJ109" i="24"/>
  <c r="BG109" i="12" s="1"/>
  <c r="BG109" i="31" s="1"/>
  <c r="CL109" i="24"/>
  <c r="CK109" i="24"/>
  <c r="BH109" i="12" s="1"/>
  <c r="BH109" i="31" s="1"/>
  <c r="BK82" i="16"/>
  <c r="BJ82" i="12"/>
  <c r="CT108" i="24"/>
  <c r="BN108" i="12" s="1"/>
  <c r="BE84" i="12"/>
  <c r="BE84" i="31" s="1"/>
  <c r="CX108" i="24"/>
  <c r="H84" i="22"/>
  <c r="AH84" i="22" s="1"/>
  <c r="BI84" i="12"/>
  <c r="BI84" i="31" s="1"/>
  <c r="CW108" i="24"/>
  <c r="BH84" i="12"/>
  <c r="BH84" i="31" s="1"/>
  <c r="BK83" i="16"/>
  <c r="BQ83" i="12"/>
  <c r="CV108" i="24"/>
  <c r="BG84" i="12"/>
  <c r="BG84" i="31" s="1"/>
  <c r="X110" i="24"/>
  <c r="R112" i="17"/>
  <c r="AC111" i="17"/>
  <c r="AB111" i="17"/>
  <c r="AA111" i="17"/>
  <c r="Z111" i="17"/>
  <c r="AE111" i="17"/>
  <c r="AD111" i="17"/>
  <c r="X111" i="17"/>
  <c r="X111" i="14" s="1"/>
  <c r="W111" i="17"/>
  <c r="X111" i="19" s="1"/>
  <c r="V111" i="17"/>
  <c r="X111" i="3" s="1"/>
  <c r="U111" i="17"/>
  <c r="T111" i="17"/>
  <c r="S111" i="17"/>
  <c r="X111" i="15" s="1"/>
  <c r="Q83" i="29" l="1"/>
  <c r="S83" i="29"/>
  <c r="P83" i="29"/>
  <c r="BU82" i="16"/>
  <c r="BT82" i="16"/>
  <c r="BB84" i="16"/>
  <c r="BB84" i="27"/>
  <c r="D84" i="29"/>
  <c r="BH84" i="16"/>
  <c r="BH84" i="27"/>
  <c r="J84" i="29"/>
  <c r="BF84" i="16"/>
  <c r="H84" i="29"/>
  <c r="BF84" i="27"/>
  <c r="BM83" i="16"/>
  <c r="BM83" i="27"/>
  <c r="N83" i="29" s="1"/>
  <c r="O83" i="29"/>
  <c r="BE84" i="16"/>
  <c r="BE84" i="27"/>
  <c r="G84" i="29"/>
  <c r="BI84" i="16"/>
  <c r="BI84" i="27"/>
  <c r="K84" i="29"/>
  <c r="BD84" i="16"/>
  <c r="BD84" i="27"/>
  <c r="F84" i="29"/>
  <c r="BG84" i="16"/>
  <c r="BG84" i="27"/>
  <c r="I84" i="29"/>
  <c r="BQ83" i="16"/>
  <c r="BJ83" i="16" s="1"/>
  <c r="BQ83" i="27"/>
  <c r="BC84" i="16"/>
  <c r="BC84" i="27"/>
  <c r="E84" i="29"/>
  <c r="BD109" i="16"/>
  <c r="F109" i="29"/>
  <c r="BD109" i="27"/>
  <c r="BB109" i="16"/>
  <c r="D109" i="29"/>
  <c r="BB109" i="27"/>
  <c r="BE109" i="16"/>
  <c r="BE109" i="27"/>
  <c r="G109" i="29"/>
  <c r="BN108" i="16"/>
  <c r="BN108" i="27"/>
  <c r="BF109" i="16"/>
  <c r="BF109" i="27"/>
  <c r="H109" i="29"/>
  <c r="BH109" i="16"/>
  <c r="BH109" i="27"/>
  <c r="J109" i="29"/>
  <c r="BI108" i="16"/>
  <c r="K108" i="29"/>
  <c r="BI108" i="27"/>
  <c r="BC109" i="16"/>
  <c r="E109" i="29"/>
  <c r="BC109" i="27"/>
  <c r="BG109" i="16"/>
  <c r="I109" i="29"/>
  <c r="BG109" i="27"/>
  <c r="BJ82" i="16"/>
  <c r="AM109" i="12"/>
  <c r="AL109" i="12" a="1"/>
  <c r="AL109" i="12" s="1"/>
  <c r="AK109" i="12"/>
  <c r="BK84" i="12"/>
  <c r="BK84" i="27" s="1"/>
  <c r="BK108" i="12"/>
  <c r="BK108" i="27" s="1"/>
  <c r="BO84" i="12"/>
  <c r="BO84" i="16" s="1"/>
  <c r="BO108" i="12"/>
  <c r="BM84" i="12"/>
  <c r="BM84" i="27" s="1"/>
  <c r="N84" i="29" s="1"/>
  <c r="BM108" i="12"/>
  <c r="BQ84" i="12"/>
  <c r="BQ84" i="16" s="1"/>
  <c r="BQ108" i="12"/>
  <c r="BR84" i="12"/>
  <c r="BR108" i="12"/>
  <c r="H109" i="22"/>
  <c r="AH109" i="22" s="1"/>
  <c r="BI109" i="12"/>
  <c r="BI109" i="31" s="1"/>
  <c r="BL84" i="12"/>
  <c r="BL195" i="12" s="1"/>
  <c r="BL108" i="12"/>
  <c r="BP84" i="12"/>
  <c r="BP108" i="12"/>
  <c r="AL108" i="22"/>
  <c r="AM108" i="22"/>
  <c r="AJ108" i="22"/>
  <c r="AK108" i="22"/>
  <c r="AN108" i="22" s="1"/>
  <c r="AO108" i="22" s="1"/>
  <c r="BS108" i="16" s="1"/>
  <c r="AI108" i="22"/>
  <c r="BC195" i="12"/>
  <c r="X111" i="24"/>
  <c r="AY111" i="24"/>
  <c r="AZ111" i="24"/>
  <c r="CP111" i="24" s="1"/>
  <c r="BA111" i="24"/>
  <c r="CX109" i="24"/>
  <c r="H85" i="22"/>
  <c r="AH85" i="22" s="1"/>
  <c r="BI85" i="12"/>
  <c r="BI85" i="31" s="1"/>
  <c r="BJ83" i="12"/>
  <c r="CV109" i="24"/>
  <c r="BG85" i="12"/>
  <c r="BG85" i="31" s="1"/>
  <c r="BB195" i="12"/>
  <c r="BE195" i="12"/>
  <c r="CS109" i="24"/>
  <c r="BD85" i="12"/>
  <c r="BD85" i="31" s="1"/>
  <c r="AK111" i="24"/>
  <c r="CD111" i="24" s="1"/>
  <c r="AL111" i="24"/>
  <c r="AM111" i="24"/>
  <c r="CW109" i="24"/>
  <c r="BH85" i="12"/>
  <c r="BH85" i="31" s="1"/>
  <c r="BG195" i="12"/>
  <c r="CQ109" i="24"/>
  <c r="BB85" i="12"/>
  <c r="BB85" i="31" s="1"/>
  <c r="BF195" i="12"/>
  <c r="BH195" i="12"/>
  <c r="CR109" i="24"/>
  <c r="BC85" i="12"/>
  <c r="BC85" i="31" s="1"/>
  <c r="BI195" i="12"/>
  <c r="CT109" i="24"/>
  <c r="CT143" i="24" s="1"/>
  <c r="BE85" i="12"/>
  <c r="BE85" i="31" s="1"/>
  <c r="BN84" i="12"/>
  <c r="BN84" i="27" s="1"/>
  <c r="AJ84" i="22"/>
  <c r="AK84" i="22"/>
  <c r="AN84" i="22" s="1"/>
  <c r="AO84" i="22" s="1"/>
  <c r="BS84" i="16" s="1"/>
  <c r="AI84" i="22"/>
  <c r="AM84" i="22"/>
  <c r="AL84" i="22"/>
  <c r="CU109" i="24"/>
  <c r="BF85" i="12"/>
  <c r="BF85" i="31" s="1"/>
  <c r="BD195" i="12"/>
  <c r="CX110" i="24"/>
  <c r="CW110" i="24"/>
  <c r="CT110" i="24"/>
  <c r="CU110" i="24"/>
  <c r="CV110" i="24"/>
  <c r="CS110" i="24"/>
  <c r="CR110" i="24"/>
  <c r="CQ110" i="24"/>
  <c r="X111" i="7"/>
  <c r="X111" i="12" s="1"/>
  <c r="R113" i="17"/>
  <c r="AE112" i="17"/>
  <c r="AD112" i="17"/>
  <c r="AC112" i="17"/>
  <c r="AB112" i="17"/>
  <c r="AA112" i="17"/>
  <c r="Z112" i="17"/>
  <c r="T112" i="17"/>
  <c r="S112" i="17"/>
  <c r="X112" i="15" s="1"/>
  <c r="X112" i="17"/>
  <c r="X112" i="14" s="1"/>
  <c r="W112" i="17"/>
  <c r="X112" i="19" s="1"/>
  <c r="V112" i="17"/>
  <c r="X112" i="3" s="1"/>
  <c r="U112" i="17"/>
  <c r="X112" i="7" s="1"/>
  <c r="X112" i="12" s="1"/>
  <c r="X111" i="31" l="1"/>
  <c r="X111" i="27"/>
  <c r="X111" i="16"/>
  <c r="X112" i="31"/>
  <c r="X112" i="27"/>
  <c r="X112" i="16"/>
  <c r="R83" i="29"/>
  <c r="BK84" i="16"/>
  <c r="BT83" i="16"/>
  <c r="BI85" i="16"/>
  <c r="BI85" i="27"/>
  <c r="K85" i="29"/>
  <c r="BM84" i="16"/>
  <c r="BR84" i="16"/>
  <c r="BR84" i="27"/>
  <c r="BD85" i="16"/>
  <c r="BD85" i="27"/>
  <c r="F85" i="29"/>
  <c r="BC85" i="16"/>
  <c r="E85" i="29"/>
  <c r="BC85" i="27"/>
  <c r="BH85" i="16"/>
  <c r="J85" i="29"/>
  <c r="BH85" i="27"/>
  <c r="BP84" i="16"/>
  <c r="BP84" i="27"/>
  <c r="BQ195" i="12"/>
  <c r="BQ84" i="27"/>
  <c r="BR195" i="12"/>
  <c r="BJ83" i="27"/>
  <c r="O84" i="29"/>
  <c r="BF85" i="16"/>
  <c r="H85" i="29"/>
  <c r="BF85" i="27"/>
  <c r="BB85" i="16"/>
  <c r="BB85" i="27"/>
  <c r="D85" i="29"/>
  <c r="BO195" i="12"/>
  <c r="BO84" i="27"/>
  <c r="BU83" i="16"/>
  <c r="BL84" i="16"/>
  <c r="BL84" i="27"/>
  <c r="M84" i="29" s="1"/>
  <c r="BG85" i="16"/>
  <c r="I85" i="29"/>
  <c r="BG85" i="27"/>
  <c r="BE85" i="16"/>
  <c r="BE85" i="27"/>
  <c r="G85" i="29"/>
  <c r="BK195" i="12"/>
  <c r="BM195" i="12"/>
  <c r="BL108" i="16"/>
  <c r="BL108" i="27"/>
  <c r="M108" i="29" s="1"/>
  <c r="BM108" i="16"/>
  <c r="BM108" i="27"/>
  <c r="N108" i="29" s="1"/>
  <c r="BI109" i="16"/>
  <c r="BT108" i="16" s="1"/>
  <c r="BI109" i="27"/>
  <c r="K109" i="29"/>
  <c r="BO108" i="16"/>
  <c r="BO108" i="27"/>
  <c r="P108" i="29" s="1"/>
  <c r="BR108" i="16"/>
  <c r="BR108" i="27"/>
  <c r="S108" i="29" s="1"/>
  <c r="O108" i="29"/>
  <c r="BP108" i="16"/>
  <c r="BP108" i="27"/>
  <c r="Q108" i="29" s="1"/>
  <c r="BQ108" i="16"/>
  <c r="BQ108" i="27"/>
  <c r="R108" i="29" s="1"/>
  <c r="AM110" i="12"/>
  <c r="AL110" i="12" a="1"/>
  <c r="AL110" i="12" s="1"/>
  <c r="AK110" i="12"/>
  <c r="BP195" i="12"/>
  <c r="BL85" i="12"/>
  <c r="BL109" i="12"/>
  <c r="BN85" i="12"/>
  <c r="BN109" i="12"/>
  <c r="BP85" i="12"/>
  <c r="BP109" i="12"/>
  <c r="BM85" i="12"/>
  <c r="BM109" i="12"/>
  <c r="BQ85" i="12"/>
  <c r="BQ109" i="12"/>
  <c r="AK109" i="22"/>
  <c r="AN109" i="22" s="1"/>
  <c r="AO109" i="22" s="1"/>
  <c r="BS109" i="16" s="1"/>
  <c r="AI109" i="22"/>
  <c r="AM109" i="22"/>
  <c r="AJ109" i="22"/>
  <c r="AL109" i="22"/>
  <c r="BO85" i="12"/>
  <c r="BO109" i="12"/>
  <c r="BK85" i="12"/>
  <c r="BK109" i="12"/>
  <c r="BK109" i="27" s="1"/>
  <c r="BR85" i="12"/>
  <c r="BR109" i="12"/>
  <c r="BK108" i="16"/>
  <c r="BJ108" i="12"/>
  <c r="AZ112" i="24"/>
  <c r="CP112" i="24" s="1"/>
  <c r="G112" i="22" s="1"/>
  <c r="AH112" i="22" s="1"/>
  <c r="BA112" i="24"/>
  <c r="AY112" i="24"/>
  <c r="BN84" i="16"/>
  <c r="BN195" i="12"/>
  <c r="AI85" i="22"/>
  <c r="AK85" i="22"/>
  <c r="AN85" i="22" s="1"/>
  <c r="AO85" i="22" s="1"/>
  <c r="BS85" i="16" s="1"/>
  <c r="AM85" i="22"/>
  <c r="AL85" i="22"/>
  <c r="AJ85" i="22"/>
  <c r="AK112" i="24"/>
  <c r="CD112" i="24" s="1"/>
  <c r="AL112" i="24"/>
  <c r="AM112" i="24"/>
  <c r="BJ84" i="12"/>
  <c r="CU111" i="24"/>
  <c r="BO110" i="12" s="1"/>
  <c r="BO110" i="27" s="1"/>
  <c r="CX111" i="24"/>
  <c r="BR110" i="12" s="1"/>
  <c r="BR110" i="27" s="1"/>
  <c r="CV111" i="24"/>
  <c r="BP110" i="12" s="1"/>
  <c r="BP110" i="27" s="1"/>
  <c r="CS111" i="24"/>
  <c r="BM110" i="12" s="1"/>
  <c r="BM110" i="27" s="1"/>
  <c r="CW111" i="24"/>
  <c r="BQ110" i="12" s="1"/>
  <c r="BQ110" i="27" s="1"/>
  <c r="CR111" i="24"/>
  <c r="BL110" i="12" s="1"/>
  <c r="BL110" i="27" s="1"/>
  <c r="CQ111" i="24"/>
  <c r="BK110" i="12" s="1"/>
  <c r="BK110" i="27" s="1"/>
  <c r="CT111" i="24"/>
  <c r="BN110" i="12" s="1"/>
  <c r="BN110" i="27" s="1"/>
  <c r="G110" i="22"/>
  <c r="AH110" i="22" s="1"/>
  <c r="X112" i="24"/>
  <c r="R114" i="17"/>
  <c r="AE113" i="17"/>
  <c r="AD113" i="17"/>
  <c r="AC113" i="17"/>
  <c r="AB113" i="17"/>
  <c r="AA113" i="17"/>
  <c r="Z113" i="17"/>
  <c r="V113" i="17"/>
  <c r="X113" i="3" s="1"/>
  <c r="U113" i="17"/>
  <c r="X113" i="7" s="1"/>
  <c r="T113" i="17"/>
  <c r="S113" i="17"/>
  <c r="X113" i="15" s="1"/>
  <c r="X113" i="17"/>
  <c r="X113" i="14" s="1"/>
  <c r="W113" i="17"/>
  <c r="X113" i="19" s="1"/>
  <c r="X113" i="12" l="1"/>
  <c r="R84" i="29"/>
  <c r="P84" i="29"/>
  <c r="S84" i="29"/>
  <c r="Q84" i="29"/>
  <c r="BU108" i="16"/>
  <c r="S110" i="29"/>
  <c r="Q110" i="29"/>
  <c r="O110" i="29"/>
  <c r="BJ110" i="27"/>
  <c r="P110" i="29"/>
  <c r="BJ108" i="16"/>
  <c r="M110" i="29"/>
  <c r="R110" i="29"/>
  <c r="N110" i="29"/>
  <c r="BT84" i="16"/>
  <c r="BJ84" i="16"/>
  <c r="BM85" i="16"/>
  <c r="BM85" i="27"/>
  <c r="N85" i="29" s="1"/>
  <c r="BJ84" i="27"/>
  <c r="BP85" i="16"/>
  <c r="BP85" i="27"/>
  <c r="BR85" i="16"/>
  <c r="BR85" i="27"/>
  <c r="BU84" i="16"/>
  <c r="BN85" i="16"/>
  <c r="BN85" i="27"/>
  <c r="BK85" i="16"/>
  <c r="BK85" i="27"/>
  <c r="BQ85" i="16"/>
  <c r="BQ85" i="27"/>
  <c r="BL85" i="16"/>
  <c r="BL85" i="27"/>
  <c r="M85" i="29" s="1"/>
  <c r="BO85" i="16"/>
  <c r="BO85" i="27"/>
  <c r="BP109" i="16"/>
  <c r="BP109" i="27"/>
  <c r="Q109" i="29" s="1"/>
  <c r="BJ108" i="27"/>
  <c r="BL109" i="16"/>
  <c r="BL109" i="27"/>
  <c r="M109" i="29" s="1"/>
  <c r="BQ109" i="16"/>
  <c r="BQ109" i="27"/>
  <c r="R109" i="29" s="1"/>
  <c r="BO109" i="16"/>
  <c r="BO109" i="27"/>
  <c r="P109" i="29" s="1"/>
  <c r="BR109" i="16"/>
  <c r="BR109" i="27"/>
  <c r="S109" i="29" s="1"/>
  <c r="BM109" i="16"/>
  <c r="BM109" i="27"/>
  <c r="N109" i="29" s="1"/>
  <c r="BN109" i="16"/>
  <c r="BN109" i="27"/>
  <c r="O109" i="29" s="1"/>
  <c r="BT109" i="16"/>
  <c r="BU109" i="16"/>
  <c r="BT85" i="16"/>
  <c r="BU85" i="16"/>
  <c r="BJ85" i="12"/>
  <c r="AI112" i="22"/>
  <c r="AL112" i="22"/>
  <c r="AK112" i="22"/>
  <c r="AN112" i="22" s="1"/>
  <c r="AO112" i="22" s="1"/>
  <c r="BS112" i="16" s="1"/>
  <c r="AM112" i="22"/>
  <c r="AJ112" i="22"/>
  <c r="BJ109" i="12"/>
  <c r="BK109" i="16"/>
  <c r="BN110" i="16"/>
  <c r="BJ110" i="12"/>
  <c r="BK110" i="16"/>
  <c r="CS112" i="24"/>
  <c r="CX112" i="24"/>
  <c r="CW112" i="24"/>
  <c r="CT112" i="24"/>
  <c r="CU112" i="24"/>
  <c r="CV112" i="24"/>
  <c r="CR112" i="24"/>
  <c r="CQ112" i="24"/>
  <c r="AZ113" i="24"/>
  <c r="CP113" i="24" s="1"/>
  <c r="G113" i="22" s="1"/>
  <c r="AH113" i="22" s="1"/>
  <c r="BA113" i="24"/>
  <c r="AY113" i="24"/>
  <c r="BL110" i="16"/>
  <c r="BQ110" i="16"/>
  <c r="AK113" i="24"/>
  <c r="CD113" i="24" s="1"/>
  <c r="AL113" i="24"/>
  <c r="AM113" i="24"/>
  <c r="BP110" i="16"/>
  <c r="BM110" i="16"/>
  <c r="BR110" i="16"/>
  <c r="AK110" i="22"/>
  <c r="AJ110" i="22"/>
  <c r="AI110" i="22"/>
  <c r="AM110" i="22"/>
  <c r="AL110" i="22"/>
  <c r="BO110" i="16"/>
  <c r="X113" i="24"/>
  <c r="R115" i="17"/>
  <c r="AA114" i="17"/>
  <c r="Z114" i="17"/>
  <c r="AE114" i="17"/>
  <c r="AD114" i="17"/>
  <c r="AC114" i="17"/>
  <c r="AB114" i="17"/>
  <c r="X114" i="17"/>
  <c r="X114" i="14" s="1"/>
  <c r="W114" i="17"/>
  <c r="X114" i="19" s="1"/>
  <c r="V114" i="17"/>
  <c r="X114" i="3" s="1"/>
  <c r="U114" i="17"/>
  <c r="X114" i="7" s="1"/>
  <c r="X114" i="12" s="1"/>
  <c r="T114" i="17"/>
  <c r="S114" i="17"/>
  <c r="X114" i="15" s="1"/>
  <c r="X114" i="16" l="1"/>
  <c r="X114" i="31"/>
  <c r="X114" i="27"/>
  <c r="X113" i="31"/>
  <c r="X113" i="27"/>
  <c r="X113" i="16"/>
  <c r="P85" i="29"/>
  <c r="R85" i="29"/>
  <c r="Q85" i="29"/>
  <c r="BJ109" i="16"/>
  <c r="BJ85" i="16"/>
  <c r="S85" i="29"/>
  <c r="O85" i="29"/>
  <c r="BJ85" i="27"/>
  <c r="BJ109" i="27"/>
  <c r="BT112" i="16"/>
  <c r="BU112" i="16"/>
  <c r="BJ110" i="16"/>
  <c r="AL112" i="12" a="1"/>
  <c r="AL112" i="12" s="1"/>
  <c r="AM112" i="12"/>
  <c r="AK112" i="12"/>
  <c r="BP112" i="12"/>
  <c r="BO112" i="12"/>
  <c r="BN112" i="12"/>
  <c r="BQ112" i="12"/>
  <c r="AK113" i="22"/>
  <c r="AN113" i="22" s="1"/>
  <c r="AO113" i="22" s="1"/>
  <c r="BS113" i="16" s="1"/>
  <c r="AI113" i="22"/>
  <c r="AM113" i="22"/>
  <c r="AL113" i="22"/>
  <c r="AJ113" i="22"/>
  <c r="BR112" i="12"/>
  <c r="BM112" i="12"/>
  <c r="BK112" i="12"/>
  <c r="BK112" i="27" s="1"/>
  <c r="BL112" i="12"/>
  <c r="AN110" i="22"/>
  <c r="CU113" i="24"/>
  <c r="BO113" i="12" s="1"/>
  <c r="CR113" i="24"/>
  <c r="BL113" i="12" s="1"/>
  <c r="CQ113" i="24"/>
  <c r="BK113" i="12" s="1"/>
  <c r="BK113" i="27" s="1"/>
  <c r="CT113" i="24"/>
  <c r="BN113" i="12" s="1"/>
  <c r="CV113" i="24"/>
  <c r="BP113" i="12" s="1"/>
  <c r="CW113" i="24"/>
  <c r="BQ113" i="12" s="1"/>
  <c r="CX113" i="24"/>
  <c r="BR113" i="12" s="1"/>
  <c r="CS113" i="24"/>
  <c r="BM113" i="12" s="1"/>
  <c r="BA114" i="24"/>
  <c r="AY114" i="24"/>
  <c r="AZ114" i="24"/>
  <c r="CP114" i="24" s="1"/>
  <c r="G114" i="22" s="1"/>
  <c r="AH114" i="22" s="1"/>
  <c r="AK114" i="24"/>
  <c r="CD114" i="24" s="1"/>
  <c r="AL114" i="24"/>
  <c r="AM114" i="24"/>
  <c r="X114" i="24"/>
  <c r="R116" i="17"/>
  <c r="AC115" i="17"/>
  <c r="AB115" i="17"/>
  <c r="AA115" i="17"/>
  <c r="Z115" i="17"/>
  <c r="AE115" i="17"/>
  <c r="AD115" i="17"/>
  <c r="X115" i="17"/>
  <c r="X115" i="14" s="1"/>
  <c r="W115" i="17"/>
  <c r="X115" i="19" s="1"/>
  <c r="V115" i="17"/>
  <c r="X115" i="3" s="1"/>
  <c r="U115" i="17"/>
  <c r="X115" i="7" s="1"/>
  <c r="X115" i="12" s="1"/>
  <c r="T115" i="17"/>
  <c r="S115" i="17"/>
  <c r="X115" i="15" s="1"/>
  <c r="X115" i="16" l="1"/>
  <c r="X115" i="31"/>
  <c r="X115" i="27"/>
  <c r="BP113" i="16"/>
  <c r="BP113" i="27"/>
  <c r="Q113" i="29" s="1"/>
  <c r="BM112" i="16"/>
  <c r="BM112" i="27"/>
  <c r="N112" i="29" s="1"/>
  <c r="BN112" i="16"/>
  <c r="BN112" i="27"/>
  <c r="BR112" i="16"/>
  <c r="BR112" i="27"/>
  <c r="S112" i="29" s="1"/>
  <c r="BP112" i="16"/>
  <c r="BP112" i="27"/>
  <c r="Q112" i="29" s="1"/>
  <c r="BO112" i="16"/>
  <c r="BO112" i="27"/>
  <c r="P112" i="29" s="1"/>
  <c r="BL113" i="16"/>
  <c r="BL113" i="27"/>
  <c r="M113" i="29" s="1"/>
  <c r="BO113" i="16"/>
  <c r="BO113" i="27"/>
  <c r="P113" i="29" s="1"/>
  <c r="BQ112" i="16"/>
  <c r="BQ112" i="27"/>
  <c r="R112" i="29" s="1"/>
  <c r="BN113" i="16"/>
  <c r="BN113" i="27"/>
  <c r="BM113" i="16"/>
  <c r="BM113" i="27"/>
  <c r="N113" i="29" s="1"/>
  <c r="BQ113" i="16"/>
  <c r="BQ113" i="27"/>
  <c r="R113" i="29" s="1"/>
  <c r="BR113" i="16"/>
  <c r="BR113" i="27"/>
  <c r="S113" i="29" s="1"/>
  <c r="BL112" i="16"/>
  <c r="BL112" i="27"/>
  <c r="M112" i="29" s="1"/>
  <c r="V73" i="29"/>
  <c r="BT113" i="16"/>
  <c r="BU113" i="16"/>
  <c r="AM113" i="12"/>
  <c r="AL113" i="12" a="1"/>
  <c r="AL113" i="12" s="1"/>
  <c r="AK113" i="12"/>
  <c r="BK112" i="16"/>
  <c r="BJ112" i="12"/>
  <c r="AL114" i="22"/>
  <c r="AJ114" i="22"/>
  <c r="AK114" i="22"/>
  <c r="AN114" i="22" s="1"/>
  <c r="AO114" i="22" s="1"/>
  <c r="BS114" i="16" s="1"/>
  <c r="AM114" i="22"/>
  <c r="AI114" i="22"/>
  <c r="BK113" i="16"/>
  <c r="BJ113" i="12"/>
  <c r="CW114" i="24"/>
  <c r="CV114" i="24"/>
  <c r="CR114" i="24"/>
  <c r="CQ114" i="24"/>
  <c r="CX114" i="24"/>
  <c r="CT114" i="24"/>
  <c r="CS114" i="24"/>
  <c r="CU114" i="24"/>
  <c r="CQ143" i="24"/>
  <c r="CR143" i="24"/>
  <c r="AK115" i="24"/>
  <c r="CD115" i="24" s="1"/>
  <c r="AL115" i="24"/>
  <c r="AM115" i="24"/>
  <c r="CU143" i="24"/>
  <c r="CS143" i="24"/>
  <c r="CX143" i="24"/>
  <c r="AO110" i="22"/>
  <c r="BS110" i="16" s="1"/>
  <c r="CW143" i="24"/>
  <c r="CV143" i="24"/>
  <c r="BA115" i="24"/>
  <c r="AY115" i="24"/>
  <c r="AZ115" i="24"/>
  <c r="CP115" i="24" s="1"/>
  <c r="G115" i="22" s="1"/>
  <c r="AH115" i="22" s="1"/>
  <c r="X115" i="24"/>
  <c r="R117" i="17"/>
  <c r="AE116" i="17"/>
  <c r="AD116" i="17"/>
  <c r="AC116" i="17"/>
  <c r="AB116" i="17"/>
  <c r="AA116" i="17"/>
  <c r="Z116" i="17"/>
  <c r="T116" i="17"/>
  <c r="S116" i="17"/>
  <c r="X116" i="15" s="1"/>
  <c r="X116" i="17"/>
  <c r="X116" i="14" s="1"/>
  <c r="W116" i="17"/>
  <c r="V116" i="17"/>
  <c r="X116" i="3" s="1"/>
  <c r="U116" i="17"/>
  <c r="X116" i="7" s="1"/>
  <c r="X116" i="12" l="1"/>
  <c r="BJ112" i="16"/>
  <c r="BJ113" i="16"/>
  <c r="O112" i="29"/>
  <c r="BJ112" i="27"/>
  <c r="O113" i="29"/>
  <c r="BJ113" i="27"/>
  <c r="BT114" i="16"/>
  <c r="BU114" i="16"/>
  <c r="BT110" i="16"/>
  <c r="BU110" i="16"/>
  <c r="AL114" i="12" a="1"/>
  <c r="AL114" i="12" s="1"/>
  <c r="AM114" i="12"/>
  <c r="AK114" i="12"/>
  <c r="AL111" i="12" a="1"/>
  <c r="AL111" i="12" s="1"/>
  <c r="AM111" i="12"/>
  <c r="AK111" i="12"/>
  <c r="BM114" i="12"/>
  <c r="BN114" i="12"/>
  <c r="BR114" i="12"/>
  <c r="BK114" i="12"/>
  <c r="BK114" i="27" s="1"/>
  <c r="BL114" i="12"/>
  <c r="BP114" i="12"/>
  <c r="BQ114" i="12"/>
  <c r="BO114" i="12"/>
  <c r="CQ115" i="24"/>
  <c r="BK111" i="12" s="1"/>
  <c r="BK111" i="27" s="1"/>
  <c r="CV115" i="24"/>
  <c r="BP111" i="12" s="1"/>
  <c r="BP111" i="27" s="1"/>
  <c r="CX115" i="24"/>
  <c r="BR111" i="12" s="1"/>
  <c r="BR111" i="27" s="1"/>
  <c r="CT115" i="24"/>
  <c r="BN111" i="12" s="1"/>
  <c r="BN111" i="27" s="1"/>
  <c r="CR115" i="24"/>
  <c r="BL111" i="12" s="1"/>
  <c r="BL111" i="27" s="1"/>
  <c r="CU115" i="24"/>
  <c r="BO111" i="12" s="1"/>
  <c r="BO111" i="27" s="1"/>
  <c r="CS115" i="24"/>
  <c r="BM111" i="12" s="1"/>
  <c r="BM111" i="27" s="1"/>
  <c r="CW115" i="24"/>
  <c r="BQ111" i="12" s="1"/>
  <c r="BQ111" i="27" s="1"/>
  <c r="G111" i="22"/>
  <c r="AH111" i="22" s="1"/>
  <c r="BA116" i="24"/>
  <c r="AY116" i="24"/>
  <c r="AZ116" i="24"/>
  <c r="CP116" i="24" s="1"/>
  <c r="G116" i="22" s="1"/>
  <c r="AH116" i="22" s="1"/>
  <c r="AK116" i="24"/>
  <c r="CD116" i="24" s="1"/>
  <c r="AL116" i="24"/>
  <c r="AM116" i="24"/>
  <c r="AL115" i="22"/>
  <c r="AJ115" i="22"/>
  <c r="AK115" i="22"/>
  <c r="AN115" i="22" s="1"/>
  <c r="AO115" i="22" s="1"/>
  <c r="BS115" i="16" s="1"/>
  <c r="AI115" i="22"/>
  <c r="AM115" i="22"/>
  <c r="X116" i="24"/>
  <c r="X116" i="19"/>
  <c r="R118" i="17"/>
  <c r="AE117" i="17"/>
  <c r="AD117" i="17"/>
  <c r="AC117" i="17"/>
  <c r="AB117" i="17"/>
  <c r="AA117" i="17"/>
  <c r="Z117" i="17"/>
  <c r="V117" i="17"/>
  <c r="X117" i="3" s="1"/>
  <c r="U117" i="17"/>
  <c r="X117" i="7" s="1"/>
  <c r="X117" i="12" s="1"/>
  <c r="T117" i="17"/>
  <c r="S117" i="17"/>
  <c r="X117" i="15" s="1"/>
  <c r="X117" i="17"/>
  <c r="X117" i="14" s="1"/>
  <c r="W117" i="17"/>
  <c r="X117" i="19" s="1"/>
  <c r="X116" i="16" l="1"/>
  <c r="X116" i="31"/>
  <c r="X116" i="27"/>
  <c r="X117" i="27"/>
  <c r="X117" i="16"/>
  <c r="X117" i="31"/>
  <c r="N111" i="29"/>
  <c r="BM114" i="16"/>
  <c r="BM114" i="27"/>
  <c r="N114" i="29" s="1"/>
  <c r="BO114" i="16"/>
  <c r="BO114" i="27"/>
  <c r="P114" i="29" s="1"/>
  <c r="R111" i="29"/>
  <c r="BN114" i="16"/>
  <c r="BN114" i="27"/>
  <c r="P111" i="29"/>
  <c r="M111" i="29"/>
  <c r="BQ114" i="16"/>
  <c r="BQ114" i="27"/>
  <c r="R114" i="29" s="1"/>
  <c r="O111" i="29"/>
  <c r="BJ111" i="27"/>
  <c r="BP114" i="16"/>
  <c r="BP114" i="27"/>
  <c r="Q114" i="29" s="1"/>
  <c r="S111" i="29"/>
  <c r="BL114" i="16"/>
  <c r="BL114" i="27"/>
  <c r="M114" i="29" s="1"/>
  <c r="Q111" i="29"/>
  <c r="BR114" i="16"/>
  <c r="BR114" i="27"/>
  <c r="S114" i="29" s="1"/>
  <c r="BT115" i="16"/>
  <c r="BU115" i="16"/>
  <c r="AM115" i="12"/>
  <c r="AL115" i="12" a="1"/>
  <c r="AL115" i="12" s="1"/>
  <c r="AK115" i="12"/>
  <c r="AM86" i="12"/>
  <c r="AL86" i="12" a="1"/>
  <c r="AL86" i="12" s="1"/>
  <c r="AK86" i="12"/>
  <c r="BR115" i="12"/>
  <c r="BK114" i="16"/>
  <c r="BJ114" i="12"/>
  <c r="BO115" i="12"/>
  <c r="BK115" i="12"/>
  <c r="BK115" i="27" s="1"/>
  <c r="BQ115" i="12"/>
  <c r="BP115" i="12"/>
  <c r="BN115" i="12"/>
  <c r="AL116" i="22"/>
  <c r="AK116" i="22"/>
  <c r="AN116" i="22" s="1"/>
  <c r="AO116" i="22" s="1"/>
  <c r="BS116" i="16" s="1"/>
  <c r="AI116" i="22"/>
  <c r="AJ116" i="22"/>
  <c r="AM116" i="22"/>
  <c r="BL115" i="12"/>
  <c r="BM115" i="12"/>
  <c r="AK117" i="24"/>
  <c r="CD117" i="24" s="1"/>
  <c r="AL117" i="24"/>
  <c r="AM117" i="24"/>
  <c r="BL111" i="16"/>
  <c r="BN111" i="16"/>
  <c r="BR111" i="16"/>
  <c r="BP111" i="16"/>
  <c r="AY117" i="24"/>
  <c r="AZ117" i="24"/>
  <c r="CP117" i="24" s="1"/>
  <c r="G117" i="22" s="1"/>
  <c r="AH117" i="22" s="1"/>
  <c r="BA117" i="24"/>
  <c r="AL111" i="22"/>
  <c r="AM111" i="22"/>
  <c r="AJ111" i="22"/>
  <c r="AK111" i="22"/>
  <c r="AI111" i="22"/>
  <c r="BK111" i="16"/>
  <c r="BJ111" i="12"/>
  <c r="BQ111" i="16"/>
  <c r="BM111" i="16"/>
  <c r="CQ116" i="24"/>
  <c r="BK116" i="12" s="1"/>
  <c r="BK116" i="27" s="1"/>
  <c r="CT116" i="24"/>
  <c r="BN116" i="12" s="1"/>
  <c r="CU116" i="24"/>
  <c r="BO116" i="12" s="1"/>
  <c r="CS116" i="24"/>
  <c r="BM116" i="12" s="1"/>
  <c r="CV116" i="24"/>
  <c r="BP116" i="12" s="1"/>
  <c r="CR116" i="24"/>
  <c r="BL116" i="12" s="1"/>
  <c r="CX116" i="24"/>
  <c r="BR116" i="12" s="1"/>
  <c r="CW116" i="24"/>
  <c r="BQ116" i="12" s="1"/>
  <c r="G86" i="22"/>
  <c r="AH86" i="22" s="1"/>
  <c r="BO111" i="16"/>
  <c r="X117" i="24"/>
  <c r="M144" i="24"/>
  <c r="R119" i="17"/>
  <c r="AA118" i="17"/>
  <c r="Z118" i="17"/>
  <c r="AE118" i="17"/>
  <c r="AD118" i="17"/>
  <c r="AC118" i="17"/>
  <c r="AB118" i="17"/>
  <c r="X118" i="17"/>
  <c r="X118" i="14" s="1"/>
  <c r="W118" i="17"/>
  <c r="X118" i="19" s="1"/>
  <c r="V118" i="17"/>
  <c r="X118" i="3" s="1"/>
  <c r="U118" i="17"/>
  <c r="X118" i="7" s="1"/>
  <c r="X118" i="12" s="1"/>
  <c r="T118" i="17"/>
  <c r="S118" i="17"/>
  <c r="X118" i="15" s="1"/>
  <c r="X118" i="31" l="1"/>
  <c r="X118" i="27"/>
  <c r="X118" i="16"/>
  <c r="BJ114" i="16"/>
  <c r="BN116" i="16"/>
  <c r="BN116" i="27"/>
  <c r="BN115" i="16"/>
  <c r="BN115" i="27"/>
  <c r="BQ116" i="16"/>
  <c r="BQ116" i="27"/>
  <c r="R116" i="29" s="1"/>
  <c r="BM115" i="16"/>
  <c r="BM115" i="27"/>
  <c r="BP115" i="16"/>
  <c r="BP115" i="27"/>
  <c r="BR116" i="16"/>
  <c r="BR116" i="27"/>
  <c r="S116" i="29" s="1"/>
  <c r="BL115" i="16"/>
  <c r="BL115" i="27"/>
  <c r="BQ115" i="16"/>
  <c r="BQ115" i="27"/>
  <c r="BL116" i="16"/>
  <c r="BL116" i="27"/>
  <c r="M116" i="29" s="1"/>
  <c r="BO115" i="16"/>
  <c r="BO115" i="27"/>
  <c r="BR115" i="16"/>
  <c r="BR115" i="27"/>
  <c r="S115" i="29" s="1"/>
  <c r="BP116" i="16"/>
  <c r="BP116" i="27"/>
  <c r="Q116" i="29" s="1"/>
  <c r="BM116" i="16"/>
  <c r="BM116" i="27"/>
  <c r="N116" i="29" s="1"/>
  <c r="O114" i="29"/>
  <c r="BJ114" i="27"/>
  <c r="BO116" i="16"/>
  <c r="BO116" i="27"/>
  <c r="P116" i="29" s="1"/>
  <c r="BT116" i="16"/>
  <c r="BU116" i="16"/>
  <c r="BJ111" i="16"/>
  <c r="AL116" i="12" a="1"/>
  <c r="AL116" i="12" s="1"/>
  <c r="AM116" i="12"/>
  <c r="AK116" i="12"/>
  <c r="AM87" i="12"/>
  <c r="AL87" i="12" a="1"/>
  <c r="AL87" i="12" s="1"/>
  <c r="AK87" i="12"/>
  <c r="BJ116" i="12"/>
  <c r="BK116" i="16"/>
  <c r="BJ115" i="12"/>
  <c r="BK115" i="16"/>
  <c r="AK117" i="22"/>
  <c r="AN117" i="22" s="1"/>
  <c r="AO117" i="22" s="1"/>
  <c r="BS117" i="16" s="1"/>
  <c r="AL117" i="22"/>
  <c r="AM117" i="22"/>
  <c r="AJ117" i="22"/>
  <c r="AI117" i="22"/>
  <c r="BN86" i="12"/>
  <c r="BN86" i="27" s="1"/>
  <c r="CW117" i="24"/>
  <c r="CX117" i="24"/>
  <c r="CQ117" i="24"/>
  <c r="CS117" i="24"/>
  <c r="CV117" i="24"/>
  <c r="CU117" i="24"/>
  <c r="CR117" i="24"/>
  <c r="CT117" i="24"/>
  <c r="G87" i="22"/>
  <c r="AH87" i="22" s="1"/>
  <c r="AY118" i="24"/>
  <c r="AZ118" i="24"/>
  <c r="CP118" i="24" s="1"/>
  <c r="G118" i="22" s="1"/>
  <c r="AH118" i="22" s="1"/>
  <c r="BA118" i="24"/>
  <c r="AK118" i="24"/>
  <c r="CD118" i="24" s="1"/>
  <c r="AL118" i="24"/>
  <c r="AM118" i="24"/>
  <c r="AK86" i="22"/>
  <c r="AJ86" i="22"/>
  <c r="AI86" i="22"/>
  <c r="AM86" i="22"/>
  <c r="AL86" i="22"/>
  <c r="BK86" i="12"/>
  <c r="BK86" i="27" s="1"/>
  <c r="BQ86" i="12"/>
  <c r="BQ86" i="27" s="1"/>
  <c r="BR86" i="12"/>
  <c r="BR86" i="27" s="1"/>
  <c r="BP86" i="12"/>
  <c r="BP86" i="27" s="1"/>
  <c r="BO86" i="12"/>
  <c r="BO86" i="27" s="1"/>
  <c r="BL86" i="12"/>
  <c r="BL86" i="27" s="1"/>
  <c r="M86" i="29" s="1"/>
  <c r="BM86" i="12"/>
  <c r="BM86" i="27" s="1"/>
  <c r="N86" i="29" s="1"/>
  <c r="AN111" i="22"/>
  <c r="X118" i="24"/>
  <c r="X144" i="7"/>
  <c r="M144" i="15"/>
  <c r="R120" i="17"/>
  <c r="AC119" i="17"/>
  <c r="AB119" i="17"/>
  <c r="AA119" i="17"/>
  <c r="Z119" i="17"/>
  <c r="AE119" i="17"/>
  <c r="AD119" i="17"/>
  <c r="X119" i="17"/>
  <c r="X119" i="14" s="1"/>
  <c r="W119" i="17"/>
  <c r="X119" i="19" s="1"/>
  <c r="V119" i="17"/>
  <c r="X119" i="3" s="1"/>
  <c r="U119" i="17"/>
  <c r="X119" i="7" s="1"/>
  <c r="X119" i="12" s="1"/>
  <c r="T119" i="17"/>
  <c r="S119" i="17"/>
  <c r="X119" i="15" s="1"/>
  <c r="X119" i="31" l="1"/>
  <c r="X119" i="27"/>
  <c r="X119" i="16"/>
  <c r="Q86" i="29"/>
  <c r="P86" i="29"/>
  <c r="R86" i="29"/>
  <c r="S86" i="29"/>
  <c r="BJ116" i="16"/>
  <c r="BJ115" i="16"/>
  <c r="Q115" i="29"/>
  <c r="O115" i="29"/>
  <c r="BJ115" i="27"/>
  <c r="R115" i="29"/>
  <c r="N115" i="29"/>
  <c r="O116" i="29"/>
  <c r="BJ116" i="27"/>
  <c r="M115" i="29"/>
  <c r="P115" i="29"/>
  <c r="O86" i="29"/>
  <c r="BJ86" i="27"/>
  <c r="BT117" i="16"/>
  <c r="BU117" i="16"/>
  <c r="AL88" i="12" a="1"/>
  <c r="AL88" i="12" s="1"/>
  <c r="AM88" i="12"/>
  <c r="AK88" i="12"/>
  <c r="AM117" i="12"/>
  <c r="AL117" i="12" a="1"/>
  <c r="AL117" i="12" s="1"/>
  <c r="AK117" i="12"/>
  <c r="BO87" i="12"/>
  <c r="BO117" i="12"/>
  <c r="BO117" i="27" s="1"/>
  <c r="P117" i="29" s="1"/>
  <c r="BP87" i="12"/>
  <c r="BP117" i="12"/>
  <c r="BP117" i="27" s="1"/>
  <c r="Q117" i="29" s="1"/>
  <c r="BM87" i="12"/>
  <c r="BM117" i="12"/>
  <c r="BM117" i="27" s="1"/>
  <c r="N117" i="29" s="1"/>
  <c r="AJ118" i="22"/>
  <c r="AJ146" i="22" s="1"/>
  <c r="AK118" i="22"/>
  <c r="AL118" i="22"/>
  <c r="AL146" i="22" s="1"/>
  <c r="AI118" i="22"/>
  <c r="AM118" i="22"/>
  <c r="AM146" i="22" s="1"/>
  <c r="AH146" i="22"/>
  <c r="BK87" i="12"/>
  <c r="BK87" i="27" s="1"/>
  <c r="BK117" i="12"/>
  <c r="BK117" i="27" s="1"/>
  <c r="BR87" i="12"/>
  <c r="BR117" i="12"/>
  <c r="BR117" i="27" s="1"/>
  <c r="S117" i="29" s="1"/>
  <c r="BQ87" i="12"/>
  <c r="BQ117" i="12"/>
  <c r="BQ117" i="27" s="1"/>
  <c r="R117" i="29" s="1"/>
  <c r="BN87" i="12"/>
  <c r="BN117" i="12"/>
  <c r="BN117" i="27" s="1"/>
  <c r="BL87" i="12"/>
  <c r="BL117" i="12"/>
  <c r="BL117" i="27" s="1"/>
  <c r="M117" i="29" s="1"/>
  <c r="BR86" i="16"/>
  <c r="AO111" i="22"/>
  <c r="BS111" i="16" s="1"/>
  <c r="BM86" i="16"/>
  <c r="BO86" i="16"/>
  <c r="CW118" i="24"/>
  <c r="BQ118" i="12" s="1"/>
  <c r="CT118" i="24"/>
  <c r="CT144" i="24" s="1"/>
  <c r="CU118" i="24"/>
  <c r="BO118" i="12" s="1"/>
  <c r="CV118" i="24"/>
  <c r="BP118" i="12" s="1"/>
  <c r="CR118" i="24"/>
  <c r="BL118" i="12" s="1"/>
  <c r="CS118" i="24"/>
  <c r="BM118" i="12" s="1"/>
  <c r="CQ118" i="24"/>
  <c r="BK118" i="12" s="1"/>
  <c r="BK118" i="27" s="1"/>
  <c r="CX118" i="24"/>
  <c r="BR118" i="12" s="1"/>
  <c r="G88" i="22"/>
  <c r="AH88" i="22" s="1"/>
  <c r="AN86" i="22"/>
  <c r="AY119" i="24"/>
  <c r="AZ119" i="24"/>
  <c r="CP119" i="24" s="1"/>
  <c r="BA119" i="24"/>
  <c r="AK119" i="24"/>
  <c r="CD119" i="24" s="1"/>
  <c r="AL119" i="24"/>
  <c r="AM119" i="24"/>
  <c r="BK86" i="16"/>
  <c r="BJ86" i="12"/>
  <c r="AJ87" i="22"/>
  <c r="AM87" i="22"/>
  <c r="AI87" i="22"/>
  <c r="AL87" i="22"/>
  <c r="AK87" i="22"/>
  <c r="AN87" i="22" s="1"/>
  <c r="AO87" i="22" s="1"/>
  <c r="BS87" i="16" s="1"/>
  <c r="BL86" i="16"/>
  <c r="BP86" i="16"/>
  <c r="BN86" i="16"/>
  <c r="BQ86" i="16"/>
  <c r="X119" i="24"/>
  <c r="R121" i="17"/>
  <c r="AE120" i="17"/>
  <c r="AD120" i="17"/>
  <c r="AC120" i="17"/>
  <c r="AB120" i="17"/>
  <c r="AA120" i="17"/>
  <c r="Z120" i="17"/>
  <c r="T120" i="17"/>
  <c r="S120" i="17"/>
  <c r="X120" i="15" s="1"/>
  <c r="X120" i="17"/>
  <c r="X120" i="14" s="1"/>
  <c r="W120" i="17"/>
  <c r="X120" i="19" s="1"/>
  <c r="V120" i="17"/>
  <c r="X120" i="3" s="1"/>
  <c r="U120" i="17"/>
  <c r="X120" i="7" s="1"/>
  <c r="X120" i="12" s="1"/>
  <c r="X120" i="31" l="1"/>
  <c r="X120" i="27"/>
  <c r="X120" i="16"/>
  <c r="BM118" i="16"/>
  <c r="BM118" i="27"/>
  <c r="N118" i="29" s="1"/>
  <c r="N144" i="29" s="1"/>
  <c r="BL118" i="16"/>
  <c r="BL118" i="27"/>
  <c r="M118" i="29" s="1"/>
  <c r="M144" i="29" s="1"/>
  <c r="BP118" i="16"/>
  <c r="BP118" i="27"/>
  <c r="Q118" i="29" s="1"/>
  <c r="Q144" i="29" s="1"/>
  <c r="BO118" i="16"/>
  <c r="BO118" i="27"/>
  <c r="P118" i="29" s="1"/>
  <c r="P144" i="29" s="1"/>
  <c r="BQ118" i="16"/>
  <c r="BQ118" i="27"/>
  <c r="R118" i="29" s="1"/>
  <c r="R144" i="29" s="1"/>
  <c r="BR118" i="16"/>
  <c r="BR118" i="27"/>
  <c r="S118" i="29" s="1"/>
  <c r="O117" i="29"/>
  <c r="BJ117" i="27"/>
  <c r="BK87" i="16"/>
  <c r="BM87" i="16"/>
  <c r="BM87" i="27"/>
  <c r="N87" i="29" s="1"/>
  <c r="BP87" i="16"/>
  <c r="BP87" i="27"/>
  <c r="BO87" i="16"/>
  <c r="BO87" i="27"/>
  <c r="BN87" i="16"/>
  <c r="BN87" i="27"/>
  <c r="BQ87" i="16"/>
  <c r="BQ87" i="27"/>
  <c r="BR87" i="16"/>
  <c r="BR87" i="27"/>
  <c r="BL87" i="16"/>
  <c r="BL87" i="27"/>
  <c r="M87" i="29" s="1"/>
  <c r="BT87" i="16"/>
  <c r="BU87" i="16"/>
  <c r="BT111" i="16"/>
  <c r="BU111" i="16"/>
  <c r="BJ86" i="16"/>
  <c r="AL89" i="12" a="1"/>
  <c r="AL89" i="12" s="1"/>
  <c r="AM89" i="12"/>
  <c r="AK89" i="12"/>
  <c r="AL118" i="12" a="1"/>
  <c r="AL118" i="12" s="1"/>
  <c r="AM118" i="12"/>
  <c r="AK118" i="12"/>
  <c r="BJ87" i="12"/>
  <c r="BK118" i="16"/>
  <c r="BN117" i="16"/>
  <c r="G89" i="22"/>
  <c r="G119" i="22"/>
  <c r="BP117" i="16"/>
  <c r="BP144" i="12"/>
  <c r="BQ117" i="16"/>
  <c r="BQ144" i="12"/>
  <c r="BO117" i="16"/>
  <c r="BO144" i="12"/>
  <c r="BN88" i="12"/>
  <c r="BN118" i="12"/>
  <c r="BR117" i="16"/>
  <c r="BR144" i="12"/>
  <c r="AN118" i="22"/>
  <c r="AK146" i="22"/>
  <c r="BL117" i="16"/>
  <c r="BL144" i="12"/>
  <c r="BK117" i="16"/>
  <c r="BJ117" i="12"/>
  <c r="BK144" i="12"/>
  <c r="BM117" i="16"/>
  <c r="BM144" i="16" s="1"/>
  <c r="BM144" i="12"/>
  <c r="AZ120" i="24"/>
  <c r="CP120" i="24" s="1"/>
  <c r="BA120" i="24"/>
  <c r="AY120" i="24"/>
  <c r="AK120" i="24"/>
  <c r="CD120" i="24" s="1"/>
  <c r="AL120" i="24"/>
  <c r="AM120" i="24"/>
  <c r="AO86" i="22"/>
  <c r="BS86" i="16" s="1"/>
  <c r="BP88" i="12"/>
  <c r="BP88" i="27" s="1"/>
  <c r="CV144" i="24"/>
  <c r="BO88" i="12"/>
  <c r="BO88" i="27" s="1"/>
  <c r="CU144" i="24"/>
  <c r="CH119" i="24"/>
  <c r="BE119" i="12" s="1"/>
  <c r="BE119" i="31" s="1"/>
  <c r="CG119" i="24"/>
  <c r="BD119" i="12" s="1"/>
  <c r="BD119" i="31" s="1"/>
  <c r="CF119" i="24"/>
  <c r="BC119" i="12" s="1"/>
  <c r="BC119" i="31" s="1"/>
  <c r="CE119" i="24"/>
  <c r="BB119" i="12" s="1"/>
  <c r="BB119" i="31" s="1"/>
  <c r="CI119" i="24"/>
  <c r="BF119" i="12" s="1"/>
  <c r="BF119" i="31" s="1"/>
  <c r="CJ119" i="24"/>
  <c r="BG119" i="12" s="1"/>
  <c r="BG119" i="31" s="1"/>
  <c r="CL119" i="24"/>
  <c r="CK119" i="24"/>
  <c r="BH119" i="12" s="1"/>
  <c r="BH119" i="31" s="1"/>
  <c r="AL88" i="22"/>
  <c r="AJ88" i="22"/>
  <c r="AK88" i="22"/>
  <c r="AN88" i="22" s="1"/>
  <c r="AO88" i="22" s="1"/>
  <c r="BS88" i="16" s="1"/>
  <c r="AM88" i="22"/>
  <c r="AI88" i="22"/>
  <c r="BQ88" i="12"/>
  <c r="BQ88" i="27" s="1"/>
  <c r="CW144" i="24"/>
  <c r="BR88" i="12"/>
  <c r="BR88" i="27" s="1"/>
  <c r="CX144" i="24"/>
  <c r="BK88" i="12"/>
  <c r="BK88" i="27" s="1"/>
  <c r="CQ144" i="24"/>
  <c r="BM88" i="12"/>
  <c r="BM88" i="27" s="1"/>
  <c r="N88" i="29" s="1"/>
  <c r="CS144" i="24"/>
  <c r="BL88" i="12"/>
  <c r="BL88" i="27" s="1"/>
  <c r="M88" i="29" s="1"/>
  <c r="CR144" i="24"/>
  <c r="X120" i="24"/>
  <c r="AT144" i="12"/>
  <c r="R122" i="17"/>
  <c r="AE121" i="17"/>
  <c r="AD121" i="17"/>
  <c r="AC121" i="17"/>
  <c r="AB121" i="17"/>
  <c r="AA121" i="17"/>
  <c r="Z121" i="17"/>
  <c r="V121" i="17"/>
  <c r="X121" i="3" s="1"/>
  <c r="U121" i="17"/>
  <c r="X121" i="7" s="1"/>
  <c r="T121" i="17"/>
  <c r="S121" i="17"/>
  <c r="X121" i="15" s="1"/>
  <c r="X121" i="17"/>
  <c r="X121" i="14" s="1"/>
  <c r="W121" i="17"/>
  <c r="X121" i="19" s="1"/>
  <c r="X121" i="12" l="1"/>
  <c r="BO144" i="16"/>
  <c r="BO162" i="16" s="1"/>
  <c r="BL144" i="16"/>
  <c r="BL144" i="27"/>
  <c r="BQ144" i="16"/>
  <c r="BQ188" i="16" s="1"/>
  <c r="BR144" i="16"/>
  <c r="BR188" i="16" s="1"/>
  <c r="R87" i="29"/>
  <c r="Q88" i="29"/>
  <c r="S88" i="29"/>
  <c r="P88" i="29"/>
  <c r="R88" i="29"/>
  <c r="P87" i="29"/>
  <c r="S87" i="29"/>
  <c r="Q87" i="29"/>
  <c r="BG119" i="16"/>
  <c r="BG119" i="27"/>
  <c r="I119" i="29"/>
  <c r="BH119" i="16"/>
  <c r="J119" i="29"/>
  <c r="BH119" i="27"/>
  <c r="BF119" i="16"/>
  <c r="BF119" i="27"/>
  <c r="H119" i="29"/>
  <c r="BB119" i="16"/>
  <c r="BB119" i="27"/>
  <c r="D119" i="29"/>
  <c r="BC119" i="16"/>
  <c r="BC119" i="27"/>
  <c r="E119" i="29"/>
  <c r="BD119" i="16"/>
  <c r="F119" i="29"/>
  <c r="BD119" i="27"/>
  <c r="BE119" i="16"/>
  <c r="BE119" i="27"/>
  <c r="G119" i="29"/>
  <c r="BO144" i="27"/>
  <c r="BM144" i="27"/>
  <c r="BQ144" i="27"/>
  <c r="BP144" i="27"/>
  <c r="BP144" i="16"/>
  <c r="BP162" i="16" s="1"/>
  <c r="BN118" i="16"/>
  <c r="BJ118" i="16" s="1"/>
  <c r="BN118" i="27"/>
  <c r="BJ87" i="16"/>
  <c r="O87" i="29"/>
  <c r="BJ87" i="27"/>
  <c r="BN88" i="16"/>
  <c r="BN88" i="27"/>
  <c r="BT86" i="16"/>
  <c r="BU86" i="16"/>
  <c r="BJ117" i="16"/>
  <c r="AM90" i="12"/>
  <c r="AL90" i="12" a="1"/>
  <c r="AL90" i="12" s="1"/>
  <c r="AK90" i="12"/>
  <c r="AL119" i="12" a="1"/>
  <c r="AL119" i="12" s="1"/>
  <c r="AM119" i="12"/>
  <c r="AK119" i="12"/>
  <c r="BN144" i="12"/>
  <c r="BR159" i="12"/>
  <c r="BR175" i="12"/>
  <c r="BP159" i="12"/>
  <c r="BP175" i="12"/>
  <c r="BK175" i="12"/>
  <c r="BK159" i="12"/>
  <c r="H119" i="22"/>
  <c r="BI119" i="12"/>
  <c r="BI119" i="31" s="1"/>
  <c r="BK144" i="16"/>
  <c r="BL175" i="12"/>
  <c r="BL159" i="12"/>
  <c r="BO175" i="12"/>
  <c r="BO159" i="12"/>
  <c r="G90" i="22"/>
  <c r="G120" i="22"/>
  <c r="BQ159" i="12"/>
  <c r="BQ175" i="12"/>
  <c r="BJ118" i="12"/>
  <c r="BM159" i="12"/>
  <c r="BM175" i="12"/>
  <c r="AO118" i="22"/>
  <c r="BS118" i="16" s="1"/>
  <c r="BS143" i="16" s="1"/>
  <c r="AN146" i="22"/>
  <c r="AO146" i="22" s="1"/>
  <c r="CQ119" i="24"/>
  <c r="BK119" i="12" s="1"/>
  <c r="BK119" i="27" s="1"/>
  <c r="BB89" i="12"/>
  <c r="BB89" i="31" s="1"/>
  <c r="CR119" i="24"/>
  <c r="BL119" i="12" s="1"/>
  <c r="BL119" i="27" s="1"/>
  <c r="BC89" i="12"/>
  <c r="BC89" i="31" s="1"/>
  <c r="CE120" i="24"/>
  <c r="BB120" i="12" s="1"/>
  <c r="BB120" i="31" s="1"/>
  <c r="CI120" i="24"/>
  <c r="BF120" i="12" s="1"/>
  <c r="BF120" i="31" s="1"/>
  <c r="CH120" i="24"/>
  <c r="BE120" i="12" s="1"/>
  <c r="BE120" i="31" s="1"/>
  <c r="CG120" i="24"/>
  <c r="BD120" i="12" s="1"/>
  <c r="BD120" i="31" s="1"/>
  <c r="CF120" i="24"/>
  <c r="BC120" i="12" s="1"/>
  <c r="BC120" i="31" s="1"/>
  <c r="CJ120" i="24"/>
  <c r="BG120" i="12" s="1"/>
  <c r="BG120" i="31" s="1"/>
  <c r="CL120" i="24"/>
  <c r="CK120" i="24"/>
  <c r="BH120" i="12" s="1"/>
  <c r="BH120" i="31" s="1"/>
  <c r="X121" i="24"/>
  <c r="AZ121" i="24"/>
  <c r="CP121" i="24" s="1"/>
  <c r="G121" i="22" s="1"/>
  <c r="BA121" i="24"/>
  <c r="AY121" i="24"/>
  <c r="CS119" i="24"/>
  <c r="BM119" i="12" s="1"/>
  <c r="BM119" i="27" s="1"/>
  <c r="BD89" i="12"/>
  <c r="BD89" i="31" s="1"/>
  <c r="BK88" i="16"/>
  <c r="BJ88" i="12"/>
  <c r="BQ88" i="16"/>
  <c r="CT119" i="24"/>
  <c r="BN119" i="12" s="1"/>
  <c r="BN119" i="27" s="1"/>
  <c r="BE89" i="12"/>
  <c r="BE89" i="31" s="1"/>
  <c r="BP88" i="16"/>
  <c r="CW119" i="24"/>
  <c r="BQ119" i="12" s="1"/>
  <c r="BQ119" i="27" s="1"/>
  <c r="BH89" i="12"/>
  <c r="BH89" i="31" s="1"/>
  <c r="CX119" i="24"/>
  <c r="BR119" i="12" s="1"/>
  <c r="BR119" i="27" s="1"/>
  <c r="H89" i="22"/>
  <c r="AH89" i="22" s="1"/>
  <c r="BI89" i="12"/>
  <c r="BI89" i="31" s="1"/>
  <c r="AL121" i="24"/>
  <c r="AM121" i="24"/>
  <c r="AK121" i="24"/>
  <c r="CD121" i="24" s="1"/>
  <c r="BM88" i="16"/>
  <c r="CV119" i="24"/>
  <c r="BP119" i="12" s="1"/>
  <c r="BP119" i="27" s="1"/>
  <c r="BG89" i="12"/>
  <c r="BG89" i="31" s="1"/>
  <c r="BO88" i="16"/>
  <c r="BL88" i="16"/>
  <c r="BR88" i="16"/>
  <c r="CU119" i="24"/>
  <c r="BO119" i="12" s="1"/>
  <c r="BO119" i="27" s="1"/>
  <c r="BF89" i="12"/>
  <c r="BF89" i="31" s="1"/>
  <c r="R123" i="17"/>
  <c r="AA122" i="17"/>
  <c r="Z122" i="17"/>
  <c r="AE122" i="17"/>
  <c r="AD122" i="17"/>
  <c r="AC122" i="17"/>
  <c r="AB122" i="17"/>
  <c r="X122" i="17"/>
  <c r="X122" i="14" s="1"/>
  <c r="W122" i="17"/>
  <c r="X122" i="19" s="1"/>
  <c r="V122" i="17"/>
  <c r="X122" i="3" s="1"/>
  <c r="U122" i="17"/>
  <c r="X122" i="7" s="1"/>
  <c r="X122" i="12" s="1"/>
  <c r="T122" i="17"/>
  <c r="S122" i="17"/>
  <c r="X122" i="15" s="1"/>
  <c r="X122" i="16" l="1"/>
  <c r="X122" i="31"/>
  <c r="X122" i="27"/>
  <c r="X121" i="31"/>
  <c r="X121" i="27"/>
  <c r="X121" i="16"/>
  <c r="BO188" i="16"/>
  <c r="BO175" i="16"/>
  <c r="BQ162" i="16"/>
  <c r="BQ175" i="16"/>
  <c r="BR162" i="16"/>
  <c r="BR175" i="16"/>
  <c r="BJ144" i="16"/>
  <c r="BG120" i="16"/>
  <c r="BG120" i="27"/>
  <c r="I120" i="29"/>
  <c r="BI119" i="16"/>
  <c r="BU118" i="16" s="1"/>
  <c r="BU143" i="16" s="1"/>
  <c r="BI119" i="27"/>
  <c r="BJ119" i="27" s="1"/>
  <c r="K119" i="29"/>
  <c r="BC120" i="16"/>
  <c r="BC120" i="27"/>
  <c r="E120" i="29"/>
  <c r="BD120" i="16"/>
  <c r="BD120" i="27"/>
  <c r="F120" i="29"/>
  <c r="BE120" i="16"/>
  <c r="BE120" i="27"/>
  <c r="G120" i="29"/>
  <c r="BF120" i="16"/>
  <c r="H120" i="29"/>
  <c r="BF120" i="27"/>
  <c r="BB120" i="16"/>
  <c r="BB120" i="27"/>
  <c r="D120" i="29"/>
  <c r="BH120" i="16"/>
  <c r="BH120" i="27"/>
  <c r="J120" i="29"/>
  <c r="BN144" i="16"/>
  <c r="BN188" i="16" s="1"/>
  <c r="BP175" i="16"/>
  <c r="BP188" i="16"/>
  <c r="N119" i="29"/>
  <c r="Q119" i="29"/>
  <c r="S119" i="29"/>
  <c r="R119" i="29"/>
  <c r="O118" i="29"/>
  <c r="BJ118" i="27"/>
  <c r="P119" i="29"/>
  <c r="O119" i="29"/>
  <c r="M119" i="29"/>
  <c r="BI89" i="16"/>
  <c r="BI89" i="27"/>
  <c r="K89" i="29"/>
  <c r="BH89" i="16"/>
  <c r="BH89" i="27"/>
  <c r="J89" i="29"/>
  <c r="BE89" i="16"/>
  <c r="G89" i="29"/>
  <c r="BE89" i="27"/>
  <c r="BC89" i="16"/>
  <c r="BC89" i="27"/>
  <c r="E89" i="29"/>
  <c r="BD89" i="16"/>
  <c r="F89" i="29"/>
  <c r="BD89" i="27"/>
  <c r="BB89" i="16"/>
  <c r="BB89" i="27"/>
  <c r="D89" i="29"/>
  <c r="O88" i="29"/>
  <c r="BJ88" i="27"/>
  <c r="BG89" i="16"/>
  <c r="BG89" i="27"/>
  <c r="I89" i="29"/>
  <c r="BF89" i="16"/>
  <c r="BF89" i="27"/>
  <c r="H89" i="29"/>
  <c r="BJ88" i="16"/>
  <c r="BL189" i="12"/>
  <c r="BR189" i="12"/>
  <c r="BO189" i="12"/>
  <c r="BM189" i="12"/>
  <c r="BP189" i="12"/>
  <c r="BK189" i="12"/>
  <c r="BQ189" i="12"/>
  <c r="BN175" i="12"/>
  <c r="CJ121" i="24"/>
  <c r="BG121" i="12" s="1"/>
  <c r="BG121" i="31" s="1"/>
  <c r="CK121" i="24"/>
  <c r="BH121" i="12" s="1"/>
  <c r="BH121" i="31" s="1"/>
  <c r="CL121" i="24"/>
  <c r="CI121" i="24"/>
  <c r="BF121" i="12" s="1"/>
  <c r="BF121" i="31" s="1"/>
  <c r="CE121" i="24"/>
  <c r="BB121" i="12" s="1"/>
  <c r="BB121" i="31" s="1"/>
  <c r="CF121" i="24"/>
  <c r="BC121" i="12" s="1"/>
  <c r="BC121" i="31" s="1"/>
  <c r="CG121" i="24"/>
  <c r="BD121" i="12" s="1"/>
  <c r="BD121" i="31" s="1"/>
  <c r="CH121" i="24"/>
  <c r="BE121" i="12" s="1"/>
  <c r="BE121" i="31" s="1"/>
  <c r="AL91" i="12" a="1"/>
  <c r="AL91" i="12" s="1"/>
  <c r="AM91" i="12"/>
  <c r="AK91" i="12"/>
  <c r="AL120" i="12" a="1"/>
  <c r="AL120" i="12" s="1"/>
  <c r="AM120" i="12"/>
  <c r="AK120" i="12"/>
  <c r="BN159" i="12"/>
  <c r="BQ119" i="16"/>
  <c r="BP119" i="16"/>
  <c r="BO119" i="16"/>
  <c r="BN119" i="16"/>
  <c r="H120" i="22"/>
  <c r="AH120" i="22" s="1"/>
  <c r="BI120" i="12"/>
  <c r="BI120" i="31" s="1"/>
  <c r="BL119" i="16"/>
  <c r="BM119" i="16"/>
  <c r="AH119" i="22"/>
  <c r="BK119" i="16"/>
  <c r="BJ119" i="12"/>
  <c r="BR119" i="16"/>
  <c r="CQ120" i="24"/>
  <c r="BB90" i="12"/>
  <c r="BB90" i="31" s="1"/>
  <c r="BA122" i="24"/>
  <c r="AY122" i="24"/>
  <c r="AZ122" i="24"/>
  <c r="CP122" i="24" s="1"/>
  <c r="BO89" i="12"/>
  <c r="BO89" i="27" s="1"/>
  <c r="BP89" i="12"/>
  <c r="BP89" i="27" s="1"/>
  <c r="BQ89" i="12"/>
  <c r="BQ89" i="27" s="1"/>
  <c r="CW120" i="24"/>
  <c r="BH90" i="12"/>
  <c r="BH90" i="31" s="1"/>
  <c r="CX120" i="24"/>
  <c r="H90" i="22"/>
  <c r="AH90" i="22" s="1"/>
  <c r="BI90" i="12"/>
  <c r="BI90" i="31" s="1"/>
  <c r="BM89" i="12"/>
  <c r="BM89" i="27" s="1"/>
  <c r="N89" i="29" s="1"/>
  <c r="CV120" i="24"/>
  <c r="BG90" i="12"/>
  <c r="BG90" i="31" s="1"/>
  <c r="BL89" i="12"/>
  <c r="BL89" i="27" s="1"/>
  <c r="M89" i="29" s="1"/>
  <c r="AJ89" i="22"/>
  <c r="AK89" i="22"/>
  <c r="AI89" i="22"/>
  <c r="AM89" i="22"/>
  <c r="AL89" i="22"/>
  <c r="CR120" i="24"/>
  <c r="BL120" i="12" s="1"/>
  <c r="BC90" i="12"/>
  <c r="BC90" i="31" s="1"/>
  <c r="AK122" i="24"/>
  <c r="CD122" i="24" s="1"/>
  <c r="AL122" i="24"/>
  <c r="AM122" i="24"/>
  <c r="CS120" i="24"/>
  <c r="BM120" i="12" s="1"/>
  <c r="BD90" i="12"/>
  <c r="BD90" i="31" s="1"/>
  <c r="BR89" i="12"/>
  <c r="BR89" i="27" s="1"/>
  <c r="CT120" i="24"/>
  <c r="BE90" i="12"/>
  <c r="BE90" i="31" s="1"/>
  <c r="BN89" i="12"/>
  <c r="BN89" i="27" s="1"/>
  <c r="CV121" i="24"/>
  <c r="CT121" i="24"/>
  <c r="CX121" i="24"/>
  <c r="G91" i="22"/>
  <c r="AH91" i="22" s="1"/>
  <c r="CU120" i="24"/>
  <c r="BF90" i="12"/>
  <c r="BF90" i="31" s="1"/>
  <c r="BK89" i="12"/>
  <c r="BK89" i="27" s="1"/>
  <c r="X122" i="24"/>
  <c r="R124" i="17"/>
  <c r="AC123" i="17"/>
  <c r="AB123" i="17"/>
  <c r="AA123" i="17"/>
  <c r="Z123" i="17"/>
  <c r="AE123" i="17"/>
  <c r="AD123" i="17"/>
  <c r="X123" i="17"/>
  <c r="X123" i="14" s="1"/>
  <c r="W123" i="17"/>
  <c r="X123" i="19" s="1"/>
  <c r="V123" i="17"/>
  <c r="X123" i="3" s="1"/>
  <c r="U123" i="17"/>
  <c r="X123" i="7" s="1"/>
  <c r="T123" i="17"/>
  <c r="S123" i="17"/>
  <c r="X123" i="15" s="1"/>
  <c r="X81" i="26" l="1"/>
  <c r="AA81" i="26" s="1"/>
  <c r="Y81" i="32" s="1"/>
  <c r="X26" i="26"/>
  <c r="X48" i="26"/>
  <c r="AA48" i="26" s="1"/>
  <c r="Y48" i="32" s="1"/>
  <c r="X103" i="26"/>
  <c r="AA103" i="26" s="1"/>
  <c r="Y103" i="32" s="1"/>
  <c r="X15" i="26"/>
  <c r="AB15" i="26" s="1"/>
  <c r="Z15" i="32" s="1"/>
  <c r="X70" i="26"/>
  <c r="Z70" i="26" s="1"/>
  <c r="X70" i="32" s="1"/>
  <c r="X37" i="26"/>
  <c r="Y37" i="26" s="1"/>
  <c r="W37" i="32" s="1"/>
  <c r="X92" i="26"/>
  <c r="AA92" i="26" s="1"/>
  <c r="Y92" i="32" s="1"/>
  <c r="X59" i="26"/>
  <c r="AC59" i="26" s="1"/>
  <c r="AA59" i="32" s="1"/>
  <c r="X123" i="12"/>
  <c r="BT118" i="16"/>
  <c r="BT143" i="16" s="1"/>
  <c r="V70" i="30"/>
  <c r="W70" i="30" s="1"/>
  <c r="CW121" i="24"/>
  <c r="CU121" i="24"/>
  <c r="BO121" i="12" s="1"/>
  <c r="CS121" i="24"/>
  <c r="BM121" i="12" s="1"/>
  <c r="V26" i="30"/>
  <c r="AA26" i="30" s="1"/>
  <c r="V59" i="30"/>
  <c r="X59" i="30" s="1"/>
  <c r="CR121" i="24"/>
  <c r="BL121" i="12" s="1"/>
  <c r="BJ175" i="16"/>
  <c r="BI175" i="16" s="1"/>
  <c r="BJ188" i="16"/>
  <c r="BF188" i="16" s="1"/>
  <c r="BJ162" i="16"/>
  <c r="BF162" i="16" s="1"/>
  <c r="V15" i="30"/>
  <c r="W15" i="30" s="1"/>
  <c r="V103" i="30"/>
  <c r="AA103" i="30" s="1"/>
  <c r="AA26" i="26"/>
  <c r="Y26" i="32" s="1"/>
  <c r="V37" i="30"/>
  <c r="W37" i="30" s="1"/>
  <c r="V48" i="30"/>
  <c r="W48" i="30" s="1"/>
  <c r="V81" i="30"/>
  <c r="AA81" i="30" s="1"/>
  <c r="V92" i="30"/>
  <c r="W92" i="30" s="1"/>
  <c r="S89" i="29"/>
  <c r="R89" i="29"/>
  <c r="Q89" i="29"/>
  <c r="P89" i="29"/>
  <c r="BG121" i="16"/>
  <c r="BG121" i="27"/>
  <c r="I121" i="29"/>
  <c r="BH121" i="16"/>
  <c r="J121" i="29"/>
  <c r="BH121" i="27"/>
  <c r="BE121" i="16"/>
  <c r="BE121" i="27"/>
  <c r="G121" i="29"/>
  <c r="BI120" i="16"/>
  <c r="BI120" i="27"/>
  <c r="K120" i="29"/>
  <c r="BD121" i="16"/>
  <c r="BD121" i="27"/>
  <c r="F121" i="29"/>
  <c r="BC121" i="16"/>
  <c r="BC121" i="27"/>
  <c r="E121" i="29"/>
  <c r="BB121" i="16"/>
  <c r="BB121" i="27"/>
  <c r="D121" i="29"/>
  <c r="BF121" i="16"/>
  <c r="BF121" i="27"/>
  <c r="H121" i="29"/>
  <c r="BN162" i="16"/>
  <c r="BN175" i="16"/>
  <c r="AW144" i="16"/>
  <c r="BL120" i="16"/>
  <c r="BL120" i="27"/>
  <c r="BM120" i="16"/>
  <c r="BM120" i="27"/>
  <c r="BT88" i="16"/>
  <c r="BU88" i="16"/>
  <c r="BD90" i="16"/>
  <c r="F90" i="29"/>
  <c r="BD90" i="27"/>
  <c r="BF90" i="16"/>
  <c r="BF90" i="27"/>
  <c r="H90" i="29"/>
  <c r="BI90" i="16"/>
  <c r="K90" i="29"/>
  <c r="BI90" i="27"/>
  <c r="BH90" i="16"/>
  <c r="J90" i="29"/>
  <c r="BH90" i="27"/>
  <c r="BE90" i="16"/>
  <c r="BE90" i="27"/>
  <c r="G90" i="29"/>
  <c r="BB90" i="16"/>
  <c r="D90" i="29"/>
  <c r="BB90" i="27"/>
  <c r="O89" i="29"/>
  <c r="BJ89" i="27"/>
  <c r="BC90" i="16"/>
  <c r="BC90" i="27"/>
  <c r="E90" i="29"/>
  <c r="BG90" i="16"/>
  <c r="I90" i="29"/>
  <c r="BG90" i="27"/>
  <c r="BN189" i="12"/>
  <c r="H121" i="22"/>
  <c r="AH121" i="22" s="1"/>
  <c r="BI121" i="12"/>
  <c r="BI121" i="31" s="1"/>
  <c r="BJ119" i="16"/>
  <c r="CQ121" i="24"/>
  <c r="BK121" i="12" s="1"/>
  <c r="BK121" i="27" s="1"/>
  <c r="AM121" i="12"/>
  <c r="AL121" i="12" a="1"/>
  <c r="AL121" i="12" s="1"/>
  <c r="AK121" i="12"/>
  <c r="AL92" i="12" a="1"/>
  <c r="AL92" i="12" s="1"/>
  <c r="AM92" i="12"/>
  <c r="AK92" i="12"/>
  <c r="AK120" i="22"/>
  <c r="AN120" i="22" s="1"/>
  <c r="AO120" i="22" s="1"/>
  <c r="BS120" i="16" s="1"/>
  <c r="AL120" i="22"/>
  <c r="AJ120" i="22"/>
  <c r="AI120" i="22"/>
  <c r="AM120" i="22"/>
  <c r="G92" i="22"/>
  <c r="G122" i="22"/>
  <c r="BO91" i="12"/>
  <c r="BP91" i="12"/>
  <c r="BP121" i="12"/>
  <c r="BR90" i="12"/>
  <c r="BR120" i="12"/>
  <c r="BR120" i="27" s="1"/>
  <c r="BK91" i="12"/>
  <c r="BO90" i="12"/>
  <c r="BO120" i="12"/>
  <c r="BO120" i="27" s="1"/>
  <c r="BM91" i="12"/>
  <c r="BR91" i="12"/>
  <c r="BR121" i="12"/>
  <c r="BN90" i="12"/>
  <c r="BN120" i="12"/>
  <c r="BN120" i="27" s="1"/>
  <c r="BQ90" i="12"/>
  <c r="BQ120" i="12"/>
  <c r="BQ120" i="27" s="1"/>
  <c r="BQ91" i="12"/>
  <c r="BQ121" i="12"/>
  <c r="BL91" i="12"/>
  <c r="BK90" i="12"/>
  <c r="BK120" i="12"/>
  <c r="BK120" i="27" s="1"/>
  <c r="AM119" i="22"/>
  <c r="AL119" i="22"/>
  <c r="AJ119" i="22"/>
  <c r="AK119" i="22"/>
  <c r="AI119" i="22"/>
  <c r="BP90" i="12"/>
  <c r="BP120" i="12"/>
  <c r="BP120" i="27" s="1"/>
  <c r="BN91" i="12"/>
  <c r="BN121" i="12"/>
  <c r="BN89" i="16"/>
  <c r="BM89" i="16"/>
  <c r="BL90" i="12"/>
  <c r="AN89" i="22"/>
  <c r="BQ89" i="16"/>
  <c r="BM90" i="12"/>
  <c r="BK89" i="16"/>
  <c r="BJ89" i="12"/>
  <c r="AL90" i="22"/>
  <c r="AK90" i="22"/>
  <c r="AN90" i="22" s="1"/>
  <c r="AO90" i="22" s="1"/>
  <c r="BS90" i="16" s="1"/>
  <c r="AJ90" i="22"/>
  <c r="AI90" i="22"/>
  <c r="AM90" i="22"/>
  <c r="BL89" i="16"/>
  <c r="BP89" i="16"/>
  <c r="BA123" i="24"/>
  <c r="AY123" i="24"/>
  <c r="AZ123" i="24"/>
  <c r="CP123" i="24" s="1"/>
  <c r="G123" i="22" s="1"/>
  <c r="AI91" i="22"/>
  <c r="AM91" i="22"/>
  <c r="AL91" i="22"/>
  <c r="AK91" i="22"/>
  <c r="AN91" i="22" s="1"/>
  <c r="AO91" i="22" s="1"/>
  <c r="BS91" i="16" s="1"/>
  <c r="AJ91" i="22"/>
  <c r="BR89" i="16"/>
  <c r="AK123" i="24"/>
  <c r="CD123" i="24" s="1"/>
  <c r="AL123" i="24"/>
  <c r="AM123" i="24"/>
  <c r="CH122" i="24"/>
  <c r="BE122" i="12" s="1"/>
  <c r="BE122" i="31" s="1"/>
  <c r="CG122" i="24"/>
  <c r="BD122" i="12" s="1"/>
  <c r="BD122" i="31" s="1"/>
  <c r="CI122" i="24"/>
  <c r="BF122" i="12" s="1"/>
  <c r="BF122" i="31" s="1"/>
  <c r="CE122" i="24"/>
  <c r="BB122" i="12" s="1"/>
  <c r="BB122" i="31" s="1"/>
  <c r="CF122" i="24"/>
  <c r="BC122" i="12" s="1"/>
  <c r="BC122" i="31" s="1"/>
  <c r="CJ122" i="24"/>
  <c r="BG122" i="12" s="1"/>
  <c r="BG122" i="31" s="1"/>
  <c r="CK122" i="24"/>
  <c r="BH122" i="12" s="1"/>
  <c r="BH122" i="31" s="1"/>
  <c r="CL122" i="24"/>
  <c r="BO89" i="16"/>
  <c r="X123" i="24"/>
  <c r="R125" i="17"/>
  <c r="AE124" i="17"/>
  <c r="AD124" i="17"/>
  <c r="AC124" i="17"/>
  <c r="AB124" i="17"/>
  <c r="AA124" i="17"/>
  <c r="Z124" i="17"/>
  <c r="T124" i="17"/>
  <c r="S124" i="17"/>
  <c r="X124" i="15" s="1"/>
  <c r="X124" i="17"/>
  <c r="X124" i="14" s="1"/>
  <c r="W124" i="17"/>
  <c r="X124" i="19" s="1"/>
  <c r="V124" i="17"/>
  <c r="X124" i="3" s="1"/>
  <c r="U124" i="17"/>
  <c r="X124" i="7" s="1"/>
  <c r="X124" i="12" s="1"/>
  <c r="Z92" i="26" l="1"/>
  <c r="X92" i="32" s="1"/>
  <c r="AB92" i="26"/>
  <c r="Z92" i="32" s="1"/>
  <c r="Y92" i="26"/>
  <c r="W92" i="32" s="1"/>
  <c r="AC92" i="26"/>
  <c r="AA92" i="32" s="1"/>
  <c r="BH162" i="16"/>
  <c r="X70" i="30"/>
  <c r="X124" i="16"/>
  <c r="X124" i="31"/>
  <c r="X124" i="27"/>
  <c r="BE188" i="16"/>
  <c r="X123" i="16"/>
  <c r="X123" i="31"/>
  <c r="X123" i="27"/>
  <c r="BH188" i="16"/>
  <c r="BE162" i="16"/>
  <c r="BG162" i="16"/>
  <c r="BI162" i="16"/>
  <c r="Z70" i="30"/>
  <c r="AC70" i="26"/>
  <c r="AA70" i="32" s="1"/>
  <c r="Y48" i="26"/>
  <c r="W48" i="32" s="1"/>
  <c r="AA70" i="26"/>
  <c r="Y70" i="32" s="1"/>
  <c r="AB48" i="26"/>
  <c r="Z48" i="32" s="1"/>
  <c r="Z81" i="26"/>
  <c r="X81" i="32" s="1"/>
  <c r="AC48" i="26"/>
  <c r="AA48" i="32" s="1"/>
  <c r="X15" i="30"/>
  <c r="Y15" i="30"/>
  <c r="Y70" i="30"/>
  <c r="Y70" i="26"/>
  <c r="W70" i="32" s="1"/>
  <c r="Z37" i="26"/>
  <c r="X37" i="32" s="1"/>
  <c r="AA70" i="30"/>
  <c r="AC37" i="26"/>
  <c r="AA37" i="32" s="1"/>
  <c r="Z103" i="26"/>
  <c r="X103" i="32" s="1"/>
  <c r="AB37" i="26"/>
  <c r="Z37" i="32" s="1"/>
  <c r="AA37" i="26"/>
  <c r="Y37" i="32" s="1"/>
  <c r="Y59" i="30"/>
  <c r="Z48" i="26"/>
  <c r="X48" i="32" s="1"/>
  <c r="Z26" i="30"/>
  <c r="W26" i="30"/>
  <c r="AC15" i="26"/>
  <c r="AA15" i="32" s="1"/>
  <c r="Y15" i="26"/>
  <c r="W15" i="32" s="1"/>
  <c r="Z59" i="30"/>
  <c r="BF175" i="16"/>
  <c r="X26" i="30"/>
  <c r="Z15" i="26"/>
  <c r="X15" i="32" s="1"/>
  <c r="BH175" i="16"/>
  <c r="W59" i="30"/>
  <c r="BG188" i="16"/>
  <c r="AA15" i="26"/>
  <c r="Y15" i="32" s="1"/>
  <c r="AA59" i="30"/>
  <c r="BI188" i="16"/>
  <c r="AB70" i="26"/>
  <c r="Z70" i="32" s="1"/>
  <c r="X37" i="30"/>
  <c r="Z15" i="30"/>
  <c r="AA15" i="30"/>
  <c r="Y59" i="26"/>
  <c r="W59" i="32" s="1"/>
  <c r="Y26" i="30"/>
  <c r="AB26" i="26"/>
  <c r="Z26" i="32" s="1"/>
  <c r="Y81" i="26"/>
  <c r="W81" i="32" s="1"/>
  <c r="W103" i="30"/>
  <c r="AB59" i="26"/>
  <c r="Z59" i="32" s="1"/>
  <c r="AC81" i="26"/>
  <c r="AA81" i="32" s="1"/>
  <c r="X103" i="30"/>
  <c r="Y103" i="30"/>
  <c r="AA92" i="30"/>
  <c r="Z59" i="26"/>
  <c r="X59" i="32" s="1"/>
  <c r="Z103" i="30"/>
  <c r="BG175" i="16"/>
  <c r="AA59" i="26"/>
  <c r="Y59" i="32" s="1"/>
  <c r="Y26" i="26"/>
  <c r="W26" i="32" s="1"/>
  <c r="AC26" i="26"/>
  <c r="AA26" i="32" s="1"/>
  <c r="AA48" i="30"/>
  <c r="X48" i="30"/>
  <c r="X92" i="30"/>
  <c r="Y48" i="30"/>
  <c r="Y92" i="30"/>
  <c r="Z48" i="30"/>
  <c r="Y103" i="26"/>
  <c r="W103" i="32" s="1"/>
  <c r="AB103" i="26"/>
  <c r="Z103" i="32" s="1"/>
  <c r="AC103" i="26"/>
  <c r="AA103" i="32" s="1"/>
  <c r="Z92" i="30"/>
  <c r="Z37" i="30"/>
  <c r="AB81" i="26"/>
  <c r="Z81" i="32" s="1"/>
  <c r="AA37" i="30"/>
  <c r="Z26" i="26"/>
  <c r="X26" i="32" s="1"/>
  <c r="Y37" i="30"/>
  <c r="X81" i="30"/>
  <c r="Y81" i="30"/>
  <c r="Z81" i="30"/>
  <c r="W81" i="30"/>
  <c r="BG122" i="16"/>
  <c r="I122" i="29"/>
  <c r="BG122" i="27"/>
  <c r="BC122" i="16"/>
  <c r="BC122" i="27"/>
  <c r="E122" i="29"/>
  <c r="BB122" i="16"/>
  <c r="D122" i="29"/>
  <c r="BB122" i="27"/>
  <c r="BF122" i="16"/>
  <c r="BF122" i="27"/>
  <c r="H122" i="29"/>
  <c r="BH122" i="16"/>
  <c r="BH122" i="27"/>
  <c r="J122" i="29"/>
  <c r="BD122" i="16"/>
  <c r="F122" i="29"/>
  <c r="BD122" i="27"/>
  <c r="BE122" i="16"/>
  <c r="G122" i="29"/>
  <c r="BE122" i="27"/>
  <c r="BI121" i="16"/>
  <c r="BU120" i="16" s="1"/>
  <c r="BI121" i="27"/>
  <c r="K121" i="29"/>
  <c r="BE175" i="16"/>
  <c r="N120" i="29"/>
  <c r="O120" i="29"/>
  <c r="BJ120" i="27"/>
  <c r="BL121" i="16"/>
  <c r="BL121" i="27"/>
  <c r="M121" i="29" s="1"/>
  <c r="BR121" i="16"/>
  <c r="BR121" i="27"/>
  <c r="S120" i="29"/>
  <c r="BN121" i="16"/>
  <c r="BN121" i="27"/>
  <c r="BQ121" i="16"/>
  <c r="BQ121" i="27"/>
  <c r="BM121" i="16"/>
  <c r="BM121" i="27"/>
  <c r="N121" i="29" s="1"/>
  <c r="BP121" i="16"/>
  <c r="BP121" i="27"/>
  <c r="Q120" i="29"/>
  <c r="M120" i="29"/>
  <c r="R120" i="29"/>
  <c r="P120" i="29"/>
  <c r="BO121" i="16"/>
  <c r="BO121" i="27"/>
  <c r="BL91" i="16"/>
  <c r="BL91" i="27"/>
  <c r="M91" i="29" s="1"/>
  <c r="BR91" i="16"/>
  <c r="BR91" i="27"/>
  <c r="BR90" i="16"/>
  <c r="BR90" i="27"/>
  <c r="BL90" i="16"/>
  <c r="BL90" i="27"/>
  <c r="M90" i="29" s="1"/>
  <c r="BQ91" i="16"/>
  <c r="BQ91" i="27"/>
  <c r="BM91" i="16"/>
  <c r="BM91" i="27"/>
  <c r="N91" i="29" s="1"/>
  <c r="BP91" i="16"/>
  <c r="BP91" i="27"/>
  <c r="BM90" i="16"/>
  <c r="BM90" i="27"/>
  <c r="N90" i="29" s="1"/>
  <c r="BQ90" i="16"/>
  <c r="BQ90" i="27"/>
  <c r="BO90" i="16"/>
  <c r="BO90" i="27"/>
  <c r="BO91" i="16"/>
  <c r="BO91" i="27"/>
  <c r="BN91" i="16"/>
  <c r="BN91" i="27"/>
  <c r="BK90" i="16"/>
  <c r="BK90" i="27"/>
  <c r="BN90" i="16"/>
  <c r="BN90" i="27"/>
  <c r="BK91" i="16"/>
  <c r="BK91" i="27"/>
  <c r="BP90" i="16"/>
  <c r="BP90" i="27"/>
  <c r="BT90" i="16"/>
  <c r="BU90" i="16"/>
  <c r="BJ89" i="16"/>
  <c r="CK123" i="24"/>
  <c r="BH123" i="12" s="1"/>
  <c r="BH123" i="31" s="1"/>
  <c r="CJ123" i="24"/>
  <c r="BG123" i="12" s="1"/>
  <c r="BG123" i="31" s="1"/>
  <c r="CL123" i="24"/>
  <c r="CX123" i="24" s="1"/>
  <c r="CE123" i="24"/>
  <c r="BB123" i="12" s="1"/>
  <c r="BB123" i="31" s="1"/>
  <c r="CF123" i="24"/>
  <c r="BC123" i="12" s="1"/>
  <c r="BC123" i="31" s="1"/>
  <c r="CG123" i="24"/>
  <c r="BD123" i="12" s="1"/>
  <c r="BD123" i="31" s="1"/>
  <c r="CH123" i="24"/>
  <c r="BE123" i="12" s="1"/>
  <c r="BE123" i="31" s="1"/>
  <c r="CI123" i="24"/>
  <c r="BF123" i="12" s="1"/>
  <c r="BF123" i="31" s="1"/>
  <c r="AL121" i="22"/>
  <c r="AM121" i="22"/>
  <c r="AK121" i="22"/>
  <c r="AN121" i="22" s="1"/>
  <c r="AO121" i="22" s="1"/>
  <c r="BS121" i="16" s="1"/>
  <c r="AJ121" i="22"/>
  <c r="AI121" i="22"/>
  <c r="AM93" i="12"/>
  <c r="AL93" i="12" a="1"/>
  <c r="AL93" i="12" s="1"/>
  <c r="AK93" i="12"/>
  <c r="AM122" i="12"/>
  <c r="AL122" i="12" a="1"/>
  <c r="AL122" i="12" s="1"/>
  <c r="AK122" i="12"/>
  <c r="BR120" i="16"/>
  <c r="BJ91" i="12"/>
  <c r="BP120" i="16"/>
  <c r="BK120" i="16"/>
  <c r="BJ120" i="12"/>
  <c r="BQ120" i="16"/>
  <c r="BO120" i="16"/>
  <c r="H122" i="22"/>
  <c r="BI122" i="12"/>
  <c r="BI122" i="31" s="1"/>
  <c r="BJ90" i="12"/>
  <c r="BN120" i="16"/>
  <c r="BK121" i="16"/>
  <c r="BJ121" i="12"/>
  <c r="AN119" i="22"/>
  <c r="CQ123" i="24"/>
  <c r="CR123" i="24"/>
  <c r="CT123" i="24"/>
  <c r="G93" i="22"/>
  <c r="AH93" i="22" s="1"/>
  <c r="CX122" i="24"/>
  <c r="BR122" i="12" s="1"/>
  <c r="H92" i="22"/>
  <c r="AH92" i="22" s="1"/>
  <c r="BI92" i="12"/>
  <c r="BI92" i="31" s="1"/>
  <c r="CW122" i="24"/>
  <c r="BQ122" i="12" s="1"/>
  <c r="BH92" i="12"/>
  <c r="BH92" i="31" s="1"/>
  <c r="BA124" i="24"/>
  <c r="AY124" i="24"/>
  <c r="AZ124" i="24"/>
  <c r="CP124" i="24" s="1"/>
  <c r="G124" i="22" s="1"/>
  <c r="CV122" i="24"/>
  <c r="BP122" i="12" s="1"/>
  <c r="BG92" i="12"/>
  <c r="BG92" i="31" s="1"/>
  <c r="AK124" i="24"/>
  <c r="CD124" i="24" s="1"/>
  <c r="AL124" i="24"/>
  <c r="AM124" i="24"/>
  <c r="CR122" i="24"/>
  <c r="BL122" i="12" s="1"/>
  <c r="BL122" i="27" s="1"/>
  <c r="M122" i="29" s="1"/>
  <c r="BC92" i="12"/>
  <c r="BC92" i="31" s="1"/>
  <c r="CU122" i="24"/>
  <c r="BO122" i="12" s="1"/>
  <c r="BF92" i="12"/>
  <c r="BF92" i="31" s="1"/>
  <c r="CS122" i="24"/>
  <c r="BM122" i="12" s="1"/>
  <c r="BM122" i="27" s="1"/>
  <c r="N122" i="29" s="1"/>
  <c r="BD92" i="12"/>
  <c r="BD92" i="31" s="1"/>
  <c r="CQ122" i="24"/>
  <c r="BK122" i="12" s="1"/>
  <c r="BK122" i="27" s="1"/>
  <c r="BB92" i="12"/>
  <c r="BB92" i="31" s="1"/>
  <c r="CT122" i="24"/>
  <c r="BE92" i="12"/>
  <c r="BE92" i="31" s="1"/>
  <c r="AO89" i="22"/>
  <c r="BS89" i="16" s="1"/>
  <c r="X124" i="24"/>
  <c r="R126" i="17"/>
  <c r="AE125" i="17"/>
  <c r="AD125" i="17"/>
  <c r="AC125" i="17"/>
  <c r="AB125" i="17"/>
  <c r="AA125" i="17"/>
  <c r="Z125" i="17"/>
  <c r="V125" i="17"/>
  <c r="X125" i="3" s="1"/>
  <c r="U125" i="17"/>
  <c r="X125" i="7" s="1"/>
  <c r="X125" i="12" s="1"/>
  <c r="T125" i="17"/>
  <c r="S125" i="17"/>
  <c r="X125" i="15" s="1"/>
  <c r="X125" i="17"/>
  <c r="X125" i="14" s="1"/>
  <c r="W125" i="17"/>
  <c r="X125" i="19" s="1"/>
  <c r="X125" i="27" l="1"/>
  <c r="X125" i="16"/>
  <c r="X125" i="31"/>
  <c r="AA151" i="26"/>
  <c r="AA166" i="26" s="1"/>
  <c r="Y151" i="32"/>
  <c r="CS123" i="24"/>
  <c r="BM123" i="12" s="1"/>
  <c r="CW123" i="24"/>
  <c r="X151" i="30"/>
  <c r="X166" i="30" s="1"/>
  <c r="W151" i="32"/>
  <c r="W151" i="30"/>
  <c r="W166" i="30" s="1"/>
  <c r="AB151" i="26"/>
  <c r="AB166" i="26" s="1"/>
  <c r="AA151" i="30"/>
  <c r="AA166" i="30" s="1"/>
  <c r="AC151" i="26"/>
  <c r="AC166" i="26" s="1"/>
  <c r="AA151" i="32"/>
  <c r="Z151" i="30"/>
  <c r="Z166" i="30" s="1"/>
  <c r="Z151" i="32"/>
  <c r="Y151" i="26"/>
  <c r="Y166" i="26" s="1"/>
  <c r="X151" i="32"/>
  <c r="CV123" i="24"/>
  <c r="BP123" i="12" s="1"/>
  <c r="Y151" i="30"/>
  <c r="Y166" i="30" s="1"/>
  <c r="Z151" i="26"/>
  <c r="Z166" i="26" s="1"/>
  <c r="BT120" i="16"/>
  <c r="O90" i="29"/>
  <c r="P90" i="29"/>
  <c r="S91" i="29"/>
  <c r="R90" i="29"/>
  <c r="R91" i="29"/>
  <c r="Q121" i="29"/>
  <c r="S121" i="29"/>
  <c r="Q90" i="29"/>
  <c r="P121" i="29"/>
  <c r="P91" i="29"/>
  <c r="Q91" i="29"/>
  <c r="S90" i="29"/>
  <c r="R121" i="29"/>
  <c r="BB123" i="16"/>
  <c r="BB123" i="27"/>
  <c r="D123" i="29"/>
  <c r="BI122" i="16"/>
  <c r="BU121" i="16" s="1"/>
  <c r="K122" i="29"/>
  <c r="BI122" i="27"/>
  <c r="BG123" i="16"/>
  <c r="BG123" i="27"/>
  <c r="I123" i="29"/>
  <c r="BH123" i="16"/>
  <c r="BH123" i="27"/>
  <c r="J123" i="29"/>
  <c r="BC123" i="16"/>
  <c r="BC123" i="27"/>
  <c r="E123" i="29"/>
  <c r="BF123" i="16"/>
  <c r="BF123" i="27"/>
  <c r="H123" i="29"/>
  <c r="BE123" i="16"/>
  <c r="G123" i="29"/>
  <c r="BE123" i="27"/>
  <c r="BD123" i="16"/>
  <c r="BD123" i="27"/>
  <c r="F123" i="29"/>
  <c r="BJ121" i="16"/>
  <c r="O121" i="29"/>
  <c r="BJ121" i="27"/>
  <c r="BR122" i="16"/>
  <c r="BR122" i="27"/>
  <c r="BO122" i="16"/>
  <c r="BO122" i="27"/>
  <c r="BQ122" i="16"/>
  <c r="BQ122" i="27"/>
  <c r="BP122" i="16"/>
  <c r="BP122" i="27"/>
  <c r="BJ91" i="16"/>
  <c r="BJ90" i="16"/>
  <c r="O91" i="29"/>
  <c r="BJ91" i="27"/>
  <c r="BG92" i="16"/>
  <c r="BG92" i="27"/>
  <c r="I92" i="29"/>
  <c r="BJ90" i="27"/>
  <c r="BB92" i="16"/>
  <c r="BB92" i="27"/>
  <c r="D92" i="29"/>
  <c r="BF92" i="16"/>
  <c r="BF92" i="27"/>
  <c r="H92" i="29"/>
  <c r="BD92" i="16"/>
  <c r="F92" i="29"/>
  <c r="BD92" i="27"/>
  <c r="BH92" i="16"/>
  <c r="BH92" i="27"/>
  <c r="J92" i="29"/>
  <c r="BI92" i="16"/>
  <c r="K92" i="29"/>
  <c r="BI92" i="27"/>
  <c r="BE92" i="16"/>
  <c r="BE92" i="27"/>
  <c r="G92" i="29"/>
  <c r="BC92" i="16"/>
  <c r="BC92" i="27"/>
  <c r="E92" i="29"/>
  <c r="BT121" i="16"/>
  <c r="BT89" i="16"/>
  <c r="BU89" i="16"/>
  <c r="CG124" i="24"/>
  <c r="BD124" i="12" s="1"/>
  <c r="BD124" i="31" s="1"/>
  <c r="CH124" i="24"/>
  <c r="BE124" i="12" s="1"/>
  <c r="BE124" i="31" s="1"/>
  <c r="CI124" i="24"/>
  <c r="BF124" i="12" s="1"/>
  <c r="BF124" i="31" s="1"/>
  <c r="CF124" i="24"/>
  <c r="BC124" i="12" s="1"/>
  <c r="BC124" i="31" s="1"/>
  <c r="CJ124" i="24"/>
  <c r="BG124" i="12" s="1"/>
  <c r="BG124" i="31" s="1"/>
  <c r="CK124" i="24"/>
  <c r="BH124" i="12" s="1"/>
  <c r="BH124" i="31" s="1"/>
  <c r="CL124" i="24"/>
  <c r="CE124" i="24"/>
  <c r="BB124" i="12" s="1"/>
  <c r="BB124" i="31" s="1"/>
  <c r="CU123" i="24"/>
  <c r="BO123" i="12" s="1"/>
  <c r="H123" i="22"/>
  <c r="AH123" i="22" s="1"/>
  <c r="BI123" i="12"/>
  <c r="BI123" i="31" s="1"/>
  <c r="BJ120" i="16"/>
  <c r="AM123" i="12"/>
  <c r="AL123" i="12" a="1"/>
  <c r="AL123" i="12" s="1"/>
  <c r="AK123" i="12"/>
  <c r="AL94" i="12" a="1"/>
  <c r="AL94" i="12" s="1"/>
  <c r="AM94" i="12"/>
  <c r="AK94" i="12"/>
  <c r="BN92" i="12"/>
  <c r="BN92" i="27" s="1"/>
  <c r="BN122" i="12"/>
  <c r="BO93" i="12"/>
  <c r="BP93" i="12"/>
  <c r="BQ93" i="12"/>
  <c r="BQ123" i="12"/>
  <c r="BL122" i="16"/>
  <c r="BN93" i="12"/>
  <c r="BN123" i="12"/>
  <c r="AH122" i="22"/>
  <c r="BM122" i="16"/>
  <c r="BM93" i="12"/>
  <c r="AO119" i="22"/>
  <c r="BS119" i="16" s="1"/>
  <c r="BL93" i="12"/>
  <c r="BL123" i="12"/>
  <c r="BK122" i="16"/>
  <c r="BK93" i="12"/>
  <c r="BK123" i="12"/>
  <c r="BK123" i="27" s="1"/>
  <c r="BR93" i="12"/>
  <c r="BR123" i="12"/>
  <c r="BK92" i="12"/>
  <c r="BK92" i="27" s="1"/>
  <c r="BO92" i="12"/>
  <c r="BO92" i="27" s="1"/>
  <c r="BQ92" i="12"/>
  <c r="BQ92" i="27" s="1"/>
  <c r="AY125" i="24"/>
  <c r="AZ125" i="24"/>
  <c r="CP125" i="24" s="1"/>
  <c r="BA125" i="24"/>
  <c r="BP92" i="12"/>
  <c r="BP92" i="27" s="1"/>
  <c r="BM92" i="12"/>
  <c r="BM92" i="27" s="1"/>
  <c r="N92" i="29" s="1"/>
  <c r="BL92" i="12"/>
  <c r="BL92" i="27" s="1"/>
  <c r="M92" i="29" s="1"/>
  <c r="CX124" i="24"/>
  <c r="G94" i="22"/>
  <c r="AH94" i="22" s="1"/>
  <c r="AL92" i="22"/>
  <c r="AI92" i="22"/>
  <c r="AK92" i="22"/>
  <c r="AN92" i="22" s="1"/>
  <c r="AJ92" i="22"/>
  <c r="AM92" i="22"/>
  <c r="AK125" i="24"/>
  <c r="CD125" i="24" s="1"/>
  <c r="AL125" i="24"/>
  <c r="AM125" i="24"/>
  <c r="BR92" i="12"/>
  <c r="BR92" i="27" s="1"/>
  <c r="AJ93" i="22"/>
  <c r="AK93" i="22"/>
  <c r="AN93" i="22" s="1"/>
  <c r="AO93" i="22" s="1"/>
  <c r="BS93" i="16" s="1"/>
  <c r="AI93" i="22"/>
  <c r="AM93" i="22"/>
  <c r="AL93" i="22"/>
  <c r="X125" i="24"/>
  <c r="R127" i="17"/>
  <c r="AA126" i="17"/>
  <c r="Z126" i="17"/>
  <c r="AE126" i="17"/>
  <c r="AD126" i="17"/>
  <c r="AC126" i="17"/>
  <c r="AB126" i="17"/>
  <c r="X126" i="17"/>
  <c r="X126" i="14" s="1"/>
  <c r="W126" i="17"/>
  <c r="X126" i="19" s="1"/>
  <c r="V126" i="17"/>
  <c r="X126" i="3" s="1"/>
  <c r="U126" i="17"/>
  <c r="X126" i="7" s="1"/>
  <c r="X126" i="12" s="1"/>
  <c r="T126" i="17"/>
  <c r="S126" i="17"/>
  <c r="X126" i="15" s="1"/>
  <c r="M145" i="15"/>
  <c r="X126" i="31" l="1"/>
  <c r="X126" i="27"/>
  <c r="X126" i="16"/>
  <c r="X145" i="16" s="1"/>
  <c r="CR124" i="24"/>
  <c r="CV124" i="24"/>
  <c r="BP124" i="12" s="1"/>
  <c r="BP124" i="27" s="1"/>
  <c r="CS124" i="24"/>
  <c r="BM124" i="12" s="1"/>
  <c r="BM124" i="27" s="1"/>
  <c r="N124" i="29" s="1"/>
  <c r="CW124" i="24"/>
  <c r="BQ124" i="12" s="1"/>
  <c r="BQ124" i="27" s="1"/>
  <c r="CU124" i="24"/>
  <c r="BO124" i="12" s="1"/>
  <c r="BO124" i="27" s="1"/>
  <c r="CT124" i="24"/>
  <c r="BN124" i="12" s="1"/>
  <c r="P92" i="29"/>
  <c r="Q92" i="29"/>
  <c r="R92" i="29"/>
  <c r="S92" i="29"/>
  <c r="BC124" i="16"/>
  <c r="E124" i="29"/>
  <c r="BC124" i="27"/>
  <c r="BF124" i="16"/>
  <c r="BF124" i="27"/>
  <c r="H124" i="29"/>
  <c r="BI123" i="16"/>
  <c r="K123" i="29"/>
  <c r="BI123" i="27"/>
  <c r="BE124" i="16"/>
  <c r="BE124" i="27"/>
  <c r="G124" i="29"/>
  <c r="BH124" i="16"/>
  <c r="BH124" i="27"/>
  <c r="J124" i="29"/>
  <c r="BG124" i="16"/>
  <c r="BG124" i="27"/>
  <c r="I124" i="29"/>
  <c r="BD124" i="16"/>
  <c r="BD124" i="27"/>
  <c r="F124" i="29"/>
  <c r="BB124" i="16"/>
  <c r="D124" i="29"/>
  <c r="BB124" i="27"/>
  <c r="BQ123" i="16"/>
  <c r="BQ123" i="27"/>
  <c r="Q122" i="29"/>
  <c r="BR123" i="16"/>
  <c r="BR123" i="27"/>
  <c r="BM123" i="16"/>
  <c r="BM123" i="27"/>
  <c r="S122" i="29"/>
  <c r="BP123" i="16"/>
  <c r="BP123" i="27"/>
  <c r="R122" i="29"/>
  <c r="BO123" i="16"/>
  <c r="BO123" i="27"/>
  <c r="BN123" i="16"/>
  <c r="BN123" i="27"/>
  <c r="BL123" i="16"/>
  <c r="BL123" i="27"/>
  <c r="BJ122" i="12"/>
  <c r="BN122" i="27"/>
  <c r="P122" i="29"/>
  <c r="O92" i="29"/>
  <c r="BJ92" i="27"/>
  <c r="BP93" i="16"/>
  <c r="BP93" i="27"/>
  <c r="BK93" i="16"/>
  <c r="BK93" i="27"/>
  <c r="BN92" i="16"/>
  <c r="BO93" i="16"/>
  <c r="BO93" i="27"/>
  <c r="BU91" i="16"/>
  <c r="BL93" i="16"/>
  <c r="BL93" i="27"/>
  <c r="M93" i="29" s="1"/>
  <c r="BN93" i="16"/>
  <c r="BN93" i="27"/>
  <c r="BT91" i="16"/>
  <c r="BQ93" i="16"/>
  <c r="BQ93" i="27"/>
  <c r="BR93" i="16"/>
  <c r="BR93" i="27"/>
  <c r="BM93" i="16"/>
  <c r="BM93" i="27"/>
  <c r="N93" i="29" s="1"/>
  <c r="BT119" i="16"/>
  <c r="BU119" i="16"/>
  <c r="BT93" i="16"/>
  <c r="BU93" i="16"/>
  <c r="H124" i="22"/>
  <c r="AH124" i="22" s="1"/>
  <c r="BI124" i="12"/>
  <c r="BI124" i="31" s="1"/>
  <c r="AL123" i="22"/>
  <c r="AJ123" i="22"/>
  <c r="AM123" i="22"/>
  <c r="AK123" i="22"/>
  <c r="AN123" i="22" s="1"/>
  <c r="AO123" i="22" s="1"/>
  <c r="BS123" i="16" s="1"/>
  <c r="AI123" i="22"/>
  <c r="CQ124" i="24"/>
  <c r="BK124" i="12" s="1"/>
  <c r="BK124" i="27" s="1"/>
  <c r="AM124" i="12"/>
  <c r="AL124" i="12" a="1"/>
  <c r="AL124" i="12" s="1"/>
  <c r="AK124" i="12"/>
  <c r="AM95" i="12"/>
  <c r="AL95" i="12" a="1"/>
  <c r="AL95" i="12" s="1"/>
  <c r="AK95" i="12"/>
  <c r="BP94" i="12"/>
  <c r="BN94" i="12"/>
  <c r="BO94" i="12"/>
  <c r="BQ94" i="12"/>
  <c r="G95" i="22"/>
  <c r="G125" i="22"/>
  <c r="BK123" i="16"/>
  <c r="BJ123" i="12"/>
  <c r="BL94" i="12"/>
  <c r="BL124" i="12"/>
  <c r="BJ93" i="12"/>
  <c r="BM94" i="12"/>
  <c r="BN122" i="16"/>
  <c r="BJ122" i="16" s="1"/>
  <c r="BK94" i="12"/>
  <c r="BR94" i="12"/>
  <c r="BR124" i="12"/>
  <c r="AM122" i="22"/>
  <c r="AL122" i="22"/>
  <c r="AK122" i="22"/>
  <c r="AJ122" i="22"/>
  <c r="AI122" i="22"/>
  <c r="AY126" i="24"/>
  <c r="AZ126" i="24"/>
  <c r="CP126" i="24" s="1"/>
  <c r="BA126" i="24"/>
  <c r="BR92" i="16"/>
  <c r="BL92" i="16"/>
  <c r="AO92" i="22"/>
  <c r="BS92" i="16" s="1"/>
  <c r="BM92" i="16"/>
  <c r="BQ92" i="16"/>
  <c r="AK126" i="24"/>
  <c r="CD126" i="24" s="1"/>
  <c r="AL126" i="24"/>
  <c r="AM126" i="24"/>
  <c r="AI94" i="22"/>
  <c r="AM94" i="22"/>
  <c r="AL94" i="22"/>
  <c r="AK94" i="22"/>
  <c r="AN94" i="22" s="1"/>
  <c r="AO94" i="22" s="1"/>
  <c r="BS94" i="16" s="1"/>
  <c r="AJ94" i="22"/>
  <c r="BP92" i="16"/>
  <c r="BO92" i="16"/>
  <c r="CH125" i="24"/>
  <c r="BE125" i="12" s="1"/>
  <c r="BE125" i="31" s="1"/>
  <c r="CI125" i="24"/>
  <c r="BF125" i="12" s="1"/>
  <c r="BF125" i="31" s="1"/>
  <c r="CG125" i="24"/>
  <c r="BD125" i="12" s="1"/>
  <c r="BD125" i="31" s="1"/>
  <c r="CF125" i="24"/>
  <c r="BC125" i="12" s="1"/>
  <c r="BC125" i="31" s="1"/>
  <c r="CE125" i="24"/>
  <c r="BB125" i="12" s="1"/>
  <c r="BB125" i="31" s="1"/>
  <c r="CJ125" i="24"/>
  <c r="BG125" i="12" s="1"/>
  <c r="BG125" i="31" s="1"/>
  <c r="CK125" i="24"/>
  <c r="BH125" i="12" s="1"/>
  <c r="BH125" i="31" s="1"/>
  <c r="CL125" i="24"/>
  <c r="BK92" i="16"/>
  <c r="BJ92" i="12"/>
  <c r="X126" i="24"/>
  <c r="R128" i="17"/>
  <c r="AC127" i="17"/>
  <c r="AB127" i="17"/>
  <c r="AA127" i="17"/>
  <c r="Z127" i="17"/>
  <c r="AE127" i="17"/>
  <c r="AD127" i="17"/>
  <c r="X127" i="17"/>
  <c r="X127" i="14" s="1"/>
  <c r="W127" i="17"/>
  <c r="X127" i="19" s="1"/>
  <c r="V127" i="17"/>
  <c r="X127" i="3" s="1"/>
  <c r="U127" i="17"/>
  <c r="X127" i="7" s="1"/>
  <c r="T127" i="17"/>
  <c r="S127" i="17"/>
  <c r="X127" i="15" s="1"/>
  <c r="X127" i="12" l="1"/>
  <c r="P124" i="29"/>
  <c r="Q93" i="29"/>
  <c r="S93" i="29"/>
  <c r="Q124" i="29"/>
  <c r="R93" i="29"/>
  <c r="P93" i="29"/>
  <c r="P123" i="29"/>
  <c r="S123" i="29"/>
  <c r="R124" i="29"/>
  <c r="Q123" i="29"/>
  <c r="R123" i="29"/>
  <c r="BJ123" i="16"/>
  <c r="BD125" i="16"/>
  <c r="F125" i="29"/>
  <c r="BD125" i="27"/>
  <c r="BF125" i="16"/>
  <c r="H125" i="29"/>
  <c r="BF125" i="27"/>
  <c r="BI124" i="16"/>
  <c r="BT123" i="16" s="1"/>
  <c r="BI124" i="27"/>
  <c r="K124" i="29"/>
  <c r="BE125" i="16"/>
  <c r="BE125" i="27"/>
  <c r="G125" i="29"/>
  <c r="BH125" i="16"/>
  <c r="BH125" i="27"/>
  <c r="J125" i="29"/>
  <c r="BG125" i="16"/>
  <c r="BG125" i="27"/>
  <c r="I125" i="29"/>
  <c r="BB125" i="16"/>
  <c r="BB125" i="27"/>
  <c r="D125" i="29"/>
  <c r="BC125" i="16"/>
  <c r="BC125" i="27"/>
  <c r="E125" i="29"/>
  <c r="N123" i="29"/>
  <c r="O122" i="29"/>
  <c r="BJ122" i="27"/>
  <c r="BN124" i="16"/>
  <c r="BN124" i="27"/>
  <c r="M123" i="29"/>
  <c r="BL124" i="16"/>
  <c r="BL124" i="27"/>
  <c r="M124" i="29" s="1"/>
  <c r="O123" i="29"/>
  <c r="BJ123" i="27"/>
  <c r="BR124" i="16"/>
  <c r="BR124" i="27"/>
  <c r="BJ93" i="16"/>
  <c r="BQ94" i="16"/>
  <c r="BQ94" i="27"/>
  <c r="R94" i="29" s="1"/>
  <c r="BR94" i="16"/>
  <c r="BR94" i="27"/>
  <c r="S94" i="29" s="1"/>
  <c r="BL94" i="16"/>
  <c r="BL94" i="27"/>
  <c r="M94" i="29" s="1"/>
  <c r="BO94" i="16"/>
  <c r="BO94" i="27"/>
  <c r="P94" i="29" s="1"/>
  <c r="O93" i="29"/>
  <c r="BJ93" i="27"/>
  <c r="BK94" i="16"/>
  <c r="BK94" i="27"/>
  <c r="BN94" i="16"/>
  <c r="BN94" i="27"/>
  <c r="BP94" i="16"/>
  <c r="BP94" i="27"/>
  <c r="Q94" i="29" s="1"/>
  <c r="BM94" i="16"/>
  <c r="BM94" i="27"/>
  <c r="N94" i="29" s="1"/>
  <c r="BT92" i="16"/>
  <c r="BU92" i="16"/>
  <c r="BJ92" i="16"/>
  <c r="AK124" i="22"/>
  <c r="AN124" i="22" s="1"/>
  <c r="AO124" i="22" s="1"/>
  <c r="BS124" i="16" s="1"/>
  <c r="AJ124" i="22"/>
  <c r="AI124" i="22"/>
  <c r="AM124" i="22"/>
  <c r="AL124" i="22"/>
  <c r="AM125" i="12"/>
  <c r="AL125" i="12" a="1"/>
  <c r="AL125" i="12" s="1"/>
  <c r="AK125" i="12"/>
  <c r="AL96" i="12" a="1"/>
  <c r="AL96" i="12" s="1"/>
  <c r="AM96" i="12"/>
  <c r="AK96" i="12"/>
  <c r="BJ94" i="12"/>
  <c r="G96" i="22"/>
  <c r="G126" i="22"/>
  <c r="H125" i="22"/>
  <c r="BI125" i="12"/>
  <c r="BI125" i="31" s="1"/>
  <c r="BM124" i="16"/>
  <c r="BQ124" i="16"/>
  <c r="BK124" i="16"/>
  <c r="BJ124" i="12"/>
  <c r="BP124" i="16"/>
  <c r="AN122" i="22"/>
  <c r="BO124" i="16"/>
  <c r="CS125" i="24"/>
  <c r="BM125" i="12" s="1"/>
  <c r="BD95" i="12"/>
  <c r="BD95" i="31" s="1"/>
  <c r="CU125" i="24"/>
  <c r="BO125" i="12" s="1"/>
  <c r="BF95" i="12"/>
  <c r="BF95" i="31" s="1"/>
  <c r="CW125" i="24"/>
  <c r="BQ125" i="12" s="1"/>
  <c r="BH95" i="12"/>
  <c r="BH95" i="31" s="1"/>
  <c r="CT125" i="24"/>
  <c r="BE95" i="12"/>
  <c r="BE95" i="31" s="1"/>
  <c r="CX125" i="24"/>
  <c r="BR125" i="12" s="1"/>
  <c r="BR125" i="27" s="1"/>
  <c r="H95" i="22"/>
  <c r="AH95" i="22" s="1"/>
  <c r="BI95" i="12"/>
  <c r="BI95" i="31" s="1"/>
  <c r="CH126" i="24"/>
  <c r="CG126" i="24"/>
  <c r="BD126" i="12" s="1"/>
  <c r="BD126" i="31" s="1"/>
  <c r="CE126" i="24"/>
  <c r="BB126" i="12" s="1"/>
  <c r="BB126" i="31" s="1"/>
  <c r="CI126" i="24"/>
  <c r="BF126" i="12" s="1"/>
  <c r="BF126" i="31" s="1"/>
  <c r="CF126" i="24"/>
  <c r="BC126" i="12" s="1"/>
  <c r="BC126" i="31" s="1"/>
  <c r="CJ126" i="24"/>
  <c r="BG126" i="12" s="1"/>
  <c r="BG126" i="31" s="1"/>
  <c r="CL126" i="24"/>
  <c r="CK126" i="24"/>
  <c r="BH126" i="12" s="1"/>
  <c r="BH126" i="31" s="1"/>
  <c r="AK127" i="24"/>
  <c r="CD127" i="24" s="1"/>
  <c r="AL127" i="24"/>
  <c r="AM127" i="24"/>
  <c r="CV125" i="24"/>
  <c r="BP125" i="12" s="1"/>
  <c r="BG95" i="12"/>
  <c r="BG95" i="31" s="1"/>
  <c r="AY127" i="24"/>
  <c r="AZ127" i="24"/>
  <c r="CP127" i="24" s="1"/>
  <c r="BA127" i="24"/>
  <c r="CQ125" i="24"/>
  <c r="BB95" i="12"/>
  <c r="BB95" i="31" s="1"/>
  <c r="CE145" i="24"/>
  <c r="CR125" i="24"/>
  <c r="BL125" i="12" s="1"/>
  <c r="BC95" i="12"/>
  <c r="BC95" i="31" s="1"/>
  <c r="X127" i="24"/>
  <c r="R129" i="17"/>
  <c r="AE128" i="17"/>
  <c r="AD128" i="17"/>
  <c r="AC128" i="17"/>
  <c r="AB128" i="17"/>
  <c r="AA128" i="17"/>
  <c r="Z128" i="17"/>
  <c r="T128" i="17"/>
  <c r="S128" i="17"/>
  <c r="X128" i="15" s="1"/>
  <c r="X128" i="17"/>
  <c r="X128" i="14" s="1"/>
  <c r="W128" i="17"/>
  <c r="X128" i="19" s="1"/>
  <c r="V128" i="17"/>
  <c r="X128" i="3" s="1"/>
  <c r="U128" i="17"/>
  <c r="X127" i="31" l="1"/>
  <c r="X127" i="27"/>
  <c r="X127" i="16"/>
  <c r="CF145" i="24"/>
  <c r="S125" i="29"/>
  <c r="BU123" i="16"/>
  <c r="BH126" i="16"/>
  <c r="J126" i="29"/>
  <c r="BH126" i="27"/>
  <c r="BG126" i="16"/>
  <c r="BG145" i="16" s="1"/>
  <c r="BG126" i="27"/>
  <c r="I126" i="29"/>
  <c r="BI125" i="16"/>
  <c r="BI125" i="27"/>
  <c r="K125" i="29"/>
  <c r="BC126" i="16"/>
  <c r="BC145" i="16" s="1"/>
  <c r="BC126" i="27"/>
  <c r="E126" i="29"/>
  <c r="BF126" i="16"/>
  <c r="BF145" i="16" s="1"/>
  <c r="H126" i="29"/>
  <c r="BF126" i="27"/>
  <c r="BB126" i="16"/>
  <c r="BB145" i="16" s="1"/>
  <c r="D126" i="29"/>
  <c r="BB126" i="27"/>
  <c r="BD126" i="16"/>
  <c r="BD145" i="16" s="1"/>
  <c r="F126" i="29"/>
  <c r="BD126" i="27"/>
  <c r="BO125" i="16"/>
  <c r="BO125" i="27"/>
  <c r="BP125" i="16"/>
  <c r="BP125" i="27"/>
  <c r="BM125" i="16"/>
  <c r="BM125" i="27"/>
  <c r="S124" i="29"/>
  <c r="O124" i="29"/>
  <c r="BJ124" i="27"/>
  <c r="BL125" i="16"/>
  <c r="BL125" i="27"/>
  <c r="BQ125" i="16"/>
  <c r="BQ125" i="27"/>
  <c r="BJ94" i="16"/>
  <c r="BB95" i="16"/>
  <c r="D95" i="29"/>
  <c r="D142" i="29" s="1"/>
  <c r="BB95" i="27"/>
  <c r="BB142" i="27" s="1"/>
  <c r="BE95" i="16"/>
  <c r="BE95" i="27"/>
  <c r="BE142" i="27" s="1"/>
  <c r="G95" i="29"/>
  <c r="G142" i="29" s="1"/>
  <c r="O94" i="29"/>
  <c r="BJ94" i="27"/>
  <c r="BC95" i="16"/>
  <c r="BC95" i="27"/>
  <c r="BC142" i="27" s="1"/>
  <c r="E95" i="29"/>
  <c r="E142" i="29" s="1"/>
  <c r="BF95" i="16"/>
  <c r="BF95" i="27"/>
  <c r="BF142" i="27" s="1"/>
  <c r="H95" i="29"/>
  <c r="H142" i="29" s="1"/>
  <c r="BH95" i="16"/>
  <c r="J95" i="29"/>
  <c r="J142" i="29" s="1"/>
  <c r="BH95" i="27"/>
  <c r="BH142" i="27" s="1"/>
  <c r="BG95" i="16"/>
  <c r="I95" i="29"/>
  <c r="I142" i="29" s="1"/>
  <c r="BG95" i="27"/>
  <c r="BG142" i="27" s="1"/>
  <c r="BI95" i="16"/>
  <c r="BI95" i="27"/>
  <c r="BI142" i="27" s="1"/>
  <c r="K95" i="29"/>
  <c r="K142" i="29" s="1"/>
  <c r="BD95" i="16"/>
  <c r="BD95" i="27"/>
  <c r="BD142" i="27" s="1"/>
  <c r="F95" i="29"/>
  <c r="F142" i="29" s="1"/>
  <c r="BT124" i="16"/>
  <c r="BU124" i="16"/>
  <c r="BJ124" i="16"/>
  <c r="CJ145" i="24"/>
  <c r="AM97" i="12"/>
  <c r="AL97" i="12" a="1"/>
  <c r="AL97" i="12" s="1"/>
  <c r="AK97" i="12"/>
  <c r="AT145" i="12"/>
  <c r="AM126" i="12"/>
  <c r="AL126" i="12" a="1"/>
  <c r="AL126" i="12" s="1"/>
  <c r="AK126" i="12"/>
  <c r="BN95" i="12"/>
  <c r="BN95" i="27" s="1"/>
  <c r="BN125" i="12"/>
  <c r="BN125" i="27" s="1"/>
  <c r="BF145" i="12"/>
  <c r="BF190" i="12" s="1"/>
  <c r="BG145" i="12"/>
  <c r="BG190" i="12" s="1"/>
  <c r="G97" i="22"/>
  <c r="G127" i="22"/>
  <c r="BD145" i="12"/>
  <c r="BD190" i="12" s="1"/>
  <c r="AH125" i="22"/>
  <c r="CH145" i="24"/>
  <c r="BE126" i="12"/>
  <c r="BE126" i="31" s="1"/>
  <c r="BC145" i="12"/>
  <c r="BC190" i="12" s="1"/>
  <c r="CL145" i="24"/>
  <c r="H126" i="22"/>
  <c r="AH126" i="22" s="1"/>
  <c r="BI126" i="12"/>
  <c r="BI126" i="31" s="1"/>
  <c r="BK95" i="12"/>
  <c r="BK125" i="12"/>
  <c r="BK125" i="27" s="1"/>
  <c r="BR125" i="16"/>
  <c r="BB145" i="12"/>
  <c r="BB190" i="12" s="1"/>
  <c r="BH145" i="12"/>
  <c r="BH190" i="12" s="1"/>
  <c r="AO122" i="22"/>
  <c r="BS122" i="16" s="1"/>
  <c r="BH145" i="16"/>
  <c r="CV126" i="24"/>
  <c r="CV145" i="24" s="1"/>
  <c r="BG96" i="12"/>
  <c r="AI95" i="22"/>
  <c r="AM95" i="22"/>
  <c r="AL95" i="22"/>
  <c r="AJ95" i="22"/>
  <c r="AK95" i="22"/>
  <c r="AN95" i="22" s="1"/>
  <c r="AO95" i="22" s="1"/>
  <c r="BS95" i="16" s="1"/>
  <c r="AK128" i="24"/>
  <c r="CD128" i="24" s="1"/>
  <c r="AL128" i="24"/>
  <c r="AM128" i="24"/>
  <c r="CR126" i="24"/>
  <c r="CR145" i="24" s="1"/>
  <c r="BC96" i="12"/>
  <c r="BR95" i="12"/>
  <c r="BQ95" i="12"/>
  <c r="AZ128" i="24"/>
  <c r="CP128" i="24" s="1"/>
  <c r="BA128" i="24"/>
  <c r="AY128" i="24"/>
  <c r="BL95" i="12"/>
  <c r="CH127" i="24"/>
  <c r="BE127" i="12" s="1"/>
  <c r="BE127" i="31" s="1"/>
  <c r="CJ127" i="24"/>
  <c r="BG127" i="12" s="1"/>
  <c r="BG127" i="31" s="1"/>
  <c r="CF127" i="24"/>
  <c r="BC127" i="12" s="1"/>
  <c r="BC127" i="31" s="1"/>
  <c r="CE127" i="24"/>
  <c r="BB127" i="12" s="1"/>
  <c r="BB127" i="31" s="1"/>
  <c r="CI127" i="24"/>
  <c r="BF127" i="12" s="1"/>
  <c r="BF127" i="31" s="1"/>
  <c r="CG127" i="24"/>
  <c r="BD127" i="12" s="1"/>
  <c r="BD127" i="31" s="1"/>
  <c r="CL127" i="24"/>
  <c r="CK127" i="24"/>
  <c r="BH127" i="12" s="1"/>
  <c r="BH127" i="31" s="1"/>
  <c r="CU126" i="24"/>
  <c r="CU145" i="24" s="1"/>
  <c r="BF96" i="12"/>
  <c r="CI145" i="24"/>
  <c r="CQ126" i="24"/>
  <c r="BK126" i="12" s="1"/>
  <c r="BK126" i="27" s="1"/>
  <c r="BB96" i="12"/>
  <c r="BB96" i="31" s="1"/>
  <c r="CS126" i="24"/>
  <c r="CS145" i="24" s="1"/>
  <c r="BD96" i="12"/>
  <c r="BO95" i="12"/>
  <c r="CT126" i="24"/>
  <c r="BN126" i="12" s="1"/>
  <c r="BE96" i="12"/>
  <c r="CG145" i="24"/>
  <c r="BP95" i="12"/>
  <c r="CW126" i="24"/>
  <c r="BH96" i="12"/>
  <c r="CX126" i="24"/>
  <c r="H96" i="22"/>
  <c r="BI96" i="12"/>
  <c r="CK145" i="24"/>
  <c r="BM95" i="12"/>
  <c r="X128" i="24"/>
  <c r="X128" i="7"/>
  <c r="X128" i="12" s="1"/>
  <c r="R130" i="17"/>
  <c r="AE129" i="17"/>
  <c r="AD129" i="17"/>
  <c r="AC129" i="17"/>
  <c r="AB129" i="17"/>
  <c r="AA129" i="17"/>
  <c r="Z129" i="17"/>
  <c r="V129" i="17"/>
  <c r="X129" i="3" s="1"/>
  <c r="U129" i="17"/>
  <c r="X129" i="7" s="1"/>
  <c r="X129" i="12" s="1"/>
  <c r="T129" i="17"/>
  <c r="S129" i="17"/>
  <c r="X129" i="15" s="1"/>
  <c r="X129" i="17"/>
  <c r="X129" i="14" s="1"/>
  <c r="W129" i="17"/>
  <c r="X129" i="19" s="1"/>
  <c r="X129" i="31" l="1"/>
  <c r="X129" i="27"/>
  <c r="X129" i="16"/>
  <c r="X128" i="31"/>
  <c r="X128" i="27"/>
  <c r="X128" i="16"/>
  <c r="H147" i="22"/>
  <c r="AI147" i="22" s="1"/>
  <c r="BD96" i="31"/>
  <c r="BH96" i="31"/>
  <c r="BG96" i="31"/>
  <c r="BE96" i="31"/>
  <c r="BF96" i="31"/>
  <c r="O110" i="30"/>
  <c r="O110" i="32"/>
  <c r="BC96" i="31"/>
  <c r="BI96" i="31"/>
  <c r="BI126" i="16"/>
  <c r="BI126" i="27"/>
  <c r="K126" i="29"/>
  <c r="BB127" i="16"/>
  <c r="BB127" i="27"/>
  <c r="D127" i="29"/>
  <c r="BE126" i="16"/>
  <c r="BE145" i="16" s="1"/>
  <c r="G126" i="29"/>
  <c r="G145" i="29" s="1"/>
  <c r="BE126" i="27"/>
  <c r="BF127" i="16"/>
  <c r="BF127" i="27"/>
  <c r="H127" i="29"/>
  <c r="BC127" i="16"/>
  <c r="E127" i="29"/>
  <c r="BC127" i="27"/>
  <c r="BG127" i="16"/>
  <c r="BG127" i="27"/>
  <c r="I127" i="29"/>
  <c r="BH127" i="16"/>
  <c r="BH127" i="27"/>
  <c r="J127" i="29"/>
  <c r="BN142" i="12"/>
  <c r="BD127" i="16"/>
  <c r="BD127" i="27"/>
  <c r="F127" i="29"/>
  <c r="BE127" i="16"/>
  <c r="G127" i="29"/>
  <c r="BE127" i="27"/>
  <c r="V167" i="26"/>
  <c r="T167" i="30"/>
  <c r="Q167" i="26"/>
  <c r="O167" i="30"/>
  <c r="T167" i="26"/>
  <c r="R167" i="30"/>
  <c r="R167" i="26"/>
  <c r="P167" i="30"/>
  <c r="U167" i="26"/>
  <c r="S167" i="30"/>
  <c r="BN95" i="16"/>
  <c r="M125" i="29"/>
  <c r="N125" i="29"/>
  <c r="BN126" i="16"/>
  <c r="BN126" i="27"/>
  <c r="BN145" i="27" s="1"/>
  <c r="Q125" i="29"/>
  <c r="R125" i="29"/>
  <c r="O125" i="29"/>
  <c r="BJ125" i="27"/>
  <c r="P125" i="29"/>
  <c r="BU94" i="16"/>
  <c r="BT94" i="16"/>
  <c r="BP95" i="16"/>
  <c r="BP95" i="27"/>
  <c r="BM95" i="16"/>
  <c r="BM95" i="27"/>
  <c r="BQ95" i="16"/>
  <c r="BQ95" i="27"/>
  <c r="BK95" i="16"/>
  <c r="BK95" i="27"/>
  <c r="BK142" i="27" s="1"/>
  <c r="BR95" i="16"/>
  <c r="BR95" i="27"/>
  <c r="BO95" i="16"/>
  <c r="BO95" i="27"/>
  <c r="O95" i="29"/>
  <c r="O142" i="29" s="1"/>
  <c r="BN142" i="27"/>
  <c r="BL95" i="16"/>
  <c r="BL95" i="27"/>
  <c r="Q110" i="26"/>
  <c r="E96" i="29"/>
  <c r="BC96" i="27"/>
  <c r="J96" i="29"/>
  <c r="BH96" i="27"/>
  <c r="F96" i="29"/>
  <c r="BD96" i="27"/>
  <c r="BG96" i="27"/>
  <c r="I96" i="29"/>
  <c r="BE96" i="27"/>
  <c r="G96" i="29"/>
  <c r="BB96" i="16"/>
  <c r="BB96" i="27"/>
  <c r="D96" i="29"/>
  <c r="K96" i="29"/>
  <c r="BI96" i="27"/>
  <c r="BF96" i="27"/>
  <c r="H96" i="29"/>
  <c r="BT122" i="16"/>
  <c r="BU122" i="16"/>
  <c r="BE96" i="16"/>
  <c r="BI96" i="16"/>
  <c r="BF96" i="16"/>
  <c r="BC96" i="16"/>
  <c r="BG96" i="16"/>
  <c r="BH96" i="16"/>
  <c r="BD96" i="16"/>
  <c r="AM127" i="12"/>
  <c r="AL127" i="12" a="1"/>
  <c r="AL127" i="12" s="1"/>
  <c r="AK127" i="12"/>
  <c r="AL106" i="12" a="1"/>
  <c r="AL106" i="12" s="1"/>
  <c r="AM106" i="12"/>
  <c r="AK106" i="12"/>
  <c r="BQ96" i="12"/>
  <c r="BQ96" i="27" s="1"/>
  <c r="BQ126" i="12"/>
  <c r="BO96" i="12"/>
  <c r="BO96" i="27" s="1"/>
  <c r="BO126" i="12"/>
  <c r="BK125" i="16"/>
  <c r="BJ125" i="12"/>
  <c r="BK145" i="12"/>
  <c r="AL126" i="22"/>
  <c r="AM126" i="22"/>
  <c r="AI126" i="22"/>
  <c r="AJ126" i="22"/>
  <c r="AK126" i="22"/>
  <c r="AN126" i="22" s="1"/>
  <c r="AO126" i="22" s="1"/>
  <c r="BS126" i="16" s="1"/>
  <c r="BE145" i="12"/>
  <c r="BE190" i="12" s="1"/>
  <c r="BI145" i="12"/>
  <c r="BI190" i="12" s="1"/>
  <c r="BU190" i="12" s="1"/>
  <c r="H127" i="22"/>
  <c r="BI127" i="12"/>
  <c r="BI127" i="31" s="1"/>
  <c r="BL96" i="12"/>
  <c r="BL96" i="27" s="1"/>
  <c r="BL126" i="12"/>
  <c r="AL125" i="22"/>
  <c r="AK125" i="22"/>
  <c r="AM125" i="22"/>
  <c r="AI125" i="22"/>
  <c r="AJ125" i="22"/>
  <c r="AH147" i="22"/>
  <c r="BI145" i="16"/>
  <c r="BM96" i="12"/>
  <c r="BM96" i="27" s="1"/>
  <c r="BM126" i="12"/>
  <c r="BR96" i="12"/>
  <c r="BR96" i="27" s="1"/>
  <c r="BR126" i="12"/>
  <c r="BK126" i="16"/>
  <c r="BP96" i="12"/>
  <c r="BP96" i="27" s="1"/>
  <c r="BP126" i="12"/>
  <c r="AH127" i="22"/>
  <c r="BN125" i="16"/>
  <c r="BJ125" i="16" s="1"/>
  <c r="BN145" i="12"/>
  <c r="G106" i="22"/>
  <c r="G128" i="22"/>
  <c r="CX127" i="24"/>
  <c r="BR127" i="12" s="1"/>
  <c r="BR127" i="27" s="1"/>
  <c r="H97" i="22"/>
  <c r="AH97" i="22" s="1"/>
  <c r="BI97" i="12"/>
  <c r="BI97" i="31" s="1"/>
  <c r="AH96" i="22"/>
  <c r="AK96" i="22" s="1"/>
  <c r="CS127" i="24"/>
  <c r="BM127" i="12" s="1"/>
  <c r="BM127" i="27" s="1"/>
  <c r="BD97" i="12"/>
  <c r="BD97" i="31" s="1"/>
  <c r="AK129" i="24"/>
  <c r="CD129" i="24" s="1"/>
  <c r="AL129" i="24"/>
  <c r="AM129" i="24"/>
  <c r="BJ95" i="12"/>
  <c r="CT145" i="24"/>
  <c r="BN96" i="12"/>
  <c r="BN96" i="27" s="1"/>
  <c r="CQ145" i="24"/>
  <c r="BK96" i="12"/>
  <c r="BK96" i="27" s="1"/>
  <c r="CU127" i="24"/>
  <c r="BO127" i="12" s="1"/>
  <c r="BO127" i="27" s="1"/>
  <c r="BF97" i="12"/>
  <c r="BF97" i="31" s="1"/>
  <c r="AZ129" i="24"/>
  <c r="CP129" i="24" s="1"/>
  <c r="BA129" i="24"/>
  <c r="AY129" i="24"/>
  <c r="CQ127" i="24"/>
  <c r="BB97" i="12"/>
  <c r="BB97" i="31" s="1"/>
  <c r="CR127" i="24"/>
  <c r="BL127" i="12" s="1"/>
  <c r="BL127" i="27" s="1"/>
  <c r="BC97" i="12"/>
  <c r="BC97" i="31" s="1"/>
  <c r="CV127" i="24"/>
  <c r="BP127" i="12" s="1"/>
  <c r="BP127" i="27" s="1"/>
  <c r="BG97" i="12"/>
  <c r="BG97" i="31" s="1"/>
  <c r="CW145" i="24"/>
  <c r="CT127" i="24"/>
  <c r="BN127" i="12" s="1"/>
  <c r="BN127" i="27" s="1"/>
  <c r="BE97" i="12"/>
  <c r="BE97" i="31" s="1"/>
  <c r="CH128" i="24"/>
  <c r="BE128" i="12" s="1"/>
  <c r="BE128" i="31" s="1"/>
  <c r="CI128" i="24"/>
  <c r="BF128" i="12" s="1"/>
  <c r="BF128" i="31" s="1"/>
  <c r="CG128" i="24"/>
  <c r="BD128" i="12" s="1"/>
  <c r="BD128" i="31" s="1"/>
  <c r="CE128" i="24"/>
  <c r="BB128" i="12" s="1"/>
  <c r="BB128" i="31" s="1"/>
  <c r="CF128" i="24"/>
  <c r="BC128" i="12" s="1"/>
  <c r="BC128" i="31" s="1"/>
  <c r="CJ128" i="24"/>
  <c r="BG128" i="12" s="1"/>
  <c r="BG128" i="31" s="1"/>
  <c r="CL128" i="24"/>
  <c r="CK128" i="24"/>
  <c r="BH128" i="12" s="1"/>
  <c r="BH128" i="31" s="1"/>
  <c r="CW127" i="24"/>
  <c r="BQ127" i="12" s="1"/>
  <c r="BQ127" i="27" s="1"/>
  <c r="BH97" i="12"/>
  <c r="BH97" i="31" s="1"/>
  <c r="CX145" i="24"/>
  <c r="X129" i="24"/>
  <c r="R131" i="17"/>
  <c r="AA130" i="17"/>
  <c r="Z130" i="17"/>
  <c r="AE130" i="17"/>
  <c r="AD130" i="17"/>
  <c r="AC130" i="17"/>
  <c r="AB130" i="17"/>
  <c r="X130" i="17"/>
  <c r="X130" i="14" s="1"/>
  <c r="W130" i="17"/>
  <c r="X130" i="19" s="1"/>
  <c r="V130" i="17"/>
  <c r="X130" i="3" s="1"/>
  <c r="U130" i="17"/>
  <c r="X130" i="7" s="1"/>
  <c r="X130" i="12" s="1"/>
  <c r="T130" i="17"/>
  <c r="S130" i="17"/>
  <c r="X130" i="15" s="1"/>
  <c r="X130" i="16" l="1"/>
  <c r="X130" i="31"/>
  <c r="X130" i="27"/>
  <c r="BB128" i="16"/>
  <c r="D128" i="29"/>
  <c r="BB128" i="27"/>
  <c r="BI127" i="16"/>
  <c r="BT126" i="16" s="1"/>
  <c r="BI127" i="27"/>
  <c r="BJ127" i="27" s="1"/>
  <c r="K127" i="29"/>
  <c r="BF128" i="16"/>
  <c r="H128" i="29"/>
  <c r="BF128" i="27"/>
  <c r="BE128" i="16"/>
  <c r="G128" i="29"/>
  <c r="BE128" i="27"/>
  <c r="BG128" i="16"/>
  <c r="BG128" i="27"/>
  <c r="I128" i="29"/>
  <c r="BH128" i="16"/>
  <c r="BH128" i="27"/>
  <c r="J128" i="29"/>
  <c r="BC128" i="16"/>
  <c r="BC128" i="27"/>
  <c r="E128" i="29"/>
  <c r="BD128" i="16"/>
  <c r="F128" i="29"/>
  <c r="BD128" i="27"/>
  <c r="S167" i="26"/>
  <c r="Q167" i="30"/>
  <c r="W167" i="26"/>
  <c r="U167" i="30"/>
  <c r="O127" i="29"/>
  <c r="BO126" i="16"/>
  <c r="BO126" i="27"/>
  <c r="O126" i="29"/>
  <c r="BM126" i="16"/>
  <c r="BM126" i="27"/>
  <c r="N126" i="29" s="1"/>
  <c r="N127" i="29"/>
  <c r="BL126" i="16"/>
  <c r="BL126" i="27"/>
  <c r="M126" i="29" s="1"/>
  <c r="Q127" i="29"/>
  <c r="BQ126" i="16"/>
  <c r="BQ126" i="27"/>
  <c r="R126" i="29" s="1"/>
  <c r="BP126" i="16"/>
  <c r="BP126" i="27"/>
  <c r="Q126" i="29" s="1"/>
  <c r="P127" i="29"/>
  <c r="BR126" i="16"/>
  <c r="BR126" i="27"/>
  <c r="M127" i="29"/>
  <c r="R127" i="29"/>
  <c r="S127" i="29"/>
  <c r="BJ95" i="27"/>
  <c r="BJ95" i="16"/>
  <c r="R95" i="29"/>
  <c r="R142" i="29" s="1"/>
  <c r="BQ142" i="27"/>
  <c r="P95" i="29"/>
  <c r="P142" i="29" s="1"/>
  <c r="BO142" i="27"/>
  <c r="AW142" i="27"/>
  <c r="N95" i="29"/>
  <c r="N142" i="29" s="1"/>
  <c r="BM142" i="27"/>
  <c r="S95" i="29"/>
  <c r="S142" i="29" s="1"/>
  <c r="BR142" i="27"/>
  <c r="M95" i="29"/>
  <c r="M142" i="29" s="1"/>
  <c r="BL142" i="27"/>
  <c r="Q95" i="29"/>
  <c r="Q142" i="29" s="1"/>
  <c r="BP142" i="27"/>
  <c r="BE97" i="16"/>
  <c r="BE97" i="27"/>
  <c r="G97" i="29"/>
  <c r="BJ96" i="27"/>
  <c r="S96" i="29"/>
  <c r="BD97" i="16"/>
  <c r="BD97" i="27"/>
  <c r="F97" i="29"/>
  <c r="BG97" i="16"/>
  <c r="BG97" i="27"/>
  <c r="I97" i="29"/>
  <c r="N96" i="29"/>
  <c r="P96" i="29"/>
  <c r="M96" i="29"/>
  <c r="O96" i="29"/>
  <c r="R96" i="29"/>
  <c r="BC97" i="16"/>
  <c r="BC97" i="27"/>
  <c r="E97" i="29"/>
  <c r="BF97" i="16"/>
  <c r="BF97" i="27"/>
  <c r="H97" i="29"/>
  <c r="K97" i="29"/>
  <c r="BI97" i="27"/>
  <c r="BH97" i="16"/>
  <c r="J97" i="29"/>
  <c r="BH97" i="27"/>
  <c r="Q96" i="29"/>
  <c r="BB97" i="16"/>
  <c r="D97" i="29"/>
  <c r="BB97" i="27"/>
  <c r="BY190" i="12"/>
  <c r="BX190" i="12"/>
  <c r="BW190" i="12"/>
  <c r="BV190" i="12"/>
  <c r="BT95" i="16"/>
  <c r="BU95" i="16"/>
  <c r="BQ96" i="16"/>
  <c r="BP96" i="16"/>
  <c r="BR96" i="16"/>
  <c r="BM96" i="16"/>
  <c r="BO96" i="16"/>
  <c r="BL96" i="16"/>
  <c r="BI97" i="16"/>
  <c r="AL128" i="12" a="1"/>
  <c r="AL128" i="12" s="1"/>
  <c r="AM128" i="12"/>
  <c r="AK128" i="12"/>
  <c r="AL98" i="12" a="1"/>
  <c r="AL98" i="12" s="1"/>
  <c r="AM98" i="12"/>
  <c r="AK98" i="12"/>
  <c r="AL147" i="22"/>
  <c r="AM147" i="22"/>
  <c r="AJ147" i="22"/>
  <c r="BL127" i="16"/>
  <c r="G98" i="22"/>
  <c r="G129" i="22"/>
  <c r="BM127" i="16"/>
  <c r="BR127" i="16"/>
  <c r="AJ127" i="22"/>
  <c r="AK127" i="22"/>
  <c r="AI127" i="22"/>
  <c r="AM127" i="22"/>
  <c r="AL127" i="22"/>
  <c r="BQ127" i="16"/>
  <c r="BK97" i="12"/>
  <c r="BK127" i="12"/>
  <c r="BK127" i="27" s="1"/>
  <c r="BO127" i="16"/>
  <c r="BP127" i="16"/>
  <c r="AN125" i="22"/>
  <c r="AK147" i="22"/>
  <c r="BK176" i="12"/>
  <c r="BK160" i="12"/>
  <c r="BJ126" i="12"/>
  <c r="H128" i="22"/>
  <c r="AH128" i="22" s="1"/>
  <c r="BI128" i="12"/>
  <c r="BI128" i="31" s="1"/>
  <c r="BN127" i="16"/>
  <c r="BN176" i="12"/>
  <c r="BN160" i="12"/>
  <c r="BA130" i="24"/>
  <c r="AY130" i="24"/>
  <c r="AZ130" i="24"/>
  <c r="CP130" i="24" s="1"/>
  <c r="CQ128" i="24"/>
  <c r="BK128" i="12" s="1"/>
  <c r="BK128" i="27" s="1"/>
  <c r="BB106" i="12"/>
  <c r="BB106" i="31" s="1"/>
  <c r="BL97" i="12"/>
  <c r="BL97" i="27" s="1"/>
  <c r="M97" i="29" s="1"/>
  <c r="BK96" i="16"/>
  <c r="BJ96" i="12"/>
  <c r="CE129" i="24"/>
  <c r="BB129" i="12" s="1"/>
  <c r="BB129" i="31" s="1"/>
  <c r="CH129" i="24"/>
  <c r="BE129" i="12" s="1"/>
  <c r="BE129" i="31" s="1"/>
  <c r="CI129" i="24"/>
  <c r="BF129" i="12" s="1"/>
  <c r="BF129" i="31" s="1"/>
  <c r="CJ129" i="24"/>
  <c r="BG129" i="12" s="1"/>
  <c r="BG129" i="31" s="1"/>
  <c r="CL129" i="24"/>
  <c r="CG129" i="24"/>
  <c r="BD129" i="12" s="1"/>
  <c r="BD129" i="31" s="1"/>
  <c r="CF129" i="24"/>
  <c r="BC129" i="12" s="1"/>
  <c r="BC129" i="31" s="1"/>
  <c r="CK129" i="24"/>
  <c r="BH129" i="12" s="1"/>
  <c r="BH129" i="31" s="1"/>
  <c r="CS128" i="24"/>
  <c r="BD106" i="12"/>
  <c r="BD106" i="31" s="1"/>
  <c r="AK130" i="24"/>
  <c r="CD130" i="24" s="1"/>
  <c r="AL130" i="24"/>
  <c r="AM130" i="24"/>
  <c r="CU128" i="24"/>
  <c r="BF106" i="12"/>
  <c r="BF106" i="31" s="1"/>
  <c r="BN96" i="16"/>
  <c r="AG117" i="26" s="1"/>
  <c r="AM97" i="22"/>
  <c r="AK97" i="22"/>
  <c r="AN97" i="22" s="1"/>
  <c r="AO97" i="22" s="1"/>
  <c r="BS97" i="16" s="1"/>
  <c r="AI97" i="22"/>
  <c r="AL97" i="22"/>
  <c r="AJ97" i="22"/>
  <c r="CT128" i="24"/>
  <c r="BE106" i="12"/>
  <c r="BE106" i="31" s="1"/>
  <c r="CX128" i="24"/>
  <c r="H106" i="22"/>
  <c r="AH106" i="22" s="1"/>
  <c r="BI106" i="12"/>
  <c r="BI106" i="31" s="1"/>
  <c r="BR97" i="12"/>
  <c r="BR97" i="27" s="1"/>
  <c r="CW128" i="24"/>
  <c r="BH106" i="12"/>
  <c r="BH106" i="31" s="1"/>
  <c r="CV128" i="24"/>
  <c r="BG106" i="12"/>
  <c r="BG106" i="31" s="1"/>
  <c r="BN97" i="12"/>
  <c r="BP97" i="12"/>
  <c r="BP97" i="27" s="1"/>
  <c r="AI96" i="22"/>
  <c r="AM96" i="22"/>
  <c r="AL96" i="22"/>
  <c r="AJ96" i="22"/>
  <c r="BQ97" i="12"/>
  <c r="BQ97" i="27" s="1"/>
  <c r="CR128" i="24"/>
  <c r="BC106" i="12"/>
  <c r="BC106" i="31" s="1"/>
  <c r="BO97" i="12"/>
  <c r="BO97" i="27" s="1"/>
  <c r="BM97" i="12"/>
  <c r="BM97" i="27" s="1"/>
  <c r="N97" i="29" s="1"/>
  <c r="X130" i="24"/>
  <c r="R132" i="17"/>
  <c r="AC131" i="17"/>
  <c r="AB131" i="17"/>
  <c r="AA131" i="17"/>
  <c r="Z131" i="17"/>
  <c r="AE131" i="17"/>
  <c r="AD131" i="17"/>
  <c r="X131" i="17"/>
  <c r="X131" i="14" s="1"/>
  <c r="W131" i="17"/>
  <c r="X131" i="19" s="1"/>
  <c r="V131" i="17"/>
  <c r="X131" i="3" s="1"/>
  <c r="U131" i="17"/>
  <c r="X131" i="7" s="1"/>
  <c r="X131" i="12" s="1"/>
  <c r="T131" i="17"/>
  <c r="S131" i="17"/>
  <c r="X131" i="15" s="1"/>
  <c r="X131" i="16" l="1"/>
  <c r="X131" i="31"/>
  <c r="X131" i="27"/>
  <c r="P97" i="29"/>
  <c r="S97" i="29"/>
  <c r="Q97" i="29"/>
  <c r="R97" i="29"/>
  <c r="BU126" i="16"/>
  <c r="BE129" i="16"/>
  <c r="BE129" i="27"/>
  <c r="G129" i="29"/>
  <c r="BH129" i="16"/>
  <c r="J129" i="29"/>
  <c r="BH129" i="27"/>
  <c r="BB129" i="16"/>
  <c r="BB129" i="27"/>
  <c r="D129" i="29"/>
  <c r="BC129" i="16"/>
  <c r="E129" i="29"/>
  <c r="BC129" i="27"/>
  <c r="BG129" i="16"/>
  <c r="BG129" i="27"/>
  <c r="I129" i="29"/>
  <c r="BI128" i="16"/>
  <c r="BI128" i="27"/>
  <c r="K128" i="29"/>
  <c r="BD129" i="16"/>
  <c r="BD129" i="27"/>
  <c r="F129" i="29"/>
  <c r="BF129" i="16"/>
  <c r="BF129" i="27"/>
  <c r="H129" i="29"/>
  <c r="BJ126" i="16"/>
  <c r="BJ126" i="27"/>
  <c r="S126" i="29"/>
  <c r="BR145" i="27"/>
  <c r="P126" i="29"/>
  <c r="BO145" i="27"/>
  <c r="BJ142" i="27"/>
  <c r="BD106" i="16"/>
  <c r="BD106" i="27"/>
  <c r="F106" i="29"/>
  <c r="BK97" i="16"/>
  <c r="BK97" i="27"/>
  <c r="BC106" i="16"/>
  <c r="BC106" i="27"/>
  <c r="E106" i="29"/>
  <c r="BN97" i="16"/>
  <c r="BN97" i="27"/>
  <c r="BH106" i="16"/>
  <c r="BH106" i="27"/>
  <c r="J106" i="29"/>
  <c r="BI106" i="16"/>
  <c r="K106" i="29"/>
  <c r="BI106" i="27"/>
  <c r="BG106" i="16"/>
  <c r="BG106" i="27"/>
  <c r="I106" i="29"/>
  <c r="BE106" i="16"/>
  <c r="BE106" i="27"/>
  <c r="G106" i="29"/>
  <c r="BF106" i="16"/>
  <c r="BF106" i="27"/>
  <c r="H106" i="29"/>
  <c r="BB106" i="16"/>
  <c r="BB106" i="27"/>
  <c r="D106" i="29"/>
  <c r="T96" i="29"/>
  <c r="CB190" i="12"/>
  <c r="CA190" i="12"/>
  <c r="BZ190" i="12"/>
  <c r="BN190" i="12"/>
  <c r="Y189" i="26"/>
  <c r="BK190" i="12"/>
  <c r="BJ96" i="16"/>
  <c r="AI117" i="26"/>
  <c r="AA189" i="26"/>
  <c r="AK117" i="26"/>
  <c r="AC189" i="26"/>
  <c r="AH117" i="26"/>
  <c r="Z189" i="26"/>
  <c r="BJ127" i="16"/>
  <c r="AJ117" i="26"/>
  <c r="AB189" i="26"/>
  <c r="AM129" i="12"/>
  <c r="AL129" i="12" a="1"/>
  <c r="AL129" i="12" s="1"/>
  <c r="AK129" i="12"/>
  <c r="AL99" i="12" a="1"/>
  <c r="AL99" i="12" s="1"/>
  <c r="AM99" i="12"/>
  <c r="AK99" i="12"/>
  <c r="AI128" i="22"/>
  <c r="AM128" i="22"/>
  <c r="AL128" i="22"/>
  <c r="AJ128" i="22"/>
  <c r="AK128" i="22"/>
  <c r="AN128" i="22" s="1"/>
  <c r="AO128" i="22" s="1"/>
  <c r="G99" i="22"/>
  <c r="G130" i="22"/>
  <c r="BK127" i="16"/>
  <c r="BJ127" i="12"/>
  <c r="BM106" i="12"/>
  <c r="BM128" i="12"/>
  <c r="BM128" i="27" s="1"/>
  <c r="AO125" i="22"/>
  <c r="BS125" i="16" s="1"/>
  <c r="AN147" i="22"/>
  <c r="AO147" i="22" s="1"/>
  <c r="BP106" i="12"/>
  <c r="BP128" i="12"/>
  <c r="BP128" i="27" s="1"/>
  <c r="BN106" i="12"/>
  <c r="BN128" i="12"/>
  <c r="BN128" i="27" s="1"/>
  <c r="BO106" i="12"/>
  <c r="BO128" i="12"/>
  <c r="BO128" i="27" s="1"/>
  <c r="BQ106" i="12"/>
  <c r="BQ128" i="12"/>
  <c r="BQ128" i="27" s="1"/>
  <c r="BL106" i="12"/>
  <c r="BL128" i="12"/>
  <c r="BL128" i="27" s="1"/>
  <c r="BR106" i="12"/>
  <c r="BR128" i="12"/>
  <c r="BR128" i="27" s="1"/>
  <c r="H129" i="22"/>
  <c r="AH129" i="22" s="1"/>
  <c r="BI129" i="12"/>
  <c r="BI129" i="31" s="1"/>
  <c r="AN127" i="22"/>
  <c r="BK128" i="16"/>
  <c r="BJ97" i="12"/>
  <c r="CU129" i="24"/>
  <c r="BO129" i="12" s="1"/>
  <c r="BF98" i="12"/>
  <c r="BF98" i="31" s="1"/>
  <c r="CT129" i="24"/>
  <c r="BN129" i="12" s="1"/>
  <c r="BE98" i="12"/>
  <c r="BE98" i="31" s="1"/>
  <c r="CQ129" i="24"/>
  <c r="BB98" i="12"/>
  <c r="BB98" i="31" s="1"/>
  <c r="AI106" i="22"/>
  <c r="AJ106" i="22"/>
  <c r="AK106" i="22"/>
  <c r="AN106" i="22" s="1"/>
  <c r="AO106" i="22" s="1"/>
  <c r="BS106" i="16" s="1"/>
  <c r="AL106" i="22"/>
  <c r="AM106" i="22"/>
  <c r="CW129" i="24"/>
  <c r="BQ129" i="12" s="1"/>
  <c r="BH98" i="12"/>
  <c r="BH98" i="31" s="1"/>
  <c r="BK106" i="12"/>
  <c r="BK106" i="27" s="1"/>
  <c r="CR129" i="24"/>
  <c r="BL129" i="12" s="1"/>
  <c r="BC98" i="12"/>
  <c r="BC98" i="31" s="1"/>
  <c r="BO97" i="16"/>
  <c r="AK131" i="24"/>
  <c r="CD131" i="24" s="1"/>
  <c r="AL131" i="24"/>
  <c r="AM131" i="24"/>
  <c r="BA131" i="24"/>
  <c r="AY131" i="24"/>
  <c r="AZ131" i="24"/>
  <c r="CP131" i="24" s="1"/>
  <c r="BM97" i="16"/>
  <c r="BQ97" i="16"/>
  <c r="BP97" i="16"/>
  <c r="BR97" i="16"/>
  <c r="CH130" i="24"/>
  <c r="BE130" i="12" s="1"/>
  <c r="BE130" i="31" s="1"/>
  <c r="CE130" i="24"/>
  <c r="BB130" i="12" s="1"/>
  <c r="BB130" i="31" s="1"/>
  <c r="CF130" i="24"/>
  <c r="BC130" i="12" s="1"/>
  <c r="BC130" i="31" s="1"/>
  <c r="CI130" i="24"/>
  <c r="BF130" i="12" s="1"/>
  <c r="BF130" i="31" s="1"/>
  <c r="CG130" i="24"/>
  <c r="BD130" i="12" s="1"/>
  <c r="BD130" i="31" s="1"/>
  <c r="CJ130" i="24"/>
  <c r="BG130" i="12" s="1"/>
  <c r="BG130" i="31" s="1"/>
  <c r="CK130" i="24"/>
  <c r="BH130" i="12" s="1"/>
  <c r="BH130" i="31" s="1"/>
  <c r="CL130" i="24"/>
  <c r="CS129" i="24"/>
  <c r="BM129" i="12" s="1"/>
  <c r="BD98" i="12"/>
  <c r="BD98" i="31" s="1"/>
  <c r="CX129" i="24"/>
  <c r="BR129" i="12" s="1"/>
  <c r="H98" i="22"/>
  <c r="BI98" i="12"/>
  <c r="BI98" i="31" s="1"/>
  <c r="BL97" i="16"/>
  <c r="CV129" i="24"/>
  <c r="BP129" i="12" s="1"/>
  <c r="BG98" i="12"/>
  <c r="BG98" i="31" s="1"/>
  <c r="X131" i="24"/>
  <c r="M146" i="7"/>
  <c r="M146" i="14"/>
  <c r="AE132" i="17"/>
  <c r="AD132" i="17"/>
  <c r="AC132" i="17"/>
  <c r="AB132" i="17"/>
  <c r="AA132" i="17"/>
  <c r="Z132" i="17"/>
  <c r="T132" i="17"/>
  <c r="S132" i="17"/>
  <c r="X132" i="17"/>
  <c r="X132" i="14" s="1"/>
  <c r="W132" i="17"/>
  <c r="X132" i="19" s="1"/>
  <c r="V132" i="17"/>
  <c r="X132" i="3" s="1"/>
  <c r="U132" i="17"/>
  <c r="X132" i="7" s="1"/>
  <c r="X106" i="26" l="1"/>
  <c r="X107" i="26"/>
  <c r="X108" i="26"/>
  <c r="X109" i="26"/>
  <c r="X146" i="7"/>
  <c r="X132" i="12"/>
  <c r="V108" i="32"/>
  <c r="V106" i="32"/>
  <c r="V109" i="32"/>
  <c r="V107" i="32"/>
  <c r="BD130" i="16"/>
  <c r="BD130" i="27"/>
  <c r="F130" i="29"/>
  <c r="BF130" i="16"/>
  <c r="BF130" i="27"/>
  <c r="H130" i="29"/>
  <c r="BB130" i="16"/>
  <c r="BB130" i="27"/>
  <c r="D130" i="29"/>
  <c r="BE130" i="16"/>
  <c r="G130" i="29"/>
  <c r="BE130" i="27"/>
  <c r="BC130" i="16"/>
  <c r="BC130" i="27"/>
  <c r="E130" i="29"/>
  <c r="BH130" i="16"/>
  <c r="J130" i="29"/>
  <c r="BH130" i="27"/>
  <c r="BG130" i="16"/>
  <c r="I130" i="29"/>
  <c r="BG130" i="27"/>
  <c r="BI129" i="16"/>
  <c r="BI129" i="27"/>
  <c r="K129" i="29"/>
  <c r="V109" i="30"/>
  <c r="V107" i="30"/>
  <c r="V108" i="30"/>
  <c r="V106" i="30"/>
  <c r="X137" i="27"/>
  <c r="X138" i="27"/>
  <c r="X139" i="27"/>
  <c r="X140" i="27"/>
  <c r="X141" i="27"/>
  <c r="X142" i="27"/>
  <c r="X144" i="27"/>
  <c r="X145" i="27"/>
  <c r="BT105" i="16"/>
  <c r="BU105" i="16"/>
  <c r="BO129" i="16"/>
  <c r="BO129" i="27"/>
  <c r="M128" i="29"/>
  <c r="Q128" i="29"/>
  <c r="BL129" i="16"/>
  <c r="BL129" i="27"/>
  <c r="M129" i="29" s="1"/>
  <c r="R128" i="29"/>
  <c r="BP129" i="16"/>
  <c r="BP129" i="27"/>
  <c r="P128" i="29"/>
  <c r="N128" i="29"/>
  <c r="BM129" i="16"/>
  <c r="BM129" i="27"/>
  <c r="N129" i="29" s="1"/>
  <c r="BQ129" i="16"/>
  <c r="BQ129" i="27"/>
  <c r="BR129" i="16"/>
  <c r="BR129" i="27"/>
  <c r="BN129" i="16"/>
  <c r="BN129" i="27"/>
  <c r="S128" i="29"/>
  <c r="O128" i="29"/>
  <c r="BJ128" i="27"/>
  <c r="BD98" i="16"/>
  <c r="F98" i="29"/>
  <c r="BD98" i="27"/>
  <c r="O97" i="29"/>
  <c r="BJ97" i="27"/>
  <c r="BC98" i="16"/>
  <c r="BC98" i="27"/>
  <c r="E98" i="29"/>
  <c r="BL106" i="16"/>
  <c r="BL106" i="27"/>
  <c r="M106" i="29" s="1"/>
  <c r="BP106" i="16"/>
  <c r="BP106" i="27"/>
  <c r="BG98" i="16"/>
  <c r="BG98" i="27"/>
  <c r="I98" i="29"/>
  <c r="BB98" i="16"/>
  <c r="D98" i="29"/>
  <c r="BB98" i="27"/>
  <c r="BQ106" i="16"/>
  <c r="BQ106" i="27"/>
  <c r="BH98" i="16"/>
  <c r="BH98" i="27"/>
  <c r="J98" i="29"/>
  <c r="BI98" i="16"/>
  <c r="BI98" i="27"/>
  <c r="K98" i="29"/>
  <c r="BM106" i="16"/>
  <c r="BM106" i="27"/>
  <c r="N106" i="29" s="1"/>
  <c r="BE98" i="16"/>
  <c r="BE98" i="27"/>
  <c r="G98" i="29"/>
  <c r="BO106" i="16"/>
  <c r="BO106" i="27"/>
  <c r="BF98" i="16"/>
  <c r="BF98" i="27"/>
  <c r="H98" i="29"/>
  <c r="BR106" i="16"/>
  <c r="BR106" i="27"/>
  <c r="BN106" i="16"/>
  <c r="BN106" i="27"/>
  <c r="BT125" i="16"/>
  <c r="BS144" i="16"/>
  <c r="BU125" i="16"/>
  <c r="AL117" i="26"/>
  <c r="BJ97" i="16"/>
  <c r="AL100" i="12" a="1"/>
  <c r="AL100" i="12" s="1"/>
  <c r="AM100" i="12"/>
  <c r="AK100" i="12"/>
  <c r="AM130" i="12"/>
  <c r="AL130" i="12" a="1"/>
  <c r="AL130" i="12" s="1"/>
  <c r="AK130" i="12"/>
  <c r="BJ128" i="12"/>
  <c r="AM129" i="22"/>
  <c r="AL129" i="22"/>
  <c r="AK129" i="22"/>
  <c r="AJ129" i="22"/>
  <c r="AI129" i="22"/>
  <c r="BR128" i="16"/>
  <c r="BQ128" i="16"/>
  <c r="G100" i="22"/>
  <c r="G131" i="22"/>
  <c r="H130" i="22"/>
  <c r="AH130" i="22" s="1"/>
  <c r="BI130" i="12"/>
  <c r="BI130" i="31" s="1"/>
  <c r="AO127" i="22"/>
  <c r="BL128" i="16"/>
  <c r="BO128" i="16"/>
  <c r="BM128" i="16"/>
  <c r="BK98" i="12"/>
  <c r="BK129" i="12"/>
  <c r="BK129" i="27" s="1"/>
  <c r="BN128" i="16"/>
  <c r="BP128" i="16"/>
  <c r="BK106" i="16"/>
  <c r="BJ106" i="12"/>
  <c r="BN98" i="12"/>
  <c r="BN98" i="27" s="1"/>
  <c r="CS130" i="24"/>
  <c r="BD99" i="12"/>
  <c r="BD99" i="31" s="1"/>
  <c r="CU130" i="24"/>
  <c r="BF99" i="12"/>
  <c r="BF99" i="31" s="1"/>
  <c r="CR130" i="24"/>
  <c r="BC99" i="12"/>
  <c r="BC99" i="31" s="1"/>
  <c r="CQ130" i="24"/>
  <c r="BK130" i="12" s="1"/>
  <c r="BK130" i="27" s="1"/>
  <c r="BB99" i="12"/>
  <c r="BB99" i="31" s="1"/>
  <c r="BQ98" i="12"/>
  <c r="BQ98" i="27" s="1"/>
  <c r="BO98" i="12"/>
  <c r="BO98" i="27" s="1"/>
  <c r="CV130" i="24"/>
  <c r="BG99" i="12"/>
  <c r="BG99" i="31" s="1"/>
  <c r="BM98" i="12"/>
  <c r="BM98" i="27" s="1"/>
  <c r="CT130" i="24"/>
  <c r="BE99" i="12"/>
  <c r="BE99" i="31" s="1"/>
  <c r="BL98" i="12"/>
  <c r="BL98" i="27" s="1"/>
  <c r="BP98" i="12"/>
  <c r="BP98" i="27" s="1"/>
  <c r="BA132" i="24"/>
  <c r="AY132" i="24"/>
  <c r="AZ132" i="24"/>
  <c r="CP132" i="24" s="1"/>
  <c r="CX130" i="24"/>
  <c r="H99" i="22"/>
  <c r="AH99" i="22" s="1"/>
  <c r="BI99" i="12"/>
  <c r="BI99" i="31" s="1"/>
  <c r="CF131" i="24"/>
  <c r="BC131" i="12" s="1"/>
  <c r="BC131" i="31" s="1"/>
  <c r="CH131" i="24"/>
  <c r="BE131" i="12" s="1"/>
  <c r="BE131" i="31" s="1"/>
  <c r="CE131" i="24"/>
  <c r="BB131" i="12" s="1"/>
  <c r="BB131" i="31" s="1"/>
  <c r="CG131" i="24"/>
  <c r="BD131" i="12" s="1"/>
  <c r="BD131" i="31" s="1"/>
  <c r="CI131" i="24"/>
  <c r="BF131" i="12" s="1"/>
  <c r="BF131" i="31" s="1"/>
  <c r="CJ131" i="24"/>
  <c r="BG131" i="12" s="1"/>
  <c r="BG131" i="31" s="1"/>
  <c r="CL131" i="24"/>
  <c r="CK131" i="24"/>
  <c r="BH131" i="12" s="1"/>
  <c r="BH131" i="31" s="1"/>
  <c r="AH98" i="22"/>
  <c r="AL132" i="24"/>
  <c r="AM132" i="24"/>
  <c r="AK132" i="24"/>
  <c r="CD132" i="24" s="1"/>
  <c r="BR98" i="12"/>
  <c r="BR98" i="27" s="1"/>
  <c r="CW130" i="24"/>
  <c r="BH99" i="12"/>
  <c r="BH99" i="31" s="1"/>
  <c r="BS96" i="16"/>
  <c r="X132" i="24"/>
  <c r="M137" i="24"/>
  <c r="M141" i="24"/>
  <c r="M142" i="24"/>
  <c r="M143" i="24"/>
  <c r="M145" i="24"/>
  <c r="X137" i="3"/>
  <c r="X133" i="3"/>
  <c r="X138" i="3"/>
  <c r="X139" i="3"/>
  <c r="X140" i="3"/>
  <c r="X141" i="3"/>
  <c r="X142" i="3"/>
  <c r="X143" i="3"/>
  <c r="X144" i="3"/>
  <c r="X145" i="3"/>
  <c r="X146" i="3"/>
  <c r="X137" i="19"/>
  <c r="X133" i="19"/>
  <c r="X138" i="19"/>
  <c r="X139" i="19"/>
  <c r="X140" i="19"/>
  <c r="X141" i="19"/>
  <c r="X142" i="19"/>
  <c r="X143" i="19"/>
  <c r="X144" i="19"/>
  <c r="X145" i="19"/>
  <c r="X146" i="19"/>
  <c r="X137" i="14"/>
  <c r="X133" i="14"/>
  <c r="X138" i="14"/>
  <c r="X139" i="14"/>
  <c r="X140" i="14"/>
  <c r="X141" i="14"/>
  <c r="X142" i="14"/>
  <c r="X143" i="14"/>
  <c r="X144" i="14"/>
  <c r="X145" i="14"/>
  <c r="X146" i="14"/>
  <c r="M146" i="24"/>
  <c r="M146" i="15"/>
  <c r="X132" i="15"/>
  <c r="X133" i="7"/>
  <c r="X137" i="7"/>
  <c r="X141" i="7"/>
  <c r="X142" i="7"/>
  <c r="X143" i="7"/>
  <c r="X145" i="7"/>
  <c r="M137" i="19"/>
  <c r="M138" i="19"/>
  <c r="M139" i="19"/>
  <c r="M140" i="19"/>
  <c r="M141" i="19"/>
  <c r="M142" i="19"/>
  <c r="M143" i="19"/>
  <c r="M144" i="19"/>
  <c r="M145" i="19"/>
  <c r="M146" i="19"/>
  <c r="M137" i="14"/>
  <c r="M138" i="14"/>
  <c r="M139" i="14"/>
  <c r="M140" i="14"/>
  <c r="M141" i="14"/>
  <c r="M142" i="14"/>
  <c r="M143" i="14"/>
  <c r="M144" i="14"/>
  <c r="M145" i="14"/>
  <c r="M137" i="7"/>
  <c r="M138" i="7"/>
  <c r="M139" i="7"/>
  <c r="M140" i="7"/>
  <c r="M141" i="7"/>
  <c r="M142" i="7"/>
  <c r="M143" i="7"/>
  <c r="M144" i="7"/>
  <c r="M145" i="7"/>
  <c r="M137" i="3"/>
  <c r="M138" i="3"/>
  <c r="M139" i="3"/>
  <c r="M140" i="3"/>
  <c r="M141" i="3"/>
  <c r="M142" i="3"/>
  <c r="M143" i="3"/>
  <c r="M144" i="3"/>
  <c r="M145" i="3"/>
  <c r="M146" i="3"/>
  <c r="M142" i="15"/>
  <c r="M143" i="15"/>
  <c r="X132" i="16" l="1"/>
  <c r="X132" i="31"/>
  <c r="X132" i="27"/>
  <c r="X133" i="27" s="1"/>
  <c r="X137" i="12"/>
  <c r="X133" i="12"/>
  <c r="X139" i="12"/>
  <c r="X140" i="12"/>
  <c r="X141" i="12"/>
  <c r="X142" i="12"/>
  <c r="X143" i="12"/>
  <c r="X144" i="12"/>
  <c r="X145" i="12"/>
  <c r="X146" i="12"/>
  <c r="X146" i="24"/>
  <c r="O98" i="29"/>
  <c r="S106" i="29"/>
  <c r="R106" i="29"/>
  <c r="Q106" i="29"/>
  <c r="P129" i="29"/>
  <c r="S129" i="29"/>
  <c r="Q129" i="29"/>
  <c r="P106" i="29"/>
  <c r="R129" i="29"/>
  <c r="BG131" i="16"/>
  <c r="BG131" i="27"/>
  <c r="I131" i="29"/>
  <c r="BF131" i="16"/>
  <c r="H131" i="29"/>
  <c r="BF131" i="27"/>
  <c r="BI130" i="16"/>
  <c r="BI130" i="27"/>
  <c r="K130" i="29"/>
  <c r="BE131" i="16"/>
  <c r="G131" i="29"/>
  <c r="BE131" i="27"/>
  <c r="BC131" i="16"/>
  <c r="BC131" i="27"/>
  <c r="E131" i="29"/>
  <c r="X146" i="27"/>
  <c r="BD131" i="16"/>
  <c r="BD131" i="27"/>
  <c r="F131" i="29"/>
  <c r="BB131" i="16"/>
  <c r="BB131" i="27"/>
  <c r="D131" i="29"/>
  <c r="BH131" i="16"/>
  <c r="BH131" i="27"/>
  <c r="J131" i="29"/>
  <c r="AA106" i="30"/>
  <c r="X106" i="30"/>
  <c r="Z106" i="30"/>
  <c r="Y106" i="30"/>
  <c r="W106" i="30"/>
  <c r="Z108" i="30"/>
  <c r="X108" i="30"/>
  <c r="AA108" i="30"/>
  <c r="W108" i="30"/>
  <c r="Y108" i="30"/>
  <c r="X107" i="30"/>
  <c r="Z107" i="30"/>
  <c r="Y107" i="30"/>
  <c r="W107" i="30"/>
  <c r="AA107" i="30"/>
  <c r="BJ129" i="16"/>
  <c r="BJ106" i="16"/>
  <c r="O129" i="29"/>
  <c r="BJ129" i="27"/>
  <c r="BU97" i="16"/>
  <c r="S98" i="29"/>
  <c r="BC99" i="16"/>
  <c r="E99" i="29"/>
  <c r="BC99" i="27"/>
  <c r="BI99" i="27"/>
  <c r="K99" i="29"/>
  <c r="N98" i="29"/>
  <c r="BT97" i="16"/>
  <c r="BG99" i="16"/>
  <c r="I99" i="29"/>
  <c r="BG99" i="27"/>
  <c r="BF99" i="16"/>
  <c r="BF99" i="27"/>
  <c r="H99" i="29"/>
  <c r="O106" i="29"/>
  <c r="BJ106" i="27"/>
  <c r="BH99" i="16"/>
  <c r="BH99" i="27"/>
  <c r="J99" i="29"/>
  <c r="P98" i="29"/>
  <c r="BD99" i="16"/>
  <c r="F99" i="29"/>
  <c r="BD99" i="27"/>
  <c r="BK98" i="16"/>
  <c r="BK98" i="27"/>
  <c r="BJ98" i="27"/>
  <c r="BB99" i="16"/>
  <c r="D99" i="29"/>
  <c r="BB99" i="27"/>
  <c r="Q98" i="29"/>
  <c r="R98" i="29"/>
  <c r="M98" i="29"/>
  <c r="BE99" i="16"/>
  <c r="G99" i="29"/>
  <c r="BE99" i="27"/>
  <c r="BT96" i="16"/>
  <c r="BU96" i="16"/>
  <c r="AC107" i="26"/>
  <c r="AA107" i="32" s="1"/>
  <c r="AB107" i="26"/>
  <c r="Z107" i="32" s="1"/>
  <c r="Y107" i="26"/>
  <c r="W107" i="32" s="1"/>
  <c r="AA107" i="26"/>
  <c r="Y107" i="32" s="1"/>
  <c r="Z107" i="26"/>
  <c r="X107" i="32" s="1"/>
  <c r="Z106" i="26"/>
  <c r="X106" i="32" s="1"/>
  <c r="Y106" i="26"/>
  <c r="W106" i="32" s="1"/>
  <c r="AC106" i="26"/>
  <c r="AA106" i="32" s="1"/>
  <c r="AB106" i="26"/>
  <c r="Z106" i="32" s="1"/>
  <c r="AA106" i="26"/>
  <c r="Y106" i="32" s="1"/>
  <c r="AB108" i="26"/>
  <c r="Z108" i="32" s="1"/>
  <c r="AA108" i="26"/>
  <c r="Y108" i="32" s="1"/>
  <c r="Z108" i="26"/>
  <c r="X108" i="32" s="1"/>
  <c r="Y108" i="26"/>
  <c r="W108" i="32" s="1"/>
  <c r="AC108" i="26"/>
  <c r="AA108" i="32" s="1"/>
  <c r="BJ128" i="16"/>
  <c r="BI99" i="16"/>
  <c r="BI162" i="12"/>
  <c r="BI164" i="12" s="1"/>
  <c r="AL131" i="12" a="1"/>
  <c r="AL131" i="12" s="1"/>
  <c r="AM131" i="12"/>
  <c r="AK131" i="12"/>
  <c r="AM107" i="12"/>
  <c r="AL107" i="12" a="1"/>
  <c r="AL107" i="12" s="1"/>
  <c r="AK107" i="12"/>
  <c r="BR99" i="12"/>
  <c r="BR130" i="12"/>
  <c r="BR130" i="27" s="1"/>
  <c r="BL99" i="12"/>
  <c r="BL130" i="12"/>
  <c r="BL130" i="27" s="1"/>
  <c r="M130" i="29" s="1"/>
  <c r="BN99" i="12"/>
  <c r="BN130" i="12"/>
  <c r="BN130" i="27" s="1"/>
  <c r="BK129" i="16"/>
  <c r="BJ129" i="12"/>
  <c r="AI130" i="22"/>
  <c r="AJ130" i="22"/>
  <c r="AK130" i="22"/>
  <c r="AN130" i="22" s="1"/>
  <c r="AO130" i="22" s="1"/>
  <c r="AM130" i="22"/>
  <c r="AL130" i="22"/>
  <c r="G107" i="22"/>
  <c r="G132" i="22"/>
  <c r="BO99" i="12"/>
  <c r="BO130" i="12"/>
  <c r="BO130" i="27" s="1"/>
  <c r="BK130" i="16"/>
  <c r="BM99" i="12"/>
  <c r="BM130" i="12"/>
  <c r="BM130" i="27" s="1"/>
  <c r="BP99" i="12"/>
  <c r="BP130" i="12"/>
  <c r="BP130" i="27" s="1"/>
  <c r="BQ99" i="12"/>
  <c r="BQ130" i="12"/>
  <c r="BQ130" i="27" s="1"/>
  <c r="H131" i="22"/>
  <c r="AH131" i="22" s="1"/>
  <c r="BI131" i="12"/>
  <c r="BI131" i="31" s="1"/>
  <c r="AN129" i="22"/>
  <c r="CS131" i="24"/>
  <c r="BM131" i="12" s="1"/>
  <c r="BD100" i="12"/>
  <c r="BD100" i="31" s="1"/>
  <c r="BQ98" i="16"/>
  <c r="AK98" i="22"/>
  <c r="AJ98" i="22"/>
  <c r="AI98" i="22"/>
  <c r="AM98" i="22"/>
  <c r="AL98" i="22"/>
  <c r="CQ131" i="24"/>
  <c r="BB100" i="12"/>
  <c r="BB100" i="31" s="1"/>
  <c r="BR98" i="16"/>
  <c r="CT131" i="24"/>
  <c r="BE100" i="12"/>
  <c r="BE100" i="31" s="1"/>
  <c r="BL98" i="16"/>
  <c r="CR131" i="24"/>
  <c r="BL131" i="12" s="1"/>
  <c r="BC100" i="12"/>
  <c r="BC100" i="31" s="1"/>
  <c r="CW131" i="24"/>
  <c r="BH100" i="12"/>
  <c r="BH100" i="31" s="1"/>
  <c r="BO98" i="16"/>
  <c r="CX131" i="24"/>
  <c r="BR131" i="12" s="1"/>
  <c r="H100" i="22"/>
  <c r="BI100" i="12"/>
  <c r="BI100" i="31" s="1"/>
  <c r="BP98" i="16"/>
  <c r="BK99" i="12"/>
  <c r="BK99" i="27" s="1"/>
  <c r="CF132" i="24"/>
  <c r="BC132" i="12" s="1"/>
  <c r="BC132" i="31" s="1"/>
  <c r="CH132" i="24"/>
  <c r="BE132" i="12" s="1"/>
  <c r="BE132" i="31" s="1"/>
  <c r="CE132" i="24"/>
  <c r="BB132" i="12" s="1"/>
  <c r="BB132" i="31" s="1"/>
  <c r="CI132" i="24"/>
  <c r="BF132" i="12" s="1"/>
  <c r="BF132" i="31" s="1"/>
  <c r="CG132" i="24"/>
  <c r="BD132" i="12" s="1"/>
  <c r="BD132" i="31" s="1"/>
  <c r="CJ132" i="24"/>
  <c r="BG132" i="12" s="1"/>
  <c r="BG132" i="31" s="1"/>
  <c r="CL132" i="24"/>
  <c r="CK132" i="24"/>
  <c r="BH132" i="12" s="1"/>
  <c r="BH132" i="31" s="1"/>
  <c r="CV131" i="24"/>
  <c r="BP131" i="12" s="1"/>
  <c r="BG100" i="12"/>
  <c r="BG100" i="31" s="1"/>
  <c r="AJ99" i="22"/>
  <c r="AK99" i="22"/>
  <c r="AN99" i="22" s="1"/>
  <c r="AO99" i="22" s="1"/>
  <c r="BS99" i="16" s="1"/>
  <c r="AM99" i="22"/>
  <c r="AL99" i="22"/>
  <c r="AI99" i="22"/>
  <c r="BM98" i="16"/>
  <c r="CU131" i="24"/>
  <c r="BO131" i="12" s="1"/>
  <c r="BF100" i="12"/>
  <c r="BF100" i="31" s="1"/>
  <c r="BJ98" i="12"/>
  <c r="BN98" i="16"/>
  <c r="X147" i="14"/>
  <c r="X147" i="19"/>
  <c r="M147" i="24"/>
  <c r="X147" i="3"/>
  <c r="X133" i="24"/>
  <c r="X137" i="24"/>
  <c r="X138" i="24"/>
  <c r="X139" i="24"/>
  <c r="X140" i="24"/>
  <c r="X141" i="24"/>
  <c r="X142" i="24"/>
  <c r="X143" i="24"/>
  <c r="X144" i="24"/>
  <c r="X145" i="24"/>
  <c r="X133" i="15"/>
  <c r="X142" i="15"/>
  <c r="X145" i="15"/>
  <c r="X146" i="15"/>
  <c r="X143" i="15"/>
  <c r="X144" i="15"/>
  <c r="X147" i="7"/>
  <c r="M147" i="15"/>
  <c r="M147" i="3"/>
  <c r="M147" i="7"/>
  <c r="M147" i="14"/>
  <c r="M147" i="19"/>
  <c r="X147" i="12" l="1"/>
  <c r="X133" i="31"/>
  <c r="X137" i="31"/>
  <c r="X138" i="31"/>
  <c r="X139" i="31"/>
  <c r="X140" i="31"/>
  <c r="X141" i="31"/>
  <c r="X142" i="31"/>
  <c r="X143" i="31"/>
  <c r="X144" i="31"/>
  <c r="X145" i="31"/>
  <c r="X146" i="31"/>
  <c r="X133" i="16"/>
  <c r="X137" i="16"/>
  <c r="X139" i="16"/>
  <c r="X140" i="16"/>
  <c r="X141" i="16"/>
  <c r="X142" i="16"/>
  <c r="X143" i="16"/>
  <c r="X144" i="16"/>
  <c r="X146" i="16"/>
  <c r="CF146" i="24"/>
  <c r="BE140" i="31"/>
  <c r="BE141" i="31"/>
  <c r="BE142" i="31"/>
  <c r="BE145" i="31"/>
  <c r="BE146" i="31"/>
  <c r="BC140" i="31"/>
  <c r="BC141" i="31"/>
  <c r="BC142" i="31"/>
  <c r="BC145" i="31"/>
  <c r="BC146" i="31"/>
  <c r="AI146" i="27"/>
  <c r="BH141" i="31"/>
  <c r="BH142" i="31"/>
  <c r="BH145" i="31"/>
  <c r="BG146" i="31"/>
  <c r="BG138" i="31"/>
  <c r="BG141" i="31"/>
  <c r="BG142" i="31"/>
  <c r="BG145" i="31"/>
  <c r="BH146" i="31"/>
  <c r="BD140" i="31"/>
  <c r="BD141" i="31"/>
  <c r="BD142" i="31"/>
  <c r="BD145" i="31"/>
  <c r="BD146" i="31"/>
  <c r="BF140" i="31"/>
  <c r="BF141" i="31"/>
  <c r="BF142" i="31"/>
  <c r="BF145" i="31"/>
  <c r="BF146" i="31"/>
  <c r="BB140" i="31"/>
  <c r="BB141" i="31"/>
  <c r="BB142" i="31"/>
  <c r="BB145" i="31"/>
  <c r="BB146" i="31"/>
  <c r="S130" i="29"/>
  <c r="R130" i="29"/>
  <c r="AI11" i="26"/>
  <c r="AJ11" i="26"/>
  <c r="AK11" i="26"/>
  <c r="AH11" i="26"/>
  <c r="BF132" i="27"/>
  <c r="H132" i="29"/>
  <c r="BI131" i="16"/>
  <c r="BI131" i="27"/>
  <c r="K131" i="29"/>
  <c r="BE132" i="27"/>
  <c r="G132" i="29"/>
  <c r="BB132" i="27"/>
  <c r="D132" i="29"/>
  <c r="BH132" i="27"/>
  <c r="BH146" i="27" s="1"/>
  <c r="J132" i="29"/>
  <c r="BC132" i="16"/>
  <c r="BC146" i="16" s="1"/>
  <c r="BC132" i="27"/>
  <c r="E132" i="29"/>
  <c r="X143" i="27"/>
  <c r="X147" i="27" s="1"/>
  <c r="BG132" i="27"/>
  <c r="BG146" i="27" s="1"/>
  <c r="I132" i="29"/>
  <c r="F132" i="29"/>
  <c r="F146" i="29" s="1"/>
  <c r="BD132" i="27"/>
  <c r="AE106" i="26"/>
  <c r="AG11" i="26"/>
  <c r="BO131" i="16"/>
  <c r="BO131" i="27"/>
  <c r="P131" i="29" s="1"/>
  <c r="P130" i="29"/>
  <c r="BR131" i="16"/>
  <c r="BR131" i="27"/>
  <c r="S131" i="29" s="1"/>
  <c r="BP131" i="16"/>
  <c r="BP131" i="27"/>
  <c r="Q131" i="29" s="1"/>
  <c r="Q130" i="29"/>
  <c r="O130" i="29"/>
  <c r="BJ130" i="27"/>
  <c r="BL131" i="16"/>
  <c r="BL131" i="27"/>
  <c r="M131" i="29" s="1"/>
  <c r="BM131" i="16"/>
  <c r="BM131" i="27"/>
  <c r="N131" i="29" s="1"/>
  <c r="N130" i="29"/>
  <c r="BE100" i="16"/>
  <c r="BE100" i="27"/>
  <c r="G100" i="29"/>
  <c r="BH100" i="16"/>
  <c r="BH100" i="27"/>
  <c r="J100" i="29"/>
  <c r="BB100" i="16"/>
  <c r="BB100" i="27"/>
  <c r="D100" i="29"/>
  <c r="BQ99" i="16"/>
  <c r="BQ99" i="27"/>
  <c r="BC100" i="16"/>
  <c r="BC100" i="27"/>
  <c r="E100" i="29"/>
  <c r="BD100" i="16"/>
  <c r="BD100" i="27"/>
  <c r="F100" i="29"/>
  <c r="BP99" i="16"/>
  <c r="BP99" i="27"/>
  <c r="BN99" i="16"/>
  <c r="BN99" i="27"/>
  <c r="BI100" i="16"/>
  <c r="BI100" i="27"/>
  <c r="K100" i="29"/>
  <c r="BM99" i="16"/>
  <c r="BM99" i="27"/>
  <c r="BL99" i="16"/>
  <c r="BL99" i="27"/>
  <c r="BF100" i="16"/>
  <c r="BF100" i="27"/>
  <c r="H100" i="29"/>
  <c r="BJ143" i="12"/>
  <c r="BR99" i="27"/>
  <c r="BG100" i="16"/>
  <c r="BG100" i="27"/>
  <c r="I100" i="29"/>
  <c r="BO99" i="16"/>
  <c r="BO99" i="27"/>
  <c r="BJ98" i="16"/>
  <c r="BH132" i="16"/>
  <c r="BH146" i="16" s="1"/>
  <c r="BG132" i="16"/>
  <c r="BG146" i="16" s="1"/>
  <c r="BD132" i="16"/>
  <c r="BD146" i="16" s="1"/>
  <c r="BF132" i="16"/>
  <c r="BB132" i="16"/>
  <c r="BB146" i="16" s="1"/>
  <c r="BE132" i="16"/>
  <c r="CK146" i="24"/>
  <c r="AT146" i="12"/>
  <c r="AL132" i="12" a="1"/>
  <c r="AL132" i="12" s="1"/>
  <c r="AM132" i="12"/>
  <c r="AK132" i="12"/>
  <c r="BR99" i="16"/>
  <c r="CE146" i="24"/>
  <c r="BJ130" i="12"/>
  <c r="AI131" i="22"/>
  <c r="AM131" i="22"/>
  <c r="AL131" i="22"/>
  <c r="AJ131" i="22"/>
  <c r="AK131" i="22"/>
  <c r="H132" i="22"/>
  <c r="H148" i="22" s="1"/>
  <c r="AI148" i="22" s="1"/>
  <c r="BI132" i="12"/>
  <c r="BI132" i="31" s="1"/>
  <c r="BQ100" i="12"/>
  <c r="BQ131" i="12"/>
  <c r="BK100" i="12"/>
  <c r="BK131" i="12"/>
  <c r="BK131" i="27" s="1"/>
  <c r="BH146" i="12"/>
  <c r="BH191" i="12" s="1"/>
  <c r="BP130" i="16"/>
  <c r="BF146" i="12"/>
  <c r="BF191" i="12" s="1"/>
  <c r="BG146" i="12"/>
  <c r="BG191" i="12" s="1"/>
  <c r="BL130" i="16"/>
  <c r="AO129" i="22"/>
  <c r="BN100" i="12"/>
  <c r="BN131" i="12"/>
  <c r="BQ130" i="16"/>
  <c r="BD146" i="12"/>
  <c r="BD191" i="12" s="1"/>
  <c r="BR130" i="16"/>
  <c r="BC146" i="12"/>
  <c r="BC191" i="12" s="1"/>
  <c r="BM130" i="16"/>
  <c r="BB146" i="12"/>
  <c r="BB191" i="12" s="1"/>
  <c r="BN130" i="16"/>
  <c r="CL146" i="24"/>
  <c r="BE146" i="12"/>
  <c r="BE191" i="12" s="1"/>
  <c r="BO130" i="16"/>
  <c r="BP100" i="12"/>
  <c r="BP100" i="27" s="1"/>
  <c r="CR132" i="24"/>
  <c r="BL132" i="12" s="1"/>
  <c r="BL132" i="27" s="1"/>
  <c r="BL141" i="27" s="1"/>
  <c r="BC107" i="12"/>
  <c r="BC107" i="31" s="1"/>
  <c r="BC133" i="31" s="1"/>
  <c r="CF143" i="24"/>
  <c r="AH100" i="22"/>
  <c r="BO100" i="12"/>
  <c r="BO100" i="27" s="1"/>
  <c r="CW132" i="24"/>
  <c r="BQ132" i="12" s="1"/>
  <c r="BQ132" i="27" s="1"/>
  <c r="BH107" i="12"/>
  <c r="BH107" i="31" s="1"/>
  <c r="BH143" i="31" s="1"/>
  <c r="CK143" i="24"/>
  <c r="BR100" i="12"/>
  <c r="CX132" i="24"/>
  <c r="BR132" i="12" s="1"/>
  <c r="BR132" i="27" s="1"/>
  <c r="H107" i="22"/>
  <c r="H145" i="22" s="1"/>
  <c r="AI145" i="22" s="1"/>
  <c r="BI107" i="12"/>
  <c r="BI107" i="31" s="1"/>
  <c r="CL143" i="24"/>
  <c r="CD188" i="12" s="1"/>
  <c r="CV132" i="24"/>
  <c r="BP132" i="12" s="1"/>
  <c r="BP132" i="27" s="1"/>
  <c r="BG107" i="12"/>
  <c r="BG107" i="31" s="1"/>
  <c r="BG133" i="31" s="1"/>
  <c r="CJ143" i="24"/>
  <c r="BL100" i="12"/>
  <c r="BL100" i="27" s="1"/>
  <c r="M100" i="29" s="1"/>
  <c r="CS132" i="24"/>
  <c r="BM132" i="12" s="1"/>
  <c r="BD107" i="12"/>
  <c r="BD107" i="31" s="1"/>
  <c r="BD143" i="31" s="1"/>
  <c r="CG143" i="24"/>
  <c r="BK99" i="16"/>
  <c r="BJ99" i="12"/>
  <c r="AN98" i="22"/>
  <c r="CG146" i="24"/>
  <c r="CU132" i="24"/>
  <c r="BF107" i="12"/>
  <c r="BF107" i="31" s="1"/>
  <c r="BF143" i="31" s="1"/>
  <c r="CI143" i="24"/>
  <c r="CJ146" i="24"/>
  <c r="CQ132" i="24"/>
  <c r="BK132" i="12" s="1"/>
  <c r="BK132" i="27" s="1"/>
  <c r="BK141" i="27" s="1"/>
  <c r="BB107" i="12"/>
  <c r="BB107" i="31" s="1"/>
  <c r="BB143" i="31" s="1"/>
  <c r="CE143" i="24"/>
  <c r="BM100" i="12"/>
  <c r="BM100" i="27" s="1"/>
  <c r="N100" i="29" s="1"/>
  <c r="CT132" i="24"/>
  <c r="BN132" i="12" s="1"/>
  <c r="BE107" i="12"/>
  <c r="BE107" i="31" s="1"/>
  <c r="BE143" i="31" s="1"/>
  <c r="CH143" i="24"/>
  <c r="CH146" i="24"/>
  <c r="CI146" i="24"/>
  <c r="X147" i="24"/>
  <c r="X147" i="15"/>
  <c r="AT141" i="12"/>
  <c r="AT142" i="12"/>
  <c r="AT143" i="12"/>
  <c r="X147" i="16" l="1"/>
  <c r="X147" i="31"/>
  <c r="BI133" i="31"/>
  <c r="BI141" i="31"/>
  <c r="BI142" i="31"/>
  <c r="BI145" i="31"/>
  <c r="BI146" i="31"/>
  <c r="BI143" i="31"/>
  <c r="BB133" i="31"/>
  <c r="BF133" i="31"/>
  <c r="BD133" i="31"/>
  <c r="BC143" i="31"/>
  <c r="BE133" i="31"/>
  <c r="BH133" i="31"/>
  <c r="BG143" i="31"/>
  <c r="P100" i="29"/>
  <c r="BR141" i="27"/>
  <c r="Q100" i="29"/>
  <c r="BQ141" i="27"/>
  <c r="AL11" i="26"/>
  <c r="F140" i="29"/>
  <c r="F141" i="29"/>
  <c r="F145" i="29"/>
  <c r="BC141" i="27"/>
  <c r="BC145" i="27"/>
  <c r="BC146" i="27"/>
  <c r="BE146" i="27"/>
  <c r="BE140" i="27"/>
  <c r="BE141" i="27"/>
  <c r="BE145" i="27"/>
  <c r="AW145" i="27" s="1"/>
  <c r="I141" i="29"/>
  <c r="I145" i="29"/>
  <c r="BP146" i="27"/>
  <c r="BP141" i="27"/>
  <c r="BH141" i="27"/>
  <c r="BH145" i="27"/>
  <c r="BK146" i="27"/>
  <c r="BG141" i="27"/>
  <c r="BG145" i="27"/>
  <c r="J141" i="29"/>
  <c r="J145" i="29"/>
  <c r="D141" i="29"/>
  <c r="D145" i="29"/>
  <c r="D146" i="29"/>
  <c r="H146" i="29"/>
  <c r="H140" i="29"/>
  <c r="H141" i="29"/>
  <c r="H145" i="29"/>
  <c r="I146" i="29"/>
  <c r="J146" i="29"/>
  <c r="BB141" i="27"/>
  <c r="BB145" i="27"/>
  <c r="BB146" i="27"/>
  <c r="BF146" i="27"/>
  <c r="BF141" i="27"/>
  <c r="BF145" i="27"/>
  <c r="BI132" i="27"/>
  <c r="BI146" i="27" s="1"/>
  <c r="K132" i="29"/>
  <c r="BD140" i="27"/>
  <c r="BD141" i="27"/>
  <c r="BD145" i="27"/>
  <c r="BD146" i="27"/>
  <c r="E140" i="29"/>
  <c r="E141" i="29"/>
  <c r="E145" i="29"/>
  <c r="E146" i="29"/>
  <c r="G146" i="29"/>
  <c r="G140" i="29"/>
  <c r="G141" i="29"/>
  <c r="U168" i="26"/>
  <c r="S168" i="30"/>
  <c r="V168" i="26"/>
  <c r="T168" i="30"/>
  <c r="Q168" i="26"/>
  <c r="O168" i="30"/>
  <c r="R168" i="26"/>
  <c r="P168" i="30"/>
  <c r="BM146" i="12"/>
  <c r="BM177" i="12" s="1"/>
  <c r="BM132" i="27"/>
  <c r="BM141" i="27" s="1"/>
  <c r="S132" i="29"/>
  <c r="S141" i="29" s="1"/>
  <c r="BR144" i="27"/>
  <c r="BJ144" i="27" s="1"/>
  <c r="BQ131" i="16"/>
  <c r="BQ131" i="27"/>
  <c r="BN131" i="16"/>
  <c r="BN131" i="27"/>
  <c r="BN132" i="16"/>
  <c r="BN132" i="27"/>
  <c r="Q132" i="29"/>
  <c r="BP145" i="27"/>
  <c r="R132" i="29"/>
  <c r="R141" i="29" s="1"/>
  <c r="BQ145" i="27"/>
  <c r="BL146" i="27"/>
  <c r="M132" i="29"/>
  <c r="M141" i="29" s="1"/>
  <c r="BL145" i="27"/>
  <c r="BK144" i="27"/>
  <c r="BK145" i="27"/>
  <c r="BR146" i="27"/>
  <c r="BT99" i="16"/>
  <c r="BU99" i="16"/>
  <c r="BB107" i="27"/>
  <c r="D107" i="29"/>
  <c r="N99" i="29"/>
  <c r="BI107" i="16"/>
  <c r="BI107" i="27"/>
  <c r="K107" i="29"/>
  <c r="K143" i="29" s="1"/>
  <c r="BN100" i="16"/>
  <c r="BN100" i="27"/>
  <c r="BK100" i="16"/>
  <c r="BK100" i="27"/>
  <c r="S99" i="29"/>
  <c r="G107" i="29"/>
  <c r="BE107" i="27"/>
  <c r="BE133" i="27" s="1"/>
  <c r="BF107" i="16"/>
  <c r="BF133" i="16" s="1"/>
  <c r="BF107" i="27"/>
  <c r="BF133" i="27" s="1"/>
  <c r="H107" i="29"/>
  <c r="H133" i="29" s="1"/>
  <c r="BC107" i="27"/>
  <c r="BC133" i="27" s="1"/>
  <c r="E107" i="29"/>
  <c r="E133" i="29" s="1"/>
  <c r="O99" i="29"/>
  <c r="BJ99" i="27"/>
  <c r="BC143" i="27"/>
  <c r="BD107" i="27"/>
  <c r="BD133" i="27" s="1"/>
  <c r="F107" i="29"/>
  <c r="F133" i="29" s="1"/>
  <c r="BS97" i="12"/>
  <c r="BR100" i="27"/>
  <c r="BQ100" i="16"/>
  <c r="BQ100" i="27"/>
  <c r="P99" i="29"/>
  <c r="M99" i="29"/>
  <c r="Q99" i="29"/>
  <c r="R99" i="29"/>
  <c r="I107" i="29"/>
  <c r="I133" i="29" s="1"/>
  <c r="BG107" i="27"/>
  <c r="BG143" i="27" s="1"/>
  <c r="BH107" i="16"/>
  <c r="BH133" i="16" s="1"/>
  <c r="J107" i="29"/>
  <c r="J133" i="29" s="1"/>
  <c r="BH107" i="27"/>
  <c r="BH143" i="27" s="1"/>
  <c r="CI188" i="12"/>
  <c r="CH188" i="12"/>
  <c r="CG188" i="12"/>
  <c r="AL132" i="16"/>
  <c r="AM132" i="16"/>
  <c r="AK132" i="16"/>
  <c r="BF146" i="16"/>
  <c r="BJ130" i="16"/>
  <c r="BJ99" i="16"/>
  <c r="BN145" i="16"/>
  <c r="BE146" i="16"/>
  <c r="BE143" i="12"/>
  <c r="BE188" i="12" s="1"/>
  <c r="Q102" i="32" s="1"/>
  <c r="BE107" i="16"/>
  <c r="BD143" i="12"/>
  <c r="BD188" i="12" s="1"/>
  <c r="P102" i="32" s="1"/>
  <c r="BD107" i="16"/>
  <c r="BD133" i="16" s="1"/>
  <c r="BG143" i="12"/>
  <c r="BG188" i="12" s="1"/>
  <c r="S102" i="32" s="1"/>
  <c r="BG107" i="16"/>
  <c r="BG133" i="16" s="1"/>
  <c r="BC143" i="12"/>
  <c r="BC188" i="12" s="1"/>
  <c r="O102" i="32" s="1"/>
  <c r="O150" i="32" s="1"/>
  <c r="BC107" i="16"/>
  <c r="BC133" i="16" s="1"/>
  <c r="BB143" i="12"/>
  <c r="BB188" i="12" s="1"/>
  <c r="BB107" i="16"/>
  <c r="BB133" i="16" s="1"/>
  <c r="BI132" i="16"/>
  <c r="BI146" i="12"/>
  <c r="BI191" i="12" s="1"/>
  <c r="BU191" i="12" s="1"/>
  <c r="CS146" i="24"/>
  <c r="CS147" i="24" s="1"/>
  <c r="CX146" i="24"/>
  <c r="CX147" i="24" s="1"/>
  <c r="CR146" i="24"/>
  <c r="CR147" i="24" s="1"/>
  <c r="BJ100" i="12"/>
  <c r="BN146" i="12"/>
  <c r="AH132" i="22"/>
  <c r="AH148" i="22" s="1"/>
  <c r="BK132" i="16"/>
  <c r="CU146" i="24"/>
  <c r="CU147" i="24" s="1"/>
  <c r="BO132" i="12"/>
  <c r="BO132" i="27" s="1"/>
  <c r="BR132" i="16"/>
  <c r="BR145" i="12"/>
  <c r="AN131" i="22"/>
  <c r="BK131" i="16"/>
  <c r="BJ131" i="12"/>
  <c r="BK146" i="12"/>
  <c r="BP132" i="16"/>
  <c r="BP145" i="12"/>
  <c r="BR146" i="12"/>
  <c r="BP146" i="12"/>
  <c r="BL132" i="16"/>
  <c r="BL145" i="16" s="1"/>
  <c r="BL145" i="12"/>
  <c r="BM132" i="16"/>
  <c r="BM145" i="16" s="1"/>
  <c r="BM145" i="12"/>
  <c r="BQ132" i="16"/>
  <c r="BQ145" i="12"/>
  <c r="BQ146" i="12"/>
  <c r="BL146" i="12"/>
  <c r="BK107" i="12"/>
  <c r="BK107" i="27" s="1"/>
  <c r="CQ133" i="24"/>
  <c r="CQ146" i="24"/>
  <c r="CQ147" i="24" s="1"/>
  <c r="BF142" i="16"/>
  <c r="BF142" i="12"/>
  <c r="BF187" i="12" s="1"/>
  <c r="R90" i="32" s="1"/>
  <c r="H144" i="22"/>
  <c r="AI144" i="22" s="1"/>
  <c r="AH107" i="22"/>
  <c r="AH145" i="22" s="1"/>
  <c r="BC142" i="16"/>
  <c r="BC142" i="12"/>
  <c r="BC187" i="12" s="1"/>
  <c r="O90" i="32" s="1"/>
  <c r="O149" i="32" s="1"/>
  <c r="BN107" i="12"/>
  <c r="BN107" i="27" s="1"/>
  <c r="CT133" i="24"/>
  <c r="CT146" i="24"/>
  <c r="CT147" i="24" s="1"/>
  <c r="BM100" i="16"/>
  <c r="BO107" i="12"/>
  <c r="CU133" i="24"/>
  <c r="BG142" i="16"/>
  <c r="BG142" i="12"/>
  <c r="BG187" i="12" s="1"/>
  <c r="S90" i="32" s="1"/>
  <c r="BR107" i="12"/>
  <c r="CX133" i="24"/>
  <c r="BO100" i="16"/>
  <c r="BL107" i="12"/>
  <c r="CR133" i="24"/>
  <c r="BD142" i="16"/>
  <c r="BD142" i="12"/>
  <c r="BD187" i="12" s="1"/>
  <c r="P90" i="32" s="1"/>
  <c r="BP107" i="12"/>
  <c r="CV133" i="24"/>
  <c r="CV146" i="24"/>
  <c r="CV147" i="24" s="1"/>
  <c r="BM107" i="12"/>
  <c r="CS133" i="24"/>
  <c r="BP100" i="16"/>
  <c r="BE142" i="16"/>
  <c r="BE142" i="12"/>
  <c r="BE187" i="12" s="1"/>
  <c r="Q90" i="32" s="1"/>
  <c r="AO98" i="22"/>
  <c r="BS98" i="16" s="1"/>
  <c r="BR100" i="16"/>
  <c r="BF143" i="12"/>
  <c r="BF188" i="12" s="1"/>
  <c r="R102" i="32" s="1"/>
  <c r="BH142" i="12"/>
  <c r="BH187" i="12" s="1"/>
  <c r="T90" i="32" s="1"/>
  <c r="BH143" i="12"/>
  <c r="BH188" i="12" s="1"/>
  <c r="T102" i="32" s="1"/>
  <c r="AL100" i="22"/>
  <c r="AK100" i="22"/>
  <c r="AJ100" i="22"/>
  <c r="AM100" i="22"/>
  <c r="AI100" i="22"/>
  <c r="BF143" i="16"/>
  <c r="BB142" i="16"/>
  <c r="BB142" i="12"/>
  <c r="BB187" i="12" s="1"/>
  <c r="BL100" i="16"/>
  <c r="BI142" i="12"/>
  <c r="BI143" i="12"/>
  <c r="BI188" i="12" s="1"/>
  <c r="BQ107" i="12"/>
  <c r="BQ107" i="27" s="1"/>
  <c r="CW133" i="24"/>
  <c r="CW146" i="24"/>
  <c r="CW147" i="24" s="1"/>
  <c r="BI133" i="27" l="1"/>
  <c r="S146" i="29"/>
  <c r="R109" i="32"/>
  <c r="R110" i="32" s="1"/>
  <c r="R150" i="32" s="1"/>
  <c r="R149" i="32"/>
  <c r="T109" i="32"/>
  <c r="T110" i="32" s="1"/>
  <c r="T150" i="32" s="1"/>
  <c r="T149" i="32"/>
  <c r="U102" i="30"/>
  <c r="U102" i="32"/>
  <c r="S109" i="32"/>
  <c r="S110" i="32" s="1"/>
  <c r="S150" i="32" s="1"/>
  <c r="S149" i="32"/>
  <c r="P109" i="32"/>
  <c r="P110" i="32" s="1"/>
  <c r="P149" i="32"/>
  <c r="Q109" i="32"/>
  <c r="Q110" i="32" s="1"/>
  <c r="Q150" i="32" s="1"/>
  <c r="Q149" i="32"/>
  <c r="S100" i="29"/>
  <c r="BO141" i="27"/>
  <c r="R107" i="29"/>
  <c r="R100" i="29"/>
  <c r="BN141" i="27"/>
  <c r="AW141" i="27" s="1"/>
  <c r="BI133" i="16"/>
  <c r="BI141" i="27"/>
  <c r="BI145" i="27"/>
  <c r="BJ145" i="27" s="1"/>
  <c r="K141" i="29"/>
  <c r="K145" i="29"/>
  <c r="Q146" i="29"/>
  <c r="Q141" i="29"/>
  <c r="BJ131" i="16"/>
  <c r="BJ146" i="27"/>
  <c r="BJ140" i="27"/>
  <c r="AW140" i="27"/>
  <c r="K146" i="29"/>
  <c r="BM161" i="12"/>
  <c r="BM191" i="12" s="1"/>
  <c r="R102" i="26"/>
  <c r="P102" i="30"/>
  <c r="Q90" i="26"/>
  <c r="Q149" i="26" s="1"/>
  <c r="Q164" i="26" s="1"/>
  <c r="O90" i="30"/>
  <c r="O149" i="30" s="1"/>
  <c r="O164" i="30" s="1"/>
  <c r="S102" i="26"/>
  <c r="AG99" i="26" s="1"/>
  <c r="Q102" i="30"/>
  <c r="S90" i="26"/>
  <c r="S109" i="26" s="1"/>
  <c r="S110" i="26" s="1"/>
  <c r="Q90" i="30"/>
  <c r="U90" i="26"/>
  <c r="U109" i="26" s="1"/>
  <c r="U110" i="26" s="1"/>
  <c r="S90" i="30"/>
  <c r="R90" i="26"/>
  <c r="R149" i="26" s="1"/>
  <c r="R164" i="26" s="1"/>
  <c r="P90" i="30"/>
  <c r="Q102" i="26"/>
  <c r="Q150" i="26" s="1"/>
  <c r="O102" i="30"/>
  <c r="O150" i="30" s="1"/>
  <c r="V102" i="26"/>
  <c r="AJ99" i="26" s="1"/>
  <c r="T102" i="30"/>
  <c r="T90" i="26"/>
  <c r="T109" i="26" s="1"/>
  <c r="R90" i="30"/>
  <c r="T102" i="26"/>
  <c r="AH99" i="26" s="1"/>
  <c r="R102" i="30"/>
  <c r="V90" i="26"/>
  <c r="V109" i="26" s="1"/>
  <c r="AB109" i="26" s="1"/>
  <c r="Z109" i="32" s="1"/>
  <c r="T90" i="30"/>
  <c r="U102" i="26"/>
  <c r="AI99" i="26" s="1"/>
  <c r="S102" i="30"/>
  <c r="S168" i="26"/>
  <c r="Q168" i="30"/>
  <c r="T168" i="26"/>
  <c r="R168" i="30"/>
  <c r="BI143" i="27"/>
  <c r="BD143" i="27"/>
  <c r="P132" i="29"/>
  <c r="P141" i="29" s="1"/>
  <c r="BO146" i="27"/>
  <c r="BN146" i="16"/>
  <c r="BN177" i="16" s="1"/>
  <c r="M145" i="29"/>
  <c r="M146" i="29"/>
  <c r="O132" i="29"/>
  <c r="O141" i="29" s="1"/>
  <c r="BJ132" i="27"/>
  <c r="BN144" i="27"/>
  <c r="AW144" i="27" s="1"/>
  <c r="BN146" i="27"/>
  <c r="AW146" i="27" s="1"/>
  <c r="R131" i="29"/>
  <c r="BQ146" i="27"/>
  <c r="X129" i="29"/>
  <c r="R145" i="29"/>
  <c r="Y129" i="29"/>
  <c r="S144" i="29"/>
  <c r="S145" i="29"/>
  <c r="N132" i="29"/>
  <c r="N141" i="29" s="1"/>
  <c r="BM145" i="27"/>
  <c r="BM146" i="27"/>
  <c r="W129" i="29"/>
  <c r="Q145" i="29"/>
  <c r="O131" i="29"/>
  <c r="BJ131" i="27"/>
  <c r="BM143" i="12"/>
  <c r="BM158" i="12" s="1"/>
  <c r="BM107" i="27"/>
  <c r="E143" i="29"/>
  <c r="O100" i="29"/>
  <c r="BJ100" i="27"/>
  <c r="BF143" i="27"/>
  <c r="BG133" i="27"/>
  <c r="BR143" i="12"/>
  <c r="BR174" i="12" s="1"/>
  <c r="BR107" i="27"/>
  <c r="O107" i="29"/>
  <c r="BJ143" i="27"/>
  <c r="I143" i="29"/>
  <c r="F143" i="29"/>
  <c r="BP143" i="12"/>
  <c r="BP174" i="12" s="1"/>
  <c r="BP107" i="27"/>
  <c r="K133" i="29"/>
  <c r="D133" i="29"/>
  <c r="D143" i="29"/>
  <c r="BN143" i="27"/>
  <c r="BB133" i="27"/>
  <c r="BB143" i="27"/>
  <c r="BQ143" i="27"/>
  <c r="BO143" i="12"/>
  <c r="BO174" i="12" s="1"/>
  <c r="BO107" i="27"/>
  <c r="G133" i="29"/>
  <c r="G143" i="29"/>
  <c r="BK143" i="27"/>
  <c r="BE143" i="27"/>
  <c r="BL143" i="12"/>
  <c r="BL158" i="12" s="1"/>
  <c r="BL107" i="27"/>
  <c r="H143" i="29"/>
  <c r="R143" i="29"/>
  <c r="BH133" i="27"/>
  <c r="V97" i="29"/>
  <c r="J143" i="29"/>
  <c r="BY191" i="12"/>
  <c r="BX191" i="12"/>
  <c r="BW191" i="12"/>
  <c r="BV191" i="12"/>
  <c r="BI187" i="12"/>
  <c r="W102" i="26"/>
  <c r="AK99" i="26" s="1"/>
  <c r="BU188" i="12"/>
  <c r="BT106" i="16"/>
  <c r="BT98" i="16"/>
  <c r="BU98" i="16"/>
  <c r="BE133" i="16"/>
  <c r="BU106" i="16"/>
  <c r="BN189" i="16"/>
  <c r="BN176" i="16"/>
  <c r="AW145" i="16"/>
  <c r="BN163" i="16"/>
  <c r="BE143" i="16"/>
  <c r="BP145" i="16"/>
  <c r="BR145" i="16"/>
  <c r="BQ145" i="16"/>
  <c r="BJ143" i="16"/>
  <c r="BI146" i="16"/>
  <c r="BJ100" i="16"/>
  <c r="BN161" i="12"/>
  <c r="BJ146" i="12"/>
  <c r="BH199" i="12"/>
  <c r="BH198" i="12"/>
  <c r="BF198" i="12"/>
  <c r="BF199" i="12"/>
  <c r="BG198" i="12"/>
  <c r="BG199" i="12"/>
  <c r="BC199" i="12"/>
  <c r="BC198" i="12"/>
  <c r="BE199" i="12"/>
  <c r="BE198" i="12"/>
  <c r="BD198" i="12"/>
  <c r="BD199" i="12"/>
  <c r="BB199" i="12"/>
  <c r="BB198" i="12"/>
  <c r="BR146" i="16"/>
  <c r="AK132" i="22"/>
  <c r="AN132" i="22" s="1"/>
  <c r="AO132" i="22" s="1"/>
  <c r="BN177" i="12"/>
  <c r="BC143" i="16"/>
  <c r="AJ132" i="22"/>
  <c r="AJ148" i="22" s="1"/>
  <c r="AM132" i="22"/>
  <c r="AM148" i="22" s="1"/>
  <c r="AI132" i="22"/>
  <c r="AL132" i="22"/>
  <c r="AL148" i="22" s="1"/>
  <c r="BD143" i="16"/>
  <c r="BP146" i="16"/>
  <c r="BG143" i="16"/>
  <c r="BL146" i="16"/>
  <c r="BK146" i="16"/>
  <c r="BQ146" i="16"/>
  <c r="BL177" i="12"/>
  <c r="BL161" i="12"/>
  <c r="BL176" i="12"/>
  <c r="BL160" i="12"/>
  <c r="BR177" i="12"/>
  <c r="BR161" i="12"/>
  <c r="AO131" i="22"/>
  <c r="BQ177" i="12"/>
  <c r="BQ161" i="12"/>
  <c r="BP176" i="12"/>
  <c r="BP160" i="12"/>
  <c r="BO132" i="16"/>
  <c r="BO145" i="12"/>
  <c r="BO146" i="12"/>
  <c r="BQ176" i="12"/>
  <c r="BQ160" i="12"/>
  <c r="BR176" i="12"/>
  <c r="BR160" i="12"/>
  <c r="BP177" i="12"/>
  <c r="BP161" i="12"/>
  <c r="BJ132" i="12"/>
  <c r="BM176" i="12"/>
  <c r="BM160" i="12"/>
  <c r="BK177" i="12"/>
  <c r="BK161" i="12"/>
  <c r="BM146" i="16"/>
  <c r="BK145" i="16"/>
  <c r="BH142" i="16"/>
  <c r="BH143" i="16"/>
  <c r="BI142" i="16"/>
  <c r="BI143" i="16"/>
  <c r="BB143" i="16"/>
  <c r="BN173" i="12"/>
  <c r="BN157" i="12"/>
  <c r="BP107" i="16"/>
  <c r="BP142" i="12"/>
  <c r="BR107" i="16"/>
  <c r="BR142" i="12"/>
  <c r="AN100" i="22"/>
  <c r="BN107" i="16"/>
  <c r="BN143" i="12"/>
  <c r="BQ107" i="16"/>
  <c r="BQ142" i="12"/>
  <c r="BQ143" i="12"/>
  <c r="BM107" i="16"/>
  <c r="BM142" i="12"/>
  <c r="BL107" i="16"/>
  <c r="BL142" i="12"/>
  <c r="BO107" i="16"/>
  <c r="BO142" i="12"/>
  <c r="AM107" i="22"/>
  <c r="AM144" i="22" s="1"/>
  <c r="AI107" i="22"/>
  <c r="AL107" i="22"/>
  <c r="AL144" i="22" s="1"/>
  <c r="AK107" i="22"/>
  <c r="AK145" i="22" s="1"/>
  <c r="AJ107" i="22"/>
  <c r="AJ144" i="22" s="1"/>
  <c r="AH144" i="22"/>
  <c r="BK107" i="16"/>
  <c r="BJ107" i="12"/>
  <c r="BK142" i="12"/>
  <c r="BK143" i="12"/>
  <c r="F34" i="22"/>
  <c r="X25" i="26" l="1"/>
  <c r="AA25" i="26" s="1"/>
  <c r="Y25" i="32" s="1"/>
  <c r="X80" i="26"/>
  <c r="X47" i="26"/>
  <c r="Z47" i="26" s="1"/>
  <c r="X47" i="32" s="1"/>
  <c r="X102" i="26"/>
  <c r="X14" i="26"/>
  <c r="AB14" i="26" s="1"/>
  <c r="Z14" i="32" s="1"/>
  <c r="X69" i="26"/>
  <c r="AA69" i="26" s="1"/>
  <c r="Y69" i="32" s="1"/>
  <c r="X36" i="26"/>
  <c r="AB36" i="26" s="1"/>
  <c r="Z36" i="32" s="1"/>
  <c r="X91" i="26"/>
  <c r="Y91" i="26" s="1"/>
  <c r="W91" i="32" s="1"/>
  <c r="X58" i="26"/>
  <c r="AC58" i="26" s="1"/>
  <c r="AA58" i="32" s="1"/>
  <c r="P150" i="32"/>
  <c r="BI199" i="12"/>
  <c r="U90" i="32"/>
  <c r="BJ141" i="27"/>
  <c r="AW146" i="16"/>
  <c r="BN190" i="16"/>
  <c r="R146" i="29"/>
  <c r="R109" i="26"/>
  <c r="R110" i="26" s="1"/>
  <c r="O165" i="30"/>
  <c r="V149" i="26"/>
  <c r="V164" i="26" s="1"/>
  <c r="S150" i="26"/>
  <c r="S165" i="26" s="1"/>
  <c r="U149" i="26"/>
  <c r="U164" i="26" s="1"/>
  <c r="U150" i="26"/>
  <c r="U165" i="26" s="1"/>
  <c r="S149" i="26"/>
  <c r="S164" i="26" s="1"/>
  <c r="BN164" i="16"/>
  <c r="T149" i="26"/>
  <c r="T164" i="26" s="1"/>
  <c r="R109" i="30"/>
  <c r="R149" i="30"/>
  <c r="R164" i="30" s="1"/>
  <c r="P109" i="30"/>
  <c r="P110" i="30" s="1"/>
  <c r="P149" i="30"/>
  <c r="P164" i="30" s="1"/>
  <c r="BU187" i="12"/>
  <c r="BV187" i="12" s="1"/>
  <c r="U90" i="30"/>
  <c r="T109" i="30"/>
  <c r="T149" i="30"/>
  <c r="T164" i="30" s="1"/>
  <c r="S109" i="30"/>
  <c r="S149" i="30"/>
  <c r="S164" i="30" s="1"/>
  <c r="P150" i="30"/>
  <c r="P165" i="30" s="1"/>
  <c r="AL99" i="26"/>
  <c r="Q109" i="30"/>
  <c r="Q149" i="30"/>
  <c r="Q164" i="30" s="1"/>
  <c r="V102" i="30"/>
  <c r="V91" i="30"/>
  <c r="V69" i="30"/>
  <c r="V25" i="30"/>
  <c r="V80" i="30"/>
  <c r="V58" i="30"/>
  <c r="V14" i="30"/>
  <c r="V36" i="30"/>
  <c r="V47" i="30"/>
  <c r="W168" i="26"/>
  <c r="U168" i="30"/>
  <c r="O143" i="29"/>
  <c r="BM174" i="12"/>
  <c r="BM188" i="12" s="1"/>
  <c r="BO158" i="12"/>
  <c r="BO188" i="12" s="1"/>
  <c r="BL174" i="12"/>
  <c r="BL188" i="12" s="1"/>
  <c r="N145" i="29"/>
  <c r="N146" i="29"/>
  <c r="U129" i="29"/>
  <c r="O144" i="29"/>
  <c r="O145" i="29"/>
  <c r="O146" i="29"/>
  <c r="AN148" i="22"/>
  <c r="AO148" i="22" s="1"/>
  <c r="V129" i="29"/>
  <c r="P145" i="29"/>
  <c r="P146" i="29"/>
  <c r="BP158" i="12"/>
  <c r="BP188" i="12" s="1"/>
  <c r="BJ107" i="27"/>
  <c r="BR158" i="12"/>
  <c r="BR188" i="12" s="1"/>
  <c r="M107" i="29"/>
  <c r="BL143" i="27"/>
  <c r="Q107" i="29"/>
  <c r="BP143" i="27"/>
  <c r="P107" i="29"/>
  <c r="BO143" i="27"/>
  <c r="S107" i="29"/>
  <c r="BR143" i="27"/>
  <c r="AW143" i="27"/>
  <c r="N107" i="29"/>
  <c r="BM143" i="27"/>
  <c r="W90" i="26"/>
  <c r="W109" i="26" s="1"/>
  <c r="BY188" i="12"/>
  <c r="BW188" i="12"/>
  <c r="BV188" i="12"/>
  <c r="BX188" i="12"/>
  <c r="BI198" i="12"/>
  <c r="CB191" i="12"/>
  <c r="BZ191" i="12"/>
  <c r="CA191" i="12"/>
  <c r="V110" i="26"/>
  <c r="V150" i="26" s="1"/>
  <c r="V165" i="26" s="1"/>
  <c r="BS140" i="16"/>
  <c r="BS141" i="16"/>
  <c r="BU145" i="16"/>
  <c r="BU140" i="16"/>
  <c r="BU141" i="16"/>
  <c r="BU144" i="16"/>
  <c r="BN191" i="12"/>
  <c r="BJ187" i="16"/>
  <c r="BJ174" i="16"/>
  <c r="AA109" i="26"/>
  <c r="Y109" i="32" s="1"/>
  <c r="BQ163" i="16"/>
  <c r="BQ189" i="16"/>
  <c r="BQ176" i="16"/>
  <c r="BQ164" i="16"/>
  <c r="BQ190" i="16"/>
  <c r="BQ177" i="16"/>
  <c r="BR189" i="16"/>
  <c r="BR176" i="16"/>
  <c r="BR191" i="12"/>
  <c r="BP163" i="16"/>
  <c r="BP189" i="16"/>
  <c r="BP176" i="16"/>
  <c r="BP164" i="16"/>
  <c r="BP190" i="16"/>
  <c r="BP177" i="16"/>
  <c r="Y109" i="26"/>
  <c r="W109" i="32" s="1"/>
  <c r="BR190" i="12"/>
  <c r="BR164" i="16"/>
  <c r="BR190" i="16"/>
  <c r="BR177" i="16"/>
  <c r="BJ161" i="16"/>
  <c r="BJ145" i="16"/>
  <c r="BR163" i="16"/>
  <c r="BJ146" i="16"/>
  <c r="BJ132" i="16"/>
  <c r="T110" i="26"/>
  <c r="T150" i="26" s="1"/>
  <c r="T165" i="26" s="1"/>
  <c r="Z109" i="26"/>
  <c r="X109" i="32" s="1"/>
  <c r="AJ109" i="26"/>
  <c r="AB110" i="26"/>
  <c r="Z110" i="32" s="1"/>
  <c r="AB80" i="26"/>
  <c r="Z80" i="32" s="1"/>
  <c r="BP191" i="12"/>
  <c r="BP190" i="12"/>
  <c r="BQ191" i="12"/>
  <c r="BM190" i="12"/>
  <c r="BL190" i="12"/>
  <c r="BK191" i="12"/>
  <c r="BL191" i="12"/>
  <c r="BQ190" i="12"/>
  <c r="BJ142" i="12"/>
  <c r="BJ107" i="16"/>
  <c r="BN187" i="12"/>
  <c r="AK148" i="22"/>
  <c r="Q165" i="26"/>
  <c r="AL145" i="22"/>
  <c r="BO177" i="12"/>
  <c r="BO161" i="12"/>
  <c r="BO176" i="12"/>
  <c r="BO160" i="12"/>
  <c r="BO145" i="16"/>
  <c r="BO146" i="16"/>
  <c r="AJ145" i="22"/>
  <c r="BQ174" i="12"/>
  <c r="BQ158" i="12"/>
  <c r="BK173" i="12"/>
  <c r="BK157" i="12"/>
  <c r="BO173" i="12"/>
  <c r="BO157" i="12"/>
  <c r="BQ173" i="12"/>
  <c r="BQ157" i="12"/>
  <c r="BK142" i="16"/>
  <c r="BK143" i="16"/>
  <c r="BO142" i="16"/>
  <c r="BO143" i="16"/>
  <c r="BQ142" i="16"/>
  <c r="BQ143" i="16"/>
  <c r="AO100" i="22"/>
  <c r="BS100" i="16" s="1"/>
  <c r="BR173" i="12"/>
  <c r="BR157" i="12"/>
  <c r="AM145" i="22"/>
  <c r="BK174" i="12"/>
  <c r="BK158" i="12"/>
  <c r="BL173" i="12"/>
  <c r="BL157" i="12"/>
  <c r="BL142" i="16"/>
  <c r="BL143" i="16"/>
  <c r="BR142" i="16"/>
  <c r="BR143" i="16"/>
  <c r="BM173" i="12"/>
  <c r="BM157" i="12"/>
  <c r="BN174" i="12"/>
  <c r="BN158" i="12"/>
  <c r="BP173" i="12"/>
  <c r="BP157" i="12"/>
  <c r="AN107" i="22"/>
  <c r="AK144" i="22"/>
  <c r="BM142" i="16"/>
  <c r="BM143" i="16"/>
  <c r="BN142" i="16"/>
  <c r="BN143" i="16"/>
  <c r="BP142" i="16"/>
  <c r="BP143" i="16"/>
  <c r="G34" i="22"/>
  <c r="AH34" i="22" s="1"/>
  <c r="BR34" i="12"/>
  <c r="BR34" i="27" s="1"/>
  <c r="X105" i="26" l="1"/>
  <c r="Y105" i="26" s="1"/>
  <c r="W105" i="32" s="1"/>
  <c r="X17" i="26"/>
  <c r="AA17" i="26" s="1"/>
  <c r="Y17" i="32" s="1"/>
  <c r="X72" i="26"/>
  <c r="Y72" i="26" s="1"/>
  <c r="W72" i="32" s="1"/>
  <c r="X39" i="26"/>
  <c r="X94" i="26"/>
  <c r="X61" i="26"/>
  <c r="Y61" i="26" s="1"/>
  <c r="W61" i="32" s="1"/>
  <c r="X50" i="26"/>
  <c r="AC50" i="26" s="1"/>
  <c r="AA50" i="32" s="1"/>
  <c r="X28" i="26"/>
  <c r="AA28" i="26" s="1"/>
  <c r="Y28" i="32" s="1"/>
  <c r="X83" i="26"/>
  <c r="Z83" i="26" s="1"/>
  <c r="X83" i="32" s="1"/>
  <c r="X49" i="26"/>
  <c r="AC49" i="26" s="1"/>
  <c r="AA49" i="32" s="1"/>
  <c r="X104" i="26"/>
  <c r="X16" i="26"/>
  <c r="X71" i="26"/>
  <c r="X82" i="26"/>
  <c r="Y82" i="26" s="1"/>
  <c r="W82" i="32" s="1"/>
  <c r="X38" i="26"/>
  <c r="Z38" i="26" s="1"/>
  <c r="X38" i="32" s="1"/>
  <c r="X93" i="26"/>
  <c r="AA93" i="26" s="1"/>
  <c r="Y93" i="32" s="1"/>
  <c r="X60" i="26"/>
  <c r="AC60" i="26" s="1"/>
  <c r="AA60" i="32" s="1"/>
  <c r="X27" i="26"/>
  <c r="Y27" i="26" s="1"/>
  <c r="W27" i="32" s="1"/>
  <c r="BJ199" i="12"/>
  <c r="U109" i="32"/>
  <c r="U110" i="32" s="1"/>
  <c r="U150" i="32" s="1"/>
  <c r="U149" i="32"/>
  <c r="AJ110" i="26"/>
  <c r="AG109" i="26"/>
  <c r="AI109" i="26"/>
  <c r="S34" i="29"/>
  <c r="S139" i="29" s="1"/>
  <c r="BR139" i="27"/>
  <c r="BR133" i="27"/>
  <c r="R150" i="26"/>
  <c r="R165" i="26" s="1"/>
  <c r="BW187" i="12"/>
  <c r="BX187" i="12"/>
  <c r="BY187" i="12"/>
  <c r="CB187" i="12" s="1"/>
  <c r="W110" i="26"/>
  <c r="Q110" i="30"/>
  <c r="Q150" i="30" s="1"/>
  <c r="Q165" i="30" s="1"/>
  <c r="W109" i="30"/>
  <c r="W110" i="30" s="1"/>
  <c r="S110" i="30"/>
  <c r="S150" i="30" s="1"/>
  <c r="S165" i="30" s="1"/>
  <c r="Y109" i="30"/>
  <c r="Y110" i="30" s="1"/>
  <c r="R110" i="30"/>
  <c r="R150" i="30" s="1"/>
  <c r="R165" i="30" s="1"/>
  <c r="X109" i="30"/>
  <c r="X110" i="30" s="1"/>
  <c r="T110" i="30"/>
  <c r="T150" i="30" s="1"/>
  <c r="T165" i="30" s="1"/>
  <c r="Z109" i="30"/>
  <c r="Z110" i="30" s="1"/>
  <c r="U109" i="30"/>
  <c r="U149" i="30"/>
  <c r="U164" i="30" s="1"/>
  <c r="AA36" i="30"/>
  <c r="Z36" i="30"/>
  <c r="Y36" i="30"/>
  <c r="X36" i="30"/>
  <c r="W36" i="30"/>
  <c r="W14" i="30"/>
  <c r="Y14" i="30"/>
  <c r="X14" i="30"/>
  <c r="Z14" i="30"/>
  <c r="AA14" i="30"/>
  <c r="V105" i="30"/>
  <c r="V94" i="30"/>
  <c r="V83" i="30"/>
  <c r="V72" i="30"/>
  <c r="V61" i="30"/>
  <c r="V50" i="30"/>
  <c r="V28" i="30"/>
  <c r="V39" i="30"/>
  <c r="V17" i="30"/>
  <c r="V93" i="30"/>
  <c r="V82" i="30"/>
  <c r="V60" i="30"/>
  <c r="V104" i="30"/>
  <c r="V49" i="30"/>
  <c r="V16" i="30"/>
  <c r="V38" i="30"/>
  <c r="V27" i="30"/>
  <c r="V71" i="30"/>
  <c r="Z58" i="30"/>
  <c r="AA58" i="30"/>
  <c r="Y58" i="30"/>
  <c r="W58" i="30"/>
  <c r="X58" i="30"/>
  <c r="Z80" i="30"/>
  <c r="W80" i="30"/>
  <c r="AA80" i="30"/>
  <c r="Y80" i="30"/>
  <c r="X80" i="30"/>
  <c r="AA25" i="30"/>
  <c r="W25" i="30"/>
  <c r="Z25" i="30"/>
  <c r="Y25" i="30"/>
  <c r="X25" i="30"/>
  <c r="AA69" i="30"/>
  <c r="Y69" i="30"/>
  <c r="W69" i="30"/>
  <c r="Z69" i="30"/>
  <c r="X69" i="30"/>
  <c r="Z91" i="30"/>
  <c r="Y91" i="30"/>
  <c r="X91" i="30"/>
  <c r="W91" i="30"/>
  <c r="AA91" i="30"/>
  <c r="Z47" i="30"/>
  <c r="Y47" i="30"/>
  <c r="X47" i="30"/>
  <c r="W47" i="30"/>
  <c r="AA47" i="30"/>
  <c r="Y102" i="30"/>
  <c r="W102" i="30"/>
  <c r="Z102" i="30"/>
  <c r="X102" i="30"/>
  <c r="AA102" i="30"/>
  <c r="BJ198" i="12"/>
  <c r="Q143" i="29"/>
  <c r="S133" i="29"/>
  <c r="S143" i="29"/>
  <c r="P143" i="29"/>
  <c r="N143" i="29"/>
  <c r="M143" i="29"/>
  <c r="W149" i="26"/>
  <c r="W164" i="26" s="1"/>
  <c r="BZ188" i="12"/>
  <c r="CB188" i="12"/>
  <c r="CA188" i="12"/>
  <c r="BT100" i="16"/>
  <c r="BU100" i="16"/>
  <c r="BT140" i="16"/>
  <c r="BT141" i="16"/>
  <c r="BT144" i="16"/>
  <c r="BT145" i="16"/>
  <c r="Y110" i="26"/>
  <c r="W110" i="32" s="1"/>
  <c r="AA110" i="26"/>
  <c r="Y110" i="32" s="1"/>
  <c r="AC25" i="26"/>
  <c r="AA25" i="32" s="1"/>
  <c r="AB25" i="26"/>
  <c r="Z25" i="32" s="1"/>
  <c r="BR187" i="12"/>
  <c r="BR198" i="12" s="1"/>
  <c r="Y25" i="26"/>
  <c r="W25" i="32" s="1"/>
  <c r="Z25" i="26"/>
  <c r="X25" i="32" s="1"/>
  <c r="BN188" i="12"/>
  <c r="BL187" i="12"/>
  <c r="BL199" i="12" s="1"/>
  <c r="AA104" i="26"/>
  <c r="Y104" i="32" s="1"/>
  <c r="Z16" i="26"/>
  <c r="X16" i="32" s="1"/>
  <c r="BP160" i="16"/>
  <c r="BP186" i="16"/>
  <c r="BP173" i="16"/>
  <c r="BN160" i="16"/>
  <c r="BN186" i="16"/>
  <c r="BN173" i="16"/>
  <c r="BM187" i="12"/>
  <c r="BM198" i="12" s="1"/>
  <c r="BK188" i="12"/>
  <c r="BO161" i="16"/>
  <c r="BO187" i="16"/>
  <c r="BO174" i="16"/>
  <c r="BF187" i="16" s="1"/>
  <c r="BK187" i="12"/>
  <c r="BK198" i="12" s="1"/>
  <c r="BQ160" i="16"/>
  <c r="BQ186" i="16"/>
  <c r="BQ173" i="16"/>
  <c r="BO160" i="16"/>
  <c r="BO186" i="16"/>
  <c r="BO173" i="16"/>
  <c r="BJ190" i="16"/>
  <c r="BJ177" i="16"/>
  <c r="BG177" i="16" s="1"/>
  <c r="BN187" i="16"/>
  <c r="BN174" i="16"/>
  <c r="BE187" i="16" s="1"/>
  <c r="BR161" i="16"/>
  <c r="BR187" i="16"/>
  <c r="BR174" i="16"/>
  <c r="BI187" i="16" s="1"/>
  <c r="BQ161" i="16"/>
  <c r="BH174" i="16" s="1"/>
  <c r="BQ187" i="16"/>
  <c r="BQ174" i="16"/>
  <c r="BH187" i="16" s="1"/>
  <c r="BJ176" i="16"/>
  <c r="BE176" i="16" s="1"/>
  <c r="BJ189" i="16"/>
  <c r="BG189" i="16" s="1"/>
  <c r="BO163" i="16"/>
  <c r="BO189" i="16"/>
  <c r="BO176" i="16"/>
  <c r="BR160" i="16"/>
  <c r="BR186" i="16"/>
  <c r="BR173" i="16"/>
  <c r="BP161" i="16"/>
  <c r="BP187" i="16"/>
  <c r="BP174" i="16"/>
  <c r="BG187" i="16" s="1"/>
  <c r="BO164" i="16"/>
  <c r="BO190" i="16"/>
  <c r="BO177" i="16"/>
  <c r="BJ163" i="16"/>
  <c r="AW143" i="16"/>
  <c r="BN161" i="16"/>
  <c r="BJ164" i="16"/>
  <c r="Y58" i="26"/>
  <c r="W58" i="32" s="1"/>
  <c r="Y39" i="26"/>
  <c r="W39" i="32" s="1"/>
  <c r="AA58" i="26"/>
  <c r="Y58" i="32" s="1"/>
  <c r="Z58" i="26"/>
  <c r="X58" i="32" s="1"/>
  <c r="Y36" i="26"/>
  <c r="W36" i="32" s="1"/>
  <c r="AA36" i="26"/>
  <c r="Y36" i="32" s="1"/>
  <c r="AC36" i="26"/>
  <c r="AA36" i="32" s="1"/>
  <c r="Z36" i="26"/>
  <c r="X36" i="32" s="1"/>
  <c r="AB58" i="26"/>
  <c r="Z58" i="32" s="1"/>
  <c r="AJ12" i="26"/>
  <c r="AH109" i="26"/>
  <c r="Z110" i="26"/>
  <c r="X110" i="32" s="1"/>
  <c r="AC102" i="26"/>
  <c r="AA102" i="32" s="1"/>
  <c r="Y102" i="26"/>
  <c r="W102" i="32" s="1"/>
  <c r="Z80" i="26"/>
  <c r="X80" i="32" s="1"/>
  <c r="AA47" i="26"/>
  <c r="Y47" i="32" s="1"/>
  <c r="Y47" i="26"/>
  <c r="W47" i="32" s="1"/>
  <c r="AA91" i="26"/>
  <c r="Y91" i="32" s="1"/>
  <c r="AA102" i="26"/>
  <c r="Y102" i="32" s="1"/>
  <c r="AB47" i="26"/>
  <c r="Z47" i="32" s="1"/>
  <c r="Y69" i="26"/>
  <c r="W69" i="32" s="1"/>
  <c r="AC91" i="26"/>
  <c r="AA91" i="32" s="1"/>
  <c r="AC47" i="26"/>
  <c r="AA47" i="32" s="1"/>
  <c r="AB91" i="26"/>
  <c r="Z91" i="32" s="1"/>
  <c r="Z69" i="26"/>
  <c r="X69" i="32" s="1"/>
  <c r="AA14" i="26"/>
  <c r="Y14" i="32" s="1"/>
  <c r="AC69" i="26"/>
  <c r="AA69" i="32" s="1"/>
  <c r="AB69" i="26"/>
  <c r="Z69" i="32" s="1"/>
  <c r="AB102" i="26"/>
  <c r="Z102" i="32" s="1"/>
  <c r="AC80" i="26"/>
  <c r="AA80" i="32" s="1"/>
  <c r="Z14" i="26"/>
  <c r="X14" i="32" s="1"/>
  <c r="Y80" i="26"/>
  <c r="W80" i="32" s="1"/>
  <c r="Y14" i="26"/>
  <c r="W14" i="32" s="1"/>
  <c r="AA80" i="26"/>
  <c r="Y80" i="32" s="1"/>
  <c r="AC14" i="26"/>
  <c r="AA14" i="32" s="1"/>
  <c r="Z91" i="26"/>
  <c r="X91" i="32" s="1"/>
  <c r="Z102" i="26"/>
  <c r="X102" i="32" s="1"/>
  <c r="BP187" i="12"/>
  <c r="BP198" i="12" s="1"/>
  <c r="BQ187" i="12"/>
  <c r="BQ199" i="12" s="1"/>
  <c r="BO187" i="12"/>
  <c r="BO198" i="12" s="1"/>
  <c r="BQ188" i="12"/>
  <c r="BO190" i="12"/>
  <c r="BO191" i="12"/>
  <c r="BN198" i="12"/>
  <c r="BN199" i="12"/>
  <c r="AW142" i="16"/>
  <c r="BJ142" i="16"/>
  <c r="AO107" i="22"/>
  <c r="BS107" i="16" s="1"/>
  <c r="BS142" i="16" s="1"/>
  <c r="AN144" i="22"/>
  <c r="AO144" i="22" s="1"/>
  <c r="AN145" i="22"/>
  <c r="AO145" i="22" s="1"/>
  <c r="AI34" i="22"/>
  <c r="AH141" i="22"/>
  <c r="AH149" i="22" s="1"/>
  <c r="AM34" i="22"/>
  <c r="AM141" i="22" s="1"/>
  <c r="AM149" i="22" s="1"/>
  <c r="AL34" i="22"/>
  <c r="AL141" i="22" s="1"/>
  <c r="AL149" i="22" s="1"/>
  <c r="AK34" i="22"/>
  <c r="AJ34" i="22"/>
  <c r="AJ141" i="22" s="1"/>
  <c r="AJ149" i="22" s="1"/>
  <c r="AH133" i="22"/>
  <c r="BL34" i="12"/>
  <c r="BL34" i="27" s="1"/>
  <c r="BN34" i="12"/>
  <c r="BN34" i="27" s="1"/>
  <c r="BP34" i="12"/>
  <c r="BP34" i="27" s="1"/>
  <c r="BQ34" i="12"/>
  <c r="BQ34" i="27" s="1"/>
  <c r="BM34" i="12"/>
  <c r="BM34" i="27" s="1"/>
  <c r="BK34" i="12"/>
  <c r="BK34" i="27" s="1"/>
  <c r="BO34" i="12"/>
  <c r="BO34" i="27" s="1"/>
  <c r="BR34" i="16"/>
  <c r="BR139" i="12"/>
  <c r="BR133" i="12"/>
  <c r="X57" i="26" l="1"/>
  <c r="X24" i="26"/>
  <c r="X90" i="26"/>
  <c r="X79" i="26"/>
  <c r="X46" i="26"/>
  <c r="X101" i="26"/>
  <c r="X13" i="26"/>
  <c r="X68" i="26"/>
  <c r="X35" i="26"/>
  <c r="AG95" i="26"/>
  <c r="AG97" i="26" s="1"/>
  <c r="AH95" i="26"/>
  <c r="AH97" i="26" s="1"/>
  <c r="AJ95" i="26"/>
  <c r="AJ97" i="26" s="1"/>
  <c r="Z150" i="32"/>
  <c r="AK95" i="26"/>
  <c r="AK97" i="26" s="1"/>
  <c r="AH110" i="26"/>
  <c r="AH47" i="26"/>
  <c r="AI110" i="26"/>
  <c r="AG110" i="26"/>
  <c r="AI95" i="26"/>
  <c r="AI97" i="26" s="1"/>
  <c r="AK47" i="26"/>
  <c r="S147" i="29"/>
  <c r="BO139" i="27"/>
  <c r="BO147" i="27" s="1"/>
  <c r="BO152" i="27" s="1"/>
  <c r="BO154" i="27" s="1"/>
  <c r="BO151" i="31" s="1"/>
  <c r="P34" i="29"/>
  <c r="BO133" i="27"/>
  <c r="BK139" i="27"/>
  <c r="BK147" i="27" s="1"/>
  <c r="BK133" i="27"/>
  <c r="R34" i="29"/>
  <c r="BQ139" i="27"/>
  <c r="BQ147" i="27" s="1"/>
  <c r="BQ152" i="27" s="1"/>
  <c r="BQ154" i="27" s="1"/>
  <c r="BQ151" i="31" s="1"/>
  <c r="BQ133" i="27"/>
  <c r="BM139" i="27"/>
  <c r="BM147" i="27" s="1"/>
  <c r="N34" i="29"/>
  <c r="BM133" i="27"/>
  <c r="Q34" i="29"/>
  <c r="BP139" i="27"/>
  <c r="BP147" i="27" s="1"/>
  <c r="BP152" i="27" s="1"/>
  <c r="BP154" i="27" s="1"/>
  <c r="BP151" i="31" s="1"/>
  <c r="BP133" i="27"/>
  <c r="O34" i="29"/>
  <c r="BN139" i="27"/>
  <c r="BJ34" i="27"/>
  <c r="BN133" i="27"/>
  <c r="BL139" i="27"/>
  <c r="BL147" i="27" s="1"/>
  <c r="M34" i="29"/>
  <c r="BL133" i="27"/>
  <c r="BR147" i="27"/>
  <c r="BR152" i="27" s="1"/>
  <c r="BR154" i="27" s="1"/>
  <c r="BR151" i="31" s="1"/>
  <c r="BZ187" i="12"/>
  <c r="CA187" i="12"/>
  <c r="U110" i="30"/>
  <c r="U150" i="30" s="1"/>
  <c r="U165" i="30" s="1"/>
  <c r="AA109" i="30"/>
  <c r="AA110" i="30" s="1"/>
  <c r="Z60" i="26"/>
  <c r="X60" i="32" s="1"/>
  <c r="Y60" i="26"/>
  <c r="W60" i="32" s="1"/>
  <c r="AB60" i="26"/>
  <c r="Z60" i="32" s="1"/>
  <c r="AA60" i="26"/>
  <c r="Y60" i="32" s="1"/>
  <c r="AA104" i="30"/>
  <c r="Z104" i="30"/>
  <c r="Y104" i="30"/>
  <c r="X104" i="30"/>
  <c r="W104" i="30"/>
  <c r="X50" i="30"/>
  <c r="W50" i="30"/>
  <c r="AA50" i="30"/>
  <c r="Z50" i="30"/>
  <c r="Y50" i="30"/>
  <c r="X150" i="30"/>
  <c r="X165" i="30" s="1"/>
  <c r="AH165" i="30" s="1"/>
  <c r="X60" i="30"/>
  <c r="AA60" i="30"/>
  <c r="Z60" i="30"/>
  <c r="W60" i="30"/>
  <c r="Y60" i="30"/>
  <c r="Z61" i="30"/>
  <c r="X61" i="30"/>
  <c r="AA61" i="30"/>
  <c r="Y61" i="30"/>
  <c r="W61" i="30"/>
  <c r="Y150" i="30"/>
  <c r="Y165" i="30" s="1"/>
  <c r="AI165" i="30" s="1"/>
  <c r="V101" i="30"/>
  <c r="V90" i="30"/>
  <c r="V79" i="30"/>
  <c r="V13" i="30"/>
  <c r="V35" i="30"/>
  <c r="V68" i="30"/>
  <c r="V57" i="30"/>
  <c r="V46" i="30"/>
  <c r="V24" i="30"/>
  <c r="AA82" i="30"/>
  <c r="Z82" i="30"/>
  <c r="Y82" i="30"/>
  <c r="X82" i="30"/>
  <c r="W82" i="30"/>
  <c r="Y72" i="30"/>
  <c r="W72" i="30"/>
  <c r="AA72" i="30"/>
  <c r="Z72" i="30"/>
  <c r="X72" i="30"/>
  <c r="W150" i="30"/>
  <c r="W165" i="30" s="1"/>
  <c r="AG165" i="30" s="1"/>
  <c r="W71" i="30"/>
  <c r="AA71" i="30"/>
  <c r="Z71" i="30"/>
  <c r="Y71" i="30"/>
  <c r="X71" i="30"/>
  <c r="AA93" i="30"/>
  <c r="Z93" i="30"/>
  <c r="Y93" i="30"/>
  <c r="X93" i="30"/>
  <c r="W93" i="30"/>
  <c r="X83" i="30"/>
  <c r="W83" i="30"/>
  <c r="AA83" i="30"/>
  <c r="Z83" i="30"/>
  <c r="Y83" i="30"/>
  <c r="Z27" i="30"/>
  <c r="AA27" i="30"/>
  <c r="Y27" i="30"/>
  <c r="X27" i="30"/>
  <c r="W27" i="30"/>
  <c r="X94" i="30"/>
  <c r="W94" i="30"/>
  <c r="AA94" i="30"/>
  <c r="Z94" i="30"/>
  <c r="Y94" i="30"/>
  <c r="Y38" i="30"/>
  <c r="AA38" i="30"/>
  <c r="Z38" i="30"/>
  <c r="X38" i="30"/>
  <c r="W38" i="30"/>
  <c r="AA17" i="30"/>
  <c r="Z17" i="30"/>
  <c r="Y17" i="30"/>
  <c r="X17" i="30"/>
  <c r="W17" i="30"/>
  <c r="W105" i="30"/>
  <c r="AA105" i="30"/>
  <c r="Z105" i="30"/>
  <c r="Y105" i="30"/>
  <c r="X105" i="30"/>
  <c r="AA16" i="30"/>
  <c r="Y16" i="30"/>
  <c r="X16" i="30"/>
  <c r="W16" i="30"/>
  <c r="Z16" i="30"/>
  <c r="AA39" i="30"/>
  <c r="Z39" i="30"/>
  <c r="Y39" i="30"/>
  <c r="X39" i="30"/>
  <c r="W39" i="30"/>
  <c r="X49" i="30"/>
  <c r="AA49" i="30"/>
  <c r="Z49" i="30"/>
  <c r="W49" i="30"/>
  <c r="Y49" i="30"/>
  <c r="AA28" i="30"/>
  <c r="W28" i="30"/>
  <c r="Z28" i="30"/>
  <c r="Y28" i="30"/>
  <c r="X28" i="30"/>
  <c r="Z150" i="30"/>
  <c r="Z165" i="30" s="1"/>
  <c r="AJ165" i="30" s="1"/>
  <c r="AC109" i="26"/>
  <c r="AA109" i="32" s="1"/>
  <c r="W150" i="26"/>
  <c r="W165" i="26" s="1"/>
  <c r="BR199" i="12"/>
  <c r="AB49" i="26"/>
  <c r="Z49" i="32" s="1"/>
  <c r="BQ198" i="12"/>
  <c r="BL198" i="12"/>
  <c r="BT107" i="16"/>
  <c r="BT142" i="16" s="1"/>
  <c r="BU107" i="16"/>
  <c r="BU142" i="16" s="1"/>
  <c r="AB82" i="26"/>
  <c r="Z82" i="32" s="1"/>
  <c r="Z27" i="26"/>
  <c r="X27" i="32" s="1"/>
  <c r="AC27" i="26"/>
  <c r="AA27" i="32" s="1"/>
  <c r="AA27" i="26"/>
  <c r="Y27" i="32" s="1"/>
  <c r="AB27" i="26"/>
  <c r="Z27" i="32" s="1"/>
  <c r="AC82" i="26"/>
  <c r="AA82" i="32" s="1"/>
  <c r="Y38" i="26"/>
  <c r="W38" i="32" s="1"/>
  <c r="AA82" i="26"/>
  <c r="Y82" i="32" s="1"/>
  <c r="Z82" i="26"/>
  <c r="X82" i="32" s="1"/>
  <c r="AC38" i="26"/>
  <c r="AA38" i="32" s="1"/>
  <c r="AA38" i="26"/>
  <c r="Y38" i="32" s="1"/>
  <c r="Z49" i="26"/>
  <c r="X49" i="32" s="1"/>
  <c r="Y49" i="26"/>
  <c r="W49" i="32" s="1"/>
  <c r="Z105" i="26"/>
  <c r="X105" i="32" s="1"/>
  <c r="AB16" i="26"/>
  <c r="Z16" i="32" s="1"/>
  <c r="AB105" i="26"/>
  <c r="Z105" i="32" s="1"/>
  <c r="AA105" i="26"/>
  <c r="Y105" i="32" s="1"/>
  <c r="AC105" i="26"/>
  <c r="AA105" i="32" s="1"/>
  <c r="BP199" i="12"/>
  <c r="AB104" i="26"/>
  <c r="Z104" i="32" s="1"/>
  <c r="Y104" i="26"/>
  <c r="W104" i="32" s="1"/>
  <c r="AA49" i="26"/>
  <c r="Y49" i="32" s="1"/>
  <c r="BK199" i="12"/>
  <c r="BO199" i="12"/>
  <c r="AC104" i="26"/>
  <c r="AA104" i="32" s="1"/>
  <c r="Y16" i="26"/>
  <c r="W16" i="32" s="1"/>
  <c r="BF163" i="16"/>
  <c r="AC16" i="26"/>
  <c r="AA16" i="32" s="1"/>
  <c r="BF190" i="16"/>
  <c r="AA16" i="26"/>
  <c r="Y16" i="32" s="1"/>
  <c r="BF189" i="16"/>
  <c r="AC93" i="26"/>
  <c r="AA93" i="32" s="1"/>
  <c r="AB93" i="26"/>
  <c r="Z93" i="32" s="1"/>
  <c r="BH176" i="16"/>
  <c r="Z93" i="26"/>
  <c r="X93" i="32" s="1"/>
  <c r="Y93" i="26"/>
  <c r="W93" i="32" s="1"/>
  <c r="AB38" i="26"/>
  <c r="Z38" i="32" s="1"/>
  <c r="BG176" i="16"/>
  <c r="BF177" i="16"/>
  <c r="BI176" i="16"/>
  <c r="BF176" i="16"/>
  <c r="Z104" i="26"/>
  <c r="X104" i="32" s="1"/>
  <c r="BE161" i="16"/>
  <c r="BE174" i="16"/>
  <c r="BH177" i="16"/>
  <c r="BM199" i="12"/>
  <c r="BI190" i="16"/>
  <c r="BE190" i="16"/>
  <c r="BI163" i="16"/>
  <c r="BH189" i="16"/>
  <c r="BE189" i="16"/>
  <c r="BJ160" i="16"/>
  <c r="BH160" i="16" s="1"/>
  <c r="BJ173" i="16"/>
  <c r="BG173" i="16" s="1"/>
  <c r="BJ186" i="16"/>
  <c r="BI186" i="16" s="1"/>
  <c r="BG161" i="16"/>
  <c r="BG174" i="16"/>
  <c r="BI189" i="16"/>
  <c r="BH190" i="16"/>
  <c r="BI161" i="16"/>
  <c r="BI174" i="16"/>
  <c r="BF161" i="16"/>
  <c r="BF174" i="16"/>
  <c r="BI177" i="16"/>
  <c r="BE177" i="16"/>
  <c r="BH161" i="16"/>
  <c r="BG190" i="16"/>
  <c r="BG164" i="16"/>
  <c r="BE164" i="16"/>
  <c r="BI164" i="16"/>
  <c r="BH164" i="16"/>
  <c r="Y71" i="26"/>
  <c r="W71" i="32" s="1"/>
  <c r="AB71" i="26"/>
  <c r="Z71" i="32" s="1"/>
  <c r="AC71" i="26"/>
  <c r="AA71" i="32" s="1"/>
  <c r="AA71" i="26"/>
  <c r="Y71" i="32" s="1"/>
  <c r="Z71" i="26"/>
  <c r="X71" i="32" s="1"/>
  <c r="BH163" i="16"/>
  <c r="BE163" i="16"/>
  <c r="BG163" i="16"/>
  <c r="BF164" i="16"/>
  <c r="Z39" i="26"/>
  <c r="X39" i="32" s="1"/>
  <c r="AG47" i="26"/>
  <c r="AC94" i="26"/>
  <c r="AA94" i="32" s="1"/>
  <c r="Y94" i="26"/>
  <c r="W94" i="32" s="1"/>
  <c r="AA94" i="26"/>
  <c r="Y94" i="32" s="1"/>
  <c r="Z94" i="26"/>
  <c r="X94" i="32" s="1"/>
  <c r="Z50" i="26"/>
  <c r="X50" i="32" s="1"/>
  <c r="AA50" i="26"/>
  <c r="Y50" i="32" s="1"/>
  <c r="Z61" i="26"/>
  <c r="X61" i="32" s="1"/>
  <c r="Y50" i="26"/>
  <c r="W50" i="32" s="1"/>
  <c r="AC83" i="26"/>
  <c r="AA83" i="32" s="1"/>
  <c r="AA83" i="26"/>
  <c r="Y83" i="32" s="1"/>
  <c r="AB50" i="26"/>
  <c r="Z50" i="32" s="1"/>
  <c r="Y28" i="26"/>
  <c r="W28" i="32" s="1"/>
  <c r="AC61" i="26"/>
  <c r="AA61" i="32" s="1"/>
  <c r="AB83" i="26"/>
  <c r="Z83" i="32" s="1"/>
  <c r="Y17" i="26"/>
  <c r="W17" i="32" s="1"/>
  <c r="AB28" i="26"/>
  <c r="Z28" i="32" s="1"/>
  <c r="AC28" i="26"/>
  <c r="AA28" i="32" s="1"/>
  <c r="Z28" i="26"/>
  <c r="X28" i="32" s="1"/>
  <c r="AA61" i="26"/>
  <c r="Y61" i="32" s="1"/>
  <c r="AA39" i="26"/>
  <c r="Y39" i="32" s="1"/>
  <c r="AC39" i="26"/>
  <c r="AA39" i="32" s="1"/>
  <c r="AC17" i="26"/>
  <c r="AA17" i="32" s="1"/>
  <c r="AB39" i="26"/>
  <c r="Z39" i="32" s="1"/>
  <c r="AB94" i="26"/>
  <c r="Z94" i="32" s="1"/>
  <c r="AB61" i="26"/>
  <c r="Z61" i="32" s="1"/>
  <c r="Y83" i="26"/>
  <c r="W83" i="32" s="1"/>
  <c r="Z17" i="26"/>
  <c r="X17" i="32" s="1"/>
  <c r="AA72" i="26"/>
  <c r="Y72" i="32" s="1"/>
  <c r="AB17" i="26"/>
  <c r="Z17" i="32" s="1"/>
  <c r="AC72" i="26"/>
  <c r="AA72" i="32" s="1"/>
  <c r="Z72" i="26"/>
  <c r="X72" i="32" s="1"/>
  <c r="AB72" i="26"/>
  <c r="Z72" i="32" s="1"/>
  <c r="AJ96" i="26"/>
  <c r="AG12" i="26"/>
  <c r="Y150" i="26"/>
  <c r="Y165" i="26" s="1"/>
  <c r="AH165" i="26" s="1"/>
  <c r="AB150" i="26"/>
  <c r="AB165" i="26" s="1"/>
  <c r="AK165" i="26" s="1"/>
  <c r="AI12" i="26"/>
  <c r="AA150" i="26"/>
  <c r="AA165" i="26" s="1"/>
  <c r="AJ165" i="26" s="1"/>
  <c r="AH12" i="26"/>
  <c r="Z150" i="26"/>
  <c r="Z165" i="26" s="1"/>
  <c r="AI165" i="26" s="1"/>
  <c r="AI96" i="26"/>
  <c r="AJ47" i="26"/>
  <c r="AI47" i="26"/>
  <c r="AK96" i="26"/>
  <c r="AK12" i="26"/>
  <c r="AH96" i="26"/>
  <c r="AG96" i="26"/>
  <c r="BR170" i="12"/>
  <c r="BR178" i="12" s="1"/>
  <c r="BJ139" i="12"/>
  <c r="BR147" i="12"/>
  <c r="BR154" i="12"/>
  <c r="BR162" i="12" s="1"/>
  <c r="AN34" i="22"/>
  <c r="AK141" i="22"/>
  <c r="AK149" i="22" s="1"/>
  <c r="BJ34" i="12"/>
  <c r="BK139" i="12"/>
  <c r="BK34" i="16"/>
  <c r="BK133" i="12"/>
  <c r="BP139" i="12"/>
  <c r="BP34" i="16"/>
  <c r="BP133" i="12"/>
  <c r="BR139" i="16"/>
  <c r="BR133" i="16"/>
  <c r="BN139" i="12"/>
  <c r="BN34" i="16"/>
  <c r="BN133" i="12"/>
  <c r="BM34" i="16"/>
  <c r="BM139" i="12"/>
  <c r="BM133" i="12"/>
  <c r="BO139" i="12"/>
  <c r="BO34" i="16"/>
  <c r="BO133" i="16" s="1"/>
  <c r="BO133" i="12"/>
  <c r="BQ133" i="12"/>
  <c r="BQ139" i="12"/>
  <c r="BQ34" i="16"/>
  <c r="BL139" i="12"/>
  <c r="BL133" i="12"/>
  <c r="BL34" i="16"/>
  <c r="X150" i="32" l="1"/>
  <c r="Y150" i="32"/>
  <c r="W150" i="32"/>
  <c r="Z153" i="32"/>
  <c r="AL95" i="26"/>
  <c r="AL97" i="26" s="1"/>
  <c r="AA152" i="32"/>
  <c r="W152" i="32"/>
  <c r="X153" i="32"/>
  <c r="AA153" i="32"/>
  <c r="W153" i="32"/>
  <c r="X152" i="32"/>
  <c r="Y153" i="32"/>
  <c r="Y152" i="32"/>
  <c r="Z152" i="32"/>
  <c r="BS133" i="27"/>
  <c r="BJ139" i="27"/>
  <c r="Q139" i="29"/>
  <c r="Q147" i="29" s="1"/>
  <c r="Q133" i="29"/>
  <c r="N139" i="29"/>
  <c r="N147" i="29" s="1"/>
  <c r="N133" i="29"/>
  <c r="BA139" i="27"/>
  <c r="AW139" i="27"/>
  <c r="BN147" i="27"/>
  <c r="O139" i="29"/>
  <c r="O147" i="29" s="1"/>
  <c r="O133" i="29"/>
  <c r="P139" i="29"/>
  <c r="P147" i="29" s="1"/>
  <c r="P133" i="29"/>
  <c r="M139" i="29"/>
  <c r="M147" i="29" s="1"/>
  <c r="M133" i="29"/>
  <c r="R139" i="29"/>
  <c r="R147" i="29" s="1"/>
  <c r="R133" i="29"/>
  <c r="AA150" i="30"/>
  <c r="AA165" i="30" s="1"/>
  <c r="AK165" i="30" s="1"/>
  <c r="X152" i="30"/>
  <c r="X167" i="30" s="1"/>
  <c r="W152" i="30"/>
  <c r="W167" i="30" s="1"/>
  <c r="Y68" i="30"/>
  <c r="W68" i="30"/>
  <c r="AA68" i="30"/>
  <c r="Z68" i="30"/>
  <c r="X68" i="30"/>
  <c r="AA35" i="30"/>
  <c r="Z35" i="30"/>
  <c r="Y35" i="30"/>
  <c r="X35" i="30"/>
  <c r="W35" i="30"/>
  <c r="Y152" i="30"/>
  <c r="Y167" i="30" s="1"/>
  <c r="W153" i="30"/>
  <c r="W168" i="30" s="1"/>
  <c r="W13" i="30"/>
  <c r="Y13" i="30"/>
  <c r="AA13" i="30"/>
  <c r="Z13" i="30"/>
  <c r="X13" i="30"/>
  <c r="AA152" i="30"/>
  <c r="AA167" i="30" s="1"/>
  <c r="X153" i="30"/>
  <c r="X168" i="30" s="1"/>
  <c r="Z79" i="30"/>
  <c r="Y79" i="30"/>
  <c r="X79" i="30"/>
  <c r="W79" i="30"/>
  <c r="AA79" i="30"/>
  <c r="Y153" i="30"/>
  <c r="Y168" i="30" s="1"/>
  <c r="X90" i="30"/>
  <c r="AA90" i="30"/>
  <c r="Y90" i="30"/>
  <c r="W90" i="30"/>
  <c r="Z90" i="30"/>
  <c r="Z153" i="30"/>
  <c r="Z168" i="30" s="1"/>
  <c r="AA24" i="30"/>
  <c r="Z24" i="30"/>
  <c r="Y24" i="30"/>
  <c r="X24" i="30"/>
  <c r="W24" i="30"/>
  <c r="AA101" i="30"/>
  <c r="Z101" i="30"/>
  <c r="Y101" i="30"/>
  <c r="X101" i="30"/>
  <c r="W101" i="30"/>
  <c r="AA153" i="30"/>
  <c r="AA168" i="30" s="1"/>
  <c r="Z46" i="30"/>
  <c r="Y46" i="30"/>
  <c r="W46" i="30"/>
  <c r="AA46" i="30"/>
  <c r="X46" i="30"/>
  <c r="Z152" i="30"/>
  <c r="Z167" i="30" s="1"/>
  <c r="W57" i="30"/>
  <c r="AA57" i="30"/>
  <c r="Z57" i="30"/>
  <c r="X57" i="30"/>
  <c r="Y57" i="30"/>
  <c r="AC110" i="26"/>
  <c r="AK109" i="26"/>
  <c r="AL109" i="26" s="1"/>
  <c r="AA152" i="26"/>
  <c r="AA167" i="26" s="1"/>
  <c r="Z152" i="26"/>
  <c r="Z167" i="26" s="1"/>
  <c r="AC152" i="26"/>
  <c r="AC167" i="26" s="1"/>
  <c r="AB152" i="26"/>
  <c r="AB167" i="26" s="1"/>
  <c r="Y152" i="26"/>
  <c r="Y167" i="26" s="1"/>
  <c r="BG186" i="16"/>
  <c r="BH186" i="16"/>
  <c r="BE186" i="16"/>
  <c r="BF186" i="16"/>
  <c r="BI160" i="16"/>
  <c r="BE160" i="16"/>
  <c r="BF160" i="16"/>
  <c r="BE173" i="16"/>
  <c r="BH173" i="16"/>
  <c r="BI173" i="16"/>
  <c r="BR157" i="16"/>
  <c r="BR183" i="16"/>
  <c r="BR170" i="16"/>
  <c r="BG160" i="16"/>
  <c r="BF173" i="16"/>
  <c r="AC153" i="26"/>
  <c r="AC168" i="26" s="1"/>
  <c r="Y153" i="26"/>
  <c r="Y168" i="26" s="1"/>
  <c r="AA153" i="26"/>
  <c r="AA168" i="26" s="1"/>
  <c r="Z153" i="26"/>
  <c r="Z168" i="26" s="1"/>
  <c r="AB153" i="26"/>
  <c r="AB168" i="26" s="1"/>
  <c r="AL12" i="26"/>
  <c r="AL47" i="26"/>
  <c r="AL96" i="26"/>
  <c r="BJ34" i="16"/>
  <c r="BM170" i="12"/>
  <c r="BM178" i="12" s="1"/>
  <c r="BP170" i="12"/>
  <c r="BP178" i="12" s="1"/>
  <c r="BQ170" i="12"/>
  <c r="BQ178" i="12" s="1"/>
  <c r="BL170" i="12"/>
  <c r="BL178" i="12" s="1"/>
  <c r="BK170" i="12"/>
  <c r="BK178" i="12" s="1"/>
  <c r="BR184" i="12"/>
  <c r="BR192" i="12" s="1"/>
  <c r="BN170" i="12"/>
  <c r="BN178" i="12" s="1"/>
  <c r="BO170" i="12"/>
  <c r="BO178" i="12" s="1"/>
  <c r="AB68" i="26"/>
  <c r="Z68" i="32" s="1"/>
  <c r="Z68" i="26"/>
  <c r="X68" i="32" s="1"/>
  <c r="AC68" i="26"/>
  <c r="AA68" i="32" s="1"/>
  <c r="AA68" i="26"/>
  <c r="Y68" i="32" s="1"/>
  <c r="Y68" i="26"/>
  <c r="W68" i="32" s="1"/>
  <c r="AC13" i="26"/>
  <c r="AA13" i="32" s="1"/>
  <c r="Y13" i="26"/>
  <c r="W13" i="32" s="1"/>
  <c r="Z13" i="26"/>
  <c r="X13" i="32" s="1"/>
  <c r="AA13" i="26"/>
  <c r="Y13" i="32" s="1"/>
  <c r="AB13" i="26"/>
  <c r="Z13" i="32" s="1"/>
  <c r="Y101" i="26"/>
  <c r="W101" i="32" s="1"/>
  <c r="AB101" i="26"/>
  <c r="Z101" i="32" s="1"/>
  <c r="Z101" i="26"/>
  <c r="X101" i="32" s="1"/>
  <c r="AC101" i="26"/>
  <c r="AA101" i="32" s="1"/>
  <c r="AA101" i="26"/>
  <c r="Y101" i="32" s="1"/>
  <c r="Y46" i="26"/>
  <c r="W46" i="32" s="1"/>
  <c r="Z46" i="26"/>
  <c r="X46" i="32" s="1"/>
  <c r="AA46" i="26"/>
  <c r="Y46" i="32" s="1"/>
  <c r="AC46" i="26"/>
  <c r="AA46" i="32" s="1"/>
  <c r="AB46" i="26"/>
  <c r="Z46" i="32" s="1"/>
  <c r="AB79" i="26"/>
  <c r="Z79" i="32" s="1"/>
  <c r="Z79" i="26"/>
  <c r="X79" i="32" s="1"/>
  <c r="AC79" i="26"/>
  <c r="AA79" i="32" s="1"/>
  <c r="Y79" i="26"/>
  <c r="W79" i="32" s="1"/>
  <c r="AA79" i="26"/>
  <c r="Y79" i="32" s="1"/>
  <c r="AB57" i="26"/>
  <c r="Z57" i="32" s="1"/>
  <c r="Y57" i="26"/>
  <c r="W57" i="32" s="1"/>
  <c r="Z57" i="26"/>
  <c r="X57" i="32" s="1"/>
  <c r="AA57" i="26"/>
  <c r="Y57" i="32" s="1"/>
  <c r="AC57" i="26"/>
  <c r="AA57" i="32" s="1"/>
  <c r="AC24" i="26"/>
  <c r="AA24" i="32" s="1"/>
  <c r="Y24" i="26"/>
  <c r="W24" i="32" s="1"/>
  <c r="Z24" i="26"/>
  <c r="X24" i="32" s="1"/>
  <c r="AA24" i="26"/>
  <c r="Y24" i="32" s="1"/>
  <c r="AB24" i="26"/>
  <c r="Z24" i="32" s="1"/>
  <c r="Z90" i="26"/>
  <c r="X90" i="32" s="1"/>
  <c r="Y90" i="26"/>
  <c r="W90" i="32" s="1"/>
  <c r="AA90" i="26"/>
  <c r="Y90" i="32" s="1"/>
  <c r="AC90" i="26"/>
  <c r="AA90" i="32" s="1"/>
  <c r="AB90" i="26"/>
  <c r="Z90" i="32" s="1"/>
  <c r="AA35" i="26"/>
  <c r="Y35" i="32" s="1"/>
  <c r="AB35" i="26"/>
  <c r="Z35" i="32" s="1"/>
  <c r="Z35" i="26"/>
  <c r="X35" i="32" s="1"/>
  <c r="AC35" i="26"/>
  <c r="AA35" i="32" s="1"/>
  <c r="Y35" i="26"/>
  <c r="W35" i="32" s="1"/>
  <c r="BR147" i="16"/>
  <c r="AA140" i="32" s="1"/>
  <c r="BK147" i="12"/>
  <c r="BK154" i="12"/>
  <c r="BK162" i="12" s="1"/>
  <c r="BO147" i="12"/>
  <c r="BO154" i="12"/>
  <c r="BO162" i="12" s="1"/>
  <c r="BL147" i="12"/>
  <c r="BL154" i="12"/>
  <c r="BL162" i="12" s="1"/>
  <c r="BM147" i="12"/>
  <c r="BM154" i="12"/>
  <c r="BM162" i="12" s="1"/>
  <c r="BN147" i="12"/>
  <c r="BN154" i="12"/>
  <c r="BN162" i="12" s="1"/>
  <c r="BP147" i="12"/>
  <c r="BP154" i="12"/>
  <c r="BP162" i="12" s="1"/>
  <c r="BQ147" i="12"/>
  <c r="BQ154" i="12"/>
  <c r="BQ162" i="12" s="1"/>
  <c r="AN141" i="22"/>
  <c r="AO34" i="22"/>
  <c r="BS34" i="16" s="1"/>
  <c r="BP139" i="16"/>
  <c r="BP133" i="16"/>
  <c r="BQ139" i="16"/>
  <c r="BQ133" i="16"/>
  <c r="BM133" i="16"/>
  <c r="BM139" i="16"/>
  <c r="BM147" i="16" s="1"/>
  <c r="BL139" i="16"/>
  <c r="BL147" i="16" s="1"/>
  <c r="BL133" i="16"/>
  <c r="BN139" i="16"/>
  <c r="BN133" i="16"/>
  <c r="BK133" i="16"/>
  <c r="BK139" i="16"/>
  <c r="BK147" i="16" s="1"/>
  <c r="BO139" i="16"/>
  <c r="AA150" i="32" l="1"/>
  <c r="AA110" i="32"/>
  <c r="BS147" i="27"/>
  <c r="BS152" i="27" s="1"/>
  <c r="BN152" i="27"/>
  <c r="BN154" i="27" s="1"/>
  <c r="BN151" i="31" s="1"/>
  <c r="AG84" i="26"/>
  <c r="AG86" i="26" s="1"/>
  <c r="W149" i="32"/>
  <c r="AH84" i="26"/>
  <c r="AH86" i="26" s="1"/>
  <c r="X149" i="32"/>
  <c r="AJ84" i="26"/>
  <c r="AJ86" i="26" s="1"/>
  <c r="Z149" i="32"/>
  <c r="AK84" i="26"/>
  <c r="AK86" i="26" s="1"/>
  <c r="AI84" i="26"/>
  <c r="AI86" i="26" s="1"/>
  <c r="Y149" i="32"/>
  <c r="AD3" i="26"/>
  <c r="X133" i="29"/>
  <c r="X157" i="29"/>
  <c r="T147" i="29"/>
  <c r="T149" i="29" s="1"/>
  <c r="AC140" i="26"/>
  <c r="AA140" i="30"/>
  <c r="W149" i="30"/>
  <c r="W164" i="30" s="1"/>
  <c r="AG164" i="30" s="1"/>
  <c r="X149" i="30"/>
  <c r="X164" i="30" s="1"/>
  <c r="AH164" i="30" s="1"/>
  <c r="Z149" i="30"/>
  <c r="Z164" i="30" s="1"/>
  <c r="AJ164" i="30" s="1"/>
  <c r="AA149" i="30"/>
  <c r="AA164" i="30" s="1"/>
  <c r="AK164" i="30" s="1"/>
  <c r="Y149" i="30"/>
  <c r="Y164" i="30" s="1"/>
  <c r="AI164" i="30" s="1"/>
  <c r="AK110" i="26"/>
  <c r="AL110" i="26" s="1"/>
  <c r="AC150" i="26"/>
  <c r="AC165" i="26" s="1"/>
  <c r="AL165" i="26" s="1"/>
  <c r="BT34" i="16"/>
  <c r="BT138" i="16" s="1"/>
  <c r="BS138" i="16"/>
  <c r="BU34" i="16"/>
  <c r="BU138" i="16" s="1"/>
  <c r="BS133" i="16"/>
  <c r="BS145" i="16" s="1"/>
  <c r="BP183" i="16"/>
  <c r="BP170" i="16"/>
  <c r="BQ183" i="16"/>
  <c r="BQ170" i="16"/>
  <c r="BN157" i="16"/>
  <c r="BN183" i="16"/>
  <c r="BN170" i="16"/>
  <c r="BO183" i="16"/>
  <c r="BO170" i="16"/>
  <c r="BP147" i="16"/>
  <c r="Y140" i="32" s="1"/>
  <c r="BP157" i="16"/>
  <c r="BO147" i="16"/>
  <c r="X140" i="32" s="1"/>
  <c r="BO157" i="16"/>
  <c r="BQ147" i="16"/>
  <c r="Z140" i="32" s="1"/>
  <c r="BQ157" i="16"/>
  <c r="Z149" i="26"/>
  <c r="Z164" i="26" s="1"/>
  <c r="AI164" i="26" s="1"/>
  <c r="AA149" i="26"/>
  <c r="AA164" i="26" s="1"/>
  <c r="AJ164" i="26" s="1"/>
  <c r="Y149" i="26"/>
  <c r="Y164" i="26" s="1"/>
  <c r="AH164" i="26" s="1"/>
  <c r="AC149" i="26"/>
  <c r="AC164" i="26" s="1"/>
  <c r="AL164" i="26" s="1"/>
  <c r="AB149" i="26"/>
  <c r="AB164" i="26" s="1"/>
  <c r="AK164" i="26" s="1"/>
  <c r="BL184" i="12"/>
  <c r="BL192" i="12" s="1"/>
  <c r="BO184" i="12"/>
  <c r="BO192" i="12" s="1"/>
  <c r="BN184" i="12"/>
  <c r="BN192" i="12" s="1"/>
  <c r="BQ184" i="12"/>
  <c r="BQ192" i="12" s="1"/>
  <c r="BP184" i="12"/>
  <c r="BP192" i="12" s="1"/>
  <c r="BK184" i="12"/>
  <c r="BK192" i="12" s="1"/>
  <c r="BM184" i="12"/>
  <c r="BM192" i="12" s="1"/>
  <c r="AG46" i="26"/>
  <c r="AK10" i="26"/>
  <c r="AK15" i="26" s="1"/>
  <c r="AK85" i="26"/>
  <c r="AJ10" i="26"/>
  <c r="AJ15" i="26" s="1"/>
  <c r="AJ85" i="26"/>
  <c r="AI10" i="26"/>
  <c r="AI15" i="26" s="1"/>
  <c r="AI85" i="26"/>
  <c r="AJ46" i="26"/>
  <c r="AJ48" i="26" s="1"/>
  <c r="AH10" i="26"/>
  <c r="AH15" i="26" s="1"/>
  <c r="AH85" i="26"/>
  <c r="AK46" i="26"/>
  <c r="AK48" i="26" s="1"/>
  <c r="AG10" i="26"/>
  <c r="AG15" i="26" s="1"/>
  <c r="AG85" i="26"/>
  <c r="AI46" i="26"/>
  <c r="AI48" i="26" s="1"/>
  <c r="BA139" i="16"/>
  <c r="BJ139" i="16"/>
  <c r="AH46" i="26"/>
  <c r="AH48" i="26" s="1"/>
  <c r="BN147" i="16"/>
  <c r="AW139" i="16"/>
  <c r="AO141" i="22"/>
  <c r="AN149" i="22"/>
  <c r="X65" i="26" l="1"/>
  <c r="X98" i="26"/>
  <c r="X32" i="26"/>
  <c r="X10" i="26"/>
  <c r="X87" i="26"/>
  <c r="X54" i="26"/>
  <c r="X21" i="26"/>
  <c r="X76" i="26"/>
  <c r="X43" i="26"/>
  <c r="AA149" i="32"/>
  <c r="AL84" i="26"/>
  <c r="AL86" i="26" s="1"/>
  <c r="W140" i="30"/>
  <c r="W140" i="32"/>
  <c r="AB140" i="32" s="1"/>
  <c r="AA140" i="26"/>
  <c r="Y140" i="30"/>
  <c r="AB140" i="26"/>
  <c r="Z140" i="30"/>
  <c r="Z140" i="26"/>
  <c r="X140" i="30"/>
  <c r="V98" i="30"/>
  <c r="V87" i="30"/>
  <c r="V65" i="30"/>
  <c r="V76" i="30"/>
  <c r="V54" i="30"/>
  <c r="V43" i="30"/>
  <c r="V21" i="30"/>
  <c r="V10" i="30"/>
  <c r="V32" i="30"/>
  <c r="BJ157" i="16"/>
  <c r="BE157" i="16" s="1"/>
  <c r="BJ183" i="16"/>
  <c r="BI183" i="16" s="1"/>
  <c r="BJ170" i="16"/>
  <c r="BE170" i="16" s="1"/>
  <c r="AL85" i="26"/>
  <c r="BS146" i="16"/>
  <c r="Y140" i="26"/>
  <c r="AL10" i="26"/>
  <c r="AL15" i="26"/>
  <c r="AL46" i="26"/>
  <c r="AG48" i="26"/>
  <c r="AL48" i="26" s="1"/>
  <c r="AB140" i="30" l="1"/>
  <c r="AD140" i="26"/>
  <c r="Z54" i="30"/>
  <c r="Y54" i="30"/>
  <c r="W54" i="30"/>
  <c r="AA54" i="30"/>
  <c r="X54" i="30"/>
  <c r="Y76" i="30"/>
  <c r="W76" i="30"/>
  <c r="AA76" i="30"/>
  <c r="Z76" i="30"/>
  <c r="X76" i="30"/>
  <c r="X65" i="30"/>
  <c r="AA65" i="30"/>
  <c r="Z65" i="30"/>
  <c r="Y65" i="30"/>
  <c r="W65" i="30"/>
  <c r="Y87" i="30"/>
  <c r="Y176" i="30" s="1"/>
  <c r="Y187" i="30" s="1"/>
  <c r="X87" i="30"/>
  <c r="X176" i="30" s="1"/>
  <c r="X187" i="30" s="1"/>
  <c r="AA87" i="30"/>
  <c r="AA176" i="30" s="1"/>
  <c r="AA187" i="30" s="1"/>
  <c r="Z87" i="30"/>
  <c r="Z176" i="30" s="1"/>
  <c r="Z187" i="30" s="1"/>
  <c r="W87" i="30"/>
  <c r="W176" i="30" s="1"/>
  <c r="Z32" i="30"/>
  <c r="Y32" i="30"/>
  <c r="X32" i="30"/>
  <c r="W32" i="30"/>
  <c r="AA32" i="30"/>
  <c r="AA98" i="30"/>
  <c r="AA177" i="30" s="1"/>
  <c r="AA188" i="30" s="1"/>
  <c r="Z98" i="30"/>
  <c r="Z177" i="30" s="1"/>
  <c r="Z188" i="30" s="1"/>
  <c r="Y98" i="30"/>
  <c r="Y177" i="30" s="1"/>
  <c r="Y188" i="30" s="1"/>
  <c r="X98" i="30"/>
  <c r="X177" i="30" s="1"/>
  <c r="X188" i="30" s="1"/>
  <c r="W98" i="30"/>
  <c r="W177" i="30" s="1"/>
  <c r="X10" i="30"/>
  <c r="AA10" i="30"/>
  <c r="Z10" i="30"/>
  <c r="Y10" i="30"/>
  <c r="W10" i="30"/>
  <c r="X21" i="30"/>
  <c r="W21" i="30"/>
  <c r="Y21" i="30"/>
  <c r="AA21" i="30"/>
  <c r="Z21" i="30"/>
  <c r="Y43" i="30"/>
  <c r="Z43" i="30"/>
  <c r="X43" i="30"/>
  <c r="AA43" i="30"/>
  <c r="W43" i="30"/>
  <c r="BH170" i="16"/>
  <c r="BH157" i="16"/>
  <c r="BE183" i="16"/>
  <c r="BI157" i="16"/>
  <c r="BF183" i="16"/>
  <c r="BF157" i="16"/>
  <c r="BG183" i="16"/>
  <c r="BG157" i="16"/>
  <c r="BH183" i="16"/>
  <c r="BG170" i="16"/>
  <c r="BI170" i="16"/>
  <c r="BF170" i="16"/>
  <c r="Y10" i="26"/>
  <c r="W10" i="32" s="1"/>
  <c r="Z10" i="26"/>
  <c r="X10" i="32" s="1"/>
  <c r="AA10" i="26"/>
  <c r="Y10" i="32" s="1"/>
  <c r="AC10" i="26"/>
  <c r="AA10" i="32" s="1"/>
  <c r="AB10" i="26"/>
  <c r="Z10" i="32" s="1"/>
  <c r="Y54" i="26"/>
  <c r="W54" i="32" s="1"/>
  <c r="AA54" i="26"/>
  <c r="Y54" i="32" s="1"/>
  <c r="AB54" i="26"/>
  <c r="Z54" i="32" s="1"/>
  <c r="Z54" i="26"/>
  <c r="X54" i="32" s="1"/>
  <c r="AC54" i="26"/>
  <c r="AA54" i="32" s="1"/>
  <c r="Y87" i="26"/>
  <c r="AC87" i="26"/>
  <c r="AA87" i="26"/>
  <c r="Z87" i="26"/>
  <c r="AB87" i="26"/>
  <c r="AA65" i="26"/>
  <c r="Y65" i="32" s="1"/>
  <c r="AC65" i="26"/>
  <c r="AA65" i="32" s="1"/>
  <c r="AB65" i="26"/>
  <c r="Z65" i="32" s="1"/>
  <c r="Z65" i="26"/>
  <c r="X65" i="32" s="1"/>
  <c r="Y65" i="26"/>
  <c r="W65" i="32" s="1"/>
  <c r="AC32" i="26"/>
  <c r="AA32" i="32" s="1"/>
  <c r="AB32" i="26"/>
  <c r="Z32" i="32" s="1"/>
  <c r="AA32" i="26"/>
  <c r="Y32" i="32" s="1"/>
  <c r="Z32" i="26"/>
  <c r="X32" i="32" s="1"/>
  <c r="Y32" i="26"/>
  <c r="W32" i="32" s="1"/>
  <c r="Z98" i="26"/>
  <c r="AB98" i="26"/>
  <c r="AC98" i="26"/>
  <c r="AA98" i="26"/>
  <c r="Y98" i="26"/>
  <c r="Y43" i="26"/>
  <c r="W43" i="32" s="1"/>
  <c r="Z43" i="26"/>
  <c r="X43" i="32" s="1"/>
  <c r="AA43" i="26"/>
  <c r="Y43" i="32" s="1"/>
  <c r="AB43" i="26"/>
  <c r="Z43" i="32" s="1"/>
  <c r="AC43" i="26"/>
  <c r="AA43" i="32" s="1"/>
  <c r="AB76" i="26"/>
  <c r="Z76" i="32" s="1"/>
  <c r="Y76" i="26"/>
  <c r="W76" i="32" s="1"/>
  <c r="Z76" i="26"/>
  <c r="X76" i="32" s="1"/>
  <c r="AA76" i="26"/>
  <c r="Y76" i="32" s="1"/>
  <c r="AC76" i="26"/>
  <c r="AA76" i="32" s="1"/>
  <c r="Y21" i="26"/>
  <c r="W21" i="32" s="1"/>
  <c r="Z21" i="26"/>
  <c r="X21" i="32" s="1"/>
  <c r="AB21" i="26"/>
  <c r="Z21" i="32" s="1"/>
  <c r="AC21" i="26"/>
  <c r="AA21" i="32" s="1"/>
  <c r="AA21" i="26"/>
  <c r="Y21" i="32" s="1"/>
  <c r="AA162" i="32" l="1"/>
  <c r="AA194" i="32" s="1"/>
  <c r="AA98" i="32"/>
  <c r="AA161" i="32"/>
  <c r="AA193" i="32" s="1"/>
  <c r="AH86" i="32" s="1"/>
  <c r="AA87" i="32"/>
  <c r="Y162" i="32"/>
  <c r="Y194" i="32" s="1"/>
  <c r="Y98" i="32"/>
  <c r="Y87" i="32"/>
  <c r="Y200" i="32" s="1"/>
  <c r="Y207" i="32" s="1"/>
  <c r="W161" i="32"/>
  <c r="W193" i="32" s="1"/>
  <c r="AD84" i="32" s="1"/>
  <c r="W87" i="32"/>
  <c r="Z162" i="32"/>
  <c r="Z194" i="32" s="1"/>
  <c r="AG100" i="32" s="1"/>
  <c r="Z98" i="32"/>
  <c r="Z161" i="32"/>
  <c r="Z193" i="32" s="1"/>
  <c r="AG93" i="32" s="1"/>
  <c r="Z87" i="32"/>
  <c r="X98" i="32"/>
  <c r="X162" i="32" s="1"/>
  <c r="W162" i="32"/>
  <c r="W194" i="32" s="1"/>
  <c r="AD103" i="32" s="1"/>
  <c r="W98" i="32"/>
  <c r="X161" i="32"/>
  <c r="X193" i="32" s="1"/>
  <c r="AE86" i="32" s="1"/>
  <c r="X87" i="32"/>
  <c r="W175" i="30"/>
  <c r="W186" i="30" s="1"/>
  <c r="Y158" i="32"/>
  <c r="Y190" i="32" s="1"/>
  <c r="AF38" i="32" s="1"/>
  <c r="Z158" i="32"/>
  <c r="Z190" i="32" s="1"/>
  <c r="AG38" i="32" s="1"/>
  <c r="AH84" i="32"/>
  <c r="AH92" i="32"/>
  <c r="AH94" i="32"/>
  <c r="AH85" i="32"/>
  <c r="AH91" i="32"/>
  <c r="AH93" i="32"/>
  <c r="AH89" i="32"/>
  <c r="AH87" i="32"/>
  <c r="AH90" i="32"/>
  <c r="AN90" i="32" s="1"/>
  <c r="AG99" i="32"/>
  <c r="AG102" i="32"/>
  <c r="AG104" i="32"/>
  <c r="AG96" i="32"/>
  <c r="AG98" i="32"/>
  <c r="AG110" i="32"/>
  <c r="AG101" i="32"/>
  <c r="AG103" i="32"/>
  <c r="AG105" i="32"/>
  <c r="AH100" i="32"/>
  <c r="AH102" i="32"/>
  <c r="AH95" i="32"/>
  <c r="AH110" i="32"/>
  <c r="AH97" i="32"/>
  <c r="AH104" i="32"/>
  <c r="AH96" i="32"/>
  <c r="AH98" i="32"/>
  <c r="AH99" i="32"/>
  <c r="AH101" i="32"/>
  <c r="AH103" i="32"/>
  <c r="AH105" i="32"/>
  <c r="AG91" i="32"/>
  <c r="AG85" i="32"/>
  <c r="AG86" i="32"/>
  <c r="AG87" i="32"/>
  <c r="AG109" i="32"/>
  <c r="AG84" i="32"/>
  <c r="AG90" i="32"/>
  <c r="AM90" i="32" s="1"/>
  <c r="AG92" i="32"/>
  <c r="AG88" i="32"/>
  <c r="AD96" i="32"/>
  <c r="AD98" i="32"/>
  <c r="AD104" i="32"/>
  <c r="AD95" i="32"/>
  <c r="AD97" i="32"/>
  <c r="AD102" i="32"/>
  <c r="AE85" i="32"/>
  <c r="AE93" i="32"/>
  <c r="AE87" i="32"/>
  <c r="AE84" i="32"/>
  <c r="AE109" i="32"/>
  <c r="AE90" i="32"/>
  <c r="AK90" i="32" s="1"/>
  <c r="AE94" i="32"/>
  <c r="AE89" i="32"/>
  <c r="AE88" i="32"/>
  <c r="AF102" i="32"/>
  <c r="AF96" i="32"/>
  <c r="AF104" i="32"/>
  <c r="AF98" i="32"/>
  <c r="AF100" i="32"/>
  <c r="AF101" i="32"/>
  <c r="AF103" i="32"/>
  <c r="AF99" i="32"/>
  <c r="AF105" i="32"/>
  <c r="AF95" i="32"/>
  <c r="AF97" i="32"/>
  <c r="AF110" i="32"/>
  <c r="X160" i="32"/>
  <c r="X192" i="32" s="1"/>
  <c r="AJ40" i="26"/>
  <c r="Z208" i="32"/>
  <c r="AI40" i="26"/>
  <c r="Y201" i="32"/>
  <c r="AG40" i="26"/>
  <c r="W159" i="32"/>
  <c r="W191" i="32" s="1"/>
  <c r="AJ13" i="26"/>
  <c r="AK13" i="26"/>
  <c r="AA200" i="32"/>
  <c r="AA207" i="32" s="1"/>
  <c r="AI13" i="26"/>
  <c r="AK40" i="26"/>
  <c r="AH13" i="26"/>
  <c r="AH40" i="26"/>
  <c r="X159" i="32"/>
  <c r="X191" i="32" s="1"/>
  <c r="AG13" i="26"/>
  <c r="W200" i="32"/>
  <c r="AA172" i="32"/>
  <c r="Y169" i="32"/>
  <c r="Z172" i="32"/>
  <c r="Y160" i="32"/>
  <c r="Y192" i="32" s="1"/>
  <c r="AA158" i="32"/>
  <c r="AA190" i="32" s="1"/>
  <c r="Z160" i="32"/>
  <c r="Z192" i="32" s="1"/>
  <c r="W158" i="32"/>
  <c r="W190" i="32" s="1"/>
  <c r="W173" i="32"/>
  <c r="AA160" i="32"/>
  <c r="AA192" i="32" s="1"/>
  <c r="X158" i="32"/>
  <c r="X190" i="32" s="1"/>
  <c r="Y173" i="32"/>
  <c r="W160" i="32"/>
  <c r="W192" i="32" s="1"/>
  <c r="Z173" i="32"/>
  <c r="X172" i="32"/>
  <c r="AA173" i="32"/>
  <c r="Y175" i="30"/>
  <c r="Y186" i="30" s="1"/>
  <c r="Y173" i="30"/>
  <c r="Y184" i="30" s="1"/>
  <c r="X175" i="30"/>
  <c r="X186" i="30" s="1"/>
  <c r="AA173" i="30"/>
  <c r="AA184" i="30" s="1"/>
  <c r="Z175" i="30"/>
  <c r="Z186" i="30" s="1"/>
  <c r="AC173" i="26"/>
  <c r="X173" i="30"/>
  <c r="X184" i="30" s="1"/>
  <c r="Z173" i="30"/>
  <c r="Z184" i="30" s="1"/>
  <c r="W173" i="30"/>
  <c r="W184" i="30" s="1"/>
  <c r="AA175" i="30"/>
  <c r="AA186" i="30" s="1"/>
  <c r="AA146" i="30"/>
  <c r="AA161" i="30" s="1"/>
  <c r="AK161" i="30" s="1"/>
  <c r="AA172" i="30"/>
  <c r="AA183" i="30" s="1"/>
  <c r="AA139" i="30"/>
  <c r="AA141" i="30"/>
  <c r="X146" i="30"/>
  <c r="X161" i="30" s="1"/>
  <c r="AH161" i="30" s="1"/>
  <c r="X172" i="30"/>
  <c r="X183" i="30" s="1"/>
  <c r="X139" i="30"/>
  <c r="X141" i="30"/>
  <c r="W188" i="30"/>
  <c r="AB177" i="30"/>
  <c r="AC177" i="30" s="1"/>
  <c r="W187" i="30"/>
  <c r="AB176" i="30"/>
  <c r="AC176" i="30" s="1"/>
  <c r="W174" i="30"/>
  <c r="AA174" i="30"/>
  <c r="AA185" i="30" s="1"/>
  <c r="X174" i="30"/>
  <c r="X185" i="30" s="1"/>
  <c r="W146" i="30"/>
  <c r="W161" i="30" s="1"/>
  <c r="AG161" i="30" s="1"/>
  <c r="W172" i="30"/>
  <c r="W139" i="30"/>
  <c r="W141" i="30"/>
  <c r="Z174" i="30"/>
  <c r="Z185" i="30" s="1"/>
  <c r="Y146" i="30"/>
  <c r="Y161" i="30" s="1"/>
  <c r="AI161" i="30" s="1"/>
  <c r="Y172" i="30"/>
  <c r="Y183" i="30" s="1"/>
  <c r="Y139" i="30"/>
  <c r="Y141" i="30"/>
  <c r="Y174" i="30"/>
  <c r="Y185" i="30" s="1"/>
  <c r="Z146" i="30"/>
  <c r="Z161" i="30" s="1"/>
  <c r="AJ161" i="30" s="1"/>
  <c r="Z139" i="30"/>
  <c r="Z141" i="30"/>
  <c r="Z172" i="30"/>
  <c r="Z183" i="30" s="1"/>
  <c r="Y141" i="26"/>
  <c r="Y173" i="26"/>
  <c r="Y205" i="26" s="1"/>
  <c r="AB174" i="26"/>
  <c r="AA173" i="26"/>
  <c r="AA174" i="26"/>
  <c r="Z174" i="26"/>
  <c r="AB172" i="26"/>
  <c r="AB141" i="26"/>
  <c r="AC172" i="26"/>
  <c r="AC141" i="26"/>
  <c r="AA172" i="26"/>
  <c r="AA141" i="26"/>
  <c r="Z172" i="26"/>
  <c r="Z141" i="26"/>
  <c r="Y172" i="26"/>
  <c r="Y204" i="26" s="1"/>
  <c r="AB173" i="26"/>
  <c r="Y174" i="26"/>
  <c r="Y206" i="26" s="1"/>
  <c r="AC174" i="26"/>
  <c r="AC177" i="26"/>
  <c r="AC209" i="26" s="1"/>
  <c r="AC175" i="26"/>
  <c r="Y176" i="26"/>
  <c r="Y208" i="26" s="1"/>
  <c r="AB177" i="26"/>
  <c r="AA175" i="26"/>
  <c r="Z177" i="26"/>
  <c r="AB176" i="26"/>
  <c r="Y175" i="26"/>
  <c r="Y207" i="26" s="1"/>
  <c r="Z176" i="26"/>
  <c r="Z173" i="26"/>
  <c r="Y177" i="26"/>
  <c r="Y209" i="26" s="1"/>
  <c r="Z175" i="26"/>
  <c r="AA176" i="26"/>
  <c r="AA177" i="26"/>
  <c r="AB175" i="26"/>
  <c r="AC176" i="26"/>
  <c r="AC208" i="26" s="1"/>
  <c r="AB146" i="26"/>
  <c r="AB161" i="26" s="1"/>
  <c r="AK161" i="26" s="1"/>
  <c r="AC146" i="26"/>
  <c r="AC161" i="26" s="1"/>
  <c r="AL161" i="26" s="1"/>
  <c r="AA146" i="26"/>
  <c r="AA161" i="26" s="1"/>
  <c r="AJ161" i="26" s="1"/>
  <c r="Z146" i="26"/>
  <c r="Z161" i="26" s="1"/>
  <c r="AI161" i="26" s="1"/>
  <c r="Y146" i="26"/>
  <c r="Y161" i="26" s="1"/>
  <c r="AH161" i="26" s="1"/>
  <c r="AB139" i="26"/>
  <c r="AA139" i="26"/>
  <c r="Z139" i="26"/>
  <c r="AC139" i="26"/>
  <c r="Y139" i="26"/>
  <c r="AJ41" i="26"/>
  <c r="AI41" i="26"/>
  <c r="AH41" i="26"/>
  <c r="AG41" i="26"/>
  <c r="AK41" i="26"/>
  <c r="AD88" i="32" l="1"/>
  <c r="AD99" i="32"/>
  <c r="AD100" i="32"/>
  <c r="AD105" i="32"/>
  <c r="AD91" i="32"/>
  <c r="AD86" i="32"/>
  <c r="AD93" i="32"/>
  <c r="AD85" i="32"/>
  <c r="AD94" i="32"/>
  <c r="AD92" i="32"/>
  <c r="AD109" i="32"/>
  <c r="W172" i="32"/>
  <c r="AD90" i="32"/>
  <c r="AJ90" i="32" s="1"/>
  <c r="X194" i="32"/>
  <c r="AB162" i="32"/>
  <c r="X173" i="32"/>
  <c r="Y161" i="32"/>
  <c r="AE92" i="32"/>
  <c r="AE91" i="32"/>
  <c r="AD101" i="32"/>
  <c r="AG94" i="32"/>
  <c r="AG89" i="32"/>
  <c r="AD87" i="32"/>
  <c r="AG95" i="32"/>
  <c r="AG97" i="32"/>
  <c r="AH88" i="32"/>
  <c r="AD110" i="32"/>
  <c r="AD89" i="32"/>
  <c r="AH109" i="32"/>
  <c r="AH42" i="26"/>
  <c r="AH49" i="26" s="1"/>
  <c r="AJ42" i="26"/>
  <c r="AJ49" i="26" s="1"/>
  <c r="AK42" i="26"/>
  <c r="AK49" i="26" s="1"/>
  <c r="AF25" i="32"/>
  <c r="AF39" i="32"/>
  <c r="AF31" i="32"/>
  <c r="AF23" i="32"/>
  <c r="AF29" i="32"/>
  <c r="AF21" i="32"/>
  <c r="AF32" i="32"/>
  <c r="Y157" i="32"/>
  <c r="Y189" i="32" s="1"/>
  <c r="AF8" i="32" s="1"/>
  <c r="AF24" i="32"/>
  <c r="Y139" i="32"/>
  <c r="Y141" i="32"/>
  <c r="AF30" i="32"/>
  <c r="AF22" i="32"/>
  <c r="Y146" i="32"/>
  <c r="AF36" i="32"/>
  <c r="AF34" i="32"/>
  <c r="AF35" i="32"/>
  <c r="AF28" i="32"/>
  <c r="AF26" i="32"/>
  <c r="AF27" i="32"/>
  <c r="AF33" i="32"/>
  <c r="AF18" i="32"/>
  <c r="AF19" i="32"/>
  <c r="AF20" i="32"/>
  <c r="AF37" i="32"/>
  <c r="AA141" i="32"/>
  <c r="W141" i="32"/>
  <c r="Y208" i="32"/>
  <c r="Y159" i="32"/>
  <c r="Y191" i="32" s="1"/>
  <c r="AF43" i="32" s="1"/>
  <c r="W207" i="32"/>
  <c r="X208" i="32"/>
  <c r="X201" i="32"/>
  <c r="W201" i="32"/>
  <c r="W208" i="32"/>
  <c r="W157" i="32"/>
  <c r="W189" i="32" s="1"/>
  <c r="X141" i="32"/>
  <c r="X200" i="32"/>
  <c r="X207" i="32" s="1"/>
  <c r="Z141" i="32"/>
  <c r="Z200" i="32"/>
  <c r="Z207" i="32" s="1"/>
  <c r="Z201" i="32"/>
  <c r="AA201" i="32"/>
  <c r="W139" i="32"/>
  <c r="AA208" i="32"/>
  <c r="W146" i="32"/>
  <c r="Z157" i="32"/>
  <c r="Z189" i="32" s="1"/>
  <c r="AG14" i="32" s="1"/>
  <c r="AA159" i="32"/>
  <c r="AA191" i="32" s="1"/>
  <c r="AH57" i="32" s="1"/>
  <c r="AA146" i="32"/>
  <c r="Z139" i="32"/>
  <c r="Z169" i="32"/>
  <c r="AG29" i="32"/>
  <c r="AG21" i="32"/>
  <c r="AG30" i="32"/>
  <c r="AG22" i="32"/>
  <c r="AG36" i="32"/>
  <c r="AG20" i="32"/>
  <c r="Z146" i="32"/>
  <c r="AG39" i="32"/>
  <c r="AG32" i="32"/>
  <c r="AG33" i="32"/>
  <c r="AA157" i="32"/>
  <c r="AA189" i="32" s="1"/>
  <c r="AH11" i="32" s="1"/>
  <c r="AG31" i="32"/>
  <c r="AG24" i="32"/>
  <c r="AG25" i="32"/>
  <c r="Z159" i="32"/>
  <c r="Z191" i="32" s="1"/>
  <c r="AG41" i="32" s="1"/>
  <c r="AG34" i="32"/>
  <c r="AG35" i="32"/>
  <c r="AG26" i="32"/>
  <c r="AG27" i="32"/>
  <c r="AG23" i="32"/>
  <c r="AG18" i="32"/>
  <c r="AG19" i="32"/>
  <c r="AG28" i="32"/>
  <c r="AG37" i="32"/>
  <c r="AL40" i="26"/>
  <c r="X146" i="32"/>
  <c r="AI42" i="26"/>
  <c r="AI49" i="26" s="1"/>
  <c r="AH20" i="32"/>
  <c r="AH28" i="32"/>
  <c r="AH36" i="32"/>
  <c r="AH25" i="32"/>
  <c r="AH33" i="32"/>
  <c r="AH22" i="32"/>
  <c r="AH30" i="32"/>
  <c r="AH38" i="32"/>
  <c r="AH19" i="32"/>
  <c r="AH27" i="32"/>
  <c r="AH35" i="32"/>
  <c r="AH24" i="32"/>
  <c r="AH32" i="32"/>
  <c r="AH21" i="32"/>
  <c r="AH29" i="32"/>
  <c r="AH37" i="32"/>
  <c r="AH18" i="32"/>
  <c r="AH31" i="32"/>
  <c r="AH26" i="32"/>
  <c r="AH23" i="32"/>
  <c r="AH39" i="32"/>
  <c r="AH34" i="32"/>
  <c r="AE67" i="32"/>
  <c r="AE75" i="32"/>
  <c r="AE83" i="32"/>
  <c r="AE64" i="32"/>
  <c r="AE72" i="32"/>
  <c r="AE69" i="32"/>
  <c r="AE77" i="32"/>
  <c r="AE66" i="32"/>
  <c r="AE74" i="32"/>
  <c r="AE63" i="32"/>
  <c r="AE71" i="32"/>
  <c r="AE79" i="32"/>
  <c r="AE68" i="32"/>
  <c r="AE76" i="32"/>
  <c r="AE80" i="32"/>
  <c r="AE70" i="32"/>
  <c r="AE65" i="32"/>
  <c r="AE81" i="32"/>
  <c r="AE78" i="32"/>
  <c r="AE62" i="32"/>
  <c r="AE73" i="32"/>
  <c r="AE82" i="32"/>
  <c r="AH68" i="32"/>
  <c r="AH76" i="32"/>
  <c r="AH65" i="32"/>
  <c r="AH73" i="32"/>
  <c r="AH62" i="32"/>
  <c r="AH70" i="32"/>
  <c r="AH78" i="32"/>
  <c r="AH67" i="32"/>
  <c r="AH75" i="32"/>
  <c r="AH64" i="32"/>
  <c r="AH72" i="32"/>
  <c r="AH80" i="32"/>
  <c r="AH69" i="32"/>
  <c r="AH77" i="32"/>
  <c r="AH63" i="32"/>
  <c r="AH83" i="32"/>
  <c r="AH71" i="32"/>
  <c r="AH66" i="32"/>
  <c r="AH81" i="32"/>
  <c r="AH79" i="32"/>
  <c r="AH74" i="32"/>
  <c r="AH82" i="32"/>
  <c r="AF62" i="32"/>
  <c r="AF70" i="32"/>
  <c r="AF78" i="32"/>
  <c r="AF67" i="32"/>
  <c r="AF75" i="32"/>
  <c r="AF64" i="32"/>
  <c r="AF72" i="32"/>
  <c r="AF80" i="32"/>
  <c r="AF69" i="32"/>
  <c r="AF77" i="32"/>
  <c r="AF66" i="32"/>
  <c r="AF74" i="32"/>
  <c r="AF82" i="32"/>
  <c r="AF63" i="32"/>
  <c r="AF71" i="32"/>
  <c r="AF79" i="32"/>
  <c r="AF76" i="32"/>
  <c r="AF83" i="32"/>
  <c r="AF65" i="32"/>
  <c r="AF81" i="32"/>
  <c r="AF73" i="32"/>
  <c r="AF68" i="32"/>
  <c r="AE43" i="32"/>
  <c r="AE51" i="32"/>
  <c r="AE59" i="32"/>
  <c r="AE40" i="32"/>
  <c r="AE48" i="32"/>
  <c r="AE56" i="32"/>
  <c r="AE45" i="32"/>
  <c r="AE53" i="32"/>
  <c r="AE61" i="32"/>
  <c r="AE42" i="32"/>
  <c r="AE50" i="32"/>
  <c r="AE58" i="32"/>
  <c r="AE47" i="32"/>
  <c r="AE55" i="32"/>
  <c r="AE44" i="32"/>
  <c r="AE52" i="32"/>
  <c r="AE60" i="32"/>
  <c r="AE57" i="32"/>
  <c r="AE46" i="32"/>
  <c r="AE108" i="32"/>
  <c r="AE41" i="32"/>
  <c r="AE54" i="32"/>
  <c r="AE49" i="32"/>
  <c r="AE107" i="32"/>
  <c r="AD64" i="32"/>
  <c r="AD72" i="32"/>
  <c r="AD80" i="32"/>
  <c r="AD69" i="32"/>
  <c r="AD77" i="32"/>
  <c r="AD66" i="32"/>
  <c r="AD74" i="32"/>
  <c r="AD82" i="32"/>
  <c r="AD63" i="32"/>
  <c r="AD71" i="32"/>
  <c r="AD68" i="32"/>
  <c r="AD76" i="32"/>
  <c r="AD65" i="32"/>
  <c r="AD73" i="32"/>
  <c r="AD81" i="32"/>
  <c r="AD70" i="32"/>
  <c r="AD78" i="32"/>
  <c r="AD75" i="32"/>
  <c r="AD67" i="32"/>
  <c r="AD79" i="32"/>
  <c r="AD62" i="32"/>
  <c r="AD83" i="32"/>
  <c r="AC162" i="32"/>
  <c r="AD162" i="32" s="1"/>
  <c r="AB194" i="32"/>
  <c r="AD40" i="32"/>
  <c r="AD48" i="32"/>
  <c r="AD56" i="32"/>
  <c r="AD45" i="32"/>
  <c r="AD53" i="32"/>
  <c r="AD61" i="32"/>
  <c r="AD42" i="32"/>
  <c r="AD50" i="32"/>
  <c r="AD58" i="32"/>
  <c r="AD47" i="32"/>
  <c r="AD55" i="32"/>
  <c r="AD44" i="32"/>
  <c r="AD52" i="32"/>
  <c r="AD60" i="32"/>
  <c r="AD41" i="32"/>
  <c r="AD49" i="32"/>
  <c r="AD57" i="32"/>
  <c r="AD51" i="32"/>
  <c r="AD46" i="32"/>
  <c r="AD108" i="32"/>
  <c r="AD43" i="32"/>
  <c r="AD59" i="32"/>
  <c r="AD54" i="32"/>
  <c r="AD107" i="32"/>
  <c r="AD24" i="32"/>
  <c r="AD32" i="32"/>
  <c r="AD21" i="32"/>
  <c r="AD29" i="32"/>
  <c r="AD37" i="32"/>
  <c r="AD18" i="32"/>
  <c r="AD26" i="32"/>
  <c r="AD34" i="32"/>
  <c r="AD23" i="32"/>
  <c r="AD31" i="32"/>
  <c r="AD39" i="32"/>
  <c r="AD20" i="32"/>
  <c r="AD28" i="32"/>
  <c r="AD36" i="32"/>
  <c r="AD25" i="32"/>
  <c r="AD33" i="32"/>
  <c r="AD38" i="32"/>
  <c r="AD19" i="32"/>
  <c r="AD27" i="32"/>
  <c r="AD22" i="32"/>
  <c r="AD35" i="32"/>
  <c r="AD30" i="32"/>
  <c r="AG65" i="32"/>
  <c r="AG73" i="32"/>
  <c r="AG81" i="32"/>
  <c r="AG62" i="32"/>
  <c r="AG70" i="32"/>
  <c r="AG67" i="32"/>
  <c r="AG75" i="32"/>
  <c r="AG83" i="32"/>
  <c r="AG64" i="32"/>
  <c r="AG72" i="32"/>
  <c r="AG69" i="32"/>
  <c r="AG77" i="32"/>
  <c r="AG66" i="32"/>
  <c r="AG74" i="32"/>
  <c r="AG82" i="32"/>
  <c r="AG63" i="32"/>
  <c r="AG76" i="32"/>
  <c r="AG80" i="32"/>
  <c r="AG71" i="32"/>
  <c r="AG78" i="32"/>
  <c r="AG68" i="32"/>
  <c r="AG79" i="32"/>
  <c r="AE19" i="32"/>
  <c r="AE27" i="32"/>
  <c r="AE35" i="32"/>
  <c r="AE24" i="32"/>
  <c r="AE32" i="32"/>
  <c r="AE21" i="32"/>
  <c r="AE29" i="32"/>
  <c r="AE37" i="32"/>
  <c r="AE18" i="32"/>
  <c r="AE26" i="32"/>
  <c r="AE34" i="32"/>
  <c r="AE23" i="32"/>
  <c r="AE31" i="32"/>
  <c r="AE39" i="32"/>
  <c r="AE20" i="32"/>
  <c r="AE28" i="32"/>
  <c r="AE36" i="32"/>
  <c r="AE25" i="32"/>
  <c r="AE38" i="32"/>
  <c r="AE33" i="32"/>
  <c r="AE30" i="32"/>
  <c r="AE22" i="32"/>
  <c r="X171" i="32"/>
  <c r="AA139" i="32"/>
  <c r="X139" i="32"/>
  <c r="X157" i="32"/>
  <c r="X189" i="32" s="1"/>
  <c r="Z171" i="32"/>
  <c r="W171" i="32"/>
  <c r="AB160" i="32"/>
  <c r="W170" i="32"/>
  <c r="Y171" i="32"/>
  <c r="X170" i="32"/>
  <c r="AA169" i="32"/>
  <c r="X169" i="32"/>
  <c r="AA171" i="32"/>
  <c r="W169" i="32"/>
  <c r="AB158" i="32"/>
  <c r="AC187" i="26"/>
  <c r="AC185" i="26"/>
  <c r="AC206" i="26"/>
  <c r="AB186" i="26"/>
  <c r="AB207" i="26"/>
  <c r="AB187" i="26"/>
  <c r="AB208" i="26"/>
  <c r="AC183" i="26"/>
  <c r="AC204" i="26"/>
  <c r="AA188" i="26"/>
  <c r="AA209" i="26"/>
  <c r="Z188" i="26"/>
  <c r="Z209" i="26"/>
  <c r="AB184" i="26"/>
  <c r="AB205" i="26"/>
  <c r="AA187" i="26"/>
  <c r="AA208" i="26"/>
  <c r="AA186" i="26"/>
  <c r="AA207" i="26"/>
  <c r="AB183" i="26"/>
  <c r="AB204" i="26"/>
  <c r="Z186" i="26"/>
  <c r="Z207" i="26"/>
  <c r="AB188" i="26"/>
  <c r="AB209" i="26"/>
  <c r="Z185" i="26"/>
  <c r="Z206" i="26"/>
  <c r="AC184" i="26"/>
  <c r="AC205" i="26"/>
  <c r="Z183" i="26"/>
  <c r="Z204" i="26"/>
  <c r="AA185" i="26"/>
  <c r="AA206" i="26"/>
  <c r="Z184" i="26"/>
  <c r="Z205" i="26"/>
  <c r="AC186" i="26"/>
  <c r="AC207" i="26"/>
  <c r="AA184" i="26"/>
  <c r="AA205" i="26"/>
  <c r="Z187" i="26"/>
  <c r="Z208" i="26"/>
  <c r="AC188" i="26"/>
  <c r="AA183" i="26"/>
  <c r="AA204" i="26"/>
  <c r="AB185" i="26"/>
  <c r="AB206" i="26"/>
  <c r="Z190" i="30"/>
  <c r="AB173" i="30"/>
  <c r="AC173" i="30" s="1"/>
  <c r="AB175" i="30"/>
  <c r="AC175" i="30" s="1"/>
  <c r="X190" i="30"/>
  <c r="Y190" i="30"/>
  <c r="AB141" i="30"/>
  <c r="AB139" i="30"/>
  <c r="W185" i="30"/>
  <c r="AB174" i="30"/>
  <c r="AC174" i="30" s="1"/>
  <c r="AB172" i="30"/>
  <c r="AC172" i="30" s="1"/>
  <c r="W183" i="30"/>
  <c r="AA190" i="30"/>
  <c r="Y183" i="26"/>
  <c r="AD172" i="26"/>
  <c r="Y188" i="26"/>
  <c r="AD177" i="26"/>
  <c r="Y187" i="26"/>
  <c r="AD176" i="26"/>
  <c r="Y186" i="26"/>
  <c r="AD175" i="26"/>
  <c r="Y184" i="26"/>
  <c r="AD173" i="26"/>
  <c r="Y185" i="26"/>
  <c r="AD174" i="26"/>
  <c r="AD141" i="26"/>
  <c r="AL13" i="26"/>
  <c r="AL41" i="26"/>
  <c r="AG42" i="26"/>
  <c r="AD139" i="26"/>
  <c r="Y193" i="32" l="1"/>
  <c r="AB161" i="32"/>
  <c r="Y172" i="32"/>
  <c r="AE104" i="32"/>
  <c r="AE96" i="32"/>
  <c r="AE102" i="32"/>
  <c r="AE103" i="32"/>
  <c r="AE99" i="32"/>
  <c r="AE105" i="32"/>
  <c r="AE101" i="32"/>
  <c r="AE95" i="32"/>
  <c r="AE98" i="32"/>
  <c r="AE97" i="32"/>
  <c r="AE100" i="32"/>
  <c r="AE110" i="32"/>
  <c r="AD10" i="32"/>
  <c r="AD146" i="32" s="1"/>
  <c r="BW139" i="16" s="1"/>
  <c r="CC139" i="16" s="1"/>
  <c r="AD7" i="32"/>
  <c r="AD143" i="32" s="1"/>
  <c r="BW136" i="16" s="1"/>
  <c r="CC136" i="16" s="1"/>
  <c r="AF13" i="32"/>
  <c r="AF11" i="32"/>
  <c r="AB141" i="32"/>
  <c r="Y168" i="32"/>
  <c r="AF106" i="32"/>
  <c r="AF15" i="32"/>
  <c r="Y170" i="32"/>
  <c r="AF12" i="32"/>
  <c r="AF14" i="32"/>
  <c r="AF7" i="32"/>
  <c r="AF10" i="32"/>
  <c r="AF9" i="32"/>
  <c r="AF16" i="32"/>
  <c r="AF17" i="32"/>
  <c r="AF52" i="32"/>
  <c r="AG7" i="32"/>
  <c r="AF108" i="32"/>
  <c r="AF53" i="32"/>
  <c r="AF56" i="32"/>
  <c r="AF45" i="32"/>
  <c r="AF44" i="32"/>
  <c r="AF48" i="32"/>
  <c r="AG12" i="32"/>
  <c r="Z168" i="32"/>
  <c r="AG13" i="32"/>
  <c r="AF49" i="32"/>
  <c r="AG8" i="32"/>
  <c r="AG17" i="32"/>
  <c r="AF55" i="32"/>
  <c r="AF40" i="32"/>
  <c r="AG9" i="32"/>
  <c r="AF47" i="32"/>
  <c r="AF51" i="32"/>
  <c r="AF41" i="32"/>
  <c r="AF58" i="32"/>
  <c r="AF54" i="32"/>
  <c r="AG15" i="32"/>
  <c r="AF107" i="32"/>
  <c r="AF42" i="32"/>
  <c r="AF46" i="32"/>
  <c r="AA170" i="32"/>
  <c r="AG16" i="32"/>
  <c r="AF60" i="32"/>
  <c r="AF50" i="32"/>
  <c r="AF59" i="32"/>
  <c r="AG11" i="32"/>
  <c r="AF57" i="32"/>
  <c r="AF61" i="32"/>
  <c r="AA168" i="32"/>
  <c r="AG10" i="32"/>
  <c r="AG106" i="32"/>
  <c r="AH52" i="32"/>
  <c r="AH55" i="32"/>
  <c r="AH48" i="32"/>
  <c r="AH49" i="32"/>
  <c r="AH58" i="32"/>
  <c r="AH40" i="32"/>
  <c r="AH41" i="32"/>
  <c r="AH107" i="32"/>
  <c r="AH59" i="32"/>
  <c r="AH60" i="32"/>
  <c r="AH50" i="32"/>
  <c r="AH51" i="32"/>
  <c r="AH61" i="32"/>
  <c r="AH43" i="32"/>
  <c r="AH44" i="32"/>
  <c r="AH108" i="32"/>
  <c r="AH53" i="32"/>
  <c r="AH54" i="32"/>
  <c r="AH42" i="32"/>
  <c r="AH45" i="32"/>
  <c r="AH46" i="32"/>
  <c r="AH47" i="32"/>
  <c r="AH56" i="32"/>
  <c r="AD11" i="32"/>
  <c r="AD147" i="32" s="1"/>
  <c r="AD13" i="32"/>
  <c r="W168" i="32"/>
  <c r="W175" i="32" s="1"/>
  <c r="AD106" i="32"/>
  <c r="AD16" i="32"/>
  <c r="AD152" i="32" s="1"/>
  <c r="AB208" i="32"/>
  <c r="AD17" i="32"/>
  <c r="AD153" i="32" s="1"/>
  <c r="BW146" i="16" s="1"/>
  <c r="CC146" i="16" s="1"/>
  <c r="AD8" i="32"/>
  <c r="AD144" i="32" s="1"/>
  <c r="BW137" i="16" s="1"/>
  <c r="CC137" i="16" s="1"/>
  <c r="AB201" i="32"/>
  <c r="AD9" i="32"/>
  <c r="AD12" i="32"/>
  <c r="AD15" i="32"/>
  <c r="AD151" i="32" s="1"/>
  <c r="BW144" i="16" s="1"/>
  <c r="CC144" i="16" s="1"/>
  <c r="AB200" i="32"/>
  <c r="AB209" i="32"/>
  <c r="AB207" i="32"/>
  <c r="AD14" i="32"/>
  <c r="AH10" i="32"/>
  <c r="AH15" i="32"/>
  <c r="AG51" i="32"/>
  <c r="AB159" i="32"/>
  <c r="AB191" i="32" s="1"/>
  <c r="Z170" i="32"/>
  <c r="AG55" i="32"/>
  <c r="AG49" i="32"/>
  <c r="AG44" i="32"/>
  <c r="AG42" i="32"/>
  <c r="AH16" i="32"/>
  <c r="AG45" i="32"/>
  <c r="AH8" i="32"/>
  <c r="AG52" i="32"/>
  <c r="AG56" i="32"/>
  <c r="AG59" i="32"/>
  <c r="AG108" i="32"/>
  <c r="AG48" i="32"/>
  <c r="AH13" i="32"/>
  <c r="AG107" i="32"/>
  <c r="AG46" i="32"/>
  <c r="AH14" i="32"/>
  <c r="AG50" i="32"/>
  <c r="AG57" i="32"/>
  <c r="AH17" i="32"/>
  <c r="AG60" i="32"/>
  <c r="AG61" i="32"/>
  <c r="AG43" i="32"/>
  <c r="AH106" i="32"/>
  <c r="AH9" i="32"/>
  <c r="AG47" i="32"/>
  <c r="AG53" i="32"/>
  <c r="AG54" i="32"/>
  <c r="AH7" i="32"/>
  <c r="AH12" i="32"/>
  <c r="AG58" i="32"/>
  <c r="AG40" i="32"/>
  <c r="AB139" i="32"/>
  <c r="AE11" i="32"/>
  <c r="AE8" i="32"/>
  <c r="AE16" i="32"/>
  <c r="AE13" i="32"/>
  <c r="AE10" i="32"/>
  <c r="AE7" i="32"/>
  <c r="AE15" i="32"/>
  <c r="AE12" i="32"/>
  <c r="AE106" i="32"/>
  <c r="AE14" i="32"/>
  <c r="AE9" i="32"/>
  <c r="AE17" i="32"/>
  <c r="AC160" i="32"/>
  <c r="AD160" i="32" s="1"/>
  <c r="AB192" i="32"/>
  <c r="AC158" i="32"/>
  <c r="AB190" i="32"/>
  <c r="X168" i="32"/>
  <c r="X175" i="32" s="1"/>
  <c r="AB157" i="32"/>
  <c r="AC190" i="26"/>
  <c r="AA190" i="26"/>
  <c r="Z190" i="26"/>
  <c r="AD209" i="26"/>
  <c r="BD2" i="7" s="1"/>
  <c r="AB190" i="26"/>
  <c r="AD204" i="26"/>
  <c r="AD206" i="26"/>
  <c r="BA3" i="12" s="1"/>
  <c r="AE176" i="26"/>
  <c r="AE175" i="26"/>
  <c r="AE174" i="26"/>
  <c r="AE177" i="26"/>
  <c r="AD207" i="26"/>
  <c r="AD208" i="26"/>
  <c r="AE173" i="26"/>
  <c r="AE172" i="26"/>
  <c r="AD205" i="26"/>
  <c r="W190" i="30"/>
  <c r="Y190" i="26"/>
  <c r="AG49" i="26"/>
  <c r="AL49" i="26" s="1"/>
  <c r="AL42" i="26"/>
  <c r="AC161" i="32" l="1"/>
  <c r="AD161" i="32" s="1"/>
  <c r="AB193" i="32"/>
  <c r="AF109" i="32"/>
  <c r="AF91" i="32"/>
  <c r="AF84" i="32"/>
  <c r="AF86" i="32"/>
  <c r="AF90" i="32"/>
  <c r="AL90" i="32" s="1"/>
  <c r="AO90" i="32" s="1"/>
  <c r="AF89" i="32"/>
  <c r="AF148" i="32" s="1"/>
  <c r="BY141" i="16" s="1"/>
  <c r="CE141" i="16" s="1"/>
  <c r="AF94" i="32"/>
  <c r="AF92" i="32"/>
  <c r="AF88" i="32"/>
  <c r="AF85" i="32"/>
  <c r="AF87" i="32"/>
  <c r="AF146" i="32" s="1"/>
  <c r="AL146" i="32" s="1"/>
  <c r="AF93" i="32"/>
  <c r="Z175" i="32"/>
  <c r="AF144" i="32"/>
  <c r="BY137" i="16" s="1"/>
  <c r="CE137" i="16" s="1"/>
  <c r="AF145" i="32"/>
  <c r="AL145" i="32" s="1"/>
  <c r="Y175" i="32"/>
  <c r="AA175" i="32"/>
  <c r="AF150" i="32"/>
  <c r="BY143" i="16" s="1"/>
  <c r="CE143" i="16" s="1"/>
  <c r="AF143" i="32"/>
  <c r="AL143" i="32" s="1"/>
  <c r="AF151" i="32"/>
  <c r="BY144" i="16" s="1"/>
  <c r="CE144" i="16" s="1"/>
  <c r="AF147" i="32"/>
  <c r="AL147" i="32" s="1"/>
  <c r="AF153" i="32"/>
  <c r="AL153" i="32" s="1"/>
  <c r="AF152" i="32"/>
  <c r="AL152" i="32" s="1"/>
  <c r="AF149" i="32"/>
  <c r="AL149" i="32" s="1"/>
  <c r="AH147" i="32"/>
  <c r="CA140" i="16" s="1"/>
  <c r="CG140" i="16" s="1"/>
  <c r="AH143" i="32"/>
  <c r="CA136" i="16" s="1"/>
  <c r="AH146" i="32"/>
  <c r="CA139" i="16" s="1"/>
  <c r="CG139" i="16" s="1"/>
  <c r="AD148" i="32"/>
  <c r="BW141" i="16" s="1"/>
  <c r="CC141" i="16" s="1"/>
  <c r="AJ146" i="32"/>
  <c r="AD150" i="32"/>
  <c r="BW143" i="16" s="1"/>
  <c r="CC143" i="16" s="1"/>
  <c r="AC159" i="32"/>
  <c r="AD159" i="32" s="1"/>
  <c r="AD145" i="32"/>
  <c r="AJ145" i="32" s="1"/>
  <c r="AD149" i="32"/>
  <c r="BW142" i="16" s="1"/>
  <c r="CC142" i="16" s="1"/>
  <c r="AD139" i="32"/>
  <c r="AH144" i="32"/>
  <c r="AN144" i="32" s="1"/>
  <c r="AJ144" i="32"/>
  <c r="AJ151" i="32"/>
  <c r="AH145" i="32"/>
  <c r="CA138" i="16" s="1"/>
  <c r="CG138" i="16" s="1"/>
  <c r="AH151" i="32"/>
  <c r="CA144" i="16" s="1"/>
  <c r="CG144" i="16" s="1"/>
  <c r="AG144" i="32"/>
  <c r="BZ137" i="16" s="1"/>
  <c r="CF137" i="16" s="1"/>
  <c r="AG145" i="32"/>
  <c r="AM145" i="32" s="1"/>
  <c r="AG149" i="32"/>
  <c r="AM149" i="32" s="1"/>
  <c r="AG151" i="32"/>
  <c r="AM151" i="32" s="1"/>
  <c r="AG152" i="32"/>
  <c r="AM152" i="32" s="1"/>
  <c r="AH150" i="32"/>
  <c r="AN150" i="32" s="1"/>
  <c r="AG143" i="32"/>
  <c r="AM143" i="32" s="1"/>
  <c r="AG148" i="32"/>
  <c r="AM148" i="32" s="1"/>
  <c r="AE153" i="32"/>
  <c r="AK153" i="32" s="1"/>
  <c r="AE149" i="32"/>
  <c r="BX142" i="16" s="1"/>
  <c r="CD142" i="16" s="1"/>
  <c r="AE145" i="32"/>
  <c r="AK145" i="32" s="1"/>
  <c r="AE152" i="32"/>
  <c r="AK152" i="32" s="1"/>
  <c r="AE146" i="32"/>
  <c r="AK146" i="32" s="1"/>
  <c r="AE144" i="32"/>
  <c r="BX137" i="16" s="1"/>
  <c r="CD137" i="16" s="1"/>
  <c r="AJ153" i="32"/>
  <c r="AE147" i="32"/>
  <c r="AK147" i="32" s="1"/>
  <c r="AH148" i="32"/>
  <c r="CA141" i="16" s="1"/>
  <c r="CG141" i="16" s="1"/>
  <c r="AH149" i="32"/>
  <c r="CA142" i="16" s="1"/>
  <c r="CG142" i="16" s="1"/>
  <c r="AH152" i="32"/>
  <c r="AE148" i="32"/>
  <c r="AK148" i="32" s="1"/>
  <c r="AE151" i="32"/>
  <c r="AK151" i="32" s="1"/>
  <c r="AG146" i="32"/>
  <c r="BZ139" i="16" s="1"/>
  <c r="CF139" i="16" s="1"/>
  <c r="AH153" i="32"/>
  <c r="AN153" i="32" s="1"/>
  <c r="AG150" i="32"/>
  <c r="AM150" i="32" s="1"/>
  <c r="AG147" i="32"/>
  <c r="AM147" i="32" s="1"/>
  <c r="AH139" i="32"/>
  <c r="AH141" i="32" s="1"/>
  <c r="AG153" i="32"/>
  <c r="BZ146" i="16" s="1"/>
  <c r="CF146" i="16" s="1"/>
  <c r="AG139" i="32"/>
  <c r="AG141" i="32" s="1"/>
  <c r="AJ152" i="32"/>
  <c r="BW145" i="16"/>
  <c r="CC145" i="16" s="1"/>
  <c r="BY138" i="16"/>
  <c r="CE138" i="16" s="1"/>
  <c r="AE150" i="32"/>
  <c r="AJ147" i="32"/>
  <c r="BW140" i="16"/>
  <c r="CC140" i="16" s="1"/>
  <c r="AD158" i="32"/>
  <c r="AE139" i="32"/>
  <c r="AE141" i="32" s="1"/>
  <c r="AE143" i="32"/>
  <c r="AJ143" i="32"/>
  <c r="AC157" i="32"/>
  <c r="AB189" i="32"/>
  <c r="AF172" i="26"/>
  <c r="W217" i="26"/>
  <c r="AF173" i="26"/>
  <c r="W218" i="26"/>
  <c r="AF177" i="26"/>
  <c r="W216" i="26"/>
  <c r="AF176" i="26"/>
  <c r="W213" i="26"/>
  <c r="AF174" i="26"/>
  <c r="W215" i="26"/>
  <c r="AF175" i="26"/>
  <c r="W219" i="26"/>
  <c r="AF139" i="32" l="1"/>
  <c r="AF141" i="32" s="1"/>
  <c r="AL144" i="32"/>
  <c r="AL148" i="32"/>
  <c r="BY139" i="16"/>
  <c r="CE139" i="16" s="1"/>
  <c r="CK38" i="16" s="1"/>
  <c r="BP38" i="31" s="1"/>
  <c r="AL150" i="32"/>
  <c r="BY136" i="16"/>
  <c r="CE136" i="16" s="1"/>
  <c r="AN147" i="32"/>
  <c r="AL151" i="32"/>
  <c r="BY142" i="16"/>
  <c r="CE142" i="16" s="1"/>
  <c r="CK80" i="16" s="1"/>
  <c r="BP80" i="31" s="1"/>
  <c r="AN143" i="32"/>
  <c r="CG136" i="16"/>
  <c r="BY140" i="16"/>
  <c r="CE140" i="16" s="1"/>
  <c r="AN146" i="32"/>
  <c r="BY146" i="16"/>
  <c r="CE146" i="16" s="1"/>
  <c r="BY145" i="16"/>
  <c r="CE145" i="16" s="1"/>
  <c r="BX139" i="16"/>
  <c r="CD139" i="16" s="1"/>
  <c r="CJ36" i="16" s="1"/>
  <c r="BO36" i="31" s="1"/>
  <c r="BX144" i="16"/>
  <c r="CD144" i="16" s="1"/>
  <c r="AJ148" i="32"/>
  <c r="BW138" i="16"/>
  <c r="BW147" i="16" s="1"/>
  <c r="AM144" i="32"/>
  <c r="AN148" i="32"/>
  <c r="AJ150" i="32"/>
  <c r="AD141" i="32"/>
  <c r="AI141" i="32" s="1"/>
  <c r="BZ140" i="16"/>
  <c r="CF140" i="16" s="1"/>
  <c r="AN149" i="32"/>
  <c r="AK149" i="32"/>
  <c r="BZ144" i="16"/>
  <c r="AJ149" i="32"/>
  <c r="AM153" i="32"/>
  <c r="AN145" i="32"/>
  <c r="BZ145" i="16"/>
  <c r="CF145" i="16" s="1"/>
  <c r="CL122" i="16" s="1"/>
  <c r="BQ122" i="31" s="1"/>
  <c r="AN151" i="32"/>
  <c r="BX146" i="16"/>
  <c r="CD146" i="16" s="1"/>
  <c r="CJ128" i="16" s="1"/>
  <c r="BO128" i="31" s="1"/>
  <c r="AK144" i="32"/>
  <c r="AI151" i="32"/>
  <c r="AM146" i="32"/>
  <c r="BZ141" i="16"/>
  <c r="CF141" i="16" s="1"/>
  <c r="CA143" i="16"/>
  <c r="CG143" i="16" s="1"/>
  <c r="BX140" i="16"/>
  <c r="CD140" i="16" s="1"/>
  <c r="AI147" i="32"/>
  <c r="AI152" i="32"/>
  <c r="AI148" i="32"/>
  <c r="BZ136" i="16"/>
  <c r="CF136" i="16" s="1"/>
  <c r="BZ142" i="16"/>
  <c r="CF142" i="16" s="1"/>
  <c r="CL91" i="16" s="1"/>
  <c r="BQ91" i="31" s="1"/>
  <c r="BX141" i="16"/>
  <c r="CD141" i="16" s="1"/>
  <c r="CJ59" i="16" s="1"/>
  <c r="BO59" i="31" s="1"/>
  <c r="BX145" i="16"/>
  <c r="CD145" i="16" s="1"/>
  <c r="CA137" i="16"/>
  <c r="CK20" i="16" s="1"/>
  <c r="BP20" i="31" s="1"/>
  <c r="BZ143" i="16"/>
  <c r="CF143" i="16" s="1"/>
  <c r="AI144" i="32"/>
  <c r="CA145" i="16"/>
  <c r="CG145" i="16" s="1"/>
  <c r="CA146" i="16"/>
  <c r="BZ138" i="16"/>
  <c r="CF138" i="16" s="1"/>
  <c r="BX138" i="16"/>
  <c r="CD138" i="16" s="1"/>
  <c r="AI149" i="32"/>
  <c r="AN152" i="32"/>
  <c r="AI150" i="32"/>
  <c r="AI145" i="32"/>
  <c r="AI146" i="32"/>
  <c r="AI153" i="32"/>
  <c r="AI139" i="32"/>
  <c r="CM149" i="16" s="1"/>
  <c r="CM62" i="16"/>
  <c r="BR62" i="31" s="1"/>
  <c r="CM54" i="16"/>
  <c r="BR54" i="31" s="1"/>
  <c r="CM65" i="16"/>
  <c r="BR65" i="31" s="1"/>
  <c r="CM66" i="16"/>
  <c r="BR66" i="31" s="1"/>
  <c r="CM58" i="16"/>
  <c r="BR58" i="31" s="1"/>
  <c r="CM61" i="16"/>
  <c r="BR61" i="31" s="1"/>
  <c r="CM53" i="16"/>
  <c r="BR53" i="31" s="1"/>
  <c r="CM64" i="16"/>
  <c r="BR64" i="31" s="1"/>
  <c r="CM63" i="16"/>
  <c r="BR63" i="31" s="1"/>
  <c r="CM55" i="16"/>
  <c r="BR55" i="31" s="1"/>
  <c r="CL35" i="16"/>
  <c r="BQ35" i="31" s="1"/>
  <c r="CL38" i="16"/>
  <c r="BQ38" i="31" s="1"/>
  <c r="CL41" i="16"/>
  <c r="BQ41" i="31" s="1"/>
  <c r="CL39" i="16"/>
  <c r="BQ39" i="31" s="1"/>
  <c r="CL42" i="16"/>
  <c r="BQ42" i="31" s="1"/>
  <c r="CL34" i="16"/>
  <c r="CL37" i="16"/>
  <c r="BQ37" i="31" s="1"/>
  <c r="CL40" i="16"/>
  <c r="BQ40" i="31" s="1"/>
  <c r="CL36" i="16"/>
  <c r="BQ36" i="31" s="1"/>
  <c r="CL131" i="16"/>
  <c r="BQ131" i="31" s="1"/>
  <c r="CL129" i="16"/>
  <c r="BQ129" i="31" s="1"/>
  <c r="CL132" i="16"/>
  <c r="BQ132" i="31" s="1"/>
  <c r="CL127" i="16"/>
  <c r="CL130" i="16"/>
  <c r="BQ130" i="31" s="1"/>
  <c r="CL128" i="16"/>
  <c r="BQ128" i="31" s="1"/>
  <c r="CJ21" i="16"/>
  <c r="BO21" i="31" s="1"/>
  <c r="CJ13" i="16"/>
  <c r="BO13" i="31" s="1"/>
  <c r="CJ24" i="16"/>
  <c r="BO24" i="31" s="1"/>
  <c r="CJ16" i="16"/>
  <c r="BO16" i="31" s="1"/>
  <c r="CJ8" i="16"/>
  <c r="BO8" i="31" s="1"/>
  <c r="CJ19" i="16"/>
  <c r="BO19" i="31" s="1"/>
  <c r="CJ11" i="16"/>
  <c r="BO11" i="31" s="1"/>
  <c r="CJ25" i="16"/>
  <c r="BO25" i="31" s="1"/>
  <c r="CJ17" i="16"/>
  <c r="BO17" i="31" s="1"/>
  <c r="CJ9" i="16"/>
  <c r="BO9" i="31" s="1"/>
  <c r="CJ20" i="16"/>
  <c r="BO20" i="31" s="1"/>
  <c r="CJ12" i="16"/>
  <c r="BO12" i="31" s="1"/>
  <c r="CJ23" i="16"/>
  <c r="BO23" i="31" s="1"/>
  <c r="CJ15" i="16"/>
  <c r="BO15" i="31" s="1"/>
  <c r="CJ26" i="16"/>
  <c r="BO26" i="31" s="1"/>
  <c r="CJ18" i="16"/>
  <c r="BO18" i="31" s="1"/>
  <c r="CJ10" i="16"/>
  <c r="BO10" i="31" s="1"/>
  <c r="CJ22" i="16"/>
  <c r="BO22" i="31" s="1"/>
  <c r="CJ14" i="16"/>
  <c r="BO14" i="31" s="1"/>
  <c r="CM118" i="16"/>
  <c r="BR118" i="31" s="1"/>
  <c r="CM110" i="16"/>
  <c r="BR110" i="31" s="1"/>
  <c r="CM113" i="16"/>
  <c r="BR113" i="31" s="1"/>
  <c r="CM116" i="16"/>
  <c r="BR116" i="31" s="1"/>
  <c r="CM114" i="16"/>
  <c r="BR114" i="31" s="1"/>
  <c r="CM117" i="16"/>
  <c r="BR117" i="31" s="1"/>
  <c r="CM112" i="16"/>
  <c r="BR112" i="31" s="1"/>
  <c r="CM115" i="16"/>
  <c r="BR115" i="31" s="1"/>
  <c r="CM111" i="16"/>
  <c r="BR111" i="31" s="1"/>
  <c r="CK112" i="16"/>
  <c r="BP112" i="31" s="1"/>
  <c r="CK115" i="16"/>
  <c r="BP115" i="31" s="1"/>
  <c r="CK118" i="16"/>
  <c r="BP118" i="31" s="1"/>
  <c r="CK110" i="16"/>
  <c r="BP110" i="31" s="1"/>
  <c r="CK116" i="16"/>
  <c r="BP116" i="31" s="1"/>
  <c r="CK111" i="16"/>
  <c r="BP111" i="31" s="1"/>
  <c r="CK114" i="16"/>
  <c r="BP114" i="31" s="1"/>
  <c r="CK117" i="16"/>
  <c r="BP117" i="31" s="1"/>
  <c r="CK113" i="16"/>
  <c r="BP113" i="31" s="1"/>
  <c r="CI122" i="16"/>
  <c r="BN122" i="31" s="1"/>
  <c r="CK40" i="16"/>
  <c r="BP40" i="31" s="1"/>
  <c r="CK35" i="16"/>
  <c r="BP35" i="31" s="1"/>
  <c r="CK39" i="16"/>
  <c r="BP39" i="31" s="1"/>
  <c r="CK41" i="16"/>
  <c r="BP41" i="31" s="1"/>
  <c r="CM46" i="16"/>
  <c r="BR46" i="31" s="1"/>
  <c r="CM49" i="16"/>
  <c r="BR49" i="31" s="1"/>
  <c r="CM44" i="16"/>
  <c r="BR44" i="31" s="1"/>
  <c r="CM50" i="16"/>
  <c r="BR50" i="31" s="1"/>
  <c r="CM45" i="16"/>
  <c r="BR45" i="31" s="1"/>
  <c r="CM48" i="16"/>
  <c r="BR48" i="31" s="1"/>
  <c r="CM43" i="16"/>
  <c r="BR43" i="31" s="1"/>
  <c r="CM47" i="16"/>
  <c r="BR47" i="31" s="1"/>
  <c r="CK64" i="16"/>
  <c r="BP64" i="31" s="1"/>
  <c r="CK56" i="16"/>
  <c r="BP56" i="31" s="1"/>
  <c r="CK59" i="16"/>
  <c r="BP59" i="31" s="1"/>
  <c r="CK51" i="16"/>
  <c r="BP51" i="31" s="1"/>
  <c r="CK62" i="16"/>
  <c r="BP62" i="31" s="1"/>
  <c r="CK54" i="16"/>
  <c r="BP54" i="31" s="1"/>
  <c r="CK60" i="16"/>
  <c r="BP60" i="31" s="1"/>
  <c r="CK52" i="16"/>
  <c r="BP52" i="31" s="1"/>
  <c r="CK63" i="16"/>
  <c r="BP63" i="31" s="1"/>
  <c r="CK55" i="16"/>
  <c r="BP55" i="31" s="1"/>
  <c r="CK66" i="16"/>
  <c r="BP66" i="31" s="1"/>
  <c r="CK58" i="16"/>
  <c r="BP58" i="31" s="1"/>
  <c r="CK61" i="16"/>
  <c r="BP61" i="31" s="1"/>
  <c r="CK53" i="16"/>
  <c r="BP53" i="31" s="1"/>
  <c r="CK57" i="16"/>
  <c r="BP57" i="31" s="1"/>
  <c r="CK65" i="16"/>
  <c r="BP65" i="31" s="1"/>
  <c r="CM94" i="16"/>
  <c r="BR94" i="31" s="1"/>
  <c r="CM86" i="16"/>
  <c r="BR86" i="31" s="1"/>
  <c r="CM78" i="16"/>
  <c r="BR78" i="31" s="1"/>
  <c r="CM70" i="16"/>
  <c r="BR70" i="31" s="1"/>
  <c r="CM89" i="16"/>
  <c r="BR89" i="31" s="1"/>
  <c r="CM81" i="16"/>
  <c r="BR81" i="31" s="1"/>
  <c r="CM73" i="16"/>
  <c r="BR73" i="31" s="1"/>
  <c r="CM92" i="16"/>
  <c r="BR92" i="31" s="1"/>
  <c r="CM84" i="16"/>
  <c r="BR84" i="31" s="1"/>
  <c r="CM76" i="16"/>
  <c r="BR76" i="31" s="1"/>
  <c r="CM68" i="16"/>
  <c r="BR68" i="31" s="1"/>
  <c r="CM90" i="16"/>
  <c r="BR90" i="31" s="1"/>
  <c r="CM82" i="16"/>
  <c r="BR82" i="31" s="1"/>
  <c r="CM74" i="16"/>
  <c r="BR74" i="31" s="1"/>
  <c r="CM93" i="16"/>
  <c r="BR93" i="31" s="1"/>
  <c r="CM85" i="16"/>
  <c r="BR85" i="31" s="1"/>
  <c r="CM77" i="16"/>
  <c r="BR77" i="31" s="1"/>
  <c r="CM69" i="16"/>
  <c r="BR69" i="31" s="1"/>
  <c r="CM88" i="16"/>
  <c r="BR88" i="31" s="1"/>
  <c r="CM80" i="16"/>
  <c r="BR80" i="31" s="1"/>
  <c r="CM72" i="16"/>
  <c r="BR72" i="31" s="1"/>
  <c r="CM91" i="16"/>
  <c r="BR91" i="31" s="1"/>
  <c r="CM83" i="16"/>
  <c r="BR83" i="31" s="1"/>
  <c r="CM75" i="16"/>
  <c r="BR75" i="31" s="1"/>
  <c r="CM67" i="16"/>
  <c r="BR67" i="31" s="1"/>
  <c r="CM79" i="16"/>
  <c r="BR79" i="31" s="1"/>
  <c r="CM87" i="16"/>
  <c r="BR87" i="31" s="1"/>
  <c r="CM71" i="16"/>
  <c r="BR71" i="31" s="1"/>
  <c r="CM95" i="16"/>
  <c r="BR95" i="31" s="1"/>
  <c r="CL19" i="16"/>
  <c r="BQ19" i="31" s="1"/>
  <c r="CL11" i="16"/>
  <c r="BQ11" i="31" s="1"/>
  <c r="CL22" i="16"/>
  <c r="BQ22" i="31" s="1"/>
  <c r="CL14" i="16"/>
  <c r="BQ14" i="31" s="1"/>
  <c r="CL25" i="16"/>
  <c r="BQ25" i="31" s="1"/>
  <c r="CL17" i="16"/>
  <c r="BQ17" i="31" s="1"/>
  <c r="CL9" i="16"/>
  <c r="BQ9" i="31" s="1"/>
  <c r="CL23" i="16"/>
  <c r="BQ23" i="31" s="1"/>
  <c r="CL15" i="16"/>
  <c r="BQ15" i="31" s="1"/>
  <c r="CL26" i="16"/>
  <c r="BQ26" i="31" s="1"/>
  <c r="CL18" i="16"/>
  <c r="BQ18" i="31" s="1"/>
  <c r="CL10" i="16"/>
  <c r="BQ10" i="31" s="1"/>
  <c r="CL21" i="16"/>
  <c r="BQ21" i="31" s="1"/>
  <c r="CL13" i="16"/>
  <c r="BQ13" i="31" s="1"/>
  <c r="CL24" i="16"/>
  <c r="BQ24" i="31" s="1"/>
  <c r="CL16" i="16"/>
  <c r="BQ16" i="31" s="1"/>
  <c r="CL8" i="16"/>
  <c r="BQ8" i="31" s="1"/>
  <c r="CL12" i="16"/>
  <c r="BQ12" i="31" s="1"/>
  <c r="CL20" i="16"/>
  <c r="BQ20" i="31" s="1"/>
  <c r="CK48" i="16"/>
  <c r="BP48" i="31" s="1"/>
  <c r="CK43" i="16"/>
  <c r="BP43" i="31" s="1"/>
  <c r="CK46" i="16"/>
  <c r="BP46" i="31" s="1"/>
  <c r="CK44" i="16"/>
  <c r="BP44" i="31" s="1"/>
  <c r="CK47" i="16"/>
  <c r="BP47" i="31" s="1"/>
  <c r="CK50" i="16"/>
  <c r="BP50" i="31" s="1"/>
  <c r="CK45" i="16"/>
  <c r="BP45" i="31" s="1"/>
  <c r="CK49" i="16"/>
  <c r="BP49" i="31" s="1"/>
  <c r="CM38" i="16"/>
  <c r="BR38" i="31" s="1"/>
  <c r="CM41" i="16"/>
  <c r="BR41" i="31" s="1"/>
  <c r="CM36" i="16"/>
  <c r="BR36" i="31" s="1"/>
  <c r="CM42" i="16"/>
  <c r="BR42" i="31" s="1"/>
  <c r="CM34" i="16"/>
  <c r="BR34" i="31" s="1"/>
  <c r="CM37" i="16"/>
  <c r="BR37" i="31" s="1"/>
  <c r="CM40" i="16"/>
  <c r="BR40" i="31" s="1"/>
  <c r="CM35" i="16"/>
  <c r="BR35" i="31" s="1"/>
  <c r="CM39" i="16"/>
  <c r="BR39" i="31" s="1"/>
  <c r="AK150" i="32"/>
  <c r="BX143" i="16"/>
  <c r="CD143" i="16" s="1"/>
  <c r="AK143" i="32"/>
  <c r="BX136" i="16"/>
  <c r="AI143" i="32"/>
  <c r="AD157" i="32"/>
  <c r="CJ41" i="16" l="1"/>
  <c r="BO41" i="31" s="1"/>
  <c r="CJ35" i="16"/>
  <c r="BO35" i="31" s="1"/>
  <c r="CJ40" i="16"/>
  <c r="BO40" i="31" s="1"/>
  <c r="CK88" i="16"/>
  <c r="BP88" i="31" s="1"/>
  <c r="CJ38" i="16"/>
  <c r="BO38" i="31" s="1"/>
  <c r="CJ37" i="16"/>
  <c r="BO37" i="31" s="1"/>
  <c r="CJ34" i="16"/>
  <c r="BO34" i="31" s="1"/>
  <c r="CL124" i="16"/>
  <c r="BQ124" i="31" s="1"/>
  <c r="CJ42" i="16"/>
  <c r="BO42" i="31" s="1"/>
  <c r="CL123" i="16"/>
  <c r="BQ123" i="31" s="1"/>
  <c r="CJ39" i="16"/>
  <c r="BO39" i="31" s="1"/>
  <c r="CL121" i="16"/>
  <c r="BQ121" i="31" s="1"/>
  <c r="CK37" i="16"/>
  <c r="BP37" i="31" s="1"/>
  <c r="CK34" i="16"/>
  <c r="BP34" i="31" s="1"/>
  <c r="CK36" i="16"/>
  <c r="BP36" i="31" s="1"/>
  <c r="CK42" i="16"/>
  <c r="BP42" i="31" s="1"/>
  <c r="CK127" i="16"/>
  <c r="BP127" i="31" s="1"/>
  <c r="CK77" i="16"/>
  <c r="BP77" i="31" s="1"/>
  <c r="CK87" i="16"/>
  <c r="BP87" i="31" s="1"/>
  <c r="CK86" i="16"/>
  <c r="BP86" i="31" s="1"/>
  <c r="CK85" i="16"/>
  <c r="BP85" i="31" s="1"/>
  <c r="CK95" i="16"/>
  <c r="BP95" i="31" s="1"/>
  <c r="CK94" i="16"/>
  <c r="BP94" i="31" s="1"/>
  <c r="CK93" i="16"/>
  <c r="BP93" i="31" s="1"/>
  <c r="CK68" i="16"/>
  <c r="BP68" i="31" s="1"/>
  <c r="CK67" i="16"/>
  <c r="BP67" i="31" s="1"/>
  <c r="CK74" i="16"/>
  <c r="BP74" i="31" s="1"/>
  <c r="CK76" i="16"/>
  <c r="BP76" i="31" s="1"/>
  <c r="CK75" i="16"/>
  <c r="BP75" i="31" s="1"/>
  <c r="CK73" i="16"/>
  <c r="BP73" i="31" s="1"/>
  <c r="CK82" i="16"/>
  <c r="BP82" i="31" s="1"/>
  <c r="CK84" i="16"/>
  <c r="BP84" i="31" s="1"/>
  <c r="CK83" i="16"/>
  <c r="BP83" i="31" s="1"/>
  <c r="CK89" i="16"/>
  <c r="BP89" i="31" s="1"/>
  <c r="CK90" i="16"/>
  <c r="BP90" i="31" s="1"/>
  <c r="CK92" i="16"/>
  <c r="BP92" i="31" s="1"/>
  <c r="CK91" i="16"/>
  <c r="BP91" i="31" s="1"/>
  <c r="CK81" i="16"/>
  <c r="BP81" i="31" s="1"/>
  <c r="CK71" i="16"/>
  <c r="BP71" i="31" s="1"/>
  <c r="CK70" i="16"/>
  <c r="BP70" i="31" s="1"/>
  <c r="CK72" i="16"/>
  <c r="BP72" i="31" s="1"/>
  <c r="CK69" i="16"/>
  <c r="BP69" i="31" s="1"/>
  <c r="CK79" i="16"/>
  <c r="BP79" i="31" s="1"/>
  <c r="CK78" i="16"/>
  <c r="BP78" i="31" s="1"/>
  <c r="CI38" i="16"/>
  <c r="BN38" i="31" s="1"/>
  <c r="CI123" i="16"/>
  <c r="BN123" i="31" s="1"/>
  <c r="CI39" i="16"/>
  <c r="BN39" i="31" s="1"/>
  <c r="CI75" i="16"/>
  <c r="BN75" i="31" s="1"/>
  <c r="CK106" i="16"/>
  <c r="BP106" i="31" s="1"/>
  <c r="CK109" i="16"/>
  <c r="BP109" i="31" s="1"/>
  <c r="CK100" i="16"/>
  <c r="BP100" i="31" s="1"/>
  <c r="CK99" i="16"/>
  <c r="BP99" i="31" s="1"/>
  <c r="CK108" i="16"/>
  <c r="BP108" i="31" s="1"/>
  <c r="CI94" i="16"/>
  <c r="BN94" i="31" s="1"/>
  <c r="CI42" i="16"/>
  <c r="BN42" i="31" s="1"/>
  <c r="CI41" i="16"/>
  <c r="BN41" i="31" s="1"/>
  <c r="BJ41" i="31" s="1"/>
  <c r="CI35" i="16"/>
  <c r="BN35" i="31" s="1"/>
  <c r="BJ35" i="31" s="1"/>
  <c r="CK21" i="16"/>
  <c r="BP21" i="31" s="1"/>
  <c r="CI34" i="16"/>
  <c r="BN34" i="31" s="1"/>
  <c r="CK15" i="16"/>
  <c r="BP15" i="31" s="1"/>
  <c r="CI37" i="16"/>
  <c r="BN37" i="31" s="1"/>
  <c r="BJ37" i="31" s="1"/>
  <c r="CI40" i="16"/>
  <c r="BN40" i="31" s="1"/>
  <c r="BJ40" i="31" s="1"/>
  <c r="CI36" i="16"/>
  <c r="BN36" i="31" s="1"/>
  <c r="BJ36" i="31" s="1"/>
  <c r="CI93" i="16"/>
  <c r="BN93" i="31" s="1"/>
  <c r="CI85" i="16"/>
  <c r="BN85" i="31" s="1"/>
  <c r="CI90" i="16"/>
  <c r="BN90" i="31" s="1"/>
  <c r="CJ44" i="16"/>
  <c r="BO44" i="31" s="1"/>
  <c r="CK97" i="16"/>
  <c r="BP97" i="31" s="1"/>
  <c r="CK107" i="16"/>
  <c r="BP107" i="31" s="1"/>
  <c r="CK101" i="16"/>
  <c r="BP101" i="31" s="1"/>
  <c r="CK104" i="16"/>
  <c r="BP104" i="31" s="1"/>
  <c r="CK103" i="16"/>
  <c r="BP103" i="31" s="1"/>
  <c r="CK102" i="16"/>
  <c r="BP102" i="31" s="1"/>
  <c r="CJ93" i="16"/>
  <c r="BO93" i="31" s="1"/>
  <c r="CJ74" i="16"/>
  <c r="BO74" i="31" s="1"/>
  <c r="CJ83" i="16"/>
  <c r="BO83" i="31" s="1"/>
  <c r="CK17" i="16"/>
  <c r="BP17" i="31" s="1"/>
  <c r="CJ76" i="16"/>
  <c r="BO76" i="31" s="1"/>
  <c r="CJ82" i="16"/>
  <c r="BO82" i="31" s="1"/>
  <c r="CJ89" i="16"/>
  <c r="BO89" i="31" s="1"/>
  <c r="CJ78" i="16"/>
  <c r="BO78" i="31" s="1"/>
  <c r="CJ68" i="16"/>
  <c r="BO68" i="31" s="1"/>
  <c r="CJ75" i="16"/>
  <c r="BO75" i="31" s="1"/>
  <c r="CJ85" i="16"/>
  <c r="BO85" i="31" s="1"/>
  <c r="CJ91" i="16"/>
  <c r="BO91" i="31" s="1"/>
  <c r="CJ90" i="16"/>
  <c r="BO90" i="31" s="1"/>
  <c r="CJ92" i="16"/>
  <c r="BO92" i="31" s="1"/>
  <c r="CJ72" i="16"/>
  <c r="BO72" i="31" s="1"/>
  <c r="CJ84" i="16"/>
  <c r="BO84" i="31" s="1"/>
  <c r="CJ71" i="16"/>
  <c r="BO71" i="31" s="1"/>
  <c r="CJ73" i="16"/>
  <c r="BO73" i="31" s="1"/>
  <c r="CJ80" i="16"/>
  <c r="BO80" i="31" s="1"/>
  <c r="CJ94" i="16"/>
  <c r="BO94" i="31" s="1"/>
  <c r="CJ79" i="16"/>
  <c r="BO79" i="31" s="1"/>
  <c r="CJ81" i="16"/>
  <c r="BO81" i="31" s="1"/>
  <c r="CJ88" i="16"/>
  <c r="BO88" i="31" s="1"/>
  <c r="CJ70" i="16"/>
  <c r="BO70" i="31" s="1"/>
  <c r="CJ87" i="16"/>
  <c r="BO87" i="31" s="1"/>
  <c r="CJ69" i="16"/>
  <c r="BO69" i="31" s="1"/>
  <c r="CJ86" i="16"/>
  <c r="BO86" i="31" s="1"/>
  <c r="CJ95" i="16"/>
  <c r="BO95" i="31" s="1"/>
  <c r="CJ67" i="16"/>
  <c r="BO67" i="31" s="1"/>
  <c r="CJ77" i="16"/>
  <c r="BO77" i="31" s="1"/>
  <c r="CI43" i="16"/>
  <c r="BN43" i="31" s="1"/>
  <c r="CI92" i="16"/>
  <c r="BN92" i="31" s="1"/>
  <c r="CI95" i="16"/>
  <c r="BN95" i="31" s="1"/>
  <c r="CI74" i="16"/>
  <c r="BN74" i="31" s="1"/>
  <c r="CK8" i="16"/>
  <c r="BP8" i="31" s="1"/>
  <c r="CI45" i="16"/>
  <c r="BN45" i="31" s="1"/>
  <c r="CI48" i="16"/>
  <c r="BN48" i="31" s="1"/>
  <c r="CK125" i="16"/>
  <c r="BP125" i="31" s="1"/>
  <c r="CK122" i="16"/>
  <c r="BP122" i="31" s="1"/>
  <c r="CI44" i="16"/>
  <c r="BN44" i="31" s="1"/>
  <c r="CK10" i="16"/>
  <c r="BP10" i="31" s="1"/>
  <c r="CI49" i="16"/>
  <c r="BN49" i="31" s="1"/>
  <c r="CK18" i="16"/>
  <c r="BP18" i="31" s="1"/>
  <c r="CK14" i="16"/>
  <c r="BP14" i="31" s="1"/>
  <c r="CK22" i="16"/>
  <c r="BP22" i="31" s="1"/>
  <c r="CI50" i="16"/>
  <c r="BN50" i="31" s="1"/>
  <c r="CK11" i="16"/>
  <c r="BP11" i="31" s="1"/>
  <c r="CK120" i="16"/>
  <c r="BP120" i="31" s="1"/>
  <c r="CI47" i="16"/>
  <c r="BN47" i="31" s="1"/>
  <c r="CK121" i="16"/>
  <c r="BP121" i="31" s="1"/>
  <c r="CI46" i="16"/>
  <c r="BN46" i="31" s="1"/>
  <c r="CK119" i="16"/>
  <c r="BP119" i="31" s="1"/>
  <c r="CK124" i="16"/>
  <c r="BP124" i="31" s="1"/>
  <c r="CK126" i="16"/>
  <c r="BP126" i="31" s="1"/>
  <c r="CK132" i="16"/>
  <c r="BP132" i="31" s="1"/>
  <c r="CK123" i="16"/>
  <c r="BP123" i="31" s="1"/>
  <c r="CK131" i="16"/>
  <c r="BP131" i="31" s="1"/>
  <c r="CK128" i="16"/>
  <c r="BP128" i="31" s="1"/>
  <c r="CI119" i="16"/>
  <c r="BN119" i="31" s="1"/>
  <c r="CK26" i="16"/>
  <c r="BP26" i="31" s="1"/>
  <c r="CK19" i="16"/>
  <c r="BP19" i="31" s="1"/>
  <c r="CI124" i="16"/>
  <c r="BN124" i="31" s="1"/>
  <c r="CI121" i="16"/>
  <c r="BN121" i="31" s="1"/>
  <c r="CK9" i="16"/>
  <c r="BP9" i="31" s="1"/>
  <c r="CK23" i="16"/>
  <c r="BP23" i="31" s="1"/>
  <c r="CK16" i="16"/>
  <c r="BP16" i="31" s="1"/>
  <c r="CK129" i="16"/>
  <c r="BP129" i="31" s="1"/>
  <c r="CI126" i="16"/>
  <c r="BN126" i="31" s="1"/>
  <c r="CK25" i="16"/>
  <c r="BP25" i="31" s="1"/>
  <c r="CK12" i="16"/>
  <c r="BP12" i="31" s="1"/>
  <c r="CK24" i="16"/>
  <c r="BP24" i="31" s="1"/>
  <c r="CK130" i="16"/>
  <c r="BP130" i="31" s="1"/>
  <c r="CI120" i="16"/>
  <c r="BN120" i="31" s="1"/>
  <c r="CK13" i="16"/>
  <c r="BP13" i="31" s="1"/>
  <c r="CI125" i="16"/>
  <c r="BN125" i="31" s="1"/>
  <c r="CJ112" i="16"/>
  <c r="BO112" i="31" s="1"/>
  <c r="CI76" i="16"/>
  <c r="BN76" i="31" s="1"/>
  <c r="CI89" i="16"/>
  <c r="BN89" i="31" s="1"/>
  <c r="CI71" i="16"/>
  <c r="BN71" i="31" s="1"/>
  <c r="CI63" i="16"/>
  <c r="BN63" i="31" s="1"/>
  <c r="CI54" i="16"/>
  <c r="BN54" i="31" s="1"/>
  <c r="CI87" i="16"/>
  <c r="BN87" i="31" s="1"/>
  <c r="CI77" i="16"/>
  <c r="BN77" i="31" s="1"/>
  <c r="CI61" i="16"/>
  <c r="BN61" i="31" s="1"/>
  <c r="CI57" i="16"/>
  <c r="BN57" i="31" s="1"/>
  <c r="CI101" i="16"/>
  <c r="BN101" i="31" s="1"/>
  <c r="CI51" i="16"/>
  <c r="BN51" i="31" s="1"/>
  <c r="CJ121" i="16"/>
  <c r="BO121" i="31" s="1"/>
  <c r="CI84" i="16"/>
  <c r="BN84" i="31" s="1"/>
  <c r="CI78" i="16"/>
  <c r="BN78" i="31" s="1"/>
  <c r="CI73" i="16"/>
  <c r="BN73" i="31" s="1"/>
  <c r="CF144" i="16"/>
  <c r="CI111" i="16"/>
  <c r="BN111" i="31" s="1"/>
  <c r="CI117" i="16"/>
  <c r="BN117" i="31" s="1"/>
  <c r="CI114" i="16"/>
  <c r="BN114" i="31" s="1"/>
  <c r="CI115" i="16"/>
  <c r="BN115" i="31" s="1"/>
  <c r="CI118" i="16"/>
  <c r="BN118" i="31" s="1"/>
  <c r="CI112" i="16"/>
  <c r="BN112" i="31" s="1"/>
  <c r="CI110" i="16"/>
  <c r="CI113" i="16"/>
  <c r="BN113" i="31" s="1"/>
  <c r="CI116" i="16"/>
  <c r="BN116" i="31" s="1"/>
  <c r="CI66" i="16"/>
  <c r="BN66" i="31" s="1"/>
  <c r="CI60" i="16"/>
  <c r="BN60" i="31" s="1"/>
  <c r="CI62" i="16"/>
  <c r="BN62" i="31" s="1"/>
  <c r="CM109" i="16"/>
  <c r="BR109" i="31" s="1"/>
  <c r="CI67" i="16"/>
  <c r="BN67" i="31" s="1"/>
  <c r="CI68" i="16"/>
  <c r="BN68" i="31" s="1"/>
  <c r="CI88" i="16"/>
  <c r="BN88" i="31" s="1"/>
  <c r="CI65" i="16"/>
  <c r="BN65" i="31" s="1"/>
  <c r="CI59" i="16"/>
  <c r="BN59" i="31" s="1"/>
  <c r="CI55" i="16"/>
  <c r="BN55" i="31" s="1"/>
  <c r="CI86" i="16"/>
  <c r="BN86" i="31" s="1"/>
  <c r="CI83" i="16"/>
  <c r="BN83" i="31" s="1"/>
  <c r="CI81" i="16"/>
  <c r="BN81" i="31" s="1"/>
  <c r="CI53" i="16"/>
  <c r="BN53" i="31" s="1"/>
  <c r="CI58" i="16"/>
  <c r="BN58" i="31" s="1"/>
  <c r="CI82" i="16"/>
  <c r="BN82" i="31" s="1"/>
  <c r="CI72" i="16"/>
  <c r="BN72" i="31" s="1"/>
  <c r="CI91" i="16"/>
  <c r="BN91" i="31" s="1"/>
  <c r="CI70" i="16"/>
  <c r="BN70" i="31" s="1"/>
  <c r="CI79" i="16"/>
  <c r="BN79" i="31" s="1"/>
  <c r="CI52" i="16"/>
  <c r="BN52" i="31" s="1"/>
  <c r="CI56" i="16"/>
  <c r="BN56" i="31" s="1"/>
  <c r="CI7" i="16"/>
  <c r="BN7" i="31" s="1"/>
  <c r="CI69" i="16"/>
  <c r="BN69" i="31" s="1"/>
  <c r="CI80" i="16"/>
  <c r="BN80" i="31" s="1"/>
  <c r="CI64" i="16"/>
  <c r="BN64" i="31" s="1"/>
  <c r="CM126" i="16"/>
  <c r="BR126" i="31" s="1"/>
  <c r="CG146" i="16"/>
  <c r="CM129" i="16" s="1"/>
  <c r="BR129" i="31" s="1"/>
  <c r="CI132" i="16"/>
  <c r="BN132" i="31" s="1"/>
  <c r="CI127" i="16"/>
  <c r="CI131" i="16"/>
  <c r="BN131" i="31" s="1"/>
  <c r="CI129" i="16"/>
  <c r="BN129" i="31" s="1"/>
  <c r="CI130" i="16"/>
  <c r="BN130" i="31" s="1"/>
  <c r="CI128" i="16"/>
  <c r="BN128" i="31" s="1"/>
  <c r="CI105" i="16"/>
  <c r="BN105" i="31" s="1"/>
  <c r="CL50" i="16"/>
  <c r="BQ50" i="31" s="1"/>
  <c r="CI109" i="16"/>
  <c r="BN109" i="31" s="1"/>
  <c r="CI104" i="16"/>
  <c r="BN104" i="31" s="1"/>
  <c r="CI97" i="16"/>
  <c r="BN97" i="31" s="1"/>
  <c r="CI98" i="16"/>
  <c r="BN98" i="31" s="1"/>
  <c r="CL99" i="16"/>
  <c r="BQ99" i="31" s="1"/>
  <c r="CI99" i="16"/>
  <c r="BN99" i="31" s="1"/>
  <c r="CI106" i="16"/>
  <c r="BN106" i="31" s="1"/>
  <c r="CG137" i="16"/>
  <c r="CM20" i="16" s="1"/>
  <c r="BR20" i="31" s="1"/>
  <c r="CI16" i="16"/>
  <c r="BN16" i="31" s="1"/>
  <c r="CI12" i="16"/>
  <c r="BN12" i="31" s="1"/>
  <c r="CI24" i="16"/>
  <c r="BN24" i="31" s="1"/>
  <c r="CI8" i="16"/>
  <c r="CI23" i="16"/>
  <c r="BN23" i="31" s="1"/>
  <c r="CI26" i="16"/>
  <c r="BN26" i="31" s="1"/>
  <c r="CI22" i="16"/>
  <c r="BN22" i="31" s="1"/>
  <c r="CI15" i="16"/>
  <c r="BN15" i="31" s="1"/>
  <c r="CI18" i="16"/>
  <c r="BN18" i="31" s="1"/>
  <c r="CI14" i="16"/>
  <c r="BN14" i="31" s="1"/>
  <c r="CI11" i="16"/>
  <c r="BN11" i="31" s="1"/>
  <c r="CI10" i="16"/>
  <c r="BN10" i="31" s="1"/>
  <c r="CI25" i="16"/>
  <c r="BN25" i="31" s="1"/>
  <c r="CI19" i="16"/>
  <c r="BN19" i="31" s="1"/>
  <c r="CI21" i="16"/>
  <c r="BN21" i="31" s="1"/>
  <c r="CI17" i="16"/>
  <c r="BN17" i="31" s="1"/>
  <c r="CI20" i="16"/>
  <c r="BN20" i="31" s="1"/>
  <c r="CI13" i="16"/>
  <c r="BN13" i="31" s="1"/>
  <c r="CI9" i="16"/>
  <c r="BN9" i="31" s="1"/>
  <c r="CI96" i="16"/>
  <c r="BN96" i="31" s="1"/>
  <c r="CI100" i="16"/>
  <c r="BN100" i="31" s="1"/>
  <c r="CL126" i="16"/>
  <c r="BQ126" i="31" s="1"/>
  <c r="CI107" i="16"/>
  <c r="BN107" i="31" s="1"/>
  <c r="CI103" i="16"/>
  <c r="BN103" i="31" s="1"/>
  <c r="BY147" i="16"/>
  <c r="CL55" i="16"/>
  <c r="BQ55" i="31" s="1"/>
  <c r="CI108" i="16"/>
  <c r="BN108" i="31" s="1"/>
  <c r="CI102" i="16"/>
  <c r="BN102" i="31" s="1"/>
  <c r="CM56" i="16"/>
  <c r="BR56" i="31" s="1"/>
  <c r="CM57" i="16"/>
  <c r="BR57" i="31" s="1"/>
  <c r="CK98" i="16"/>
  <c r="BP98" i="31" s="1"/>
  <c r="CK96" i="16"/>
  <c r="BP96" i="31" s="1"/>
  <c r="CM102" i="16"/>
  <c r="BR102" i="31" s="1"/>
  <c r="CK105" i="16"/>
  <c r="BP105" i="31" s="1"/>
  <c r="CM51" i="16"/>
  <c r="BR51" i="31" s="1"/>
  <c r="CM52" i="16"/>
  <c r="BR52" i="31" s="1"/>
  <c r="CM59" i="16"/>
  <c r="BR59" i="31" s="1"/>
  <c r="CM60" i="16"/>
  <c r="BR60" i="31" s="1"/>
  <c r="CM122" i="16"/>
  <c r="BR122" i="31" s="1"/>
  <c r="CL46" i="16"/>
  <c r="BQ46" i="31" s="1"/>
  <c r="CJ117" i="16"/>
  <c r="BO117" i="31" s="1"/>
  <c r="CJ110" i="16"/>
  <c r="BO110" i="31" s="1"/>
  <c r="CJ118" i="16"/>
  <c r="BO118" i="31" s="1"/>
  <c r="CL43" i="16"/>
  <c r="BQ43" i="31" s="1"/>
  <c r="CJ114" i="16"/>
  <c r="BO114" i="31" s="1"/>
  <c r="CJ111" i="16"/>
  <c r="BO111" i="31" s="1"/>
  <c r="CJ116" i="16"/>
  <c r="BO116" i="31" s="1"/>
  <c r="CJ113" i="16"/>
  <c r="BO113" i="31" s="1"/>
  <c r="CL44" i="16"/>
  <c r="BQ44" i="31" s="1"/>
  <c r="CJ115" i="16"/>
  <c r="BO115" i="31" s="1"/>
  <c r="CL47" i="16"/>
  <c r="BQ47" i="31" s="1"/>
  <c r="CL49" i="16"/>
  <c r="BQ49" i="31" s="1"/>
  <c r="CM120" i="16"/>
  <c r="BR120" i="31" s="1"/>
  <c r="CC138" i="16"/>
  <c r="CI30" i="16" s="1"/>
  <c r="BN30" i="31" s="1"/>
  <c r="CM124" i="16"/>
  <c r="BR124" i="31" s="1"/>
  <c r="CL48" i="16"/>
  <c r="BQ48" i="31" s="1"/>
  <c r="CL45" i="16"/>
  <c r="BQ45" i="31" s="1"/>
  <c r="CM121" i="16"/>
  <c r="BR121" i="31" s="1"/>
  <c r="CM119" i="16"/>
  <c r="BR119" i="31" s="1"/>
  <c r="CM123" i="16"/>
  <c r="BR123" i="31" s="1"/>
  <c r="CL120" i="16"/>
  <c r="BQ120" i="31" s="1"/>
  <c r="CL125" i="16"/>
  <c r="BQ125" i="31" s="1"/>
  <c r="CL119" i="16"/>
  <c r="BQ119" i="31" s="1"/>
  <c r="CJ132" i="16"/>
  <c r="BO132" i="31" s="1"/>
  <c r="CL109" i="16"/>
  <c r="BQ109" i="31" s="1"/>
  <c r="CL103" i="16"/>
  <c r="BQ103" i="31" s="1"/>
  <c r="CJ131" i="16"/>
  <c r="BO131" i="31" s="1"/>
  <c r="CL105" i="16"/>
  <c r="BQ105" i="31" s="1"/>
  <c r="CL107" i="16"/>
  <c r="BQ107" i="31" s="1"/>
  <c r="CL108" i="16"/>
  <c r="BQ108" i="31" s="1"/>
  <c r="CJ130" i="16"/>
  <c r="BO130" i="31" s="1"/>
  <c r="CL96" i="16"/>
  <c r="BQ96" i="31" s="1"/>
  <c r="CJ127" i="16"/>
  <c r="BO127" i="31" s="1"/>
  <c r="CL98" i="16"/>
  <c r="BQ98" i="31" s="1"/>
  <c r="CL106" i="16"/>
  <c r="BQ106" i="31" s="1"/>
  <c r="CL100" i="16"/>
  <c r="BQ100" i="31" s="1"/>
  <c r="CL97" i="16"/>
  <c r="BQ97" i="31" s="1"/>
  <c r="CJ129" i="16"/>
  <c r="BO129" i="31" s="1"/>
  <c r="CL104" i="16"/>
  <c r="BQ104" i="31" s="1"/>
  <c r="CL102" i="16"/>
  <c r="BQ102" i="31" s="1"/>
  <c r="CL101" i="16"/>
  <c r="BQ101" i="31" s="1"/>
  <c r="CL70" i="16"/>
  <c r="BQ70" i="31" s="1"/>
  <c r="CL60" i="16"/>
  <c r="BQ60" i="31" s="1"/>
  <c r="CL56" i="16"/>
  <c r="BQ56" i="31" s="1"/>
  <c r="CL63" i="16"/>
  <c r="BQ63" i="31" s="1"/>
  <c r="CL57" i="16"/>
  <c r="BQ57" i="31" s="1"/>
  <c r="CL80" i="16"/>
  <c r="BQ80" i="31" s="1"/>
  <c r="CL90" i="16"/>
  <c r="BQ90" i="31" s="1"/>
  <c r="CM103" i="16"/>
  <c r="BR103" i="31" s="1"/>
  <c r="CM106" i="16"/>
  <c r="BR106" i="31" s="1"/>
  <c r="CL64" i="16"/>
  <c r="BQ64" i="31" s="1"/>
  <c r="CL65" i="16"/>
  <c r="BQ65" i="31" s="1"/>
  <c r="CM99" i="16"/>
  <c r="BR99" i="31" s="1"/>
  <c r="CM100" i="16"/>
  <c r="BR100" i="31" s="1"/>
  <c r="CJ120" i="16"/>
  <c r="BO120" i="31" s="1"/>
  <c r="CL53" i="16"/>
  <c r="BQ53" i="31" s="1"/>
  <c r="CL54" i="16"/>
  <c r="BQ54" i="31" s="1"/>
  <c r="CM98" i="16"/>
  <c r="BR98" i="31" s="1"/>
  <c r="CM107" i="16"/>
  <c r="BR107" i="31" s="1"/>
  <c r="CM108" i="16"/>
  <c r="BR108" i="31" s="1"/>
  <c r="CL61" i="16"/>
  <c r="BQ61" i="31" s="1"/>
  <c r="CL62" i="16"/>
  <c r="BQ62" i="31" s="1"/>
  <c r="CM96" i="16"/>
  <c r="BR96" i="31" s="1"/>
  <c r="CM97" i="16"/>
  <c r="BR97" i="31" s="1"/>
  <c r="CL58" i="16"/>
  <c r="BQ58" i="31" s="1"/>
  <c r="CL51" i="16"/>
  <c r="BQ51" i="31" s="1"/>
  <c r="CM104" i="16"/>
  <c r="BR104" i="31" s="1"/>
  <c r="CM105" i="16"/>
  <c r="BR105" i="31" s="1"/>
  <c r="CL66" i="16"/>
  <c r="BQ66" i="31" s="1"/>
  <c r="CL59" i="16"/>
  <c r="BQ59" i="31" s="1"/>
  <c r="CJ27" i="16"/>
  <c r="BO27" i="31" s="1"/>
  <c r="CM101" i="16"/>
  <c r="BR101" i="31" s="1"/>
  <c r="CL52" i="16"/>
  <c r="BQ52" i="31" s="1"/>
  <c r="CJ48" i="16"/>
  <c r="BO48" i="31" s="1"/>
  <c r="CJ45" i="16"/>
  <c r="BO45" i="31" s="1"/>
  <c r="CJ49" i="16"/>
  <c r="BO49" i="31" s="1"/>
  <c r="CJ43" i="16"/>
  <c r="BO43" i="31" s="1"/>
  <c r="CJ46" i="16"/>
  <c r="BO46" i="31" s="1"/>
  <c r="CJ50" i="16"/>
  <c r="BO50" i="31" s="1"/>
  <c r="CJ47" i="16"/>
  <c r="BO47" i="31" s="1"/>
  <c r="CL88" i="16"/>
  <c r="BQ88" i="31" s="1"/>
  <c r="CL71" i="16"/>
  <c r="BQ71" i="31" s="1"/>
  <c r="CL78" i="16"/>
  <c r="BQ78" i="31" s="1"/>
  <c r="CL69" i="16"/>
  <c r="BQ69" i="31" s="1"/>
  <c r="CL79" i="16"/>
  <c r="BQ79" i="31" s="1"/>
  <c r="CL86" i="16"/>
  <c r="BQ86" i="31" s="1"/>
  <c r="CL68" i="16"/>
  <c r="BQ68" i="31" s="1"/>
  <c r="CL77" i="16"/>
  <c r="BQ77" i="31" s="1"/>
  <c r="CL87" i="16"/>
  <c r="BQ87" i="31" s="1"/>
  <c r="CL94" i="16"/>
  <c r="BQ94" i="31" s="1"/>
  <c r="CL84" i="16"/>
  <c r="BQ84" i="31" s="1"/>
  <c r="CL85" i="16"/>
  <c r="BQ85" i="31" s="1"/>
  <c r="CL95" i="16"/>
  <c r="BQ95" i="31" s="1"/>
  <c r="CL67" i="16"/>
  <c r="BQ67" i="31" s="1"/>
  <c r="CL92" i="16"/>
  <c r="BQ92" i="31" s="1"/>
  <c r="CL93" i="16"/>
  <c r="BQ93" i="31" s="1"/>
  <c r="CL73" i="16"/>
  <c r="BQ73" i="31" s="1"/>
  <c r="CL75" i="16"/>
  <c r="BQ75" i="31" s="1"/>
  <c r="CL76" i="16"/>
  <c r="BQ76" i="31" s="1"/>
  <c r="CL74" i="16"/>
  <c r="BQ74" i="31" s="1"/>
  <c r="CL81" i="16"/>
  <c r="BQ81" i="31" s="1"/>
  <c r="CL83" i="16"/>
  <c r="BQ83" i="31" s="1"/>
  <c r="CL72" i="16"/>
  <c r="BQ72" i="31" s="1"/>
  <c r="CL82" i="16"/>
  <c r="BQ82" i="31" s="1"/>
  <c r="CL89" i="16"/>
  <c r="BQ89" i="31" s="1"/>
  <c r="CJ63" i="16"/>
  <c r="BO63" i="31" s="1"/>
  <c r="BZ147" i="16"/>
  <c r="CJ52" i="16"/>
  <c r="BO52" i="31" s="1"/>
  <c r="CJ56" i="16"/>
  <c r="BO56" i="31" s="1"/>
  <c r="CJ53" i="16"/>
  <c r="BO53" i="31" s="1"/>
  <c r="CL29" i="16"/>
  <c r="BQ29" i="31" s="1"/>
  <c r="CL31" i="16"/>
  <c r="BQ31" i="31" s="1"/>
  <c r="CL33" i="16"/>
  <c r="BQ33" i="31" s="1"/>
  <c r="CJ64" i="16"/>
  <c r="BO64" i="31" s="1"/>
  <c r="CJ55" i="16"/>
  <c r="BO55" i="31" s="1"/>
  <c r="CJ32" i="16"/>
  <c r="BO32" i="31" s="1"/>
  <c r="CJ125" i="16"/>
  <c r="BO125" i="31" s="1"/>
  <c r="CJ29" i="16"/>
  <c r="BO29" i="31" s="1"/>
  <c r="CJ30" i="16"/>
  <c r="BO30" i="31" s="1"/>
  <c r="CJ119" i="16"/>
  <c r="BO119" i="31" s="1"/>
  <c r="CJ33" i="16"/>
  <c r="BO33" i="31" s="1"/>
  <c r="CJ123" i="16"/>
  <c r="BO123" i="31" s="1"/>
  <c r="CJ60" i="16"/>
  <c r="BO60" i="31" s="1"/>
  <c r="CJ61" i="16"/>
  <c r="BO61" i="31" s="1"/>
  <c r="CJ126" i="16"/>
  <c r="BO126" i="31" s="1"/>
  <c r="CL27" i="16"/>
  <c r="BQ27" i="31" s="1"/>
  <c r="CJ54" i="16"/>
  <c r="BO54" i="31" s="1"/>
  <c r="CJ57" i="16"/>
  <c r="BO57" i="31" s="1"/>
  <c r="CJ122" i="16"/>
  <c r="BO122" i="31" s="1"/>
  <c r="CJ62" i="16"/>
  <c r="BO62" i="31" s="1"/>
  <c r="CA147" i="16"/>
  <c r="CL28" i="16"/>
  <c r="BQ28" i="31" s="1"/>
  <c r="CJ31" i="16"/>
  <c r="BO31" i="31" s="1"/>
  <c r="CJ58" i="16"/>
  <c r="BO58" i="31" s="1"/>
  <c r="CJ51" i="16"/>
  <c r="BO51" i="31" s="1"/>
  <c r="CM125" i="16"/>
  <c r="BR125" i="31" s="1"/>
  <c r="CJ124" i="16"/>
  <c r="BO124" i="31" s="1"/>
  <c r="CL30" i="16"/>
  <c r="BQ30" i="31" s="1"/>
  <c r="CJ65" i="16"/>
  <c r="BO65" i="31" s="1"/>
  <c r="CJ66" i="16"/>
  <c r="BO66" i="31" s="1"/>
  <c r="BO137" i="31"/>
  <c r="CL146" i="16"/>
  <c r="AI168" i="30" s="1"/>
  <c r="CM144" i="16"/>
  <c r="AK166" i="26" s="1"/>
  <c r="CM140" i="16"/>
  <c r="BO139" i="31"/>
  <c r="BR144" i="31"/>
  <c r="BJ144" i="31" s="1"/>
  <c r="CK141" i="16"/>
  <c r="BJ38" i="31"/>
  <c r="BP144" i="31"/>
  <c r="BQ127" i="31"/>
  <c r="CK144" i="16"/>
  <c r="AH166" i="30" s="1"/>
  <c r="CJ137" i="16"/>
  <c r="CJ139" i="16"/>
  <c r="BJ39" i="31"/>
  <c r="BP141" i="31"/>
  <c r="BR140" i="31"/>
  <c r="BR139" i="31"/>
  <c r="BP140" i="31"/>
  <c r="BX147" i="16"/>
  <c r="CD136" i="16"/>
  <c r="CJ7" i="16" s="1"/>
  <c r="CJ136" i="16" s="1"/>
  <c r="CK140" i="16"/>
  <c r="CM139" i="16"/>
  <c r="CJ109" i="16"/>
  <c r="BO109" i="31" s="1"/>
  <c r="CJ101" i="16"/>
  <c r="BO101" i="31" s="1"/>
  <c r="CJ104" i="16"/>
  <c r="BO104" i="31" s="1"/>
  <c r="CJ96" i="16"/>
  <c r="CJ107" i="16"/>
  <c r="BO107" i="31" s="1"/>
  <c r="CJ99" i="16"/>
  <c r="BO99" i="31" s="1"/>
  <c r="CJ105" i="16"/>
  <c r="BO105" i="31" s="1"/>
  <c r="CJ97" i="16"/>
  <c r="BO97" i="31" s="1"/>
  <c r="CJ108" i="16"/>
  <c r="BO108" i="31" s="1"/>
  <c r="CJ100" i="16"/>
  <c r="BO100" i="31" s="1"/>
  <c r="CJ103" i="16"/>
  <c r="BO103" i="31" s="1"/>
  <c r="CJ106" i="16"/>
  <c r="BO106" i="31" s="1"/>
  <c r="CJ98" i="16"/>
  <c r="BO98" i="31" s="1"/>
  <c r="CJ102" i="16"/>
  <c r="BO102" i="31" s="1"/>
  <c r="BR142" i="31"/>
  <c r="BQ137" i="31"/>
  <c r="CM142" i="16"/>
  <c r="CL137" i="16"/>
  <c r="BQ34" i="31"/>
  <c r="CL139" i="16"/>
  <c r="BP139" i="31" l="1"/>
  <c r="CK139" i="16"/>
  <c r="BJ42" i="31"/>
  <c r="CM23" i="16"/>
  <c r="BR23" i="31" s="1"/>
  <c r="CM8" i="16"/>
  <c r="BR8" i="31" s="1"/>
  <c r="CM22" i="16"/>
  <c r="BR22" i="31" s="1"/>
  <c r="BJ22" i="31" s="1"/>
  <c r="CM15" i="16"/>
  <c r="BR15" i="31" s="1"/>
  <c r="CM19" i="16"/>
  <c r="BR19" i="31" s="1"/>
  <c r="BJ19" i="31" s="1"/>
  <c r="CM18" i="16"/>
  <c r="BR18" i="31" s="1"/>
  <c r="BJ18" i="31" s="1"/>
  <c r="CM25" i="16"/>
  <c r="BR25" i="31" s="1"/>
  <c r="BJ25" i="31" s="1"/>
  <c r="CM11" i="16"/>
  <c r="BR11" i="31" s="1"/>
  <c r="BJ11" i="31" s="1"/>
  <c r="CM9" i="16"/>
  <c r="BR9" i="31" s="1"/>
  <c r="BJ9" i="31" s="1"/>
  <c r="CM26" i="16"/>
  <c r="BR26" i="31" s="1"/>
  <c r="BJ26" i="31" s="1"/>
  <c r="CM16" i="16"/>
  <c r="BR16" i="31" s="1"/>
  <c r="BJ16" i="31" s="1"/>
  <c r="CI27" i="16"/>
  <c r="CI31" i="16"/>
  <c r="BN31" i="31" s="1"/>
  <c r="BP142" i="31"/>
  <c r="CM10" i="16"/>
  <c r="BR10" i="31" s="1"/>
  <c r="BJ10" i="31" s="1"/>
  <c r="CM13" i="16"/>
  <c r="BR13" i="31" s="1"/>
  <c r="BJ13" i="31" s="1"/>
  <c r="CM12" i="16"/>
  <c r="BR12" i="31" s="1"/>
  <c r="BJ12" i="31" s="1"/>
  <c r="CM21" i="16"/>
  <c r="BR21" i="31" s="1"/>
  <c r="BJ21" i="31" s="1"/>
  <c r="CM132" i="16"/>
  <c r="BR132" i="31" s="1"/>
  <c r="BJ132" i="31" s="1"/>
  <c r="CM24" i="16"/>
  <c r="BR24" i="31" s="1"/>
  <c r="BJ24" i="31" s="1"/>
  <c r="CM17" i="16"/>
  <c r="BR17" i="31" s="1"/>
  <c r="BJ17" i="31" s="1"/>
  <c r="CM14" i="16"/>
  <c r="BR14" i="31" s="1"/>
  <c r="BJ14" i="31" s="1"/>
  <c r="CM128" i="16"/>
  <c r="BR128" i="31" s="1"/>
  <c r="BJ128" i="31" s="1"/>
  <c r="CK142" i="16"/>
  <c r="CM131" i="16"/>
  <c r="BR131" i="31" s="1"/>
  <c r="CI32" i="16"/>
  <c r="BN32" i="31" s="1"/>
  <c r="CI29" i="16"/>
  <c r="BN29" i="31" s="1"/>
  <c r="CI28" i="16"/>
  <c r="BN28" i="31" s="1"/>
  <c r="CI33" i="16"/>
  <c r="BN33" i="31" s="1"/>
  <c r="CM130" i="16"/>
  <c r="BR130" i="31" s="1"/>
  <c r="BJ130" i="31" s="1"/>
  <c r="CM127" i="16"/>
  <c r="BR127" i="31" s="1"/>
  <c r="CL110" i="16"/>
  <c r="CL113" i="16"/>
  <c r="BQ113" i="31" s="1"/>
  <c r="BJ113" i="31" s="1"/>
  <c r="CL114" i="16"/>
  <c r="BQ114" i="31" s="1"/>
  <c r="BJ114" i="31" s="1"/>
  <c r="CL111" i="16"/>
  <c r="BQ111" i="31" s="1"/>
  <c r="BJ111" i="31" s="1"/>
  <c r="CL117" i="16"/>
  <c r="BQ117" i="31" s="1"/>
  <c r="BJ117" i="31" s="1"/>
  <c r="CL112" i="16"/>
  <c r="BQ112" i="31" s="1"/>
  <c r="BJ112" i="31" s="1"/>
  <c r="CL115" i="16"/>
  <c r="BQ115" i="31" s="1"/>
  <c r="BJ115" i="31" s="1"/>
  <c r="CL116" i="16"/>
  <c r="BQ116" i="31" s="1"/>
  <c r="BJ116" i="31" s="1"/>
  <c r="CL118" i="16"/>
  <c r="BQ118" i="31" s="1"/>
  <c r="BJ118" i="31" s="1"/>
  <c r="BJ74" i="31"/>
  <c r="BJ69" i="31"/>
  <c r="BJ85" i="31"/>
  <c r="BJ86" i="31"/>
  <c r="CI139" i="16"/>
  <c r="CN139" i="16" s="1"/>
  <c r="CO139" i="16" s="1"/>
  <c r="BN139" i="31"/>
  <c r="BA139" i="31" s="1"/>
  <c r="BJ90" i="31"/>
  <c r="BJ93" i="31"/>
  <c r="BJ75" i="31"/>
  <c r="BJ87" i="31"/>
  <c r="BJ84" i="31"/>
  <c r="BO142" i="31"/>
  <c r="CJ142" i="16"/>
  <c r="BJ92" i="31"/>
  <c r="BJ94" i="31"/>
  <c r="BJ91" i="31"/>
  <c r="BJ95" i="31"/>
  <c r="BJ81" i="31"/>
  <c r="BJ79" i="31"/>
  <c r="BJ70" i="31"/>
  <c r="CI140" i="16"/>
  <c r="BJ77" i="31"/>
  <c r="CK146" i="16"/>
  <c r="AI168" i="26" s="1"/>
  <c r="BJ53" i="31"/>
  <c r="BP146" i="31"/>
  <c r="BJ122" i="31"/>
  <c r="BN140" i="31"/>
  <c r="AW140" i="31" s="1"/>
  <c r="BJ55" i="31"/>
  <c r="BJ78" i="31"/>
  <c r="BJ121" i="31"/>
  <c r="BJ71" i="31"/>
  <c r="BJ44" i="31"/>
  <c r="BJ20" i="31"/>
  <c r="BJ83" i="31"/>
  <c r="BJ73" i="31"/>
  <c r="BJ68" i="31"/>
  <c r="BP137" i="31"/>
  <c r="BN145" i="31"/>
  <c r="AW145" i="31" s="1"/>
  <c r="BP145" i="31"/>
  <c r="BJ123" i="31"/>
  <c r="CI145" i="16"/>
  <c r="BJ89" i="31"/>
  <c r="BJ72" i="31"/>
  <c r="CJ144" i="16"/>
  <c r="AH166" i="26" s="1"/>
  <c r="BJ76" i="31"/>
  <c r="BJ126" i="31"/>
  <c r="BJ57" i="31"/>
  <c r="CK145" i="16"/>
  <c r="AH167" i="30" s="1"/>
  <c r="BJ88" i="31"/>
  <c r="BJ82" i="31"/>
  <c r="BN143" i="31"/>
  <c r="AW143" i="31" s="1"/>
  <c r="BN142" i="31"/>
  <c r="AW142" i="31" s="1"/>
  <c r="BO144" i="31"/>
  <c r="CK137" i="16"/>
  <c r="BJ124" i="31"/>
  <c r="BJ15" i="31"/>
  <c r="BJ50" i="31"/>
  <c r="BJ46" i="31"/>
  <c r="CI143" i="16"/>
  <c r="BJ129" i="31"/>
  <c r="BP143" i="31"/>
  <c r="BJ23" i="31"/>
  <c r="BJ80" i="31"/>
  <c r="CI141" i="16"/>
  <c r="BJ59" i="31"/>
  <c r="CI142" i="16"/>
  <c r="BN141" i="31"/>
  <c r="AW141" i="31" s="1"/>
  <c r="CL32" i="16"/>
  <c r="BQ32" i="31" s="1"/>
  <c r="BQ138" i="31" s="1"/>
  <c r="CM32" i="16"/>
  <c r="BR32" i="31" s="1"/>
  <c r="CM27" i="16"/>
  <c r="CM31" i="16"/>
  <c r="BR31" i="31" s="1"/>
  <c r="CM30" i="16"/>
  <c r="BR30" i="31" s="1"/>
  <c r="CM33" i="16"/>
  <c r="BR33" i="31" s="1"/>
  <c r="CM28" i="16"/>
  <c r="BR28" i="31" s="1"/>
  <c r="CM29" i="16"/>
  <c r="BR29" i="31" s="1"/>
  <c r="BN110" i="31"/>
  <c r="CI144" i="16"/>
  <c r="CM7" i="16"/>
  <c r="CM136" i="16" s="1"/>
  <c r="BR141" i="31"/>
  <c r="BN136" i="31"/>
  <c r="AW136" i="31" s="1"/>
  <c r="CI136" i="16"/>
  <c r="BJ43" i="31"/>
  <c r="CL7" i="16"/>
  <c r="BN8" i="31"/>
  <c r="BN137" i="31" s="1"/>
  <c r="AW137" i="31" s="1"/>
  <c r="CI137" i="16"/>
  <c r="CK143" i="16"/>
  <c r="CM141" i="16"/>
  <c r="BN127" i="31"/>
  <c r="BN146" i="31" s="1"/>
  <c r="AW146" i="31" s="1"/>
  <c r="CI146" i="16"/>
  <c r="CJ28" i="16"/>
  <c r="BO28" i="31" s="1"/>
  <c r="BO138" i="31" s="1"/>
  <c r="CK31" i="16"/>
  <c r="BP31" i="31" s="1"/>
  <c r="CK29" i="16"/>
  <c r="BP29" i="31" s="1"/>
  <c r="CK28" i="16"/>
  <c r="BP28" i="31" s="1"/>
  <c r="CK33" i="16"/>
  <c r="BP33" i="31" s="1"/>
  <c r="CK32" i="16"/>
  <c r="BP32" i="31" s="1"/>
  <c r="CK27" i="16"/>
  <c r="CK30" i="16"/>
  <c r="BP30" i="31" s="1"/>
  <c r="CK7" i="16"/>
  <c r="BJ47" i="31"/>
  <c r="CL140" i="16"/>
  <c r="BJ49" i="31"/>
  <c r="BJ48" i="31"/>
  <c r="BQ140" i="31"/>
  <c r="BJ45" i="31"/>
  <c r="BJ109" i="31"/>
  <c r="BJ131" i="31"/>
  <c r="BJ120" i="31"/>
  <c r="BJ60" i="31"/>
  <c r="BJ104" i="31"/>
  <c r="BJ102" i="31"/>
  <c r="BJ107" i="31"/>
  <c r="BQ145" i="31"/>
  <c r="CL145" i="16"/>
  <c r="AJ167" i="26" s="1"/>
  <c r="BJ64" i="31"/>
  <c r="BQ143" i="31"/>
  <c r="BO146" i="31"/>
  <c r="CJ146" i="16"/>
  <c r="AG168" i="30" s="1"/>
  <c r="BJ98" i="31"/>
  <c r="BJ101" i="31"/>
  <c r="CL143" i="16"/>
  <c r="BJ56" i="31"/>
  <c r="BJ58" i="31"/>
  <c r="BJ105" i="31"/>
  <c r="BJ65" i="31"/>
  <c r="BJ63" i="31"/>
  <c r="BJ103" i="31"/>
  <c r="BJ52" i="31"/>
  <c r="BJ54" i="31"/>
  <c r="BJ66" i="31"/>
  <c r="BJ61" i="31"/>
  <c r="BR143" i="31"/>
  <c r="CJ140" i="16"/>
  <c r="BJ106" i="31"/>
  <c r="BJ100" i="31"/>
  <c r="BJ108" i="31"/>
  <c r="BO140" i="31"/>
  <c r="CL141" i="16"/>
  <c r="BJ99" i="31"/>
  <c r="CM143" i="16"/>
  <c r="BJ125" i="31"/>
  <c r="BJ62" i="31"/>
  <c r="BR145" i="31"/>
  <c r="BJ145" i="31" s="1"/>
  <c r="CM145" i="16"/>
  <c r="AJ167" i="30" s="1"/>
  <c r="CL142" i="16"/>
  <c r="BO145" i="31"/>
  <c r="BQ146" i="31"/>
  <c r="CJ145" i="16"/>
  <c r="AG167" i="30" s="1"/>
  <c r="CJ141" i="16"/>
  <c r="BO141" i="31"/>
  <c r="AI166" i="26"/>
  <c r="AJ166" i="30"/>
  <c r="AJ168" i="26"/>
  <c r="BJ119" i="31"/>
  <c r="BO7" i="31"/>
  <c r="BN27" i="31"/>
  <c r="BQ139" i="31"/>
  <c r="BJ34" i="31"/>
  <c r="BJ143" i="31"/>
  <c r="BJ97" i="31"/>
  <c r="BQ141" i="31"/>
  <c r="BJ51" i="31"/>
  <c r="BQ142" i="31"/>
  <c r="BJ67" i="31"/>
  <c r="BO96" i="31"/>
  <c r="CJ143" i="16"/>
  <c r="BR146" i="31" l="1"/>
  <c r="BJ146" i="31" s="1"/>
  <c r="BR137" i="31"/>
  <c r="BJ137" i="31" s="1"/>
  <c r="CM146" i="16"/>
  <c r="AJ168" i="30" s="1"/>
  <c r="CM137" i="16"/>
  <c r="CN137" i="16" s="1"/>
  <c r="CO137" i="16" s="1"/>
  <c r="CI133" i="16"/>
  <c r="CI138" i="16"/>
  <c r="CI147" i="16" s="1"/>
  <c r="BN138" i="31"/>
  <c r="AW138" i="31" s="1"/>
  <c r="BQ110" i="31"/>
  <c r="BQ144" i="31" s="1"/>
  <c r="CL144" i="16"/>
  <c r="CN144" i="16" s="1"/>
  <c r="CO144" i="16" s="1"/>
  <c r="BJ139" i="31"/>
  <c r="AW139" i="31"/>
  <c r="BJ31" i="31"/>
  <c r="BR7" i="31"/>
  <c r="BR136" i="31" s="1"/>
  <c r="AH168" i="30"/>
  <c r="CN142" i="16"/>
  <c r="CO142" i="16" s="1"/>
  <c r="AI167" i="26"/>
  <c r="BJ142" i="31"/>
  <c r="CJ133" i="16"/>
  <c r="AG166" i="30"/>
  <c r="CJ138" i="16"/>
  <c r="CJ147" i="16" s="1"/>
  <c r="BJ33" i="31"/>
  <c r="BJ127" i="31"/>
  <c r="CN140" i="16"/>
  <c r="CO140" i="16" s="1"/>
  <c r="BJ30" i="31"/>
  <c r="BJ29" i="31"/>
  <c r="BJ32" i="31"/>
  <c r="CM133" i="16"/>
  <c r="CL133" i="16"/>
  <c r="CL138" i="16"/>
  <c r="BJ8" i="31"/>
  <c r="BR27" i="31"/>
  <c r="CM138" i="16"/>
  <c r="BJ28" i="31"/>
  <c r="BN144" i="31"/>
  <c r="AW144" i="31" s="1"/>
  <c r="BP27" i="31"/>
  <c r="BP138" i="31" s="1"/>
  <c r="CK138" i="16"/>
  <c r="CL136" i="16"/>
  <c r="BQ7" i="31"/>
  <c r="CK136" i="16"/>
  <c r="BP7" i="31"/>
  <c r="CK133" i="16"/>
  <c r="BJ140" i="31"/>
  <c r="AI167" i="30"/>
  <c r="AK167" i="26"/>
  <c r="AH168" i="26"/>
  <c r="CN141" i="16"/>
  <c r="CO141" i="16" s="1"/>
  <c r="BJ141" i="31"/>
  <c r="CN145" i="16"/>
  <c r="CO145" i="16" s="1"/>
  <c r="AH167" i="26"/>
  <c r="BO136" i="31"/>
  <c r="BN133" i="31"/>
  <c r="CN143" i="16"/>
  <c r="CO143" i="16" s="1"/>
  <c r="BO143" i="31"/>
  <c r="BO133" i="31"/>
  <c r="BJ96" i="31"/>
  <c r="CM147" i="16" l="1"/>
  <c r="AK168" i="26"/>
  <c r="CN146" i="16"/>
  <c r="AK168" i="30" s="1"/>
  <c r="BJ110" i="31"/>
  <c r="AJ166" i="26"/>
  <c r="AI166" i="30"/>
  <c r="AL166" i="26"/>
  <c r="BJ7" i="31"/>
  <c r="AK166" i="30"/>
  <c r="BJ27" i="31"/>
  <c r="CL147" i="16"/>
  <c r="CN138" i="16"/>
  <c r="CO138" i="16" s="1"/>
  <c r="BR138" i="31"/>
  <c r="BR147" i="31" s="1"/>
  <c r="BR133" i="31"/>
  <c r="BN147" i="31"/>
  <c r="BQ136" i="31"/>
  <c r="BQ147" i="31" s="1"/>
  <c r="BQ133" i="31"/>
  <c r="BP136" i="31"/>
  <c r="BP147" i="31" s="1"/>
  <c r="BP133" i="31"/>
  <c r="CK147" i="16"/>
  <c r="CN136" i="16"/>
  <c r="CO136" i="16" s="1"/>
  <c r="AK167" i="30"/>
  <c r="AL167" i="26"/>
  <c r="BO147" i="31"/>
  <c r="CO146" i="16" l="1"/>
  <c r="AL168" i="26"/>
  <c r="CM148" i="16"/>
  <c r="CM150" i="16" s="1"/>
  <c r="BS133" i="31"/>
  <c r="BJ138" i="31"/>
  <c r="BS147" i="31"/>
  <c r="BJ136" i="31"/>
  <c r="AJ136" i="14"/>
  <c r="AJ136" i="3" l="1"/>
  <c r="Y51" i="3" l="1"/>
  <c r="AX68" i="7"/>
  <c r="AX71" i="7"/>
  <c r="Y61" i="24"/>
  <c r="Y61" i="12" s="1"/>
  <c r="AX106" i="7"/>
  <c r="Y51" i="7"/>
  <c r="Y45" i="24"/>
  <c r="Y64" i="24"/>
  <c r="Y64" i="12" s="1"/>
  <c r="Y62" i="24"/>
  <c r="Y62" i="12" s="1"/>
  <c r="Y63" i="24"/>
  <c r="Y63" i="12" s="1"/>
  <c r="N141" i="7"/>
  <c r="AX85" i="7"/>
  <c r="AX87" i="7"/>
  <c r="Y90" i="7"/>
  <c r="Y72" i="7"/>
  <c r="AX107" i="7"/>
  <c r="AX91" i="7"/>
  <c r="AX67" i="7"/>
  <c r="AJ145" i="7"/>
  <c r="AX70" i="7"/>
  <c r="Y28" i="7"/>
  <c r="Y31" i="7"/>
  <c r="Y46" i="19"/>
  <c r="Y106" i="19"/>
  <c r="Y91" i="19"/>
  <c r="Y67" i="19"/>
  <c r="AX70" i="19"/>
  <c r="AX98" i="19"/>
  <c r="AX99" i="19"/>
  <c r="Y104" i="19"/>
  <c r="AX89" i="19"/>
  <c r="AX71" i="19"/>
  <c r="Y86" i="19"/>
  <c r="Y103" i="19"/>
  <c r="AX102" i="19"/>
  <c r="AX90" i="19"/>
  <c r="Y17" i="19"/>
  <c r="Y121" i="19"/>
  <c r="AX83" i="19"/>
  <c r="AX87" i="19"/>
  <c r="Y101" i="19"/>
  <c r="AX78" i="19"/>
  <c r="AX47" i="19"/>
  <c r="AX107" i="19"/>
  <c r="AX119" i="19"/>
  <c r="Y12" i="19"/>
  <c r="Y124" i="19"/>
  <c r="Y72" i="19"/>
  <c r="AJ44" i="31"/>
  <c r="AX97" i="19"/>
  <c r="Y88" i="19"/>
  <c r="Y100" i="19"/>
  <c r="AJ116" i="31"/>
  <c r="AJ116" i="16"/>
  <c r="AJ116" i="27"/>
  <c r="AJ113" i="31"/>
  <c r="AJ113" i="27"/>
  <c r="AJ113" i="16"/>
  <c r="AJ117" i="31"/>
  <c r="AJ117" i="27"/>
  <c r="AJ117" i="16"/>
  <c r="AJ131" i="31"/>
  <c r="AJ131" i="27"/>
  <c r="AJ131" i="16"/>
  <c r="AJ114" i="31"/>
  <c r="AJ114" i="27"/>
  <c r="AJ114" i="16"/>
  <c r="AJ115" i="31"/>
  <c r="AJ115" i="27"/>
  <c r="AJ115" i="16"/>
  <c r="Y77" i="19"/>
  <c r="Y89" i="19"/>
  <c r="Y78" i="19"/>
  <c r="Y102" i="19"/>
  <c r="Y83" i="19"/>
  <c r="Y96" i="19"/>
  <c r="AX125" i="19"/>
  <c r="Y125" i="19"/>
  <c r="Y47" i="19"/>
  <c r="AX68" i="19"/>
  <c r="Y68" i="19"/>
  <c r="Y85" i="19"/>
  <c r="Y98" i="19"/>
  <c r="Y107" i="19"/>
  <c r="Y71" i="19"/>
  <c r="Y87" i="19"/>
  <c r="Y99" i="19"/>
  <c r="Y119" i="19"/>
  <c r="AJ142" i="3"/>
  <c r="AJ143" i="15"/>
  <c r="AJ138" i="15"/>
  <c r="AJ142" i="14"/>
  <c r="AJ137" i="3"/>
  <c r="Y18" i="19"/>
  <c r="Y43" i="24"/>
  <c r="AJ138" i="14"/>
  <c r="Y10" i="19"/>
  <c r="AJ138" i="3"/>
  <c r="AJ142" i="15"/>
  <c r="AJ145" i="15"/>
  <c r="AJ137" i="24"/>
  <c r="AJ138" i="24"/>
  <c r="AJ143" i="24"/>
  <c r="AX124" i="24"/>
  <c r="AJ136" i="24"/>
  <c r="AJ146" i="24"/>
  <c r="AX68" i="3"/>
  <c r="Y68" i="3"/>
  <c r="AX31" i="3"/>
  <c r="Y31" i="3"/>
  <c r="AX83" i="3"/>
  <c r="Y83" i="3"/>
  <c r="AX85" i="3"/>
  <c r="Y85" i="3"/>
  <c r="AX91" i="3"/>
  <c r="Y91" i="3"/>
  <c r="AX18" i="3"/>
  <c r="Y18" i="3"/>
  <c r="Y45" i="3"/>
  <c r="AX11" i="3"/>
  <c r="Y11" i="3"/>
  <c r="Y47" i="3"/>
  <c r="AX103" i="3"/>
  <c r="Y103" i="3"/>
  <c r="AX97" i="3"/>
  <c r="Y97" i="3"/>
  <c r="AX12" i="3"/>
  <c r="Y12" i="3"/>
  <c r="N141" i="3"/>
  <c r="Y52" i="3"/>
  <c r="AX17" i="3"/>
  <c r="Y17" i="3"/>
  <c r="Y46" i="3"/>
  <c r="AX67" i="3"/>
  <c r="N142" i="3"/>
  <c r="Y67" i="3"/>
  <c r="AX84" i="3"/>
  <c r="Y84" i="3"/>
  <c r="AX96" i="3"/>
  <c r="Y96" i="3"/>
  <c r="AX15" i="24"/>
  <c r="Y15" i="24"/>
  <c r="AX77" i="24"/>
  <c r="Y77" i="24"/>
  <c r="AX98" i="24"/>
  <c r="Y98" i="24"/>
  <c r="AX113" i="24"/>
  <c r="Y113" i="24"/>
  <c r="Y113" i="12" s="1"/>
  <c r="AX131" i="24"/>
  <c r="Y131" i="24"/>
  <c r="Y131" i="12" s="1"/>
  <c r="Y17" i="7"/>
  <c r="Y35" i="7"/>
  <c r="Y46" i="7"/>
  <c r="AX84" i="7"/>
  <c r="Y84" i="7"/>
  <c r="AX96" i="7"/>
  <c r="Y96" i="7"/>
  <c r="AX104" i="7"/>
  <c r="Y104" i="7"/>
  <c r="Y11" i="19"/>
  <c r="AX16" i="24"/>
  <c r="Y16" i="24"/>
  <c r="Y106" i="7"/>
  <c r="AX7" i="3"/>
  <c r="N136" i="3"/>
  <c r="Y7" i="3"/>
  <c r="N138" i="3"/>
  <c r="AX27" i="3"/>
  <c r="Y27" i="3"/>
  <c r="N138" i="24"/>
  <c r="AX27" i="24"/>
  <c r="Y27" i="24"/>
  <c r="AX83" i="24"/>
  <c r="Y83" i="24"/>
  <c r="AX100" i="24"/>
  <c r="Y100" i="24"/>
  <c r="AX115" i="24"/>
  <c r="Y115" i="24"/>
  <c r="Y115" i="12" s="1"/>
  <c r="AX27" i="7"/>
  <c r="Y27" i="7"/>
  <c r="Y70" i="7"/>
  <c r="Y86" i="7"/>
  <c r="AX98" i="7"/>
  <c r="Y98" i="7"/>
  <c r="Y107" i="7"/>
  <c r="Y52" i="24"/>
  <c r="AX78" i="24"/>
  <c r="Y78" i="24"/>
  <c r="AX99" i="24"/>
  <c r="Y99" i="24"/>
  <c r="AX114" i="24"/>
  <c r="Y114" i="24"/>
  <c r="Y114" i="12" s="1"/>
  <c r="AX132" i="24"/>
  <c r="Y132" i="24"/>
  <c r="Y18" i="7"/>
  <c r="Y36" i="7"/>
  <c r="Y47" i="7"/>
  <c r="Y68" i="7"/>
  <c r="AX70" i="3"/>
  <c r="Y70" i="3"/>
  <c r="AX86" i="3"/>
  <c r="Y86" i="3"/>
  <c r="AX98" i="3"/>
  <c r="Y98" i="3"/>
  <c r="N136" i="24"/>
  <c r="AX7" i="24"/>
  <c r="Y7" i="24"/>
  <c r="AX28" i="24"/>
  <c r="Y28" i="24"/>
  <c r="N142" i="24"/>
  <c r="AX67" i="24"/>
  <c r="Y67" i="24"/>
  <c r="AX84" i="24"/>
  <c r="Y84" i="24"/>
  <c r="AX101" i="24"/>
  <c r="Y101" i="24"/>
  <c r="AX116" i="24"/>
  <c r="Y116" i="24"/>
  <c r="Y116" i="12" s="1"/>
  <c r="AX8" i="7"/>
  <c r="Y8" i="7"/>
  <c r="Y71" i="7"/>
  <c r="Y87" i="7"/>
  <c r="Y99" i="7"/>
  <c r="AX119" i="7"/>
  <c r="Y119" i="7"/>
  <c r="Y85" i="7"/>
  <c r="Y97" i="7"/>
  <c r="AX8" i="3"/>
  <c r="N137" i="3"/>
  <c r="Y8" i="3"/>
  <c r="AX28" i="3"/>
  <c r="Y28" i="3"/>
  <c r="AX71" i="3"/>
  <c r="Y71" i="3"/>
  <c r="AX87" i="3"/>
  <c r="Y87" i="3"/>
  <c r="AX99" i="3"/>
  <c r="Y99" i="3"/>
  <c r="AX9" i="3"/>
  <c r="Y9" i="3"/>
  <c r="AX88" i="3"/>
  <c r="Y88" i="3"/>
  <c r="N137" i="24"/>
  <c r="AX8" i="24"/>
  <c r="Y8" i="24"/>
  <c r="AX29" i="24"/>
  <c r="Y29" i="24"/>
  <c r="AX68" i="24"/>
  <c r="Y68" i="24"/>
  <c r="AX85" i="24"/>
  <c r="Y85" i="24"/>
  <c r="AX103" i="24"/>
  <c r="Y103" i="24"/>
  <c r="AX117" i="24"/>
  <c r="Y117" i="24"/>
  <c r="Y117" i="12" s="1"/>
  <c r="AX9" i="7"/>
  <c r="Y9" i="7"/>
  <c r="Y100" i="7"/>
  <c r="AX121" i="7"/>
  <c r="Y121" i="7"/>
  <c r="AX29" i="3"/>
  <c r="Y29" i="3"/>
  <c r="AX72" i="3"/>
  <c r="Y72" i="3"/>
  <c r="AX100" i="3"/>
  <c r="Y100" i="3"/>
  <c r="AX10" i="3"/>
  <c r="Y10" i="3"/>
  <c r="AX30" i="3"/>
  <c r="Y30" i="3"/>
  <c r="AX77" i="3"/>
  <c r="Y77" i="3"/>
  <c r="AX89" i="3"/>
  <c r="Y89" i="3"/>
  <c r="AX101" i="3"/>
  <c r="Y101" i="3"/>
  <c r="AX9" i="24"/>
  <c r="Y9" i="24"/>
  <c r="AX30" i="24"/>
  <c r="Y30" i="24"/>
  <c r="AX70" i="24"/>
  <c r="Y70" i="24"/>
  <c r="Y95" i="24"/>
  <c r="Y95" i="12" s="1"/>
  <c r="N144" i="24"/>
  <c r="Y110" i="24"/>
  <c r="AX121" i="24"/>
  <c r="Y121" i="24"/>
  <c r="N145" i="24"/>
  <c r="AX10" i="7"/>
  <c r="Y10" i="7"/>
  <c r="AX89" i="7"/>
  <c r="Y89" i="7"/>
  <c r="AX122" i="7"/>
  <c r="Y122" i="7"/>
  <c r="AX78" i="3"/>
  <c r="Y78" i="3"/>
  <c r="AX90" i="3"/>
  <c r="Y90" i="3"/>
  <c r="AX102" i="3"/>
  <c r="Y102" i="3"/>
  <c r="AX11" i="24"/>
  <c r="Y11" i="24"/>
  <c r="AX31" i="24"/>
  <c r="Y31" i="24"/>
  <c r="Y71" i="24"/>
  <c r="AX96" i="24"/>
  <c r="N143" i="24"/>
  <c r="Y96" i="24"/>
  <c r="AX111" i="24"/>
  <c r="Y111" i="24"/>
  <c r="Y124" i="24"/>
  <c r="AX11" i="7"/>
  <c r="Y11" i="7"/>
  <c r="AX102" i="7"/>
  <c r="Y102" i="7"/>
  <c r="AX123" i="7"/>
  <c r="Y123" i="7"/>
  <c r="AX12" i="24"/>
  <c r="Y12" i="24"/>
  <c r="Y72" i="24"/>
  <c r="J102" i="26"/>
  <c r="AX97" i="24"/>
  <c r="Y97" i="24"/>
  <c r="Y112" i="24"/>
  <c r="AX128" i="24"/>
  <c r="N146" i="24"/>
  <c r="Y128" i="24"/>
  <c r="AX12" i="7"/>
  <c r="Y12" i="7"/>
  <c r="AX124" i="7"/>
  <c r="Y124" i="7"/>
  <c r="J108" i="26"/>
  <c r="Y39" i="7"/>
  <c r="Y40" i="7"/>
  <c r="Y38" i="7"/>
  <c r="AX45" i="3"/>
  <c r="AX46" i="3"/>
  <c r="AX47" i="3"/>
  <c r="AX35" i="14"/>
  <c r="AX36" i="14"/>
  <c r="AX38" i="14"/>
  <c r="AX39" i="14"/>
  <c r="AX40" i="14"/>
  <c r="AJ136" i="19"/>
  <c r="N136" i="19"/>
  <c r="AJ136" i="15"/>
  <c r="Y78" i="7" l="1"/>
  <c r="AX99" i="7"/>
  <c r="N162" i="12"/>
  <c r="J106" i="26" s="1"/>
  <c r="AX110" i="24"/>
  <c r="N143" i="15"/>
  <c r="J58" i="26" s="1"/>
  <c r="Y83" i="7"/>
  <c r="Y83" i="12" s="1"/>
  <c r="Y90" i="19"/>
  <c r="Y77" i="7"/>
  <c r="AX77" i="7"/>
  <c r="Y67" i="7"/>
  <c r="Y67" i="12" s="1"/>
  <c r="N72" i="27"/>
  <c r="AX72" i="7"/>
  <c r="AX18" i="7"/>
  <c r="AX100" i="7"/>
  <c r="AX72" i="24"/>
  <c r="N145" i="7"/>
  <c r="N61" i="16"/>
  <c r="AJ68" i="27"/>
  <c r="AX78" i="7"/>
  <c r="N45" i="27"/>
  <c r="Y101" i="7"/>
  <c r="Y101" i="12" s="1"/>
  <c r="AX45" i="24"/>
  <c r="AX101" i="7"/>
  <c r="AX91" i="12"/>
  <c r="Y91" i="7"/>
  <c r="Y91" i="12" s="1"/>
  <c r="AX90" i="12"/>
  <c r="AX125" i="7"/>
  <c r="AX70" i="12"/>
  <c r="AX90" i="7"/>
  <c r="AX97" i="7"/>
  <c r="AX86" i="7"/>
  <c r="N141" i="19"/>
  <c r="Y125" i="7"/>
  <c r="Y145" i="7" s="1"/>
  <c r="N142" i="7"/>
  <c r="N125" i="27"/>
  <c r="AX77" i="19"/>
  <c r="AX52" i="24"/>
  <c r="AX52" i="3"/>
  <c r="Y88" i="7"/>
  <c r="AX17" i="7"/>
  <c r="AX88" i="7"/>
  <c r="N141" i="24"/>
  <c r="Y141" i="3"/>
  <c r="AX51" i="3"/>
  <c r="AX46" i="12"/>
  <c r="AJ141" i="15"/>
  <c r="AJ141" i="14"/>
  <c r="AX51" i="19"/>
  <c r="Y51" i="19"/>
  <c r="Y51" i="24"/>
  <c r="Y51" i="12" s="1"/>
  <c r="AX51" i="24"/>
  <c r="AX51" i="7"/>
  <c r="N141" i="15"/>
  <c r="J56" i="26" s="1"/>
  <c r="Y63" i="27"/>
  <c r="Y63" i="31"/>
  <c r="Y63" i="16"/>
  <c r="N63" i="31"/>
  <c r="N63" i="16"/>
  <c r="N63" i="27"/>
  <c r="Y62" i="16"/>
  <c r="Y62" i="31"/>
  <c r="Y62" i="27"/>
  <c r="N62" i="27"/>
  <c r="N62" i="16"/>
  <c r="N62" i="31"/>
  <c r="Y61" i="16"/>
  <c r="Y61" i="31"/>
  <c r="Y61" i="27"/>
  <c r="N64" i="31"/>
  <c r="N64" i="27"/>
  <c r="N64" i="16"/>
  <c r="Y64" i="31"/>
  <c r="Y64" i="16"/>
  <c r="Y64" i="27"/>
  <c r="Y52" i="7"/>
  <c r="Y141" i="7" s="1"/>
  <c r="Y47" i="12"/>
  <c r="AX46" i="19"/>
  <c r="AX67" i="19"/>
  <c r="AX103" i="19"/>
  <c r="AJ87" i="31"/>
  <c r="AX121" i="19"/>
  <c r="Y103" i="7"/>
  <c r="Y103" i="12" s="1"/>
  <c r="AX106" i="19"/>
  <c r="AX104" i="19"/>
  <c r="AJ15" i="16"/>
  <c r="AJ15" i="31"/>
  <c r="AJ15" i="27"/>
  <c r="AX29" i="7"/>
  <c r="Y29" i="7"/>
  <c r="N138" i="7"/>
  <c r="AJ28" i="31"/>
  <c r="AJ138" i="7"/>
  <c r="AX28" i="7"/>
  <c r="AX31" i="12"/>
  <c r="AX31" i="7"/>
  <c r="AX30" i="12"/>
  <c r="AX30" i="7"/>
  <c r="Y30" i="7"/>
  <c r="Y30" i="12" s="1"/>
  <c r="AJ16" i="31"/>
  <c r="AJ16" i="27"/>
  <c r="AJ16" i="16"/>
  <c r="AX18" i="12"/>
  <c r="Y14" i="7"/>
  <c r="Y14" i="12" s="1"/>
  <c r="AX14" i="7"/>
  <c r="Y15" i="7"/>
  <c r="Y15" i="12" s="1"/>
  <c r="AX15" i="7"/>
  <c r="AJ137" i="7"/>
  <c r="AX123" i="19"/>
  <c r="AX13" i="7"/>
  <c r="Y13" i="7"/>
  <c r="Y13" i="12" s="1"/>
  <c r="AJ13" i="31"/>
  <c r="AJ13" i="27"/>
  <c r="AJ13" i="16"/>
  <c r="AJ108" i="31"/>
  <c r="AJ108" i="27"/>
  <c r="AJ108" i="16"/>
  <c r="AX108" i="7"/>
  <c r="Y108" i="7"/>
  <c r="Y108" i="12" s="1"/>
  <c r="AJ105" i="31"/>
  <c r="AJ105" i="27"/>
  <c r="AJ105" i="16"/>
  <c r="AX38" i="7"/>
  <c r="AJ101" i="16"/>
  <c r="N137" i="7"/>
  <c r="AX91" i="19"/>
  <c r="AX47" i="7"/>
  <c r="AX105" i="7"/>
  <c r="Y105" i="7"/>
  <c r="Y105" i="12" s="1"/>
  <c r="AX36" i="7"/>
  <c r="AX39" i="7"/>
  <c r="AX16" i="7"/>
  <c r="Y16" i="7"/>
  <c r="Y16" i="12" s="1"/>
  <c r="AJ14" i="31"/>
  <c r="AJ14" i="27"/>
  <c r="AJ14" i="16"/>
  <c r="AX86" i="19"/>
  <c r="AX83" i="7"/>
  <c r="Y70" i="19"/>
  <c r="AJ100" i="27"/>
  <c r="Y34" i="7"/>
  <c r="Y139" i="7" s="1"/>
  <c r="AX84" i="19"/>
  <c r="AJ100" i="16"/>
  <c r="Y84" i="19"/>
  <c r="AJ85" i="16"/>
  <c r="AX101" i="19"/>
  <c r="AX122" i="19"/>
  <c r="Y102" i="12"/>
  <c r="Y27" i="19"/>
  <c r="N140" i="24"/>
  <c r="Y44" i="24"/>
  <c r="Y44" i="12" s="1"/>
  <c r="Y44" i="31" s="1"/>
  <c r="AJ143" i="19"/>
  <c r="Y122" i="19"/>
  <c r="AX43" i="24"/>
  <c r="AX72" i="19"/>
  <c r="AX100" i="19"/>
  <c r="AX88" i="19"/>
  <c r="AJ146" i="14"/>
  <c r="AX103" i="7"/>
  <c r="Y70" i="12"/>
  <c r="AJ100" i="31"/>
  <c r="AX44" i="24"/>
  <c r="Y123" i="19"/>
  <c r="AJ143" i="14"/>
  <c r="Y68" i="12"/>
  <c r="N142" i="19"/>
  <c r="AX112" i="24"/>
  <c r="AJ44" i="16"/>
  <c r="AX96" i="19"/>
  <c r="Y97" i="12"/>
  <c r="AX95" i="24"/>
  <c r="Y97" i="19"/>
  <c r="Y143" i="19" s="1"/>
  <c r="AJ140" i="24"/>
  <c r="AJ140" i="3"/>
  <c r="Y17" i="12"/>
  <c r="AJ30" i="31"/>
  <c r="N140" i="7"/>
  <c r="AJ29" i="16"/>
  <c r="AJ85" i="27"/>
  <c r="Y129" i="19"/>
  <c r="Y85" i="12"/>
  <c r="Y72" i="12"/>
  <c r="Y87" i="12"/>
  <c r="Y84" i="12"/>
  <c r="N143" i="19"/>
  <c r="AJ143" i="3"/>
  <c r="AJ139" i="3"/>
  <c r="Y43" i="3"/>
  <c r="AJ140" i="19"/>
  <c r="Y71" i="12"/>
  <c r="AX85" i="19"/>
  <c r="AJ44" i="27"/>
  <c r="AX71" i="24"/>
  <c r="Y46" i="12"/>
  <c r="Y52" i="19"/>
  <c r="AJ85" i="31"/>
  <c r="AJ87" i="16"/>
  <c r="Y127" i="19"/>
  <c r="AJ139" i="24"/>
  <c r="N143" i="3"/>
  <c r="N145" i="19"/>
  <c r="AJ87" i="27"/>
  <c r="Y30" i="19"/>
  <c r="Y34" i="15"/>
  <c r="AJ36" i="31"/>
  <c r="Y12" i="12"/>
  <c r="Y18" i="12"/>
  <c r="AX124" i="19"/>
  <c r="AJ142" i="19"/>
  <c r="Y9" i="19"/>
  <c r="Y8" i="19"/>
  <c r="N137" i="19"/>
  <c r="Y128" i="19"/>
  <c r="AJ146" i="15"/>
  <c r="AJ145" i="3"/>
  <c r="Y31" i="19"/>
  <c r="AJ140" i="15"/>
  <c r="Y99" i="12"/>
  <c r="Y86" i="12"/>
  <c r="Y138" i="3"/>
  <c r="AJ104" i="27"/>
  <c r="AJ145" i="14"/>
  <c r="Y29" i="12"/>
  <c r="N104" i="27"/>
  <c r="Y98" i="12"/>
  <c r="AJ137" i="15"/>
  <c r="AJ27" i="16"/>
  <c r="Y40" i="19"/>
  <c r="Y11" i="12"/>
  <c r="Y89" i="12"/>
  <c r="Y142" i="3"/>
  <c r="AJ47" i="27"/>
  <c r="AJ143" i="7"/>
  <c r="Y132" i="19"/>
  <c r="AJ146" i="3"/>
  <c r="Y28" i="19"/>
  <c r="Y10" i="12"/>
  <c r="Y78" i="12"/>
  <c r="AJ124" i="16"/>
  <c r="AJ145" i="24"/>
  <c r="AJ137" i="14"/>
  <c r="AX10" i="19"/>
  <c r="AJ139" i="15"/>
  <c r="Y77" i="12"/>
  <c r="AJ145" i="19"/>
  <c r="Y9" i="12"/>
  <c r="Y137" i="3"/>
  <c r="Y100" i="12"/>
  <c r="AJ142" i="24"/>
  <c r="AJ142" i="7"/>
  <c r="Y90" i="12"/>
  <c r="Y31" i="12"/>
  <c r="Y28" i="12"/>
  <c r="AX9" i="19"/>
  <c r="AX8" i="19"/>
  <c r="AX18" i="19"/>
  <c r="AX17" i="19"/>
  <c r="AX12" i="19"/>
  <c r="AX11" i="19"/>
  <c r="AX36" i="19"/>
  <c r="Y36" i="19"/>
  <c r="Y38" i="19"/>
  <c r="AX38" i="19"/>
  <c r="Y39" i="19"/>
  <c r="AX39" i="19"/>
  <c r="AX45" i="19"/>
  <c r="Y45" i="19"/>
  <c r="N91" i="16"/>
  <c r="AX97" i="12"/>
  <c r="N97" i="31"/>
  <c r="N97" i="16"/>
  <c r="N97" i="27"/>
  <c r="AX12" i="12"/>
  <c r="AX123" i="12"/>
  <c r="N123" i="31"/>
  <c r="N123" i="27"/>
  <c r="N123" i="16"/>
  <c r="AX102" i="12"/>
  <c r="N102" i="31"/>
  <c r="N102" i="27"/>
  <c r="N102" i="16"/>
  <c r="N124" i="31"/>
  <c r="N124" i="16"/>
  <c r="N124" i="27"/>
  <c r="N96" i="31"/>
  <c r="N96" i="27"/>
  <c r="N96" i="16"/>
  <c r="AX71" i="12"/>
  <c r="N71" i="31"/>
  <c r="N71" i="27"/>
  <c r="N71" i="16"/>
  <c r="AX11" i="12"/>
  <c r="N122" i="31"/>
  <c r="N122" i="27"/>
  <c r="N122" i="16"/>
  <c r="AX89" i="12"/>
  <c r="N89" i="31"/>
  <c r="N89" i="16"/>
  <c r="N89" i="27"/>
  <c r="AX10" i="12"/>
  <c r="AX121" i="12"/>
  <c r="N121" i="16"/>
  <c r="N121" i="27"/>
  <c r="N121" i="31"/>
  <c r="Y95" i="31"/>
  <c r="Y95" i="16"/>
  <c r="Y95" i="27"/>
  <c r="AX95" i="12"/>
  <c r="N95" i="31"/>
  <c r="N95" i="27"/>
  <c r="N95" i="16"/>
  <c r="N70" i="31"/>
  <c r="N70" i="27"/>
  <c r="N70" i="16"/>
  <c r="AX9" i="12"/>
  <c r="AX44" i="12"/>
  <c r="N44" i="31"/>
  <c r="AX44" i="31" s="1"/>
  <c r="N44" i="27"/>
  <c r="N44" i="16"/>
  <c r="N88" i="16"/>
  <c r="N88" i="27"/>
  <c r="Y117" i="31"/>
  <c r="Y117" i="27"/>
  <c r="Y117" i="16"/>
  <c r="AX117" i="12"/>
  <c r="N117" i="31"/>
  <c r="AX117" i="31" s="1"/>
  <c r="N117" i="16"/>
  <c r="AX117" i="16" s="1"/>
  <c r="N117" i="27"/>
  <c r="AX117" i="27" s="1"/>
  <c r="N103" i="31"/>
  <c r="N103" i="27"/>
  <c r="N103" i="16"/>
  <c r="AX85" i="12"/>
  <c r="N85" i="31"/>
  <c r="N85" i="16"/>
  <c r="N85" i="27"/>
  <c r="N68" i="31"/>
  <c r="N68" i="27"/>
  <c r="N68" i="16"/>
  <c r="AX29" i="12"/>
  <c r="N119" i="31"/>
  <c r="N119" i="27"/>
  <c r="N119" i="16"/>
  <c r="AX87" i="12"/>
  <c r="N87" i="31"/>
  <c r="N87" i="27"/>
  <c r="N87" i="16"/>
  <c r="Y116" i="27"/>
  <c r="Y116" i="31"/>
  <c r="Y116" i="16"/>
  <c r="AX116" i="12"/>
  <c r="N116" i="31"/>
  <c r="AX116" i="31" s="1"/>
  <c r="N116" i="16"/>
  <c r="AX116" i="16" s="1"/>
  <c r="N116" i="27"/>
  <c r="AX116" i="27" s="1"/>
  <c r="N101" i="16"/>
  <c r="N101" i="27"/>
  <c r="N101" i="31"/>
  <c r="AX84" i="12"/>
  <c r="N84" i="31"/>
  <c r="N84" i="16"/>
  <c r="N84" i="27"/>
  <c r="Y114" i="31"/>
  <c r="Y114" i="16"/>
  <c r="Y114" i="27"/>
  <c r="AX114" i="12"/>
  <c r="N114" i="31"/>
  <c r="AX114" i="31" s="1"/>
  <c r="N114" i="27"/>
  <c r="AX114" i="27" s="1"/>
  <c r="N114" i="16"/>
  <c r="AX114" i="16" s="1"/>
  <c r="AX99" i="12"/>
  <c r="N99" i="31"/>
  <c r="N99" i="27"/>
  <c r="N99" i="16"/>
  <c r="AX78" i="12"/>
  <c r="N78" i="31"/>
  <c r="N78" i="27"/>
  <c r="N78" i="16"/>
  <c r="N52" i="31"/>
  <c r="N52" i="16"/>
  <c r="N52" i="27"/>
  <c r="AX107" i="12"/>
  <c r="N107" i="31"/>
  <c r="N107" i="27"/>
  <c r="N107" i="16"/>
  <c r="AX86" i="12"/>
  <c r="N86" i="31"/>
  <c r="N86" i="27"/>
  <c r="N86" i="16"/>
  <c r="Y115" i="31"/>
  <c r="Y115" i="16"/>
  <c r="Y115" i="27"/>
  <c r="AX115" i="12"/>
  <c r="N115" i="31"/>
  <c r="AX115" i="31" s="1"/>
  <c r="N115" i="27"/>
  <c r="AX115" i="27" s="1"/>
  <c r="N115" i="16"/>
  <c r="AX115" i="16" s="1"/>
  <c r="AX100" i="12"/>
  <c r="N100" i="31"/>
  <c r="N100" i="27"/>
  <c r="N100" i="16"/>
  <c r="AX83" i="12"/>
  <c r="N83" i="31"/>
  <c r="N83" i="27"/>
  <c r="N83" i="16"/>
  <c r="AX106" i="12"/>
  <c r="N106" i="31"/>
  <c r="N106" i="27"/>
  <c r="N106" i="16"/>
  <c r="AX16" i="12"/>
  <c r="N16" i="31"/>
  <c r="N16" i="16"/>
  <c r="AX16" i="16" s="1"/>
  <c r="N16" i="27"/>
  <c r="AX17" i="12"/>
  <c r="Y131" i="31"/>
  <c r="Y131" i="16"/>
  <c r="Y131" i="27"/>
  <c r="AX131" i="12"/>
  <c r="N131" i="31"/>
  <c r="AX131" i="31" s="1"/>
  <c r="N131" i="27"/>
  <c r="AX131" i="27" s="1"/>
  <c r="N131" i="16"/>
  <c r="AX131" i="16" s="1"/>
  <c r="Y113" i="31"/>
  <c r="Y113" i="27"/>
  <c r="Y113" i="16"/>
  <c r="AX113" i="12"/>
  <c r="N113" i="16"/>
  <c r="AX113" i="16" s="1"/>
  <c r="N113" i="31"/>
  <c r="AX113" i="31" s="1"/>
  <c r="N113" i="27"/>
  <c r="AX113" i="27" s="1"/>
  <c r="AX98" i="12"/>
  <c r="N98" i="31"/>
  <c r="N98" i="27"/>
  <c r="N98" i="16"/>
  <c r="AX77" i="12"/>
  <c r="N77" i="31"/>
  <c r="N77" i="16"/>
  <c r="N77" i="27"/>
  <c r="AX15" i="12"/>
  <c r="N15" i="31"/>
  <c r="N15" i="27"/>
  <c r="N15" i="16"/>
  <c r="AJ67" i="31"/>
  <c r="AJ67" i="27"/>
  <c r="AJ67" i="16"/>
  <c r="AJ136" i="12"/>
  <c r="AU136" i="12" s="1"/>
  <c r="AJ7" i="31"/>
  <c r="AJ136" i="31" s="1"/>
  <c r="AJ7" i="27"/>
  <c r="AJ7" i="16"/>
  <c r="AJ136" i="16" s="1"/>
  <c r="AJ96" i="27"/>
  <c r="AJ96" i="31"/>
  <c r="AJ96" i="16"/>
  <c r="AJ71" i="31"/>
  <c r="AJ71" i="27"/>
  <c r="AJ71" i="16"/>
  <c r="AJ121" i="31"/>
  <c r="AJ121" i="27"/>
  <c r="AJ121" i="16"/>
  <c r="AJ95" i="31"/>
  <c r="AJ95" i="27"/>
  <c r="AJ95" i="16"/>
  <c r="AJ137" i="12"/>
  <c r="AU137" i="12" s="1"/>
  <c r="AJ72" i="31"/>
  <c r="AJ72" i="16"/>
  <c r="AJ72" i="27"/>
  <c r="AJ106" i="31"/>
  <c r="AJ106" i="27"/>
  <c r="AJ106" i="16"/>
  <c r="AJ78" i="31"/>
  <c r="AJ78" i="27"/>
  <c r="AJ78" i="16"/>
  <c r="AJ123" i="31"/>
  <c r="AJ123" i="27"/>
  <c r="AJ123" i="16"/>
  <c r="AJ83" i="31"/>
  <c r="AJ83" i="27"/>
  <c r="AJ83" i="16"/>
  <c r="AJ99" i="31"/>
  <c r="AJ99" i="27"/>
  <c r="AJ99" i="16"/>
  <c r="AJ88" i="31"/>
  <c r="AJ88" i="16"/>
  <c r="AJ88" i="27"/>
  <c r="AJ103" i="31"/>
  <c r="AJ103" i="27"/>
  <c r="AJ103" i="16"/>
  <c r="AJ122" i="31"/>
  <c r="AJ122" i="27"/>
  <c r="AJ122" i="16"/>
  <c r="AJ107" i="31"/>
  <c r="AJ107" i="27"/>
  <c r="AJ107" i="16"/>
  <c r="AJ91" i="31"/>
  <c r="AJ91" i="27"/>
  <c r="AJ91" i="16"/>
  <c r="AJ102" i="31"/>
  <c r="AJ102" i="27"/>
  <c r="AJ102" i="16"/>
  <c r="AJ89" i="31"/>
  <c r="AJ89" i="27"/>
  <c r="AJ89" i="16"/>
  <c r="AJ98" i="31"/>
  <c r="AJ98" i="27"/>
  <c r="AJ98" i="16"/>
  <c r="AJ97" i="31"/>
  <c r="AJ97" i="27"/>
  <c r="AJ97" i="16"/>
  <c r="AJ84" i="16"/>
  <c r="AJ84" i="31"/>
  <c r="AJ84" i="27"/>
  <c r="AJ90" i="31"/>
  <c r="AJ90" i="27"/>
  <c r="AJ90" i="16"/>
  <c r="AJ70" i="31"/>
  <c r="AJ70" i="27"/>
  <c r="AJ77" i="31"/>
  <c r="AJ77" i="27"/>
  <c r="AJ77" i="16"/>
  <c r="AJ125" i="31"/>
  <c r="AJ125" i="27"/>
  <c r="AJ125" i="16"/>
  <c r="AJ86" i="31"/>
  <c r="AJ86" i="27"/>
  <c r="AJ86" i="16"/>
  <c r="AX122" i="12"/>
  <c r="AX7" i="19"/>
  <c r="AX103" i="12"/>
  <c r="Y7" i="19"/>
  <c r="Y136" i="19" s="1"/>
  <c r="AX9" i="15"/>
  <c r="Y9" i="15"/>
  <c r="N136" i="15"/>
  <c r="AX7" i="15"/>
  <c r="Y7" i="15"/>
  <c r="AX8" i="15"/>
  <c r="Y8" i="15"/>
  <c r="N9" i="31"/>
  <c r="N11" i="31"/>
  <c r="AX52" i="14"/>
  <c r="N141" i="14"/>
  <c r="J78" i="26" s="1"/>
  <c r="Y52" i="14"/>
  <c r="N17" i="31"/>
  <c r="N46" i="27"/>
  <c r="N7" i="31"/>
  <c r="N8" i="31"/>
  <c r="AX127" i="7"/>
  <c r="Y127" i="7"/>
  <c r="N10" i="31"/>
  <c r="N12" i="31"/>
  <c r="AX29" i="15"/>
  <c r="Y29" i="15"/>
  <c r="AX28" i="15"/>
  <c r="Y28" i="15"/>
  <c r="N140" i="15"/>
  <c r="AX46" i="15"/>
  <c r="Y46" i="15"/>
  <c r="AX17" i="15"/>
  <c r="Y17" i="15"/>
  <c r="AX12" i="15"/>
  <c r="Y12" i="15"/>
  <c r="AX52" i="15"/>
  <c r="Y52" i="15"/>
  <c r="AX11" i="15"/>
  <c r="Y11" i="15"/>
  <c r="Y43" i="15"/>
  <c r="AX10" i="15"/>
  <c r="Y10" i="15"/>
  <c r="AX35" i="15"/>
  <c r="Y35" i="15"/>
  <c r="AX36" i="15"/>
  <c r="Y36" i="15"/>
  <c r="AX40" i="15"/>
  <c r="Y40" i="15"/>
  <c r="AX39" i="15"/>
  <c r="Y39" i="15"/>
  <c r="AX38" i="15"/>
  <c r="Y38" i="15"/>
  <c r="AX40" i="24"/>
  <c r="Y40" i="24"/>
  <c r="AX40" i="3"/>
  <c r="Y40" i="3"/>
  <c r="AX39" i="3"/>
  <c r="Y39" i="3"/>
  <c r="AX38" i="3"/>
  <c r="Y38" i="3"/>
  <c r="AX36" i="24"/>
  <c r="Y36" i="24"/>
  <c r="AX36" i="3"/>
  <c r="Y36" i="3"/>
  <c r="AX38" i="24"/>
  <c r="Y38" i="24"/>
  <c r="AX35" i="24"/>
  <c r="Y35" i="24"/>
  <c r="Y35" i="12" s="1"/>
  <c r="AX35" i="7"/>
  <c r="AX40" i="7"/>
  <c r="AX45" i="15"/>
  <c r="Y45" i="15"/>
  <c r="AX45" i="14"/>
  <c r="AX84" i="15"/>
  <c r="Y84" i="15"/>
  <c r="AX91" i="15"/>
  <c r="Y91" i="15"/>
  <c r="AX83" i="15"/>
  <c r="Y83" i="15"/>
  <c r="AX90" i="15"/>
  <c r="Y90" i="15"/>
  <c r="AX78" i="15"/>
  <c r="Y78" i="15"/>
  <c r="AX89" i="15"/>
  <c r="Y89" i="15"/>
  <c r="AX77" i="15"/>
  <c r="Y77" i="15"/>
  <c r="AX88" i="15"/>
  <c r="Y88" i="15"/>
  <c r="AX72" i="15"/>
  <c r="Y72" i="15"/>
  <c r="AX87" i="15"/>
  <c r="Y87" i="15"/>
  <c r="AX71" i="15"/>
  <c r="Y71" i="15"/>
  <c r="AX86" i="15"/>
  <c r="Y86" i="15"/>
  <c r="AX70" i="15"/>
  <c r="Y70" i="15"/>
  <c r="AX85" i="15"/>
  <c r="Y85" i="15"/>
  <c r="AX68" i="15"/>
  <c r="Y68" i="15"/>
  <c r="Y45" i="7"/>
  <c r="Y45" i="14"/>
  <c r="AX83" i="14"/>
  <c r="Y83" i="14"/>
  <c r="AX84" i="14"/>
  <c r="Y84" i="14"/>
  <c r="AX90" i="14"/>
  <c r="Y90" i="14"/>
  <c r="AX78" i="14"/>
  <c r="Y78" i="14"/>
  <c r="AX77" i="14"/>
  <c r="Y77" i="14"/>
  <c r="AX89" i="14"/>
  <c r="Y89" i="14"/>
  <c r="AX72" i="14"/>
  <c r="Y72" i="14"/>
  <c r="AX88" i="14"/>
  <c r="Y88" i="14"/>
  <c r="AX87" i="14"/>
  <c r="Y87" i="14"/>
  <c r="AX71" i="14"/>
  <c r="Y71" i="14"/>
  <c r="AX86" i="14"/>
  <c r="Y86" i="14"/>
  <c r="AX70" i="14"/>
  <c r="Y70" i="14"/>
  <c r="AX68" i="14"/>
  <c r="Y68" i="14"/>
  <c r="AX85" i="14"/>
  <c r="Y85" i="14"/>
  <c r="AX67" i="14"/>
  <c r="N142" i="14"/>
  <c r="Y67" i="14"/>
  <c r="AX91" i="14"/>
  <c r="Y91" i="14"/>
  <c r="AX96" i="14"/>
  <c r="N143" i="14"/>
  <c r="Y96" i="14"/>
  <c r="AX123" i="15"/>
  <c r="Y123" i="15"/>
  <c r="AX125" i="14"/>
  <c r="Y125" i="14"/>
  <c r="AX124" i="3"/>
  <c r="Y124" i="3"/>
  <c r="Y124" i="12" s="1"/>
  <c r="AX122" i="15"/>
  <c r="Y122" i="15"/>
  <c r="AX124" i="14"/>
  <c r="Y124" i="14"/>
  <c r="AX123" i="3"/>
  <c r="Y123" i="3"/>
  <c r="Y123" i="12" s="1"/>
  <c r="AX132" i="15"/>
  <c r="Y132" i="15"/>
  <c r="AX121" i="15"/>
  <c r="Y121" i="15"/>
  <c r="AX123" i="14"/>
  <c r="Y123" i="14"/>
  <c r="AX122" i="3"/>
  <c r="Y122" i="3"/>
  <c r="Y122" i="12" s="1"/>
  <c r="AX99" i="14"/>
  <c r="Y99" i="14"/>
  <c r="AX104" i="15"/>
  <c r="Y104" i="15"/>
  <c r="AX106" i="14"/>
  <c r="Y106" i="14"/>
  <c r="AX97" i="14"/>
  <c r="Y97" i="14"/>
  <c r="AX102" i="15"/>
  <c r="Y102" i="15"/>
  <c r="AX104" i="14"/>
  <c r="Y104" i="14"/>
  <c r="AX101" i="15"/>
  <c r="Y101" i="15"/>
  <c r="AX103" i="14"/>
  <c r="Y103" i="14"/>
  <c r="AX100" i="15"/>
  <c r="Y100" i="15"/>
  <c r="AX102" i="14"/>
  <c r="Y102" i="14"/>
  <c r="AX129" i="15"/>
  <c r="Y129" i="15"/>
  <c r="N145" i="15"/>
  <c r="AX119" i="15"/>
  <c r="Y119" i="15"/>
  <c r="AX122" i="14"/>
  <c r="Y122" i="14"/>
  <c r="AX132" i="3"/>
  <c r="Y132" i="3"/>
  <c r="AX121" i="3"/>
  <c r="Y121" i="3"/>
  <c r="Y121" i="12" s="1"/>
  <c r="AX97" i="15"/>
  <c r="Y97" i="15"/>
  <c r="AX125" i="15"/>
  <c r="Y125" i="15"/>
  <c r="AX99" i="15"/>
  <c r="Y99" i="15"/>
  <c r="AX101" i="14"/>
  <c r="Y101" i="14"/>
  <c r="AX128" i="15"/>
  <c r="Y128" i="15"/>
  <c r="AX132" i="14"/>
  <c r="Y132" i="14"/>
  <c r="AX121" i="14"/>
  <c r="Y121" i="14"/>
  <c r="AX129" i="3"/>
  <c r="Y129" i="3"/>
  <c r="AX119" i="3"/>
  <c r="N145" i="3"/>
  <c r="Y119" i="3"/>
  <c r="Y119" i="12" s="1"/>
  <c r="AX103" i="15"/>
  <c r="Y103" i="15"/>
  <c r="AX107" i="15"/>
  <c r="Y107" i="15"/>
  <c r="AX98" i="15"/>
  <c r="Y98" i="15"/>
  <c r="AX100" i="14"/>
  <c r="Y100" i="14"/>
  <c r="AX127" i="15"/>
  <c r="N146" i="15"/>
  <c r="Y127" i="15"/>
  <c r="AX129" i="14"/>
  <c r="Y129" i="14"/>
  <c r="AX119" i="14"/>
  <c r="N145" i="14"/>
  <c r="Y119" i="14"/>
  <c r="AX128" i="3"/>
  <c r="Y128" i="3"/>
  <c r="AX107" i="3"/>
  <c r="Y107" i="3"/>
  <c r="Y107" i="12" s="1"/>
  <c r="AX128" i="14"/>
  <c r="Y128" i="14"/>
  <c r="AX107" i="14"/>
  <c r="Y107" i="14"/>
  <c r="AX127" i="3"/>
  <c r="N146" i="3"/>
  <c r="Y127" i="3"/>
  <c r="AX106" i="3"/>
  <c r="Y106" i="3"/>
  <c r="Y106" i="12" s="1"/>
  <c r="AX106" i="15"/>
  <c r="Y106" i="15"/>
  <c r="AX96" i="15"/>
  <c r="Y96" i="15"/>
  <c r="AX98" i="14"/>
  <c r="Y98" i="14"/>
  <c r="AX124" i="15"/>
  <c r="Y124" i="15"/>
  <c r="AX127" i="14"/>
  <c r="N146" i="14"/>
  <c r="Y127" i="14"/>
  <c r="AX125" i="3"/>
  <c r="Y125" i="3"/>
  <c r="AX104" i="3"/>
  <c r="Y104" i="3"/>
  <c r="Y104" i="12" s="1"/>
  <c r="Y146" i="24"/>
  <c r="Y96" i="12"/>
  <c r="Y143" i="24"/>
  <c r="AX96" i="12"/>
  <c r="Y145" i="24"/>
  <c r="Y144" i="24"/>
  <c r="Y8" i="12"/>
  <c r="Y137" i="24"/>
  <c r="AX8" i="12"/>
  <c r="Y142" i="24"/>
  <c r="AX67" i="12"/>
  <c r="Y136" i="24"/>
  <c r="AX7" i="12"/>
  <c r="N136" i="12"/>
  <c r="Y141" i="24"/>
  <c r="AX7" i="7"/>
  <c r="N136" i="7"/>
  <c r="Y7" i="7"/>
  <c r="Y7" i="12" s="1"/>
  <c r="Y27" i="12"/>
  <c r="Y138" i="24"/>
  <c r="AX27" i="12"/>
  <c r="Y136" i="3"/>
  <c r="AJ144" i="24"/>
  <c r="AX85" i="16" l="1"/>
  <c r="AX100" i="31"/>
  <c r="AX15" i="31"/>
  <c r="AJ104" i="31"/>
  <c r="AJ104" i="16"/>
  <c r="N45" i="16"/>
  <c r="N45" i="31"/>
  <c r="N72" i="16"/>
  <c r="Y125" i="12"/>
  <c r="N72" i="31"/>
  <c r="AU151" i="12"/>
  <c r="AJ28" i="27"/>
  <c r="N90" i="16"/>
  <c r="AX90" i="16" s="1"/>
  <c r="AX72" i="12"/>
  <c r="Y137" i="7"/>
  <c r="Y141" i="19"/>
  <c r="N90" i="27"/>
  <c r="AJ68" i="16"/>
  <c r="AX68" i="16" s="1"/>
  <c r="N90" i="31"/>
  <c r="AX90" i="31" s="1"/>
  <c r="N151" i="12"/>
  <c r="N67" i="16"/>
  <c r="AX67" i="16" s="1"/>
  <c r="N142" i="15"/>
  <c r="J57" i="26" s="1"/>
  <c r="N61" i="27"/>
  <c r="N91" i="27"/>
  <c r="N61" i="31"/>
  <c r="N91" i="31"/>
  <c r="N142" i="12"/>
  <c r="AJ68" i="31"/>
  <c r="AX68" i="12"/>
  <c r="AX87" i="31"/>
  <c r="Y142" i="7"/>
  <c r="AX132" i="7"/>
  <c r="AJ47" i="31"/>
  <c r="AJ46" i="27"/>
  <c r="AX46" i="27" s="1"/>
  <c r="AX125" i="12"/>
  <c r="N138" i="12"/>
  <c r="AJ28" i="16"/>
  <c r="N141" i="12"/>
  <c r="Y145" i="19"/>
  <c r="N125" i="31"/>
  <c r="Y88" i="12"/>
  <c r="AJ142" i="12"/>
  <c r="AU142" i="12" s="1"/>
  <c r="AJ70" i="16"/>
  <c r="AX70" i="16" s="1"/>
  <c r="N125" i="16"/>
  <c r="AX125" i="16" s="1"/>
  <c r="N88" i="31"/>
  <c r="AX88" i="31" s="1"/>
  <c r="AJ46" i="16"/>
  <c r="AJ38" i="31"/>
  <c r="AJ10" i="16"/>
  <c r="N145" i="27"/>
  <c r="AX88" i="12"/>
  <c r="AJ46" i="31"/>
  <c r="AJ10" i="31"/>
  <c r="AX10" i="31" s="1"/>
  <c r="AX16" i="31"/>
  <c r="AX28" i="12"/>
  <c r="AX85" i="31"/>
  <c r="AJ101" i="31"/>
  <c r="AX101" i="31" s="1"/>
  <c r="N145" i="12"/>
  <c r="AX100" i="16"/>
  <c r="AX46" i="7"/>
  <c r="AX47" i="12"/>
  <c r="AX52" i="12"/>
  <c r="AJ47" i="16"/>
  <c r="AJ141" i="24"/>
  <c r="AJ141" i="19"/>
  <c r="Y52" i="12"/>
  <c r="Y128" i="7"/>
  <c r="Y128" i="12" s="1"/>
  <c r="AX15" i="16"/>
  <c r="AX16" i="27"/>
  <c r="N51" i="31"/>
  <c r="AX51" i="14"/>
  <c r="N133" i="3"/>
  <c r="N51" i="16"/>
  <c r="AJ141" i="3"/>
  <c r="Y51" i="14"/>
  <c r="Y141" i="14" s="1"/>
  <c r="N51" i="27"/>
  <c r="AX61" i="12"/>
  <c r="AX61" i="24"/>
  <c r="AX63" i="12"/>
  <c r="AX63" i="24"/>
  <c r="AX64" i="12"/>
  <c r="AX64" i="24"/>
  <c r="AX62" i="12"/>
  <c r="AX62" i="24"/>
  <c r="Y51" i="15"/>
  <c r="Y141" i="15" s="1"/>
  <c r="AX51" i="15"/>
  <c r="AJ63" i="31"/>
  <c r="AX63" i="31" s="1"/>
  <c r="Y43" i="7"/>
  <c r="N146" i="7"/>
  <c r="AJ146" i="7"/>
  <c r="AJ138" i="12"/>
  <c r="AU138" i="12" s="1"/>
  <c r="Y15" i="31"/>
  <c r="Y15" i="16"/>
  <c r="Y15" i="27"/>
  <c r="AX29" i="19"/>
  <c r="N28" i="31"/>
  <c r="AX28" i="31" s="1"/>
  <c r="AJ101" i="27"/>
  <c r="AX101" i="27" s="1"/>
  <c r="AX128" i="7"/>
  <c r="AX129" i="19"/>
  <c r="AJ31" i="27"/>
  <c r="AX15" i="27"/>
  <c r="AX101" i="12"/>
  <c r="AX128" i="12"/>
  <c r="Y132" i="7"/>
  <c r="Y132" i="12" s="1"/>
  <c r="Y132" i="27" s="1"/>
  <c r="AX101" i="16"/>
  <c r="N139" i="3"/>
  <c r="AJ112" i="16"/>
  <c r="AJ112" i="31"/>
  <c r="AJ112" i="27"/>
  <c r="Y16" i="31"/>
  <c r="Y16" i="16"/>
  <c r="Y16" i="27"/>
  <c r="Y129" i="7"/>
  <c r="Y129" i="12" s="1"/>
  <c r="AX111" i="7"/>
  <c r="Y111" i="7"/>
  <c r="Y111" i="12" s="1"/>
  <c r="AX108" i="12"/>
  <c r="N108" i="16"/>
  <c r="AX108" i="16" s="1"/>
  <c r="N108" i="31"/>
  <c r="AX108" i="31" s="1"/>
  <c r="N108" i="27"/>
  <c r="AX108" i="27" s="1"/>
  <c r="Y88" i="27"/>
  <c r="AX129" i="7"/>
  <c r="AJ144" i="7"/>
  <c r="Y13" i="27"/>
  <c r="Y13" i="31"/>
  <c r="Y13" i="16"/>
  <c r="Y14" i="31"/>
  <c r="Y14" i="16"/>
  <c r="Y14" i="27"/>
  <c r="Y105" i="31"/>
  <c r="Y105" i="27"/>
  <c r="Y105" i="16"/>
  <c r="AX13" i="12"/>
  <c r="N13" i="31"/>
  <c r="AX13" i="31" s="1"/>
  <c r="N13" i="16"/>
  <c r="AX13" i="16" s="1"/>
  <c r="N13" i="27"/>
  <c r="AX13" i="27" s="1"/>
  <c r="AJ109" i="31"/>
  <c r="AJ109" i="27"/>
  <c r="AJ109" i="16"/>
  <c r="AJ143" i="16" s="1"/>
  <c r="N14" i="31"/>
  <c r="AX14" i="31" s="1"/>
  <c r="N14" i="27"/>
  <c r="AX14" i="27" s="1"/>
  <c r="N14" i="16"/>
  <c r="AX14" i="16" s="1"/>
  <c r="AX14" i="12"/>
  <c r="N105" i="31"/>
  <c r="AX105" i="31" s="1"/>
  <c r="AX105" i="12"/>
  <c r="N105" i="27"/>
  <c r="AX105" i="27" s="1"/>
  <c r="N105" i="16"/>
  <c r="AX105" i="16" s="1"/>
  <c r="Y112" i="7"/>
  <c r="Y112" i="12" s="1"/>
  <c r="AX112" i="7"/>
  <c r="Y138" i="7"/>
  <c r="AJ111" i="31"/>
  <c r="AJ111" i="27"/>
  <c r="AJ111" i="16"/>
  <c r="N158" i="12"/>
  <c r="J14" i="26" s="1"/>
  <c r="AX109" i="7"/>
  <c r="Y109" i="7"/>
  <c r="N143" i="7"/>
  <c r="AX110" i="7"/>
  <c r="N144" i="7"/>
  <c r="Y110" i="7"/>
  <c r="AX110" i="12"/>
  <c r="N137" i="12"/>
  <c r="Y108" i="31"/>
  <c r="Y108" i="16"/>
  <c r="Y108" i="27"/>
  <c r="N104" i="16"/>
  <c r="AX104" i="16" s="1"/>
  <c r="AJ10" i="27"/>
  <c r="AX85" i="27"/>
  <c r="AX100" i="27"/>
  <c r="AJ38" i="16"/>
  <c r="AX27" i="19"/>
  <c r="Y142" i="19"/>
  <c r="AJ38" i="27"/>
  <c r="AJ128" i="31"/>
  <c r="AJ132" i="27"/>
  <c r="AJ8" i="27"/>
  <c r="N34" i="16"/>
  <c r="AX128" i="19"/>
  <c r="N133" i="7"/>
  <c r="N133" i="24"/>
  <c r="AJ8" i="16"/>
  <c r="AJ8" i="31"/>
  <c r="AX8" i="31" s="1"/>
  <c r="N139" i="7"/>
  <c r="AJ11" i="27"/>
  <c r="N29" i="31"/>
  <c r="AJ18" i="16"/>
  <c r="AJ9" i="27"/>
  <c r="AJ18" i="27"/>
  <c r="AX44" i="16"/>
  <c r="AX127" i="19"/>
  <c r="AJ9" i="16"/>
  <c r="Y29" i="19"/>
  <c r="Y138" i="19" s="1"/>
  <c r="AX43" i="19"/>
  <c r="Y137" i="19"/>
  <c r="AJ132" i="31"/>
  <c r="AX132" i="31" s="1"/>
  <c r="AX124" i="12"/>
  <c r="AJ145" i="12"/>
  <c r="AU145" i="12" s="1"/>
  <c r="N132" i="27"/>
  <c r="Y44" i="16"/>
  <c r="Y44" i="27"/>
  <c r="Y140" i="24"/>
  <c r="AJ124" i="31"/>
  <c r="AX124" i="31" s="1"/>
  <c r="AX44" i="27"/>
  <c r="AJ36" i="16"/>
  <c r="AJ128" i="27"/>
  <c r="AJ31" i="31"/>
  <c r="AJ12" i="31"/>
  <c r="AX12" i="31" s="1"/>
  <c r="AX34" i="24"/>
  <c r="AJ27" i="27"/>
  <c r="AJ27" i="31"/>
  <c r="AJ124" i="27"/>
  <c r="AX124" i="27" s="1"/>
  <c r="AJ119" i="31"/>
  <c r="AX119" i="31" s="1"/>
  <c r="N140" i="3"/>
  <c r="AX40" i="19"/>
  <c r="N140" i="19"/>
  <c r="Y43" i="19"/>
  <c r="Y140" i="19" s="1"/>
  <c r="Y97" i="31"/>
  <c r="Y70" i="16"/>
  <c r="Y78" i="27"/>
  <c r="N140" i="12"/>
  <c r="AJ132" i="16"/>
  <c r="AX43" i="3"/>
  <c r="AX34" i="15"/>
  <c r="AJ29" i="27"/>
  <c r="N104" i="31"/>
  <c r="AX104" i="31" s="1"/>
  <c r="Y85" i="27"/>
  <c r="Y71" i="31"/>
  <c r="AJ34" i="16"/>
  <c r="AJ29" i="31"/>
  <c r="AX104" i="12"/>
  <c r="N139" i="15"/>
  <c r="J54" i="26" s="1"/>
  <c r="AJ18" i="31"/>
  <c r="AJ30" i="16"/>
  <c r="AX87" i="16"/>
  <c r="N128" i="16"/>
  <c r="AX30" i="19"/>
  <c r="AX119" i="12"/>
  <c r="Y68" i="16"/>
  <c r="Y77" i="31"/>
  <c r="Y83" i="31"/>
  <c r="Y34" i="3"/>
  <c r="Y133" i="3" s="1"/>
  <c r="Y34" i="24"/>
  <c r="AJ143" i="12"/>
  <c r="AU143" i="12" s="1"/>
  <c r="AJ17" i="27"/>
  <c r="AJ9" i="31"/>
  <c r="AX9" i="31" s="1"/>
  <c r="AJ31" i="16"/>
  <c r="AJ30" i="27"/>
  <c r="AJ12" i="27"/>
  <c r="AJ119" i="16"/>
  <c r="AX119" i="16" s="1"/>
  <c r="N132" i="31"/>
  <c r="N128" i="27"/>
  <c r="AX52" i="19"/>
  <c r="AX34" i="3"/>
  <c r="AX43" i="15"/>
  <c r="AJ11" i="16"/>
  <c r="AJ119" i="27"/>
  <c r="AX119" i="27" s="1"/>
  <c r="AX132" i="12"/>
  <c r="N128" i="31"/>
  <c r="AX128" i="31" s="1"/>
  <c r="AJ36" i="27"/>
  <c r="Y140" i="7"/>
  <c r="AJ11" i="31"/>
  <c r="AX11" i="31" s="1"/>
  <c r="AJ138" i="19"/>
  <c r="Y140" i="3"/>
  <c r="Y43" i="12"/>
  <c r="AJ129" i="16"/>
  <c r="Y103" i="31"/>
  <c r="AX78" i="31"/>
  <c r="AJ129" i="31"/>
  <c r="N47" i="31"/>
  <c r="Y36" i="12"/>
  <c r="Y36" i="16" s="1"/>
  <c r="N27" i="31"/>
  <c r="N18" i="31"/>
  <c r="Y99" i="16"/>
  <c r="Y87" i="27"/>
  <c r="Y38" i="12"/>
  <c r="Y38" i="31" s="1"/>
  <c r="N30" i="27"/>
  <c r="AX87" i="27"/>
  <c r="AX28" i="19"/>
  <c r="Y102" i="31"/>
  <c r="Y89" i="31"/>
  <c r="Y84" i="31"/>
  <c r="AX107" i="27"/>
  <c r="N31" i="16"/>
  <c r="AX132" i="19"/>
  <c r="AJ146" i="19"/>
  <c r="Y100" i="31"/>
  <c r="Y91" i="27"/>
  <c r="AJ17" i="16"/>
  <c r="N138" i="19"/>
  <c r="Y101" i="31"/>
  <c r="N133" i="19"/>
  <c r="AJ17" i="31"/>
  <c r="AX17" i="31" s="1"/>
  <c r="AJ12" i="16"/>
  <c r="N132" i="16"/>
  <c r="AJ129" i="27"/>
  <c r="Y98" i="31"/>
  <c r="Y86" i="31"/>
  <c r="Y72" i="31"/>
  <c r="Y90" i="16"/>
  <c r="N133" i="15"/>
  <c r="AX77" i="27"/>
  <c r="AX98" i="27"/>
  <c r="N46" i="31"/>
  <c r="AX83" i="16"/>
  <c r="AX86" i="16"/>
  <c r="Y78" i="16"/>
  <c r="Y99" i="31"/>
  <c r="N18" i="16"/>
  <c r="N67" i="27"/>
  <c r="Y84" i="27"/>
  <c r="Y87" i="16"/>
  <c r="Y68" i="31"/>
  <c r="Y85" i="31"/>
  <c r="Y88" i="31"/>
  <c r="Y70" i="31"/>
  <c r="AX89" i="31"/>
  <c r="N11" i="16"/>
  <c r="N31" i="27"/>
  <c r="AX71" i="31"/>
  <c r="AX124" i="16"/>
  <c r="Y90" i="31"/>
  <c r="AX123" i="16"/>
  <c r="AX72" i="31"/>
  <c r="Y91" i="16"/>
  <c r="AJ39" i="16"/>
  <c r="AX77" i="16"/>
  <c r="AX98" i="31"/>
  <c r="AX106" i="16"/>
  <c r="AX83" i="27"/>
  <c r="AX86" i="27"/>
  <c r="Y78" i="31"/>
  <c r="N18" i="27"/>
  <c r="N67" i="31"/>
  <c r="AX67" i="31" s="1"/>
  <c r="Y87" i="31"/>
  <c r="N8" i="27"/>
  <c r="Y68" i="27"/>
  <c r="AX103" i="16"/>
  <c r="AX95" i="16"/>
  <c r="N11" i="27"/>
  <c r="N31" i="31"/>
  <c r="Y102" i="27"/>
  <c r="AX123" i="27"/>
  <c r="Y97" i="16"/>
  <c r="Y91" i="31"/>
  <c r="AJ39" i="27"/>
  <c r="AJ139" i="19"/>
  <c r="Y40" i="12"/>
  <c r="Y40" i="27" s="1"/>
  <c r="AX77" i="31"/>
  <c r="AX104" i="27"/>
  <c r="AX106" i="27"/>
  <c r="AX83" i="31"/>
  <c r="AX86" i="31"/>
  <c r="AX99" i="16"/>
  <c r="N7" i="16"/>
  <c r="AX7" i="16" s="1"/>
  <c r="AX84" i="27"/>
  <c r="N8" i="16"/>
  <c r="AX103" i="27"/>
  <c r="AX88" i="27"/>
  <c r="AX95" i="27"/>
  <c r="N10" i="16"/>
  <c r="Y89" i="16"/>
  <c r="Y71" i="27"/>
  <c r="Y102" i="16"/>
  <c r="AX123" i="31"/>
  <c r="Y72" i="16"/>
  <c r="Y97" i="27"/>
  <c r="AX91" i="16"/>
  <c r="AJ39" i="31"/>
  <c r="Y98" i="27"/>
  <c r="AX106" i="31"/>
  <c r="Y100" i="16"/>
  <c r="AX78" i="16"/>
  <c r="AX99" i="27"/>
  <c r="N47" i="16"/>
  <c r="N7" i="27"/>
  <c r="AX84" i="16"/>
  <c r="AX103" i="31"/>
  <c r="AX88" i="16"/>
  <c r="N30" i="16"/>
  <c r="AX70" i="27"/>
  <c r="AX95" i="31"/>
  <c r="AX121" i="31"/>
  <c r="N10" i="27"/>
  <c r="Y89" i="27"/>
  <c r="Y71" i="16"/>
  <c r="AX90" i="27"/>
  <c r="Y72" i="27"/>
  <c r="AX91" i="27"/>
  <c r="Y77" i="16"/>
  <c r="Y98" i="16"/>
  <c r="N17" i="27"/>
  <c r="Y83" i="27"/>
  <c r="Y100" i="27"/>
  <c r="AX107" i="16"/>
  <c r="AX78" i="27"/>
  <c r="AX99" i="31"/>
  <c r="N47" i="27"/>
  <c r="AX47" i="27" s="1"/>
  <c r="AX84" i="31"/>
  <c r="N29" i="27"/>
  <c r="AX68" i="27"/>
  <c r="Y103" i="27"/>
  <c r="N9" i="27"/>
  <c r="N30" i="31"/>
  <c r="AX30" i="31" s="1"/>
  <c r="AX70" i="31"/>
  <c r="AX121" i="27"/>
  <c r="AX102" i="16"/>
  <c r="N12" i="16"/>
  <c r="AX91" i="31"/>
  <c r="AX31" i="19"/>
  <c r="Y146" i="19"/>
  <c r="Y77" i="27"/>
  <c r="N17" i="16"/>
  <c r="N27" i="16"/>
  <c r="AX27" i="16" s="1"/>
  <c r="Y83" i="16"/>
  <c r="Y86" i="27"/>
  <c r="N28" i="16"/>
  <c r="AX28" i="16" s="1"/>
  <c r="Y101" i="16"/>
  <c r="N29" i="16"/>
  <c r="AX29" i="16" s="1"/>
  <c r="AX68" i="31"/>
  <c r="Y103" i="16"/>
  <c r="N9" i="16"/>
  <c r="AX121" i="16"/>
  <c r="AX122" i="16"/>
  <c r="AX102" i="27"/>
  <c r="N12" i="27"/>
  <c r="AX97" i="27"/>
  <c r="AJ137" i="19"/>
  <c r="Y143" i="15"/>
  <c r="AJ142" i="31"/>
  <c r="N46" i="16"/>
  <c r="AX125" i="27"/>
  <c r="N27" i="27"/>
  <c r="Y86" i="16"/>
  <c r="AX107" i="31"/>
  <c r="Y99" i="27"/>
  <c r="N28" i="27"/>
  <c r="AX28" i="27" s="1"/>
  <c r="Y84" i="16"/>
  <c r="Y101" i="27"/>
  <c r="Y85" i="16"/>
  <c r="Y88" i="16"/>
  <c r="Y70" i="27"/>
  <c r="AX89" i="27"/>
  <c r="AX122" i="27"/>
  <c r="AX71" i="16"/>
  <c r="AX96" i="27"/>
  <c r="Y90" i="27"/>
  <c r="AX102" i="31"/>
  <c r="AX72" i="27"/>
  <c r="AX97" i="16"/>
  <c r="N146" i="19"/>
  <c r="Y146" i="14"/>
  <c r="AX98" i="16"/>
  <c r="AX125" i="31"/>
  <c r="AX89" i="16"/>
  <c r="AX122" i="31"/>
  <c r="AX71" i="27"/>
  <c r="AX72" i="16"/>
  <c r="AX97" i="31"/>
  <c r="AJ144" i="12"/>
  <c r="AU144" i="12" s="1"/>
  <c r="AJ110" i="31"/>
  <c r="AJ110" i="27"/>
  <c r="AJ110" i="16"/>
  <c r="Y138" i="12"/>
  <c r="Y141" i="12"/>
  <c r="Y52" i="31"/>
  <c r="Y52" i="27"/>
  <c r="Y52" i="16"/>
  <c r="Y136" i="12"/>
  <c r="Y142" i="12"/>
  <c r="Y119" i="31"/>
  <c r="Y119" i="16"/>
  <c r="Y119" i="27"/>
  <c r="Y137" i="12"/>
  <c r="Y121" i="31"/>
  <c r="Y121" i="27"/>
  <c r="Y121" i="16"/>
  <c r="Y96" i="27"/>
  <c r="Y96" i="31"/>
  <c r="Y96" i="16"/>
  <c r="Y104" i="27"/>
  <c r="Y104" i="31"/>
  <c r="Y104" i="16"/>
  <c r="Y125" i="31"/>
  <c r="Y125" i="27"/>
  <c r="Y125" i="16"/>
  <c r="Y106" i="31"/>
  <c r="Y106" i="16"/>
  <c r="Y106" i="27"/>
  <c r="Y107" i="31"/>
  <c r="Y107" i="16"/>
  <c r="Y107" i="27"/>
  <c r="Y122" i="31"/>
  <c r="Y122" i="16"/>
  <c r="Y122" i="27"/>
  <c r="Y123" i="31"/>
  <c r="Y123" i="16"/>
  <c r="Y123" i="27"/>
  <c r="Y124" i="27"/>
  <c r="Y124" i="16"/>
  <c r="Y124" i="31"/>
  <c r="AJ52" i="16"/>
  <c r="AJ52" i="27"/>
  <c r="AX52" i="27" s="1"/>
  <c r="AX45" i="12"/>
  <c r="AJ45" i="31"/>
  <c r="AX45" i="31" s="1"/>
  <c r="AJ45" i="27"/>
  <c r="AX45" i="27" s="1"/>
  <c r="AJ45" i="16"/>
  <c r="AX45" i="16" s="1"/>
  <c r="AJ34" i="31"/>
  <c r="AJ34" i="27"/>
  <c r="Y35" i="31"/>
  <c r="Y35" i="16"/>
  <c r="Y35" i="27"/>
  <c r="N35" i="31"/>
  <c r="N35" i="27"/>
  <c r="N35" i="16"/>
  <c r="AX38" i="12"/>
  <c r="N38" i="27"/>
  <c r="N38" i="16"/>
  <c r="N38" i="31"/>
  <c r="AX38" i="31" s="1"/>
  <c r="AX36" i="12"/>
  <c r="N36" i="31"/>
  <c r="AX36" i="31" s="1"/>
  <c r="N36" i="27"/>
  <c r="N36" i="16"/>
  <c r="AX36" i="16" s="1"/>
  <c r="N40" i="31"/>
  <c r="N40" i="16"/>
  <c r="N40" i="27"/>
  <c r="AJ146" i="12"/>
  <c r="AU146" i="12" s="1"/>
  <c r="AJ127" i="31"/>
  <c r="AJ127" i="27"/>
  <c r="AJ127" i="16"/>
  <c r="AX129" i="12"/>
  <c r="N129" i="31"/>
  <c r="N129" i="16"/>
  <c r="N129" i="27"/>
  <c r="N127" i="31"/>
  <c r="N127" i="27"/>
  <c r="N127" i="16"/>
  <c r="N141" i="16"/>
  <c r="N136" i="16"/>
  <c r="AX7" i="31"/>
  <c r="N136" i="31"/>
  <c r="N145" i="31"/>
  <c r="AX96" i="16"/>
  <c r="AX96" i="31"/>
  <c r="N139" i="19"/>
  <c r="AX34" i="19"/>
  <c r="Y34" i="19"/>
  <c r="AX40" i="12"/>
  <c r="Y146" i="3"/>
  <c r="Y146" i="15"/>
  <c r="AX45" i="7"/>
  <c r="N139" i="24"/>
  <c r="N147" i="24" s="1"/>
  <c r="N137" i="15"/>
  <c r="J52" i="26" s="1"/>
  <c r="Y45" i="12"/>
  <c r="Y143" i="3"/>
  <c r="AJ140" i="14"/>
  <c r="Y143" i="14"/>
  <c r="AJ140" i="7"/>
  <c r="AX43" i="7"/>
  <c r="Y145" i="14"/>
  <c r="Y145" i="3"/>
  <c r="AJ141" i="7"/>
  <c r="AX52" i="7"/>
  <c r="Y145" i="15"/>
  <c r="AJ139" i="7"/>
  <c r="AX34" i="7"/>
  <c r="AX35" i="12"/>
  <c r="Y145" i="12"/>
  <c r="Y142" i="14"/>
  <c r="Y139" i="15"/>
  <c r="Y136" i="7"/>
  <c r="AX67" i="15"/>
  <c r="Y67" i="15"/>
  <c r="Y142" i="15" s="1"/>
  <c r="AJ139" i="14"/>
  <c r="AX34" i="14"/>
  <c r="AX39" i="24"/>
  <c r="Y39" i="24"/>
  <c r="AX30" i="15"/>
  <c r="Y30" i="15"/>
  <c r="AX31" i="15"/>
  <c r="Y31" i="15"/>
  <c r="AX18" i="15"/>
  <c r="Y18" i="15"/>
  <c r="Y137" i="15" s="1"/>
  <c r="AX47" i="15"/>
  <c r="Y47" i="15"/>
  <c r="AX27" i="15"/>
  <c r="N138" i="15"/>
  <c r="J53" i="26" s="1"/>
  <c r="Y27" i="15"/>
  <c r="AX12" i="14"/>
  <c r="Y12" i="14"/>
  <c r="AX43" i="14"/>
  <c r="N140" i="14"/>
  <c r="Y43" i="14"/>
  <c r="AX30" i="14"/>
  <c r="Y30" i="14"/>
  <c r="AX10" i="14"/>
  <c r="Y10" i="14"/>
  <c r="Y127" i="12"/>
  <c r="N146" i="12"/>
  <c r="AX127" i="12"/>
  <c r="AX28" i="14"/>
  <c r="Y28" i="14"/>
  <c r="AX8" i="14"/>
  <c r="N137" i="14"/>
  <c r="Y8" i="14"/>
  <c r="Y8" i="27" s="1"/>
  <c r="AX27" i="14"/>
  <c r="N138" i="14"/>
  <c r="Y27" i="14"/>
  <c r="AX7" i="14"/>
  <c r="N133" i="14"/>
  <c r="N136" i="14"/>
  <c r="Y7" i="14"/>
  <c r="Y7" i="16" s="1"/>
  <c r="AX47" i="14"/>
  <c r="Y47" i="14"/>
  <c r="AX18" i="14"/>
  <c r="Y18" i="14"/>
  <c r="AX46" i="14"/>
  <c r="Y46" i="14"/>
  <c r="AX17" i="14"/>
  <c r="Y17" i="14"/>
  <c r="AX31" i="14"/>
  <c r="Y31" i="14"/>
  <c r="AX11" i="14"/>
  <c r="Y11" i="14"/>
  <c r="AX29" i="14"/>
  <c r="Y29" i="14"/>
  <c r="AX9" i="14"/>
  <c r="Y9" i="14"/>
  <c r="Y136" i="15"/>
  <c r="AJ143" i="31" l="1"/>
  <c r="AX10" i="16"/>
  <c r="AX47" i="31"/>
  <c r="AX38" i="27"/>
  <c r="AX8" i="16"/>
  <c r="AX9" i="27"/>
  <c r="N145" i="16"/>
  <c r="Y40" i="31"/>
  <c r="N141" i="27"/>
  <c r="N142" i="16"/>
  <c r="Y40" i="16"/>
  <c r="N141" i="31"/>
  <c r="N161" i="12"/>
  <c r="J17" i="26" s="1"/>
  <c r="N152" i="12"/>
  <c r="N160" i="12"/>
  <c r="J16" i="26" s="1"/>
  <c r="N153" i="12"/>
  <c r="J9" i="26" s="1"/>
  <c r="N157" i="12"/>
  <c r="J13" i="26" s="1"/>
  <c r="J7" i="26"/>
  <c r="AX27" i="31"/>
  <c r="AJ142" i="16"/>
  <c r="AX9" i="16"/>
  <c r="Y36" i="31"/>
  <c r="Y36" i="27"/>
  <c r="Y145" i="27"/>
  <c r="AJ52" i="31"/>
  <c r="AX52" i="31" s="1"/>
  <c r="AX46" i="16"/>
  <c r="N147" i="3"/>
  <c r="AX47" i="16"/>
  <c r="Y128" i="16"/>
  <c r="Y128" i="27"/>
  <c r="Y128" i="31"/>
  <c r="N137" i="27"/>
  <c r="Y146" i="7"/>
  <c r="AX29" i="27"/>
  <c r="AX46" i="31"/>
  <c r="N142" i="31"/>
  <c r="N146" i="27"/>
  <c r="AX10" i="27"/>
  <c r="AX7" i="27"/>
  <c r="N136" i="27"/>
  <c r="AX67" i="27"/>
  <c r="N142" i="27"/>
  <c r="AX27" i="27"/>
  <c r="N138" i="27"/>
  <c r="AJ62" i="16"/>
  <c r="AX62" i="16" s="1"/>
  <c r="AJ61" i="31"/>
  <c r="AX61" i="31" s="1"/>
  <c r="AJ63" i="16"/>
  <c r="AX63" i="16" s="1"/>
  <c r="AJ141" i="12"/>
  <c r="AU141" i="12" s="1"/>
  <c r="AX129" i="27"/>
  <c r="Y133" i="7"/>
  <c r="AJ62" i="31"/>
  <c r="AX62" i="31" s="1"/>
  <c r="AJ144" i="31"/>
  <c r="AJ63" i="27"/>
  <c r="AX63" i="27" s="1"/>
  <c r="AJ51" i="31"/>
  <c r="AX51" i="31" s="1"/>
  <c r="AJ51" i="27"/>
  <c r="AX51" i="27" s="1"/>
  <c r="AJ51" i="16"/>
  <c r="AX51" i="16" s="1"/>
  <c r="AX51" i="12"/>
  <c r="AJ64" i="27"/>
  <c r="AX64" i="27" s="1"/>
  <c r="AX38" i="16"/>
  <c r="AJ61" i="27"/>
  <c r="AX61" i="27" s="1"/>
  <c r="AJ62" i="27"/>
  <c r="AX62" i="27" s="1"/>
  <c r="AJ64" i="16"/>
  <c r="AX64" i="16" s="1"/>
  <c r="AJ61" i="16"/>
  <c r="AX61" i="16" s="1"/>
  <c r="AJ64" i="31"/>
  <c r="AX64" i="31" s="1"/>
  <c r="Y51" i="31"/>
  <c r="Y141" i="31" s="1"/>
  <c r="Y51" i="16"/>
  <c r="Y141" i="16" s="1"/>
  <c r="Y51" i="27"/>
  <c r="Y141" i="27" s="1"/>
  <c r="N139" i="12"/>
  <c r="N34" i="27"/>
  <c r="AJ144" i="16"/>
  <c r="AX34" i="12"/>
  <c r="N34" i="31"/>
  <c r="AX129" i="31"/>
  <c r="AX128" i="27"/>
  <c r="AX31" i="27"/>
  <c r="Y38" i="27"/>
  <c r="Y38" i="16"/>
  <c r="AJ146" i="31"/>
  <c r="AX132" i="27"/>
  <c r="N147" i="7"/>
  <c r="AJ128" i="16"/>
  <c r="AX128" i="16" s="1"/>
  <c r="N110" i="16"/>
  <c r="AX110" i="16" s="1"/>
  <c r="N144" i="12"/>
  <c r="N110" i="27"/>
  <c r="N110" i="31"/>
  <c r="AX110" i="31" s="1"/>
  <c r="AX11" i="16"/>
  <c r="Y144" i="7"/>
  <c r="Y110" i="12"/>
  <c r="N112" i="16"/>
  <c r="AX112" i="16" s="1"/>
  <c r="N112" i="27"/>
  <c r="AX112" i="27" s="1"/>
  <c r="AX112" i="12"/>
  <c r="N112" i="31"/>
  <c r="AX112" i="31" s="1"/>
  <c r="AX8" i="27"/>
  <c r="Y109" i="12"/>
  <c r="Y143" i="7"/>
  <c r="Y112" i="27"/>
  <c r="Y112" i="31"/>
  <c r="Y112" i="16"/>
  <c r="N111" i="16"/>
  <c r="AX111" i="16" s="1"/>
  <c r="N111" i="31"/>
  <c r="AX111" i="31" s="1"/>
  <c r="AX111" i="12"/>
  <c r="N111" i="27"/>
  <c r="AX111" i="27" s="1"/>
  <c r="N109" i="27"/>
  <c r="AX109" i="27" s="1"/>
  <c r="AX109" i="12"/>
  <c r="N109" i="31"/>
  <c r="N109" i="16"/>
  <c r="N143" i="12"/>
  <c r="Y111" i="31"/>
  <c r="Y111" i="16"/>
  <c r="Y111" i="27"/>
  <c r="AX11" i="27"/>
  <c r="AX12" i="16"/>
  <c r="AX30" i="27"/>
  <c r="AX132" i="16"/>
  <c r="AX18" i="27"/>
  <c r="AX12" i="27"/>
  <c r="AX30" i="16"/>
  <c r="AX18" i="16"/>
  <c r="AJ145" i="31"/>
  <c r="AX18" i="31"/>
  <c r="AJ138" i="16"/>
  <c r="AX127" i="27"/>
  <c r="Y139" i="3"/>
  <c r="Y147" i="3" s="1"/>
  <c r="Y132" i="16"/>
  <c r="Y132" i="31"/>
  <c r="AX36" i="27"/>
  <c r="N43" i="27"/>
  <c r="N140" i="27" s="1"/>
  <c r="N43" i="16"/>
  <c r="N140" i="16" s="1"/>
  <c r="AJ138" i="31"/>
  <c r="AX31" i="31"/>
  <c r="N137" i="16"/>
  <c r="AX52" i="16"/>
  <c r="AJ137" i="16"/>
  <c r="Y34" i="12"/>
  <c r="Y34" i="16" s="1"/>
  <c r="AX17" i="16"/>
  <c r="AX17" i="27"/>
  <c r="AX31" i="16"/>
  <c r="N43" i="31"/>
  <c r="N140" i="31" s="1"/>
  <c r="AJ145" i="16"/>
  <c r="AX29" i="31"/>
  <c r="AX129" i="16"/>
  <c r="N137" i="31"/>
  <c r="AJ137" i="31"/>
  <c r="Y140" i="12"/>
  <c r="Y139" i="24"/>
  <c r="Y147" i="24" s="1"/>
  <c r="N147" i="19"/>
  <c r="N138" i="31"/>
  <c r="Y138" i="14"/>
  <c r="Y140" i="14"/>
  <c r="Y133" i="15"/>
  <c r="N138" i="16"/>
  <c r="Y47" i="27"/>
  <c r="Y47" i="31"/>
  <c r="Y47" i="16"/>
  <c r="Y43" i="16"/>
  <c r="Y7" i="27"/>
  <c r="Y136" i="27" s="1"/>
  <c r="Y27" i="27"/>
  <c r="Y18" i="31"/>
  <c r="Y18" i="27"/>
  <c r="Y18" i="16"/>
  <c r="Y12" i="31"/>
  <c r="Y12" i="27"/>
  <c r="Y12" i="16"/>
  <c r="Y43" i="31"/>
  <c r="Y7" i="31"/>
  <c r="Y136" i="31" s="1"/>
  <c r="Y27" i="31"/>
  <c r="Y11" i="31"/>
  <c r="Y11" i="16"/>
  <c r="Y11" i="27"/>
  <c r="Y10" i="27"/>
  <c r="Y10" i="31"/>
  <c r="Y10" i="16"/>
  <c r="Y145" i="31"/>
  <c r="Y9" i="31"/>
  <c r="Y9" i="27"/>
  <c r="Y9" i="16"/>
  <c r="Y17" i="31"/>
  <c r="Y17" i="27"/>
  <c r="Y17" i="16"/>
  <c r="Y67" i="27"/>
  <c r="Y142" i="27" s="1"/>
  <c r="N147" i="14"/>
  <c r="Y46" i="31"/>
  <c r="Y46" i="16"/>
  <c r="Y46" i="27"/>
  <c r="AJ139" i="12"/>
  <c r="AU139" i="12" s="1"/>
  <c r="Y8" i="16"/>
  <c r="Y67" i="16"/>
  <c r="Y142" i="16" s="1"/>
  <c r="Y31" i="31"/>
  <c r="Y31" i="27"/>
  <c r="Y31" i="16"/>
  <c r="Y138" i="15"/>
  <c r="Y29" i="31"/>
  <c r="Y29" i="27"/>
  <c r="Y29" i="16"/>
  <c r="Y28" i="27"/>
  <c r="Y28" i="31"/>
  <c r="Y28" i="16"/>
  <c r="Y30" i="27"/>
  <c r="Y30" i="31"/>
  <c r="Y30" i="16"/>
  <c r="N147" i="15"/>
  <c r="Y8" i="31"/>
  <c r="Y67" i="31"/>
  <c r="Y142" i="31" s="1"/>
  <c r="Y145" i="16"/>
  <c r="Y139" i="19"/>
  <c r="Y147" i="19" s="1"/>
  <c r="Y133" i="19"/>
  <c r="Y43" i="27"/>
  <c r="Y27" i="16"/>
  <c r="Y146" i="12"/>
  <c r="Y127" i="31"/>
  <c r="Y127" i="16"/>
  <c r="Y127" i="27"/>
  <c r="N39" i="31"/>
  <c r="N39" i="27"/>
  <c r="N39" i="16"/>
  <c r="AX39" i="16" s="1"/>
  <c r="AJ35" i="31"/>
  <c r="AX35" i="31" s="1"/>
  <c r="AJ35" i="27"/>
  <c r="AX35" i="27" s="1"/>
  <c r="AJ35" i="16"/>
  <c r="Y129" i="31"/>
  <c r="Y129" i="27"/>
  <c r="Y129" i="16"/>
  <c r="AJ43" i="31"/>
  <c r="AJ43" i="27"/>
  <c r="AJ43" i="16"/>
  <c r="Y45" i="31"/>
  <c r="Y45" i="27"/>
  <c r="Y45" i="16"/>
  <c r="AJ40" i="16"/>
  <c r="AX40" i="16" s="1"/>
  <c r="AJ40" i="27"/>
  <c r="AX40" i="27" s="1"/>
  <c r="AJ40" i="31"/>
  <c r="AX40" i="31" s="1"/>
  <c r="AX127" i="16"/>
  <c r="N146" i="16"/>
  <c r="AX127" i="31"/>
  <c r="N146" i="31"/>
  <c r="AX34" i="16"/>
  <c r="AX34" i="31"/>
  <c r="Y136" i="16"/>
  <c r="Y137" i="14"/>
  <c r="Y39" i="12"/>
  <c r="Y133" i="24"/>
  <c r="Y140" i="15"/>
  <c r="AX39" i="12"/>
  <c r="N133" i="12"/>
  <c r="AJ140" i="12"/>
  <c r="AU140" i="12" s="1"/>
  <c r="AX43" i="12"/>
  <c r="Y136" i="14"/>
  <c r="Y133" i="14"/>
  <c r="N156" i="12" l="1"/>
  <c r="J12" i="26" s="1"/>
  <c r="N155" i="12"/>
  <c r="J11" i="26" s="1"/>
  <c r="AU170" i="12"/>
  <c r="AU173" i="12" s="1"/>
  <c r="N154" i="12"/>
  <c r="N163" i="12" s="1"/>
  <c r="AU169" i="12"/>
  <c r="AU168" i="12"/>
  <c r="AU172" i="12"/>
  <c r="N172" i="12" s="1"/>
  <c r="J45" i="26" s="1"/>
  <c r="AU175" i="12"/>
  <c r="AU189" i="12" s="1"/>
  <c r="Y137" i="27"/>
  <c r="Y146" i="27"/>
  <c r="Y140" i="27"/>
  <c r="Y147" i="7"/>
  <c r="N139" i="31"/>
  <c r="Y138" i="27"/>
  <c r="N143" i="27"/>
  <c r="AJ146" i="16"/>
  <c r="N139" i="27"/>
  <c r="AX110" i="27"/>
  <c r="N144" i="27"/>
  <c r="AX34" i="27"/>
  <c r="N147" i="12"/>
  <c r="AJ141" i="16"/>
  <c r="AJ141" i="31"/>
  <c r="AX43" i="27"/>
  <c r="Y34" i="27"/>
  <c r="Y139" i="12"/>
  <c r="Y144" i="12"/>
  <c r="Y110" i="31"/>
  <c r="Y144" i="31" s="1"/>
  <c r="Y110" i="16"/>
  <c r="Y144" i="16" s="1"/>
  <c r="Y110" i="27"/>
  <c r="Y144" i="27" s="1"/>
  <c r="Y109" i="31"/>
  <c r="Y143" i="31" s="1"/>
  <c r="Y109" i="27"/>
  <c r="Y143" i="27" s="1"/>
  <c r="Y109" i="16"/>
  <c r="Y143" i="16" s="1"/>
  <c r="Y143" i="12"/>
  <c r="N144" i="31"/>
  <c r="AX109" i="16"/>
  <c r="N143" i="16"/>
  <c r="AX109" i="31"/>
  <c r="N143" i="31"/>
  <c r="N144" i="16"/>
  <c r="Y34" i="31"/>
  <c r="Y147" i="15"/>
  <c r="Y133" i="12"/>
  <c r="Y146" i="16"/>
  <c r="Y137" i="31"/>
  <c r="N139" i="16"/>
  <c r="AJ139" i="31"/>
  <c r="AJ139" i="16"/>
  <c r="Y140" i="16"/>
  <c r="AX35" i="16"/>
  <c r="Y138" i="31"/>
  <c r="AX43" i="16"/>
  <c r="AJ140" i="16"/>
  <c r="Y138" i="16"/>
  <c r="Y146" i="31"/>
  <c r="Y137" i="16"/>
  <c r="Y140" i="31"/>
  <c r="AJ140" i="31"/>
  <c r="AX43" i="31"/>
  <c r="AX39" i="27"/>
  <c r="N133" i="27"/>
  <c r="Y147" i="14"/>
  <c r="AX39" i="31"/>
  <c r="N133" i="31"/>
  <c r="N133" i="16"/>
  <c r="Y39" i="31"/>
  <c r="Y39" i="16"/>
  <c r="Y39" i="27"/>
  <c r="AU184" i="12" l="1"/>
  <c r="N184" i="12" s="1"/>
  <c r="AU171" i="12"/>
  <c r="N171" i="12" s="1"/>
  <c r="AU177" i="12"/>
  <c r="N177" i="12" s="1"/>
  <c r="N178" i="12"/>
  <c r="J107" i="26" s="1"/>
  <c r="AU187" i="12"/>
  <c r="N173" i="12"/>
  <c r="J46" i="26" s="1"/>
  <c r="AU191" i="12"/>
  <c r="N191" i="12" s="1"/>
  <c r="AU186" i="12"/>
  <c r="N186" i="12" s="1"/>
  <c r="J67" i="26" s="1"/>
  <c r="AU182" i="12"/>
  <c r="N168" i="12"/>
  <c r="J41" i="26" s="1"/>
  <c r="AU176" i="12"/>
  <c r="AU167" i="12"/>
  <c r="N169" i="12"/>
  <c r="J42" i="26" s="1"/>
  <c r="AU183" i="12"/>
  <c r="N183" i="12" s="1"/>
  <c r="J20" i="26" s="1"/>
  <c r="AU174" i="12"/>
  <c r="N174" i="12" s="1"/>
  <c r="J47" i="26" s="1"/>
  <c r="N170" i="12"/>
  <c r="J43" i="26" s="1"/>
  <c r="AU185" i="12"/>
  <c r="N185" i="12" s="1"/>
  <c r="J10" i="26"/>
  <c r="Y139" i="27"/>
  <c r="Y147" i="27" s="1"/>
  <c r="N147" i="27"/>
  <c r="Y133" i="16"/>
  <c r="Y133" i="31"/>
  <c r="Y133" i="27"/>
  <c r="N147" i="31"/>
  <c r="Y147" i="12"/>
  <c r="N147" i="16"/>
  <c r="Y139" i="31"/>
  <c r="Y147" i="31" s="1"/>
  <c r="Y139" i="16"/>
  <c r="Y147" i="16" s="1"/>
  <c r="AU188" i="12" l="1"/>
  <c r="N188" i="12" s="1"/>
  <c r="N167" i="12"/>
  <c r="AU181" i="12"/>
  <c r="N181" i="12" s="1"/>
  <c r="J139" i="26"/>
  <c r="N187" i="12"/>
  <c r="J90" i="26" s="1"/>
  <c r="N176" i="12"/>
  <c r="AU190" i="12"/>
  <c r="N190" i="12" s="1"/>
  <c r="N179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 Andy (EnergyQ)</author>
  </authors>
  <commentList>
    <comment ref="N6" authorId="0" shapeId="0" xr:uid="{7DCC97D3-7665-44A4-8AE6-81DCD2B3E54E}">
      <text>
        <r>
          <rPr>
            <b/>
            <sz val="9"/>
            <color indexed="81"/>
            <rFont val="Tahoma"/>
            <family val="2"/>
          </rPr>
          <t>CHAN Andy (EnergyQ):</t>
        </r>
        <r>
          <rPr>
            <sz val="9"/>
            <color indexed="81"/>
            <rFont val="Tahoma"/>
            <family val="2"/>
          </rPr>
          <t xml:space="preserve">
No Streetlight Expenditure was added to Pole, Poletop and Conductor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 Andy (EnergyQ)</author>
  </authors>
  <commentList>
    <comment ref="N6" authorId="0" shapeId="0" xr:uid="{D5FA9CE6-B25D-424C-8DAE-64982EB30F40}">
      <text>
        <r>
          <rPr>
            <b/>
            <sz val="9"/>
            <color indexed="81"/>
            <rFont val="Tahoma"/>
            <family val="2"/>
          </rPr>
          <t>CHAN Andy (EnergyQ):</t>
        </r>
        <r>
          <rPr>
            <sz val="9"/>
            <color indexed="81"/>
            <rFont val="Tahoma"/>
            <family val="2"/>
          </rPr>
          <t xml:space="preserve">
No Streetlight Expenditure was added to Pole, Poletop and Conductor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 Andy (EnergyQ)</author>
  </authors>
  <commentList>
    <comment ref="N6" authorId="0" shapeId="0" xr:uid="{1608E0A4-67BA-42BA-A302-97079F6418B7}">
      <text>
        <r>
          <rPr>
            <b/>
            <sz val="9"/>
            <color indexed="81"/>
            <rFont val="Tahoma"/>
            <family val="2"/>
          </rPr>
          <t>CHAN Andy (EnergyQ):</t>
        </r>
        <r>
          <rPr>
            <sz val="9"/>
            <color indexed="81"/>
            <rFont val="Tahoma"/>
            <family val="2"/>
          </rPr>
          <t xml:space="preserve">
No Streetlight Expenditure was added to Pole, Poletop and Conductor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 Andy (EnergyQ)</author>
  </authors>
  <commentList>
    <comment ref="N6" authorId="0" shapeId="0" xr:uid="{4BE1A6F7-15CD-421C-857C-AC5D51D6D6E2}">
      <text>
        <r>
          <rPr>
            <b/>
            <sz val="9"/>
            <color indexed="81"/>
            <rFont val="Tahoma"/>
            <family val="2"/>
          </rPr>
          <t>CHAN Andy (EnergyQ):</t>
        </r>
        <r>
          <rPr>
            <sz val="9"/>
            <color indexed="81"/>
            <rFont val="Tahoma"/>
            <family val="2"/>
          </rPr>
          <t xml:space="preserve">
No Streetlight Expenditure was added to Pole, Poletop and Conductor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 Andy (EnergyQ)</author>
  </authors>
  <commentList>
    <comment ref="AC13" authorId="0" shapeId="0" xr:uid="{76574216-7211-489B-B1BF-443EBEA6B9FF}">
      <text>
        <r>
          <rPr>
            <b/>
            <sz val="9"/>
            <color indexed="81"/>
            <rFont val="Tahoma"/>
            <family val="2"/>
          </rPr>
          <t>CHAN Andy (EnergyQ):</t>
        </r>
        <r>
          <rPr>
            <sz val="9"/>
            <color indexed="81"/>
            <rFont val="Tahoma"/>
            <family val="2"/>
          </rPr>
          <t xml:space="preserve">
Target $5455565.589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 Andy (EnergyQ)</author>
  </authors>
  <commentList>
    <comment ref="AA13" authorId="0" shapeId="0" xr:uid="{F026D443-0316-45C5-8198-7EEB8C6D9751}">
      <text>
        <r>
          <rPr>
            <b/>
            <sz val="9"/>
            <color indexed="81"/>
            <rFont val="Tahoma"/>
            <family val="2"/>
          </rPr>
          <t>CHAN Andy (EnergyQ):</t>
        </r>
        <r>
          <rPr>
            <sz val="9"/>
            <color indexed="81"/>
            <rFont val="Tahoma"/>
            <family val="2"/>
          </rPr>
          <t xml:space="preserve">
Target $5455565.589</t>
        </r>
      </text>
    </comment>
    <comment ref="AH13" authorId="0" shapeId="0" xr:uid="{F2E10165-501A-47FF-957D-2A8094FE1938}">
      <text>
        <r>
          <rPr>
            <b/>
            <sz val="9"/>
            <color indexed="81"/>
            <rFont val="Tahoma"/>
            <family val="2"/>
          </rPr>
          <t>CHAN Andy (EnergyQ):</t>
        </r>
        <r>
          <rPr>
            <sz val="9"/>
            <color indexed="81"/>
            <rFont val="Tahoma"/>
            <family val="2"/>
          </rPr>
          <t xml:space="preserve">
Target $5455565.589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 Andy (EnergyQ)</author>
  </authors>
  <commentList>
    <comment ref="AA13" authorId="0" shapeId="0" xr:uid="{46D637BF-51F6-4200-928D-71F33126AB58}">
      <text>
        <r>
          <rPr>
            <b/>
            <sz val="9"/>
            <color indexed="81"/>
            <rFont val="Tahoma"/>
            <family val="2"/>
          </rPr>
          <t>CHAN Andy (EnergyQ):</t>
        </r>
        <r>
          <rPr>
            <sz val="9"/>
            <color indexed="81"/>
            <rFont val="Tahoma"/>
            <family val="2"/>
          </rPr>
          <t xml:space="preserve">
Target $5455565.589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<sst xmlns="http://schemas.openxmlformats.org/spreadsheetml/2006/main" count="15549" uniqueCount="831">
  <si>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</si>
  <si>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</si>
  <si>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</si>
  <si>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</si>
  <si>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</si>
  <si>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</si>
  <si>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</si>
  <si>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</si>
  <si>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</si>
  <si>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</si>
  <si>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</si>
  <si>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</si>
  <si>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</si>
  <si>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</si>
  <si>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</si>
  <si>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</si>
  <si>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REPEX Code</t>
  </si>
  <si>
    <t>ASSET GROUP</t>
  </si>
  <si>
    <t>ASSET CATEGORY</t>
  </si>
  <si>
    <t>$</t>
  </si>
  <si>
    <t>Rep Qty</t>
  </si>
  <si>
    <t>Failure Qty</t>
  </si>
  <si>
    <t>A001</t>
  </si>
  <si>
    <t>POLES BY: HIGHEST OPERATING VOLTAGE ; MATERIAL TYPE; STAKING (IF WOOD)</t>
  </si>
  <si>
    <t>Staking of a wooden pole</t>
  </si>
  <si>
    <t>A002</t>
  </si>
  <si>
    <t>&lt; = 1 kV; Wood</t>
  </si>
  <si>
    <t>A</t>
  </si>
  <si>
    <t>A003</t>
  </si>
  <si>
    <t>&gt; 1 kV &amp; &lt; = 11 kV; Wood</t>
  </si>
  <si>
    <t>A004</t>
  </si>
  <si>
    <t>&gt; 11 kV &amp; &lt; = 22 kV; Wood</t>
  </si>
  <si>
    <t>A005</t>
  </si>
  <si>
    <t>&gt; 22 kV &amp; &lt; = 66 kV; Wood</t>
  </si>
  <si>
    <t>A006</t>
  </si>
  <si>
    <t>&gt; 66 kV &amp; &lt; = 132 kV; Wood</t>
  </si>
  <si>
    <t>A007</t>
  </si>
  <si>
    <t>&gt; 132 kV; Wood</t>
  </si>
  <si>
    <t>-</t>
  </si>
  <si>
    <t>A008</t>
  </si>
  <si>
    <t>&lt; = 1 kV; Concrete</t>
  </si>
  <si>
    <t>A009</t>
  </si>
  <si>
    <t>&gt; 1 kV &amp; &lt; = 11 kV; Concrete</t>
  </si>
  <si>
    <t>A010</t>
  </si>
  <si>
    <t>&gt; 11 kV &amp; &lt; = 22 kV; Concrete</t>
  </si>
  <si>
    <t>A011</t>
  </si>
  <si>
    <t>&gt; 22 kV &amp; &lt; = 66 kV; Concrete</t>
  </si>
  <si>
    <t>A012</t>
  </si>
  <si>
    <t>&gt; 66 kV &amp; &lt; = 132 kV; Concrete</t>
  </si>
  <si>
    <t>A013</t>
  </si>
  <si>
    <t>&gt; 132 kV; Concrete</t>
  </si>
  <si>
    <t>A014</t>
  </si>
  <si>
    <t>&lt; = 1 kV; Steel</t>
  </si>
  <si>
    <t>A015</t>
  </si>
  <si>
    <t>&gt; 1 kV &amp; &lt; = 11 kV; Steel</t>
  </si>
  <si>
    <t>A016</t>
  </si>
  <si>
    <t>&gt; 11 kV &amp; &lt; = 22 kV; Steel</t>
  </si>
  <si>
    <t>A017</t>
  </si>
  <si>
    <t>&gt; 22 kV &amp; &lt; = 66 kV; Steel</t>
  </si>
  <si>
    <t>A018</t>
  </si>
  <si>
    <t>&gt; 66 kV &amp; &lt; = 132 kV; Steel</t>
  </si>
  <si>
    <t>A019</t>
  </si>
  <si>
    <t>&gt; 132 kV; Steel</t>
  </si>
  <si>
    <t/>
  </si>
  <si>
    <t>Other</t>
  </si>
  <si>
    <t>B001</t>
  </si>
  <si>
    <t>POLE TOP STRUCTURES BY: HIGHEST OPERATING VOLTAGE</t>
  </si>
  <si>
    <t>&lt; = 1 kV</t>
  </si>
  <si>
    <t>B</t>
  </si>
  <si>
    <t>B002</t>
  </si>
  <si>
    <t>&gt; 1 kV &amp; &lt; = 11 kV</t>
  </si>
  <si>
    <t>B003</t>
  </si>
  <si>
    <t>&gt; 11 kV &amp; &lt; = 22 kV</t>
  </si>
  <si>
    <t>B004</t>
  </si>
  <si>
    <t>&gt; 22 kV &amp; &lt; = 66 kV</t>
  </si>
  <si>
    <t>B005</t>
  </si>
  <si>
    <t>&gt; 66 kV &amp; &lt; = 132 kV</t>
  </si>
  <si>
    <t>B006</t>
  </si>
  <si>
    <t>&gt; 132 kV</t>
  </si>
  <si>
    <t>C001</t>
  </si>
  <si>
    <t>OVERHEAD CONDUCTORS BY: HIGHEST OPERATING VOLTAGE; NUMBER OF PHASES (AT HV)</t>
  </si>
  <si>
    <t>C</t>
  </si>
  <si>
    <t>C002</t>
  </si>
  <si>
    <t>C003</t>
  </si>
  <si>
    <t>&gt; 11 kV &amp; &lt; = 22 kV ; SWER</t>
  </si>
  <si>
    <t>C004</t>
  </si>
  <si>
    <t>&gt; 11 kV &amp; &lt; = 22 kV ; Single-Phase</t>
  </si>
  <si>
    <t>C005</t>
  </si>
  <si>
    <t>&gt; 11 kV &amp; &lt; = 22 kV ; Multiple-Phase</t>
  </si>
  <si>
    <t>C006</t>
  </si>
  <si>
    <t>C007</t>
  </si>
  <si>
    <t>C008</t>
  </si>
  <si>
    <t>D001</t>
  </si>
  <si>
    <t>UNDERGROUND CABLES BY: HIGHEST OPERATING VOLTAGE</t>
  </si>
  <si>
    <t>D</t>
  </si>
  <si>
    <t>D002</t>
  </si>
  <si>
    <t>D003</t>
  </si>
  <si>
    <t>D004</t>
  </si>
  <si>
    <t>&gt; 22 kV &amp; &lt; = 33 kV</t>
  </si>
  <si>
    <t>D005</t>
  </si>
  <si>
    <t>&gt; 33 kV &amp; &lt; = 66 kV</t>
  </si>
  <si>
    <t>D006</t>
  </si>
  <si>
    <t>D007</t>
  </si>
  <si>
    <t>E001</t>
  </si>
  <si>
    <t>SERVICE LINES BY: CONNECTION VOLTAGE; CUSTOMER TYPE; CONNECTION COMPLEXITY</t>
  </si>
  <si>
    <t>&lt; = 11 kV ; Residential ; Simple Type</t>
  </si>
  <si>
    <t>E</t>
  </si>
  <si>
    <t>E002</t>
  </si>
  <si>
    <t>&lt; = 11 kV ; Commercial &amp; Industrial ; Simple Type</t>
  </si>
  <si>
    <t>E003</t>
  </si>
  <si>
    <t>&lt; = 11 kV ; Residential ; Complex Type</t>
  </si>
  <si>
    <t>E004</t>
  </si>
  <si>
    <t>&lt; = 11 kV ; Commercial &amp; Industrial ; Complex Type</t>
  </si>
  <si>
    <t>E005</t>
  </si>
  <si>
    <t>&lt; = 11 kV ; Subdivision ; Complex Type</t>
  </si>
  <si>
    <t>E006</t>
  </si>
  <si>
    <t>&gt; 11 kV &amp; &lt; = 22 kV ; Commercial &amp; Industrial</t>
  </si>
  <si>
    <t>E007</t>
  </si>
  <si>
    <t>&gt; 11 kV &amp; &lt; = 22 kV ; Subdivision</t>
  </si>
  <si>
    <t>E008</t>
  </si>
  <si>
    <t>&gt; 22 kV &amp; &lt; = 33 kV ; Commercial &amp; Industrial</t>
  </si>
  <si>
    <t>E009</t>
  </si>
  <si>
    <t>&gt; 22 kV &amp; &lt; = 33 kV ; Subdivision</t>
  </si>
  <si>
    <t>E010</t>
  </si>
  <si>
    <t>&gt; 33 kV &amp; &lt; = 66 kV ; Commercial &amp; Industrial</t>
  </si>
  <si>
    <t>E011</t>
  </si>
  <si>
    <t>&gt; 33 kV &amp; &lt; = 66 kV ; Subdivision</t>
  </si>
  <si>
    <t>E012</t>
  </si>
  <si>
    <t>&gt; 66 kV &amp; &lt; = 132 kV ; Commercial &amp; Industrial</t>
  </si>
  <si>
    <t>E013</t>
  </si>
  <si>
    <t>&gt; 66 kV &amp; &lt; = 132 kV ; Subdivision</t>
  </si>
  <si>
    <t>E014</t>
  </si>
  <si>
    <t>&gt; 132 kV ; Commercial &amp; Industrial</t>
  </si>
  <si>
    <t>E015</t>
  </si>
  <si>
    <t>&gt; 132 kV ; Subdivision</t>
  </si>
  <si>
    <t>F001</t>
  </si>
  <si>
    <t>TRANSFORMERS BY: MOUNTING TYPE; HIGHEST OPERATING VOLTAGE ; AMPERE RATING; NUMBER OF PHASES (AT LV)</t>
  </si>
  <si>
    <t>Pole Mounted ; &lt; = 22kV ; &lt; = 60 kVA ; Single Phase</t>
  </si>
  <si>
    <t>F</t>
  </si>
  <si>
    <t>F002</t>
  </si>
  <si>
    <t>Pole Mounted ; &lt; = 22kV ; &gt; 60 kVA and &lt; = 600 kVA ; Single Phase</t>
  </si>
  <si>
    <t>F003</t>
  </si>
  <si>
    <t>Pole Mounted ; &lt; = 22kV ; &gt; 600 kVA ; Single Phase</t>
  </si>
  <si>
    <t>F004</t>
  </si>
  <si>
    <t>Pole Mounted ; &lt; = 22kV ; &lt; = 60 kVA ; Multiple Phase</t>
  </si>
  <si>
    <t>F005</t>
  </si>
  <si>
    <t>Pole Mounted ; &lt; = 22kV ; &gt; 60 kVA and &lt; = 600 kVA ; Multiple Phase</t>
  </si>
  <si>
    <t>F006</t>
  </si>
  <si>
    <t>Pole Mounted ; &lt; = 22kV ; &gt; 600 kVA ; Multiple Phase</t>
  </si>
  <si>
    <t>F007</t>
  </si>
  <si>
    <t>Kiosk Mounted ; &lt; = 22kV ; &lt; = 60 kVA ; Single Phase</t>
  </si>
  <si>
    <t>F008</t>
  </si>
  <si>
    <t>Kiosk Mounted ; &lt; = 22kV ; &gt; 60 kVA and &lt; = 600 kVA ; Single Phase</t>
  </si>
  <si>
    <t>F009</t>
  </si>
  <si>
    <t>Kiosk Mounted ; &lt; = 22kV ; &gt; 600 kVA ; Single Phase</t>
  </si>
  <si>
    <t>F010</t>
  </si>
  <si>
    <t>Kiosk Mounted ; &lt; = 22kV ; &lt; = 60 kVA ; Multiple Phase</t>
  </si>
  <si>
    <t>F011</t>
  </si>
  <si>
    <t>Kiosk Mounted ; &lt; = 22kV ; &gt; 60 kVA and &lt; = 600 kVA ; Multiple Phase</t>
  </si>
  <si>
    <t>F012</t>
  </si>
  <si>
    <t>Kiosk Mounted ; &lt; = 22kV ; &gt; 600 kVA ; Multiple Phase</t>
  </si>
  <si>
    <t>F013</t>
  </si>
  <si>
    <t>Ground Outdoor / Indoor Chamber Mounted; &lt; 22 kV ; &lt; = 60 kVA ; Single Phase</t>
  </si>
  <si>
    <t>F014</t>
  </si>
  <si>
    <t>Ground Outdoor / Indoor Chamber Mounted; &lt; 22 kV ; &gt; 60 kVA and &lt; = 600 kVA ; Single Phase</t>
  </si>
  <si>
    <t>F015</t>
  </si>
  <si>
    <t>Ground Outdoor / Indoor Chamber Mounted; &lt; 22 kV ; &gt; 600 kVA ; Single Phase</t>
  </si>
  <si>
    <t>F016</t>
  </si>
  <si>
    <t>Ground Outdoor / Indoor Chamber Mounted; &lt; 22 kV ; &lt; = 60 kVA ; Multiple Phase</t>
  </si>
  <si>
    <t>F017</t>
  </si>
  <si>
    <t>Ground Outdoor / Indoor Chamber Mounted; &lt; 22 kV ; &gt; 60 kVA and &lt; = 600 kVA ; Multiple Phase</t>
  </si>
  <si>
    <t>F018</t>
  </si>
  <si>
    <t>Ground Outdoor / Indoor Chamber Mounted; &lt; 22 kV ; &gt; 600 kVA ; Multiple Phase</t>
  </si>
  <si>
    <t>F019</t>
  </si>
  <si>
    <t>Ground Outdoor / Indoor Chamber Mounted; &gt; = 22 kV &amp; &lt; = 33 kV ; &lt; = 15 MVA</t>
  </si>
  <si>
    <t>F020</t>
  </si>
  <si>
    <t>Ground Outdoor / Indoor Chamber Mounted; &gt; = 22 kV &amp; &lt; = 33 kV ; &gt; 15 MVA and &lt; = 40 MVA</t>
  </si>
  <si>
    <t>F021</t>
  </si>
  <si>
    <t>Ground Outdoor / Indoor Chamber Mounted; &gt; = 22 kV &amp; &lt; = 33 kV ; &gt; 40 MVA</t>
  </si>
  <si>
    <t>F022</t>
  </si>
  <si>
    <t>Ground Outdoor / Indoor Chamber Mounted; &gt; 33 kV &amp; &lt; = 66 kV ; &lt; = 15 MVA</t>
  </si>
  <si>
    <t>F023</t>
  </si>
  <si>
    <t>Ground Outdoor / Indoor Chamber Mounted; &gt; 33 kV &amp; &lt; = 66 kV ; &gt; 15 MVA and &lt; = 40 MVA</t>
  </si>
  <si>
    <t>F024</t>
  </si>
  <si>
    <t>Ground Outdoor / Indoor Chamber Mounted; &gt; 33 kV &amp; &lt; = 66 kV ; &gt; 40 MVA</t>
  </si>
  <si>
    <t>F025</t>
  </si>
  <si>
    <t>Ground Outdoor / Indoor Chamber Mounted; &gt; 66 kV &amp; &lt; = 132 kV ; &lt; = 100 MVA</t>
  </si>
  <si>
    <t>F026</t>
  </si>
  <si>
    <t>Ground Outdoor / Indoor Chamber Mounted; &gt; 66 kV &amp; &lt; = 132 kV ; &gt; 100 MVA</t>
  </si>
  <si>
    <t>F027</t>
  </si>
  <si>
    <t>Ground Outdoor / Indoor Chamber Mounted; &gt; 132 kV ; &lt; = 100 MVA</t>
  </si>
  <si>
    <t>F028</t>
  </si>
  <si>
    <t>Ground Outdoor / Indoor Chamber Mounted; &gt; 132 kV ; &gt; 100 MVA</t>
  </si>
  <si>
    <t>G001</t>
  </si>
  <si>
    <t>SWITCHGEAR BY: HIGHEST OPERATING VOLTAGE ; SWITCH FUNCTION</t>
  </si>
  <si>
    <t>&lt; = 11 kV ; FUSE</t>
  </si>
  <si>
    <t>G</t>
  </si>
  <si>
    <t>G002</t>
  </si>
  <si>
    <t>&lt; = 11 kV ; Switch</t>
  </si>
  <si>
    <t>G003</t>
  </si>
  <si>
    <t>&lt; = 11 kV ; Circuit Breaker</t>
  </si>
  <si>
    <t>G004</t>
  </si>
  <si>
    <t>&gt; 11 kV &amp; &lt; = 22 kV ; Switch</t>
  </si>
  <si>
    <t>G005</t>
  </si>
  <si>
    <t>&gt; 11 kV &amp; &lt; = 22 kV ; Circuit Breaker</t>
  </si>
  <si>
    <t>G006</t>
  </si>
  <si>
    <t>&gt; 22 kV &amp; &lt; = 33 kV ; Switch</t>
  </si>
  <si>
    <t>G007</t>
  </si>
  <si>
    <t>&gt; 22 kV &amp; &lt; = 33 kV ; Circuit Breaker</t>
  </si>
  <si>
    <t>G008</t>
  </si>
  <si>
    <t>&gt; 33 kV &amp; &lt; = 66 kV ; Switch</t>
  </si>
  <si>
    <t>G009</t>
  </si>
  <si>
    <t>&gt; 33 kV &amp; &lt; = 66 kV ; Circuit Breaker</t>
  </si>
  <si>
    <t>G010</t>
  </si>
  <si>
    <t>&gt; 66 kV &amp; &lt; = 132 kV ; Switch</t>
  </si>
  <si>
    <t>G011</t>
  </si>
  <si>
    <t>&gt; 66 kV &amp; &lt; = 132 kV ; Circuit Breaker</t>
  </si>
  <si>
    <t>G012</t>
  </si>
  <si>
    <t>&gt; 132 kV ; Switch</t>
  </si>
  <si>
    <t>G013</t>
  </si>
  <si>
    <t>&gt; 132 kV ; Circuit Breaker</t>
  </si>
  <si>
    <t>H001</t>
  </si>
  <si>
    <t>PUBLIC LIGHTING BY: ASSET TYPE ; LIGHTING OBLIGATION</t>
  </si>
  <si>
    <t>Luminaires ; Major Road</t>
  </si>
  <si>
    <t>H</t>
  </si>
  <si>
    <t>H002</t>
  </si>
  <si>
    <t>Luminaires ; Minor Road</t>
  </si>
  <si>
    <t>H003</t>
  </si>
  <si>
    <t>Brackets ; Major Road</t>
  </si>
  <si>
    <t>H004</t>
  </si>
  <si>
    <t>Brackets ; Minor Road</t>
  </si>
  <si>
    <t>H005</t>
  </si>
  <si>
    <t>Lamps ; Major Road</t>
  </si>
  <si>
    <t>H006</t>
  </si>
  <si>
    <t>Lamps ; Minor Road</t>
  </si>
  <si>
    <t>H007</t>
  </si>
  <si>
    <t>Poles / Columns ; Major Road</t>
  </si>
  <si>
    <t>H008</t>
  </si>
  <si>
    <t>Poles / Columns ; Minor Road</t>
  </si>
  <si>
    <t>I001</t>
  </si>
  <si>
    <t>SCADA, NETWORK CONTROL AND PROTECTION SYSTEMS BY: FUNCTION</t>
  </si>
  <si>
    <t>Field Devices</t>
  </si>
  <si>
    <t>I</t>
  </si>
  <si>
    <t>I002</t>
  </si>
  <si>
    <t>Local Network Wiring Assets</t>
  </si>
  <si>
    <t>I003</t>
  </si>
  <si>
    <t>Communications Network Assets</t>
  </si>
  <si>
    <t>I004</t>
  </si>
  <si>
    <t>Master Station Assets</t>
  </si>
  <si>
    <t>I005</t>
  </si>
  <si>
    <t>Communications Site Infrastructure</t>
  </si>
  <si>
    <t>I006</t>
  </si>
  <si>
    <t>Communications Linear Assets</t>
  </si>
  <si>
    <t>I007</t>
  </si>
  <si>
    <t>AFLC</t>
  </si>
  <si>
    <t>J001</t>
  </si>
  <si>
    <t>OTHER BY: DNSP DEFINED</t>
  </si>
  <si>
    <t>VOLTAGE TRANSFORMERS</t>
  </si>
  <si>
    <t>J</t>
  </si>
  <si>
    <t>J002</t>
  </si>
  <si>
    <t>CURRENT TRANSFORMER</t>
  </si>
  <si>
    <t>J003</t>
  </si>
  <si>
    <t>CAPACITOR BANK</t>
  </si>
  <si>
    <t>J004</t>
  </si>
  <si>
    <t>SVC</t>
  </si>
  <si>
    <t>J006</t>
  </si>
  <si>
    <t>Other non AER Asset Categories</t>
  </si>
  <si>
    <t>Nail</t>
  </si>
  <si>
    <t>Pole</t>
  </si>
  <si>
    <t>Poletop</t>
  </si>
  <si>
    <t>Conductor</t>
  </si>
  <si>
    <t>Underground</t>
  </si>
  <si>
    <t>Services</t>
  </si>
  <si>
    <t>Transformer</t>
  </si>
  <si>
    <t>Switchgear</t>
  </si>
  <si>
    <t>Streetlight</t>
  </si>
  <si>
    <t>SCADA</t>
  </si>
  <si>
    <t>Others</t>
  </si>
  <si>
    <t>P1</t>
  </si>
  <si>
    <t>Base Rates</t>
  </si>
  <si>
    <t>2024/25</t>
  </si>
  <si>
    <t>Group</t>
  </si>
  <si>
    <t>Cat</t>
  </si>
  <si>
    <t>P1 DEFECTS</t>
  </si>
  <si>
    <t>ALLOCATED COSTS</t>
  </si>
  <si>
    <t>UNITS</t>
  </si>
  <si>
    <t>AVERAGE UNITS</t>
  </si>
  <si>
    <t>UNIT RATES</t>
  </si>
  <si>
    <t>AVERAGE UNIT RATES</t>
  </si>
  <si>
    <t>UNIT RATE</t>
  </si>
  <si>
    <t>Code</t>
  </si>
  <si>
    <t>RIN ASSET CATEGORY</t>
  </si>
  <si>
    <t>Avg 5 Yr</t>
  </si>
  <si>
    <t>Avg 3 Yr</t>
  </si>
  <si>
    <t>Last Yr</t>
  </si>
  <si>
    <t>APPLIED</t>
  </si>
  <si>
    <t>A1</t>
  </si>
  <si>
    <t>˂ = 1 kV; Wood</t>
  </si>
  <si>
    <t>˃ 11 kV &amp; &lt; = 22 kV; Wood</t>
  </si>
  <si>
    <t>˂ = 1 kV; Concrete</t>
  </si>
  <si>
    <t>˃ 11 kV &amp; &lt; = 22 kV; Concrete</t>
  </si>
  <si>
    <t>˂ = 1 kV; Steel</t>
  </si>
  <si>
    <t>˃ 11 kV &amp; &lt; = 22 kV; Steel</t>
  </si>
  <si>
    <t>A020</t>
  </si>
  <si>
    <t>Poles Other</t>
  </si>
  <si>
    <t>˂ = 1 kV</t>
  </si>
  <si>
    <t>˃ 11 kV &amp; &lt; = 22 kV</t>
  </si>
  <si>
    <t>˃ 22 kV &amp; &lt; = 66 kV</t>
  </si>
  <si>
    <t>B007</t>
  </si>
  <si>
    <t>Pole Tops Other</t>
  </si>
  <si>
    <t>C021</t>
  </si>
  <si>
    <t>C031</t>
  </si>
  <si>
    <t>˃ 11 kV &amp; &lt; = 22 kV  ; SWER</t>
  </si>
  <si>
    <t>C041</t>
  </si>
  <si>
    <t>˃ 11 kV &amp; &lt; = 22 kV ; Single-Phase</t>
  </si>
  <si>
    <t>˃ 11 kV &amp; &lt; = 22 kV ; Multiple-Phase</t>
  </si>
  <si>
    <t>C061</t>
  </si>
  <si>
    <t>C071</t>
  </si>
  <si>
    <t>C081</t>
  </si>
  <si>
    <t>C091</t>
  </si>
  <si>
    <t>OH Conductor Other</t>
  </si>
  <si>
    <t>D061</t>
  </si>
  <si>
    <t>D071</t>
  </si>
  <si>
    <t>&gt;  132 kV</t>
  </si>
  <si>
    <t>D081</t>
  </si>
  <si>
    <t>UG Cables Other</t>
  </si>
  <si>
    <t>˂ = 11 kV ; Residential ; Simple Type</t>
  </si>
  <si>
    <t>E021</t>
  </si>
  <si>
    <t>˂ = 11 kV ; Commercial &amp; Industrial ; Simple Type</t>
  </si>
  <si>
    <t>˂ = 11 kV ; Residential ; Complex Type</t>
  </si>
  <si>
    <t>E041</t>
  </si>
  <si>
    <t>˂ = 11 kV ; Commercial &amp; Industrial ; Complex Type</t>
  </si>
  <si>
    <t>E051</t>
  </si>
  <si>
    <t>˂ = 11 kV ; Subdivision ; Complex Type</t>
  </si>
  <si>
    <t>E061</t>
  </si>
  <si>
    <t xml:space="preserve">&gt; 11 kV  &amp; &lt; = 22 kV ; Commercial &amp; Industrial  </t>
  </si>
  <si>
    <t>E071</t>
  </si>
  <si>
    <t xml:space="preserve">&gt; 11 kV  &amp; &lt; = 22 kV ; Subdivision  </t>
  </si>
  <si>
    <t>E081</t>
  </si>
  <si>
    <t xml:space="preserve">&gt; 22 kV &amp; &lt; = 33 kV ; Commercial &amp; Industrial  </t>
  </si>
  <si>
    <t>E091</t>
  </si>
  <si>
    <t xml:space="preserve">&gt; 22 kV &amp; &lt; = 33 kV ; Subdivision  </t>
  </si>
  <si>
    <t>E101</t>
  </si>
  <si>
    <t xml:space="preserve">&gt; 33 kV &amp; &lt; = 66 kV ; Commercial &amp; Industrial  </t>
  </si>
  <si>
    <t>E111</t>
  </si>
  <si>
    <t xml:space="preserve">&gt; 33 kV &amp; &lt; = 66 kV ; Subdivision  </t>
  </si>
  <si>
    <t>E121</t>
  </si>
  <si>
    <t xml:space="preserve">&gt; 66 kV &amp; &lt; = 132 kV ; Commercial &amp; Industrial  </t>
  </si>
  <si>
    <t>E131</t>
  </si>
  <si>
    <t xml:space="preserve">&gt; 66 kV &amp; &lt; = 132 kV ; Subdivision  </t>
  </si>
  <si>
    <t>E141</t>
  </si>
  <si>
    <t xml:space="preserve">&gt; 132 kV ; Commercial &amp; Industrial  </t>
  </si>
  <si>
    <t>E151</t>
  </si>
  <si>
    <t xml:space="preserve">&gt; 132 kV ; Subdivision  </t>
  </si>
  <si>
    <t>E161</t>
  </si>
  <si>
    <t>Service Lines Other</t>
  </si>
  <si>
    <t>Pole Mounted ; &lt; = 22kV ;  &lt; = 60 kVA ; Single Phase</t>
  </si>
  <si>
    <t>Pole Mounted ; &lt; = 22kV ;  &gt; 60 kVA and &lt; = 600 kVA ; Single Phase</t>
  </si>
  <si>
    <t>Pole Mounted ; &lt; = 22kV ;  &gt; 600 kVA ; Single Phase</t>
  </si>
  <si>
    <t>Pole Mounted ; &lt; = 22kV ;  &lt; = 60 kVA  ; Multiple Phase</t>
  </si>
  <si>
    <t>Pole Mounted ; &lt; = 22kV ;  &gt; 60 kVA and &lt; = 600 kVA  ; Multiple Phase</t>
  </si>
  <si>
    <t>Balance</t>
  </si>
  <si>
    <t>Pole Mounted ; &lt; = 22kV ;  &gt; 600 kVA  ; Multiple Phase</t>
  </si>
  <si>
    <t>Kiosk Mounted ; &lt; = 22kV ;  &lt; = 60 kVA ; Single Phase</t>
  </si>
  <si>
    <t>Kiosk Mounted ; &lt; = 22kV ;  &gt; 60 kVA and &lt; = 600 kVA ; Single Phase</t>
  </si>
  <si>
    <t>Kiosk Mounted ; &lt; = 22kV ;  &gt; 600 kVA ; Single Phase</t>
  </si>
  <si>
    <t>Kiosk Mounted ; &lt; = 22kV ;  &lt; = 60 kVA  ; Multiple Phase</t>
  </si>
  <si>
    <t>Kiosk Mounted ; &lt; = 22kV ;  &gt; 60 kVA and &lt; = 600 kVA  ; Multiple Phase</t>
  </si>
  <si>
    <t>Kiosk Mounted ; &lt; = 22kV ;  &gt; 600 kVA  ; Multiple Phase</t>
  </si>
  <si>
    <t>Ground Outdoor / Indoor Chamber Mounted; ˂ 22 kV ;  &lt; = 60 kVA ; Single Phase</t>
  </si>
  <si>
    <t>Ground Outdoor / Indoor Chamber Mounted; ˂  22 kV ;  &gt; 60 kVA  and &lt; = 600 kVA ; Single Phase</t>
  </si>
  <si>
    <t>Ground Outdoor / Indoor Chamber Mounted; ˂  22 kV ;  &gt;  600 kVA ; Single Phase</t>
  </si>
  <si>
    <t>Ground Outdoor / Indoor Chamber Mounted; ˂  22 kV ;  &lt; = 60 kVA ; Multiple Phase</t>
  </si>
  <si>
    <t>Ground Outdoor / Indoor Chamber Mounted; ˂  22 kV ;  &gt; 60 kVA  and &lt; = 600 kVA ; Multiple Phase</t>
  </si>
  <si>
    <t>Ground Outdoor / Indoor Chamber Mounted; ˂  22 kV ;  &gt;  600 kVA ; Multiple Phase</t>
  </si>
  <si>
    <t>Ground Outdoor / Indoor Chamber Mounted; &gt; = 22 kV &amp; &lt; = 33 kV ;  &lt; = 15 MVA</t>
  </si>
  <si>
    <t>Ground Outdoor / Indoor Chamber Mounted; &gt; = 22 kV &amp; &lt; = 33 kV ;  &gt; 15 MVA and &lt; = 40 MVA</t>
  </si>
  <si>
    <t>Ground Outdoor / Indoor Chamber Mounted; &gt; = 22 kV &amp; &lt; = 33 kV ;  &gt; 40 MVA</t>
  </si>
  <si>
    <t>Ground Outdoor / Indoor Chamber Mounted; &gt; 33 kV &amp; &lt; = 66 kV ;  &lt; = 15 MVA</t>
  </si>
  <si>
    <t>Ground Outdoor / Indoor Chamber Mounted; &gt; 33 kV &amp; &lt; = 66 kV ;  &gt; 15 MVA and &lt; = 40 MVA</t>
  </si>
  <si>
    <t>Ground Outdoor / Indoor Chamber Mounted; &gt; 33 kV &amp; &lt; = 66 kV ;  &gt; 40 MVA</t>
  </si>
  <si>
    <t>Ground Outdoor / Indoor Chamber Mounted; &gt; 66 kV &amp; &lt; = 132 kV ;  &lt; = 100 MVA</t>
  </si>
  <si>
    <t>Ground Outdoor / Indoor Chamber Mounted; &gt; 66 kV &amp; &lt; = 132 kV ;  &gt; 100 MVA</t>
  </si>
  <si>
    <t>Ground Outdoor / Indoor Chamber Mounted; &gt; 132 kV ;  &lt; = 100 MVA</t>
  </si>
  <si>
    <t>Ground Outdoor / Indoor Chamber Mounted; &gt; 132 kV ;  &gt; 100 MVA</t>
  </si>
  <si>
    <t>F029</t>
  </si>
  <si>
    <t>Transformers Other</t>
  </si>
  <si>
    <t>˂ = 11 kV ;  FUSE</t>
  </si>
  <si>
    <t>˂ = 11 kV  ; Switch</t>
  </si>
  <si>
    <t>˂ = 11 kV ;  Circuit Breaker</t>
  </si>
  <si>
    <t>&gt; 11 kV &amp; &lt; = 22 kV  ; Switch</t>
  </si>
  <si>
    <t>&gt; 11 kV &amp; &lt; = 22 kV  ; Circuit Breaker</t>
  </si>
  <si>
    <t>&gt; 66 kV &amp; &lt; = 132 kV  ; Circuit Breaker</t>
  </si>
  <si>
    <t>G014</t>
  </si>
  <si>
    <t>Switchgear Other</t>
  </si>
  <si>
    <t>Luminaires ;  Major Road</t>
  </si>
  <si>
    <t>Luminaires ;  Minor Road</t>
  </si>
  <si>
    <t>H009</t>
  </si>
  <si>
    <t>Public Lighting Other</t>
  </si>
  <si>
    <t>I008</t>
  </si>
  <si>
    <t>Network Control Other</t>
  </si>
  <si>
    <t>CURRENT TRANSFORMERS</t>
  </si>
  <si>
    <t>CAPACITOR BANKS</t>
  </si>
  <si>
    <t>STATIC VAR COMPENSATOR</t>
  </si>
  <si>
    <t>J005</t>
  </si>
  <si>
    <t>REGULATORS</t>
  </si>
  <si>
    <t>OTHER</t>
  </si>
  <si>
    <t>TOTAL DIRECT COST</t>
  </si>
  <si>
    <t>Nailing Rate %</t>
  </si>
  <si>
    <t>Nails</t>
  </si>
  <si>
    <t>Poles</t>
  </si>
  <si>
    <t>Pole Tops</t>
  </si>
  <si>
    <t>Underground Cables</t>
  </si>
  <si>
    <t>Transformers</t>
  </si>
  <si>
    <t>Public Lighting</t>
  </si>
  <si>
    <t>SCADA, Protection &amp; Control</t>
  </si>
  <si>
    <t>P2 DEFECTS</t>
  </si>
  <si>
    <t>P2</t>
  </si>
  <si>
    <t>RTS</t>
  </si>
  <si>
    <t>RETURN TO SERVICE</t>
  </si>
  <si>
    <t>Planned</t>
  </si>
  <si>
    <t>Reconductor</t>
  </si>
  <si>
    <t>2025/26</t>
  </si>
  <si>
    <t>2026/27</t>
  </si>
  <si>
    <t>2027/28</t>
  </si>
  <si>
    <t>2028/29</t>
  </si>
  <si>
    <t>2029/30</t>
  </si>
  <si>
    <t>Include 2022/23</t>
  </si>
  <si>
    <t>N</t>
  </si>
  <si>
    <t>Deta %</t>
  </si>
  <si>
    <t>Manual Qty</t>
  </si>
  <si>
    <t>Start Yr</t>
  </si>
  <si>
    <t>%</t>
  </si>
  <si>
    <t>Step</t>
  </si>
  <si>
    <t>Compound</t>
  </si>
  <si>
    <t>Linear</t>
  </si>
  <si>
    <t>Increase type</t>
  </si>
  <si>
    <t>Fin Yr</t>
  </si>
  <si>
    <t>Increment</t>
  </si>
  <si>
    <t>Starting Yr Logic</t>
  </si>
  <si>
    <t>Increment Logic</t>
  </si>
  <si>
    <t>Forecast Unit</t>
  </si>
  <si>
    <t>Base Case</t>
  </si>
  <si>
    <t>Manual</t>
  </si>
  <si>
    <t>Type</t>
  </si>
  <si>
    <t>Escalate</t>
  </si>
  <si>
    <t>Calculated</t>
  </si>
  <si>
    <t>2022-23</t>
  </si>
  <si>
    <t>CTG/CTS</t>
  </si>
  <si>
    <t>C051</t>
  </si>
  <si>
    <t>D021</t>
  </si>
  <si>
    <t>D031</t>
  </si>
  <si>
    <t>D041</t>
  </si>
  <si>
    <t>D051</t>
  </si>
  <si>
    <t>E031</t>
  </si>
  <si>
    <t>Lines RTS</t>
  </si>
  <si>
    <t>1/7/2022 - 30/4/2023</t>
  </si>
  <si>
    <t>Ramp Up Ratio</t>
  </si>
  <si>
    <t>ALLOCATED COSTS (Scaled)</t>
  </si>
  <si>
    <t>UNITS (Scaled)</t>
  </si>
  <si>
    <t>C009</t>
  </si>
  <si>
    <t>D008</t>
  </si>
  <si>
    <t>AVERAGE UNIT COST RATES</t>
  </si>
  <si>
    <t>UNIT COST RATES</t>
  </si>
  <si>
    <t>Remarks</t>
  </si>
  <si>
    <t>7,000 Poractive Replacement</t>
  </si>
  <si>
    <t xml:space="preserve">8,500 Proactive Services Replacmenet </t>
  </si>
  <si>
    <t>750kM Reconductiong</t>
  </si>
  <si>
    <t>3,180 consequential pole replacement</t>
  </si>
  <si>
    <t>6,118 consequential pole replacement</t>
  </si>
  <si>
    <t>3,580 consequential services replacement</t>
  </si>
  <si>
    <t>Matched defect qty from model</t>
  </si>
  <si>
    <t>Included consequential due to pole defect</t>
  </si>
  <si>
    <t>Matched nail qty from model</t>
  </si>
  <si>
    <t>Matched with model output</t>
  </si>
  <si>
    <t>Date</t>
  </si>
  <si>
    <t>Tab</t>
  </si>
  <si>
    <t>Remarkes</t>
  </si>
  <si>
    <t>RIN BackCast (Rosetta)</t>
  </si>
  <si>
    <t>Source: P:\ALP\CBRM\Weibull Analysis\14 RIN RTS &amp; Defect Analysis\RIN 2.2 Compare 2021-22 (Rosetta) v0.2.xlsx</t>
  </si>
  <si>
    <t>2022-23 Input</t>
  </si>
  <si>
    <t>Source: P:\ALP\CBRM\Weibull Analysis\14 RIN RTS &amp; Defect Analysis\ERG CA RIN 2_2_1 Reconductor 2022-23YTD Project Analysis v0.2.xlsx
Showing the data up to April 2023 and using 1.4 to scale up to full year.</t>
  </si>
  <si>
    <t>P1 Defect</t>
  </si>
  <si>
    <t>2008/09 - 2017/18 Info Source: P:\ALP\CBRM\Weibull Analysis\14 RIN RTS &amp; Defect Analysis\ERG_Lines_RIN 2008-2019 (Conductor Analysis).xlsx
2018/19 Info Source: P:\ALP\CBRM\Weibull Analysis\14 RIN RTS &amp; Defect Analysis\ERG CA RIN 2_2_1 Reconductor 2018-19 Project Analysis v0.2.xlsx
2019/20 Info Source: P:\ALP\CBRM\Weibull Analysis\14 RIN RTS &amp; Defect Analysis\ERG CA RIN 2_2_1 Reconductor 2019-20 Project Analysis v0.2.xlsx
2020-21 Info Source: P:\ALP\CBRM\Weibull Analysis\14 RIN RTS &amp; Defect Analysis\ERG CA RIN 2_2_1 Reconductor 2020-21 Project Analysis v0.2.xlsx
2021/22 Info Source: P:\ALP\CBRM\Weibull Analysis\14 RIN RTS &amp; Defect Analysis\ERG CA RIN 2_2_1 Reconductor 2021-22 Project Analysis v0.2.xlsx
2022/23 Info Source: getting data from 2022-23 Input tab</t>
  </si>
  <si>
    <t>UNIT COST RATE</t>
  </si>
  <si>
    <t>This model provides the options of the followings: 
Including "2022/23" in the analysis (Average Replacement Rate &amp; Agerage Unit Cost Rate) - Cell Z4 and AM4;
Forecast Deta% in different increment mode - Step, Linear &amp; compound with %
Manual Qty - Hard number input
Base Case - options to be apply on the Forecast Deta% - Avg 5 Yr, Avg 3 Yr &amp; Last Yr
Unit Cost Rate - options to be apply on the Forecast Unit - Avg 5 Yr, Avg 3 Yr &amp; Last Yr; Escalate % or Manual number</t>
  </si>
  <si>
    <t>P2 Defect</t>
  </si>
  <si>
    <t>Same approach to P1 Defect</t>
  </si>
  <si>
    <t>CTGS</t>
  </si>
  <si>
    <t>Substation</t>
  </si>
  <si>
    <t>Comms</t>
  </si>
  <si>
    <t>Defect (Total)</t>
  </si>
  <si>
    <t>Sum of P1, P2 and RTS</t>
  </si>
  <si>
    <t>Applied Deta % to match businese cases - Pole, Poletop &amp; Conductor.</t>
  </si>
  <si>
    <t>Applied Manual Qty  to Poletop &amp; Services</t>
  </si>
  <si>
    <t>Applied Deta % to match businese cases - Poletop &amp; Conductor.</t>
  </si>
  <si>
    <t>Applied Deta % to match businese cases - Poletop, Conductor, TDs &amp; Switches
Applied Manual Qty  to Nail Qty</t>
  </si>
  <si>
    <t>2018/19 Info Source: P:\ALP\CBRM\Weibull Analysis\14 RIN RTS &amp; Defect Analysis\ERG CA RIN 2_2_1 Reconductor 2018-19 Project Analysis v0.2.xlsx
2019/20 Info Source: P:\ALP\CBRM\Weibull Analysis\14 RIN RTS &amp; Defect Analysis\ERG CA RIN 2_2_1 Reconductor 2019-20 Project Analysis v0.2.xlsx
2020-21 Info Source: P:\ALP\CBRM\Weibull Analysis\14 RIN RTS &amp; Defect Analysis\ERG CA RIN 2_2_1 Reconductor 2020-21 Project Analysis v0.2.xlsx
2021/22 Info Source: P:\ALP\CBRM\Weibull Analysis\14 RIN RTS &amp; Defect Analysis\ERG CA RIN 2_2_1 Reconductor 2021-22 Project Analysis v0.2.xlsx
2022/23 Info Source: getting data from 2022-23 Input tab</t>
  </si>
  <si>
    <t>Applied Deta % to match businese cases - Pole, Poletop, Conductor
Let TDs and Fuses pass through</t>
  </si>
  <si>
    <t>Disabled all CTG and CTS qty</t>
  </si>
  <si>
    <t>No backcast data</t>
  </si>
  <si>
    <t>Currently recorded substation CapEx Expenditure in F019 only</t>
  </si>
  <si>
    <t>Currently recorded Telco &amp; Comms CapEx Expenditure in I003 only</t>
  </si>
  <si>
    <t>Total Defect</t>
  </si>
  <si>
    <t>ReConductor</t>
  </si>
  <si>
    <t>Good</t>
  </si>
  <si>
    <t>Manual unit cost Rate - 1.5 times of P1</t>
  </si>
  <si>
    <t>Manual unit cost Rate - 2.0 times of P1</t>
  </si>
  <si>
    <t>Manual unit cost Rate - Same as P2</t>
  </si>
  <si>
    <t>Manual Unit Cost Rate to match P1 in this asset class</t>
  </si>
  <si>
    <t>Qty</t>
  </si>
  <si>
    <t>Match P2 unit cost rate</t>
  </si>
  <si>
    <t>Services unit cost rates are reasonable</t>
  </si>
  <si>
    <t>Reasonable</t>
  </si>
  <si>
    <t>Total</t>
  </si>
  <si>
    <t>Expenditure</t>
  </si>
  <si>
    <t>Unit Cost Rate</t>
  </si>
  <si>
    <t xml:space="preserve">Avgerage </t>
  </si>
  <si>
    <t>Let UG pass through; small qty.</t>
  </si>
  <si>
    <t>Small Qty</t>
  </si>
  <si>
    <t>P2 conductor high cost due to contracotrs;</t>
  </si>
  <si>
    <t>Weekend work</t>
  </si>
  <si>
    <t>Design required</t>
  </si>
  <si>
    <t>The only thing that we count in qty is the Switch fuse</t>
  </si>
  <si>
    <t>The cartages and holders are for $ only</t>
  </si>
  <si>
    <t>Unit Cost Rate Summary</t>
  </si>
  <si>
    <t xml:space="preserve">Provide a summary view of unit cost rate and forecast volume in different program </t>
  </si>
  <si>
    <t>2.12.1 - INPUT TABLES</t>
  </si>
  <si>
    <t>DIRECT MATERIAL</t>
  </si>
  <si>
    <t>DIRECT LABOUR</t>
  </si>
  <si>
    <t>CONTRACT</t>
  </si>
  <si>
    <t>RELATED PARTY CONTRACT EXPENDITURE</t>
  </si>
  <si>
    <t>RELATED PARTY CONTRACT MARGIN
EXPENDITURE</t>
  </si>
  <si>
    <t>EXPENDITURE ($0's)</t>
  </si>
  <si>
    <t>2021-22</t>
  </si>
  <si>
    <t>REPLACEMENT</t>
  </si>
  <si>
    <t>Pole top structure</t>
  </si>
  <si>
    <t>Overhead conductor</t>
  </si>
  <si>
    <t>Underground cable</t>
  </si>
  <si>
    <t>Public lighting</t>
  </si>
  <si>
    <t>Expenditure Split</t>
  </si>
  <si>
    <t>MATERIAL</t>
  </si>
  <si>
    <t>LABOUR</t>
  </si>
  <si>
    <t>EXPENDITURE (%)</t>
  </si>
  <si>
    <t>Avg Hourly Rate</t>
  </si>
  <si>
    <t>Labour Hr</t>
  </si>
  <si>
    <t>LABOUR (Hr)</t>
  </si>
  <si>
    <t>Overall Annual (Excluded Substation Projects)</t>
  </si>
  <si>
    <t>Per Asset</t>
  </si>
  <si>
    <t>RIN ASSET CLASS</t>
  </si>
  <si>
    <t>Added Material, Labour, Contractor and Other Split</t>
  </si>
  <si>
    <t>RIN 2.12 2022-23 REPEX</t>
  </si>
  <si>
    <t>Added RIN 2.12 REPEX Material, Labouur, Contractor and Other table to calculate the % split for each asset class</t>
  </si>
  <si>
    <t>Summary</t>
  </si>
  <si>
    <t>Added calculated substation Exp and Qty</t>
  </si>
  <si>
    <t>P:\ALP\Regulatory Compliance\AER Submission 2025-2030\2023 Reset RIN\Ergon\RIN RepEx Forecast 2025-30 v0.1.xlsx</t>
  </si>
  <si>
    <t>SubT Project info provided by SubT planners
P:\ALP\Regulatory Compliance\AER Submission 2025-2030\2023 Reset RIN\Ergon\SubT Repex_List - 2023-05-22.xlsx</t>
  </si>
  <si>
    <t>Escalation rates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</si>
  <si>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</si>
  <si>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</si>
  <si>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</si>
  <si>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</si>
  <si>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</si>
  <si>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</si>
  <si>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</si>
  <si>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</si>
  <si>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</si>
  <si>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</si>
  <si>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</si>
  <si>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</si>
  <si>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2023-24</t>
  </si>
  <si>
    <t>2024-25</t>
  </si>
  <si>
    <t>2025-26</t>
  </si>
  <si>
    <t>2026-27</t>
  </si>
  <si>
    <t>2027-28</t>
  </si>
  <si>
    <t>2028-29</t>
  </si>
  <si>
    <t>2029-30</t>
  </si>
  <si>
    <t>Escalation rate (June to June, unlagged)</t>
  </si>
  <si>
    <t>used in AER opex model</t>
  </si>
  <si>
    <t>Escalation rate (Dec to Dec, lagged)</t>
  </si>
  <si>
    <t>used in AER capex model, RFM, CESS and Pricing Proposal</t>
  </si>
  <si>
    <t>Annual Escalation</t>
  </si>
  <si>
    <t>ESCALATED ALLOCATED COST</t>
  </si>
  <si>
    <t>Escalation</t>
  </si>
  <si>
    <t>Eaclation %</t>
  </si>
  <si>
    <t>Escalation Lookup Table</t>
  </si>
  <si>
    <t>AVERAGE REPLACEMENT UNITS</t>
  </si>
  <si>
    <t>AVERAGE REPLACEment UNITS</t>
  </si>
  <si>
    <t>Y</t>
  </si>
  <si>
    <t>Financial Escalation</t>
  </si>
  <si>
    <t xml:space="preserve">Added Fin Escalation provided by Regulatory </t>
  </si>
  <si>
    <t>All</t>
  </si>
  <si>
    <t>Added Escalation finction to all past expenditure</t>
  </si>
  <si>
    <t>2022/23 need to be updated</t>
  </si>
  <si>
    <t>Saving</t>
  </si>
  <si>
    <t>Target Saving</t>
  </si>
  <si>
    <t>Note</t>
  </si>
  <si>
    <t>Distribution Tx P2 Defect -80%</t>
  </si>
  <si>
    <t>Reduce P2 Conductor back to 100%</t>
  </si>
  <si>
    <t>Increase Reconductor program to match 750 per yer. Smoothed the program from 700kM in the 1st year and ramp up to 780 in the 5th year</t>
  </si>
  <si>
    <t>Defects Others</t>
  </si>
  <si>
    <t>Crossarm proactive from 7000 -&gt; 3500</t>
  </si>
  <si>
    <t>Removed "Other Other" from Defect/RTS</t>
  </si>
  <si>
    <t>Conductor Consequential Qty</t>
  </si>
  <si>
    <t>Data extracted from --- Consequential Asset Replacements from Conductors PIR</t>
  </si>
  <si>
    <t>Ratio</t>
  </si>
  <si>
    <t>Orginal</t>
  </si>
  <si>
    <t>$m</t>
  </si>
  <si>
    <t>Modified</t>
  </si>
  <si>
    <t>Action</t>
  </si>
  <si>
    <t>Removed excessive conductor in P2</t>
  </si>
  <si>
    <t>Increase TD from -80% to -50%</t>
  </si>
  <si>
    <t>Applied 3 yr Avg Conductor consequential replacement ratio to reduce replacement</t>
  </si>
  <si>
    <t>Reduced $125m. See above action</t>
  </si>
  <si>
    <t>Items / Program</t>
  </si>
  <si>
    <t>Increase crossarm from 3500 -&gt; 7000</t>
  </si>
  <si>
    <t>Lines Asset 5 Yr SubTotal</t>
  </si>
  <si>
    <t>New Taget</t>
  </si>
  <si>
    <t>Difference</t>
  </si>
  <si>
    <t>P2 Pole Consequential</t>
  </si>
  <si>
    <t>Pole Defect Consequential Qty</t>
  </si>
  <si>
    <t>Data extracted from --- Consequential Asset Replacements from Pole PIR</t>
  </si>
  <si>
    <t>Increase UG Cable from Avg 11kM to Avg 20kM</t>
  </si>
  <si>
    <t>Pole Defect Consequential</t>
  </si>
  <si>
    <t>Defect (Consequential Removed)</t>
  </si>
  <si>
    <t>Pole Defect</t>
  </si>
  <si>
    <t>Conductor Defect Consequential</t>
  </si>
  <si>
    <t>Conductor Defect</t>
  </si>
  <si>
    <t>Pad&amp;Ground</t>
  </si>
  <si>
    <t>High Level</t>
  </si>
  <si>
    <t>y</t>
  </si>
  <si>
    <t>Modelling unit cost Rate</t>
  </si>
  <si>
    <t>xxxx</t>
  </si>
  <si>
    <t>Switches with -50%</t>
  </si>
  <si>
    <t>Pole and Conductor Defect</t>
  </si>
  <si>
    <t>BC</t>
  </si>
  <si>
    <t>Cond</t>
  </si>
  <si>
    <t>PT</t>
  </si>
  <si>
    <t>TD</t>
  </si>
  <si>
    <t>Switches</t>
  </si>
  <si>
    <t>Checked</t>
  </si>
  <si>
    <t>P</t>
  </si>
  <si>
    <t>BC Nature</t>
  </si>
  <si>
    <t>Defect</t>
  </si>
  <si>
    <t>Proactive</t>
  </si>
  <si>
    <t>Data from</t>
  </si>
  <si>
    <t>P:\ALP\CBRM\Weibull Analysis\15 Expenditure\Ex Post Review - Expenditure v1.0 Working_Presentation.xlsx</t>
  </si>
  <si>
    <t>Not in BC</t>
  </si>
  <si>
    <t>Miss match</t>
  </si>
  <si>
    <t>Reset RIN</t>
  </si>
  <si>
    <t>BC Summary</t>
  </si>
  <si>
    <t>Pad TD 5Yr Avg Unit Cost Rate</t>
  </si>
  <si>
    <t>Pole TD 5Yr Avg Unit Cost Rate</t>
  </si>
  <si>
    <t>Switch 5Yr Avg Unit Cost Rate</t>
  </si>
  <si>
    <t>Consequential</t>
  </si>
  <si>
    <t>Pole-top</t>
  </si>
  <si>
    <t>Targeted Replacement</t>
  </si>
  <si>
    <t>Consequential Total</t>
  </si>
  <si>
    <t>Overall REPEX Investment*</t>
  </si>
  <si>
    <t>Pole-top (consequential)</t>
  </si>
  <si>
    <t>Services (consequential)</t>
  </si>
  <si>
    <t>Distribution TXs (consequential)</t>
  </si>
  <si>
    <t>Distribution SWs (consequential)</t>
  </si>
  <si>
    <t>Business Case Total Investment</t>
  </si>
  <si>
    <t>Distribution TXs</t>
  </si>
  <si>
    <t>Distribution SWs</t>
  </si>
  <si>
    <t>Conductor Consequential</t>
  </si>
  <si>
    <t>Fuse</t>
  </si>
  <si>
    <t>RIN Qty</t>
  </si>
  <si>
    <t>Bundle in TD</t>
  </si>
  <si>
    <t>Power Transformer</t>
  </si>
  <si>
    <t>BC Total</t>
  </si>
  <si>
    <t>Circuit Breakers</t>
  </si>
  <si>
    <t>Substation Isolators</t>
  </si>
  <si>
    <t>Protection Relay</t>
  </si>
  <si>
    <t>UG Cable</t>
  </si>
  <si>
    <t>Targeted (Sub T Project)</t>
  </si>
  <si>
    <t>Instrument Transformer</t>
  </si>
  <si>
    <t>Escalation %</t>
  </si>
  <si>
    <t>Delta %</t>
  </si>
  <si>
    <t>Current Transformers</t>
  </si>
  <si>
    <t>Voltage Transformers</t>
  </si>
  <si>
    <t>PQ</t>
  </si>
  <si>
    <t>Substation Plant</t>
  </si>
  <si>
    <t>DC System</t>
  </si>
  <si>
    <t>Exp</t>
  </si>
  <si>
    <t xml:space="preserve">Grant's Extra $ </t>
  </si>
  <si>
    <t>PB Towers</t>
  </si>
  <si>
    <t>PB Tower</t>
  </si>
  <si>
    <t>Reconcilation %</t>
  </si>
  <si>
    <t>Check Sum</t>
  </si>
  <si>
    <t>Replacement Qty</t>
  </si>
  <si>
    <t>BC Check Sum</t>
  </si>
  <si>
    <t>Business Case Total Investment </t>
  </si>
  <si>
    <t>132.2 </t>
  </si>
  <si>
    <t>661.0 </t>
  </si>
  <si>
    <t>Grand Total (BC) </t>
  </si>
  <si>
    <t>45.3 </t>
  </si>
  <si>
    <t>226.5 </t>
  </si>
  <si>
    <t>Overall REPEX Investment* </t>
  </si>
  <si>
    <t>83.9 </t>
  </si>
  <si>
    <t>87.6 </t>
  </si>
  <si>
    <t>90.1 </t>
  </si>
  <si>
    <t>92.4 </t>
  </si>
  <si>
    <t>93.6 </t>
  </si>
  <si>
    <t>447.6 </t>
  </si>
  <si>
    <t>Business Case Total Investment* </t>
  </si>
  <si>
    <t>15.1 </t>
  </si>
  <si>
    <t>75.5 </t>
  </si>
  <si>
    <t>26.4 </t>
  </si>
  <si>
    <t>TDs</t>
  </si>
  <si>
    <t>Switch Defect* </t>
  </si>
  <si>
    <t>6.7 </t>
  </si>
  <si>
    <t>33.5 </t>
  </si>
  <si>
    <t>Fuse Defect* </t>
  </si>
  <si>
    <t>9.2 </t>
  </si>
  <si>
    <t>8.4 </t>
  </si>
  <si>
    <t>42.8 </t>
  </si>
  <si>
    <t>Expenditure  </t>
  </si>
  <si>
    <t>0.00 </t>
  </si>
  <si>
    <t>0.78 </t>
  </si>
  <si>
    <t>1.38 </t>
  </si>
  <si>
    <t>6.33 </t>
  </si>
  <si>
    <t>12.39 </t>
  </si>
  <si>
    <t>Tower</t>
  </si>
  <si>
    <t>20.87 </t>
  </si>
  <si>
    <t>Fuses TD Conseq</t>
  </si>
  <si>
    <t>Total Consequential Fuse Replacement  </t>
  </si>
  <si>
    <t>13.3 </t>
  </si>
  <si>
    <t>14.4 </t>
  </si>
  <si>
    <t>14.6 </t>
  </si>
  <si>
    <t>14.8 </t>
  </si>
  <si>
    <t>14.9 </t>
  </si>
  <si>
    <t>72.0 </t>
  </si>
  <si>
    <t>11.0 </t>
  </si>
  <si>
    <t>14.5 </t>
  </si>
  <si>
    <t>16.8 </t>
  </si>
  <si>
    <t>22.6 </t>
  </si>
  <si>
    <t>26.6 </t>
  </si>
  <si>
    <t>91.5 </t>
  </si>
  <si>
    <t>Power TXs</t>
  </si>
  <si>
    <t>Distribution</t>
  </si>
  <si>
    <t>CB</t>
  </si>
  <si>
    <t>8.9 </t>
  </si>
  <si>
    <t>9.5 </t>
  </si>
  <si>
    <t>12.3 </t>
  </si>
  <si>
    <t>48.3 </t>
  </si>
  <si>
    <t>8.6 </t>
  </si>
  <si>
    <t>7.6 </t>
  </si>
  <si>
    <t>4.2 </t>
  </si>
  <si>
    <t>6.6 </t>
  </si>
  <si>
    <t>36.2 </t>
  </si>
  <si>
    <t>CTs VTs</t>
  </si>
  <si>
    <t>Control Sys</t>
  </si>
  <si>
    <t>DC</t>
  </si>
  <si>
    <t>13.4 </t>
  </si>
  <si>
    <t>67.2 </t>
  </si>
  <si>
    <t>1.5 </t>
  </si>
  <si>
    <t>7.5 </t>
  </si>
  <si>
    <t>0.75 </t>
  </si>
  <si>
    <t>0.86 </t>
  </si>
  <si>
    <t>0.84 </t>
  </si>
  <si>
    <t>0.98 </t>
  </si>
  <si>
    <t>0.82 </t>
  </si>
  <si>
    <t>4.25 </t>
  </si>
  <si>
    <t>PRs</t>
  </si>
  <si>
    <t>17.2 </t>
  </si>
  <si>
    <t>17.5 </t>
  </si>
  <si>
    <t>22.2 </t>
  </si>
  <si>
    <t>19.8 </t>
  </si>
  <si>
    <t>19.3 </t>
  </si>
  <si>
    <t>96.0 </t>
  </si>
  <si>
    <t>Substation Isolator</t>
  </si>
  <si>
    <t>Other Other</t>
  </si>
  <si>
    <t>Missing BC</t>
  </si>
  <si>
    <t>UG Cable &amp; Pit</t>
  </si>
  <si>
    <t>OTE</t>
  </si>
  <si>
    <t>Civil (Bund, Security, Land)</t>
  </si>
  <si>
    <t>Other Other Miss Match</t>
  </si>
  <si>
    <t>5 Yr Total</t>
  </si>
  <si>
    <t>Per Year</t>
  </si>
  <si>
    <t>Esclation</t>
  </si>
  <si>
    <t>Fuse (Consequential)</t>
  </si>
  <si>
    <t>Planned DEFECTS</t>
  </si>
  <si>
    <t>Defect (Pole Repl + Nail)</t>
  </si>
  <si>
    <t>Pole (consequential)</t>
  </si>
  <si>
    <t>Distribution TXs  (consequential)</t>
  </si>
  <si>
    <t>Distribution SWs  (consequential)</t>
  </si>
  <si>
    <t>All Defect</t>
  </si>
  <si>
    <t>Distribution Transformer Defect</t>
  </si>
  <si>
    <t>Conductor Defect Consequential Qty</t>
  </si>
  <si>
    <t>$ per year</t>
  </si>
  <si>
    <t>Pole Top Deduction</t>
  </si>
  <si>
    <t>Required Annual Qty</t>
  </si>
  <si>
    <t>Required Factor</t>
  </si>
  <si>
    <t>Reduction</t>
  </si>
  <si>
    <t>Revised Submission</t>
  </si>
  <si>
    <t>CaPex Model</t>
  </si>
  <si>
    <t>Percentage Diff</t>
  </si>
  <si>
    <t>Show</t>
  </si>
  <si>
    <t>Submitted to Yong 2024-OCT 9th</t>
  </si>
  <si>
    <t>Difference between current Revised Submission and 2024-Oct 9th</t>
  </si>
  <si>
    <t>Distribution Transformer Replacement Business Case</t>
  </si>
  <si>
    <t>Underground Cable Replacements Business Case</t>
  </si>
  <si>
    <t>Overhead Conductor Replacements Business Case</t>
  </si>
  <si>
    <t>Distribution Switches Business Case</t>
  </si>
  <si>
    <t>Pole Replacements Business Case</t>
  </si>
  <si>
    <t>Pole Top Structure Replacement Business Case</t>
  </si>
  <si>
    <t>Service Lines Replacements Business Case</t>
  </si>
  <si>
    <t>OK</t>
  </si>
  <si>
    <t>Transmission Towers Refurbishment and Replacement Program</t>
  </si>
  <si>
    <t>$ '000s</t>
  </si>
  <si>
    <t>SUM</t>
  </si>
  <si>
    <t>$2022-23</t>
  </si>
  <si>
    <t>$2024-25</t>
  </si>
  <si>
    <t>Escalation factor</t>
  </si>
  <si>
    <t>2025$</t>
  </si>
  <si>
    <t>Yong's 2024-OCT 24th in 2025$</t>
  </si>
  <si>
    <t>UG</t>
  </si>
  <si>
    <t>Esulation Factor</t>
  </si>
  <si>
    <t>BC Factor</t>
  </si>
  <si>
    <t>Escalation Factor</t>
  </si>
  <si>
    <t>Escalated to 2025$</t>
  </si>
  <si>
    <t>Yong's Number</t>
  </si>
  <si>
    <t>2025$ Escalated BC (Asset Class summary)</t>
  </si>
  <si>
    <t>2025$ Escalation Ratio (Asset Class)</t>
  </si>
  <si>
    <t>2023$</t>
  </si>
  <si>
    <t>E016</t>
  </si>
  <si>
    <t>2020/21-2022/23</t>
  </si>
  <si>
    <t>2018/19-2022/23</t>
  </si>
  <si>
    <t>Fuses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</si>
</sst>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* #,##0.00_-;\-&quot;$&quot;* #,##0.00_-;_-&quot;$&quot;* &quot;-&quot;??_-;_-@_-"/>
    <numFmt numFmtId="164" formatCode="#,##0.000;[Red]\-#,##0.000"/>
    <numFmt numFmtId="165" formatCode="0.0%"/>
    <numFmt numFmtId="166" formatCode="#,##0.000;\-#,##0.000"/>
    <numFmt numFmtId="167" formatCode="#,##0.000"/>
    <numFmt numFmtId="168" formatCode="0.000"/>
    <numFmt numFmtId="169" formatCode="_-* #,##0_-;[Red]\(#,##0\)_-;_-* &quot;-&quot;??_-;_-@_-"/>
    <numFmt numFmtId="170" formatCode="&quot;$&quot;#,##0.00"/>
    <numFmt numFmtId="171" formatCode="0.0"/>
    <numFmt numFmtId="172" formatCode="#,##0.0;\-#,##0.0"/>
    <numFmt numFmtId="173" formatCode="#,##0&quot;kM&quot;"/>
    <numFmt numFmtId="174" formatCode="0.000%"/>
    <numFmt numFmtId="175" formatCode="#,##0.0000;\-#,##0.0000"/>
    <numFmt numFmtId="176" formatCode="#,##0.000000;\-#,##0.000000"/>
    <numFmt numFmtId="177" formatCode="#,##0.00000;\-#,##0.00000"/>
    <numFmt numFmtId="178" formatCode="#,##0.0000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FFFF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Arial"/>
      <family val="2"/>
    </font>
    <font>
      <sz val="9"/>
      <color theme="2" tint="-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4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9"/>
      <color theme="1"/>
      <name val="Wingdings 2"/>
      <family val="1"/>
      <charset val="2"/>
    </font>
    <font>
      <b/>
      <sz val="9"/>
      <color theme="2" tint="-9.9978637043366805E-2"/>
      <name val="Calibri"/>
      <family val="2"/>
      <scheme val="minor"/>
    </font>
    <font>
      <sz val="9"/>
      <color theme="2" tint="-9.9978637043366805E-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FF33"/>
        <bgColor rgb="FF000000"/>
      </patternFill>
    </fill>
    <fill>
      <patternFill patternType="solid">
        <fgColor rgb="FF99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5B3D7"/>
        <bgColor rgb="FFFFFFFF"/>
      </patternFill>
    </fill>
    <fill>
      <patternFill patternType="solid">
        <fgColor rgb="FFB8CCE4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medium">
        <color rgb="FF000000"/>
      </left>
      <right/>
      <top style="thin">
        <color rgb="FFA6A6A6"/>
      </top>
      <bottom style="thin">
        <color rgb="FFA6A6A6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000000"/>
      </left>
      <right style="thin">
        <color rgb="FFA6A6A6"/>
      </right>
      <top style="thin">
        <color rgb="FFA6A6A6"/>
      </top>
      <bottom style="medium">
        <color rgb="FF000000"/>
      </bottom>
      <diagonal/>
    </border>
    <border>
      <left style="medium">
        <color rgb="FF000000"/>
      </left>
      <right/>
      <top style="thin">
        <color rgb="FFA6A6A6"/>
      </top>
      <bottom style="medium">
        <color rgb="FF000000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44" fontId="1" fillId="0" borderId="0" applyFont="0" applyFill="0" applyBorder="0" applyAlignment="0" applyProtection="0"/>
    <xf numFmtId="0" fontId="44" fillId="0" borderId="0"/>
  </cellStyleXfs>
  <cellXfs count="1131">
    <xf numFmtId="0" fontId="0" fillId="0" borderId="0" xfId="0"/>
    <xf numFmtId="0" fontId="2" fillId="0" borderId="0" xfId="0" applyFont="1"/>
    <xf numFmtId="0" fontId="4" fillId="2" borderId="1" xfId="2" applyFont="1" applyFill="1" applyBorder="1" applyAlignment="1">
      <alignment horizontal="center" wrapText="1"/>
    </xf>
    <xf numFmtId="0" fontId="4" fillId="3" borderId="1" xfId="2" applyFont="1" applyFill="1" applyBorder="1" applyAlignment="1">
      <alignment horizontal="center" wrapText="1"/>
    </xf>
    <xf numFmtId="0" fontId="4" fillId="4" borderId="1" xfId="2" applyFont="1" applyFill="1" applyBorder="1" applyAlignment="1">
      <alignment horizontal="center" wrapText="1"/>
    </xf>
    <xf numFmtId="0" fontId="5" fillId="5" borderId="1" xfId="3" applyFont="1" applyFill="1" applyBorder="1" applyAlignment="1">
      <alignment horizontal="left" wrapText="1"/>
    </xf>
    <xf numFmtId="0" fontId="5" fillId="2" borderId="1" xfId="2" applyFont="1" applyFill="1" applyBorder="1" applyAlignment="1">
      <alignment horizontal="center" wrapText="1"/>
    </xf>
    <xf numFmtId="0" fontId="5" fillId="3" borderId="1" xfId="2" applyFont="1" applyFill="1" applyBorder="1" applyAlignment="1">
      <alignment horizontal="center" wrapText="1"/>
    </xf>
    <xf numFmtId="0" fontId="5" fillId="4" borderId="1" xfId="2" applyFont="1" applyFill="1" applyBorder="1" applyAlignment="1">
      <alignment horizontal="center" wrapText="1"/>
    </xf>
    <xf numFmtId="0" fontId="6" fillId="0" borderId="0" xfId="0" applyFont="1"/>
    <xf numFmtId="0" fontId="7" fillId="6" borderId="1" xfId="3" applyFont="1" applyFill="1" applyBorder="1" applyAlignment="1">
      <alignment horizontal="left"/>
    </xf>
    <xf numFmtId="3" fontId="7" fillId="7" borderId="1" xfId="2" applyNumberFormat="1" applyFont="1" applyFill="1" applyBorder="1"/>
    <xf numFmtId="38" fontId="7" fillId="8" borderId="1" xfId="2" applyNumberFormat="1" applyFont="1" applyFill="1" applyBorder="1"/>
    <xf numFmtId="38" fontId="7" fillId="9" borderId="1" xfId="2" applyNumberFormat="1" applyFont="1" applyFill="1" applyBorder="1"/>
    <xf numFmtId="164" fontId="7" fillId="8" borderId="1" xfId="2" applyNumberFormat="1" applyFont="1" applyFill="1" applyBorder="1"/>
    <xf numFmtId="164" fontId="7" fillId="9" borderId="1" xfId="2" applyNumberFormat="1" applyFont="1" applyFill="1" applyBorder="1"/>
    <xf numFmtId="38" fontId="7" fillId="2" borderId="1" xfId="2" applyNumberFormat="1" applyFont="1" applyFill="1" applyBorder="1"/>
    <xf numFmtId="38" fontId="8" fillId="8" borderId="1" xfId="2" applyNumberFormat="1" applyFont="1" applyFill="1" applyBorder="1"/>
    <xf numFmtId="38" fontId="8" fillId="9" borderId="1" xfId="2" applyNumberFormat="1" applyFont="1" applyFill="1" applyBorder="1"/>
    <xf numFmtId="0" fontId="9" fillId="0" borderId="0" xfId="0" applyFont="1"/>
    <xf numFmtId="3" fontId="9" fillId="0" borderId="0" xfId="0" applyNumberFormat="1" applyFont="1"/>
    <xf numFmtId="0" fontId="7" fillId="6" borderId="0" xfId="3" applyFont="1" applyFill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37" fontId="9" fillId="0" borderId="0" xfId="0" applyNumberFormat="1" applyFont="1"/>
    <xf numFmtId="0" fontId="10" fillId="0" borderId="0" xfId="0" applyFont="1"/>
    <xf numFmtId="0" fontId="9" fillId="0" borderId="2" xfId="0" applyFont="1" applyBorder="1" applyAlignment="1">
      <alignment horizontal="left"/>
    </xf>
    <xf numFmtId="0" fontId="10" fillId="10" borderId="3" xfId="0" applyFont="1" applyFill="1" applyBorder="1" applyAlignment="1">
      <alignment horizontal="left"/>
    </xf>
    <xf numFmtId="0" fontId="10" fillId="11" borderId="4" xfId="0" applyFont="1" applyFill="1" applyBorder="1" applyAlignment="1">
      <alignment horizontal="left"/>
    </xf>
    <xf numFmtId="0" fontId="10" fillId="11" borderId="5" xfId="0" applyFont="1" applyFill="1" applyBorder="1" applyAlignment="1">
      <alignment horizontal="left"/>
    </xf>
    <xf numFmtId="0" fontId="10" fillId="12" borderId="4" xfId="0" applyFont="1" applyFill="1" applyBorder="1" applyAlignment="1">
      <alignment horizontal="left"/>
    </xf>
    <xf numFmtId="0" fontId="10" fillId="12" borderId="5" xfId="0" applyFont="1" applyFill="1" applyBorder="1" applyAlignment="1">
      <alignment horizontal="left"/>
    </xf>
    <xf numFmtId="0" fontId="10" fillId="13" borderId="4" xfId="0" applyFont="1" applyFill="1" applyBorder="1" applyAlignment="1">
      <alignment horizontal="left"/>
    </xf>
    <xf numFmtId="0" fontId="10" fillId="13" borderId="5" xfId="0" applyFont="1" applyFill="1" applyBorder="1" applyAlignment="1">
      <alignment horizontal="left"/>
    </xf>
    <xf numFmtId="0" fontId="10" fillId="13" borderId="6" xfId="0" applyFont="1" applyFill="1" applyBorder="1" applyAlignment="1">
      <alignment horizontal="left"/>
    </xf>
    <xf numFmtId="0" fontId="10" fillId="14" borderId="4" xfId="0" applyFont="1" applyFill="1" applyBorder="1" applyAlignment="1">
      <alignment horizontal="left"/>
    </xf>
    <xf numFmtId="0" fontId="10" fillId="14" borderId="5" xfId="0" applyFont="1" applyFill="1" applyBorder="1" applyAlignment="1">
      <alignment horizontal="left"/>
    </xf>
    <xf numFmtId="0" fontId="10" fillId="14" borderId="6" xfId="0" applyFont="1" applyFill="1" applyBorder="1" applyAlignment="1">
      <alignment horizontal="left"/>
    </xf>
    <xf numFmtId="0" fontId="10" fillId="15" borderId="4" xfId="0" applyFont="1" applyFill="1" applyBorder="1" applyAlignment="1">
      <alignment horizontal="left"/>
    </xf>
    <xf numFmtId="0" fontId="10" fillId="15" borderId="5" xfId="0" applyFont="1" applyFill="1" applyBorder="1" applyAlignment="1">
      <alignment horizontal="left"/>
    </xf>
    <xf numFmtId="0" fontId="10" fillId="15" borderId="6" xfId="0" applyFont="1" applyFill="1" applyBorder="1" applyAlignment="1">
      <alignment horizontal="left"/>
    </xf>
    <xf numFmtId="0" fontId="10" fillId="16" borderId="9" xfId="0" applyFont="1" applyFill="1" applyBorder="1" applyAlignment="1">
      <alignment horizontal="center"/>
    </xf>
    <xf numFmtId="0" fontId="9" fillId="0" borderId="10" xfId="0" applyFont="1" applyBorder="1"/>
    <xf numFmtId="0" fontId="10" fillId="10" borderId="11" xfId="0" applyFont="1" applyFill="1" applyBorder="1"/>
    <xf numFmtId="0" fontId="10" fillId="11" borderId="12" xfId="0" applyFont="1" applyFill="1" applyBorder="1" applyAlignment="1">
      <alignment horizontal="right"/>
    </xf>
    <xf numFmtId="0" fontId="10" fillId="11" borderId="13" xfId="0" applyFont="1" applyFill="1" applyBorder="1" applyAlignment="1">
      <alignment horizontal="right"/>
    </xf>
    <xf numFmtId="0" fontId="10" fillId="12" borderId="12" xfId="0" applyFont="1" applyFill="1" applyBorder="1" applyAlignment="1">
      <alignment horizontal="right"/>
    </xf>
    <xf numFmtId="0" fontId="10" fillId="12" borderId="13" xfId="0" applyFont="1" applyFill="1" applyBorder="1" applyAlignment="1">
      <alignment horizontal="right"/>
    </xf>
    <xf numFmtId="0" fontId="10" fillId="12" borderId="14" xfId="0" applyFont="1" applyFill="1" applyBorder="1" applyAlignment="1">
      <alignment horizontal="right"/>
    </xf>
    <xf numFmtId="0" fontId="10" fillId="13" borderId="12" xfId="0" applyFont="1" applyFill="1" applyBorder="1" applyAlignment="1">
      <alignment horizontal="center"/>
    </xf>
    <xf numFmtId="0" fontId="10" fillId="13" borderId="13" xfId="0" applyFont="1" applyFill="1" applyBorder="1" applyAlignment="1">
      <alignment horizontal="center"/>
    </xf>
    <xf numFmtId="0" fontId="10" fillId="13" borderId="14" xfId="0" applyFont="1" applyFill="1" applyBorder="1" applyAlignment="1">
      <alignment horizontal="center"/>
    </xf>
    <xf numFmtId="0" fontId="10" fillId="14" borderId="12" xfId="0" applyFont="1" applyFill="1" applyBorder="1" applyAlignment="1">
      <alignment horizontal="right"/>
    </xf>
    <xf numFmtId="0" fontId="10" fillId="14" borderId="13" xfId="0" applyFont="1" applyFill="1" applyBorder="1" applyAlignment="1">
      <alignment horizontal="right"/>
    </xf>
    <xf numFmtId="0" fontId="10" fillId="14" borderId="14" xfId="0" applyFont="1" applyFill="1" applyBorder="1" applyAlignment="1">
      <alignment horizontal="right"/>
    </xf>
    <xf numFmtId="0" fontId="10" fillId="15" borderId="12" xfId="0" applyFont="1" applyFill="1" applyBorder="1" applyAlignment="1">
      <alignment horizontal="center"/>
    </xf>
    <xf numFmtId="0" fontId="10" fillId="15" borderId="13" xfId="0" applyFont="1" applyFill="1" applyBorder="1" applyAlignment="1">
      <alignment horizontal="center"/>
    </xf>
    <xf numFmtId="0" fontId="10" fillId="15" borderId="14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right"/>
    </xf>
    <xf numFmtId="0" fontId="10" fillId="16" borderId="15" xfId="0" applyFont="1" applyFill="1" applyBorder="1" applyAlignment="1">
      <alignment horizontal="center"/>
    </xf>
    <xf numFmtId="0" fontId="10" fillId="17" borderId="13" xfId="0" applyFont="1" applyFill="1" applyBorder="1" applyAlignment="1">
      <alignment horizontal="right"/>
    </xf>
    <xf numFmtId="0" fontId="10" fillId="17" borderId="14" xfId="0" applyFont="1" applyFill="1" applyBorder="1" applyAlignment="1">
      <alignment horizontal="right"/>
    </xf>
    <xf numFmtId="0" fontId="9" fillId="0" borderId="16" xfId="0" applyFont="1" applyBorder="1"/>
    <xf numFmtId="0" fontId="9" fillId="0" borderId="8" xfId="0" applyFont="1" applyBorder="1"/>
    <xf numFmtId="0" fontId="9" fillId="18" borderId="6" xfId="0" applyFont="1" applyFill="1" applyBorder="1"/>
    <xf numFmtId="38" fontId="9" fillId="11" borderId="16" xfId="0" applyNumberFormat="1" applyFont="1" applyFill="1" applyBorder="1"/>
    <xf numFmtId="38" fontId="9" fillId="11" borderId="7" xfId="0" applyNumberFormat="1" applyFont="1" applyFill="1" applyBorder="1"/>
    <xf numFmtId="38" fontId="9" fillId="12" borderId="16" xfId="0" applyNumberFormat="1" applyFont="1" applyFill="1" applyBorder="1"/>
    <xf numFmtId="38" fontId="9" fillId="12" borderId="7" xfId="0" applyNumberFormat="1" applyFont="1" applyFill="1" applyBorder="1"/>
    <xf numFmtId="37" fontId="9" fillId="13" borderId="16" xfId="0" applyNumberFormat="1" applyFont="1" applyFill="1" applyBorder="1"/>
    <xf numFmtId="37" fontId="9" fillId="13" borderId="7" xfId="0" applyNumberFormat="1" applyFont="1" applyFill="1" applyBorder="1"/>
    <xf numFmtId="37" fontId="9" fillId="13" borderId="8" xfId="0" applyNumberFormat="1" applyFont="1" applyFill="1" applyBorder="1"/>
    <xf numFmtId="38" fontId="9" fillId="14" borderId="16" xfId="0" applyNumberFormat="1" applyFont="1" applyFill="1" applyBorder="1"/>
    <xf numFmtId="38" fontId="9" fillId="14" borderId="7" xfId="0" applyNumberFormat="1" applyFont="1" applyFill="1" applyBorder="1"/>
    <xf numFmtId="37" fontId="9" fillId="15" borderId="16" xfId="0" applyNumberFormat="1" applyFont="1" applyFill="1" applyBorder="1"/>
    <xf numFmtId="37" fontId="9" fillId="15" borderId="7" xfId="0" applyNumberFormat="1" applyFont="1" applyFill="1" applyBorder="1"/>
    <xf numFmtId="37" fontId="9" fillId="15" borderId="8" xfId="0" applyNumberFormat="1" applyFont="1" applyFill="1" applyBorder="1"/>
    <xf numFmtId="37" fontId="9" fillId="19" borderId="17" xfId="0" applyNumberFormat="1" applyFont="1" applyFill="1" applyBorder="1"/>
    <xf numFmtId="37" fontId="9" fillId="20" borderId="7" xfId="0" applyNumberFormat="1" applyFont="1" applyFill="1" applyBorder="1"/>
    <xf numFmtId="37" fontId="9" fillId="20" borderId="8" xfId="0" applyNumberFormat="1" applyFont="1" applyFill="1" applyBorder="1"/>
    <xf numFmtId="0" fontId="9" fillId="0" borderId="19" xfId="0" applyFont="1" applyBorder="1"/>
    <xf numFmtId="0" fontId="9" fillId="0" borderId="20" xfId="0" applyFont="1" applyBorder="1"/>
    <xf numFmtId="0" fontId="9" fillId="18" borderId="21" xfId="0" applyFont="1" applyFill="1" applyBorder="1"/>
    <xf numFmtId="38" fontId="9" fillId="11" borderId="19" xfId="0" applyNumberFormat="1" applyFont="1" applyFill="1" applyBorder="1"/>
    <xf numFmtId="38" fontId="9" fillId="11" borderId="1" xfId="0" applyNumberFormat="1" applyFont="1" applyFill="1" applyBorder="1"/>
    <xf numFmtId="38" fontId="9" fillId="12" borderId="19" xfId="0" applyNumberFormat="1" applyFont="1" applyFill="1" applyBorder="1"/>
    <xf numFmtId="38" fontId="9" fillId="12" borderId="1" xfId="0" applyNumberFormat="1" applyFont="1" applyFill="1" applyBorder="1"/>
    <xf numFmtId="37" fontId="9" fillId="13" borderId="19" xfId="0" applyNumberFormat="1" applyFont="1" applyFill="1" applyBorder="1"/>
    <xf numFmtId="37" fontId="9" fillId="13" borderId="1" xfId="0" applyNumberFormat="1" applyFont="1" applyFill="1" applyBorder="1"/>
    <xf numFmtId="37" fontId="9" fillId="13" borderId="20" xfId="0" applyNumberFormat="1" applyFont="1" applyFill="1" applyBorder="1"/>
    <xf numFmtId="38" fontId="9" fillId="14" borderId="19" xfId="0" applyNumberFormat="1" applyFont="1" applyFill="1" applyBorder="1"/>
    <xf numFmtId="38" fontId="9" fillId="14" borderId="1" xfId="0" applyNumberFormat="1" applyFont="1" applyFill="1" applyBorder="1"/>
    <xf numFmtId="37" fontId="9" fillId="15" borderId="19" xfId="0" applyNumberFormat="1" applyFont="1" applyFill="1" applyBorder="1"/>
    <xf numFmtId="37" fontId="9" fillId="15" borderId="1" xfId="0" applyNumberFormat="1" applyFont="1" applyFill="1" applyBorder="1"/>
    <xf numFmtId="37" fontId="9" fillId="15" borderId="20" xfId="0" applyNumberFormat="1" applyFont="1" applyFill="1" applyBorder="1"/>
    <xf numFmtId="37" fontId="9" fillId="19" borderId="1" xfId="0" applyNumberFormat="1" applyFont="1" applyFill="1" applyBorder="1"/>
    <xf numFmtId="37" fontId="9" fillId="20" borderId="1" xfId="0" applyNumberFormat="1" applyFont="1" applyFill="1" applyBorder="1"/>
    <xf numFmtId="37" fontId="9" fillId="20" borderId="20" xfId="0" applyNumberFormat="1" applyFont="1" applyFill="1" applyBorder="1"/>
    <xf numFmtId="37" fontId="9" fillId="21" borderId="22" xfId="0" applyNumberFormat="1" applyFont="1" applyFill="1" applyBorder="1"/>
    <xf numFmtId="0" fontId="9" fillId="0" borderId="12" xfId="0" applyFont="1" applyBorder="1"/>
    <xf numFmtId="0" fontId="9" fillId="0" borderId="14" xfId="0" applyFont="1" applyBorder="1"/>
    <xf numFmtId="0" fontId="9" fillId="18" borderId="23" xfId="0" applyFont="1" applyFill="1" applyBorder="1"/>
    <xf numFmtId="38" fontId="9" fillId="11" borderId="12" xfId="0" applyNumberFormat="1" applyFont="1" applyFill="1" applyBorder="1"/>
    <xf numFmtId="38" fontId="9" fillId="11" borderId="13" xfId="0" applyNumberFormat="1" applyFont="1" applyFill="1" applyBorder="1"/>
    <xf numFmtId="38" fontId="9" fillId="12" borderId="12" xfId="0" applyNumberFormat="1" applyFont="1" applyFill="1" applyBorder="1"/>
    <xf numFmtId="38" fontId="9" fillId="12" borderId="13" xfId="0" applyNumberFormat="1" applyFont="1" applyFill="1" applyBorder="1"/>
    <xf numFmtId="37" fontId="9" fillId="13" borderId="12" xfId="0" applyNumberFormat="1" applyFont="1" applyFill="1" applyBorder="1"/>
    <xf numFmtId="37" fontId="9" fillId="13" borderId="13" xfId="0" applyNumberFormat="1" applyFont="1" applyFill="1" applyBorder="1"/>
    <xf numFmtId="37" fontId="9" fillId="13" borderId="14" xfId="0" applyNumberFormat="1" applyFont="1" applyFill="1" applyBorder="1"/>
    <xf numFmtId="38" fontId="9" fillId="14" borderId="12" xfId="0" applyNumberFormat="1" applyFont="1" applyFill="1" applyBorder="1"/>
    <xf numFmtId="38" fontId="9" fillId="14" borderId="13" xfId="0" applyNumberFormat="1" applyFont="1" applyFill="1" applyBorder="1"/>
    <xf numFmtId="37" fontId="9" fillId="15" borderId="12" xfId="0" applyNumberFormat="1" applyFont="1" applyFill="1" applyBorder="1"/>
    <xf numFmtId="37" fontId="9" fillId="15" borderId="13" xfId="0" applyNumberFormat="1" applyFont="1" applyFill="1" applyBorder="1"/>
    <xf numFmtId="37" fontId="9" fillId="15" borderId="14" xfId="0" applyNumberFormat="1" applyFont="1" applyFill="1" applyBorder="1"/>
    <xf numFmtId="37" fontId="9" fillId="19" borderId="13" xfId="0" applyNumberFormat="1" applyFont="1" applyFill="1" applyBorder="1"/>
    <xf numFmtId="37" fontId="9" fillId="21" borderId="11" xfId="0" applyNumberFormat="1" applyFont="1" applyFill="1" applyBorder="1"/>
    <xf numFmtId="37" fontId="9" fillId="20" borderId="13" xfId="0" applyNumberFormat="1" applyFont="1" applyFill="1" applyBorder="1"/>
    <xf numFmtId="37" fontId="9" fillId="20" borderId="14" xfId="0" applyNumberFormat="1" applyFont="1" applyFill="1" applyBorder="1"/>
    <xf numFmtId="164" fontId="9" fillId="12" borderId="16" xfId="0" applyNumberFormat="1" applyFont="1" applyFill="1" applyBorder="1"/>
    <xf numFmtId="164" fontId="9" fillId="12" borderId="7" xfId="0" applyNumberFormat="1" applyFont="1" applyFill="1" applyBorder="1"/>
    <xf numFmtId="39" fontId="9" fillId="13" borderId="16" xfId="0" applyNumberFormat="1" applyFont="1" applyFill="1" applyBorder="1"/>
    <xf numFmtId="39" fontId="9" fillId="13" borderId="7" xfId="0" applyNumberFormat="1" applyFont="1" applyFill="1" applyBorder="1"/>
    <xf numFmtId="39" fontId="9" fillId="13" borderId="8" xfId="0" applyNumberFormat="1" applyFont="1" applyFill="1" applyBorder="1"/>
    <xf numFmtId="37" fontId="9" fillId="21" borderId="3" xfId="0" applyNumberFormat="1" applyFont="1" applyFill="1" applyBorder="1"/>
    <xf numFmtId="164" fontId="9" fillId="12" borderId="19" xfId="0" applyNumberFormat="1" applyFont="1" applyFill="1" applyBorder="1"/>
    <xf numFmtId="164" fontId="9" fillId="12" borderId="1" xfId="0" applyNumberFormat="1" applyFont="1" applyFill="1" applyBorder="1"/>
    <xf numFmtId="39" fontId="9" fillId="13" borderId="19" xfId="0" applyNumberFormat="1" applyFont="1" applyFill="1" applyBorder="1"/>
    <xf numFmtId="39" fontId="9" fillId="13" borderId="1" xfId="0" applyNumberFormat="1" applyFont="1" applyFill="1" applyBorder="1"/>
    <xf numFmtId="39" fontId="9" fillId="13" borderId="20" xfId="0" applyNumberFormat="1" applyFont="1" applyFill="1" applyBorder="1"/>
    <xf numFmtId="166" fontId="9" fillId="19" borderId="1" xfId="0" applyNumberFormat="1" applyFont="1" applyFill="1" applyBorder="1"/>
    <xf numFmtId="164" fontId="9" fillId="12" borderId="12" xfId="0" applyNumberFormat="1" applyFont="1" applyFill="1" applyBorder="1"/>
    <xf numFmtId="164" fontId="9" fillId="12" borderId="13" xfId="0" applyNumberFormat="1" applyFont="1" applyFill="1" applyBorder="1"/>
    <xf numFmtId="39" fontId="9" fillId="13" borderId="12" xfId="0" applyNumberFormat="1" applyFont="1" applyFill="1" applyBorder="1"/>
    <xf numFmtId="39" fontId="9" fillId="13" borderId="13" xfId="0" applyNumberFormat="1" applyFont="1" applyFill="1" applyBorder="1"/>
    <xf numFmtId="39" fontId="9" fillId="13" borderId="14" xfId="0" applyNumberFormat="1" applyFont="1" applyFill="1" applyBorder="1"/>
    <xf numFmtId="166" fontId="9" fillId="19" borderId="13" xfId="0" applyNumberFormat="1" applyFont="1" applyFill="1" applyBorder="1"/>
    <xf numFmtId="166" fontId="9" fillId="19" borderId="17" xfId="0" applyNumberFormat="1" applyFont="1" applyFill="1" applyBorder="1"/>
    <xf numFmtId="0" fontId="9" fillId="0" borderId="24" xfId="0" applyFont="1" applyBorder="1"/>
    <xf numFmtId="0" fontId="9" fillId="0" borderId="25" xfId="0" applyFont="1" applyBorder="1"/>
    <xf numFmtId="39" fontId="9" fillId="19" borderId="1" xfId="0" applyNumberFormat="1" applyFont="1" applyFill="1" applyBorder="1"/>
    <xf numFmtId="39" fontId="9" fillId="19" borderId="13" xfId="0" applyNumberFormat="1" applyFont="1" applyFill="1" applyBorder="1"/>
    <xf numFmtId="0" fontId="9" fillId="0" borderId="26" xfId="0" applyFont="1" applyBorder="1"/>
    <xf numFmtId="0" fontId="9" fillId="0" borderId="18" xfId="0" applyFont="1" applyBorder="1"/>
    <xf numFmtId="37" fontId="9" fillId="19" borderId="7" xfId="0" applyNumberFormat="1" applyFont="1" applyFill="1" applyBorder="1"/>
    <xf numFmtId="0" fontId="9" fillId="18" borderId="27" xfId="0" applyFont="1" applyFill="1" applyBorder="1"/>
    <xf numFmtId="38" fontId="9" fillId="11" borderId="26" xfId="0" applyNumberFormat="1" applyFont="1" applyFill="1" applyBorder="1"/>
    <xf numFmtId="38" fontId="9" fillId="11" borderId="17" xfId="0" applyNumberFormat="1" applyFont="1" applyFill="1" applyBorder="1"/>
    <xf numFmtId="38" fontId="9" fillId="12" borderId="26" xfId="0" applyNumberFormat="1" applyFont="1" applyFill="1" applyBorder="1"/>
    <xf numFmtId="38" fontId="9" fillId="12" borderId="17" xfId="0" applyNumberFormat="1" applyFont="1" applyFill="1" applyBorder="1"/>
    <xf numFmtId="37" fontId="9" fillId="13" borderId="26" xfId="0" applyNumberFormat="1" applyFont="1" applyFill="1" applyBorder="1"/>
    <xf numFmtId="37" fontId="9" fillId="13" borderId="17" xfId="0" applyNumberFormat="1" applyFont="1" applyFill="1" applyBorder="1"/>
    <xf numFmtId="37" fontId="9" fillId="13" borderId="18" xfId="0" applyNumberFormat="1" applyFont="1" applyFill="1" applyBorder="1"/>
    <xf numFmtId="38" fontId="9" fillId="14" borderId="26" xfId="0" applyNumberFormat="1" applyFont="1" applyFill="1" applyBorder="1"/>
    <xf numFmtId="38" fontId="9" fillId="14" borderId="17" xfId="0" applyNumberFormat="1" applyFont="1" applyFill="1" applyBorder="1"/>
    <xf numFmtId="37" fontId="9" fillId="15" borderId="26" xfId="0" applyNumberFormat="1" applyFont="1" applyFill="1" applyBorder="1"/>
    <xf numFmtId="37" fontId="9" fillId="15" borderId="17" xfId="0" applyNumberFormat="1" applyFont="1" applyFill="1" applyBorder="1"/>
    <xf numFmtId="37" fontId="9" fillId="15" borderId="18" xfId="0" applyNumberFormat="1" applyFont="1" applyFill="1" applyBorder="1"/>
    <xf numFmtId="37" fontId="9" fillId="21" borderId="28" xfId="0" applyNumberFormat="1" applyFont="1" applyFill="1" applyBorder="1"/>
    <xf numFmtId="0" fontId="9" fillId="18" borderId="29" xfId="0" applyFont="1" applyFill="1" applyBorder="1"/>
    <xf numFmtId="0" fontId="10" fillId="18" borderId="30" xfId="0" applyFont="1" applyFill="1" applyBorder="1"/>
    <xf numFmtId="37" fontId="10" fillId="11" borderId="31" xfId="0" applyNumberFormat="1" applyFont="1" applyFill="1" applyBorder="1"/>
    <xf numFmtId="37" fontId="10" fillId="11" borderId="32" xfId="0" applyNumberFormat="1" applyFont="1" applyFill="1" applyBorder="1"/>
    <xf numFmtId="37" fontId="10" fillId="17" borderId="32" xfId="0" applyNumberFormat="1" applyFont="1" applyFill="1" applyBorder="1"/>
    <xf numFmtId="37" fontId="10" fillId="17" borderId="33" xfId="0" applyNumberFormat="1" applyFont="1" applyFill="1" applyBorder="1"/>
    <xf numFmtId="165" fontId="9" fillId="0" borderId="0" xfId="1" applyNumberFormat="1" applyFont="1"/>
    <xf numFmtId="0" fontId="9" fillId="0" borderId="7" xfId="0" applyFont="1" applyBorder="1"/>
    <xf numFmtId="37" fontId="9" fillId="11" borderId="34" xfId="0" applyNumberFormat="1" applyFont="1" applyFill="1" applyBorder="1"/>
    <xf numFmtId="37" fontId="9" fillId="11" borderId="7" xfId="0" applyNumberFormat="1" applyFont="1" applyFill="1" applyBorder="1"/>
    <xf numFmtId="37" fontId="9" fillId="12" borderId="16" xfId="0" applyNumberFormat="1" applyFont="1" applyFill="1" applyBorder="1"/>
    <xf numFmtId="37" fontId="9" fillId="12" borderId="7" xfId="0" applyNumberFormat="1" applyFont="1" applyFill="1" applyBorder="1"/>
    <xf numFmtId="0" fontId="9" fillId="0" borderId="1" xfId="0" applyFont="1" applyBorder="1"/>
    <xf numFmtId="37" fontId="9" fillId="11" borderId="35" xfId="0" applyNumberFormat="1" applyFont="1" applyFill="1" applyBorder="1"/>
    <xf numFmtId="37" fontId="9" fillId="11" borderId="1" xfId="0" applyNumberFormat="1" applyFont="1" applyFill="1" applyBorder="1"/>
    <xf numFmtId="37" fontId="9" fillId="12" borderId="19" xfId="0" applyNumberFormat="1" applyFont="1" applyFill="1" applyBorder="1"/>
    <xf numFmtId="37" fontId="9" fillId="12" borderId="1" xfId="0" applyNumberFormat="1" applyFont="1" applyFill="1" applyBorder="1"/>
    <xf numFmtId="0" fontId="9" fillId="0" borderId="13" xfId="0" applyFont="1" applyBorder="1"/>
    <xf numFmtId="37" fontId="9" fillId="11" borderId="36" xfId="0" applyNumberFormat="1" applyFont="1" applyFill="1" applyBorder="1"/>
    <xf numFmtId="37" fontId="9" fillId="11" borderId="13" xfId="0" applyNumberFormat="1" applyFont="1" applyFill="1" applyBorder="1"/>
    <xf numFmtId="37" fontId="9" fillId="12" borderId="12" xfId="0" applyNumberFormat="1" applyFont="1" applyFill="1" applyBorder="1"/>
    <xf numFmtId="37" fontId="9" fillId="12" borderId="13" xfId="0" applyNumberFormat="1" applyFont="1" applyFill="1" applyBorder="1"/>
    <xf numFmtId="37" fontId="9" fillId="20" borderId="37" xfId="0" applyNumberFormat="1" applyFont="1" applyFill="1" applyBorder="1"/>
    <xf numFmtId="37" fontId="9" fillId="20" borderId="25" xfId="0" applyNumberFormat="1" applyFont="1" applyFill="1" applyBorder="1"/>
    <xf numFmtId="37" fontId="10" fillId="0" borderId="31" xfId="0" applyNumberFormat="1" applyFont="1" applyBorder="1"/>
    <xf numFmtId="37" fontId="10" fillId="0" borderId="32" xfId="0" applyNumberFormat="1" applyFont="1" applyBorder="1"/>
    <xf numFmtId="37" fontId="10" fillId="0" borderId="33" xfId="0" applyNumberFormat="1" applyFont="1" applyBorder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10" fillId="7" borderId="4" xfId="0" applyFont="1" applyFill="1" applyBorder="1"/>
    <xf numFmtId="0" fontId="10" fillId="7" borderId="5" xfId="0" applyFont="1" applyFill="1" applyBorder="1"/>
    <xf numFmtId="0" fontId="10" fillId="17" borderId="42" xfId="0" applyFont="1" applyFill="1" applyBorder="1" applyAlignment="1"/>
    <xf numFmtId="0" fontId="10" fillId="17" borderId="5" xfId="0" applyFont="1" applyFill="1" applyBorder="1" applyAlignment="1"/>
    <xf numFmtId="0" fontId="10" fillId="17" borderId="6" xfId="0" applyFont="1" applyFill="1" applyBorder="1" applyAlignment="1"/>
    <xf numFmtId="38" fontId="11" fillId="12" borderId="8" xfId="0" applyNumberFormat="1" applyFont="1" applyFill="1" applyBorder="1"/>
    <xf numFmtId="38" fontId="11" fillId="12" borderId="20" xfId="0" applyNumberFormat="1" applyFont="1" applyFill="1" applyBorder="1"/>
    <xf numFmtId="38" fontId="11" fillId="12" borderId="14" xfId="0" applyNumberFormat="1" applyFont="1" applyFill="1" applyBorder="1"/>
    <xf numFmtId="164" fontId="11" fillId="12" borderId="8" xfId="0" applyNumberFormat="1" applyFont="1" applyFill="1" applyBorder="1"/>
    <xf numFmtId="164" fontId="11" fillId="12" borderId="20" xfId="0" applyNumberFormat="1" applyFont="1" applyFill="1" applyBorder="1"/>
    <xf numFmtId="164" fontId="11" fillId="12" borderId="14" xfId="0" applyNumberFormat="1" applyFont="1" applyFill="1" applyBorder="1"/>
    <xf numFmtId="38" fontId="11" fillId="12" borderId="18" xfId="0" applyNumberFormat="1" applyFont="1" applyFill="1" applyBorder="1"/>
    <xf numFmtId="38" fontId="11" fillId="11" borderId="7" xfId="0" applyNumberFormat="1" applyFont="1" applyFill="1" applyBorder="1"/>
    <xf numFmtId="38" fontId="11" fillId="11" borderId="1" xfId="0" applyNumberFormat="1" applyFont="1" applyFill="1" applyBorder="1"/>
    <xf numFmtId="38" fontId="11" fillId="11" borderId="13" xfId="0" applyNumberFormat="1" applyFont="1" applyFill="1" applyBorder="1"/>
    <xf numFmtId="38" fontId="11" fillId="11" borderId="17" xfId="0" applyNumberFormat="1" applyFont="1" applyFill="1" applyBorder="1"/>
    <xf numFmtId="37" fontId="13" fillId="11" borderId="33" xfId="0" applyNumberFormat="1" applyFont="1" applyFill="1" applyBorder="1"/>
    <xf numFmtId="37" fontId="10" fillId="17" borderId="44" xfId="0" applyNumberFormat="1" applyFont="1" applyFill="1" applyBorder="1"/>
    <xf numFmtId="37" fontId="10" fillId="17" borderId="31" xfId="0" applyNumberFormat="1" applyFont="1" applyFill="1" applyBorder="1"/>
    <xf numFmtId="0" fontId="11" fillId="0" borderId="0" xfId="0" applyFont="1"/>
    <xf numFmtId="37" fontId="11" fillId="11" borderId="7" xfId="0" applyNumberFormat="1" applyFont="1" applyFill="1" applyBorder="1"/>
    <xf numFmtId="37" fontId="11" fillId="11" borderId="1" xfId="0" applyNumberFormat="1" applyFont="1" applyFill="1" applyBorder="1"/>
    <xf numFmtId="37" fontId="11" fillId="11" borderId="13" xfId="0" applyNumberFormat="1" applyFont="1" applyFill="1" applyBorder="1"/>
    <xf numFmtId="37" fontId="13" fillId="0" borderId="32" xfId="0" applyNumberFormat="1" applyFont="1" applyBorder="1"/>
    <xf numFmtId="165" fontId="11" fillId="0" borderId="0" xfId="1" applyNumberFormat="1" applyFont="1"/>
    <xf numFmtId="37" fontId="11" fillId="12" borderId="8" xfId="0" applyNumberFormat="1" applyFont="1" applyFill="1" applyBorder="1"/>
    <xf numFmtId="37" fontId="11" fillId="12" borderId="20" xfId="0" applyNumberFormat="1" applyFont="1" applyFill="1" applyBorder="1"/>
    <xf numFmtId="37" fontId="11" fillId="12" borderId="14" xfId="0" applyNumberFormat="1" applyFont="1" applyFill="1" applyBorder="1"/>
    <xf numFmtId="38" fontId="11" fillId="14" borderId="8" xfId="0" applyNumberFormat="1" applyFont="1" applyFill="1" applyBorder="1"/>
    <xf numFmtId="38" fontId="11" fillId="14" borderId="20" xfId="0" applyNumberFormat="1" applyFont="1" applyFill="1" applyBorder="1"/>
    <xf numFmtId="38" fontId="11" fillId="14" borderId="14" xfId="0" applyNumberFormat="1" applyFont="1" applyFill="1" applyBorder="1"/>
    <xf numFmtId="38" fontId="11" fillId="14" borderId="18" xfId="0" applyNumberFormat="1" applyFont="1" applyFill="1" applyBorder="1"/>
    <xf numFmtId="0" fontId="2" fillId="13" borderId="4" xfId="0" applyFont="1" applyFill="1" applyBorder="1" applyAlignment="1">
      <alignment horizontal="left"/>
    </xf>
    <xf numFmtId="0" fontId="2" fillId="13" borderId="5" xfId="0" applyFont="1" applyFill="1" applyBorder="1" applyAlignment="1">
      <alignment horizontal="left"/>
    </xf>
    <xf numFmtId="0" fontId="2" fillId="13" borderId="43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left"/>
    </xf>
    <xf numFmtId="0" fontId="2" fillId="15" borderId="5" xfId="0" applyFont="1" applyFill="1" applyBorder="1" applyAlignment="1">
      <alignment horizontal="left"/>
    </xf>
    <xf numFmtId="0" fontId="2" fillId="15" borderId="43" xfId="0" applyFont="1" applyFill="1" applyBorder="1" applyAlignment="1">
      <alignment horizontal="center"/>
    </xf>
    <xf numFmtId="9" fontId="10" fillId="15" borderId="5" xfId="1" applyFont="1" applyFill="1" applyBorder="1" applyAlignment="1">
      <alignment horizontal="left"/>
    </xf>
    <xf numFmtId="9" fontId="10" fillId="15" borderId="45" xfId="1" applyFont="1" applyFill="1" applyBorder="1" applyAlignment="1">
      <alignment horizontal="center"/>
    </xf>
    <xf numFmtId="9" fontId="9" fillId="15" borderId="46" xfId="1" applyFont="1" applyFill="1" applyBorder="1"/>
    <xf numFmtId="9" fontId="9" fillId="15" borderId="47" xfId="1" applyFont="1" applyFill="1" applyBorder="1"/>
    <xf numFmtId="9" fontId="9" fillId="15" borderId="45" xfId="1" applyFont="1" applyFill="1" applyBorder="1"/>
    <xf numFmtId="9" fontId="9" fillId="15" borderId="42" xfId="1" applyFont="1" applyFill="1" applyBorder="1"/>
    <xf numFmtId="0" fontId="10" fillId="7" borderId="36" xfId="0" applyFont="1" applyFill="1" applyBorder="1" applyAlignment="1">
      <alignment horizontal="right"/>
    </xf>
    <xf numFmtId="37" fontId="9" fillId="19" borderId="48" xfId="0" applyNumberFormat="1" applyFont="1" applyFill="1" applyBorder="1"/>
    <xf numFmtId="37" fontId="9" fillId="19" borderId="35" xfId="0" applyNumberFormat="1" applyFont="1" applyFill="1" applyBorder="1"/>
    <xf numFmtId="37" fontId="9" fillId="19" borderId="36" xfId="0" applyNumberFormat="1" applyFont="1" applyFill="1" applyBorder="1"/>
    <xf numFmtId="166" fontId="9" fillId="19" borderId="35" xfId="0" applyNumberFormat="1" applyFont="1" applyFill="1" applyBorder="1"/>
    <xf numFmtId="166" fontId="9" fillId="19" borderId="36" xfId="0" applyNumberFormat="1" applyFont="1" applyFill="1" applyBorder="1"/>
    <xf numFmtId="166" fontId="9" fillId="19" borderId="48" xfId="0" applyNumberFormat="1" applyFont="1" applyFill="1" applyBorder="1"/>
    <xf numFmtId="39" fontId="9" fillId="19" borderId="35" xfId="0" applyNumberFormat="1" applyFont="1" applyFill="1" applyBorder="1"/>
    <xf numFmtId="39" fontId="9" fillId="19" borderId="36" xfId="0" applyNumberFormat="1" applyFont="1" applyFill="1" applyBorder="1"/>
    <xf numFmtId="37" fontId="9" fillId="19" borderId="34" xfId="0" applyNumberFormat="1" applyFont="1" applyFill="1" applyBorder="1"/>
    <xf numFmtId="9" fontId="10" fillId="15" borderId="4" xfId="1" applyFont="1" applyFill="1" applyBorder="1" applyAlignment="1">
      <alignment horizontal="left"/>
    </xf>
    <xf numFmtId="9" fontId="10" fillId="15" borderId="6" xfId="1" applyFont="1" applyFill="1" applyBorder="1" applyAlignment="1">
      <alignment horizontal="left"/>
    </xf>
    <xf numFmtId="9" fontId="10" fillId="15" borderId="49" xfId="1" applyFont="1" applyFill="1" applyBorder="1" applyAlignment="1">
      <alignment horizontal="center"/>
    </xf>
    <xf numFmtId="9" fontId="10" fillId="15" borderId="14" xfId="1" applyFont="1" applyFill="1" applyBorder="1" applyAlignment="1">
      <alignment horizontal="center"/>
    </xf>
    <xf numFmtId="9" fontId="9" fillId="15" borderId="50" xfId="1" applyFont="1" applyFill="1" applyBorder="1"/>
    <xf numFmtId="9" fontId="9" fillId="15" borderId="18" xfId="1" applyFont="1" applyFill="1" applyBorder="1"/>
    <xf numFmtId="9" fontId="9" fillId="15" borderId="51" xfId="1" applyFont="1" applyFill="1" applyBorder="1"/>
    <xf numFmtId="9" fontId="9" fillId="15" borderId="20" xfId="1" applyFont="1" applyFill="1" applyBorder="1"/>
    <xf numFmtId="9" fontId="9" fillId="15" borderId="49" xfId="1" applyFont="1" applyFill="1" applyBorder="1"/>
    <xf numFmtId="9" fontId="9" fillId="15" borderId="14" xfId="1" applyFont="1" applyFill="1" applyBorder="1"/>
    <xf numFmtId="9" fontId="9" fillId="15" borderId="4" xfId="1" applyFont="1" applyFill="1" applyBorder="1"/>
    <xf numFmtId="9" fontId="9" fillId="15" borderId="8" xfId="1" applyFont="1" applyFill="1" applyBorder="1"/>
    <xf numFmtId="9" fontId="10" fillId="15" borderId="38" xfId="1" applyFont="1" applyFill="1" applyBorder="1" applyAlignment="1">
      <alignment horizontal="center"/>
    </xf>
    <xf numFmtId="9" fontId="9" fillId="15" borderId="40" xfId="1" applyFont="1" applyFill="1" applyBorder="1"/>
    <xf numFmtId="9" fontId="9" fillId="15" borderId="39" xfId="1" applyFont="1" applyFill="1" applyBorder="1"/>
    <xf numFmtId="9" fontId="9" fillId="15" borderId="38" xfId="1" applyFont="1" applyFill="1" applyBorder="1"/>
    <xf numFmtId="9" fontId="9" fillId="15" borderId="5" xfId="1" applyFont="1" applyFill="1" applyBorder="1"/>
    <xf numFmtId="9" fontId="10" fillId="15" borderId="9" xfId="1" applyFont="1" applyFill="1" applyBorder="1" applyAlignment="1">
      <alignment horizontal="left"/>
    </xf>
    <xf numFmtId="9" fontId="10" fillId="15" borderId="41" xfId="1" applyFont="1" applyFill="1" applyBorder="1" applyAlignment="1">
      <alignment horizontal="left"/>
    </xf>
    <xf numFmtId="9" fontId="10" fillId="15" borderId="30" xfId="1" applyFont="1" applyFill="1" applyBorder="1" applyAlignment="1">
      <alignment horizontal="center"/>
    </xf>
    <xf numFmtId="9" fontId="10" fillId="15" borderId="52" xfId="1" applyFont="1" applyFill="1" applyBorder="1" applyAlignment="1">
      <alignment horizontal="center"/>
    </xf>
    <xf numFmtId="9" fontId="10" fillId="15" borderId="33" xfId="1" applyFont="1" applyFill="1" applyBorder="1" applyAlignment="1">
      <alignment horizontal="center"/>
    </xf>
    <xf numFmtId="0" fontId="9" fillId="15" borderId="40" xfId="1" applyNumberFormat="1" applyFont="1" applyFill="1" applyBorder="1"/>
    <xf numFmtId="0" fontId="9" fillId="15" borderId="46" xfId="1" applyNumberFormat="1" applyFont="1" applyFill="1" applyBorder="1"/>
    <xf numFmtId="0" fontId="9" fillId="15" borderId="18" xfId="1" applyNumberFormat="1" applyFont="1" applyFill="1" applyBorder="1"/>
    <xf numFmtId="0" fontId="9" fillId="15" borderId="39" xfId="1" applyNumberFormat="1" applyFont="1" applyFill="1" applyBorder="1"/>
    <xf numFmtId="0" fontId="9" fillId="15" borderId="47" xfId="1" applyNumberFormat="1" applyFont="1" applyFill="1" applyBorder="1"/>
    <xf numFmtId="0" fontId="9" fillId="15" borderId="20" xfId="1" applyNumberFormat="1" applyFont="1" applyFill="1" applyBorder="1"/>
    <xf numFmtId="0" fontId="9" fillId="15" borderId="38" xfId="1" applyNumberFormat="1" applyFont="1" applyFill="1" applyBorder="1"/>
    <xf numFmtId="0" fontId="9" fillId="15" borderId="45" xfId="1" applyNumberFormat="1" applyFont="1" applyFill="1" applyBorder="1"/>
    <xf numFmtId="0" fontId="9" fillId="15" borderId="14" xfId="1" applyNumberFormat="1" applyFont="1" applyFill="1" applyBorder="1"/>
    <xf numFmtId="0" fontId="9" fillId="15" borderId="5" xfId="1" applyNumberFormat="1" applyFont="1" applyFill="1" applyBorder="1"/>
    <xf numFmtId="0" fontId="9" fillId="15" borderId="42" xfId="1" applyNumberFormat="1" applyFont="1" applyFill="1" applyBorder="1"/>
    <xf numFmtId="0" fontId="9" fillId="15" borderId="8" xfId="1" applyNumberFormat="1" applyFont="1" applyFill="1" applyBorder="1"/>
    <xf numFmtId="3" fontId="9" fillId="15" borderId="18" xfId="1" applyNumberFormat="1" applyFont="1" applyFill="1" applyBorder="1"/>
    <xf numFmtId="3" fontId="9" fillId="15" borderId="20" xfId="1" applyNumberFormat="1" applyFont="1" applyFill="1" applyBorder="1"/>
    <xf numFmtId="3" fontId="9" fillId="15" borderId="14" xfId="1" applyNumberFormat="1" applyFont="1" applyFill="1" applyBorder="1"/>
    <xf numFmtId="3" fontId="9" fillId="15" borderId="8" xfId="1" applyNumberFormat="1" applyFont="1" applyFill="1" applyBorder="1"/>
    <xf numFmtId="0" fontId="14" fillId="0" borderId="0" xfId="0" applyFont="1"/>
    <xf numFmtId="0" fontId="12" fillId="0" borderId="0" xfId="0" applyFont="1"/>
    <xf numFmtId="0" fontId="7" fillId="0" borderId="0" xfId="0" applyFont="1"/>
    <xf numFmtId="0" fontId="12" fillId="7" borderId="6" xfId="0" applyFont="1" applyFill="1" applyBorder="1"/>
    <xf numFmtId="0" fontId="12" fillId="7" borderId="14" xfId="0" applyFont="1" applyFill="1" applyBorder="1" applyAlignment="1">
      <alignment horizontal="right"/>
    </xf>
    <xf numFmtId="37" fontId="7" fillId="19" borderId="18" xfId="0" applyNumberFormat="1" applyFont="1" applyFill="1" applyBorder="1"/>
    <xf numFmtId="37" fontId="7" fillId="19" borderId="20" xfId="0" applyNumberFormat="1" applyFont="1" applyFill="1" applyBorder="1"/>
    <xf numFmtId="37" fontId="7" fillId="19" borderId="14" xfId="0" applyNumberFormat="1" applyFont="1" applyFill="1" applyBorder="1"/>
    <xf numFmtId="166" fontId="7" fillId="19" borderId="20" xfId="0" applyNumberFormat="1" applyFont="1" applyFill="1" applyBorder="1"/>
    <xf numFmtId="166" fontId="7" fillId="19" borderId="14" xfId="0" applyNumberFormat="1" applyFont="1" applyFill="1" applyBorder="1"/>
    <xf numFmtId="166" fontId="7" fillId="19" borderId="18" xfId="0" applyNumberFormat="1" applyFont="1" applyFill="1" applyBorder="1"/>
    <xf numFmtId="39" fontId="7" fillId="19" borderId="20" xfId="0" applyNumberFormat="1" applyFont="1" applyFill="1" applyBorder="1"/>
    <xf numFmtId="39" fontId="7" fillId="19" borderId="14" xfId="0" applyNumberFormat="1" applyFont="1" applyFill="1" applyBorder="1"/>
    <xf numFmtId="37" fontId="7" fillId="19" borderId="8" xfId="0" applyNumberFormat="1" applyFont="1" applyFill="1" applyBorder="1"/>
    <xf numFmtId="165" fontId="7" fillId="0" borderId="0" xfId="1" applyNumberFormat="1" applyFont="1"/>
    <xf numFmtId="0" fontId="10" fillId="17" borderId="36" xfId="0" applyFont="1" applyFill="1" applyBorder="1" applyAlignment="1">
      <alignment horizontal="right"/>
    </xf>
    <xf numFmtId="0" fontId="10" fillId="16" borderId="5" xfId="0" applyFont="1" applyFill="1" applyBorder="1" applyAlignment="1">
      <alignment horizontal="center"/>
    </xf>
    <xf numFmtId="0" fontId="10" fillId="16" borderId="6" xfId="0" applyFont="1" applyFill="1" applyBorder="1" applyAlignment="1">
      <alignment horizontal="center"/>
    </xf>
    <xf numFmtId="0" fontId="10" fillId="16" borderId="12" xfId="0" applyFont="1" applyFill="1" applyBorder="1" applyAlignment="1">
      <alignment horizontal="center"/>
    </xf>
    <xf numFmtId="0" fontId="10" fillId="16" borderId="13" xfId="0" applyFont="1" applyFill="1" applyBorder="1" applyAlignment="1">
      <alignment horizontal="center"/>
    </xf>
    <xf numFmtId="0" fontId="10" fillId="16" borderId="14" xfId="0" applyFont="1" applyFill="1" applyBorder="1" applyAlignment="1">
      <alignment horizontal="center"/>
    </xf>
    <xf numFmtId="0" fontId="10" fillId="16" borderId="36" xfId="0" applyFont="1" applyFill="1" applyBorder="1" applyAlignment="1">
      <alignment horizontal="center"/>
    </xf>
    <xf numFmtId="37" fontId="9" fillId="21" borderId="16" xfId="0" applyNumberFormat="1" applyFont="1" applyFill="1" applyBorder="1"/>
    <xf numFmtId="37" fontId="9" fillId="21" borderId="7" xfId="0" applyNumberFormat="1" applyFont="1" applyFill="1" applyBorder="1"/>
    <xf numFmtId="37" fontId="9" fillId="21" borderId="8" xfId="0" applyNumberFormat="1" applyFont="1" applyFill="1" applyBorder="1"/>
    <xf numFmtId="37" fontId="9" fillId="21" borderId="19" xfId="0" applyNumberFormat="1" applyFont="1" applyFill="1" applyBorder="1"/>
    <xf numFmtId="37" fontId="9" fillId="21" borderId="1" xfId="0" applyNumberFormat="1" applyFont="1" applyFill="1" applyBorder="1"/>
    <xf numFmtId="37" fontId="9" fillId="21" borderId="20" xfId="0" applyNumberFormat="1" applyFont="1" applyFill="1" applyBorder="1"/>
    <xf numFmtId="37" fontId="9" fillId="21" borderId="12" xfId="0" applyNumberFormat="1" applyFont="1" applyFill="1" applyBorder="1"/>
    <xf numFmtId="37" fontId="9" fillId="21" borderId="13" xfId="0" applyNumberFormat="1" applyFont="1" applyFill="1" applyBorder="1"/>
    <xf numFmtId="37" fontId="9" fillId="21" borderId="14" xfId="0" applyNumberFormat="1" applyFont="1" applyFill="1" applyBorder="1"/>
    <xf numFmtId="37" fontId="9" fillId="21" borderId="26" xfId="0" applyNumberFormat="1" applyFont="1" applyFill="1" applyBorder="1"/>
    <xf numFmtId="37" fontId="9" fillId="21" borderId="17" xfId="0" applyNumberFormat="1" applyFont="1" applyFill="1" applyBorder="1"/>
    <xf numFmtId="37" fontId="9" fillId="21" borderId="18" xfId="0" applyNumberFormat="1" applyFont="1" applyFill="1" applyBorder="1"/>
    <xf numFmtId="9" fontId="9" fillId="21" borderId="7" xfId="1" applyFont="1" applyFill="1" applyBorder="1"/>
    <xf numFmtId="9" fontId="9" fillId="21" borderId="1" xfId="1" applyFont="1" applyFill="1" applyBorder="1"/>
    <xf numFmtId="9" fontId="9" fillId="21" borderId="13" xfId="1" applyFont="1" applyFill="1" applyBorder="1"/>
    <xf numFmtId="9" fontId="9" fillId="21" borderId="17" xfId="1" applyFont="1" applyFill="1" applyBorder="1"/>
    <xf numFmtId="3" fontId="9" fillId="15" borderId="50" xfId="1" applyNumberFormat="1" applyFont="1" applyFill="1" applyBorder="1"/>
    <xf numFmtId="3" fontId="9" fillId="15" borderId="46" xfId="1" applyNumberFormat="1" applyFont="1" applyFill="1" applyBorder="1"/>
    <xf numFmtId="3" fontId="9" fillId="15" borderId="51" xfId="1" applyNumberFormat="1" applyFont="1" applyFill="1" applyBorder="1"/>
    <xf numFmtId="3" fontId="9" fillId="15" borderId="47" xfId="1" applyNumberFormat="1" applyFont="1" applyFill="1" applyBorder="1"/>
    <xf numFmtId="3" fontId="9" fillId="15" borderId="49" xfId="1" applyNumberFormat="1" applyFont="1" applyFill="1" applyBorder="1"/>
    <xf numFmtId="3" fontId="9" fillId="15" borderId="45" xfId="1" applyNumberFormat="1" applyFont="1" applyFill="1" applyBorder="1"/>
    <xf numFmtId="3" fontId="9" fillId="15" borderId="4" xfId="1" applyNumberFormat="1" applyFont="1" applyFill="1" applyBorder="1"/>
    <xf numFmtId="3" fontId="9" fillId="15" borderId="42" xfId="1" applyNumberFormat="1" applyFont="1" applyFill="1" applyBorder="1"/>
    <xf numFmtId="9" fontId="9" fillId="0" borderId="0" xfId="0" applyNumberFormat="1" applyFont="1"/>
    <xf numFmtId="0" fontId="4" fillId="22" borderId="1" xfId="2" applyFont="1" applyFill="1" applyBorder="1" applyAlignment="1">
      <alignment horizontal="center" wrapText="1"/>
    </xf>
    <xf numFmtId="0" fontId="5" fillId="22" borderId="1" xfId="2" applyFont="1" applyFill="1" applyBorder="1" applyAlignment="1">
      <alignment horizontal="center" wrapText="1"/>
    </xf>
    <xf numFmtId="38" fontId="7" fillId="16" borderId="1" xfId="2" applyNumberFormat="1" applyFont="1" applyFill="1" applyBorder="1"/>
    <xf numFmtId="0" fontId="10" fillId="11" borderId="12" xfId="0" applyFont="1" applyFill="1" applyBorder="1" applyAlignment="1">
      <alignment horizontal="center"/>
    </xf>
    <xf numFmtId="0" fontId="10" fillId="11" borderId="13" xfId="0" applyFont="1" applyFill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10" fillId="12" borderId="13" xfId="0" applyFont="1" applyFill="1" applyBorder="1" applyAlignment="1">
      <alignment horizontal="center"/>
    </xf>
    <xf numFmtId="0" fontId="9" fillId="19" borderId="8" xfId="0" applyFont="1" applyFill="1" applyBorder="1"/>
    <xf numFmtId="0" fontId="12" fillId="11" borderId="5" xfId="0" applyFont="1" applyFill="1" applyBorder="1" applyAlignment="1">
      <alignment horizontal="left"/>
    </xf>
    <xf numFmtId="37" fontId="15" fillId="11" borderId="31" xfId="0" applyNumberFormat="1" applyFont="1" applyFill="1" applyBorder="1"/>
    <xf numFmtId="37" fontId="15" fillId="11" borderId="32" xfId="0" applyNumberFormat="1" applyFont="1" applyFill="1" applyBorder="1"/>
    <xf numFmtId="166" fontId="9" fillId="13" borderId="16" xfId="0" applyNumberFormat="1" applyFont="1" applyFill="1" applyBorder="1"/>
    <xf numFmtId="166" fontId="9" fillId="13" borderId="19" xfId="0" applyNumberFormat="1" applyFont="1" applyFill="1" applyBorder="1"/>
    <xf numFmtId="166" fontId="9" fillId="13" borderId="12" xfId="0" applyNumberFormat="1" applyFont="1" applyFill="1" applyBorder="1"/>
    <xf numFmtId="166" fontId="9" fillId="13" borderId="26" xfId="0" applyNumberFormat="1" applyFont="1" applyFill="1" applyBorder="1"/>
    <xf numFmtId="0" fontId="10" fillId="14" borderId="12" xfId="0" applyFont="1" applyFill="1" applyBorder="1" applyAlignment="1">
      <alignment horizontal="center"/>
    </xf>
    <xf numFmtId="0" fontId="10" fillId="14" borderId="13" xfId="0" applyFont="1" applyFill="1" applyBorder="1" applyAlignment="1">
      <alignment horizontal="center"/>
    </xf>
    <xf numFmtId="0" fontId="10" fillId="14" borderId="14" xfId="0" applyFont="1" applyFill="1" applyBorder="1" applyAlignment="1">
      <alignment horizontal="center"/>
    </xf>
    <xf numFmtId="1" fontId="9" fillId="15" borderId="40" xfId="1" applyNumberFormat="1" applyFont="1" applyFill="1" applyBorder="1"/>
    <xf numFmtId="1" fontId="9" fillId="15" borderId="46" xfId="1" applyNumberFormat="1" applyFont="1" applyFill="1" applyBorder="1"/>
    <xf numFmtId="1" fontId="9" fillId="15" borderId="39" xfId="1" applyNumberFormat="1" applyFont="1" applyFill="1" applyBorder="1"/>
    <xf numFmtId="1" fontId="9" fillId="15" borderId="47" xfId="1" applyNumberFormat="1" applyFont="1" applyFill="1" applyBorder="1"/>
    <xf numFmtId="1" fontId="9" fillId="15" borderId="38" xfId="1" applyNumberFormat="1" applyFont="1" applyFill="1" applyBorder="1"/>
    <xf numFmtId="1" fontId="9" fillId="15" borderId="45" xfId="1" applyNumberFormat="1" applyFont="1" applyFill="1" applyBorder="1"/>
    <xf numFmtId="1" fontId="9" fillId="15" borderId="5" xfId="1" applyNumberFormat="1" applyFont="1" applyFill="1" applyBorder="1"/>
    <xf numFmtId="1" fontId="9" fillId="15" borderId="42" xfId="1" applyNumberFormat="1" applyFont="1" applyFill="1" applyBorder="1"/>
    <xf numFmtId="167" fontId="9" fillId="15" borderId="40" xfId="1" applyNumberFormat="1" applyFont="1" applyFill="1" applyBorder="1"/>
    <xf numFmtId="167" fontId="9" fillId="15" borderId="46" xfId="1" applyNumberFormat="1" applyFont="1" applyFill="1" applyBorder="1"/>
    <xf numFmtId="167" fontId="9" fillId="15" borderId="39" xfId="1" applyNumberFormat="1" applyFont="1" applyFill="1" applyBorder="1"/>
    <xf numFmtId="167" fontId="9" fillId="15" borderId="47" xfId="1" applyNumberFormat="1" applyFont="1" applyFill="1" applyBorder="1"/>
    <xf numFmtId="167" fontId="9" fillId="15" borderId="38" xfId="1" applyNumberFormat="1" applyFont="1" applyFill="1" applyBorder="1"/>
    <xf numFmtId="167" fontId="9" fillId="15" borderId="45" xfId="1" applyNumberFormat="1" applyFont="1" applyFill="1" applyBorder="1"/>
    <xf numFmtId="168" fontId="9" fillId="19" borderId="48" xfId="0" applyNumberFormat="1" applyFont="1" applyFill="1" applyBorder="1"/>
    <xf numFmtId="168" fontId="9" fillId="19" borderId="17" xfId="0" applyNumberFormat="1" applyFont="1" applyFill="1" applyBorder="1"/>
    <xf numFmtId="168" fontId="7" fillId="19" borderId="18" xfId="0" applyNumberFormat="1" applyFont="1" applyFill="1" applyBorder="1"/>
    <xf numFmtId="168" fontId="9" fillId="19" borderId="35" xfId="0" applyNumberFormat="1" applyFont="1" applyFill="1" applyBorder="1"/>
    <xf numFmtId="168" fontId="9" fillId="19" borderId="1" xfId="0" applyNumberFormat="1" applyFont="1" applyFill="1" applyBorder="1"/>
    <xf numFmtId="168" fontId="7" fillId="19" borderId="20" xfId="0" applyNumberFormat="1" applyFont="1" applyFill="1" applyBorder="1"/>
    <xf numFmtId="168" fontId="9" fillId="19" borderId="36" xfId="0" applyNumberFormat="1" applyFont="1" applyFill="1" applyBorder="1"/>
    <xf numFmtId="168" fontId="9" fillId="19" borderId="13" xfId="0" applyNumberFormat="1" applyFont="1" applyFill="1" applyBorder="1"/>
    <xf numFmtId="168" fontId="7" fillId="19" borderId="14" xfId="0" applyNumberFormat="1" applyFont="1" applyFill="1" applyBorder="1"/>
    <xf numFmtId="3" fontId="9" fillId="14" borderId="16" xfId="0" applyNumberFormat="1" applyFont="1" applyFill="1" applyBorder="1"/>
    <xf numFmtId="3" fontId="9" fillId="14" borderId="7" xfId="0" applyNumberFormat="1" applyFont="1" applyFill="1" applyBorder="1"/>
    <xf numFmtId="3" fontId="9" fillId="14" borderId="19" xfId="0" applyNumberFormat="1" applyFont="1" applyFill="1" applyBorder="1"/>
    <xf numFmtId="3" fontId="9" fillId="14" borderId="1" xfId="0" applyNumberFormat="1" applyFont="1" applyFill="1" applyBorder="1"/>
    <xf numFmtId="3" fontId="9" fillId="14" borderId="12" xfId="0" applyNumberFormat="1" applyFont="1" applyFill="1" applyBorder="1"/>
    <xf numFmtId="3" fontId="9" fillId="14" borderId="13" xfId="0" applyNumberFormat="1" applyFont="1" applyFill="1" applyBorder="1"/>
    <xf numFmtId="0" fontId="2" fillId="13" borderId="44" xfId="0" applyFont="1" applyFill="1" applyBorder="1" applyAlignment="1">
      <alignment horizontal="left"/>
    </xf>
    <xf numFmtId="0" fontId="2" fillId="13" borderId="33" xfId="0" applyFont="1" applyFill="1" applyBorder="1" applyAlignment="1">
      <alignment horizontal="center"/>
    </xf>
    <xf numFmtId="9" fontId="10" fillId="13" borderId="9" xfId="1" applyFont="1" applyFill="1" applyBorder="1" applyAlignment="1">
      <alignment horizontal="left"/>
    </xf>
    <xf numFmtId="9" fontId="10" fillId="13" borderId="53" xfId="1" applyFont="1" applyFill="1" applyBorder="1" applyAlignment="1">
      <alignment horizontal="left"/>
    </xf>
    <xf numFmtId="9" fontId="10" fillId="13" borderId="15" xfId="1" applyFont="1" applyFill="1" applyBorder="1" applyAlignment="1">
      <alignment horizontal="center"/>
    </xf>
    <xf numFmtId="9" fontId="10" fillId="13" borderId="54" xfId="1" applyFont="1" applyFill="1" applyBorder="1" applyAlignment="1">
      <alignment horizontal="center"/>
    </xf>
    <xf numFmtId="9" fontId="9" fillId="13" borderId="26" xfId="1" applyFont="1" applyFill="1" applyBorder="1"/>
    <xf numFmtId="3" fontId="9" fillId="13" borderId="18" xfId="1" applyNumberFormat="1" applyFont="1" applyFill="1" applyBorder="1"/>
    <xf numFmtId="9" fontId="9" fillId="13" borderId="19" xfId="1" applyFont="1" applyFill="1" applyBorder="1"/>
    <xf numFmtId="3" fontId="9" fillId="13" borderId="20" xfId="1" applyNumberFormat="1" applyFont="1" applyFill="1" applyBorder="1"/>
    <xf numFmtId="9" fontId="9" fillId="13" borderId="12" xfId="1" applyFont="1" applyFill="1" applyBorder="1"/>
    <xf numFmtId="3" fontId="9" fillId="13" borderId="14" xfId="1" applyNumberFormat="1" applyFont="1" applyFill="1" applyBorder="1"/>
    <xf numFmtId="9" fontId="9" fillId="13" borderId="16" xfId="1" applyFont="1" applyFill="1" applyBorder="1"/>
    <xf numFmtId="3" fontId="9" fillId="13" borderId="8" xfId="1" applyNumberFormat="1" applyFont="1" applyFill="1" applyBorder="1"/>
    <xf numFmtId="37" fontId="7" fillId="0" borderId="0" xfId="0" applyNumberFormat="1" applyFont="1"/>
    <xf numFmtId="9" fontId="10" fillId="15" borderId="3" xfId="1" applyFont="1" applyFill="1" applyBorder="1" applyAlignment="1">
      <alignment horizontal="left"/>
    </xf>
    <xf numFmtId="9" fontId="10" fillId="15" borderId="11" xfId="1" applyFont="1" applyFill="1" applyBorder="1" applyAlignment="1">
      <alignment horizontal="center"/>
    </xf>
    <xf numFmtId="3" fontId="9" fillId="15" borderId="28" xfId="1" applyNumberFormat="1" applyFont="1" applyFill="1" applyBorder="1"/>
    <xf numFmtId="3" fontId="9" fillId="15" borderId="22" xfId="1" applyNumberFormat="1" applyFont="1" applyFill="1" applyBorder="1"/>
    <xf numFmtId="3" fontId="9" fillId="15" borderId="11" xfId="1" applyNumberFormat="1" applyFont="1" applyFill="1" applyBorder="1"/>
    <xf numFmtId="3" fontId="9" fillId="15" borderId="3" xfId="1" applyNumberFormat="1" applyFont="1" applyFill="1" applyBorder="1"/>
    <xf numFmtId="37" fontId="0" fillId="0" borderId="0" xfId="0" applyNumberFormat="1"/>
    <xf numFmtId="167" fontId="9" fillId="15" borderId="50" xfId="1" applyNumberFormat="1" applyFont="1" applyFill="1" applyBorder="1"/>
    <xf numFmtId="167" fontId="9" fillId="15" borderId="18" xfId="1" applyNumberFormat="1" applyFont="1" applyFill="1" applyBorder="1"/>
    <xf numFmtId="167" fontId="9" fillId="15" borderId="51" xfId="1" applyNumberFormat="1" applyFont="1" applyFill="1" applyBorder="1"/>
    <xf numFmtId="167" fontId="9" fillId="15" borderId="20" xfId="1" applyNumberFormat="1" applyFont="1" applyFill="1" applyBorder="1"/>
    <xf numFmtId="167" fontId="9" fillId="15" borderId="49" xfId="1" applyNumberFormat="1" applyFont="1" applyFill="1" applyBorder="1"/>
    <xf numFmtId="167" fontId="9" fillId="15" borderId="14" xfId="1" applyNumberFormat="1" applyFont="1" applyFill="1" applyBorder="1"/>
    <xf numFmtId="37" fontId="9" fillId="17" borderId="1" xfId="0" applyNumberFormat="1" applyFont="1" applyFill="1" applyBorder="1"/>
    <xf numFmtId="37" fontId="9" fillId="17" borderId="20" xfId="0" applyNumberFormat="1" applyFont="1" applyFill="1" applyBorder="1"/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37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55" xfId="0" applyBorder="1"/>
    <xf numFmtId="0" fontId="0" fillId="0" borderId="17" xfId="0" applyBorder="1" applyAlignment="1">
      <alignment vertical="center"/>
    </xf>
    <xf numFmtId="0" fontId="0" fillId="0" borderId="17" xfId="0" applyBorder="1"/>
    <xf numFmtId="0" fontId="10" fillId="16" borderId="4" xfId="0" applyFont="1" applyFill="1" applyBorder="1" applyAlignment="1">
      <alignment horizontal="left"/>
    </xf>
    <xf numFmtId="0" fontId="0" fillId="0" borderId="17" xfId="0" applyBorder="1" applyAlignment="1">
      <alignment wrapText="1"/>
    </xf>
    <xf numFmtId="0" fontId="0" fillId="0" borderId="1" xfId="0" applyFill="1" applyBorder="1" applyAlignment="1">
      <alignment vertical="center"/>
    </xf>
    <xf numFmtId="37" fontId="9" fillId="20" borderId="16" xfId="0" applyNumberFormat="1" applyFont="1" applyFill="1" applyBorder="1"/>
    <xf numFmtId="37" fontId="9" fillId="20" borderId="19" xfId="0" applyNumberFormat="1" applyFont="1" applyFill="1" applyBorder="1"/>
    <xf numFmtId="37" fontId="9" fillId="20" borderId="24" xfId="0" applyNumberFormat="1" applyFont="1" applyFill="1" applyBorder="1"/>
    <xf numFmtId="0" fontId="0" fillId="4" borderId="30" xfId="0" applyFill="1" applyBorder="1"/>
    <xf numFmtId="0" fontId="0" fillId="23" borderId="56" xfId="0" applyFill="1" applyBorder="1"/>
    <xf numFmtId="37" fontId="9" fillId="19" borderId="16" xfId="0" applyNumberFormat="1" applyFont="1" applyFill="1" applyBorder="1"/>
    <xf numFmtId="37" fontId="9" fillId="19" borderId="19" xfId="0" applyNumberFormat="1" applyFont="1" applyFill="1" applyBorder="1"/>
    <xf numFmtId="37" fontId="9" fillId="19" borderId="12" xfId="0" applyNumberFormat="1" applyFont="1" applyFill="1" applyBorder="1"/>
    <xf numFmtId="3" fontId="10" fillId="0" borderId="0" xfId="0" applyNumberFormat="1" applyFont="1"/>
    <xf numFmtId="0" fontId="10" fillId="10" borderId="4" xfId="0" applyFont="1" applyFill="1" applyBorder="1" applyAlignment="1">
      <alignment horizontal="left"/>
    </xf>
    <xf numFmtId="0" fontId="16" fillId="24" borderId="30" xfId="0" applyFont="1" applyFill="1" applyBorder="1"/>
    <xf numFmtId="0" fontId="16" fillId="24" borderId="57" xfId="0" applyFont="1" applyFill="1" applyBorder="1"/>
    <xf numFmtId="0" fontId="2" fillId="24" borderId="57" xfId="0" applyFont="1" applyFill="1" applyBorder="1"/>
    <xf numFmtId="0" fontId="2" fillId="24" borderId="56" xfId="0" applyFont="1" applyFill="1" applyBorder="1"/>
    <xf numFmtId="0" fontId="10" fillId="17" borderId="14" xfId="0" applyFont="1" applyFill="1" applyBorder="1" applyAlignment="1">
      <alignment horizontal="left"/>
    </xf>
    <xf numFmtId="37" fontId="10" fillId="20" borderId="43" xfId="0" applyNumberFormat="1" applyFont="1" applyFill="1" applyBorder="1"/>
    <xf numFmtId="0" fontId="18" fillId="25" borderId="0" xfId="0" applyFont="1" applyFill="1" applyAlignment="1">
      <alignment vertical="center"/>
    </xf>
    <xf numFmtId="0" fontId="18" fillId="25" borderId="0" xfId="0" applyFont="1" applyFill="1" applyAlignment="1" applyProtection="1">
      <alignment vertical="center"/>
      <protection locked="0"/>
    </xf>
    <xf numFmtId="0" fontId="9" fillId="26" borderId="0" xfId="0" applyFont="1" applyFill="1"/>
    <xf numFmtId="0" fontId="19" fillId="26" borderId="0" xfId="0" applyFont="1" applyFill="1" applyAlignment="1">
      <alignment horizontal="left" vertical="center" indent="1"/>
    </xf>
    <xf numFmtId="49" fontId="20" fillId="27" borderId="58" xfId="0" applyNumberFormat="1" applyFont="1" applyFill="1" applyBorder="1" applyAlignment="1">
      <alignment horizontal="center" vertical="center" wrapText="1"/>
    </xf>
    <xf numFmtId="49" fontId="20" fillId="28" borderId="58" xfId="0" applyNumberFormat="1" applyFont="1" applyFill="1" applyBorder="1" applyAlignment="1">
      <alignment horizontal="center" vertical="center" wrapText="1"/>
    </xf>
    <xf numFmtId="49" fontId="20" fillId="27" borderId="59" xfId="0" applyNumberFormat="1" applyFont="1" applyFill="1" applyBorder="1" applyAlignment="1">
      <alignment vertical="center" wrapText="1"/>
    </xf>
    <xf numFmtId="49" fontId="20" fillId="27" borderId="60" xfId="0" applyNumberFormat="1" applyFont="1" applyFill="1" applyBorder="1" applyAlignment="1">
      <alignment vertical="center" wrapText="1"/>
    </xf>
    <xf numFmtId="49" fontId="20" fillId="27" borderId="61" xfId="0" applyNumberFormat="1" applyFont="1" applyFill="1" applyBorder="1" applyAlignment="1">
      <alignment vertical="center" wrapText="1"/>
    </xf>
    <xf numFmtId="0" fontId="9" fillId="26" borderId="62" xfId="0" applyFont="1" applyFill="1" applyBorder="1"/>
    <xf numFmtId="0" fontId="9" fillId="26" borderId="63" xfId="0" applyFont="1" applyFill="1" applyBorder="1"/>
    <xf numFmtId="0" fontId="20" fillId="27" borderId="64" xfId="0" applyFont="1" applyFill="1" applyBorder="1" applyAlignment="1">
      <alignment horizontal="center" vertical="center" wrapText="1"/>
    </xf>
    <xf numFmtId="0" fontId="20" fillId="28" borderId="64" xfId="0" applyFont="1" applyFill="1" applyBorder="1" applyAlignment="1">
      <alignment horizontal="center" vertical="center" wrapText="1"/>
    </xf>
    <xf numFmtId="0" fontId="21" fillId="26" borderId="65" xfId="0" applyFont="1" applyFill="1" applyBorder="1" applyAlignment="1">
      <alignment horizontal="left" vertical="center" wrapText="1" indent="1"/>
    </xf>
    <xf numFmtId="0" fontId="21" fillId="26" borderId="66" xfId="0" applyFont="1" applyFill="1" applyBorder="1" applyAlignment="1">
      <alignment horizontal="left" vertical="center" wrapText="1" indent="1"/>
    </xf>
    <xf numFmtId="169" fontId="21" fillId="0" borderId="67" xfId="0" applyNumberFormat="1" applyFont="1" applyBorder="1" applyAlignment="1" applyProtection="1">
      <alignment horizontal="right" indent="2"/>
      <protection locked="0"/>
    </xf>
    <xf numFmtId="169" fontId="21" fillId="0" borderId="68" xfId="0" applyNumberFormat="1" applyFont="1" applyBorder="1" applyAlignment="1" applyProtection="1">
      <alignment horizontal="right" indent="2"/>
      <protection locked="0"/>
    </xf>
    <xf numFmtId="169" fontId="21" fillId="0" borderId="69" xfId="0" applyNumberFormat="1" applyFont="1" applyBorder="1" applyAlignment="1" applyProtection="1">
      <alignment horizontal="right" indent="2"/>
      <protection locked="0"/>
    </xf>
    <xf numFmtId="169" fontId="21" fillId="0" borderId="70" xfId="0" applyNumberFormat="1" applyFont="1" applyBorder="1" applyAlignment="1" applyProtection="1">
      <alignment horizontal="right" indent="2"/>
      <protection locked="0"/>
    </xf>
    <xf numFmtId="169" fontId="21" fillId="0" borderId="71" xfId="0" applyNumberFormat="1" applyFont="1" applyBorder="1" applyAlignment="1" applyProtection="1">
      <alignment horizontal="right" indent="2"/>
      <protection locked="0"/>
    </xf>
    <xf numFmtId="169" fontId="21" fillId="0" borderId="72" xfId="0" applyNumberFormat="1" applyFont="1" applyBorder="1" applyAlignment="1" applyProtection="1">
      <alignment horizontal="right" indent="2"/>
      <protection locked="0"/>
    </xf>
    <xf numFmtId="0" fontId="21" fillId="26" borderId="73" xfId="0" applyFont="1" applyFill="1" applyBorder="1" applyAlignment="1">
      <alignment horizontal="left" vertical="center" wrapText="1" indent="1"/>
    </xf>
    <xf numFmtId="0" fontId="21" fillId="26" borderId="74" xfId="0" applyFont="1" applyFill="1" applyBorder="1" applyAlignment="1">
      <alignment horizontal="left" vertical="center" wrapText="1" indent="1"/>
    </xf>
    <xf numFmtId="169" fontId="21" fillId="0" borderId="75" xfId="0" applyNumberFormat="1" applyFont="1" applyBorder="1" applyAlignment="1" applyProtection="1">
      <alignment horizontal="right" indent="2"/>
      <protection locked="0"/>
    </xf>
    <xf numFmtId="169" fontId="21" fillId="0" borderId="76" xfId="0" applyNumberFormat="1" applyFont="1" applyBorder="1" applyAlignment="1" applyProtection="1">
      <alignment horizontal="right" indent="2"/>
      <protection locked="0"/>
    </xf>
    <xf numFmtId="169" fontId="21" fillId="0" borderId="77" xfId="0" applyNumberFormat="1" applyFont="1" applyBorder="1" applyAlignment="1" applyProtection="1">
      <alignment horizontal="right" indent="2"/>
      <protection locked="0"/>
    </xf>
    <xf numFmtId="10" fontId="21" fillId="0" borderId="67" xfId="1" applyNumberFormat="1" applyFont="1" applyBorder="1" applyAlignment="1" applyProtection="1">
      <alignment horizontal="right" indent="2"/>
      <protection locked="0"/>
    </xf>
    <xf numFmtId="10" fontId="21" fillId="0" borderId="68" xfId="1" applyNumberFormat="1" applyFont="1" applyBorder="1" applyAlignment="1" applyProtection="1">
      <alignment horizontal="right" indent="2"/>
      <protection locked="0"/>
    </xf>
    <xf numFmtId="10" fontId="21" fillId="0" borderId="69" xfId="1" applyNumberFormat="1" applyFont="1" applyBorder="1" applyAlignment="1" applyProtection="1">
      <alignment horizontal="right" indent="2"/>
      <protection locked="0"/>
    </xf>
    <xf numFmtId="10" fontId="21" fillId="0" borderId="70" xfId="1" applyNumberFormat="1" applyFont="1" applyBorder="1" applyAlignment="1" applyProtection="1">
      <alignment horizontal="right" indent="2"/>
      <protection locked="0"/>
    </xf>
    <xf numFmtId="10" fontId="21" fillId="0" borderId="71" xfId="1" applyNumberFormat="1" applyFont="1" applyBorder="1" applyAlignment="1" applyProtection="1">
      <alignment horizontal="right" indent="2"/>
      <protection locked="0"/>
    </xf>
    <xf numFmtId="10" fontId="21" fillId="0" borderId="72" xfId="1" applyNumberFormat="1" applyFont="1" applyBorder="1" applyAlignment="1" applyProtection="1">
      <alignment horizontal="right" indent="2"/>
      <protection locked="0"/>
    </xf>
    <xf numFmtId="10" fontId="21" fillId="0" borderId="75" xfId="1" applyNumberFormat="1" applyFont="1" applyBorder="1" applyAlignment="1" applyProtection="1">
      <alignment horizontal="right" indent="2"/>
      <protection locked="0"/>
    </xf>
    <xf numFmtId="10" fontId="21" fillId="0" borderId="76" xfId="1" applyNumberFormat="1" applyFont="1" applyBorder="1" applyAlignment="1" applyProtection="1">
      <alignment horizontal="right" indent="2"/>
      <protection locked="0"/>
    </xf>
    <xf numFmtId="10" fontId="21" fillId="0" borderId="77" xfId="1" applyNumberFormat="1" applyFont="1" applyBorder="1" applyAlignment="1" applyProtection="1">
      <alignment horizontal="right" indent="2"/>
      <protection locked="0"/>
    </xf>
    <xf numFmtId="0" fontId="10" fillId="17" borderId="13" xfId="0" applyFont="1" applyFill="1" applyBorder="1" applyAlignment="1">
      <alignment horizontal="left"/>
    </xf>
    <xf numFmtId="37" fontId="9" fillId="20" borderId="12" xfId="0" applyNumberFormat="1" applyFont="1" applyFill="1" applyBorder="1"/>
    <xf numFmtId="165" fontId="0" fillId="0" borderId="0" xfId="1" applyNumberFormat="1" applyFont="1"/>
    <xf numFmtId="0" fontId="0" fillId="0" borderId="0" xfId="0" applyFont="1"/>
    <xf numFmtId="0" fontId="10" fillId="7" borderId="43" xfId="0" applyFont="1" applyFill="1" applyBorder="1"/>
    <xf numFmtId="37" fontId="9" fillId="20" borderId="3" xfId="0" applyNumberFormat="1" applyFont="1" applyFill="1" applyBorder="1"/>
    <xf numFmtId="37" fontId="9" fillId="20" borderId="22" xfId="0" applyNumberFormat="1" applyFont="1" applyFill="1" applyBorder="1"/>
    <xf numFmtId="37" fontId="9" fillId="20" borderId="11" xfId="0" applyNumberFormat="1" applyFont="1" applyFill="1" applyBorder="1"/>
    <xf numFmtId="0" fontId="10" fillId="17" borderId="43" xfId="0" applyFont="1" applyFill="1" applyBorder="1" applyAlignment="1">
      <alignment horizontal="left"/>
    </xf>
    <xf numFmtId="170" fontId="9" fillId="20" borderId="43" xfId="0" applyNumberFormat="1" applyFont="1" applyFill="1" applyBorder="1"/>
    <xf numFmtId="0" fontId="10" fillId="17" borderId="36" xfId="0" applyFont="1" applyFill="1" applyBorder="1" applyAlignment="1">
      <alignment horizontal="left"/>
    </xf>
    <xf numFmtId="0" fontId="10" fillId="16" borderId="3" xfId="0" applyFont="1" applyFill="1" applyBorder="1" applyAlignment="1">
      <alignment horizontal="center"/>
    </xf>
    <xf numFmtId="0" fontId="10" fillId="16" borderId="11" xfId="0" applyFont="1" applyFill="1" applyBorder="1" applyAlignment="1">
      <alignment horizontal="center"/>
    </xf>
    <xf numFmtId="0" fontId="10" fillId="10" borderId="16" xfId="0" applyFont="1" applyFill="1" applyBorder="1" applyAlignment="1"/>
    <xf numFmtId="0" fontId="10" fillId="10" borderId="8" xfId="0" applyFont="1" applyFill="1" applyBorder="1" applyAlignment="1"/>
    <xf numFmtId="0" fontId="10" fillId="10" borderId="12" xfId="0" applyFont="1" applyFill="1" applyBorder="1" applyAlignment="1">
      <alignment horizontal="left"/>
    </xf>
    <xf numFmtId="0" fontId="10" fillId="10" borderId="14" xfId="0" applyFont="1" applyFill="1" applyBorder="1" applyAlignment="1">
      <alignment horizontal="left"/>
    </xf>
    <xf numFmtId="37" fontId="9" fillId="29" borderId="16" xfId="0" applyNumberFormat="1" applyFont="1" applyFill="1" applyBorder="1"/>
    <xf numFmtId="37" fontId="9" fillId="29" borderId="8" xfId="0" applyNumberFormat="1" applyFont="1" applyFill="1" applyBorder="1"/>
    <xf numFmtId="37" fontId="9" fillId="29" borderId="19" xfId="0" applyNumberFormat="1" applyFont="1" applyFill="1" applyBorder="1"/>
    <xf numFmtId="37" fontId="9" fillId="29" borderId="20" xfId="0" applyNumberFormat="1" applyFont="1" applyFill="1" applyBorder="1"/>
    <xf numFmtId="37" fontId="9" fillId="29" borderId="12" xfId="0" applyNumberFormat="1" applyFont="1" applyFill="1" applyBorder="1"/>
    <xf numFmtId="37" fontId="9" fillId="29" borderId="14" xfId="0" applyNumberFormat="1" applyFont="1" applyFill="1" applyBorder="1"/>
    <xf numFmtId="37" fontId="10" fillId="30" borderId="31" xfId="0" applyNumberFormat="1" applyFont="1" applyFill="1" applyBorder="1"/>
    <xf numFmtId="37" fontId="9" fillId="29" borderId="7" xfId="0" applyNumberFormat="1" applyFont="1" applyFill="1" applyBorder="1"/>
    <xf numFmtId="37" fontId="9" fillId="29" borderId="1" xfId="0" applyNumberFormat="1" applyFont="1" applyFill="1" applyBorder="1"/>
    <xf numFmtId="37" fontId="9" fillId="29" borderId="37" xfId="0" applyNumberFormat="1" applyFont="1" applyFill="1" applyBorder="1"/>
    <xf numFmtId="37" fontId="9" fillId="29" borderId="25" xfId="0" applyNumberFormat="1" applyFont="1" applyFill="1" applyBorder="1"/>
    <xf numFmtId="37" fontId="9" fillId="19" borderId="3" xfId="0" applyNumberFormat="1" applyFont="1" applyFill="1" applyBorder="1"/>
    <xf numFmtId="37" fontId="9" fillId="19" borderId="22" xfId="0" applyNumberFormat="1" applyFont="1" applyFill="1" applyBorder="1"/>
    <xf numFmtId="37" fontId="9" fillId="19" borderId="11" xfId="0" applyNumberFormat="1" applyFont="1" applyFill="1" applyBorder="1"/>
    <xf numFmtId="165" fontId="0" fillId="30" borderId="16" xfId="1" applyNumberFormat="1" applyFont="1" applyFill="1" applyBorder="1"/>
    <xf numFmtId="165" fontId="0" fillId="30" borderId="7" xfId="1" applyNumberFormat="1" applyFont="1" applyFill="1" applyBorder="1"/>
    <xf numFmtId="0" fontId="0" fillId="30" borderId="8" xfId="0" applyFont="1" applyFill="1" applyBorder="1"/>
    <xf numFmtId="165" fontId="7" fillId="30" borderId="19" xfId="1" applyNumberFormat="1" applyFont="1" applyFill="1" applyBorder="1"/>
    <xf numFmtId="165" fontId="7" fillId="30" borderId="1" xfId="1" applyNumberFormat="1" applyFont="1" applyFill="1" applyBorder="1"/>
    <xf numFmtId="0" fontId="9" fillId="30" borderId="20" xfId="0" applyFont="1" applyFill="1" applyBorder="1"/>
    <xf numFmtId="165" fontId="7" fillId="30" borderId="12" xfId="1" applyNumberFormat="1" applyFont="1" applyFill="1" applyBorder="1"/>
    <xf numFmtId="165" fontId="7" fillId="30" borderId="13" xfId="1" applyNumberFormat="1" applyFont="1" applyFill="1" applyBorder="1"/>
    <xf numFmtId="0" fontId="9" fillId="30" borderId="14" xfId="0" applyFont="1" applyFill="1" applyBorder="1"/>
    <xf numFmtId="37" fontId="10" fillId="30" borderId="33" xfId="0" applyNumberFormat="1" applyFont="1" applyFill="1" applyBorder="1"/>
    <xf numFmtId="37" fontId="10" fillId="20" borderId="0" xfId="0" applyNumberFormat="1" applyFont="1" applyFill="1" applyBorder="1"/>
    <xf numFmtId="0" fontId="9" fillId="0" borderId="42" xfId="0" applyFont="1" applyBorder="1"/>
    <xf numFmtId="0" fontId="9" fillId="0" borderId="47" xfId="0" applyFont="1" applyBorder="1"/>
    <xf numFmtId="0" fontId="9" fillId="0" borderId="45" xfId="0" applyFont="1" applyBorder="1"/>
    <xf numFmtId="0" fontId="9" fillId="18" borderId="3" xfId="0" applyFont="1" applyFill="1" applyBorder="1"/>
    <xf numFmtId="0" fontId="9" fillId="18" borderId="22" xfId="0" applyFont="1" applyFill="1" applyBorder="1"/>
    <xf numFmtId="0" fontId="9" fillId="18" borderId="11" xfId="0" applyFont="1" applyFill="1" applyBorder="1"/>
    <xf numFmtId="14" fontId="0" fillId="0" borderId="37" xfId="0" applyNumberFormat="1" applyBorder="1" applyAlignment="1">
      <alignment horizontal="left" vertical="center"/>
    </xf>
    <xf numFmtId="14" fontId="0" fillId="0" borderId="55" xfId="0" applyNumberFormat="1" applyBorder="1" applyAlignment="1">
      <alignment horizontal="left" vertical="center"/>
    </xf>
    <xf numFmtId="14" fontId="0" fillId="0" borderId="17" xfId="0" applyNumberForma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169" fontId="2" fillId="0" borderId="0" xfId="0" applyNumberFormat="1" applyFont="1"/>
    <xf numFmtId="10" fontId="0" fillId="0" borderId="0" xfId="1" applyNumberFormat="1" applyFont="1" applyAlignment="1">
      <alignment horizontal="center"/>
    </xf>
    <xf numFmtId="37" fontId="9" fillId="19" borderId="42" xfId="0" applyNumberFormat="1" applyFont="1" applyFill="1" applyBorder="1"/>
    <xf numFmtId="37" fontId="9" fillId="19" borderId="47" xfId="0" applyNumberFormat="1" applyFont="1" applyFill="1" applyBorder="1"/>
    <xf numFmtId="37" fontId="9" fillId="19" borderId="45" xfId="0" applyNumberFormat="1" applyFont="1" applyFill="1" applyBorder="1"/>
    <xf numFmtId="37" fontId="9" fillId="20" borderId="42" xfId="0" applyNumberFormat="1" applyFont="1" applyFill="1" applyBorder="1"/>
    <xf numFmtId="37" fontId="9" fillId="20" borderId="47" xfId="0" applyNumberFormat="1" applyFont="1" applyFill="1" applyBorder="1"/>
    <xf numFmtId="37" fontId="9" fillId="20" borderId="78" xfId="0" applyNumberFormat="1" applyFont="1" applyFill="1" applyBorder="1"/>
    <xf numFmtId="37" fontId="10" fillId="0" borderId="52" xfId="0" applyNumberFormat="1" applyFont="1" applyBorder="1"/>
    <xf numFmtId="37" fontId="10" fillId="0" borderId="79" xfId="0" applyNumberFormat="1" applyFont="1" applyBorder="1"/>
    <xf numFmtId="37" fontId="10" fillId="0" borderId="80" xfId="0" applyNumberFormat="1" applyFont="1" applyBorder="1"/>
    <xf numFmtId="37" fontId="10" fillId="0" borderId="81" xfId="0" applyNumberFormat="1" applyFont="1" applyBorder="1"/>
    <xf numFmtId="37" fontId="22" fillId="29" borderId="1" xfId="0" applyNumberFormat="1" applyFont="1" applyFill="1" applyBorder="1"/>
    <xf numFmtId="37" fontId="22" fillId="29" borderId="20" xfId="0" applyNumberFormat="1" applyFont="1" applyFill="1" applyBorder="1"/>
    <xf numFmtId="166" fontId="9" fillId="19" borderId="22" xfId="0" applyNumberFormat="1" applyFont="1" applyFill="1" applyBorder="1"/>
    <xf numFmtId="0" fontId="10" fillId="17" borderId="23" xfId="0" applyFont="1" applyFill="1" applyBorder="1" applyAlignment="1">
      <alignment horizontal="left"/>
    </xf>
    <xf numFmtId="0" fontId="10" fillId="7" borderId="3" xfId="0" applyFont="1" applyFill="1" applyBorder="1"/>
    <xf numFmtId="0" fontId="10" fillId="7" borderId="11" xfId="0" applyFont="1" applyFill="1" applyBorder="1" applyAlignment="1">
      <alignment horizontal="right"/>
    </xf>
    <xf numFmtId="168" fontId="9" fillId="0" borderId="0" xfId="0" applyNumberFormat="1" applyFont="1"/>
    <xf numFmtId="171" fontId="9" fillId="0" borderId="0" xfId="0" applyNumberFormat="1" applyFont="1"/>
    <xf numFmtId="1" fontId="9" fillId="0" borderId="0" xfId="0" applyNumberFormat="1" applyFont="1"/>
    <xf numFmtId="0" fontId="10" fillId="17" borderId="6" xfId="0" applyFont="1" applyFill="1" applyBorder="1"/>
    <xf numFmtId="0" fontId="10" fillId="17" borderId="5" xfId="0" applyFont="1" applyFill="1" applyBorder="1"/>
    <xf numFmtId="0" fontId="23" fillId="31" borderId="82" xfId="0" applyFont="1" applyFill="1" applyBorder="1"/>
    <xf numFmtId="0" fontId="23" fillId="31" borderId="82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5" fillId="11" borderId="83" xfId="0" applyFont="1" applyFill="1" applyBorder="1"/>
    <xf numFmtId="10" fontId="17" fillId="11" borderId="83" xfId="1" applyNumberFormat="1" applyFont="1" applyFill="1" applyBorder="1" applyAlignment="1">
      <alignment horizontal="center"/>
    </xf>
    <xf numFmtId="10" fontId="26" fillId="11" borderId="83" xfId="1" applyNumberFormat="1" applyFont="1" applyFill="1" applyBorder="1" applyAlignment="1">
      <alignment horizontal="center"/>
    </xf>
    <xf numFmtId="0" fontId="25" fillId="0" borderId="0" xfId="0" applyFont="1"/>
    <xf numFmtId="0" fontId="27" fillId="0" borderId="0" xfId="0" applyFont="1" applyAlignment="1">
      <alignment wrapText="1"/>
    </xf>
    <xf numFmtId="0" fontId="27" fillId="0" borderId="0" xfId="0" applyFont="1"/>
    <xf numFmtId="10" fontId="27" fillId="0" borderId="0" xfId="1" applyNumberFormat="1" applyFont="1"/>
    <xf numFmtId="9" fontId="27" fillId="0" borderId="0" xfId="1" applyFont="1"/>
    <xf numFmtId="0" fontId="10" fillId="32" borderId="4" xfId="0" applyFont="1" applyFill="1" applyBorder="1" applyAlignment="1">
      <alignment horizontal="left"/>
    </xf>
    <xf numFmtId="0" fontId="10" fillId="32" borderId="5" xfId="0" applyFont="1" applyFill="1" applyBorder="1" applyAlignment="1">
      <alignment horizontal="left"/>
    </xf>
    <xf numFmtId="0" fontId="12" fillId="32" borderId="5" xfId="0" applyFont="1" applyFill="1" applyBorder="1" applyAlignment="1">
      <alignment horizontal="left"/>
    </xf>
    <xf numFmtId="0" fontId="10" fillId="32" borderId="12" xfId="0" applyFont="1" applyFill="1" applyBorder="1" applyAlignment="1">
      <alignment horizontal="right"/>
    </xf>
    <xf numFmtId="0" fontId="10" fillId="32" borderId="13" xfId="0" applyFont="1" applyFill="1" applyBorder="1" applyAlignment="1">
      <alignment horizontal="right"/>
    </xf>
    <xf numFmtId="38" fontId="9" fillId="32" borderId="16" xfId="0" applyNumberFormat="1" applyFont="1" applyFill="1" applyBorder="1"/>
    <xf numFmtId="38" fontId="9" fillId="32" borderId="7" xfId="0" applyNumberFormat="1" applyFont="1" applyFill="1" applyBorder="1"/>
    <xf numFmtId="38" fontId="11" fillId="32" borderId="7" xfId="0" applyNumberFormat="1" applyFont="1" applyFill="1" applyBorder="1"/>
    <xf numFmtId="38" fontId="9" fillId="32" borderId="19" xfId="0" applyNumberFormat="1" applyFont="1" applyFill="1" applyBorder="1"/>
    <xf numFmtId="38" fontId="9" fillId="32" borderId="1" xfId="0" applyNumberFormat="1" applyFont="1" applyFill="1" applyBorder="1"/>
    <xf numFmtId="38" fontId="11" fillId="32" borderId="1" xfId="0" applyNumberFormat="1" applyFont="1" applyFill="1" applyBorder="1"/>
    <xf numFmtId="38" fontId="9" fillId="32" borderId="12" xfId="0" applyNumberFormat="1" applyFont="1" applyFill="1" applyBorder="1"/>
    <xf numFmtId="38" fontId="9" fillId="32" borderId="13" xfId="0" applyNumberFormat="1" applyFont="1" applyFill="1" applyBorder="1"/>
    <xf numFmtId="38" fontId="11" fillId="32" borderId="13" xfId="0" applyNumberFormat="1" applyFont="1" applyFill="1" applyBorder="1"/>
    <xf numFmtId="38" fontId="9" fillId="32" borderId="26" xfId="0" applyNumberFormat="1" applyFont="1" applyFill="1" applyBorder="1"/>
    <xf numFmtId="38" fontId="9" fillId="32" borderId="17" xfId="0" applyNumberFormat="1" applyFont="1" applyFill="1" applyBorder="1"/>
    <xf numFmtId="38" fontId="11" fillId="32" borderId="17" xfId="0" applyNumberFormat="1" applyFont="1" applyFill="1" applyBorder="1"/>
    <xf numFmtId="37" fontId="10" fillId="32" borderId="31" xfId="0" applyNumberFormat="1" applyFont="1" applyFill="1" applyBorder="1"/>
    <xf numFmtId="37" fontId="10" fillId="32" borderId="32" xfId="0" applyNumberFormat="1" applyFont="1" applyFill="1" applyBorder="1"/>
    <xf numFmtId="37" fontId="13" fillId="32" borderId="33" xfId="0" applyNumberFormat="1" applyFont="1" applyFill="1" applyBorder="1"/>
    <xf numFmtId="37" fontId="15" fillId="32" borderId="31" xfId="0" applyNumberFormat="1" applyFont="1" applyFill="1" applyBorder="1"/>
    <xf numFmtId="37" fontId="15" fillId="32" borderId="32" xfId="0" applyNumberFormat="1" applyFont="1" applyFill="1" applyBorder="1"/>
    <xf numFmtId="0" fontId="10" fillId="32" borderId="5" xfId="0" applyFont="1" applyFill="1" applyBorder="1"/>
    <xf numFmtId="37" fontId="9" fillId="32" borderId="7" xfId="0" applyNumberFormat="1" applyFont="1" applyFill="1" applyBorder="1"/>
    <xf numFmtId="37" fontId="9" fillId="32" borderId="1" xfId="0" applyNumberFormat="1" applyFont="1" applyFill="1" applyBorder="1"/>
    <xf numFmtId="37" fontId="9" fillId="32" borderId="13" xfId="0" applyNumberFormat="1" applyFont="1" applyFill="1" applyBorder="1"/>
    <xf numFmtId="37" fontId="9" fillId="32" borderId="34" xfId="0" applyNumberFormat="1" applyFont="1" applyFill="1" applyBorder="1"/>
    <xf numFmtId="37" fontId="11" fillId="32" borderId="7" xfId="0" applyNumberFormat="1" applyFont="1" applyFill="1" applyBorder="1"/>
    <xf numFmtId="37" fontId="9" fillId="32" borderId="35" xfId="0" applyNumberFormat="1" applyFont="1" applyFill="1" applyBorder="1"/>
    <xf numFmtId="37" fontId="11" fillId="32" borderId="1" xfId="0" applyNumberFormat="1" applyFont="1" applyFill="1" applyBorder="1"/>
    <xf numFmtId="37" fontId="9" fillId="32" borderId="36" xfId="0" applyNumberFormat="1" applyFont="1" applyFill="1" applyBorder="1"/>
    <xf numFmtId="37" fontId="11" fillId="32" borderId="13" xfId="0" applyNumberFormat="1" applyFont="1" applyFill="1" applyBorder="1"/>
    <xf numFmtId="0" fontId="0" fillId="32" borderId="5" xfId="0" applyFill="1" applyBorder="1"/>
    <xf numFmtId="0" fontId="0" fillId="32" borderId="6" xfId="0" applyFill="1" applyBorder="1"/>
    <xf numFmtId="37" fontId="9" fillId="32" borderId="51" xfId="0" applyNumberFormat="1" applyFont="1" applyFill="1" applyBorder="1"/>
    <xf numFmtId="37" fontId="9" fillId="32" borderId="39" xfId="0" applyNumberFormat="1" applyFont="1" applyFill="1" applyBorder="1"/>
    <xf numFmtId="37" fontId="9" fillId="32" borderId="21" xfId="0" applyNumberFormat="1" applyFont="1" applyFill="1" applyBorder="1"/>
    <xf numFmtId="10" fontId="9" fillId="32" borderId="12" xfId="1" applyNumberFormat="1" applyFont="1" applyFill="1" applyBorder="1"/>
    <xf numFmtId="10" fontId="9" fillId="32" borderId="13" xfId="1" applyNumberFormat="1" applyFont="1" applyFill="1" applyBorder="1"/>
    <xf numFmtId="10" fontId="9" fillId="32" borderId="14" xfId="1" applyNumberFormat="1" applyFont="1" applyFill="1" applyBorder="1"/>
    <xf numFmtId="0" fontId="10" fillId="32" borderId="4" xfId="0" applyFont="1" applyFill="1" applyBorder="1"/>
    <xf numFmtId="0" fontId="28" fillId="32" borderId="4" xfId="0" applyFont="1" applyFill="1" applyBorder="1"/>
    <xf numFmtId="0" fontId="28" fillId="32" borderId="5" xfId="0" applyFont="1" applyFill="1" applyBorder="1"/>
    <xf numFmtId="0" fontId="2" fillId="15" borderId="50" xfId="0" applyFont="1" applyFill="1" applyBorder="1" applyAlignment="1">
      <alignment horizontal="left"/>
    </xf>
    <xf numFmtId="0" fontId="2" fillId="15" borderId="40" xfId="0" applyFont="1" applyFill="1" applyBorder="1" applyAlignment="1">
      <alignment horizontal="left"/>
    </xf>
    <xf numFmtId="0" fontId="2" fillId="15" borderId="84" xfId="0" applyFont="1" applyFill="1" applyBorder="1" applyAlignment="1">
      <alignment horizontal="left"/>
    </xf>
    <xf numFmtId="0" fontId="2" fillId="15" borderId="56" xfId="0" applyFont="1" applyFill="1" applyBorder="1" applyAlignment="1">
      <alignment horizontal="left"/>
    </xf>
    <xf numFmtId="0" fontId="0" fillId="15" borderId="30" xfId="0" applyFill="1" applyBorder="1"/>
    <xf numFmtId="0" fontId="0" fillId="15" borderId="56" xfId="0" applyFill="1" applyBorder="1"/>
    <xf numFmtId="0" fontId="2" fillId="15" borderId="85" xfId="0" applyFont="1" applyFill="1" applyBorder="1" applyAlignment="1">
      <alignment horizontal="center"/>
    </xf>
    <xf numFmtId="0" fontId="2" fillId="15" borderId="81" xfId="0" applyFont="1" applyFill="1" applyBorder="1" applyAlignment="1">
      <alignment horizontal="center"/>
    </xf>
    <xf numFmtId="0" fontId="0" fillId="15" borderId="43" xfId="0" applyFill="1" applyBorder="1"/>
    <xf numFmtId="0" fontId="29" fillId="15" borderId="56" xfId="0" applyFont="1" applyFill="1" applyBorder="1"/>
    <xf numFmtId="0" fontId="29" fillId="15" borderId="43" xfId="0" applyFont="1" applyFill="1" applyBorder="1" applyAlignment="1">
      <alignment horizontal="center"/>
    </xf>
    <xf numFmtId="0" fontId="2" fillId="15" borderId="30" xfId="0" applyFont="1" applyFill="1" applyBorder="1" applyAlignment="1"/>
    <xf numFmtId="0" fontId="29" fillId="15" borderId="30" xfId="0" applyFont="1" applyFill="1" applyBorder="1" applyAlignment="1"/>
    <xf numFmtId="0" fontId="0" fillId="0" borderId="55" xfId="0" applyBorder="1" applyAlignment="1">
      <alignment horizontal="left"/>
    </xf>
    <xf numFmtId="0" fontId="0" fillId="0" borderId="1" xfId="0" applyFill="1" applyBorder="1"/>
    <xf numFmtId="0" fontId="0" fillId="0" borderId="17" xfId="0" applyBorder="1" applyAlignment="1">
      <alignment horizontal="left"/>
    </xf>
    <xf numFmtId="14" fontId="0" fillId="0" borderId="55" xfId="0" applyNumberFormat="1" applyBorder="1" applyAlignment="1">
      <alignment horizontal="left"/>
    </xf>
    <xf numFmtId="0" fontId="0" fillId="2" borderId="55" xfId="0" applyFill="1" applyBorder="1"/>
    <xf numFmtId="37" fontId="7" fillId="12" borderId="8" xfId="0" applyNumberFormat="1" applyFont="1" applyFill="1" applyBorder="1"/>
    <xf numFmtId="37" fontId="7" fillId="12" borderId="20" xfId="0" applyNumberFormat="1" applyFont="1" applyFill="1" applyBorder="1"/>
    <xf numFmtId="37" fontId="7" fillId="12" borderId="14" xfId="0" applyNumberFormat="1" applyFont="1" applyFill="1" applyBorder="1"/>
    <xf numFmtId="0" fontId="10" fillId="15" borderId="31" xfId="0" applyFont="1" applyFill="1" applyBorder="1" applyAlignment="1">
      <alignment horizontal="center"/>
    </xf>
    <xf numFmtId="0" fontId="10" fillId="15" borderId="32" xfId="0" applyFont="1" applyFill="1" applyBorder="1" applyAlignment="1">
      <alignment horizontal="center"/>
    </xf>
    <xf numFmtId="0" fontId="10" fillId="15" borderId="33" xfId="0" applyFont="1" applyFill="1" applyBorder="1" applyAlignment="1">
      <alignment horizontal="center"/>
    </xf>
    <xf numFmtId="9" fontId="10" fillId="15" borderId="53" xfId="1" applyFont="1" applyFill="1" applyBorder="1" applyAlignment="1">
      <alignment horizontal="left"/>
    </xf>
    <xf numFmtId="9" fontId="10" fillId="15" borderId="15" xfId="1" applyFont="1" applyFill="1" applyBorder="1" applyAlignment="1">
      <alignment horizontal="left"/>
    </xf>
    <xf numFmtId="9" fontId="10" fillId="15" borderId="54" xfId="1" applyFont="1" applyFill="1" applyBorder="1" applyAlignment="1">
      <alignment horizontal="left"/>
    </xf>
    <xf numFmtId="0" fontId="0" fillId="0" borderId="37" xfId="0" applyBorder="1"/>
    <xf numFmtId="1" fontId="0" fillId="0" borderId="1" xfId="0" applyNumberFormat="1" applyBorder="1"/>
    <xf numFmtId="168" fontId="0" fillId="0" borderId="0" xfId="0" applyNumberFormat="1"/>
    <xf numFmtId="37" fontId="10" fillId="23" borderId="81" xfId="0" applyNumberFormat="1" applyFont="1" applyFill="1" applyBorder="1"/>
    <xf numFmtId="37" fontId="10" fillId="33" borderId="81" xfId="0" applyNumberFormat="1" applyFont="1" applyFill="1" applyBorder="1"/>
    <xf numFmtId="37" fontId="10" fillId="0" borderId="43" xfId="0" applyNumberFormat="1" applyFont="1" applyBorder="1"/>
    <xf numFmtId="37" fontId="10" fillId="23" borderId="43" xfId="0" applyNumberFormat="1" applyFont="1" applyFill="1" applyBorder="1"/>
    <xf numFmtId="37" fontId="10" fillId="33" borderId="43" xfId="0" applyNumberFormat="1" applyFont="1" applyFill="1" applyBorder="1"/>
    <xf numFmtId="166" fontId="9" fillId="12" borderId="19" xfId="0" applyNumberFormat="1" applyFont="1" applyFill="1" applyBorder="1"/>
    <xf numFmtId="166" fontId="9" fillId="12" borderId="1" xfId="0" applyNumberFormat="1" applyFont="1" applyFill="1" applyBorder="1"/>
    <xf numFmtId="37" fontId="9" fillId="15" borderId="42" xfId="0" applyNumberFormat="1" applyFont="1" applyFill="1" applyBorder="1"/>
    <xf numFmtId="37" fontId="7" fillId="15" borderId="8" xfId="0" applyNumberFormat="1" applyFont="1" applyFill="1" applyBorder="1"/>
    <xf numFmtId="37" fontId="9" fillId="15" borderId="47" xfId="0" applyNumberFormat="1" applyFont="1" applyFill="1" applyBorder="1"/>
    <xf numFmtId="37" fontId="7" fillId="15" borderId="20" xfId="0" applyNumberFormat="1" applyFont="1" applyFill="1" applyBorder="1"/>
    <xf numFmtId="0" fontId="9" fillId="0" borderId="0" xfId="0" applyFont="1" applyAlignment="1">
      <alignment horizontal="left"/>
    </xf>
    <xf numFmtId="37" fontId="2" fillId="0" borderId="0" xfId="0" applyNumberFormat="1" applyFont="1"/>
    <xf numFmtId="37" fontId="9" fillId="20" borderId="45" xfId="0" applyNumberFormat="1" applyFont="1" applyFill="1" applyBorder="1"/>
    <xf numFmtId="37" fontId="11" fillId="20" borderId="7" xfId="0" applyNumberFormat="1" applyFont="1" applyFill="1" applyBorder="1"/>
    <xf numFmtId="37" fontId="11" fillId="20" borderId="1" xfId="0" applyNumberFormat="1" applyFont="1" applyFill="1" applyBorder="1"/>
    <xf numFmtId="37" fontId="11" fillId="20" borderId="13" xfId="0" applyNumberFormat="1" applyFont="1" applyFill="1" applyBorder="1"/>
    <xf numFmtId="37" fontId="13" fillId="17" borderId="31" xfId="0" applyNumberFormat="1" applyFont="1" applyFill="1" applyBorder="1"/>
    <xf numFmtId="37" fontId="11" fillId="20" borderId="16" xfId="0" applyNumberFormat="1" applyFont="1" applyFill="1" applyBorder="1"/>
    <xf numFmtId="37" fontId="11" fillId="20" borderId="19" xfId="0" applyNumberFormat="1" applyFont="1" applyFill="1" applyBorder="1"/>
    <xf numFmtId="37" fontId="11" fillId="20" borderId="24" xfId="0" applyNumberFormat="1" applyFont="1" applyFill="1" applyBorder="1"/>
    <xf numFmtId="37" fontId="13" fillId="0" borderId="31" xfId="0" applyNumberFormat="1" applyFont="1" applyBorder="1"/>
    <xf numFmtId="0" fontId="30" fillId="0" borderId="0" xfId="0" applyFont="1"/>
    <xf numFmtId="37" fontId="11" fillId="20" borderId="12" xfId="0" applyNumberFormat="1" applyFont="1" applyFill="1" applyBorder="1"/>
    <xf numFmtId="37" fontId="31" fillId="0" borderId="0" xfId="0" applyNumberFormat="1" applyFont="1"/>
    <xf numFmtId="37" fontId="14" fillId="0" borderId="0" xfId="0" applyNumberFormat="1" applyFont="1"/>
    <xf numFmtId="166" fontId="9" fillId="19" borderId="19" xfId="0" applyNumberFormat="1" applyFont="1" applyFill="1" applyBorder="1"/>
    <xf numFmtId="38" fontId="9" fillId="0" borderId="0" xfId="0" applyNumberFormat="1" applyFont="1"/>
    <xf numFmtId="38" fontId="7" fillId="11" borderId="7" xfId="0" applyNumberFormat="1" applyFont="1" applyFill="1" applyBorder="1"/>
    <xf numFmtId="38" fontId="7" fillId="11" borderId="1" xfId="0" applyNumberFormat="1" applyFont="1" applyFill="1" applyBorder="1"/>
    <xf numFmtId="38" fontId="7" fillId="11" borderId="13" xfId="0" applyNumberFormat="1" applyFont="1" applyFill="1" applyBorder="1"/>
    <xf numFmtId="38" fontId="7" fillId="11" borderId="17" xfId="0" applyNumberFormat="1" applyFont="1" applyFill="1" applyBorder="1"/>
    <xf numFmtId="0" fontId="12" fillId="11" borderId="13" xfId="0" applyFont="1" applyFill="1" applyBorder="1" applyAlignment="1">
      <alignment horizontal="right"/>
    </xf>
    <xf numFmtId="37" fontId="7" fillId="11" borderId="7" xfId="0" applyNumberFormat="1" applyFont="1" applyFill="1" applyBorder="1"/>
    <xf numFmtId="37" fontId="7" fillId="11" borderId="1" xfId="0" applyNumberFormat="1" applyFont="1" applyFill="1" applyBorder="1"/>
    <xf numFmtId="37" fontId="7" fillId="11" borderId="13" xfId="0" applyNumberFormat="1" applyFont="1" applyFill="1" applyBorder="1"/>
    <xf numFmtId="37" fontId="12" fillId="0" borderId="32" xfId="0" applyNumberFormat="1" applyFont="1" applyBorder="1"/>
    <xf numFmtId="0" fontId="12" fillId="12" borderId="5" xfId="0" applyFont="1" applyFill="1" applyBorder="1" applyAlignment="1">
      <alignment horizontal="left"/>
    </xf>
    <xf numFmtId="0" fontId="12" fillId="12" borderId="14" xfId="0" applyFont="1" applyFill="1" applyBorder="1" applyAlignment="1">
      <alignment horizontal="right"/>
    </xf>
    <xf numFmtId="38" fontId="7" fillId="12" borderId="8" xfId="0" applyNumberFormat="1" applyFont="1" applyFill="1" applyBorder="1"/>
    <xf numFmtId="38" fontId="7" fillId="12" borderId="20" xfId="0" applyNumberFormat="1" applyFont="1" applyFill="1" applyBorder="1"/>
    <xf numFmtId="38" fontId="7" fillId="12" borderId="14" xfId="0" applyNumberFormat="1" applyFont="1" applyFill="1" applyBorder="1"/>
    <xf numFmtId="164" fontId="7" fillId="12" borderId="8" xfId="0" applyNumberFormat="1" applyFont="1" applyFill="1" applyBorder="1"/>
    <xf numFmtId="164" fontId="7" fillId="12" borderId="20" xfId="0" applyNumberFormat="1" applyFont="1" applyFill="1" applyBorder="1"/>
    <xf numFmtId="164" fontId="7" fillId="12" borderId="14" xfId="0" applyNumberFormat="1" applyFont="1" applyFill="1" applyBorder="1"/>
    <xf numFmtId="38" fontId="7" fillId="12" borderId="18" xfId="0" applyNumberFormat="1" applyFont="1" applyFill="1" applyBorder="1"/>
    <xf numFmtId="166" fontId="7" fillId="12" borderId="20" xfId="0" applyNumberFormat="1" applyFont="1" applyFill="1" applyBorder="1"/>
    <xf numFmtId="0" fontId="12" fillId="12" borderId="6" xfId="0" applyFont="1" applyFill="1" applyBorder="1" applyAlignment="1">
      <alignment horizontal="left"/>
    </xf>
    <xf numFmtId="0" fontId="12" fillId="32" borderId="13" xfId="0" applyFont="1" applyFill="1" applyBorder="1" applyAlignment="1">
      <alignment horizontal="right"/>
    </xf>
    <xf numFmtId="38" fontId="7" fillId="32" borderId="7" xfId="0" applyNumberFormat="1" applyFont="1" applyFill="1" applyBorder="1"/>
    <xf numFmtId="38" fontId="7" fillId="32" borderId="1" xfId="0" applyNumberFormat="1" applyFont="1" applyFill="1" applyBorder="1"/>
    <xf numFmtId="38" fontId="7" fillId="32" borderId="13" xfId="0" applyNumberFormat="1" applyFont="1" applyFill="1" applyBorder="1"/>
    <xf numFmtId="38" fontId="7" fillId="32" borderId="17" xfId="0" applyNumberFormat="1" applyFont="1" applyFill="1" applyBorder="1"/>
    <xf numFmtId="37" fontId="12" fillId="32" borderId="33" xfId="0" applyNumberFormat="1" applyFont="1" applyFill="1" applyBorder="1"/>
    <xf numFmtId="37" fontId="7" fillId="32" borderId="7" xfId="0" applyNumberFormat="1" applyFont="1" applyFill="1" applyBorder="1"/>
    <xf numFmtId="37" fontId="7" fillId="32" borderId="1" xfId="0" applyNumberFormat="1" applyFont="1" applyFill="1" applyBorder="1"/>
    <xf numFmtId="37" fontId="7" fillId="32" borderId="13" xfId="0" applyNumberFormat="1" applyFont="1" applyFill="1" applyBorder="1"/>
    <xf numFmtId="9" fontId="9" fillId="21" borderId="3" xfId="1" applyFont="1" applyFill="1" applyBorder="1"/>
    <xf numFmtId="9" fontId="9" fillId="21" borderId="11" xfId="1" applyFont="1" applyFill="1" applyBorder="1"/>
    <xf numFmtId="0" fontId="32" fillId="0" borderId="0" xfId="0" applyFont="1"/>
    <xf numFmtId="0" fontId="33" fillId="0" borderId="0" xfId="0" applyFont="1"/>
    <xf numFmtId="0" fontId="34" fillId="7" borderId="4" xfId="0" applyFont="1" applyFill="1" applyBorder="1"/>
    <xf numFmtId="0" fontId="34" fillId="7" borderId="13" xfId="0" applyFont="1" applyFill="1" applyBorder="1" applyAlignment="1">
      <alignment horizontal="right"/>
    </xf>
    <xf numFmtId="37" fontId="33" fillId="19" borderId="17" xfId="0" applyNumberFormat="1" applyFont="1" applyFill="1" applyBorder="1"/>
    <xf numFmtId="37" fontId="33" fillId="19" borderId="1" xfId="0" applyNumberFormat="1" applyFont="1" applyFill="1" applyBorder="1"/>
    <xf numFmtId="37" fontId="33" fillId="19" borderId="13" xfId="0" applyNumberFormat="1" applyFont="1" applyFill="1" applyBorder="1"/>
    <xf numFmtId="168" fontId="33" fillId="19" borderId="17" xfId="0" applyNumberFormat="1" applyFont="1" applyFill="1" applyBorder="1"/>
    <xf numFmtId="168" fontId="33" fillId="19" borderId="1" xfId="0" applyNumberFormat="1" applyFont="1" applyFill="1" applyBorder="1"/>
    <xf numFmtId="168" fontId="33" fillId="19" borderId="13" xfId="0" applyNumberFormat="1" applyFont="1" applyFill="1" applyBorder="1"/>
    <xf numFmtId="39" fontId="33" fillId="19" borderId="1" xfId="0" applyNumberFormat="1" applyFont="1" applyFill="1" applyBorder="1"/>
    <xf numFmtId="39" fontId="33" fillId="19" borderId="13" xfId="0" applyNumberFormat="1" applyFont="1" applyFill="1" applyBorder="1"/>
    <xf numFmtId="37" fontId="33" fillId="19" borderId="7" xfId="0" applyNumberFormat="1" applyFont="1" applyFill="1" applyBorder="1"/>
    <xf numFmtId="165" fontId="33" fillId="0" borderId="0" xfId="1" applyNumberFormat="1" applyFont="1"/>
    <xf numFmtId="37" fontId="33" fillId="19" borderId="16" xfId="0" applyNumberFormat="1" applyFont="1" applyFill="1" applyBorder="1"/>
    <xf numFmtId="37" fontId="33" fillId="19" borderId="19" xfId="0" applyNumberFormat="1" applyFont="1" applyFill="1" applyBorder="1"/>
    <xf numFmtId="37" fontId="33" fillId="19" borderId="12" xfId="0" applyNumberFormat="1" applyFont="1" applyFill="1" applyBorder="1"/>
    <xf numFmtId="0" fontId="12" fillId="0" borderId="0" xfId="0" applyFont="1" applyAlignment="1">
      <alignment horizontal="center"/>
    </xf>
    <xf numFmtId="0" fontId="12" fillId="14" borderId="14" xfId="0" applyFont="1" applyFill="1" applyBorder="1" applyAlignment="1">
      <alignment horizontal="right"/>
    </xf>
    <xf numFmtId="0" fontId="9" fillId="24" borderId="2" xfId="0" applyFont="1" applyFill="1" applyBorder="1" applyAlignment="1">
      <alignment horizontal="left"/>
    </xf>
    <xf numFmtId="0" fontId="9" fillId="24" borderId="10" xfId="0" applyFont="1" applyFill="1" applyBorder="1"/>
    <xf numFmtId="0" fontId="10" fillId="16" borderId="2" xfId="0" applyFont="1" applyFill="1" applyBorder="1" applyAlignment="1">
      <alignment horizontal="center"/>
    </xf>
    <xf numFmtId="0" fontId="10" fillId="16" borderId="85" xfId="0" applyFont="1" applyFill="1" applyBorder="1" applyAlignment="1">
      <alignment horizontal="center"/>
    </xf>
    <xf numFmtId="0" fontId="9" fillId="0" borderId="6" xfId="0" applyFont="1" applyBorder="1"/>
    <xf numFmtId="0" fontId="9" fillId="0" borderId="21" xfId="0" applyFont="1" applyBorder="1"/>
    <xf numFmtId="0" fontId="9" fillId="0" borderId="23" xfId="0" applyFont="1" applyBorder="1"/>
    <xf numFmtId="0" fontId="10" fillId="12" borderId="36" xfId="0" applyFont="1" applyFill="1" applyBorder="1" applyAlignment="1">
      <alignment horizontal="right"/>
    </xf>
    <xf numFmtId="37" fontId="9" fillId="12" borderId="34" xfId="0" applyNumberFormat="1" applyFont="1" applyFill="1" applyBorder="1"/>
    <xf numFmtId="37" fontId="9" fillId="12" borderId="35" xfId="0" applyNumberFormat="1" applyFont="1" applyFill="1" applyBorder="1"/>
    <xf numFmtId="37" fontId="9" fillId="12" borderId="36" xfId="0" applyNumberFormat="1" applyFont="1" applyFill="1" applyBorder="1"/>
    <xf numFmtId="0" fontId="12" fillId="11" borderId="6" xfId="0" applyFont="1" applyFill="1" applyBorder="1" applyAlignment="1">
      <alignment horizontal="left"/>
    </xf>
    <xf numFmtId="0" fontId="12" fillId="11" borderId="14" xfId="0" applyFont="1" applyFill="1" applyBorder="1" applyAlignment="1">
      <alignment horizontal="right"/>
    </xf>
    <xf numFmtId="37" fontId="9" fillId="11" borderId="16" xfId="0" applyNumberFormat="1" applyFont="1" applyFill="1" applyBorder="1"/>
    <xf numFmtId="37" fontId="7" fillId="11" borderId="8" xfId="0" applyNumberFormat="1" applyFont="1" applyFill="1" applyBorder="1"/>
    <xf numFmtId="37" fontId="9" fillId="11" borderId="19" xfId="0" applyNumberFormat="1" applyFont="1" applyFill="1" applyBorder="1"/>
    <xf numFmtId="37" fontId="7" fillId="11" borderId="20" xfId="0" applyNumberFormat="1" applyFont="1" applyFill="1" applyBorder="1"/>
    <xf numFmtId="37" fontId="9" fillId="11" borderId="12" xfId="0" applyNumberFormat="1" applyFont="1" applyFill="1" applyBorder="1"/>
    <xf numFmtId="37" fontId="7" fillId="11" borderId="14" xfId="0" applyNumberFormat="1" applyFont="1" applyFill="1" applyBorder="1"/>
    <xf numFmtId="37" fontId="35" fillId="20" borderId="8" xfId="0" applyNumberFormat="1" applyFont="1" applyFill="1" applyBorder="1" applyAlignment="1">
      <alignment horizontal="center"/>
    </xf>
    <xf numFmtId="37" fontId="35" fillId="20" borderId="20" xfId="0" applyNumberFormat="1" applyFont="1" applyFill="1" applyBorder="1" applyAlignment="1">
      <alignment horizontal="center"/>
    </xf>
    <xf numFmtId="37" fontId="35" fillId="20" borderId="14" xfId="0" applyNumberFormat="1" applyFont="1" applyFill="1" applyBorder="1" applyAlignment="1">
      <alignment horizontal="center"/>
    </xf>
    <xf numFmtId="166" fontId="9" fillId="12" borderId="35" xfId="0" applyNumberFormat="1" applyFont="1" applyFill="1" applyBorder="1"/>
    <xf numFmtId="37" fontId="9" fillId="19" borderId="8" xfId="0" applyNumberFormat="1" applyFont="1" applyFill="1" applyBorder="1"/>
    <xf numFmtId="37" fontId="9" fillId="19" borderId="20" xfId="0" applyNumberFormat="1" applyFont="1" applyFill="1" applyBorder="1"/>
    <xf numFmtId="37" fontId="9" fillId="19" borderId="14" xfId="0" applyNumberFormat="1" applyFont="1" applyFill="1" applyBorder="1"/>
    <xf numFmtId="37" fontId="7" fillId="19" borderId="7" xfId="0" applyNumberFormat="1" applyFont="1" applyFill="1" applyBorder="1"/>
    <xf numFmtId="37" fontId="7" fillId="19" borderId="1" xfId="0" applyNumberFormat="1" applyFont="1" applyFill="1" applyBorder="1"/>
    <xf numFmtId="37" fontId="7" fillId="19" borderId="13" xfId="0" applyNumberFormat="1" applyFont="1" applyFill="1" applyBorder="1"/>
    <xf numFmtId="0" fontId="34" fillId="0" borderId="31" xfId="0" applyFont="1" applyBorder="1"/>
    <xf numFmtId="0" fontId="10" fillId="0" borderId="32" xfId="0" applyFont="1" applyBorder="1"/>
    <xf numFmtId="0" fontId="12" fillId="0" borderId="33" xfId="0" applyFont="1" applyBorder="1"/>
    <xf numFmtId="10" fontId="9" fillId="20" borderId="16" xfId="1" applyNumberFormat="1" applyFont="1" applyFill="1" applyBorder="1"/>
    <xf numFmtId="10" fontId="9" fillId="20" borderId="8" xfId="1" applyNumberFormat="1" applyFont="1" applyFill="1" applyBorder="1"/>
    <xf numFmtId="10" fontId="9" fillId="20" borderId="7" xfId="1" applyNumberFormat="1" applyFont="1" applyFill="1" applyBorder="1"/>
    <xf numFmtId="10" fontId="9" fillId="20" borderId="19" xfId="1" applyNumberFormat="1" applyFont="1" applyFill="1" applyBorder="1"/>
    <xf numFmtId="10" fontId="9" fillId="20" borderId="20" xfId="1" applyNumberFormat="1" applyFont="1" applyFill="1" applyBorder="1"/>
    <xf numFmtId="10" fontId="9" fillId="20" borderId="1" xfId="1" applyNumberFormat="1" applyFont="1" applyFill="1" applyBorder="1"/>
    <xf numFmtId="0" fontId="36" fillId="17" borderId="13" xfId="0" applyFont="1" applyFill="1" applyBorder="1" applyAlignment="1">
      <alignment horizontal="right"/>
    </xf>
    <xf numFmtId="37" fontId="37" fillId="20" borderId="7" xfId="0" applyNumberFormat="1" applyFont="1" applyFill="1" applyBorder="1"/>
    <xf numFmtId="37" fontId="37" fillId="20" borderId="1" xfId="0" applyNumberFormat="1" applyFont="1" applyFill="1" applyBorder="1"/>
    <xf numFmtId="37" fontId="37" fillId="20" borderId="13" xfId="0" applyNumberFormat="1" applyFont="1" applyFill="1" applyBorder="1"/>
    <xf numFmtId="37" fontId="36" fillId="17" borderId="31" xfId="0" applyNumberFormat="1" applyFont="1" applyFill="1" applyBorder="1"/>
    <xf numFmtId="39" fontId="9" fillId="21" borderId="22" xfId="0" applyNumberFormat="1" applyFont="1" applyFill="1" applyBorder="1"/>
    <xf numFmtId="39" fontId="9" fillId="21" borderId="3" xfId="0" applyNumberFormat="1" applyFont="1" applyFill="1" applyBorder="1"/>
    <xf numFmtId="4" fontId="0" fillId="0" borderId="0" xfId="0" applyNumberFormat="1"/>
    <xf numFmtId="171" fontId="0" fillId="0" borderId="0" xfId="0" applyNumberFormat="1"/>
    <xf numFmtId="171" fontId="2" fillId="0" borderId="0" xfId="0" applyNumberFormat="1" applyFont="1"/>
    <xf numFmtId="172" fontId="0" fillId="0" borderId="0" xfId="0" applyNumberFormat="1"/>
    <xf numFmtId="0" fontId="0" fillId="0" borderId="0" xfId="0" applyAlignment="1">
      <alignment horizontal="right" indent="1"/>
    </xf>
    <xf numFmtId="0" fontId="0" fillId="0" borderId="0" xfId="0" applyAlignment="1">
      <alignment horizontal="right"/>
    </xf>
    <xf numFmtId="0" fontId="2" fillId="0" borderId="0" xfId="0" applyFont="1" applyAlignment="1">
      <alignment horizontal="left"/>
    </xf>
    <xf numFmtId="172" fontId="2" fillId="0" borderId="0" xfId="0" applyNumberFormat="1" applyFont="1"/>
    <xf numFmtId="37" fontId="9" fillId="20" borderId="8" xfId="0" applyNumberFormat="1" applyFont="1" applyFill="1" applyBorder="1" applyAlignment="1">
      <alignment horizontal="center"/>
    </xf>
    <xf numFmtId="37" fontId="9" fillId="20" borderId="20" xfId="0" applyNumberFormat="1" applyFont="1" applyFill="1" applyBorder="1" applyAlignment="1">
      <alignment horizontal="center"/>
    </xf>
    <xf numFmtId="37" fontId="9" fillId="20" borderId="14" xfId="0" applyNumberFormat="1" applyFont="1" applyFill="1" applyBorder="1" applyAlignment="1">
      <alignment horizontal="center"/>
    </xf>
    <xf numFmtId="37" fontId="11" fillId="19" borderId="19" xfId="0" applyNumberFormat="1" applyFont="1" applyFill="1" applyBorder="1"/>
    <xf numFmtId="37" fontId="11" fillId="19" borderId="20" xfId="0" applyNumberFormat="1" applyFont="1" applyFill="1" applyBorder="1"/>
    <xf numFmtId="37" fontId="11" fillId="19" borderId="35" xfId="0" applyNumberFormat="1" applyFont="1" applyFill="1" applyBorder="1"/>
    <xf numFmtId="37" fontId="11" fillId="19" borderId="1" xfId="0" applyNumberFormat="1" applyFont="1" applyFill="1" applyBorder="1"/>
    <xf numFmtId="37" fontId="11" fillId="21" borderId="22" xfId="0" applyNumberFormat="1" applyFont="1" applyFill="1" applyBorder="1"/>
    <xf numFmtId="0" fontId="10" fillId="17" borderId="45" xfId="0" applyFont="1" applyFill="1" applyBorder="1" applyAlignment="1">
      <alignment horizontal="right"/>
    </xf>
    <xf numFmtId="37" fontId="10" fillId="17" borderId="52" xfId="0" applyNumberFormat="1" applyFont="1" applyFill="1" applyBorder="1"/>
    <xf numFmtId="0" fontId="10" fillId="17" borderId="41" xfId="0" applyFont="1" applyFill="1" applyBorder="1" applyAlignment="1"/>
    <xf numFmtId="0" fontId="10" fillId="17" borderId="53" xfId="0" applyFont="1" applyFill="1" applyBorder="1" applyAlignment="1"/>
    <xf numFmtId="0" fontId="10" fillId="17" borderId="31" xfId="0" applyFont="1" applyFill="1" applyBorder="1" applyAlignment="1">
      <alignment horizontal="right"/>
    </xf>
    <xf numFmtId="0" fontId="10" fillId="17" borderId="32" xfId="0" applyFont="1" applyFill="1" applyBorder="1" applyAlignment="1">
      <alignment horizontal="right"/>
    </xf>
    <xf numFmtId="0" fontId="10" fillId="17" borderId="33" xfId="0" applyFont="1" applyFill="1" applyBorder="1" applyAlignment="1">
      <alignment horizontal="right"/>
    </xf>
    <xf numFmtId="0" fontId="10" fillId="17" borderId="4" xfId="0" applyFont="1" applyFill="1" applyBorder="1" applyAlignment="1"/>
    <xf numFmtId="0" fontId="10" fillId="17" borderId="12" xfId="0" applyFont="1" applyFill="1" applyBorder="1" applyAlignment="1">
      <alignment horizontal="right"/>
    </xf>
    <xf numFmtId="0" fontId="9" fillId="0" borderId="86" xfId="0" applyFont="1" applyFill="1" applyBorder="1"/>
    <xf numFmtId="37" fontId="7" fillId="20" borderId="19" xfId="0" applyNumberFormat="1" applyFont="1" applyFill="1" applyBorder="1"/>
    <xf numFmtId="37" fontId="7" fillId="20" borderId="20" xfId="0" applyNumberFormat="1" applyFont="1" applyFill="1" applyBorder="1"/>
    <xf numFmtId="37" fontId="7" fillId="20" borderId="1" xfId="0" applyNumberFormat="1" applyFont="1" applyFill="1" applyBorder="1"/>
    <xf numFmtId="171" fontId="0" fillId="0" borderId="0" xfId="0" applyNumberFormat="1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39" fillId="17" borderId="5" xfId="0" applyFont="1" applyFill="1" applyBorder="1" applyAlignment="1"/>
    <xf numFmtId="0" fontId="39" fillId="17" borderId="36" xfId="0" applyFont="1" applyFill="1" applyBorder="1" applyAlignment="1">
      <alignment horizontal="right"/>
    </xf>
    <xf numFmtId="37" fontId="40" fillId="20" borderId="7" xfId="0" applyNumberFormat="1" applyFont="1" applyFill="1" applyBorder="1"/>
    <xf numFmtId="37" fontId="40" fillId="20" borderId="1" xfId="0" applyNumberFormat="1" applyFont="1" applyFill="1" applyBorder="1"/>
    <xf numFmtId="37" fontId="40" fillId="20" borderId="13" xfId="0" applyNumberFormat="1" applyFont="1" applyFill="1" applyBorder="1"/>
    <xf numFmtId="37" fontId="40" fillId="17" borderId="1" xfId="0" applyNumberFormat="1" applyFont="1" applyFill="1" applyBorder="1"/>
    <xf numFmtId="37" fontId="39" fillId="17" borderId="31" xfId="0" applyNumberFormat="1" applyFont="1" applyFill="1" applyBorder="1"/>
    <xf numFmtId="37" fontId="40" fillId="20" borderId="16" xfId="0" applyNumberFormat="1" applyFont="1" applyFill="1" applyBorder="1"/>
    <xf numFmtId="37" fontId="40" fillId="20" borderId="19" xfId="0" applyNumberFormat="1" applyFont="1" applyFill="1" applyBorder="1"/>
    <xf numFmtId="37" fontId="40" fillId="20" borderId="24" xfId="0" applyNumberFormat="1" applyFont="1" applyFill="1" applyBorder="1"/>
    <xf numFmtId="37" fontId="39" fillId="0" borderId="31" xfId="0" applyNumberFormat="1" applyFont="1" applyBorder="1"/>
    <xf numFmtId="173" fontId="0" fillId="0" borderId="0" xfId="0" applyNumberFormat="1"/>
    <xf numFmtId="173" fontId="2" fillId="0" borderId="0" xfId="0" applyNumberFormat="1" applyFont="1"/>
    <xf numFmtId="37" fontId="9" fillId="17" borderId="47" xfId="0" applyNumberFormat="1" applyFont="1" applyFill="1" applyBorder="1"/>
    <xf numFmtId="37" fontId="9" fillId="17" borderId="19" xfId="0" applyNumberFormat="1" applyFont="1" applyFill="1" applyBorder="1"/>
    <xf numFmtId="0" fontId="10" fillId="7" borderId="45" xfId="0" applyFont="1" applyFill="1" applyBorder="1" applyAlignment="1">
      <alignment horizontal="right"/>
    </xf>
    <xf numFmtId="37" fontId="9" fillId="19" borderId="46" xfId="0" applyNumberFormat="1" applyFont="1" applyFill="1" applyBorder="1"/>
    <xf numFmtId="168" fontId="9" fillId="19" borderId="46" xfId="0" applyNumberFormat="1" applyFont="1" applyFill="1" applyBorder="1"/>
    <xf numFmtId="168" fontId="9" fillId="19" borderId="47" xfId="0" applyNumberFormat="1" applyFont="1" applyFill="1" applyBorder="1"/>
    <xf numFmtId="168" fontId="9" fillId="19" borderId="45" xfId="0" applyNumberFormat="1" applyFont="1" applyFill="1" applyBorder="1"/>
    <xf numFmtId="0" fontId="10" fillId="7" borderId="41" xfId="0" applyFont="1" applyFill="1" applyBorder="1"/>
    <xf numFmtId="0" fontId="12" fillId="7" borderId="53" xfId="0" applyFont="1" applyFill="1" applyBorder="1"/>
    <xf numFmtId="0" fontId="10" fillId="7" borderId="31" xfId="0" applyFont="1" applyFill="1" applyBorder="1" applyAlignment="1">
      <alignment horizontal="right"/>
    </xf>
    <xf numFmtId="0" fontId="10" fillId="7" borderId="32" xfId="0" applyFont="1" applyFill="1" applyBorder="1" applyAlignment="1">
      <alignment horizontal="right"/>
    </xf>
    <xf numFmtId="0" fontId="12" fillId="7" borderId="33" xfId="0" applyFont="1" applyFill="1" applyBorder="1" applyAlignment="1">
      <alignment horizontal="right"/>
    </xf>
    <xf numFmtId="37" fontId="9" fillId="19" borderId="26" xfId="0" applyNumberFormat="1" applyFont="1" applyFill="1" applyBorder="1"/>
    <xf numFmtId="168" fontId="9" fillId="19" borderId="26" xfId="0" applyNumberFormat="1" applyFont="1" applyFill="1" applyBorder="1"/>
    <xf numFmtId="168" fontId="9" fillId="19" borderId="19" xfId="0" applyNumberFormat="1" applyFont="1" applyFill="1" applyBorder="1"/>
    <xf numFmtId="168" fontId="9" fillId="19" borderId="12" xfId="0" applyNumberFormat="1" applyFont="1" applyFill="1" applyBorder="1"/>
    <xf numFmtId="39" fontId="9" fillId="19" borderId="47" xfId="0" applyNumberFormat="1" applyFont="1" applyFill="1" applyBorder="1"/>
    <xf numFmtId="39" fontId="9" fillId="19" borderId="45" xfId="0" applyNumberFormat="1" applyFont="1" applyFill="1" applyBorder="1"/>
    <xf numFmtId="39" fontId="9" fillId="19" borderId="19" xfId="0" applyNumberFormat="1" applyFont="1" applyFill="1" applyBorder="1"/>
    <xf numFmtId="39" fontId="9" fillId="19" borderId="12" xfId="0" applyNumberFormat="1" applyFont="1" applyFill="1" applyBorder="1"/>
    <xf numFmtId="37" fontId="10" fillId="0" borderId="32" xfId="0" applyNumberFormat="1" applyFont="1" applyFill="1" applyBorder="1"/>
    <xf numFmtId="2" fontId="0" fillId="0" borderId="0" xfId="0" applyNumberFormat="1"/>
    <xf numFmtId="1" fontId="2" fillId="0" borderId="0" xfId="0" applyNumberFormat="1" applyFont="1"/>
    <xf numFmtId="174" fontId="0" fillId="0" borderId="0" xfId="1" applyNumberFormat="1" applyFont="1"/>
    <xf numFmtId="37" fontId="10" fillId="20" borderId="31" xfId="0" applyNumberFormat="1" applyFont="1" applyFill="1" applyBorder="1"/>
    <xf numFmtId="37" fontId="10" fillId="20" borderId="33" xfId="0" applyNumberFormat="1" applyFont="1" applyFill="1" applyBorder="1"/>
    <xf numFmtId="37" fontId="10" fillId="20" borderId="32" xfId="0" applyNumberFormat="1" applyFont="1" applyFill="1" applyBorder="1"/>
    <xf numFmtId="37" fontId="2" fillId="0" borderId="1" xfId="0" applyNumberFormat="1" applyFont="1" applyBorder="1"/>
    <xf numFmtId="9" fontId="0" fillId="0" borderId="0" xfId="0" applyNumberFormat="1"/>
    <xf numFmtId="9" fontId="9" fillId="15" borderId="0" xfId="1" applyFont="1" applyFill="1" applyBorder="1"/>
    <xf numFmtId="44" fontId="0" fillId="0" borderId="0" xfId="4" applyFont="1"/>
    <xf numFmtId="2" fontId="0" fillId="34" borderId="0" xfId="0" applyNumberFormat="1" applyFill="1"/>
    <xf numFmtId="0" fontId="41" fillId="0" borderId="0" xfId="0" applyFont="1"/>
    <xf numFmtId="2" fontId="41" fillId="23" borderId="0" xfId="0" applyNumberFormat="1" applyFont="1" applyFill="1"/>
    <xf numFmtId="0" fontId="2" fillId="0" borderId="0" xfId="0" applyFont="1" applyAlignment="1">
      <alignment horizontal="left" indent="4"/>
    </xf>
    <xf numFmtId="171" fontId="0" fillId="0" borderId="0" xfId="4" applyNumberFormat="1" applyFont="1"/>
    <xf numFmtId="171" fontId="41" fillId="0" borderId="0" xfId="4" applyNumberFormat="1" applyFont="1"/>
    <xf numFmtId="2" fontId="41" fillId="2" borderId="0" xfId="0" applyNumberFormat="1" applyFont="1" applyFill="1"/>
    <xf numFmtId="37" fontId="9" fillId="26" borderId="20" xfId="0" applyNumberFormat="1" applyFont="1" applyFill="1" applyBorder="1"/>
    <xf numFmtId="37" fontId="9" fillId="26" borderId="14" xfId="0" applyNumberFormat="1" applyFont="1" applyFill="1" applyBorder="1"/>
    <xf numFmtId="37" fontId="9" fillId="26" borderId="8" xfId="0" applyNumberFormat="1" applyFont="1" applyFill="1" applyBorder="1"/>
    <xf numFmtId="37" fontId="9" fillId="26" borderId="16" xfId="0" applyNumberFormat="1" applyFont="1" applyFill="1" applyBorder="1"/>
    <xf numFmtId="37" fontId="9" fillId="26" borderId="19" xfId="0" applyNumberFormat="1" applyFont="1" applyFill="1" applyBorder="1"/>
    <xf numFmtId="37" fontId="9" fillId="26" borderId="12" xfId="0" applyNumberFormat="1" applyFont="1" applyFill="1" applyBorder="1"/>
    <xf numFmtId="0" fontId="10" fillId="10" borderId="5" xfId="0" applyFont="1" applyFill="1" applyBorder="1" applyAlignment="1"/>
    <xf numFmtId="37" fontId="9" fillId="26" borderId="5" xfId="0" applyNumberFormat="1" applyFont="1" applyFill="1" applyBorder="1"/>
    <xf numFmtId="37" fontId="9" fillId="26" borderId="39" xfId="0" applyNumberFormat="1" applyFont="1" applyFill="1" applyBorder="1"/>
    <xf numFmtId="37" fontId="9" fillId="26" borderId="38" xfId="0" applyNumberFormat="1" applyFont="1" applyFill="1" applyBorder="1"/>
    <xf numFmtId="37" fontId="10" fillId="0" borderId="0" xfId="0" applyNumberFormat="1" applyFont="1" applyBorder="1"/>
    <xf numFmtId="37" fontId="10" fillId="23" borderId="0" xfId="0" applyNumberFormat="1" applyFont="1" applyFill="1" applyBorder="1"/>
    <xf numFmtId="39" fontId="9" fillId="29" borderId="20" xfId="0" applyNumberFormat="1" applyFont="1" applyFill="1" applyBorder="1"/>
    <xf numFmtId="37" fontId="9" fillId="2" borderId="8" xfId="0" applyNumberFormat="1" applyFont="1" applyFill="1" applyBorder="1"/>
    <xf numFmtId="37" fontId="9" fillId="2" borderId="16" xfId="0" applyNumberFormat="1" applyFont="1" applyFill="1" applyBorder="1"/>
    <xf numFmtId="9" fontId="27" fillId="2" borderId="0" xfId="1" applyFont="1" applyFill="1"/>
    <xf numFmtId="0" fontId="9" fillId="24" borderId="30" xfId="0" applyFont="1" applyFill="1" applyBorder="1"/>
    <xf numFmtId="10" fontId="9" fillId="16" borderId="56" xfId="0" applyNumberFormat="1" applyFont="1" applyFill="1" applyBorder="1"/>
    <xf numFmtId="0" fontId="10" fillId="12" borderId="31" xfId="0" applyFont="1" applyFill="1" applyBorder="1" applyAlignment="1">
      <alignment horizontal="right"/>
    </xf>
    <xf numFmtId="0" fontId="10" fillId="12" borderId="32" xfId="0" applyFont="1" applyFill="1" applyBorder="1" applyAlignment="1">
      <alignment horizontal="right"/>
    </xf>
    <xf numFmtId="0" fontId="12" fillId="12" borderId="33" xfId="0" applyFont="1" applyFill="1" applyBorder="1" applyAlignment="1">
      <alignment horizontal="right"/>
    </xf>
    <xf numFmtId="37" fontId="9" fillId="12" borderId="8" xfId="0" applyNumberFormat="1" applyFont="1" applyFill="1" applyBorder="1"/>
    <xf numFmtId="37" fontId="9" fillId="12" borderId="20" xfId="0" applyNumberFormat="1" applyFont="1" applyFill="1" applyBorder="1"/>
    <xf numFmtId="37" fontId="9" fillId="12" borderId="14" xfId="0" applyNumberFormat="1" applyFont="1" applyFill="1" applyBorder="1"/>
    <xf numFmtId="175" fontId="9" fillId="12" borderId="8" xfId="0" applyNumberFormat="1" applyFont="1" applyFill="1" applyBorder="1"/>
    <xf numFmtId="175" fontId="9" fillId="12" borderId="20" xfId="0" applyNumberFormat="1" applyFont="1" applyFill="1" applyBorder="1"/>
    <xf numFmtId="176" fontId="9" fillId="19" borderId="0" xfId="0" applyNumberFormat="1" applyFont="1" applyFill="1" applyBorder="1"/>
    <xf numFmtId="0" fontId="0" fillId="0" borderId="0" xfId="0" applyAlignment="1">
      <alignment wrapText="1"/>
    </xf>
    <xf numFmtId="37" fontId="9" fillId="23" borderId="7" xfId="0" applyNumberFormat="1" applyFont="1" applyFill="1" applyBorder="1"/>
    <xf numFmtId="37" fontId="9" fillId="23" borderId="1" xfId="0" applyNumberFormat="1" applyFont="1" applyFill="1" applyBorder="1"/>
    <xf numFmtId="37" fontId="9" fillId="23" borderId="13" xfId="0" applyNumberFormat="1" applyFont="1" applyFill="1" applyBorder="1"/>
    <xf numFmtId="175" fontId="9" fillId="12" borderId="19" xfId="0" applyNumberFormat="1" applyFont="1" applyFill="1" applyBorder="1"/>
    <xf numFmtId="175" fontId="9" fillId="12" borderId="1" xfId="0" applyNumberFormat="1" applyFont="1" applyFill="1" applyBorder="1"/>
    <xf numFmtId="37" fontId="9" fillId="23" borderId="34" xfId="0" applyNumberFormat="1" applyFont="1" applyFill="1" applyBorder="1"/>
    <xf numFmtId="37" fontId="9" fillId="23" borderId="35" xfId="0" applyNumberFormat="1" applyFont="1" applyFill="1" applyBorder="1"/>
    <xf numFmtId="37" fontId="9" fillId="23" borderId="36" xfId="0" applyNumberFormat="1" applyFont="1" applyFill="1" applyBorder="1"/>
    <xf numFmtId="39" fontId="9" fillId="23" borderId="1" xfId="0" applyNumberFormat="1" applyFont="1" applyFill="1" applyBorder="1"/>
    <xf numFmtId="39" fontId="9" fillId="23" borderId="13" xfId="0" applyNumberFormat="1" applyFont="1" applyFill="1" applyBorder="1"/>
    <xf numFmtId="39" fontId="0" fillId="0" borderId="0" xfId="0" applyNumberFormat="1"/>
    <xf numFmtId="39" fontId="9" fillId="23" borderId="7" xfId="0" applyNumberFormat="1" applyFont="1" applyFill="1" applyBorder="1"/>
    <xf numFmtId="10" fontId="0" fillId="0" borderId="0" xfId="0" applyNumberFormat="1"/>
    <xf numFmtId="37" fontId="0" fillId="0" borderId="49" xfId="0" applyNumberFormat="1" applyBorder="1"/>
    <xf numFmtId="0" fontId="0" fillId="34" borderId="0" xfId="0" applyFill="1"/>
    <xf numFmtId="0" fontId="2" fillId="34" borderId="0" xfId="0" applyFont="1" applyFill="1"/>
    <xf numFmtId="37" fontId="10" fillId="20" borderId="8" xfId="0" applyNumberFormat="1" applyFont="1" applyFill="1" applyBorder="1" applyAlignment="1">
      <alignment horizontal="right"/>
    </xf>
    <xf numFmtId="37" fontId="10" fillId="20" borderId="20" xfId="0" applyNumberFormat="1" applyFont="1" applyFill="1" applyBorder="1" applyAlignment="1">
      <alignment horizontal="right"/>
    </xf>
    <xf numFmtId="37" fontId="10" fillId="20" borderId="14" xfId="0" applyNumberFormat="1" applyFont="1" applyFill="1" applyBorder="1" applyAlignment="1">
      <alignment horizontal="right"/>
    </xf>
    <xf numFmtId="0" fontId="10" fillId="17" borderId="43" xfId="0" applyFont="1" applyFill="1" applyBorder="1" applyAlignment="1">
      <alignment horizontal="left" wrapText="1"/>
    </xf>
    <xf numFmtId="0" fontId="10" fillId="17" borderId="32" xfId="0" applyFont="1" applyFill="1" applyBorder="1" applyAlignment="1">
      <alignment horizontal="center"/>
    </xf>
    <xf numFmtId="0" fontId="10" fillId="17" borderId="33" xfId="0" applyFont="1" applyFill="1" applyBorder="1" applyAlignment="1">
      <alignment horizontal="center"/>
    </xf>
    <xf numFmtId="3" fontId="45" fillId="29" borderId="22" xfId="5" applyNumberFormat="1" applyFont="1" applyFill="1" applyBorder="1" applyAlignment="1">
      <alignment horizontal="center"/>
    </xf>
    <xf numFmtId="174" fontId="0" fillId="0" borderId="22" xfId="1" applyNumberFormat="1" applyFont="1" applyBorder="1"/>
    <xf numFmtId="3" fontId="45" fillId="29" borderId="11" xfId="5" applyNumberFormat="1" applyFont="1" applyFill="1" applyBorder="1" applyAlignment="1">
      <alignment horizontal="center"/>
    </xf>
    <xf numFmtId="174" fontId="0" fillId="0" borderId="11" xfId="1" applyNumberFormat="1" applyFont="1" applyBorder="1"/>
    <xf numFmtId="3" fontId="45" fillId="29" borderId="28" xfId="5" applyNumberFormat="1" applyFont="1" applyFill="1" applyBorder="1" applyAlignment="1">
      <alignment horizontal="center"/>
    </xf>
    <xf numFmtId="174" fontId="0" fillId="0" borderId="28" xfId="1" applyNumberFormat="1" applyFont="1" applyBorder="1"/>
    <xf numFmtId="0" fontId="10" fillId="17" borderId="43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10" fillId="17" borderId="5" xfId="0" applyFont="1" applyFill="1" applyBorder="1" applyAlignment="1">
      <alignment horizontal="center"/>
    </xf>
    <xf numFmtId="0" fontId="10" fillId="7" borderId="41" xfId="0" applyFont="1" applyFill="1" applyBorder="1" applyAlignment="1">
      <alignment horizontal="center"/>
    </xf>
    <xf numFmtId="0" fontId="10" fillId="17" borderId="41" xfId="0" applyFont="1" applyFill="1" applyBorder="1" applyAlignment="1">
      <alignment horizontal="center"/>
    </xf>
    <xf numFmtId="0" fontId="10" fillId="17" borderId="0" xfId="0" applyFont="1" applyFill="1" applyBorder="1" applyAlignment="1">
      <alignment horizontal="right"/>
    </xf>
    <xf numFmtId="37" fontId="9" fillId="20" borderId="0" xfId="0" applyNumberFormat="1" applyFont="1" applyFill="1" applyBorder="1" applyAlignment="1">
      <alignment horizontal="center"/>
    </xf>
    <xf numFmtId="37" fontId="35" fillId="20" borderId="0" xfId="0" applyNumberFormat="1" applyFont="1" applyFill="1" applyBorder="1" applyAlignment="1">
      <alignment horizontal="center"/>
    </xf>
    <xf numFmtId="10" fontId="9" fillId="0" borderId="0" xfId="0" applyNumberFormat="1" applyFont="1"/>
    <xf numFmtId="3" fontId="0" fillId="0" borderId="0" xfId="0" applyNumberFormat="1"/>
    <xf numFmtId="0" fontId="10" fillId="17" borderId="1" xfId="0" applyFont="1" applyFill="1" applyBorder="1" applyAlignment="1">
      <alignment horizontal="right"/>
    </xf>
    <xf numFmtId="37" fontId="9" fillId="0" borderId="1" xfId="0" applyNumberFormat="1" applyFont="1" applyBorder="1"/>
    <xf numFmtId="175" fontId="9" fillId="0" borderId="1" xfId="0" applyNumberFormat="1" applyFont="1" applyBorder="1"/>
    <xf numFmtId="0" fontId="46" fillId="35" borderId="0" xfId="0" applyFont="1" applyFill="1" applyAlignment="1">
      <alignment horizontal="center"/>
    </xf>
    <xf numFmtId="175" fontId="9" fillId="20" borderId="16" xfId="0" applyNumberFormat="1" applyFont="1" applyFill="1" applyBorder="1"/>
    <xf numFmtId="177" fontId="9" fillId="20" borderId="16" xfId="0" applyNumberFormat="1" applyFont="1" applyFill="1" applyBorder="1"/>
    <xf numFmtId="177" fontId="9" fillId="20" borderId="7" xfId="0" applyNumberFormat="1" applyFont="1" applyFill="1" applyBorder="1"/>
    <xf numFmtId="177" fontId="9" fillId="20" borderId="8" xfId="0" applyNumberFormat="1" applyFont="1" applyFill="1" applyBorder="1"/>
    <xf numFmtId="177" fontId="9" fillId="20" borderId="19" xfId="0" applyNumberFormat="1" applyFont="1" applyFill="1" applyBorder="1"/>
    <xf numFmtId="177" fontId="9" fillId="20" borderId="1" xfId="0" applyNumberFormat="1" applyFont="1" applyFill="1" applyBorder="1"/>
    <xf numFmtId="177" fontId="9" fillId="20" borderId="20" xfId="0" applyNumberFormat="1" applyFont="1" applyFill="1" applyBorder="1"/>
    <xf numFmtId="177" fontId="9" fillId="20" borderId="12" xfId="0" applyNumberFormat="1" applyFont="1" applyFill="1" applyBorder="1"/>
    <xf numFmtId="177" fontId="9" fillId="20" borderId="13" xfId="0" applyNumberFormat="1" applyFont="1" applyFill="1" applyBorder="1"/>
    <xf numFmtId="177" fontId="9" fillId="20" borderId="14" xfId="0" applyNumberFormat="1" applyFont="1" applyFill="1" applyBorder="1"/>
    <xf numFmtId="176" fontId="10" fillId="20" borderId="8" xfId="0" applyNumberFormat="1" applyFont="1" applyFill="1" applyBorder="1" applyAlignment="1">
      <alignment horizontal="right"/>
    </xf>
    <xf numFmtId="176" fontId="10" fillId="20" borderId="20" xfId="0" applyNumberFormat="1" applyFont="1" applyFill="1" applyBorder="1" applyAlignment="1">
      <alignment horizontal="right"/>
    </xf>
    <xf numFmtId="176" fontId="10" fillId="20" borderId="14" xfId="0" applyNumberFormat="1" applyFont="1" applyFill="1" applyBorder="1" applyAlignment="1">
      <alignment horizontal="right"/>
    </xf>
    <xf numFmtId="175" fontId="9" fillId="20" borderId="7" xfId="0" applyNumberFormat="1" applyFont="1" applyFill="1" applyBorder="1"/>
    <xf numFmtId="175" fontId="9" fillId="20" borderId="8" xfId="0" applyNumberFormat="1" applyFont="1" applyFill="1" applyBorder="1"/>
    <xf numFmtId="175" fontId="9" fillId="20" borderId="19" xfId="0" applyNumberFormat="1" applyFont="1" applyFill="1" applyBorder="1"/>
    <xf numFmtId="175" fontId="9" fillId="20" borderId="1" xfId="0" applyNumberFormat="1" applyFont="1" applyFill="1" applyBorder="1"/>
    <xf numFmtId="175" fontId="9" fillId="20" borderId="20" xfId="0" applyNumberFormat="1" applyFont="1" applyFill="1" applyBorder="1"/>
    <xf numFmtId="175" fontId="9" fillId="20" borderId="12" xfId="0" applyNumberFormat="1" applyFont="1" applyFill="1" applyBorder="1"/>
    <xf numFmtId="175" fontId="9" fillId="20" borderId="13" xfId="0" applyNumberFormat="1" applyFont="1" applyFill="1" applyBorder="1"/>
    <xf numFmtId="175" fontId="9" fillId="20" borderId="14" xfId="0" applyNumberFormat="1" applyFont="1" applyFill="1" applyBorder="1"/>
    <xf numFmtId="37" fontId="10" fillId="20" borderId="8" xfId="0" applyNumberFormat="1" applyFont="1" applyFill="1" applyBorder="1"/>
    <xf numFmtId="37" fontId="10" fillId="20" borderId="20" xfId="0" applyNumberFormat="1" applyFont="1" applyFill="1" applyBorder="1"/>
    <xf numFmtId="37" fontId="10" fillId="20" borderId="14" xfId="0" applyNumberFormat="1" applyFont="1" applyFill="1" applyBorder="1"/>
    <xf numFmtId="0" fontId="0" fillId="35" borderId="0" xfId="0" applyFill="1"/>
    <xf numFmtId="0" fontId="2" fillId="35" borderId="0" xfId="0" applyFont="1" applyFill="1"/>
    <xf numFmtId="172" fontId="9" fillId="19" borderId="1" xfId="0" applyNumberFormat="1" applyFont="1" applyFill="1" applyBorder="1"/>
    <xf numFmtId="172" fontId="7" fillId="19" borderId="20" xfId="0" applyNumberFormat="1" applyFont="1" applyFill="1" applyBorder="1"/>
    <xf numFmtId="0" fontId="47" fillId="35" borderId="0" xfId="0" applyFont="1" applyFill="1"/>
    <xf numFmtId="0" fontId="48" fillId="35" borderId="0" xfId="0" applyFont="1" applyFill="1"/>
    <xf numFmtId="37" fontId="10" fillId="33" borderId="33" xfId="0" applyNumberFormat="1" applyFont="1" applyFill="1" applyBorder="1"/>
    <xf numFmtId="37" fontId="6" fillId="17" borderId="33" xfId="0" applyNumberFormat="1" applyFont="1" applyFill="1" applyBorder="1"/>
    <xf numFmtId="37" fontId="6" fillId="33" borderId="33" xfId="0" applyNumberFormat="1" applyFont="1" applyFill="1" applyBorder="1"/>
    <xf numFmtId="176" fontId="9" fillId="20" borderId="16" xfId="0" applyNumberFormat="1" applyFont="1" applyFill="1" applyBorder="1"/>
    <xf numFmtId="176" fontId="9" fillId="20" borderId="7" xfId="0" applyNumberFormat="1" applyFont="1" applyFill="1" applyBorder="1"/>
    <xf numFmtId="176" fontId="9" fillId="20" borderId="8" xfId="0" applyNumberFormat="1" applyFont="1" applyFill="1" applyBorder="1"/>
    <xf numFmtId="176" fontId="9" fillId="20" borderId="19" xfId="0" applyNumberFormat="1" applyFont="1" applyFill="1" applyBorder="1"/>
    <xf numFmtId="176" fontId="9" fillId="20" borderId="1" xfId="0" applyNumberFormat="1" applyFont="1" applyFill="1" applyBorder="1"/>
    <xf numFmtId="176" fontId="9" fillId="20" borderId="20" xfId="0" applyNumberFormat="1" applyFont="1" applyFill="1" applyBorder="1"/>
    <xf numFmtId="176" fontId="9" fillId="20" borderId="12" xfId="0" applyNumberFormat="1" applyFont="1" applyFill="1" applyBorder="1"/>
    <xf numFmtId="176" fontId="9" fillId="20" borderId="13" xfId="0" applyNumberFormat="1" applyFont="1" applyFill="1" applyBorder="1"/>
    <xf numFmtId="176" fontId="9" fillId="20" borderId="14" xfId="0" applyNumberFormat="1" applyFont="1" applyFill="1" applyBorder="1"/>
    <xf numFmtId="0" fontId="49" fillId="36" borderId="0" xfId="0" applyFont="1" applyFill="1"/>
    <xf numFmtId="3" fontId="9" fillId="20" borderId="16" xfId="0" applyNumberFormat="1" applyFont="1" applyFill="1" applyBorder="1"/>
    <xf numFmtId="3" fontId="9" fillId="20" borderId="7" xfId="0" applyNumberFormat="1" applyFont="1" applyFill="1" applyBorder="1"/>
    <xf numFmtId="3" fontId="9" fillId="20" borderId="8" xfId="0" applyNumberFormat="1" applyFont="1" applyFill="1" applyBorder="1"/>
    <xf numFmtId="3" fontId="9" fillId="20" borderId="19" xfId="0" applyNumberFormat="1" applyFont="1" applyFill="1" applyBorder="1"/>
    <xf numFmtId="3" fontId="9" fillId="20" borderId="1" xfId="0" applyNumberFormat="1" applyFont="1" applyFill="1" applyBorder="1"/>
    <xf numFmtId="3" fontId="9" fillId="20" borderId="20" xfId="0" applyNumberFormat="1" applyFont="1" applyFill="1" applyBorder="1"/>
    <xf numFmtId="3" fontId="9" fillId="20" borderId="12" xfId="0" applyNumberFormat="1" applyFont="1" applyFill="1" applyBorder="1"/>
    <xf numFmtId="3" fontId="9" fillId="20" borderId="13" xfId="0" applyNumberFormat="1" applyFont="1" applyFill="1" applyBorder="1"/>
    <xf numFmtId="3" fontId="9" fillId="20" borderId="14" xfId="0" applyNumberFormat="1" applyFont="1" applyFill="1" applyBorder="1"/>
    <xf numFmtId="178" fontId="10" fillId="20" borderId="8" xfId="0" applyNumberFormat="1" applyFont="1" applyFill="1" applyBorder="1" applyAlignment="1">
      <alignment horizontal="right"/>
    </xf>
    <xf numFmtId="178" fontId="10" fillId="20" borderId="14" xfId="0" applyNumberFormat="1" applyFont="1" applyFill="1" applyBorder="1" applyAlignment="1">
      <alignment horizontal="right"/>
    </xf>
    <xf numFmtId="0" fontId="10" fillId="17" borderId="3" xfId="0" applyFont="1" applyFill="1" applyBorder="1" applyAlignment="1">
      <alignment horizontal="left" wrapText="1"/>
    </xf>
    <xf numFmtId="0" fontId="10" fillId="17" borderId="7" xfId="0" applyFont="1" applyFill="1" applyBorder="1" applyAlignment="1">
      <alignment horizontal="center"/>
    </xf>
    <xf numFmtId="0" fontId="10" fillId="17" borderId="8" xfId="0" applyFont="1" applyFill="1" applyBorder="1" applyAlignment="1">
      <alignment horizontal="center"/>
    </xf>
    <xf numFmtId="10" fontId="10" fillId="20" borderId="20" xfId="1" applyNumberFormat="1" applyFont="1" applyFill="1" applyBorder="1" applyAlignment="1">
      <alignment horizontal="right"/>
    </xf>
    <xf numFmtId="10" fontId="10" fillId="20" borderId="14" xfId="1" applyNumberFormat="1" applyFont="1" applyFill="1" applyBorder="1" applyAlignment="1">
      <alignment horizontal="right"/>
    </xf>
    <xf numFmtId="0" fontId="33" fillId="0" borderId="16" xfId="0" applyFont="1" applyBorder="1"/>
    <xf numFmtId="0" fontId="33" fillId="0" borderId="8" xfId="0" applyFont="1" applyBorder="1"/>
    <xf numFmtId="0" fontId="33" fillId="0" borderId="6" xfId="0" applyFont="1" applyBorder="1"/>
    <xf numFmtId="37" fontId="33" fillId="11" borderId="16" xfId="0" applyNumberFormat="1" applyFont="1" applyFill="1" applyBorder="1"/>
    <xf numFmtId="37" fontId="33" fillId="11" borderId="7" xfId="0" applyNumberFormat="1" applyFont="1" applyFill="1" applyBorder="1"/>
    <xf numFmtId="37" fontId="33" fillId="11" borderId="8" xfId="0" applyNumberFormat="1" applyFont="1" applyFill="1" applyBorder="1"/>
    <xf numFmtId="37" fontId="33" fillId="12" borderId="34" xfId="0" applyNumberFormat="1" applyFont="1" applyFill="1" applyBorder="1"/>
    <xf numFmtId="37" fontId="33" fillId="12" borderId="7" xfId="0" applyNumberFormat="1" applyFont="1" applyFill="1" applyBorder="1"/>
    <xf numFmtId="37" fontId="33" fillId="12" borderId="8" xfId="0" applyNumberFormat="1" applyFont="1" applyFill="1" applyBorder="1"/>
    <xf numFmtId="37" fontId="33" fillId="19" borderId="8" xfId="0" applyNumberFormat="1" applyFont="1" applyFill="1" applyBorder="1"/>
    <xf numFmtId="37" fontId="33" fillId="19" borderId="34" xfId="0" applyNumberFormat="1" applyFont="1" applyFill="1" applyBorder="1"/>
    <xf numFmtId="37" fontId="33" fillId="21" borderId="3" xfId="0" applyNumberFormat="1" applyFont="1" applyFill="1" applyBorder="1"/>
    <xf numFmtId="37" fontId="33" fillId="20" borderId="16" xfId="0" applyNumberFormat="1" applyFont="1" applyFill="1" applyBorder="1"/>
    <xf numFmtId="37" fontId="33" fillId="20" borderId="7" xfId="0" applyNumberFormat="1" applyFont="1" applyFill="1" applyBorder="1"/>
    <xf numFmtId="37" fontId="33" fillId="20" borderId="8" xfId="0" applyNumberFormat="1" applyFont="1" applyFill="1" applyBorder="1"/>
    <xf numFmtId="37" fontId="33" fillId="20" borderId="8" xfId="0" applyNumberFormat="1" applyFont="1" applyFill="1" applyBorder="1" applyAlignment="1">
      <alignment horizontal="center"/>
    </xf>
    <xf numFmtId="0" fontId="32" fillId="0" borderId="0" xfId="0" applyFont="1" applyAlignment="1">
      <alignment horizontal="left"/>
    </xf>
    <xf numFmtId="171" fontId="50" fillId="0" borderId="0" xfId="0" applyNumberFormat="1" applyFont="1"/>
    <xf numFmtId="0" fontId="33" fillId="0" borderId="19" xfId="0" applyFont="1" applyBorder="1"/>
    <xf numFmtId="0" fontId="33" fillId="0" borderId="20" xfId="0" applyFont="1" applyBorder="1"/>
    <xf numFmtId="0" fontId="33" fillId="0" borderId="21" xfId="0" applyFont="1" applyBorder="1"/>
    <xf numFmtId="37" fontId="33" fillId="11" borderId="19" xfId="0" applyNumberFormat="1" applyFont="1" applyFill="1" applyBorder="1"/>
    <xf numFmtId="37" fontId="33" fillId="11" borderId="1" xfId="0" applyNumberFormat="1" applyFont="1" applyFill="1" applyBorder="1"/>
    <xf numFmtId="37" fontId="33" fillId="11" borderId="20" xfId="0" applyNumberFormat="1" applyFont="1" applyFill="1" applyBorder="1"/>
    <xf numFmtId="37" fontId="33" fillId="12" borderId="35" xfId="0" applyNumberFormat="1" applyFont="1" applyFill="1" applyBorder="1"/>
    <xf numFmtId="37" fontId="33" fillId="12" borderId="1" xfId="0" applyNumberFormat="1" applyFont="1" applyFill="1" applyBorder="1"/>
    <xf numFmtId="37" fontId="33" fillId="12" borderId="20" xfId="0" applyNumberFormat="1" applyFont="1" applyFill="1" applyBorder="1"/>
    <xf numFmtId="37" fontId="33" fillId="19" borderId="20" xfId="0" applyNumberFormat="1" applyFont="1" applyFill="1" applyBorder="1"/>
    <xf numFmtId="37" fontId="33" fillId="19" borderId="35" xfId="0" applyNumberFormat="1" applyFont="1" applyFill="1" applyBorder="1"/>
    <xf numFmtId="37" fontId="33" fillId="21" borderId="22" xfId="0" applyNumberFormat="1" applyFont="1" applyFill="1" applyBorder="1"/>
    <xf numFmtId="37" fontId="33" fillId="20" borderId="19" xfId="0" applyNumberFormat="1" applyFont="1" applyFill="1" applyBorder="1"/>
    <xf numFmtId="37" fontId="33" fillId="20" borderId="1" xfId="0" applyNumberFormat="1" applyFont="1" applyFill="1" applyBorder="1"/>
    <xf numFmtId="37" fontId="33" fillId="20" borderId="20" xfId="0" applyNumberFormat="1" applyFont="1" applyFill="1" applyBorder="1"/>
    <xf numFmtId="37" fontId="33" fillId="20" borderId="20" xfId="0" applyNumberFormat="1" applyFont="1" applyFill="1" applyBorder="1" applyAlignment="1">
      <alignment horizontal="center"/>
    </xf>
    <xf numFmtId="171" fontId="32" fillId="0" borderId="0" xfId="0" applyNumberFormat="1" applyFont="1"/>
    <xf numFmtId="172" fontId="50" fillId="0" borderId="0" xfId="0" applyNumberFormat="1" applyFont="1"/>
    <xf numFmtId="166" fontId="33" fillId="12" borderId="35" xfId="0" applyNumberFormat="1" applyFont="1" applyFill="1" applyBorder="1"/>
    <xf numFmtId="166" fontId="33" fillId="12" borderId="1" xfId="0" applyNumberFormat="1" applyFont="1" applyFill="1" applyBorder="1"/>
    <xf numFmtId="166" fontId="33" fillId="12" borderId="20" xfId="0" applyNumberFormat="1" applyFont="1" applyFill="1" applyBorder="1"/>
    <xf numFmtId="0" fontId="33" fillId="0" borderId="12" xfId="0" applyFont="1" applyBorder="1"/>
    <xf numFmtId="0" fontId="33" fillId="0" borderId="14" xfId="0" applyFont="1" applyBorder="1"/>
    <xf numFmtId="0" fontId="33" fillId="0" borderId="23" xfId="0" applyFont="1" applyBorder="1"/>
    <xf numFmtId="37" fontId="33" fillId="11" borderId="12" xfId="0" applyNumberFormat="1" applyFont="1" applyFill="1" applyBorder="1"/>
    <xf numFmtId="37" fontId="33" fillId="11" borderId="13" xfId="0" applyNumberFormat="1" applyFont="1" applyFill="1" applyBorder="1"/>
    <xf numFmtId="37" fontId="33" fillId="11" borderId="14" xfId="0" applyNumberFormat="1" applyFont="1" applyFill="1" applyBorder="1"/>
    <xf numFmtId="37" fontId="33" fillId="12" borderId="36" xfId="0" applyNumberFormat="1" applyFont="1" applyFill="1" applyBorder="1"/>
    <xf numFmtId="37" fontId="33" fillId="12" borderId="13" xfId="0" applyNumberFormat="1" applyFont="1" applyFill="1" applyBorder="1"/>
    <xf numFmtId="37" fontId="33" fillId="12" borderId="14" xfId="0" applyNumberFormat="1" applyFont="1" applyFill="1" applyBorder="1"/>
    <xf numFmtId="37" fontId="33" fillId="19" borderId="14" xfId="0" applyNumberFormat="1" applyFont="1" applyFill="1" applyBorder="1"/>
    <xf numFmtId="37" fontId="33" fillId="19" borderId="36" xfId="0" applyNumberFormat="1" applyFont="1" applyFill="1" applyBorder="1"/>
    <xf numFmtId="37" fontId="33" fillId="21" borderId="11" xfId="0" applyNumberFormat="1" applyFont="1" applyFill="1" applyBorder="1"/>
    <xf numFmtId="37" fontId="33" fillId="20" borderId="12" xfId="0" applyNumberFormat="1" applyFont="1" applyFill="1" applyBorder="1"/>
    <xf numFmtId="37" fontId="33" fillId="20" borderId="13" xfId="0" applyNumberFormat="1" applyFont="1" applyFill="1" applyBorder="1"/>
    <xf numFmtId="37" fontId="33" fillId="20" borderId="14" xfId="0" applyNumberFormat="1" applyFont="1" applyFill="1" applyBorder="1"/>
    <xf numFmtId="37" fontId="33" fillId="20" borderId="14" xfId="0" applyNumberFormat="1" applyFont="1" applyFill="1" applyBorder="1" applyAlignment="1">
      <alignment horizontal="center"/>
    </xf>
    <xf numFmtId="0" fontId="7" fillId="0" borderId="16" xfId="0" applyFont="1" applyBorder="1"/>
    <xf numFmtId="0" fontId="7" fillId="0" borderId="8" xfId="0" applyFont="1" applyBorder="1"/>
    <xf numFmtId="0" fontId="7" fillId="0" borderId="6" xfId="0" applyFont="1" applyBorder="1"/>
    <xf numFmtId="37" fontId="7" fillId="11" borderId="16" xfId="0" applyNumberFormat="1" applyFont="1" applyFill="1" applyBorder="1"/>
    <xf numFmtId="37" fontId="7" fillId="12" borderId="34" xfId="0" applyNumberFormat="1" applyFont="1" applyFill="1" applyBorder="1"/>
    <xf numFmtId="37" fontId="7" fillId="12" borderId="7" xfId="0" applyNumberFormat="1" applyFont="1" applyFill="1" applyBorder="1"/>
    <xf numFmtId="37" fontId="7" fillId="19" borderId="16" xfId="0" applyNumberFormat="1" applyFont="1" applyFill="1" applyBorder="1"/>
    <xf numFmtId="37" fontId="7" fillId="19" borderId="34" xfId="0" applyNumberFormat="1" applyFont="1" applyFill="1" applyBorder="1"/>
    <xf numFmtId="37" fontId="7" fillId="21" borderId="3" xfId="0" applyNumberFormat="1" applyFont="1" applyFill="1" applyBorder="1"/>
    <xf numFmtId="37" fontId="7" fillId="20" borderId="16" xfId="0" applyNumberFormat="1" applyFont="1" applyFill="1" applyBorder="1"/>
    <xf numFmtId="37" fontId="7" fillId="20" borderId="7" xfId="0" applyNumberFormat="1" applyFont="1" applyFill="1" applyBorder="1"/>
    <xf numFmtId="37" fontId="7" fillId="20" borderId="8" xfId="0" applyNumberFormat="1" applyFont="1" applyFill="1" applyBorder="1"/>
    <xf numFmtId="37" fontId="7" fillId="20" borderId="8" xfId="0" applyNumberFormat="1" applyFont="1" applyFill="1" applyBorder="1" applyAlignment="1">
      <alignment horizontal="center"/>
    </xf>
    <xf numFmtId="0" fontId="7" fillId="0" borderId="19" xfId="0" applyFont="1" applyBorder="1"/>
    <xf numFmtId="0" fontId="7" fillId="0" borderId="20" xfId="0" applyFont="1" applyBorder="1"/>
    <xf numFmtId="0" fontId="7" fillId="0" borderId="21" xfId="0" applyFont="1" applyBorder="1"/>
    <xf numFmtId="37" fontId="7" fillId="11" borderId="19" xfId="0" applyNumberFormat="1" applyFont="1" applyFill="1" applyBorder="1"/>
    <xf numFmtId="37" fontId="7" fillId="12" borderId="35" xfId="0" applyNumberFormat="1" applyFont="1" applyFill="1" applyBorder="1"/>
    <xf numFmtId="37" fontId="7" fillId="12" borderId="1" xfId="0" applyNumberFormat="1" applyFont="1" applyFill="1" applyBorder="1"/>
    <xf numFmtId="37" fontId="7" fillId="19" borderId="19" xfId="0" applyNumberFormat="1" applyFont="1" applyFill="1" applyBorder="1"/>
    <xf numFmtId="37" fontId="7" fillId="19" borderId="35" xfId="0" applyNumberFormat="1" applyFont="1" applyFill="1" applyBorder="1"/>
    <xf numFmtId="37" fontId="7" fillId="21" borderId="22" xfId="0" applyNumberFormat="1" applyFont="1" applyFill="1" applyBorder="1"/>
    <xf numFmtId="37" fontId="7" fillId="20" borderId="20" xfId="0" applyNumberFormat="1" applyFont="1" applyFill="1" applyBorder="1" applyAlignment="1">
      <alignment horizontal="center"/>
    </xf>
    <xf numFmtId="166" fontId="7" fillId="12" borderId="35" xfId="0" applyNumberFormat="1" applyFont="1" applyFill="1" applyBorder="1"/>
    <xf numFmtId="166" fontId="7" fillId="12" borderId="1" xfId="0" applyNumberFormat="1" applyFont="1" applyFill="1" applyBorder="1"/>
    <xf numFmtId="0" fontId="7" fillId="0" borderId="12" xfId="0" applyFont="1" applyBorder="1"/>
    <xf numFmtId="0" fontId="7" fillId="0" borderId="14" xfId="0" applyFont="1" applyBorder="1"/>
    <xf numFmtId="0" fontId="7" fillId="0" borderId="23" xfId="0" applyFont="1" applyBorder="1"/>
    <xf numFmtId="37" fontId="7" fillId="11" borderId="12" xfId="0" applyNumberFormat="1" applyFont="1" applyFill="1" applyBorder="1"/>
    <xf numFmtId="37" fontId="7" fillId="12" borderId="36" xfId="0" applyNumberFormat="1" applyFont="1" applyFill="1" applyBorder="1"/>
    <xf numFmtId="37" fontId="7" fillId="12" borderId="13" xfId="0" applyNumberFormat="1" applyFont="1" applyFill="1" applyBorder="1"/>
    <xf numFmtId="37" fontId="7" fillId="19" borderId="12" xfId="0" applyNumberFormat="1" applyFont="1" applyFill="1" applyBorder="1"/>
    <xf numFmtId="37" fontId="7" fillId="19" borderId="36" xfId="0" applyNumberFormat="1" applyFont="1" applyFill="1" applyBorder="1"/>
    <xf numFmtId="37" fontId="7" fillId="21" borderId="11" xfId="0" applyNumberFormat="1" applyFont="1" applyFill="1" applyBorder="1"/>
    <xf numFmtId="37" fontId="7" fillId="20" borderId="12" xfId="0" applyNumberFormat="1" applyFont="1" applyFill="1" applyBorder="1"/>
    <xf numFmtId="37" fontId="7" fillId="20" borderId="13" xfId="0" applyNumberFormat="1" applyFont="1" applyFill="1" applyBorder="1"/>
    <xf numFmtId="37" fontId="7" fillId="20" borderId="14" xfId="0" applyNumberFormat="1" applyFont="1" applyFill="1" applyBorder="1"/>
    <xf numFmtId="37" fontId="7" fillId="20" borderId="14" xfId="0" applyNumberFormat="1" applyFont="1" applyFill="1" applyBorder="1" applyAlignment="1">
      <alignment horizontal="center"/>
    </xf>
    <xf numFmtId="0" fontId="34" fillId="17" borderId="13" xfId="0" applyFont="1" applyFill="1" applyBorder="1" applyAlignment="1">
      <alignment horizontal="right"/>
    </xf>
    <xf numFmtId="37" fontId="34" fillId="17" borderId="31" xfId="0" applyNumberFormat="1" applyFont="1" applyFill="1" applyBorder="1"/>
    <xf numFmtId="37" fontId="34" fillId="17" borderId="44" xfId="0" applyNumberFormat="1" applyFont="1" applyFill="1" applyBorder="1"/>
    <xf numFmtId="3" fontId="33" fillId="0" borderId="0" xfId="0" applyNumberFormat="1" applyFont="1"/>
    <xf numFmtId="37" fontId="33" fillId="0" borderId="0" xfId="0" applyNumberFormat="1" applyFont="1"/>
    <xf numFmtId="37" fontId="33" fillId="20" borderId="24" xfId="0" applyNumberFormat="1" applyFont="1" applyFill="1" applyBorder="1"/>
    <xf numFmtId="37" fontId="33" fillId="20" borderId="37" xfId="0" applyNumberFormat="1" applyFont="1" applyFill="1" applyBorder="1"/>
    <xf numFmtId="37" fontId="34" fillId="0" borderId="31" xfId="0" applyNumberFormat="1" applyFont="1" applyBorder="1"/>
    <xf numFmtId="37" fontId="34" fillId="0" borderId="32" xfId="0" applyNumberFormat="1" applyFont="1" applyBorder="1"/>
    <xf numFmtId="0" fontId="12" fillId="11" borderId="36" xfId="0" applyFont="1" applyFill="1" applyBorder="1" applyAlignment="1">
      <alignment horizontal="right"/>
    </xf>
    <xf numFmtId="38" fontId="7" fillId="11" borderId="34" xfId="0" applyNumberFormat="1" applyFont="1" applyFill="1" applyBorder="1"/>
    <xf numFmtId="38" fontId="7" fillId="11" borderId="35" xfId="0" applyNumberFormat="1" applyFont="1" applyFill="1" applyBorder="1"/>
    <xf numFmtId="38" fontId="7" fillId="11" borderId="36" xfId="0" applyNumberFormat="1" applyFont="1" applyFill="1" applyBorder="1"/>
    <xf numFmtId="38" fontId="7" fillId="11" borderId="48" xfId="0" applyNumberFormat="1" applyFont="1" applyFill="1" applyBorder="1"/>
    <xf numFmtId="37" fontId="7" fillId="11" borderId="34" xfId="0" applyNumberFormat="1" applyFont="1" applyFill="1" applyBorder="1"/>
    <xf numFmtId="37" fontId="7" fillId="11" borderId="35" xfId="0" applyNumberFormat="1" applyFont="1" applyFill="1" applyBorder="1"/>
    <xf numFmtId="37" fontId="7" fillId="11" borderId="36" xfId="0" applyNumberFormat="1" applyFont="1" applyFill="1" applyBorder="1"/>
    <xf numFmtId="38" fontId="7" fillId="12" borderId="5" xfId="0" applyNumberFormat="1" applyFont="1" applyFill="1" applyBorder="1"/>
    <xf numFmtId="38" fontId="7" fillId="12" borderId="38" xfId="0" applyNumberFormat="1" applyFont="1" applyFill="1" applyBorder="1"/>
    <xf numFmtId="37" fontId="7" fillId="12" borderId="0" xfId="0" applyNumberFormat="1" applyFont="1" applyFill="1" applyBorder="1"/>
    <xf numFmtId="0" fontId="10" fillId="32" borderId="36" xfId="0" applyFont="1" applyFill="1" applyBorder="1" applyAlignment="1">
      <alignment horizontal="right"/>
    </xf>
    <xf numFmtId="0" fontId="10" fillId="11" borderId="36" xfId="0" applyFont="1" applyFill="1" applyBorder="1" applyAlignment="1">
      <alignment horizontal="right"/>
    </xf>
    <xf numFmtId="38" fontId="11" fillId="11" borderId="34" xfId="0" applyNumberFormat="1" applyFont="1" applyFill="1" applyBorder="1"/>
    <xf numFmtId="38" fontId="11" fillId="11" borderId="36" xfId="0" applyNumberFormat="1" applyFont="1" applyFill="1" applyBorder="1"/>
    <xf numFmtId="37" fontId="11" fillId="12" borderId="0" xfId="0" applyNumberFormat="1" applyFont="1" applyFill="1" applyBorder="1"/>
    <xf numFmtId="38" fontId="11" fillId="14" borderId="5" xfId="0" applyNumberFormat="1" applyFont="1" applyFill="1" applyBorder="1"/>
    <xf numFmtId="38" fontId="11" fillId="14" borderId="38" xfId="0" applyNumberFormat="1" applyFont="1" applyFill="1" applyBorder="1"/>
    <xf numFmtId="37" fontId="7" fillId="12" borderId="5" xfId="0" applyNumberFormat="1" applyFont="1" applyFill="1" applyBorder="1"/>
    <xf numFmtId="37" fontId="7" fillId="12" borderId="39" xfId="0" applyNumberFormat="1" applyFont="1" applyFill="1" applyBorder="1"/>
    <xf numFmtId="37" fontId="7" fillId="12" borderId="38" xfId="0" applyNumberFormat="1" applyFont="1" applyFill="1" applyBorder="1"/>
    <xf numFmtId="0" fontId="12" fillId="14" borderId="38" xfId="0" applyFont="1" applyFill="1" applyBorder="1" applyAlignment="1">
      <alignment horizontal="right"/>
    </xf>
    <xf numFmtId="0" fontId="12" fillId="32" borderId="36" xfId="0" applyFont="1" applyFill="1" applyBorder="1" applyAlignment="1">
      <alignment horizontal="right"/>
    </xf>
    <xf numFmtId="38" fontId="7" fillId="32" borderId="34" xfId="0" applyNumberFormat="1" applyFont="1" applyFill="1" applyBorder="1"/>
    <xf numFmtId="38" fontId="7" fillId="32" borderId="36" xfId="0" applyNumberFormat="1" applyFont="1" applyFill="1" applyBorder="1"/>
    <xf numFmtId="37" fontId="7" fillId="32" borderId="34" xfId="0" applyNumberFormat="1" applyFont="1" applyFill="1" applyBorder="1"/>
    <xf numFmtId="37" fontId="7" fillId="32" borderId="35" xfId="0" applyNumberFormat="1" applyFont="1" applyFill="1" applyBorder="1"/>
    <xf numFmtId="37" fontId="7" fillId="32" borderId="36" xfId="0" applyNumberFormat="1" applyFont="1" applyFill="1" applyBorder="1"/>
    <xf numFmtId="37" fontId="7" fillId="32" borderId="0" xfId="0" applyNumberFormat="1" applyFont="1" applyFill="1" applyBorder="1"/>
    <xf numFmtId="0" fontId="12" fillId="12" borderId="13" xfId="0" applyFont="1" applyFill="1" applyBorder="1" applyAlignment="1">
      <alignment horizontal="right"/>
    </xf>
    <xf numFmtId="38" fontId="7" fillId="12" borderId="7" xfId="0" applyNumberFormat="1" applyFont="1" applyFill="1" applyBorder="1"/>
    <xf numFmtId="38" fontId="7" fillId="12" borderId="1" xfId="0" applyNumberFormat="1" applyFont="1" applyFill="1" applyBorder="1"/>
    <xf numFmtId="38" fontId="7" fillId="12" borderId="13" xfId="0" applyNumberFormat="1" applyFont="1" applyFill="1" applyBorder="1"/>
    <xf numFmtId="164" fontId="7" fillId="12" borderId="7" xfId="0" applyNumberFormat="1" applyFont="1" applyFill="1" applyBorder="1"/>
    <xf numFmtId="164" fontId="7" fillId="12" borderId="1" xfId="0" applyNumberFormat="1" applyFont="1" applyFill="1" applyBorder="1"/>
    <xf numFmtId="164" fontId="7" fillId="12" borderId="13" xfId="0" applyNumberFormat="1" applyFont="1" applyFill="1" applyBorder="1"/>
    <xf numFmtId="38" fontId="7" fillId="12" borderId="17" xfId="0" applyNumberFormat="1" applyFont="1" applyFill="1" applyBorder="1"/>
    <xf numFmtId="0" fontId="14" fillId="32" borderId="5" xfId="0" applyFont="1" applyFill="1" applyBorder="1"/>
    <xf numFmtId="0" fontId="14" fillId="32" borderId="6" xfId="0" applyFont="1" applyFill="1" applyBorder="1"/>
    <xf numFmtId="37" fontId="7" fillId="32" borderId="39" xfId="0" applyNumberFormat="1" applyFont="1" applyFill="1" applyBorder="1"/>
    <xf numFmtId="37" fontId="7" fillId="32" borderId="21" xfId="0" applyNumberFormat="1" applyFont="1" applyFill="1" applyBorder="1"/>
    <xf numFmtId="10" fontId="7" fillId="32" borderId="13" xfId="1" applyNumberFormat="1" applyFont="1" applyFill="1" applyBorder="1"/>
    <xf numFmtId="10" fontId="7" fillId="32" borderId="14" xfId="1" applyNumberFormat="1" applyFont="1" applyFill="1" applyBorder="1"/>
    <xf numFmtId="37" fontId="12" fillId="32" borderId="32" xfId="0" applyNumberFormat="1" applyFont="1" applyFill="1" applyBorder="1"/>
    <xf numFmtId="0" fontId="39" fillId="0" borderId="0" xfId="0" applyFont="1" applyAlignment="1">
      <alignment horizontal="right"/>
    </xf>
    <xf numFmtId="37" fontId="40" fillId="0" borderId="0" xfId="0" applyNumberFormat="1" applyFont="1"/>
    <xf numFmtId="0" fontId="39" fillId="17" borderId="13" xfId="0" applyFont="1" applyFill="1" applyBorder="1" applyAlignment="1">
      <alignment horizontal="right"/>
    </xf>
    <xf numFmtId="37" fontId="39" fillId="17" borderId="44" xfId="0" applyNumberFormat="1" applyFont="1" applyFill="1" applyBorder="1"/>
    <xf numFmtId="37" fontId="40" fillId="20" borderId="37" xfId="0" applyNumberFormat="1" applyFont="1" applyFill="1" applyBorder="1"/>
    <xf numFmtId="37" fontId="39" fillId="0" borderId="32" xfId="0" applyNumberFormat="1" applyFont="1" applyBorder="1"/>
    <xf numFmtId="0" fontId="39" fillId="17" borderId="42" xfId="0" applyFont="1" applyFill="1" applyBorder="1" applyAlignment="1"/>
    <xf numFmtId="37" fontId="40" fillId="20" borderId="12" xfId="0" applyNumberFormat="1" applyFont="1" applyFill="1" applyBorder="1"/>
    <xf numFmtId="0" fontId="39" fillId="17" borderId="5" xfId="0" applyFont="1" applyFill="1" applyBorder="1"/>
    <xf numFmtId="0" fontId="34" fillId="0" borderId="32" xfId="0" applyFont="1" applyBorder="1"/>
    <xf numFmtId="37" fontId="33" fillId="15" borderId="7" xfId="0" applyNumberFormat="1" applyFont="1" applyFill="1" applyBorder="1"/>
    <xf numFmtId="37" fontId="33" fillId="15" borderId="1" xfId="0" applyNumberFormat="1" applyFont="1" applyFill="1" applyBorder="1"/>
    <xf numFmtId="0" fontId="34" fillId="7" borderId="5" xfId="0" applyFont="1" applyFill="1" applyBorder="1"/>
    <xf numFmtId="38" fontId="0" fillId="0" borderId="0" xfId="0" applyNumberFormat="1"/>
    <xf numFmtId="37" fontId="51" fillId="32" borderId="32" xfId="0" applyNumberFormat="1" applyFont="1" applyFill="1" applyBorder="1"/>
    <xf numFmtId="0" fontId="9" fillId="0" borderId="0" xfId="0" applyFont="1" applyAlignment="1">
      <alignment horizontal="center" wrapText="1"/>
    </xf>
    <xf numFmtId="0" fontId="12" fillId="12" borderId="45" xfId="0" applyFont="1" applyFill="1" applyBorder="1" applyAlignment="1">
      <alignment horizontal="right"/>
    </xf>
    <xf numFmtId="166" fontId="7" fillId="12" borderId="39" xfId="0" applyNumberFormat="1" applyFont="1" applyFill="1" applyBorder="1"/>
    <xf numFmtId="0" fontId="12" fillId="11" borderId="3" xfId="0" applyFont="1" applyFill="1" applyBorder="1" applyAlignment="1">
      <alignment horizontal="left"/>
    </xf>
    <xf numFmtId="0" fontId="12" fillId="11" borderId="11" xfId="0" applyFont="1" applyFill="1" applyBorder="1" applyAlignment="1">
      <alignment horizontal="right"/>
    </xf>
    <xf numFmtId="37" fontId="7" fillId="11" borderId="3" xfId="0" applyNumberFormat="1" applyFont="1" applyFill="1" applyBorder="1"/>
    <xf numFmtId="37" fontId="7" fillId="11" borderId="22" xfId="0" applyNumberFormat="1" applyFont="1" applyFill="1" applyBorder="1"/>
    <xf numFmtId="37" fontId="7" fillId="11" borderId="11" xfId="0" applyNumberFormat="1" applyFont="1" applyFill="1" applyBorder="1"/>
    <xf numFmtId="37" fontId="12" fillId="11" borderId="35" xfId="0" applyNumberFormat="1" applyFont="1" applyFill="1" applyBorder="1"/>
  </cellXfs>
  <cellStyles count="6">
    <cellStyle name="Currency" xfId="4" builtinId="4"/>
    <cellStyle name="Normal" xfId="0" builtinId="0"/>
    <cellStyle name="Normal 2" xfId="5" xr:uid="{564F778E-65CF-4B02-A052-5A87978F7691}"/>
    <cellStyle name="Normal 2 5" xfId="3" xr:uid="{8DDD1BAF-33F4-4E1C-96AC-B7036B1BDCD6}"/>
    <cellStyle name="Normal 31" xfId="2" xr:uid="{21E9A468-2793-4771-9900-755DF8E8DE4B}"/>
    <cellStyle name="Percent" xfId="1" builtinId="5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Pole - Forecast Expenditure </a:t>
            </a:r>
            <a:r>
              <a:rPr lang="en-US" sz="1000"/>
              <a:t>(22/23$)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'Business Case Split'!$AF$7</c:f>
              <c:strCache>
                <c:ptCount val="1"/>
                <c:pt idx="0">
                  <c:v>Defect (Pole Repl + Nail)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Split'!$AG$7:$AK$7</c:f>
              <c:numCache>
                <c:formatCode>0.0</c:formatCode>
                <c:ptCount val="5"/>
                <c:pt idx="0">
                  <c:v>83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E-4F76-AD69-0A2368EE000A}"/>
            </c:ext>
          </c:extLst>
        </c:ser>
        <c:ser>
          <c:idx val="1"/>
          <c:order val="1"/>
          <c:tx>
            <c:strRef>
              <c:f>'Business Case Split'!$AF$8</c:f>
              <c:strCache>
                <c:ptCount val="1"/>
                <c:pt idx="0">
                  <c:v>Pole-top (consequential)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Split'!$AG$8:$AK$8</c:f>
              <c:numCache>
                <c:formatCode>0.0</c:formatCode>
                <c:ptCount val="5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E-4F76-AD69-0A2368EE000A}"/>
            </c:ext>
          </c:extLst>
        </c:ser>
        <c:ser>
          <c:idx val="2"/>
          <c:order val="2"/>
          <c:tx>
            <c:strRef>
              <c:f>'Business Case Split'!$AF$9</c:f>
              <c:strCache>
                <c:ptCount val="1"/>
                <c:pt idx="0">
                  <c:v>Services (consequential)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Split'!$AG$9:$AK$9</c:f>
              <c:numCache>
                <c:formatCode>0.0</c:formatCode>
                <c:ptCount val="5"/>
                <c:pt idx="0">
                  <c:v>5.4</c:v>
                </c:pt>
                <c:pt idx="1">
                  <c:v>5.4</c:v>
                </c:pt>
                <c:pt idx="2">
                  <c:v>5.4</c:v>
                </c:pt>
                <c:pt idx="3">
                  <c:v>5.4</c:v>
                </c:pt>
                <c:pt idx="4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1E-4F76-AD69-0A2368EE000A}"/>
            </c:ext>
          </c:extLst>
        </c:ser>
        <c:ser>
          <c:idx val="3"/>
          <c:order val="3"/>
          <c:tx>
            <c:strRef>
              <c:f>'Business Case Split'!$AF$10</c:f>
              <c:strCache>
                <c:ptCount val="1"/>
                <c:pt idx="0">
                  <c:v>Distribution TXs (consequential)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Split'!$AG$10:$AK$10</c:f>
              <c:numCache>
                <c:formatCode>0.0</c:formatCode>
                <c:ptCount val="5"/>
                <c:pt idx="0">
                  <c:v>6.8</c:v>
                </c:pt>
                <c:pt idx="1">
                  <c:v>6.8</c:v>
                </c:pt>
                <c:pt idx="2">
                  <c:v>6.8</c:v>
                </c:pt>
                <c:pt idx="3">
                  <c:v>6.8</c:v>
                </c:pt>
                <c:pt idx="4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1E-4F76-AD69-0A2368EE000A}"/>
            </c:ext>
          </c:extLst>
        </c:ser>
        <c:ser>
          <c:idx val="4"/>
          <c:order val="4"/>
          <c:tx>
            <c:strRef>
              <c:f>'Business Case Split'!$AF$11</c:f>
              <c:strCache>
                <c:ptCount val="1"/>
                <c:pt idx="0">
                  <c:v>Fuse (Consequential)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Split'!$AG$11:$AK$11</c:f>
              <c:numCache>
                <c:formatCode>0.0</c:formatCode>
                <c:ptCount val="5"/>
                <c:pt idx="0">
                  <c:v>4.8</c:v>
                </c:pt>
                <c:pt idx="1">
                  <c:v>4.8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1E-4F76-AD69-0A2368EE000A}"/>
            </c:ext>
          </c:extLst>
        </c:ser>
        <c:ser>
          <c:idx val="5"/>
          <c:order val="5"/>
          <c:tx>
            <c:strRef>
              <c:f>'Business Case Split'!$AF$12</c:f>
              <c:strCache>
                <c:ptCount val="1"/>
                <c:pt idx="0">
                  <c:v>Distribution SWs (consequential)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Split'!$AG$12:$AK$12</c:f>
              <c:numCache>
                <c:formatCode>0.0</c:formatCode>
                <c:ptCount val="5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1E-4F76-AD69-0A2368EE0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 ($m)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Distribution</a:t>
            </a:r>
            <a:r>
              <a:rPr lang="en-US" baseline="0"/>
              <a:t> Transformer</a:t>
            </a:r>
            <a:r>
              <a:rPr lang="en-US"/>
              <a:t>- Forecast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'Business Case Split'!$AF$18</c:f>
              <c:strCache>
                <c:ptCount val="1"/>
                <c:pt idx="0">
                  <c:v>Defect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Split'!$S$90:$W$90</c:f>
              <c:numCache>
                <c:formatCode>#,##0_);\(#,##0\)</c:formatCode>
                <c:ptCount val="5"/>
                <c:pt idx="0">
                  <c:v>551.67751385677047</c:v>
                </c:pt>
                <c:pt idx="1">
                  <c:v>551.67751385677047</c:v>
                </c:pt>
                <c:pt idx="2">
                  <c:v>551.67751385677047</c:v>
                </c:pt>
                <c:pt idx="3">
                  <c:v>551.67751385677047</c:v>
                </c:pt>
                <c:pt idx="4">
                  <c:v>551.67751385677047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5-4E84-AE57-FECB2B10C79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  <c:extLst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Pole - Forecast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Defect Pole Replacement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Split'!$S$8:$W$8</c:f>
              <c:numCache>
                <c:formatCode>#,##0_);\(#,##0\)</c:formatCode>
                <c:ptCount val="5"/>
                <c:pt idx="0">
                  <c:v>11972.70319547361</c:v>
                </c:pt>
                <c:pt idx="1">
                  <c:v>11972.70319547361</c:v>
                </c:pt>
                <c:pt idx="2">
                  <c:v>11972.70319547361</c:v>
                </c:pt>
                <c:pt idx="3">
                  <c:v>11972.70319547361</c:v>
                </c:pt>
                <c:pt idx="4">
                  <c:v>11972.70319547361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A8F-A1FC-F8A31F4AA85C}"/>
            </c:ext>
          </c:extLst>
        </c:ser>
        <c:ser>
          <c:idx val="4"/>
          <c:order val="1"/>
          <c:tx>
            <c:v>Defect Nail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Split'!$S$7:$W$7</c:f>
              <c:numCache>
                <c:formatCode>#,##0_);\(#,##0\)</c:formatCode>
                <c:ptCount val="5"/>
                <c:pt idx="0">
                  <c:v>4658</c:v>
                </c:pt>
                <c:pt idx="1">
                  <c:v>4658</c:v>
                </c:pt>
                <c:pt idx="2">
                  <c:v>4658</c:v>
                </c:pt>
                <c:pt idx="3">
                  <c:v>4658</c:v>
                </c:pt>
                <c:pt idx="4">
                  <c:v>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01-4A8F-A1FC-F8A31F4AA85C}"/>
            </c:ext>
          </c:extLst>
        </c:ser>
        <c:ser>
          <c:idx val="1"/>
          <c:order val="2"/>
          <c:tx>
            <c:strRef>
              <c:f>'Business Case Split'!$AF$8</c:f>
              <c:strCache>
                <c:ptCount val="1"/>
                <c:pt idx="0">
                  <c:v>Pole-top (consequential)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Split'!$S$9:$W$9</c:f>
              <c:numCache>
                <c:formatCode>#,##0_);\(#,##0\)</c:formatCode>
                <c:ptCount val="5"/>
                <c:pt idx="0">
                  <c:v>9593.6977282738626</c:v>
                </c:pt>
                <c:pt idx="1">
                  <c:v>9593.6977282738626</c:v>
                </c:pt>
                <c:pt idx="2">
                  <c:v>9593.6977282738626</c:v>
                </c:pt>
                <c:pt idx="3">
                  <c:v>9593.6977282738626</c:v>
                </c:pt>
                <c:pt idx="4">
                  <c:v>9593.6977282738626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A8F-A1FC-F8A31F4AA85C}"/>
            </c:ext>
          </c:extLst>
        </c:ser>
        <c:ser>
          <c:idx val="2"/>
          <c:order val="3"/>
          <c:tx>
            <c:strRef>
              <c:f>'Business Case Split'!$AF$9</c:f>
              <c:strCache>
                <c:ptCount val="1"/>
                <c:pt idx="0">
                  <c:v>Services (consequential)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Split'!$S$12:$W$12</c:f>
              <c:numCache>
                <c:formatCode>#,##0_);\(#,##0\)</c:formatCode>
                <c:ptCount val="5"/>
                <c:pt idx="0">
                  <c:v>4045.9368375535291</c:v>
                </c:pt>
                <c:pt idx="1">
                  <c:v>4045.9368375535291</c:v>
                </c:pt>
                <c:pt idx="2">
                  <c:v>4045.9368375535291</c:v>
                </c:pt>
                <c:pt idx="3">
                  <c:v>4045.9368375535291</c:v>
                </c:pt>
                <c:pt idx="4">
                  <c:v>4045.9368375535291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01-4A8F-A1FC-F8A31F4AA85C}"/>
            </c:ext>
          </c:extLst>
        </c:ser>
        <c:ser>
          <c:idx val="3"/>
          <c:order val="4"/>
          <c:tx>
            <c:strRef>
              <c:f>'Business Case Split'!$AF$10</c:f>
              <c:strCache>
                <c:ptCount val="1"/>
                <c:pt idx="0">
                  <c:v>Distribution TXs (consequential)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Split'!$S$13:$W$13</c:f>
              <c:numCache>
                <c:formatCode>#,##0_);\(#,##0\)</c:formatCode>
                <c:ptCount val="5"/>
                <c:pt idx="0">
                  <c:v>239.63534042330036</c:v>
                </c:pt>
                <c:pt idx="1">
                  <c:v>239.63534042330036</c:v>
                </c:pt>
                <c:pt idx="2">
                  <c:v>239.63534042330036</c:v>
                </c:pt>
                <c:pt idx="3">
                  <c:v>239.63534042330036</c:v>
                </c:pt>
                <c:pt idx="4">
                  <c:v>239.63534042330036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01-4A8F-A1FC-F8A31F4AA85C}"/>
            </c:ext>
          </c:extLst>
        </c:ser>
        <c:ser>
          <c:idx val="5"/>
          <c:order val="5"/>
          <c:tx>
            <c:strRef>
              <c:f>'Business Case Split'!$AF$12</c:f>
              <c:strCache>
                <c:ptCount val="1"/>
                <c:pt idx="0">
                  <c:v>Distribution SWs (consequential)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Split'!$S$14:$W$14</c:f>
              <c:numCache>
                <c:formatCode>#,##0_);\(#,##0\)</c:formatCode>
                <c:ptCount val="5"/>
                <c:pt idx="0">
                  <c:v>192.93725509592431</c:v>
                </c:pt>
                <c:pt idx="1">
                  <c:v>192.93725509592431</c:v>
                </c:pt>
                <c:pt idx="2">
                  <c:v>192.93725509592431</c:v>
                </c:pt>
                <c:pt idx="3">
                  <c:v>192.93725509592431</c:v>
                </c:pt>
                <c:pt idx="4">
                  <c:v>192.93725509592431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01-4A8F-A1FC-F8A31F4AA85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5000"/>
        <c:min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Pole - Forecast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Defect Pole Replacement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Split'!$S$8:$W$8</c:f>
              <c:numCache>
                <c:formatCode>#,##0_);\(#,##0\)</c:formatCode>
                <c:ptCount val="5"/>
                <c:pt idx="0">
                  <c:v>11972.70319547361</c:v>
                </c:pt>
                <c:pt idx="1">
                  <c:v>11972.70319547361</c:v>
                </c:pt>
                <c:pt idx="2">
                  <c:v>11972.70319547361</c:v>
                </c:pt>
                <c:pt idx="3">
                  <c:v>11972.70319547361</c:v>
                </c:pt>
                <c:pt idx="4">
                  <c:v>11972.70319547361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6-4E73-BDE7-39398920C3A9}"/>
            </c:ext>
          </c:extLst>
        </c:ser>
        <c:ser>
          <c:idx val="1"/>
          <c:order val="1"/>
          <c:tx>
            <c:strRef>
              <c:f>'Business Case Split'!$AF$8</c:f>
              <c:strCache>
                <c:ptCount val="1"/>
                <c:pt idx="0">
                  <c:v>Pole-top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Split'!$S$9:$W$9</c:f>
              <c:numCache>
                <c:formatCode>#,##0_);\(#,##0\)</c:formatCode>
                <c:ptCount val="5"/>
                <c:pt idx="0">
                  <c:v>9593.6977282738626</c:v>
                </c:pt>
                <c:pt idx="1">
                  <c:v>9593.6977282738626</c:v>
                </c:pt>
                <c:pt idx="2">
                  <c:v>9593.6977282738626</c:v>
                </c:pt>
                <c:pt idx="3">
                  <c:v>9593.6977282738626</c:v>
                </c:pt>
                <c:pt idx="4">
                  <c:v>9593.6977282738626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926-4E73-BDE7-39398920C3A9}"/>
            </c:ext>
          </c:extLst>
        </c:ser>
        <c:ser>
          <c:idx val="2"/>
          <c:order val="2"/>
          <c:tx>
            <c:strRef>
              <c:f>'Business Case Split'!$AF$9</c:f>
              <c:strCache>
                <c:ptCount val="1"/>
                <c:pt idx="0">
                  <c:v>Services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Split'!$S$12:$W$12</c:f>
              <c:numCache>
                <c:formatCode>#,##0_);\(#,##0\)</c:formatCode>
                <c:ptCount val="5"/>
                <c:pt idx="0">
                  <c:v>4045.9368375535291</c:v>
                </c:pt>
                <c:pt idx="1">
                  <c:v>4045.9368375535291</c:v>
                </c:pt>
                <c:pt idx="2">
                  <c:v>4045.9368375535291</c:v>
                </c:pt>
                <c:pt idx="3">
                  <c:v>4045.9368375535291</c:v>
                </c:pt>
                <c:pt idx="4">
                  <c:v>4045.9368375535291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2926-4E73-BDE7-39398920C3A9}"/>
            </c:ext>
          </c:extLst>
        </c:ser>
        <c:ser>
          <c:idx val="3"/>
          <c:order val="3"/>
          <c:tx>
            <c:strRef>
              <c:f>'Business Case Split'!$AF$10</c:f>
              <c:strCache>
                <c:ptCount val="1"/>
                <c:pt idx="0">
                  <c:v>Distribution TXs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Split'!$S$13:$W$13</c:f>
              <c:numCache>
                <c:formatCode>#,##0_);\(#,##0\)</c:formatCode>
                <c:ptCount val="5"/>
                <c:pt idx="0">
                  <c:v>239.63534042330036</c:v>
                </c:pt>
                <c:pt idx="1">
                  <c:v>239.63534042330036</c:v>
                </c:pt>
                <c:pt idx="2">
                  <c:v>239.63534042330036</c:v>
                </c:pt>
                <c:pt idx="3">
                  <c:v>239.63534042330036</c:v>
                </c:pt>
                <c:pt idx="4">
                  <c:v>239.63534042330036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926-4E73-BDE7-39398920C3A9}"/>
            </c:ext>
          </c:extLst>
        </c:ser>
        <c:ser>
          <c:idx val="5"/>
          <c:order val="4"/>
          <c:tx>
            <c:strRef>
              <c:f>'Business Case Split'!$AF$12</c:f>
              <c:strCache>
                <c:ptCount val="1"/>
                <c:pt idx="0">
                  <c:v>Distribution SWs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Split'!$S$14:$W$14</c:f>
              <c:numCache>
                <c:formatCode>#,##0_);\(#,##0\)</c:formatCode>
                <c:ptCount val="5"/>
                <c:pt idx="0">
                  <c:v>192.93725509592431</c:v>
                </c:pt>
                <c:pt idx="1">
                  <c:v>192.93725509592431</c:v>
                </c:pt>
                <c:pt idx="2">
                  <c:v>192.93725509592431</c:v>
                </c:pt>
                <c:pt idx="3">
                  <c:v>192.93725509592431</c:v>
                </c:pt>
                <c:pt idx="4">
                  <c:v>192.93725509592431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2926-4E73-BDE7-39398920C3A9}"/>
            </c:ext>
          </c:extLst>
        </c:ser>
        <c:ser>
          <c:idx val="4"/>
          <c:order val="5"/>
          <c:tx>
            <c:v>Defect Nail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Split'!$S$7:$W$7</c:f>
              <c:numCache>
                <c:formatCode>#,##0_);\(#,##0\)</c:formatCode>
                <c:ptCount val="5"/>
                <c:pt idx="0">
                  <c:v>4658</c:v>
                </c:pt>
                <c:pt idx="1">
                  <c:v>4658</c:v>
                </c:pt>
                <c:pt idx="2">
                  <c:v>4658</c:v>
                </c:pt>
                <c:pt idx="3">
                  <c:v>4658</c:v>
                </c:pt>
                <c:pt idx="4">
                  <c:v>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6-4E73-BDE7-39398920C3A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  <c:extLst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5000"/>
        <c:min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Overhead Conductor  - Forecast Expenditure </a:t>
            </a:r>
            <a:r>
              <a:rPr lang="en-US" sz="1000"/>
              <a:t>(22/23$)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'Business Case Split'!$AF$40</c:f>
              <c:strCache>
                <c:ptCount val="1"/>
                <c:pt idx="0">
                  <c:v>Targeted Replacement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Split'!$AG$40:$AK$40</c:f>
              <c:numCache>
                <c:formatCode>General</c:formatCode>
                <c:ptCount val="5"/>
                <c:pt idx="0">
                  <c:v>34.5</c:v>
                </c:pt>
                <c:pt idx="1">
                  <c:v>36.200000000000003</c:v>
                </c:pt>
                <c:pt idx="2">
                  <c:v>37.4</c:v>
                </c:pt>
                <c:pt idx="3">
                  <c:v>38.5</c:v>
                </c:pt>
                <c:pt idx="4">
                  <c:v>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F-4337-97A5-775414AE8A7F}"/>
            </c:ext>
          </c:extLst>
        </c:ser>
        <c:ser>
          <c:idx val="1"/>
          <c:order val="1"/>
          <c:tx>
            <c:strRef>
              <c:f>'Business Case Split'!$AF$41</c:f>
              <c:strCache>
                <c:ptCount val="1"/>
                <c:pt idx="0">
                  <c:v>Defect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Split'!$AG$41:$AK$41</c:f>
              <c:numCache>
                <c:formatCode>General</c:formatCode>
                <c:ptCount val="5"/>
                <c:pt idx="0">
                  <c:v>5.3</c:v>
                </c:pt>
                <c:pt idx="1">
                  <c:v>5.3</c:v>
                </c:pt>
                <c:pt idx="2">
                  <c:v>5.3</c:v>
                </c:pt>
                <c:pt idx="3">
                  <c:v>5.3</c:v>
                </c:pt>
                <c:pt idx="4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F-4337-97A5-775414AE8A7F}"/>
            </c:ext>
          </c:extLst>
        </c:ser>
        <c:ser>
          <c:idx val="2"/>
          <c:order val="2"/>
          <c:tx>
            <c:strRef>
              <c:f>'Business Case Split'!$AF$42</c:f>
              <c:strCache>
                <c:ptCount val="1"/>
                <c:pt idx="0">
                  <c:v>Conductor Reset RIN Total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Split'!$AG$42:$AK$42</c:f>
              <c:numCache>
                <c:formatCode>General</c:formatCode>
                <c:ptCount val="5"/>
                <c:pt idx="0">
                  <c:v>39.799999999999997</c:v>
                </c:pt>
                <c:pt idx="1">
                  <c:v>41.5</c:v>
                </c:pt>
                <c:pt idx="2">
                  <c:v>42.699999999999996</c:v>
                </c:pt>
                <c:pt idx="3">
                  <c:v>43.8</c:v>
                </c:pt>
                <c:pt idx="4">
                  <c:v>44.4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AE5F-4337-97A5-775414AE8A7F}"/>
            </c:ext>
          </c:extLst>
        </c:ser>
        <c:ser>
          <c:idx val="3"/>
          <c:order val="3"/>
          <c:tx>
            <c:strRef>
              <c:f>'Business Case Split'!$AF$43</c:f>
              <c:strCache>
                <c:ptCount val="1"/>
                <c:pt idx="0">
                  <c:v>Pole (consequential)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Split'!$AG$43:$AK$43</c:f>
              <c:numCache>
                <c:formatCode>General</c:formatCode>
                <c:ptCount val="5"/>
                <c:pt idx="0">
                  <c:v>15.8</c:v>
                </c:pt>
                <c:pt idx="1">
                  <c:v>16.399999999999999</c:v>
                </c:pt>
                <c:pt idx="2">
                  <c:v>16.899999999999999</c:v>
                </c:pt>
                <c:pt idx="3">
                  <c:v>17.399999999999999</c:v>
                </c:pt>
                <c:pt idx="4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5F-4337-97A5-775414AE8A7F}"/>
            </c:ext>
          </c:extLst>
        </c:ser>
        <c:ser>
          <c:idx val="4"/>
          <c:order val="4"/>
          <c:tx>
            <c:strRef>
              <c:f>'Business Case Split'!$AF$44</c:f>
              <c:strCache>
                <c:ptCount val="1"/>
                <c:pt idx="0">
                  <c:v>Pole-top (consequential)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Split'!$AG$44:$AK$44</c:f>
              <c:numCache>
                <c:formatCode>General</c:formatCode>
                <c:ptCount val="5"/>
                <c:pt idx="0">
                  <c:v>14.3</c:v>
                </c:pt>
                <c:pt idx="1">
                  <c:v>14.9</c:v>
                </c:pt>
                <c:pt idx="2">
                  <c:v>15.3</c:v>
                </c:pt>
                <c:pt idx="3">
                  <c:v>15.7</c:v>
                </c:pt>
                <c:pt idx="4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5F-4337-97A5-775414AE8A7F}"/>
            </c:ext>
          </c:extLst>
        </c:ser>
        <c:ser>
          <c:idx val="5"/>
          <c:order val="5"/>
          <c:tx>
            <c:strRef>
              <c:f>'Business Case Split'!$AF$45</c:f>
              <c:strCache>
                <c:ptCount val="1"/>
                <c:pt idx="0">
                  <c:v>Services (consequential)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Split'!$AG$45:$AK$45</c:f>
              <c:numCache>
                <c:formatCode>General</c:formatCode>
                <c:ptCount val="5"/>
                <c:pt idx="0">
                  <c:v>3.7</c:v>
                </c:pt>
                <c:pt idx="1">
                  <c:v>3.8</c:v>
                </c:pt>
                <c:pt idx="2">
                  <c:v>3.9</c:v>
                </c:pt>
                <c:pt idx="3">
                  <c:v>4</c:v>
                </c:pt>
                <c:pt idx="4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5F-4337-97A5-775414AE8A7F}"/>
            </c:ext>
          </c:extLst>
        </c:ser>
        <c:ser>
          <c:idx val="6"/>
          <c:order val="6"/>
          <c:tx>
            <c:strRef>
              <c:f>'Business Case Split'!$AF$46</c:f>
              <c:strCache>
                <c:ptCount val="1"/>
                <c:pt idx="0">
                  <c:v>Distribution TXs  (consequential)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Split'!$AG$46:$AK$46</c:f>
              <c:numCache>
                <c:formatCode>General</c:formatCode>
                <c:ptCount val="5"/>
                <c:pt idx="0">
                  <c:v>4.2</c:v>
                </c:pt>
                <c:pt idx="1">
                  <c:v>4.4000000000000004</c:v>
                </c:pt>
                <c:pt idx="2">
                  <c:v>4.5</c:v>
                </c:pt>
                <c:pt idx="3">
                  <c:v>4.5999999999999996</c:v>
                </c:pt>
                <c:pt idx="4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5F-4337-97A5-775414AE8A7F}"/>
            </c:ext>
          </c:extLst>
        </c:ser>
        <c:ser>
          <c:idx val="7"/>
          <c:order val="7"/>
          <c:tx>
            <c:strRef>
              <c:f>'Business Case Split'!$AF$47</c:f>
              <c:strCache>
                <c:ptCount val="1"/>
                <c:pt idx="0">
                  <c:v>Distribution SWs  (consequential)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Split'!$AG$47:$AK$47</c:f>
              <c:numCache>
                <c:formatCode>General</c:formatCode>
                <c:ptCount val="5"/>
                <c:pt idx="0">
                  <c:v>1.5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5F-4337-97A5-775414AE8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  <c:extLst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 ($m)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Pole - Forecast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'Business Case Split'!$BU$39</c:f>
              <c:strCache>
                <c:ptCount val="1"/>
                <c:pt idx="0">
                  <c:v>Targeted Replacement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Split'!$BV$39:$BZ$39</c:f>
              <c:numCache>
                <c:formatCode>#,##0_);\(#,##0\)</c:formatCode>
                <c:ptCount val="5"/>
                <c:pt idx="0">
                  <c:v>606.50843685384075</c:v>
                </c:pt>
                <c:pt idx="1">
                  <c:v>636.50843685384098</c:v>
                </c:pt>
                <c:pt idx="2">
                  <c:v>656.50843685384086</c:v>
                </c:pt>
                <c:pt idx="3">
                  <c:v>676.50843685384109</c:v>
                </c:pt>
                <c:pt idx="4">
                  <c:v>686.50843685384109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B-4F34-8F65-9B84731DE69E}"/>
            </c:ext>
          </c:extLst>
        </c:ser>
        <c:ser>
          <c:idx val="4"/>
          <c:order val="1"/>
          <c:tx>
            <c:strRef>
              <c:f>'Business Case Split'!$BU$40</c:f>
              <c:strCache>
                <c:ptCount val="1"/>
                <c:pt idx="0">
                  <c:v>Defect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Split'!$BV$40:$BZ$40</c:f>
              <c:numCache>
                <c:formatCode>#,##0_);\(#,##0\)</c:formatCode>
                <c:ptCount val="5"/>
                <c:pt idx="0">
                  <c:v>93.52033914815901</c:v>
                </c:pt>
                <c:pt idx="1">
                  <c:v>93.52033914815901</c:v>
                </c:pt>
                <c:pt idx="2">
                  <c:v>93.52033914815901</c:v>
                </c:pt>
                <c:pt idx="3">
                  <c:v>93.52033914815901</c:v>
                </c:pt>
                <c:pt idx="4">
                  <c:v>93.52033914815901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B-4F34-8F65-9B84731DE69E}"/>
            </c:ext>
          </c:extLst>
        </c:ser>
        <c:ser>
          <c:idx val="1"/>
          <c:order val="2"/>
          <c:tx>
            <c:strRef>
              <c:f>'Business Case Split'!$BU$42</c:f>
              <c:strCache>
                <c:ptCount val="1"/>
                <c:pt idx="0">
                  <c:v>Pole (consequential)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Split'!$BV$42:$BZ$42</c:f>
              <c:numCache>
                <c:formatCode>#,##0_);\(#,##0\)</c:formatCode>
                <c:ptCount val="5"/>
                <c:pt idx="0">
                  <c:v>2528.9249198940793</c:v>
                </c:pt>
                <c:pt idx="1">
                  <c:v>2637.6733551230623</c:v>
                </c:pt>
                <c:pt idx="2">
                  <c:v>2710.1723119423827</c:v>
                </c:pt>
                <c:pt idx="3">
                  <c:v>2782.6712687617051</c:v>
                </c:pt>
                <c:pt idx="4">
                  <c:v>2818.9207471713657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AB-4F34-8F65-9B84731DE69E}"/>
            </c:ext>
          </c:extLst>
        </c:ser>
        <c:ser>
          <c:idx val="6"/>
          <c:order val="3"/>
          <c:tx>
            <c:strRef>
              <c:f>'Business Case Split'!$BU$43</c:f>
              <c:strCache>
                <c:ptCount val="1"/>
                <c:pt idx="0">
                  <c:v>Pole-top (consequential)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Split'!$BV$43:$BZ$43</c:f>
              <c:numCache>
                <c:formatCode>#,##0_);\(#,##0\)</c:formatCode>
                <c:ptCount val="5"/>
                <c:pt idx="0">
                  <c:v>5086.4913570767967</c:v>
                </c:pt>
                <c:pt idx="1">
                  <c:v>5304.9459934198112</c:v>
                </c:pt>
                <c:pt idx="2">
                  <c:v>5450.5824176484894</c:v>
                </c:pt>
                <c:pt idx="3">
                  <c:v>5596.2188418771657</c:v>
                </c:pt>
                <c:pt idx="4">
                  <c:v>5669.0370539915057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AB-4F34-8F65-9B84731DE69E}"/>
            </c:ext>
          </c:extLst>
        </c:ser>
        <c:ser>
          <c:idx val="2"/>
          <c:order val="4"/>
          <c:tx>
            <c:strRef>
              <c:f>'Business Case Split'!$BU$44</c:f>
              <c:strCache>
                <c:ptCount val="1"/>
                <c:pt idx="0">
                  <c:v>Services (consequential)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Split'!$BV$44:$BZ$44</c:f>
              <c:numCache>
                <c:formatCode>#,##0_);\(#,##0\)</c:formatCode>
                <c:ptCount val="5"/>
                <c:pt idx="0">
                  <c:v>2739.0819050750902</c:v>
                </c:pt>
                <c:pt idx="1">
                  <c:v>2856.8831103100379</c:v>
                </c:pt>
                <c:pt idx="2">
                  <c:v>2935.417247133335</c:v>
                </c:pt>
                <c:pt idx="3">
                  <c:v>3013.9513839566334</c:v>
                </c:pt>
                <c:pt idx="4">
                  <c:v>3053.2184523682822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AB-4F34-8F65-9B84731DE69E}"/>
            </c:ext>
          </c:extLst>
        </c:ser>
        <c:ser>
          <c:idx val="3"/>
          <c:order val="5"/>
          <c:tx>
            <c:strRef>
              <c:f>'Business Case Split'!$BU$45</c:f>
              <c:strCache>
                <c:ptCount val="1"/>
                <c:pt idx="0">
                  <c:v>Distribution TXs  (consequential)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Split'!$BV$45:$BZ$45</c:f>
              <c:numCache>
                <c:formatCode>#,##0_);\(#,##0\)</c:formatCode>
                <c:ptCount val="5"/>
                <c:pt idx="0">
                  <c:v>146.99139049929855</c:v>
                </c:pt>
                <c:pt idx="1">
                  <c:v>153.24590864150665</c:v>
                </c:pt>
                <c:pt idx="2">
                  <c:v>157.41558740297862</c:v>
                </c:pt>
                <c:pt idx="3">
                  <c:v>161.58526616445067</c:v>
                </c:pt>
                <c:pt idx="4">
                  <c:v>163.67010554518669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AB-4F34-8F65-9B84731DE69E}"/>
            </c:ext>
          </c:extLst>
        </c:ser>
        <c:ser>
          <c:idx val="5"/>
          <c:order val="6"/>
          <c:tx>
            <c:strRef>
              <c:f>'Business Case Split'!$BU$46</c:f>
              <c:strCache>
                <c:ptCount val="1"/>
                <c:pt idx="0">
                  <c:v>Distribution SWs  (consequential)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Split'!$BV$46:$BZ$46</c:f>
              <c:numCache>
                <c:formatCode>#,##0_);\(#,##0\)</c:formatCode>
                <c:ptCount val="5"/>
                <c:pt idx="0">
                  <c:v>154.99144902322803</c:v>
                </c:pt>
                <c:pt idx="1">
                  <c:v>161.65609950263007</c:v>
                </c:pt>
                <c:pt idx="2">
                  <c:v>166.09919982223136</c:v>
                </c:pt>
                <c:pt idx="3">
                  <c:v>170.5423001418327</c:v>
                </c:pt>
                <c:pt idx="4">
                  <c:v>172.7638503016334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AB-4F34-8F65-9B84731DE69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2500"/>
        <c:min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Pole - Forecast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'Business Case Split'!$BU$39</c:f>
              <c:strCache>
                <c:ptCount val="1"/>
                <c:pt idx="0">
                  <c:v>Targeted Replacement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Split'!$BV$39:$BZ$39</c:f>
              <c:numCache>
                <c:formatCode>#,##0_);\(#,##0\)</c:formatCode>
                <c:ptCount val="5"/>
                <c:pt idx="0">
                  <c:v>606.50843685384075</c:v>
                </c:pt>
                <c:pt idx="1">
                  <c:v>636.50843685384098</c:v>
                </c:pt>
                <c:pt idx="2">
                  <c:v>656.50843685384086</c:v>
                </c:pt>
                <c:pt idx="3">
                  <c:v>676.50843685384109</c:v>
                </c:pt>
                <c:pt idx="4">
                  <c:v>686.50843685384109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8-4CDA-83EC-9BED76FA32E8}"/>
            </c:ext>
          </c:extLst>
        </c:ser>
        <c:ser>
          <c:idx val="4"/>
          <c:order val="1"/>
          <c:tx>
            <c:strRef>
              <c:f>'Business Case Split'!$BU$40</c:f>
              <c:strCache>
                <c:ptCount val="1"/>
                <c:pt idx="0">
                  <c:v>Defect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Split'!$BV$40:$BZ$40</c:f>
              <c:numCache>
                <c:formatCode>#,##0_);\(#,##0\)</c:formatCode>
                <c:ptCount val="5"/>
                <c:pt idx="0">
                  <c:v>93.52033914815901</c:v>
                </c:pt>
                <c:pt idx="1">
                  <c:v>93.52033914815901</c:v>
                </c:pt>
                <c:pt idx="2">
                  <c:v>93.52033914815901</c:v>
                </c:pt>
                <c:pt idx="3">
                  <c:v>93.52033914815901</c:v>
                </c:pt>
                <c:pt idx="4">
                  <c:v>93.52033914815901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8-4CDA-83EC-9BED76FA32E8}"/>
            </c:ext>
          </c:extLst>
        </c:ser>
        <c:ser>
          <c:idx val="1"/>
          <c:order val="2"/>
          <c:tx>
            <c:strRef>
              <c:f>'Business Case Split'!$BU$42</c:f>
              <c:strCache>
                <c:ptCount val="1"/>
                <c:pt idx="0">
                  <c:v>Pole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Split'!$BV$42:$BZ$42</c:f>
              <c:numCache>
                <c:formatCode>#,##0_);\(#,##0\)</c:formatCode>
                <c:ptCount val="5"/>
                <c:pt idx="0">
                  <c:v>2528.9249198940793</c:v>
                </c:pt>
                <c:pt idx="1">
                  <c:v>2637.6733551230623</c:v>
                </c:pt>
                <c:pt idx="2">
                  <c:v>2710.1723119423827</c:v>
                </c:pt>
                <c:pt idx="3">
                  <c:v>2782.6712687617051</c:v>
                </c:pt>
                <c:pt idx="4">
                  <c:v>2818.9207471713657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F08-4CDA-83EC-9BED76FA32E8}"/>
            </c:ext>
          </c:extLst>
        </c:ser>
        <c:ser>
          <c:idx val="2"/>
          <c:order val="3"/>
          <c:tx>
            <c:strRef>
              <c:f>'Business Case Split'!$BU$44</c:f>
              <c:strCache>
                <c:ptCount val="1"/>
                <c:pt idx="0">
                  <c:v>Services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Split'!$BV$44:$BZ$44</c:f>
              <c:numCache>
                <c:formatCode>#,##0_);\(#,##0\)</c:formatCode>
                <c:ptCount val="5"/>
                <c:pt idx="0">
                  <c:v>2739.0819050750902</c:v>
                </c:pt>
                <c:pt idx="1">
                  <c:v>2856.8831103100379</c:v>
                </c:pt>
                <c:pt idx="2">
                  <c:v>2935.417247133335</c:v>
                </c:pt>
                <c:pt idx="3">
                  <c:v>3013.9513839566334</c:v>
                </c:pt>
                <c:pt idx="4">
                  <c:v>3053.2184523682822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1F08-4CDA-83EC-9BED76FA32E8}"/>
            </c:ext>
          </c:extLst>
        </c:ser>
        <c:ser>
          <c:idx val="3"/>
          <c:order val="4"/>
          <c:tx>
            <c:strRef>
              <c:f>'Business Case Split'!$BU$45</c:f>
              <c:strCache>
                <c:ptCount val="1"/>
                <c:pt idx="0">
                  <c:v>Distribution TXs 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Split'!$BV$45:$BZ$45</c:f>
              <c:numCache>
                <c:formatCode>#,##0_);\(#,##0\)</c:formatCode>
                <c:ptCount val="5"/>
                <c:pt idx="0">
                  <c:v>146.99139049929855</c:v>
                </c:pt>
                <c:pt idx="1">
                  <c:v>153.24590864150665</c:v>
                </c:pt>
                <c:pt idx="2">
                  <c:v>157.41558740297862</c:v>
                </c:pt>
                <c:pt idx="3">
                  <c:v>161.58526616445067</c:v>
                </c:pt>
                <c:pt idx="4">
                  <c:v>163.67010554518669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F08-4CDA-83EC-9BED76FA32E8}"/>
            </c:ext>
          </c:extLst>
        </c:ser>
        <c:ser>
          <c:idx val="5"/>
          <c:order val="5"/>
          <c:tx>
            <c:strRef>
              <c:f>'Business Case Split'!$BU$46</c:f>
              <c:strCache>
                <c:ptCount val="1"/>
                <c:pt idx="0">
                  <c:v>Distribution SWs 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Split'!$BV$46:$BZ$46</c:f>
              <c:numCache>
                <c:formatCode>#,##0_);\(#,##0\)</c:formatCode>
                <c:ptCount val="5"/>
                <c:pt idx="0">
                  <c:v>154.99144902322803</c:v>
                </c:pt>
                <c:pt idx="1">
                  <c:v>161.65609950263007</c:v>
                </c:pt>
                <c:pt idx="2">
                  <c:v>166.09919982223136</c:v>
                </c:pt>
                <c:pt idx="3">
                  <c:v>170.5423001418327</c:v>
                </c:pt>
                <c:pt idx="4">
                  <c:v>172.7638503016334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1F08-4CDA-83EC-9BED76FA32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  <c:extLst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Pole Top Structure - Forecast Expenditure </a:t>
            </a:r>
            <a:r>
              <a:rPr lang="en-US" sz="1000"/>
              <a:t>(22/23$)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'Business Case Split'!$AF$18</c:f>
              <c:strCache>
                <c:ptCount val="1"/>
                <c:pt idx="0">
                  <c:v>Defect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Split'!$AG$18:$AK$18</c:f>
              <c:numCache>
                <c:formatCode>General</c:formatCode>
                <c:ptCount val="5"/>
                <c:pt idx="0">
                  <c:v>23.9</c:v>
                </c:pt>
                <c:pt idx="1">
                  <c:v>23.9</c:v>
                </c:pt>
                <c:pt idx="2">
                  <c:v>23.9</c:v>
                </c:pt>
                <c:pt idx="3">
                  <c:v>23.9</c:v>
                </c:pt>
                <c:pt idx="4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3-408A-BBD1-802E47DF6CC0}"/>
            </c:ext>
          </c:extLst>
        </c:ser>
        <c:ser>
          <c:idx val="1"/>
          <c:order val="1"/>
          <c:tx>
            <c:strRef>
              <c:f>'Business Case Split'!$AF$19</c:f>
              <c:strCache>
                <c:ptCount val="1"/>
                <c:pt idx="0">
                  <c:v>Targeted Replacement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Split'!$AG$19:$AK$19</c:f>
              <c:numCache>
                <c:formatCode>General</c:formatCode>
                <c:ptCount val="5"/>
                <c:pt idx="0">
                  <c:v>19.7</c:v>
                </c:pt>
                <c:pt idx="1">
                  <c:v>19.7</c:v>
                </c:pt>
                <c:pt idx="2">
                  <c:v>19.7</c:v>
                </c:pt>
                <c:pt idx="3">
                  <c:v>19.7</c:v>
                </c:pt>
                <c:pt idx="4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3-408A-BBD1-802E47DF6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 ($m)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Pole Top Structure - Forecast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'Business Case Split'!$AF$18</c:f>
              <c:strCache>
                <c:ptCount val="1"/>
                <c:pt idx="0">
                  <c:v>Defect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Split'!$S$20:$W$20</c:f>
              <c:numCache>
                <c:formatCode>#,##0_);\(#,##0\)</c:formatCode>
                <c:ptCount val="5"/>
                <c:pt idx="0">
                  <c:v>8504.0959591849423</c:v>
                </c:pt>
                <c:pt idx="1">
                  <c:v>8504.0959591849423</c:v>
                </c:pt>
                <c:pt idx="2">
                  <c:v>8504.0959591849423</c:v>
                </c:pt>
                <c:pt idx="3">
                  <c:v>8504.0959591849423</c:v>
                </c:pt>
                <c:pt idx="4">
                  <c:v>8504.0959591849423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6D6-930F-AA620387531C}"/>
            </c:ext>
          </c:extLst>
        </c:ser>
        <c:ser>
          <c:idx val="1"/>
          <c:order val="1"/>
          <c:tx>
            <c:strRef>
              <c:f>'Business Case Split'!$AF$8</c:f>
              <c:strCache>
                <c:ptCount val="1"/>
                <c:pt idx="0">
                  <c:v>Pole-top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Split'!$S$9:$W$9</c:f>
              <c:numCache>
                <c:formatCode>#,##0_);\(#,##0\)</c:formatCode>
                <c:ptCount val="5"/>
                <c:pt idx="0">
                  <c:v>9593.6977282738626</c:v>
                </c:pt>
                <c:pt idx="1">
                  <c:v>9593.6977282738626</c:v>
                </c:pt>
                <c:pt idx="2">
                  <c:v>9593.6977282738626</c:v>
                </c:pt>
                <c:pt idx="3">
                  <c:v>9593.6977282738626</c:v>
                </c:pt>
                <c:pt idx="4">
                  <c:v>9593.6977282738626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5A5-46D6-930F-AA620387531C}"/>
            </c:ext>
          </c:extLst>
        </c:ser>
        <c:ser>
          <c:idx val="2"/>
          <c:order val="2"/>
          <c:tx>
            <c:strRef>
              <c:f>'Business Case Split'!$AF$9</c:f>
              <c:strCache>
                <c:ptCount val="1"/>
                <c:pt idx="0">
                  <c:v>Services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Split'!$S$12:$W$12</c:f>
              <c:numCache>
                <c:formatCode>#,##0_);\(#,##0\)</c:formatCode>
                <c:ptCount val="5"/>
                <c:pt idx="0">
                  <c:v>4045.9368375535291</c:v>
                </c:pt>
                <c:pt idx="1">
                  <c:v>4045.9368375535291</c:v>
                </c:pt>
                <c:pt idx="2">
                  <c:v>4045.9368375535291</c:v>
                </c:pt>
                <c:pt idx="3">
                  <c:v>4045.9368375535291</c:v>
                </c:pt>
                <c:pt idx="4">
                  <c:v>4045.9368375535291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15A5-46D6-930F-AA620387531C}"/>
            </c:ext>
          </c:extLst>
        </c:ser>
        <c:ser>
          <c:idx val="3"/>
          <c:order val="3"/>
          <c:tx>
            <c:strRef>
              <c:f>'Business Case Split'!$AF$10</c:f>
              <c:strCache>
                <c:ptCount val="1"/>
                <c:pt idx="0">
                  <c:v>Distribution TXs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Split'!$S$13:$W$13</c:f>
              <c:numCache>
                <c:formatCode>#,##0_);\(#,##0\)</c:formatCode>
                <c:ptCount val="5"/>
                <c:pt idx="0">
                  <c:v>239.63534042330036</c:v>
                </c:pt>
                <c:pt idx="1">
                  <c:v>239.63534042330036</c:v>
                </c:pt>
                <c:pt idx="2">
                  <c:v>239.63534042330036</c:v>
                </c:pt>
                <c:pt idx="3">
                  <c:v>239.63534042330036</c:v>
                </c:pt>
                <c:pt idx="4">
                  <c:v>239.63534042330036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5A5-46D6-930F-AA620387531C}"/>
            </c:ext>
          </c:extLst>
        </c:ser>
        <c:ser>
          <c:idx val="5"/>
          <c:order val="4"/>
          <c:tx>
            <c:strRef>
              <c:f>'Business Case Split'!$AF$12</c:f>
              <c:strCache>
                <c:ptCount val="1"/>
                <c:pt idx="0">
                  <c:v>Distribution SWs (consequential)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  <c:extLst xmlns:c15="http://schemas.microsoft.com/office/drawing/2012/chart"/>
            </c:strRef>
          </c:cat>
          <c:val>
            <c:numRef>
              <c:f>'Business Case Split'!$S$14:$W$14</c:f>
              <c:numCache>
                <c:formatCode>#,##0_);\(#,##0\)</c:formatCode>
                <c:ptCount val="5"/>
                <c:pt idx="0">
                  <c:v>192.93725509592431</c:v>
                </c:pt>
                <c:pt idx="1">
                  <c:v>192.93725509592431</c:v>
                </c:pt>
                <c:pt idx="2">
                  <c:v>192.93725509592431</c:v>
                </c:pt>
                <c:pt idx="3">
                  <c:v>192.93725509592431</c:v>
                </c:pt>
                <c:pt idx="4">
                  <c:v>192.93725509592431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15A5-46D6-930F-AA620387531C}"/>
            </c:ext>
          </c:extLst>
        </c:ser>
        <c:ser>
          <c:idx val="4"/>
          <c:order val="5"/>
          <c:tx>
            <c:strRef>
              <c:f>'Business Case Split'!$AF$19</c:f>
              <c:strCache>
                <c:ptCount val="1"/>
                <c:pt idx="0">
                  <c:v>Targeted Replacement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Split'!$R$31:$W$31</c:f>
              <c:numCache>
                <c:formatCode>#,##0_);\(#,##0\)</c:formatCode>
                <c:ptCount val="6"/>
                <c:pt idx="0">
                  <c:v>314.66666666666669</c:v>
                </c:pt>
                <c:pt idx="1">
                  <c:v>7000</c:v>
                </c:pt>
                <c:pt idx="2">
                  <c:v>7000</c:v>
                </c:pt>
                <c:pt idx="3">
                  <c:v>7000</c:v>
                </c:pt>
                <c:pt idx="4">
                  <c:v>7000</c:v>
                </c:pt>
                <c:pt idx="5">
                  <c:v>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A5-46D6-930F-AA62038753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  <c:extLst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5000"/>
        <c:min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 DIstribution</a:t>
            </a:r>
            <a:r>
              <a:rPr lang="en-US" baseline="0"/>
              <a:t> Transformer</a:t>
            </a:r>
            <a:r>
              <a:rPr lang="en-US"/>
              <a:t>- Forecast Expenditure </a:t>
            </a:r>
            <a:r>
              <a:rPr lang="en-US" sz="1000"/>
              <a:t>(22/23$)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'Business Case Split'!$AF$84</c:f>
              <c:strCache>
                <c:ptCount val="1"/>
                <c:pt idx="0">
                  <c:v>Defect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'Business Case Split'!$AG$6:$AK$6</c:f>
              <c:strCache>
                <c:ptCount val="5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</c:strCache>
            </c:strRef>
          </c:cat>
          <c:val>
            <c:numRef>
              <c:f>'Business Case Split'!$AG$84:$AK$84</c:f>
              <c:numCache>
                <c:formatCode>#,##0.0;\-#,##0.0</c:formatCode>
                <c:ptCount val="5"/>
                <c:pt idx="0">
                  <c:v>15.7</c:v>
                </c:pt>
                <c:pt idx="1">
                  <c:v>15.7</c:v>
                </c:pt>
                <c:pt idx="2">
                  <c:v>15.7</c:v>
                </c:pt>
                <c:pt idx="3">
                  <c:v>15.7</c:v>
                </c:pt>
                <c:pt idx="4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B-4A9E-A1B1-7CEDE4E4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3693648"/>
        <c:axId val="1083692568"/>
      </c:barChart>
      <c:catAx>
        <c:axId val="10836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568"/>
        <c:crosses val="autoZero"/>
        <c:auto val="1"/>
        <c:lblAlgn val="ctr"/>
        <c:lblOffset val="100"/>
        <c:noMultiLvlLbl val="0"/>
      </c:catAx>
      <c:valAx>
        <c:axId val="1083692568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 ($m)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;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36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314323</xdr:colOff>
      <xdr:row>5</xdr:row>
      <xdr:rowOff>104780</xdr:rowOff>
    </xdr:from>
    <xdr:to>
      <xdr:col>48</xdr:col>
      <xdr:colOff>314324</xdr:colOff>
      <xdr:row>30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597DEF-6B7A-2947-6910-731F78FADB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323272</xdr:colOff>
      <xdr:row>6</xdr:row>
      <xdr:rowOff>80816</xdr:rowOff>
    </xdr:from>
    <xdr:to>
      <xdr:col>60</xdr:col>
      <xdr:colOff>32905</xdr:colOff>
      <xdr:row>29</xdr:row>
      <xdr:rowOff>11546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075DD-0893-4FBA-BB37-5C2B5C2C8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0</xdr:colOff>
      <xdr:row>6</xdr:row>
      <xdr:rowOff>0</xdr:rowOff>
    </xdr:from>
    <xdr:to>
      <xdr:col>70</xdr:col>
      <xdr:colOff>1</xdr:colOff>
      <xdr:row>31</xdr:row>
      <xdr:rowOff>57144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8C4265-2568-4A4D-B53E-C8976A5E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285750</xdr:colOff>
      <xdr:row>34</xdr:row>
      <xdr:rowOff>57150</xdr:rowOff>
    </xdr:from>
    <xdr:to>
      <xdr:col>48</xdr:col>
      <xdr:colOff>285751</xdr:colOff>
      <xdr:row>59</xdr:row>
      <xdr:rowOff>114294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C7B824A-43BC-408C-8DCD-60A2FA232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288636</xdr:colOff>
      <xdr:row>31</xdr:row>
      <xdr:rowOff>38099</xdr:rowOff>
    </xdr:from>
    <xdr:to>
      <xdr:col>58</xdr:col>
      <xdr:colOff>506414</xdr:colOff>
      <xdr:row>58</xdr:row>
      <xdr:rowOff>11545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B94A110-1C7F-4D04-82FA-0B2457332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60</xdr:col>
      <xdr:colOff>0</xdr:colOff>
      <xdr:row>33</xdr:row>
      <xdr:rowOff>0</xdr:rowOff>
    </xdr:from>
    <xdr:to>
      <xdr:col>70</xdr:col>
      <xdr:colOff>1</xdr:colOff>
      <xdr:row>58</xdr:row>
      <xdr:rowOff>57144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A2D2186-BA13-4748-8DF5-9C58A33CE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323273</xdr:colOff>
      <xdr:row>64</xdr:row>
      <xdr:rowOff>0</xdr:rowOff>
    </xdr:from>
    <xdr:to>
      <xdr:col>48</xdr:col>
      <xdr:colOff>323274</xdr:colOff>
      <xdr:row>89</xdr:row>
      <xdr:rowOff>46031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54BEB6C-6FF9-49D8-8DEA-B4A7C1FD5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49</xdr:col>
      <xdr:colOff>611909</xdr:colOff>
      <xdr:row>64</xdr:row>
      <xdr:rowOff>103910</xdr:rowOff>
    </xdr:from>
    <xdr:to>
      <xdr:col>59</xdr:col>
      <xdr:colOff>611910</xdr:colOff>
      <xdr:row>89</xdr:row>
      <xdr:rowOff>162640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9DBC31C-FE15-49C1-9D28-C7B547728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0</xdr:colOff>
      <xdr:row>98</xdr:row>
      <xdr:rowOff>0</xdr:rowOff>
    </xdr:from>
    <xdr:to>
      <xdr:col>49</xdr:col>
      <xdr:colOff>1</xdr:colOff>
      <xdr:row>123</xdr:row>
      <xdr:rowOff>49206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F3F2FE-A3CB-4771-8C24-742AB7C14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0</xdr:colOff>
      <xdr:row>99</xdr:row>
      <xdr:rowOff>0</xdr:rowOff>
    </xdr:from>
    <xdr:to>
      <xdr:col>60</xdr:col>
      <xdr:colOff>1</xdr:colOff>
      <xdr:row>124</xdr:row>
      <xdr:rowOff>58730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957845F-7A38-4B7B-AAEF-700E64F5C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340B6-2C2E-4CE0-9EA0-49E6658BB1B8}">
  <sheetPr codeName="Sheet1"/>
  <dimension ref="A1:C53"/>
  <sheetViews>
    <sheetView topLeftCell="A13" workbookViewId="0">
      <selection activeCell="C38" sqref="C38"/>
    </sheetView>
  </sheetViews>
  <sheetFormatPr defaultRowHeight="15" x14ac:dyDescent="0.25"/>
  <cols>
    <col min="1" max="1" width="14.28515625" style="186" customWidth="1"/>
    <col min="2" max="2" width="37.7109375" customWidth="1"/>
    <col min="3" max="3" width="104.140625" customWidth="1"/>
  </cols>
  <sheetData>
    <row r="1" spans="1:3" x14ac:dyDescent="0.25">
      <c r="A1" s="186" t="s">
        <v>475</v>
      </c>
      <c r="B1" t="s">
        <v>476</v>
      </c>
      <c r="C1" t="s">
        <v>477</v>
      </c>
    </row>
    <row r="2" spans="1:3" x14ac:dyDescent="0.25">
      <c r="A2" s="514">
        <v>45066</v>
      </c>
      <c r="B2" s="404" t="s">
        <v>478</v>
      </c>
      <c r="C2" s="405" t="s">
        <v>479</v>
      </c>
    </row>
    <row r="3" spans="1:3" ht="45" x14ac:dyDescent="0.25">
      <c r="A3" s="515"/>
      <c r="B3" s="404" t="s">
        <v>480</v>
      </c>
      <c r="C3" s="406" t="s">
        <v>481</v>
      </c>
    </row>
    <row r="4" spans="1:3" ht="165" x14ac:dyDescent="0.25">
      <c r="A4" s="515"/>
      <c r="B4" s="407" t="s">
        <v>482</v>
      </c>
      <c r="C4" s="406" t="s">
        <v>483</v>
      </c>
    </row>
    <row r="5" spans="1:3" ht="105" x14ac:dyDescent="0.25">
      <c r="A5" s="515"/>
      <c r="B5" s="408"/>
      <c r="C5" s="413" t="s">
        <v>485</v>
      </c>
    </row>
    <row r="6" spans="1:3" x14ac:dyDescent="0.25">
      <c r="A6" s="515"/>
      <c r="B6" s="410"/>
      <c r="C6" s="413" t="s">
        <v>493</v>
      </c>
    </row>
    <row r="7" spans="1:3" x14ac:dyDescent="0.25">
      <c r="A7" s="515"/>
      <c r="B7" s="407" t="s">
        <v>486</v>
      </c>
      <c r="C7" s="405" t="s">
        <v>487</v>
      </c>
    </row>
    <row r="8" spans="1:3" ht="30" x14ac:dyDescent="0.25">
      <c r="A8" s="515"/>
      <c r="B8" s="410"/>
      <c r="C8" s="413" t="s">
        <v>496</v>
      </c>
    </row>
    <row r="9" spans="1:3" x14ac:dyDescent="0.25">
      <c r="A9" s="515"/>
      <c r="B9" s="408" t="s">
        <v>418</v>
      </c>
      <c r="C9" s="411" t="s">
        <v>487</v>
      </c>
    </row>
    <row r="10" spans="1:3" x14ac:dyDescent="0.25">
      <c r="A10" s="515"/>
      <c r="B10" s="410"/>
      <c r="C10" s="405" t="s">
        <v>495</v>
      </c>
    </row>
    <row r="11" spans="1:3" x14ac:dyDescent="0.25">
      <c r="A11" s="515"/>
      <c r="B11" s="414" t="s">
        <v>491</v>
      </c>
      <c r="C11" s="405" t="s">
        <v>492</v>
      </c>
    </row>
    <row r="12" spans="1:3" x14ac:dyDescent="0.25">
      <c r="A12" s="515"/>
      <c r="B12" s="407" t="s">
        <v>420</v>
      </c>
      <c r="C12" s="405" t="s">
        <v>487</v>
      </c>
    </row>
    <row r="13" spans="1:3" x14ac:dyDescent="0.25">
      <c r="A13" s="515"/>
      <c r="B13" s="410"/>
      <c r="C13" s="413" t="s">
        <v>494</v>
      </c>
    </row>
    <row r="14" spans="1:3" ht="135" x14ac:dyDescent="0.25">
      <c r="A14" s="515"/>
      <c r="B14" s="407" t="s">
        <v>421</v>
      </c>
      <c r="C14" s="406" t="s">
        <v>497</v>
      </c>
    </row>
    <row r="15" spans="1:3" ht="30" x14ac:dyDescent="0.25">
      <c r="A15" s="515"/>
      <c r="B15" s="410"/>
      <c r="C15" s="413" t="s">
        <v>498</v>
      </c>
    </row>
    <row r="16" spans="1:3" x14ac:dyDescent="0.25">
      <c r="A16" s="515"/>
      <c r="B16" s="407" t="s">
        <v>488</v>
      </c>
      <c r="C16" s="405" t="s">
        <v>487</v>
      </c>
    </row>
    <row r="17" spans="1:3" x14ac:dyDescent="0.25">
      <c r="A17" s="516"/>
      <c r="B17" s="410"/>
      <c r="C17" s="411" t="s">
        <v>499</v>
      </c>
    </row>
    <row r="18" spans="1:3" x14ac:dyDescent="0.25">
      <c r="A18" s="514">
        <v>45070</v>
      </c>
      <c r="B18" s="407" t="s">
        <v>489</v>
      </c>
      <c r="C18" s="405" t="s">
        <v>500</v>
      </c>
    </row>
    <row r="19" spans="1:3" x14ac:dyDescent="0.25">
      <c r="A19" s="515"/>
      <c r="B19" s="410"/>
      <c r="C19" s="411" t="s">
        <v>501</v>
      </c>
    </row>
    <row r="20" spans="1:3" x14ac:dyDescent="0.25">
      <c r="A20" s="515"/>
      <c r="B20" s="408" t="s">
        <v>490</v>
      </c>
      <c r="C20" s="405" t="s">
        <v>500</v>
      </c>
    </row>
    <row r="21" spans="1:3" x14ac:dyDescent="0.25">
      <c r="A21" s="516"/>
      <c r="B21" s="410"/>
      <c r="C21" s="411" t="s">
        <v>502</v>
      </c>
    </row>
    <row r="22" spans="1:3" x14ac:dyDescent="0.25">
      <c r="A22" s="517">
        <v>45071</v>
      </c>
      <c r="B22" s="404" t="s">
        <v>525</v>
      </c>
      <c r="C22" s="405" t="s">
        <v>526</v>
      </c>
    </row>
    <row r="23" spans="1:3" x14ac:dyDescent="0.25">
      <c r="A23" s="514">
        <v>45072</v>
      </c>
      <c r="B23" s="404" t="s">
        <v>525</v>
      </c>
      <c r="C23" s="405" t="s">
        <v>550</v>
      </c>
    </row>
    <row r="24" spans="1:3" x14ac:dyDescent="0.25">
      <c r="A24" s="516"/>
      <c r="B24" s="410" t="s">
        <v>551</v>
      </c>
      <c r="C24" s="411" t="s">
        <v>552</v>
      </c>
    </row>
    <row r="25" spans="1:3" x14ac:dyDescent="0.25">
      <c r="A25" s="514">
        <v>45078</v>
      </c>
      <c r="B25" s="407" t="s">
        <v>489</v>
      </c>
      <c r="C25" s="405" t="s">
        <v>554</v>
      </c>
    </row>
    <row r="26" spans="1:3" x14ac:dyDescent="0.25">
      <c r="A26" s="515"/>
      <c r="B26" s="408"/>
      <c r="C26" s="405" t="s">
        <v>555</v>
      </c>
    </row>
    <row r="27" spans="1:3" ht="45" x14ac:dyDescent="0.25">
      <c r="A27" s="515"/>
      <c r="B27" s="410"/>
      <c r="C27" s="406" t="s">
        <v>556</v>
      </c>
    </row>
    <row r="28" spans="1:3" x14ac:dyDescent="0.25">
      <c r="A28" s="515"/>
      <c r="B28" s="404" t="s">
        <v>589</v>
      </c>
      <c r="C28" s="405" t="s">
        <v>590</v>
      </c>
    </row>
    <row r="29" spans="1:3" x14ac:dyDescent="0.25">
      <c r="A29" s="610"/>
      <c r="B29" s="414" t="s">
        <v>591</v>
      </c>
      <c r="C29" s="609" t="s">
        <v>592</v>
      </c>
    </row>
    <row r="30" spans="1:3" x14ac:dyDescent="0.25">
      <c r="A30" s="611">
        <v>45222</v>
      </c>
      <c r="B30" s="409" t="s">
        <v>478</v>
      </c>
      <c r="C30" s="612" t="s">
        <v>593</v>
      </c>
    </row>
    <row r="31" spans="1:3" x14ac:dyDescent="0.25">
      <c r="A31" s="608"/>
      <c r="B31" s="409"/>
      <c r="C31" s="409"/>
    </row>
    <row r="32" spans="1:3" x14ac:dyDescent="0.25">
      <c r="A32" s="608"/>
      <c r="B32" s="409"/>
      <c r="C32" s="409"/>
    </row>
    <row r="33" spans="1:3" x14ac:dyDescent="0.25">
      <c r="A33" s="608"/>
      <c r="B33" s="409"/>
      <c r="C33" s="409"/>
    </row>
    <row r="34" spans="1:3" x14ac:dyDescent="0.25">
      <c r="A34" s="608"/>
      <c r="B34" s="409"/>
      <c r="C34" s="409"/>
    </row>
    <row r="35" spans="1:3" x14ac:dyDescent="0.25">
      <c r="A35" s="608"/>
      <c r="B35" s="409"/>
      <c r="C35" s="409"/>
    </row>
    <row r="36" spans="1:3" x14ac:dyDescent="0.25">
      <c r="A36" s="608"/>
      <c r="B36" s="409"/>
      <c r="C36" s="409"/>
    </row>
    <row r="37" spans="1:3" x14ac:dyDescent="0.25">
      <c r="A37" s="608"/>
      <c r="B37" s="409"/>
      <c r="C37" s="409"/>
    </row>
    <row r="38" spans="1:3" x14ac:dyDescent="0.25">
      <c r="A38" s="608"/>
      <c r="B38" s="409"/>
      <c r="C38" s="409"/>
    </row>
    <row r="39" spans="1:3" x14ac:dyDescent="0.25">
      <c r="A39" s="608"/>
      <c r="B39" s="409"/>
      <c r="C39" s="409"/>
    </row>
    <row r="40" spans="1:3" x14ac:dyDescent="0.25">
      <c r="A40" s="608"/>
      <c r="B40" s="409"/>
      <c r="C40" s="409"/>
    </row>
    <row r="41" spans="1:3" x14ac:dyDescent="0.25">
      <c r="A41" s="608"/>
      <c r="B41" s="409"/>
      <c r="C41" s="409"/>
    </row>
    <row r="42" spans="1:3" x14ac:dyDescent="0.25">
      <c r="A42" s="608"/>
      <c r="B42" s="409"/>
      <c r="C42" s="409"/>
    </row>
    <row r="43" spans="1:3" x14ac:dyDescent="0.25">
      <c r="A43" s="608"/>
      <c r="B43" s="409"/>
      <c r="C43" s="409"/>
    </row>
    <row r="44" spans="1:3" x14ac:dyDescent="0.25">
      <c r="A44" s="608"/>
      <c r="B44" s="409"/>
      <c r="C44" s="409"/>
    </row>
    <row r="45" spans="1:3" x14ac:dyDescent="0.25">
      <c r="A45" s="608"/>
      <c r="B45" s="409"/>
      <c r="C45" s="409"/>
    </row>
    <row r="46" spans="1:3" x14ac:dyDescent="0.25">
      <c r="A46" s="608"/>
      <c r="B46" s="409"/>
      <c r="C46" s="409"/>
    </row>
    <row r="47" spans="1:3" x14ac:dyDescent="0.25">
      <c r="A47" s="608"/>
      <c r="B47" s="409"/>
      <c r="C47" s="409"/>
    </row>
    <row r="48" spans="1:3" x14ac:dyDescent="0.25">
      <c r="A48" s="608"/>
      <c r="B48" s="409"/>
      <c r="C48" s="409"/>
    </row>
    <row r="49" spans="1:3" x14ac:dyDescent="0.25">
      <c r="A49" s="608"/>
      <c r="B49" s="409"/>
      <c r="C49" s="409"/>
    </row>
    <row r="50" spans="1:3" x14ac:dyDescent="0.25">
      <c r="A50" s="608"/>
      <c r="B50" s="409"/>
      <c r="C50" s="409"/>
    </row>
    <row r="51" spans="1:3" x14ac:dyDescent="0.25">
      <c r="A51" s="608"/>
      <c r="B51" s="409"/>
      <c r="C51" s="409"/>
    </row>
    <row r="52" spans="1:3" x14ac:dyDescent="0.25">
      <c r="A52" s="608"/>
      <c r="B52" s="409"/>
      <c r="C52" s="409"/>
    </row>
    <row r="53" spans="1:3" x14ac:dyDescent="0.25">
      <c r="A53" s="608"/>
      <c r="B53" s="409"/>
      <c r="C53" s="409"/>
    </row>
  </sheetData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C6F90-453C-43A8-9D10-891DF0E10740}">
  <sheetPr codeName="Sheet10"/>
  <dimension ref="A1:CZ150"/>
  <sheetViews>
    <sheetView zoomScaleNormal="100" workbookViewId="0">
      <pane xSplit="3" ySplit="7" topLeftCell="E70" activePane="bottomRight" state="frozen"/>
      <selection activeCell="BM1" sqref="BM1:BO1048576"/>
      <selection pane="topRight" activeCell="BM1" sqref="BM1:BO1048576"/>
      <selection pane="bottomLeft" activeCell="BM1" sqref="BM1:BO1048576"/>
      <selection pane="bottomRight" activeCell="BE1" sqref="BE1:BL1048576"/>
    </sheetView>
  </sheetViews>
  <sheetFormatPr defaultRowHeight="15" x14ac:dyDescent="0.25"/>
  <cols>
    <col min="1" max="1" width="5.7109375" bestFit="1" customWidth="1"/>
    <col min="3" max="3" width="37" customWidth="1"/>
    <col min="13" max="14" width="9.140625" style="280"/>
    <col min="15" max="23" width="0" hidden="1" customWidth="1"/>
    <col min="24" max="25" width="0" style="280" hidden="1" customWidth="1"/>
    <col min="35" max="36" width="9.140625" style="280"/>
    <col min="49" max="50" width="9.140625" style="280"/>
    <col min="55" max="55" width="9.140625" customWidth="1"/>
    <col min="57" max="64" width="9.140625" hidden="1" customWidth="1"/>
    <col min="81" max="81" width="9.140625" customWidth="1"/>
    <col min="90" max="93" width="9.140625" style="280" customWidth="1"/>
    <col min="95" max="96" width="13.7109375" style="778" customWidth="1"/>
    <col min="97" max="102" width="13.7109375" customWidth="1"/>
    <col min="103" max="103" width="31.5703125" customWidth="1"/>
  </cols>
  <sheetData>
    <row r="1" spans="1:104" ht="15.75" thickBot="1" x14ac:dyDescent="0.3">
      <c r="A1" t="s">
        <v>421</v>
      </c>
      <c r="N1" s="280">
        <f>'Defect P2'!N1</f>
        <v>1.0233248425996433</v>
      </c>
      <c r="AT1" t="s">
        <v>279</v>
      </c>
      <c r="AW1" s="701"/>
      <c r="AX1" s="701"/>
      <c r="BM1" s="19"/>
      <c r="BN1" s="19"/>
      <c r="BO1" s="19"/>
      <c r="BP1" s="19"/>
      <c r="BQ1" s="19"/>
      <c r="BR1" s="19"/>
      <c r="BS1" s="25"/>
      <c r="BT1" s="537"/>
      <c r="CP1" s="19"/>
      <c r="CQ1" s="1107"/>
      <c r="CR1" s="1107"/>
      <c r="CS1" s="23"/>
      <c r="CT1" s="23"/>
      <c r="CU1" s="23"/>
      <c r="CV1" s="23"/>
      <c r="CW1" s="23"/>
      <c r="CX1" s="23"/>
    </row>
    <row r="2" spans="1:104" ht="15.75" thickBot="1" x14ac:dyDescent="0.3">
      <c r="O2" s="593" t="s">
        <v>583</v>
      </c>
      <c r="P2" s="594" t="str">
        <f>'Defect P1'!P2</f>
        <v>2024/25</v>
      </c>
      <c r="Q2" s="584"/>
      <c r="R2" s="584"/>
      <c r="S2" s="584"/>
      <c r="T2" s="584"/>
      <c r="U2" s="584"/>
      <c r="V2" s="584"/>
      <c r="W2" s="1100"/>
      <c r="X2" s="1100"/>
      <c r="Y2" s="1101"/>
      <c r="BM2" s="19"/>
      <c r="BN2" s="19"/>
      <c r="BO2" s="19"/>
      <c r="BP2" s="19"/>
      <c r="BQ2" s="19"/>
      <c r="BR2" s="19"/>
      <c r="BS2" s="538"/>
      <c r="BT2" s="537"/>
      <c r="CP2" s="24"/>
      <c r="CQ2" s="1107"/>
      <c r="CR2" s="1107"/>
      <c r="CS2" s="23"/>
      <c r="CT2" s="23"/>
      <c r="CU2" s="23"/>
      <c r="CV2" s="23"/>
      <c r="CW2" s="23"/>
      <c r="CX2" s="23"/>
    </row>
    <row r="3" spans="1:104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388"/>
      <c r="N3" s="388"/>
      <c r="O3" s="586" t="s">
        <v>584</v>
      </c>
      <c r="P3" s="587"/>
      <c r="Q3" s="587"/>
      <c r="R3" s="587"/>
      <c r="S3" s="587"/>
      <c r="T3" s="587"/>
      <c r="U3" s="587"/>
      <c r="V3" s="587"/>
      <c r="W3" s="1102"/>
      <c r="X3" s="1102"/>
      <c r="Y3" s="1103"/>
      <c r="AY3" s="607" t="str">
        <f>"Escalated to "&amp;P2</f>
        <v>Escalated to 2024/25</v>
      </c>
      <c r="AZ3" s="604"/>
      <c r="BA3" s="605" t="str">
        <f>'Defect P1'!BA3</f>
        <v>N</v>
      </c>
      <c r="BM3" s="19"/>
      <c r="BN3" s="19"/>
      <c r="BO3" s="19"/>
      <c r="BP3" s="19"/>
      <c r="BQ3" s="19"/>
      <c r="BR3" s="19"/>
      <c r="BS3" s="536"/>
      <c r="BT3" s="537"/>
      <c r="BU3" s="259" t="s">
        <v>421</v>
      </c>
      <c r="BV3" s="619"/>
      <c r="BW3" s="619"/>
      <c r="CE3" s="19"/>
      <c r="CF3" s="19"/>
      <c r="CG3" s="19"/>
      <c r="CH3" s="19"/>
      <c r="CI3" s="19"/>
      <c r="CJ3" s="19"/>
      <c r="CK3" s="19"/>
      <c r="CL3" s="281"/>
      <c r="CM3" s="281"/>
      <c r="CN3" s="281"/>
      <c r="CO3" s="281"/>
      <c r="CP3" s="23"/>
      <c r="CQ3" s="1107"/>
      <c r="CR3" s="1107"/>
      <c r="CS3" s="23"/>
      <c r="CT3" s="23"/>
      <c r="CU3" s="23"/>
      <c r="CV3" s="23"/>
      <c r="CW3" s="23"/>
      <c r="CX3" s="23"/>
    </row>
    <row r="4" spans="1:104" ht="15.75" thickBot="1" x14ac:dyDescent="0.3">
      <c r="O4" s="589">
        <f>VLOOKUP(O$6,'Financial Escalation'!$C$31:$W$52,VLOOKUP($P$2,Lookup!$D$2:$E$19,2,0),0)</f>
        <v>1.3454563192065767</v>
      </c>
      <c r="P4" s="590">
        <f>VLOOKUP(P$6,'Financial Escalation'!$C$31:$W$52,VLOOKUP($P$2,Lookup!$D$2:$E$19,2,0),0)</f>
        <v>1.3254309228276884</v>
      </c>
      <c r="Q4" s="590">
        <f>VLOOKUP(Q$6,'Financial Escalation'!$C$31:$W$52,VLOOKUP($P$2,Lookup!$D$2:$E$19,2,0),0)</f>
        <v>1.3120057477345903</v>
      </c>
      <c r="R4" s="590">
        <f>VLOOKUP(R$6,'Financial Escalation'!$C$31:$W$52,VLOOKUP($P$2,Lookup!$D$2:$E$19,2,0),0)</f>
        <v>1.2871167498100859</v>
      </c>
      <c r="S4" s="590">
        <f>VLOOKUP(S$6,'Financial Escalation'!$C$31:$W$52,VLOOKUP($P$2,Lookup!$D$2:$E$19,2,0),0)</f>
        <v>1.2609187982652788</v>
      </c>
      <c r="T4" s="590">
        <f>VLOOKUP(T$6,'Financial Escalation'!$C$31:$W$52,VLOOKUP($P$2,Lookup!$D$2:$E$19,2,0),0)</f>
        <v>1.2411482944597256</v>
      </c>
      <c r="U4" s="590">
        <f>VLOOKUP(U$6,'Financial Escalation'!$C$31:$W$52,VLOOKUP($P$2,Lookup!$D$2:$E$19,2,0),0)</f>
        <v>1.2454879738109834</v>
      </c>
      <c r="V4" s="590">
        <f>VLOOKUP(V$6,'Financial Escalation'!$C$31:$W$52,VLOOKUP($P$2,Lookup!$D$2:$E$19,2,0),0)</f>
        <v>1.199358789595762</v>
      </c>
      <c r="W4" s="1104">
        <f>VLOOKUP(W$6,'Financial Escalation'!$C$31:$W$52,VLOOKUP($P$2,Lookup!$D$2:$E$19,2,0),0)</f>
        <v>1.129927233972851</v>
      </c>
      <c r="X4" s="1104">
        <f>VLOOKUP(X$6,'Financial Escalation'!$C$31:$W$52,VLOOKUP($P$2,Lookup!$D$2:$E$19,2,0),0)</f>
        <v>1.0634609260920951</v>
      </c>
      <c r="Y4" s="1105">
        <f>VLOOKUP(Y$6,'Financial Escalation'!$C$31:$W$52,VLOOKUP($P$2,Lookup!$D$2:$E$19,2,0),0)</f>
        <v>1.027498479316034</v>
      </c>
      <c r="AK4" s="220" t="s">
        <v>427</v>
      </c>
      <c r="AL4" s="221"/>
      <c r="AM4" s="222" t="s">
        <v>588</v>
      </c>
      <c r="AY4" s="595" t="s">
        <v>427</v>
      </c>
      <c r="AZ4" s="596"/>
      <c r="BA4" s="601" t="s">
        <v>588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25"/>
      <c r="BT4" s="537"/>
      <c r="BU4" s="620" t="s">
        <v>605</v>
      </c>
      <c r="BV4" s="621"/>
      <c r="BW4" s="621" t="s">
        <v>293</v>
      </c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388"/>
      <c r="CL4" s="388"/>
      <c r="CM4" s="282"/>
      <c r="CN4" s="282"/>
      <c r="CO4" s="282"/>
      <c r="CP4" s="24"/>
      <c r="CQ4" s="1108"/>
      <c r="CR4" s="1108"/>
      <c r="CS4" s="25"/>
      <c r="CT4" s="25"/>
      <c r="CU4" s="25"/>
      <c r="CV4" s="25"/>
      <c r="CW4" s="25"/>
      <c r="CX4" s="25"/>
    </row>
    <row r="5" spans="1:104" s="186" customFormat="1" ht="15.75" thickBot="1" x14ac:dyDescent="0.3">
      <c r="A5" s="27" t="s">
        <v>281</v>
      </c>
      <c r="B5" s="27" t="s">
        <v>282</v>
      </c>
      <c r="C5" s="28" t="s">
        <v>283</v>
      </c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35"/>
      <c r="N5" s="335"/>
      <c r="O5" s="552" t="s">
        <v>582</v>
      </c>
      <c r="P5" s="553"/>
      <c r="Q5" s="553"/>
      <c r="R5" s="553"/>
      <c r="S5" s="553"/>
      <c r="T5" s="553"/>
      <c r="U5" s="553"/>
      <c r="V5" s="553"/>
      <c r="W5" s="554"/>
      <c r="X5" s="554"/>
      <c r="Y5" s="554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662"/>
      <c r="AJ5" s="662"/>
      <c r="AK5" s="33" t="s">
        <v>586</v>
      </c>
      <c r="AL5" s="34"/>
      <c r="AM5" s="35"/>
      <c r="AN5" s="36" t="s">
        <v>463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259" t="s">
        <v>429</v>
      </c>
      <c r="BC5" s="260"/>
      <c r="BD5" s="260"/>
      <c r="BE5" s="242" t="s">
        <v>439</v>
      </c>
      <c r="BF5" s="226"/>
      <c r="BG5" s="226"/>
      <c r="BH5" s="226"/>
      <c r="BI5" s="226"/>
      <c r="BJ5" s="226"/>
      <c r="BK5" s="226"/>
      <c r="BL5" s="243"/>
      <c r="BM5" s="226" t="s">
        <v>440</v>
      </c>
      <c r="BN5" s="226"/>
      <c r="BO5" s="226"/>
      <c r="BP5" s="226"/>
      <c r="BQ5" s="226"/>
      <c r="BR5" s="226"/>
      <c r="BS5" s="226"/>
      <c r="BT5" s="243"/>
      <c r="BU5" s="242" t="s">
        <v>430</v>
      </c>
      <c r="BV5" s="226"/>
      <c r="BW5" s="226"/>
      <c r="BX5" s="226"/>
      <c r="BY5" s="226"/>
      <c r="BZ5" s="226"/>
      <c r="CA5" s="226"/>
      <c r="CB5" s="243"/>
      <c r="CC5" s="376" t="s">
        <v>442</v>
      </c>
      <c r="CD5" s="377"/>
      <c r="CE5" s="189" t="s">
        <v>441</v>
      </c>
      <c r="CF5" s="189"/>
      <c r="CG5" s="189"/>
      <c r="CH5" s="189"/>
      <c r="CI5" s="189"/>
      <c r="CJ5" s="189"/>
      <c r="CK5" s="189"/>
      <c r="CL5" s="283"/>
      <c r="CM5" s="412" t="s">
        <v>484</v>
      </c>
      <c r="CN5" s="296"/>
      <c r="CO5" s="296"/>
      <c r="CP5" s="297"/>
      <c r="CQ5" s="781"/>
      <c r="CR5" s="781"/>
      <c r="CS5" s="191"/>
      <c r="CT5" s="191"/>
      <c r="CU5" s="191"/>
      <c r="CV5" s="191"/>
      <c r="CW5" s="191"/>
      <c r="CX5" s="192"/>
      <c r="CY5" s="389" t="s">
        <v>464</v>
      </c>
    </row>
    <row r="6" spans="1:104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657" t="s">
        <v>14</v>
      </c>
      <c r="N6" s="1063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673" t="s">
        <v>13</v>
      </c>
      <c r="X6" s="673" t="s">
        <v>14</v>
      </c>
      <c r="Y6" s="1085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1092" t="s">
        <v>14</v>
      </c>
      <c r="AJ6" s="663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261" t="s">
        <v>431</v>
      </c>
      <c r="BC6" s="262" t="s">
        <v>438</v>
      </c>
      <c r="BD6" s="263" t="s">
        <v>432</v>
      </c>
      <c r="BE6" s="254" t="s">
        <v>14</v>
      </c>
      <c r="BF6" s="227" t="s">
        <v>15</v>
      </c>
      <c r="BG6" s="227" t="s">
        <v>280</v>
      </c>
      <c r="BH6" s="227" t="s">
        <v>422</v>
      </c>
      <c r="BI6" s="227" t="s">
        <v>423</v>
      </c>
      <c r="BJ6" s="227" t="s">
        <v>424</v>
      </c>
      <c r="BK6" s="227" t="s">
        <v>425</v>
      </c>
      <c r="BL6" s="245" t="s">
        <v>426</v>
      </c>
      <c r="BM6" s="254" t="s">
        <v>14</v>
      </c>
      <c r="BN6" s="227" t="s">
        <v>15</v>
      </c>
      <c r="BO6" s="227" t="s">
        <v>280</v>
      </c>
      <c r="BP6" s="227" t="s">
        <v>422</v>
      </c>
      <c r="BQ6" s="227" t="s">
        <v>423</v>
      </c>
      <c r="BR6" s="227" t="s">
        <v>424</v>
      </c>
      <c r="BS6" s="227" t="s">
        <v>425</v>
      </c>
      <c r="BT6" s="245" t="s">
        <v>426</v>
      </c>
      <c r="BU6" s="244" t="s">
        <v>14</v>
      </c>
      <c r="BV6" s="227" t="s">
        <v>15</v>
      </c>
      <c r="BW6" s="227" t="s">
        <v>280</v>
      </c>
      <c r="BX6" s="227" t="s">
        <v>422</v>
      </c>
      <c r="BY6" s="227" t="s">
        <v>423</v>
      </c>
      <c r="BZ6" s="227" t="s">
        <v>424</v>
      </c>
      <c r="CA6" s="227" t="s">
        <v>425</v>
      </c>
      <c r="CB6" s="245" t="s">
        <v>426</v>
      </c>
      <c r="CC6" s="378"/>
      <c r="CD6" s="379"/>
      <c r="CE6" s="232" t="s">
        <v>14</v>
      </c>
      <c r="CF6" s="59" t="s">
        <v>15</v>
      </c>
      <c r="CG6" s="59" t="s">
        <v>280</v>
      </c>
      <c r="CH6" s="59" t="s">
        <v>422</v>
      </c>
      <c r="CI6" s="59" t="s">
        <v>423</v>
      </c>
      <c r="CJ6" s="59" t="s">
        <v>424</v>
      </c>
      <c r="CK6" s="59" t="s">
        <v>425</v>
      </c>
      <c r="CL6" s="284" t="s">
        <v>426</v>
      </c>
      <c r="CM6" s="298" t="s">
        <v>444</v>
      </c>
      <c r="CN6" s="301" t="s">
        <v>445</v>
      </c>
      <c r="CO6" s="299" t="s">
        <v>443</v>
      </c>
      <c r="CP6" s="300" t="s">
        <v>295</v>
      </c>
      <c r="CQ6" s="782" t="s">
        <v>14</v>
      </c>
      <c r="CR6" s="1109" t="s">
        <v>15</v>
      </c>
      <c r="CS6" s="61" t="s">
        <v>280</v>
      </c>
      <c r="CT6" s="61" t="s">
        <v>422</v>
      </c>
      <c r="CU6" s="61" t="s">
        <v>423</v>
      </c>
      <c r="CV6" s="61" t="s">
        <v>424</v>
      </c>
      <c r="CW6" s="61" t="s">
        <v>425</v>
      </c>
      <c r="CX6" s="62" t="s">
        <v>426</v>
      </c>
      <c r="CY6" s="390"/>
    </row>
    <row r="7" spans="1:104" x14ac:dyDescent="0.25">
      <c r="A7" s="63" t="s">
        <v>296</v>
      </c>
      <c r="B7" s="64" t="s">
        <v>22</v>
      </c>
      <c r="C7" s="65" t="s">
        <v>24</v>
      </c>
      <c r="D7" s="66"/>
      <c r="E7" s="67"/>
      <c r="F7" s="67"/>
      <c r="G7" s="67"/>
      <c r="H7" s="67"/>
      <c r="I7" s="67">
        <v>0</v>
      </c>
      <c r="J7" s="67">
        <v>0</v>
      </c>
      <c r="K7" s="67">
        <v>0</v>
      </c>
      <c r="L7" s="67">
        <v>0</v>
      </c>
      <c r="M7" s="653">
        <f>'2022-23 Input'!D7</f>
        <v>0</v>
      </c>
      <c r="N7" s="1064">
        <v>0</v>
      </c>
      <c r="O7" s="557">
        <f>D7*O$4</f>
        <v>0</v>
      </c>
      <c r="P7" s="558">
        <f t="shared" ref="P7:P70" si="0">E7*P$4</f>
        <v>0</v>
      </c>
      <c r="Q7" s="558">
        <f t="shared" ref="Q7:Q70" si="1">F7*Q$4</f>
        <v>0</v>
      </c>
      <c r="R7" s="558">
        <f t="shared" ref="R7:R70" si="2">G7*R$4</f>
        <v>0</v>
      </c>
      <c r="S7" s="558">
        <f t="shared" ref="S7:S70" si="3">H7*S$4</f>
        <v>0</v>
      </c>
      <c r="T7" s="558">
        <f t="shared" ref="T7:T70" si="4">I7*T$4</f>
        <v>0</v>
      </c>
      <c r="U7" s="558">
        <f t="shared" ref="U7:U70" si="5">J7*U$4</f>
        <v>0</v>
      </c>
      <c r="V7" s="558">
        <f t="shared" ref="V7:V70" si="6">K7*V$4</f>
        <v>0</v>
      </c>
      <c r="W7" s="674">
        <f t="shared" ref="W7:W70" si="7">L7*W$4</f>
        <v>0</v>
      </c>
      <c r="X7" s="674">
        <f t="shared" ref="X7:Y70" si="8">M7*X$4</f>
        <v>0</v>
      </c>
      <c r="Y7" s="674">
        <f t="shared" si="8"/>
        <v>0</v>
      </c>
      <c r="Z7" s="68"/>
      <c r="AA7" s="69"/>
      <c r="AB7" s="69"/>
      <c r="AC7" s="69"/>
      <c r="AD7" s="69"/>
      <c r="AE7" s="69">
        <v>0</v>
      </c>
      <c r="AF7" s="69">
        <v>0</v>
      </c>
      <c r="AG7" s="69">
        <v>0</v>
      </c>
      <c r="AH7" s="69">
        <v>0</v>
      </c>
      <c r="AI7" s="1093">
        <f>'2022-23 Input'!K7</f>
        <v>0</v>
      </c>
      <c r="AJ7" s="664">
        <v>0</v>
      </c>
      <c r="AK7" s="70">
        <f t="shared" ref="AK7:AK38" si="9">IFERROR(IF($AM$4="N",SUM(AD7:AH7)/5,SUM(AE7:AI7)/5),"")</f>
        <v>0</v>
      </c>
      <c r="AL7" s="71">
        <f t="shared" ref="AL7:AL38" si="10">IFERROR(IF($AM$4="N",SUM(AF7:AH7)/3,SUM(AG7:AI7)/3),"")</f>
        <v>0</v>
      </c>
      <c r="AM7" s="72">
        <f t="shared" ref="AM7:AM38" si="11">IFERROR(IF($AM$4="N",AH7,AI7),"")</f>
        <v>0</v>
      </c>
      <c r="AN7" s="73" t="str">
        <f t="shared" ref="AN7:AN38" si="12">IFERROR(D7/Z7,"")</f>
        <v/>
      </c>
      <c r="AO7" s="74" t="str">
        <f t="shared" ref="AO7:AO38" si="13">IFERROR(E7/AA7,"")</f>
        <v/>
      </c>
      <c r="AP7" s="74" t="str">
        <f t="shared" ref="AP7:AP38" si="14">IFERROR(F7/AB7,"")</f>
        <v/>
      </c>
      <c r="AQ7" s="74" t="str">
        <f t="shared" ref="AQ7:AQ38" si="15">IFERROR(G7/AC7,"")</f>
        <v/>
      </c>
      <c r="AR7" s="74" t="str">
        <f t="shared" ref="AR7:AR38" si="16">IFERROR(H7/AD7,"")</f>
        <v/>
      </c>
      <c r="AS7" s="74" t="str">
        <f t="shared" ref="AS7:AS38" si="17">IFERROR(I7/AE7,"")</f>
        <v/>
      </c>
      <c r="AT7" s="74" t="str">
        <f t="shared" ref="AT7:AT38" si="18">IFERROR(J7/AF7,"")</f>
        <v/>
      </c>
      <c r="AU7" s="74" t="str">
        <f t="shared" ref="AU7:AU38" si="19">IFERROR(K7/AG7,"")</f>
        <v/>
      </c>
      <c r="AV7" s="74" t="str">
        <f t="shared" ref="AV7:AX22" si="20">IFERROR(L7/AH7,"")</f>
        <v/>
      </c>
      <c r="AW7" s="74" t="str">
        <f t="shared" si="20"/>
        <v/>
      </c>
      <c r="AX7" s="74" t="str">
        <f t="shared" si="20"/>
        <v/>
      </c>
      <c r="AY7" s="75" t="str">
        <f t="shared" ref="AY7:AY38" si="21">IFERROR(IF($BA$3="N",
IF($BA$4="N",SUM(H7:L7)/SUM(AD7:AH7),SUM(I7:M7)/SUM(AE7:AI7)),
IF($BA$4="N",SUM(S7:W7)/SUM(AD7:AH7),SUM(T7:X7)/SUM(AE7:AI7))),"")</f>
        <v/>
      </c>
      <c r="AZ7" s="76" t="str">
        <f t="shared" ref="AZ7:AZ38" si="22">IFERROR(IF($BA$3="N",
IF($BA$4="N",SUM(J7:L7)/SUM(AF7:AH7),SUM(K7:M7)/SUM(AG7:AI7)),
IF($BA$4="N",SUM(U7:W7)/SUM(AF7:AH7),SUM(V7:X7)/SUM(AG7:AI7))),"")</f>
        <v/>
      </c>
      <c r="BA7" s="77" t="str">
        <f t="shared" ref="BA7:BA38" si="23">IFERROR(IF($BA$3="N",
IF($BA$4="N",L7/AH7,M7/AI7),
IF($BA$4="N",W7/AH7,X7/AI7)),"")</f>
        <v/>
      </c>
      <c r="BB7" s="246" t="s">
        <v>422</v>
      </c>
      <c r="BC7" s="228" t="s">
        <v>434</v>
      </c>
      <c r="BD7" s="247">
        <v>0</v>
      </c>
      <c r="BE7" s="264">
        <f>IF(BE$6=$BB7,1,0
)</f>
        <v>0</v>
      </c>
      <c r="BF7" s="265">
        <f t="shared" ref="BF7:BL22" si="24">IF(BF$6=$BB7,1,
IF(BE7&lt;&gt;0,BE7+1,0
))</f>
        <v>0</v>
      </c>
      <c r="BG7" s="265">
        <f t="shared" si="24"/>
        <v>0</v>
      </c>
      <c r="BH7" s="265">
        <f t="shared" si="24"/>
        <v>1</v>
      </c>
      <c r="BI7" s="265">
        <f t="shared" si="24"/>
        <v>2</v>
      </c>
      <c r="BJ7" s="265">
        <f t="shared" si="24"/>
        <v>3</v>
      </c>
      <c r="BK7" s="265">
        <f t="shared" si="24"/>
        <v>4</v>
      </c>
      <c r="BL7" s="266">
        <f t="shared" si="24"/>
        <v>5</v>
      </c>
      <c r="BM7" s="255">
        <f>IF($BC7=Lookup!$A$2,$BD7*ROUNDUP(BE7/10,0)+1,
IF($BC7=Lookup!$A$3,($BD7+1)^BD7,
IF($BC7=Lookup!$A$4,BE7*$BD7+1,"Error")))</f>
        <v>1</v>
      </c>
      <c r="BN7" s="228">
        <f>IF($BC7=Lookup!$A$2,$BD7*ROUNDUP(BF7/10,0)+1,
IF($BC7=Lookup!$A$3,($BD7+1)^BE7,
IF($BC7=Lookup!$A$4,BF7*$BD7+1,"Error")))</f>
        <v>1</v>
      </c>
      <c r="BO7" s="228">
        <f>IF($BC7=Lookup!$A$2,$BD7*ROUNDUP(BG7/10,0)+1,
IF($BC7=Lookup!$A$3,($BD7+1)^BF7,
IF($BC7=Lookup!$A$4,BG7*$BD7+1,"Error")))</f>
        <v>1</v>
      </c>
      <c r="BP7" s="228">
        <f>IF($BC7=Lookup!$A$2,$BD7*ROUNDUP(BH7/10,0)+1,
IF($BC7=Lookup!$A$3,($BD7+1)^BG7,
IF($BC7=Lookup!$A$4,BH7*$BD7+1,"Error")))</f>
        <v>1</v>
      </c>
      <c r="BQ7" s="228">
        <f>IF($BC7=Lookup!$A$2,$BD7*ROUNDUP(BI7/10,0)+1,
IF($BC7=Lookup!$A$3,($BD7+1)^BH7,
IF($BC7=Lookup!$A$4,BI7*$BD7+1,"Error")))</f>
        <v>1</v>
      </c>
      <c r="BR7" s="228">
        <f>IF($BC7=Lookup!$A$2,$BD7*ROUNDUP(BJ7/10,0)+1,
IF($BC7=Lookup!$A$3,($BD7+1)^BI7,
IF($BC7=Lookup!$A$4,BJ7*$BD7+1,"Error")))</f>
        <v>1</v>
      </c>
      <c r="BS7" s="228">
        <f>IF($BC7=Lookup!$A$2,$BD7*ROUNDUP(BK7/10,0)+1,
IF($BC7=Lookup!$A$3,($BD7+1)^BJ7,
IF($BC7=Lookup!$A$4,BK7*$BD7+1,"Error")))</f>
        <v>1</v>
      </c>
      <c r="BT7" s="247">
        <f>IF($BC7=Lookup!$A$2,$BD7*ROUNDUP(BL7/10,0)+1,
IF($BC7=Lookup!$A$3,($BD7+1)^BK7,
IF($BC7=Lookup!$A$4,BL7*$BD7+1,"Error")))</f>
        <v>1</v>
      </c>
      <c r="BU7" s="318"/>
      <c r="BV7" s="319"/>
      <c r="BW7" s="319"/>
      <c r="BX7" s="319"/>
      <c r="BY7" s="319"/>
      <c r="BZ7" s="319"/>
      <c r="CA7" s="319"/>
      <c r="CB7" s="276"/>
      <c r="CC7" s="380" t="s">
        <v>293</v>
      </c>
      <c r="CD7" s="381">
        <f>HLOOKUP($CC7,$AK$6:$AM$132,ROWS(CD$6:CD7),0)</f>
        <v>0</v>
      </c>
      <c r="CE7" s="233">
        <f>IFERROR(IF(BU7&lt;&gt;"",BU7,BM7*$CD7),"")</f>
        <v>0</v>
      </c>
      <c r="CF7" s="78">
        <f t="shared" ref="CF7:CL43" si="25">IFERROR(IF(BV7&lt;&gt;"",BV7,BN7*$CD7),"")</f>
        <v>0</v>
      </c>
      <c r="CG7" s="78">
        <f t="shared" si="25"/>
        <v>0</v>
      </c>
      <c r="CH7" s="78">
        <f t="shared" si="25"/>
        <v>0</v>
      </c>
      <c r="CI7" s="78">
        <f t="shared" si="25"/>
        <v>0</v>
      </c>
      <c r="CJ7" s="78">
        <f t="shared" si="25"/>
        <v>0</v>
      </c>
      <c r="CK7" s="78">
        <f t="shared" si="25"/>
        <v>0</v>
      </c>
      <c r="CL7" s="285">
        <f t="shared" si="25"/>
        <v>0</v>
      </c>
      <c r="CM7" s="302" t="s">
        <v>293</v>
      </c>
      <c r="CN7" s="314">
        <v>0.05</v>
      </c>
      <c r="CO7" s="303"/>
      <c r="CP7" s="304" t="str">
        <f>IF($CO7&lt;&gt;"",$CO7,HLOOKUP($CM7,$AY$6:$BA$132,ROWS(CP$6:CP7),0))</f>
        <v/>
      </c>
      <c r="CQ7" s="783" t="str">
        <f t="shared" ref="CQ7:CX38" si="26">IFERROR(CE7*$CP7,"")</f>
        <v/>
      </c>
      <c r="CR7" s="783" t="str">
        <f t="shared" si="26"/>
        <v/>
      </c>
      <c r="CS7" s="79" t="str">
        <f t="shared" si="26"/>
        <v/>
      </c>
      <c r="CT7" s="79" t="str">
        <f t="shared" si="26"/>
        <v/>
      </c>
      <c r="CU7" s="79" t="str">
        <f t="shared" si="26"/>
        <v/>
      </c>
      <c r="CV7" s="79" t="str">
        <f t="shared" si="26"/>
        <v/>
      </c>
      <c r="CW7" s="79" t="str">
        <f t="shared" si="26"/>
        <v/>
      </c>
      <c r="CX7" s="80" t="str">
        <f t="shared" si="26"/>
        <v/>
      </c>
      <c r="CY7" s="391"/>
      <c r="CZ7" s="187"/>
    </row>
    <row r="8" spans="1:104" x14ac:dyDescent="0.25">
      <c r="A8" s="81" t="s">
        <v>27</v>
      </c>
      <c r="B8" s="82" t="s">
        <v>25</v>
      </c>
      <c r="C8" s="83" t="s">
        <v>297</v>
      </c>
      <c r="D8" s="84"/>
      <c r="E8" s="85"/>
      <c r="F8" s="85"/>
      <c r="G8" s="85"/>
      <c r="H8" s="85"/>
      <c r="I8" s="85">
        <v>447300.7432677038</v>
      </c>
      <c r="J8" s="85">
        <v>1268760.7867172339</v>
      </c>
      <c r="K8" s="85">
        <v>5640838.4668389345</v>
      </c>
      <c r="L8" s="85">
        <v>8976478.1465928704</v>
      </c>
      <c r="M8" s="654">
        <f>'2022-23 Input'!D8</f>
        <v>5484322.0833206326</v>
      </c>
      <c r="N8" s="1065">
        <v>4243489.4365105154</v>
      </c>
      <c r="O8" s="560">
        <f t="shared" ref="O8:O71" si="27">D8*O$4</f>
        <v>0</v>
      </c>
      <c r="P8" s="561">
        <f t="shared" si="0"/>
        <v>0</v>
      </c>
      <c r="Q8" s="561">
        <f t="shared" si="1"/>
        <v>0</v>
      </c>
      <c r="R8" s="561">
        <f t="shared" si="2"/>
        <v>0</v>
      </c>
      <c r="S8" s="561">
        <f t="shared" si="3"/>
        <v>0</v>
      </c>
      <c r="T8" s="561">
        <f t="shared" si="4"/>
        <v>555166.55461727816</v>
      </c>
      <c r="U8" s="561">
        <f t="shared" si="5"/>
        <v>1580226.3014992769</v>
      </c>
      <c r="V8" s="561">
        <f t="shared" si="6"/>
        <v>6765389.1958931582</v>
      </c>
      <c r="W8" s="675">
        <f t="shared" si="7"/>
        <v>10142767.122997425</v>
      </c>
      <c r="X8" s="675">
        <f t="shared" si="8"/>
        <v>5832362.241715488</v>
      </c>
      <c r="Y8" s="675">
        <f t="shared" si="8"/>
        <v>4360178.9430082086</v>
      </c>
      <c r="Z8" s="86"/>
      <c r="AA8" s="87"/>
      <c r="AB8" s="87"/>
      <c r="AC8" s="87"/>
      <c r="AD8" s="87"/>
      <c r="AE8" s="87">
        <v>82</v>
      </c>
      <c r="AF8" s="87">
        <v>214</v>
      </c>
      <c r="AG8" s="87">
        <v>938</v>
      </c>
      <c r="AH8" s="87">
        <v>1306</v>
      </c>
      <c r="AI8" s="1094">
        <f>'2022-23 Input'!K8</f>
        <v>738</v>
      </c>
      <c r="AJ8" s="665">
        <v>335</v>
      </c>
      <c r="AK8" s="88">
        <f t="shared" si="9"/>
        <v>655.6</v>
      </c>
      <c r="AL8" s="89">
        <f t="shared" si="10"/>
        <v>994</v>
      </c>
      <c r="AM8" s="90">
        <f t="shared" si="11"/>
        <v>738</v>
      </c>
      <c r="AN8" s="91" t="str">
        <f t="shared" si="12"/>
        <v/>
      </c>
      <c r="AO8" s="92" t="str">
        <f t="shared" si="13"/>
        <v/>
      </c>
      <c r="AP8" s="92" t="str">
        <f t="shared" si="14"/>
        <v/>
      </c>
      <c r="AQ8" s="92" t="str">
        <f t="shared" si="15"/>
        <v/>
      </c>
      <c r="AR8" s="92" t="str">
        <f t="shared" si="16"/>
        <v/>
      </c>
      <c r="AS8" s="92">
        <f t="shared" si="17"/>
        <v>5454.8871130207781</v>
      </c>
      <c r="AT8" s="92">
        <f t="shared" si="18"/>
        <v>5928.7887229777289</v>
      </c>
      <c r="AU8" s="92">
        <f t="shared" si="19"/>
        <v>6013.6870648602717</v>
      </c>
      <c r="AV8" s="92">
        <f t="shared" si="20"/>
        <v>6873.2604491522743</v>
      </c>
      <c r="AW8" s="92">
        <f t="shared" si="20"/>
        <v>7431.330736206819</v>
      </c>
      <c r="AX8" s="92">
        <f t="shared" si="20"/>
        <v>12667.132646300046</v>
      </c>
      <c r="AY8" s="93">
        <f t="shared" si="21"/>
        <v>6655.7962863750381</v>
      </c>
      <c r="AZ8" s="94">
        <f t="shared" si="22"/>
        <v>6740.9921853629903</v>
      </c>
      <c r="BA8" s="95">
        <f t="shared" si="23"/>
        <v>7431.330736206819</v>
      </c>
      <c r="BB8" s="248" t="s">
        <v>422</v>
      </c>
      <c r="BC8" s="229" t="s">
        <v>433</v>
      </c>
      <c r="BD8" s="249">
        <v>0</v>
      </c>
      <c r="BE8" s="267">
        <f t="shared" ref="BE8:BE71" si="28">IF(BE$6=$BB8,1,0
)</f>
        <v>0</v>
      </c>
      <c r="BF8" s="268">
        <f t="shared" si="24"/>
        <v>0</v>
      </c>
      <c r="BG8" s="268">
        <f t="shared" si="24"/>
        <v>0</v>
      </c>
      <c r="BH8" s="268">
        <f t="shared" si="24"/>
        <v>1</v>
      </c>
      <c r="BI8" s="268">
        <f t="shared" si="24"/>
        <v>2</v>
      </c>
      <c r="BJ8" s="268">
        <f t="shared" si="24"/>
        <v>3</v>
      </c>
      <c r="BK8" s="268">
        <f t="shared" si="24"/>
        <v>4</v>
      </c>
      <c r="BL8" s="269">
        <f t="shared" si="24"/>
        <v>5</v>
      </c>
      <c r="BM8" s="256">
        <f>IF($BC8=Lookup!$A$2,$BD8*ROUNDUP(BE8/10,0)+1,
IF($BC8=Lookup!$A$3,($BD8+1)^BD8,
IF($BC8=Lookup!$A$4,BE8*$BD8+1,"Error")))</f>
        <v>1</v>
      </c>
      <c r="BN8" s="229">
        <f>IF($BC8=Lookup!$A$2,$BD8*ROUNDUP(BF8/10,0)+1,
IF($BC8=Lookup!$A$3,($BD8+1)^BE8,
IF($BC8=Lookup!$A$4,BF8*$BD8+1,"Error")))</f>
        <v>1</v>
      </c>
      <c r="BO8" s="229">
        <f>IF($BC8=Lookup!$A$2,$BD8*ROUNDUP(BG8/10,0)+1,
IF($BC8=Lookup!$A$3,($BD8+1)^BF8,
IF($BC8=Lookup!$A$4,BG8*$BD8+1,"Error")))</f>
        <v>1</v>
      </c>
      <c r="BP8" s="229">
        <f>IF($BC8=Lookup!$A$2,$BD8*ROUNDUP(BH8/10,0)+1,
IF($BC8=Lookup!$A$3,($BD8+1)^BG8,
IF($BC8=Lookup!$A$4,BH8*$BD8+1,"Error")))</f>
        <v>1</v>
      </c>
      <c r="BQ8" s="229">
        <f>IF($BC8=Lookup!$A$2,$BD8*ROUNDUP(BI8/10,0)+1,
IF($BC8=Lookup!$A$3,($BD8+1)^BH8,
IF($BC8=Lookup!$A$4,BI8*$BD8+1,"Error")))</f>
        <v>1</v>
      </c>
      <c r="BR8" s="229">
        <f>IF($BC8=Lookup!$A$2,$BD8*ROUNDUP(BJ8/10,0)+1,
IF($BC8=Lookup!$A$3,($BD8+1)^BI8,
IF($BC8=Lookup!$A$4,BJ8*$BD8+1,"Error")))</f>
        <v>1</v>
      </c>
      <c r="BS8" s="229">
        <f>IF($BC8=Lookup!$A$2,$BD8*ROUNDUP(BK8/10,0)+1,
IF($BC8=Lookup!$A$3,($BD8+1)^BJ8,
IF($BC8=Lookup!$A$4,BK8*$BD8+1,"Error")))</f>
        <v>1</v>
      </c>
      <c r="BT8" s="249">
        <f>IF($BC8=Lookup!$A$2,$BD8*ROUNDUP(BL8/10,0)+1,
IF($BC8=Lookup!$A$3,($BD8+1)^BK8,
IF($BC8=Lookup!$A$4,BL8*$BD8+1,"Error")))</f>
        <v>1</v>
      </c>
      <c r="BU8" s="320"/>
      <c r="BV8" s="321">
        <f>IFERROR(SUM(CF$34:CF$42)*HLOOKUP($BW$4,$AY$135:$BA$146,3,0)/HLOOKUP($BW$4,$AY$135:$BA$146,5,0)*$AK8/SUM($AK$8:$AK$26),"")</f>
        <v>722.65131236769889</v>
      </c>
      <c r="BW8" s="321">
        <f>IFERROR(SUM(CG$34:CG$42)*HLOOKUP($BW$4,$AY$135:$BA$146,3,0)/HLOOKUP($BW$4,$AY$135:$BA$146,5,0)*$AK8/SUM($AK$8:$AK$26),"")</f>
        <v>722.65131236769889</v>
      </c>
      <c r="BX8" s="321">
        <f>IFERROR(SUM(CH$34:CH$42)*HLOOKUP($BW$4,$AY$135:$BA$146,3,0)/HLOOKUP($BW$4,$AY$135:$BA$146,5,0)*$AK8/SUM($AK$8:$AK$26),"")</f>
        <v>947.40166016063699</v>
      </c>
      <c r="BY8" s="321">
        <f t="shared" ref="BY8:BY26" si="29">IFERROR(SUM(CI$34:CI$42)*HLOOKUP($BW$4,$AY$135:$BA$146,3,0)/HLOOKUP($BW$4,$AY$135:$BA$146,5,0)*$AK8/SUM($AK$8:$AK$26),"")</f>
        <v>994.26341521264249</v>
      </c>
      <c r="BZ8" s="321">
        <f t="shared" ref="BZ8:BZ26" si="30">IFERROR(SUM(CJ$34:CJ$42)*HLOOKUP($BW$4,$AY$135:$BA$146,3,0)/HLOOKUP($BW$4,$AY$135:$BA$146,5,0)*$AK8/SUM($AK$8:$AK$26),"")</f>
        <v>1025.5045852473124</v>
      </c>
      <c r="CA8" s="321">
        <f t="shared" ref="CA8:CA26" si="31">IFERROR(SUM(CK$34:CK$42)*HLOOKUP($BW$4,$AY$135:$BA$146,3,0)/HLOOKUP($BW$4,$AY$135:$BA$146,5,0)*$AK8/SUM($AK$8:$AK$26),"")</f>
        <v>1056.7457552819828</v>
      </c>
      <c r="CB8" s="277">
        <f t="shared" ref="CB8:CB26" si="32">IFERROR(SUM(CL$34:CL$42)*HLOOKUP($BW$4,$AY$135:$BA$146,3,0)/HLOOKUP($BW$4,$AY$135:$BA$146,5,0)*$AK8/SUM($AK$8:$AK$26),"")</f>
        <v>1072.3663402993177</v>
      </c>
      <c r="CC8" s="382" t="s">
        <v>293</v>
      </c>
      <c r="CD8" s="383">
        <f>HLOOKUP($CC8,$AK$6:$AM$132,ROWS(CD$6:CD8),0)</f>
        <v>994</v>
      </c>
      <c r="CE8" s="234">
        <f t="shared" ref="CE8:CH71" si="33">IFERROR(IF(BU8&lt;&gt;"",BU8,BM8*$CD8),"")</f>
        <v>994</v>
      </c>
      <c r="CF8" s="96">
        <f t="shared" si="25"/>
        <v>722.65131236769889</v>
      </c>
      <c r="CG8" s="96">
        <f t="shared" si="25"/>
        <v>722.65131236769889</v>
      </c>
      <c r="CH8" s="96">
        <f t="shared" si="25"/>
        <v>947.40166016063699</v>
      </c>
      <c r="CI8" s="96">
        <f t="shared" si="25"/>
        <v>994.26341521264249</v>
      </c>
      <c r="CJ8" s="96">
        <f t="shared" si="25"/>
        <v>1025.5045852473124</v>
      </c>
      <c r="CK8" s="96">
        <f t="shared" si="25"/>
        <v>1056.7457552819828</v>
      </c>
      <c r="CL8" s="286">
        <f t="shared" si="25"/>
        <v>1072.3663402993177</v>
      </c>
      <c r="CM8" s="305" t="s">
        <v>293</v>
      </c>
      <c r="CN8" s="315">
        <v>0.05</v>
      </c>
      <c r="CO8" s="306"/>
      <c r="CP8" s="307">
        <f>IF($CO8&lt;&gt;"",$CO8,HLOOKUP($CM8,$AY$6:$BA$132,ROWS(CP$6:CP8),0))</f>
        <v>6740.9921853629903</v>
      </c>
      <c r="CQ8" s="784">
        <f t="shared" si="26"/>
        <v>6700546.2322508125</v>
      </c>
      <c r="CR8" s="784">
        <f t="shared" si="26"/>
        <v>4871386.8494129675</v>
      </c>
      <c r="CS8" s="97">
        <f t="shared" si="26"/>
        <v>4871386.8494129675</v>
      </c>
      <c r="CT8" s="97">
        <f t="shared" si="26"/>
        <v>6386427.1875427775</v>
      </c>
      <c r="CU8" s="97">
        <f t="shared" si="26"/>
        <v>6702321.912140741</v>
      </c>
      <c r="CV8" s="97">
        <f t="shared" si="26"/>
        <v>6912918.3952060472</v>
      </c>
      <c r="CW8" s="97">
        <f t="shared" si="26"/>
        <v>7123514.8782713572</v>
      </c>
      <c r="CX8" s="98">
        <f t="shared" si="26"/>
        <v>7228813.1198040098</v>
      </c>
      <c r="CY8" s="392" t="s">
        <v>468</v>
      </c>
      <c r="CZ8" s="187"/>
    </row>
    <row r="9" spans="1:104" x14ac:dyDescent="0.25">
      <c r="A9" s="81" t="s">
        <v>27</v>
      </c>
      <c r="B9" s="82" t="s">
        <v>28</v>
      </c>
      <c r="C9" s="83" t="s">
        <v>29</v>
      </c>
      <c r="D9" s="84"/>
      <c r="E9" s="85"/>
      <c r="F9" s="85"/>
      <c r="G9" s="85"/>
      <c r="H9" s="85"/>
      <c r="I9" s="85">
        <v>2164694.0943678012</v>
      </c>
      <c r="J9" s="85">
        <v>2899811.3448835895</v>
      </c>
      <c r="K9" s="85">
        <v>2257683.7698646276</v>
      </c>
      <c r="L9" s="85">
        <v>8935230.8956723548</v>
      </c>
      <c r="M9" s="654">
        <f>'2022-23 Input'!D9</f>
        <v>12343302.397893852</v>
      </c>
      <c r="N9" s="1065">
        <v>13976477.679047232</v>
      </c>
      <c r="O9" s="560">
        <f t="shared" si="27"/>
        <v>0</v>
      </c>
      <c r="P9" s="561">
        <f t="shared" si="0"/>
        <v>0</v>
      </c>
      <c r="Q9" s="561">
        <f t="shared" si="1"/>
        <v>0</v>
      </c>
      <c r="R9" s="561">
        <f t="shared" si="2"/>
        <v>0</v>
      </c>
      <c r="S9" s="561">
        <f t="shared" si="3"/>
        <v>0</v>
      </c>
      <c r="T9" s="561">
        <f t="shared" si="4"/>
        <v>2686706.3832516368</v>
      </c>
      <c r="U9" s="561">
        <f t="shared" si="5"/>
        <v>3611680.1563731646</v>
      </c>
      <c r="V9" s="561">
        <f t="shared" si="6"/>
        <v>2707772.8735148367</v>
      </c>
      <c r="W9" s="675">
        <f t="shared" si="7"/>
        <v>10096160.730855824</v>
      </c>
      <c r="X9" s="675">
        <f t="shared" si="8"/>
        <v>13126619.799098974</v>
      </c>
      <c r="Y9" s="675">
        <f t="shared" si="8"/>
        <v>14360809.561415523</v>
      </c>
      <c r="Z9" s="86"/>
      <c r="AA9" s="87"/>
      <c r="AB9" s="87"/>
      <c r="AC9" s="87"/>
      <c r="AD9" s="87"/>
      <c r="AE9" s="87">
        <v>319</v>
      </c>
      <c r="AF9" s="87">
        <v>465</v>
      </c>
      <c r="AG9" s="87">
        <v>293</v>
      </c>
      <c r="AH9" s="87">
        <v>1406</v>
      </c>
      <c r="AI9" s="1094">
        <f>'2022-23 Input'!K9</f>
        <v>1536</v>
      </c>
      <c r="AJ9" s="665">
        <v>1595</v>
      </c>
      <c r="AK9" s="88">
        <f t="shared" si="9"/>
        <v>803.8</v>
      </c>
      <c r="AL9" s="89">
        <f t="shared" si="10"/>
        <v>1078.3333333333333</v>
      </c>
      <c r="AM9" s="90">
        <f t="shared" si="11"/>
        <v>1536</v>
      </c>
      <c r="AN9" s="91" t="str">
        <f t="shared" si="12"/>
        <v/>
      </c>
      <c r="AO9" s="92" t="str">
        <f t="shared" si="13"/>
        <v/>
      </c>
      <c r="AP9" s="92" t="str">
        <f t="shared" si="14"/>
        <v/>
      </c>
      <c r="AQ9" s="92" t="str">
        <f t="shared" si="15"/>
        <v/>
      </c>
      <c r="AR9" s="92" t="str">
        <f t="shared" si="16"/>
        <v/>
      </c>
      <c r="AS9" s="92">
        <f t="shared" si="17"/>
        <v>6785.8749039742988</v>
      </c>
      <c r="AT9" s="92">
        <f t="shared" si="18"/>
        <v>6236.1534298571814</v>
      </c>
      <c r="AU9" s="92">
        <f t="shared" si="19"/>
        <v>7705.4053578997527</v>
      </c>
      <c r="AV9" s="92">
        <f t="shared" si="20"/>
        <v>6355.0717607911483</v>
      </c>
      <c r="AW9" s="92">
        <f t="shared" si="20"/>
        <v>8036.004165295476</v>
      </c>
      <c r="AX9" s="92">
        <f t="shared" si="20"/>
        <v>8762.6819304371365</v>
      </c>
      <c r="AY9" s="93">
        <f t="shared" si="21"/>
        <v>7116.3778309734325</v>
      </c>
      <c r="AZ9" s="94">
        <f t="shared" si="22"/>
        <v>7275.4921370729007</v>
      </c>
      <c r="BA9" s="95">
        <f t="shared" si="23"/>
        <v>8036.004165295476</v>
      </c>
      <c r="BB9" s="248" t="s">
        <v>422</v>
      </c>
      <c r="BC9" s="229" t="s">
        <v>433</v>
      </c>
      <c r="BD9" s="249">
        <v>0</v>
      </c>
      <c r="BE9" s="267">
        <f t="shared" si="28"/>
        <v>0</v>
      </c>
      <c r="BF9" s="268">
        <f t="shared" si="24"/>
        <v>0</v>
      </c>
      <c r="BG9" s="268">
        <f t="shared" si="24"/>
        <v>0</v>
      </c>
      <c r="BH9" s="268">
        <f t="shared" si="24"/>
        <v>1</v>
      </c>
      <c r="BI9" s="268">
        <f t="shared" si="24"/>
        <v>2</v>
      </c>
      <c r="BJ9" s="268">
        <f t="shared" si="24"/>
        <v>3</v>
      </c>
      <c r="BK9" s="268">
        <f t="shared" si="24"/>
        <v>4</v>
      </c>
      <c r="BL9" s="269">
        <f t="shared" si="24"/>
        <v>5</v>
      </c>
      <c r="BM9" s="256">
        <f>IF($BC9=Lookup!$A$2,$BD9*ROUNDUP(BE9/10,0)+1,
IF($BC9=Lookup!$A$3,($BD9+1)^BD9,
IF($BC9=Lookup!$A$4,BE9*$BD9+1,"Error")))</f>
        <v>1</v>
      </c>
      <c r="BN9" s="229">
        <f>IF($BC9=Lookup!$A$2,$BD9*ROUNDUP(BF9/10,0)+1,
IF($BC9=Lookup!$A$3,($BD9+1)^BE9,
IF($BC9=Lookup!$A$4,BF9*$BD9+1,"Error")))</f>
        <v>1</v>
      </c>
      <c r="BO9" s="229">
        <f>IF($BC9=Lookup!$A$2,$BD9*ROUNDUP(BG9/10,0)+1,
IF($BC9=Lookup!$A$3,($BD9+1)^BF9,
IF($BC9=Lookup!$A$4,BG9*$BD9+1,"Error")))</f>
        <v>1</v>
      </c>
      <c r="BP9" s="229">
        <f>IF($BC9=Lookup!$A$2,$BD9*ROUNDUP(BH9/10,0)+1,
IF($BC9=Lookup!$A$3,($BD9+1)^BG9,
IF($BC9=Lookup!$A$4,BH9*$BD9+1,"Error")))</f>
        <v>1</v>
      </c>
      <c r="BQ9" s="229">
        <f>IF($BC9=Lookup!$A$2,$BD9*ROUNDUP(BI9/10,0)+1,
IF($BC9=Lookup!$A$3,($BD9+1)^BH9,
IF($BC9=Lookup!$A$4,BI9*$BD9+1,"Error")))</f>
        <v>1</v>
      </c>
      <c r="BR9" s="229">
        <f>IF($BC9=Lookup!$A$2,$BD9*ROUNDUP(BJ9/10,0)+1,
IF($BC9=Lookup!$A$3,($BD9+1)^BI9,
IF($BC9=Lookup!$A$4,BJ9*$BD9+1,"Error")))</f>
        <v>1</v>
      </c>
      <c r="BS9" s="229">
        <f>IF($BC9=Lookup!$A$2,$BD9*ROUNDUP(BK9/10,0)+1,
IF($BC9=Lookup!$A$3,($BD9+1)^BJ9,
IF($BC9=Lookup!$A$4,BK9*$BD9+1,"Error")))</f>
        <v>1</v>
      </c>
      <c r="BT9" s="249">
        <f>IF($BC9=Lookup!$A$2,$BD9*ROUNDUP(BL9/10,0)+1,
IF($BC9=Lookup!$A$3,($BD9+1)^BK9,
IF($BC9=Lookup!$A$4,BL9*$BD9+1,"Error")))</f>
        <v>1</v>
      </c>
      <c r="BU9" s="320"/>
      <c r="BV9" s="321">
        <f t="shared" ref="BV9:BW12" si="34">IFERROR(SUM(CF$34:CF$42)*HLOOKUP($BW$4,$AY$135:$BA$146,3,0)/HLOOKUP($BW$4,$AY$135:$BA$146,5,0)*$AK9/SUM($AK$8:$AK$26),"")</f>
        <v>886.00842721347817</v>
      </c>
      <c r="BW9" s="321">
        <f t="shared" si="34"/>
        <v>886.00842721347817</v>
      </c>
      <c r="BX9" s="321">
        <f t="shared" ref="BX9:BX26" si="35">IFERROR(SUM(CH$34:CH$42)*HLOOKUP($BW$4,$AY$135:$BA$146,3,0)/HLOOKUP($BW$4,$AY$135:$BA$146,5,0)*$AK9/SUM($AK$8:$AK$26),"")</f>
        <v>1161.5641464873704</v>
      </c>
      <c r="BY9" s="321">
        <f t="shared" si="29"/>
        <v>1219.0191170651647</v>
      </c>
      <c r="BZ9" s="321">
        <f t="shared" si="30"/>
        <v>1257.3224307836938</v>
      </c>
      <c r="CA9" s="321">
        <f t="shared" si="31"/>
        <v>1295.6257445022234</v>
      </c>
      <c r="CB9" s="277">
        <f t="shared" si="32"/>
        <v>1314.777401361488</v>
      </c>
      <c r="CC9" s="382" t="s">
        <v>293</v>
      </c>
      <c r="CD9" s="383">
        <f>HLOOKUP($CC9,$AK$6:$AM$132,ROWS(CD$6:CD9),0)</f>
        <v>1078.3333333333333</v>
      </c>
      <c r="CE9" s="234">
        <f t="shared" si="33"/>
        <v>1078.3333333333333</v>
      </c>
      <c r="CF9" s="96">
        <f t="shared" si="25"/>
        <v>886.00842721347817</v>
      </c>
      <c r="CG9" s="96">
        <f t="shared" si="25"/>
        <v>886.00842721347817</v>
      </c>
      <c r="CH9" s="96">
        <f t="shared" si="25"/>
        <v>1161.5641464873704</v>
      </c>
      <c r="CI9" s="96">
        <f t="shared" si="25"/>
        <v>1219.0191170651647</v>
      </c>
      <c r="CJ9" s="96">
        <f t="shared" si="25"/>
        <v>1257.3224307836938</v>
      </c>
      <c r="CK9" s="96">
        <f t="shared" si="25"/>
        <v>1295.6257445022234</v>
      </c>
      <c r="CL9" s="286">
        <f t="shared" si="25"/>
        <v>1314.777401361488</v>
      </c>
      <c r="CM9" s="305" t="s">
        <v>293</v>
      </c>
      <c r="CN9" s="315">
        <v>0.05</v>
      </c>
      <c r="CO9" s="306"/>
      <c r="CP9" s="307">
        <f>IF($CO9&lt;&gt;"",$CO9,HLOOKUP($CM9,$AY$6:$BA$132,ROWS(CP$6:CP9),0))</f>
        <v>7275.4921370729007</v>
      </c>
      <c r="CQ9" s="784">
        <f t="shared" si="26"/>
        <v>7845405.6878102776</v>
      </c>
      <c r="CR9" s="784">
        <f t="shared" si="26"/>
        <v>6446147.3455719883</v>
      </c>
      <c r="CS9" s="97">
        <f t="shared" si="26"/>
        <v>6446147.3455719883</v>
      </c>
      <c r="CT9" s="97">
        <f t="shared" si="26"/>
        <v>8450950.814474659</v>
      </c>
      <c r="CU9" s="97">
        <f t="shared" si="26"/>
        <v>8868964.0011491552</v>
      </c>
      <c r="CV9" s="97">
        <f t="shared" si="26"/>
        <v>9147639.4589321502</v>
      </c>
      <c r="CW9" s="97">
        <f t="shared" si="26"/>
        <v>9426314.9167151488</v>
      </c>
      <c r="CX9" s="98">
        <f t="shared" si="26"/>
        <v>9565652.6456066482</v>
      </c>
      <c r="CY9" s="392"/>
    </row>
    <row r="10" spans="1:104" x14ac:dyDescent="0.25">
      <c r="A10" s="81" t="s">
        <v>27</v>
      </c>
      <c r="B10" s="82" t="s">
        <v>30</v>
      </c>
      <c r="C10" s="83" t="s">
        <v>298</v>
      </c>
      <c r="D10" s="84"/>
      <c r="E10" s="85"/>
      <c r="F10" s="85"/>
      <c r="G10" s="85"/>
      <c r="H10" s="85"/>
      <c r="I10" s="85">
        <v>142570.30283025297</v>
      </c>
      <c r="J10" s="85">
        <v>0</v>
      </c>
      <c r="K10" s="85">
        <v>0</v>
      </c>
      <c r="L10" s="85">
        <v>0</v>
      </c>
      <c r="M10" s="654">
        <f>'2022-23 Input'!D10</f>
        <v>0</v>
      </c>
      <c r="N10" s="1065">
        <v>0</v>
      </c>
      <c r="O10" s="560">
        <f t="shared" si="27"/>
        <v>0</v>
      </c>
      <c r="P10" s="561">
        <f t="shared" si="0"/>
        <v>0</v>
      </c>
      <c r="Q10" s="561">
        <f t="shared" si="1"/>
        <v>0</v>
      </c>
      <c r="R10" s="561">
        <f t="shared" si="2"/>
        <v>0</v>
      </c>
      <c r="S10" s="561">
        <f t="shared" si="3"/>
        <v>0</v>
      </c>
      <c r="T10" s="561">
        <f t="shared" si="4"/>
        <v>176950.88819837506</v>
      </c>
      <c r="U10" s="561">
        <f t="shared" si="5"/>
        <v>0</v>
      </c>
      <c r="V10" s="561">
        <f t="shared" si="6"/>
        <v>0</v>
      </c>
      <c r="W10" s="675">
        <f t="shared" si="7"/>
        <v>0</v>
      </c>
      <c r="X10" s="675">
        <f t="shared" si="8"/>
        <v>0</v>
      </c>
      <c r="Y10" s="675">
        <f t="shared" si="8"/>
        <v>0</v>
      </c>
      <c r="Z10" s="86"/>
      <c r="AA10" s="87"/>
      <c r="AB10" s="87"/>
      <c r="AC10" s="87"/>
      <c r="AD10" s="87"/>
      <c r="AE10" s="87">
        <v>22</v>
      </c>
      <c r="AF10" s="87">
        <v>0</v>
      </c>
      <c r="AG10" s="87">
        <v>0</v>
      </c>
      <c r="AH10" s="87">
        <v>0</v>
      </c>
      <c r="AI10" s="1094">
        <f>'2022-23 Input'!K10</f>
        <v>0</v>
      </c>
      <c r="AJ10" s="665">
        <v>0</v>
      </c>
      <c r="AK10" s="88">
        <f t="shared" si="9"/>
        <v>4.4000000000000004</v>
      </c>
      <c r="AL10" s="89">
        <f t="shared" si="10"/>
        <v>0</v>
      </c>
      <c r="AM10" s="90">
        <f t="shared" si="11"/>
        <v>0</v>
      </c>
      <c r="AN10" s="91" t="str">
        <f t="shared" si="12"/>
        <v/>
      </c>
      <c r="AO10" s="92" t="str">
        <f t="shared" si="13"/>
        <v/>
      </c>
      <c r="AP10" s="92" t="str">
        <f t="shared" si="14"/>
        <v/>
      </c>
      <c r="AQ10" s="92" t="str">
        <f t="shared" si="15"/>
        <v/>
      </c>
      <c r="AR10" s="92" t="str">
        <f t="shared" si="16"/>
        <v/>
      </c>
      <c r="AS10" s="92">
        <f t="shared" si="17"/>
        <v>6480.4683104660444</v>
      </c>
      <c r="AT10" s="92" t="str">
        <f t="shared" si="18"/>
        <v/>
      </c>
      <c r="AU10" s="92" t="str">
        <f t="shared" si="19"/>
        <v/>
      </c>
      <c r="AV10" s="92" t="str">
        <f t="shared" si="20"/>
        <v/>
      </c>
      <c r="AW10" s="92" t="str">
        <f t="shared" si="20"/>
        <v/>
      </c>
      <c r="AX10" s="92" t="str">
        <f t="shared" si="20"/>
        <v/>
      </c>
      <c r="AY10" s="93">
        <f t="shared" si="21"/>
        <v>6480.4683104660444</v>
      </c>
      <c r="AZ10" s="94" t="str">
        <f t="shared" si="22"/>
        <v/>
      </c>
      <c r="BA10" s="95" t="str">
        <f t="shared" si="23"/>
        <v/>
      </c>
      <c r="BB10" s="248" t="s">
        <v>422</v>
      </c>
      <c r="BC10" s="229" t="s">
        <v>433</v>
      </c>
      <c r="BD10" s="249">
        <v>0</v>
      </c>
      <c r="BE10" s="267">
        <f t="shared" si="28"/>
        <v>0</v>
      </c>
      <c r="BF10" s="268">
        <f t="shared" si="24"/>
        <v>0</v>
      </c>
      <c r="BG10" s="268">
        <f t="shared" si="24"/>
        <v>0</v>
      </c>
      <c r="BH10" s="268">
        <f t="shared" si="24"/>
        <v>1</v>
      </c>
      <c r="BI10" s="268">
        <f t="shared" si="24"/>
        <v>2</v>
      </c>
      <c r="BJ10" s="268">
        <f t="shared" si="24"/>
        <v>3</v>
      </c>
      <c r="BK10" s="268">
        <f t="shared" si="24"/>
        <v>4</v>
      </c>
      <c r="BL10" s="269">
        <f t="shared" si="24"/>
        <v>5</v>
      </c>
      <c r="BM10" s="256">
        <f>IF($BC10=Lookup!$A$2,$BD10*ROUNDUP(BE10/10,0)+1,
IF($BC10=Lookup!$A$3,($BD10+1)^BD10,
IF($BC10=Lookup!$A$4,BE10*$BD10+1,"Error")))</f>
        <v>1</v>
      </c>
      <c r="BN10" s="229">
        <f>IF($BC10=Lookup!$A$2,$BD10*ROUNDUP(BF10/10,0)+1,
IF($BC10=Lookup!$A$3,($BD10+1)^BE10,
IF($BC10=Lookup!$A$4,BF10*$BD10+1,"Error")))</f>
        <v>1</v>
      </c>
      <c r="BO10" s="229">
        <f>IF($BC10=Lookup!$A$2,$BD10*ROUNDUP(BG10/10,0)+1,
IF($BC10=Lookup!$A$3,($BD10+1)^BF10,
IF($BC10=Lookup!$A$4,BG10*$BD10+1,"Error")))</f>
        <v>1</v>
      </c>
      <c r="BP10" s="229">
        <f>IF($BC10=Lookup!$A$2,$BD10*ROUNDUP(BH10/10,0)+1,
IF($BC10=Lookup!$A$3,($BD10+1)^BG10,
IF($BC10=Lookup!$A$4,BH10*$BD10+1,"Error")))</f>
        <v>1</v>
      </c>
      <c r="BQ10" s="229">
        <f>IF($BC10=Lookup!$A$2,$BD10*ROUNDUP(BI10/10,0)+1,
IF($BC10=Lookup!$A$3,($BD10+1)^BH10,
IF($BC10=Lookup!$A$4,BI10*$BD10+1,"Error")))</f>
        <v>1</v>
      </c>
      <c r="BR10" s="229">
        <f>IF($BC10=Lookup!$A$2,$BD10*ROUNDUP(BJ10/10,0)+1,
IF($BC10=Lookup!$A$3,($BD10+1)^BI10,
IF($BC10=Lookup!$A$4,BJ10*$BD10+1,"Error")))</f>
        <v>1</v>
      </c>
      <c r="BS10" s="229">
        <f>IF($BC10=Lookup!$A$2,$BD10*ROUNDUP(BK10/10,0)+1,
IF($BC10=Lookup!$A$3,($BD10+1)^BJ10,
IF($BC10=Lookup!$A$4,BK10*$BD10+1,"Error")))</f>
        <v>1</v>
      </c>
      <c r="BT10" s="249">
        <f>IF($BC10=Lookup!$A$2,$BD10*ROUNDUP(BL10/10,0)+1,
IF($BC10=Lookup!$A$3,($BD10+1)^BK10,
IF($BC10=Lookup!$A$4,BL10*$BD10+1,"Error")))</f>
        <v>1</v>
      </c>
      <c r="BU10" s="320"/>
      <c r="BV10" s="321">
        <f t="shared" si="34"/>
        <v>4.8500088078369057</v>
      </c>
      <c r="BW10" s="321">
        <f t="shared" si="34"/>
        <v>4.8500088078369057</v>
      </c>
      <c r="BX10" s="321">
        <f t="shared" si="35"/>
        <v>6.3584004037626656</v>
      </c>
      <c r="BY10" s="321">
        <f t="shared" si="29"/>
        <v>6.6729088269304864</v>
      </c>
      <c r="BZ10" s="321">
        <f t="shared" si="30"/>
        <v>6.8825811090423654</v>
      </c>
      <c r="CA10" s="321">
        <f t="shared" si="31"/>
        <v>7.0922533911542471</v>
      </c>
      <c r="CB10" s="277">
        <f t="shared" si="32"/>
        <v>7.1970895322101862</v>
      </c>
      <c r="CC10" s="382" t="s">
        <v>293</v>
      </c>
      <c r="CD10" s="383">
        <f>HLOOKUP($CC10,$AK$6:$AM$132,ROWS(CD$6:CD10),0)</f>
        <v>0</v>
      </c>
      <c r="CE10" s="234">
        <f t="shared" si="33"/>
        <v>0</v>
      </c>
      <c r="CF10" s="96">
        <f t="shared" si="25"/>
        <v>4.8500088078369057</v>
      </c>
      <c r="CG10" s="96">
        <f t="shared" si="25"/>
        <v>4.8500088078369057</v>
      </c>
      <c r="CH10" s="96">
        <f t="shared" si="25"/>
        <v>6.3584004037626656</v>
      </c>
      <c r="CI10" s="96">
        <f t="shared" si="25"/>
        <v>6.6729088269304864</v>
      </c>
      <c r="CJ10" s="96">
        <f t="shared" si="25"/>
        <v>6.8825811090423654</v>
      </c>
      <c r="CK10" s="96">
        <f t="shared" si="25"/>
        <v>7.0922533911542471</v>
      </c>
      <c r="CL10" s="286">
        <f t="shared" si="25"/>
        <v>7.1970895322101862</v>
      </c>
      <c r="CM10" s="305" t="s">
        <v>292</v>
      </c>
      <c r="CN10" s="315">
        <v>0.05</v>
      </c>
      <c r="CO10" s="306"/>
      <c r="CP10" s="307">
        <f>IF($CO10&lt;&gt;"",$CO10,HLOOKUP($CM10,$AY$6:$BA$132,ROWS(CP$6:CP10),0))</f>
        <v>6480.4683104660444</v>
      </c>
      <c r="CQ10" s="784">
        <f t="shared" si="26"/>
        <v>0</v>
      </c>
      <c r="CR10" s="784">
        <f t="shared" si="26"/>
        <v>31430.328384668268</v>
      </c>
      <c r="CS10" s="97">
        <f t="shared" si="26"/>
        <v>31430.328384668268</v>
      </c>
      <c r="CT10" s="97">
        <f t="shared" si="26"/>
        <v>41205.412321838456</v>
      </c>
      <c r="CU10" s="97">
        <f t="shared" si="26"/>
        <v>43243.574191552165</v>
      </c>
      <c r="CV10" s="97">
        <f t="shared" si="26"/>
        <v>44602.348771361292</v>
      </c>
      <c r="CW10" s="97">
        <f t="shared" si="26"/>
        <v>45961.123351170441</v>
      </c>
      <c r="CX10" s="98">
        <f t="shared" si="26"/>
        <v>46640.510641075001</v>
      </c>
      <c r="CY10" s="392"/>
    </row>
    <row r="11" spans="1:104" x14ac:dyDescent="0.25">
      <c r="A11" s="81" t="s">
        <v>27</v>
      </c>
      <c r="B11" s="82" t="s">
        <v>32</v>
      </c>
      <c r="C11" s="83" t="s">
        <v>33</v>
      </c>
      <c r="D11" s="84"/>
      <c r="E11" s="85"/>
      <c r="F11" s="85"/>
      <c r="G11" s="85"/>
      <c r="H11" s="85"/>
      <c r="I11" s="85">
        <v>0</v>
      </c>
      <c r="J11" s="85">
        <v>684692.5295089446</v>
      </c>
      <c r="K11" s="85">
        <v>474557.4855416168</v>
      </c>
      <c r="L11" s="85">
        <v>682295.52471683675</v>
      </c>
      <c r="M11" s="654">
        <f>'2022-23 Input'!D11</f>
        <v>1017353.6858915956</v>
      </c>
      <c r="N11" s="1065">
        <v>1480352.3678727755</v>
      </c>
      <c r="O11" s="560">
        <f t="shared" si="27"/>
        <v>0</v>
      </c>
      <c r="P11" s="561">
        <f t="shared" si="0"/>
        <v>0</v>
      </c>
      <c r="Q11" s="561">
        <f t="shared" si="1"/>
        <v>0</v>
      </c>
      <c r="R11" s="561">
        <f t="shared" si="2"/>
        <v>0</v>
      </c>
      <c r="S11" s="561">
        <f t="shared" si="3"/>
        <v>0</v>
      </c>
      <c r="T11" s="561">
        <f t="shared" si="4"/>
        <v>0</v>
      </c>
      <c r="U11" s="561">
        <f t="shared" si="5"/>
        <v>852776.31126161234</v>
      </c>
      <c r="V11" s="561">
        <f t="shared" si="6"/>
        <v>569164.69145280181</v>
      </c>
      <c r="W11" s="675">
        <f t="shared" si="7"/>
        <v>770944.2949953503</v>
      </c>
      <c r="X11" s="675">
        <f t="shared" si="8"/>
        <v>1081915.8929614825</v>
      </c>
      <c r="Y11" s="675">
        <f t="shared" si="8"/>
        <v>1521059.8068411669</v>
      </c>
      <c r="Z11" s="86"/>
      <c r="AA11" s="87"/>
      <c r="AB11" s="87"/>
      <c r="AC11" s="87"/>
      <c r="AD11" s="87"/>
      <c r="AE11" s="87">
        <v>0</v>
      </c>
      <c r="AF11" s="87">
        <v>65</v>
      </c>
      <c r="AG11" s="87">
        <v>19</v>
      </c>
      <c r="AH11" s="87">
        <v>79</v>
      </c>
      <c r="AI11" s="1094">
        <f>'2022-23 Input'!K11</f>
        <v>83</v>
      </c>
      <c r="AJ11" s="665">
        <v>155</v>
      </c>
      <c r="AK11" s="88">
        <f t="shared" si="9"/>
        <v>49.2</v>
      </c>
      <c r="AL11" s="89">
        <f t="shared" si="10"/>
        <v>60.333333333333336</v>
      </c>
      <c r="AM11" s="90">
        <f t="shared" si="11"/>
        <v>83</v>
      </c>
      <c r="AN11" s="91" t="str">
        <f t="shared" si="12"/>
        <v/>
      </c>
      <c r="AO11" s="92" t="str">
        <f t="shared" si="13"/>
        <v/>
      </c>
      <c r="AP11" s="92" t="str">
        <f t="shared" si="14"/>
        <v/>
      </c>
      <c r="AQ11" s="92" t="str">
        <f t="shared" si="15"/>
        <v/>
      </c>
      <c r="AR11" s="92" t="str">
        <f t="shared" si="16"/>
        <v/>
      </c>
      <c r="AS11" s="92" t="str">
        <f t="shared" si="17"/>
        <v/>
      </c>
      <c r="AT11" s="92">
        <f t="shared" si="18"/>
        <v>10533.731223214532</v>
      </c>
      <c r="AU11" s="92">
        <f t="shared" si="19"/>
        <v>24976.709765348252</v>
      </c>
      <c r="AV11" s="92">
        <f t="shared" si="20"/>
        <v>8636.6522116055294</v>
      </c>
      <c r="AW11" s="92">
        <f t="shared" si="20"/>
        <v>12257.273323995127</v>
      </c>
      <c r="AX11" s="92">
        <f t="shared" si="20"/>
        <v>9550.6604378888751</v>
      </c>
      <c r="AY11" s="93">
        <f t="shared" si="21"/>
        <v>11621.541567719487</v>
      </c>
      <c r="AZ11" s="94">
        <f t="shared" si="22"/>
        <v>12012.191691436736</v>
      </c>
      <c r="BA11" s="95">
        <f t="shared" si="23"/>
        <v>12257.273323995127</v>
      </c>
      <c r="BB11" s="248" t="s">
        <v>422</v>
      </c>
      <c r="BC11" s="229" t="s">
        <v>433</v>
      </c>
      <c r="BD11" s="249">
        <v>0</v>
      </c>
      <c r="BE11" s="267">
        <f t="shared" si="28"/>
        <v>0</v>
      </c>
      <c r="BF11" s="268">
        <f t="shared" si="24"/>
        <v>0</v>
      </c>
      <c r="BG11" s="268">
        <f t="shared" si="24"/>
        <v>0</v>
      </c>
      <c r="BH11" s="268">
        <f t="shared" si="24"/>
        <v>1</v>
      </c>
      <c r="BI11" s="268">
        <f t="shared" si="24"/>
        <v>2</v>
      </c>
      <c r="BJ11" s="268">
        <f t="shared" si="24"/>
        <v>3</v>
      </c>
      <c r="BK11" s="268">
        <f t="shared" si="24"/>
        <v>4</v>
      </c>
      <c r="BL11" s="269">
        <f t="shared" si="24"/>
        <v>5</v>
      </c>
      <c r="BM11" s="256">
        <f>IF($BC11=Lookup!$A$2,$BD11*ROUNDUP(BE11/10,0)+1,
IF($BC11=Lookup!$A$3,($BD11+1)^BD11,
IF($BC11=Lookup!$A$4,BE11*$BD11+1,"Error")))</f>
        <v>1</v>
      </c>
      <c r="BN11" s="229">
        <f>IF($BC11=Lookup!$A$2,$BD11*ROUNDUP(BF11/10,0)+1,
IF($BC11=Lookup!$A$3,($BD11+1)^BE11,
IF($BC11=Lookup!$A$4,BF11*$BD11+1,"Error")))</f>
        <v>1</v>
      </c>
      <c r="BO11" s="229">
        <f>IF($BC11=Lookup!$A$2,$BD11*ROUNDUP(BG11/10,0)+1,
IF($BC11=Lookup!$A$3,($BD11+1)^BF11,
IF($BC11=Lookup!$A$4,BG11*$BD11+1,"Error")))</f>
        <v>1</v>
      </c>
      <c r="BP11" s="229">
        <f>IF($BC11=Lookup!$A$2,$BD11*ROUNDUP(BH11/10,0)+1,
IF($BC11=Lookup!$A$3,($BD11+1)^BG11,
IF($BC11=Lookup!$A$4,BH11*$BD11+1,"Error")))</f>
        <v>1</v>
      </c>
      <c r="BQ11" s="229">
        <f>IF($BC11=Lookup!$A$2,$BD11*ROUNDUP(BI11/10,0)+1,
IF($BC11=Lookup!$A$3,($BD11+1)^BH11,
IF($BC11=Lookup!$A$4,BI11*$BD11+1,"Error")))</f>
        <v>1</v>
      </c>
      <c r="BR11" s="229">
        <f>IF($BC11=Lookup!$A$2,$BD11*ROUNDUP(BJ11/10,0)+1,
IF($BC11=Lookup!$A$3,($BD11+1)^BI11,
IF($BC11=Lookup!$A$4,BJ11*$BD11+1,"Error")))</f>
        <v>1</v>
      </c>
      <c r="BS11" s="229">
        <f>IF($BC11=Lookup!$A$2,$BD11*ROUNDUP(BK11/10,0)+1,
IF($BC11=Lookup!$A$3,($BD11+1)^BJ11,
IF($BC11=Lookup!$A$4,BK11*$BD11+1,"Error")))</f>
        <v>1</v>
      </c>
      <c r="BT11" s="249">
        <f>IF($BC11=Lookup!$A$2,$BD11*ROUNDUP(BL11/10,0)+1,
IF($BC11=Lookup!$A$3,($BD11+1)^BK11,
IF($BC11=Lookup!$A$4,BL11*$BD11+1,"Error")))</f>
        <v>1</v>
      </c>
      <c r="BU11" s="320"/>
      <c r="BV11" s="321">
        <f t="shared" si="34"/>
        <v>54.231916669449028</v>
      </c>
      <c r="BW11" s="321">
        <f t="shared" si="34"/>
        <v>54.231916669449028</v>
      </c>
      <c r="BX11" s="321">
        <f t="shared" si="35"/>
        <v>71.098477242073429</v>
      </c>
      <c r="BY11" s="321">
        <f t="shared" si="29"/>
        <v>74.615253246586349</v>
      </c>
      <c r="BZ11" s="321">
        <f t="shared" si="30"/>
        <v>76.959770582928257</v>
      </c>
      <c r="CA11" s="321">
        <f t="shared" si="31"/>
        <v>79.304287919270209</v>
      </c>
      <c r="CB11" s="277">
        <f t="shared" si="32"/>
        <v>80.476546587441177</v>
      </c>
      <c r="CC11" s="382" t="s">
        <v>293</v>
      </c>
      <c r="CD11" s="383">
        <f>HLOOKUP($CC11,$AK$6:$AM$132,ROWS(CD$6:CD11),0)</f>
        <v>60.333333333333336</v>
      </c>
      <c r="CE11" s="234">
        <f t="shared" si="33"/>
        <v>60.333333333333336</v>
      </c>
      <c r="CF11" s="96">
        <f t="shared" si="25"/>
        <v>54.231916669449028</v>
      </c>
      <c r="CG11" s="96">
        <f t="shared" si="25"/>
        <v>54.231916669449028</v>
      </c>
      <c r="CH11" s="96">
        <f t="shared" si="25"/>
        <v>71.098477242073429</v>
      </c>
      <c r="CI11" s="96">
        <f t="shared" si="25"/>
        <v>74.615253246586349</v>
      </c>
      <c r="CJ11" s="96">
        <f t="shared" si="25"/>
        <v>76.959770582928257</v>
      </c>
      <c r="CK11" s="96">
        <f t="shared" si="25"/>
        <v>79.304287919270209</v>
      </c>
      <c r="CL11" s="286">
        <f t="shared" si="25"/>
        <v>80.476546587441177</v>
      </c>
      <c r="CM11" s="305" t="s">
        <v>293</v>
      </c>
      <c r="CN11" s="315">
        <v>0.05</v>
      </c>
      <c r="CO11" s="306"/>
      <c r="CP11" s="307">
        <f>IF($CO11&lt;&gt;"",$CO11,HLOOKUP($CM11,$AY$6:$BA$132,ROWS(CP$6:CP11),0))</f>
        <v>12012.191691436736</v>
      </c>
      <c r="CQ11" s="784">
        <f t="shared" si="26"/>
        <v>724735.56538334978</v>
      </c>
      <c r="CR11" s="784">
        <f t="shared" si="26"/>
        <v>651444.17882744502</v>
      </c>
      <c r="CS11" s="97">
        <f t="shared" si="26"/>
        <v>651444.17882744502</v>
      </c>
      <c r="CT11" s="97">
        <f t="shared" si="26"/>
        <v>854048.53760103823</v>
      </c>
      <c r="CU11" s="97">
        <f t="shared" si="26"/>
        <v>896292.7251030925</v>
      </c>
      <c r="CV11" s="97">
        <f t="shared" si="26"/>
        <v>924455.51677112817</v>
      </c>
      <c r="CW11" s="97">
        <f t="shared" si="26"/>
        <v>952618.30843916431</v>
      </c>
      <c r="CX11" s="98">
        <f t="shared" si="26"/>
        <v>966699.70427318232</v>
      </c>
      <c r="CY11" s="392"/>
    </row>
    <row r="12" spans="1:104" x14ac:dyDescent="0.25">
      <c r="A12" s="81" t="s">
        <v>27</v>
      </c>
      <c r="B12" s="82" t="s">
        <v>34</v>
      </c>
      <c r="C12" s="83" t="s">
        <v>35</v>
      </c>
      <c r="D12" s="84"/>
      <c r="E12" s="85"/>
      <c r="F12" s="85"/>
      <c r="G12" s="85"/>
      <c r="H12" s="85"/>
      <c r="I12" s="85">
        <v>313663.07821173611</v>
      </c>
      <c r="J12" s="85">
        <v>0</v>
      </c>
      <c r="K12" s="85">
        <v>0</v>
      </c>
      <c r="L12" s="85">
        <v>0</v>
      </c>
      <c r="M12" s="654">
        <f>'2022-23 Input'!D12</f>
        <v>2463.2818126009997</v>
      </c>
      <c r="N12" s="1065">
        <v>46488.888203880982</v>
      </c>
      <c r="O12" s="560">
        <f t="shared" si="27"/>
        <v>0</v>
      </c>
      <c r="P12" s="561">
        <f t="shared" si="0"/>
        <v>0</v>
      </c>
      <c r="Q12" s="561">
        <f t="shared" si="1"/>
        <v>0</v>
      </c>
      <c r="R12" s="561">
        <f t="shared" si="2"/>
        <v>0</v>
      </c>
      <c r="S12" s="561">
        <f t="shared" si="3"/>
        <v>0</v>
      </c>
      <c r="T12" s="561">
        <f t="shared" si="4"/>
        <v>389302.39455748379</v>
      </c>
      <c r="U12" s="561">
        <f t="shared" si="5"/>
        <v>0</v>
      </c>
      <c r="V12" s="561">
        <f t="shared" si="6"/>
        <v>0</v>
      </c>
      <c r="W12" s="675">
        <f t="shared" si="7"/>
        <v>0</v>
      </c>
      <c r="X12" s="675">
        <f t="shared" si="8"/>
        <v>2619.6039576544736</v>
      </c>
      <c r="Y12" s="675">
        <f t="shared" si="8"/>
        <v>47767.26193458082</v>
      </c>
      <c r="Z12" s="86"/>
      <c r="AA12" s="87"/>
      <c r="AB12" s="87"/>
      <c r="AC12" s="87"/>
      <c r="AD12" s="87"/>
      <c r="AE12" s="87">
        <v>0</v>
      </c>
      <c r="AF12" s="87">
        <v>0</v>
      </c>
      <c r="AG12" s="87">
        <v>0</v>
      </c>
      <c r="AH12" s="87">
        <v>0</v>
      </c>
      <c r="AI12" s="1094">
        <f>'2022-23 Input'!K12</f>
        <v>0</v>
      </c>
      <c r="AJ12" s="665">
        <v>4</v>
      </c>
      <c r="AK12" s="88">
        <f t="shared" si="9"/>
        <v>0</v>
      </c>
      <c r="AL12" s="89">
        <f t="shared" si="10"/>
        <v>0</v>
      </c>
      <c r="AM12" s="90">
        <f t="shared" si="11"/>
        <v>0</v>
      </c>
      <c r="AN12" s="91" t="str">
        <f t="shared" si="12"/>
        <v/>
      </c>
      <c r="AO12" s="92" t="str">
        <f t="shared" si="13"/>
        <v/>
      </c>
      <c r="AP12" s="92" t="str">
        <f t="shared" si="14"/>
        <v/>
      </c>
      <c r="AQ12" s="92" t="str">
        <f t="shared" si="15"/>
        <v/>
      </c>
      <c r="AR12" s="92" t="str">
        <f t="shared" si="16"/>
        <v/>
      </c>
      <c r="AS12" s="92" t="str">
        <f t="shared" si="17"/>
        <v/>
      </c>
      <c r="AT12" s="92" t="str">
        <f t="shared" si="18"/>
        <v/>
      </c>
      <c r="AU12" s="92" t="str">
        <f t="shared" si="19"/>
        <v/>
      </c>
      <c r="AV12" s="92" t="str">
        <f t="shared" si="20"/>
        <v/>
      </c>
      <c r="AW12" s="92" t="str">
        <f t="shared" si="20"/>
        <v/>
      </c>
      <c r="AX12" s="92">
        <f t="shared" si="20"/>
        <v>11622.222050970246</v>
      </c>
      <c r="AY12" s="93" t="str">
        <f t="shared" si="21"/>
        <v/>
      </c>
      <c r="AZ12" s="94" t="str">
        <f t="shared" si="22"/>
        <v/>
      </c>
      <c r="BA12" s="95" t="str">
        <f t="shared" si="23"/>
        <v/>
      </c>
      <c r="BB12" s="248" t="s">
        <v>422</v>
      </c>
      <c r="BC12" s="229" t="s">
        <v>433</v>
      </c>
      <c r="BD12" s="249">
        <v>0</v>
      </c>
      <c r="BE12" s="267">
        <f t="shared" si="28"/>
        <v>0</v>
      </c>
      <c r="BF12" s="268">
        <f t="shared" si="24"/>
        <v>0</v>
      </c>
      <c r="BG12" s="268">
        <f t="shared" si="24"/>
        <v>0</v>
      </c>
      <c r="BH12" s="268">
        <f t="shared" si="24"/>
        <v>1</v>
      </c>
      <c r="BI12" s="268">
        <f t="shared" si="24"/>
        <v>2</v>
      </c>
      <c r="BJ12" s="268">
        <f t="shared" si="24"/>
        <v>3</v>
      </c>
      <c r="BK12" s="268">
        <f t="shared" si="24"/>
        <v>4</v>
      </c>
      <c r="BL12" s="269">
        <f t="shared" si="24"/>
        <v>5</v>
      </c>
      <c r="BM12" s="256">
        <f>IF($BC12=Lookup!$A$2,$BD12*ROUNDUP(BE12/10,0)+1,
IF($BC12=Lookup!$A$3,($BD12+1)^BD12,
IF($BC12=Lookup!$A$4,BE12*$BD12+1,"Error")))</f>
        <v>1</v>
      </c>
      <c r="BN12" s="229">
        <f>IF($BC12=Lookup!$A$2,$BD12*ROUNDUP(BF12/10,0)+1,
IF($BC12=Lookup!$A$3,($BD12+1)^BE12,
IF($BC12=Lookup!$A$4,BF12*$BD12+1,"Error")))</f>
        <v>1</v>
      </c>
      <c r="BO12" s="229">
        <f>IF($BC12=Lookup!$A$2,$BD12*ROUNDUP(BG12/10,0)+1,
IF($BC12=Lookup!$A$3,($BD12+1)^BF12,
IF($BC12=Lookup!$A$4,BG12*$BD12+1,"Error")))</f>
        <v>1</v>
      </c>
      <c r="BP12" s="229">
        <f>IF($BC12=Lookup!$A$2,$BD12*ROUNDUP(BH12/10,0)+1,
IF($BC12=Lookup!$A$3,($BD12+1)^BG12,
IF($BC12=Lookup!$A$4,BH12*$BD12+1,"Error")))</f>
        <v>1</v>
      </c>
      <c r="BQ12" s="229">
        <f>IF($BC12=Lookup!$A$2,$BD12*ROUNDUP(BI12/10,0)+1,
IF($BC12=Lookup!$A$3,($BD12+1)^BH12,
IF($BC12=Lookup!$A$4,BI12*$BD12+1,"Error")))</f>
        <v>1</v>
      </c>
      <c r="BR12" s="229">
        <f>IF($BC12=Lookup!$A$2,$BD12*ROUNDUP(BJ12/10,0)+1,
IF($BC12=Lookup!$A$3,($BD12+1)^BI12,
IF($BC12=Lookup!$A$4,BJ12*$BD12+1,"Error")))</f>
        <v>1</v>
      </c>
      <c r="BS12" s="229">
        <f>IF($BC12=Lookup!$A$2,$BD12*ROUNDUP(BK12/10,0)+1,
IF($BC12=Lookup!$A$3,($BD12+1)^BJ12,
IF($BC12=Lookup!$A$4,BK12*$BD12+1,"Error")))</f>
        <v>1</v>
      </c>
      <c r="BT12" s="249">
        <f>IF($BC12=Lookup!$A$2,$BD12*ROUNDUP(BL12/10,0)+1,
IF($BC12=Lookup!$A$3,($BD12+1)^BK12,
IF($BC12=Lookup!$A$4,BL12*$BD12+1,"Error")))</f>
        <v>1</v>
      </c>
      <c r="BU12" s="320"/>
      <c r="BV12" s="321">
        <f t="shared" si="34"/>
        <v>0</v>
      </c>
      <c r="BW12" s="321">
        <f t="shared" si="34"/>
        <v>0</v>
      </c>
      <c r="BX12" s="321">
        <f t="shared" si="35"/>
        <v>0</v>
      </c>
      <c r="BY12" s="321">
        <f t="shared" si="29"/>
        <v>0</v>
      </c>
      <c r="BZ12" s="321">
        <f t="shared" si="30"/>
        <v>0</v>
      </c>
      <c r="CA12" s="321">
        <f t="shared" si="31"/>
        <v>0</v>
      </c>
      <c r="CB12" s="277">
        <f t="shared" si="32"/>
        <v>0</v>
      </c>
      <c r="CC12" s="382" t="s">
        <v>293</v>
      </c>
      <c r="CD12" s="383">
        <f>HLOOKUP($CC12,$AK$6:$AM$132,ROWS(CD$6:CD12),0)</f>
        <v>0</v>
      </c>
      <c r="CE12" s="234">
        <f t="shared" si="33"/>
        <v>0</v>
      </c>
      <c r="CF12" s="96">
        <f t="shared" si="25"/>
        <v>0</v>
      </c>
      <c r="CG12" s="96">
        <f t="shared" si="25"/>
        <v>0</v>
      </c>
      <c r="CH12" s="96">
        <f t="shared" si="25"/>
        <v>0</v>
      </c>
      <c r="CI12" s="96">
        <f t="shared" si="25"/>
        <v>0</v>
      </c>
      <c r="CJ12" s="96">
        <f t="shared" si="25"/>
        <v>0</v>
      </c>
      <c r="CK12" s="96">
        <f t="shared" si="25"/>
        <v>0</v>
      </c>
      <c r="CL12" s="286">
        <f t="shared" si="25"/>
        <v>0</v>
      </c>
      <c r="CM12" s="305" t="s">
        <v>292</v>
      </c>
      <c r="CN12" s="315">
        <v>0.05</v>
      </c>
      <c r="CO12" s="306"/>
      <c r="CP12" s="307" t="str">
        <f>IF($CO12&lt;&gt;"",$CO12,HLOOKUP($CM12,$AY$6:$BA$132,ROWS(CP$6:CP12),0))</f>
        <v/>
      </c>
      <c r="CQ12" s="784" t="str">
        <f t="shared" si="26"/>
        <v/>
      </c>
      <c r="CR12" s="784" t="str">
        <f t="shared" si="26"/>
        <v/>
      </c>
      <c r="CS12" s="97" t="str">
        <f t="shared" si="26"/>
        <v/>
      </c>
      <c r="CT12" s="97" t="str">
        <f t="shared" si="26"/>
        <v/>
      </c>
      <c r="CU12" s="97" t="str">
        <f t="shared" si="26"/>
        <v/>
      </c>
      <c r="CV12" s="97" t="str">
        <f t="shared" si="26"/>
        <v/>
      </c>
      <c r="CW12" s="97" t="str">
        <f t="shared" si="26"/>
        <v/>
      </c>
      <c r="CX12" s="98" t="str">
        <f t="shared" si="26"/>
        <v/>
      </c>
      <c r="CY12" s="392"/>
    </row>
    <row r="13" spans="1:104" x14ac:dyDescent="0.25">
      <c r="A13" s="81" t="s">
        <v>27</v>
      </c>
      <c r="B13" s="82" t="s">
        <v>36</v>
      </c>
      <c r="C13" s="83" t="s">
        <v>37</v>
      </c>
      <c r="D13" s="84"/>
      <c r="E13" s="85"/>
      <c r="F13" s="85"/>
      <c r="G13" s="85"/>
      <c r="H13" s="85"/>
      <c r="I13" s="85">
        <v>0</v>
      </c>
      <c r="J13" s="85">
        <v>0</v>
      </c>
      <c r="K13" s="85">
        <v>0</v>
      </c>
      <c r="L13" s="85">
        <v>0</v>
      </c>
      <c r="M13" s="654">
        <f>'2022-23 Input'!D13</f>
        <v>0</v>
      </c>
      <c r="N13" s="1065">
        <v>0</v>
      </c>
      <c r="O13" s="560">
        <f t="shared" si="27"/>
        <v>0</v>
      </c>
      <c r="P13" s="561">
        <f t="shared" si="0"/>
        <v>0</v>
      </c>
      <c r="Q13" s="561">
        <f t="shared" si="1"/>
        <v>0</v>
      </c>
      <c r="R13" s="561">
        <f t="shared" si="2"/>
        <v>0</v>
      </c>
      <c r="S13" s="561">
        <f t="shared" si="3"/>
        <v>0</v>
      </c>
      <c r="T13" s="561">
        <f t="shared" si="4"/>
        <v>0</v>
      </c>
      <c r="U13" s="561">
        <f t="shared" si="5"/>
        <v>0</v>
      </c>
      <c r="V13" s="561">
        <f t="shared" si="6"/>
        <v>0</v>
      </c>
      <c r="W13" s="675">
        <f t="shared" si="7"/>
        <v>0</v>
      </c>
      <c r="X13" s="675">
        <f t="shared" si="8"/>
        <v>0</v>
      </c>
      <c r="Y13" s="675">
        <f t="shared" si="8"/>
        <v>0</v>
      </c>
      <c r="Z13" s="86"/>
      <c r="AA13" s="87"/>
      <c r="AB13" s="87"/>
      <c r="AC13" s="87"/>
      <c r="AD13" s="87"/>
      <c r="AE13" s="87">
        <v>0</v>
      </c>
      <c r="AF13" s="87">
        <v>0</v>
      </c>
      <c r="AG13" s="87">
        <v>0</v>
      </c>
      <c r="AH13" s="87">
        <v>0</v>
      </c>
      <c r="AI13" s="1094">
        <f>'2022-23 Input'!K13</f>
        <v>0</v>
      </c>
      <c r="AJ13" s="665">
        <v>0</v>
      </c>
      <c r="AK13" s="88">
        <f t="shared" si="9"/>
        <v>0</v>
      </c>
      <c r="AL13" s="89">
        <f t="shared" si="10"/>
        <v>0</v>
      </c>
      <c r="AM13" s="90">
        <f t="shared" si="11"/>
        <v>0</v>
      </c>
      <c r="AN13" s="91" t="str">
        <f t="shared" si="12"/>
        <v/>
      </c>
      <c r="AO13" s="92" t="str">
        <f t="shared" si="13"/>
        <v/>
      </c>
      <c r="AP13" s="92" t="str">
        <f t="shared" si="14"/>
        <v/>
      </c>
      <c r="AQ13" s="92" t="str">
        <f t="shared" si="15"/>
        <v/>
      </c>
      <c r="AR13" s="92" t="str">
        <f t="shared" si="16"/>
        <v/>
      </c>
      <c r="AS13" s="92" t="str">
        <f t="shared" si="17"/>
        <v/>
      </c>
      <c r="AT13" s="92" t="str">
        <f t="shared" si="18"/>
        <v/>
      </c>
      <c r="AU13" s="92" t="str">
        <f t="shared" si="19"/>
        <v/>
      </c>
      <c r="AV13" s="92" t="str">
        <f t="shared" si="20"/>
        <v/>
      </c>
      <c r="AW13" s="92" t="str">
        <f t="shared" si="20"/>
        <v/>
      </c>
      <c r="AX13" s="92" t="str">
        <f t="shared" si="20"/>
        <v/>
      </c>
      <c r="AY13" s="93" t="str">
        <f t="shared" si="21"/>
        <v/>
      </c>
      <c r="AZ13" s="94" t="str">
        <f t="shared" si="22"/>
        <v/>
      </c>
      <c r="BA13" s="95" t="str">
        <f t="shared" si="23"/>
        <v/>
      </c>
      <c r="BB13" s="248" t="s">
        <v>422</v>
      </c>
      <c r="BC13" s="229" t="s">
        <v>433</v>
      </c>
      <c r="BD13" s="249">
        <v>0</v>
      </c>
      <c r="BE13" s="267">
        <f t="shared" si="28"/>
        <v>0</v>
      </c>
      <c r="BF13" s="268">
        <f t="shared" si="24"/>
        <v>0</v>
      </c>
      <c r="BG13" s="268">
        <f t="shared" si="24"/>
        <v>0</v>
      </c>
      <c r="BH13" s="268">
        <f t="shared" si="24"/>
        <v>1</v>
      </c>
      <c r="BI13" s="268">
        <f t="shared" si="24"/>
        <v>2</v>
      </c>
      <c r="BJ13" s="268">
        <f t="shared" si="24"/>
        <v>3</v>
      </c>
      <c r="BK13" s="268">
        <f t="shared" si="24"/>
        <v>4</v>
      </c>
      <c r="BL13" s="269">
        <f t="shared" si="24"/>
        <v>5</v>
      </c>
      <c r="BM13" s="256">
        <f>IF($BC13=Lookup!$A$2,$BD13*ROUNDUP(BE13/10,0)+1,
IF($BC13=Lookup!$A$3,($BD13+1)^BD13,
IF($BC13=Lookup!$A$4,BE13*$BD13+1,"Error")))</f>
        <v>1</v>
      </c>
      <c r="BN13" s="229">
        <f>IF($BC13=Lookup!$A$2,$BD13*ROUNDUP(BF13/10,0)+1,
IF($BC13=Lookup!$A$3,($BD13+1)^BE13,
IF($BC13=Lookup!$A$4,BF13*$BD13+1,"Error")))</f>
        <v>1</v>
      </c>
      <c r="BO13" s="229">
        <f>IF($BC13=Lookup!$A$2,$BD13*ROUNDUP(BG13/10,0)+1,
IF($BC13=Lookup!$A$3,($BD13+1)^BF13,
IF($BC13=Lookup!$A$4,BG13*$BD13+1,"Error")))</f>
        <v>1</v>
      </c>
      <c r="BP13" s="229">
        <f>IF($BC13=Lookup!$A$2,$BD13*ROUNDUP(BH13/10,0)+1,
IF($BC13=Lookup!$A$3,($BD13+1)^BG13,
IF($BC13=Lookup!$A$4,BH13*$BD13+1,"Error")))</f>
        <v>1</v>
      </c>
      <c r="BQ13" s="229">
        <f>IF($BC13=Lookup!$A$2,$BD13*ROUNDUP(BI13/10,0)+1,
IF($BC13=Lookup!$A$3,($BD13+1)^BH13,
IF($BC13=Lookup!$A$4,BI13*$BD13+1,"Error")))</f>
        <v>1</v>
      </c>
      <c r="BR13" s="229">
        <f>IF($BC13=Lookup!$A$2,$BD13*ROUNDUP(BJ13/10,0)+1,
IF($BC13=Lookup!$A$3,($BD13+1)^BI13,
IF($BC13=Lookup!$A$4,BJ13*$BD13+1,"Error")))</f>
        <v>1</v>
      </c>
      <c r="BS13" s="229">
        <f>IF($BC13=Lookup!$A$2,$BD13*ROUNDUP(BK13/10,0)+1,
IF($BC13=Lookup!$A$3,($BD13+1)^BJ13,
IF($BC13=Lookup!$A$4,BK13*$BD13+1,"Error")))</f>
        <v>1</v>
      </c>
      <c r="BT13" s="249">
        <f>IF($BC13=Lookup!$A$2,$BD13*ROUNDUP(BL13/10,0)+1,
IF($BC13=Lookup!$A$3,($BD13+1)^BK13,
IF($BC13=Lookup!$A$4,BL13*$BD13+1,"Error")))</f>
        <v>1</v>
      </c>
      <c r="BU13" s="320"/>
      <c r="BV13" s="321"/>
      <c r="BW13" s="321"/>
      <c r="BX13" s="321">
        <f t="shared" si="35"/>
        <v>0</v>
      </c>
      <c r="BY13" s="321">
        <f t="shared" si="29"/>
        <v>0</v>
      </c>
      <c r="BZ13" s="321">
        <f t="shared" si="30"/>
        <v>0</v>
      </c>
      <c r="CA13" s="321">
        <f t="shared" si="31"/>
        <v>0</v>
      </c>
      <c r="CB13" s="277">
        <f t="shared" si="32"/>
        <v>0</v>
      </c>
      <c r="CC13" s="382" t="s">
        <v>293</v>
      </c>
      <c r="CD13" s="383">
        <f>HLOOKUP($CC13,$AK$6:$AM$132,ROWS(CD$6:CD13),0)</f>
        <v>0</v>
      </c>
      <c r="CE13" s="234">
        <f t="shared" si="33"/>
        <v>0</v>
      </c>
      <c r="CF13" s="96">
        <f t="shared" si="25"/>
        <v>0</v>
      </c>
      <c r="CG13" s="96">
        <f t="shared" si="25"/>
        <v>0</v>
      </c>
      <c r="CH13" s="96">
        <f t="shared" si="25"/>
        <v>0</v>
      </c>
      <c r="CI13" s="96">
        <f t="shared" si="25"/>
        <v>0</v>
      </c>
      <c r="CJ13" s="96">
        <f t="shared" si="25"/>
        <v>0</v>
      </c>
      <c r="CK13" s="96">
        <f t="shared" si="25"/>
        <v>0</v>
      </c>
      <c r="CL13" s="286">
        <f t="shared" si="25"/>
        <v>0</v>
      </c>
      <c r="CM13" s="305" t="s">
        <v>293</v>
      </c>
      <c r="CN13" s="315">
        <v>0.05</v>
      </c>
      <c r="CO13" s="306"/>
      <c r="CP13" s="307" t="str">
        <f>IF($CO13&lt;&gt;"",$CO13,HLOOKUP($CM13,$AY$6:$BA$132,ROWS(CP$6:CP13),0))</f>
        <v/>
      </c>
      <c r="CQ13" s="784" t="str">
        <f t="shared" si="26"/>
        <v/>
      </c>
      <c r="CR13" s="784" t="str">
        <f t="shared" si="26"/>
        <v/>
      </c>
      <c r="CS13" s="97" t="str">
        <f t="shared" si="26"/>
        <v/>
      </c>
      <c r="CT13" s="97" t="str">
        <f t="shared" si="26"/>
        <v/>
      </c>
      <c r="CU13" s="97" t="str">
        <f t="shared" si="26"/>
        <v/>
      </c>
      <c r="CV13" s="97" t="str">
        <f t="shared" si="26"/>
        <v/>
      </c>
      <c r="CW13" s="97" t="str">
        <f t="shared" si="26"/>
        <v/>
      </c>
      <c r="CX13" s="98" t="str">
        <f t="shared" si="26"/>
        <v/>
      </c>
      <c r="CY13" s="392"/>
    </row>
    <row r="14" spans="1:104" x14ac:dyDescent="0.25">
      <c r="A14" s="81" t="s">
        <v>27</v>
      </c>
      <c r="B14" s="82" t="s">
        <v>39</v>
      </c>
      <c r="C14" s="83" t="s">
        <v>299</v>
      </c>
      <c r="D14" s="84"/>
      <c r="E14" s="85"/>
      <c r="F14" s="85"/>
      <c r="G14" s="85"/>
      <c r="H14" s="85"/>
      <c r="I14" s="85">
        <v>0</v>
      </c>
      <c r="J14" s="85">
        <v>0</v>
      </c>
      <c r="K14" s="85">
        <v>0</v>
      </c>
      <c r="L14" s="85">
        <v>0</v>
      </c>
      <c r="M14" s="654">
        <f>'2022-23 Input'!D14</f>
        <v>0</v>
      </c>
      <c r="N14" s="1065">
        <v>0</v>
      </c>
      <c r="O14" s="560">
        <f t="shared" si="27"/>
        <v>0</v>
      </c>
      <c r="P14" s="561">
        <f t="shared" si="0"/>
        <v>0</v>
      </c>
      <c r="Q14" s="561">
        <f t="shared" si="1"/>
        <v>0</v>
      </c>
      <c r="R14" s="561">
        <f t="shared" si="2"/>
        <v>0</v>
      </c>
      <c r="S14" s="561">
        <f t="shared" si="3"/>
        <v>0</v>
      </c>
      <c r="T14" s="561">
        <f t="shared" si="4"/>
        <v>0</v>
      </c>
      <c r="U14" s="561">
        <f t="shared" si="5"/>
        <v>0</v>
      </c>
      <c r="V14" s="561">
        <f t="shared" si="6"/>
        <v>0</v>
      </c>
      <c r="W14" s="675">
        <f t="shared" si="7"/>
        <v>0</v>
      </c>
      <c r="X14" s="675">
        <f t="shared" si="8"/>
        <v>0</v>
      </c>
      <c r="Y14" s="675">
        <f t="shared" si="8"/>
        <v>0</v>
      </c>
      <c r="Z14" s="86"/>
      <c r="AA14" s="87"/>
      <c r="AB14" s="87"/>
      <c r="AC14" s="87"/>
      <c r="AD14" s="87"/>
      <c r="AE14" s="87">
        <v>0</v>
      </c>
      <c r="AF14" s="87">
        <v>0</v>
      </c>
      <c r="AG14" s="87">
        <v>0</v>
      </c>
      <c r="AH14" s="87">
        <v>0</v>
      </c>
      <c r="AI14" s="1094">
        <f>'2022-23 Input'!K14</f>
        <v>0</v>
      </c>
      <c r="AJ14" s="665">
        <v>0</v>
      </c>
      <c r="AK14" s="88">
        <f t="shared" si="9"/>
        <v>0</v>
      </c>
      <c r="AL14" s="89">
        <f t="shared" si="10"/>
        <v>0</v>
      </c>
      <c r="AM14" s="90">
        <f t="shared" si="11"/>
        <v>0</v>
      </c>
      <c r="AN14" s="91" t="str">
        <f t="shared" si="12"/>
        <v/>
      </c>
      <c r="AO14" s="92" t="str">
        <f t="shared" si="13"/>
        <v/>
      </c>
      <c r="AP14" s="92" t="str">
        <f t="shared" si="14"/>
        <v/>
      </c>
      <c r="AQ14" s="92" t="str">
        <f t="shared" si="15"/>
        <v/>
      </c>
      <c r="AR14" s="92" t="str">
        <f t="shared" si="16"/>
        <v/>
      </c>
      <c r="AS14" s="92" t="str">
        <f t="shared" si="17"/>
        <v/>
      </c>
      <c r="AT14" s="92" t="str">
        <f t="shared" si="18"/>
        <v/>
      </c>
      <c r="AU14" s="92" t="str">
        <f t="shared" si="19"/>
        <v/>
      </c>
      <c r="AV14" s="92" t="str">
        <f t="shared" si="20"/>
        <v/>
      </c>
      <c r="AW14" s="92" t="str">
        <f t="shared" si="20"/>
        <v/>
      </c>
      <c r="AX14" s="92" t="str">
        <f t="shared" si="20"/>
        <v/>
      </c>
      <c r="AY14" s="93" t="str">
        <f t="shared" si="21"/>
        <v/>
      </c>
      <c r="AZ14" s="94" t="str">
        <f t="shared" si="22"/>
        <v/>
      </c>
      <c r="BA14" s="95" t="str">
        <f t="shared" si="23"/>
        <v/>
      </c>
      <c r="BB14" s="248" t="s">
        <v>422</v>
      </c>
      <c r="BC14" s="229" t="s">
        <v>433</v>
      </c>
      <c r="BD14" s="249">
        <v>0</v>
      </c>
      <c r="BE14" s="267">
        <f t="shared" si="28"/>
        <v>0</v>
      </c>
      <c r="BF14" s="268">
        <f t="shared" si="24"/>
        <v>0</v>
      </c>
      <c r="BG14" s="268">
        <f t="shared" si="24"/>
        <v>0</v>
      </c>
      <c r="BH14" s="268">
        <f t="shared" si="24"/>
        <v>1</v>
      </c>
      <c r="BI14" s="268">
        <f t="shared" si="24"/>
        <v>2</v>
      </c>
      <c r="BJ14" s="268">
        <f t="shared" si="24"/>
        <v>3</v>
      </c>
      <c r="BK14" s="268">
        <f t="shared" si="24"/>
        <v>4</v>
      </c>
      <c r="BL14" s="269">
        <f t="shared" si="24"/>
        <v>5</v>
      </c>
      <c r="BM14" s="256">
        <f>IF($BC14=Lookup!$A$2,$BD14*ROUNDUP(BE14/10,0)+1,
IF($BC14=Lookup!$A$3,($BD14+1)^BD14,
IF($BC14=Lookup!$A$4,BE14*$BD14+1,"Error")))</f>
        <v>1</v>
      </c>
      <c r="BN14" s="229">
        <f>IF($BC14=Lookup!$A$2,$BD14*ROUNDUP(BF14/10,0)+1,
IF($BC14=Lookup!$A$3,($BD14+1)^BE14,
IF($BC14=Lookup!$A$4,BF14*$BD14+1,"Error")))</f>
        <v>1</v>
      </c>
      <c r="BO14" s="229">
        <f>IF($BC14=Lookup!$A$2,$BD14*ROUNDUP(BG14/10,0)+1,
IF($BC14=Lookup!$A$3,($BD14+1)^BF14,
IF($BC14=Lookup!$A$4,BG14*$BD14+1,"Error")))</f>
        <v>1</v>
      </c>
      <c r="BP14" s="229">
        <f>IF($BC14=Lookup!$A$2,$BD14*ROUNDUP(BH14/10,0)+1,
IF($BC14=Lookup!$A$3,($BD14+1)^BG14,
IF($BC14=Lookup!$A$4,BH14*$BD14+1,"Error")))</f>
        <v>1</v>
      </c>
      <c r="BQ14" s="229">
        <f>IF($BC14=Lookup!$A$2,$BD14*ROUNDUP(BI14/10,0)+1,
IF($BC14=Lookup!$A$3,($BD14+1)^BH14,
IF($BC14=Lookup!$A$4,BI14*$BD14+1,"Error")))</f>
        <v>1</v>
      </c>
      <c r="BR14" s="229">
        <f>IF($BC14=Lookup!$A$2,$BD14*ROUNDUP(BJ14/10,0)+1,
IF($BC14=Lookup!$A$3,($BD14+1)^BI14,
IF($BC14=Lookup!$A$4,BJ14*$BD14+1,"Error")))</f>
        <v>1</v>
      </c>
      <c r="BS14" s="229">
        <f>IF($BC14=Lookup!$A$2,$BD14*ROUNDUP(BK14/10,0)+1,
IF($BC14=Lookup!$A$3,($BD14+1)^BJ14,
IF($BC14=Lookup!$A$4,BK14*$BD14+1,"Error")))</f>
        <v>1</v>
      </c>
      <c r="BT14" s="249">
        <f>IF($BC14=Lookup!$A$2,$BD14*ROUNDUP(BL14/10,0)+1,
IF($BC14=Lookup!$A$3,($BD14+1)^BK14,
IF($BC14=Lookup!$A$4,BL14*$BD14+1,"Error")))</f>
        <v>1</v>
      </c>
      <c r="BU14" s="320"/>
      <c r="BV14" s="321">
        <f t="shared" ref="BV14:BV26" si="36">IFERROR(SUM(CF$34:CF$42)*HLOOKUP($BW$4,$AY$135:$BA$146,3,0)/HLOOKUP($BW$4,$AY$135:$BA$146,5,0)*$AK14/SUM($AK$8:$AK$26),"")</f>
        <v>0</v>
      </c>
      <c r="BW14" s="321">
        <f t="shared" ref="BW14:BW26" si="37">IFERROR(SUM(CG$34:CG$42)*HLOOKUP($BW$4,$AY$135:$BA$146,3,0)/HLOOKUP($BW$4,$AY$135:$BA$146,5,0)*$AK14/SUM($AK$8:$AK$26),"")</f>
        <v>0</v>
      </c>
      <c r="BX14" s="321">
        <f t="shared" si="35"/>
        <v>0</v>
      </c>
      <c r="BY14" s="321">
        <f t="shared" si="29"/>
        <v>0</v>
      </c>
      <c r="BZ14" s="321">
        <f t="shared" si="30"/>
        <v>0</v>
      </c>
      <c r="CA14" s="321">
        <f t="shared" si="31"/>
        <v>0</v>
      </c>
      <c r="CB14" s="277">
        <f t="shared" si="32"/>
        <v>0</v>
      </c>
      <c r="CC14" s="382" t="s">
        <v>293</v>
      </c>
      <c r="CD14" s="383">
        <f>HLOOKUP($CC14,$AK$6:$AM$132,ROWS(CD$6:CD14),0)</f>
        <v>0</v>
      </c>
      <c r="CE14" s="234">
        <f t="shared" si="33"/>
        <v>0</v>
      </c>
      <c r="CF14" s="96">
        <f t="shared" si="25"/>
        <v>0</v>
      </c>
      <c r="CG14" s="96">
        <f t="shared" si="25"/>
        <v>0</v>
      </c>
      <c r="CH14" s="96">
        <f t="shared" si="25"/>
        <v>0</v>
      </c>
      <c r="CI14" s="96">
        <f t="shared" si="25"/>
        <v>0</v>
      </c>
      <c r="CJ14" s="96">
        <f t="shared" si="25"/>
        <v>0</v>
      </c>
      <c r="CK14" s="96">
        <f t="shared" si="25"/>
        <v>0</v>
      </c>
      <c r="CL14" s="286">
        <f t="shared" si="25"/>
        <v>0</v>
      </c>
      <c r="CM14" s="305" t="s">
        <v>293</v>
      </c>
      <c r="CN14" s="315">
        <v>0.05</v>
      </c>
      <c r="CO14" s="306"/>
      <c r="CP14" s="307" t="str">
        <f>IF($CO14&lt;&gt;"",$CO14,HLOOKUP($CM14,$AY$6:$BA$132,ROWS(CP$6:CP14),0))</f>
        <v/>
      </c>
      <c r="CQ14" s="784" t="str">
        <f t="shared" si="26"/>
        <v/>
      </c>
      <c r="CR14" s="784" t="str">
        <f t="shared" si="26"/>
        <v/>
      </c>
      <c r="CS14" s="97" t="str">
        <f t="shared" si="26"/>
        <v/>
      </c>
      <c r="CT14" s="97" t="str">
        <f t="shared" si="26"/>
        <v/>
      </c>
      <c r="CU14" s="97" t="str">
        <f t="shared" si="26"/>
        <v/>
      </c>
      <c r="CV14" s="97" t="str">
        <f t="shared" si="26"/>
        <v/>
      </c>
      <c r="CW14" s="97" t="str">
        <f t="shared" si="26"/>
        <v/>
      </c>
      <c r="CX14" s="98" t="str">
        <f t="shared" si="26"/>
        <v/>
      </c>
      <c r="CY14" s="392"/>
    </row>
    <row r="15" spans="1:104" x14ac:dyDescent="0.25">
      <c r="A15" s="81" t="s">
        <v>27</v>
      </c>
      <c r="B15" s="82" t="s">
        <v>41</v>
      </c>
      <c r="C15" s="83" t="s">
        <v>42</v>
      </c>
      <c r="D15" s="84"/>
      <c r="E15" s="85"/>
      <c r="F15" s="85"/>
      <c r="G15" s="85"/>
      <c r="H15" s="85"/>
      <c r="I15" s="85">
        <v>0</v>
      </c>
      <c r="J15" s="85">
        <v>0</v>
      </c>
      <c r="K15" s="85">
        <v>81414.743116747995</v>
      </c>
      <c r="L15" s="85">
        <v>302371.68196068506</v>
      </c>
      <c r="M15" s="654">
        <f>'2022-23 Input'!D15</f>
        <v>0</v>
      </c>
      <c r="N15" s="1065">
        <v>0</v>
      </c>
      <c r="O15" s="560">
        <f t="shared" si="27"/>
        <v>0</v>
      </c>
      <c r="P15" s="561">
        <f t="shared" si="0"/>
        <v>0</v>
      </c>
      <c r="Q15" s="561">
        <f t="shared" si="1"/>
        <v>0</v>
      </c>
      <c r="R15" s="561">
        <f t="shared" si="2"/>
        <v>0</v>
      </c>
      <c r="S15" s="561">
        <f t="shared" si="3"/>
        <v>0</v>
      </c>
      <c r="T15" s="561">
        <f t="shared" si="4"/>
        <v>0</v>
      </c>
      <c r="U15" s="561">
        <f t="shared" si="5"/>
        <v>0</v>
      </c>
      <c r="V15" s="561">
        <f t="shared" si="6"/>
        <v>97645.487759752781</v>
      </c>
      <c r="W15" s="675">
        <f t="shared" si="7"/>
        <v>341657.99822955549</v>
      </c>
      <c r="X15" s="675">
        <f t="shared" si="8"/>
        <v>0</v>
      </c>
      <c r="Y15" s="675">
        <f t="shared" si="8"/>
        <v>0</v>
      </c>
      <c r="Z15" s="86"/>
      <c r="AA15" s="87"/>
      <c r="AB15" s="87"/>
      <c r="AC15" s="87"/>
      <c r="AD15" s="87"/>
      <c r="AE15" s="87">
        <v>0</v>
      </c>
      <c r="AF15" s="87">
        <v>0</v>
      </c>
      <c r="AG15" s="87">
        <v>0</v>
      </c>
      <c r="AH15" s="87">
        <v>39</v>
      </c>
      <c r="AI15" s="1094">
        <f>'2022-23 Input'!K15</f>
        <v>0</v>
      </c>
      <c r="AJ15" s="665">
        <v>0</v>
      </c>
      <c r="AK15" s="88">
        <f t="shared" si="9"/>
        <v>7.8</v>
      </c>
      <c r="AL15" s="89">
        <f t="shared" si="10"/>
        <v>13</v>
      </c>
      <c r="AM15" s="90">
        <f t="shared" si="11"/>
        <v>0</v>
      </c>
      <c r="AN15" s="91" t="str">
        <f t="shared" si="12"/>
        <v/>
      </c>
      <c r="AO15" s="92" t="str">
        <f t="shared" si="13"/>
        <v/>
      </c>
      <c r="AP15" s="92" t="str">
        <f t="shared" si="14"/>
        <v/>
      </c>
      <c r="AQ15" s="92" t="str">
        <f t="shared" si="15"/>
        <v/>
      </c>
      <c r="AR15" s="92" t="str">
        <f t="shared" si="16"/>
        <v/>
      </c>
      <c r="AS15" s="92" t="str">
        <f t="shared" si="17"/>
        <v/>
      </c>
      <c r="AT15" s="92" t="str">
        <f t="shared" si="18"/>
        <v/>
      </c>
      <c r="AU15" s="92" t="str">
        <f t="shared" si="19"/>
        <v/>
      </c>
      <c r="AV15" s="92">
        <f t="shared" si="20"/>
        <v>7753.1200502739757</v>
      </c>
      <c r="AW15" s="92" t="str">
        <f t="shared" si="20"/>
        <v/>
      </c>
      <c r="AX15" s="92" t="str">
        <f t="shared" si="20"/>
        <v/>
      </c>
      <c r="AY15" s="93">
        <f t="shared" si="21"/>
        <v>9840.6775660880267</v>
      </c>
      <c r="AZ15" s="94">
        <f t="shared" si="22"/>
        <v>9840.6775660880267</v>
      </c>
      <c r="BA15" s="95" t="str">
        <f t="shared" si="23"/>
        <v/>
      </c>
      <c r="BB15" s="248" t="s">
        <v>422</v>
      </c>
      <c r="BC15" s="229" t="s">
        <v>433</v>
      </c>
      <c r="BD15" s="249">
        <v>0</v>
      </c>
      <c r="BE15" s="267">
        <f t="shared" si="28"/>
        <v>0</v>
      </c>
      <c r="BF15" s="268">
        <f t="shared" si="24"/>
        <v>0</v>
      </c>
      <c r="BG15" s="268">
        <f t="shared" si="24"/>
        <v>0</v>
      </c>
      <c r="BH15" s="268">
        <f t="shared" si="24"/>
        <v>1</v>
      </c>
      <c r="BI15" s="268">
        <f t="shared" si="24"/>
        <v>2</v>
      </c>
      <c r="BJ15" s="268">
        <f t="shared" si="24"/>
        <v>3</v>
      </c>
      <c r="BK15" s="268">
        <f t="shared" si="24"/>
        <v>4</v>
      </c>
      <c r="BL15" s="269">
        <f t="shared" si="24"/>
        <v>5</v>
      </c>
      <c r="BM15" s="256">
        <f>IF($BC15=Lookup!$A$2,$BD15*ROUNDUP(BE15/10,0)+1,
IF($BC15=Lookup!$A$3,($BD15+1)^BD15,
IF($BC15=Lookup!$A$4,BE15*$BD15+1,"Error")))</f>
        <v>1</v>
      </c>
      <c r="BN15" s="229">
        <f>IF($BC15=Lookup!$A$2,$BD15*ROUNDUP(BF15/10,0)+1,
IF($BC15=Lookup!$A$3,($BD15+1)^BE15,
IF($BC15=Lookup!$A$4,BF15*$BD15+1,"Error")))</f>
        <v>1</v>
      </c>
      <c r="BO15" s="229">
        <f>IF($BC15=Lookup!$A$2,$BD15*ROUNDUP(BG15/10,0)+1,
IF($BC15=Lookup!$A$3,($BD15+1)^BF15,
IF($BC15=Lookup!$A$4,BG15*$BD15+1,"Error")))</f>
        <v>1</v>
      </c>
      <c r="BP15" s="229">
        <f>IF($BC15=Lookup!$A$2,$BD15*ROUNDUP(BH15/10,0)+1,
IF($BC15=Lookup!$A$3,($BD15+1)^BG15,
IF($BC15=Lookup!$A$4,BH15*$BD15+1,"Error")))</f>
        <v>1</v>
      </c>
      <c r="BQ15" s="229">
        <f>IF($BC15=Lookup!$A$2,$BD15*ROUNDUP(BI15/10,0)+1,
IF($BC15=Lookup!$A$3,($BD15+1)^BH15,
IF($BC15=Lookup!$A$4,BI15*$BD15+1,"Error")))</f>
        <v>1</v>
      </c>
      <c r="BR15" s="229">
        <f>IF($BC15=Lookup!$A$2,$BD15*ROUNDUP(BJ15/10,0)+1,
IF($BC15=Lookup!$A$3,($BD15+1)^BI15,
IF($BC15=Lookup!$A$4,BJ15*$BD15+1,"Error")))</f>
        <v>1</v>
      </c>
      <c r="BS15" s="229">
        <f>IF($BC15=Lookup!$A$2,$BD15*ROUNDUP(BK15/10,0)+1,
IF($BC15=Lookup!$A$3,($BD15+1)^BJ15,
IF($BC15=Lookup!$A$4,BK15*$BD15+1,"Error")))</f>
        <v>1</v>
      </c>
      <c r="BT15" s="249">
        <f>IF($BC15=Lookup!$A$2,$BD15*ROUNDUP(BL15/10,0)+1,
IF($BC15=Lookup!$A$3,($BD15+1)^BK15,
IF($BC15=Lookup!$A$4,BL15*$BD15+1,"Error")))</f>
        <v>1</v>
      </c>
      <c r="BU15" s="320"/>
      <c r="BV15" s="321">
        <f t="shared" si="36"/>
        <v>8.597742886619967</v>
      </c>
      <c r="BW15" s="321">
        <f t="shared" si="37"/>
        <v>8.597742886619967</v>
      </c>
      <c r="BX15" s="321">
        <f t="shared" si="35"/>
        <v>11.271709806670179</v>
      </c>
      <c r="BY15" s="321">
        <f t="shared" si="29"/>
        <v>11.829247465922226</v>
      </c>
      <c r="BZ15" s="321">
        <f t="shared" si="30"/>
        <v>12.200939238756918</v>
      </c>
      <c r="CA15" s="321">
        <f t="shared" si="31"/>
        <v>12.57263101159162</v>
      </c>
      <c r="CB15" s="277">
        <f t="shared" si="32"/>
        <v>12.758476898008967</v>
      </c>
      <c r="CC15" s="382" t="s">
        <v>293</v>
      </c>
      <c r="CD15" s="383">
        <f>HLOOKUP($CC15,$AK$6:$AM$132,ROWS(CD$6:CD15),0)</f>
        <v>13</v>
      </c>
      <c r="CE15" s="234">
        <f t="shared" si="33"/>
        <v>13</v>
      </c>
      <c r="CF15" s="96">
        <f t="shared" si="25"/>
        <v>8.597742886619967</v>
      </c>
      <c r="CG15" s="96">
        <f t="shared" si="25"/>
        <v>8.597742886619967</v>
      </c>
      <c r="CH15" s="96">
        <f t="shared" si="25"/>
        <v>11.271709806670179</v>
      </c>
      <c r="CI15" s="96">
        <f t="shared" si="25"/>
        <v>11.829247465922226</v>
      </c>
      <c r="CJ15" s="96">
        <f t="shared" si="25"/>
        <v>12.200939238756918</v>
      </c>
      <c r="CK15" s="96">
        <f t="shared" si="25"/>
        <v>12.57263101159162</v>
      </c>
      <c r="CL15" s="286">
        <f t="shared" si="25"/>
        <v>12.758476898008967</v>
      </c>
      <c r="CM15" s="305" t="s">
        <v>293</v>
      </c>
      <c r="CN15" s="315">
        <v>0.05</v>
      </c>
      <c r="CO15" s="306"/>
      <c r="CP15" s="307">
        <f>IF($CO15&lt;&gt;"",$CO15,HLOOKUP($CM15,$AY$6:$BA$132,ROWS(CP$6:CP15),0))</f>
        <v>9840.6775660880267</v>
      </c>
      <c r="CQ15" s="784">
        <f t="shared" si="26"/>
        <v>127928.80835914434</v>
      </c>
      <c r="CR15" s="784">
        <f t="shared" si="26"/>
        <v>84607.615543354026</v>
      </c>
      <c r="CS15" s="97">
        <f t="shared" si="26"/>
        <v>84607.615543354026</v>
      </c>
      <c r="CT15" s="97">
        <f t="shared" si="26"/>
        <v>110921.26182595364</v>
      </c>
      <c r="CU15" s="97">
        <f t="shared" si="26"/>
        <v>116407.81016160449</v>
      </c>
      <c r="CV15" s="97">
        <f t="shared" si="26"/>
        <v>120065.50905203832</v>
      </c>
      <c r="CW15" s="97">
        <f t="shared" si="26"/>
        <v>123723.20794247226</v>
      </c>
      <c r="CX15" s="98">
        <f t="shared" si="26"/>
        <v>125552.0573876892</v>
      </c>
      <c r="CY15" s="392"/>
    </row>
    <row r="16" spans="1:104" x14ac:dyDescent="0.25">
      <c r="A16" s="81" t="s">
        <v>27</v>
      </c>
      <c r="B16" s="82" t="s">
        <v>43</v>
      </c>
      <c r="C16" s="83" t="s">
        <v>300</v>
      </c>
      <c r="D16" s="84"/>
      <c r="E16" s="85"/>
      <c r="F16" s="85"/>
      <c r="G16" s="85"/>
      <c r="H16" s="85"/>
      <c r="I16" s="85">
        <v>0</v>
      </c>
      <c r="J16" s="85">
        <v>0</v>
      </c>
      <c r="K16" s="85">
        <v>0</v>
      </c>
      <c r="L16" s="85">
        <v>44367.971110367005</v>
      </c>
      <c r="M16" s="654">
        <f>'2022-23 Input'!D16</f>
        <v>0</v>
      </c>
      <c r="N16" s="1065">
        <v>0</v>
      </c>
      <c r="O16" s="560">
        <f t="shared" si="27"/>
        <v>0</v>
      </c>
      <c r="P16" s="561">
        <f t="shared" si="0"/>
        <v>0</v>
      </c>
      <c r="Q16" s="561">
        <f t="shared" si="1"/>
        <v>0</v>
      </c>
      <c r="R16" s="561">
        <f t="shared" si="2"/>
        <v>0</v>
      </c>
      <c r="S16" s="561">
        <f t="shared" si="3"/>
        <v>0</v>
      </c>
      <c r="T16" s="561">
        <f t="shared" si="4"/>
        <v>0</v>
      </c>
      <c r="U16" s="561">
        <f t="shared" si="5"/>
        <v>0</v>
      </c>
      <c r="V16" s="561">
        <f t="shared" si="6"/>
        <v>0</v>
      </c>
      <c r="W16" s="675">
        <f t="shared" si="7"/>
        <v>50132.578873724349</v>
      </c>
      <c r="X16" s="675">
        <f t="shared" si="8"/>
        <v>0</v>
      </c>
      <c r="Y16" s="675">
        <f t="shared" si="8"/>
        <v>0</v>
      </c>
      <c r="Z16" s="86"/>
      <c r="AA16" s="87"/>
      <c r="AB16" s="87"/>
      <c r="AC16" s="87"/>
      <c r="AD16" s="87"/>
      <c r="AE16" s="87">
        <v>0</v>
      </c>
      <c r="AF16" s="87">
        <v>0</v>
      </c>
      <c r="AG16" s="87">
        <v>0</v>
      </c>
      <c r="AH16" s="87">
        <v>3</v>
      </c>
      <c r="AI16" s="1094">
        <f>'2022-23 Input'!K16</f>
        <v>0</v>
      </c>
      <c r="AJ16" s="665">
        <v>0</v>
      </c>
      <c r="AK16" s="88">
        <f t="shared" si="9"/>
        <v>0.6</v>
      </c>
      <c r="AL16" s="89">
        <f t="shared" si="10"/>
        <v>1</v>
      </c>
      <c r="AM16" s="90">
        <f t="shared" si="11"/>
        <v>0</v>
      </c>
      <c r="AN16" s="91" t="str">
        <f t="shared" si="12"/>
        <v/>
      </c>
      <c r="AO16" s="92" t="str">
        <f t="shared" si="13"/>
        <v/>
      </c>
      <c r="AP16" s="92" t="str">
        <f t="shared" si="14"/>
        <v/>
      </c>
      <c r="AQ16" s="92" t="str">
        <f t="shared" si="15"/>
        <v/>
      </c>
      <c r="AR16" s="92" t="str">
        <f t="shared" si="16"/>
        <v/>
      </c>
      <c r="AS16" s="92" t="str">
        <f t="shared" si="17"/>
        <v/>
      </c>
      <c r="AT16" s="92" t="str">
        <f t="shared" si="18"/>
        <v/>
      </c>
      <c r="AU16" s="92" t="str">
        <f t="shared" si="19"/>
        <v/>
      </c>
      <c r="AV16" s="92">
        <f t="shared" si="20"/>
        <v>14789.323703455668</v>
      </c>
      <c r="AW16" s="92" t="str">
        <f t="shared" si="20"/>
        <v/>
      </c>
      <c r="AX16" s="92" t="str">
        <f t="shared" si="20"/>
        <v/>
      </c>
      <c r="AY16" s="93">
        <f t="shared" si="21"/>
        <v>14789.323703455668</v>
      </c>
      <c r="AZ16" s="94">
        <f t="shared" si="22"/>
        <v>14789.323703455668</v>
      </c>
      <c r="BA16" s="95" t="str">
        <f t="shared" si="23"/>
        <v/>
      </c>
      <c r="BB16" s="248" t="s">
        <v>422</v>
      </c>
      <c r="BC16" s="229" t="s">
        <v>433</v>
      </c>
      <c r="BD16" s="249">
        <v>0</v>
      </c>
      <c r="BE16" s="267">
        <f t="shared" si="28"/>
        <v>0</v>
      </c>
      <c r="BF16" s="268">
        <f t="shared" si="24"/>
        <v>0</v>
      </c>
      <c r="BG16" s="268">
        <f t="shared" si="24"/>
        <v>0</v>
      </c>
      <c r="BH16" s="268">
        <f t="shared" si="24"/>
        <v>1</v>
      </c>
      <c r="BI16" s="268">
        <f t="shared" si="24"/>
        <v>2</v>
      </c>
      <c r="BJ16" s="268">
        <f t="shared" si="24"/>
        <v>3</v>
      </c>
      <c r="BK16" s="268">
        <f t="shared" si="24"/>
        <v>4</v>
      </c>
      <c r="BL16" s="269">
        <f t="shared" si="24"/>
        <v>5</v>
      </c>
      <c r="BM16" s="256">
        <f>IF($BC16=Lookup!$A$2,$BD16*ROUNDUP(BE16/10,0)+1,
IF($BC16=Lookup!$A$3,($BD16+1)^BD16,
IF($BC16=Lookup!$A$4,BE16*$BD16+1,"Error")))</f>
        <v>1</v>
      </c>
      <c r="BN16" s="229">
        <f>IF($BC16=Lookup!$A$2,$BD16*ROUNDUP(BF16/10,0)+1,
IF($BC16=Lookup!$A$3,($BD16+1)^BE16,
IF($BC16=Lookup!$A$4,BF16*$BD16+1,"Error")))</f>
        <v>1</v>
      </c>
      <c r="BO16" s="229">
        <f>IF($BC16=Lookup!$A$2,$BD16*ROUNDUP(BG16/10,0)+1,
IF($BC16=Lookup!$A$3,($BD16+1)^BF16,
IF($BC16=Lookup!$A$4,BG16*$BD16+1,"Error")))</f>
        <v>1</v>
      </c>
      <c r="BP16" s="229">
        <f>IF($BC16=Lookup!$A$2,$BD16*ROUNDUP(BH16/10,0)+1,
IF($BC16=Lookup!$A$3,($BD16+1)^BG16,
IF($BC16=Lookup!$A$4,BH16*$BD16+1,"Error")))</f>
        <v>1</v>
      </c>
      <c r="BQ16" s="229">
        <f>IF($BC16=Lookup!$A$2,$BD16*ROUNDUP(BI16/10,0)+1,
IF($BC16=Lookup!$A$3,($BD16+1)^BH16,
IF($BC16=Lookup!$A$4,BI16*$BD16+1,"Error")))</f>
        <v>1</v>
      </c>
      <c r="BR16" s="229">
        <f>IF($BC16=Lookup!$A$2,$BD16*ROUNDUP(BJ16/10,0)+1,
IF($BC16=Lookup!$A$3,($BD16+1)^BI16,
IF($BC16=Lookup!$A$4,BJ16*$BD16+1,"Error")))</f>
        <v>1</v>
      </c>
      <c r="BS16" s="229">
        <f>IF($BC16=Lookup!$A$2,$BD16*ROUNDUP(BK16/10,0)+1,
IF($BC16=Lookup!$A$3,($BD16+1)^BJ16,
IF($BC16=Lookup!$A$4,BK16*$BD16+1,"Error")))</f>
        <v>1</v>
      </c>
      <c r="BT16" s="249">
        <f>IF($BC16=Lookup!$A$2,$BD16*ROUNDUP(BL16/10,0)+1,
IF($BC16=Lookup!$A$3,($BD16+1)^BK16,
IF($BC16=Lookup!$A$4,BL16*$BD16+1,"Error")))</f>
        <v>1</v>
      </c>
      <c r="BU16" s="320"/>
      <c r="BV16" s="321">
        <f t="shared" si="36"/>
        <v>0.66136483743230523</v>
      </c>
      <c r="BW16" s="321">
        <f t="shared" si="37"/>
        <v>0.66136483743230523</v>
      </c>
      <c r="BX16" s="321">
        <f t="shared" si="35"/>
        <v>0.86705460051309069</v>
      </c>
      <c r="BY16" s="321">
        <f t="shared" si="29"/>
        <v>0.9099421127632481</v>
      </c>
      <c r="BZ16" s="321">
        <f t="shared" si="30"/>
        <v>0.93853378759668615</v>
      </c>
      <c r="CA16" s="321">
        <f t="shared" si="31"/>
        <v>0.96712546243012432</v>
      </c>
      <c r="CB16" s="277">
        <f t="shared" si="32"/>
        <v>0.98142129984684345</v>
      </c>
      <c r="CC16" s="382" t="s">
        <v>293</v>
      </c>
      <c r="CD16" s="383">
        <f>HLOOKUP($CC16,$AK$6:$AM$132,ROWS(CD$6:CD16),0)</f>
        <v>1</v>
      </c>
      <c r="CE16" s="234">
        <f t="shared" si="33"/>
        <v>1</v>
      </c>
      <c r="CF16" s="96">
        <f t="shared" si="25"/>
        <v>0.66136483743230523</v>
      </c>
      <c r="CG16" s="96">
        <f t="shared" si="25"/>
        <v>0.66136483743230523</v>
      </c>
      <c r="CH16" s="96">
        <f t="shared" si="25"/>
        <v>0.86705460051309069</v>
      </c>
      <c r="CI16" s="96">
        <f t="shared" si="25"/>
        <v>0.9099421127632481</v>
      </c>
      <c r="CJ16" s="96">
        <f t="shared" si="25"/>
        <v>0.93853378759668615</v>
      </c>
      <c r="CK16" s="96">
        <f t="shared" si="25"/>
        <v>0.96712546243012432</v>
      </c>
      <c r="CL16" s="286">
        <f t="shared" si="25"/>
        <v>0.98142129984684345</v>
      </c>
      <c r="CM16" s="305" t="s">
        <v>293</v>
      </c>
      <c r="CN16" s="315">
        <v>0.05</v>
      </c>
      <c r="CO16" s="306"/>
      <c r="CP16" s="307">
        <f>IF($CO16&lt;&gt;"",$CO16,HLOOKUP($CM16,$AY$6:$BA$132,ROWS(CP$6:CP16),0))</f>
        <v>14789.323703455668</v>
      </c>
      <c r="CQ16" s="784">
        <f t="shared" si="26"/>
        <v>14789.323703455668</v>
      </c>
      <c r="CR16" s="784">
        <f t="shared" si="26"/>
        <v>9781.138666869696</v>
      </c>
      <c r="CS16" s="97">
        <f t="shared" si="26"/>
        <v>9781.138666869696</v>
      </c>
      <c r="CT16" s="97">
        <f t="shared" si="26"/>
        <v>12823.151155558537</v>
      </c>
      <c r="CU16" s="97">
        <f t="shared" si="26"/>
        <v>13457.428457062035</v>
      </c>
      <c r="CV16" s="97">
        <f t="shared" si="26"/>
        <v>13880.279991397698</v>
      </c>
      <c r="CW16" s="97">
        <f t="shared" si="26"/>
        <v>14303.131525733361</v>
      </c>
      <c r="CX16" s="98">
        <f t="shared" si="26"/>
        <v>14514.557292901194</v>
      </c>
      <c r="CY16" s="392"/>
    </row>
    <row r="17" spans="1:103" x14ac:dyDescent="0.25">
      <c r="A17" s="81" t="s">
        <v>27</v>
      </c>
      <c r="B17" s="82" t="s">
        <v>45</v>
      </c>
      <c r="C17" s="83" t="s">
        <v>46</v>
      </c>
      <c r="D17" s="84"/>
      <c r="E17" s="85"/>
      <c r="F17" s="85"/>
      <c r="G17" s="85"/>
      <c r="H17" s="85"/>
      <c r="I17" s="85">
        <v>0</v>
      </c>
      <c r="J17" s="85">
        <v>0</v>
      </c>
      <c r="K17" s="85">
        <v>0</v>
      </c>
      <c r="L17" s="85">
        <v>0</v>
      </c>
      <c r="M17" s="654">
        <f>'2022-23 Input'!D17</f>
        <v>0</v>
      </c>
      <c r="N17" s="1065">
        <v>9680355.7248925883</v>
      </c>
      <c r="O17" s="560">
        <f t="shared" si="27"/>
        <v>0</v>
      </c>
      <c r="P17" s="561">
        <f t="shared" si="0"/>
        <v>0</v>
      </c>
      <c r="Q17" s="561">
        <f t="shared" si="1"/>
        <v>0</v>
      </c>
      <c r="R17" s="561">
        <f t="shared" si="2"/>
        <v>0</v>
      </c>
      <c r="S17" s="561">
        <f t="shared" si="3"/>
        <v>0</v>
      </c>
      <c r="T17" s="561">
        <f t="shared" si="4"/>
        <v>0</v>
      </c>
      <c r="U17" s="561">
        <f t="shared" si="5"/>
        <v>0</v>
      </c>
      <c r="V17" s="561">
        <f t="shared" si="6"/>
        <v>0</v>
      </c>
      <c r="W17" s="675">
        <f t="shared" si="7"/>
        <v>0</v>
      </c>
      <c r="X17" s="675">
        <f t="shared" si="8"/>
        <v>0</v>
      </c>
      <c r="Y17" s="675">
        <f t="shared" si="8"/>
        <v>9946550.7865653988</v>
      </c>
      <c r="Z17" s="86"/>
      <c r="AA17" s="87"/>
      <c r="AB17" s="87"/>
      <c r="AC17" s="87"/>
      <c r="AD17" s="87"/>
      <c r="AE17" s="87">
        <v>0</v>
      </c>
      <c r="AF17" s="87">
        <v>0</v>
      </c>
      <c r="AG17" s="87">
        <v>0</v>
      </c>
      <c r="AH17" s="87">
        <v>0</v>
      </c>
      <c r="AI17" s="1094">
        <f>'2022-23 Input'!K17</f>
        <v>0</v>
      </c>
      <c r="AJ17" s="665">
        <v>464</v>
      </c>
      <c r="AK17" s="88">
        <f t="shared" si="9"/>
        <v>0</v>
      </c>
      <c r="AL17" s="89">
        <f t="shared" si="10"/>
        <v>0</v>
      </c>
      <c r="AM17" s="90">
        <f t="shared" si="11"/>
        <v>0</v>
      </c>
      <c r="AN17" s="91" t="str">
        <f t="shared" si="12"/>
        <v/>
      </c>
      <c r="AO17" s="92" t="str">
        <f t="shared" si="13"/>
        <v/>
      </c>
      <c r="AP17" s="92" t="str">
        <f t="shared" si="14"/>
        <v/>
      </c>
      <c r="AQ17" s="92" t="str">
        <f t="shared" si="15"/>
        <v/>
      </c>
      <c r="AR17" s="92" t="str">
        <f t="shared" si="16"/>
        <v/>
      </c>
      <c r="AS17" s="92" t="str">
        <f t="shared" si="17"/>
        <v/>
      </c>
      <c r="AT17" s="92" t="str">
        <f t="shared" si="18"/>
        <v/>
      </c>
      <c r="AU17" s="92" t="str">
        <f t="shared" si="19"/>
        <v/>
      </c>
      <c r="AV17" s="92" t="str">
        <f t="shared" si="20"/>
        <v/>
      </c>
      <c r="AW17" s="92" t="str">
        <f t="shared" si="20"/>
        <v/>
      </c>
      <c r="AX17" s="92">
        <f t="shared" si="20"/>
        <v>20862.835613992647</v>
      </c>
      <c r="AY17" s="93" t="str">
        <f t="shared" si="21"/>
        <v/>
      </c>
      <c r="AZ17" s="94" t="str">
        <f t="shared" si="22"/>
        <v/>
      </c>
      <c r="BA17" s="95" t="str">
        <f t="shared" si="23"/>
        <v/>
      </c>
      <c r="BB17" s="248" t="s">
        <v>422</v>
      </c>
      <c r="BC17" s="229" t="s">
        <v>433</v>
      </c>
      <c r="BD17" s="249">
        <v>0</v>
      </c>
      <c r="BE17" s="267">
        <f t="shared" si="28"/>
        <v>0</v>
      </c>
      <c r="BF17" s="268">
        <f t="shared" si="24"/>
        <v>0</v>
      </c>
      <c r="BG17" s="268">
        <f t="shared" si="24"/>
        <v>0</v>
      </c>
      <c r="BH17" s="268">
        <f t="shared" si="24"/>
        <v>1</v>
      </c>
      <c r="BI17" s="268">
        <f t="shared" si="24"/>
        <v>2</v>
      </c>
      <c r="BJ17" s="268">
        <f t="shared" si="24"/>
        <v>3</v>
      </c>
      <c r="BK17" s="268">
        <f t="shared" si="24"/>
        <v>4</v>
      </c>
      <c r="BL17" s="269">
        <f t="shared" si="24"/>
        <v>5</v>
      </c>
      <c r="BM17" s="256">
        <f>IF($BC17=Lookup!$A$2,$BD17*ROUNDUP(BE17/10,0)+1,
IF($BC17=Lookup!$A$3,($BD17+1)^BD17,
IF($BC17=Lookup!$A$4,BE17*$BD17+1,"Error")))</f>
        <v>1</v>
      </c>
      <c r="BN17" s="229">
        <f>IF($BC17=Lookup!$A$2,$BD17*ROUNDUP(BF17/10,0)+1,
IF($BC17=Lookup!$A$3,($BD17+1)^BE17,
IF($BC17=Lookup!$A$4,BF17*$BD17+1,"Error")))</f>
        <v>1</v>
      </c>
      <c r="BO17" s="229">
        <f>IF($BC17=Lookup!$A$2,$BD17*ROUNDUP(BG17/10,0)+1,
IF($BC17=Lookup!$A$3,($BD17+1)^BF17,
IF($BC17=Lookup!$A$4,BG17*$BD17+1,"Error")))</f>
        <v>1</v>
      </c>
      <c r="BP17" s="229">
        <f>IF($BC17=Lookup!$A$2,$BD17*ROUNDUP(BH17/10,0)+1,
IF($BC17=Lookup!$A$3,($BD17+1)^BG17,
IF($BC17=Lookup!$A$4,BH17*$BD17+1,"Error")))</f>
        <v>1</v>
      </c>
      <c r="BQ17" s="229">
        <f>IF($BC17=Lookup!$A$2,$BD17*ROUNDUP(BI17/10,0)+1,
IF($BC17=Lookup!$A$3,($BD17+1)^BH17,
IF($BC17=Lookup!$A$4,BI17*$BD17+1,"Error")))</f>
        <v>1</v>
      </c>
      <c r="BR17" s="229">
        <f>IF($BC17=Lookup!$A$2,$BD17*ROUNDUP(BJ17/10,0)+1,
IF($BC17=Lookup!$A$3,($BD17+1)^BI17,
IF($BC17=Lookup!$A$4,BJ17*$BD17+1,"Error")))</f>
        <v>1</v>
      </c>
      <c r="BS17" s="229">
        <f>IF($BC17=Lookup!$A$2,$BD17*ROUNDUP(BK17/10,0)+1,
IF($BC17=Lookup!$A$3,($BD17+1)^BJ17,
IF($BC17=Lookup!$A$4,BK17*$BD17+1,"Error")))</f>
        <v>1</v>
      </c>
      <c r="BT17" s="249">
        <f>IF($BC17=Lookup!$A$2,$BD17*ROUNDUP(BL17/10,0)+1,
IF($BC17=Lookup!$A$3,($BD17+1)^BK17,
IF($BC17=Lookup!$A$4,BL17*$BD17+1,"Error")))</f>
        <v>1</v>
      </c>
      <c r="BU17" s="320"/>
      <c r="BV17" s="321">
        <f t="shared" si="36"/>
        <v>0</v>
      </c>
      <c r="BW17" s="321">
        <f t="shared" si="37"/>
        <v>0</v>
      </c>
      <c r="BX17" s="321">
        <f t="shared" si="35"/>
        <v>0</v>
      </c>
      <c r="BY17" s="321">
        <f t="shared" si="29"/>
        <v>0</v>
      </c>
      <c r="BZ17" s="321">
        <f t="shared" si="30"/>
        <v>0</v>
      </c>
      <c r="CA17" s="321">
        <f t="shared" si="31"/>
        <v>0</v>
      </c>
      <c r="CB17" s="277">
        <f t="shared" si="32"/>
        <v>0</v>
      </c>
      <c r="CC17" s="382" t="s">
        <v>293</v>
      </c>
      <c r="CD17" s="383">
        <f>HLOOKUP($CC17,$AK$6:$AM$132,ROWS(CD$6:CD17),0)</f>
        <v>0</v>
      </c>
      <c r="CE17" s="234">
        <f t="shared" si="33"/>
        <v>0</v>
      </c>
      <c r="CF17" s="96">
        <f t="shared" si="25"/>
        <v>0</v>
      </c>
      <c r="CG17" s="96">
        <f t="shared" si="25"/>
        <v>0</v>
      </c>
      <c r="CH17" s="96">
        <f t="shared" si="25"/>
        <v>0</v>
      </c>
      <c r="CI17" s="96">
        <f t="shared" si="25"/>
        <v>0</v>
      </c>
      <c r="CJ17" s="96">
        <f t="shared" si="25"/>
        <v>0</v>
      </c>
      <c r="CK17" s="96">
        <f t="shared" si="25"/>
        <v>0</v>
      </c>
      <c r="CL17" s="286">
        <f t="shared" si="25"/>
        <v>0</v>
      </c>
      <c r="CM17" s="305" t="s">
        <v>293</v>
      </c>
      <c r="CN17" s="315">
        <v>0.05</v>
      </c>
      <c r="CO17" s="306"/>
      <c r="CP17" s="307" t="str">
        <f>IF($CO17&lt;&gt;"",$CO17,HLOOKUP($CM17,$AY$6:$BA$132,ROWS(CP$6:CP17),0))</f>
        <v/>
      </c>
      <c r="CQ17" s="784" t="str">
        <f t="shared" si="26"/>
        <v/>
      </c>
      <c r="CR17" s="784" t="str">
        <f t="shared" si="26"/>
        <v/>
      </c>
      <c r="CS17" s="97" t="str">
        <f t="shared" si="26"/>
        <v/>
      </c>
      <c r="CT17" s="97" t="str">
        <f t="shared" si="26"/>
        <v/>
      </c>
      <c r="CU17" s="97" t="str">
        <f t="shared" si="26"/>
        <v/>
      </c>
      <c r="CV17" s="97" t="str">
        <f t="shared" si="26"/>
        <v/>
      </c>
      <c r="CW17" s="97" t="str">
        <f t="shared" si="26"/>
        <v/>
      </c>
      <c r="CX17" s="98" t="str">
        <f t="shared" si="26"/>
        <v/>
      </c>
      <c r="CY17" s="392"/>
    </row>
    <row r="18" spans="1:103" x14ac:dyDescent="0.25">
      <c r="A18" s="81" t="s">
        <v>27</v>
      </c>
      <c r="B18" s="82" t="s">
        <v>47</v>
      </c>
      <c r="C18" s="83" t="s">
        <v>48</v>
      </c>
      <c r="D18" s="84"/>
      <c r="E18" s="85"/>
      <c r="F18" s="85"/>
      <c r="G18" s="85"/>
      <c r="H18" s="85"/>
      <c r="I18" s="85">
        <v>0</v>
      </c>
      <c r="J18" s="85">
        <v>0</v>
      </c>
      <c r="K18" s="85">
        <v>0</v>
      </c>
      <c r="L18" s="85">
        <v>0</v>
      </c>
      <c r="M18" s="654">
        <f>'2022-23 Input'!D18</f>
        <v>0</v>
      </c>
      <c r="N18" s="1065">
        <v>2205606.1924981433</v>
      </c>
      <c r="O18" s="560">
        <f t="shared" si="27"/>
        <v>0</v>
      </c>
      <c r="P18" s="561">
        <f t="shared" si="0"/>
        <v>0</v>
      </c>
      <c r="Q18" s="561">
        <f t="shared" si="1"/>
        <v>0</v>
      </c>
      <c r="R18" s="561">
        <f t="shared" si="2"/>
        <v>0</v>
      </c>
      <c r="S18" s="561">
        <f t="shared" si="3"/>
        <v>0</v>
      </c>
      <c r="T18" s="561">
        <f t="shared" si="4"/>
        <v>0</v>
      </c>
      <c r="U18" s="561">
        <f t="shared" si="5"/>
        <v>0</v>
      </c>
      <c r="V18" s="561">
        <f t="shared" si="6"/>
        <v>0</v>
      </c>
      <c r="W18" s="675">
        <f t="shared" si="7"/>
        <v>0</v>
      </c>
      <c r="X18" s="675">
        <f t="shared" si="8"/>
        <v>0</v>
      </c>
      <c r="Y18" s="675">
        <f t="shared" si="8"/>
        <v>2266257.0087618702</v>
      </c>
      <c r="Z18" s="86"/>
      <c r="AA18" s="87"/>
      <c r="AB18" s="87"/>
      <c r="AC18" s="87"/>
      <c r="AD18" s="87"/>
      <c r="AE18" s="87">
        <v>0</v>
      </c>
      <c r="AF18" s="87">
        <v>0</v>
      </c>
      <c r="AG18" s="87">
        <v>0</v>
      </c>
      <c r="AH18" s="87">
        <v>0</v>
      </c>
      <c r="AI18" s="1094">
        <f>'2022-23 Input'!K18</f>
        <v>0</v>
      </c>
      <c r="AJ18" s="665">
        <v>0</v>
      </c>
      <c r="AK18" s="88">
        <f t="shared" si="9"/>
        <v>0</v>
      </c>
      <c r="AL18" s="89">
        <f t="shared" si="10"/>
        <v>0</v>
      </c>
      <c r="AM18" s="90">
        <f t="shared" si="11"/>
        <v>0</v>
      </c>
      <c r="AN18" s="91" t="str">
        <f t="shared" si="12"/>
        <v/>
      </c>
      <c r="AO18" s="92" t="str">
        <f t="shared" si="13"/>
        <v/>
      </c>
      <c r="AP18" s="92" t="str">
        <f t="shared" si="14"/>
        <v/>
      </c>
      <c r="AQ18" s="92" t="str">
        <f t="shared" si="15"/>
        <v/>
      </c>
      <c r="AR18" s="92" t="str">
        <f t="shared" si="16"/>
        <v/>
      </c>
      <c r="AS18" s="92" t="str">
        <f t="shared" si="17"/>
        <v/>
      </c>
      <c r="AT18" s="92" t="str">
        <f t="shared" si="18"/>
        <v/>
      </c>
      <c r="AU18" s="92" t="str">
        <f t="shared" si="19"/>
        <v/>
      </c>
      <c r="AV18" s="92" t="str">
        <f t="shared" si="20"/>
        <v/>
      </c>
      <c r="AW18" s="92" t="str">
        <f t="shared" si="20"/>
        <v/>
      </c>
      <c r="AX18" s="92" t="str">
        <f t="shared" si="20"/>
        <v/>
      </c>
      <c r="AY18" s="93" t="str">
        <f t="shared" si="21"/>
        <v/>
      </c>
      <c r="AZ18" s="94" t="str">
        <f t="shared" si="22"/>
        <v/>
      </c>
      <c r="BA18" s="95" t="str">
        <f t="shared" si="23"/>
        <v/>
      </c>
      <c r="BB18" s="248" t="s">
        <v>422</v>
      </c>
      <c r="BC18" s="229" t="s">
        <v>433</v>
      </c>
      <c r="BD18" s="249">
        <v>0</v>
      </c>
      <c r="BE18" s="267">
        <f t="shared" si="28"/>
        <v>0</v>
      </c>
      <c r="BF18" s="268">
        <f t="shared" si="24"/>
        <v>0</v>
      </c>
      <c r="BG18" s="268">
        <f t="shared" si="24"/>
        <v>0</v>
      </c>
      <c r="BH18" s="268">
        <f t="shared" si="24"/>
        <v>1</v>
      </c>
      <c r="BI18" s="268">
        <f t="shared" si="24"/>
        <v>2</v>
      </c>
      <c r="BJ18" s="268">
        <f t="shared" si="24"/>
        <v>3</v>
      </c>
      <c r="BK18" s="268">
        <f t="shared" si="24"/>
        <v>4</v>
      </c>
      <c r="BL18" s="269">
        <f t="shared" si="24"/>
        <v>5</v>
      </c>
      <c r="BM18" s="256">
        <f>IF($BC18=Lookup!$A$2,$BD18*ROUNDUP(BE18/10,0)+1,
IF($BC18=Lookup!$A$3,($BD18+1)^BD18,
IF($BC18=Lookup!$A$4,BE18*$BD18+1,"Error")))</f>
        <v>1</v>
      </c>
      <c r="BN18" s="229">
        <f>IF($BC18=Lookup!$A$2,$BD18*ROUNDUP(BF18/10,0)+1,
IF($BC18=Lookup!$A$3,($BD18+1)^BE18,
IF($BC18=Lookup!$A$4,BF18*$BD18+1,"Error")))</f>
        <v>1</v>
      </c>
      <c r="BO18" s="229">
        <f>IF($BC18=Lookup!$A$2,$BD18*ROUNDUP(BG18/10,0)+1,
IF($BC18=Lookup!$A$3,($BD18+1)^BF18,
IF($BC18=Lookup!$A$4,BG18*$BD18+1,"Error")))</f>
        <v>1</v>
      </c>
      <c r="BP18" s="229">
        <f>IF($BC18=Lookup!$A$2,$BD18*ROUNDUP(BH18/10,0)+1,
IF($BC18=Lookup!$A$3,($BD18+1)^BG18,
IF($BC18=Lookup!$A$4,BH18*$BD18+1,"Error")))</f>
        <v>1</v>
      </c>
      <c r="BQ18" s="229">
        <f>IF($BC18=Lookup!$A$2,$BD18*ROUNDUP(BI18/10,0)+1,
IF($BC18=Lookup!$A$3,($BD18+1)^BH18,
IF($BC18=Lookup!$A$4,BI18*$BD18+1,"Error")))</f>
        <v>1</v>
      </c>
      <c r="BR18" s="229">
        <f>IF($BC18=Lookup!$A$2,$BD18*ROUNDUP(BJ18/10,0)+1,
IF($BC18=Lookup!$A$3,($BD18+1)^BI18,
IF($BC18=Lookup!$A$4,BJ18*$BD18+1,"Error")))</f>
        <v>1</v>
      </c>
      <c r="BS18" s="229">
        <f>IF($BC18=Lookup!$A$2,$BD18*ROUNDUP(BK18/10,0)+1,
IF($BC18=Lookup!$A$3,($BD18+1)^BJ18,
IF($BC18=Lookup!$A$4,BK18*$BD18+1,"Error")))</f>
        <v>1</v>
      </c>
      <c r="BT18" s="249">
        <f>IF($BC18=Lookup!$A$2,$BD18*ROUNDUP(BL18/10,0)+1,
IF($BC18=Lookup!$A$3,($BD18+1)^BK18,
IF($BC18=Lookup!$A$4,BL18*$BD18+1,"Error")))</f>
        <v>1</v>
      </c>
      <c r="BU18" s="320"/>
      <c r="BV18" s="321">
        <f t="shared" si="36"/>
        <v>0</v>
      </c>
      <c r="BW18" s="321">
        <f t="shared" si="37"/>
        <v>0</v>
      </c>
      <c r="BX18" s="321">
        <f t="shared" si="35"/>
        <v>0</v>
      </c>
      <c r="BY18" s="321">
        <f t="shared" si="29"/>
        <v>0</v>
      </c>
      <c r="BZ18" s="321">
        <f t="shared" si="30"/>
        <v>0</v>
      </c>
      <c r="CA18" s="321">
        <f t="shared" si="31"/>
        <v>0</v>
      </c>
      <c r="CB18" s="277">
        <f t="shared" si="32"/>
        <v>0</v>
      </c>
      <c r="CC18" s="382" t="s">
        <v>293</v>
      </c>
      <c r="CD18" s="383">
        <f>HLOOKUP($CC18,$AK$6:$AM$132,ROWS(CD$6:CD18),0)</f>
        <v>0</v>
      </c>
      <c r="CE18" s="234">
        <f t="shared" si="33"/>
        <v>0</v>
      </c>
      <c r="CF18" s="96">
        <f t="shared" si="25"/>
        <v>0</v>
      </c>
      <c r="CG18" s="96">
        <f t="shared" si="25"/>
        <v>0</v>
      </c>
      <c r="CH18" s="96">
        <f t="shared" si="25"/>
        <v>0</v>
      </c>
      <c r="CI18" s="96">
        <f t="shared" si="25"/>
        <v>0</v>
      </c>
      <c r="CJ18" s="96">
        <f t="shared" si="25"/>
        <v>0</v>
      </c>
      <c r="CK18" s="96">
        <f t="shared" si="25"/>
        <v>0</v>
      </c>
      <c r="CL18" s="286">
        <f t="shared" si="25"/>
        <v>0</v>
      </c>
      <c r="CM18" s="305" t="s">
        <v>293</v>
      </c>
      <c r="CN18" s="315">
        <v>0.05</v>
      </c>
      <c r="CO18" s="306"/>
      <c r="CP18" s="307" t="str">
        <f>IF($CO18&lt;&gt;"",$CO18,HLOOKUP($CM18,$AY$6:$BA$132,ROWS(CP$6:CP18),0))</f>
        <v/>
      </c>
      <c r="CQ18" s="784" t="str">
        <f t="shared" si="26"/>
        <v/>
      </c>
      <c r="CR18" s="784" t="str">
        <f t="shared" si="26"/>
        <v/>
      </c>
      <c r="CS18" s="97" t="str">
        <f t="shared" si="26"/>
        <v/>
      </c>
      <c r="CT18" s="97" t="str">
        <f t="shared" si="26"/>
        <v/>
      </c>
      <c r="CU18" s="97" t="str">
        <f t="shared" si="26"/>
        <v/>
      </c>
      <c r="CV18" s="97" t="str">
        <f t="shared" si="26"/>
        <v/>
      </c>
      <c r="CW18" s="97" t="str">
        <f t="shared" si="26"/>
        <v/>
      </c>
      <c r="CX18" s="98" t="str">
        <f t="shared" si="26"/>
        <v/>
      </c>
      <c r="CY18" s="392"/>
    </row>
    <row r="19" spans="1:103" x14ac:dyDescent="0.25">
      <c r="A19" s="81" t="s">
        <v>27</v>
      </c>
      <c r="B19" s="82" t="s">
        <v>49</v>
      </c>
      <c r="C19" s="83" t="s">
        <v>50</v>
      </c>
      <c r="D19" s="84"/>
      <c r="E19" s="85"/>
      <c r="F19" s="85"/>
      <c r="G19" s="85"/>
      <c r="H19" s="85"/>
      <c r="I19" s="85">
        <v>0</v>
      </c>
      <c r="J19" s="85">
        <v>0</v>
      </c>
      <c r="K19" s="85">
        <v>0</v>
      </c>
      <c r="L19" s="85">
        <v>0</v>
      </c>
      <c r="M19" s="654">
        <f>'2022-23 Input'!D19</f>
        <v>0</v>
      </c>
      <c r="N19" s="1065">
        <v>0</v>
      </c>
      <c r="O19" s="560">
        <f t="shared" si="27"/>
        <v>0</v>
      </c>
      <c r="P19" s="561">
        <f t="shared" si="0"/>
        <v>0</v>
      </c>
      <c r="Q19" s="561">
        <f t="shared" si="1"/>
        <v>0</v>
      </c>
      <c r="R19" s="561">
        <f t="shared" si="2"/>
        <v>0</v>
      </c>
      <c r="S19" s="561">
        <f t="shared" si="3"/>
        <v>0</v>
      </c>
      <c r="T19" s="561">
        <f t="shared" si="4"/>
        <v>0</v>
      </c>
      <c r="U19" s="561">
        <f t="shared" si="5"/>
        <v>0</v>
      </c>
      <c r="V19" s="561">
        <f t="shared" si="6"/>
        <v>0</v>
      </c>
      <c r="W19" s="675">
        <f t="shared" si="7"/>
        <v>0</v>
      </c>
      <c r="X19" s="675">
        <f t="shared" si="8"/>
        <v>0</v>
      </c>
      <c r="Y19" s="675">
        <f t="shared" si="8"/>
        <v>0</v>
      </c>
      <c r="Z19" s="86"/>
      <c r="AA19" s="87"/>
      <c r="AB19" s="87"/>
      <c r="AC19" s="87"/>
      <c r="AD19" s="87"/>
      <c r="AE19" s="87">
        <v>0</v>
      </c>
      <c r="AF19" s="87">
        <v>0</v>
      </c>
      <c r="AG19" s="87">
        <v>0</v>
      </c>
      <c r="AH19" s="87">
        <v>0</v>
      </c>
      <c r="AI19" s="1094">
        <f>'2022-23 Input'!K19</f>
        <v>0</v>
      </c>
      <c r="AJ19" s="665">
        <v>0</v>
      </c>
      <c r="AK19" s="88">
        <f t="shared" si="9"/>
        <v>0</v>
      </c>
      <c r="AL19" s="89">
        <f t="shared" si="10"/>
        <v>0</v>
      </c>
      <c r="AM19" s="90">
        <f t="shared" si="11"/>
        <v>0</v>
      </c>
      <c r="AN19" s="91" t="str">
        <f t="shared" si="12"/>
        <v/>
      </c>
      <c r="AO19" s="92" t="str">
        <f t="shared" si="13"/>
        <v/>
      </c>
      <c r="AP19" s="92" t="str">
        <f t="shared" si="14"/>
        <v/>
      </c>
      <c r="AQ19" s="92" t="str">
        <f t="shared" si="15"/>
        <v/>
      </c>
      <c r="AR19" s="92" t="str">
        <f t="shared" si="16"/>
        <v/>
      </c>
      <c r="AS19" s="92" t="str">
        <f t="shared" si="17"/>
        <v/>
      </c>
      <c r="AT19" s="92" t="str">
        <f t="shared" si="18"/>
        <v/>
      </c>
      <c r="AU19" s="92" t="str">
        <f t="shared" si="19"/>
        <v/>
      </c>
      <c r="AV19" s="92" t="str">
        <f t="shared" si="20"/>
        <v/>
      </c>
      <c r="AW19" s="92" t="str">
        <f t="shared" si="20"/>
        <v/>
      </c>
      <c r="AX19" s="92" t="str">
        <f t="shared" si="20"/>
        <v/>
      </c>
      <c r="AY19" s="93" t="str">
        <f t="shared" si="21"/>
        <v/>
      </c>
      <c r="AZ19" s="94" t="str">
        <f t="shared" si="22"/>
        <v/>
      </c>
      <c r="BA19" s="95" t="str">
        <f t="shared" si="23"/>
        <v/>
      </c>
      <c r="BB19" s="248" t="s">
        <v>422</v>
      </c>
      <c r="BC19" s="229" t="s">
        <v>433</v>
      </c>
      <c r="BD19" s="249">
        <v>0</v>
      </c>
      <c r="BE19" s="267">
        <f t="shared" si="28"/>
        <v>0</v>
      </c>
      <c r="BF19" s="268">
        <f t="shared" si="24"/>
        <v>0</v>
      </c>
      <c r="BG19" s="268">
        <f t="shared" si="24"/>
        <v>0</v>
      </c>
      <c r="BH19" s="268">
        <f t="shared" si="24"/>
        <v>1</v>
      </c>
      <c r="BI19" s="268">
        <f t="shared" si="24"/>
        <v>2</v>
      </c>
      <c r="BJ19" s="268">
        <f t="shared" si="24"/>
        <v>3</v>
      </c>
      <c r="BK19" s="268">
        <f t="shared" si="24"/>
        <v>4</v>
      </c>
      <c r="BL19" s="269">
        <f t="shared" si="24"/>
        <v>5</v>
      </c>
      <c r="BM19" s="256">
        <f>IF($BC19=Lookup!$A$2,$BD19*ROUNDUP(BE19/10,0)+1,
IF($BC19=Lookup!$A$3,($BD19+1)^BD19,
IF($BC19=Lookup!$A$4,BE19*$BD19+1,"Error")))</f>
        <v>1</v>
      </c>
      <c r="BN19" s="229">
        <f>IF($BC19=Lookup!$A$2,$BD19*ROUNDUP(BF19/10,0)+1,
IF($BC19=Lookup!$A$3,($BD19+1)^BE19,
IF($BC19=Lookup!$A$4,BF19*$BD19+1,"Error")))</f>
        <v>1</v>
      </c>
      <c r="BO19" s="229">
        <f>IF($BC19=Lookup!$A$2,$BD19*ROUNDUP(BG19/10,0)+1,
IF($BC19=Lookup!$A$3,($BD19+1)^BF19,
IF($BC19=Lookup!$A$4,BG19*$BD19+1,"Error")))</f>
        <v>1</v>
      </c>
      <c r="BP19" s="229">
        <f>IF($BC19=Lookup!$A$2,$BD19*ROUNDUP(BH19/10,0)+1,
IF($BC19=Lookup!$A$3,($BD19+1)^BG19,
IF($BC19=Lookup!$A$4,BH19*$BD19+1,"Error")))</f>
        <v>1</v>
      </c>
      <c r="BQ19" s="229">
        <f>IF($BC19=Lookup!$A$2,$BD19*ROUNDUP(BI19/10,0)+1,
IF($BC19=Lookup!$A$3,($BD19+1)^BH19,
IF($BC19=Lookup!$A$4,BI19*$BD19+1,"Error")))</f>
        <v>1</v>
      </c>
      <c r="BR19" s="229">
        <f>IF($BC19=Lookup!$A$2,$BD19*ROUNDUP(BJ19/10,0)+1,
IF($BC19=Lookup!$A$3,($BD19+1)^BI19,
IF($BC19=Lookup!$A$4,BJ19*$BD19+1,"Error")))</f>
        <v>1</v>
      </c>
      <c r="BS19" s="229">
        <f>IF($BC19=Lookup!$A$2,$BD19*ROUNDUP(BK19/10,0)+1,
IF($BC19=Lookup!$A$3,($BD19+1)^BJ19,
IF($BC19=Lookup!$A$4,BK19*$BD19+1,"Error")))</f>
        <v>1</v>
      </c>
      <c r="BT19" s="249">
        <f>IF($BC19=Lookup!$A$2,$BD19*ROUNDUP(BL19/10,0)+1,
IF($BC19=Lookup!$A$3,($BD19+1)^BK19,
IF($BC19=Lookup!$A$4,BL19*$BD19+1,"Error")))</f>
        <v>1</v>
      </c>
      <c r="BU19" s="320"/>
      <c r="BV19" s="321">
        <f t="shared" si="36"/>
        <v>0</v>
      </c>
      <c r="BW19" s="321">
        <f t="shared" si="37"/>
        <v>0</v>
      </c>
      <c r="BX19" s="321">
        <f t="shared" si="35"/>
        <v>0</v>
      </c>
      <c r="BY19" s="321">
        <f t="shared" si="29"/>
        <v>0</v>
      </c>
      <c r="BZ19" s="321">
        <f t="shared" si="30"/>
        <v>0</v>
      </c>
      <c r="CA19" s="321">
        <f t="shared" si="31"/>
        <v>0</v>
      </c>
      <c r="CB19" s="277">
        <f t="shared" si="32"/>
        <v>0</v>
      </c>
      <c r="CC19" s="382" t="s">
        <v>293</v>
      </c>
      <c r="CD19" s="383">
        <f>HLOOKUP($CC19,$AK$6:$AM$132,ROWS(CD$6:CD19),0)</f>
        <v>0</v>
      </c>
      <c r="CE19" s="234">
        <f t="shared" si="33"/>
        <v>0</v>
      </c>
      <c r="CF19" s="96">
        <f t="shared" si="25"/>
        <v>0</v>
      </c>
      <c r="CG19" s="96">
        <f t="shared" si="25"/>
        <v>0</v>
      </c>
      <c r="CH19" s="96">
        <f t="shared" si="25"/>
        <v>0</v>
      </c>
      <c r="CI19" s="96">
        <f t="shared" si="25"/>
        <v>0</v>
      </c>
      <c r="CJ19" s="96">
        <f t="shared" si="25"/>
        <v>0</v>
      </c>
      <c r="CK19" s="96">
        <f t="shared" si="25"/>
        <v>0</v>
      </c>
      <c r="CL19" s="286">
        <f t="shared" si="25"/>
        <v>0</v>
      </c>
      <c r="CM19" s="305" t="s">
        <v>293</v>
      </c>
      <c r="CN19" s="315">
        <v>0.05</v>
      </c>
      <c r="CO19" s="306"/>
      <c r="CP19" s="307" t="str">
        <f>IF($CO19&lt;&gt;"",$CO19,HLOOKUP($CM19,$AY$6:$BA$132,ROWS(CP$6:CP19),0))</f>
        <v/>
      </c>
      <c r="CQ19" s="784" t="str">
        <f t="shared" si="26"/>
        <v/>
      </c>
      <c r="CR19" s="784" t="str">
        <f t="shared" si="26"/>
        <v/>
      </c>
      <c r="CS19" s="97" t="str">
        <f t="shared" si="26"/>
        <v/>
      </c>
      <c r="CT19" s="97" t="str">
        <f t="shared" si="26"/>
        <v/>
      </c>
      <c r="CU19" s="97" t="str">
        <f t="shared" si="26"/>
        <v/>
      </c>
      <c r="CV19" s="97" t="str">
        <f t="shared" si="26"/>
        <v/>
      </c>
      <c r="CW19" s="97" t="str">
        <f t="shared" si="26"/>
        <v/>
      </c>
      <c r="CX19" s="98" t="str">
        <f t="shared" si="26"/>
        <v/>
      </c>
      <c r="CY19" s="392"/>
    </row>
    <row r="20" spans="1:103" x14ac:dyDescent="0.25">
      <c r="A20" s="81" t="s">
        <v>27</v>
      </c>
      <c r="B20" s="82" t="s">
        <v>51</v>
      </c>
      <c r="C20" s="83" t="s">
        <v>301</v>
      </c>
      <c r="D20" s="84"/>
      <c r="E20" s="85"/>
      <c r="F20" s="85"/>
      <c r="G20" s="85"/>
      <c r="H20" s="85"/>
      <c r="I20" s="85">
        <v>0</v>
      </c>
      <c r="J20" s="85">
        <v>0</v>
      </c>
      <c r="K20" s="85">
        <v>0</v>
      </c>
      <c r="L20" s="85">
        <v>0</v>
      </c>
      <c r="M20" s="654">
        <f>'2022-23 Input'!D20</f>
        <v>0</v>
      </c>
      <c r="N20" s="1065">
        <v>0</v>
      </c>
      <c r="O20" s="560">
        <f t="shared" si="27"/>
        <v>0</v>
      </c>
      <c r="P20" s="561">
        <f t="shared" si="0"/>
        <v>0</v>
      </c>
      <c r="Q20" s="561">
        <f t="shared" si="1"/>
        <v>0</v>
      </c>
      <c r="R20" s="561">
        <f t="shared" si="2"/>
        <v>0</v>
      </c>
      <c r="S20" s="561">
        <f t="shared" si="3"/>
        <v>0</v>
      </c>
      <c r="T20" s="561">
        <f t="shared" si="4"/>
        <v>0</v>
      </c>
      <c r="U20" s="561">
        <f t="shared" si="5"/>
        <v>0</v>
      </c>
      <c r="V20" s="561">
        <f t="shared" si="6"/>
        <v>0</v>
      </c>
      <c r="W20" s="675">
        <f t="shared" si="7"/>
        <v>0</v>
      </c>
      <c r="X20" s="675">
        <f t="shared" si="8"/>
        <v>0</v>
      </c>
      <c r="Y20" s="675">
        <f t="shared" si="8"/>
        <v>0</v>
      </c>
      <c r="Z20" s="86"/>
      <c r="AA20" s="87"/>
      <c r="AB20" s="87"/>
      <c r="AC20" s="87"/>
      <c r="AD20" s="87"/>
      <c r="AE20" s="87">
        <v>0</v>
      </c>
      <c r="AF20" s="87">
        <v>0</v>
      </c>
      <c r="AG20" s="87">
        <v>0</v>
      </c>
      <c r="AH20" s="87">
        <v>0</v>
      </c>
      <c r="AI20" s="1094">
        <f>'2022-23 Input'!K20</f>
        <v>0</v>
      </c>
      <c r="AJ20" s="665">
        <v>0</v>
      </c>
      <c r="AK20" s="88">
        <f t="shared" si="9"/>
        <v>0</v>
      </c>
      <c r="AL20" s="89">
        <f t="shared" si="10"/>
        <v>0</v>
      </c>
      <c r="AM20" s="90">
        <f t="shared" si="11"/>
        <v>0</v>
      </c>
      <c r="AN20" s="91" t="str">
        <f t="shared" si="12"/>
        <v/>
      </c>
      <c r="AO20" s="92" t="str">
        <f t="shared" si="13"/>
        <v/>
      </c>
      <c r="AP20" s="92" t="str">
        <f t="shared" si="14"/>
        <v/>
      </c>
      <c r="AQ20" s="92" t="str">
        <f t="shared" si="15"/>
        <v/>
      </c>
      <c r="AR20" s="92" t="str">
        <f t="shared" si="16"/>
        <v/>
      </c>
      <c r="AS20" s="92" t="str">
        <f t="shared" si="17"/>
        <v/>
      </c>
      <c r="AT20" s="92" t="str">
        <f t="shared" si="18"/>
        <v/>
      </c>
      <c r="AU20" s="92" t="str">
        <f t="shared" si="19"/>
        <v/>
      </c>
      <c r="AV20" s="92" t="str">
        <f t="shared" si="20"/>
        <v/>
      </c>
      <c r="AW20" s="92" t="str">
        <f t="shared" si="20"/>
        <v/>
      </c>
      <c r="AX20" s="92" t="str">
        <f t="shared" si="20"/>
        <v/>
      </c>
      <c r="AY20" s="93" t="str">
        <f t="shared" si="21"/>
        <v/>
      </c>
      <c r="AZ20" s="94" t="str">
        <f t="shared" si="22"/>
        <v/>
      </c>
      <c r="BA20" s="95" t="str">
        <f t="shared" si="23"/>
        <v/>
      </c>
      <c r="BB20" s="248" t="s">
        <v>422</v>
      </c>
      <c r="BC20" s="229" t="s">
        <v>433</v>
      </c>
      <c r="BD20" s="249">
        <v>0</v>
      </c>
      <c r="BE20" s="267">
        <f t="shared" si="28"/>
        <v>0</v>
      </c>
      <c r="BF20" s="268">
        <f t="shared" si="24"/>
        <v>0</v>
      </c>
      <c r="BG20" s="268">
        <f t="shared" si="24"/>
        <v>0</v>
      </c>
      <c r="BH20" s="268">
        <f t="shared" si="24"/>
        <v>1</v>
      </c>
      <c r="BI20" s="268">
        <f t="shared" si="24"/>
        <v>2</v>
      </c>
      <c r="BJ20" s="268">
        <f t="shared" si="24"/>
        <v>3</v>
      </c>
      <c r="BK20" s="268">
        <f t="shared" si="24"/>
        <v>4</v>
      </c>
      <c r="BL20" s="269">
        <f t="shared" si="24"/>
        <v>5</v>
      </c>
      <c r="BM20" s="256">
        <f>IF($BC20=Lookup!$A$2,$BD20*ROUNDUP(BE20/10,0)+1,
IF($BC20=Lookup!$A$3,($BD20+1)^BD20,
IF($BC20=Lookup!$A$4,BE20*$BD20+1,"Error")))</f>
        <v>1</v>
      </c>
      <c r="BN20" s="229">
        <f>IF($BC20=Lookup!$A$2,$BD20*ROUNDUP(BF20/10,0)+1,
IF($BC20=Lookup!$A$3,($BD20+1)^BE20,
IF($BC20=Lookup!$A$4,BF20*$BD20+1,"Error")))</f>
        <v>1</v>
      </c>
      <c r="BO20" s="229">
        <f>IF($BC20=Lookup!$A$2,$BD20*ROUNDUP(BG20/10,0)+1,
IF($BC20=Lookup!$A$3,($BD20+1)^BF20,
IF($BC20=Lookup!$A$4,BG20*$BD20+1,"Error")))</f>
        <v>1</v>
      </c>
      <c r="BP20" s="229">
        <f>IF($BC20=Lookup!$A$2,$BD20*ROUNDUP(BH20/10,0)+1,
IF($BC20=Lookup!$A$3,($BD20+1)^BG20,
IF($BC20=Lookup!$A$4,BH20*$BD20+1,"Error")))</f>
        <v>1</v>
      </c>
      <c r="BQ20" s="229">
        <f>IF($BC20=Lookup!$A$2,$BD20*ROUNDUP(BI20/10,0)+1,
IF($BC20=Lookup!$A$3,($BD20+1)^BH20,
IF($BC20=Lookup!$A$4,BI20*$BD20+1,"Error")))</f>
        <v>1</v>
      </c>
      <c r="BR20" s="229">
        <f>IF($BC20=Lookup!$A$2,$BD20*ROUNDUP(BJ20/10,0)+1,
IF($BC20=Lookup!$A$3,($BD20+1)^BI20,
IF($BC20=Lookup!$A$4,BJ20*$BD20+1,"Error")))</f>
        <v>1</v>
      </c>
      <c r="BS20" s="229">
        <f>IF($BC20=Lookup!$A$2,$BD20*ROUNDUP(BK20/10,0)+1,
IF($BC20=Lookup!$A$3,($BD20+1)^BJ20,
IF($BC20=Lookup!$A$4,BK20*$BD20+1,"Error")))</f>
        <v>1</v>
      </c>
      <c r="BT20" s="249">
        <f>IF($BC20=Lookup!$A$2,$BD20*ROUNDUP(BL20/10,0)+1,
IF($BC20=Lookup!$A$3,($BD20+1)^BK20,
IF($BC20=Lookup!$A$4,BL20*$BD20+1,"Error")))</f>
        <v>1</v>
      </c>
      <c r="BU20" s="320"/>
      <c r="BV20" s="321">
        <f t="shared" si="36"/>
        <v>0</v>
      </c>
      <c r="BW20" s="321">
        <f t="shared" si="37"/>
        <v>0</v>
      </c>
      <c r="BX20" s="321">
        <f t="shared" si="35"/>
        <v>0</v>
      </c>
      <c r="BY20" s="321">
        <f t="shared" si="29"/>
        <v>0</v>
      </c>
      <c r="BZ20" s="321">
        <f t="shared" si="30"/>
        <v>0</v>
      </c>
      <c r="CA20" s="321">
        <f t="shared" si="31"/>
        <v>0</v>
      </c>
      <c r="CB20" s="277">
        <f t="shared" si="32"/>
        <v>0</v>
      </c>
      <c r="CC20" s="382" t="s">
        <v>293</v>
      </c>
      <c r="CD20" s="383">
        <f>HLOOKUP($CC20,$AK$6:$AM$132,ROWS(CD$6:CD20),0)</f>
        <v>0</v>
      </c>
      <c r="CE20" s="234">
        <f t="shared" si="33"/>
        <v>0</v>
      </c>
      <c r="CF20" s="96">
        <f t="shared" si="25"/>
        <v>0</v>
      </c>
      <c r="CG20" s="96">
        <f t="shared" si="25"/>
        <v>0</v>
      </c>
      <c r="CH20" s="96">
        <f t="shared" si="25"/>
        <v>0</v>
      </c>
      <c r="CI20" s="96">
        <f t="shared" si="25"/>
        <v>0</v>
      </c>
      <c r="CJ20" s="96">
        <f t="shared" si="25"/>
        <v>0</v>
      </c>
      <c r="CK20" s="96">
        <f t="shared" si="25"/>
        <v>0</v>
      </c>
      <c r="CL20" s="286">
        <f t="shared" si="25"/>
        <v>0</v>
      </c>
      <c r="CM20" s="305" t="s">
        <v>293</v>
      </c>
      <c r="CN20" s="315">
        <v>0.05</v>
      </c>
      <c r="CO20" s="306"/>
      <c r="CP20" s="307" t="str">
        <f>IF($CO20&lt;&gt;"",$CO20,HLOOKUP($CM20,$AY$6:$BA$132,ROWS(CP$6:CP20),0))</f>
        <v/>
      </c>
      <c r="CQ20" s="784" t="str">
        <f t="shared" si="26"/>
        <v/>
      </c>
      <c r="CR20" s="784" t="str">
        <f t="shared" si="26"/>
        <v/>
      </c>
      <c r="CS20" s="97" t="str">
        <f t="shared" si="26"/>
        <v/>
      </c>
      <c r="CT20" s="97" t="str">
        <f t="shared" si="26"/>
        <v/>
      </c>
      <c r="CU20" s="97" t="str">
        <f t="shared" si="26"/>
        <v/>
      </c>
      <c r="CV20" s="97" t="str">
        <f t="shared" si="26"/>
        <v/>
      </c>
      <c r="CW20" s="97" t="str">
        <f t="shared" si="26"/>
        <v/>
      </c>
      <c r="CX20" s="98" t="str">
        <f t="shared" si="26"/>
        <v/>
      </c>
      <c r="CY20" s="392"/>
    </row>
    <row r="21" spans="1:103" x14ac:dyDescent="0.25">
      <c r="A21" s="81" t="s">
        <v>27</v>
      </c>
      <c r="B21" s="82" t="s">
        <v>53</v>
      </c>
      <c r="C21" s="83" t="s">
        <v>54</v>
      </c>
      <c r="D21" s="84"/>
      <c r="E21" s="85"/>
      <c r="F21" s="85"/>
      <c r="G21" s="85"/>
      <c r="H21" s="85"/>
      <c r="I21" s="85">
        <v>0</v>
      </c>
      <c r="J21" s="85">
        <v>0</v>
      </c>
      <c r="K21" s="85">
        <v>0</v>
      </c>
      <c r="L21" s="85">
        <v>0</v>
      </c>
      <c r="M21" s="654">
        <f>'2022-23 Input'!D21</f>
        <v>0</v>
      </c>
      <c r="N21" s="1065">
        <v>0</v>
      </c>
      <c r="O21" s="560">
        <f t="shared" si="27"/>
        <v>0</v>
      </c>
      <c r="P21" s="561">
        <f t="shared" si="0"/>
        <v>0</v>
      </c>
      <c r="Q21" s="561">
        <f t="shared" si="1"/>
        <v>0</v>
      </c>
      <c r="R21" s="561">
        <f t="shared" si="2"/>
        <v>0</v>
      </c>
      <c r="S21" s="561">
        <f t="shared" si="3"/>
        <v>0</v>
      </c>
      <c r="T21" s="561">
        <f t="shared" si="4"/>
        <v>0</v>
      </c>
      <c r="U21" s="561">
        <f t="shared" si="5"/>
        <v>0</v>
      </c>
      <c r="V21" s="561">
        <f t="shared" si="6"/>
        <v>0</v>
      </c>
      <c r="W21" s="675">
        <f t="shared" si="7"/>
        <v>0</v>
      </c>
      <c r="X21" s="675">
        <f t="shared" si="8"/>
        <v>0</v>
      </c>
      <c r="Y21" s="675">
        <f t="shared" si="8"/>
        <v>0</v>
      </c>
      <c r="Z21" s="86"/>
      <c r="AA21" s="87"/>
      <c r="AB21" s="87"/>
      <c r="AC21" s="87"/>
      <c r="AD21" s="87"/>
      <c r="AE21" s="87">
        <v>0</v>
      </c>
      <c r="AF21" s="87">
        <v>0</v>
      </c>
      <c r="AG21" s="87">
        <v>0</v>
      </c>
      <c r="AH21" s="87">
        <v>0</v>
      </c>
      <c r="AI21" s="1094">
        <f>'2022-23 Input'!K21</f>
        <v>0</v>
      </c>
      <c r="AJ21" s="665">
        <v>0</v>
      </c>
      <c r="AK21" s="88">
        <f t="shared" si="9"/>
        <v>0</v>
      </c>
      <c r="AL21" s="89">
        <f t="shared" si="10"/>
        <v>0</v>
      </c>
      <c r="AM21" s="90">
        <f t="shared" si="11"/>
        <v>0</v>
      </c>
      <c r="AN21" s="91" t="str">
        <f t="shared" si="12"/>
        <v/>
      </c>
      <c r="AO21" s="92" t="str">
        <f t="shared" si="13"/>
        <v/>
      </c>
      <c r="AP21" s="92" t="str">
        <f t="shared" si="14"/>
        <v/>
      </c>
      <c r="AQ21" s="92" t="str">
        <f t="shared" si="15"/>
        <v/>
      </c>
      <c r="AR21" s="92" t="str">
        <f t="shared" si="16"/>
        <v/>
      </c>
      <c r="AS21" s="92" t="str">
        <f t="shared" si="17"/>
        <v/>
      </c>
      <c r="AT21" s="92" t="str">
        <f t="shared" si="18"/>
        <v/>
      </c>
      <c r="AU21" s="92" t="str">
        <f t="shared" si="19"/>
        <v/>
      </c>
      <c r="AV21" s="92" t="str">
        <f t="shared" si="20"/>
        <v/>
      </c>
      <c r="AW21" s="92" t="str">
        <f t="shared" si="20"/>
        <v/>
      </c>
      <c r="AX21" s="92" t="str">
        <f t="shared" si="20"/>
        <v/>
      </c>
      <c r="AY21" s="93" t="str">
        <f t="shared" si="21"/>
        <v/>
      </c>
      <c r="AZ21" s="94" t="str">
        <f t="shared" si="22"/>
        <v/>
      </c>
      <c r="BA21" s="95" t="str">
        <f t="shared" si="23"/>
        <v/>
      </c>
      <c r="BB21" s="248" t="s">
        <v>422</v>
      </c>
      <c r="BC21" s="229" t="s">
        <v>433</v>
      </c>
      <c r="BD21" s="249">
        <v>0</v>
      </c>
      <c r="BE21" s="267">
        <f t="shared" si="28"/>
        <v>0</v>
      </c>
      <c r="BF21" s="268">
        <f t="shared" si="24"/>
        <v>0</v>
      </c>
      <c r="BG21" s="268">
        <f t="shared" si="24"/>
        <v>0</v>
      </c>
      <c r="BH21" s="268">
        <f t="shared" si="24"/>
        <v>1</v>
      </c>
      <c r="BI21" s="268">
        <f t="shared" si="24"/>
        <v>2</v>
      </c>
      <c r="BJ21" s="268">
        <f t="shared" si="24"/>
        <v>3</v>
      </c>
      <c r="BK21" s="268">
        <f t="shared" si="24"/>
        <v>4</v>
      </c>
      <c r="BL21" s="269">
        <f t="shared" si="24"/>
        <v>5</v>
      </c>
      <c r="BM21" s="256">
        <f>IF($BC21=Lookup!$A$2,$BD21*ROUNDUP(BE21/10,0)+1,
IF($BC21=Lookup!$A$3,($BD21+1)^BD21,
IF($BC21=Lookup!$A$4,BE21*$BD21+1,"Error")))</f>
        <v>1</v>
      </c>
      <c r="BN21" s="229">
        <f>IF($BC21=Lookup!$A$2,$BD21*ROUNDUP(BF21/10,0)+1,
IF($BC21=Lookup!$A$3,($BD21+1)^BE21,
IF($BC21=Lookup!$A$4,BF21*$BD21+1,"Error")))</f>
        <v>1</v>
      </c>
      <c r="BO21" s="229">
        <f>IF($BC21=Lookup!$A$2,$BD21*ROUNDUP(BG21/10,0)+1,
IF($BC21=Lookup!$A$3,($BD21+1)^BF21,
IF($BC21=Lookup!$A$4,BG21*$BD21+1,"Error")))</f>
        <v>1</v>
      </c>
      <c r="BP21" s="229">
        <f>IF($BC21=Lookup!$A$2,$BD21*ROUNDUP(BH21/10,0)+1,
IF($BC21=Lookup!$A$3,($BD21+1)^BG21,
IF($BC21=Lookup!$A$4,BH21*$BD21+1,"Error")))</f>
        <v>1</v>
      </c>
      <c r="BQ21" s="229">
        <f>IF($BC21=Lookup!$A$2,$BD21*ROUNDUP(BI21/10,0)+1,
IF($BC21=Lookup!$A$3,($BD21+1)^BH21,
IF($BC21=Lookup!$A$4,BI21*$BD21+1,"Error")))</f>
        <v>1</v>
      </c>
      <c r="BR21" s="229">
        <f>IF($BC21=Lookup!$A$2,$BD21*ROUNDUP(BJ21/10,0)+1,
IF($BC21=Lookup!$A$3,($BD21+1)^BI21,
IF($BC21=Lookup!$A$4,BJ21*$BD21+1,"Error")))</f>
        <v>1</v>
      </c>
      <c r="BS21" s="229">
        <f>IF($BC21=Lookup!$A$2,$BD21*ROUNDUP(BK21/10,0)+1,
IF($BC21=Lookup!$A$3,($BD21+1)^BJ21,
IF($BC21=Lookup!$A$4,BK21*$BD21+1,"Error")))</f>
        <v>1</v>
      </c>
      <c r="BT21" s="249">
        <f>IF($BC21=Lookup!$A$2,$BD21*ROUNDUP(BL21/10,0)+1,
IF($BC21=Lookup!$A$3,($BD21+1)^BK21,
IF($BC21=Lookup!$A$4,BL21*$BD21+1,"Error")))</f>
        <v>1</v>
      </c>
      <c r="BU21" s="320"/>
      <c r="BV21" s="321">
        <f t="shared" si="36"/>
        <v>0</v>
      </c>
      <c r="BW21" s="321">
        <f t="shared" si="37"/>
        <v>0</v>
      </c>
      <c r="BX21" s="321">
        <f t="shared" si="35"/>
        <v>0</v>
      </c>
      <c r="BY21" s="321">
        <f t="shared" si="29"/>
        <v>0</v>
      </c>
      <c r="BZ21" s="321">
        <f t="shared" si="30"/>
        <v>0</v>
      </c>
      <c r="CA21" s="321">
        <f t="shared" si="31"/>
        <v>0</v>
      </c>
      <c r="CB21" s="277">
        <f t="shared" si="32"/>
        <v>0</v>
      </c>
      <c r="CC21" s="382" t="s">
        <v>293</v>
      </c>
      <c r="CD21" s="383">
        <f>HLOOKUP($CC21,$AK$6:$AM$132,ROWS(CD$6:CD21),0)</f>
        <v>0</v>
      </c>
      <c r="CE21" s="234">
        <f t="shared" si="33"/>
        <v>0</v>
      </c>
      <c r="CF21" s="96">
        <f t="shared" si="25"/>
        <v>0</v>
      </c>
      <c r="CG21" s="96">
        <f t="shared" si="25"/>
        <v>0</v>
      </c>
      <c r="CH21" s="96">
        <f t="shared" si="25"/>
        <v>0</v>
      </c>
      <c r="CI21" s="96">
        <f t="shared" si="25"/>
        <v>0</v>
      </c>
      <c r="CJ21" s="96">
        <f t="shared" si="25"/>
        <v>0</v>
      </c>
      <c r="CK21" s="96">
        <f t="shared" si="25"/>
        <v>0</v>
      </c>
      <c r="CL21" s="286">
        <f t="shared" si="25"/>
        <v>0</v>
      </c>
      <c r="CM21" s="305" t="s">
        <v>293</v>
      </c>
      <c r="CN21" s="315">
        <v>0.05</v>
      </c>
      <c r="CO21" s="306"/>
      <c r="CP21" s="307" t="str">
        <f>IF($CO21&lt;&gt;"",$CO21,HLOOKUP($CM21,$AY$6:$BA$132,ROWS(CP$6:CP21),0))</f>
        <v/>
      </c>
      <c r="CQ21" s="784" t="str">
        <f t="shared" si="26"/>
        <v/>
      </c>
      <c r="CR21" s="784" t="str">
        <f t="shared" si="26"/>
        <v/>
      </c>
      <c r="CS21" s="97" t="str">
        <f t="shared" si="26"/>
        <v/>
      </c>
      <c r="CT21" s="97" t="str">
        <f t="shared" si="26"/>
        <v/>
      </c>
      <c r="CU21" s="97" t="str">
        <f t="shared" si="26"/>
        <v/>
      </c>
      <c r="CV21" s="97" t="str">
        <f t="shared" si="26"/>
        <v/>
      </c>
      <c r="CW21" s="97" t="str">
        <f t="shared" si="26"/>
        <v/>
      </c>
      <c r="CX21" s="98" t="str">
        <f t="shared" si="26"/>
        <v/>
      </c>
      <c r="CY21" s="392"/>
    </row>
    <row r="22" spans="1:103" x14ac:dyDescent="0.25">
      <c r="A22" s="81" t="s">
        <v>27</v>
      </c>
      <c r="B22" s="82" t="s">
        <v>55</v>
      </c>
      <c r="C22" s="83" t="s">
        <v>302</v>
      </c>
      <c r="D22" s="84"/>
      <c r="E22" s="85"/>
      <c r="F22" s="85"/>
      <c r="G22" s="85"/>
      <c r="H22" s="85"/>
      <c r="I22" s="85">
        <v>0</v>
      </c>
      <c r="J22" s="85">
        <v>0</v>
      </c>
      <c r="K22" s="85">
        <v>0</v>
      </c>
      <c r="L22" s="85">
        <v>0</v>
      </c>
      <c r="M22" s="654">
        <f>'2022-23 Input'!D22</f>
        <v>0</v>
      </c>
      <c r="N22" s="1065">
        <v>0</v>
      </c>
      <c r="O22" s="560">
        <f t="shared" si="27"/>
        <v>0</v>
      </c>
      <c r="P22" s="561">
        <f t="shared" si="0"/>
        <v>0</v>
      </c>
      <c r="Q22" s="561">
        <f t="shared" si="1"/>
        <v>0</v>
      </c>
      <c r="R22" s="561">
        <f t="shared" si="2"/>
        <v>0</v>
      </c>
      <c r="S22" s="561">
        <f t="shared" si="3"/>
        <v>0</v>
      </c>
      <c r="T22" s="561">
        <f t="shared" si="4"/>
        <v>0</v>
      </c>
      <c r="U22" s="561">
        <f t="shared" si="5"/>
        <v>0</v>
      </c>
      <c r="V22" s="561">
        <f t="shared" si="6"/>
        <v>0</v>
      </c>
      <c r="W22" s="675">
        <f t="shared" si="7"/>
        <v>0</v>
      </c>
      <c r="X22" s="675">
        <f t="shared" si="8"/>
        <v>0</v>
      </c>
      <c r="Y22" s="675">
        <f t="shared" si="8"/>
        <v>0</v>
      </c>
      <c r="Z22" s="86"/>
      <c r="AA22" s="87"/>
      <c r="AB22" s="87"/>
      <c r="AC22" s="87"/>
      <c r="AD22" s="87"/>
      <c r="AE22" s="87">
        <v>0</v>
      </c>
      <c r="AF22" s="87">
        <v>0</v>
      </c>
      <c r="AG22" s="87">
        <v>0</v>
      </c>
      <c r="AH22" s="87">
        <v>0</v>
      </c>
      <c r="AI22" s="1094">
        <f>'2022-23 Input'!K22</f>
        <v>0</v>
      </c>
      <c r="AJ22" s="665">
        <v>0</v>
      </c>
      <c r="AK22" s="88">
        <f t="shared" si="9"/>
        <v>0</v>
      </c>
      <c r="AL22" s="89">
        <f t="shared" si="10"/>
        <v>0</v>
      </c>
      <c r="AM22" s="90">
        <f t="shared" si="11"/>
        <v>0</v>
      </c>
      <c r="AN22" s="91" t="str">
        <f t="shared" si="12"/>
        <v/>
      </c>
      <c r="AO22" s="92" t="str">
        <f t="shared" si="13"/>
        <v/>
      </c>
      <c r="AP22" s="92" t="str">
        <f t="shared" si="14"/>
        <v/>
      </c>
      <c r="AQ22" s="92" t="str">
        <f t="shared" si="15"/>
        <v/>
      </c>
      <c r="AR22" s="92" t="str">
        <f t="shared" si="16"/>
        <v/>
      </c>
      <c r="AS22" s="92" t="str">
        <f t="shared" si="17"/>
        <v/>
      </c>
      <c r="AT22" s="92" t="str">
        <f t="shared" si="18"/>
        <v/>
      </c>
      <c r="AU22" s="92" t="str">
        <f t="shared" si="19"/>
        <v/>
      </c>
      <c r="AV22" s="92" t="str">
        <f t="shared" si="20"/>
        <v/>
      </c>
      <c r="AW22" s="92" t="str">
        <f t="shared" si="20"/>
        <v/>
      </c>
      <c r="AX22" s="92" t="str">
        <f t="shared" si="20"/>
        <v/>
      </c>
      <c r="AY22" s="93" t="str">
        <f t="shared" si="21"/>
        <v/>
      </c>
      <c r="AZ22" s="94" t="str">
        <f t="shared" si="22"/>
        <v/>
      </c>
      <c r="BA22" s="95" t="str">
        <f t="shared" si="23"/>
        <v/>
      </c>
      <c r="BB22" s="248" t="s">
        <v>422</v>
      </c>
      <c r="BC22" s="229" t="s">
        <v>433</v>
      </c>
      <c r="BD22" s="249">
        <v>0</v>
      </c>
      <c r="BE22" s="267">
        <f t="shared" si="28"/>
        <v>0</v>
      </c>
      <c r="BF22" s="268">
        <f t="shared" si="24"/>
        <v>0</v>
      </c>
      <c r="BG22" s="268">
        <f t="shared" si="24"/>
        <v>0</v>
      </c>
      <c r="BH22" s="268">
        <f t="shared" si="24"/>
        <v>1</v>
      </c>
      <c r="BI22" s="268">
        <f t="shared" si="24"/>
        <v>2</v>
      </c>
      <c r="BJ22" s="268">
        <f t="shared" si="24"/>
        <v>3</v>
      </c>
      <c r="BK22" s="268">
        <f t="shared" si="24"/>
        <v>4</v>
      </c>
      <c r="BL22" s="269">
        <f t="shared" si="24"/>
        <v>5</v>
      </c>
      <c r="BM22" s="256">
        <f>IF($BC22=Lookup!$A$2,$BD22*ROUNDUP(BE22/10,0)+1,
IF($BC22=Lookup!$A$3,($BD22+1)^BD22,
IF($BC22=Lookup!$A$4,BE22*$BD22+1,"Error")))</f>
        <v>1</v>
      </c>
      <c r="BN22" s="229">
        <f>IF($BC22=Lookup!$A$2,$BD22*ROUNDUP(BF22/10,0)+1,
IF($BC22=Lookup!$A$3,($BD22+1)^BE22,
IF($BC22=Lookup!$A$4,BF22*$BD22+1,"Error")))</f>
        <v>1</v>
      </c>
      <c r="BO22" s="229">
        <f>IF($BC22=Lookup!$A$2,$BD22*ROUNDUP(BG22/10,0)+1,
IF($BC22=Lookup!$A$3,($BD22+1)^BF22,
IF($BC22=Lookup!$A$4,BG22*$BD22+1,"Error")))</f>
        <v>1</v>
      </c>
      <c r="BP22" s="229">
        <f>IF($BC22=Lookup!$A$2,$BD22*ROUNDUP(BH22/10,0)+1,
IF($BC22=Lookup!$A$3,($BD22+1)^BG22,
IF($BC22=Lookup!$A$4,BH22*$BD22+1,"Error")))</f>
        <v>1</v>
      </c>
      <c r="BQ22" s="229">
        <f>IF($BC22=Lookup!$A$2,$BD22*ROUNDUP(BI22/10,0)+1,
IF($BC22=Lookup!$A$3,($BD22+1)^BH22,
IF($BC22=Lookup!$A$4,BI22*$BD22+1,"Error")))</f>
        <v>1</v>
      </c>
      <c r="BR22" s="229">
        <f>IF($BC22=Lookup!$A$2,$BD22*ROUNDUP(BJ22/10,0)+1,
IF($BC22=Lookup!$A$3,($BD22+1)^BI22,
IF($BC22=Lookup!$A$4,BJ22*$BD22+1,"Error")))</f>
        <v>1</v>
      </c>
      <c r="BS22" s="229">
        <f>IF($BC22=Lookup!$A$2,$BD22*ROUNDUP(BK22/10,0)+1,
IF($BC22=Lookup!$A$3,($BD22+1)^BJ22,
IF($BC22=Lookup!$A$4,BK22*$BD22+1,"Error")))</f>
        <v>1</v>
      </c>
      <c r="BT22" s="249">
        <f>IF($BC22=Lookup!$A$2,$BD22*ROUNDUP(BL22/10,0)+1,
IF($BC22=Lookup!$A$3,($BD22+1)^BK22,
IF($BC22=Lookup!$A$4,BL22*$BD22+1,"Error")))</f>
        <v>1</v>
      </c>
      <c r="BU22" s="320"/>
      <c r="BV22" s="321">
        <f t="shared" si="36"/>
        <v>0</v>
      </c>
      <c r="BW22" s="321">
        <f t="shared" si="37"/>
        <v>0</v>
      </c>
      <c r="BX22" s="321">
        <f t="shared" si="35"/>
        <v>0</v>
      </c>
      <c r="BY22" s="321">
        <f t="shared" si="29"/>
        <v>0</v>
      </c>
      <c r="BZ22" s="321">
        <f t="shared" si="30"/>
        <v>0</v>
      </c>
      <c r="CA22" s="321">
        <f t="shared" si="31"/>
        <v>0</v>
      </c>
      <c r="CB22" s="277">
        <f t="shared" si="32"/>
        <v>0</v>
      </c>
      <c r="CC22" s="382" t="s">
        <v>293</v>
      </c>
      <c r="CD22" s="383">
        <f>HLOOKUP($CC22,$AK$6:$AM$132,ROWS(CD$6:CD22),0)</f>
        <v>0</v>
      </c>
      <c r="CE22" s="234">
        <f t="shared" si="33"/>
        <v>0</v>
      </c>
      <c r="CF22" s="96">
        <f t="shared" si="25"/>
        <v>0</v>
      </c>
      <c r="CG22" s="96">
        <f t="shared" si="25"/>
        <v>0</v>
      </c>
      <c r="CH22" s="96">
        <f t="shared" si="25"/>
        <v>0</v>
      </c>
      <c r="CI22" s="96">
        <f t="shared" si="25"/>
        <v>0</v>
      </c>
      <c r="CJ22" s="96">
        <f t="shared" si="25"/>
        <v>0</v>
      </c>
      <c r="CK22" s="96">
        <f t="shared" si="25"/>
        <v>0</v>
      </c>
      <c r="CL22" s="286">
        <f t="shared" si="25"/>
        <v>0</v>
      </c>
      <c r="CM22" s="305" t="s">
        <v>293</v>
      </c>
      <c r="CN22" s="315">
        <v>0.05</v>
      </c>
      <c r="CO22" s="306"/>
      <c r="CP22" s="307" t="str">
        <f>IF($CO22&lt;&gt;"",$CO22,HLOOKUP($CM22,$AY$6:$BA$132,ROWS(CP$6:CP22),0))</f>
        <v/>
      </c>
      <c r="CQ22" s="784" t="str">
        <f t="shared" si="26"/>
        <v/>
      </c>
      <c r="CR22" s="784" t="str">
        <f t="shared" si="26"/>
        <v/>
      </c>
      <c r="CS22" s="97" t="str">
        <f t="shared" si="26"/>
        <v/>
      </c>
      <c r="CT22" s="97" t="str">
        <f t="shared" si="26"/>
        <v/>
      </c>
      <c r="CU22" s="97" t="str">
        <f t="shared" si="26"/>
        <v/>
      </c>
      <c r="CV22" s="97" t="str">
        <f t="shared" si="26"/>
        <v/>
      </c>
      <c r="CW22" s="97" t="str">
        <f t="shared" si="26"/>
        <v/>
      </c>
      <c r="CX22" s="98" t="str">
        <f t="shared" si="26"/>
        <v/>
      </c>
      <c r="CY22" s="392"/>
    </row>
    <row r="23" spans="1:103" x14ac:dyDescent="0.25">
      <c r="A23" s="81" t="s">
        <v>27</v>
      </c>
      <c r="B23" s="82" t="s">
        <v>57</v>
      </c>
      <c r="C23" s="83" t="s">
        <v>58</v>
      </c>
      <c r="D23" s="84"/>
      <c r="E23" s="85"/>
      <c r="F23" s="85"/>
      <c r="G23" s="85"/>
      <c r="H23" s="85"/>
      <c r="I23" s="85">
        <v>0</v>
      </c>
      <c r="J23" s="85">
        <v>0</v>
      </c>
      <c r="K23" s="85">
        <v>0</v>
      </c>
      <c r="L23" s="85">
        <v>0</v>
      </c>
      <c r="M23" s="654">
        <f>'2022-23 Input'!D23</f>
        <v>0</v>
      </c>
      <c r="N23" s="1065">
        <v>0</v>
      </c>
      <c r="O23" s="560">
        <f t="shared" si="27"/>
        <v>0</v>
      </c>
      <c r="P23" s="561">
        <f t="shared" si="0"/>
        <v>0</v>
      </c>
      <c r="Q23" s="561">
        <f t="shared" si="1"/>
        <v>0</v>
      </c>
      <c r="R23" s="561">
        <f t="shared" si="2"/>
        <v>0</v>
      </c>
      <c r="S23" s="561">
        <f t="shared" si="3"/>
        <v>0</v>
      </c>
      <c r="T23" s="561">
        <f t="shared" si="4"/>
        <v>0</v>
      </c>
      <c r="U23" s="561">
        <f t="shared" si="5"/>
        <v>0</v>
      </c>
      <c r="V23" s="561">
        <f t="shared" si="6"/>
        <v>0</v>
      </c>
      <c r="W23" s="675">
        <f t="shared" si="7"/>
        <v>0</v>
      </c>
      <c r="X23" s="675">
        <f t="shared" si="8"/>
        <v>0</v>
      </c>
      <c r="Y23" s="675">
        <f t="shared" si="8"/>
        <v>0</v>
      </c>
      <c r="Z23" s="86"/>
      <c r="AA23" s="87"/>
      <c r="AB23" s="87"/>
      <c r="AC23" s="87"/>
      <c r="AD23" s="87"/>
      <c r="AE23" s="87">
        <v>0</v>
      </c>
      <c r="AF23" s="87">
        <v>0</v>
      </c>
      <c r="AG23" s="87">
        <v>0</v>
      </c>
      <c r="AH23" s="87">
        <v>0</v>
      </c>
      <c r="AI23" s="1094">
        <f>'2022-23 Input'!K23</f>
        <v>0</v>
      </c>
      <c r="AJ23" s="665">
        <v>0</v>
      </c>
      <c r="AK23" s="88">
        <f t="shared" si="9"/>
        <v>0</v>
      </c>
      <c r="AL23" s="89">
        <f t="shared" si="10"/>
        <v>0</v>
      </c>
      <c r="AM23" s="90">
        <f t="shared" si="11"/>
        <v>0</v>
      </c>
      <c r="AN23" s="91" t="str">
        <f t="shared" si="12"/>
        <v/>
      </c>
      <c r="AO23" s="92" t="str">
        <f t="shared" si="13"/>
        <v/>
      </c>
      <c r="AP23" s="92" t="str">
        <f t="shared" si="14"/>
        <v/>
      </c>
      <c r="AQ23" s="92" t="str">
        <f t="shared" si="15"/>
        <v/>
      </c>
      <c r="AR23" s="92" t="str">
        <f t="shared" si="16"/>
        <v/>
      </c>
      <c r="AS23" s="92" t="str">
        <f t="shared" si="17"/>
        <v/>
      </c>
      <c r="AT23" s="92" t="str">
        <f t="shared" si="18"/>
        <v/>
      </c>
      <c r="AU23" s="92" t="str">
        <f t="shared" si="19"/>
        <v/>
      </c>
      <c r="AV23" s="92" t="str">
        <f t="shared" ref="AV23:AX38" si="38">IFERROR(L23/AH23,"")</f>
        <v/>
      </c>
      <c r="AW23" s="92" t="str">
        <f t="shared" si="38"/>
        <v/>
      </c>
      <c r="AX23" s="92" t="str">
        <f t="shared" si="38"/>
        <v/>
      </c>
      <c r="AY23" s="93" t="str">
        <f t="shared" si="21"/>
        <v/>
      </c>
      <c r="AZ23" s="94" t="str">
        <f t="shared" si="22"/>
        <v/>
      </c>
      <c r="BA23" s="95" t="str">
        <f t="shared" si="23"/>
        <v/>
      </c>
      <c r="BB23" s="248" t="s">
        <v>422</v>
      </c>
      <c r="BC23" s="229" t="s">
        <v>433</v>
      </c>
      <c r="BD23" s="249">
        <v>0</v>
      </c>
      <c r="BE23" s="267">
        <f t="shared" si="28"/>
        <v>0</v>
      </c>
      <c r="BF23" s="268">
        <f t="shared" ref="BF23:BL38" si="39">IF(BF$6=$BB23,1,
IF(BE23&lt;&gt;0,BE23+1,0
))</f>
        <v>0</v>
      </c>
      <c r="BG23" s="268">
        <f t="shared" si="39"/>
        <v>0</v>
      </c>
      <c r="BH23" s="268">
        <f t="shared" si="39"/>
        <v>1</v>
      </c>
      <c r="BI23" s="268">
        <f t="shared" si="39"/>
        <v>2</v>
      </c>
      <c r="BJ23" s="268">
        <f t="shared" si="39"/>
        <v>3</v>
      </c>
      <c r="BK23" s="268">
        <f t="shared" si="39"/>
        <v>4</v>
      </c>
      <c r="BL23" s="269">
        <f t="shared" si="39"/>
        <v>5</v>
      </c>
      <c r="BM23" s="256">
        <f>IF($BC23=Lookup!$A$2,$BD23*ROUNDUP(BE23/10,0)+1,
IF($BC23=Lookup!$A$3,($BD23+1)^BD23,
IF($BC23=Lookup!$A$4,BE23*$BD23+1,"Error")))</f>
        <v>1</v>
      </c>
      <c r="BN23" s="229">
        <f>IF($BC23=Lookup!$A$2,$BD23*ROUNDUP(BF23/10,0)+1,
IF($BC23=Lookup!$A$3,($BD23+1)^BE23,
IF($BC23=Lookup!$A$4,BF23*$BD23+1,"Error")))</f>
        <v>1</v>
      </c>
      <c r="BO23" s="229">
        <f>IF($BC23=Lookup!$A$2,$BD23*ROUNDUP(BG23/10,0)+1,
IF($BC23=Lookup!$A$3,($BD23+1)^BF23,
IF($BC23=Lookup!$A$4,BG23*$BD23+1,"Error")))</f>
        <v>1</v>
      </c>
      <c r="BP23" s="229">
        <f>IF($BC23=Lookup!$A$2,$BD23*ROUNDUP(BH23/10,0)+1,
IF($BC23=Lookup!$A$3,($BD23+1)^BG23,
IF($BC23=Lookup!$A$4,BH23*$BD23+1,"Error")))</f>
        <v>1</v>
      </c>
      <c r="BQ23" s="229">
        <f>IF($BC23=Lookup!$A$2,$BD23*ROUNDUP(BI23/10,0)+1,
IF($BC23=Lookup!$A$3,($BD23+1)^BH23,
IF($BC23=Lookup!$A$4,BI23*$BD23+1,"Error")))</f>
        <v>1</v>
      </c>
      <c r="BR23" s="229">
        <f>IF($BC23=Lookup!$A$2,$BD23*ROUNDUP(BJ23/10,0)+1,
IF($BC23=Lookup!$A$3,($BD23+1)^BI23,
IF($BC23=Lookup!$A$4,BJ23*$BD23+1,"Error")))</f>
        <v>1</v>
      </c>
      <c r="BS23" s="229">
        <f>IF($BC23=Lookup!$A$2,$BD23*ROUNDUP(BK23/10,0)+1,
IF($BC23=Lookup!$A$3,($BD23+1)^BJ23,
IF($BC23=Lookup!$A$4,BK23*$BD23+1,"Error")))</f>
        <v>1</v>
      </c>
      <c r="BT23" s="249">
        <f>IF($BC23=Lookup!$A$2,$BD23*ROUNDUP(BL23/10,0)+1,
IF($BC23=Lookup!$A$3,($BD23+1)^BK23,
IF($BC23=Lookup!$A$4,BL23*$BD23+1,"Error")))</f>
        <v>1</v>
      </c>
      <c r="BU23" s="320"/>
      <c r="BV23" s="321">
        <f t="shared" si="36"/>
        <v>0</v>
      </c>
      <c r="BW23" s="321">
        <f t="shared" si="37"/>
        <v>0</v>
      </c>
      <c r="BX23" s="321">
        <f t="shared" si="35"/>
        <v>0</v>
      </c>
      <c r="BY23" s="321">
        <f t="shared" si="29"/>
        <v>0</v>
      </c>
      <c r="BZ23" s="321">
        <f t="shared" si="30"/>
        <v>0</v>
      </c>
      <c r="CA23" s="321">
        <f t="shared" si="31"/>
        <v>0</v>
      </c>
      <c r="CB23" s="277">
        <f t="shared" si="32"/>
        <v>0</v>
      </c>
      <c r="CC23" s="382" t="s">
        <v>293</v>
      </c>
      <c r="CD23" s="383">
        <f>HLOOKUP($CC23,$AK$6:$AM$132,ROWS(CD$6:CD23),0)</f>
        <v>0</v>
      </c>
      <c r="CE23" s="234">
        <f t="shared" si="33"/>
        <v>0</v>
      </c>
      <c r="CF23" s="96">
        <f t="shared" si="25"/>
        <v>0</v>
      </c>
      <c r="CG23" s="96">
        <f t="shared" si="25"/>
        <v>0</v>
      </c>
      <c r="CH23" s="96">
        <f t="shared" si="25"/>
        <v>0</v>
      </c>
      <c r="CI23" s="96">
        <f t="shared" si="25"/>
        <v>0</v>
      </c>
      <c r="CJ23" s="96">
        <f t="shared" si="25"/>
        <v>0</v>
      </c>
      <c r="CK23" s="96">
        <f t="shared" si="25"/>
        <v>0</v>
      </c>
      <c r="CL23" s="286">
        <f t="shared" si="25"/>
        <v>0</v>
      </c>
      <c r="CM23" s="305" t="s">
        <v>293</v>
      </c>
      <c r="CN23" s="315">
        <v>0.05</v>
      </c>
      <c r="CO23" s="306"/>
      <c r="CP23" s="307" t="str">
        <f>IF($CO23&lt;&gt;"",$CO23,HLOOKUP($CM23,$AY$6:$BA$132,ROWS(CP$6:CP23),0))</f>
        <v/>
      </c>
      <c r="CQ23" s="784" t="str">
        <f t="shared" si="26"/>
        <v/>
      </c>
      <c r="CR23" s="784" t="str">
        <f t="shared" si="26"/>
        <v/>
      </c>
      <c r="CS23" s="97" t="str">
        <f t="shared" si="26"/>
        <v/>
      </c>
      <c r="CT23" s="97" t="str">
        <f t="shared" si="26"/>
        <v/>
      </c>
      <c r="CU23" s="97" t="str">
        <f t="shared" si="26"/>
        <v/>
      </c>
      <c r="CV23" s="97" t="str">
        <f t="shared" si="26"/>
        <v/>
      </c>
      <c r="CW23" s="97" t="str">
        <f t="shared" si="26"/>
        <v/>
      </c>
      <c r="CX23" s="98" t="str">
        <f t="shared" si="26"/>
        <v/>
      </c>
      <c r="CY23" s="392"/>
    </row>
    <row r="24" spans="1:103" x14ac:dyDescent="0.25">
      <c r="A24" s="81" t="s">
        <v>27</v>
      </c>
      <c r="B24" s="82" t="s">
        <v>59</v>
      </c>
      <c r="C24" s="83" t="s">
        <v>60</v>
      </c>
      <c r="D24" s="84"/>
      <c r="E24" s="85"/>
      <c r="F24" s="85"/>
      <c r="G24" s="85"/>
      <c r="H24" s="85"/>
      <c r="I24" s="85">
        <v>0</v>
      </c>
      <c r="J24" s="85">
        <v>0</v>
      </c>
      <c r="K24" s="85">
        <v>0</v>
      </c>
      <c r="L24" s="85">
        <v>0</v>
      </c>
      <c r="M24" s="654">
        <f>'2022-23 Input'!D24</f>
        <v>0</v>
      </c>
      <c r="N24" s="1065">
        <v>0</v>
      </c>
      <c r="O24" s="560">
        <f t="shared" si="27"/>
        <v>0</v>
      </c>
      <c r="P24" s="561">
        <f t="shared" si="0"/>
        <v>0</v>
      </c>
      <c r="Q24" s="561">
        <f t="shared" si="1"/>
        <v>0</v>
      </c>
      <c r="R24" s="561">
        <f t="shared" si="2"/>
        <v>0</v>
      </c>
      <c r="S24" s="561">
        <f t="shared" si="3"/>
        <v>0</v>
      </c>
      <c r="T24" s="561">
        <f t="shared" si="4"/>
        <v>0</v>
      </c>
      <c r="U24" s="561">
        <f t="shared" si="5"/>
        <v>0</v>
      </c>
      <c r="V24" s="561">
        <f t="shared" si="6"/>
        <v>0</v>
      </c>
      <c r="W24" s="675">
        <f t="shared" si="7"/>
        <v>0</v>
      </c>
      <c r="X24" s="675">
        <f t="shared" si="8"/>
        <v>0</v>
      </c>
      <c r="Y24" s="675">
        <f t="shared" si="8"/>
        <v>0</v>
      </c>
      <c r="Z24" s="86"/>
      <c r="AA24" s="87"/>
      <c r="AB24" s="87"/>
      <c r="AC24" s="87"/>
      <c r="AD24" s="87"/>
      <c r="AE24" s="87">
        <v>0</v>
      </c>
      <c r="AF24" s="87">
        <v>0</v>
      </c>
      <c r="AG24" s="87">
        <v>0</v>
      </c>
      <c r="AH24" s="87">
        <v>0</v>
      </c>
      <c r="AI24" s="1094">
        <f>'2022-23 Input'!K24</f>
        <v>0</v>
      </c>
      <c r="AJ24" s="665">
        <v>0</v>
      </c>
      <c r="AK24" s="88">
        <f t="shared" si="9"/>
        <v>0</v>
      </c>
      <c r="AL24" s="89">
        <f t="shared" si="10"/>
        <v>0</v>
      </c>
      <c r="AM24" s="90">
        <f t="shared" si="11"/>
        <v>0</v>
      </c>
      <c r="AN24" s="91" t="str">
        <f t="shared" si="12"/>
        <v/>
      </c>
      <c r="AO24" s="92" t="str">
        <f t="shared" si="13"/>
        <v/>
      </c>
      <c r="AP24" s="92" t="str">
        <f t="shared" si="14"/>
        <v/>
      </c>
      <c r="AQ24" s="92" t="str">
        <f t="shared" si="15"/>
        <v/>
      </c>
      <c r="AR24" s="92" t="str">
        <f t="shared" si="16"/>
        <v/>
      </c>
      <c r="AS24" s="92" t="str">
        <f t="shared" si="17"/>
        <v/>
      </c>
      <c r="AT24" s="92" t="str">
        <f t="shared" si="18"/>
        <v/>
      </c>
      <c r="AU24" s="92" t="str">
        <f t="shared" si="19"/>
        <v/>
      </c>
      <c r="AV24" s="92" t="str">
        <f t="shared" si="38"/>
        <v/>
      </c>
      <c r="AW24" s="92" t="str">
        <f t="shared" si="38"/>
        <v/>
      </c>
      <c r="AX24" s="92" t="str">
        <f t="shared" si="38"/>
        <v/>
      </c>
      <c r="AY24" s="93" t="str">
        <f t="shared" si="21"/>
        <v/>
      </c>
      <c r="AZ24" s="94" t="str">
        <f t="shared" si="22"/>
        <v/>
      </c>
      <c r="BA24" s="95" t="str">
        <f t="shared" si="23"/>
        <v/>
      </c>
      <c r="BB24" s="248" t="s">
        <v>422</v>
      </c>
      <c r="BC24" s="229" t="s">
        <v>433</v>
      </c>
      <c r="BD24" s="249">
        <v>0</v>
      </c>
      <c r="BE24" s="267">
        <f t="shared" si="28"/>
        <v>0</v>
      </c>
      <c r="BF24" s="268">
        <f t="shared" si="39"/>
        <v>0</v>
      </c>
      <c r="BG24" s="268">
        <f t="shared" si="39"/>
        <v>0</v>
      </c>
      <c r="BH24" s="268">
        <f t="shared" si="39"/>
        <v>1</v>
      </c>
      <c r="BI24" s="268">
        <f t="shared" si="39"/>
        <v>2</v>
      </c>
      <c r="BJ24" s="268">
        <f t="shared" si="39"/>
        <v>3</v>
      </c>
      <c r="BK24" s="268">
        <f t="shared" si="39"/>
        <v>4</v>
      </c>
      <c r="BL24" s="269">
        <f t="shared" si="39"/>
        <v>5</v>
      </c>
      <c r="BM24" s="256">
        <f>IF($BC24=Lookup!$A$2,$BD24*ROUNDUP(BE24/10,0)+1,
IF($BC24=Lookup!$A$3,($BD24+1)^BD24,
IF($BC24=Lookup!$A$4,BE24*$BD24+1,"Error")))</f>
        <v>1</v>
      </c>
      <c r="BN24" s="229">
        <f>IF($BC24=Lookup!$A$2,$BD24*ROUNDUP(BF24/10,0)+1,
IF($BC24=Lookup!$A$3,($BD24+1)^BE24,
IF($BC24=Lookup!$A$4,BF24*$BD24+1,"Error")))</f>
        <v>1</v>
      </c>
      <c r="BO24" s="229">
        <f>IF($BC24=Lookup!$A$2,$BD24*ROUNDUP(BG24/10,0)+1,
IF($BC24=Lookup!$A$3,($BD24+1)^BF24,
IF($BC24=Lookup!$A$4,BG24*$BD24+1,"Error")))</f>
        <v>1</v>
      </c>
      <c r="BP24" s="229">
        <f>IF($BC24=Lookup!$A$2,$BD24*ROUNDUP(BH24/10,0)+1,
IF($BC24=Lookup!$A$3,($BD24+1)^BG24,
IF($BC24=Lookup!$A$4,BH24*$BD24+1,"Error")))</f>
        <v>1</v>
      </c>
      <c r="BQ24" s="229">
        <f>IF($BC24=Lookup!$A$2,$BD24*ROUNDUP(BI24/10,0)+1,
IF($BC24=Lookup!$A$3,($BD24+1)^BH24,
IF($BC24=Lookup!$A$4,BI24*$BD24+1,"Error")))</f>
        <v>1</v>
      </c>
      <c r="BR24" s="229">
        <f>IF($BC24=Lookup!$A$2,$BD24*ROUNDUP(BJ24/10,0)+1,
IF($BC24=Lookup!$A$3,($BD24+1)^BI24,
IF($BC24=Lookup!$A$4,BJ24*$BD24+1,"Error")))</f>
        <v>1</v>
      </c>
      <c r="BS24" s="229">
        <f>IF($BC24=Lookup!$A$2,$BD24*ROUNDUP(BK24/10,0)+1,
IF($BC24=Lookup!$A$3,($BD24+1)^BJ24,
IF($BC24=Lookup!$A$4,BK24*$BD24+1,"Error")))</f>
        <v>1</v>
      </c>
      <c r="BT24" s="249">
        <f>IF($BC24=Lookup!$A$2,$BD24*ROUNDUP(BL24/10,0)+1,
IF($BC24=Lookup!$A$3,($BD24+1)^BK24,
IF($BC24=Lookup!$A$4,BL24*$BD24+1,"Error")))</f>
        <v>1</v>
      </c>
      <c r="BU24" s="320"/>
      <c r="BV24" s="321">
        <f t="shared" si="36"/>
        <v>0</v>
      </c>
      <c r="BW24" s="321">
        <f t="shared" si="37"/>
        <v>0</v>
      </c>
      <c r="BX24" s="321">
        <f t="shared" si="35"/>
        <v>0</v>
      </c>
      <c r="BY24" s="321">
        <f t="shared" si="29"/>
        <v>0</v>
      </c>
      <c r="BZ24" s="321">
        <f t="shared" si="30"/>
        <v>0</v>
      </c>
      <c r="CA24" s="321">
        <f t="shared" si="31"/>
        <v>0</v>
      </c>
      <c r="CB24" s="277">
        <f t="shared" si="32"/>
        <v>0</v>
      </c>
      <c r="CC24" s="382" t="s">
        <v>293</v>
      </c>
      <c r="CD24" s="383">
        <f>HLOOKUP($CC24,$AK$6:$AM$132,ROWS(CD$6:CD24),0)</f>
        <v>0</v>
      </c>
      <c r="CE24" s="234">
        <f t="shared" si="33"/>
        <v>0</v>
      </c>
      <c r="CF24" s="96">
        <f t="shared" si="25"/>
        <v>0</v>
      </c>
      <c r="CG24" s="96">
        <f t="shared" si="25"/>
        <v>0</v>
      </c>
      <c r="CH24" s="96">
        <f t="shared" si="25"/>
        <v>0</v>
      </c>
      <c r="CI24" s="96">
        <f t="shared" si="25"/>
        <v>0</v>
      </c>
      <c r="CJ24" s="96">
        <f t="shared" si="25"/>
        <v>0</v>
      </c>
      <c r="CK24" s="96">
        <f t="shared" si="25"/>
        <v>0</v>
      </c>
      <c r="CL24" s="286">
        <f t="shared" si="25"/>
        <v>0</v>
      </c>
      <c r="CM24" s="305" t="s">
        <v>293</v>
      </c>
      <c r="CN24" s="315">
        <v>0.05</v>
      </c>
      <c r="CO24" s="306"/>
      <c r="CP24" s="307" t="str">
        <f>IF($CO24&lt;&gt;"",$CO24,HLOOKUP($CM24,$AY$6:$BA$132,ROWS(CP$6:CP24),0))</f>
        <v/>
      </c>
      <c r="CQ24" s="784" t="str">
        <f t="shared" si="26"/>
        <v/>
      </c>
      <c r="CR24" s="784" t="str">
        <f t="shared" si="26"/>
        <v/>
      </c>
      <c r="CS24" s="97" t="str">
        <f t="shared" si="26"/>
        <v/>
      </c>
      <c r="CT24" s="97" t="str">
        <f t="shared" si="26"/>
        <v/>
      </c>
      <c r="CU24" s="97" t="str">
        <f t="shared" si="26"/>
        <v/>
      </c>
      <c r="CV24" s="97" t="str">
        <f t="shared" si="26"/>
        <v/>
      </c>
      <c r="CW24" s="97" t="str">
        <f t="shared" si="26"/>
        <v/>
      </c>
      <c r="CX24" s="98" t="str">
        <f t="shared" si="26"/>
        <v/>
      </c>
      <c r="CY24" s="392"/>
    </row>
    <row r="25" spans="1:103" x14ac:dyDescent="0.25">
      <c r="A25" s="81" t="s">
        <v>27</v>
      </c>
      <c r="B25" s="82" t="s">
        <v>61</v>
      </c>
      <c r="C25" s="83" t="s">
        <v>62</v>
      </c>
      <c r="D25" s="84"/>
      <c r="E25" s="85"/>
      <c r="F25" s="85"/>
      <c r="G25" s="85"/>
      <c r="H25" s="85"/>
      <c r="I25" s="85">
        <v>0</v>
      </c>
      <c r="J25" s="85">
        <v>0</v>
      </c>
      <c r="K25" s="85">
        <v>0</v>
      </c>
      <c r="L25" s="85">
        <v>0</v>
      </c>
      <c r="M25" s="654">
        <f>'2022-23 Input'!D25</f>
        <v>0</v>
      </c>
      <c r="N25" s="1065">
        <v>0</v>
      </c>
      <c r="O25" s="560">
        <f t="shared" si="27"/>
        <v>0</v>
      </c>
      <c r="P25" s="561">
        <f t="shared" si="0"/>
        <v>0</v>
      </c>
      <c r="Q25" s="561">
        <f t="shared" si="1"/>
        <v>0</v>
      </c>
      <c r="R25" s="561">
        <f t="shared" si="2"/>
        <v>0</v>
      </c>
      <c r="S25" s="561">
        <f t="shared" si="3"/>
        <v>0</v>
      </c>
      <c r="T25" s="561">
        <f t="shared" si="4"/>
        <v>0</v>
      </c>
      <c r="U25" s="561">
        <f t="shared" si="5"/>
        <v>0</v>
      </c>
      <c r="V25" s="561">
        <f t="shared" si="6"/>
        <v>0</v>
      </c>
      <c r="W25" s="675">
        <f t="shared" si="7"/>
        <v>0</v>
      </c>
      <c r="X25" s="675">
        <f t="shared" si="8"/>
        <v>0</v>
      </c>
      <c r="Y25" s="675">
        <f t="shared" si="8"/>
        <v>0</v>
      </c>
      <c r="Z25" s="86"/>
      <c r="AA25" s="87"/>
      <c r="AB25" s="87"/>
      <c r="AC25" s="87"/>
      <c r="AD25" s="87"/>
      <c r="AE25" s="87">
        <v>0</v>
      </c>
      <c r="AF25" s="87">
        <v>0</v>
      </c>
      <c r="AG25" s="87">
        <v>0</v>
      </c>
      <c r="AH25" s="87">
        <v>0</v>
      </c>
      <c r="AI25" s="1094">
        <f>'2022-23 Input'!K25</f>
        <v>0</v>
      </c>
      <c r="AJ25" s="665">
        <v>0</v>
      </c>
      <c r="AK25" s="88">
        <f t="shared" si="9"/>
        <v>0</v>
      </c>
      <c r="AL25" s="89">
        <f t="shared" si="10"/>
        <v>0</v>
      </c>
      <c r="AM25" s="90">
        <f t="shared" si="11"/>
        <v>0</v>
      </c>
      <c r="AN25" s="91" t="str">
        <f t="shared" si="12"/>
        <v/>
      </c>
      <c r="AO25" s="92" t="str">
        <f t="shared" si="13"/>
        <v/>
      </c>
      <c r="AP25" s="92" t="str">
        <f t="shared" si="14"/>
        <v/>
      </c>
      <c r="AQ25" s="92" t="str">
        <f t="shared" si="15"/>
        <v/>
      </c>
      <c r="AR25" s="92" t="str">
        <f t="shared" si="16"/>
        <v/>
      </c>
      <c r="AS25" s="92" t="str">
        <f t="shared" si="17"/>
        <v/>
      </c>
      <c r="AT25" s="92" t="str">
        <f t="shared" si="18"/>
        <v/>
      </c>
      <c r="AU25" s="92" t="str">
        <f t="shared" si="19"/>
        <v/>
      </c>
      <c r="AV25" s="92" t="str">
        <f t="shared" si="38"/>
        <v/>
      </c>
      <c r="AW25" s="92" t="str">
        <f t="shared" si="38"/>
        <v/>
      </c>
      <c r="AX25" s="92" t="str">
        <f t="shared" si="38"/>
        <v/>
      </c>
      <c r="AY25" s="93" t="str">
        <f t="shared" si="21"/>
        <v/>
      </c>
      <c r="AZ25" s="94" t="str">
        <f t="shared" si="22"/>
        <v/>
      </c>
      <c r="BA25" s="95" t="str">
        <f t="shared" si="23"/>
        <v/>
      </c>
      <c r="BB25" s="248" t="s">
        <v>422</v>
      </c>
      <c r="BC25" s="229" t="s">
        <v>433</v>
      </c>
      <c r="BD25" s="249">
        <v>0</v>
      </c>
      <c r="BE25" s="267">
        <f t="shared" si="28"/>
        <v>0</v>
      </c>
      <c r="BF25" s="268">
        <f t="shared" si="39"/>
        <v>0</v>
      </c>
      <c r="BG25" s="268">
        <f t="shared" si="39"/>
        <v>0</v>
      </c>
      <c r="BH25" s="268">
        <f t="shared" si="39"/>
        <v>1</v>
      </c>
      <c r="BI25" s="268">
        <f t="shared" si="39"/>
        <v>2</v>
      </c>
      <c r="BJ25" s="268">
        <f t="shared" si="39"/>
        <v>3</v>
      </c>
      <c r="BK25" s="268">
        <f t="shared" si="39"/>
        <v>4</v>
      </c>
      <c r="BL25" s="269">
        <f t="shared" si="39"/>
        <v>5</v>
      </c>
      <c r="BM25" s="256">
        <f>IF($BC25=Lookup!$A$2,$BD25*ROUNDUP(BE25/10,0)+1,
IF($BC25=Lookup!$A$3,($BD25+1)^BD25,
IF($BC25=Lookup!$A$4,BE25*$BD25+1,"Error")))</f>
        <v>1</v>
      </c>
      <c r="BN25" s="229">
        <f>IF($BC25=Lookup!$A$2,$BD25*ROUNDUP(BF25/10,0)+1,
IF($BC25=Lookup!$A$3,($BD25+1)^BE25,
IF($BC25=Lookup!$A$4,BF25*$BD25+1,"Error")))</f>
        <v>1</v>
      </c>
      <c r="BO25" s="229">
        <f>IF($BC25=Lookup!$A$2,$BD25*ROUNDUP(BG25/10,0)+1,
IF($BC25=Lookup!$A$3,($BD25+1)^BF25,
IF($BC25=Lookup!$A$4,BG25*$BD25+1,"Error")))</f>
        <v>1</v>
      </c>
      <c r="BP25" s="229">
        <f>IF($BC25=Lookup!$A$2,$BD25*ROUNDUP(BH25/10,0)+1,
IF($BC25=Lookup!$A$3,($BD25+1)^BG25,
IF($BC25=Lookup!$A$4,BH25*$BD25+1,"Error")))</f>
        <v>1</v>
      </c>
      <c r="BQ25" s="229">
        <f>IF($BC25=Lookup!$A$2,$BD25*ROUNDUP(BI25/10,0)+1,
IF($BC25=Lookup!$A$3,($BD25+1)^BH25,
IF($BC25=Lookup!$A$4,BI25*$BD25+1,"Error")))</f>
        <v>1</v>
      </c>
      <c r="BR25" s="229">
        <f>IF($BC25=Lookup!$A$2,$BD25*ROUNDUP(BJ25/10,0)+1,
IF($BC25=Lookup!$A$3,($BD25+1)^BI25,
IF($BC25=Lookup!$A$4,BJ25*$BD25+1,"Error")))</f>
        <v>1</v>
      </c>
      <c r="BS25" s="229">
        <f>IF($BC25=Lookup!$A$2,$BD25*ROUNDUP(BK25/10,0)+1,
IF($BC25=Lookup!$A$3,($BD25+1)^BJ25,
IF($BC25=Lookup!$A$4,BK25*$BD25+1,"Error")))</f>
        <v>1</v>
      </c>
      <c r="BT25" s="249">
        <f>IF($BC25=Lookup!$A$2,$BD25*ROUNDUP(BL25/10,0)+1,
IF($BC25=Lookup!$A$3,($BD25+1)^BK25,
IF($BC25=Lookup!$A$4,BL25*$BD25+1,"Error")))</f>
        <v>1</v>
      </c>
      <c r="BU25" s="320"/>
      <c r="BV25" s="321">
        <f t="shared" si="36"/>
        <v>0</v>
      </c>
      <c r="BW25" s="321">
        <f t="shared" si="37"/>
        <v>0</v>
      </c>
      <c r="BX25" s="321">
        <f t="shared" si="35"/>
        <v>0</v>
      </c>
      <c r="BY25" s="321">
        <f t="shared" si="29"/>
        <v>0</v>
      </c>
      <c r="BZ25" s="321">
        <f t="shared" si="30"/>
        <v>0</v>
      </c>
      <c r="CA25" s="321">
        <f t="shared" si="31"/>
        <v>0</v>
      </c>
      <c r="CB25" s="277">
        <f t="shared" si="32"/>
        <v>0</v>
      </c>
      <c r="CC25" s="382" t="s">
        <v>293</v>
      </c>
      <c r="CD25" s="383">
        <f>HLOOKUP($CC25,$AK$6:$AM$132,ROWS(CD$6:CD25),0)</f>
        <v>0</v>
      </c>
      <c r="CE25" s="234">
        <f t="shared" si="33"/>
        <v>0</v>
      </c>
      <c r="CF25" s="96">
        <f t="shared" si="25"/>
        <v>0</v>
      </c>
      <c r="CG25" s="96">
        <f t="shared" si="25"/>
        <v>0</v>
      </c>
      <c r="CH25" s="96">
        <f t="shared" si="25"/>
        <v>0</v>
      </c>
      <c r="CI25" s="96">
        <f t="shared" si="25"/>
        <v>0</v>
      </c>
      <c r="CJ25" s="96">
        <f t="shared" si="25"/>
        <v>0</v>
      </c>
      <c r="CK25" s="96">
        <f t="shared" si="25"/>
        <v>0</v>
      </c>
      <c r="CL25" s="286">
        <f t="shared" si="25"/>
        <v>0</v>
      </c>
      <c r="CM25" s="305" t="s">
        <v>293</v>
      </c>
      <c r="CN25" s="315">
        <v>0.05</v>
      </c>
      <c r="CO25" s="306"/>
      <c r="CP25" s="307" t="str">
        <f>IF($CO25&lt;&gt;"",$CO25,HLOOKUP($CM25,$AY$6:$BA$132,ROWS(CP$6:CP25),0))</f>
        <v/>
      </c>
      <c r="CQ25" s="784" t="str">
        <f t="shared" si="26"/>
        <v/>
      </c>
      <c r="CR25" s="784" t="str">
        <f t="shared" si="26"/>
        <v/>
      </c>
      <c r="CS25" s="97" t="str">
        <f t="shared" si="26"/>
        <v/>
      </c>
      <c r="CT25" s="97" t="str">
        <f t="shared" si="26"/>
        <v/>
      </c>
      <c r="CU25" s="97" t="str">
        <f t="shared" si="26"/>
        <v/>
      </c>
      <c r="CV25" s="97" t="str">
        <f t="shared" si="26"/>
        <v/>
      </c>
      <c r="CW25" s="97" t="str">
        <f t="shared" si="26"/>
        <v/>
      </c>
      <c r="CX25" s="98" t="str">
        <f t="shared" si="26"/>
        <v/>
      </c>
      <c r="CY25" s="392"/>
    </row>
    <row r="26" spans="1:103" ht="15.75" thickBot="1" x14ac:dyDescent="0.3">
      <c r="A26" s="100" t="s">
        <v>27</v>
      </c>
      <c r="B26" s="101" t="s">
        <v>303</v>
      </c>
      <c r="C26" s="102" t="s">
        <v>304</v>
      </c>
      <c r="D26" s="103"/>
      <c r="E26" s="104"/>
      <c r="F26" s="104"/>
      <c r="G26" s="104"/>
      <c r="H26" s="104"/>
      <c r="I26" s="104">
        <v>0</v>
      </c>
      <c r="J26" s="104">
        <v>0</v>
      </c>
      <c r="K26" s="104">
        <v>0</v>
      </c>
      <c r="L26" s="104">
        <v>0</v>
      </c>
      <c r="M26" s="655">
        <f>'2022-23 Input'!D26</f>
        <v>0</v>
      </c>
      <c r="N26" s="1066">
        <v>0</v>
      </c>
      <c r="O26" s="563">
        <f t="shared" si="27"/>
        <v>0</v>
      </c>
      <c r="P26" s="564">
        <f t="shared" si="0"/>
        <v>0</v>
      </c>
      <c r="Q26" s="564">
        <f t="shared" si="1"/>
        <v>0</v>
      </c>
      <c r="R26" s="564">
        <f t="shared" si="2"/>
        <v>0</v>
      </c>
      <c r="S26" s="564">
        <f t="shared" si="3"/>
        <v>0</v>
      </c>
      <c r="T26" s="564">
        <f t="shared" si="4"/>
        <v>0</v>
      </c>
      <c r="U26" s="564">
        <f t="shared" si="5"/>
        <v>0</v>
      </c>
      <c r="V26" s="564">
        <f t="shared" si="6"/>
        <v>0</v>
      </c>
      <c r="W26" s="676">
        <f t="shared" si="7"/>
        <v>0</v>
      </c>
      <c r="X26" s="676">
        <f t="shared" si="8"/>
        <v>0</v>
      </c>
      <c r="Y26" s="676">
        <f t="shared" si="8"/>
        <v>0</v>
      </c>
      <c r="Z26" s="105"/>
      <c r="AA26" s="106"/>
      <c r="AB26" s="106"/>
      <c r="AC26" s="106"/>
      <c r="AD26" s="106"/>
      <c r="AE26" s="106">
        <v>0</v>
      </c>
      <c r="AF26" s="106">
        <v>0</v>
      </c>
      <c r="AG26" s="106">
        <v>0</v>
      </c>
      <c r="AH26" s="106">
        <v>0</v>
      </c>
      <c r="AI26" s="1095">
        <f>'2022-23 Input'!K26</f>
        <v>0</v>
      </c>
      <c r="AJ26" s="666">
        <v>0</v>
      </c>
      <c r="AK26" s="107">
        <f t="shared" si="9"/>
        <v>0</v>
      </c>
      <c r="AL26" s="108">
        <f t="shared" si="10"/>
        <v>0</v>
      </c>
      <c r="AM26" s="109">
        <f t="shared" si="11"/>
        <v>0</v>
      </c>
      <c r="AN26" s="110" t="str">
        <f t="shared" si="12"/>
        <v/>
      </c>
      <c r="AO26" s="111" t="str">
        <f t="shared" si="13"/>
        <v/>
      </c>
      <c r="AP26" s="111" t="str">
        <f t="shared" si="14"/>
        <v/>
      </c>
      <c r="AQ26" s="111" t="str">
        <f t="shared" si="15"/>
        <v/>
      </c>
      <c r="AR26" s="111" t="str">
        <f t="shared" si="16"/>
        <v/>
      </c>
      <c r="AS26" s="111" t="str">
        <f t="shared" si="17"/>
        <v/>
      </c>
      <c r="AT26" s="111" t="str">
        <f t="shared" si="18"/>
        <v/>
      </c>
      <c r="AU26" s="111" t="str">
        <f t="shared" si="19"/>
        <v/>
      </c>
      <c r="AV26" s="111" t="str">
        <f t="shared" si="38"/>
        <v/>
      </c>
      <c r="AW26" s="111" t="str">
        <f t="shared" si="38"/>
        <v/>
      </c>
      <c r="AX26" s="111" t="str">
        <f t="shared" si="38"/>
        <v/>
      </c>
      <c r="AY26" s="112" t="str">
        <f t="shared" si="21"/>
        <v/>
      </c>
      <c r="AZ26" s="113" t="str">
        <f t="shared" si="22"/>
        <v/>
      </c>
      <c r="BA26" s="114" t="str">
        <f t="shared" si="23"/>
        <v/>
      </c>
      <c r="BB26" s="250" t="s">
        <v>422</v>
      </c>
      <c r="BC26" s="230" t="s">
        <v>433</v>
      </c>
      <c r="BD26" s="251">
        <v>0</v>
      </c>
      <c r="BE26" s="270">
        <f t="shared" si="28"/>
        <v>0</v>
      </c>
      <c r="BF26" s="271">
        <f t="shared" si="39"/>
        <v>0</v>
      </c>
      <c r="BG26" s="271">
        <f t="shared" si="39"/>
        <v>0</v>
      </c>
      <c r="BH26" s="271">
        <f t="shared" si="39"/>
        <v>1</v>
      </c>
      <c r="BI26" s="271">
        <f t="shared" si="39"/>
        <v>2</v>
      </c>
      <c r="BJ26" s="271">
        <f t="shared" si="39"/>
        <v>3</v>
      </c>
      <c r="BK26" s="271">
        <f t="shared" si="39"/>
        <v>4</v>
      </c>
      <c r="BL26" s="272">
        <f t="shared" si="39"/>
        <v>5</v>
      </c>
      <c r="BM26" s="257">
        <f>IF($BC26=Lookup!$A$2,$BD26*ROUNDUP(BE26/10,0)+1,
IF($BC26=Lookup!$A$3,($BD26+1)^BD26,
IF($BC26=Lookup!$A$4,BE26*$BD26+1,"Error")))</f>
        <v>1</v>
      </c>
      <c r="BN26" s="230">
        <f>IF($BC26=Lookup!$A$2,$BD26*ROUNDUP(BF26/10,0)+1,
IF($BC26=Lookup!$A$3,($BD26+1)^BE26,
IF($BC26=Lookup!$A$4,BF26*$BD26+1,"Error")))</f>
        <v>1</v>
      </c>
      <c r="BO26" s="230">
        <f>IF($BC26=Lookup!$A$2,$BD26*ROUNDUP(BG26/10,0)+1,
IF($BC26=Lookup!$A$3,($BD26+1)^BF26,
IF($BC26=Lookup!$A$4,BG26*$BD26+1,"Error")))</f>
        <v>1</v>
      </c>
      <c r="BP26" s="230">
        <f>IF($BC26=Lookup!$A$2,$BD26*ROUNDUP(BH26/10,0)+1,
IF($BC26=Lookup!$A$3,($BD26+1)^BG26,
IF($BC26=Lookup!$A$4,BH26*$BD26+1,"Error")))</f>
        <v>1</v>
      </c>
      <c r="BQ26" s="230">
        <f>IF($BC26=Lookup!$A$2,$BD26*ROUNDUP(BI26/10,0)+1,
IF($BC26=Lookup!$A$3,($BD26+1)^BH26,
IF($BC26=Lookup!$A$4,BI26*$BD26+1,"Error")))</f>
        <v>1</v>
      </c>
      <c r="BR26" s="230">
        <f>IF($BC26=Lookup!$A$2,$BD26*ROUNDUP(BJ26/10,0)+1,
IF($BC26=Lookup!$A$3,($BD26+1)^BI26,
IF($BC26=Lookup!$A$4,BJ26*$BD26+1,"Error")))</f>
        <v>1</v>
      </c>
      <c r="BS26" s="230">
        <f>IF($BC26=Lookup!$A$2,$BD26*ROUNDUP(BK26/10,0)+1,
IF($BC26=Lookup!$A$3,($BD26+1)^BJ26,
IF($BC26=Lookup!$A$4,BK26*$BD26+1,"Error")))</f>
        <v>1</v>
      </c>
      <c r="BT26" s="251">
        <f>IF($BC26=Lookup!$A$2,$BD26*ROUNDUP(BL26/10,0)+1,
IF($BC26=Lookup!$A$3,($BD26+1)^BK26,
IF($BC26=Lookup!$A$4,BL26*$BD26+1,"Error")))</f>
        <v>1</v>
      </c>
      <c r="BU26" s="322"/>
      <c r="BV26" s="323">
        <f t="shared" si="36"/>
        <v>0</v>
      </c>
      <c r="BW26" s="323">
        <f t="shared" si="37"/>
        <v>0</v>
      </c>
      <c r="BX26" s="323">
        <f t="shared" si="35"/>
        <v>0</v>
      </c>
      <c r="BY26" s="323">
        <f t="shared" si="29"/>
        <v>0</v>
      </c>
      <c r="BZ26" s="323">
        <f t="shared" si="30"/>
        <v>0</v>
      </c>
      <c r="CA26" s="323">
        <f t="shared" si="31"/>
        <v>0</v>
      </c>
      <c r="CB26" s="278">
        <f t="shared" si="32"/>
        <v>0</v>
      </c>
      <c r="CC26" s="384" t="s">
        <v>293</v>
      </c>
      <c r="CD26" s="385">
        <f>HLOOKUP($CC26,$AK$6:$AM$132,ROWS(CD$6:CD26),0)</f>
        <v>0</v>
      </c>
      <c r="CE26" s="235">
        <f t="shared" si="33"/>
        <v>0</v>
      </c>
      <c r="CF26" s="115">
        <f t="shared" si="25"/>
        <v>0</v>
      </c>
      <c r="CG26" s="115">
        <f t="shared" si="25"/>
        <v>0</v>
      </c>
      <c r="CH26" s="115">
        <f t="shared" si="25"/>
        <v>0</v>
      </c>
      <c r="CI26" s="115">
        <f t="shared" si="25"/>
        <v>0</v>
      </c>
      <c r="CJ26" s="115">
        <f t="shared" si="25"/>
        <v>0</v>
      </c>
      <c r="CK26" s="115">
        <f t="shared" si="25"/>
        <v>0</v>
      </c>
      <c r="CL26" s="287">
        <f t="shared" si="25"/>
        <v>0</v>
      </c>
      <c r="CM26" s="308" t="s">
        <v>293</v>
      </c>
      <c r="CN26" s="316">
        <v>0.05</v>
      </c>
      <c r="CO26" s="309"/>
      <c r="CP26" s="310" t="str">
        <f>IF($CO26&lt;&gt;"",$CO26,HLOOKUP($CM26,$AY$6:$BA$132,ROWS(CP$6:CP26),0))</f>
        <v/>
      </c>
      <c r="CQ26" s="785" t="str">
        <f t="shared" si="26"/>
        <v/>
      </c>
      <c r="CR26" s="785" t="str">
        <f t="shared" si="26"/>
        <v/>
      </c>
      <c r="CS26" s="117" t="str">
        <f t="shared" si="26"/>
        <v/>
      </c>
      <c r="CT26" s="117" t="str">
        <f t="shared" si="26"/>
        <v/>
      </c>
      <c r="CU26" s="117" t="str">
        <f t="shared" si="26"/>
        <v/>
      </c>
      <c r="CV26" s="117" t="str">
        <f t="shared" si="26"/>
        <v/>
      </c>
      <c r="CW26" s="117" t="str">
        <f t="shared" si="26"/>
        <v/>
      </c>
      <c r="CX26" s="118" t="str">
        <f t="shared" si="26"/>
        <v/>
      </c>
      <c r="CY26" s="393"/>
    </row>
    <row r="27" spans="1:103" x14ac:dyDescent="0.25">
      <c r="A27" s="63" t="s">
        <v>68</v>
      </c>
      <c r="B27" s="64" t="s">
        <v>65</v>
      </c>
      <c r="C27" s="65" t="s">
        <v>305</v>
      </c>
      <c r="D27" s="66"/>
      <c r="E27" s="67"/>
      <c r="F27" s="67"/>
      <c r="G27" s="67"/>
      <c r="H27" s="67"/>
      <c r="I27" s="67">
        <v>665675.91358273686</v>
      </c>
      <c r="J27" s="67">
        <v>2084442.4955507529</v>
      </c>
      <c r="K27" s="67">
        <v>4643257.1518979352</v>
      </c>
      <c r="L27" s="67">
        <v>4253499.6813241448</v>
      </c>
      <c r="M27" s="653">
        <f>'2022-23 Input'!D27</f>
        <v>3452802.8163098553</v>
      </c>
      <c r="N27" s="1064">
        <v>2504414.1156487823</v>
      </c>
      <c r="O27" s="557">
        <f t="shared" si="27"/>
        <v>0</v>
      </c>
      <c r="P27" s="558">
        <f t="shared" si="0"/>
        <v>0</v>
      </c>
      <c r="Q27" s="558">
        <f t="shared" si="1"/>
        <v>0</v>
      </c>
      <c r="R27" s="558">
        <f t="shared" si="2"/>
        <v>0</v>
      </c>
      <c r="S27" s="558">
        <f t="shared" si="3"/>
        <v>0</v>
      </c>
      <c r="T27" s="558">
        <f t="shared" si="4"/>
        <v>826202.52480613359</v>
      </c>
      <c r="U27" s="558">
        <f t="shared" si="5"/>
        <v>2596148.0603090171</v>
      </c>
      <c r="V27" s="558">
        <f t="shared" si="6"/>
        <v>5568931.2774821725</v>
      </c>
      <c r="W27" s="674">
        <f t="shared" si="7"/>
        <v>4806145.129622994</v>
      </c>
      <c r="X27" s="674">
        <f t="shared" si="8"/>
        <v>3671920.880646273</v>
      </c>
      <c r="Y27" s="674">
        <f t="shared" si="8"/>
        <v>2573281.695406734</v>
      </c>
      <c r="Z27" s="68"/>
      <c r="AA27" s="69"/>
      <c r="AB27" s="69"/>
      <c r="AC27" s="69"/>
      <c r="AD27" s="69"/>
      <c r="AE27" s="69">
        <v>549</v>
      </c>
      <c r="AF27" s="69">
        <v>863</v>
      </c>
      <c r="AG27" s="69">
        <v>2458</v>
      </c>
      <c r="AH27" s="69">
        <v>2343</v>
      </c>
      <c r="AI27" s="1093">
        <f>'2022-23 Input'!K27</f>
        <v>1429</v>
      </c>
      <c r="AJ27" s="664">
        <v>770</v>
      </c>
      <c r="AK27" s="70">
        <f t="shared" si="9"/>
        <v>1528.4</v>
      </c>
      <c r="AL27" s="71">
        <f t="shared" si="10"/>
        <v>2076.6666666666665</v>
      </c>
      <c r="AM27" s="72">
        <f t="shared" si="11"/>
        <v>1429</v>
      </c>
      <c r="AN27" s="73" t="str">
        <f t="shared" si="12"/>
        <v/>
      </c>
      <c r="AO27" s="74" t="str">
        <f t="shared" si="13"/>
        <v/>
      </c>
      <c r="AP27" s="74" t="str">
        <f t="shared" si="14"/>
        <v/>
      </c>
      <c r="AQ27" s="74" t="str">
        <f t="shared" si="15"/>
        <v/>
      </c>
      <c r="AR27" s="74" t="str">
        <f t="shared" si="16"/>
        <v/>
      </c>
      <c r="AS27" s="74">
        <f t="shared" si="17"/>
        <v>1212.5244327554406</v>
      </c>
      <c r="AT27" s="74">
        <f t="shared" si="18"/>
        <v>2415.3447225385316</v>
      </c>
      <c r="AU27" s="74">
        <f t="shared" si="19"/>
        <v>1889.0387111057507</v>
      </c>
      <c r="AV27" s="74">
        <f t="shared" si="38"/>
        <v>1815.4074610858493</v>
      </c>
      <c r="AW27" s="74">
        <f t="shared" si="38"/>
        <v>2416.2371002868126</v>
      </c>
      <c r="AX27" s="74">
        <f t="shared" si="38"/>
        <v>3252.4858644789383</v>
      </c>
      <c r="AY27" s="75">
        <f t="shared" si="21"/>
        <v>1975.8804054783334</v>
      </c>
      <c r="AZ27" s="76">
        <f t="shared" si="22"/>
        <v>1982.2728169393154</v>
      </c>
      <c r="BA27" s="77">
        <f t="shared" si="23"/>
        <v>2416.2371002868126</v>
      </c>
      <c r="BB27" s="246" t="s">
        <v>422</v>
      </c>
      <c r="BC27" s="228" t="s">
        <v>433</v>
      </c>
      <c r="BD27" s="247">
        <v>0</v>
      </c>
      <c r="BE27" s="264">
        <f t="shared" si="28"/>
        <v>0</v>
      </c>
      <c r="BF27" s="265">
        <f t="shared" si="39"/>
        <v>0</v>
      </c>
      <c r="BG27" s="265">
        <f t="shared" si="39"/>
        <v>0</v>
      </c>
      <c r="BH27" s="265">
        <f t="shared" si="39"/>
        <v>1</v>
      </c>
      <c r="BI27" s="265">
        <f t="shared" si="39"/>
        <v>2</v>
      </c>
      <c r="BJ27" s="265">
        <f t="shared" si="39"/>
        <v>3</v>
      </c>
      <c r="BK27" s="265">
        <f t="shared" si="39"/>
        <v>4</v>
      </c>
      <c r="BL27" s="266">
        <f t="shared" si="39"/>
        <v>5</v>
      </c>
      <c r="BM27" s="255">
        <f>IF($BC27=Lookup!$A$2,$BD27*ROUNDUP(BE27/10,0)+1,
IF($BC27=Lookup!$A$3,($BD27+1)^BD27,
IF($BC27=Lookup!$A$4,BE27*$BD27+1,"Error")))</f>
        <v>1</v>
      </c>
      <c r="BN27" s="228">
        <f>IF($BC27=Lookup!$A$2,$BD27*ROUNDUP(BF27/10,0)+1,
IF($BC27=Lookup!$A$3,($BD27+1)^BE27,
IF($BC27=Lookup!$A$4,BF27*$BD27+1,"Error")))</f>
        <v>1</v>
      </c>
      <c r="BO27" s="228">
        <f>IF($BC27=Lookup!$A$2,$BD27*ROUNDUP(BG27/10,0)+1,
IF($BC27=Lookup!$A$3,($BD27+1)^BF27,
IF($BC27=Lookup!$A$4,BG27*$BD27+1,"Error")))</f>
        <v>1</v>
      </c>
      <c r="BP27" s="228">
        <f>IF($BC27=Lookup!$A$2,$BD27*ROUNDUP(BH27/10,0)+1,
IF($BC27=Lookup!$A$3,($BD27+1)^BG27,
IF($BC27=Lookup!$A$4,BH27*$BD27+1,"Error")))</f>
        <v>1</v>
      </c>
      <c r="BQ27" s="228">
        <f>IF($BC27=Lookup!$A$2,$BD27*ROUNDUP(BI27/10,0)+1,
IF($BC27=Lookup!$A$3,($BD27+1)^BH27,
IF($BC27=Lookup!$A$4,BI27*$BD27+1,"Error")))</f>
        <v>1</v>
      </c>
      <c r="BR27" s="228">
        <f>IF($BC27=Lookup!$A$2,$BD27*ROUNDUP(BJ27/10,0)+1,
IF($BC27=Lookup!$A$3,($BD27+1)^BI27,
IF($BC27=Lookup!$A$4,BJ27*$BD27+1,"Error")))</f>
        <v>1</v>
      </c>
      <c r="BS27" s="228">
        <f>IF($BC27=Lookup!$A$2,$BD27*ROUNDUP(BK27/10,0)+1,
IF($BC27=Lookup!$A$3,($BD27+1)^BJ27,
IF($BC27=Lookup!$A$4,BK27*$BD27+1,"Error")))</f>
        <v>1</v>
      </c>
      <c r="BT27" s="247">
        <f>IF($BC27=Lookup!$A$2,$BD27*ROUNDUP(BL27/10,0)+1,
IF($BC27=Lookup!$A$3,($BD27+1)^BK27,
IF($BC27=Lookup!$A$4,BL27*$BD27+1,"Error")))</f>
        <v>1</v>
      </c>
      <c r="BU27" s="318"/>
      <c r="BV27" s="319">
        <f>IFERROR(SUM(CF$34:CF$42)*HLOOKUP($BW$4,$AY$135:$BA$146,4,0)/HLOOKUP($BW$4,$AY$135:$BA$146,5,0)*$AK27/SUM($AK$27:$AK$33),"")</f>
        <v>1684.0550351357031</v>
      </c>
      <c r="BW27" s="319">
        <f>IFERROR(SUM(CG$34:CG$42)*HLOOKUP($BW$4,$AY$135:$BA$146,4,0)/HLOOKUP($BW$4,$AY$135:$BA$146,5,0)*$AK27/SUM($AK$27:$AK$33),"")</f>
        <v>1684.0550351357031</v>
      </c>
      <c r="BX27" s="319">
        <f>IFERROR(SUM(CH$34:CH$42)*HLOOKUP($BW$4,$AY$135:$BA$146,4,0)/HLOOKUP($BW$4,$AY$135:$BA$146,5,0)*$AK27/SUM($AK$27:$AK$33),"")</f>
        <v>2207.8096431625058</v>
      </c>
      <c r="BY27" s="319">
        <f t="shared" ref="BY27:BY33" si="40">IFERROR(SUM(CI$34:CI$42)*HLOOKUP($BW$4,$AY$135:$BA$146,4,0)/HLOOKUP($BW$4,$AY$135:$BA$146,5,0)*$AK27/SUM($AK$27:$AK$33),"")</f>
        <v>2317.0155259997741</v>
      </c>
      <c r="BZ27" s="319">
        <f t="shared" ref="BZ27:BZ33" si="41">IFERROR(SUM(CJ$34:CJ$42)*HLOOKUP($BW$4,$AY$135:$BA$146,4,0)/HLOOKUP($BW$4,$AY$135:$BA$146,5,0)*$AK27/SUM($AK$27:$AK$33),"")</f>
        <v>2389.8194478912865</v>
      </c>
      <c r="CA27" s="319">
        <f t="shared" ref="CA27:CA33" si="42">IFERROR(SUM(CK$34:CK$42)*HLOOKUP($BW$4,$AY$135:$BA$146,4,0)/HLOOKUP($BW$4,$AY$135:$BA$146,5,0)*$AK27/SUM($AK$27:$AK$33),"")</f>
        <v>2462.6233697827988</v>
      </c>
      <c r="CB27" s="276">
        <f t="shared" ref="CB27:CB33" si="43">IFERROR(SUM(CL$34:CL$42)*HLOOKUP($BW$4,$AY$135:$BA$146,4,0)/HLOOKUP($BW$4,$AY$135:$BA$146,5,0)*$AK27/SUM($AK$27:$AK$33),"")</f>
        <v>2499.0253307285557</v>
      </c>
      <c r="CC27" s="380" t="s">
        <v>293</v>
      </c>
      <c r="CD27" s="381">
        <f>HLOOKUP($CC27,$AK$6:$AM$132,ROWS(CD$6:CD27),0)</f>
        <v>2076.6666666666665</v>
      </c>
      <c r="CE27" s="359">
        <f t="shared" si="33"/>
        <v>2076.6666666666665</v>
      </c>
      <c r="CF27" s="360">
        <f t="shared" si="25"/>
        <v>1684.0550351357031</v>
      </c>
      <c r="CG27" s="360">
        <f t="shared" si="25"/>
        <v>1684.0550351357031</v>
      </c>
      <c r="CH27" s="360">
        <f t="shared" si="25"/>
        <v>2207.8096431625058</v>
      </c>
      <c r="CI27" s="360">
        <f t="shared" si="25"/>
        <v>2317.0155259997741</v>
      </c>
      <c r="CJ27" s="360">
        <f t="shared" si="25"/>
        <v>2389.8194478912865</v>
      </c>
      <c r="CK27" s="360">
        <f t="shared" si="25"/>
        <v>2462.6233697827988</v>
      </c>
      <c r="CL27" s="361">
        <f t="shared" si="25"/>
        <v>2499.0253307285557</v>
      </c>
      <c r="CM27" s="302" t="s">
        <v>293</v>
      </c>
      <c r="CN27" s="314">
        <v>0.05</v>
      </c>
      <c r="CO27" s="303"/>
      <c r="CP27" s="304">
        <f>IF($CO27&lt;&gt;"",$CO27,HLOOKUP($CM27,$AY$6:$BA$132,ROWS(CP$6:CP27),0))</f>
        <v>1982.2728169393154</v>
      </c>
      <c r="CQ27" s="783">
        <f t="shared" si="26"/>
        <v>4116519.8831773112</v>
      </c>
      <c r="CR27" s="783">
        <f t="shared" si="26"/>
        <v>3338256.5183792878</v>
      </c>
      <c r="CS27" s="79">
        <f t="shared" si="26"/>
        <v>3338256.5183792878</v>
      </c>
      <c r="CT27" s="79">
        <f t="shared" si="26"/>
        <v>4376481.0406175246</v>
      </c>
      <c r="CU27" s="79">
        <f t="shared" si="26"/>
        <v>4592956.8936157022</v>
      </c>
      <c r="CV27" s="79">
        <f t="shared" si="26"/>
        <v>4737274.1289478196</v>
      </c>
      <c r="CW27" s="79">
        <f t="shared" si="26"/>
        <v>4881591.3642799379</v>
      </c>
      <c r="CX27" s="80">
        <f t="shared" si="26"/>
        <v>4953749.981945998</v>
      </c>
      <c r="CY27" s="391" t="s">
        <v>469</v>
      </c>
    </row>
    <row r="28" spans="1:103" x14ac:dyDescent="0.25">
      <c r="A28" s="81" t="s">
        <v>68</v>
      </c>
      <c r="B28" s="82" t="s">
        <v>69</v>
      </c>
      <c r="C28" s="83" t="s">
        <v>70</v>
      </c>
      <c r="D28" s="84"/>
      <c r="E28" s="85"/>
      <c r="F28" s="85"/>
      <c r="G28" s="85"/>
      <c r="H28" s="85"/>
      <c r="I28" s="85">
        <v>320180.03474078595</v>
      </c>
      <c r="J28" s="85">
        <v>1439704.9558414358</v>
      </c>
      <c r="K28" s="85">
        <v>1073104.7027994881</v>
      </c>
      <c r="L28" s="85">
        <v>3761696.8760803961</v>
      </c>
      <c r="M28" s="654">
        <f>'2022-23 Input'!D28</f>
        <v>6531995.7826513574</v>
      </c>
      <c r="N28" s="1065">
        <v>3441042.0262519228</v>
      </c>
      <c r="O28" s="560">
        <f t="shared" si="27"/>
        <v>0</v>
      </c>
      <c r="P28" s="561">
        <f t="shared" si="0"/>
        <v>0</v>
      </c>
      <c r="Q28" s="561">
        <f t="shared" si="1"/>
        <v>0</v>
      </c>
      <c r="R28" s="561">
        <f t="shared" si="2"/>
        <v>0</v>
      </c>
      <c r="S28" s="561">
        <f t="shared" si="3"/>
        <v>0</v>
      </c>
      <c r="T28" s="561">
        <f t="shared" si="4"/>
        <v>397390.90403858217</v>
      </c>
      <c r="U28" s="561">
        <f t="shared" si="5"/>
        <v>1793135.2083365812</v>
      </c>
      <c r="V28" s="561">
        <f t="shared" si="6"/>
        <v>1287037.5574591139</v>
      </c>
      <c r="W28" s="675">
        <f t="shared" si="7"/>
        <v>4250443.7462338367</v>
      </c>
      <c r="X28" s="675">
        <f t="shared" si="8"/>
        <v>6946522.2842480717</v>
      </c>
      <c r="Y28" s="675">
        <f t="shared" si="8"/>
        <v>3535665.4492364149</v>
      </c>
      <c r="Z28" s="86"/>
      <c r="AA28" s="87"/>
      <c r="AB28" s="87"/>
      <c r="AC28" s="87"/>
      <c r="AD28" s="87"/>
      <c r="AE28" s="87">
        <v>173</v>
      </c>
      <c r="AF28" s="87">
        <v>637</v>
      </c>
      <c r="AG28" s="87">
        <v>594</v>
      </c>
      <c r="AH28" s="87">
        <v>2527</v>
      </c>
      <c r="AI28" s="1094">
        <f>'2022-23 Input'!K28</f>
        <v>2258</v>
      </c>
      <c r="AJ28" s="665">
        <v>2372</v>
      </c>
      <c r="AK28" s="88">
        <f t="shared" si="9"/>
        <v>1237.8</v>
      </c>
      <c r="AL28" s="89">
        <f t="shared" si="10"/>
        <v>1793</v>
      </c>
      <c r="AM28" s="90">
        <f t="shared" si="11"/>
        <v>2258</v>
      </c>
      <c r="AN28" s="91" t="str">
        <f t="shared" si="12"/>
        <v/>
      </c>
      <c r="AO28" s="92" t="str">
        <f t="shared" si="13"/>
        <v/>
      </c>
      <c r="AP28" s="92" t="str">
        <f t="shared" si="14"/>
        <v/>
      </c>
      <c r="AQ28" s="92" t="str">
        <f t="shared" si="15"/>
        <v/>
      </c>
      <c r="AR28" s="92" t="str">
        <f t="shared" si="16"/>
        <v/>
      </c>
      <c r="AS28" s="92">
        <f t="shared" si="17"/>
        <v>1850.7516459004969</v>
      </c>
      <c r="AT28" s="92">
        <f t="shared" si="18"/>
        <v>2260.133368667874</v>
      </c>
      <c r="AU28" s="92">
        <f t="shared" si="19"/>
        <v>1806.5735737365119</v>
      </c>
      <c r="AV28" s="92">
        <f t="shared" si="38"/>
        <v>1488.6018504473273</v>
      </c>
      <c r="AW28" s="92">
        <f t="shared" si="38"/>
        <v>2892.8236415639317</v>
      </c>
      <c r="AX28" s="92">
        <f t="shared" si="38"/>
        <v>1450.6922539004734</v>
      </c>
      <c r="AY28" s="93">
        <f t="shared" si="21"/>
        <v>2120.9698419960355</v>
      </c>
      <c r="AZ28" s="94">
        <f t="shared" si="22"/>
        <v>2113.1803981281359</v>
      </c>
      <c r="BA28" s="95">
        <f t="shared" si="23"/>
        <v>2892.8236415639317</v>
      </c>
      <c r="BB28" s="248" t="s">
        <v>422</v>
      </c>
      <c r="BC28" s="229" t="s">
        <v>433</v>
      </c>
      <c r="BD28" s="249">
        <v>0</v>
      </c>
      <c r="BE28" s="267">
        <f t="shared" si="28"/>
        <v>0</v>
      </c>
      <c r="BF28" s="268">
        <f t="shared" si="39"/>
        <v>0</v>
      </c>
      <c r="BG28" s="268">
        <f t="shared" si="39"/>
        <v>0</v>
      </c>
      <c r="BH28" s="268">
        <f t="shared" si="39"/>
        <v>1</v>
      </c>
      <c r="BI28" s="268">
        <f t="shared" si="39"/>
        <v>2</v>
      </c>
      <c r="BJ28" s="268">
        <f t="shared" si="39"/>
        <v>3</v>
      </c>
      <c r="BK28" s="268">
        <f t="shared" si="39"/>
        <v>4</v>
      </c>
      <c r="BL28" s="269">
        <f t="shared" si="39"/>
        <v>5</v>
      </c>
      <c r="BM28" s="256">
        <f>IF($BC28=Lookup!$A$2,$BD28*ROUNDUP(BE28/10,0)+1,
IF($BC28=Lookup!$A$3,($BD28+1)^BD28,
IF($BC28=Lookup!$A$4,BE28*$BD28+1,"Error")))</f>
        <v>1</v>
      </c>
      <c r="BN28" s="229">
        <f>IF($BC28=Lookup!$A$2,$BD28*ROUNDUP(BF28/10,0)+1,
IF($BC28=Lookup!$A$3,($BD28+1)^BE28,
IF($BC28=Lookup!$A$4,BF28*$BD28+1,"Error")))</f>
        <v>1</v>
      </c>
      <c r="BO28" s="229">
        <f>IF($BC28=Lookup!$A$2,$BD28*ROUNDUP(BG28/10,0)+1,
IF($BC28=Lookup!$A$3,($BD28+1)^BF28,
IF($BC28=Lookup!$A$4,BG28*$BD28+1,"Error")))</f>
        <v>1</v>
      </c>
      <c r="BP28" s="229">
        <f>IF($BC28=Lookup!$A$2,$BD28*ROUNDUP(BH28/10,0)+1,
IF($BC28=Lookup!$A$3,($BD28+1)^BG28,
IF($BC28=Lookup!$A$4,BH28*$BD28+1,"Error")))</f>
        <v>1</v>
      </c>
      <c r="BQ28" s="229">
        <f>IF($BC28=Lookup!$A$2,$BD28*ROUNDUP(BI28/10,0)+1,
IF($BC28=Lookup!$A$3,($BD28+1)^BH28,
IF($BC28=Lookup!$A$4,BI28*$BD28+1,"Error")))</f>
        <v>1</v>
      </c>
      <c r="BR28" s="229">
        <f>IF($BC28=Lookup!$A$2,$BD28*ROUNDUP(BJ28/10,0)+1,
IF($BC28=Lookup!$A$3,($BD28+1)^BI28,
IF($BC28=Lookup!$A$4,BJ28*$BD28+1,"Error")))</f>
        <v>1</v>
      </c>
      <c r="BS28" s="229">
        <f>IF($BC28=Lookup!$A$2,$BD28*ROUNDUP(BK28/10,0)+1,
IF($BC28=Lookup!$A$3,($BD28+1)^BJ28,
IF($BC28=Lookup!$A$4,BK28*$BD28+1,"Error")))</f>
        <v>1</v>
      </c>
      <c r="BT28" s="249">
        <f>IF($BC28=Lookup!$A$2,$BD28*ROUNDUP(BL28/10,0)+1,
IF($BC28=Lookup!$A$3,($BD28+1)^BK28,
IF($BC28=Lookup!$A$4,BL28*$BD28+1,"Error")))</f>
        <v>1</v>
      </c>
      <c r="BU28" s="320"/>
      <c r="BV28" s="321">
        <f t="shared" ref="BV28:BW33" si="44">IFERROR(SUM(CF$34:CF$42)*HLOOKUP($BW$4,$AY$135:$BA$146,4,0)/HLOOKUP($BW$4,$AY$135:$BA$146,5,0)*$AK28/SUM($AK$27:$AK$33),"")</f>
        <v>1363.8598027289802</v>
      </c>
      <c r="BW28" s="321">
        <f t="shared" si="44"/>
        <v>1363.8598027289802</v>
      </c>
      <c r="BX28" s="321">
        <f t="shared" ref="BX28:BX33" si="45">IFERROR(SUM(CH$34:CH$42)*HLOOKUP($BW$4,$AY$135:$BA$146,4,0)/HLOOKUP($BW$4,$AY$135:$BA$146,5,0)*$AK28/SUM($AK$27:$AK$33),"")</f>
        <v>1788.0311281775382</v>
      </c>
      <c r="BY28" s="321">
        <f t="shared" si="40"/>
        <v>1876.473317248443</v>
      </c>
      <c r="BZ28" s="321">
        <f t="shared" si="41"/>
        <v>1935.4347766290459</v>
      </c>
      <c r="CA28" s="321">
        <f t="shared" si="42"/>
        <v>1994.3962360096493</v>
      </c>
      <c r="CB28" s="277">
        <f t="shared" si="43"/>
        <v>2023.8769656999514</v>
      </c>
      <c r="CC28" s="382" t="s">
        <v>293</v>
      </c>
      <c r="CD28" s="383">
        <f>HLOOKUP($CC28,$AK$6:$AM$132,ROWS(CD$6:CD28),0)</f>
        <v>1793</v>
      </c>
      <c r="CE28" s="362">
        <f t="shared" si="33"/>
        <v>1793</v>
      </c>
      <c r="CF28" s="363">
        <f t="shared" si="25"/>
        <v>1363.8598027289802</v>
      </c>
      <c r="CG28" s="363">
        <f t="shared" si="25"/>
        <v>1363.8598027289802</v>
      </c>
      <c r="CH28" s="363">
        <f t="shared" si="25"/>
        <v>1788.0311281775382</v>
      </c>
      <c r="CI28" s="363">
        <f t="shared" si="25"/>
        <v>1876.473317248443</v>
      </c>
      <c r="CJ28" s="363">
        <f t="shared" si="25"/>
        <v>1935.4347766290459</v>
      </c>
      <c r="CK28" s="363">
        <f t="shared" si="25"/>
        <v>1994.3962360096493</v>
      </c>
      <c r="CL28" s="364">
        <f t="shared" si="25"/>
        <v>2023.8769656999514</v>
      </c>
      <c r="CM28" s="305" t="s">
        <v>293</v>
      </c>
      <c r="CN28" s="315">
        <v>0.05</v>
      </c>
      <c r="CO28" s="306"/>
      <c r="CP28" s="307">
        <f>IF($CO28&lt;&gt;"",$CO28,HLOOKUP($CM28,$AY$6:$BA$132,ROWS(CP$6:CP28),0))</f>
        <v>2113.1803981281359</v>
      </c>
      <c r="CQ28" s="784">
        <f t="shared" si="26"/>
        <v>3788932.4538437477</v>
      </c>
      <c r="CR28" s="784">
        <f t="shared" si="26"/>
        <v>2882081.8009217875</v>
      </c>
      <c r="CS28" s="97">
        <f t="shared" si="26"/>
        <v>2882081.8009217875</v>
      </c>
      <c r="CT28" s="97">
        <f t="shared" si="26"/>
        <v>3778432.3313077101</v>
      </c>
      <c r="CU28" s="97">
        <f t="shared" si="26"/>
        <v>3965326.6316198888</v>
      </c>
      <c r="CV28" s="97">
        <f t="shared" si="26"/>
        <v>4089922.831828007</v>
      </c>
      <c r="CW28" s="97">
        <f t="shared" si="26"/>
        <v>4214519.0320361266</v>
      </c>
      <c r="CX28" s="98">
        <f t="shared" si="26"/>
        <v>4276817.1321401866</v>
      </c>
      <c r="CY28" s="392"/>
    </row>
    <row r="29" spans="1:103" x14ac:dyDescent="0.25">
      <c r="A29" s="81" t="s">
        <v>68</v>
      </c>
      <c r="B29" s="82" t="s">
        <v>71</v>
      </c>
      <c r="C29" s="83" t="s">
        <v>306</v>
      </c>
      <c r="D29" s="84"/>
      <c r="E29" s="85"/>
      <c r="F29" s="85"/>
      <c r="G29" s="85"/>
      <c r="H29" s="85"/>
      <c r="I29" s="85">
        <v>12740.555571550998</v>
      </c>
      <c r="J29" s="85">
        <v>225284.1856849122</v>
      </c>
      <c r="K29" s="85">
        <v>259124.01182750906</v>
      </c>
      <c r="L29" s="85">
        <v>453889.74837740423</v>
      </c>
      <c r="M29" s="654">
        <f>'2022-23 Input'!D29</f>
        <v>1352394.8304370428</v>
      </c>
      <c r="N29" s="1065">
        <v>3696517.4103886206</v>
      </c>
      <c r="O29" s="560">
        <f t="shared" si="27"/>
        <v>0</v>
      </c>
      <c r="P29" s="561">
        <f t="shared" si="0"/>
        <v>0</v>
      </c>
      <c r="Q29" s="561">
        <f t="shared" si="1"/>
        <v>0</v>
      </c>
      <c r="R29" s="561">
        <f t="shared" si="2"/>
        <v>0</v>
      </c>
      <c r="S29" s="561">
        <f t="shared" si="3"/>
        <v>0</v>
      </c>
      <c r="T29" s="561">
        <f t="shared" si="4"/>
        <v>15812.918818099875</v>
      </c>
      <c r="U29" s="561">
        <f t="shared" si="5"/>
        <v>280588.74396035867</v>
      </c>
      <c r="V29" s="561">
        <f t="shared" si="6"/>
        <v>310782.66118063917</v>
      </c>
      <c r="W29" s="675">
        <f t="shared" si="7"/>
        <v>512862.38791271369</v>
      </c>
      <c r="X29" s="675">
        <f t="shared" si="8"/>
        <v>1438219.0588187394</v>
      </c>
      <c r="Y29" s="675">
        <f t="shared" si="8"/>
        <v>3798166.0179395517</v>
      </c>
      <c r="Z29" s="86"/>
      <c r="AA29" s="87"/>
      <c r="AB29" s="87"/>
      <c r="AC29" s="87"/>
      <c r="AD29" s="87"/>
      <c r="AE29" s="87">
        <v>21</v>
      </c>
      <c r="AF29" s="87">
        <v>110</v>
      </c>
      <c r="AG29" s="87">
        <v>54</v>
      </c>
      <c r="AH29" s="87">
        <v>393</v>
      </c>
      <c r="AI29" s="1094">
        <f>'2022-23 Input'!K29</f>
        <v>671</v>
      </c>
      <c r="AJ29" s="665">
        <v>1135</v>
      </c>
      <c r="AK29" s="88">
        <f t="shared" si="9"/>
        <v>249.8</v>
      </c>
      <c r="AL29" s="89">
        <f t="shared" si="10"/>
        <v>372.66666666666669</v>
      </c>
      <c r="AM29" s="90">
        <f t="shared" si="11"/>
        <v>671</v>
      </c>
      <c r="AN29" s="91" t="str">
        <f t="shared" si="12"/>
        <v/>
      </c>
      <c r="AO29" s="92" t="str">
        <f t="shared" si="13"/>
        <v/>
      </c>
      <c r="AP29" s="92" t="str">
        <f t="shared" si="14"/>
        <v/>
      </c>
      <c r="AQ29" s="92" t="str">
        <f t="shared" si="15"/>
        <v/>
      </c>
      <c r="AR29" s="92" t="str">
        <f t="shared" si="16"/>
        <v/>
      </c>
      <c r="AS29" s="92">
        <f t="shared" si="17"/>
        <v>606.69312245480944</v>
      </c>
      <c r="AT29" s="92">
        <f t="shared" si="18"/>
        <v>2048.0380516810201</v>
      </c>
      <c r="AU29" s="92">
        <f t="shared" si="19"/>
        <v>4798.5928116205387</v>
      </c>
      <c r="AV29" s="92">
        <f t="shared" si="38"/>
        <v>1154.9357465073899</v>
      </c>
      <c r="AW29" s="92">
        <f t="shared" si="38"/>
        <v>2015.4915505768149</v>
      </c>
      <c r="AX29" s="92">
        <f t="shared" si="38"/>
        <v>3256.8435333820444</v>
      </c>
      <c r="AY29" s="93">
        <f t="shared" si="21"/>
        <v>1844.222043153258</v>
      </c>
      <c r="AZ29" s="94">
        <f t="shared" si="22"/>
        <v>1847.4137662271521</v>
      </c>
      <c r="BA29" s="95">
        <f t="shared" si="23"/>
        <v>2015.4915505768149</v>
      </c>
      <c r="BB29" s="248" t="s">
        <v>422</v>
      </c>
      <c r="BC29" s="229" t="s">
        <v>433</v>
      </c>
      <c r="BD29" s="249">
        <v>0</v>
      </c>
      <c r="BE29" s="267">
        <f t="shared" si="28"/>
        <v>0</v>
      </c>
      <c r="BF29" s="268">
        <f t="shared" si="39"/>
        <v>0</v>
      </c>
      <c r="BG29" s="268">
        <f t="shared" si="39"/>
        <v>0</v>
      </c>
      <c r="BH29" s="268">
        <f t="shared" si="39"/>
        <v>1</v>
      </c>
      <c r="BI29" s="268">
        <f t="shared" si="39"/>
        <v>2</v>
      </c>
      <c r="BJ29" s="268">
        <f t="shared" si="39"/>
        <v>3</v>
      </c>
      <c r="BK29" s="268">
        <f t="shared" si="39"/>
        <v>4</v>
      </c>
      <c r="BL29" s="269">
        <f t="shared" si="39"/>
        <v>5</v>
      </c>
      <c r="BM29" s="256">
        <f>IF($BC29=Lookup!$A$2,$BD29*ROUNDUP(BE29/10,0)+1,
IF($BC29=Lookup!$A$3,($BD29+1)^BD29,
IF($BC29=Lookup!$A$4,BE29*$BD29+1,"Error")))</f>
        <v>1</v>
      </c>
      <c r="BN29" s="229">
        <f>IF($BC29=Lookup!$A$2,$BD29*ROUNDUP(BF29/10,0)+1,
IF($BC29=Lookup!$A$3,($BD29+1)^BE29,
IF($BC29=Lookup!$A$4,BF29*$BD29+1,"Error")))</f>
        <v>1</v>
      </c>
      <c r="BO29" s="229">
        <f>IF($BC29=Lookup!$A$2,$BD29*ROUNDUP(BG29/10,0)+1,
IF($BC29=Lookup!$A$3,($BD29+1)^BF29,
IF($BC29=Lookup!$A$4,BG29*$BD29+1,"Error")))</f>
        <v>1</v>
      </c>
      <c r="BP29" s="229">
        <f>IF($BC29=Lookup!$A$2,$BD29*ROUNDUP(BH29/10,0)+1,
IF($BC29=Lookup!$A$3,($BD29+1)^BG29,
IF($BC29=Lookup!$A$4,BH29*$BD29+1,"Error")))</f>
        <v>1</v>
      </c>
      <c r="BQ29" s="229">
        <f>IF($BC29=Lookup!$A$2,$BD29*ROUNDUP(BI29/10,0)+1,
IF($BC29=Lookup!$A$3,($BD29+1)^BH29,
IF($BC29=Lookup!$A$4,BI29*$BD29+1,"Error")))</f>
        <v>1</v>
      </c>
      <c r="BR29" s="229">
        <f>IF($BC29=Lookup!$A$2,$BD29*ROUNDUP(BJ29/10,0)+1,
IF($BC29=Lookup!$A$3,($BD29+1)^BI29,
IF($BC29=Lookup!$A$4,BJ29*$BD29+1,"Error")))</f>
        <v>1</v>
      </c>
      <c r="BS29" s="229">
        <f>IF($BC29=Lookup!$A$2,$BD29*ROUNDUP(BK29/10,0)+1,
IF($BC29=Lookup!$A$3,($BD29+1)^BJ29,
IF($BC29=Lookup!$A$4,BK29*$BD29+1,"Error")))</f>
        <v>1</v>
      </c>
      <c r="BT29" s="249">
        <f>IF($BC29=Lookup!$A$2,$BD29*ROUNDUP(BL29/10,0)+1,
IF($BC29=Lookup!$A$3,($BD29+1)^BK29,
IF($BC29=Lookup!$A$4,BL29*$BD29+1,"Error")))</f>
        <v>1</v>
      </c>
      <c r="BU29" s="320"/>
      <c r="BV29" s="321">
        <f t="shared" si="44"/>
        <v>275.24008621885548</v>
      </c>
      <c r="BW29" s="321">
        <f t="shared" si="44"/>
        <v>275.24008621885548</v>
      </c>
      <c r="BX29" s="321">
        <f t="shared" si="45"/>
        <v>360.84195816670632</v>
      </c>
      <c r="BY29" s="321">
        <f t="shared" si="40"/>
        <v>378.69044647653993</v>
      </c>
      <c r="BZ29" s="321">
        <f t="shared" si="41"/>
        <v>390.58943868309564</v>
      </c>
      <c r="CA29" s="321">
        <f t="shared" si="42"/>
        <v>402.4884308896514</v>
      </c>
      <c r="CB29" s="277">
        <f t="shared" si="43"/>
        <v>408.43792699292925</v>
      </c>
      <c r="CC29" s="382" t="s">
        <v>293</v>
      </c>
      <c r="CD29" s="383">
        <f>HLOOKUP($CC29,$AK$6:$AM$132,ROWS(CD$6:CD29),0)</f>
        <v>372.66666666666669</v>
      </c>
      <c r="CE29" s="362">
        <f t="shared" si="33"/>
        <v>372.66666666666669</v>
      </c>
      <c r="CF29" s="363">
        <f t="shared" si="25"/>
        <v>275.24008621885548</v>
      </c>
      <c r="CG29" s="363">
        <f t="shared" si="25"/>
        <v>275.24008621885548</v>
      </c>
      <c r="CH29" s="363">
        <f t="shared" si="25"/>
        <v>360.84195816670632</v>
      </c>
      <c r="CI29" s="363">
        <f t="shared" si="25"/>
        <v>378.69044647653993</v>
      </c>
      <c r="CJ29" s="363">
        <f t="shared" si="25"/>
        <v>390.58943868309564</v>
      </c>
      <c r="CK29" s="363">
        <f t="shared" si="25"/>
        <v>402.4884308896514</v>
      </c>
      <c r="CL29" s="364">
        <f t="shared" si="25"/>
        <v>408.43792699292925</v>
      </c>
      <c r="CM29" s="305" t="s">
        <v>293</v>
      </c>
      <c r="CN29" s="315">
        <v>0.05</v>
      </c>
      <c r="CO29" s="306"/>
      <c r="CP29" s="307">
        <f>IF($CO29&lt;&gt;"",$CO29,HLOOKUP($CM29,$AY$6:$BA$132,ROWS(CP$6:CP29),0))</f>
        <v>1847.4137662271521</v>
      </c>
      <c r="CQ29" s="784">
        <f t="shared" si="26"/>
        <v>688469.53021398536</v>
      </c>
      <c r="CR29" s="784">
        <f t="shared" si="26"/>
        <v>508482.3242982619</v>
      </c>
      <c r="CS29" s="97">
        <f t="shared" si="26"/>
        <v>508482.3242982619</v>
      </c>
      <c r="CT29" s="97">
        <f t="shared" si="26"/>
        <v>666624.40094953543</v>
      </c>
      <c r="CU29" s="97">
        <f t="shared" si="26"/>
        <v>699597.94395946641</v>
      </c>
      <c r="CV29" s="97">
        <f t="shared" si="26"/>
        <v>721580.30596608703</v>
      </c>
      <c r="CW29" s="97">
        <f t="shared" si="26"/>
        <v>743562.66797270777</v>
      </c>
      <c r="CX29" s="98">
        <f t="shared" si="26"/>
        <v>754553.84897601802</v>
      </c>
      <c r="CY29" s="392"/>
    </row>
    <row r="30" spans="1:103" x14ac:dyDescent="0.25">
      <c r="A30" s="81" t="s">
        <v>68</v>
      </c>
      <c r="B30" s="82" t="s">
        <v>73</v>
      </c>
      <c r="C30" s="83" t="s">
        <v>307</v>
      </c>
      <c r="D30" s="84"/>
      <c r="E30" s="85"/>
      <c r="F30" s="85"/>
      <c r="G30" s="85"/>
      <c r="H30" s="85"/>
      <c r="I30" s="85">
        <v>0</v>
      </c>
      <c r="J30" s="85">
        <v>105932.83575658296</v>
      </c>
      <c r="K30" s="85">
        <v>237889.14606679298</v>
      </c>
      <c r="L30" s="85">
        <v>31577.88105671899</v>
      </c>
      <c r="M30" s="654">
        <f>'2022-23 Input'!D30</f>
        <v>750165.55002789386</v>
      </c>
      <c r="N30" s="1065">
        <v>133655.47818842067</v>
      </c>
      <c r="O30" s="560">
        <f t="shared" si="27"/>
        <v>0</v>
      </c>
      <c r="P30" s="561">
        <f t="shared" si="0"/>
        <v>0</v>
      </c>
      <c r="Q30" s="561">
        <f t="shared" si="1"/>
        <v>0</v>
      </c>
      <c r="R30" s="561">
        <f t="shared" si="2"/>
        <v>0</v>
      </c>
      <c r="S30" s="561">
        <f t="shared" si="3"/>
        <v>0</v>
      </c>
      <c r="T30" s="561">
        <f t="shared" si="4"/>
        <v>0</v>
      </c>
      <c r="U30" s="561">
        <f t="shared" si="5"/>
        <v>131938.0729665182</v>
      </c>
      <c r="V30" s="561">
        <f t="shared" si="6"/>
        <v>285314.43828463828</v>
      </c>
      <c r="W30" s="675">
        <f t="shared" si="7"/>
        <v>35680.707797142175</v>
      </c>
      <c r="X30" s="675">
        <f t="shared" si="8"/>
        <v>797771.75055504986</v>
      </c>
      <c r="Y30" s="675">
        <f t="shared" si="8"/>
        <v>137330.80059085958</v>
      </c>
      <c r="Z30" s="86"/>
      <c r="AA30" s="87"/>
      <c r="AB30" s="87"/>
      <c r="AC30" s="87"/>
      <c r="AD30" s="87"/>
      <c r="AE30" s="87">
        <v>0</v>
      </c>
      <c r="AF30" s="87">
        <v>34</v>
      </c>
      <c r="AG30" s="87">
        <v>29</v>
      </c>
      <c r="AH30" s="87">
        <v>71</v>
      </c>
      <c r="AI30" s="1094">
        <f>'2022-23 Input'!K30</f>
        <v>73</v>
      </c>
      <c r="AJ30" s="665">
        <v>98</v>
      </c>
      <c r="AK30" s="88">
        <f t="shared" si="9"/>
        <v>41.4</v>
      </c>
      <c r="AL30" s="89">
        <f t="shared" si="10"/>
        <v>57.666666666666664</v>
      </c>
      <c r="AM30" s="90">
        <f t="shared" si="11"/>
        <v>73</v>
      </c>
      <c r="AN30" s="91" t="str">
        <f t="shared" si="12"/>
        <v/>
      </c>
      <c r="AO30" s="92" t="str">
        <f t="shared" si="13"/>
        <v/>
      </c>
      <c r="AP30" s="92" t="str">
        <f t="shared" si="14"/>
        <v/>
      </c>
      <c r="AQ30" s="92" t="str">
        <f t="shared" si="15"/>
        <v/>
      </c>
      <c r="AR30" s="92" t="str">
        <f t="shared" si="16"/>
        <v/>
      </c>
      <c r="AS30" s="92" t="str">
        <f t="shared" si="17"/>
        <v/>
      </c>
      <c r="AT30" s="92">
        <f t="shared" si="18"/>
        <v>3115.671639899499</v>
      </c>
      <c r="AU30" s="92">
        <f t="shared" si="19"/>
        <v>8203.0740023032067</v>
      </c>
      <c r="AV30" s="92">
        <f t="shared" si="38"/>
        <v>444.75888812280266</v>
      </c>
      <c r="AW30" s="92">
        <f t="shared" si="38"/>
        <v>10276.240411341012</v>
      </c>
      <c r="AX30" s="92">
        <f t="shared" si="38"/>
        <v>1363.8314100859252</v>
      </c>
      <c r="AY30" s="93">
        <f t="shared" si="21"/>
        <v>5437.5140720192694</v>
      </c>
      <c r="AZ30" s="94">
        <f t="shared" si="22"/>
        <v>5893.8299257306699</v>
      </c>
      <c r="BA30" s="95">
        <f t="shared" si="23"/>
        <v>10276.240411341012</v>
      </c>
      <c r="BB30" s="248" t="s">
        <v>422</v>
      </c>
      <c r="BC30" s="229" t="s">
        <v>433</v>
      </c>
      <c r="BD30" s="249">
        <v>0</v>
      </c>
      <c r="BE30" s="267">
        <f t="shared" si="28"/>
        <v>0</v>
      </c>
      <c r="BF30" s="268">
        <f t="shared" si="39"/>
        <v>0</v>
      </c>
      <c r="BG30" s="268">
        <f t="shared" si="39"/>
        <v>0</v>
      </c>
      <c r="BH30" s="268">
        <f t="shared" si="39"/>
        <v>1</v>
      </c>
      <c r="BI30" s="268">
        <f t="shared" si="39"/>
        <v>2</v>
      </c>
      <c r="BJ30" s="268">
        <f t="shared" si="39"/>
        <v>3</v>
      </c>
      <c r="BK30" s="268">
        <f t="shared" si="39"/>
        <v>4</v>
      </c>
      <c r="BL30" s="269">
        <f t="shared" si="39"/>
        <v>5</v>
      </c>
      <c r="BM30" s="256">
        <f>IF($BC30=Lookup!$A$2,$BD30*ROUNDUP(BE30/10,0)+1,
IF($BC30=Lookup!$A$3,($BD30+1)^BD30,
IF($BC30=Lookup!$A$4,BE30*$BD30+1,"Error")))</f>
        <v>1</v>
      </c>
      <c r="BN30" s="229">
        <f>IF($BC30=Lookup!$A$2,$BD30*ROUNDUP(BF30/10,0)+1,
IF($BC30=Lookup!$A$3,($BD30+1)^BE30,
IF($BC30=Lookup!$A$4,BF30*$BD30+1,"Error")))</f>
        <v>1</v>
      </c>
      <c r="BO30" s="229">
        <f>IF($BC30=Lookup!$A$2,$BD30*ROUNDUP(BG30/10,0)+1,
IF($BC30=Lookup!$A$3,($BD30+1)^BF30,
IF($BC30=Lookup!$A$4,BG30*$BD30+1,"Error")))</f>
        <v>1</v>
      </c>
      <c r="BP30" s="229">
        <f>IF($BC30=Lookup!$A$2,$BD30*ROUNDUP(BH30/10,0)+1,
IF($BC30=Lookup!$A$3,($BD30+1)^BG30,
IF($BC30=Lookup!$A$4,BH30*$BD30+1,"Error")))</f>
        <v>1</v>
      </c>
      <c r="BQ30" s="229">
        <f>IF($BC30=Lookup!$A$2,$BD30*ROUNDUP(BI30/10,0)+1,
IF($BC30=Lookup!$A$3,($BD30+1)^BH30,
IF($BC30=Lookup!$A$4,BI30*$BD30+1,"Error")))</f>
        <v>1</v>
      </c>
      <c r="BR30" s="229">
        <f>IF($BC30=Lookup!$A$2,$BD30*ROUNDUP(BJ30/10,0)+1,
IF($BC30=Lookup!$A$3,($BD30+1)^BI30,
IF($BC30=Lookup!$A$4,BJ30*$BD30+1,"Error")))</f>
        <v>1</v>
      </c>
      <c r="BS30" s="229">
        <f>IF($BC30=Lookup!$A$2,$BD30*ROUNDUP(BK30/10,0)+1,
IF($BC30=Lookup!$A$3,($BD30+1)^BJ30,
IF($BC30=Lookup!$A$4,BK30*$BD30+1,"Error")))</f>
        <v>1</v>
      </c>
      <c r="BT30" s="249">
        <f>IF($BC30=Lookup!$A$2,$BD30*ROUNDUP(BL30/10,0)+1,
IF($BC30=Lookup!$A$3,($BD30+1)^BK30,
IF($BC30=Lookup!$A$4,BL30*$BD30+1,"Error")))</f>
        <v>1</v>
      </c>
      <c r="BU30" s="320"/>
      <c r="BV30" s="321">
        <f t="shared" si="44"/>
        <v>45.616251278865548</v>
      </c>
      <c r="BW30" s="321">
        <f t="shared" si="44"/>
        <v>45.616251278865548</v>
      </c>
      <c r="BX30" s="321">
        <f t="shared" si="45"/>
        <v>59.803270889117861</v>
      </c>
      <c r="BY30" s="321">
        <f t="shared" si="40"/>
        <v>62.761347014126308</v>
      </c>
      <c r="BZ30" s="321">
        <f t="shared" si="41"/>
        <v>64.733397764131936</v>
      </c>
      <c r="CA30" s="321">
        <f t="shared" si="42"/>
        <v>66.705448514137572</v>
      </c>
      <c r="CB30" s="277">
        <f t="shared" si="43"/>
        <v>67.691473889140397</v>
      </c>
      <c r="CC30" s="382" t="s">
        <v>293</v>
      </c>
      <c r="CD30" s="383">
        <f>HLOOKUP($CC30,$AK$6:$AM$132,ROWS(CD$6:CD30),0)</f>
        <v>57.666666666666664</v>
      </c>
      <c r="CE30" s="362">
        <f t="shared" si="33"/>
        <v>57.666666666666664</v>
      </c>
      <c r="CF30" s="363">
        <f t="shared" si="25"/>
        <v>45.616251278865548</v>
      </c>
      <c r="CG30" s="363">
        <f t="shared" si="25"/>
        <v>45.616251278865548</v>
      </c>
      <c r="CH30" s="363">
        <f t="shared" si="25"/>
        <v>59.803270889117861</v>
      </c>
      <c r="CI30" s="363">
        <f t="shared" si="25"/>
        <v>62.761347014126308</v>
      </c>
      <c r="CJ30" s="363">
        <f t="shared" si="25"/>
        <v>64.733397764131936</v>
      </c>
      <c r="CK30" s="363">
        <f t="shared" si="25"/>
        <v>66.705448514137572</v>
      </c>
      <c r="CL30" s="364">
        <f t="shared" si="25"/>
        <v>67.691473889140397</v>
      </c>
      <c r="CM30" s="305" t="s">
        <v>293</v>
      </c>
      <c r="CN30" s="315">
        <v>0.05</v>
      </c>
      <c r="CO30" s="306"/>
      <c r="CP30" s="307">
        <f>IF($CO30&lt;&gt;"",$CO30,HLOOKUP($CM30,$AY$6:$BA$132,ROWS(CP$6:CP30),0))</f>
        <v>5893.8299257306699</v>
      </c>
      <c r="CQ30" s="784">
        <f t="shared" si="26"/>
        <v>339877.52571713529</v>
      </c>
      <c r="CR30" s="784">
        <f t="shared" si="26"/>
        <v>268854.42688702769</v>
      </c>
      <c r="CS30" s="97">
        <f t="shared" si="26"/>
        <v>268854.42688702769</v>
      </c>
      <c r="CT30" s="97">
        <f t="shared" si="26"/>
        <v>352470.30762286065</v>
      </c>
      <c r="CU30" s="97">
        <f t="shared" si="26"/>
        <v>369904.70521102485</v>
      </c>
      <c r="CV30" s="97">
        <f t="shared" si="26"/>
        <v>381527.63693646766</v>
      </c>
      <c r="CW30" s="97">
        <f t="shared" si="26"/>
        <v>393150.56866191048</v>
      </c>
      <c r="CX30" s="98">
        <f t="shared" si="26"/>
        <v>398962.03452463192</v>
      </c>
      <c r="CY30" s="392"/>
    </row>
    <row r="31" spans="1:103" x14ac:dyDescent="0.25">
      <c r="A31" s="81" t="s">
        <v>68</v>
      </c>
      <c r="B31" s="82" t="s">
        <v>75</v>
      </c>
      <c r="C31" s="83" t="s">
        <v>76</v>
      </c>
      <c r="D31" s="84"/>
      <c r="E31" s="85"/>
      <c r="F31" s="85"/>
      <c r="G31" s="85"/>
      <c r="H31" s="85"/>
      <c r="I31" s="85">
        <v>0</v>
      </c>
      <c r="J31" s="85">
        <v>0</v>
      </c>
      <c r="K31" s="85">
        <v>0</v>
      </c>
      <c r="L31" s="85">
        <v>0</v>
      </c>
      <c r="M31" s="654">
        <f>'2022-23 Input'!D31</f>
        <v>0</v>
      </c>
      <c r="N31" s="1065">
        <v>0</v>
      </c>
      <c r="O31" s="560">
        <f t="shared" si="27"/>
        <v>0</v>
      </c>
      <c r="P31" s="561">
        <f t="shared" si="0"/>
        <v>0</v>
      </c>
      <c r="Q31" s="561">
        <f t="shared" si="1"/>
        <v>0</v>
      </c>
      <c r="R31" s="561">
        <f t="shared" si="2"/>
        <v>0</v>
      </c>
      <c r="S31" s="561">
        <f t="shared" si="3"/>
        <v>0</v>
      </c>
      <c r="T31" s="561">
        <f t="shared" si="4"/>
        <v>0</v>
      </c>
      <c r="U31" s="561">
        <f t="shared" si="5"/>
        <v>0</v>
      </c>
      <c r="V31" s="561">
        <f t="shared" si="6"/>
        <v>0</v>
      </c>
      <c r="W31" s="675">
        <f t="shared" si="7"/>
        <v>0</v>
      </c>
      <c r="X31" s="675">
        <f t="shared" si="8"/>
        <v>0</v>
      </c>
      <c r="Y31" s="675">
        <f t="shared" si="8"/>
        <v>0</v>
      </c>
      <c r="Z31" s="86"/>
      <c r="AA31" s="87"/>
      <c r="AB31" s="87"/>
      <c r="AC31" s="87"/>
      <c r="AD31" s="87"/>
      <c r="AE31" s="87">
        <v>0</v>
      </c>
      <c r="AF31" s="87">
        <v>0</v>
      </c>
      <c r="AG31" s="87">
        <v>0</v>
      </c>
      <c r="AH31" s="87">
        <v>0</v>
      </c>
      <c r="AI31" s="1094">
        <f>'2022-23 Input'!K31</f>
        <v>0</v>
      </c>
      <c r="AJ31" s="665">
        <v>0</v>
      </c>
      <c r="AK31" s="88">
        <f t="shared" si="9"/>
        <v>0</v>
      </c>
      <c r="AL31" s="89">
        <f t="shared" si="10"/>
        <v>0</v>
      </c>
      <c r="AM31" s="90">
        <f t="shared" si="11"/>
        <v>0</v>
      </c>
      <c r="AN31" s="91" t="str">
        <f t="shared" si="12"/>
        <v/>
      </c>
      <c r="AO31" s="92" t="str">
        <f t="shared" si="13"/>
        <v/>
      </c>
      <c r="AP31" s="92" t="str">
        <f t="shared" si="14"/>
        <v/>
      </c>
      <c r="AQ31" s="92" t="str">
        <f t="shared" si="15"/>
        <v/>
      </c>
      <c r="AR31" s="92" t="str">
        <f t="shared" si="16"/>
        <v/>
      </c>
      <c r="AS31" s="92" t="str">
        <f t="shared" si="17"/>
        <v/>
      </c>
      <c r="AT31" s="92" t="str">
        <f t="shared" si="18"/>
        <v/>
      </c>
      <c r="AU31" s="92" t="str">
        <f t="shared" si="19"/>
        <v/>
      </c>
      <c r="AV31" s="92" t="str">
        <f t="shared" si="38"/>
        <v/>
      </c>
      <c r="AW31" s="92" t="str">
        <f t="shared" si="38"/>
        <v/>
      </c>
      <c r="AX31" s="92" t="str">
        <f t="shared" si="38"/>
        <v/>
      </c>
      <c r="AY31" s="93" t="str">
        <f t="shared" si="21"/>
        <v/>
      </c>
      <c r="AZ31" s="94" t="str">
        <f t="shared" si="22"/>
        <v/>
      </c>
      <c r="BA31" s="95" t="str">
        <f t="shared" si="23"/>
        <v/>
      </c>
      <c r="BB31" s="248" t="s">
        <v>422</v>
      </c>
      <c r="BC31" s="229" t="s">
        <v>433</v>
      </c>
      <c r="BD31" s="249">
        <v>0</v>
      </c>
      <c r="BE31" s="267">
        <f t="shared" si="28"/>
        <v>0</v>
      </c>
      <c r="BF31" s="268">
        <f t="shared" si="39"/>
        <v>0</v>
      </c>
      <c r="BG31" s="268">
        <f t="shared" si="39"/>
        <v>0</v>
      </c>
      <c r="BH31" s="268">
        <f t="shared" si="39"/>
        <v>1</v>
      </c>
      <c r="BI31" s="268">
        <f t="shared" si="39"/>
        <v>2</v>
      </c>
      <c r="BJ31" s="268">
        <f t="shared" si="39"/>
        <v>3</v>
      </c>
      <c r="BK31" s="268">
        <f t="shared" si="39"/>
        <v>4</v>
      </c>
      <c r="BL31" s="269">
        <f t="shared" si="39"/>
        <v>5</v>
      </c>
      <c r="BM31" s="256">
        <f>IF($BC31=Lookup!$A$2,$BD31*ROUNDUP(BE31/10,0)+1,
IF($BC31=Lookup!$A$3,($BD31+1)^BD31,
IF($BC31=Lookup!$A$4,BE31*$BD31+1,"Error")))</f>
        <v>1</v>
      </c>
      <c r="BN31" s="229">
        <f>IF($BC31=Lookup!$A$2,$BD31*ROUNDUP(BF31/10,0)+1,
IF($BC31=Lookup!$A$3,($BD31+1)^BE31,
IF($BC31=Lookup!$A$4,BF31*$BD31+1,"Error")))</f>
        <v>1</v>
      </c>
      <c r="BO31" s="229">
        <f>IF($BC31=Lookup!$A$2,$BD31*ROUNDUP(BG31/10,0)+1,
IF($BC31=Lookup!$A$3,($BD31+1)^BF31,
IF($BC31=Lookup!$A$4,BG31*$BD31+1,"Error")))</f>
        <v>1</v>
      </c>
      <c r="BP31" s="229">
        <f>IF($BC31=Lookup!$A$2,$BD31*ROUNDUP(BH31/10,0)+1,
IF($BC31=Lookup!$A$3,($BD31+1)^BG31,
IF($BC31=Lookup!$A$4,BH31*$BD31+1,"Error")))</f>
        <v>1</v>
      </c>
      <c r="BQ31" s="229">
        <f>IF($BC31=Lookup!$A$2,$BD31*ROUNDUP(BI31/10,0)+1,
IF($BC31=Lookup!$A$3,($BD31+1)^BH31,
IF($BC31=Lookup!$A$4,BI31*$BD31+1,"Error")))</f>
        <v>1</v>
      </c>
      <c r="BR31" s="229">
        <f>IF($BC31=Lookup!$A$2,$BD31*ROUNDUP(BJ31/10,0)+1,
IF($BC31=Lookup!$A$3,($BD31+1)^BI31,
IF($BC31=Lookup!$A$4,BJ31*$BD31+1,"Error")))</f>
        <v>1</v>
      </c>
      <c r="BS31" s="229">
        <f>IF($BC31=Lookup!$A$2,$BD31*ROUNDUP(BK31/10,0)+1,
IF($BC31=Lookup!$A$3,($BD31+1)^BJ31,
IF($BC31=Lookup!$A$4,BK31*$BD31+1,"Error")))</f>
        <v>1</v>
      </c>
      <c r="BT31" s="249">
        <f>IF($BC31=Lookup!$A$2,$BD31*ROUNDUP(BL31/10,0)+1,
IF($BC31=Lookup!$A$3,($BD31+1)^BK31,
IF($BC31=Lookup!$A$4,BL31*$BD31+1,"Error")))</f>
        <v>1</v>
      </c>
      <c r="BU31" s="320"/>
      <c r="BV31" s="321">
        <f t="shared" si="44"/>
        <v>0</v>
      </c>
      <c r="BW31" s="321">
        <f t="shared" si="44"/>
        <v>0</v>
      </c>
      <c r="BX31" s="321">
        <f t="shared" si="45"/>
        <v>0</v>
      </c>
      <c r="BY31" s="321">
        <f t="shared" si="40"/>
        <v>0</v>
      </c>
      <c r="BZ31" s="321">
        <f t="shared" si="41"/>
        <v>0</v>
      </c>
      <c r="CA31" s="321">
        <f t="shared" si="42"/>
        <v>0</v>
      </c>
      <c r="CB31" s="277">
        <f t="shared" si="43"/>
        <v>0</v>
      </c>
      <c r="CC31" s="382" t="s">
        <v>293</v>
      </c>
      <c r="CD31" s="383">
        <f>HLOOKUP($CC31,$AK$6:$AM$132,ROWS(CD$6:CD31),0)</f>
        <v>0</v>
      </c>
      <c r="CE31" s="362">
        <f t="shared" si="33"/>
        <v>0</v>
      </c>
      <c r="CF31" s="363">
        <f t="shared" si="25"/>
        <v>0</v>
      </c>
      <c r="CG31" s="363">
        <f t="shared" si="25"/>
        <v>0</v>
      </c>
      <c r="CH31" s="363">
        <f t="shared" si="25"/>
        <v>0</v>
      </c>
      <c r="CI31" s="363">
        <f t="shared" si="25"/>
        <v>0</v>
      </c>
      <c r="CJ31" s="363">
        <f t="shared" si="25"/>
        <v>0</v>
      </c>
      <c r="CK31" s="363">
        <f t="shared" si="25"/>
        <v>0</v>
      </c>
      <c r="CL31" s="364">
        <f t="shared" si="25"/>
        <v>0</v>
      </c>
      <c r="CM31" s="305" t="s">
        <v>293</v>
      </c>
      <c r="CN31" s="315">
        <v>0.05</v>
      </c>
      <c r="CO31" s="306"/>
      <c r="CP31" s="307" t="str">
        <f>IF($CO31&lt;&gt;"",$CO31,HLOOKUP($CM31,$AY$6:$BA$132,ROWS(CP$6:CP31),0))</f>
        <v/>
      </c>
      <c r="CQ31" s="784" t="str">
        <f t="shared" si="26"/>
        <v/>
      </c>
      <c r="CR31" s="784" t="str">
        <f t="shared" si="26"/>
        <v/>
      </c>
      <c r="CS31" s="97" t="str">
        <f t="shared" si="26"/>
        <v/>
      </c>
      <c r="CT31" s="97" t="str">
        <f t="shared" si="26"/>
        <v/>
      </c>
      <c r="CU31" s="97" t="str">
        <f t="shared" si="26"/>
        <v/>
      </c>
      <c r="CV31" s="97" t="str">
        <f t="shared" si="26"/>
        <v/>
      </c>
      <c r="CW31" s="97" t="str">
        <f t="shared" si="26"/>
        <v/>
      </c>
      <c r="CX31" s="98" t="str">
        <f t="shared" si="26"/>
        <v/>
      </c>
      <c r="CY31" s="392"/>
    </row>
    <row r="32" spans="1:103" x14ac:dyDescent="0.25">
      <c r="A32" s="81" t="s">
        <v>68</v>
      </c>
      <c r="B32" s="82" t="s">
        <v>77</v>
      </c>
      <c r="C32" s="83" t="s">
        <v>78</v>
      </c>
      <c r="D32" s="84"/>
      <c r="E32" s="85"/>
      <c r="F32" s="85"/>
      <c r="G32" s="85"/>
      <c r="H32" s="85"/>
      <c r="I32" s="85">
        <v>0</v>
      </c>
      <c r="J32" s="85">
        <v>0</v>
      </c>
      <c r="K32" s="85">
        <v>0</v>
      </c>
      <c r="L32" s="85">
        <v>0</v>
      </c>
      <c r="M32" s="654">
        <f>'2022-23 Input'!D32</f>
        <v>0</v>
      </c>
      <c r="N32" s="1065">
        <v>0</v>
      </c>
      <c r="O32" s="560">
        <f t="shared" si="27"/>
        <v>0</v>
      </c>
      <c r="P32" s="561">
        <f t="shared" si="0"/>
        <v>0</v>
      </c>
      <c r="Q32" s="561">
        <f t="shared" si="1"/>
        <v>0</v>
      </c>
      <c r="R32" s="561">
        <f t="shared" si="2"/>
        <v>0</v>
      </c>
      <c r="S32" s="561">
        <f t="shared" si="3"/>
        <v>0</v>
      </c>
      <c r="T32" s="561">
        <f t="shared" si="4"/>
        <v>0</v>
      </c>
      <c r="U32" s="561">
        <f t="shared" si="5"/>
        <v>0</v>
      </c>
      <c r="V32" s="561">
        <f t="shared" si="6"/>
        <v>0</v>
      </c>
      <c r="W32" s="675">
        <f t="shared" si="7"/>
        <v>0</v>
      </c>
      <c r="X32" s="675">
        <f t="shared" si="8"/>
        <v>0</v>
      </c>
      <c r="Y32" s="675">
        <f t="shared" si="8"/>
        <v>0</v>
      </c>
      <c r="Z32" s="86"/>
      <c r="AA32" s="87"/>
      <c r="AB32" s="87"/>
      <c r="AC32" s="87"/>
      <c r="AD32" s="87"/>
      <c r="AE32" s="87">
        <v>0</v>
      </c>
      <c r="AF32" s="87">
        <v>0</v>
      </c>
      <c r="AG32" s="87">
        <v>0</v>
      </c>
      <c r="AH32" s="87">
        <v>0</v>
      </c>
      <c r="AI32" s="1094">
        <f>'2022-23 Input'!K32</f>
        <v>0</v>
      </c>
      <c r="AJ32" s="665">
        <v>0</v>
      </c>
      <c r="AK32" s="88">
        <f t="shared" si="9"/>
        <v>0</v>
      </c>
      <c r="AL32" s="89">
        <f t="shared" si="10"/>
        <v>0</v>
      </c>
      <c r="AM32" s="90">
        <f t="shared" si="11"/>
        <v>0</v>
      </c>
      <c r="AN32" s="91" t="str">
        <f t="shared" si="12"/>
        <v/>
      </c>
      <c r="AO32" s="92" t="str">
        <f t="shared" si="13"/>
        <v/>
      </c>
      <c r="AP32" s="92" t="str">
        <f t="shared" si="14"/>
        <v/>
      </c>
      <c r="AQ32" s="92" t="str">
        <f t="shared" si="15"/>
        <v/>
      </c>
      <c r="AR32" s="92" t="str">
        <f t="shared" si="16"/>
        <v/>
      </c>
      <c r="AS32" s="92" t="str">
        <f t="shared" si="17"/>
        <v/>
      </c>
      <c r="AT32" s="92" t="str">
        <f t="shared" si="18"/>
        <v/>
      </c>
      <c r="AU32" s="92" t="str">
        <f t="shared" si="19"/>
        <v/>
      </c>
      <c r="AV32" s="92" t="str">
        <f t="shared" si="38"/>
        <v/>
      </c>
      <c r="AW32" s="92" t="str">
        <f t="shared" si="38"/>
        <v/>
      </c>
      <c r="AX32" s="92" t="str">
        <f t="shared" si="38"/>
        <v/>
      </c>
      <c r="AY32" s="93" t="str">
        <f t="shared" si="21"/>
        <v/>
      </c>
      <c r="AZ32" s="94" t="str">
        <f t="shared" si="22"/>
        <v/>
      </c>
      <c r="BA32" s="95" t="str">
        <f t="shared" si="23"/>
        <v/>
      </c>
      <c r="BB32" s="248" t="s">
        <v>422</v>
      </c>
      <c r="BC32" s="229" t="s">
        <v>433</v>
      </c>
      <c r="BD32" s="249">
        <v>0</v>
      </c>
      <c r="BE32" s="267">
        <f t="shared" si="28"/>
        <v>0</v>
      </c>
      <c r="BF32" s="268">
        <f t="shared" si="39"/>
        <v>0</v>
      </c>
      <c r="BG32" s="268">
        <f t="shared" si="39"/>
        <v>0</v>
      </c>
      <c r="BH32" s="268">
        <f t="shared" si="39"/>
        <v>1</v>
      </c>
      <c r="BI32" s="268">
        <f t="shared" si="39"/>
        <v>2</v>
      </c>
      <c r="BJ32" s="268">
        <f t="shared" si="39"/>
        <v>3</v>
      </c>
      <c r="BK32" s="268">
        <f t="shared" si="39"/>
        <v>4</v>
      </c>
      <c r="BL32" s="269">
        <f t="shared" si="39"/>
        <v>5</v>
      </c>
      <c r="BM32" s="256">
        <f>IF($BC32=Lookup!$A$2,$BD32*ROUNDUP(BE32/10,0)+1,
IF($BC32=Lookup!$A$3,($BD32+1)^BD32,
IF($BC32=Lookup!$A$4,BE32*$BD32+1,"Error")))</f>
        <v>1</v>
      </c>
      <c r="BN32" s="229">
        <f>IF($BC32=Lookup!$A$2,$BD32*ROUNDUP(BF32/10,0)+1,
IF($BC32=Lookup!$A$3,($BD32+1)^BE32,
IF($BC32=Lookup!$A$4,BF32*$BD32+1,"Error")))</f>
        <v>1</v>
      </c>
      <c r="BO32" s="229">
        <f>IF($BC32=Lookup!$A$2,$BD32*ROUNDUP(BG32/10,0)+1,
IF($BC32=Lookup!$A$3,($BD32+1)^BF32,
IF($BC32=Lookup!$A$4,BG32*$BD32+1,"Error")))</f>
        <v>1</v>
      </c>
      <c r="BP32" s="229">
        <f>IF($BC32=Lookup!$A$2,$BD32*ROUNDUP(BH32/10,0)+1,
IF($BC32=Lookup!$A$3,($BD32+1)^BG32,
IF($BC32=Lookup!$A$4,BH32*$BD32+1,"Error")))</f>
        <v>1</v>
      </c>
      <c r="BQ32" s="229">
        <f>IF($BC32=Lookup!$A$2,$BD32*ROUNDUP(BI32/10,0)+1,
IF($BC32=Lookup!$A$3,($BD32+1)^BH32,
IF($BC32=Lookup!$A$4,BI32*$BD32+1,"Error")))</f>
        <v>1</v>
      </c>
      <c r="BR32" s="229">
        <f>IF($BC32=Lookup!$A$2,$BD32*ROUNDUP(BJ32/10,0)+1,
IF($BC32=Lookup!$A$3,($BD32+1)^BI32,
IF($BC32=Lookup!$A$4,BJ32*$BD32+1,"Error")))</f>
        <v>1</v>
      </c>
      <c r="BS32" s="229">
        <f>IF($BC32=Lookup!$A$2,$BD32*ROUNDUP(BK32/10,0)+1,
IF($BC32=Lookup!$A$3,($BD32+1)^BJ32,
IF($BC32=Lookup!$A$4,BK32*$BD32+1,"Error")))</f>
        <v>1</v>
      </c>
      <c r="BT32" s="249">
        <f>IF($BC32=Lookup!$A$2,$BD32*ROUNDUP(BL32/10,0)+1,
IF($BC32=Lookup!$A$3,($BD32+1)^BK32,
IF($BC32=Lookup!$A$4,BL32*$BD32+1,"Error")))</f>
        <v>1</v>
      </c>
      <c r="BU32" s="320"/>
      <c r="BV32" s="321">
        <f t="shared" si="44"/>
        <v>0</v>
      </c>
      <c r="BW32" s="321">
        <f t="shared" si="44"/>
        <v>0</v>
      </c>
      <c r="BX32" s="321">
        <f t="shared" si="45"/>
        <v>0</v>
      </c>
      <c r="BY32" s="321">
        <f t="shared" si="40"/>
        <v>0</v>
      </c>
      <c r="BZ32" s="321">
        <f t="shared" si="41"/>
        <v>0</v>
      </c>
      <c r="CA32" s="321">
        <f t="shared" si="42"/>
        <v>0</v>
      </c>
      <c r="CB32" s="277">
        <f t="shared" si="43"/>
        <v>0</v>
      </c>
      <c r="CC32" s="382" t="s">
        <v>293</v>
      </c>
      <c r="CD32" s="383">
        <f>HLOOKUP($CC32,$AK$6:$AM$132,ROWS(CD$6:CD32),0)</f>
        <v>0</v>
      </c>
      <c r="CE32" s="362">
        <f t="shared" si="33"/>
        <v>0</v>
      </c>
      <c r="CF32" s="363">
        <f t="shared" si="25"/>
        <v>0</v>
      </c>
      <c r="CG32" s="363">
        <f t="shared" si="25"/>
        <v>0</v>
      </c>
      <c r="CH32" s="363">
        <f t="shared" si="25"/>
        <v>0</v>
      </c>
      <c r="CI32" s="363">
        <f t="shared" si="25"/>
        <v>0</v>
      </c>
      <c r="CJ32" s="363">
        <f t="shared" si="25"/>
        <v>0</v>
      </c>
      <c r="CK32" s="363">
        <f t="shared" si="25"/>
        <v>0</v>
      </c>
      <c r="CL32" s="364">
        <f t="shared" si="25"/>
        <v>0</v>
      </c>
      <c r="CM32" s="305" t="s">
        <v>293</v>
      </c>
      <c r="CN32" s="315">
        <v>0.05</v>
      </c>
      <c r="CO32" s="306"/>
      <c r="CP32" s="307" t="str">
        <f>IF($CO32&lt;&gt;"",$CO32,HLOOKUP($CM32,$AY$6:$BA$132,ROWS(CP$6:CP32),0))</f>
        <v/>
      </c>
      <c r="CQ32" s="784" t="str">
        <f t="shared" si="26"/>
        <v/>
      </c>
      <c r="CR32" s="784" t="str">
        <f t="shared" si="26"/>
        <v/>
      </c>
      <c r="CS32" s="97" t="str">
        <f t="shared" si="26"/>
        <v/>
      </c>
      <c r="CT32" s="97" t="str">
        <f t="shared" si="26"/>
        <v/>
      </c>
      <c r="CU32" s="97" t="str">
        <f t="shared" si="26"/>
        <v/>
      </c>
      <c r="CV32" s="97" t="str">
        <f t="shared" si="26"/>
        <v/>
      </c>
      <c r="CW32" s="97" t="str">
        <f t="shared" si="26"/>
        <v/>
      </c>
      <c r="CX32" s="98" t="str">
        <f t="shared" si="26"/>
        <v/>
      </c>
      <c r="CY32" s="392"/>
    </row>
    <row r="33" spans="1:104" ht="15.75" thickBot="1" x14ac:dyDescent="0.3">
      <c r="A33" s="100" t="s">
        <v>68</v>
      </c>
      <c r="B33" s="101" t="s">
        <v>308</v>
      </c>
      <c r="C33" s="102" t="s">
        <v>309</v>
      </c>
      <c r="D33" s="103"/>
      <c r="E33" s="104"/>
      <c r="F33" s="104"/>
      <c r="G33" s="104"/>
      <c r="H33" s="104"/>
      <c r="I33" s="104">
        <v>0</v>
      </c>
      <c r="J33" s="104">
        <v>0</v>
      </c>
      <c r="K33" s="104">
        <v>0</v>
      </c>
      <c r="L33" s="104">
        <v>0</v>
      </c>
      <c r="M33" s="655">
        <f>'2022-23 Input'!D33</f>
        <v>0</v>
      </c>
      <c r="N33" s="1066">
        <v>0</v>
      </c>
      <c r="O33" s="563">
        <f t="shared" si="27"/>
        <v>0</v>
      </c>
      <c r="P33" s="564">
        <f t="shared" si="0"/>
        <v>0</v>
      </c>
      <c r="Q33" s="564">
        <f t="shared" si="1"/>
        <v>0</v>
      </c>
      <c r="R33" s="564">
        <f t="shared" si="2"/>
        <v>0</v>
      </c>
      <c r="S33" s="564">
        <f t="shared" si="3"/>
        <v>0</v>
      </c>
      <c r="T33" s="564">
        <f t="shared" si="4"/>
        <v>0</v>
      </c>
      <c r="U33" s="564">
        <f t="shared" si="5"/>
        <v>0</v>
      </c>
      <c r="V33" s="564">
        <f t="shared" si="6"/>
        <v>0</v>
      </c>
      <c r="W33" s="676">
        <f t="shared" si="7"/>
        <v>0</v>
      </c>
      <c r="X33" s="676">
        <f t="shared" si="8"/>
        <v>0</v>
      </c>
      <c r="Y33" s="676">
        <f t="shared" si="8"/>
        <v>0</v>
      </c>
      <c r="Z33" s="105"/>
      <c r="AA33" s="106"/>
      <c r="AB33" s="106"/>
      <c r="AC33" s="106"/>
      <c r="AD33" s="106"/>
      <c r="AE33" s="106">
        <v>0</v>
      </c>
      <c r="AF33" s="106">
        <v>0</v>
      </c>
      <c r="AG33" s="106">
        <v>0</v>
      </c>
      <c r="AH33" s="106">
        <v>0</v>
      </c>
      <c r="AI33" s="1095">
        <f>'2022-23 Input'!K33</f>
        <v>0</v>
      </c>
      <c r="AJ33" s="666">
        <v>0</v>
      </c>
      <c r="AK33" s="107">
        <f t="shared" si="9"/>
        <v>0</v>
      </c>
      <c r="AL33" s="108">
        <f t="shared" si="10"/>
        <v>0</v>
      </c>
      <c r="AM33" s="109">
        <f t="shared" si="11"/>
        <v>0</v>
      </c>
      <c r="AN33" s="110" t="str">
        <f t="shared" si="12"/>
        <v/>
      </c>
      <c r="AO33" s="111" t="str">
        <f t="shared" si="13"/>
        <v/>
      </c>
      <c r="AP33" s="111" t="str">
        <f t="shared" si="14"/>
        <v/>
      </c>
      <c r="AQ33" s="111" t="str">
        <f t="shared" si="15"/>
        <v/>
      </c>
      <c r="AR33" s="111" t="str">
        <f t="shared" si="16"/>
        <v/>
      </c>
      <c r="AS33" s="111" t="str">
        <f t="shared" si="17"/>
        <v/>
      </c>
      <c r="AT33" s="111" t="str">
        <f t="shared" si="18"/>
        <v/>
      </c>
      <c r="AU33" s="111" t="str">
        <f t="shared" si="19"/>
        <v/>
      </c>
      <c r="AV33" s="111" t="str">
        <f t="shared" si="38"/>
        <v/>
      </c>
      <c r="AW33" s="111" t="str">
        <f t="shared" si="38"/>
        <v/>
      </c>
      <c r="AX33" s="111" t="str">
        <f t="shared" si="38"/>
        <v/>
      </c>
      <c r="AY33" s="112" t="str">
        <f t="shared" si="21"/>
        <v/>
      </c>
      <c r="AZ33" s="113" t="str">
        <f t="shared" si="22"/>
        <v/>
      </c>
      <c r="BA33" s="114" t="str">
        <f t="shared" si="23"/>
        <v/>
      </c>
      <c r="BB33" s="250" t="s">
        <v>422</v>
      </c>
      <c r="BC33" s="230" t="s">
        <v>433</v>
      </c>
      <c r="BD33" s="251">
        <v>0</v>
      </c>
      <c r="BE33" s="270">
        <f t="shared" si="28"/>
        <v>0</v>
      </c>
      <c r="BF33" s="271">
        <f t="shared" si="39"/>
        <v>0</v>
      </c>
      <c r="BG33" s="271">
        <f t="shared" si="39"/>
        <v>0</v>
      </c>
      <c r="BH33" s="271">
        <f t="shared" si="39"/>
        <v>1</v>
      </c>
      <c r="BI33" s="271">
        <f t="shared" si="39"/>
        <v>2</v>
      </c>
      <c r="BJ33" s="271">
        <f t="shared" si="39"/>
        <v>3</v>
      </c>
      <c r="BK33" s="271">
        <f t="shared" si="39"/>
        <v>4</v>
      </c>
      <c r="BL33" s="272">
        <f t="shared" si="39"/>
        <v>5</v>
      </c>
      <c r="BM33" s="257">
        <f>IF($BC33=Lookup!$A$2,$BD33*ROUNDUP(BE33/10,0)+1,
IF($BC33=Lookup!$A$3,($BD33+1)^BD33,
IF($BC33=Lookup!$A$4,BE33*$BD33+1,"Error")))</f>
        <v>1</v>
      </c>
      <c r="BN33" s="230">
        <f>IF($BC33=Lookup!$A$2,$BD33*ROUNDUP(BF33/10,0)+1,
IF($BC33=Lookup!$A$3,($BD33+1)^BE33,
IF($BC33=Lookup!$A$4,BF33*$BD33+1,"Error")))</f>
        <v>1</v>
      </c>
      <c r="BO33" s="230">
        <f>IF($BC33=Lookup!$A$2,$BD33*ROUNDUP(BG33/10,0)+1,
IF($BC33=Lookup!$A$3,($BD33+1)^BF33,
IF($BC33=Lookup!$A$4,BG33*$BD33+1,"Error")))</f>
        <v>1</v>
      </c>
      <c r="BP33" s="230">
        <f>IF($BC33=Lookup!$A$2,$BD33*ROUNDUP(BH33/10,0)+1,
IF($BC33=Lookup!$A$3,($BD33+1)^BG33,
IF($BC33=Lookup!$A$4,BH33*$BD33+1,"Error")))</f>
        <v>1</v>
      </c>
      <c r="BQ33" s="230">
        <f>IF($BC33=Lookup!$A$2,$BD33*ROUNDUP(BI33/10,0)+1,
IF($BC33=Lookup!$A$3,($BD33+1)^BH33,
IF($BC33=Lookup!$A$4,BI33*$BD33+1,"Error")))</f>
        <v>1</v>
      </c>
      <c r="BR33" s="230">
        <f>IF($BC33=Lookup!$A$2,$BD33*ROUNDUP(BJ33/10,0)+1,
IF($BC33=Lookup!$A$3,($BD33+1)^BI33,
IF($BC33=Lookup!$A$4,BJ33*$BD33+1,"Error")))</f>
        <v>1</v>
      </c>
      <c r="BS33" s="230">
        <f>IF($BC33=Lookup!$A$2,$BD33*ROUNDUP(BK33/10,0)+1,
IF($BC33=Lookup!$A$3,($BD33+1)^BJ33,
IF($BC33=Lookup!$A$4,BK33*$BD33+1,"Error")))</f>
        <v>1</v>
      </c>
      <c r="BT33" s="251">
        <f>IF($BC33=Lookup!$A$2,$BD33*ROUNDUP(BL33/10,0)+1,
IF($BC33=Lookup!$A$3,($BD33+1)^BK33,
IF($BC33=Lookup!$A$4,BL33*$BD33+1,"Error")))</f>
        <v>1</v>
      </c>
      <c r="BU33" s="322"/>
      <c r="BV33" s="323">
        <f t="shared" si="44"/>
        <v>0</v>
      </c>
      <c r="BW33" s="323">
        <f t="shared" si="44"/>
        <v>0</v>
      </c>
      <c r="BX33" s="323">
        <f t="shared" si="45"/>
        <v>0</v>
      </c>
      <c r="BY33" s="323">
        <f t="shared" si="40"/>
        <v>0</v>
      </c>
      <c r="BZ33" s="323">
        <f t="shared" si="41"/>
        <v>0</v>
      </c>
      <c r="CA33" s="323">
        <f t="shared" si="42"/>
        <v>0</v>
      </c>
      <c r="CB33" s="278">
        <f t="shared" si="43"/>
        <v>0</v>
      </c>
      <c r="CC33" s="384" t="s">
        <v>293</v>
      </c>
      <c r="CD33" s="385">
        <f>HLOOKUP($CC33,$AK$6:$AM$132,ROWS(CD$6:CD33),0)</f>
        <v>0</v>
      </c>
      <c r="CE33" s="365">
        <f t="shared" si="33"/>
        <v>0</v>
      </c>
      <c r="CF33" s="366">
        <f t="shared" si="25"/>
        <v>0</v>
      </c>
      <c r="CG33" s="366">
        <f t="shared" si="25"/>
        <v>0</v>
      </c>
      <c r="CH33" s="366">
        <f t="shared" si="25"/>
        <v>0</v>
      </c>
      <c r="CI33" s="366">
        <f t="shared" si="25"/>
        <v>0</v>
      </c>
      <c r="CJ33" s="366">
        <f t="shared" si="25"/>
        <v>0</v>
      </c>
      <c r="CK33" s="366">
        <f t="shared" si="25"/>
        <v>0</v>
      </c>
      <c r="CL33" s="367">
        <f t="shared" si="25"/>
        <v>0</v>
      </c>
      <c r="CM33" s="308" t="s">
        <v>293</v>
      </c>
      <c r="CN33" s="316">
        <v>0.05</v>
      </c>
      <c r="CO33" s="309"/>
      <c r="CP33" s="310" t="str">
        <f>IF($CO33&lt;&gt;"",$CO33,HLOOKUP($CM33,$AY$6:$BA$132,ROWS(CP$6:CP33),0))</f>
        <v/>
      </c>
      <c r="CQ33" s="785" t="str">
        <f t="shared" si="26"/>
        <v/>
      </c>
      <c r="CR33" s="785" t="str">
        <f t="shared" si="26"/>
        <v/>
      </c>
      <c r="CS33" s="117" t="str">
        <f t="shared" si="26"/>
        <v/>
      </c>
      <c r="CT33" s="117" t="str">
        <f t="shared" si="26"/>
        <v/>
      </c>
      <c r="CU33" s="117" t="str">
        <f t="shared" si="26"/>
        <v/>
      </c>
      <c r="CV33" s="117" t="str">
        <f t="shared" si="26"/>
        <v/>
      </c>
      <c r="CW33" s="117" t="str">
        <f t="shared" si="26"/>
        <v/>
      </c>
      <c r="CX33" s="118" t="str">
        <f t="shared" si="26"/>
        <v/>
      </c>
      <c r="CY33" s="393"/>
    </row>
    <row r="34" spans="1:104" x14ac:dyDescent="0.25">
      <c r="A34" s="63" t="s">
        <v>81</v>
      </c>
      <c r="B34" s="334" t="s">
        <v>79</v>
      </c>
      <c r="C34" s="65" t="s">
        <v>305</v>
      </c>
      <c r="D34" s="66"/>
      <c r="E34" s="67"/>
      <c r="F34" s="67"/>
      <c r="G34" s="67"/>
      <c r="H34" s="67"/>
      <c r="I34" s="67">
        <v>1221983.0087369806</v>
      </c>
      <c r="J34" s="67">
        <v>4125816.2586168181</v>
      </c>
      <c r="K34" s="67">
        <v>6921623.4135747338</v>
      </c>
      <c r="L34" s="67">
        <v>10774366.954417437</v>
      </c>
      <c r="M34" s="653">
        <f>'2022-23 Input'!D34</f>
        <v>4583838.4443703163</v>
      </c>
      <c r="N34" s="1064">
        <v>5735396.0033432366</v>
      </c>
      <c r="O34" s="557">
        <f t="shared" si="27"/>
        <v>0</v>
      </c>
      <c r="P34" s="558">
        <f t="shared" si="0"/>
        <v>0</v>
      </c>
      <c r="Q34" s="558">
        <f t="shared" si="1"/>
        <v>0</v>
      </c>
      <c r="R34" s="558">
        <f t="shared" si="2"/>
        <v>0</v>
      </c>
      <c r="S34" s="558">
        <f t="shared" si="3"/>
        <v>0</v>
      </c>
      <c r="T34" s="558">
        <f t="shared" si="4"/>
        <v>1516662.1271526674</v>
      </c>
      <c r="U34" s="558">
        <f t="shared" si="5"/>
        <v>5138654.5322610736</v>
      </c>
      <c r="V34" s="558">
        <f t="shared" si="6"/>
        <v>8301509.8793426789</v>
      </c>
      <c r="W34" s="674">
        <f t="shared" si="7"/>
        <v>12174250.650613386</v>
      </c>
      <c r="X34" s="674">
        <f t="shared" si="8"/>
        <v>4874733.0771066053</v>
      </c>
      <c r="Y34" s="674">
        <f t="shared" si="8"/>
        <v>5893110.6717104344</v>
      </c>
      <c r="Z34" s="119"/>
      <c r="AA34" s="120"/>
      <c r="AB34" s="120"/>
      <c r="AC34" s="120"/>
      <c r="AD34" s="120"/>
      <c r="AE34" s="120">
        <v>34.129307095999998</v>
      </c>
      <c r="AF34" s="120">
        <v>64.735833337000003</v>
      </c>
      <c r="AG34" s="120">
        <v>209.69483333333298</v>
      </c>
      <c r="AH34" s="120">
        <v>241.21499887700008</v>
      </c>
      <c r="AI34" s="1096">
        <f>'2022-23 Input'!K34</f>
        <v>60.721333065333333</v>
      </c>
      <c r="AJ34" s="667">
        <v>89.884166337000011</v>
      </c>
      <c r="AK34" s="121">
        <f t="shared" si="9"/>
        <v>122.09926114173327</v>
      </c>
      <c r="AL34" s="122">
        <f t="shared" si="10"/>
        <v>170.54372175855548</v>
      </c>
      <c r="AM34" s="123">
        <f t="shared" si="11"/>
        <v>60.721333065333333</v>
      </c>
      <c r="AN34" s="73" t="str">
        <f t="shared" si="12"/>
        <v/>
      </c>
      <c r="AO34" s="74" t="str">
        <f t="shared" si="13"/>
        <v/>
      </c>
      <c r="AP34" s="74" t="str">
        <f t="shared" si="14"/>
        <v/>
      </c>
      <c r="AQ34" s="74" t="str">
        <f t="shared" si="15"/>
        <v/>
      </c>
      <c r="AR34" s="74" t="str">
        <f t="shared" si="16"/>
        <v/>
      </c>
      <c r="AS34" s="74">
        <f t="shared" si="17"/>
        <v>35804.506821651783</v>
      </c>
      <c r="AT34" s="74">
        <f t="shared" si="18"/>
        <v>63733.114195638118</v>
      </c>
      <c r="AU34" s="74">
        <f t="shared" si="19"/>
        <v>33008.077993853345</v>
      </c>
      <c r="AV34" s="74">
        <f t="shared" si="38"/>
        <v>44667.068816526968</v>
      </c>
      <c r="AW34" s="74">
        <f t="shared" si="38"/>
        <v>75489.753155424289</v>
      </c>
      <c r="AX34" s="74">
        <f t="shared" si="38"/>
        <v>63808.746713405431</v>
      </c>
      <c r="AY34" s="75">
        <f t="shared" si="21"/>
        <v>45254.373894443204</v>
      </c>
      <c r="AZ34" s="76">
        <f t="shared" si="22"/>
        <v>43546.660806634274</v>
      </c>
      <c r="BA34" s="77">
        <f t="shared" si="23"/>
        <v>75489.753155424289</v>
      </c>
      <c r="BB34" s="246" t="s">
        <v>422</v>
      </c>
      <c r="BC34" s="228" t="s">
        <v>433</v>
      </c>
      <c r="BD34" s="247">
        <v>0</v>
      </c>
      <c r="BE34" s="264">
        <f t="shared" si="28"/>
        <v>0</v>
      </c>
      <c r="BF34" s="265">
        <f t="shared" si="39"/>
        <v>0</v>
      </c>
      <c r="BG34" s="265">
        <f t="shared" si="39"/>
        <v>0</v>
      </c>
      <c r="BH34" s="265">
        <f t="shared" si="39"/>
        <v>1</v>
      </c>
      <c r="BI34" s="265">
        <f t="shared" si="39"/>
        <v>2</v>
      </c>
      <c r="BJ34" s="265">
        <f t="shared" si="39"/>
        <v>3</v>
      </c>
      <c r="BK34" s="265">
        <f t="shared" si="39"/>
        <v>4</v>
      </c>
      <c r="BL34" s="266">
        <f t="shared" si="39"/>
        <v>5</v>
      </c>
      <c r="BM34" s="255">
        <f>IF($BC34=Lookup!$A$2,$BD34*ROUNDUP(BE34/10,0)+1,
IF($BC34=Lookup!$A$3,($BD34+1)^BD34,
IF($BC34=Lookup!$A$4,BE34*$BD34+1,"Error")))</f>
        <v>1</v>
      </c>
      <c r="BN34" s="228">
        <f>IF($BC34=Lookup!$A$2,$BD34*ROUNDUP(BF34/10,0)+1,
IF($BC34=Lookup!$A$3,($BD34+1)^BE34,
IF($BC34=Lookup!$A$4,BF34*$BD34+1,"Error")))</f>
        <v>1</v>
      </c>
      <c r="BO34" s="228">
        <f>IF($BC34=Lookup!$A$2,$BD34*ROUNDUP(BG34/10,0)+1,
IF($BC34=Lookup!$A$3,($BD34+1)^BF34,
IF($BC34=Lookup!$A$4,BG34*$BD34+1,"Error")))</f>
        <v>1</v>
      </c>
      <c r="BP34" s="228">
        <f>IF($BC34=Lookup!$A$2,$BD34*ROUNDUP(BH34/10,0)+1,
IF($BC34=Lookup!$A$3,($BD34+1)^BG34,
IF($BC34=Lookup!$A$4,BH34*$BD34+1,"Error")))</f>
        <v>1</v>
      </c>
      <c r="BQ34" s="228">
        <f>IF($BC34=Lookup!$A$2,$BD34*ROUNDUP(BI34/10,0)+1,
IF($BC34=Lookup!$A$3,($BD34+1)^BH34,
IF($BC34=Lookup!$A$4,BI34*$BD34+1,"Error")))</f>
        <v>1</v>
      </c>
      <c r="BR34" s="228">
        <f>IF($BC34=Lookup!$A$2,$BD34*ROUNDUP(BJ34/10,0)+1,
IF($BC34=Lookup!$A$3,($BD34+1)^BI34,
IF($BC34=Lookup!$A$4,BJ34*$BD34+1,"Error")))</f>
        <v>1</v>
      </c>
      <c r="BS34" s="228">
        <f>IF($BC34=Lookup!$A$2,$BD34*ROUNDUP(BK34/10,0)+1,
IF($BC34=Lookup!$A$3,($BD34+1)^BJ34,
IF($BC34=Lookup!$A$4,BK34*$BD34+1,"Error")))</f>
        <v>1</v>
      </c>
      <c r="BT34" s="247">
        <f>IF($BC34=Lookup!$A$2,$BD34*ROUNDUP(BL34/10,0)+1,
IF($BC34=Lookup!$A$3,($BD34+1)^BK34,
IF($BC34=Lookup!$A$4,BL34*$BD34+1,"Error")))</f>
        <v>1</v>
      </c>
      <c r="BU34" s="396"/>
      <c r="BV34" s="354">
        <v>227.09193475665731</v>
      </c>
      <c r="BW34" s="354">
        <v>227.09193475665734</v>
      </c>
      <c r="BX34" s="354">
        <v>297.71934585248113</v>
      </c>
      <c r="BY34" s="354">
        <v>311.64926591077142</v>
      </c>
      <c r="BZ34" s="354">
        <v>320.93968354433372</v>
      </c>
      <c r="CA34" s="354">
        <v>330.23279570940088</v>
      </c>
      <c r="CB34" s="397">
        <v>334.88028084744997</v>
      </c>
      <c r="CC34" s="380" t="s">
        <v>293</v>
      </c>
      <c r="CD34" s="381">
        <f>HLOOKUP($CC34,$AK$6:$AM$132,ROWS(CD$6:CD34),0)</f>
        <v>170.54372175855548</v>
      </c>
      <c r="CE34" s="359">
        <f t="shared" si="33"/>
        <v>170.54372175855548</v>
      </c>
      <c r="CF34" s="360">
        <f t="shared" si="25"/>
        <v>227.09193475665731</v>
      </c>
      <c r="CG34" s="360">
        <f t="shared" si="25"/>
        <v>227.09193475665734</v>
      </c>
      <c r="CH34" s="360">
        <f t="shared" si="25"/>
        <v>297.71934585248113</v>
      </c>
      <c r="CI34" s="360">
        <f t="shared" si="25"/>
        <v>311.64926591077142</v>
      </c>
      <c r="CJ34" s="360">
        <f t="shared" si="25"/>
        <v>320.93968354433372</v>
      </c>
      <c r="CK34" s="360">
        <f t="shared" si="25"/>
        <v>330.23279570940088</v>
      </c>
      <c r="CL34" s="361">
        <f t="shared" si="25"/>
        <v>334.88028084744997</v>
      </c>
      <c r="CM34" s="302" t="s">
        <v>293</v>
      </c>
      <c r="CN34" s="314">
        <v>0.05</v>
      </c>
      <c r="CO34" s="303"/>
      <c r="CP34" s="304">
        <f>IF($CO34&lt;&gt;"",$CO34,HLOOKUP($CM34,$AY$6:$BA$132,ROWS(CP$6:CP34),0))</f>
        <v>43546.660806634274</v>
      </c>
      <c r="CQ34" s="783">
        <f t="shared" si="26"/>
        <v>7426609.6041208291</v>
      </c>
      <c r="CR34" s="783">
        <f t="shared" si="26"/>
        <v>9889095.4547704775</v>
      </c>
      <c r="CS34" s="79">
        <f t="shared" si="26"/>
        <v>9889095.4547704775</v>
      </c>
      <c r="CT34" s="79">
        <f t="shared" si="26"/>
        <v>12964683.369411035</v>
      </c>
      <c r="CU34" s="79">
        <f t="shared" si="26"/>
        <v>13571284.873252932</v>
      </c>
      <c r="CV34" s="79">
        <f t="shared" si="26"/>
        <v>13975851.538693644</v>
      </c>
      <c r="CW34" s="79">
        <f t="shared" si="26"/>
        <v>14380535.54198383</v>
      </c>
      <c r="CX34" s="80">
        <f t="shared" si="26"/>
        <v>14582918.000894329</v>
      </c>
      <c r="CY34" s="391" t="s">
        <v>467</v>
      </c>
      <c r="CZ34">
        <v>442.72391491260004</v>
      </c>
    </row>
    <row r="35" spans="1:104" x14ac:dyDescent="0.25">
      <c r="A35" s="81" t="s">
        <v>81</v>
      </c>
      <c r="B35" s="82" t="s">
        <v>82</v>
      </c>
      <c r="C35" s="83" t="s">
        <v>70</v>
      </c>
      <c r="D35" s="84"/>
      <c r="E35" s="85"/>
      <c r="F35" s="85"/>
      <c r="G35" s="85"/>
      <c r="H35" s="85"/>
      <c r="I35" s="85">
        <v>849089.58379208297</v>
      </c>
      <c r="J35" s="85">
        <v>1102967.2490482877</v>
      </c>
      <c r="K35" s="85">
        <v>1441062.2323860885</v>
      </c>
      <c r="L35" s="85">
        <v>5921629.1782987593</v>
      </c>
      <c r="M35" s="654">
        <f>'2022-23 Input'!D35</f>
        <v>16367621.639366161</v>
      </c>
      <c r="N35" s="1065">
        <v>8043242.0337470667</v>
      </c>
      <c r="O35" s="560">
        <f t="shared" si="27"/>
        <v>0</v>
      </c>
      <c r="P35" s="561">
        <f t="shared" si="0"/>
        <v>0</v>
      </c>
      <c r="Q35" s="561">
        <f t="shared" si="1"/>
        <v>0</v>
      </c>
      <c r="R35" s="561">
        <f t="shared" si="2"/>
        <v>0</v>
      </c>
      <c r="S35" s="561">
        <f t="shared" si="3"/>
        <v>0</v>
      </c>
      <c r="T35" s="561">
        <f t="shared" si="4"/>
        <v>1053846.0887670622</v>
      </c>
      <c r="U35" s="561">
        <f t="shared" si="5"/>
        <v>1373732.4441970263</v>
      </c>
      <c r="V35" s="561">
        <f t="shared" si="6"/>
        <v>1728350.6547667459</v>
      </c>
      <c r="W35" s="675">
        <f t="shared" si="7"/>
        <v>6691010.0780480439</v>
      </c>
      <c r="X35" s="675">
        <f t="shared" si="8"/>
        <v>17406326.066525355</v>
      </c>
      <c r="Y35" s="675">
        <f t="shared" si="8"/>
        <v>8264418.958445916</v>
      </c>
      <c r="Z35" s="125"/>
      <c r="AA35" s="126"/>
      <c r="AB35" s="126"/>
      <c r="AC35" s="126"/>
      <c r="AD35" s="126"/>
      <c r="AE35" s="126">
        <v>39.741901020000014</v>
      </c>
      <c r="AF35" s="126">
        <v>51.417666666000002</v>
      </c>
      <c r="AG35" s="126">
        <v>51.357999999999961</v>
      </c>
      <c r="AH35" s="126">
        <v>233.82682892300005</v>
      </c>
      <c r="AI35" s="1097">
        <f>'2022-23 Input'!K35</f>
        <v>220.85816249366661</v>
      </c>
      <c r="AJ35" s="668">
        <v>265.96066128499979</v>
      </c>
      <c r="AK35" s="127">
        <f t="shared" si="9"/>
        <v>119.44051182053332</v>
      </c>
      <c r="AL35" s="128">
        <f t="shared" si="10"/>
        <v>168.68099713888887</v>
      </c>
      <c r="AM35" s="129">
        <f t="shared" si="11"/>
        <v>220.85816249366661</v>
      </c>
      <c r="AN35" s="91" t="str">
        <f t="shared" si="12"/>
        <v/>
      </c>
      <c r="AO35" s="92" t="str">
        <f t="shared" si="13"/>
        <v/>
      </c>
      <c r="AP35" s="92" t="str">
        <f t="shared" si="14"/>
        <v/>
      </c>
      <c r="AQ35" s="92" t="str">
        <f t="shared" si="15"/>
        <v/>
      </c>
      <c r="AR35" s="92" t="str">
        <f t="shared" si="16"/>
        <v/>
      </c>
      <c r="AS35" s="92">
        <f t="shared" si="17"/>
        <v>21365.09734058219</v>
      </c>
      <c r="AT35" s="92">
        <f t="shared" si="18"/>
        <v>21451.133833298318</v>
      </c>
      <c r="AU35" s="92">
        <f t="shared" si="19"/>
        <v>28059.157918651224</v>
      </c>
      <c r="AV35" s="92">
        <f t="shared" si="38"/>
        <v>25324.849186783315</v>
      </c>
      <c r="AW35" s="92">
        <f t="shared" si="38"/>
        <v>74109.199563025089</v>
      </c>
      <c r="AX35" s="92">
        <f t="shared" si="38"/>
        <v>30242.224526310827</v>
      </c>
      <c r="AY35" s="93">
        <f t="shared" si="21"/>
        <v>43004.453834693399</v>
      </c>
      <c r="AZ35" s="94">
        <f t="shared" si="22"/>
        <v>46893.867621045465</v>
      </c>
      <c r="BA35" s="95">
        <f t="shared" si="23"/>
        <v>74109.199563025089</v>
      </c>
      <c r="BB35" s="248" t="s">
        <v>422</v>
      </c>
      <c r="BC35" s="229" t="s">
        <v>433</v>
      </c>
      <c r="BD35" s="249">
        <v>0</v>
      </c>
      <c r="BE35" s="267">
        <f t="shared" si="28"/>
        <v>0</v>
      </c>
      <c r="BF35" s="268">
        <f t="shared" si="39"/>
        <v>0</v>
      </c>
      <c r="BG35" s="268">
        <f t="shared" si="39"/>
        <v>0</v>
      </c>
      <c r="BH35" s="268">
        <f t="shared" si="39"/>
        <v>1</v>
      </c>
      <c r="BI35" s="268">
        <f t="shared" si="39"/>
        <v>2</v>
      </c>
      <c r="BJ35" s="268">
        <f t="shared" si="39"/>
        <v>3</v>
      </c>
      <c r="BK35" s="268">
        <f t="shared" si="39"/>
        <v>4</v>
      </c>
      <c r="BL35" s="269">
        <f t="shared" si="39"/>
        <v>5</v>
      </c>
      <c r="BM35" s="256">
        <f>IF($BC35=Lookup!$A$2,$BD35*ROUNDUP(BE35/10,0)+1,
IF($BC35=Lookup!$A$3,($BD35+1)^BD35,
IF($BC35=Lookup!$A$4,BE35*$BD35+1,"Error")))</f>
        <v>1</v>
      </c>
      <c r="BN35" s="229">
        <f>IF($BC35=Lookup!$A$2,$BD35*ROUNDUP(BF35/10,0)+1,
IF($BC35=Lookup!$A$3,($BD35+1)^BE35,
IF($BC35=Lookup!$A$4,BF35*$BD35+1,"Error")))</f>
        <v>1</v>
      </c>
      <c r="BO35" s="229">
        <f>IF($BC35=Lookup!$A$2,$BD35*ROUNDUP(BG35/10,0)+1,
IF($BC35=Lookup!$A$3,($BD35+1)^BF35,
IF($BC35=Lookup!$A$4,BG35*$BD35+1,"Error")))</f>
        <v>1</v>
      </c>
      <c r="BP35" s="229">
        <f>IF($BC35=Lookup!$A$2,$BD35*ROUNDUP(BH35/10,0)+1,
IF($BC35=Lookup!$A$3,($BD35+1)^BG35,
IF($BC35=Lookup!$A$4,BH35*$BD35+1,"Error")))</f>
        <v>1</v>
      </c>
      <c r="BQ35" s="229">
        <f>IF($BC35=Lookup!$A$2,$BD35*ROUNDUP(BI35/10,0)+1,
IF($BC35=Lookup!$A$3,($BD35+1)^BH35,
IF($BC35=Lookup!$A$4,BI35*$BD35+1,"Error")))</f>
        <v>1</v>
      </c>
      <c r="BR35" s="229">
        <f>IF($BC35=Lookup!$A$2,$BD35*ROUNDUP(BJ35/10,0)+1,
IF($BC35=Lookup!$A$3,($BD35+1)^BI35,
IF($BC35=Lookup!$A$4,BJ35*$BD35+1,"Error")))</f>
        <v>1</v>
      </c>
      <c r="BS35" s="229">
        <f>IF($BC35=Lookup!$A$2,$BD35*ROUNDUP(BK35/10,0)+1,
IF($BC35=Lookup!$A$3,($BD35+1)^BJ35,
IF($BC35=Lookup!$A$4,BK35*$BD35+1,"Error")))</f>
        <v>1</v>
      </c>
      <c r="BT35" s="249">
        <f>IF($BC35=Lookup!$A$2,$BD35*ROUNDUP(BL35/10,0)+1,
IF($BC35=Lookup!$A$3,($BD35+1)^BK35,
IF($BC35=Lookup!$A$4,BL35*$BD35+1,"Error")))</f>
        <v>1</v>
      </c>
      <c r="BU35" s="398"/>
      <c r="BV35" s="356">
        <v>152.46498785370747</v>
      </c>
      <c r="BW35" s="356">
        <v>152.46498785370747</v>
      </c>
      <c r="BX35" s="356">
        <v>199.88282057595876</v>
      </c>
      <c r="BY35" s="356">
        <v>207.97679644081038</v>
      </c>
      <c r="BZ35" s="356">
        <v>213.38273254122961</v>
      </c>
      <c r="CA35" s="356">
        <v>218.79571155146959</v>
      </c>
      <c r="CB35" s="399">
        <v>221.5046279789712</v>
      </c>
      <c r="CC35" s="382" t="s">
        <v>293</v>
      </c>
      <c r="CD35" s="383">
        <f>HLOOKUP($CC35,$AK$6:$AM$132,ROWS(CD$6:CD35),0)</f>
        <v>168.68099713888887</v>
      </c>
      <c r="CE35" s="362">
        <f t="shared" si="33"/>
        <v>168.68099713888887</v>
      </c>
      <c r="CF35" s="363">
        <f t="shared" si="25"/>
        <v>152.46498785370747</v>
      </c>
      <c r="CG35" s="363">
        <f t="shared" si="25"/>
        <v>152.46498785370747</v>
      </c>
      <c r="CH35" s="363">
        <f t="shared" si="25"/>
        <v>199.88282057595876</v>
      </c>
      <c r="CI35" s="363">
        <f t="shared" si="25"/>
        <v>207.97679644081038</v>
      </c>
      <c r="CJ35" s="363">
        <f t="shared" si="25"/>
        <v>213.38273254122961</v>
      </c>
      <c r="CK35" s="363">
        <f t="shared" si="25"/>
        <v>218.79571155146959</v>
      </c>
      <c r="CL35" s="364">
        <f t="shared" si="25"/>
        <v>221.5046279789712</v>
      </c>
      <c r="CM35" s="305" t="s">
        <v>293</v>
      </c>
      <c r="CN35" s="315">
        <v>0.05</v>
      </c>
      <c r="CO35" s="306"/>
      <c r="CP35" s="307">
        <f>IF($CO35&lt;&gt;"",$CO35,HLOOKUP($CM35,$AY$6:$BA$132,ROWS(CP$6:CP35),0))</f>
        <v>46893.867621045465</v>
      </c>
      <c r="CQ35" s="784">
        <f t="shared" si="26"/>
        <v>7910104.3500170037</v>
      </c>
      <c r="CR35" s="784">
        <f t="shared" si="26"/>
        <v>7149672.9572560629</v>
      </c>
      <c r="CS35" s="97">
        <f t="shared" si="26"/>
        <v>7149672.9572560629</v>
      </c>
      <c r="CT35" s="97">
        <f t="shared" si="26"/>
        <v>9373278.5278101936</v>
      </c>
      <c r="CU35" s="97">
        <f t="shared" si="26"/>
        <v>9752836.3605444822</v>
      </c>
      <c r="CV35" s="97">
        <f t="shared" si="26"/>
        <v>10006341.612405373</v>
      </c>
      <c r="CW35" s="97">
        <f t="shared" si="26"/>
        <v>10260177.133547064</v>
      </c>
      <c r="CX35" s="98">
        <f t="shared" si="26"/>
        <v>10387208.701894799</v>
      </c>
      <c r="CY35" s="392"/>
    </row>
    <row r="36" spans="1:104" x14ac:dyDescent="0.25">
      <c r="A36" s="81" t="s">
        <v>81</v>
      </c>
      <c r="B36" s="82" t="s">
        <v>83</v>
      </c>
      <c r="C36" s="83" t="s">
        <v>312</v>
      </c>
      <c r="D36" s="84"/>
      <c r="E36" s="85"/>
      <c r="F36" s="85"/>
      <c r="G36" s="85"/>
      <c r="H36" s="85"/>
      <c r="I36" s="85">
        <v>220299.12011058797</v>
      </c>
      <c r="J36" s="85">
        <v>87715.074796672008</v>
      </c>
      <c r="K36" s="85">
        <v>243574.03888437906</v>
      </c>
      <c r="L36" s="85">
        <v>440010.13996897207</v>
      </c>
      <c r="M36" s="654">
        <f>'2022-23 Input'!D36</f>
        <v>924189.9406745946</v>
      </c>
      <c r="N36" s="1065">
        <v>2732720.5301322662</v>
      </c>
      <c r="O36" s="560">
        <f t="shared" si="27"/>
        <v>0</v>
      </c>
      <c r="P36" s="561">
        <f t="shared" si="0"/>
        <v>0</v>
      </c>
      <c r="Q36" s="561">
        <f t="shared" si="1"/>
        <v>0</v>
      </c>
      <c r="R36" s="561">
        <f t="shared" si="2"/>
        <v>0</v>
      </c>
      <c r="S36" s="561">
        <f t="shared" si="3"/>
        <v>0</v>
      </c>
      <c r="T36" s="561">
        <f t="shared" si="4"/>
        <v>273423.87719623453</v>
      </c>
      <c r="U36" s="561">
        <f t="shared" si="5"/>
        <v>109248.07078118587</v>
      </c>
      <c r="V36" s="561">
        <f t="shared" si="6"/>
        <v>292132.66445331991</v>
      </c>
      <c r="W36" s="675">
        <f t="shared" si="7"/>
        <v>497179.44037514762</v>
      </c>
      <c r="X36" s="675">
        <f t="shared" si="8"/>
        <v>982839.89019480278</v>
      </c>
      <c r="Y36" s="675">
        <f t="shared" si="8"/>
        <v>2807866.1891066097</v>
      </c>
      <c r="Z36" s="125"/>
      <c r="AA36" s="126"/>
      <c r="AB36" s="126"/>
      <c r="AC36" s="126"/>
      <c r="AD36" s="126"/>
      <c r="AE36" s="126">
        <v>10.929600119999998</v>
      </c>
      <c r="AF36" s="126">
        <v>11.586333332999999</v>
      </c>
      <c r="AG36" s="126">
        <v>17.313333333333315</v>
      </c>
      <c r="AH36" s="126">
        <v>32.666999063999995</v>
      </c>
      <c r="AI36" s="1097">
        <f>'2022-23 Input'!K36</f>
        <v>28.371665989</v>
      </c>
      <c r="AJ36" s="668">
        <v>78.450331817000034</v>
      </c>
      <c r="AK36" s="127">
        <f t="shared" si="9"/>
        <v>20.173586367866658</v>
      </c>
      <c r="AL36" s="128">
        <f t="shared" si="10"/>
        <v>26.11733279544444</v>
      </c>
      <c r="AM36" s="129">
        <f t="shared" si="11"/>
        <v>28.371665989</v>
      </c>
      <c r="AN36" s="91" t="str">
        <f t="shared" si="12"/>
        <v/>
      </c>
      <c r="AO36" s="92" t="str">
        <f t="shared" si="13"/>
        <v/>
      </c>
      <c r="AP36" s="92" t="str">
        <f t="shared" si="14"/>
        <v/>
      </c>
      <c r="AQ36" s="92" t="str">
        <f t="shared" si="15"/>
        <v/>
      </c>
      <c r="AR36" s="92" t="str">
        <f t="shared" si="16"/>
        <v/>
      </c>
      <c r="AS36" s="92">
        <f t="shared" si="17"/>
        <v>20156.192147182417</v>
      </c>
      <c r="AT36" s="92">
        <f t="shared" si="18"/>
        <v>7570.5637215566221</v>
      </c>
      <c r="AU36" s="92">
        <f t="shared" si="19"/>
        <v>14068.581375686137</v>
      </c>
      <c r="AV36" s="92">
        <f t="shared" si="38"/>
        <v>13469.561103758573</v>
      </c>
      <c r="AW36" s="92">
        <f t="shared" si="38"/>
        <v>32574.398029108088</v>
      </c>
      <c r="AX36" s="92">
        <f t="shared" si="38"/>
        <v>34833.766369616438</v>
      </c>
      <c r="AY36" s="93">
        <f t="shared" si="21"/>
        <v>18993.036533025723</v>
      </c>
      <c r="AZ36" s="94">
        <f t="shared" si="22"/>
        <v>20519.886571372816</v>
      </c>
      <c r="BA36" s="95">
        <f t="shared" si="23"/>
        <v>32574.398029108088</v>
      </c>
      <c r="BB36" s="248" t="s">
        <v>422</v>
      </c>
      <c r="BC36" s="229" t="s">
        <v>433</v>
      </c>
      <c r="BD36" s="249">
        <v>0</v>
      </c>
      <c r="BE36" s="267">
        <f t="shared" si="28"/>
        <v>0</v>
      </c>
      <c r="BF36" s="268">
        <f t="shared" si="39"/>
        <v>0</v>
      </c>
      <c r="BG36" s="268">
        <f t="shared" si="39"/>
        <v>0</v>
      </c>
      <c r="BH36" s="268">
        <f t="shared" si="39"/>
        <v>1</v>
      </c>
      <c r="BI36" s="268">
        <f t="shared" si="39"/>
        <v>2</v>
      </c>
      <c r="BJ36" s="268">
        <f t="shared" si="39"/>
        <v>3</v>
      </c>
      <c r="BK36" s="268">
        <f t="shared" si="39"/>
        <v>4</v>
      </c>
      <c r="BL36" s="269">
        <f t="shared" si="39"/>
        <v>5</v>
      </c>
      <c r="BM36" s="256">
        <f>IF($BC36=Lookup!$A$2,$BD36*ROUNDUP(BE36/10,0)+1,
IF($BC36=Lookup!$A$3,($BD36+1)^BD36,
IF($BC36=Lookup!$A$4,BE36*$BD36+1,"Error")))</f>
        <v>1</v>
      </c>
      <c r="BN36" s="229">
        <f>IF($BC36=Lookup!$A$2,$BD36*ROUNDUP(BF36/10,0)+1,
IF($BC36=Lookup!$A$3,($BD36+1)^BE36,
IF($BC36=Lookup!$A$4,BF36*$BD36+1,"Error")))</f>
        <v>1</v>
      </c>
      <c r="BO36" s="229">
        <f>IF($BC36=Lookup!$A$2,$BD36*ROUNDUP(BG36/10,0)+1,
IF($BC36=Lookup!$A$3,($BD36+1)^BF36,
IF($BC36=Lookup!$A$4,BG36*$BD36+1,"Error")))</f>
        <v>1</v>
      </c>
      <c r="BP36" s="229">
        <f>IF($BC36=Lookup!$A$2,$BD36*ROUNDUP(BH36/10,0)+1,
IF($BC36=Lookup!$A$3,($BD36+1)^BG36,
IF($BC36=Lookup!$A$4,BH36*$BD36+1,"Error")))</f>
        <v>1</v>
      </c>
      <c r="BQ36" s="229">
        <f>IF($BC36=Lookup!$A$2,$BD36*ROUNDUP(BI36/10,0)+1,
IF($BC36=Lookup!$A$3,($BD36+1)^BH36,
IF($BC36=Lookup!$A$4,BI36*$BD36+1,"Error")))</f>
        <v>1</v>
      </c>
      <c r="BR36" s="229">
        <f>IF($BC36=Lookup!$A$2,$BD36*ROUNDUP(BJ36/10,0)+1,
IF($BC36=Lookup!$A$3,($BD36+1)^BI36,
IF($BC36=Lookup!$A$4,BJ36*$BD36+1,"Error")))</f>
        <v>1</v>
      </c>
      <c r="BS36" s="229">
        <f>IF($BC36=Lookup!$A$2,$BD36*ROUNDUP(BK36/10,0)+1,
IF($BC36=Lookup!$A$3,($BD36+1)^BJ36,
IF($BC36=Lookup!$A$4,BK36*$BD36+1,"Error")))</f>
        <v>1</v>
      </c>
      <c r="BT36" s="249">
        <f>IF($BC36=Lookup!$A$2,$BD36*ROUNDUP(BL36/10,0)+1,
IF($BC36=Lookup!$A$3,($BD36+1)^BK36,
IF($BC36=Lookup!$A$4,BL36*$BD36+1,"Error")))</f>
        <v>1</v>
      </c>
      <c r="BU36" s="398"/>
      <c r="BV36" s="356">
        <v>38.093821940245405</v>
      </c>
      <c r="BW36" s="356">
        <v>38.093821940245412</v>
      </c>
      <c r="BX36" s="356">
        <v>49.941305758936828</v>
      </c>
      <c r="BY36" s="356">
        <v>55.47518094521898</v>
      </c>
      <c r="BZ36" s="356">
        <v>59.147729349497368</v>
      </c>
      <c r="CA36" s="356">
        <v>62.808457214218173</v>
      </c>
      <c r="CB36" s="399">
        <v>64.63474762797749</v>
      </c>
      <c r="CC36" s="382" t="s">
        <v>293</v>
      </c>
      <c r="CD36" s="383">
        <f>HLOOKUP($CC36,$AK$6:$AM$132,ROWS(CD$6:CD36),0)</f>
        <v>26.11733279544444</v>
      </c>
      <c r="CE36" s="362">
        <f t="shared" si="33"/>
        <v>26.11733279544444</v>
      </c>
      <c r="CF36" s="363">
        <f t="shared" si="25"/>
        <v>38.093821940245405</v>
      </c>
      <c r="CG36" s="363">
        <f t="shared" si="25"/>
        <v>38.093821940245412</v>
      </c>
      <c r="CH36" s="363">
        <f t="shared" si="25"/>
        <v>49.941305758936828</v>
      </c>
      <c r="CI36" s="363">
        <f t="shared" si="25"/>
        <v>55.47518094521898</v>
      </c>
      <c r="CJ36" s="363">
        <f t="shared" si="25"/>
        <v>59.147729349497368</v>
      </c>
      <c r="CK36" s="363">
        <f t="shared" si="25"/>
        <v>62.808457214218173</v>
      </c>
      <c r="CL36" s="364">
        <f t="shared" si="25"/>
        <v>64.63474762797749</v>
      </c>
      <c r="CM36" s="305" t="s">
        <v>293</v>
      </c>
      <c r="CN36" s="315">
        <v>0.05</v>
      </c>
      <c r="CO36" s="306"/>
      <c r="CP36" s="307">
        <f>IF($CO36&lt;&gt;"",$CO36,HLOOKUP($CM36,$AY$6:$BA$132,ROWS(CP$6:CP36),0))</f>
        <v>20519.886571372816</v>
      </c>
      <c r="CQ36" s="784">
        <f t="shared" si="26"/>
        <v>535924.70650931518</v>
      </c>
      <c r="CR36" s="784">
        <f t="shared" si="26"/>
        <v>781680.90528390883</v>
      </c>
      <c r="CS36" s="97">
        <f t="shared" si="26"/>
        <v>781680.90528390894</v>
      </c>
      <c r="CT36" s="97">
        <f t="shared" si="26"/>
        <v>1024789.9293996317</v>
      </c>
      <c r="CU36" s="97">
        <f t="shared" si="26"/>
        <v>1138344.4205222761</v>
      </c>
      <c r="CV36" s="97">
        <f t="shared" si="26"/>
        <v>1213704.6972059447</v>
      </c>
      <c r="CW36" s="97">
        <f t="shared" si="26"/>
        <v>1288822.4177586795</v>
      </c>
      <c r="CX36" s="98">
        <f t="shared" si="26"/>
        <v>1326297.6898954061</v>
      </c>
      <c r="CY36" s="392"/>
    </row>
    <row r="37" spans="1:104" x14ac:dyDescent="0.25">
      <c r="A37" s="81" t="s">
        <v>81</v>
      </c>
      <c r="B37" s="82" t="s">
        <v>85</v>
      </c>
      <c r="C37" s="83" t="s">
        <v>314</v>
      </c>
      <c r="D37" s="84"/>
      <c r="E37" s="85"/>
      <c r="F37" s="85"/>
      <c r="G37" s="85"/>
      <c r="H37" s="85"/>
      <c r="I37" s="85">
        <v>0</v>
      </c>
      <c r="J37" s="85">
        <v>0</v>
      </c>
      <c r="K37" s="85">
        <v>0</v>
      </c>
      <c r="L37" s="85">
        <v>0</v>
      </c>
      <c r="M37" s="654">
        <f>'2022-23 Input'!D37</f>
        <v>0</v>
      </c>
      <c r="N37" s="1065">
        <v>0</v>
      </c>
      <c r="O37" s="560">
        <f t="shared" si="27"/>
        <v>0</v>
      </c>
      <c r="P37" s="561">
        <f t="shared" si="0"/>
        <v>0</v>
      </c>
      <c r="Q37" s="561">
        <f t="shared" si="1"/>
        <v>0</v>
      </c>
      <c r="R37" s="561">
        <f t="shared" si="2"/>
        <v>0</v>
      </c>
      <c r="S37" s="561">
        <f t="shared" si="3"/>
        <v>0</v>
      </c>
      <c r="T37" s="561">
        <f t="shared" si="4"/>
        <v>0</v>
      </c>
      <c r="U37" s="561">
        <f t="shared" si="5"/>
        <v>0</v>
      </c>
      <c r="V37" s="561">
        <f t="shared" si="6"/>
        <v>0</v>
      </c>
      <c r="W37" s="675">
        <f t="shared" si="7"/>
        <v>0</v>
      </c>
      <c r="X37" s="675">
        <f t="shared" si="8"/>
        <v>0</v>
      </c>
      <c r="Y37" s="675">
        <f t="shared" si="8"/>
        <v>0</v>
      </c>
      <c r="Z37" s="125"/>
      <c r="AA37" s="126"/>
      <c r="AB37" s="126"/>
      <c r="AC37" s="126"/>
      <c r="AD37" s="126"/>
      <c r="AE37" s="126">
        <v>0</v>
      </c>
      <c r="AF37" s="126">
        <v>0</v>
      </c>
      <c r="AG37" s="126">
        <v>0</v>
      </c>
      <c r="AH37" s="126">
        <v>0</v>
      </c>
      <c r="AI37" s="1097">
        <f>'2022-23 Input'!K37</f>
        <v>0</v>
      </c>
      <c r="AJ37" s="668">
        <v>0</v>
      </c>
      <c r="AK37" s="127">
        <f t="shared" si="9"/>
        <v>0</v>
      </c>
      <c r="AL37" s="128">
        <f t="shared" si="10"/>
        <v>0</v>
      </c>
      <c r="AM37" s="129">
        <f t="shared" si="11"/>
        <v>0</v>
      </c>
      <c r="AN37" s="91" t="str">
        <f t="shared" si="12"/>
        <v/>
      </c>
      <c r="AO37" s="92" t="str">
        <f t="shared" si="13"/>
        <v/>
      </c>
      <c r="AP37" s="92" t="str">
        <f t="shared" si="14"/>
        <v/>
      </c>
      <c r="AQ37" s="92" t="str">
        <f t="shared" si="15"/>
        <v/>
      </c>
      <c r="AR37" s="92" t="str">
        <f t="shared" si="16"/>
        <v/>
      </c>
      <c r="AS37" s="92" t="str">
        <f t="shared" si="17"/>
        <v/>
      </c>
      <c r="AT37" s="92" t="str">
        <f t="shared" si="18"/>
        <v/>
      </c>
      <c r="AU37" s="92" t="str">
        <f t="shared" si="19"/>
        <v/>
      </c>
      <c r="AV37" s="92" t="str">
        <f t="shared" si="38"/>
        <v/>
      </c>
      <c r="AW37" s="92" t="str">
        <f t="shared" si="38"/>
        <v/>
      </c>
      <c r="AX37" s="92" t="str">
        <f t="shared" si="38"/>
        <v/>
      </c>
      <c r="AY37" s="93" t="str">
        <f t="shared" si="21"/>
        <v/>
      </c>
      <c r="AZ37" s="94" t="str">
        <f t="shared" si="22"/>
        <v/>
      </c>
      <c r="BA37" s="95" t="str">
        <f t="shared" si="23"/>
        <v/>
      </c>
      <c r="BB37" s="248" t="s">
        <v>422</v>
      </c>
      <c r="BC37" s="229" t="s">
        <v>433</v>
      </c>
      <c r="BD37" s="249">
        <v>0</v>
      </c>
      <c r="BE37" s="267">
        <f t="shared" si="28"/>
        <v>0</v>
      </c>
      <c r="BF37" s="268">
        <f t="shared" si="39"/>
        <v>0</v>
      </c>
      <c r="BG37" s="268">
        <f t="shared" si="39"/>
        <v>0</v>
      </c>
      <c r="BH37" s="268">
        <f t="shared" si="39"/>
        <v>1</v>
      </c>
      <c r="BI37" s="268">
        <f t="shared" si="39"/>
        <v>2</v>
      </c>
      <c r="BJ37" s="268">
        <f t="shared" si="39"/>
        <v>3</v>
      </c>
      <c r="BK37" s="268">
        <f t="shared" si="39"/>
        <v>4</v>
      </c>
      <c r="BL37" s="269">
        <f t="shared" si="39"/>
        <v>5</v>
      </c>
      <c r="BM37" s="256">
        <f>IF($BC37=Lookup!$A$2,$BD37*ROUNDUP(BE37/10,0)+1,
IF($BC37=Lookup!$A$3,($BD37+1)^BD37,
IF($BC37=Lookup!$A$4,BE37*$BD37+1,"Error")))</f>
        <v>1</v>
      </c>
      <c r="BN37" s="229">
        <f>IF($BC37=Lookup!$A$2,$BD37*ROUNDUP(BF37/10,0)+1,
IF($BC37=Lookup!$A$3,($BD37+1)^BE37,
IF($BC37=Lookup!$A$4,BF37*$BD37+1,"Error")))</f>
        <v>1</v>
      </c>
      <c r="BO37" s="229">
        <f>IF($BC37=Lookup!$A$2,$BD37*ROUNDUP(BG37/10,0)+1,
IF($BC37=Lookup!$A$3,($BD37+1)^BF37,
IF($BC37=Lookup!$A$4,BG37*$BD37+1,"Error")))</f>
        <v>1</v>
      </c>
      <c r="BP37" s="229">
        <f>IF($BC37=Lookup!$A$2,$BD37*ROUNDUP(BH37/10,0)+1,
IF($BC37=Lookup!$A$3,($BD37+1)^BG37,
IF($BC37=Lookup!$A$4,BH37*$BD37+1,"Error")))</f>
        <v>1</v>
      </c>
      <c r="BQ37" s="229">
        <f>IF($BC37=Lookup!$A$2,$BD37*ROUNDUP(BI37/10,0)+1,
IF($BC37=Lookup!$A$3,($BD37+1)^BH37,
IF($BC37=Lookup!$A$4,BI37*$BD37+1,"Error")))</f>
        <v>1</v>
      </c>
      <c r="BR37" s="229">
        <f>IF($BC37=Lookup!$A$2,$BD37*ROUNDUP(BJ37/10,0)+1,
IF($BC37=Lookup!$A$3,($BD37+1)^BI37,
IF($BC37=Lookup!$A$4,BJ37*$BD37+1,"Error")))</f>
        <v>1</v>
      </c>
      <c r="BS37" s="229">
        <f>IF($BC37=Lookup!$A$2,$BD37*ROUNDUP(BK37/10,0)+1,
IF($BC37=Lookup!$A$3,($BD37+1)^BJ37,
IF($BC37=Lookup!$A$4,BK37*$BD37+1,"Error")))</f>
        <v>1</v>
      </c>
      <c r="BT37" s="249">
        <f>IF($BC37=Lookup!$A$2,$BD37*ROUNDUP(BL37/10,0)+1,
IF($BC37=Lookup!$A$3,($BD37+1)^BK37,
IF($BC37=Lookup!$A$4,BL37*$BD37+1,"Error")))</f>
        <v>1</v>
      </c>
      <c r="BU37" s="398"/>
      <c r="BV37" s="356">
        <v>0</v>
      </c>
      <c r="BW37" s="356">
        <v>0</v>
      </c>
      <c r="BX37" s="356">
        <v>0</v>
      </c>
      <c r="BY37" s="356">
        <v>0</v>
      </c>
      <c r="BZ37" s="356">
        <v>0</v>
      </c>
      <c r="CA37" s="356">
        <v>0</v>
      </c>
      <c r="CB37" s="399">
        <v>0</v>
      </c>
      <c r="CC37" s="382" t="s">
        <v>293</v>
      </c>
      <c r="CD37" s="383">
        <f>HLOOKUP($CC37,$AK$6:$AM$132,ROWS(CD$6:CD37),0)</f>
        <v>0</v>
      </c>
      <c r="CE37" s="362">
        <f t="shared" si="33"/>
        <v>0</v>
      </c>
      <c r="CF37" s="363">
        <f t="shared" si="25"/>
        <v>0</v>
      </c>
      <c r="CG37" s="363">
        <f t="shared" si="25"/>
        <v>0</v>
      </c>
      <c r="CH37" s="363">
        <f t="shared" si="25"/>
        <v>0</v>
      </c>
      <c r="CI37" s="363">
        <f t="shared" si="25"/>
        <v>0</v>
      </c>
      <c r="CJ37" s="363">
        <f t="shared" si="25"/>
        <v>0</v>
      </c>
      <c r="CK37" s="363">
        <f t="shared" si="25"/>
        <v>0</v>
      </c>
      <c r="CL37" s="364">
        <f t="shared" si="25"/>
        <v>0</v>
      </c>
      <c r="CM37" s="305" t="s">
        <v>293</v>
      </c>
      <c r="CN37" s="315">
        <v>0.05</v>
      </c>
      <c r="CO37" s="306"/>
      <c r="CP37" s="307" t="str">
        <f>IF($CO37&lt;&gt;"",$CO37,HLOOKUP($CM37,$AY$6:$BA$132,ROWS(CP$6:CP37),0))</f>
        <v/>
      </c>
      <c r="CQ37" s="784" t="str">
        <f t="shared" si="26"/>
        <v/>
      </c>
      <c r="CR37" s="784" t="str">
        <f t="shared" si="26"/>
        <v/>
      </c>
      <c r="CS37" s="97" t="str">
        <f t="shared" si="26"/>
        <v/>
      </c>
      <c r="CT37" s="97" t="str">
        <f t="shared" si="26"/>
        <v/>
      </c>
      <c r="CU37" s="97" t="str">
        <f t="shared" si="26"/>
        <v/>
      </c>
      <c r="CV37" s="97" t="str">
        <f t="shared" si="26"/>
        <v/>
      </c>
      <c r="CW37" s="97" t="str">
        <f t="shared" si="26"/>
        <v/>
      </c>
      <c r="CX37" s="98" t="str">
        <f t="shared" si="26"/>
        <v/>
      </c>
      <c r="CY37" s="392"/>
    </row>
    <row r="38" spans="1:104" x14ac:dyDescent="0.25">
      <c r="A38" s="81" t="s">
        <v>81</v>
      </c>
      <c r="B38" s="82" t="s">
        <v>87</v>
      </c>
      <c r="C38" s="83" t="s">
        <v>315</v>
      </c>
      <c r="D38" s="84"/>
      <c r="E38" s="85"/>
      <c r="F38" s="85"/>
      <c r="G38" s="85"/>
      <c r="H38" s="85"/>
      <c r="I38" s="85">
        <v>566230.44852122932</v>
      </c>
      <c r="J38" s="85">
        <v>227742.68891766109</v>
      </c>
      <c r="K38" s="85">
        <v>221651.892612806</v>
      </c>
      <c r="L38" s="85">
        <v>828609.81721197232</v>
      </c>
      <c r="M38" s="654">
        <f>'2022-23 Input'!D38</f>
        <v>1683960.0725900186</v>
      </c>
      <c r="N38" s="1065">
        <v>1216582.8131919194</v>
      </c>
      <c r="O38" s="560">
        <f t="shared" si="27"/>
        <v>0</v>
      </c>
      <c r="P38" s="561">
        <f t="shared" si="0"/>
        <v>0</v>
      </c>
      <c r="Q38" s="561">
        <f t="shared" si="1"/>
        <v>0</v>
      </c>
      <c r="R38" s="561">
        <f t="shared" si="2"/>
        <v>0</v>
      </c>
      <c r="S38" s="561">
        <f t="shared" si="3"/>
        <v>0</v>
      </c>
      <c r="T38" s="561">
        <f t="shared" si="4"/>
        <v>702775.95545328921</v>
      </c>
      <c r="U38" s="561">
        <f t="shared" si="5"/>
        <v>283650.7801703228</v>
      </c>
      <c r="V38" s="561">
        <f t="shared" si="6"/>
        <v>265840.1456357048</v>
      </c>
      <c r="W38" s="675">
        <f t="shared" si="7"/>
        <v>936268.79880507349</v>
      </c>
      <c r="X38" s="675">
        <f t="shared" si="8"/>
        <v>1790825.738298693</v>
      </c>
      <c r="Y38" s="675">
        <f t="shared" si="8"/>
        <v>1250036.9905167199</v>
      </c>
      <c r="Z38" s="125"/>
      <c r="AA38" s="126"/>
      <c r="AB38" s="126"/>
      <c r="AC38" s="126"/>
      <c r="AD38" s="126"/>
      <c r="AE38" s="126">
        <v>25.114980339999999</v>
      </c>
      <c r="AF38" s="126">
        <v>21.171666665000007</v>
      </c>
      <c r="AG38" s="126">
        <v>10.333333333333321</v>
      </c>
      <c r="AH38" s="126">
        <v>37.433332330999995</v>
      </c>
      <c r="AI38" s="1097">
        <f>'2022-23 Input'!K38</f>
        <v>54.449331829000023</v>
      </c>
      <c r="AJ38" s="668">
        <v>44.181332161000014</v>
      </c>
      <c r="AK38" s="127">
        <f t="shared" si="9"/>
        <v>29.700528899666672</v>
      </c>
      <c r="AL38" s="128">
        <f t="shared" si="10"/>
        <v>34.071999164444442</v>
      </c>
      <c r="AM38" s="129">
        <f t="shared" si="11"/>
        <v>54.449331829000023</v>
      </c>
      <c r="AN38" s="91" t="str">
        <f t="shared" si="12"/>
        <v/>
      </c>
      <c r="AO38" s="92" t="str">
        <f t="shared" si="13"/>
        <v/>
      </c>
      <c r="AP38" s="92" t="str">
        <f t="shared" si="14"/>
        <v/>
      </c>
      <c r="AQ38" s="92" t="str">
        <f t="shared" si="15"/>
        <v/>
      </c>
      <c r="AR38" s="92" t="str">
        <f t="shared" si="16"/>
        <v/>
      </c>
      <c r="AS38" s="92">
        <f t="shared" si="17"/>
        <v>22545.526249901472</v>
      </c>
      <c r="AT38" s="92">
        <f t="shared" si="18"/>
        <v>10756.956101814812</v>
      </c>
      <c r="AU38" s="92">
        <f t="shared" si="19"/>
        <v>21450.183156078023</v>
      </c>
      <c r="AV38" s="92">
        <f t="shared" si="38"/>
        <v>22135.6145876911</v>
      </c>
      <c r="AW38" s="92">
        <f t="shared" si="38"/>
        <v>30927.102611259812</v>
      </c>
      <c r="AX38" s="92">
        <f t="shared" si="38"/>
        <v>27536.127900322299</v>
      </c>
      <c r="AY38" s="93">
        <f t="shared" si="21"/>
        <v>23758.465256780557</v>
      </c>
      <c r="AZ38" s="94">
        <f t="shared" si="22"/>
        <v>26749.450667867586</v>
      </c>
      <c r="BA38" s="95">
        <f t="shared" si="23"/>
        <v>30927.102611259812</v>
      </c>
      <c r="BB38" s="248" t="s">
        <v>422</v>
      </c>
      <c r="BC38" s="229" t="s">
        <v>433</v>
      </c>
      <c r="BD38" s="249">
        <v>0</v>
      </c>
      <c r="BE38" s="267">
        <f t="shared" si="28"/>
        <v>0</v>
      </c>
      <c r="BF38" s="268">
        <f t="shared" si="39"/>
        <v>0</v>
      </c>
      <c r="BG38" s="268">
        <f t="shared" si="39"/>
        <v>0</v>
      </c>
      <c r="BH38" s="268">
        <f t="shared" si="39"/>
        <v>1</v>
      </c>
      <c r="BI38" s="268">
        <f t="shared" si="39"/>
        <v>2</v>
      </c>
      <c r="BJ38" s="268">
        <f t="shared" si="39"/>
        <v>3</v>
      </c>
      <c r="BK38" s="268">
        <f t="shared" si="39"/>
        <v>4</v>
      </c>
      <c r="BL38" s="269">
        <f t="shared" si="39"/>
        <v>5</v>
      </c>
      <c r="BM38" s="256">
        <f>IF($BC38=Lookup!$A$2,$BD38*ROUNDUP(BE38/10,0)+1,
IF($BC38=Lookup!$A$3,($BD38+1)^BD38,
IF($BC38=Lookup!$A$4,BE38*$BD38+1,"Error")))</f>
        <v>1</v>
      </c>
      <c r="BN38" s="229">
        <f>IF($BC38=Lookup!$A$2,$BD38*ROUNDUP(BF38/10,0)+1,
IF($BC38=Lookup!$A$3,($BD38+1)^BE38,
IF($BC38=Lookup!$A$4,BF38*$BD38+1,"Error")))</f>
        <v>1</v>
      </c>
      <c r="BO38" s="229">
        <f>IF($BC38=Lookup!$A$2,$BD38*ROUNDUP(BG38/10,0)+1,
IF($BC38=Lookup!$A$3,($BD38+1)^BF38,
IF($BC38=Lookup!$A$4,BG38*$BD38+1,"Error")))</f>
        <v>1</v>
      </c>
      <c r="BP38" s="229">
        <f>IF($BC38=Lookup!$A$2,$BD38*ROUNDUP(BH38/10,0)+1,
IF($BC38=Lookup!$A$3,($BD38+1)^BG38,
IF($BC38=Lookup!$A$4,BH38*$BD38+1,"Error")))</f>
        <v>1</v>
      </c>
      <c r="BQ38" s="229">
        <f>IF($BC38=Lookup!$A$2,$BD38*ROUNDUP(BI38/10,0)+1,
IF($BC38=Lookup!$A$3,($BD38+1)^BH38,
IF($BC38=Lookup!$A$4,BI38*$BD38+1,"Error")))</f>
        <v>1</v>
      </c>
      <c r="BR38" s="229">
        <f>IF($BC38=Lookup!$A$2,$BD38*ROUNDUP(BJ38/10,0)+1,
IF($BC38=Lookup!$A$3,($BD38+1)^BI38,
IF($BC38=Lookup!$A$4,BJ38*$BD38+1,"Error")))</f>
        <v>1</v>
      </c>
      <c r="BS38" s="229">
        <f>IF($BC38=Lookup!$A$2,$BD38*ROUNDUP(BK38/10,0)+1,
IF($BC38=Lookup!$A$3,($BD38+1)^BJ38,
IF($BC38=Lookup!$A$4,BK38*$BD38+1,"Error")))</f>
        <v>1</v>
      </c>
      <c r="BT38" s="249">
        <f>IF($BC38=Lookup!$A$2,$BD38*ROUNDUP(BL38/10,0)+1,
IF($BC38=Lookup!$A$3,($BD38+1)^BK38,
IF($BC38=Lookup!$A$4,BL38*$BD38+1,"Error")))</f>
        <v>1</v>
      </c>
      <c r="BU38" s="398"/>
      <c r="BV38" s="356">
        <v>38.036897259921574</v>
      </c>
      <c r="BW38" s="356">
        <v>38.036897259921574</v>
      </c>
      <c r="BX38" s="356">
        <v>49.866677046970317</v>
      </c>
      <c r="BY38" s="356">
        <v>51.838385681017677</v>
      </c>
      <c r="BZ38" s="356">
        <v>53.155740958385479</v>
      </c>
      <c r="CA38" s="356">
        <v>54.475135838676003</v>
      </c>
      <c r="CB38" s="399">
        <v>55.135535987177576</v>
      </c>
      <c r="CC38" s="382" t="s">
        <v>293</v>
      </c>
      <c r="CD38" s="383">
        <f>HLOOKUP($CC38,$AK$6:$AM$132,ROWS(CD$6:CD38),0)</f>
        <v>34.071999164444442</v>
      </c>
      <c r="CE38" s="362">
        <f t="shared" si="33"/>
        <v>34.071999164444442</v>
      </c>
      <c r="CF38" s="363">
        <f t="shared" si="25"/>
        <v>38.036897259921574</v>
      </c>
      <c r="CG38" s="363">
        <f t="shared" si="25"/>
        <v>38.036897259921574</v>
      </c>
      <c r="CH38" s="363">
        <f t="shared" si="25"/>
        <v>49.866677046970317</v>
      </c>
      <c r="CI38" s="363">
        <f t="shared" si="25"/>
        <v>51.838385681017677</v>
      </c>
      <c r="CJ38" s="363">
        <f t="shared" si="25"/>
        <v>53.155740958385479</v>
      </c>
      <c r="CK38" s="363">
        <f t="shared" si="25"/>
        <v>54.475135838676003</v>
      </c>
      <c r="CL38" s="364">
        <f t="shared" si="25"/>
        <v>55.135535987177576</v>
      </c>
      <c r="CM38" s="305" t="s">
        <v>293</v>
      </c>
      <c r="CN38" s="315">
        <v>0.05</v>
      </c>
      <c r="CO38" s="306"/>
      <c r="CP38" s="307">
        <f>IF($CO38&lt;&gt;"",$CO38,HLOOKUP($CM38,$AY$6:$BA$132,ROWS(CP$6:CP38),0))</f>
        <v>26749.450667867586</v>
      </c>
      <c r="CQ38" s="784">
        <f t="shared" si="26"/>
        <v>911407.26080493222</v>
      </c>
      <c r="CR38" s="784">
        <f t="shared" si="26"/>
        <v>1017466.10681302</v>
      </c>
      <c r="CS38" s="97">
        <f t="shared" si="26"/>
        <v>1017466.10681302</v>
      </c>
      <c r="CT38" s="97">
        <f t="shared" si="26"/>
        <v>1333906.2176384174</v>
      </c>
      <c r="CU38" s="97">
        <f t="shared" si="26"/>
        <v>1386648.3404762759</v>
      </c>
      <c r="CV38" s="97">
        <f t="shared" si="26"/>
        <v>1421886.8704802808</v>
      </c>
      <c r="CW38" s="97">
        <f t="shared" si="26"/>
        <v>1457179.9587420493</v>
      </c>
      <c r="CX38" s="98">
        <f t="shared" ref="CX38:CX101" si="46">IFERROR(CL38*$CP38,"")</f>
        <v>1474845.2999354445</v>
      </c>
      <c r="CY38" s="392"/>
    </row>
    <row r="39" spans="1:104" x14ac:dyDescent="0.25">
      <c r="A39" s="81" t="s">
        <v>81</v>
      </c>
      <c r="B39" s="82" t="s">
        <v>89</v>
      </c>
      <c r="C39" s="83" t="s">
        <v>74</v>
      </c>
      <c r="D39" s="84"/>
      <c r="E39" s="85"/>
      <c r="F39" s="85"/>
      <c r="G39" s="85"/>
      <c r="H39" s="85"/>
      <c r="I39" s="85">
        <v>19682.841170819003</v>
      </c>
      <c r="J39" s="85">
        <v>0</v>
      </c>
      <c r="K39" s="85">
        <v>763273.96254340687</v>
      </c>
      <c r="L39" s="85">
        <v>54766.121236444014</v>
      </c>
      <c r="M39" s="654">
        <f>'2022-23 Input'!D39</f>
        <v>6223829.4040060956</v>
      </c>
      <c r="N39" s="1065">
        <v>2389677.7483623214</v>
      </c>
      <c r="O39" s="560">
        <f t="shared" si="27"/>
        <v>0</v>
      </c>
      <c r="P39" s="561">
        <f t="shared" si="0"/>
        <v>0</v>
      </c>
      <c r="Q39" s="561">
        <f t="shared" si="1"/>
        <v>0</v>
      </c>
      <c r="R39" s="561">
        <f t="shared" si="2"/>
        <v>0</v>
      </c>
      <c r="S39" s="561">
        <f t="shared" si="3"/>
        <v>0</v>
      </c>
      <c r="T39" s="561">
        <f t="shared" si="4"/>
        <v>24429.324749283674</v>
      </c>
      <c r="U39" s="561">
        <f t="shared" si="5"/>
        <v>0</v>
      </c>
      <c r="V39" s="561">
        <f t="shared" si="6"/>
        <v>915439.33584602142</v>
      </c>
      <c r="W39" s="675">
        <f t="shared" si="7"/>
        <v>61881.731884116998</v>
      </c>
      <c r="X39" s="675">
        <f t="shared" si="8"/>
        <v>6618799.3818235351</v>
      </c>
      <c r="Y39" s="675">
        <f t="shared" si="8"/>
        <v>2455390.2524976493</v>
      </c>
      <c r="Z39" s="125"/>
      <c r="AA39" s="126"/>
      <c r="AB39" s="126"/>
      <c r="AC39" s="126"/>
      <c r="AD39" s="126"/>
      <c r="AE39" s="126">
        <v>0</v>
      </c>
      <c r="AF39" s="126">
        <v>0</v>
      </c>
      <c r="AG39" s="126">
        <v>10.669999999999989</v>
      </c>
      <c r="AH39" s="126">
        <v>5.6806665880000002</v>
      </c>
      <c r="AI39" s="1097">
        <f>'2022-23 Input'!K39</f>
        <v>0.237666667</v>
      </c>
      <c r="AJ39" s="668">
        <v>120.383332749</v>
      </c>
      <c r="AK39" s="127">
        <f t="shared" ref="AK39:AK70" si="47">IFERROR(IF($AM$4="N",SUM(AD39:AH39)/5,SUM(AE39:AI39)/5),"")</f>
        <v>3.3176666509999975</v>
      </c>
      <c r="AL39" s="128">
        <f t="shared" ref="AL39:AL70" si="48">IFERROR(IF($AM$4="N",SUM(AF39:AH39)/3,SUM(AG39:AI39)/3),"")</f>
        <v>5.5294444183333296</v>
      </c>
      <c r="AM39" s="129">
        <f t="shared" ref="AM39:AM70" si="49">IFERROR(IF($AM$4="N",AH39,AI39),"")</f>
        <v>0.237666667</v>
      </c>
      <c r="AN39" s="91" t="str">
        <f t="shared" ref="AN39:AN70" si="50">IFERROR(D39/Z39,"")</f>
        <v/>
      </c>
      <c r="AO39" s="92" t="str">
        <f t="shared" ref="AO39:AO70" si="51">IFERROR(E39/AA39,"")</f>
        <v/>
      </c>
      <c r="AP39" s="92" t="str">
        <f t="shared" ref="AP39:AP70" si="52">IFERROR(F39/AB39,"")</f>
        <v/>
      </c>
      <c r="AQ39" s="92" t="str">
        <f t="shared" ref="AQ39:AQ70" si="53">IFERROR(G39/AC39,"")</f>
        <v/>
      </c>
      <c r="AR39" s="92" t="str">
        <f t="shared" ref="AR39:AR70" si="54">IFERROR(H39/AD39,"")</f>
        <v/>
      </c>
      <c r="AS39" s="92" t="str">
        <f t="shared" ref="AS39:AS70" si="55">IFERROR(I39/AE39,"")</f>
        <v/>
      </c>
      <c r="AT39" s="92" t="str">
        <f t="shared" ref="AT39:AT70" si="56">IFERROR(J39/AF39,"")</f>
        <v/>
      </c>
      <c r="AU39" s="92">
        <f t="shared" ref="AU39:AU70" si="57">IFERROR(K39/AG39,"")</f>
        <v>71534.579432371844</v>
      </c>
      <c r="AV39" s="92">
        <f t="shared" ref="AV39:AX54" si="58">IFERROR(L39/AH39,"")</f>
        <v>9640.7913381386461</v>
      </c>
      <c r="AW39" s="92">
        <f t="shared" si="58"/>
        <v>26187220.45698607</v>
      </c>
      <c r="AX39" s="92">
        <f t="shared" si="58"/>
        <v>19850.5697906272</v>
      </c>
      <c r="AY39" s="93">
        <f t="shared" ref="AY39:AY70" si="59">IFERROR(IF($BA$3="N",
IF($BA$4="N",SUM(H39:L39)/SUM(AD39:AH39),SUM(I39:M39)/SUM(AE39:AI39)),
IF($BA$4="N",SUM(S39:W39)/SUM(AD39:AH39),SUM(T39:X39)/SUM(AE39:AI39))),"")</f>
        <v>425693.90308265603</v>
      </c>
      <c r="AZ39" s="94">
        <f t="shared" ref="AZ39:AZ70" si="60">IFERROR(IF($BA$3="N",
IF($BA$4="N",SUM(J39:L39)/SUM(AF39:AH39),SUM(K39:M39)/SUM(AG39:AI39)),
IF($BA$4="N",SUM(U39:W39)/SUM(AF39:AH39),SUM(V39:X39)/SUM(AG39:AI39))),"")</f>
        <v>424507.35583476507</v>
      </c>
      <c r="BA39" s="95">
        <f t="shared" ref="BA39:BA70" si="61">IFERROR(IF($BA$3="N",
IF($BA$4="N",L39/AH39,M39/AI39),
IF($BA$4="N",W39/AH39,X39/AI39)),"")</f>
        <v>26187220.45698607</v>
      </c>
      <c r="BB39" s="248" t="s">
        <v>422</v>
      </c>
      <c r="BC39" s="229" t="s">
        <v>433</v>
      </c>
      <c r="BD39" s="249">
        <v>0</v>
      </c>
      <c r="BE39" s="267">
        <f t="shared" si="28"/>
        <v>0</v>
      </c>
      <c r="BF39" s="268">
        <f t="shared" ref="BF39:BL54" si="62">IF(BF$6=$BB39,1,
IF(BE39&lt;&gt;0,BE39+1,0
))</f>
        <v>0</v>
      </c>
      <c r="BG39" s="268">
        <f t="shared" si="62"/>
        <v>0</v>
      </c>
      <c r="BH39" s="268">
        <f t="shared" si="62"/>
        <v>1</v>
      </c>
      <c r="BI39" s="268">
        <f t="shared" si="62"/>
        <v>2</v>
      </c>
      <c r="BJ39" s="268">
        <f t="shared" si="62"/>
        <v>3</v>
      </c>
      <c r="BK39" s="268">
        <f t="shared" si="62"/>
        <v>4</v>
      </c>
      <c r="BL39" s="269">
        <f t="shared" si="62"/>
        <v>5</v>
      </c>
      <c r="BM39" s="256">
        <f>IF($BC39=Lookup!$A$2,$BD39*ROUNDUP(BE39/10,0)+1,
IF($BC39=Lookup!$A$3,($BD39+1)^BD39,
IF($BC39=Lookup!$A$4,BE39*$BD39+1,"Error")))</f>
        <v>1</v>
      </c>
      <c r="BN39" s="229">
        <f>IF($BC39=Lookup!$A$2,$BD39*ROUNDUP(BF39/10,0)+1,
IF($BC39=Lookup!$A$3,($BD39+1)^BE39,
IF($BC39=Lookup!$A$4,BF39*$BD39+1,"Error")))</f>
        <v>1</v>
      </c>
      <c r="BO39" s="229">
        <f>IF($BC39=Lookup!$A$2,$BD39*ROUNDUP(BG39/10,0)+1,
IF($BC39=Lookup!$A$3,($BD39+1)^BF39,
IF($BC39=Lookup!$A$4,BG39*$BD39+1,"Error")))</f>
        <v>1</v>
      </c>
      <c r="BP39" s="229">
        <f>IF($BC39=Lookup!$A$2,$BD39*ROUNDUP(BH39/10,0)+1,
IF($BC39=Lookup!$A$3,($BD39+1)^BG39,
IF($BC39=Lookup!$A$4,BH39*$BD39+1,"Error")))</f>
        <v>1</v>
      </c>
      <c r="BQ39" s="229">
        <f>IF($BC39=Lookup!$A$2,$BD39*ROUNDUP(BI39/10,0)+1,
IF($BC39=Lookup!$A$3,($BD39+1)^BH39,
IF($BC39=Lookup!$A$4,BI39*$BD39+1,"Error")))</f>
        <v>1</v>
      </c>
      <c r="BR39" s="229">
        <f>IF($BC39=Lookup!$A$2,$BD39*ROUNDUP(BJ39/10,0)+1,
IF($BC39=Lookup!$A$3,($BD39+1)^BI39,
IF($BC39=Lookup!$A$4,BJ39*$BD39+1,"Error")))</f>
        <v>1</v>
      </c>
      <c r="BS39" s="229">
        <f>IF($BC39=Lookup!$A$2,$BD39*ROUNDUP(BK39/10,0)+1,
IF($BC39=Lookup!$A$3,($BD39+1)^BJ39,
IF($BC39=Lookup!$A$4,BK39*$BD39+1,"Error")))</f>
        <v>1</v>
      </c>
      <c r="BT39" s="249">
        <f>IF($BC39=Lookup!$A$2,$BD39*ROUNDUP(BL39/10,0)+1,
IF($BC39=Lookup!$A$3,($BD39+1)^BK39,
IF($BC39=Lookup!$A$4,BL39*$BD39+1,"Error")))</f>
        <v>1</v>
      </c>
      <c r="BU39" s="398"/>
      <c r="BV39" s="356">
        <v>6.939917634735</v>
      </c>
      <c r="BW39" s="356">
        <v>6.9399176347350018</v>
      </c>
      <c r="BX39" s="356">
        <v>9.0982876194938598</v>
      </c>
      <c r="BY39" s="356">
        <v>9.5688078760224879</v>
      </c>
      <c r="BZ39" s="356">
        <v>9.8825504603948229</v>
      </c>
      <c r="CA39" s="356">
        <v>10.196336540076436</v>
      </c>
      <c r="CB39" s="399">
        <v>10.353244412264809</v>
      </c>
      <c r="CC39" s="382" t="s">
        <v>293</v>
      </c>
      <c r="CD39" s="383">
        <f>HLOOKUP($CC39,$AK$6:$AM$132,ROWS(CD$6:CD39),0)</f>
        <v>5.5294444183333296</v>
      </c>
      <c r="CE39" s="362">
        <f t="shared" si="33"/>
        <v>5.5294444183333296</v>
      </c>
      <c r="CF39" s="363">
        <f t="shared" si="25"/>
        <v>6.939917634735</v>
      </c>
      <c r="CG39" s="363">
        <f t="shared" si="25"/>
        <v>6.9399176347350018</v>
      </c>
      <c r="CH39" s="363">
        <f t="shared" si="25"/>
        <v>9.0982876194938598</v>
      </c>
      <c r="CI39" s="363">
        <f t="shared" si="25"/>
        <v>9.5688078760224879</v>
      </c>
      <c r="CJ39" s="363">
        <f t="shared" si="25"/>
        <v>9.8825504603948229</v>
      </c>
      <c r="CK39" s="363">
        <f t="shared" si="25"/>
        <v>10.196336540076436</v>
      </c>
      <c r="CL39" s="364">
        <f t="shared" si="25"/>
        <v>10.353244412264809</v>
      </c>
      <c r="CM39" s="305" t="s">
        <v>293</v>
      </c>
      <c r="CN39" s="315">
        <v>0.05</v>
      </c>
      <c r="CO39" s="306"/>
      <c r="CP39" s="307">
        <f>IF($CO39&lt;&gt;"",$CO39,HLOOKUP($CM39,$AY$6:$BA$132,ROWS(CP$6:CP39),0))</f>
        <v>424507.35583476507</v>
      </c>
      <c r="CQ39" s="784">
        <f t="shared" ref="CQ39:CW70" si="63">IFERROR(CE39*$CP39,"")</f>
        <v>2347289.8292619823</v>
      </c>
      <c r="CR39" s="784">
        <f t="shared" si="63"/>
        <v>2946046.0848324117</v>
      </c>
      <c r="CS39" s="97">
        <f t="shared" si="63"/>
        <v>2946046.0848324127</v>
      </c>
      <c r="CT39" s="97">
        <f t="shared" si="63"/>
        <v>3862290.0199755174</v>
      </c>
      <c r="CU39" s="97">
        <f t="shared" si="63"/>
        <v>4062029.329941181</v>
      </c>
      <c r="CV39" s="97">
        <f t="shared" si="63"/>
        <v>4195215.3648458468</v>
      </c>
      <c r="CW39" s="97">
        <f t="shared" si="63"/>
        <v>4328419.8638292449</v>
      </c>
      <c r="CX39" s="98">
        <f t="shared" si="46"/>
        <v>4395028.4097615909</v>
      </c>
      <c r="CY39" s="392"/>
    </row>
    <row r="40" spans="1:104" x14ac:dyDescent="0.25">
      <c r="A40" s="81" t="s">
        <v>81</v>
      </c>
      <c r="B40" s="82" t="s">
        <v>90</v>
      </c>
      <c r="C40" s="83" t="s">
        <v>76</v>
      </c>
      <c r="D40" s="84"/>
      <c r="E40" s="85"/>
      <c r="F40" s="85"/>
      <c r="G40" s="85"/>
      <c r="H40" s="85"/>
      <c r="I40" s="85">
        <v>0</v>
      </c>
      <c r="J40" s="85">
        <v>0</v>
      </c>
      <c r="K40" s="85">
        <v>0</v>
      </c>
      <c r="L40" s="85">
        <v>0</v>
      </c>
      <c r="M40" s="654">
        <f>'2022-23 Input'!D40</f>
        <v>0</v>
      </c>
      <c r="N40" s="1065">
        <v>4327569.7707901848</v>
      </c>
      <c r="O40" s="560">
        <f t="shared" si="27"/>
        <v>0</v>
      </c>
      <c r="P40" s="561">
        <f t="shared" si="0"/>
        <v>0</v>
      </c>
      <c r="Q40" s="561">
        <f t="shared" si="1"/>
        <v>0</v>
      </c>
      <c r="R40" s="561">
        <f t="shared" si="2"/>
        <v>0</v>
      </c>
      <c r="S40" s="561">
        <f t="shared" si="3"/>
        <v>0</v>
      </c>
      <c r="T40" s="561">
        <f t="shared" si="4"/>
        <v>0</v>
      </c>
      <c r="U40" s="561">
        <f t="shared" si="5"/>
        <v>0</v>
      </c>
      <c r="V40" s="561">
        <f t="shared" si="6"/>
        <v>0</v>
      </c>
      <c r="W40" s="675">
        <f t="shared" si="7"/>
        <v>0</v>
      </c>
      <c r="X40" s="675">
        <f t="shared" si="8"/>
        <v>0</v>
      </c>
      <c r="Y40" s="675">
        <f t="shared" si="8"/>
        <v>4446571.3586209528</v>
      </c>
      <c r="Z40" s="125"/>
      <c r="AA40" s="126"/>
      <c r="AB40" s="126"/>
      <c r="AC40" s="126"/>
      <c r="AD40" s="126"/>
      <c r="AE40" s="126">
        <v>0</v>
      </c>
      <c r="AF40" s="126">
        <v>0</v>
      </c>
      <c r="AG40" s="126">
        <v>0</v>
      </c>
      <c r="AH40" s="126">
        <v>0</v>
      </c>
      <c r="AI40" s="1097">
        <f>'2022-23 Input'!K40</f>
        <v>0</v>
      </c>
      <c r="AJ40" s="668">
        <v>0.10000000100000001</v>
      </c>
      <c r="AK40" s="127">
        <f t="shared" si="47"/>
        <v>0</v>
      </c>
      <c r="AL40" s="128">
        <f t="shared" si="48"/>
        <v>0</v>
      </c>
      <c r="AM40" s="129">
        <f t="shared" si="49"/>
        <v>0</v>
      </c>
      <c r="AN40" s="91" t="str">
        <f t="shared" si="50"/>
        <v/>
      </c>
      <c r="AO40" s="92" t="str">
        <f t="shared" si="51"/>
        <v/>
      </c>
      <c r="AP40" s="92" t="str">
        <f t="shared" si="52"/>
        <v/>
      </c>
      <c r="AQ40" s="92" t="str">
        <f t="shared" si="53"/>
        <v/>
      </c>
      <c r="AR40" s="92" t="str">
        <f t="shared" si="54"/>
        <v/>
      </c>
      <c r="AS40" s="92" t="str">
        <f t="shared" si="55"/>
        <v/>
      </c>
      <c r="AT40" s="92" t="str">
        <f t="shared" si="56"/>
        <v/>
      </c>
      <c r="AU40" s="92" t="str">
        <f t="shared" si="57"/>
        <v/>
      </c>
      <c r="AV40" s="92" t="str">
        <f t="shared" si="58"/>
        <v/>
      </c>
      <c r="AW40" s="92" t="str">
        <f t="shared" si="58"/>
        <v/>
      </c>
      <c r="AX40" s="92">
        <f t="shared" si="58"/>
        <v>43275697.275144875</v>
      </c>
      <c r="AY40" s="93" t="str">
        <f t="shared" si="59"/>
        <v/>
      </c>
      <c r="AZ40" s="94" t="str">
        <f t="shared" si="60"/>
        <v/>
      </c>
      <c r="BA40" s="95" t="str">
        <f t="shared" si="61"/>
        <v/>
      </c>
      <c r="BB40" s="248" t="s">
        <v>422</v>
      </c>
      <c r="BC40" s="229" t="s">
        <v>433</v>
      </c>
      <c r="BD40" s="249">
        <v>0</v>
      </c>
      <c r="BE40" s="267">
        <f t="shared" si="28"/>
        <v>0</v>
      </c>
      <c r="BF40" s="268">
        <f t="shared" si="62"/>
        <v>0</v>
      </c>
      <c r="BG40" s="268">
        <f t="shared" si="62"/>
        <v>0</v>
      </c>
      <c r="BH40" s="268">
        <f t="shared" si="62"/>
        <v>1</v>
      </c>
      <c r="BI40" s="268">
        <f t="shared" si="62"/>
        <v>2</v>
      </c>
      <c r="BJ40" s="268">
        <f t="shared" si="62"/>
        <v>3</v>
      </c>
      <c r="BK40" s="268">
        <f t="shared" si="62"/>
        <v>4</v>
      </c>
      <c r="BL40" s="269">
        <f t="shared" si="62"/>
        <v>5</v>
      </c>
      <c r="BM40" s="256">
        <f>IF($BC40=Lookup!$A$2,$BD40*ROUNDUP(BE40/10,0)+1,
IF($BC40=Lookup!$A$3,($BD40+1)^BD40,
IF($BC40=Lookup!$A$4,BE40*$BD40+1,"Error")))</f>
        <v>1</v>
      </c>
      <c r="BN40" s="229">
        <f>IF($BC40=Lookup!$A$2,$BD40*ROUNDUP(BF40/10,0)+1,
IF($BC40=Lookup!$A$3,($BD40+1)^BE40,
IF($BC40=Lookup!$A$4,BF40*$BD40+1,"Error")))</f>
        <v>1</v>
      </c>
      <c r="BO40" s="229">
        <f>IF($BC40=Lookup!$A$2,$BD40*ROUNDUP(BG40/10,0)+1,
IF($BC40=Lookup!$A$3,($BD40+1)^BF40,
IF($BC40=Lookup!$A$4,BG40*$BD40+1,"Error")))</f>
        <v>1</v>
      </c>
      <c r="BP40" s="229">
        <f>IF($BC40=Lookup!$A$2,$BD40*ROUNDUP(BH40/10,0)+1,
IF($BC40=Lookup!$A$3,($BD40+1)^BG40,
IF($BC40=Lookup!$A$4,BH40*$BD40+1,"Error")))</f>
        <v>1</v>
      </c>
      <c r="BQ40" s="229">
        <f>IF($BC40=Lookup!$A$2,$BD40*ROUNDUP(BI40/10,0)+1,
IF($BC40=Lookup!$A$3,($BD40+1)^BH40,
IF($BC40=Lookup!$A$4,BI40*$BD40+1,"Error")))</f>
        <v>1</v>
      </c>
      <c r="BR40" s="229">
        <f>IF($BC40=Lookup!$A$2,$BD40*ROUNDUP(BJ40/10,0)+1,
IF($BC40=Lookup!$A$3,($BD40+1)^BI40,
IF($BC40=Lookup!$A$4,BJ40*$BD40+1,"Error")))</f>
        <v>1</v>
      </c>
      <c r="BS40" s="229">
        <f>IF($BC40=Lookup!$A$2,$BD40*ROUNDUP(BK40/10,0)+1,
IF($BC40=Lookup!$A$3,($BD40+1)^BJ40,
IF($BC40=Lookup!$A$4,BK40*$BD40+1,"Error")))</f>
        <v>1</v>
      </c>
      <c r="BT40" s="249">
        <f>IF($BC40=Lookup!$A$2,$BD40*ROUNDUP(BL40/10,0)+1,
IF($BC40=Lookup!$A$3,($BD40+1)^BK40,
IF($BC40=Lookup!$A$4,BL40*$BD40+1,"Error")))</f>
        <v>1</v>
      </c>
      <c r="BU40" s="398"/>
      <c r="BV40" s="356"/>
      <c r="BW40" s="356"/>
      <c r="BX40" s="356"/>
      <c r="BY40" s="356"/>
      <c r="BZ40" s="356"/>
      <c r="CA40" s="356"/>
      <c r="CB40" s="399"/>
      <c r="CC40" s="382" t="s">
        <v>293</v>
      </c>
      <c r="CD40" s="383">
        <f>HLOOKUP($CC40,$AK$6:$AM$132,ROWS(CD$6:CD40),0)</f>
        <v>0</v>
      </c>
      <c r="CE40" s="362">
        <f t="shared" si="33"/>
        <v>0</v>
      </c>
      <c r="CF40" s="363">
        <f t="shared" si="25"/>
        <v>0</v>
      </c>
      <c r="CG40" s="363">
        <f t="shared" si="25"/>
        <v>0</v>
      </c>
      <c r="CH40" s="363">
        <f t="shared" si="25"/>
        <v>0</v>
      </c>
      <c r="CI40" s="363">
        <f t="shared" si="25"/>
        <v>0</v>
      </c>
      <c r="CJ40" s="363">
        <f t="shared" si="25"/>
        <v>0</v>
      </c>
      <c r="CK40" s="363">
        <f t="shared" si="25"/>
        <v>0</v>
      </c>
      <c r="CL40" s="364">
        <f t="shared" si="25"/>
        <v>0</v>
      </c>
      <c r="CM40" s="305" t="s">
        <v>293</v>
      </c>
      <c r="CN40" s="315">
        <v>0.05</v>
      </c>
      <c r="CO40" s="306"/>
      <c r="CP40" s="307" t="str">
        <f>IF($CO40&lt;&gt;"",$CO40,HLOOKUP($CM40,$AY$6:$BA$132,ROWS(CP$6:CP40),0))</f>
        <v/>
      </c>
      <c r="CQ40" s="784" t="str">
        <f t="shared" si="63"/>
        <v/>
      </c>
      <c r="CR40" s="784" t="str">
        <f t="shared" si="63"/>
        <v/>
      </c>
      <c r="CS40" s="97" t="str">
        <f t="shared" si="63"/>
        <v/>
      </c>
      <c r="CT40" s="97" t="str">
        <f t="shared" si="63"/>
        <v/>
      </c>
      <c r="CU40" s="97" t="str">
        <f t="shared" si="63"/>
        <v/>
      </c>
      <c r="CV40" s="97" t="str">
        <f t="shared" si="63"/>
        <v/>
      </c>
      <c r="CW40" s="97" t="str">
        <f t="shared" si="63"/>
        <v/>
      </c>
      <c r="CX40" s="98" t="str">
        <f t="shared" si="46"/>
        <v/>
      </c>
      <c r="CY40" s="392"/>
    </row>
    <row r="41" spans="1:104" x14ac:dyDescent="0.25">
      <c r="A41" s="81" t="s">
        <v>81</v>
      </c>
      <c r="B41" s="82" t="s">
        <v>91</v>
      </c>
      <c r="C41" s="83" t="s">
        <v>78</v>
      </c>
      <c r="D41" s="84"/>
      <c r="E41" s="85"/>
      <c r="F41" s="85"/>
      <c r="G41" s="85"/>
      <c r="H41" s="85"/>
      <c r="I41" s="85">
        <v>0</v>
      </c>
      <c r="J41" s="85">
        <v>0</v>
      </c>
      <c r="K41" s="85">
        <v>0</v>
      </c>
      <c r="L41" s="85">
        <v>0</v>
      </c>
      <c r="M41" s="654">
        <f>'2022-23 Input'!D41</f>
        <v>0</v>
      </c>
      <c r="N41" s="1065">
        <v>0</v>
      </c>
      <c r="O41" s="560">
        <f t="shared" si="27"/>
        <v>0</v>
      </c>
      <c r="P41" s="561">
        <f t="shared" si="0"/>
        <v>0</v>
      </c>
      <c r="Q41" s="561">
        <f t="shared" si="1"/>
        <v>0</v>
      </c>
      <c r="R41" s="561">
        <f t="shared" si="2"/>
        <v>0</v>
      </c>
      <c r="S41" s="561">
        <f t="shared" si="3"/>
        <v>0</v>
      </c>
      <c r="T41" s="561">
        <f t="shared" si="4"/>
        <v>0</v>
      </c>
      <c r="U41" s="561">
        <f t="shared" si="5"/>
        <v>0</v>
      </c>
      <c r="V41" s="561">
        <f t="shared" si="6"/>
        <v>0</v>
      </c>
      <c r="W41" s="675">
        <f t="shared" si="7"/>
        <v>0</v>
      </c>
      <c r="X41" s="675">
        <f t="shared" si="8"/>
        <v>0</v>
      </c>
      <c r="Y41" s="675">
        <f t="shared" si="8"/>
        <v>0</v>
      </c>
      <c r="Z41" s="125"/>
      <c r="AA41" s="126"/>
      <c r="AB41" s="126"/>
      <c r="AC41" s="126"/>
      <c r="AD41" s="126"/>
      <c r="AE41" s="126">
        <v>0</v>
      </c>
      <c r="AF41" s="126">
        <v>0</v>
      </c>
      <c r="AG41" s="126">
        <v>0</v>
      </c>
      <c r="AH41" s="126">
        <v>0</v>
      </c>
      <c r="AI41" s="1097">
        <f>'2022-23 Input'!K41</f>
        <v>0</v>
      </c>
      <c r="AJ41" s="668">
        <v>0</v>
      </c>
      <c r="AK41" s="127">
        <f t="shared" si="47"/>
        <v>0</v>
      </c>
      <c r="AL41" s="128">
        <f t="shared" si="48"/>
        <v>0</v>
      </c>
      <c r="AM41" s="129">
        <f t="shared" si="49"/>
        <v>0</v>
      </c>
      <c r="AN41" s="91" t="str">
        <f t="shared" si="50"/>
        <v/>
      </c>
      <c r="AO41" s="92" t="str">
        <f t="shared" si="51"/>
        <v/>
      </c>
      <c r="AP41" s="92" t="str">
        <f t="shared" si="52"/>
        <v/>
      </c>
      <c r="AQ41" s="92" t="str">
        <f t="shared" si="53"/>
        <v/>
      </c>
      <c r="AR41" s="92" t="str">
        <f t="shared" si="54"/>
        <v/>
      </c>
      <c r="AS41" s="92" t="str">
        <f t="shared" si="55"/>
        <v/>
      </c>
      <c r="AT41" s="92" t="str">
        <f t="shared" si="56"/>
        <v/>
      </c>
      <c r="AU41" s="92" t="str">
        <f t="shared" si="57"/>
        <v/>
      </c>
      <c r="AV41" s="92" t="str">
        <f t="shared" si="58"/>
        <v/>
      </c>
      <c r="AW41" s="92" t="str">
        <f t="shared" si="58"/>
        <v/>
      </c>
      <c r="AX41" s="92" t="str">
        <f t="shared" si="58"/>
        <v/>
      </c>
      <c r="AY41" s="93" t="str">
        <f t="shared" si="59"/>
        <v/>
      </c>
      <c r="AZ41" s="94" t="str">
        <f t="shared" si="60"/>
        <v/>
      </c>
      <c r="BA41" s="95" t="str">
        <f t="shared" si="61"/>
        <v/>
      </c>
      <c r="BB41" s="248" t="s">
        <v>422</v>
      </c>
      <c r="BC41" s="229" t="s">
        <v>433</v>
      </c>
      <c r="BD41" s="249">
        <v>0</v>
      </c>
      <c r="BE41" s="267">
        <f t="shared" si="28"/>
        <v>0</v>
      </c>
      <c r="BF41" s="268">
        <f t="shared" si="62"/>
        <v>0</v>
      </c>
      <c r="BG41" s="268">
        <f t="shared" si="62"/>
        <v>0</v>
      </c>
      <c r="BH41" s="268">
        <f t="shared" si="62"/>
        <v>1</v>
      </c>
      <c r="BI41" s="268">
        <f t="shared" si="62"/>
        <v>2</v>
      </c>
      <c r="BJ41" s="268">
        <f t="shared" si="62"/>
        <v>3</v>
      </c>
      <c r="BK41" s="268">
        <f t="shared" si="62"/>
        <v>4</v>
      </c>
      <c r="BL41" s="269">
        <f t="shared" si="62"/>
        <v>5</v>
      </c>
      <c r="BM41" s="256">
        <f>IF($BC41=Lookup!$A$2,$BD41*ROUNDUP(BE41/10,0)+1,
IF($BC41=Lookup!$A$3,($BD41+1)^BD41,
IF($BC41=Lookup!$A$4,BE41*$BD41+1,"Error")))</f>
        <v>1</v>
      </c>
      <c r="BN41" s="229">
        <f>IF($BC41=Lookup!$A$2,$BD41*ROUNDUP(BF41/10,0)+1,
IF($BC41=Lookup!$A$3,($BD41+1)^BE41,
IF($BC41=Lookup!$A$4,BF41*$BD41+1,"Error")))</f>
        <v>1</v>
      </c>
      <c r="BO41" s="229">
        <f>IF($BC41=Lookup!$A$2,$BD41*ROUNDUP(BG41/10,0)+1,
IF($BC41=Lookup!$A$3,($BD41+1)^BF41,
IF($BC41=Lookup!$A$4,BG41*$BD41+1,"Error")))</f>
        <v>1</v>
      </c>
      <c r="BP41" s="229">
        <f>IF($BC41=Lookup!$A$2,$BD41*ROUNDUP(BH41/10,0)+1,
IF($BC41=Lookup!$A$3,($BD41+1)^BG41,
IF($BC41=Lookup!$A$4,BH41*$BD41+1,"Error")))</f>
        <v>1</v>
      </c>
      <c r="BQ41" s="229">
        <f>IF($BC41=Lookup!$A$2,$BD41*ROUNDUP(BI41/10,0)+1,
IF($BC41=Lookup!$A$3,($BD41+1)^BH41,
IF($BC41=Lookup!$A$4,BI41*$BD41+1,"Error")))</f>
        <v>1</v>
      </c>
      <c r="BR41" s="229">
        <f>IF($BC41=Lookup!$A$2,$BD41*ROUNDUP(BJ41/10,0)+1,
IF($BC41=Lookup!$A$3,($BD41+1)^BI41,
IF($BC41=Lookup!$A$4,BJ41*$BD41+1,"Error")))</f>
        <v>1</v>
      </c>
      <c r="BS41" s="229">
        <f>IF($BC41=Lookup!$A$2,$BD41*ROUNDUP(BK41/10,0)+1,
IF($BC41=Lookup!$A$3,($BD41+1)^BJ41,
IF($BC41=Lookup!$A$4,BK41*$BD41+1,"Error")))</f>
        <v>1</v>
      </c>
      <c r="BT41" s="249">
        <f>IF($BC41=Lookup!$A$2,$BD41*ROUNDUP(BL41/10,0)+1,
IF($BC41=Lookup!$A$3,($BD41+1)^BK41,
IF($BC41=Lookup!$A$4,BL41*$BD41+1,"Error")))</f>
        <v>1</v>
      </c>
      <c r="BU41" s="398"/>
      <c r="BV41" s="356"/>
      <c r="BW41" s="356"/>
      <c r="BX41" s="356"/>
      <c r="BY41" s="356"/>
      <c r="BZ41" s="356"/>
      <c r="CA41" s="356"/>
      <c r="CB41" s="399"/>
      <c r="CC41" s="382" t="s">
        <v>293</v>
      </c>
      <c r="CD41" s="383">
        <f>HLOOKUP($CC41,$AK$6:$AM$132,ROWS(CD$6:CD41),0)</f>
        <v>0</v>
      </c>
      <c r="CE41" s="362">
        <f t="shared" si="33"/>
        <v>0</v>
      </c>
      <c r="CF41" s="363">
        <f t="shared" si="25"/>
        <v>0</v>
      </c>
      <c r="CG41" s="363">
        <f t="shared" si="25"/>
        <v>0</v>
      </c>
      <c r="CH41" s="363">
        <f t="shared" si="25"/>
        <v>0</v>
      </c>
      <c r="CI41" s="363">
        <f t="shared" si="25"/>
        <v>0</v>
      </c>
      <c r="CJ41" s="363">
        <f t="shared" si="25"/>
        <v>0</v>
      </c>
      <c r="CK41" s="363">
        <f t="shared" si="25"/>
        <v>0</v>
      </c>
      <c r="CL41" s="364">
        <f t="shared" si="25"/>
        <v>0</v>
      </c>
      <c r="CM41" s="305" t="s">
        <v>293</v>
      </c>
      <c r="CN41" s="315">
        <v>0.05</v>
      </c>
      <c r="CO41" s="306"/>
      <c r="CP41" s="307" t="str">
        <f>IF($CO41&lt;&gt;"",$CO41,HLOOKUP($CM41,$AY$6:$BA$132,ROWS(CP$6:CP41),0))</f>
        <v/>
      </c>
      <c r="CQ41" s="784" t="str">
        <f t="shared" si="63"/>
        <v/>
      </c>
      <c r="CR41" s="784" t="str">
        <f t="shared" si="63"/>
        <v/>
      </c>
      <c r="CS41" s="97" t="str">
        <f t="shared" si="63"/>
        <v/>
      </c>
      <c r="CT41" s="97" t="str">
        <f t="shared" si="63"/>
        <v/>
      </c>
      <c r="CU41" s="97" t="str">
        <f t="shared" si="63"/>
        <v/>
      </c>
      <c r="CV41" s="97" t="str">
        <f t="shared" si="63"/>
        <v/>
      </c>
      <c r="CW41" s="97" t="str">
        <f t="shared" si="63"/>
        <v/>
      </c>
      <c r="CX41" s="98" t="str">
        <f t="shared" si="46"/>
        <v/>
      </c>
      <c r="CY41" s="392"/>
    </row>
    <row r="42" spans="1:104" ht="15.75" thickBot="1" x14ac:dyDescent="0.3">
      <c r="A42" s="100" t="s">
        <v>81</v>
      </c>
      <c r="B42" s="101" t="s">
        <v>460</v>
      </c>
      <c r="C42" s="102" t="s">
        <v>320</v>
      </c>
      <c r="D42" s="103"/>
      <c r="E42" s="104"/>
      <c r="F42" s="104"/>
      <c r="G42" s="104"/>
      <c r="H42" s="104"/>
      <c r="I42" s="104">
        <v>0</v>
      </c>
      <c r="J42" s="104">
        <v>0</v>
      </c>
      <c r="K42" s="104">
        <v>0</v>
      </c>
      <c r="L42" s="104">
        <v>0</v>
      </c>
      <c r="M42" s="655">
        <f>'2022-23 Input'!D42</f>
        <v>0</v>
      </c>
      <c r="N42" s="1066">
        <v>0</v>
      </c>
      <c r="O42" s="563">
        <f t="shared" si="27"/>
        <v>0</v>
      </c>
      <c r="P42" s="564">
        <f t="shared" si="0"/>
        <v>0</v>
      </c>
      <c r="Q42" s="564">
        <f t="shared" si="1"/>
        <v>0</v>
      </c>
      <c r="R42" s="564">
        <f t="shared" si="2"/>
        <v>0</v>
      </c>
      <c r="S42" s="564">
        <f t="shared" si="3"/>
        <v>0</v>
      </c>
      <c r="T42" s="564">
        <f t="shared" si="4"/>
        <v>0</v>
      </c>
      <c r="U42" s="564">
        <f t="shared" si="5"/>
        <v>0</v>
      </c>
      <c r="V42" s="564">
        <f t="shared" si="6"/>
        <v>0</v>
      </c>
      <c r="W42" s="676">
        <f t="shared" si="7"/>
        <v>0</v>
      </c>
      <c r="X42" s="676">
        <f t="shared" si="8"/>
        <v>0</v>
      </c>
      <c r="Y42" s="676">
        <f t="shared" si="8"/>
        <v>0</v>
      </c>
      <c r="Z42" s="131"/>
      <c r="AA42" s="132"/>
      <c r="AB42" s="132"/>
      <c r="AC42" s="132"/>
      <c r="AD42" s="132"/>
      <c r="AE42" s="132">
        <v>0</v>
      </c>
      <c r="AF42" s="132">
        <v>0</v>
      </c>
      <c r="AG42" s="132">
        <v>0</v>
      </c>
      <c r="AH42" s="132">
        <v>0</v>
      </c>
      <c r="AI42" s="1098">
        <f>'2022-23 Input'!K42</f>
        <v>0</v>
      </c>
      <c r="AJ42" s="669">
        <v>0</v>
      </c>
      <c r="AK42" s="133">
        <f t="shared" si="47"/>
        <v>0</v>
      </c>
      <c r="AL42" s="134">
        <f t="shared" si="48"/>
        <v>0</v>
      </c>
      <c r="AM42" s="135">
        <f t="shared" si="49"/>
        <v>0</v>
      </c>
      <c r="AN42" s="110" t="str">
        <f t="shared" si="50"/>
        <v/>
      </c>
      <c r="AO42" s="111" t="str">
        <f t="shared" si="51"/>
        <v/>
      </c>
      <c r="AP42" s="111" t="str">
        <f t="shared" si="52"/>
        <v/>
      </c>
      <c r="AQ42" s="111" t="str">
        <f t="shared" si="53"/>
        <v/>
      </c>
      <c r="AR42" s="111" t="str">
        <f t="shared" si="54"/>
        <v/>
      </c>
      <c r="AS42" s="111" t="str">
        <f t="shared" si="55"/>
        <v/>
      </c>
      <c r="AT42" s="111" t="str">
        <f t="shared" si="56"/>
        <v/>
      </c>
      <c r="AU42" s="111" t="str">
        <f t="shared" si="57"/>
        <v/>
      </c>
      <c r="AV42" s="111" t="str">
        <f t="shared" si="58"/>
        <v/>
      </c>
      <c r="AW42" s="111" t="str">
        <f t="shared" si="58"/>
        <v/>
      </c>
      <c r="AX42" s="111" t="str">
        <f t="shared" si="58"/>
        <v/>
      </c>
      <c r="AY42" s="112" t="str">
        <f t="shared" si="59"/>
        <v/>
      </c>
      <c r="AZ42" s="113" t="str">
        <f t="shared" si="60"/>
        <v/>
      </c>
      <c r="BA42" s="114" t="str">
        <f t="shared" si="61"/>
        <v/>
      </c>
      <c r="BB42" s="250" t="s">
        <v>422</v>
      </c>
      <c r="BC42" s="230" t="s">
        <v>433</v>
      </c>
      <c r="BD42" s="251">
        <v>0</v>
      </c>
      <c r="BE42" s="270">
        <f t="shared" si="28"/>
        <v>0</v>
      </c>
      <c r="BF42" s="271">
        <f t="shared" si="62"/>
        <v>0</v>
      </c>
      <c r="BG42" s="271">
        <f t="shared" si="62"/>
        <v>0</v>
      </c>
      <c r="BH42" s="271">
        <f t="shared" si="62"/>
        <v>1</v>
      </c>
      <c r="BI42" s="271">
        <f t="shared" si="62"/>
        <v>2</v>
      </c>
      <c r="BJ42" s="271">
        <f t="shared" si="62"/>
        <v>3</v>
      </c>
      <c r="BK42" s="271">
        <f t="shared" si="62"/>
        <v>4</v>
      </c>
      <c r="BL42" s="272">
        <f t="shared" si="62"/>
        <v>5</v>
      </c>
      <c r="BM42" s="257">
        <f>IF($BC42=Lookup!$A$2,$BD42*ROUNDUP(BE42/10,0)+1,
IF($BC42=Lookup!$A$3,($BD42+1)^BD42,
IF($BC42=Lookup!$A$4,BE42*$BD42+1,"Error")))</f>
        <v>1</v>
      </c>
      <c r="BN42" s="230">
        <f>IF($BC42=Lookup!$A$2,$BD42*ROUNDUP(BF42/10,0)+1,
IF($BC42=Lookup!$A$3,($BD42+1)^BE42,
IF($BC42=Lookup!$A$4,BF42*$BD42+1,"Error")))</f>
        <v>1</v>
      </c>
      <c r="BO42" s="230">
        <f>IF($BC42=Lookup!$A$2,$BD42*ROUNDUP(BG42/10,0)+1,
IF($BC42=Lookup!$A$3,($BD42+1)^BF42,
IF($BC42=Lookup!$A$4,BG42*$BD42+1,"Error")))</f>
        <v>1</v>
      </c>
      <c r="BP42" s="230">
        <f>IF($BC42=Lookup!$A$2,$BD42*ROUNDUP(BH42/10,0)+1,
IF($BC42=Lookup!$A$3,($BD42+1)^BG42,
IF($BC42=Lookup!$A$4,BH42*$BD42+1,"Error")))</f>
        <v>1</v>
      </c>
      <c r="BQ42" s="230">
        <f>IF($BC42=Lookup!$A$2,$BD42*ROUNDUP(BI42/10,0)+1,
IF($BC42=Lookup!$A$3,($BD42+1)^BH42,
IF($BC42=Lookup!$A$4,BI42*$BD42+1,"Error")))</f>
        <v>1</v>
      </c>
      <c r="BR42" s="230">
        <f>IF($BC42=Lookup!$A$2,$BD42*ROUNDUP(BJ42/10,0)+1,
IF($BC42=Lookup!$A$3,($BD42+1)^BI42,
IF($BC42=Lookup!$A$4,BJ42*$BD42+1,"Error")))</f>
        <v>1</v>
      </c>
      <c r="BS42" s="230">
        <f>IF($BC42=Lookup!$A$2,$BD42*ROUNDUP(BK42/10,0)+1,
IF($BC42=Lookup!$A$3,($BD42+1)^BJ42,
IF($BC42=Lookup!$A$4,BK42*$BD42+1,"Error")))</f>
        <v>1</v>
      </c>
      <c r="BT42" s="251">
        <f>IF($BC42=Lookup!$A$2,$BD42*ROUNDUP(BL42/10,0)+1,
IF($BC42=Lookup!$A$3,($BD42+1)^BK42,
IF($BC42=Lookup!$A$4,BL42*$BD42+1,"Error")))</f>
        <v>1</v>
      </c>
      <c r="BU42" s="400"/>
      <c r="BV42" s="358"/>
      <c r="BW42" s="358"/>
      <c r="BX42" s="358"/>
      <c r="BY42" s="358"/>
      <c r="BZ42" s="358"/>
      <c r="CA42" s="358"/>
      <c r="CB42" s="401"/>
      <c r="CC42" s="384" t="s">
        <v>293</v>
      </c>
      <c r="CD42" s="385">
        <f>HLOOKUP($CC42,$AK$6:$AM$132,ROWS(CD$6:CD42),0)</f>
        <v>0</v>
      </c>
      <c r="CE42" s="365">
        <f t="shared" si="33"/>
        <v>0</v>
      </c>
      <c r="CF42" s="366">
        <f t="shared" si="25"/>
        <v>0</v>
      </c>
      <c r="CG42" s="366">
        <f t="shared" si="25"/>
        <v>0</v>
      </c>
      <c r="CH42" s="366">
        <f t="shared" si="25"/>
        <v>0</v>
      </c>
      <c r="CI42" s="366">
        <f t="shared" si="25"/>
        <v>0</v>
      </c>
      <c r="CJ42" s="366">
        <f t="shared" si="25"/>
        <v>0</v>
      </c>
      <c r="CK42" s="366">
        <f t="shared" si="25"/>
        <v>0</v>
      </c>
      <c r="CL42" s="367">
        <f t="shared" si="25"/>
        <v>0</v>
      </c>
      <c r="CM42" s="308" t="s">
        <v>293</v>
      </c>
      <c r="CN42" s="316">
        <v>0.05</v>
      </c>
      <c r="CO42" s="309"/>
      <c r="CP42" s="310" t="str">
        <f>IF($CO42&lt;&gt;"",$CO42,HLOOKUP($CM42,$AY$6:$BA$132,ROWS(CP$6:CP42),0))</f>
        <v/>
      </c>
      <c r="CQ42" s="785" t="str">
        <f t="shared" si="63"/>
        <v/>
      </c>
      <c r="CR42" s="785" t="str">
        <f t="shared" si="63"/>
        <v/>
      </c>
      <c r="CS42" s="117" t="str">
        <f t="shared" si="63"/>
        <v/>
      </c>
      <c r="CT42" s="117" t="str">
        <f t="shared" si="63"/>
        <v/>
      </c>
      <c r="CU42" s="117" t="str">
        <f t="shared" si="63"/>
        <v/>
      </c>
      <c r="CV42" s="117" t="str">
        <f t="shared" si="63"/>
        <v/>
      </c>
      <c r="CW42" s="117" t="str">
        <f t="shared" si="63"/>
        <v/>
      </c>
      <c r="CX42" s="118" t="str">
        <f t="shared" si="46"/>
        <v/>
      </c>
      <c r="CY42" s="393"/>
    </row>
    <row r="43" spans="1:104" x14ac:dyDescent="0.25">
      <c r="A43" s="63" t="s">
        <v>94</v>
      </c>
      <c r="B43" s="334" t="s">
        <v>92</v>
      </c>
      <c r="C43" s="65" t="s">
        <v>305</v>
      </c>
      <c r="D43" s="66"/>
      <c r="E43" s="67"/>
      <c r="F43" s="67"/>
      <c r="G43" s="67"/>
      <c r="H43" s="67"/>
      <c r="I43" s="67">
        <v>44307.191872288982</v>
      </c>
      <c r="J43" s="67">
        <v>29120.75692381</v>
      </c>
      <c r="K43" s="67">
        <v>79779.548086926006</v>
      </c>
      <c r="L43" s="67">
        <v>337730.12741847901</v>
      </c>
      <c r="M43" s="653">
        <f>'2022-23 Input'!D43</f>
        <v>209535.48905627587</v>
      </c>
      <c r="N43" s="1064">
        <v>263591.44601995987</v>
      </c>
      <c r="O43" s="557">
        <f t="shared" si="27"/>
        <v>0</v>
      </c>
      <c r="P43" s="558">
        <f t="shared" si="0"/>
        <v>0</v>
      </c>
      <c r="Q43" s="558">
        <f t="shared" si="1"/>
        <v>0</v>
      </c>
      <c r="R43" s="558">
        <f t="shared" si="2"/>
        <v>0</v>
      </c>
      <c r="S43" s="558">
        <f t="shared" si="3"/>
        <v>0</v>
      </c>
      <c r="T43" s="558">
        <f t="shared" si="4"/>
        <v>54991.795624591286</v>
      </c>
      <c r="U43" s="558">
        <f t="shared" si="5"/>
        <v>36269.552536878284</v>
      </c>
      <c r="V43" s="558">
        <f t="shared" si="6"/>
        <v>95684.302228032466</v>
      </c>
      <c r="W43" s="674">
        <f t="shared" si="7"/>
        <v>381610.46870326053</v>
      </c>
      <c r="X43" s="674">
        <f t="shared" si="8"/>
        <v>222832.8052409472</v>
      </c>
      <c r="Y43" s="674">
        <f t="shared" si="8"/>
        <v>270839.80994622322</v>
      </c>
      <c r="Z43" s="119"/>
      <c r="AA43" s="120"/>
      <c r="AB43" s="120"/>
      <c r="AC43" s="120"/>
      <c r="AD43" s="120"/>
      <c r="AE43" s="120">
        <v>0.23397000000000001</v>
      </c>
      <c r="AF43" s="120">
        <v>0.48533333300000003</v>
      </c>
      <c r="AG43" s="120">
        <v>0.27933333333333304</v>
      </c>
      <c r="AH43" s="120">
        <v>2.0399999810000002</v>
      </c>
      <c r="AI43" s="1096">
        <f>'2022-23 Input'!K43</f>
        <v>0.80233335400000005</v>
      </c>
      <c r="AJ43" s="667">
        <v>0.558333352</v>
      </c>
      <c r="AK43" s="121">
        <f t="shared" si="47"/>
        <v>0.76819400026666662</v>
      </c>
      <c r="AL43" s="122">
        <f t="shared" si="48"/>
        <v>1.0405555561111111</v>
      </c>
      <c r="AM43" s="123">
        <f t="shared" si="49"/>
        <v>0.80233335400000005</v>
      </c>
      <c r="AN43" s="73" t="str">
        <f t="shared" si="50"/>
        <v/>
      </c>
      <c r="AO43" s="74" t="str">
        <f t="shared" si="51"/>
        <v/>
      </c>
      <c r="AP43" s="74" t="str">
        <f t="shared" si="52"/>
        <v/>
      </c>
      <c r="AQ43" s="74" t="str">
        <f t="shared" si="53"/>
        <v/>
      </c>
      <c r="AR43" s="74" t="str">
        <f t="shared" si="54"/>
        <v/>
      </c>
      <c r="AS43" s="74">
        <f t="shared" si="55"/>
        <v>189371.25217886473</v>
      </c>
      <c r="AT43" s="74">
        <f t="shared" si="56"/>
        <v>60001.559636972219</v>
      </c>
      <c r="AU43" s="74">
        <f t="shared" si="57"/>
        <v>285606.97405820794</v>
      </c>
      <c r="AV43" s="74">
        <f t="shared" si="58"/>
        <v>165553.98557059054</v>
      </c>
      <c r="AW43" s="74">
        <f t="shared" si="58"/>
        <v>261157.64477650751</v>
      </c>
      <c r="AX43" s="74">
        <f t="shared" si="58"/>
        <v>472104.06664003094</v>
      </c>
      <c r="AY43" s="75">
        <f t="shared" si="59"/>
        <v>182368.80608664517</v>
      </c>
      <c r="AZ43" s="76">
        <f t="shared" si="60"/>
        <v>200868.71251262137</v>
      </c>
      <c r="BA43" s="77">
        <f t="shared" si="61"/>
        <v>261157.64477650751</v>
      </c>
      <c r="BB43" s="246" t="s">
        <v>422</v>
      </c>
      <c r="BC43" s="228" t="s">
        <v>433</v>
      </c>
      <c r="BD43" s="247">
        <v>0</v>
      </c>
      <c r="BE43" s="264">
        <f t="shared" si="28"/>
        <v>0</v>
      </c>
      <c r="BF43" s="265">
        <f t="shared" si="62"/>
        <v>0</v>
      </c>
      <c r="BG43" s="265">
        <f t="shared" si="62"/>
        <v>0</v>
      </c>
      <c r="BH43" s="265">
        <f t="shared" si="62"/>
        <v>1</v>
      </c>
      <c r="BI43" s="265">
        <f t="shared" si="62"/>
        <v>2</v>
      </c>
      <c r="BJ43" s="265">
        <f t="shared" si="62"/>
        <v>3</v>
      </c>
      <c r="BK43" s="265">
        <f t="shared" si="62"/>
        <v>4</v>
      </c>
      <c r="BL43" s="266">
        <f t="shared" si="62"/>
        <v>5</v>
      </c>
      <c r="BM43" s="255">
        <f>IF($BC43=Lookup!$A$2,$BD43*ROUNDUP(BE43/10,0)+1,
IF($BC43=Lookup!$A$3,($BD43+1)^BD43,
IF($BC43=Lookup!$A$4,BE43*$BD43+1,"Error")))</f>
        <v>1</v>
      </c>
      <c r="BN43" s="228">
        <f>IF($BC43=Lookup!$A$2,$BD43*ROUNDUP(BF43/10,0)+1,
IF($BC43=Lookup!$A$3,($BD43+1)^BE43,
IF($BC43=Lookup!$A$4,BF43*$BD43+1,"Error")))</f>
        <v>1</v>
      </c>
      <c r="BO43" s="228">
        <f>IF($BC43=Lookup!$A$2,$BD43*ROUNDUP(BG43/10,0)+1,
IF($BC43=Lookup!$A$3,($BD43+1)^BF43,
IF($BC43=Lookup!$A$4,BG43*$BD43+1,"Error")))</f>
        <v>1</v>
      </c>
      <c r="BP43" s="228">
        <f>IF($BC43=Lookup!$A$2,$BD43*ROUNDUP(BH43/10,0)+1,
IF($BC43=Lookup!$A$3,($BD43+1)^BG43,
IF($BC43=Lookup!$A$4,BH43*$BD43+1,"Error")))</f>
        <v>1</v>
      </c>
      <c r="BQ43" s="228">
        <f>IF($BC43=Lookup!$A$2,$BD43*ROUNDUP(BI43/10,0)+1,
IF($BC43=Lookup!$A$3,($BD43+1)^BH43,
IF($BC43=Lookup!$A$4,BI43*$BD43+1,"Error")))</f>
        <v>1</v>
      </c>
      <c r="BR43" s="228">
        <f>IF($BC43=Lookup!$A$2,$BD43*ROUNDUP(BJ43/10,0)+1,
IF($BC43=Lookup!$A$3,($BD43+1)^BI43,
IF($BC43=Lookup!$A$4,BJ43*$BD43+1,"Error")))</f>
        <v>1</v>
      </c>
      <c r="BS43" s="228">
        <f>IF($BC43=Lookup!$A$2,$BD43*ROUNDUP(BK43/10,0)+1,
IF($BC43=Lookup!$A$3,($BD43+1)^BJ43,
IF($BC43=Lookup!$A$4,BK43*$BD43+1,"Error")))</f>
        <v>1</v>
      </c>
      <c r="BT43" s="247">
        <f>IF($BC43=Lookup!$A$2,$BD43*ROUNDUP(BL43/10,0)+1,
IF($BC43=Lookup!$A$3,($BD43+1)^BK43,
IF($BC43=Lookup!$A$4,BL43*$BD43+1,"Error")))</f>
        <v>1</v>
      </c>
      <c r="BU43" s="396">
        <v>0</v>
      </c>
      <c r="BV43" s="354">
        <v>0</v>
      </c>
      <c r="BW43" s="354">
        <v>0</v>
      </c>
      <c r="BX43" s="354">
        <v>0</v>
      </c>
      <c r="BY43" s="354">
        <v>0</v>
      </c>
      <c r="BZ43" s="354">
        <v>0</v>
      </c>
      <c r="CA43" s="354">
        <v>0</v>
      </c>
      <c r="CB43" s="397">
        <v>0</v>
      </c>
      <c r="CC43" s="380" t="s">
        <v>293</v>
      </c>
      <c r="CD43" s="381">
        <f>HLOOKUP($CC43,$AK$6:$AM$132,ROWS(CD$6:CD43),0)</f>
        <v>1.0405555561111111</v>
      </c>
      <c r="CE43" s="238">
        <f t="shared" si="33"/>
        <v>0</v>
      </c>
      <c r="CF43" s="137">
        <f t="shared" si="25"/>
        <v>0</v>
      </c>
      <c r="CG43" s="137">
        <f t="shared" si="25"/>
        <v>0</v>
      </c>
      <c r="CH43" s="137">
        <f t="shared" si="25"/>
        <v>0</v>
      </c>
      <c r="CI43" s="137">
        <f t="shared" ref="CI43:CL106" si="64">IFERROR(IF(BY43&lt;&gt;"",BY43,BQ43*$CD43),"")</f>
        <v>0</v>
      </c>
      <c r="CJ43" s="137">
        <f t="shared" si="64"/>
        <v>0</v>
      </c>
      <c r="CK43" s="137">
        <f t="shared" si="64"/>
        <v>0</v>
      </c>
      <c r="CL43" s="290">
        <f t="shared" si="64"/>
        <v>0</v>
      </c>
      <c r="CM43" s="302" t="s">
        <v>293</v>
      </c>
      <c r="CN43" s="314">
        <v>0.05</v>
      </c>
      <c r="CO43" s="303"/>
      <c r="CP43" s="304">
        <f>IF($CO43&lt;&gt;"",$CO43,HLOOKUP($CM43,$AY$6:$BA$132,ROWS(CP$6:CP43),0))</f>
        <v>200868.71251262137</v>
      </c>
      <c r="CQ43" s="783">
        <f t="shared" si="63"/>
        <v>0</v>
      </c>
      <c r="CR43" s="783">
        <f t="shared" si="63"/>
        <v>0</v>
      </c>
      <c r="CS43" s="79">
        <f t="shared" si="63"/>
        <v>0</v>
      </c>
      <c r="CT43" s="79">
        <f t="shared" si="63"/>
        <v>0</v>
      </c>
      <c r="CU43" s="79">
        <f t="shared" si="63"/>
        <v>0</v>
      </c>
      <c r="CV43" s="79">
        <f t="shared" si="63"/>
        <v>0</v>
      </c>
      <c r="CW43" s="79">
        <f t="shared" si="63"/>
        <v>0</v>
      </c>
      <c r="CX43" s="80">
        <f t="shared" si="46"/>
        <v>0</v>
      </c>
      <c r="CY43" s="391"/>
    </row>
    <row r="44" spans="1:104" x14ac:dyDescent="0.25">
      <c r="A44" s="81" t="s">
        <v>94</v>
      </c>
      <c r="B44" s="82" t="s">
        <v>95</v>
      </c>
      <c r="C44" s="83" t="s">
        <v>70</v>
      </c>
      <c r="D44" s="84"/>
      <c r="E44" s="85"/>
      <c r="F44" s="85"/>
      <c r="G44" s="85"/>
      <c r="H44" s="85"/>
      <c r="I44" s="85">
        <v>160071.59812976501</v>
      </c>
      <c r="J44" s="85">
        <v>0</v>
      </c>
      <c r="K44" s="85">
        <v>127446.320317308</v>
      </c>
      <c r="L44" s="85">
        <v>228109.10862692504</v>
      </c>
      <c r="M44" s="654">
        <f>'2022-23 Input'!D44</f>
        <v>13720.888717752001</v>
      </c>
      <c r="N44" s="1065">
        <v>0</v>
      </c>
      <c r="O44" s="560">
        <f t="shared" si="27"/>
        <v>0</v>
      </c>
      <c r="P44" s="561">
        <f t="shared" si="0"/>
        <v>0</v>
      </c>
      <c r="Q44" s="561">
        <f t="shared" si="1"/>
        <v>0</v>
      </c>
      <c r="R44" s="561">
        <f t="shared" si="2"/>
        <v>0</v>
      </c>
      <c r="S44" s="561">
        <f t="shared" si="3"/>
        <v>0</v>
      </c>
      <c r="T44" s="561">
        <f t="shared" si="4"/>
        <v>198672.59101020044</v>
      </c>
      <c r="U44" s="561">
        <f t="shared" si="5"/>
        <v>0</v>
      </c>
      <c r="V44" s="561">
        <f t="shared" si="6"/>
        <v>152853.86447420029</v>
      </c>
      <c r="W44" s="675">
        <f t="shared" si="7"/>
        <v>257746.694154834</v>
      </c>
      <c r="X44" s="675">
        <f t="shared" si="8"/>
        <v>14591.629022587122</v>
      </c>
      <c r="Y44" s="675">
        <f t="shared" si="8"/>
        <v>0</v>
      </c>
      <c r="Z44" s="125"/>
      <c r="AA44" s="126"/>
      <c r="AB44" s="126"/>
      <c r="AC44" s="126"/>
      <c r="AD44" s="126"/>
      <c r="AE44" s="126">
        <v>9.8999999000000005E-2</v>
      </c>
      <c r="AF44" s="126">
        <v>0</v>
      </c>
      <c r="AG44" s="126">
        <v>0.63333333333333275</v>
      </c>
      <c r="AH44" s="126">
        <v>0.15333332399999999</v>
      </c>
      <c r="AI44" s="1097">
        <f>'2022-23 Input'!K44</f>
        <v>1.8999999E-2</v>
      </c>
      <c r="AJ44" s="668">
        <v>0</v>
      </c>
      <c r="AK44" s="127">
        <f t="shared" si="47"/>
        <v>0.18093333106666656</v>
      </c>
      <c r="AL44" s="128">
        <f t="shared" si="48"/>
        <v>0.26855555211111093</v>
      </c>
      <c r="AM44" s="129">
        <f t="shared" si="49"/>
        <v>1.8999999E-2</v>
      </c>
      <c r="AN44" s="91" t="str">
        <f t="shared" si="50"/>
        <v/>
      </c>
      <c r="AO44" s="92" t="str">
        <f t="shared" si="51"/>
        <v/>
      </c>
      <c r="AP44" s="92" t="str">
        <f t="shared" si="52"/>
        <v/>
      </c>
      <c r="AQ44" s="92" t="str">
        <f t="shared" si="53"/>
        <v/>
      </c>
      <c r="AR44" s="92" t="str">
        <f t="shared" si="54"/>
        <v/>
      </c>
      <c r="AS44" s="92">
        <f t="shared" si="55"/>
        <v>1616884.845925756</v>
      </c>
      <c r="AT44" s="92" t="str">
        <f t="shared" si="56"/>
        <v/>
      </c>
      <c r="AU44" s="92">
        <f t="shared" si="57"/>
        <v>201231.03207996019</v>
      </c>
      <c r="AV44" s="92">
        <f t="shared" si="58"/>
        <v>1487668.1902945314</v>
      </c>
      <c r="AW44" s="92">
        <f t="shared" si="58"/>
        <v>722152.07578442513</v>
      </c>
      <c r="AX44" s="92" t="str">
        <f t="shared" si="58"/>
        <v/>
      </c>
      <c r="AY44" s="93">
        <f t="shared" si="59"/>
        <v>585130.34903083381</v>
      </c>
      <c r="AZ44" s="94">
        <f t="shared" si="60"/>
        <v>458348.76590598578</v>
      </c>
      <c r="BA44" s="95">
        <f t="shared" si="61"/>
        <v>722152.07578442513</v>
      </c>
      <c r="BB44" s="248" t="s">
        <v>422</v>
      </c>
      <c r="BC44" s="229" t="s">
        <v>433</v>
      </c>
      <c r="BD44" s="249">
        <v>0</v>
      </c>
      <c r="BE44" s="267">
        <f t="shared" si="28"/>
        <v>0</v>
      </c>
      <c r="BF44" s="268">
        <f t="shared" si="62"/>
        <v>0</v>
      </c>
      <c r="BG44" s="268">
        <f t="shared" si="62"/>
        <v>0</v>
      </c>
      <c r="BH44" s="268">
        <f t="shared" si="62"/>
        <v>1</v>
      </c>
      <c r="BI44" s="268">
        <f t="shared" si="62"/>
        <v>2</v>
      </c>
      <c r="BJ44" s="268">
        <f t="shared" si="62"/>
        <v>3</v>
      </c>
      <c r="BK44" s="268">
        <f t="shared" si="62"/>
        <v>4</v>
      </c>
      <c r="BL44" s="269">
        <f t="shared" si="62"/>
        <v>5</v>
      </c>
      <c r="BM44" s="256">
        <f>IF($BC44=Lookup!$A$2,$BD44*ROUNDUP(BE44/10,0)+1,
IF($BC44=Lookup!$A$3,($BD44+1)^BD44,
IF($BC44=Lookup!$A$4,BE44*$BD44+1,"Error")))</f>
        <v>1</v>
      </c>
      <c r="BN44" s="229">
        <f>IF($BC44=Lookup!$A$2,$BD44*ROUNDUP(BF44/10,0)+1,
IF($BC44=Lookup!$A$3,($BD44+1)^BE44,
IF($BC44=Lookup!$A$4,BF44*$BD44+1,"Error")))</f>
        <v>1</v>
      </c>
      <c r="BO44" s="229">
        <f>IF($BC44=Lookup!$A$2,$BD44*ROUNDUP(BG44/10,0)+1,
IF($BC44=Lookup!$A$3,($BD44+1)^BF44,
IF($BC44=Lookup!$A$4,BG44*$BD44+1,"Error")))</f>
        <v>1</v>
      </c>
      <c r="BP44" s="229">
        <f>IF($BC44=Lookup!$A$2,$BD44*ROUNDUP(BH44/10,0)+1,
IF($BC44=Lookup!$A$3,($BD44+1)^BG44,
IF($BC44=Lookup!$A$4,BH44*$BD44+1,"Error")))</f>
        <v>1</v>
      </c>
      <c r="BQ44" s="229">
        <f>IF($BC44=Lookup!$A$2,$BD44*ROUNDUP(BI44/10,0)+1,
IF($BC44=Lookup!$A$3,($BD44+1)^BH44,
IF($BC44=Lookup!$A$4,BI44*$BD44+1,"Error")))</f>
        <v>1</v>
      </c>
      <c r="BR44" s="229">
        <f>IF($BC44=Lookup!$A$2,$BD44*ROUNDUP(BJ44/10,0)+1,
IF($BC44=Lookup!$A$3,($BD44+1)^BI44,
IF($BC44=Lookup!$A$4,BJ44*$BD44+1,"Error")))</f>
        <v>1</v>
      </c>
      <c r="BS44" s="229">
        <f>IF($BC44=Lookup!$A$2,$BD44*ROUNDUP(BK44/10,0)+1,
IF($BC44=Lookup!$A$3,($BD44+1)^BJ44,
IF($BC44=Lookup!$A$4,BK44*$BD44+1,"Error")))</f>
        <v>1</v>
      </c>
      <c r="BT44" s="249">
        <f>IF($BC44=Lookup!$A$2,$BD44*ROUNDUP(BL44/10,0)+1,
IF($BC44=Lookup!$A$3,($BD44+1)^BK44,
IF($BC44=Lookup!$A$4,BL44*$BD44+1,"Error")))</f>
        <v>1</v>
      </c>
      <c r="BU44" s="398">
        <v>0</v>
      </c>
      <c r="BV44" s="356">
        <v>0</v>
      </c>
      <c r="BW44" s="356">
        <v>0</v>
      </c>
      <c r="BX44" s="356">
        <v>0</v>
      </c>
      <c r="BY44" s="356">
        <v>0</v>
      </c>
      <c r="BZ44" s="356">
        <v>0</v>
      </c>
      <c r="CA44" s="356">
        <v>0</v>
      </c>
      <c r="CB44" s="399">
        <v>0</v>
      </c>
      <c r="CC44" s="382" t="s">
        <v>293</v>
      </c>
      <c r="CD44" s="383">
        <f>HLOOKUP($CC44,$AK$6:$AM$132,ROWS(CD$6:CD44),0)</f>
        <v>0.26855555211111093</v>
      </c>
      <c r="CE44" s="236">
        <f t="shared" si="33"/>
        <v>0</v>
      </c>
      <c r="CF44" s="130">
        <f t="shared" si="33"/>
        <v>0</v>
      </c>
      <c r="CG44" s="130">
        <f t="shared" si="33"/>
        <v>0</v>
      </c>
      <c r="CH44" s="130">
        <f t="shared" si="33"/>
        <v>0</v>
      </c>
      <c r="CI44" s="130">
        <f t="shared" si="64"/>
        <v>0</v>
      </c>
      <c r="CJ44" s="130">
        <f t="shared" si="64"/>
        <v>0</v>
      </c>
      <c r="CK44" s="130">
        <f t="shared" si="64"/>
        <v>0</v>
      </c>
      <c r="CL44" s="288">
        <f t="shared" si="64"/>
        <v>0</v>
      </c>
      <c r="CM44" s="305" t="s">
        <v>293</v>
      </c>
      <c r="CN44" s="315">
        <v>0.05</v>
      </c>
      <c r="CO44" s="306"/>
      <c r="CP44" s="307">
        <f>IF($CO44&lt;&gt;"",$CO44,HLOOKUP($CM44,$AY$6:$BA$132,ROWS(CP$6:CP44),0))</f>
        <v>458348.76590598578</v>
      </c>
      <c r="CQ44" s="784">
        <f t="shared" si="63"/>
        <v>0</v>
      </c>
      <c r="CR44" s="784">
        <f t="shared" si="63"/>
        <v>0</v>
      </c>
      <c r="CS44" s="97">
        <f t="shared" si="63"/>
        <v>0</v>
      </c>
      <c r="CT44" s="97">
        <f t="shared" si="63"/>
        <v>0</v>
      </c>
      <c r="CU44" s="97">
        <f t="shared" si="63"/>
        <v>0</v>
      </c>
      <c r="CV44" s="97">
        <f t="shared" si="63"/>
        <v>0</v>
      </c>
      <c r="CW44" s="97">
        <f t="shared" si="63"/>
        <v>0</v>
      </c>
      <c r="CX44" s="98">
        <f t="shared" si="46"/>
        <v>0</v>
      </c>
      <c r="CY44" s="392"/>
    </row>
    <row r="45" spans="1:104" x14ac:dyDescent="0.25">
      <c r="A45" s="81" t="s">
        <v>94</v>
      </c>
      <c r="B45" s="82" t="s">
        <v>96</v>
      </c>
      <c r="C45" s="83" t="s">
        <v>72</v>
      </c>
      <c r="D45" s="84"/>
      <c r="E45" s="85"/>
      <c r="F45" s="85"/>
      <c r="G45" s="85"/>
      <c r="H45" s="85"/>
      <c r="I45" s="85">
        <v>0</v>
      </c>
      <c r="J45" s="85">
        <v>0</v>
      </c>
      <c r="K45" s="85">
        <v>354320.54929347697</v>
      </c>
      <c r="L45" s="85">
        <v>0</v>
      </c>
      <c r="M45" s="654">
        <f>'2022-23 Input'!D45</f>
        <v>233813.59335617698</v>
      </c>
      <c r="N45" s="1065">
        <v>0</v>
      </c>
      <c r="O45" s="560">
        <f t="shared" si="27"/>
        <v>0</v>
      </c>
      <c r="P45" s="561">
        <f t="shared" si="0"/>
        <v>0</v>
      </c>
      <c r="Q45" s="561">
        <f t="shared" si="1"/>
        <v>0</v>
      </c>
      <c r="R45" s="561">
        <f t="shared" si="2"/>
        <v>0</v>
      </c>
      <c r="S45" s="561">
        <f t="shared" si="3"/>
        <v>0</v>
      </c>
      <c r="T45" s="561">
        <f t="shared" si="4"/>
        <v>0</v>
      </c>
      <c r="U45" s="561">
        <f t="shared" si="5"/>
        <v>0</v>
      </c>
      <c r="V45" s="561">
        <f t="shared" si="6"/>
        <v>424957.46512953006</v>
      </c>
      <c r="W45" s="675">
        <f t="shared" si="7"/>
        <v>0</v>
      </c>
      <c r="X45" s="675">
        <f t="shared" si="8"/>
        <v>248651.62052348049</v>
      </c>
      <c r="Y45" s="675">
        <f t="shared" si="8"/>
        <v>0</v>
      </c>
      <c r="Z45" s="125"/>
      <c r="AA45" s="126"/>
      <c r="AB45" s="126"/>
      <c r="AC45" s="126"/>
      <c r="AD45" s="126"/>
      <c r="AE45" s="126">
        <v>0</v>
      </c>
      <c r="AF45" s="126">
        <v>0</v>
      </c>
      <c r="AG45" s="126">
        <v>0.59366666666666612</v>
      </c>
      <c r="AH45" s="126">
        <v>0</v>
      </c>
      <c r="AI45" s="1097">
        <f>'2022-23 Input'!K45</f>
        <v>0.58999999599999997</v>
      </c>
      <c r="AJ45" s="668">
        <v>0</v>
      </c>
      <c r="AK45" s="127">
        <f t="shared" si="47"/>
        <v>0.23673333253333323</v>
      </c>
      <c r="AL45" s="128">
        <f t="shared" si="48"/>
        <v>0.39455555422222205</v>
      </c>
      <c r="AM45" s="129">
        <f t="shared" si="49"/>
        <v>0.58999999599999997</v>
      </c>
      <c r="AN45" s="91" t="str">
        <f t="shared" si="50"/>
        <v/>
      </c>
      <c r="AO45" s="92" t="str">
        <f t="shared" si="51"/>
        <v/>
      </c>
      <c r="AP45" s="92" t="str">
        <f t="shared" si="52"/>
        <v/>
      </c>
      <c r="AQ45" s="92" t="str">
        <f t="shared" si="53"/>
        <v/>
      </c>
      <c r="AR45" s="92" t="str">
        <f t="shared" si="54"/>
        <v/>
      </c>
      <c r="AS45" s="92" t="str">
        <f t="shared" si="55"/>
        <v/>
      </c>
      <c r="AT45" s="92" t="str">
        <f t="shared" si="56"/>
        <v/>
      </c>
      <c r="AU45" s="92">
        <f t="shared" si="57"/>
        <v>596834.16500866471</v>
      </c>
      <c r="AV45" s="92" t="str">
        <f t="shared" si="58"/>
        <v/>
      </c>
      <c r="AW45" s="92">
        <f t="shared" si="58"/>
        <v>396294.22871415917</v>
      </c>
      <c r="AX45" s="92" t="str">
        <f t="shared" si="58"/>
        <v/>
      </c>
      <c r="AY45" s="93">
        <f t="shared" si="59"/>
        <v>496874.80538199394</v>
      </c>
      <c r="AZ45" s="94">
        <f t="shared" si="60"/>
        <v>496874.80538199394</v>
      </c>
      <c r="BA45" s="95">
        <f t="shared" si="61"/>
        <v>396294.22871415917</v>
      </c>
      <c r="BB45" s="248" t="s">
        <v>422</v>
      </c>
      <c r="BC45" s="229" t="s">
        <v>433</v>
      </c>
      <c r="BD45" s="249">
        <v>0</v>
      </c>
      <c r="BE45" s="267">
        <f t="shared" si="28"/>
        <v>0</v>
      </c>
      <c r="BF45" s="268">
        <f t="shared" si="62"/>
        <v>0</v>
      </c>
      <c r="BG45" s="268">
        <f t="shared" si="62"/>
        <v>0</v>
      </c>
      <c r="BH45" s="268">
        <f t="shared" si="62"/>
        <v>1</v>
      </c>
      <c r="BI45" s="268">
        <f t="shared" si="62"/>
        <v>2</v>
      </c>
      <c r="BJ45" s="268">
        <f t="shared" si="62"/>
        <v>3</v>
      </c>
      <c r="BK45" s="268">
        <f t="shared" si="62"/>
        <v>4</v>
      </c>
      <c r="BL45" s="269">
        <f t="shared" si="62"/>
        <v>5</v>
      </c>
      <c r="BM45" s="256">
        <f>IF($BC45=Lookup!$A$2,$BD45*ROUNDUP(BE45/10,0)+1,
IF($BC45=Lookup!$A$3,($BD45+1)^BD45,
IF($BC45=Lookup!$A$4,BE45*$BD45+1,"Error")))</f>
        <v>1</v>
      </c>
      <c r="BN45" s="229">
        <f>IF($BC45=Lookup!$A$2,$BD45*ROUNDUP(BF45/10,0)+1,
IF($BC45=Lookup!$A$3,($BD45+1)^BE45,
IF($BC45=Lookup!$A$4,BF45*$BD45+1,"Error")))</f>
        <v>1</v>
      </c>
      <c r="BO45" s="229">
        <f>IF($BC45=Lookup!$A$2,$BD45*ROUNDUP(BG45/10,0)+1,
IF($BC45=Lookup!$A$3,($BD45+1)^BF45,
IF($BC45=Lookup!$A$4,BG45*$BD45+1,"Error")))</f>
        <v>1</v>
      </c>
      <c r="BP45" s="229">
        <f>IF($BC45=Lookup!$A$2,$BD45*ROUNDUP(BH45/10,0)+1,
IF($BC45=Lookup!$A$3,($BD45+1)^BG45,
IF($BC45=Lookup!$A$4,BH45*$BD45+1,"Error")))</f>
        <v>1</v>
      </c>
      <c r="BQ45" s="229">
        <f>IF($BC45=Lookup!$A$2,$BD45*ROUNDUP(BI45/10,0)+1,
IF($BC45=Lookup!$A$3,($BD45+1)^BH45,
IF($BC45=Lookup!$A$4,BI45*$BD45+1,"Error")))</f>
        <v>1</v>
      </c>
      <c r="BR45" s="229">
        <f>IF($BC45=Lookup!$A$2,$BD45*ROUNDUP(BJ45/10,0)+1,
IF($BC45=Lookup!$A$3,($BD45+1)^BI45,
IF($BC45=Lookup!$A$4,BJ45*$BD45+1,"Error")))</f>
        <v>1</v>
      </c>
      <c r="BS45" s="229">
        <f>IF($BC45=Lookup!$A$2,$BD45*ROUNDUP(BK45/10,0)+1,
IF($BC45=Lookup!$A$3,($BD45+1)^BJ45,
IF($BC45=Lookup!$A$4,BK45*$BD45+1,"Error")))</f>
        <v>1</v>
      </c>
      <c r="BT45" s="249">
        <f>IF($BC45=Lookup!$A$2,$BD45*ROUNDUP(BL45/10,0)+1,
IF($BC45=Lookup!$A$3,($BD45+1)^BK45,
IF($BC45=Lookup!$A$4,BL45*$BD45+1,"Error")))</f>
        <v>1</v>
      </c>
      <c r="BU45" s="398">
        <v>0</v>
      </c>
      <c r="BV45" s="356">
        <v>0</v>
      </c>
      <c r="BW45" s="356">
        <v>0</v>
      </c>
      <c r="BX45" s="356">
        <v>0</v>
      </c>
      <c r="BY45" s="356">
        <v>0</v>
      </c>
      <c r="BZ45" s="356">
        <v>0</v>
      </c>
      <c r="CA45" s="356">
        <v>0</v>
      </c>
      <c r="CB45" s="399">
        <v>0</v>
      </c>
      <c r="CC45" s="382" t="s">
        <v>293</v>
      </c>
      <c r="CD45" s="383">
        <f>HLOOKUP($CC45,$AK$6:$AM$132,ROWS(CD$6:CD45),0)</f>
        <v>0.39455555422222205</v>
      </c>
      <c r="CE45" s="236">
        <f t="shared" si="33"/>
        <v>0</v>
      </c>
      <c r="CF45" s="130">
        <f t="shared" si="33"/>
        <v>0</v>
      </c>
      <c r="CG45" s="130">
        <f t="shared" si="33"/>
        <v>0</v>
      </c>
      <c r="CH45" s="130">
        <f t="shared" si="33"/>
        <v>0</v>
      </c>
      <c r="CI45" s="130">
        <f t="shared" si="64"/>
        <v>0</v>
      </c>
      <c r="CJ45" s="130">
        <f t="shared" si="64"/>
        <v>0</v>
      </c>
      <c r="CK45" s="130">
        <f t="shared" si="64"/>
        <v>0</v>
      </c>
      <c r="CL45" s="288">
        <f t="shared" si="64"/>
        <v>0</v>
      </c>
      <c r="CM45" s="305" t="s">
        <v>293</v>
      </c>
      <c r="CN45" s="315">
        <v>0.05</v>
      </c>
      <c r="CO45" s="306"/>
      <c r="CP45" s="307">
        <f>IF($CO45&lt;&gt;"",$CO45,HLOOKUP($CM45,$AY$6:$BA$132,ROWS(CP$6:CP45),0))</f>
        <v>496874.80538199394</v>
      </c>
      <c r="CQ45" s="784">
        <f t="shared" si="63"/>
        <v>0</v>
      </c>
      <c r="CR45" s="784">
        <f t="shared" si="63"/>
        <v>0</v>
      </c>
      <c r="CS45" s="97">
        <f t="shared" si="63"/>
        <v>0</v>
      </c>
      <c r="CT45" s="97">
        <f t="shared" si="63"/>
        <v>0</v>
      </c>
      <c r="CU45" s="97">
        <f t="shared" si="63"/>
        <v>0</v>
      </c>
      <c r="CV45" s="97">
        <f t="shared" si="63"/>
        <v>0</v>
      </c>
      <c r="CW45" s="97">
        <f t="shared" si="63"/>
        <v>0</v>
      </c>
      <c r="CX45" s="98">
        <f t="shared" si="46"/>
        <v>0</v>
      </c>
      <c r="CY45" s="392"/>
    </row>
    <row r="46" spans="1:104" x14ac:dyDescent="0.25">
      <c r="A46" s="81" t="s">
        <v>94</v>
      </c>
      <c r="B46" s="82" t="s">
        <v>97</v>
      </c>
      <c r="C46" s="83" t="s">
        <v>98</v>
      </c>
      <c r="D46" s="84"/>
      <c r="E46" s="85"/>
      <c r="F46" s="85"/>
      <c r="G46" s="85"/>
      <c r="H46" s="85"/>
      <c r="I46" s="85">
        <v>0</v>
      </c>
      <c r="J46" s="85">
        <v>0</v>
      </c>
      <c r="K46" s="85">
        <v>0</v>
      </c>
      <c r="L46" s="85">
        <v>0</v>
      </c>
      <c r="M46" s="654">
        <f>'2022-23 Input'!D46</f>
        <v>0</v>
      </c>
      <c r="N46" s="1065">
        <v>0</v>
      </c>
      <c r="O46" s="560">
        <f t="shared" si="27"/>
        <v>0</v>
      </c>
      <c r="P46" s="561">
        <f t="shared" si="0"/>
        <v>0</v>
      </c>
      <c r="Q46" s="561">
        <f t="shared" si="1"/>
        <v>0</v>
      </c>
      <c r="R46" s="561">
        <f t="shared" si="2"/>
        <v>0</v>
      </c>
      <c r="S46" s="561">
        <f t="shared" si="3"/>
        <v>0</v>
      </c>
      <c r="T46" s="561">
        <f t="shared" si="4"/>
        <v>0</v>
      </c>
      <c r="U46" s="561">
        <f t="shared" si="5"/>
        <v>0</v>
      </c>
      <c r="V46" s="561">
        <f t="shared" si="6"/>
        <v>0</v>
      </c>
      <c r="W46" s="675">
        <f t="shared" si="7"/>
        <v>0</v>
      </c>
      <c r="X46" s="675">
        <f t="shared" si="8"/>
        <v>0</v>
      </c>
      <c r="Y46" s="675">
        <f t="shared" si="8"/>
        <v>0</v>
      </c>
      <c r="Z46" s="125"/>
      <c r="AA46" s="126"/>
      <c r="AB46" s="126"/>
      <c r="AC46" s="126"/>
      <c r="AD46" s="126"/>
      <c r="AE46" s="126">
        <v>0</v>
      </c>
      <c r="AF46" s="126">
        <v>0</v>
      </c>
      <c r="AG46" s="126">
        <v>0</v>
      </c>
      <c r="AH46" s="126">
        <v>0</v>
      </c>
      <c r="AI46" s="1097">
        <f>'2022-23 Input'!K46</f>
        <v>0</v>
      </c>
      <c r="AJ46" s="668">
        <v>0</v>
      </c>
      <c r="AK46" s="127">
        <f t="shared" si="47"/>
        <v>0</v>
      </c>
      <c r="AL46" s="128">
        <f t="shared" si="48"/>
        <v>0</v>
      </c>
      <c r="AM46" s="129">
        <f t="shared" si="49"/>
        <v>0</v>
      </c>
      <c r="AN46" s="91" t="str">
        <f t="shared" si="50"/>
        <v/>
      </c>
      <c r="AO46" s="92" t="str">
        <f t="shared" si="51"/>
        <v/>
      </c>
      <c r="AP46" s="92" t="str">
        <f t="shared" si="52"/>
        <v/>
      </c>
      <c r="AQ46" s="92" t="str">
        <f t="shared" si="53"/>
        <v/>
      </c>
      <c r="AR46" s="92" t="str">
        <f t="shared" si="54"/>
        <v/>
      </c>
      <c r="AS46" s="92" t="str">
        <f t="shared" si="55"/>
        <v/>
      </c>
      <c r="AT46" s="92" t="str">
        <f t="shared" si="56"/>
        <v/>
      </c>
      <c r="AU46" s="92" t="str">
        <f t="shared" si="57"/>
        <v/>
      </c>
      <c r="AV46" s="92" t="str">
        <f t="shared" si="58"/>
        <v/>
      </c>
      <c r="AW46" s="92" t="str">
        <f t="shared" si="58"/>
        <v/>
      </c>
      <c r="AX46" s="92" t="str">
        <f t="shared" si="58"/>
        <v/>
      </c>
      <c r="AY46" s="93" t="str">
        <f t="shared" si="59"/>
        <v/>
      </c>
      <c r="AZ46" s="94" t="str">
        <f t="shared" si="60"/>
        <v/>
      </c>
      <c r="BA46" s="95" t="str">
        <f t="shared" si="61"/>
        <v/>
      </c>
      <c r="BB46" s="248" t="s">
        <v>422</v>
      </c>
      <c r="BC46" s="229" t="s">
        <v>433</v>
      </c>
      <c r="BD46" s="249">
        <v>0</v>
      </c>
      <c r="BE46" s="267">
        <f t="shared" si="28"/>
        <v>0</v>
      </c>
      <c r="BF46" s="268">
        <f t="shared" si="62"/>
        <v>0</v>
      </c>
      <c r="BG46" s="268">
        <f t="shared" si="62"/>
        <v>0</v>
      </c>
      <c r="BH46" s="268">
        <f t="shared" si="62"/>
        <v>1</v>
      </c>
      <c r="BI46" s="268">
        <f t="shared" si="62"/>
        <v>2</v>
      </c>
      <c r="BJ46" s="268">
        <f t="shared" si="62"/>
        <v>3</v>
      </c>
      <c r="BK46" s="268">
        <f t="shared" si="62"/>
        <v>4</v>
      </c>
      <c r="BL46" s="269">
        <f t="shared" si="62"/>
        <v>5</v>
      </c>
      <c r="BM46" s="256">
        <f>IF($BC46=Lookup!$A$2,$BD46*ROUNDUP(BE46/10,0)+1,
IF($BC46=Lookup!$A$3,($BD46+1)^BD46,
IF($BC46=Lookup!$A$4,BE46*$BD46+1,"Error")))</f>
        <v>1</v>
      </c>
      <c r="BN46" s="229">
        <f>IF($BC46=Lookup!$A$2,$BD46*ROUNDUP(BF46/10,0)+1,
IF($BC46=Lookup!$A$3,($BD46+1)^BE46,
IF($BC46=Lookup!$A$4,BF46*$BD46+1,"Error")))</f>
        <v>1</v>
      </c>
      <c r="BO46" s="229">
        <f>IF($BC46=Lookup!$A$2,$BD46*ROUNDUP(BG46/10,0)+1,
IF($BC46=Lookup!$A$3,($BD46+1)^BF46,
IF($BC46=Lookup!$A$4,BG46*$BD46+1,"Error")))</f>
        <v>1</v>
      </c>
      <c r="BP46" s="229">
        <f>IF($BC46=Lookup!$A$2,$BD46*ROUNDUP(BH46/10,0)+1,
IF($BC46=Lookup!$A$3,($BD46+1)^BG46,
IF($BC46=Lookup!$A$4,BH46*$BD46+1,"Error")))</f>
        <v>1</v>
      </c>
      <c r="BQ46" s="229">
        <f>IF($BC46=Lookup!$A$2,$BD46*ROUNDUP(BI46/10,0)+1,
IF($BC46=Lookup!$A$3,($BD46+1)^BH46,
IF($BC46=Lookup!$A$4,BI46*$BD46+1,"Error")))</f>
        <v>1</v>
      </c>
      <c r="BR46" s="229">
        <f>IF($BC46=Lookup!$A$2,$BD46*ROUNDUP(BJ46/10,0)+1,
IF($BC46=Lookup!$A$3,($BD46+1)^BI46,
IF($BC46=Lookup!$A$4,BJ46*$BD46+1,"Error")))</f>
        <v>1</v>
      </c>
      <c r="BS46" s="229">
        <f>IF($BC46=Lookup!$A$2,$BD46*ROUNDUP(BK46/10,0)+1,
IF($BC46=Lookup!$A$3,($BD46+1)^BJ46,
IF($BC46=Lookup!$A$4,BK46*$BD46+1,"Error")))</f>
        <v>1</v>
      </c>
      <c r="BT46" s="249">
        <f>IF($BC46=Lookup!$A$2,$BD46*ROUNDUP(BL46/10,0)+1,
IF($BC46=Lookup!$A$3,($BD46+1)^BK46,
IF($BC46=Lookup!$A$4,BL46*$BD46+1,"Error")))</f>
        <v>1</v>
      </c>
      <c r="BU46" s="398">
        <v>0</v>
      </c>
      <c r="BV46" s="356">
        <v>0</v>
      </c>
      <c r="BW46" s="356">
        <v>0</v>
      </c>
      <c r="BX46" s="356">
        <v>0</v>
      </c>
      <c r="BY46" s="356">
        <v>0</v>
      </c>
      <c r="BZ46" s="356">
        <v>0</v>
      </c>
      <c r="CA46" s="356">
        <v>0</v>
      </c>
      <c r="CB46" s="399">
        <v>0</v>
      </c>
      <c r="CC46" s="382" t="s">
        <v>293</v>
      </c>
      <c r="CD46" s="383">
        <f>HLOOKUP($CC46,$AK$6:$AM$132,ROWS(CD$6:CD46),0)</f>
        <v>0</v>
      </c>
      <c r="CE46" s="236">
        <f t="shared" si="33"/>
        <v>0</v>
      </c>
      <c r="CF46" s="130">
        <f t="shared" si="33"/>
        <v>0</v>
      </c>
      <c r="CG46" s="130">
        <f t="shared" si="33"/>
        <v>0</v>
      </c>
      <c r="CH46" s="130">
        <f t="shared" si="33"/>
        <v>0</v>
      </c>
      <c r="CI46" s="130">
        <f t="shared" si="64"/>
        <v>0</v>
      </c>
      <c r="CJ46" s="130">
        <f t="shared" si="64"/>
        <v>0</v>
      </c>
      <c r="CK46" s="130">
        <f t="shared" si="64"/>
        <v>0</v>
      </c>
      <c r="CL46" s="288">
        <f t="shared" si="64"/>
        <v>0</v>
      </c>
      <c r="CM46" s="305" t="s">
        <v>293</v>
      </c>
      <c r="CN46" s="315">
        <v>0.05</v>
      </c>
      <c r="CO46" s="306"/>
      <c r="CP46" s="307" t="str">
        <f>IF($CO46&lt;&gt;"",$CO46,HLOOKUP($CM46,$AY$6:$BA$132,ROWS(CP$6:CP46),0))</f>
        <v/>
      </c>
      <c r="CQ46" s="784" t="str">
        <f t="shared" si="63"/>
        <v/>
      </c>
      <c r="CR46" s="784" t="str">
        <f t="shared" si="63"/>
        <v/>
      </c>
      <c r="CS46" s="97" t="str">
        <f t="shared" si="63"/>
        <v/>
      </c>
      <c r="CT46" s="97" t="str">
        <f t="shared" si="63"/>
        <v/>
      </c>
      <c r="CU46" s="97" t="str">
        <f t="shared" si="63"/>
        <v/>
      </c>
      <c r="CV46" s="97" t="str">
        <f t="shared" si="63"/>
        <v/>
      </c>
      <c r="CW46" s="97" t="str">
        <f t="shared" si="63"/>
        <v/>
      </c>
      <c r="CX46" s="98" t="str">
        <f t="shared" si="46"/>
        <v/>
      </c>
      <c r="CY46" s="392"/>
    </row>
    <row r="47" spans="1:104" x14ac:dyDescent="0.25">
      <c r="A47" s="81" t="s">
        <v>94</v>
      </c>
      <c r="B47" s="82" t="s">
        <v>99</v>
      </c>
      <c r="C47" s="83" t="s">
        <v>100</v>
      </c>
      <c r="D47" s="84"/>
      <c r="E47" s="85"/>
      <c r="F47" s="85"/>
      <c r="G47" s="85"/>
      <c r="H47" s="85"/>
      <c r="I47" s="85">
        <v>0</v>
      </c>
      <c r="J47" s="85">
        <v>0</v>
      </c>
      <c r="K47" s="85">
        <v>0</v>
      </c>
      <c r="L47" s="85">
        <v>0</v>
      </c>
      <c r="M47" s="654">
        <f>'2022-23 Input'!D47</f>
        <v>0</v>
      </c>
      <c r="N47" s="1065">
        <v>0</v>
      </c>
      <c r="O47" s="560">
        <f t="shared" si="27"/>
        <v>0</v>
      </c>
      <c r="P47" s="561">
        <f t="shared" si="0"/>
        <v>0</v>
      </c>
      <c r="Q47" s="561">
        <f t="shared" si="1"/>
        <v>0</v>
      </c>
      <c r="R47" s="561">
        <f t="shared" si="2"/>
        <v>0</v>
      </c>
      <c r="S47" s="561">
        <f t="shared" si="3"/>
        <v>0</v>
      </c>
      <c r="T47" s="561">
        <f t="shared" si="4"/>
        <v>0</v>
      </c>
      <c r="U47" s="561">
        <f t="shared" si="5"/>
        <v>0</v>
      </c>
      <c r="V47" s="561">
        <f t="shared" si="6"/>
        <v>0</v>
      </c>
      <c r="W47" s="675">
        <f t="shared" si="7"/>
        <v>0</v>
      </c>
      <c r="X47" s="675">
        <f t="shared" si="8"/>
        <v>0</v>
      </c>
      <c r="Y47" s="675">
        <f t="shared" si="8"/>
        <v>0</v>
      </c>
      <c r="Z47" s="125"/>
      <c r="AA47" s="126"/>
      <c r="AB47" s="126"/>
      <c r="AC47" s="126"/>
      <c r="AD47" s="126"/>
      <c r="AE47" s="126">
        <v>0</v>
      </c>
      <c r="AF47" s="126">
        <v>0</v>
      </c>
      <c r="AG47" s="126">
        <v>0</v>
      </c>
      <c r="AH47" s="126">
        <v>0</v>
      </c>
      <c r="AI47" s="1097">
        <f>'2022-23 Input'!K47</f>
        <v>0</v>
      </c>
      <c r="AJ47" s="668">
        <v>0</v>
      </c>
      <c r="AK47" s="127">
        <f t="shared" si="47"/>
        <v>0</v>
      </c>
      <c r="AL47" s="128">
        <f t="shared" si="48"/>
        <v>0</v>
      </c>
      <c r="AM47" s="129">
        <f t="shared" si="49"/>
        <v>0</v>
      </c>
      <c r="AN47" s="91" t="str">
        <f t="shared" si="50"/>
        <v/>
      </c>
      <c r="AO47" s="92" t="str">
        <f t="shared" si="51"/>
        <v/>
      </c>
      <c r="AP47" s="92" t="str">
        <f t="shared" si="52"/>
        <v/>
      </c>
      <c r="AQ47" s="92" t="str">
        <f t="shared" si="53"/>
        <v/>
      </c>
      <c r="AR47" s="92" t="str">
        <f t="shared" si="54"/>
        <v/>
      </c>
      <c r="AS47" s="92" t="str">
        <f t="shared" si="55"/>
        <v/>
      </c>
      <c r="AT47" s="92" t="str">
        <f t="shared" si="56"/>
        <v/>
      </c>
      <c r="AU47" s="92" t="str">
        <f t="shared" si="57"/>
        <v/>
      </c>
      <c r="AV47" s="92" t="str">
        <f t="shared" si="58"/>
        <v/>
      </c>
      <c r="AW47" s="92" t="str">
        <f t="shared" si="58"/>
        <v/>
      </c>
      <c r="AX47" s="92" t="str">
        <f t="shared" si="58"/>
        <v/>
      </c>
      <c r="AY47" s="93" t="str">
        <f t="shared" si="59"/>
        <v/>
      </c>
      <c r="AZ47" s="94" t="str">
        <f t="shared" si="60"/>
        <v/>
      </c>
      <c r="BA47" s="95" t="str">
        <f t="shared" si="61"/>
        <v/>
      </c>
      <c r="BB47" s="248" t="s">
        <v>422</v>
      </c>
      <c r="BC47" s="229" t="s">
        <v>433</v>
      </c>
      <c r="BD47" s="249">
        <v>0</v>
      </c>
      <c r="BE47" s="267">
        <f t="shared" si="28"/>
        <v>0</v>
      </c>
      <c r="BF47" s="268">
        <f t="shared" si="62"/>
        <v>0</v>
      </c>
      <c r="BG47" s="268">
        <f t="shared" si="62"/>
        <v>0</v>
      </c>
      <c r="BH47" s="268">
        <f t="shared" si="62"/>
        <v>1</v>
      </c>
      <c r="BI47" s="268">
        <f t="shared" si="62"/>
        <v>2</v>
      </c>
      <c r="BJ47" s="268">
        <f t="shared" si="62"/>
        <v>3</v>
      </c>
      <c r="BK47" s="268">
        <f t="shared" si="62"/>
        <v>4</v>
      </c>
      <c r="BL47" s="269">
        <f t="shared" si="62"/>
        <v>5</v>
      </c>
      <c r="BM47" s="256">
        <f>IF($BC47=Lookup!$A$2,$BD47*ROUNDUP(BE47/10,0)+1,
IF($BC47=Lookup!$A$3,($BD47+1)^BD47,
IF($BC47=Lookup!$A$4,BE47*$BD47+1,"Error")))</f>
        <v>1</v>
      </c>
      <c r="BN47" s="229">
        <f>IF($BC47=Lookup!$A$2,$BD47*ROUNDUP(BF47/10,0)+1,
IF($BC47=Lookup!$A$3,($BD47+1)^BE47,
IF($BC47=Lookup!$A$4,BF47*$BD47+1,"Error")))</f>
        <v>1</v>
      </c>
      <c r="BO47" s="229">
        <f>IF($BC47=Lookup!$A$2,$BD47*ROUNDUP(BG47/10,0)+1,
IF($BC47=Lookup!$A$3,($BD47+1)^BF47,
IF($BC47=Lookup!$A$4,BG47*$BD47+1,"Error")))</f>
        <v>1</v>
      </c>
      <c r="BP47" s="229">
        <f>IF($BC47=Lookup!$A$2,$BD47*ROUNDUP(BH47/10,0)+1,
IF($BC47=Lookup!$A$3,($BD47+1)^BG47,
IF($BC47=Lookup!$A$4,BH47*$BD47+1,"Error")))</f>
        <v>1</v>
      </c>
      <c r="BQ47" s="229">
        <f>IF($BC47=Lookup!$A$2,$BD47*ROUNDUP(BI47/10,0)+1,
IF($BC47=Lookup!$A$3,($BD47+1)^BH47,
IF($BC47=Lookup!$A$4,BI47*$BD47+1,"Error")))</f>
        <v>1</v>
      </c>
      <c r="BR47" s="229">
        <f>IF($BC47=Lookup!$A$2,$BD47*ROUNDUP(BJ47/10,0)+1,
IF($BC47=Lookup!$A$3,($BD47+1)^BI47,
IF($BC47=Lookup!$A$4,BJ47*$BD47+1,"Error")))</f>
        <v>1</v>
      </c>
      <c r="BS47" s="229">
        <f>IF($BC47=Lookup!$A$2,$BD47*ROUNDUP(BK47/10,0)+1,
IF($BC47=Lookup!$A$3,($BD47+1)^BJ47,
IF($BC47=Lookup!$A$4,BK47*$BD47+1,"Error")))</f>
        <v>1</v>
      </c>
      <c r="BT47" s="249">
        <f>IF($BC47=Lookup!$A$2,$BD47*ROUNDUP(BL47/10,0)+1,
IF($BC47=Lookup!$A$3,($BD47+1)^BK47,
IF($BC47=Lookup!$A$4,BL47*$BD47+1,"Error")))</f>
        <v>1</v>
      </c>
      <c r="BU47" s="398">
        <v>0</v>
      </c>
      <c r="BV47" s="356">
        <v>0</v>
      </c>
      <c r="BW47" s="356">
        <v>0</v>
      </c>
      <c r="BX47" s="356">
        <v>0</v>
      </c>
      <c r="BY47" s="356">
        <v>0</v>
      </c>
      <c r="BZ47" s="356">
        <v>0</v>
      </c>
      <c r="CA47" s="356">
        <v>0</v>
      </c>
      <c r="CB47" s="399">
        <v>0</v>
      </c>
      <c r="CC47" s="382" t="s">
        <v>293</v>
      </c>
      <c r="CD47" s="383">
        <f>HLOOKUP($CC47,$AK$6:$AM$132,ROWS(CD$6:CD47),0)</f>
        <v>0</v>
      </c>
      <c r="CE47" s="236">
        <f t="shared" si="33"/>
        <v>0</v>
      </c>
      <c r="CF47" s="130">
        <f t="shared" si="33"/>
        <v>0</v>
      </c>
      <c r="CG47" s="130">
        <f t="shared" si="33"/>
        <v>0</v>
      </c>
      <c r="CH47" s="130">
        <f t="shared" si="33"/>
        <v>0</v>
      </c>
      <c r="CI47" s="130">
        <f t="shared" si="64"/>
        <v>0</v>
      </c>
      <c r="CJ47" s="130">
        <f t="shared" si="64"/>
        <v>0</v>
      </c>
      <c r="CK47" s="130">
        <f t="shared" si="64"/>
        <v>0</v>
      </c>
      <c r="CL47" s="288">
        <f t="shared" si="64"/>
        <v>0</v>
      </c>
      <c r="CM47" s="305" t="s">
        <v>293</v>
      </c>
      <c r="CN47" s="315">
        <v>0.05</v>
      </c>
      <c r="CO47" s="306"/>
      <c r="CP47" s="307" t="str">
        <f>IF($CO47&lt;&gt;"",$CO47,HLOOKUP($CM47,$AY$6:$BA$132,ROWS(CP$6:CP47),0))</f>
        <v/>
      </c>
      <c r="CQ47" s="784" t="str">
        <f t="shared" si="63"/>
        <v/>
      </c>
      <c r="CR47" s="784" t="str">
        <f t="shared" si="63"/>
        <v/>
      </c>
      <c r="CS47" s="97" t="str">
        <f t="shared" si="63"/>
        <v/>
      </c>
      <c r="CT47" s="97" t="str">
        <f t="shared" si="63"/>
        <v/>
      </c>
      <c r="CU47" s="97" t="str">
        <f t="shared" si="63"/>
        <v/>
      </c>
      <c r="CV47" s="97" t="str">
        <f t="shared" si="63"/>
        <v/>
      </c>
      <c r="CW47" s="97" t="str">
        <f t="shared" si="63"/>
        <v/>
      </c>
      <c r="CX47" s="98" t="str">
        <f t="shared" si="46"/>
        <v/>
      </c>
      <c r="CY47" s="392"/>
    </row>
    <row r="48" spans="1:104" x14ac:dyDescent="0.25">
      <c r="A48" s="81" t="s">
        <v>94</v>
      </c>
      <c r="B48" s="82" t="s">
        <v>101</v>
      </c>
      <c r="C48" s="83" t="s">
        <v>76</v>
      </c>
      <c r="D48" s="84"/>
      <c r="E48" s="85"/>
      <c r="F48" s="85"/>
      <c r="G48" s="85"/>
      <c r="H48" s="85"/>
      <c r="I48" s="85">
        <v>0</v>
      </c>
      <c r="J48" s="85">
        <v>0</v>
      </c>
      <c r="K48" s="85">
        <v>0</v>
      </c>
      <c r="L48" s="85">
        <v>0</v>
      </c>
      <c r="M48" s="654">
        <f>'2022-23 Input'!D48</f>
        <v>0</v>
      </c>
      <c r="N48" s="1065">
        <v>0</v>
      </c>
      <c r="O48" s="560">
        <f t="shared" si="27"/>
        <v>0</v>
      </c>
      <c r="P48" s="561">
        <f t="shared" si="0"/>
        <v>0</v>
      </c>
      <c r="Q48" s="561">
        <f t="shared" si="1"/>
        <v>0</v>
      </c>
      <c r="R48" s="561">
        <f t="shared" si="2"/>
        <v>0</v>
      </c>
      <c r="S48" s="561">
        <f t="shared" si="3"/>
        <v>0</v>
      </c>
      <c r="T48" s="561">
        <f t="shared" si="4"/>
        <v>0</v>
      </c>
      <c r="U48" s="561">
        <f t="shared" si="5"/>
        <v>0</v>
      </c>
      <c r="V48" s="561">
        <f t="shared" si="6"/>
        <v>0</v>
      </c>
      <c r="W48" s="675">
        <f t="shared" si="7"/>
        <v>0</v>
      </c>
      <c r="X48" s="675">
        <f t="shared" si="8"/>
        <v>0</v>
      </c>
      <c r="Y48" s="675">
        <f t="shared" si="8"/>
        <v>0</v>
      </c>
      <c r="Z48" s="125"/>
      <c r="AA48" s="126"/>
      <c r="AB48" s="126"/>
      <c r="AC48" s="126"/>
      <c r="AD48" s="126"/>
      <c r="AE48" s="126">
        <v>0</v>
      </c>
      <c r="AF48" s="126">
        <v>0</v>
      </c>
      <c r="AG48" s="126">
        <v>0</v>
      </c>
      <c r="AH48" s="126">
        <v>0</v>
      </c>
      <c r="AI48" s="1097">
        <f>'2022-23 Input'!K48</f>
        <v>0</v>
      </c>
      <c r="AJ48" s="668">
        <v>0</v>
      </c>
      <c r="AK48" s="127">
        <f t="shared" si="47"/>
        <v>0</v>
      </c>
      <c r="AL48" s="128">
        <f t="shared" si="48"/>
        <v>0</v>
      </c>
      <c r="AM48" s="129">
        <f t="shared" si="49"/>
        <v>0</v>
      </c>
      <c r="AN48" s="91" t="str">
        <f t="shared" si="50"/>
        <v/>
      </c>
      <c r="AO48" s="92" t="str">
        <f t="shared" si="51"/>
        <v/>
      </c>
      <c r="AP48" s="92" t="str">
        <f t="shared" si="52"/>
        <v/>
      </c>
      <c r="AQ48" s="92" t="str">
        <f t="shared" si="53"/>
        <v/>
      </c>
      <c r="AR48" s="92" t="str">
        <f t="shared" si="54"/>
        <v/>
      </c>
      <c r="AS48" s="92" t="str">
        <f t="shared" si="55"/>
        <v/>
      </c>
      <c r="AT48" s="92" t="str">
        <f t="shared" si="56"/>
        <v/>
      </c>
      <c r="AU48" s="92" t="str">
        <f t="shared" si="57"/>
        <v/>
      </c>
      <c r="AV48" s="92" t="str">
        <f t="shared" si="58"/>
        <v/>
      </c>
      <c r="AW48" s="92" t="str">
        <f t="shared" si="58"/>
        <v/>
      </c>
      <c r="AX48" s="92" t="str">
        <f t="shared" si="58"/>
        <v/>
      </c>
      <c r="AY48" s="93" t="str">
        <f t="shared" si="59"/>
        <v/>
      </c>
      <c r="AZ48" s="94" t="str">
        <f t="shared" si="60"/>
        <v/>
      </c>
      <c r="BA48" s="95" t="str">
        <f t="shared" si="61"/>
        <v/>
      </c>
      <c r="BB48" s="248" t="s">
        <v>422</v>
      </c>
      <c r="BC48" s="229" t="s">
        <v>433</v>
      </c>
      <c r="BD48" s="249">
        <v>0</v>
      </c>
      <c r="BE48" s="267">
        <f t="shared" si="28"/>
        <v>0</v>
      </c>
      <c r="BF48" s="268">
        <f t="shared" si="62"/>
        <v>0</v>
      </c>
      <c r="BG48" s="268">
        <f t="shared" si="62"/>
        <v>0</v>
      </c>
      <c r="BH48" s="268">
        <f t="shared" si="62"/>
        <v>1</v>
      </c>
      <c r="BI48" s="268">
        <f t="shared" si="62"/>
        <v>2</v>
      </c>
      <c r="BJ48" s="268">
        <f t="shared" si="62"/>
        <v>3</v>
      </c>
      <c r="BK48" s="268">
        <f t="shared" si="62"/>
        <v>4</v>
      </c>
      <c r="BL48" s="269">
        <f t="shared" si="62"/>
        <v>5</v>
      </c>
      <c r="BM48" s="256">
        <f>IF($BC48=Lookup!$A$2,$BD48*ROUNDUP(BE48/10,0)+1,
IF($BC48=Lookup!$A$3,($BD48+1)^BD48,
IF($BC48=Lookup!$A$4,BE48*$BD48+1,"Error")))</f>
        <v>1</v>
      </c>
      <c r="BN48" s="229">
        <f>IF($BC48=Lookup!$A$2,$BD48*ROUNDUP(BF48/10,0)+1,
IF($BC48=Lookup!$A$3,($BD48+1)^BE48,
IF($BC48=Lookup!$A$4,BF48*$BD48+1,"Error")))</f>
        <v>1</v>
      </c>
      <c r="BO48" s="229">
        <f>IF($BC48=Lookup!$A$2,$BD48*ROUNDUP(BG48/10,0)+1,
IF($BC48=Lookup!$A$3,($BD48+1)^BF48,
IF($BC48=Lookup!$A$4,BG48*$BD48+1,"Error")))</f>
        <v>1</v>
      </c>
      <c r="BP48" s="229">
        <f>IF($BC48=Lookup!$A$2,$BD48*ROUNDUP(BH48/10,0)+1,
IF($BC48=Lookup!$A$3,($BD48+1)^BG48,
IF($BC48=Lookup!$A$4,BH48*$BD48+1,"Error")))</f>
        <v>1</v>
      </c>
      <c r="BQ48" s="229">
        <f>IF($BC48=Lookup!$A$2,$BD48*ROUNDUP(BI48/10,0)+1,
IF($BC48=Lookup!$A$3,($BD48+1)^BH48,
IF($BC48=Lookup!$A$4,BI48*$BD48+1,"Error")))</f>
        <v>1</v>
      </c>
      <c r="BR48" s="229">
        <f>IF($BC48=Lookup!$A$2,$BD48*ROUNDUP(BJ48/10,0)+1,
IF($BC48=Lookup!$A$3,($BD48+1)^BI48,
IF($BC48=Lookup!$A$4,BJ48*$BD48+1,"Error")))</f>
        <v>1</v>
      </c>
      <c r="BS48" s="229">
        <f>IF($BC48=Lookup!$A$2,$BD48*ROUNDUP(BK48/10,0)+1,
IF($BC48=Lookup!$A$3,($BD48+1)^BJ48,
IF($BC48=Lookup!$A$4,BK48*$BD48+1,"Error")))</f>
        <v>1</v>
      </c>
      <c r="BT48" s="249">
        <f>IF($BC48=Lookup!$A$2,$BD48*ROUNDUP(BL48/10,0)+1,
IF($BC48=Lookup!$A$3,($BD48+1)^BK48,
IF($BC48=Lookup!$A$4,BL48*$BD48+1,"Error")))</f>
        <v>1</v>
      </c>
      <c r="BU48" s="398">
        <v>0</v>
      </c>
      <c r="BV48" s="356">
        <v>0</v>
      </c>
      <c r="BW48" s="356">
        <v>0</v>
      </c>
      <c r="BX48" s="356">
        <v>0</v>
      </c>
      <c r="BY48" s="356">
        <v>0</v>
      </c>
      <c r="BZ48" s="356">
        <v>0</v>
      </c>
      <c r="CA48" s="356">
        <v>0</v>
      </c>
      <c r="CB48" s="399">
        <v>0</v>
      </c>
      <c r="CC48" s="382" t="s">
        <v>293</v>
      </c>
      <c r="CD48" s="383">
        <f>HLOOKUP($CC48,$AK$6:$AM$132,ROWS(CD$6:CD48),0)</f>
        <v>0</v>
      </c>
      <c r="CE48" s="236">
        <f t="shared" si="33"/>
        <v>0</v>
      </c>
      <c r="CF48" s="130">
        <f t="shared" si="33"/>
        <v>0</v>
      </c>
      <c r="CG48" s="130">
        <f t="shared" si="33"/>
        <v>0</v>
      </c>
      <c r="CH48" s="130">
        <f t="shared" si="33"/>
        <v>0</v>
      </c>
      <c r="CI48" s="130">
        <f t="shared" si="64"/>
        <v>0</v>
      </c>
      <c r="CJ48" s="130">
        <f t="shared" si="64"/>
        <v>0</v>
      </c>
      <c r="CK48" s="130">
        <f t="shared" si="64"/>
        <v>0</v>
      </c>
      <c r="CL48" s="288">
        <f t="shared" si="64"/>
        <v>0</v>
      </c>
      <c r="CM48" s="305" t="s">
        <v>293</v>
      </c>
      <c r="CN48" s="315">
        <v>0.05</v>
      </c>
      <c r="CO48" s="306"/>
      <c r="CP48" s="307" t="str">
        <f>IF($CO48&lt;&gt;"",$CO48,HLOOKUP($CM48,$AY$6:$BA$132,ROWS(CP$6:CP48),0))</f>
        <v/>
      </c>
      <c r="CQ48" s="784" t="str">
        <f t="shared" si="63"/>
        <v/>
      </c>
      <c r="CR48" s="784" t="str">
        <f t="shared" si="63"/>
        <v/>
      </c>
      <c r="CS48" s="97" t="str">
        <f t="shared" si="63"/>
        <v/>
      </c>
      <c r="CT48" s="97" t="str">
        <f t="shared" si="63"/>
        <v/>
      </c>
      <c r="CU48" s="97" t="str">
        <f t="shared" si="63"/>
        <v/>
      </c>
      <c r="CV48" s="97" t="str">
        <f t="shared" si="63"/>
        <v/>
      </c>
      <c r="CW48" s="97" t="str">
        <f t="shared" si="63"/>
        <v/>
      </c>
      <c r="CX48" s="98" t="str">
        <f t="shared" si="46"/>
        <v/>
      </c>
      <c r="CY48" s="392"/>
    </row>
    <row r="49" spans="1:103" x14ac:dyDescent="0.25">
      <c r="A49" s="81" t="s">
        <v>94</v>
      </c>
      <c r="B49" s="82" t="s">
        <v>102</v>
      </c>
      <c r="C49" s="83" t="s">
        <v>323</v>
      </c>
      <c r="D49" s="84"/>
      <c r="E49" s="85"/>
      <c r="F49" s="85"/>
      <c r="G49" s="85"/>
      <c r="H49" s="85"/>
      <c r="I49" s="85">
        <v>0</v>
      </c>
      <c r="J49" s="85">
        <v>0</v>
      </c>
      <c r="K49" s="85">
        <v>0</v>
      </c>
      <c r="L49" s="85">
        <v>0</v>
      </c>
      <c r="M49" s="654">
        <f>'2022-23 Input'!D49</f>
        <v>0</v>
      </c>
      <c r="N49" s="1065">
        <v>0</v>
      </c>
      <c r="O49" s="560">
        <f t="shared" si="27"/>
        <v>0</v>
      </c>
      <c r="P49" s="561">
        <f t="shared" si="0"/>
        <v>0</v>
      </c>
      <c r="Q49" s="561">
        <f t="shared" si="1"/>
        <v>0</v>
      </c>
      <c r="R49" s="561">
        <f t="shared" si="2"/>
        <v>0</v>
      </c>
      <c r="S49" s="561">
        <f t="shared" si="3"/>
        <v>0</v>
      </c>
      <c r="T49" s="561">
        <f t="shared" si="4"/>
        <v>0</v>
      </c>
      <c r="U49" s="561">
        <f t="shared" si="5"/>
        <v>0</v>
      </c>
      <c r="V49" s="561">
        <f t="shared" si="6"/>
        <v>0</v>
      </c>
      <c r="W49" s="675">
        <f t="shared" si="7"/>
        <v>0</v>
      </c>
      <c r="X49" s="675">
        <f t="shared" si="8"/>
        <v>0</v>
      </c>
      <c r="Y49" s="675">
        <f t="shared" si="8"/>
        <v>0</v>
      </c>
      <c r="Z49" s="125"/>
      <c r="AA49" s="126"/>
      <c r="AB49" s="126"/>
      <c r="AC49" s="126"/>
      <c r="AD49" s="126"/>
      <c r="AE49" s="126">
        <v>0</v>
      </c>
      <c r="AF49" s="126">
        <v>0</v>
      </c>
      <c r="AG49" s="126">
        <v>0</v>
      </c>
      <c r="AH49" s="126">
        <v>0</v>
      </c>
      <c r="AI49" s="1097">
        <f>'2022-23 Input'!K49</f>
        <v>0</v>
      </c>
      <c r="AJ49" s="668">
        <v>0</v>
      </c>
      <c r="AK49" s="127">
        <f t="shared" si="47"/>
        <v>0</v>
      </c>
      <c r="AL49" s="128">
        <f t="shared" si="48"/>
        <v>0</v>
      </c>
      <c r="AM49" s="129">
        <f t="shared" si="49"/>
        <v>0</v>
      </c>
      <c r="AN49" s="91" t="str">
        <f t="shared" si="50"/>
        <v/>
      </c>
      <c r="AO49" s="92" t="str">
        <f t="shared" si="51"/>
        <v/>
      </c>
      <c r="AP49" s="92" t="str">
        <f t="shared" si="52"/>
        <v/>
      </c>
      <c r="AQ49" s="92" t="str">
        <f t="shared" si="53"/>
        <v/>
      </c>
      <c r="AR49" s="92" t="str">
        <f t="shared" si="54"/>
        <v/>
      </c>
      <c r="AS49" s="92" t="str">
        <f t="shared" si="55"/>
        <v/>
      </c>
      <c r="AT49" s="92" t="str">
        <f t="shared" si="56"/>
        <v/>
      </c>
      <c r="AU49" s="92" t="str">
        <f t="shared" si="57"/>
        <v/>
      </c>
      <c r="AV49" s="92" t="str">
        <f t="shared" si="58"/>
        <v/>
      </c>
      <c r="AW49" s="92" t="str">
        <f t="shared" si="58"/>
        <v/>
      </c>
      <c r="AX49" s="92" t="str">
        <f t="shared" si="58"/>
        <v/>
      </c>
      <c r="AY49" s="93" t="str">
        <f t="shared" si="59"/>
        <v/>
      </c>
      <c r="AZ49" s="94" t="str">
        <f t="shared" si="60"/>
        <v/>
      </c>
      <c r="BA49" s="95" t="str">
        <f t="shared" si="61"/>
        <v/>
      </c>
      <c r="BB49" s="248" t="s">
        <v>422</v>
      </c>
      <c r="BC49" s="229" t="s">
        <v>433</v>
      </c>
      <c r="BD49" s="249">
        <v>0</v>
      </c>
      <c r="BE49" s="267">
        <f t="shared" si="28"/>
        <v>0</v>
      </c>
      <c r="BF49" s="268">
        <f t="shared" si="62"/>
        <v>0</v>
      </c>
      <c r="BG49" s="268">
        <f t="shared" si="62"/>
        <v>0</v>
      </c>
      <c r="BH49" s="268">
        <f t="shared" si="62"/>
        <v>1</v>
      </c>
      <c r="BI49" s="268">
        <f t="shared" si="62"/>
        <v>2</v>
      </c>
      <c r="BJ49" s="268">
        <f t="shared" si="62"/>
        <v>3</v>
      </c>
      <c r="BK49" s="268">
        <f t="shared" si="62"/>
        <v>4</v>
      </c>
      <c r="BL49" s="269">
        <f t="shared" si="62"/>
        <v>5</v>
      </c>
      <c r="BM49" s="256">
        <f>IF($BC49=Lookup!$A$2,$BD49*ROUNDUP(BE49/10,0)+1,
IF($BC49=Lookup!$A$3,($BD49+1)^BD49,
IF($BC49=Lookup!$A$4,BE49*$BD49+1,"Error")))</f>
        <v>1</v>
      </c>
      <c r="BN49" s="229">
        <f>IF($BC49=Lookup!$A$2,$BD49*ROUNDUP(BF49/10,0)+1,
IF($BC49=Lookup!$A$3,($BD49+1)^BE49,
IF($BC49=Lookup!$A$4,BF49*$BD49+1,"Error")))</f>
        <v>1</v>
      </c>
      <c r="BO49" s="229">
        <f>IF($BC49=Lookup!$A$2,$BD49*ROUNDUP(BG49/10,0)+1,
IF($BC49=Lookup!$A$3,($BD49+1)^BF49,
IF($BC49=Lookup!$A$4,BG49*$BD49+1,"Error")))</f>
        <v>1</v>
      </c>
      <c r="BP49" s="229">
        <f>IF($BC49=Lookup!$A$2,$BD49*ROUNDUP(BH49/10,0)+1,
IF($BC49=Lookup!$A$3,($BD49+1)^BG49,
IF($BC49=Lookup!$A$4,BH49*$BD49+1,"Error")))</f>
        <v>1</v>
      </c>
      <c r="BQ49" s="229">
        <f>IF($BC49=Lookup!$A$2,$BD49*ROUNDUP(BI49/10,0)+1,
IF($BC49=Lookup!$A$3,($BD49+1)^BH49,
IF($BC49=Lookup!$A$4,BI49*$BD49+1,"Error")))</f>
        <v>1</v>
      </c>
      <c r="BR49" s="229">
        <f>IF($BC49=Lookup!$A$2,$BD49*ROUNDUP(BJ49/10,0)+1,
IF($BC49=Lookup!$A$3,($BD49+1)^BI49,
IF($BC49=Lookup!$A$4,BJ49*$BD49+1,"Error")))</f>
        <v>1</v>
      </c>
      <c r="BS49" s="229">
        <f>IF($BC49=Lookup!$A$2,$BD49*ROUNDUP(BK49/10,0)+1,
IF($BC49=Lookup!$A$3,($BD49+1)^BJ49,
IF($BC49=Lookup!$A$4,BK49*$BD49+1,"Error")))</f>
        <v>1</v>
      </c>
      <c r="BT49" s="249">
        <f>IF($BC49=Lookup!$A$2,$BD49*ROUNDUP(BL49/10,0)+1,
IF($BC49=Lookup!$A$3,($BD49+1)^BK49,
IF($BC49=Lookup!$A$4,BL49*$BD49+1,"Error")))</f>
        <v>1</v>
      </c>
      <c r="BU49" s="398">
        <v>0</v>
      </c>
      <c r="BV49" s="356">
        <v>0</v>
      </c>
      <c r="BW49" s="356">
        <v>0</v>
      </c>
      <c r="BX49" s="356">
        <v>0</v>
      </c>
      <c r="BY49" s="356">
        <v>0</v>
      </c>
      <c r="BZ49" s="356">
        <v>0</v>
      </c>
      <c r="CA49" s="356">
        <v>0</v>
      </c>
      <c r="CB49" s="399">
        <v>0</v>
      </c>
      <c r="CC49" s="382" t="s">
        <v>293</v>
      </c>
      <c r="CD49" s="383">
        <f>HLOOKUP($CC49,$AK$6:$AM$132,ROWS(CD$6:CD49),0)</f>
        <v>0</v>
      </c>
      <c r="CE49" s="236">
        <f t="shared" si="33"/>
        <v>0</v>
      </c>
      <c r="CF49" s="130">
        <f t="shared" si="33"/>
        <v>0</v>
      </c>
      <c r="CG49" s="130">
        <f t="shared" si="33"/>
        <v>0</v>
      </c>
      <c r="CH49" s="130">
        <f t="shared" si="33"/>
        <v>0</v>
      </c>
      <c r="CI49" s="130">
        <f t="shared" si="64"/>
        <v>0</v>
      </c>
      <c r="CJ49" s="130">
        <f t="shared" si="64"/>
        <v>0</v>
      </c>
      <c r="CK49" s="130">
        <f t="shared" si="64"/>
        <v>0</v>
      </c>
      <c r="CL49" s="288">
        <f t="shared" si="64"/>
        <v>0</v>
      </c>
      <c r="CM49" s="305" t="s">
        <v>293</v>
      </c>
      <c r="CN49" s="315">
        <v>0.05</v>
      </c>
      <c r="CO49" s="306"/>
      <c r="CP49" s="307" t="str">
        <f>IF($CO49&lt;&gt;"",$CO49,HLOOKUP($CM49,$AY$6:$BA$132,ROWS(CP$6:CP49),0))</f>
        <v/>
      </c>
      <c r="CQ49" s="784" t="str">
        <f t="shared" si="63"/>
        <v/>
      </c>
      <c r="CR49" s="784" t="str">
        <f t="shared" si="63"/>
        <v/>
      </c>
      <c r="CS49" s="97" t="str">
        <f t="shared" si="63"/>
        <v/>
      </c>
      <c r="CT49" s="97" t="str">
        <f t="shared" si="63"/>
        <v/>
      </c>
      <c r="CU49" s="97" t="str">
        <f t="shared" si="63"/>
        <v/>
      </c>
      <c r="CV49" s="97" t="str">
        <f t="shared" si="63"/>
        <v/>
      </c>
      <c r="CW49" s="97" t="str">
        <f t="shared" si="63"/>
        <v/>
      </c>
      <c r="CX49" s="98" t="str">
        <f t="shared" si="46"/>
        <v/>
      </c>
      <c r="CY49" s="392"/>
    </row>
    <row r="50" spans="1:103" ht="15.75" thickBot="1" x14ac:dyDescent="0.3">
      <c r="A50" s="138" t="s">
        <v>94</v>
      </c>
      <c r="B50" s="139" t="s">
        <v>461</v>
      </c>
      <c r="C50" s="102" t="s">
        <v>325</v>
      </c>
      <c r="D50" s="103"/>
      <c r="E50" s="104"/>
      <c r="F50" s="104"/>
      <c r="G50" s="104"/>
      <c r="H50" s="104"/>
      <c r="I50" s="104">
        <v>0</v>
      </c>
      <c r="J50" s="104">
        <v>0</v>
      </c>
      <c r="K50" s="104">
        <v>0</v>
      </c>
      <c r="L50" s="104">
        <v>0</v>
      </c>
      <c r="M50" s="655">
        <f>'2022-23 Input'!D50</f>
        <v>0</v>
      </c>
      <c r="N50" s="1066">
        <v>0</v>
      </c>
      <c r="O50" s="563">
        <f t="shared" si="27"/>
        <v>0</v>
      </c>
      <c r="P50" s="564">
        <f t="shared" si="0"/>
        <v>0</v>
      </c>
      <c r="Q50" s="564">
        <f t="shared" si="1"/>
        <v>0</v>
      </c>
      <c r="R50" s="564">
        <f t="shared" si="2"/>
        <v>0</v>
      </c>
      <c r="S50" s="564">
        <f t="shared" si="3"/>
        <v>0</v>
      </c>
      <c r="T50" s="564">
        <f t="shared" si="4"/>
        <v>0</v>
      </c>
      <c r="U50" s="564">
        <f t="shared" si="5"/>
        <v>0</v>
      </c>
      <c r="V50" s="564">
        <f t="shared" si="6"/>
        <v>0</v>
      </c>
      <c r="W50" s="676">
        <f t="shared" si="7"/>
        <v>0</v>
      </c>
      <c r="X50" s="676">
        <f t="shared" si="8"/>
        <v>0</v>
      </c>
      <c r="Y50" s="676">
        <f t="shared" si="8"/>
        <v>0</v>
      </c>
      <c r="Z50" s="131"/>
      <c r="AA50" s="132"/>
      <c r="AB50" s="132"/>
      <c r="AC50" s="132"/>
      <c r="AD50" s="132"/>
      <c r="AE50" s="132">
        <v>0</v>
      </c>
      <c r="AF50" s="132">
        <v>0</v>
      </c>
      <c r="AG50" s="132">
        <v>0</v>
      </c>
      <c r="AH50" s="132">
        <v>0</v>
      </c>
      <c r="AI50" s="1098">
        <f>'2022-23 Input'!K50</f>
        <v>0</v>
      </c>
      <c r="AJ50" s="669">
        <v>0</v>
      </c>
      <c r="AK50" s="133">
        <f t="shared" si="47"/>
        <v>0</v>
      </c>
      <c r="AL50" s="134">
        <f t="shared" si="48"/>
        <v>0</v>
      </c>
      <c r="AM50" s="135">
        <f t="shared" si="49"/>
        <v>0</v>
      </c>
      <c r="AN50" s="110" t="str">
        <f t="shared" si="50"/>
        <v/>
      </c>
      <c r="AO50" s="111" t="str">
        <f t="shared" si="51"/>
        <v/>
      </c>
      <c r="AP50" s="111" t="str">
        <f t="shared" si="52"/>
        <v/>
      </c>
      <c r="AQ50" s="111" t="str">
        <f t="shared" si="53"/>
        <v/>
      </c>
      <c r="AR50" s="111" t="str">
        <f t="shared" si="54"/>
        <v/>
      </c>
      <c r="AS50" s="111" t="str">
        <f t="shared" si="55"/>
        <v/>
      </c>
      <c r="AT50" s="111" t="str">
        <f t="shared" si="56"/>
        <v/>
      </c>
      <c r="AU50" s="111" t="str">
        <f t="shared" si="57"/>
        <v/>
      </c>
      <c r="AV50" s="111" t="str">
        <f t="shared" si="58"/>
        <v/>
      </c>
      <c r="AW50" s="111" t="str">
        <f t="shared" si="58"/>
        <v/>
      </c>
      <c r="AX50" s="111" t="str">
        <f t="shared" si="58"/>
        <v/>
      </c>
      <c r="AY50" s="112" t="str">
        <f t="shared" si="59"/>
        <v/>
      </c>
      <c r="AZ50" s="113" t="str">
        <f t="shared" si="60"/>
        <v/>
      </c>
      <c r="BA50" s="114" t="str">
        <f t="shared" si="61"/>
        <v/>
      </c>
      <c r="BB50" s="250" t="s">
        <v>422</v>
      </c>
      <c r="BC50" s="230" t="s">
        <v>433</v>
      </c>
      <c r="BD50" s="251">
        <v>0</v>
      </c>
      <c r="BE50" s="270">
        <f t="shared" si="28"/>
        <v>0</v>
      </c>
      <c r="BF50" s="271">
        <f t="shared" si="62"/>
        <v>0</v>
      </c>
      <c r="BG50" s="271">
        <f t="shared" si="62"/>
        <v>0</v>
      </c>
      <c r="BH50" s="271">
        <f t="shared" si="62"/>
        <v>1</v>
      </c>
      <c r="BI50" s="271">
        <f t="shared" si="62"/>
        <v>2</v>
      </c>
      <c r="BJ50" s="271">
        <f t="shared" si="62"/>
        <v>3</v>
      </c>
      <c r="BK50" s="271">
        <f t="shared" si="62"/>
        <v>4</v>
      </c>
      <c r="BL50" s="272">
        <f t="shared" si="62"/>
        <v>5</v>
      </c>
      <c r="BM50" s="257">
        <f>IF($BC50=Lookup!$A$2,$BD50*ROUNDUP(BE50/10,0)+1,
IF($BC50=Lookup!$A$3,($BD50+1)^BD50,
IF($BC50=Lookup!$A$4,BE50*$BD50+1,"Error")))</f>
        <v>1</v>
      </c>
      <c r="BN50" s="230">
        <f>IF($BC50=Lookup!$A$2,$BD50*ROUNDUP(BF50/10,0)+1,
IF($BC50=Lookup!$A$3,($BD50+1)^BE50,
IF($BC50=Lookup!$A$4,BF50*$BD50+1,"Error")))</f>
        <v>1</v>
      </c>
      <c r="BO50" s="230">
        <f>IF($BC50=Lookup!$A$2,$BD50*ROUNDUP(BG50/10,0)+1,
IF($BC50=Lookup!$A$3,($BD50+1)^BF50,
IF($BC50=Lookup!$A$4,BG50*$BD50+1,"Error")))</f>
        <v>1</v>
      </c>
      <c r="BP50" s="230">
        <f>IF($BC50=Lookup!$A$2,$BD50*ROUNDUP(BH50/10,0)+1,
IF($BC50=Lookup!$A$3,($BD50+1)^BG50,
IF($BC50=Lookup!$A$4,BH50*$BD50+1,"Error")))</f>
        <v>1</v>
      </c>
      <c r="BQ50" s="230">
        <f>IF($BC50=Lookup!$A$2,$BD50*ROUNDUP(BI50/10,0)+1,
IF($BC50=Lookup!$A$3,($BD50+1)^BH50,
IF($BC50=Lookup!$A$4,BI50*$BD50+1,"Error")))</f>
        <v>1</v>
      </c>
      <c r="BR50" s="230">
        <f>IF($BC50=Lookup!$A$2,$BD50*ROUNDUP(BJ50/10,0)+1,
IF($BC50=Lookup!$A$3,($BD50+1)^BI50,
IF($BC50=Lookup!$A$4,BJ50*$BD50+1,"Error")))</f>
        <v>1</v>
      </c>
      <c r="BS50" s="230">
        <f>IF($BC50=Lookup!$A$2,$BD50*ROUNDUP(BK50/10,0)+1,
IF($BC50=Lookup!$A$3,($BD50+1)^BJ50,
IF($BC50=Lookup!$A$4,BK50*$BD50+1,"Error")))</f>
        <v>1</v>
      </c>
      <c r="BT50" s="251">
        <f>IF($BC50=Lookup!$A$2,$BD50*ROUNDUP(BL50/10,0)+1,
IF($BC50=Lookup!$A$3,($BD50+1)^BK50,
IF($BC50=Lookup!$A$4,BL50*$BD50+1,"Error")))</f>
        <v>1</v>
      </c>
      <c r="BU50" s="400">
        <v>0</v>
      </c>
      <c r="BV50" s="358">
        <v>0</v>
      </c>
      <c r="BW50" s="358">
        <v>0</v>
      </c>
      <c r="BX50" s="358">
        <v>0</v>
      </c>
      <c r="BY50" s="358">
        <v>0</v>
      </c>
      <c r="BZ50" s="358">
        <v>0</v>
      </c>
      <c r="CA50" s="358">
        <v>0</v>
      </c>
      <c r="CB50" s="401">
        <v>0</v>
      </c>
      <c r="CC50" s="384" t="s">
        <v>293</v>
      </c>
      <c r="CD50" s="385">
        <f>HLOOKUP($CC50,$AK$6:$AM$132,ROWS(CD$6:CD50),0)</f>
        <v>0</v>
      </c>
      <c r="CE50" s="237">
        <f t="shared" si="33"/>
        <v>0</v>
      </c>
      <c r="CF50" s="136">
        <f t="shared" si="33"/>
        <v>0</v>
      </c>
      <c r="CG50" s="136">
        <f t="shared" si="33"/>
        <v>0</v>
      </c>
      <c r="CH50" s="136">
        <f t="shared" si="33"/>
        <v>0</v>
      </c>
      <c r="CI50" s="136">
        <f t="shared" si="64"/>
        <v>0</v>
      </c>
      <c r="CJ50" s="136">
        <f t="shared" si="64"/>
        <v>0</v>
      </c>
      <c r="CK50" s="136">
        <f t="shared" si="64"/>
        <v>0</v>
      </c>
      <c r="CL50" s="289">
        <f t="shared" si="64"/>
        <v>0</v>
      </c>
      <c r="CM50" s="308" t="s">
        <v>293</v>
      </c>
      <c r="CN50" s="316">
        <v>0.05</v>
      </c>
      <c r="CO50" s="309"/>
      <c r="CP50" s="310" t="str">
        <f>IF($CO50&lt;&gt;"",$CO50,HLOOKUP($CM50,$AY$6:$BA$132,ROWS(CP$6:CP50),0))</f>
        <v/>
      </c>
      <c r="CQ50" s="785" t="str">
        <f t="shared" si="63"/>
        <v/>
      </c>
      <c r="CR50" s="785" t="str">
        <f t="shared" si="63"/>
        <v/>
      </c>
      <c r="CS50" s="117" t="str">
        <f t="shared" si="63"/>
        <v/>
      </c>
      <c r="CT50" s="117" t="str">
        <f t="shared" si="63"/>
        <v/>
      </c>
      <c r="CU50" s="117" t="str">
        <f t="shared" si="63"/>
        <v/>
      </c>
      <c r="CV50" s="117" t="str">
        <f t="shared" si="63"/>
        <v/>
      </c>
      <c r="CW50" s="117" t="str">
        <f t="shared" si="63"/>
        <v/>
      </c>
      <c r="CX50" s="118" t="str">
        <f t="shared" si="46"/>
        <v/>
      </c>
      <c r="CY50" s="393"/>
    </row>
    <row r="51" spans="1:103" x14ac:dyDescent="0.25">
      <c r="A51" s="63" t="s">
        <v>106</v>
      </c>
      <c r="B51" s="64" t="s">
        <v>103</v>
      </c>
      <c r="C51" s="65" t="s">
        <v>326</v>
      </c>
      <c r="D51" s="66"/>
      <c r="E51" s="67"/>
      <c r="F51" s="67"/>
      <c r="G51" s="67"/>
      <c r="H51" s="67"/>
      <c r="I51" s="67">
        <v>269993.16701533203</v>
      </c>
      <c r="J51" s="67">
        <v>787139.78498861019</v>
      </c>
      <c r="K51" s="67">
        <v>0</v>
      </c>
      <c r="L51" s="67">
        <v>4538493.2409889456</v>
      </c>
      <c r="M51" s="653">
        <f>'2022-23 Input'!D51</f>
        <v>1406741.8165187486</v>
      </c>
      <c r="N51" s="1064">
        <v>1042912.7927228443</v>
      </c>
      <c r="O51" s="557">
        <f t="shared" si="27"/>
        <v>0</v>
      </c>
      <c r="P51" s="558">
        <f t="shared" si="0"/>
        <v>0</v>
      </c>
      <c r="Q51" s="558">
        <f t="shared" si="1"/>
        <v>0</v>
      </c>
      <c r="R51" s="558">
        <f t="shared" si="2"/>
        <v>0</v>
      </c>
      <c r="S51" s="558">
        <f t="shared" si="3"/>
        <v>0</v>
      </c>
      <c r="T51" s="558">
        <f t="shared" si="4"/>
        <v>335101.55875685922</v>
      </c>
      <c r="U51" s="558">
        <f t="shared" si="5"/>
        <v>980373.13591147726</v>
      </c>
      <c r="V51" s="558">
        <f t="shared" si="6"/>
        <v>0</v>
      </c>
      <c r="W51" s="674">
        <f t="shared" si="7"/>
        <v>5128167.1141951196</v>
      </c>
      <c r="X51" s="674">
        <f t="shared" si="8"/>
        <v>1496014.9549675046</v>
      </c>
      <c r="Y51" s="674">
        <f t="shared" si="8"/>
        <v>1071591.3085819606</v>
      </c>
      <c r="Z51" s="68"/>
      <c r="AA51" s="69"/>
      <c r="AB51" s="69"/>
      <c r="AC51" s="69"/>
      <c r="AD51" s="69"/>
      <c r="AE51" s="69">
        <v>243.08999486600004</v>
      </c>
      <c r="AF51" s="69">
        <v>787.92757575799999</v>
      </c>
      <c r="AG51" s="69">
        <v>0</v>
      </c>
      <c r="AH51" s="69">
        <v>2971.8526508820014</v>
      </c>
      <c r="AI51" s="1093">
        <f>'2022-23 Input'!K51</f>
        <v>1712.5890566590008</v>
      </c>
      <c r="AJ51" s="664">
        <v>1283.0099758229999</v>
      </c>
      <c r="AK51" s="121">
        <f t="shared" si="47"/>
        <v>1143.0918556330003</v>
      </c>
      <c r="AL51" s="122">
        <f t="shared" si="48"/>
        <v>1561.480569180334</v>
      </c>
      <c r="AM51" s="123">
        <f t="shared" si="49"/>
        <v>1712.5890566590008</v>
      </c>
      <c r="AN51" s="73" t="str">
        <f t="shared" si="50"/>
        <v/>
      </c>
      <c r="AO51" s="74" t="str">
        <f t="shared" si="51"/>
        <v/>
      </c>
      <c r="AP51" s="74" t="str">
        <f t="shared" si="52"/>
        <v/>
      </c>
      <c r="AQ51" s="74" t="str">
        <f t="shared" si="53"/>
        <v/>
      </c>
      <c r="AR51" s="74" t="str">
        <f t="shared" si="54"/>
        <v/>
      </c>
      <c r="AS51" s="74">
        <f t="shared" si="55"/>
        <v>1110.6716554260572</v>
      </c>
      <c r="AT51" s="74">
        <f t="shared" si="56"/>
        <v>999.00017362810036</v>
      </c>
      <c r="AU51" s="74" t="str">
        <f t="shared" si="57"/>
        <v/>
      </c>
      <c r="AV51" s="74">
        <f t="shared" si="58"/>
        <v>1527.1595782657625</v>
      </c>
      <c r="AW51" s="74">
        <f t="shared" si="58"/>
        <v>821.41235870272737</v>
      </c>
      <c r="AX51" s="74">
        <f t="shared" si="58"/>
        <v>812.86413385356354</v>
      </c>
      <c r="AY51" s="75">
        <f t="shared" si="59"/>
        <v>1225.162785476062</v>
      </c>
      <c r="AZ51" s="76">
        <f t="shared" si="60"/>
        <v>1269.1448477066265</v>
      </c>
      <c r="BA51" s="77">
        <f t="shared" si="61"/>
        <v>821.41235870272737</v>
      </c>
      <c r="BB51" s="246" t="s">
        <v>422</v>
      </c>
      <c r="BC51" s="228" t="s">
        <v>433</v>
      </c>
      <c r="BD51" s="247">
        <v>0</v>
      </c>
      <c r="BE51" s="264">
        <f t="shared" si="28"/>
        <v>0</v>
      </c>
      <c r="BF51" s="265">
        <f t="shared" si="62"/>
        <v>0</v>
      </c>
      <c r="BG51" s="265">
        <f t="shared" si="62"/>
        <v>0</v>
      </c>
      <c r="BH51" s="265">
        <f t="shared" si="62"/>
        <v>1</v>
      </c>
      <c r="BI51" s="265">
        <f t="shared" si="62"/>
        <v>2</v>
      </c>
      <c r="BJ51" s="265">
        <f t="shared" si="62"/>
        <v>3</v>
      </c>
      <c r="BK51" s="265">
        <f t="shared" si="62"/>
        <v>4</v>
      </c>
      <c r="BL51" s="266">
        <f t="shared" si="62"/>
        <v>5</v>
      </c>
      <c r="BM51" s="255">
        <f>IF($BC51=Lookup!$A$2,$BD51*ROUNDUP(BE51/10,0)+1,
IF($BC51=Lookup!$A$3,($BD51+1)^BD51,
IF($BC51=Lookup!$A$4,BE51*$BD51+1,"Error")))</f>
        <v>1</v>
      </c>
      <c r="BN51" s="228">
        <f>IF($BC51=Lookup!$A$2,$BD51*ROUNDUP(BF51/10,0)+1,
IF($BC51=Lookup!$A$3,($BD51+1)^BE51,
IF($BC51=Lookup!$A$4,BF51*$BD51+1,"Error")))</f>
        <v>1</v>
      </c>
      <c r="BO51" s="228">
        <f>IF($BC51=Lookup!$A$2,$BD51*ROUNDUP(BG51/10,0)+1,
IF($BC51=Lookup!$A$3,($BD51+1)^BF51,
IF($BC51=Lookup!$A$4,BG51*$BD51+1,"Error")))</f>
        <v>1</v>
      </c>
      <c r="BP51" s="228">
        <f>IF($BC51=Lookup!$A$2,$BD51*ROUNDUP(BH51/10,0)+1,
IF($BC51=Lookup!$A$3,($BD51+1)^BG51,
IF($BC51=Lookup!$A$4,BH51*$BD51+1,"Error")))</f>
        <v>1</v>
      </c>
      <c r="BQ51" s="228">
        <f>IF($BC51=Lookup!$A$2,$BD51*ROUNDUP(BI51/10,0)+1,
IF($BC51=Lookup!$A$3,($BD51+1)^BH51,
IF($BC51=Lookup!$A$4,BI51*$BD51+1,"Error")))</f>
        <v>1</v>
      </c>
      <c r="BR51" s="228">
        <f>IF($BC51=Lookup!$A$2,$BD51*ROUNDUP(BJ51/10,0)+1,
IF($BC51=Lookup!$A$3,($BD51+1)^BI51,
IF($BC51=Lookup!$A$4,BJ51*$BD51+1,"Error")))</f>
        <v>1</v>
      </c>
      <c r="BS51" s="228">
        <f>IF($BC51=Lookup!$A$2,$BD51*ROUNDUP(BK51/10,0)+1,
IF($BC51=Lookup!$A$3,($BD51+1)^BJ51,
IF($BC51=Lookup!$A$4,BK51*$BD51+1,"Error")))</f>
        <v>1</v>
      </c>
      <c r="BT51" s="247">
        <f>IF($BC51=Lookup!$A$2,$BD51*ROUNDUP(BL51/10,0)+1,
IF($BC51=Lookup!$A$3,($BD51+1)^BK51,
IF($BC51=Lookup!$A$4,BL51*$BD51+1,"Error")))</f>
        <v>1</v>
      </c>
      <c r="BU51" s="318"/>
      <c r="BV51" s="319">
        <f>IFERROR(SUM(CF$34:CF$42)*HLOOKUP($BW$4,$AY$135:$BA$146,7,0)/HLOOKUP($BW$4,$AY$135:$BA$146,5,0)*$AK51/SUM($AK$51:$AK$52),"")</f>
        <v>1739.004148293883</v>
      </c>
      <c r="BW51" s="319">
        <f>IFERROR(SUM(CG$34:CG$42)*HLOOKUP($BW$4,$AY$135:$BA$146,7,0)/HLOOKUP($BW$4,$AY$135:$BA$146,5,0)*$AK51/SUM($AK$51:$AK$52),"")</f>
        <v>1739.004148293883</v>
      </c>
      <c r="BX51" s="319">
        <f>IFERROR(SUM(CH$34:CH$42)*HLOOKUP($BW$4,$AY$135:$BA$146,7,0)/HLOOKUP($BW$4,$AY$135:$BA$146,5,0)*$AK51/SUM($AK$51:$AK$52),"")</f>
        <v>2279.8483707472492</v>
      </c>
      <c r="BY51" s="319">
        <f t="shared" ref="BY51:BY52" si="65">IFERROR(SUM(CI$34:CI$42)*HLOOKUP($BW$4,$AY$135:$BA$146,7,0)/HLOOKUP($BW$4,$AY$135:$BA$146,5,0)*$AK51/SUM($AK$51:$AK$52),"")</f>
        <v>2392.6175376152451</v>
      </c>
      <c r="BZ51" s="319">
        <f t="shared" ref="BZ51:BZ52" si="66">IFERROR(SUM(CJ$34:CJ$42)*HLOOKUP($BW$4,$AY$135:$BA$146,7,0)/HLOOKUP($BW$4,$AY$135:$BA$146,5,0)*$AK51/SUM($AK$51:$AK$52),"")</f>
        <v>2467.7969821939078</v>
      </c>
      <c r="CA51" s="319">
        <f t="shared" ref="CA51:CA52" si="67">IFERROR(SUM(CK$34:CK$42)*HLOOKUP($BW$4,$AY$135:$BA$146,7,0)/HLOOKUP($BW$4,$AY$135:$BA$146,5,0)*$AK51/SUM($AK$51:$AK$52),"")</f>
        <v>2542.9764267725714</v>
      </c>
      <c r="CB51" s="276">
        <f t="shared" ref="CB51:CB52" si="68">IFERROR(SUM(CL$34:CL$42)*HLOOKUP($BW$4,$AY$135:$BA$146,7,0)/HLOOKUP($BW$4,$AY$135:$BA$146,5,0)*$AK51/SUM($AK$51:$AK$52),"")</f>
        <v>2580.5661490619032</v>
      </c>
      <c r="CC51" s="380" t="s">
        <v>293</v>
      </c>
      <c r="CD51" s="381">
        <f>HLOOKUP($CC51,$AK$6:$AM$132,ROWS(CD$6:CD51),0)</f>
        <v>1561.480569180334</v>
      </c>
      <c r="CE51" s="233">
        <f t="shared" si="33"/>
        <v>1561.480569180334</v>
      </c>
      <c r="CF51" s="78">
        <f t="shared" si="33"/>
        <v>1739.004148293883</v>
      </c>
      <c r="CG51" s="78">
        <f t="shared" si="33"/>
        <v>1739.004148293883</v>
      </c>
      <c r="CH51" s="78">
        <f>IFERROR(IF(BX51&lt;&gt;"",BX51,BP51*$CD51),"")</f>
        <v>2279.8483707472492</v>
      </c>
      <c r="CI51" s="78">
        <f t="shared" si="64"/>
        <v>2392.6175376152451</v>
      </c>
      <c r="CJ51" s="78">
        <f t="shared" si="64"/>
        <v>2467.7969821939078</v>
      </c>
      <c r="CK51" s="78">
        <f t="shared" si="64"/>
        <v>2542.9764267725714</v>
      </c>
      <c r="CL51" s="285">
        <f t="shared" si="64"/>
        <v>2580.5661490619032</v>
      </c>
      <c r="CM51" s="302" t="s">
        <v>293</v>
      </c>
      <c r="CN51" s="314">
        <v>0.05</v>
      </c>
      <c r="CO51" s="303"/>
      <c r="CP51" s="304">
        <f>IF($CO51&lt;&gt;"",$CO51,HLOOKUP($CM51,$AY$6:$BA$132,ROWS(CP$6:CP51),0))</f>
        <v>1269.1448477066265</v>
      </c>
      <c r="CQ51" s="783">
        <f t="shared" si="63"/>
        <v>1981745.0191692314</v>
      </c>
      <c r="CR51" s="783">
        <f t="shared" si="63"/>
        <v>2207048.154947632</v>
      </c>
      <c r="CS51" s="79">
        <f t="shared" si="63"/>
        <v>2207048.154947632</v>
      </c>
      <c r="CT51" s="79">
        <f t="shared" si="63"/>
        <v>2893457.8132862179</v>
      </c>
      <c r="CU51" s="79">
        <f t="shared" si="63"/>
        <v>3036578.2203969038</v>
      </c>
      <c r="CV51" s="79">
        <f t="shared" si="63"/>
        <v>3131991.8251373596</v>
      </c>
      <c r="CW51" s="79">
        <f t="shared" si="63"/>
        <v>3227405.4298778162</v>
      </c>
      <c r="CX51" s="80">
        <f t="shared" si="46"/>
        <v>3275112.2322480446</v>
      </c>
      <c r="CY51" s="391" t="s">
        <v>470</v>
      </c>
    </row>
    <row r="52" spans="1:103" x14ac:dyDescent="0.25">
      <c r="A52" s="81" t="s">
        <v>106</v>
      </c>
      <c r="B52" s="82" t="s">
        <v>107</v>
      </c>
      <c r="C52" s="83" t="s">
        <v>328</v>
      </c>
      <c r="D52" s="84"/>
      <c r="E52" s="85"/>
      <c r="F52" s="85"/>
      <c r="G52" s="85"/>
      <c r="H52" s="85"/>
      <c r="I52" s="85">
        <v>0</v>
      </c>
      <c r="J52" s="85">
        <v>0</v>
      </c>
      <c r="K52" s="85">
        <v>904387.15526177117</v>
      </c>
      <c r="L52" s="85">
        <v>0</v>
      </c>
      <c r="M52" s="654">
        <f>'2022-23 Input'!D52</f>
        <v>1098526.0991337502</v>
      </c>
      <c r="N52" s="1065">
        <v>924185.70141276694</v>
      </c>
      <c r="O52" s="560">
        <f t="shared" si="27"/>
        <v>0</v>
      </c>
      <c r="P52" s="561">
        <f t="shared" si="0"/>
        <v>0</v>
      </c>
      <c r="Q52" s="561">
        <f t="shared" si="1"/>
        <v>0</v>
      </c>
      <c r="R52" s="561">
        <f t="shared" si="2"/>
        <v>0</v>
      </c>
      <c r="S52" s="561">
        <f t="shared" si="3"/>
        <v>0</v>
      </c>
      <c r="T52" s="561">
        <f t="shared" si="4"/>
        <v>0</v>
      </c>
      <c r="U52" s="561">
        <f t="shared" si="5"/>
        <v>0</v>
      </c>
      <c r="V52" s="561">
        <f t="shared" si="6"/>
        <v>1084684.6838607125</v>
      </c>
      <c r="W52" s="675">
        <f t="shared" si="7"/>
        <v>0</v>
      </c>
      <c r="X52" s="675">
        <f t="shared" si="8"/>
        <v>1168239.5827211146</v>
      </c>
      <c r="Y52" s="675">
        <f t="shared" si="8"/>
        <v>949599.40280724026</v>
      </c>
      <c r="Z52" s="86"/>
      <c r="AA52" s="87"/>
      <c r="AB52" s="87"/>
      <c r="AC52" s="87"/>
      <c r="AD52" s="87"/>
      <c r="AE52" s="87">
        <v>0</v>
      </c>
      <c r="AF52" s="87">
        <v>0</v>
      </c>
      <c r="AG52" s="87">
        <v>130.81818914400006</v>
      </c>
      <c r="AH52" s="87">
        <v>0</v>
      </c>
      <c r="AI52" s="1094">
        <f>'2022-23 Input'!K52</f>
        <v>124.219700833</v>
      </c>
      <c r="AJ52" s="665">
        <v>132.84849044699999</v>
      </c>
      <c r="AK52" s="127">
        <f t="shared" si="47"/>
        <v>51.007577995400013</v>
      </c>
      <c r="AL52" s="128">
        <f t="shared" si="48"/>
        <v>85.012629992333359</v>
      </c>
      <c r="AM52" s="129">
        <f t="shared" si="49"/>
        <v>124.219700833</v>
      </c>
      <c r="AN52" s="91" t="str">
        <f t="shared" si="50"/>
        <v/>
      </c>
      <c r="AO52" s="92" t="str">
        <f t="shared" si="51"/>
        <v/>
      </c>
      <c r="AP52" s="92" t="str">
        <f t="shared" si="52"/>
        <v/>
      </c>
      <c r="AQ52" s="92" t="str">
        <f t="shared" si="53"/>
        <v/>
      </c>
      <c r="AR52" s="92" t="str">
        <f t="shared" si="54"/>
        <v/>
      </c>
      <c r="AS52" s="92" t="str">
        <f t="shared" si="55"/>
        <v/>
      </c>
      <c r="AT52" s="92" t="str">
        <f t="shared" si="56"/>
        <v/>
      </c>
      <c r="AU52" s="92">
        <f t="shared" si="57"/>
        <v>6913.3135168707586</v>
      </c>
      <c r="AV52" s="92" t="str">
        <f t="shared" si="58"/>
        <v/>
      </c>
      <c r="AW52" s="92">
        <f t="shared" si="58"/>
        <v>8843.412854540682</v>
      </c>
      <c r="AX52" s="92">
        <f t="shared" si="58"/>
        <v>6956.6895212969812</v>
      </c>
      <c r="AY52" s="93">
        <f t="shared" si="59"/>
        <v>7853.3948605681635</v>
      </c>
      <c r="AZ52" s="94">
        <f t="shared" si="60"/>
        <v>7853.3948605681635</v>
      </c>
      <c r="BA52" s="95">
        <f t="shared" si="61"/>
        <v>8843.412854540682</v>
      </c>
      <c r="BB52" s="248" t="s">
        <v>422</v>
      </c>
      <c r="BC52" s="229" t="s">
        <v>433</v>
      </c>
      <c r="BD52" s="249">
        <v>0</v>
      </c>
      <c r="BE52" s="267">
        <f t="shared" si="28"/>
        <v>0</v>
      </c>
      <c r="BF52" s="268">
        <f t="shared" si="62"/>
        <v>0</v>
      </c>
      <c r="BG52" s="268">
        <f t="shared" si="62"/>
        <v>0</v>
      </c>
      <c r="BH52" s="268">
        <f t="shared" si="62"/>
        <v>1</v>
      </c>
      <c r="BI52" s="268">
        <f t="shared" si="62"/>
        <v>2</v>
      </c>
      <c r="BJ52" s="268">
        <f t="shared" si="62"/>
        <v>3</v>
      </c>
      <c r="BK52" s="268">
        <f t="shared" si="62"/>
        <v>4</v>
      </c>
      <c r="BL52" s="269">
        <f t="shared" si="62"/>
        <v>5</v>
      </c>
      <c r="BM52" s="256">
        <f>IF($BC52=Lookup!$A$2,$BD52*ROUNDUP(BE52/10,0)+1,
IF($BC52=Lookup!$A$3,($BD52+1)^BD52,
IF($BC52=Lookup!$A$4,BE52*$BD52+1,"Error")))</f>
        <v>1</v>
      </c>
      <c r="BN52" s="229">
        <f>IF($BC52=Lookup!$A$2,$BD52*ROUNDUP(BF52/10,0)+1,
IF($BC52=Lookup!$A$3,($BD52+1)^BE52,
IF($BC52=Lookup!$A$4,BF52*$BD52+1,"Error")))</f>
        <v>1</v>
      </c>
      <c r="BO52" s="229">
        <f>IF($BC52=Lookup!$A$2,$BD52*ROUNDUP(BG52/10,0)+1,
IF($BC52=Lookup!$A$3,($BD52+1)^BF52,
IF($BC52=Lookup!$A$4,BG52*$BD52+1,"Error")))</f>
        <v>1</v>
      </c>
      <c r="BP52" s="229">
        <f>IF($BC52=Lookup!$A$2,$BD52*ROUNDUP(BH52/10,0)+1,
IF($BC52=Lookup!$A$3,($BD52+1)^BG52,
IF($BC52=Lookup!$A$4,BH52*$BD52+1,"Error")))</f>
        <v>1</v>
      </c>
      <c r="BQ52" s="229">
        <f>IF($BC52=Lookup!$A$2,$BD52*ROUNDUP(BI52/10,0)+1,
IF($BC52=Lookup!$A$3,($BD52+1)^BH52,
IF($BC52=Lookup!$A$4,BI52*$BD52+1,"Error")))</f>
        <v>1</v>
      </c>
      <c r="BR52" s="229">
        <f>IF($BC52=Lookup!$A$2,$BD52*ROUNDUP(BJ52/10,0)+1,
IF($BC52=Lookup!$A$3,($BD52+1)^BI52,
IF($BC52=Lookup!$A$4,BJ52*$BD52+1,"Error")))</f>
        <v>1</v>
      </c>
      <c r="BS52" s="229">
        <f>IF($BC52=Lookup!$A$2,$BD52*ROUNDUP(BK52/10,0)+1,
IF($BC52=Lookup!$A$3,($BD52+1)^BJ52,
IF($BC52=Lookup!$A$4,BK52*$BD52+1,"Error")))</f>
        <v>1</v>
      </c>
      <c r="BT52" s="249">
        <f>IF($BC52=Lookup!$A$2,$BD52*ROUNDUP(BL52/10,0)+1,
IF($BC52=Lookup!$A$3,($BD52+1)^BK52,
IF($BC52=Lookup!$A$4,BL52*$BD52+1,"Error")))</f>
        <v>1</v>
      </c>
      <c r="BU52" s="320"/>
      <c r="BV52" s="321">
        <f>IFERROR(SUM(CF$34:CF$42)*HLOOKUP($BW$4,$AY$135:$BA$146,7,0)/HLOOKUP($BW$4,$AY$135:$BA$146,5,0)*$AK52/SUM($AK$51:$AK$52),"")</f>
        <v>77.598654291263784</v>
      </c>
      <c r="BW52" s="321">
        <f>IFERROR(SUM(CG$34:CG$42)*HLOOKUP($BW$4,$AY$135:$BA$146,7,0)/HLOOKUP($BW$4,$AY$135:$BA$146,5,0)*$AK52/SUM($AK$51:$AK$52),"")</f>
        <v>77.598654291263784</v>
      </c>
      <c r="BX52" s="321">
        <f t="shared" ref="BX52" si="69">IFERROR(SUM(CH$34:CH$42)*HLOOKUP($BW$4,$AY$135:$BA$146,7,0)/HLOOKUP($BW$4,$AY$135:$BA$146,5,0)*$AK52/SUM($AK$51:$AK$52),"")</f>
        <v>101.73245747095213</v>
      </c>
      <c r="BY52" s="321">
        <f t="shared" si="65"/>
        <v>106.76449583790409</v>
      </c>
      <c r="BZ52" s="321">
        <f t="shared" si="66"/>
        <v>110.11918808253868</v>
      </c>
      <c r="CA52" s="321">
        <f t="shared" si="67"/>
        <v>113.47388032717335</v>
      </c>
      <c r="CB52" s="277">
        <f t="shared" si="68"/>
        <v>115.15122644949064</v>
      </c>
      <c r="CC52" s="382" t="s">
        <v>293</v>
      </c>
      <c r="CD52" s="383">
        <f>HLOOKUP($CC52,$AK$6:$AM$132,ROWS(CD$6:CD52),0)</f>
        <v>85.012629992333359</v>
      </c>
      <c r="CE52" s="234">
        <f t="shared" si="33"/>
        <v>85.012629992333359</v>
      </c>
      <c r="CF52" s="96">
        <f t="shared" si="33"/>
        <v>77.598654291263784</v>
      </c>
      <c r="CG52" s="96">
        <f t="shared" si="33"/>
        <v>77.598654291263784</v>
      </c>
      <c r="CH52" s="96">
        <f t="shared" si="33"/>
        <v>101.73245747095213</v>
      </c>
      <c r="CI52" s="96">
        <f t="shared" si="64"/>
        <v>106.76449583790409</v>
      </c>
      <c r="CJ52" s="96">
        <f t="shared" si="64"/>
        <v>110.11918808253868</v>
      </c>
      <c r="CK52" s="96">
        <f t="shared" si="64"/>
        <v>113.47388032717335</v>
      </c>
      <c r="CL52" s="286">
        <f t="shared" si="64"/>
        <v>115.15122644949064</v>
      </c>
      <c r="CM52" s="305" t="s">
        <v>293</v>
      </c>
      <c r="CN52" s="315">
        <v>0.05</v>
      </c>
      <c r="CO52" s="306"/>
      <c r="CP52" s="307">
        <f>IF($CO52&lt;&gt;"",$CO52,HLOOKUP($CM52,$AY$6:$BA$132,ROWS(CP$6:CP52),0))</f>
        <v>7853.3948605681635</v>
      </c>
      <c r="CQ52" s="784">
        <f t="shared" si="63"/>
        <v>667637.75146517367</v>
      </c>
      <c r="CR52" s="784">
        <f t="shared" si="63"/>
        <v>609412.87279801664</v>
      </c>
      <c r="CS52" s="97">
        <f t="shared" si="63"/>
        <v>609412.87279801664</v>
      </c>
      <c r="CT52" s="97">
        <f t="shared" si="63"/>
        <v>798945.15865534474</v>
      </c>
      <c r="CU52" s="97">
        <f t="shared" si="63"/>
        <v>838463.74290454714</v>
      </c>
      <c r="CV52" s="97">
        <f t="shared" si="63"/>
        <v>864809.46573734831</v>
      </c>
      <c r="CW52" s="97">
        <f t="shared" si="63"/>
        <v>891155.18857015006</v>
      </c>
      <c r="CX52" s="98">
        <f t="shared" si="46"/>
        <v>904328.04998655058</v>
      </c>
      <c r="CY52" s="392"/>
    </row>
    <row r="53" spans="1:103" x14ac:dyDescent="0.25">
      <c r="A53" s="81" t="s">
        <v>106</v>
      </c>
      <c r="B53" s="82" t="s">
        <v>109</v>
      </c>
      <c r="C53" s="83" t="s">
        <v>329</v>
      </c>
      <c r="D53" s="84"/>
      <c r="E53" s="85"/>
      <c r="F53" s="85"/>
      <c r="G53" s="85"/>
      <c r="H53" s="85"/>
      <c r="I53" s="85">
        <v>0</v>
      </c>
      <c r="J53" s="85">
        <v>0</v>
      </c>
      <c r="K53" s="85">
        <v>0</v>
      </c>
      <c r="L53" s="85">
        <v>0</v>
      </c>
      <c r="M53" s="654">
        <f>'2022-23 Input'!D53</f>
        <v>0</v>
      </c>
      <c r="N53" s="1065">
        <v>0</v>
      </c>
      <c r="O53" s="560">
        <f t="shared" si="27"/>
        <v>0</v>
      </c>
      <c r="P53" s="561">
        <f t="shared" si="0"/>
        <v>0</v>
      </c>
      <c r="Q53" s="561">
        <f t="shared" si="1"/>
        <v>0</v>
      </c>
      <c r="R53" s="561">
        <f t="shared" si="2"/>
        <v>0</v>
      </c>
      <c r="S53" s="561">
        <f t="shared" si="3"/>
        <v>0</v>
      </c>
      <c r="T53" s="561">
        <f t="shared" si="4"/>
        <v>0</v>
      </c>
      <c r="U53" s="561">
        <f t="shared" si="5"/>
        <v>0</v>
      </c>
      <c r="V53" s="561">
        <f t="shared" si="6"/>
        <v>0</v>
      </c>
      <c r="W53" s="675">
        <f t="shared" si="7"/>
        <v>0</v>
      </c>
      <c r="X53" s="675">
        <f t="shared" si="8"/>
        <v>0</v>
      </c>
      <c r="Y53" s="675">
        <f t="shared" si="8"/>
        <v>0</v>
      </c>
      <c r="Z53" s="86"/>
      <c r="AA53" s="87"/>
      <c r="AB53" s="87"/>
      <c r="AC53" s="87"/>
      <c r="AD53" s="87"/>
      <c r="AE53" s="87">
        <v>0</v>
      </c>
      <c r="AF53" s="87">
        <v>0</v>
      </c>
      <c r="AG53" s="87">
        <v>0</v>
      </c>
      <c r="AH53" s="87">
        <v>0</v>
      </c>
      <c r="AI53" s="1094">
        <f>'2022-23 Input'!K53</f>
        <v>0</v>
      </c>
      <c r="AJ53" s="665">
        <v>0</v>
      </c>
      <c r="AK53" s="127">
        <f t="shared" si="47"/>
        <v>0</v>
      </c>
      <c r="AL53" s="128">
        <f t="shared" si="48"/>
        <v>0</v>
      </c>
      <c r="AM53" s="129">
        <f t="shared" si="49"/>
        <v>0</v>
      </c>
      <c r="AN53" s="91" t="str">
        <f t="shared" si="50"/>
        <v/>
      </c>
      <c r="AO53" s="92" t="str">
        <f t="shared" si="51"/>
        <v/>
      </c>
      <c r="AP53" s="92" t="str">
        <f t="shared" si="52"/>
        <v/>
      </c>
      <c r="AQ53" s="92" t="str">
        <f t="shared" si="53"/>
        <v/>
      </c>
      <c r="AR53" s="92" t="str">
        <f t="shared" si="54"/>
        <v/>
      </c>
      <c r="AS53" s="92" t="str">
        <f t="shared" si="55"/>
        <v/>
      </c>
      <c r="AT53" s="92" t="str">
        <f t="shared" si="56"/>
        <v/>
      </c>
      <c r="AU53" s="92" t="str">
        <f t="shared" si="57"/>
        <v/>
      </c>
      <c r="AV53" s="92" t="str">
        <f t="shared" si="58"/>
        <v/>
      </c>
      <c r="AW53" s="92" t="str">
        <f t="shared" si="58"/>
        <v/>
      </c>
      <c r="AX53" s="92" t="str">
        <f t="shared" si="58"/>
        <v/>
      </c>
      <c r="AY53" s="93" t="str">
        <f t="shared" si="59"/>
        <v/>
      </c>
      <c r="AZ53" s="94" t="str">
        <f t="shared" si="60"/>
        <v/>
      </c>
      <c r="BA53" s="95" t="str">
        <f t="shared" si="61"/>
        <v/>
      </c>
      <c r="BB53" s="248" t="s">
        <v>422</v>
      </c>
      <c r="BC53" s="229" t="s">
        <v>433</v>
      </c>
      <c r="BD53" s="249">
        <v>0</v>
      </c>
      <c r="BE53" s="267">
        <f t="shared" si="28"/>
        <v>0</v>
      </c>
      <c r="BF53" s="268">
        <f t="shared" si="62"/>
        <v>0</v>
      </c>
      <c r="BG53" s="268">
        <f t="shared" si="62"/>
        <v>0</v>
      </c>
      <c r="BH53" s="268">
        <f t="shared" si="62"/>
        <v>1</v>
      </c>
      <c r="BI53" s="268">
        <f t="shared" si="62"/>
        <v>2</v>
      </c>
      <c r="BJ53" s="268">
        <f t="shared" si="62"/>
        <v>3</v>
      </c>
      <c r="BK53" s="268">
        <f t="shared" si="62"/>
        <v>4</v>
      </c>
      <c r="BL53" s="269">
        <f t="shared" si="62"/>
        <v>5</v>
      </c>
      <c r="BM53" s="256">
        <f>IF($BC53=Lookup!$A$2,$BD53*ROUNDUP(BE53/10,0)+1,
IF($BC53=Lookup!$A$3,($BD53+1)^BD53,
IF($BC53=Lookup!$A$4,BE53*$BD53+1,"Error")))</f>
        <v>1</v>
      </c>
      <c r="BN53" s="229">
        <f>IF($BC53=Lookup!$A$2,$BD53*ROUNDUP(BF53/10,0)+1,
IF($BC53=Lookup!$A$3,($BD53+1)^BE53,
IF($BC53=Lookup!$A$4,BF53*$BD53+1,"Error")))</f>
        <v>1</v>
      </c>
      <c r="BO53" s="229">
        <f>IF($BC53=Lookup!$A$2,$BD53*ROUNDUP(BG53/10,0)+1,
IF($BC53=Lookup!$A$3,($BD53+1)^BF53,
IF($BC53=Lookup!$A$4,BG53*$BD53+1,"Error")))</f>
        <v>1</v>
      </c>
      <c r="BP53" s="229">
        <f>IF($BC53=Lookup!$A$2,$BD53*ROUNDUP(BH53/10,0)+1,
IF($BC53=Lookup!$A$3,($BD53+1)^BG53,
IF($BC53=Lookup!$A$4,BH53*$BD53+1,"Error")))</f>
        <v>1</v>
      </c>
      <c r="BQ53" s="229">
        <f>IF($BC53=Lookup!$A$2,$BD53*ROUNDUP(BI53/10,0)+1,
IF($BC53=Lookup!$A$3,($BD53+1)^BH53,
IF($BC53=Lookup!$A$4,BI53*$BD53+1,"Error")))</f>
        <v>1</v>
      </c>
      <c r="BR53" s="229">
        <f>IF($BC53=Lookup!$A$2,$BD53*ROUNDUP(BJ53/10,0)+1,
IF($BC53=Lookup!$A$3,($BD53+1)^BI53,
IF($BC53=Lookup!$A$4,BJ53*$BD53+1,"Error")))</f>
        <v>1</v>
      </c>
      <c r="BS53" s="229">
        <f>IF($BC53=Lookup!$A$2,$BD53*ROUNDUP(BK53/10,0)+1,
IF($BC53=Lookup!$A$3,($BD53+1)^BJ53,
IF($BC53=Lookup!$A$4,BK53*$BD53+1,"Error")))</f>
        <v>1</v>
      </c>
      <c r="BT53" s="249">
        <f>IF($BC53=Lookup!$A$2,$BD53*ROUNDUP(BL53/10,0)+1,
IF($BC53=Lookup!$A$3,($BD53+1)^BK53,
IF($BC53=Lookup!$A$4,BL53*$BD53+1,"Error")))</f>
        <v>1</v>
      </c>
      <c r="BU53" s="320"/>
      <c r="BV53" s="321"/>
      <c r="BW53" s="321"/>
      <c r="BX53" s="321"/>
      <c r="BY53" s="321"/>
      <c r="BZ53" s="321"/>
      <c r="CA53" s="321"/>
      <c r="CB53" s="277"/>
      <c r="CC53" s="382" t="s">
        <v>293</v>
      </c>
      <c r="CD53" s="383">
        <f>HLOOKUP($CC53,$AK$6:$AM$132,ROWS(CD$6:CD53),0)</f>
        <v>0</v>
      </c>
      <c r="CE53" s="234">
        <f t="shared" si="33"/>
        <v>0</v>
      </c>
      <c r="CF53" s="96">
        <f t="shared" si="33"/>
        <v>0</v>
      </c>
      <c r="CG53" s="96">
        <f t="shared" si="33"/>
        <v>0</v>
      </c>
      <c r="CH53" s="96">
        <f t="shared" si="33"/>
        <v>0</v>
      </c>
      <c r="CI53" s="96">
        <f t="shared" si="64"/>
        <v>0</v>
      </c>
      <c r="CJ53" s="96">
        <f t="shared" si="64"/>
        <v>0</v>
      </c>
      <c r="CK53" s="96">
        <f t="shared" si="64"/>
        <v>0</v>
      </c>
      <c r="CL53" s="286">
        <f t="shared" si="64"/>
        <v>0</v>
      </c>
      <c r="CM53" s="305" t="s">
        <v>293</v>
      </c>
      <c r="CN53" s="315">
        <v>0.05</v>
      </c>
      <c r="CO53" s="306"/>
      <c r="CP53" s="307" t="str">
        <f>IF($CO53&lt;&gt;"",$CO53,HLOOKUP($CM53,$AY$6:$BA$132,ROWS(CP$6:CP53),0))</f>
        <v/>
      </c>
      <c r="CQ53" s="784" t="str">
        <f t="shared" si="63"/>
        <v/>
      </c>
      <c r="CR53" s="784" t="str">
        <f t="shared" si="63"/>
        <v/>
      </c>
      <c r="CS53" s="97" t="str">
        <f t="shared" si="63"/>
        <v/>
      </c>
      <c r="CT53" s="97" t="str">
        <f t="shared" si="63"/>
        <v/>
      </c>
      <c r="CU53" s="97" t="str">
        <f t="shared" si="63"/>
        <v/>
      </c>
      <c r="CV53" s="97" t="str">
        <f t="shared" si="63"/>
        <v/>
      </c>
      <c r="CW53" s="97" t="str">
        <f t="shared" si="63"/>
        <v/>
      </c>
      <c r="CX53" s="98" t="str">
        <f t="shared" si="46"/>
        <v/>
      </c>
      <c r="CY53" s="392"/>
    </row>
    <row r="54" spans="1:103" x14ac:dyDescent="0.25">
      <c r="A54" s="81" t="s">
        <v>106</v>
      </c>
      <c r="B54" s="82" t="s">
        <v>111</v>
      </c>
      <c r="C54" s="83" t="s">
        <v>331</v>
      </c>
      <c r="D54" s="84"/>
      <c r="E54" s="85"/>
      <c r="F54" s="85"/>
      <c r="G54" s="85"/>
      <c r="H54" s="85"/>
      <c r="I54" s="85">
        <v>0</v>
      </c>
      <c r="J54" s="85">
        <v>0</v>
      </c>
      <c r="K54" s="85">
        <v>0</v>
      </c>
      <c r="L54" s="85">
        <v>0</v>
      </c>
      <c r="M54" s="654">
        <f>'2022-23 Input'!D54</f>
        <v>0</v>
      </c>
      <c r="N54" s="1065">
        <v>0</v>
      </c>
      <c r="O54" s="560">
        <f t="shared" si="27"/>
        <v>0</v>
      </c>
      <c r="P54" s="561">
        <f t="shared" si="0"/>
        <v>0</v>
      </c>
      <c r="Q54" s="561">
        <f t="shared" si="1"/>
        <v>0</v>
      </c>
      <c r="R54" s="561">
        <f t="shared" si="2"/>
        <v>0</v>
      </c>
      <c r="S54" s="561">
        <f t="shared" si="3"/>
        <v>0</v>
      </c>
      <c r="T54" s="561">
        <f t="shared" si="4"/>
        <v>0</v>
      </c>
      <c r="U54" s="561">
        <f t="shared" si="5"/>
        <v>0</v>
      </c>
      <c r="V54" s="561">
        <f t="shared" si="6"/>
        <v>0</v>
      </c>
      <c r="W54" s="675">
        <f t="shared" si="7"/>
        <v>0</v>
      </c>
      <c r="X54" s="675">
        <f t="shared" si="8"/>
        <v>0</v>
      </c>
      <c r="Y54" s="675">
        <f t="shared" si="8"/>
        <v>0</v>
      </c>
      <c r="Z54" s="86"/>
      <c r="AA54" s="87"/>
      <c r="AB54" s="87"/>
      <c r="AC54" s="87"/>
      <c r="AD54" s="87"/>
      <c r="AE54" s="87">
        <v>0</v>
      </c>
      <c r="AF54" s="87">
        <v>0</v>
      </c>
      <c r="AG54" s="87">
        <v>0</v>
      </c>
      <c r="AH54" s="87">
        <v>0</v>
      </c>
      <c r="AI54" s="1094">
        <f>'2022-23 Input'!K54</f>
        <v>0</v>
      </c>
      <c r="AJ54" s="665">
        <v>0</v>
      </c>
      <c r="AK54" s="127">
        <f t="shared" si="47"/>
        <v>0</v>
      </c>
      <c r="AL54" s="128">
        <f t="shared" si="48"/>
        <v>0</v>
      </c>
      <c r="AM54" s="129">
        <f t="shared" si="49"/>
        <v>0</v>
      </c>
      <c r="AN54" s="91" t="str">
        <f t="shared" si="50"/>
        <v/>
      </c>
      <c r="AO54" s="92" t="str">
        <f t="shared" si="51"/>
        <v/>
      </c>
      <c r="AP54" s="92" t="str">
        <f t="shared" si="52"/>
        <v/>
      </c>
      <c r="AQ54" s="92" t="str">
        <f t="shared" si="53"/>
        <v/>
      </c>
      <c r="AR54" s="92" t="str">
        <f t="shared" si="54"/>
        <v/>
      </c>
      <c r="AS54" s="92" t="str">
        <f t="shared" si="55"/>
        <v/>
      </c>
      <c r="AT54" s="92" t="str">
        <f t="shared" si="56"/>
        <v/>
      </c>
      <c r="AU54" s="92" t="str">
        <f t="shared" si="57"/>
        <v/>
      </c>
      <c r="AV54" s="92" t="str">
        <f t="shared" si="58"/>
        <v/>
      </c>
      <c r="AW54" s="92" t="str">
        <f t="shared" si="58"/>
        <v/>
      </c>
      <c r="AX54" s="92" t="str">
        <f t="shared" si="58"/>
        <v/>
      </c>
      <c r="AY54" s="93" t="str">
        <f t="shared" si="59"/>
        <v/>
      </c>
      <c r="AZ54" s="94" t="str">
        <f t="shared" si="60"/>
        <v/>
      </c>
      <c r="BA54" s="95" t="str">
        <f t="shared" si="61"/>
        <v/>
      </c>
      <c r="BB54" s="248" t="s">
        <v>422</v>
      </c>
      <c r="BC54" s="229" t="s">
        <v>433</v>
      </c>
      <c r="BD54" s="249">
        <v>0</v>
      </c>
      <c r="BE54" s="267">
        <f t="shared" si="28"/>
        <v>0</v>
      </c>
      <c r="BF54" s="268">
        <f t="shared" si="62"/>
        <v>0</v>
      </c>
      <c r="BG54" s="268">
        <f t="shared" si="62"/>
        <v>0</v>
      </c>
      <c r="BH54" s="268">
        <f t="shared" si="62"/>
        <v>1</v>
      </c>
      <c r="BI54" s="268">
        <f t="shared" si="62"/>
        <v>2</v>
      </c>
      <c r="BJ54" s="268">
        <f t="shared" si="62"/>
        <v>3</v>
      </c>
      <c r="BK54" s="268">
        <f t="shared" si="62"/>
        <v>4</v>
      </c>
      <c r="BL54" s="269">
        <f t="shared" si="62"/>
        <v>5</v>
      </c>
      <c r="BM54" s="256">
        <f>IF($BC54=Lookup!$A$2,$BD54*ROUNDUP(BE54/10,0)+1,
IF($BC54=Lookup!$A$3,($BD54+1)^BD54,
IF($BC54=Lookup!$A$4,BE54*$BD54+1,"Error")))</f>
        <v>1</v>
      </c>
      <c r="BN54" s="229">
        <f>IF($BC54=Lookup!$A$2,$BD54*ROUNDUP(BF54/10,0)+1,
IF($BC54=Lookup!$A$3,($BD54+1)^BE54,
IF($BC54=Lookup!$A$4,BF54*$BD54+1,"Error")))</f>
        <v>1</v>
      </c>
      <c r="BO54" s="229">
        <f>IF($BC54=Lookup!$A$2,$BD54*ROUNDUP(BG54/10,0)+1,
IF($BC54=Lookup!$A$3,($BD54+1)^BF54,
IF($BC54=Lookup!$A$4,BG54*$BD54+1,"Error")))</f>
        <v>1</v>
      </c>
      <c r="BP54" s="229">
        <f>IF($BC54=Lookup!$A$2,$BD54*ROUNDUP(BH54/10,0)+1,
IF($BC54=Lookup!$A$3,($BD54+1)^BG54,
IF($BC54=Lookup!$A$4,BH54*$BD54+1,"Error")))</f>
        <v>1</v>
      </c>
      <c r="BQ54" s="229">
        <f>IF($BC54=Lookup!$A$2,$BD54*ROUNDUP(BI54/10,0)+1,
IF($BC54=Lookup!$A$3,($BD54+1)^BH54,
IF($BC54=Lookup!$A$4,BI54*$BD54+1,"Error")))</f>
        <v>1</v>
      </c>
      <c r="BR54" s="229">
        <f>IF($BC54=Lookup!$A$2,$BD54*ROUNDUP(BJ54/10,0)+1,
IF($BC54=Lookup!$A$3,($BD54+1)^BI54,
IF($BC54=Lookup!$A$4,BJ54*$BD54+1,"Error")))</f>
        <v>1</v>
      </c>
      <c r="BS54" s="229">
        <f>IF($BC54=Lookup!$A$2,$BD54*ROUNDUP(BK54/10,0)+1,
IF($BC54=Lookup!$A$3,($BD54+1)^BJ54,
IF($BC54=Lookup!$A$4,BK54*$BD54+1,"Error")))</f>
        <v>1</v>
      </c>
      <c r="BT54" s="249">
        <f>IF($BC54=Lookup!$A$2,$BD54*ROUNDUP(BL54/10,0)+1,
IF($BC54=Lookup!$A$3,($BD54+1)^BK54,
IF($BC54=Lookup!$A$4,BL54*$BD54+1,"Error")))</f>
        <v>1</v>
      </c>
      <c r="BU54" s="320"/>
      <c r="BV54" s="321"/>
      <c r="BW54" s="321"/>
      <c r="BX54" s="321"/>
      <c r="BY54" s="321"/>
      <c r="BZ54" s="321"/>
      <c r="CA54" s="321"/>
      <c r="CB54" s="277"/>
      <c r="CC54" s="382" t="s">
        <v>293</v>
      </c>
      <c r="CD54" s="383">
        <f>HLOOKUP($CC54,$AK$6:$AM$132,ROWS(CD$6:CD54),0)</f>
        <v>0</v>
      </c>
      <c r="CE54" s="234">
        <f t="shared" si="33"/>
        <v>0</v>
      </c>
      <c r="CF54" s="96">
        <f t="shared" si="33"/>
        <v>0</v>
      </c>
      <c r="CG54" s="96">
        <f t="shared" si="33"/>
        <v>0</v>
      </c>
      <c r="CH54" s="96">
        <f t="shared" si="33"/>
        <v>0</v>
      </c>
      <c r="CI54" s="96">
        <f t="shared" si="64"/>
        <v>0</v>
      </c>
      <c r="CJ54" s="96">
        <f t="shared" si="64"/>
        <v>0</v>
      </c>
      <c r="CK54" s="96">
        <f t="shared" si="64"/>
        <v>0</v>
      </c>
      <c r="CL54" s="286">
        <f t="shared" si="64"/>
        <v>0</v>
      </c>
      <c r="CM54" s="305" t="s">
        <v>293</v>
      </c>
      <c r="CN54" s="315">
        <v>0.05</v>
      </c>
      <c r="CO54" s="306"/>
      <c r="CP54" s="307" t="str">
        <f>IF($CO54&lt;&gt;"",$CO54,HLOOKUP($CM54,$AY$6:$BA$132,ROWS(CP$6:CP54),0))</f>
        <v/>
      </c>
      <c r="CQ54" s="784" t="str">
        <f t="shared" si="63"/>
        <v/>
      </c>
      <c r="CR54" s="784" t="str">
        <f t="shared" si="63"/>
        <v/>
      </c>
      <c r="CS54" s="97" t="str">
        <f t="shared" si="63"/>
        <v/>
      </c>
      <c r="CT54" s="97" t="str">
        <f t="shared" si="63"/>
        <v/>
      </c>
      <c r="CU54" s="97" t="str">
        <f t="shared" si="63"/>
        <v/>
      </c>
      <c r="CV54" s="97" t="str">
        <f t="shared" si="63"/>
        <v/>
      </c>
      <c r="CW54" s="97" t="str">
        <f t="shared" si="63"/>
        <v/>
      </c>
      <c r="CX54" s="98" t="str">
        <f t="shared" si="46"/>
        <v/>
      </c>
      <c r="CY54" s="392"/>
    </row>
    <row r="55" spans="1:103" x14ac:dyDescent="0.25">
      <c r="A55" s="81" t="s">
        <v>106</v>
      </c>
      <c r="B55" s="82" t="s">
        <v>113</v>
      </c>
      <c r="C55" s="83" t="s">
        <v>333</v>
      </c>
      <c r="D55" s="84"/>
      <c r="E55" s="85"/>
      <c r="F55" s="85"/>
      <c r="G55" s="85"/>
      <c r="H55" s="85"/>
      <c r="I55" s="85">
        <v>0</v>
      </c>
      <c r="J55" s="85">
        <v>0</v>
      </c>
      <c r="K55" s="85">
        <v>0</v>
      </c>
      <c r="L55" s="85">
        <v>0</v>
      </c>
      <c r="M55" s="654">
        <f>'2022-23 Input'!D55</f>
        <v>0</v>
      </c>
      <c r="N55" s="1065">
        <v>0</v>
      </c>
      <c r="O55" s="560">
        <f t="shared" si="27"/>
        <v>0</v>
      </c>
      <c r="P55" s="561">
        <f t="shared" si="0"/>
        <v>0</v>
      </c>
      <c r="Q55" s="561">
        <f t="shared" si="1"/>
        <v>0</v>
      </c>
      <c r="R55" s="561">
        <f t="shared" si="2"/>
        <v>0</v>
      </c>
      <c r="S55" s="561">
        <f t="shared" si="3"/>
        <v>0</v>
      </c>
      <c r="T55" s="561">
        <f t="shared" si="4"/>
        <v>0</v>
      </c>
      <c r="U55" s="561">
        <f t="shared" si="5"/>
        <v>0</v>
      </c>
      <c r="V55" s="561">
        <f t="shared" si="6"/>
        <v>0</v>
      </c>
      <c r="W55" s="675">
        <f t="shared" si="7"/>
        <v>0</v>
      </c>
      <c r="X55" s="675">
        <f t="shared" si="8"/>
        <v>0</v>
      </c>
      <c r="Y55" s="675">
        <f t="shared" si="8"/>
        <v>0</v>
      </c>
      <c r="Z55" s="86"/>
      <c r="AA55" s="87"/>
      <c r="AB55" s="87"/>
      <c r="AC55" s="87"/>
      <c r="AD55" s="87"/>
      <c r="AE55" s="87">
        <v>0</v>
      </c>
      <c r="AF55" s="87">
        <v>0</v>
      </c>
      <c r="AG55" s="87">
        <v>0</v>
      </c>
      <c r="AH55" s="87">
        <v>0</v>
      </c>
      <c r="AI55" s="1094">
        <f>'2022-23 Input'!K55</f>
        <v>0</v>
      </c>
      <c r="AJ55" s="665">
        <v>0</v>
      </c>
      <c r="AK55" s="127">
        <f t="shared" si="47"/>
        <v>0</v>
      </c>
      <c r="AL55" s="128">
        <f t="shared" si="48"/>
        <v>0</v>
      </c>
      <c r="AM55" s="129">
        <f t="shared" si="49"/>
        <v>0</v>
      </c>
      <c r="AN55" s="91" t="str">
        <f t="shared" si="50"/>
        <v/>
      </c>
      <c r="AO55" s="92" t="str">
        <f t="shared" si="51"/>
        <v/>
      </c>
      <c r="AP55" s="92" t="str">
        <f t="shared" si="52"/>
        <v/>
      </c>
      <c r="AQ55" s="92" t="str">
        <f t="shared" si="53"/>
        <v/>
      </c>
      <c r="AR55" s="92" t="str">
        <f t="shared" si="54"/>
        <v/>
      </c>
      <c r="AS55" s="92" t="str">
        <f t="shared" si="55"/>
        <v/>
      </c>
      <c r="AT55" s="92" t="str">
        <f t="shared" si="56"/>
        <v/>
      </c>
      <c r="AU55" s="92" t="str">
        <f t="shared" si="57"/>
        <v/>
      </c>
      <c r="AV55" s="92" t="str">
        <f t="shared" ref="AV55:AX70" si="70">IFERROR(L55/AH55,"")</f>
        <v/>
      </c>
      <c r="AW55" s="92" t="str">
        <f t="shared" si="70"/>
        <v/>
      </c>
      <c r="AX55" s="92" t="str">
        <f t="shared" si="70"/>
        <v/>
      </c>
      <c r="AY55" s="93" t="str">
        <f t="shared" si="59"/>
        <v/>
      </c>
      <c r="AZ55" s="94" t="str">
        <f t="shared" si="60"/>
        <v/>
      </c>
      <c r="BA55" s="95" t="str">
        <f t="shared" si="61"/>
        <v/>
      </c>
      <c r="BB55" s="248" t="s">
        <v>422</v>
      </c>
      <c r="BC55" s="229" t="s">
        <v>433</v>
      </c>
      <c r="BD55" s="249">
        <v>0</v>
      </c>
      <c r="BE55" s="267">
        <f t="shared" si="28"/>
        <v>0</v>
      </c>
      <c r="BF55" s="268">
        <f t="shared" ref="BF55:BL70" si="71">IF(BF$6=$BB55,1,
IF(BE55&lt;&gt;0,BE55+1,0
))</f>
        <v>0</v>
      </c>
      <c r="BG55" s="268">
        <f t="shared" si="71"/>
        <v>0</v>
      </c>
      <c r="BH55" s="268">
        <f t="shared" si="71"/>
        <v>1</v>
      </c>
      <c r="BI55" s="268">
        <f t="shared" si="71"/>
        <v>2</v>
      </c>
      <c r="BJ55" s="268">
        <f t="shared" si="71"/>
        <v>3</v>
      </c>
      <c r="BK55" s="268">
        <f t="shared" si="71"/>
        <v>4</v>
      </c>
      <c r="BL55" s="269">
        <f t="shared" si="71"/>
        <v>5</v>
      </c>
      <c r="BM55" s="256">
        <f>IF($BC55=Lookup!$A$2,$BD55*ROUNDUP(BE55/10,0)+1,
IF($BC55=Lookup!$A$3,($BD55+1)^BD55,
IF($BC55=Lookup!$A$4,BE55*$BD55+1,"Error")))</f>
        <v>1</v>
      </c>
      <c r="BN55" s="229">
        <f>IF($BC55=Lookup!$A$2,$BD55*ROUNDUP(BF55/10,0)+1,
IF($BC55=Lookup!$A$3,($BD55+1)^BE55,
IF($BC55=Lookup!$A$4,BF55*$BD55+1,"Error")))</f>
        <v>1</v>
      </c>
      <c r="BO55" s="229">
        <f>IF($BC55=Lookup!$A$2,$BD55*ROUNDUP(BG55/10,0)+1,
IF($BC55=Lookup!$A$3,($BD55+1)^BF55,
IF($BC55=Lookup!$A$4,BG55*$BD55+1,"Error")))</f>
        <v>1</v>
      </c>
      <c r="BP55" s="229">
        <f>IF($BC55=Lookup!$A$2,$BD55*ROUNDUP(BH55/10,0)+1,
IF($BC55=Lookup!$A$3,($BD55+1)^BG55,
IF($BC55=Lookup!$A$4,BH55*$BD55+1,"Error")))</f>
        <v>1</v>
      </c>
      <c r="BQ55" s="229">
        <f>IF($BC55=Lookup!$A$2,$BD55*ROUNDUP(BI55/10,0)+1,
IF($BC55=Lookup!$A$3,($BD55+1)^BH55,
IF($BC55=Lookup!$A$4,BI55*$BD55+1,"Error")))</f>
        <v>1</v>
      </c>
      <c r="BR55" s="229">
        <f>IF($BC55=Lookup!$A$2,$BD55*ROUNDUP(BJ55/10,0)+1,
IF($BC55=Lookup!$A$3,($BD55+1)^BI55,
IF($BC55=Lookup!$A$4,BJ55*$BD55+1,"Error")))</f>
        <v>1</v>
      </c>
      <c r="BS55" s="229">
        <f>IF($BC55=Lookup!$A$2,$BD55*ROUNDUP(BK55/10,0)+1,
IF($BC55=Lookup!$A$3,($BD55+1)^BJ55,
IF($BC55=Lookup!$A$4,BK55*$BD55+1,"Error")))</f>
        <v>1</v>
      </c>
      <c r="BT55" s="249">
        <f>IF($BC55=Lookup!$A$2,$BD55*ROUNDUP(BL55/10,0)+1,
IF($BC55=Lookup!$A$3,($BD55+1)^BK55,
IF($BC55=Lookup!$A$4,BL55*$BD55+1,"Error")))</f>
        <v>1</v>
      </c>
      <c r="BU55" s="320"/>
      <c r="BV55" s="321"/>
      <c r="BW55" s="321"/>
      <c r="BX55" s="321"/>
      <c r="BY55" s="321"/>
      <c r="BZ55" s="321"/>
      <c r="CA55" s="321"/>
      <c r="CB55" s="277"/>
      <c r="CC55" s="382" t="s">
        <v>293</v>
      </c>
      <c r="CD55" s="383">
        <f>HLOOKUP($CC55,$AK$6:$AM$132,ROWS(CD$6:CD55),0)</f>
        <v>0</v>
      </c>
      <c r="CE55" s="234">
        <f t="shared" si="33"/>
        <v>0</v>
      </c>
      <c r="CF55" s="96">
        <f t="shared" si="33"/>
        <v>0</v>
      </c>
      <c r="CG55" s="96">
        <f t="shared" si="33"/>
        <v>0</v>
      </c>
      <c r="CH55" s="96">
        <f t="shared" si="33"/>
        <v>0</v>
      </c>
      <c r="CI55" s="96">
        <f t="shared" si="64"/>
        <v>0</v>
      </c>
      <c r="CJ55" s="96">
        <f t="shared" si="64"/>
        <v>0</v>
      </c>
      <c r="CK55" s="96">
        <f t="shared" si="64"/>
        <v>0</v>
      </c>
      <c r="CL55" s="286">
        <f t="shared" si="64"/>
        <v>0</v>
      </c>
      <c r="CM55" s="305" t="s">
        <v>293</v>
      </c>
      <c r="CN55" s="315">
        <v>0.05</v>
      </c>
      <c r="CO55" s="306"/>
      <c r="CP55" s="307" t="str">
        <f>IF($CO55&lt;&gt;"",$CO55,HLOOKUP($CM55,$AY$6:$BA$132,ROWS(CP$6:CP55),0))</f>
        <v/>
      </c>
      <c r="CQ55" s="784" t="str">
        <f t="shared" si="63"/>
        <v/>
      </c>
      <c r="CR55" s="784" t="str">
        <f t="shared" si="63"/>
        <v/>
      </c>
      <c r="CS55" s="97" t="str">
        <f t="shared" si="63"/>
        <v/>
      </c>
      <c r="CT55" s="97" t="str">
        <f t="shared" si="63"/>
        <v/>
      </c>
      <c r="CU55" s="97" t="str">
        <f t="shared" si="63"/>
        <v/>
      </c>
      <c r="CV55" s="97" t="str">
        <f t="shared" si="63"/>
        <v/>
      </c>
      <c r="CW55" s="97" t="str">
        <f t="shared" si="63"/>
        <v/>
      </c>
      <c r="CX55" s="98" t="str">
        <f t="shared" si="46"/>
        <v/>
      </c>
      <c r="CY55" s="392"/>
    </row>
    <row r="56" spans="1:103" x14ac:dyDescent="0.25">
      <c r="A56" s="81" t="s">
        <v>106</v>
      </c>
      <c r="B56" s="82" t="s">
        <v>115</v>
      </c>
      <c r="C56" s="83" t="s">
        <v>335</v>
      </c>
      <c r="D56" s="84"/>
      <c r="E56" s="85"/>
      <c r="F56" s="85"/>
      <c r="G56" s="85"/>
      <c r="H56" s="85"/>
      <c r="I56" s="85">
        <v>0</v>
      </c>
      <c r="J56" s="85">
        <v>0</v>
      </c>
      <c r="K56" s="85">
        <v>0</v>
      </c>
      <c r="L56" s="85">
        <v>0</v>
      </c>
      <c r="M56" s="654">
        <f>'2022-23 Input'!D56</f>
        <v>0</v>
      </c>
      <c r="N56" s="1065">
        <v>0</v>
      </c>
      <c r="O56" s="560">
        <f t="shared" si="27"/>
        <v>0</v>
      </c>
      <c r="P56" s="561">
        <f t="shared" si="0"/>
        <v>0</v>
      </c>
      <c r="Q56" s="561">
        <f t="shared" si="1"/>
        <v>0</v>
      </c>
      <c r="R56" s="561">
        <f t="shared" si="2"/>
        <v>0</v>
      </c>
      <c r="S56" s="561">
        <f t="shared" si="3"/>
        <v>0</v>
      </c>
      <c r="T56" s="561">
        <f t="shared" si="4"/>
        <v>0</v>
      </c>
      <c r="U56" s="561">
        <f t="shared" si="5"/>
        <v>0</v>
      </c>
      <c r="V56" s="561">
        <f t="shared" si="6"/>
        <v>0</v>
      </c>
      <c r="W56" s="675">
        <f t="shared" si="7"/>
        <v>0</v>
      </c>
      <c r="X56" s="675">
        <f t="shared" si="8"/>
        <v>0</v>
      </c>
      <c r="Y56" s="675">
        <f t="shared" si="8"/>
        <v>0</v>
      </c>
      <c r="Z56" s="86"/>
      <c r="AA56" s="87"/>
      <c r="AB56" s="87"/>
      <c r="AC56" s="87"/>
      <c r="AD56" s="87"/>
      <c r="AE56" s="87">
        <v>0</v>
      </c>
      <c r="AF56" s="87">
        <v>0</v>
      </c>
      <c r="AG56" s="87">
        <v>0</v>
      </c>
      <c r="AH56" s="87">
        <v>0</v>
      </c>
      <c r="AI56" s="1094">
        <f>'2022-23 Input'!K56</f>
        <v>0</v>
      </c>
      <c r="AJ56" s="665">
        <v>0</v>
      </c>
      <c r="AK56" s="127">
        <f t="shared" si="47"/>
        <v>0</v>
      </c>
      <c r="AL56" s="128">
        <f t="shared" si="48"/>
        <v>0</v>
      </c>
      <c r="AM56" s="129">
        <f t="shared" si="49"/>
        <v>0</v>
      </c>
      <c r="AN56" s="91" t="str">
        <f t="shared" si="50"/>
        <v/>
      </c>
      <c r="AO56" s="92" t="str">
        <f t="shared" si="51"/>
        <v/>
      </c>
      <c r="AP56" s="92" t="str">
        <f t="shared" si="52"/>
        <v/>
      </c>
      <c r="AQ56" s="92" t="str">
        <f t="shared" si="53"/>
        <v/>
      </c>
      <c r="AR56" s="92" t="str">
        <f t="shared" si="54"/>
        <v/>
      </c>
      <c r="AS56" s="92" t="str">
        <f t="shared" si="55"/>
        <v/>
      </c>
      <c r="AT56" s="92" t="str">
        <f t="shared" si="56"/>
        <v/>
      </c>
      <c r="AU56" s="92" t="str">
        <f t="shared" si="57"/>
        <v/>
      </c>
      <c r="AV56" s="92" t="str">
        <f t="shared" si="70"/>
        <v/>
      </c>
      <c r="AW56" s="92" t="str">
        <f t="shared" si="70"/>
        <v/>
      </c>
      <c r="AX56" s="92" t="str">
        <f t="shared" si="70"/>
        <v/>
      </c>
      <c r="AY56" s="93" t="str">
        <f t="shared" si="59"/>
        <v/>
      </c>
      <c r="AZ56" s="94" t="str">
        <f t="shared" si="60"/>
        <v/>
      </c>
      <c r="BA56" s="95" t="str">
        <f t="shared" si="61"/>
        <v/>
      </c>
      <c r="BB56" s="248" t="s">
        <v>422</v>
      </c>
      <c r="BC56" s="229" t="s">
        <v>433</v>
      </c>
      <c r="BD56" s="249">
        <v>0</v>
      </c>
      <c r="BE56" s="267">
        <f t="shared" si="28"/>
        <v>0</v>
      </c>
      <c r="BF56" s="268">
        <f t="shared" si="71"/>
        <v>0</v>
      </c>
      <c r="BG56" s="268">
        <f t="shared" si="71"/>
        <v>0</v>
      </c>
      <c r="BH56" s="268">
        <f t="shared" si="71"/>
        <v>1</v>
      </c>
      <c r="BI56" s="268">
        <f t="shared" si="71"/>
        <v>2</v>
      </c>
      <c r="BJ56" s="268">
        <f t="shared" si="71"/>
        <v>3</v>
      </c>
      <c r="BK56" s="268">
        <f t="shared" si="71"/>
        <v>4</v>
      </c>
      <c r="BL56" s="269">
        <f t="shared" si="71"/>
        <v>5</v>
      </c>
      <c r="BM56" s="256">
        <f>IF($BC56=Lookup!$A$2,$BD56*ROUNDUP(BE56/10,0)+1,
IF($BC56=Lookup!$A$3,($BD56+1)^BD56,
IF($BC56=Lookup!$A$4,BE56*$BD56+1,"Error")))</f>
        <v>1</v>
      </c>
      <c r="BN56" s="229">
        <f>IF($BC56=Lookup!$A$2,$BD56*ROUNDUP(BF56/10,0)+1,
IF($BC56=Lookup!$A$3,($BD56+1)^BE56,
IF($BC56=Lookup!$A$4,BF56*$BD56+1,"Error")))</f>
        <v>1</v>
      </c>
      <c r="BO56" s="229">
        <f>IF($BC56=Lookup!$A$2,$BD56*ROUNDUP(BG56/10,0)+1,
IF($BC56=Lookup!$A$3,($BD56+1)^BF56,
IF($BC56=Lookup!$A$4,BG56*$BD56+1,"Error")))</f>
        <v>1</v>
      </c>
      <c r="BP56" s="229">
        <f>IF($BC56=Lookup!$A$2,$BD56*ROUNDUP(BH56/10,0)+1,
IF($BC56=Lookup!$A$3,($BD56+1)^BG56,
IF($BC56=Lookup!$A$4,BH56*$BD56+1,"Error")))</f>
        <v>1</v>
      </c>
      <c r="BQ56" s="229">
        <f>IF($BC56=Lookup!$A$2,$BD56*ROUNDUP(BI56/10,0)+1,
IF($BC56=Lookup!$A$3,($BD56+1)^BH56,
IF($BC56=Lookup!$A$4,BI56*$BD56+1,"Error")))</f>
        <v>1</v>
      </c>
      <c r="BR56" s="229">
        <f>IF($BC56=Lookup!$A$2,$BD56*ROUNDUP(BJ56/10,0)+1,
IF($BC56=Lookup!$A$3,($BD56+1)^BI56,
IF($BC56=Lookup!$A$4,BJ56*$BD56+1,"Error")))</f>
        <v>1</v>
      </c>
      <c r="BS56" s="229">
        <f>IF($BC56=Lookup!$A$2,$BD56*ROUNDUP(BK56/10,0)+1,
IF($BC56=Lookup!$A$3,($BD56+1)^BJ56,
IF($BC56=Lookup!$A$4,BK56*$BD56+1,"Error")))</f>
        <v>1</v>
      </c>
      <c r="BT56" s="249">
        <f>IF($BC56=Lookup!$A$2,$BD56*ROUNDUP(BL56/10,0)+1,
IF($BC56=Lookup!$A$3,($BD56+1)^BK56,
IF($BC56=Lookup!$A$4,BL56*$BD56+1,"Error")))</f>
        <v>1</v>
      </c>
      <c r="BU56" s="320"/>
      <c r="BV56" s="321"/>
      <c r="BW56" s="321"/>
      <c r="BX56" s="321"/>
      <c r="BY56" s="321"/>
      <c r="BZ56" s="321"/>
      <c r="CA56" s="321"/>
      <c r="CB56" s="277"/>
      <c r="CC56" s="382" t="s">
        <v>293</v>
      </c>
      <c r="CD56" s="383">
        <f>HLOOKUP($CC56,$AK$6:$AM$132,ROWS(CD$6:CD56),0)</f>
        <v>0</v>
      </c>
      <c r="CE56" s="239">
        <f t="shared" si="33"/>
        <v>0</v>
      </c>
      <c r="CF56" s="140">
        <f t="shared" si="33"/>
        <v>0</v>
      </c>
      <c r="CG56" s="140">
        <f t="shared" si="33"/>
        <v>0</v>
      </c>
      <c r="CH56" s="140">
        <f t="shared" si="33"/>
        <v>0</v>
      </c>
      <c r="CI56" s="140">
        <f t="shared" si="64"/>
        <v>0</v>
      </c>
      <c r="CJ56" s="140">
        <f t="shared" si="64"/>
        <v>0</v>
      </c>
      <c r="CK56" s="140">
        <f t="shared" si="64"/>
        <v>0</v>
      </c>
      <c r="CL56" s="291">
        <f t="shared" si="64"/>
        <v>0</v>
      </c>
      <c r="CM56" s="305" t="s">
        <v>293</v>
      </c>
      <c r="CN56" s="315">
        <v>0.05</v>
      </c>
      <c r="CO56" s="306"/>
      <c r="CP56" s="307" t="str">
        <f>IF($CO56&lt;&gt;"",$CO56,HLOOKUP($CM56,$AY$6:$BA$132,ROWS(CP$6:CP56),0))</f>
        <v/>
      </c>
      <c r="CQ56" s="784" t="str">
        <f t="shared" si="63"/>
        <v/>
      </c>
      <c r="CR56" s="784" t="str">
        <f t="shared" si="63"/>
        <v/>
      </c>
      <c r="CS56" s="97" t="str">
        <f t="shared" si="63"/>
        <v/>
      </c>
      <c r="CT56" s="97" t="str">
        <f t="shared" si="63"/>
        <v/>
      </c>
      <c r="CU56" s="97" t="str">
        <f t="shared" si="63"/>
        <v/>
      </c>
      <c r="CV56" s="97" t="str">
        <f t="shared" si="63"/>
        <v/>
      </c>
      <c r="CW56" s="97" t="str">
        <f t="shared" si="63"/>
        <v/>
      </c>
      <c r="CX56" s="98" t="str">
        <f t="shared" si="46"/>
        <v/>
      </c>
      <c r="CY56" s="392"/>
    </row>
    <row r="57" spans="1:103" x14ac:dyDescent="0.25">
      <c r="A57" s="81" t="s">
        <v>106</v>
      </c>
      <c r="B57" s="82" t="s">
        <v>117</v>
      </c>
      <c r="C57" s="83" t="s">
        <v>337</v>
      </c>
      <c r="D57" s="84"/>
      <c r="E57" s="85"/>
      <c r="F57" s="85"/>
      <c r="G57" s="85"/>
      <c r="H57" s="85"/>
      <c r="I57" s="85">
        <v>0</v>
      </c>
      <c r="J57" s="85">
        <v>0</v>
      </c>
      <c r="K57" s="85">
        <v>0</v>
      </c>
      <c r="L57" s="85">
        <v>0</v>
      </c>
      <c r="M57" s="654">
        <f>'2022-23 Input'!D57</f>
        <v>0</v>
      </c>
      <c r="N57" s="1065">
        <v>0</v>
      </c>
      <c r="O57" s="560">
        <f t="shared" si="27"/>
        <v>0</v>
      </c>
      <c r="P57" s="561">
        <f t="shared" si="0"/>
        <v>0</v>
      </c>
      <c r="Q57" s="561">
        <f t="shared" si="1"/>
        <v>0</v>
      </c>
      <c r="R57" s="561">
        <f t="shared" si="2"/>
        <v>0</v>
      </c>
      <c r="S57" s="561">
        <f t="shared" si="3"/>
        <v>0</v>
      </c>
      <c r="T57" s="561">
        <f t="shared" si="4"/>
        <v>0</v>
      </c>
      <c r="U57" s="561">
        <f t="shared" si="5"/>
        <v>0</v>
      </c>
      <c r="V57" s="561">
        <f t="shared" si="6"/>
        <v>0</v>
      </c>
      <c r="W57" s="675">
        <f t="shared" si="7"/>
        <v>0</v>
      </c>
      <c r="X57" s="675">
        <f t="shared" si="8"/>
        <v>0</v>
      </c>
      <c r="Y57" s="675">
        <f t="shared" si="8"/>
        <v>0</v>
      </c>
      <c r="Z57" s="86"/>
      <c r="AA57" s="87"/>
      <c r="AB57" s="87"/>
      <c r="AC57" s="87"/>
      <c r="AD57" s="87"/>
      <c r="AE57" s="87">
        <v>0</v>
      </c>
      <c r="AF57" s="87">
        <v>0</v>
      </c>
      <c r="AG57" s="87">
        <v>0</v>
      </c>
      <c r="AH57" s="87">
        <v>0</v>
      </c>
      <c r="AI57" s="1094">
        <f>'2022-23 Input'!K57</f>
        <v>0</v>
      </c>
      <c r="AJ57" s="665">
        <v>0</v>
      </c>
      <c r="AK57" s="127">
        <f t="shared" si="47"/>
        <v>0</v>
      </c>
      <c r="AL57" s="128">
        <f t="shared" si="48"/>
        <v>0</v>
      </c>
      <c r="AM57" s="129">
        <f t="shared" si="49"/>
        <v>0</v>
      </c>
      <c r="AN57" s="91" t="str">
        <f t="shared" si="50"/>
        <v/>
      </c>
      <c r="AO57" s="92" t="str">
        <f t="shared" si="51"/>
        <v/>
      </c>
      <c r="AP57" s="92" t="str">
        <f t="shared" si="52"/>
        <v/>
      </c>
      <c r="AQ57" s="92" t="str">
        <f t="shared" si="53"/>
        <v/>
      </c>
      <c r="AR57" s="92" t="str">
        <f t="shared" si="54"/>
        <v/>
      </c>
      <c r="AS57" s="92" t="str">
        <f t="shared" si="55"/>
        <v/>
      </c>
      <c r="AT57" s="92" t="str">
        <f t="shared" si="56"/>
        <v/>
      </c>
      <c r="AU57" s="92" t="str">
        <f t="shared" si="57"/>
        <v/>
      </c>
      <c r="AV57" s="92" t="str">
        <f t="shared" si="70"/>
        <v/>
      </c>
      <c r="AW57" s="92" t="str">
        <f t="shared" si="70"/>
        <v/>
      </c>
      <c r="AX57" s="92" t="str">
        <f t="shared" si="70"/>
        <v/>
      </c>
      <c r="AY57" s="93" t="str">
        <f t="shared" si="59"/>
        <v/>
      </c>
      <c r="AZ57" s="94" t="str">
        <f t="shared" si="60"/>
        <v/>
      </c>
      <c r="BA57" s="95" t="str">
        <f t="shared" si="61"/>
        <v/>
      </c>
      <c r="BB57" s="248" t="s">
        <v>422</v>
      </c>
      <c r="BC57" s="229" t="s">
        <v>433</v>
      </c>
      <c r="BD57" s="249">
        <v>0</v>
      </c>
      <c r="BE57" s="267">
        <f t="shared" si="28"/>
        <v>0</v>
      </c>
      <c r="BF57" s="268">
        <f t="shared" si="71"/>
        <v>0</v>
      </c>
      <c r="BG57" s="268">
        <f t="shared" si="71"/>
        <v>0</v>
      </c>
      <c r="BH57" s="268">
        <f t="shared" si="71"/>
        <v>1</v>
      </c>
      <c r="BI57" s="268">
        <f t="shared" si="71"/>
        <v>2</v>
      </c>
      <c r="BJ57" s="268">
        <f t="shared" si="71"/>
        <v>3</v>
      </c>
      <c r="BK57" s="268">
        <f t="shared" si="71"/>
        <v>4</v>
      </c>
      <c r="BL57" s="269">
        <f t="shared" si="71"/>
        <v>5</v>
      </c>
      <c r="BM57" s="256">
        <f>IF($BC57=Lookup!$A$2,$BD57*ROUNDUP(BE57/10,0)+1,
IF($BC57=Lookup!$A$3,($BD57+1)^BD57,
IF($BC57=Lookup!$A$4,BE57*$BD57+1,"Error")))</f>
        <v>1</v>
      </c>
      <c r="BN57" s="229">
        <f>IF($BC57=Lookup!$A$2,$BD57*ROUNDUP(BF57/10,0)+1,
IF($BC57=Lookup!$A$3,($BD57+1)^BE57,
IF($BC57=Lookup!$A$4,BF57*$BD57+1,"Error")))</f>
        <v>1</v>
      </c>
      <c r="BO57" s="229">
        <f>IF($BC57=Lookup!$A$2,$BD57*ROUNDUP(BG57/10,0)+1,
IF($BC57=Lookup!$A$3,($BD57+1)^BF57,
IF($BC57=Lookup!$A$4,BG57*$BD57+1,"Error")))</f>
        <v>1</v>
      </c>
      <c r="BP57" s="229">
        <f>IF($BC57=Lookup!$A$2,$BD57*ROUNDUP(BH57/10,0)+1,
IF($BC57=Lookup!$A$3,($BD57+1)^BG57,
IF($BC57=Lookup!$A$4,BH57*$BD57+1,"Error")))</f>
        <v>1</v>
      </c>
      <c r="BQ57" s="229">
        <f>IF($BC57=Lookup!$A$2,$BD57*ROUNDUP(BI57/10,0)+1,
IF($BC57=Lookup!$A$3,($BD57+1)^BH57,
IF($BC57=Lookup!$A$4,BI57*$BD57+1,"Error")))</f>
        <v>1</v>
      </c>
      <c r="BR57" s="229">
        <f>IF($BC57=Lookup!$A$2,$BD57*ROUNDUP(BJ57/10,0)+1,
IF($BC57=Lookup!$A$3,($BD57+1)^BI57,
IF($BC57=Lookup!$A$4,BJ57*$BD57+1,"Error")))</f>
        <v>1</v>
      </c>
      <c r="BS57" s="229">
        <f>IF($BC57=Lookup!$A$2,$BD57*ROUNDUP(BK57/10,0)+1,
IF($BC57=Lookup!$A$3,($BD57+1)^BJ57,
IF($BC57=Lookup!$A$4,BK57*$BD57+1,"Error")))</f>
        <v>1</v>
      </c>
      <c r="BT57" s="249">
        <f>IF($BC57=Lookup!$A$2,$BD57*ROUNDUP(BL57/10,0)+1,
IF($BC57=Lookup!$A$3,($BD57+1)^BK57,
IF($BC57=Lookup!$A$4,BL57*$BD57+1,"Error")))</f>
        <v>1</v>
      </c>
      <c r="BU57" s="320"/>
      <c r="BV57" s="321"/>
      <c r="BW57" s="321"/>
      <c r="BX57" s="321"/>
      <c r="BY57" s="321"/>
      <c r="BZ57" s="321"/>
      <c r="CA57" s="321"/>
      <c r="CB57" s="277"/>
      <c r="CC57" s="382" t="s">
        <v>293</v>
      </c>
      <c r="CD57" s="383">
        <f>HLOOKUP($CC57,$AK$6:$AM$132,ROWS(CD$6:CD57),0)</f>
        <v>0</v>
      </c>
      <c r="CE57" s="239">
        <f t="shared" si="33"/>
        <v>0</v>
      </c>
      <c r="CF57" s="140">
        <f t="shared" si="33"/>
        <v>0</v>
      </c>
      <c r="CG57" s="140">
        <f t="shared" si="33"/>
        <v>0</v>
      </c>
      <c r="CH57" s="140">
        <f t="shared" si="33"/>
        <v>0</v>
      </c>
      <c r="CI57" s="140">
        <f t="shared" si="64"/>
        <v>0</v>
      </c>
      <c r="CJ57" s="140">
        <f t="shared" si="64"/>
        <v>0</v>
      </c>
      <c r="CK57" s="140">
        <f t="shared" si="64"/>
        <v>0</v>
      </c>
      <c r="CL57" s="291">
        <f t="shared" si="64"/>
        <v>0</v>
      </c>
      <c r="CM57" s="305" t="s">
        <v>293</v>
      </c>
      <c r="CN57" s="315">
        <v>0.05</v>
      </c>
      <c r="CO57" s="306"/>
      <c r="CP57" s="307" t="str">
        <f>IF($CO57&lt;&gt;"",$CO57,HLOOKUP($CM57,$AY$6:$BA$132,ROWS(CP$6:CP57),0))</f>
        <v/>
      </c>
      <c r="CQ57" s="784" t="str">
        <f t="shared" si="63"/>
        <v/>
      </c>
      <c r="CR57" s="784" t="str">
        <f t="shared" si="63"/>
        <v/>
      </c>
      <c r="CS57" s="97" t="str">
        <f t="shared" si="63"/>
        <v/>
      </c>
      <c r="CT57" s="97" t="str">
        <f t="shared" si="63"/>
        <v/>
      </c>
      <c r="CU57" s="97" t="str">
        <f t="shared" si="63"/>
        <v/>
      </c>
      <c r="CV57" s="97" t="str">
        <f t="shared" si="63"/>
        <v/>
      </c>
      <c r="CW57" s="97" t="str">
        <f t="shared" si="63"/>
        <v/>
      </c>
      <c r="CX57" s="98" t="str">
        <f t="shared" si="46"/>
        <v/>
      </c>
      <c r="CY57" s="392"/>
    </row>
    <row r="58" spans="1:103" x14ac:dyDescent="0.25">
      <c r="A58" s="81" t="s">
        <v>106</v>
      </c>
      <c r="B58" s="82" t="s">
        <v>119</v>
      </c>
      <c r="C58" s="83" t="s">
        <v>339</v>
      </c>
      <c r="D58" s="84"/>
      <c r="E58" s="85"/>
      <c r="F58" s="85"/>
      <c r="G58" s="85"/>
      <c r="H58" s="85"/>
      <c r="I58" s="85">
        <v>0</v>
      </c>
      <c r="J58" s="85">
        <v>0</v>
      </c>
      <c r="K58" s="85">
        <v>0</v>
      </c>
      <c r="L58" s="85">
        <v>0</v>
      </c>
      <c r="M58" s="654">
        <f>'2022-23 Input'!D58</f>
        <v>0</v>
      </c>
      <c r="N58" s="1065">
        <v>0</v>
      </c>
      <c r="O58" s="560">
        <f t="shared" si="27"/>
        <v>0</v>
      </c>
      <c r="P58" s="561">
        <f t="shared" si="0"/>
        <v>0</v>
      </c>
      <c r="Q58" s="561">
        <f t="shared" si="1"/>
        <v>0</v>
      </c>
      <c r="R58" s="561">
        <f t="shared" si="2"/>
        <v>0</v>
      </c>
      <c r="S58" s="561">
        <f t="shared" si="3"/>
        <v>0</v>
      </c>
      <c r="T58" s="561">
        <f t="shared" si="4"/>
        <v>0</v>
      </c>
      <c r="U58" s="561">
        <f t="shared" si="5"/>
        <v>0</v>
      </c>
      <c r="V58" s="561">
        <f t="shared" si="6"/>
        <v>0</v>
      </c>
      <c r="W58" s="675">
        <f t="shared" si="7"/>
        <v>0</v>
      </c>
      <c r="X58" s="675">
        <f t="shared" si="8"/>
        <v>0</v>
      </c>
      <c r="Y58" s="675">
        <f t="shared" si="8"/>
        <v>0</v>
      </c>
      <c r="Z58" s="86"/>
      <c r="AA58" s="87"/>
      <c r="AB58" s="87"/>
      <c r="AC58" s="87"/>
      <c r="AD58" s="87"/>
      <c r="AE58" s="87">
        <v>0</v>
      </c>
      <c r="AF58" s="87">
        <v>0</v>
      </c>
      <c r="AG58" s="87">
        <v>0</v>
      </c>
      <c r="AH58" s="87">
        <v>0</v>
      </c>
      <c r="AI58" s="1094">
        <f>'2022-23 Input'!K58</f>
        <v>0</v>
      </c>
      <c r="AJ58" s="665">
        <v>0</v>
      </c>
      <c r="AK58" s="127">
        <f t="shared" si="47"/>
        <v>0</v>
      </c>
      <c r="AL58" s="128">
        <f t="shared" si="48"/>
        <v>0</v>
      </c>
      <c r="AM58" s="129">
        <f t="shared" si="49"/>
        <v>0</v>
      </c>
      <c r="AN58" s="91" t="str">
        <f t="shared" si="50"/>
        <v/>
      </c>
      <c r="AO58" s="92" t="str">
        <f t="shared" si="51"/>
        <v/>
      </c>
      <c r="AP58" s="92" t="str">
        <f t="shared" si="52"/>
        <v/>
      </c>
      <c r="AQ58" s="92" t="str">
        <f t="shared" si="53"/>
        <v/>
      </c>
      <c r="AR58" s="92" t="str">
        <f t="shared" si="54"/>
        <v/>
      </c>
      <c r="AS58" s="92" t="str">
        <f t="shared" si="55"/>
        <v/>
      </c>
      <c r="AT58" s="92" t="str">
        <f t="shared" si="56"/>
        <v/>
      </c>
      <c r="AU58" s="92" t="str">
        <f t="shared" si="57"/>
        <v/>
      </c>
      <c r="AV58" s="92" t="str">
        <f t="shared" si="70"/>
        <v/>
      </c>
      <c r="AW58" s="92" t="str">
        <f t="shared" si="70"/>
        <v/>
      </c>
      <c r="AX58" s="92" t="str">
        <f t="shared" si="70"/>
        <v/>
      </c>
      <c r="AY58" s="93" t="str">
        <f t="shared" si="59"/>
        <v/>
      </c>
      <c r="AZ58" s="94" t="str">
        <f t="shared" si="60"/>
        <v/>
      </c>
      <c r="BA58" s="95" t="str">
        <f t="shared" si="61"/>
        <v/>
      </c>
      <c r="BB58" s="248" t="s">
        <v>422</v>
      </c>
      <c r="BC58" s="229" t="s">
        <v>433</v>
      </c>
      <c r="BD58" s="249">
        <v>0</v>
      </c>
      <c r="BE58" s="267">
        <f t="shared" si="28"/>
        <v>0</v>
      </c>
      <c r="BF58" s="268">
        <f t="shared" si="71"/>
        <v>0</v>
      </c>
      <c r="BG58" s="268">
        <f t="shared" si="71"/>
        <v>0</v>
      </c>
      <c r="BH58" s="268">
        <f t="shared" si="71"/>
        <v>1</v>
      </c>
      <c r="BI58" s="268">
        <f t="shared" si="71"/>
        <v>2</v>
      </c>
      <c r="BJ58" s="268">
        <f t="shared" si="71"/>
        <v>3</v>
      </c>
      <c r="BK58" s="268">
        <f t="shared" si="71"/>
        <v>4</v>
      </c>
      <c r="BL58" s="269">
        <f t="shared" si="71"/>
        <v>5</v>
      </c>
      <c r="BM58" s="256">
        <f>IF($BC58=Lookup!$A$2,$BD58*ROUNDUP(BE58/10,0)+1,
IF($BC58=Lookup!$A$3,($BD58+1)^BD58,
IF($BC58=Lookup!$A$4,BE58*$BD58+1,"Error")))</f>
        <v>1</v>
      </c>
      <c r="BN58" s="229">
        <f>IF($BC58=Lookup!$A$2,$BD58*ROUNDUP(BF58/10,0)+1,
IF($BC58=Lookup!$A$3,($BD58+1)^BE58,
IF($BC58=Lookup!$A$4,BF58*$BD58+1,"Error")))</f>
        <v>1</v>
      </c>
      <c r="BO58" s="229">
        <f>IF($BC58=Lookup!$A$2,$BD58*ROUNDUP(BG58/10,0)+1,
IF($BC58=Lookup!$A$3,($BD58+1)^BF58,
IF($BC58=Lookup!$A$4,BG58*$BD58+1,"Error")))</f>
        <v>1</v>
      </c>
      <c r="BP58" s="229">
        <f>IF($BC58=Lookup!$A$2,$BD58*ROUNDUP(BH58/10,0)+1,
IF($BC58=Lookup!$A$3,($BD58+1)^BG58,
IF($BC58=Lookup!$A$4,BH58*$BD58+1,"Error")))</f>
        <v>1</v>
      </c>
      <c r="BQ58" s="229">
        <f>IF($BC58=Lookup!$A$2,$BD58*ROUNDUP(BI58/10,0)+1,
IF($BC58=Lookup!$A$3,($BD58+1)^BH58,
IF($BC58=Lookup!$A$4,BI58*$BD58+1,"Error")))</f>
        <v>1</v>
      </c>
      <c r="BR58" s="229">
        <f>IF($BC58=Lookup!$A$2,$BD58*ROUNDUP(BJ58/10,0)+1,
IF($BC58=Lookup!$A$3,($BD58+1)^BI58,
IF($BC58=Lookup!$A$4,BJ58*$BD58+1,"Error")))</f>
        <v>1</v>
      </c>
      <c r="BS58" s="229">
        <f>IF($BC58=Lookup!$A$2,$BD58*ROUNDUP(BK58/10,0)+1,
IF($BC58=Lookup!$A$3,($BD58+1)^BJ58,
IF($BC58=Lookup!$A$4,BK58*$BD58+1,"Error")))</f>
        <v>1</v>
      </c>
      <c r="BT58" s="249">
        <f>IF($BC58=Lookup!$A$2,$BD58*ROUNDUP(BL58/10,0)+1,
IF($BC58=Lookup!$A$3,($BD58+1)^BK58,
IF($BC58=Lookup!$A$4,BL58*$BD58+1,"Error")))</f>
        <v>1</v>
      </c>
      <c r="BU58" s="320"/>
      <c r="BV58" s="321"/>
      <c r="BW58" s="321"/>
      <c r="BX58" s="321"/>
      <c r="BY58" s="321"/>
      <c r="BZ58" s="321"/>
      <c r="CA58" s="321"/>
      <c r="CB58" s="277"/>
      <c r="CC58" s="382" t="s">
        <v>293</v>
      </c>
      <c r="CD58" s="383">
        <f>HLOOKUP($CC58,$AK$6:$AM$132,ROWS(CD$6:CD58),0)</f>
        <v>0</v>
      </c>
      <c r="CE58" s="239">
        <f t="shared" si="33"/>
        <v>0</v>
      </c>
      <c r="CF58" s="140">
        <f t="shared" si="33"/>
        <v>0</v>
      </c>
      <c r="CG58" s="140">
        <f t="shared" si="33"/>
        <v>0</v>
      </c>
      <c r="CH58" s="140">
        <f t="shared" si="33"/>
        <v>0</v>
      </c>
      <c r="CI58" s="140">
        <f t="shared" si="64"/>
        <v>0</v>
      </c>
      <c r="CJ58" s="140">
        <f t="shared" si="64"/>
        <v>0</v>
      </c>
      <c r="CK58" s="140">
        <f t="shared" si="64"/>
        <v>0</v>
      </c>
      <c r="CL58" s="291">
        <f t="shared" si="64"/>
        <v>0</v>
      </c>
      <c r="CM58" s="305" t="s">
        <v>293</v>
      </c>
      <c r="CN58" s="315">
        <v>0.05</v>
      </c>
      <c r="CO58" s="306"/>
      <c r="CP58" s="307" t="str">
        <f>IF($CO58&lt;&gt;"",$CO58,HLOOKUP($CM58,$AY$6:$BA$132,ROWS(CP$6:CP58),0))</f>
        <v/>
      </c>
      <c r="CQ58" s="784" t="str">
        <f t="shared" si="63"/>
        <v/>
      </c>
      <c r="CR58" s="784" t="str">
        <f t="shared" si="63"/>
        <v/>
      </c>
      <c r="CS58" s="97" t="str">
        <f t="shared" si="63"/>
        <v/>
      </c>
      <c r="CT58" s="97" t="str">
        <f t="shared" si="63"/>
        <v/>
      </c>
      <c r="CU58" s="97" t="str">
        <f t="shared" si="63"/>
        <v/>
      </c>
      <c r="CV58" s="97" t="str">
        <f t="shared" si="63"/>
        <v/>
      </c>
      <c r="CW58" s="97" t="str">
        <f t="shared" si="63"/>
        <v/>
      </c>
      <c r="CX58" s="98" t="str">
        <f t="shared" si="46"/>
        <v/>
      </c>
      <c r="CY58" s="392"/>
    </row>
    <row r="59" spans="1:103" x14ac:dyDescent="0.25">
      <c r="A59" s="81" t="s">
        <v>106</v>
      </c>
      <c r="B59" s="82" t="s">
        <v>121</v>
      </c>
      <c r="C59" s="83" t="s">
        <v>341</v>
      </c>
      <c r="D59" s="84"/>
      <c r="E59" s="85"/>
      <c r="F59" s="85"/>
      <c r="G59" s="85"/>
      <c r="H59" s="85"/>
      <c r="I59" s="85">
        <v>0</v>
      </c>
      <c r="J59" s="85">
        <v>0</v>
      </c>
      <c r="K59" s="85">
        <v>0</v>
      </c>
      <c r="L59" s="85">
        <v>0</v>
      </c>
      <c r="M59" s="654">
        <f>'2022-23 Input'!D59</f>
        <v>0</v>
      </c>
      <c r="N59" s="1065">
        <v>0</v>
      </c>
      <c r="O59" s="560">
        <f t="shared" si="27"/>
        <v>0</v>
      </c>
      <c r="P59" s="561">
        <f t="shared" si="0"/>
        <v>0</v>
      </c>
      <c r="Q59" s="561">
        <f t="shared" si="1"/>
        <v>0</v>
      </c>
      <c r="R59" s="561">
        <f t="shared" si="2"/>
        <v>0</v>
      </c>
      <c r="S59" s="561">
        <f t="shared" si="3"/>
        <v>0</v>
      </c>
      <c r="T59" s="561">
        <f t="shared" si="4"/>
        <v>0</v>
      </c>
      <c r="U59" s="561">
        <f t="shared" si="5"/>
        <v>0</v>
      </c>
      <c r="V59" s="561">
        <f t="shared" si="6"/>
        <v>0</v>
      </c>
      <c r="W59" s="675">
        <f t="shared" si="7"/>
        <v>0</v>
      </c>
      <c r="X59" s="675">
        <f t="shared" si="8"/>
        <v>0</v>
      </c>
      <c r="Y59" s="675">
        <f t="shared" si="8"/>
        <v>0</v>
      </c>
      <c r="Z59" s="86"/>
      <c r="AA59" s="87"/>
      <c r="AB59" s="87"/>
      <c r="AC59" s="87"/>
      <c r="AD59" s="87"/>
      <c r="AE59" s="87">
        <v>0</v>
      </c>
      <c r="AF59" s="87">
        <v>0</v>
      </c>
      <c r="AG59" s="87">
        <v>0</v>
      </c>
      <c r="AH59" s="87">
        <v>0</v>
      </c>
      <c r="AI59" s="1094">
        <f>'2022-23 Input'!K59</f>
        <v>0</v>
      </c>
      <c r="AJ59" s="665">
        <v>0</v>
      </c>
      <c r="AK59" s="127">
        <f t="shared" si="47"/>
        <v>0</v>
      </c>
      <c r="AL59" s="128">
        <f t="shared" si="48"/>
        <v>0</v>
      </c>
      <c r="AM59" s="129">
        <f t="shared" si="49"/>
        <v>0</v>
      </c>
      <c r="AN59" s="91" t="str">
        <f t="shared" si="50"/>
        <v/>
      </c>
      <c r="AO59" s="92" t="str">
        <f t="shared" si="51"/>
        <v/>
      </c>
      <c r="AP59" s="92" t="str">
        <f t="shared" si="52"/>
        <v/>
      </c>
      <c r="AQ59" s="92" t="str">
        <f t="shared" si="53"/>
        <v/>
      </c>
      <c r="AR59" s="92" t="str">
        <f t="shared" si="54"/>
        <v/>
      </c>
      <c r="AS59" s="92" t="str">
        <f t="shared" si="55"/>
        <v/>
      </c>
      <c r="AT59" s="92" t="str">
        <f t="shared" si="56"/>
        <v/>
      </c>
      <c r="AU59" s="92" t="str">
        <f t="shared" si="57"/>
        <v/>
      </c>
      <c r="AV59" s="92" t="str">
        <f t="shared" si="70"/>
        <v/>
      </c>
      <c r="AW59" s="92" t="str">
        <f t="shared" si="70"/>
        <v/>
      </c>
      <c r="AX59" s="92" t="str">
        <f t="shared" si="70"/>
        <v/>
      </c>
      <c r="AY59" s="93" t="str">
        <f t="shared" si="59"/>
        <v/>
      </c>
      <c r="AZ59" s="94" t="str">
        <f t="shared" si="60"/>
        <v/>
      </c>
      <c r="BA59" s="95" t="str">
        <f t="shared" si="61"/>
        <v/>
      </c>
      <c r="BB59" s="248" t="s">
        <v>422</v>
      </c>
      <c r="BC59" s="229" t="s">
        <v>433</v>
      </c>
      <c r="BD59" s="249">
        <v>0</v>
      </c>
      <c r="BE59" s="267">
        <f t="shared" si="28"/>
        <v>0</v>
      </c>
      <c r="BF59" s="268">
        <f t="shared" si="71"/>
        <v>0</v>
      </c>
      <c r="BG59" s="268">
        <f t="shared" si="71"/>
        <v>0</v>
      </c>
      <c r="BH59" s="268">
        <f t="shared" si="71"/>
        <v>1</v>
      </c>
      <c r="BI59" s="268">
        <f t="shared" si="71"/>
        <v>2</v>
      </c>
      <c r="BJ59" s="268">
        <f t="shared" si="71"/>
        <v>3</v>
      </c>
      <c r="BK59" s="268">
        <f t="shared" si="71"/>
        <v>4</v>
      </c>
      <c r="BL59" s="269">
        <f t="shared" si="71"/>
        <v>5</v>
      </c>
      <c r="BM59" s="256">
        <f>IF($BC59=Lookup!$A$2,$BD59*ROUNDUP(BE59/10,0)+1,
IF($BC59=Lookup!$A$3,($BD59+1)^BD59,
IF($BC59=Lookup!$A$4,BE59*$BD59+1,"Error")))</f>
        <v>1</v>
      </c>
      <c r="BN59" s="229">
        <f>IF($BC59=Lookup!$A$2,$BD59*ROUNDUP(BF59/10,0)+1,
IF($BC59=Lookup!$A$3,($BD59+1)^BE59,
IF($BC59=Lookup!$A$4,BF59*$BD59+1,"Error")))</f>
        <v>1</v>
      </c>
      <c r="BO59" s="229">
        <f>IF($BC59=Lookup!$A$2,$BD59*ROUNDUP(BG59/10,0)+1,
IF($BC59=Lookup!$A$3,($BD59+1)^BF59,
IF($BC59=Lookup!$A$4,BG59*$BD59+1,"Error")))</f>
        <v>1</v>
      </c>
      <c r="BP59" s="229">
        <f>IF($BC59=Lookup!$A$2,$BD59*ROUNDUP(BH59/10,0)+1,
IF($BC59=Lookup!$A$3,($BD59+1)^BG59,
IF($BC59=Lookup!$A$4,BH59*$BD59+1,"Error")))</f>
        <v>1</v>
      </c>
      <c r="BQ59" s="229">
        <f>IF($BC59=Lookup!$A$2,$BD59*ROUNDUP(BI59/10,0)+1,
IF($BC59=Lookup!$A$3,($BD59+1)^BH59,
IF($BC59=Lookup!$A$4,BI59*$BD59+1,"Error")))</f>
        <v>1</v>
      </c>
      <c r="BR59" s="229">
        <f>IF($BC59=Lookup!$A$2,$BD59*ROUNDUP(BJ59/10,0)+1,
IF($BC59=Lookup!$A$3,($BD59+1)^BI59,
IF($BC59=Lookup!$A$4,BJ59*$BD59+1,"Error")))</f>
        <v>1</v>
      </c>
      <c r="BS59" s="229">
        <f>IF($BC59=Lookup!$A$2,$BD59*ROUNDUP(BK59/10,0)+1,
IF($BC59=Lookup!$A$3,($BD59+1)^BJ59,
IF($BC59=Lookup!$A$4,BK59*$BD59+1,"Error")))</f>
        <v>1</v>
      </c>
      <c r="BT59" s="249">
        <f>IF($BC59=Lookup!$A$2,$BD59*ROUNDUP(BL59/10,0)+1,
IF($BC59=Lookup!$A$3,($BD59+1)^BK59,
IF($BC59=Lookup!$A$4,BL59*$BD59+1,"Error")))</f>
        <v>1</v>
      </c>
      <c r="BU59" s="320"/>
      <c r="BV59" s="321"/>
      <c r="BW59" s="321"/>
      <c r="BX59" s="321"/>
      <c r="BY59" s="321"/>
      <c r="BZ59" s="321"/>
      <c r="CA59" s="321"/>
      <c r="CB59" s="277"/>
      <c r="CC59" s="382" t="s">
        <v>293</v>
      </c>
      <c r="CD59" s="383">
        <f>HLOOKUP($CC59,$AK$6:$AM$132,ROWS(CD$6:CD59),0)</f>
        <v>0</v>
      </c>
      <c r="CE59" s="239">
        <f t="shared" si="33"/>
        <v>0</v>
      </c>
      <c r="CF59" s="140">
        <f t="shared" si="33"/>
        <v>0</v>
      </c>
      <c r="CG59" s="140">
        <f t="shared" si="33"/>
        <v>0</v>
      </c>
      <c r="CH59" s="140">
        <f t="shared" si="33"/>
        <v>0</v>
      </c>
      <c r="CI59" s="140">
        <f t="shared" si="64"/>
        <v>0</v>
      </c>
      <c r="CJ59" s="140">
        <f>IFERROR(IF(BZ59&lt;&gt;"",BZ59,BR59*$CD59),"")</f>
        <v>0</v>
      </c>
      <c r="CK59" s="140">
        <f t="shared" si="64"/>
        <v>0</v>
      </c>
      <c r="CL59" s="291">
        <f t="shared" si="64"/>
        <v>0</v>
      </c>
      <c r="CM59" s="305" t="s">
        <v>293</v>
      </c>
      <c r="CN59" s="315">
        <v>0.05</v>
      </c>
      <c r="CO59" s="306"/>
      <c r="CP59" s="307" t="str">
        <f>IF($CO59&lt;&gt;"",$CO59,HLOOKUP($CM59,$AY$6:$BA$132,ROWS(CP$6:CP59),0))</f>
        <v/>
      </c>
      <c r="CQ59" s="784" t="str">
        <f t="shared" si="63"/>
        <v/>
      </c>
      <c r="CR59" s="784" t="str">
        <f t="shared" si="63"/>
        <v/>
      </c>
      <c r="CS59" s="97" t="str">
        <f t="shared" si="63"/>
        <v/>
      </c>
      <c r="CT59" s="97" t="str">
        <f t="shared" si="63"/>
        <v/>
      </c>
      <c r="CU59" s="97" t="str">
        <f t="shared" si="63"/>
        <v/>
      </c>
      <c r="CV59" s="97" t="str">
        <f t="shared" si="63"/>
        <v/>
      </c>
      <c r="CW59" s="97" t="str">
        <f t="shared" si="63"/>
        <v/>
      </c>
      <c r="CX59" s="98" t="str">
        <f t="shared" si="46"/>
        <v/>
      </c>
      <c r="CY59" s="392"/>
    </row>
    <row r="60" spans="1:103" x14ac:dyDescent="0.25">
      <c r="A60" s="81" t="s">
        <v>106</v>
      </c>
      <c r="B60" s="82" t="s">
        <v>123</v>
      </c>
      <c r="C60" s="83" t="s">
        <v>343</v>
      </c>
      <c r="D60" s="84"/>
      <c r="E60" s="85"/>
      <c r="F60" s="85"/>
      <c r="G60" s="85"/>
      <c r="H60" s="85"/>
      <c r="I60" s="85">
        <v>0</v>
      </c>
      <c r="J60" s="85">
        <v>0</v>
      </c>
      <c r="K60" s="85">
        <v>0</v>
      </c>
      <c r="L60" s="85">
        <v>0</v>
      </c>
      <c r="M60" s="654">
        <f>'2022-23 Input'!D60</f>
        <v>0</v>
      </c>
      <c r="N60" s="1065">
        <v>0</v>
      </c>
      <c r="O60" s="560">
        <f t="shared" si="27"/>
        <v>0</v>
      </c>
      <c r="P60" s="561">
        <f t="shared" si="0"/>
        <v>0</v>
      </c>
      <c r="Q60" s="561">
        <f t="shared" si="1"/>
        <v>0</v>
      </c>
      <c r="R60" s="561">
        <f t="shared" si="2"/>
        <v>0</v>
      </c>
      <c r="S60" s="561">
        <f t="shared" si="3"/>
        <v>0</v>
      </c>
      <c r="T60" s="561">
        <f t="shared" si="4"/>
        <v>0</v>
      </c>
      <c r="U60" s="561">
        <f t="shared" si="5"/>
        <v>0</v>
      </c>
      <c r="V60" s="561">
        <f t="shared" si="6"/>
        <v>0</v>
      </c>
      <c r="W60" s="675">
        <f t="shared" si="7"/>
        <v>0</v>
      </c>
      <c r="X60" s="675">
        <f t="shared" si="8"/>
        <v>0</v>
      </c>
      <c r="Y60" s="675">
        <f t="shared" si="8"/>
        <v>0</v>
      </c>
      <c r="Z60" s="86"/>
      <c r="AA60" s="87"/>
      <c r="AB60" s="87"/>
      <c r="AC60" s="87"/>
      <c r="AD60" s="87"/>
      <c r="AE60" s="87">
        <v>0</v>
      </c>
      <c r="AF60" s="87">
        <v>0</v>
      </c>
      <c r="AG60" s="87">
        <v>0</v>
      </c>
      <c r="AH60" s="87">
        <v>0</v>
      </c>
      <c r="AI60" s="1094">
        <f>'2022-23 Input'!K60</f>
        <v>0</v>
      </c>
      <c r="AJ60" s="665">
        <v>0</v>
      </c>
      <c r="AK60" s="127">
        <f t="shared" si="47"/>
        <v>0</v>
      </c>
      <c r="AL60" s="128">
        <f t="shared" si="48"/>
        <v>0</v>
      </c>
      <c r="AM60" s="129">
        <f t="shared" si="49"/>
        <v>0</v>
      </c>
      <c r="AN60" s="91" t="str">
        <f t="shared" si="50"/>
        <v/>
      </c>
      <c r="AO60" s="92" t="str">
        <f t="shared" si="51"/>
        <v/>
      </c>
      <c r="AP60" s="92" t="str">
        <f t="shared" si="52"/>
        <v/>
      </c>
      <c r="AQ60" s="92" t="str">
        <f t="shared" si="53"/>
        <v/>
      </c>
      <c r="AR60" s="92" t="str">
        <f t="shared" si="54"/>
        <v/>
      </c>
      <c r="AS60" s="92" t="str">
        <f t="shared" si="55"/>
        <v/>
      </c>
      <c r="AT60" s="92" t="str">
        <f t="shared" si="56"/>
        <v/>
      </c>
      <c r="AU60" s="92" t="str">
        <f t="shared" si="57"/>
        <v/>
      </c>
      <c r="AV60" s="92" t="str">
        <f t="shared" si="70"/>
        <v/>
      </c>
      <c r="AW60" s="92" t="str">
        <f t="shared" si="70"/>
        <v/>
      </c>
      <c r="AX60" s="92" t="str">
        <f t="shared" si="70"/>
        <v/>
      </c>
      <c r="AY60" s="93" t="str">
        <f t="shared" si="59"/>
        <v/>
      </c>
      <c r="AZ60" s="94" t="str">
        <f t="shared" si="60"/>
        <v/>
      </c>
      <c r="BA60" s="95" t="str">
        <f t="shared" si="61"/>
        <v/>
      </c>
      <c r="BB60" s="248" t="s">
        <v>422</v>
      </c>
      <c r="BC60" s="229" t="s">
        <v>433</v>
      </c>
      <c r="BD60" s="249">
        <v>0</v>
      </c>
      <c r="BE60" s="267">
        <f t="shared" si="28"/>
        <v>0</v>
      </c>
      <c r="BF60" s="268">
        <f t="shared" si="71"/>
        <v>0</v>
      </c>
      <c r="BG60" s="268">
        <f t="shared" si="71"/>
        <v>0</v>
      </c>
      <c r="BH60" s="268">
        <f t="shared" si="71"/>
        <v>1</v>
      </c>
      <c r="BI60" s="268">
        <f t="shared" si="71"/>
        <v>2</v>
      </c>
      <c r="BJ60" s="268">
        <f t="shared" si="71"/>
        <v>3</v>
      </c>
      <c r="BK60" s="268">
        <f t="shared" si="71"/>
        <v>4</v>
      </c>
      <c r="BL60" s="269">
        <f t="shared" si="71"/>
        <v>5</v>
      </c>
      <c r="BM60" s="256">
        <f>IF($BC60=Lookup!$A$2,$BD60*ROUNDUP(BE60/10,0)+1,
IF($BC60=Lookup!$A$3,($BD60+1)^BD60,
IF($BC60=Lookup!$A$4,BE60*$BD60+1,"Error")))</f>
        <v>1</v>
      </c>
      <c r="BN60" s="229">
        <f>IF($BC60=Lookup!$A$2,$BD60*ROUNDUP(BF60/10,0)+1,
IF($BC60=Lookup!$A$3,($BD60+1)^BE60,
IF($BC60=Lookup!$A$4,BF60*$BD60+1,"Error")))</f>
        <v>1</v>
      </c>
      <c r="BO60" s="229">
        <f>IF($BC60=Lookup!$A$2,$BD60*ROUNDUP(BG60/10,0)+1,
IF($BC60=Lookup!$A$3,($BD60+1)^BF60,
IF($BC60=Lookup!$A$4,BG60*$BD60+1,"Error")))</f>
        <v>1</v>
      </c>
      <c r="BP60" s="229">
        <f>IF($BC60=Lookup!$A$2,$BD60*ROUNDUP(BH60/10,0)+1,
IF($BC60=Lookup!$A$3,($BD60+1)^BG60,
IF($BC60=Lookup!$A$4,BH60*$BD60+1,"Error")))</f>
        <v>1</v>
      </c>
      <c r="BQ60" s="229">
        <f>IF($BC60=Lookup!$A$2,$BD60*ROUNDUP(BI60/10,0)+1,
IF($BC60=Lookup!$A$3,($BD60+1)^BH60,
IF($BC60=Lookup!$A$4,BI60*$BD60+1,"Error")))</f>
        <v>1</v>
      </c>
      <c r="BR60" s="229">
        <f>IF($BC60=Lookup!$A$2,$BD60*ROUNDUP(BJ60/10,0)+1,
IF($BC60=Lookup!$A$3,($BD60+1)^BI60,
IF($BC60=Lookup!$A$4,BJ60*$BD60+1,"Error")))</f>
        <v>1</v>
      </c>
      <c r="BS60" s="229">
        <f>IF($BC60=Lookup!$A$2,$BD60*ROUNDUP(BK60/10,0)+1,
IF($BC60=Lookup!$A$3,($BD60+1)^BJ60,
IF($BC60=Lookup!$A$4,BK60*$BD60+1,"Error")))</f>
        <v>1</v>
      </c>
      <c r="BT60" s="249">
        <f>IF($BC60=Lookup!$A$2,$BD60*ROUNDUP(BL60/10,0)+1,
IF($BC60=Lookup!$A$3,($BD60+1)^BK60,
IF($BC60=Lookup!$A$4,BL60*$BD60+1,"Error")))</f>
        <v>1</v>
      </c>
      <c r="BU60" s="320"/>
      <c r="BV60" s="321"/>
      <c r="BW60" s="321"/>
      <c r="BX60" s="321"/>
      <c r="BY60" s="321"/>
      <c r="BZ60" s="321"/>
      <c r="CA60" s="321"/>
      <c r="CB60" s="277"/>
      <c r="CC60" s="382" t="s">
        <v>293</v>
      </c>
      <c r="CD60" s="383">
        <f>HLOOKUP($CC60,$AK$6:$AM$132,ROWS(CD$6:CD60),0)</f>
        <v>0</v>
      </c>
      <c r="CE60" s="239">
        <f t="shared" si="33"/>
        <v>0</v>
      </c>
      <c r="CF60" s="140">
        <f t="shared" si="33"/>
        <v>0</v>
      </c>
      <c r="CG60" s="140">
        <f t="shared" si="33"/>
        <v>0</v>
      </c>
      <c r="CH60" s="140">
        <f t="shared" si="33"/>
        <v>0</v>
      </c>
      <c r="CI60" s="140">
        <f t="shared" si="64"/>
        <v>0</v>
      </c>
      <c r="CJ60" s="140">
        <f t="shared" si="64"/>
        <v>0</v>
      </c>
      <c r="CK60" s="140">
        <f t="shared" si="64"/>
        <v>0</v>
      </c>
      <c r="CL60" s="291">
        <f t="shared" si="64"/>
        <v>0</v>
      </c>
      <c r="CM60" s="305" t="s">
        <v>293</v>
      </c>
      <c r="CN60" s="315">
        <v>0.05</v>
      </c>
      <c r="CO60" s="306"/>
      <c r="CP60" s="307" t="str">
        <f>IF($CO60&lt;&gt;"",$CO60,HLOOKUP($CM60,$AY$6:$BA$132,ROWS(CP$6:CP60),0))</f>
        <v/>
      </c>
      <c r="CQ60" s="784" t="str">
        <f t="shared" si="63"/>
        <v/>
      </c>
      <c r="CR60" s="784" t="str">
        <f t="shared" si="63"/>
        <v/>
      </c>
      <c r="CS60" s="97" t="str">
        <f t="shared" si="63"/>
        <v/>
      </c>
      <c r="CT60" s="97" t="str">
        <f t="shared" si="63"/>
        <v/>
      </c>
      <c r="CU60" s="97" t="str">
        <f t="shared" si="63"/>
        <v/>
      </c>
      <c r="CV60" s="97" t="str">
        <f t="shared" si="63"/>
        <v/>
      </c>
      <c r="CW60" s="97" t="str">
        <f t="shared" si="63"/>
        <v/>
      </c>
      <c r="CX60" s="98" t="str">
        <f t="shared" si="46"/>
        <v/>
      </c>
      <c r="CY60" s="392"/>
    </row>
    <row r="61" spans="1:103" x14ac:dyDescent="0.25">
      <c r="A61" s="81" t="s">
        <v>106</v>
      </c>
      <c r="B61" s="82" t="s">
        <v>125</v>
      </c>
      <c r="C61" s="83" t="s">
        <v>345</v>
      </c>
      <c r="D61" s="84"/>
      <c r="E61" s="85"/>
      <c r="F61" s="85"/>
      <c r="G61" s="85"/>
      <c r="H61" s="85"/>
      <c r="I61" s="85">
        <v>0</v>
      </c>
      <c r="J61" s="85">
        <v>0</v>
      </c>
      <c r="K61" s="85">
        <v>0</v>
      </c>
      <c r="L61" s="85">
        <v>0</v>
      </c>
      <c r="M61" s="654">
        <f>'2022-23 Input'!D61</f>
        <v>0</v>
      </c>
      <c r="N61" s="1065">
        <v>0</v>
      </c>
      <c r="O61" s="560">
        <f t="shared" si="27"/>
        <v>0</v>
      </c>
      <c r="P61" s="561">
        <f t="shared" si="0"/>
        <v>0</v>
      </c>
      <c r="Q61" s="561">
        <f t="shared" si="1"/>
        <v>0</v>
      </c>
      <c r="R61" s="561">
        <f t="shared" si="2"/>
        <v>0</v>
      </c>
      <c r="S61" s="561">
        <f t="shared" si="3"/>
        <v>0</v>
      </c>
      <c r="T61" s="561">
        <f t="shared" si="4"/>
        <v>0</v>
      </c>
      <c r="U61" s="561">
        <f t="shared" si="5"/>
        <v>0</v>
      </c>
      <c r="V61" s="561">
        <f t="shared" si="6"/>
        <v>0</v>
      </c>
      <c r="W61" s="675">
        <f t="shared" si="7"/>
        <v>0</v>
      </c>
      <c r="X61" s="675">
        <f t="shared" si="8"/>
        <v>0</v>
      </c>
      <c r="Y61" s="675">
        <f t="shared" si="8"/>
        <v>0</v>
      </c>
      <c r="Z61" s="86"/>
      <c r="AA61" s="87"/>
      <c r="AB61" s="87"/>
      <c r="AC61" s="87"/>
      <c r="AD61" s="87"/>
      <c r="AE61" s="87">
        <v>0</v>
      </c>
      <c r="AF61" s="87">
        <v>0</v>
      </c>
      <c r="AG61" s="87">
        <v>0</v>
      </c>
      <c r="AH61" s="87">
        <v>0</v>
      </c>
      <c r="AI61" s="1094">
        <f>'2022-23 Input'!K61</f>
        <v>0</v>
      </c>
      <c r="AJ61" s="665">
        <v>0</v>
      </c>
      <c r="AK61" s="127">
        <f t="shared" si="47"/>
        <v>0</v>
      </c>
      <c r="AL61" s="128">
        <f t="shared" si="48"/>
        <v>0</v>
      </c>
      <c r="AM61" s="129">
        <f t="shared" si="49"/>
        <v>0</v>
      </c>
      <c r="AN61" s="91" t="str">
        <f t="shared" si="50"/>
        <v/>
      </c>
      <c r="AO61" s="92" t="str">
        <f t="shared" si="51"/>
        <v/>
      </c>
      <c r="AP61" s="92" t="str">
        <f t="shared" si="52"/>
        <v/>
      </c>
      <c r="AQ61" s="92" t="str">
        <f t="shared" si="53"/>
        <v/>
      </c>
      <c r="AR61" s="92" t="str">
        <f t="shared" si="54"/>
        <v/>
      </c>
      <c r="AS61" s="92" t="str">
        <f t="shared" si="55"/>
        <v/>
      </c>
      <c r="AT61" s="92" t="str">
        <f t="shared" si="56"/>
        <v/>
      </c>
      <c r="AU61" s="92" t="str">
        <f t="shared" si="57"/>
        <v/>
      </c>
      <c r="AV61" s="92" t="str">
        <f t="shared" si="70"/>
        <v/>
      </c>
      <c r="AW61" s="92" t="str">
        <f t="shared" si="70"/>
        <v/>
      </c>
      <c r="AX61" s="92" t="str">
        <f t="shared" si="70"/>
        <v/>
      </c>
      <c r="AY61" s="93" t="str">
        <f t="shared" si="59"/>
        <v/>
      </c>
      <c r="AZ61" s="94" t="str">
        <f t="shared" si="60"/>
        <v/>
      </c>
      <c r="BA61" s="95" t="str">
        <f t="shared" si="61"/>
        <v/>
      </c>
      <c r="BB61" s="248" t="s">
        <v>422</v>
      </c>
      <c r="BC61" s="229" t="s">
        <v>433</v>
      </c>
      <c r="BD61" s="249">
        <v>0</v>
      </c>
      <c r="BE61" s="267">
        <f t="shared" si="28"/>
        <v>0</v>
      </c>
      <c r="BF61" s="268">
        <f t="shared" si="71"/>
        <v>0</v>
      </c>
      <c r="BG61" s="268">
        <f t="shared" si="71"/>
        <v>0</v>
      </c>
      <c r="BH61" s="268">
        <f t="shared" si="71"/>
        <v>1</v>
      </c>
      <c r="BI61" s="268">
        <f t="shared" si="71"/>
        <v>2</v>
      </c>
      <c r="BJ61" s="268">
        <f t="shared" si="71"/>
        <v>3</v>
      </c>
      <c r="BK61" s="268">
        <f t="shared" si="71"/>
        <v>4</v>
      </c>
      <c r="BL61" s="269">
        <f t="shared" si="71"/>
        <v>5</v>
      </c>
      <c r="BM61" s="256">
        <f>IF($BC61=Lookup!$A$2,$BD61*ROUNDUP(BE61/10,0)+1,
IF($BC61=Lookup!$A$3,($BD61+1)^BD61,
IF($BC61=Lookup!$A$4,BE61*$BD61+1,"Error")))</f>
        <v>1</v>
      </c>
      <c r="BN61" s="229">
        <f>IF($BC61=Lookup!$A$2,$BD61*ROUNDUP(BF61/10,0)+1,
IF($BC61=Lookup!$A$3,($BD61+1)^BE61,
IF($BC61=Lookup!$A$4,BF61*$BD61+1,"Error")))</f>
        <v>1</v>
      </c>
      <c r="BO61" s="229">
        <f>IF($BC61=Lookup!$A$2,$BD61*ROUNDUP(BG61/10,0)+1,
IF($BC61=Lookup!$A$3,($BD61+1)^BF61,
IF($BC61=Lookup!$A$4,BG61*$BD61+1,"Error")))</f>
        <v>1</v>
      </c>
      <c r="BP61" s="229">
        <f>IF($BC61=Lookup!$A$2,$BD61*ROUNDUP(BH61/10,0)+1,
IF($BC61=Lookup!$A$3,($BD61+1)^BG61,
IF($BC61=Lookup!$A$4,BH61*$BD61+1,"Error")))</f>
        <v>1</v>
      </c>
      <c r="BQ61" s="229">
        <f>IF($BC61=Lookup!$A$2,$BD61*ROUNDUP(BI61/10,0)+1,
IF($BC61=Lookup!$A$3,($BD61+1)^BH61,
IF($BC61=Lookup!$A$4,BI61*$BD61+1,"Error")))</f>
        <v>1</v>
      </c>
      <c r="BR61" s="229">
        <f>IF($BC61=Lookup!$A$2,$BD61*ROUNDUP(BJ61/10,0)+1,
IF($BC61=Lookup!$A$3,($BD61+1)^BI61,
IF($BC61=Lookup!$A$4,BJ61*$BD61+1,"Error")))</f>
        <v>1</v>
      </c>
      <c r="BS61" s="229">
        <f>IF($BC61=Lookup!$A$2,$BD61*ROUNDUP(BK61/10,0)+1,
IF($BC61=Lookup!$A$3,($BD61+1)^BJ61,
IF($BC61=Lookup!$A$4,BK61*$BD61+1,"Error")))</f>
        <v>1</v>
      </c>
      <c r="BT61" s="249">
        <f>IF($BC61=Lookup!$A$2,$BD61*ROUNDUP(BL61/10,0)+1,
IF($BC61=Lookup!$A$3,($BD61+1)^BK61,
IF($BC61=Lookup!$A$4,BL61*$BD61+1,"Error")))</f>
        <v>1</v>
      </c>
      <c r="BU61" s="320"/>
      <c r="BV61" s="321"/>
      <c r="BW61" s="321"/>
      <c r="BX61" s="321"/>
      <c r="BY61" s="321"/>
      <c r="BZ61" s="321"/>
      <c r="CA61" s="321"/>
      <c r="CB61" s="277"/>
      <c r="CC61" s="382" t="s">
        <v>293</v>
      </c>
      <c r="CD61" s="383">
        <f>HLOOKUP($CC61,$AK$6:$AM$132,ROWS(CD$6:CD61),0)</f>
        <v>0</v>
      </c>
      <c r="CE61" s="239">
        <f t="shared" si="33"/>
        <v>0</v>
      </c>
      <c r="CF61" s="140">
        <f t="shared" si="33"/>
        <v>0</v>
      </c>
      <c r="CG61" s="140">
        <f t="shared" si="33"/>
        <v>0</v>
      </c>
      <c r="CH61" s="140">
        <f t="shared" si="33"/>
        <v>0</v>
      </c>
      <c r="CI61" s="140">
        <f t="shared" si="64"/>
        <v>0</v>
      </c>
      <c r="CJ61" s="140">
        <f t="shared" si="64"/>
        <v>0</v>
      </c>
      <c r="CK61" s="140">
        <f t="shared" si="64"/>
        <v>0</v>
      </c>
      <c r="CL61" s="291">
        <f t="shared" si="64"/>
        <v>0</v>
      </c>
      <c r="CM61" s="305" t="s">
        <v>293</v>
      </c>
      <c r="CN61" s="315">
        <v>0.05</v>
      </c>
      <c r="CO61" s="306"/>
      <c r="CP61" s="307" t="str">
        <f>IF($CO61&lt;&gt;"",$CO61,HLOOKUP($CM61,$AY$6:$BA$132,ROWS(CP$6:CP61),0))</f>
        <v/>
      </c>
      <c r="CQ61" s="784" t="str">
        <f t="shared" si="63"/>
        <v/>
      </c>
      <c r="CR61" s="784" t="str">
        <f t="shared" si="63"/>
        <v/>
      </c>
      <c r="CS61" s="97" t="str">
        <f t="shared" si="63"/>
        <v/>
      </c>
      <c r="CT61" s="97" t="str">
        <f t="shared" si="63"/>
        <v/>
      </c>
      <c r="CU61" s="97" t="str">
        <f t="shared" si="63"/>
        <v/>
      </c>
      <c r="CV61" s="97" t="str">
        <f t="shared" si="63"/>
        <v/>
      </c>
      <c r="CW61" s="97" t="str">
        <f t="shared" si="63"/>
        <v/>
      </c>
      <c r="CX61" s="98" t="str">
        <f t="shared" si="46"/>
        <v/>
      </c>
      <c r="CY61" s="392"/>
    </row>
    <row r="62" spans="1:103" x14ac:dyDescent="0.25">
      <c r="A62" s="81" t="s">
        <v>106</v>
      </c>
      <c r="B62" s="82" t="s">
        <v>127</v>
      </c>
      <c r="C62" s="83" t="s">
        <v>347</v>
      </c>
      <c r="D62" s="84"/>
      <c r="E62" s="85"/>
      <c r="F62" s="85"/>
      <c r="G62" s="85"/>
      <c r="H62" s="85"/>
      <c r="I62" s="85">
        <v>0</v>
      </c>
      <c r="J62" s="85">
        <v>0</v>
      </c>
      <c r="K62" s="85">
        <v>0</v>
      </c>
      <c r="L62" s="85">
        <v>0</v>
      </c>
      <c r="M62" s="654">
        <f>'2022-23 Input'!D62</f>
        <v>0</v>
      </c>
      <c r="N62" s="1065">
        <v>0</v>
      </c>
      <c r="O62" s="560">
        <f t="shared" si="27"/>
        <v>0</v>
      </c>
      <c r="P62" s="561">
        <f t="shared" si="0"/>
        <v>0</v>
      </c>
      <c r="Q62" s="561">
        <f t="shared" si="1"/>
        <v>0</v>
      </c>
      <c r="R62" s="561">
        <f t="shared" si="2"/>
        <v>0</v>
      </c>
      <c r="S62" s="561">
        <f t="shared" si="3"/>
        <v>0</v>
      </c>
      <c r="T62" s="561">
        <f t="shared" si="4"/>
        <v>0</v>
      </c>
      <c r="U62" s="561">
        <f t="shared" si="5"/>
        <v>0</v>
      </c>
      <c r="V62" s="561">
        <f t="shared" si="6"/>
        <v>0</v>
      </c>
      <c r="W62" s="675">
        <f t="shared" si="7"/>
        <v>0</v>
      </c>
      <c r="X62" s="675">
        <f t="shared" si="8"/>
        <v>0</v>
      </c>
      <c r="Y62" s="675">
        <f t="shared" si="8"/>
        <v>0</v>
      </c>
      <c r="Z62" s="86"/>
      <c r="AA62" s="87"/>
      <c r="AB62" s="87"/>
      <c r="AC62" s="87"/>
      <c r="AD62" s="87"/>
      <c r="AE62" s="87">
        <v>0</v>
      </c>
      <c r="AF62" s="87">
        <v>0</v>
      </c>
      <c r="AG62" s="87">
        <v>0</v>
      </c>
      <c r="AH62" s="87">
        <v>0</v>
      </c>
      <c r="AI62" s="1094">
        <f>'2022-23 Input'!K62</f>
        <v>0</v>
      </c>
      <c r="AJ62" s="665">
        <v>0</v>
      </c>
      <c r="AK62" s="127">
        <f t="shared" si="47"/>
        <v>0</v>
      </c>
      <c r="AL62" s="128">
        <f t="shared" si="48"/>
        <v>0</v>
      </c>
      <c r="AM62" s="129">
        <f t="shared" si="49"/>
        <v>0</v>
      </c>
      <c r="AN62" s="91" t="str">
        <f t="shared" si="50"/>
        <v/>
      </c>
      <c r="AO62" s="92" t="str">
        <f t="shared" si="51"/>
        <v/>
      </c>
      <c r="AP62" s="92" t="str">
        <f t="shared" si="52"/>
        <v/>
      </c>
      <c r="AQ62" s="92" t="str">
        <f t="shared" si="53"/>
        <v/>
      </c>
      <c r="AR62" s="92" t="str">
        <f t="shared" si="54"/>
        <v/>
      </c>
      <c r="AS62" s="92" t="str">
        <f t="shared" si="55"/>
        <v/>
      </c>
      <c r="AT62" s="92" t="str">
        <f t="shared" si="56"/>
        <v/>
      </c>
      <c r="AU62" s="92" t="str">
        <f t="shared" si="57"/>
        <v/>
      </c>
      <c r="AV62" s="92" t="str">
        <f t="shared" si="70"/>
        <v/>
      </c>
      <c r="AW62" s="92" t="str">
        <f t="shared" si="70"/>
        <v/>
      </c>
      <c r="AX62" s="92" t="str">
        <f t="shared" si="70"/>
        <v/>
      </c>
      <c r="AY62" s="93" t="str">
        <f t="shared" si="59"/>
        <v/>
      </c>
      <c r="AZ62" s="94" t="str">
        <f t="shared" si="60"/>
        <v/>
      </c>
      <c r="BA62" s="95" t="str">
        <f t="shared" si="61"/>
        <v/>
      </c>
      <c r="BB62" s="248" t="s">
        <v>422</v>
      </c>
      <c r="BC62" s="229" t="s">
        <v>433</v>
      </c>
      <c r="BD62" s="249">
        <v>0</v>
      </c>
      <c r="BE62" s="267">
        <f t="shared" si="28"/>
        <v>0</v>
      </c>
      <c r="BF62" s="268">
        <f t="shared" si="71"/>
        <v>0</v>
      </c>
      <c r="BG62" s="268">
        <f t="shared" si="71"/>
        <v>0</v>
      </c>
      <c r="BH62" s="268">
        <f t="shared" si="71"/>
        <v>1</v>
      </c>
      <c r="BI62" s="268">
        <f t="shared" si="71"/>
        <v>2</v>
      </c>
      <c r="BJ62" s="268">
        <f t="shared" si="71"/>
        <v>3</v>
      </c>
      <c r="BK62" s="268">
        <f t="shared" si="71"/>
        <v>4</v>
      </c>
      <c r="BL62" s="269">
        <f t="shared" si="71"/>
        <v>5</v>
      </c>
      <c r="BM62" s="256">
        <f>IF($BC62=Lookup!$A$2,$BD62*ROUNDUP(BE62/10,0)+1,
IF($BC62=Lookup!$A$3,($BD62+1)^BD62,
IF($BC62=Lookup!$A$4,BE62*$BD62+1,"Error")))</f>
        <v>1</v>
      </c>
      <c r="BN62" s="229">
        <f>IF($BC62=Lookup!$A$2,$BD62*ROUNDUP(BF62/10,0)+1,
IF($BC62=Lookup!$A$3,($BD62+1)^BE62,
IF($BC62=Lookup!$A$4,BF62*$BD62+1,"Error")))</f>
        <v>1</v>
      </c>
      <c r="BO62" s="229">
        <f>IF($BC62=Lookup!$A$2,$BD62*ROUNDUP(BG62/10,0)+1,
IF($BC62=Lookup!$A$3,($BD62+1)^BF62,
IF($BC62=Lookup!$A$4,BG62*$BD62+1,"Error")))</f>
        <v>1</v>
      </c>
      <c r="BP62" s="229">
        <f>IF($BC62=Lookup!$A$2,$BD62*ROUNDUP(BH62/10,0)+1,
IF($BC62=Lookup!$A$3,($BD62+1)^BG62,
IF($BC62=Lookup!$A$4,BH62*$BD62+1,"Error")))</f>
        <v>1</v>
      </c>
      <c r="BQ62" s="229">
        <f>IF($BC62=Lookup!$A$2,$BD62*ROUNDUP(BI62/10,0)+1,
IF($BC62=Lookup!$A$3,($BD62+1)^BH62,
IF($BC62=Lookup!$A$4,BI62*$BD62+1,"Error")))</f>
        <v>1</v>
      </c>
      <c r="BR62" s="229">
        <f>IF($BC62=Lookup!$A$2,$BD62*ROUNDUP(BJ62/10,0)+1,
IF($BC62=Lookup!$A$3,($BD62+1)^BI62,
IF($BC62=Lookup!$A$4,BJ62*$BD62+1,"Error")))</f>
        <v>1</v>
      </c>
      <c r="BS62" s="229">
        <f>IF($BC62=Lookup!$A$2,$BD62*ROUNDUP(BK62/10,0)+1,
IF($BC62=Lookup!$A$3,($BD62+1)^BJ62,
IF($BC62=Lookup!$A$4,BK62*$BD62+1,"Error")))</f>
        <v>1</v>
      </c>
      <c r="BT62" s="249">
        <f>IF($BC62=Lookup!$A$2,$BD62*ROUNDUP(BL62/10,0)+1,
IF($BC62=Lookup!$A$3,($BD62+1)^BK62,
IF($BC62=Lookup!$A$4,BL62*$BD62+1,"Error")))</f>
        <v>1</v>
      </c>
      <c r="BU62" s="320"/>
      <c r="BV62" s="321"/>
      <c r="BW62" s="321"/>
      <c r="BX62" s="321"/>
      <c r="BY62" s="321"/>
      <c r="BZ62" s="321"/>
      <c r="CA62" s="321"/>
      <c r="CB62" s="277"/>
      <c r="CC62" s="382" t="s">
        <v>293</v>
      </c>
      <c r="CD62" s="383">
        <f>HLOOKUP($CC62,$AK$6:$AM$132,ROWS(CD$6:CD62),0)</f>
        <v>0</v>
      </c>
      <c r="CE62" s="239">
        <f t="shared" si="33"/>
        <v>0</v>
      </c>
      <c r="CF62" s="140">
        <f t="shared" si="33"/>
        <v>0</v>
      </c>
      <c r="CG62" s="140">
        <f t="shared" si="33"/>
        <v>0</v>
      </c>
      <c r="CH62" s="140">
        <f t="shared" si="33"/>
        <v>0</v>
      </c>
      <c r="CI62" s="140">
        <f t="shared" si="64"/>
        <v>0</v>
      </c>
      <c r="CJ62" s="140">
        <f t="shared" si="64"/>
        <v>0</v>
      </c>
      <c r="CK62" s="140">
        <f t="shared" si="64"/>
        <v>0</v>
      </c>
      <c r="CL62" s="291">
        <f t="shared" si="64"/>
        <v>0</v>
      </c>
      <c r="CM62" s="305" t="s">
        <v>293</v>
      </c>
      <c r="CN62" s="315">
        <v>0.05</v>
      </c>
      <c r="CO62" s="306"/>
      <c r="CP62" s="307" t="str">
        <f>IF($CO62&lt;&gt;"",$CO62,HLOOKUP($CM62,$AY$6:$BA$132,ROWS(CP$6:CP62),0))</f>
        <v/>
      </c>
      <c r="CQ62" s="784" t="str">
        <f t="shared" si="63"/>
        <v/>
      </c>
      <c r="CR62" s="784" t="str">
        <f t="shared" si="63"/>
        <v/>
      </c>
      <c r="CS62" s="97" t="str">
        <f t="shared" si="63"/>
        <v/>
      </c>
      <c r="CT62" s="97" t="str">
        <f t="shared" si="63"/>
        <v/>
      </c>
      <c r="CU62" s="97" t="str">
        <f t="shared" si="63"/>
        <v/>
      </c>
      <c r="CV62" s="97" t="str">
        <f t="shared" si="63"/>
        <v/>
      </c>
      <c r="CW62" s="97" t="str">
        <f t="shared" si="63"/>
        <v/>
      </c>
      <c r="CX62" s="98" t="str">
        <f t="shared" si="46"/>
        <v/>
      </c>
      <c r="CY62" s="392"/>
    </row>
    <row r="63" spans="1:103" x14ac:dyDescent="0.25">
      <c r="A63" s="81" t="s">
        <v>106</v>
      </c>
      <c r="B63" s="82" t="s">
        <v>129</v>
      </c>
      <c r="C63" s="83" t="s">
        <v>349</v>
      </c>
      <c r="D63" s="84"/>
      <c r="E63" s="85"/>
      <c r="F63" s="85"/>
      <c r="G63" s="85"/>
      <c r="H63" s="85"/>
      <c r="I63" s="85">
        <v>0</v>
      </c>
      <c r="J63" s="85">
        <v>0</v>
      </c>
      <c r="K63" s="85">
        <v>0</v>
      </c>
      <c r="L63" s="85">
        <v>0</v>
      </c>
      <c r="M63" s="654">
        <f>'2022-23 Input'!D63</f>
        <v>0</v>
      </c>
      <c r="N63" s="1065">
        <v>0</v>
      </c>
      <c r="O63" s="560">
        <f t="shared" si="27"/>
        <v>0</v>
      </c>
      <c r="P63" s="561">
        <f t="shared" si="0"/>
        <v>0</v>
      </c>
      <c r="Q63" s="561">
        <f t="shared" si="1"/>
        <v>0</v>
      </c>
      <c r="R63" s="561">
        <f t="shared" si="2"/>
        <v>0</v>
      </c>
      <c r="S63" s="561">
        <f t="shared" si="3"/>
        <v>0</v>
      </c>
      <c r="T63" s="561">
        <f t="shared" si="4"/>
        <v>0</v>
      </c>
      <c r="U63" s="561">
        <f t="shared" si="5"/>
        <v>0</v>
      </c>
      <c r="V63" s="561">
        <f t="shared" si="6"/>
        <v>0</v>
      </c>
      <c r="W63" s="675">
        <f t="shared" si="7"/>
        <v>0</v>
      </c>
      <c r="X63" s="675">
        <f t="shared" si="8"/>
        <v>0</v>
      </c>
      <c r="Y63" s="675">
        <f t="shared" si="8"/>
        <v>0</v>
      </c>
      <c r="Z63" s="86"/>
      <c r="AA63" s="87"/>
      <c r="AB63" s="87"/>
      <c r="AC63" s="87"/>
      <c r="AD63" s="87"/>
      <c r="AE63" s="87">
        <v>0</v>
      </c>
      <c r="AF63" s="87">
        <v>0</v>
      </c>
      <c r="AG63" s="87">
        <v>0</v>
      </c>
      <c r="AH63" s="87">
        <v>0</v>
      </c>
      <c r="AI63" s="1094">
        <f>'2022-23 Input'!K63</f>
        <v>0</v>
      </c>
      <c r="AJ63" s="665">
        <v>0</v>
      </c>
      <c r="AK63" s="127">
        <f t="shared" si="47"/>
        <v>0</v>
      </c>
      <c r="AL63" s="128">
        <f t="shared" si="48"/>
        <v>0</v>
      </c>
      <c r="AM63" s="129">
        <f t="shared" si="49"/>
        <v>0</v>
      </c>
      <c r="AN63" s="91" t="str">
        <f t="shared" si="50"/>
        <v/>
      </c>
      <c r="AO63" s="92" t="str">
        <f t="shared" si="51"/>
        <v/>
      </c>
      <c r="AP63" s="92" t="str">
        <f t="shared" si="52"/>
        <v/>
      </c>
      <c r="AQ63" s="92" t="str">
        <f t="shared" si="53"/>
        <v/>
      </c>
      <c r="AR63" s="92" t="str">
        <f t="shared" si="54"/>
        <v/>
      </c>
      <c r="AS63" s="92" t="str">
        <f t="shared" si="55"/>
        <v/>
      </c>
      <c r="AT63" s="92" t="str">
        <f t="shared" si="56"/>
        <v/>
      </c>
      <c r="AU63" s="92" t="str">
        <f t="shared" si="57"/>
        <v/>
      </c>
      <c r="AV63" s="92" t="str">
        <f t="shared" si="70"/>
        <v/>
      </c>
      <c r="AW63" s="92" t="str">
        <f t="shared" si="70"/>
        <v/>
      </c>
      <c r="AX63" s="92" t="str">
        <f t="shared" si="70"/>
        <v/>
      </c>
      <c r="AY63" s="93" t="str">
        <f t="shared" si="59"/>
        <v/>
      </c>
      <c r="AZ63" s="94" t="str">
        <f t="shared" si="60"/>
        <v/>
      </c>
      <c r="BA63" s="95" t="str">
        <f t="shared" si="61"/>
        <v/>
      </c>
      <c r="BB63" s="248" t="s">
        <v>422</v>
      </c>
      <c r="BC63" s="229" t="s">
        <v>433</v>
      </c>
      <c r="BD63" s="249">
        <v>0</v>
      </c>
      <c r="BE63" s="267">
        <f t="shared" si="28"/>
        <v>0</v>
      </c>
      <c r="BF63" s="268">
        <f t="shared" si="71"/>
        <v>0</v>
      </c>
      <c r="BG63" s="268">
        <f t="shared" si="71"/>
        <v>0</v>
      </c>
      <c r="BH63" s="268">
        <f t="shared" si="71"/>
        <v>1</v>
      </c>
      <c r="BI63" s="268">
        <f t="shared" si="71"/>
        <v>2</v>
      </c>
      <c r="BJ63" s="268">
        <f t="shared" si="71"/>
        <v>3</v>
      </c>
      <c r="BK63" s="268">
        <f t="shared" si="71"/>
        <v>4</v>
      </c>
      <c r="BL63" s="269">
        <f t="shared" si="71"/>
        <v>5</v>
      </c>
      <c r="BM63" s="256">
        <f>IF($BC63=Lookup!$A$2,$BD63*ROUNDUP(BE63/10,0)+1,
IF($BC63=Lookup!$A$3,($BD63+1)^BD63,
IF($BC63=Lookup!$A$4,BE63*$BD63+1,"Error")))</f>
        <v>1</v>
      </c>
      <c r="BN63" s="229">
        <f>IF($BC63=Lookup!$A$2,$BD63*ROUNDUP(BF63/10,0)+1,
IF($BC63=Lookup!$A$3,($BD63+1)^BE63,
IF($BC63=Lookup!$A$4,BF63*$BD63+1,"Error")))</f>
        <v>1</v>
      </c>
      <c r="BO63" s="229">
        <f>IF($BC63=Lookup!$A$2,$BD63*ROUNDUP(BG63/10,0)+1,
IF($BC63=Lookup!$A$3,($BD63+1)^BF63,
IF($BC63=Lookup!$A$4,BG63*$BD63+1,"Error")))</f>
        <v>1</v>
      </c>
      <c r="BP63" s="229">
        <f>IF($BC63=Lookup!$A$2,$BD63*ROUNDUP(BH63/10,0)+1,
IF($BC63=Lookup!$A$3,($BD63+1)^BG63,
IF($BC63=Lookup!$A$4,BH63*$BD63+1,"Error")))</f>
        <v>1</v>
      </c>
      <c r="BQ63" s="229">
        <f>IF($BC63=Lookup!$A$2,$BD63*ROUNDUP(BI63/10,0)+1,
IF($BC63=Lookup!$A$3,($BD63+1)^BH63,
IF($BC63=Lookup!$A$4,BI63*$BD63+1,"Error")))</f>
        <v>1</v>
      </c>
      <c r="BR63" s="229">
        <f>IF($BC63=Lookup!$A$2,$BD63*ROUNDUP(BJ63/10,0)+1,
IF($BC63=Lookup!$A$3,($BD63+1)^BI63,
IF($BC63=Lookup!$A$4,BJ63*$BD63+1,"Error")))</f>
        <v>1</v>
      </c>
      <c r="BS63" s="229">
        <f>IF($BC63=Lookup!$A$2,$BD63*ROUNDUP(BK63/10,0)+1,
IF($BC63=Lookup!$A$3,($BD63+1)^BJ63,
IF($BC63=Lookup!$A$4,BK63*$BD63+1,"Error")))</f>
        <v>1</v>
      </c>
      <c r="BT63" s="249">
        <f>IF($BC63=Lookup!$A$2,$BD63*ROUNDUP(BL63/10,0)+1,
IF($BC63=Lookup!$A$3,($BD63+1)^BK63,
IF($BC63=Lookup!$A$4,BL63*$BD63+1,"Error")))</f>
        <v>1</v>
      </c>
      <c r="BU63" s="320"/>
      <c r="BV63" s="321"/>
      <c r="BW63" s="321"/>
      <c r="BX63" s="321"/>
      <c r="BY63" s="321"/>
      <c r="BZ63" s="321"/>
      <c r="CA63" s="321"/>
      <c r="CB63" s="277"/>
      <c r="CC63" s="382" t="s">
        <v>293</v>
      </c>
      <c r="CD63" s="383">
        <f>HLOOKUP($CC63,$AK$6:$AM$132,ROWS(CD$6:CD63),0)</f>
        <v>0</v>
      </c>
      <c r="CE63" s="239">
        <f t="shared" si="33"/>
        <v>0</v>
      </c>
      <c r="CF63" s="140">
        <f t="shared" si="33"/>
        <v>0</v>
      </c>
      <c r="CG63" s="140">
        <f t="shared" si="33"/>
        <v>0</v>
      </c>
      <c r="CH63" s="140">
        <f t="shared" si="33"/>
        <v>0</v>
      </c>
      <c r="CI63" s="140">
        <f t="shared" si="64"/>
        <v>0</v>
      </c>
      <c r="CJ63" s="140">
        <f t="shared" si="64"/>
        <v>0</v>
      </c>
      <c r="CK63" s="140">
        <f t="shared" si="64"/>
        <v>0</v>
      </c>
      <c r="CL63" s="291">
        <f t="shared" si="64"/>
        <v>0</v>
      </c>
      <c r="CM63" s="305" t="s">
        <v>293</v>
      </c>
      <c r="CN63" s="315">
        <v>0.05</v>
      </c>
      <c r="CO63" s="306"/>
      <c r="CP63" s="307" t="str">
        <f>IF($CO63&lt;&gt;"",$CO63,HLOOKUP($CM63,$AY$6:$BA$132,ROWS(CP$6:CP63),0))</f>
        <v/>
      </c>
      <c r="CQ63" s="784" t="str">
        <f t="shared" si="63"/>
        <v/>
      </c>
      <c r="CR63" s="784" t="str">
        <f t="shared" si="63"/>
        <v/>
      </c>
      <c r="CS63" s="97" t="str">
        <f t="shared" si="63"/>
        <v/>
      </c>
      <c r="CT63" s="97" t="str">
        <f t="shared" si="63"/>
        <v/>
      </c>
      <c r="CU63" s="97" t="str">
        <f t="shared" si="63"/>
        <v/>
      </c>
      <c r="CV63" s="97" t="str">
        <f t="shared" si="63"/>
        <v/>
      </c>
      <c r="CW63" s="97" t="str">
        <f t="shared" si="63"/>
        <v/>
      </c>
      <c r="CX63" s="98" t="str">
        <f t="shared" si="46"/>
        <v/>
      </c>
      <c r="CY63" s="392"/>
    </row>
    <row r="64" spans="1:103" x14ac:dyDescent="0.25">
      <c r="A64" s="81" t="s">
        <v>106</v>
      </c>
      <c r="B64" s="82" t="s">
        <v>131</v>
      </c>
      <c r="C64" s="83" t="s">
        <v>351</v>
      </c>
      <c r="D64" s="84"/>
      <c r="E64" s="85"/>
      <c r="F64" s="85"/>
      <c r="G64" s="85"/>
      <c r="H64" s="85"/>
      <c r="I64" s="85">
        <v>0</v>
      </c>
      <c r="J64" s="85">
        <v>0</v>
      </c>
      <c r="K64" s="85">
        <v>0</v>
      </c>
      <c r="L64" s="85">
        <v>0</v>
      </c>
      <c r="M64" s="654">
        <f>'2022-23 Input'!D64</f>
        <v>0</v>
      </c>
      <c r="N64" s="1065">
        <v>0</v>
      </c>
      <c r="O64" s="560">
        <f t="shared" si="27"/>
        <v>0</v>
      </c>
      <c r="P64" s="561">
        <f t="shared" si="0"/>
        <v>0</v>
      </c>
      <c r="Q64" s="561">
        <f t="shared" si="1"/>
        <v>0</v>
      </c>
      <c r="R64" s="561">
        <f t="shared" si="2"/>
        <v>0</v>
      </c>
      <c r="S64" s="561">
        <f t="shared" si="3"/>
        <v>0</v>
      </c>
      <c r="T64" s="561">
        <f t="shared" si="4"/>
        <v>0</v>
      </c>
      <c r="U64" s="561">
        <f t="shared" si="5"/>
        <v>0</v>
      </c>
      <c r="V64" s="561">
        <f t="shared" si="6"/>
        <v>0</v>
      </c>
      <c r="W64" s="675">
        <f t="shared" si="7"/>
        <v>0</v>
      </c>
      <c r="X64" s="675">
        <f t="shared" si="8"/>
        <v>0</v>
      </c>
      <c r="Y64" s="675">
        <f t="shared" si="8"/>
        <v>0</v>
      </c>
      <c r="Z64" s="86"/>
      <c r="AA64" s="87"/>
      <c r="AB64" s="87"/>
      <c r="AC64" s="87"/>
      <c r="AD64" s="87"/>
      <c r="AE64" s="87">
        <v>0</v>
      </c>
      <c r="AF64" s="87">
        <v>0</v>
      </c>
      <c r="AG64" s="87">
        <v>0</v>
      </c>
      <c r="AH64" s="87">
        <v>0</v>
      </c>
      <c r="AI64" s="1094">
        <f>'2022-23 Input'!K64</f>
        <v>0</v>
      </c>
      <c r="AJ64" s="665">
        <v>0</v>
      </c>
      <c r="AK64" s="127">
        <f t="shared" si="47"/>
        <v>0</v>
      </c>
      <c r="AL64" s="128">
        <f t="shared" si="48"/>
        <v>0</v>
      </c>
      <c r="AM64" s="129">
        <f t="shared" si="49"/>
        <v>0</v>
      </c>
      <c r="AN64" s="91" t="str">
        <f t="shared" si="50"/>
        <v/>
      </c>
      <c r="AO64" s="92" t="str">
        <f t="shared" si="51"/>
        <v/>
      </c>
      <c r="AP64" s="92" t="str">
        <f t="shared" si="52"/>
        <v/>
      </c>
      <c r="AQ64" s="92" t="str">
        <f t="shared" si="53"/>
        <v/>
      </c>
      <c r="AR64" s="92" t="str">
        <f t="shared" si="54"/>
        <v/>
      </c>
      <c r="AS64" s="92" t="str">
        <f t="shared" si="55"/>
        <v/>
      </c>
      <c r="AT64" s="92" t="str">
        <f t="shared" si="56"/>
        <v/>
      </c>
      <c r="AU64" s="92" t="str">
        <f t="shared" si="57"/>
        <v/>
      </c>
      <c r="AV64" s="92" t="str">
        <f t="shared" si="70"/>
        <v/>
      </c>
      <c r="AW64" s="92" t="str">
        <f t="shared" si="70"/>
        <v/>
      </c>
      <c r="AX64" s="92" t="str">
        <f t="shared" si="70"/>
        <v/>
      </c>
      <c r="AY64" s="93" t="str">
        <f t="shared" si="59"/>
        <v/>
      </c>
      <c r="AZ64" s="94" t="str">
        <f t="shared" si="60"/>
        <v/>
      </c>
      <c r="BA64" s="95" t="str">
        <f t="shared" si="61"/>
        <v/>
      </c>
      <c r="BB64" s="248" t="s">
        <v>422</v>
      </c>
      <c r="BC64" s="229" t="s">
        <v>433</v>
      </c>
      <c r="BD64" s="249">
        <v>0</v>
      </c>
      <c r="BE64" s="267">
        <f t="shared" si="28"/>
        <v>0</v>
      </c>
      <c r="BF64" s="268">
        <f t="shared" si="71"/>
        <v>0</v>
      </c>
      <c r="BG64" s="268">
        <f t="shared" si="71"/>
        <v>0</v>
      </c>
      <c r="BH64" s="268">
        <f t="shared" si="71"/>
        <v>1</v>
      </c>
      <c r="BI64" s="268">
        <f t="shared" si="71"/>
        <v>2</v>
      </c>
      <c r="BJ64" s="268">
        <f t="shared" si="71"/>
        <v>3</v>
      </c>
      <c r="BK64" s="268">
        <f t="shared" si="71"/>
        <v>4</v>
      </c>
      <c r="BL64" s="269">
        <f t="shared" si="71"/>
        <v>5</v>
      </c>
      <c r="BM64" s="256">
        <f>IF($BC64=Lookup!$A$2,$BD64*ROUNDUP(BE64/10,0)+1,
IF($BC64=Lookup!$A$3,($BD64+1)^BD64,
IF($BC64=Lookup!$A$4,BE64*$BD64+1,"Error")))</f>
        <v>1</v>
      </c>
      <c r="BN64" s="229">
        <f>IF($BC64=Lookup!$A$2,$BD64*ROUNDUP(BF64/10,0)+1,
IF($BC64=Lookup!$A$3,($BD64+1)^BE64,
IF($BC64=Lookup!$A$4,BF64*$BD64+1,"Error")))</f>
        <v>1</v>
      </c>
      <c r="BO64" s="229">
        <f>IF($BC64=Lookup!$A$2,$BD64*ROUNDUP(BG64/10,0)+1,
IF($BC64=Lookup!$A$3,($BD64+1)^BF64,
IF($BC64=Lookup!$A$4,BG64*$BD64+1,"Error")))</f>
        <v>1</v>
      </c>
      <c r="BP64" s="229">
        <f>IF($BC64=Lookup!$A$2,$BD64*ROUNDUP(BH64/10,0)+1,
IF($BC64=Lookup!$A$3,($BD64+1)^BG64,
IF($BC64=Lookup!$A$4,BH64*$BD64+1,"Error")))</f>
        <v>1</v>
      </c>
      <c r="BQ64" s="229">
        <f>IF($BC64=Lookup!$A$2,$BD64*ROUNDUP(BI64/10,0)+1,
IF($BC64=Lookup!$A$3,($BD64+1)^BH64,
IF($BC64=Lookup!$A$4,BI64*$BD64+1,"Error")))</f>
        <v>1</v>
      </c>
      <c r="BR64" s="229">
        <f>IF($BC64=Lookup!$A$2,$BD64*ROUNDUP(BJ64/10,0)+1,
IF($BC64=Lookup!$A$3,($BD64+1)^BI64,
IF($BC64=Lookup!$A$4,BJ64*$BD64+1,"Error")))</f>
        <v>1</v>
      </c>
      <c r="BS64" s="229">
        <f>IF($BC64=Lookup!$A$2,$BD64*ROUNDUP(BK64/10,0)+1,
IF($BC64=Lookup!$A$3,($BD64+1)^BJ64,
IF($BC64=Lookup!$A$4,BK64*$BD64+1,"Error")))</f>
        <v>1</v>
      </c>
      <c r="BT64" s="249">
        <f>IF($BC64=Lookup!$A$2,$BD64*ROUNDUP(BL64/10,0)+1,
IF($BC64=Lookup!$A$3,($BD64+1)^BK64,
IF($BC64=Lookup!$A$4,BL64*$BD64+1,"Error")))</f>
        <v>1</v>
      </c>
      <c r="BU64" s="320"/>
      <c r="BV64" s="321"/>
      <c r="BW64" s="321"/>
      <c r="BX64" s="321"/>
      <c r="BY64" s="321"/>
      <c r="BZ64" s="321"/>
      <c r="CA64" s="321"/>
      <c r="CB64" s="277"/>
      <c r="CC64" s="382" t="s">
        <v>293</v>
      </c>
      <c r="CD64" s="383">
        <f>HLOOKUP($CC64,$AK$6:$AM$132,ROWS(CD$6:CD64),0)</f>
        <v>0</v>
      </c>
      <c r="CE64" s="239">
        <f t="shared" si="33"/>
        <v>0</v>
      </c>
      <c r="CF64" s="140">
        <f t="shared" si="33"/>
        <v>0</v>
      </c>
      <c r="CG64" s="140">
        <f t="shared" si="33"/>
        <v>0</v>
      </c>
      <c r="CH64" s="140">
        <f t="shared" si="33"/>
        <v>0</v>
      </c>
      <c r="CI64" s="140">
        <f t="shared" si="64"/>
        <v>0</v>
      </c>
      <c r="CJ64" s="140">
        <f t="shared" si="64"/>
        <v>0</v>
      </c>
      <c r="CK64" s="140">
        <f t="shared" si="64"/>
        <v>0</v>
      </c>
      <c r="CL64" s="291">
        <f t="shared" si="64"/>
        <v>0</v>
      </c>
      <c r="CM64" s="305" t="s">
        <v>293</v>
      </c>
      <c r="CN64" s="315">
        <v>0.05</v>
      </c>
      <c r="CO64" s="306"/>
      <c r="CP64" s="307" t="str">
        <f>IF($CO64&lt;&gt;"",$CO64,HLOOKUP($CM64,$AY$6:$BA$132,ROWS(CP$6:CP64),0))</f>
        <v/>
      </c>
      <c r="CQ64" s="784" t="str">
        <f t="shared" si="63"/>
        <v/>
      </c>
      <c r="CR64" s="784" t="str">
        <f t="shared" si="63"/>
        <v/>
      </c>
      <c r="CS64" s="97" t="str">
        <f t="shared" si="63"/>
        <v/>
      </c>
      <c r="CT64" s="97" t="str">
        <f t="shared" si="63"/>
        <v/>
      </c>
      <c r="CU64" s="97" t="str">
        <f t="shared" si="63"/>
        <v/>
      </c>
      <c r="CV64" s="97" t="str">
        <f t="shared" si="63"/>
        <v/>
      </c>
      <c r="CW64" s="97" t="str">
        <f t="shared" si="63"/>
        <v/>
      </c>
      <c r="CX64" s="98" t="str">
        <f t="shared" si="46"/>
        <v/>
      </c>
      <c r="CY64" s="392"/>
    </row>
    <row r="65" spans="1:103" x14ac:dyDescent="0.25">
      <c r="A65" s="81" t="s">
        <v>106</v>
      </c>
      <c r="B65" s="82" t="s">
        <v>133</v>
      </c>
      <c r="C65" s="83" t="s">
        <v>353</v>
      </c>
      <c r="D65" s="84"/>
      <c r="E65" s="85"/>
      <c r="F65" s="85"/>
      <c r="G65" s="85"/>
      <c r="H65" s="85"/>
      <c r="I65" s="85">
        <v>0</v>
      </c>
      <c r="J65" s="85">
        <v>0</v>
      </c>
      <c r="K65" s="85">
        <v>0</v>
      </c>
      <c r="L65" s="85">
        <v>0</v>
      </c>
      <c r="M65" s="654">
        <f>'2022-23 Input'!D65</f>
        <v>0</v>
      </c>
      <c r="N65" s="1065">
        <v>0</v>
      </c>
      <c r="O65" s="560">
        <f t="shared" si="27"/>
        <v>0</v>
      </c>
      <c r="P65" s="561">
        <f t="shared" si="0"/>
        <v>0</v>
      </c>
      <c r="Q65" s="561">
        <f t="shared" si="1"/>
        <v>0</v>
      </c>
      <c r="R65" s="561">
        <f t="shared" si="2"/>
        <v>0</v>
      </c>
      <c r="S65" s="561">
        <f t="shared" si="3"/>
        <v>0</v>
      </c>
      <c r="T65" s="561">
        <f t="shared" si="4"/>
        <v>0</v>
      </c>
      <c r="U65" s="561">
        <f t="shared" si="5"/>
        <v>0</v>
      </c>
      <c r="V65" s="561">
        <f t="shared" si="6"/>
        <v>0</v>
      </c>
      <c r="W65" s="675">
        <f t="shared" si="7"/>
        <v>0</v>
      </c>
      <c r="X65" s="675">
        <f t="shared" si="8"/>
        <v>0</v>
      </c>
      <c r="Y65" s="675">
        <f t="shared" si="8"/>
        <v>0</v>
      </c>
      <c r="Z65" s="86"/>
      <c r="AA65" s="87"/>
      <c r="AB65" s="87"/>
      <c r="AC65" s="87"/>
      <c r="AD65" s="87"/>
      <c r="AE65" s="87">
        <v>0</v>
      </c>
      <c r="AF65" s="87">
        <v>0</v>
      </c>
      <c r="AG65" s="87">
        <v>0</v>
      </c>
      <c r="AH65" s="87">
        <v>0</v>
      </c>
      <c r="AI65" s="1094">
        <f>'2022-23 Input'!K65</f>
        <v>0</v>
      </c>
      <c r="AJ65" s="665">
        <v>0</v>
      </c>
      <c r="AK65" s="127">
        <f t="shared" si="47"/>
        <v>0</v>
      </c>
      <c r="AL65" s="128">
        <f t="shared" si="48"/>
        <v>0</v>
      </c>
      <c r="AM65" s="129">
        <f t="shared" si="49"/>
        <v>0</v>
      </c>
      <c r="AN65" s="91" t="str">
        <f t="shared" si="50"/>
        <v/>
      </c>
      <c r="AO65" s="92" t="str">
        <f t="shared" si="51"/>
        <v/>
      </c>
      <c r="AP65" s="92" t="str">
        <f t="shared" si="52"/>
        <v/>
      </c>
      <c r="AQ65" s="92" t="str">
        <f t="shared" si="53"/>
        <v/>
      </c>
      <c r="AR65" s="92" t="str">
        <f t="shared" si="54"/>
        <v/>
      </c>
      <c r="AS65" s="92" t="str">
        <f t="shared" si="55"/>
        <v/>
      </c>
      <c r="AT65" s="92" t="str">
        <f t="shared" si="56"/>
        <v/>
      </c>
      <c r="AU65" s="92" t="str">
        <f t="shared" si="57"/>
        <v/>
      </c>
      <c r="AV65" s="92" t="str">
        <f t="shared" si="70"/>
        <v/>
      </c>
      <c r="AW65" s="92" t="str">
        <f t="shared" si="70"/>
        <v/>
      </c>
      <c r="AX65" s="92" t="str">
        <f t="shared" si="70"/>
        <v/>
      </c>
      <c r="AY65" s="93" t="str">
        <f t="shared" si="59"/>
        <v/>
      </c>
      <c r="AZ65" s="94" t="str">
        <f t="shared" si="60"/>
        <v/>
      </c>
      <c r="BA65" s="95" t="str">
        <f t="shared" si="61"/>
        <v/>
      </c>
      <c r="BB65" s="248" t="s">
        <v>422</v>
      </c>
      <c r="BC65" s="229" t="s">
        <v>433</v>
      </c>
      <c r="BD65" s="249">
        <v>0</v>
      </c>
      <c r="BE65" s="267">
        <f t="shared" si="28"/>
        <v>0</v>
      </c>
      <c r="BF65" s="268">
        <f t="shared" si="71"/>
        <v>0</v>
      </c>
      <c r="BG65" s="268">
        <f t="shared" si="71"/>
        <v>0</v>
      </c>
      <c r="BH65" s="268">
        <f t="shared" si="71"/>
        <v>1</v>
      </c>
      <c r="BI65" s="268">
        <f t="shared" si="71"/>
        <v>2</v>
      </c>
      <c r="BJ65" s="268">
        <f t="shared" si="71"/>
        <v>3</v>
      </c>
      <c r="BK65" s="268">
        <f t="shared" si="71"/>
        <v>4</v>
      </c>
      <c r="BL65" s="269">
        <f t="shared" si="71"/>
        <v>5</v>
      </c>
      <c r="BM65" s="256">
        <f>IF($BC65=Lookup!$A$2,$BD65*ROUNDUP(BE65/10,0)+1,
IF($BC65=Lookup!$A$3,($BD65+1)^BD65,
IF($BC65=Lookup!$A$4,BE65*$BD65+1,"Error")))</f>
        <v>1</v>
      </c>
      <c r="BN65" s="229">
        <f>IF($BC65=Lookup!$A$2,$BD65*ROUNDUP(BF65/10,0)+1,
IF($BC65=Lookup!$A$3,($BD65+1)^BE65,
IF($BC65=Lookup!$A$4,BF65*$BD65+1,"Error")))</f>
        <v>1</v>
      </c>
      <c r="BO65" s="229">
        <f>IF($BC65=Lookup!$A$2,$BD65*ROUNDUP(BG65/10,0)+1,
IF($BC65=Lookup!$A$3,($BD65+1)^BF65,
IF($BC65=Lookup!$A$4,BG65*$BD65+1,"Error")))</f>
        <v>1</v>
      </c>
      <c r="BP65" s="229">
        <f>IF($BC65=Lookup!$A$2,$BD65*ROUNDUP(BH65/10,0)+1,
IF($BC65=Lookup!$A$3,($BD65+1)^BG65,
IF($BC65=Lookup!$A$4,BH65*$BD65+1,"Error")))</f>
        <v>1</v>
      </c>
      <c r="BQ65" s="229">
        <f>IF($BC65=Lookup!$A$2,$BD65*ROUNDUP(BI65/10,0)+1,
IF($BC65=Lookup!$A$3,($BD65+1)^BH65,
IF($BC65=Lookup!$A$4,BI65*$BD65+1,"Error")))</f>
        <v>1</v>
      </c>
      <c r="BR65" s="229">
        <f>IF($BC65=Lookup!$A$2,$BD65*ROUNDUP(BJ65/10,0)+1,
IF($BC65=Lookup!$A$3,($BD65+1)^BI65,
IF($BC65=Lookup!$A$4,BJ65*$BD65+1,"Error")))</f>
        <v>1</v>
      </c>
      <c r="BS65" s="229">
        <f>IF($BC65=Lookup!$A$2,$BD65*ROUNDUP(BK65/10,0)+1,
IF($BC65=Lookup!$A$3,($BD65+1)^BJ65,
IF($BC65=Lookup!$A$4,BK65*$BD65+1,"Error")))</f>
        <v>1</v>
      </c>
      <c r="BT65" s="249">
        <f>IF($BC65=Lookup!$A$2,$BD65*ROUNDUP(BL65/10,0)+1,
IF($BC65=Lookup!$A$3,($BD65+1)^BK65,
IF($BC65=Lookup!$A$4,BL65*$BD65+1,"Error")))</f>
        <v>1</v>
      </c>
      <c r="BU65" s="320"/>
      <c r="BV65" s="321"/>
      <c r="BW65" s="321"/>
      <c r="BX65" s="321"/>
      <c r="BY65" s="321"/>
      <c r="BZ65" s="321"/>
      <c r="CA65" s="321"/>
      <c r="CB65" s="277"/>
      <c r="CC65" s="382" t="s">
        <v>293</v>
      </c>
      <c r="CD65" s="383">
        <f>HLOOKUP($CC65,$AK$6:$AM$132,ROWS(CD$6:CD65),0)</f>
        <v>0</v>
      </c>
      <c r="CE65" s="239">
        <f t="shared" si="33"/>
        <v>0</v>
      </c>
      <c r="CF65" s="140">
        <f t="shared" si="33"/>
        <v>0</v>
      </c>
      <c r="CG65" s="140">
        <f t="shared" si="33"/>
        <v>0</v>
      </c>
      <c r="CH65" s="140">
        <f t="shared" si="33"/>
        <v>0</v>
      </c>
      <c r="CI65" s="140">
        <f t="shared" si="64"/>
        <v>0</v>
      </c>
      <c r="CJ65" s="140">
        <f t="shared" si="64"/>
        <v>0</v>
      </c>
      <c r="CK65" s="140">
        <f t="shared" si="64"/>
        <v>0</v>
      </c>
      <c r="CL65" s="291">
        <f t="shared" si="64"/>
        <v>0</v>
      </c>
      <c r="CM65" s="305" t="s">
        <v>293</v>
      </c>
      <c r="CN65" s="315">
        <v>0.05</v>
      </c>
      <c r="CO65" s="306"/>
      <c r="CP65" s="307" t="str">
        <f>IF($CO65&lt;&gt;"",$CO65,HLOOKUP($CM65,$AY$6:$BA$132,ROWS(CP$6:CP65),0))</f>
        <v/>
      </c>
      <c r="CQ65" s="784" t="str">
        <f t="shared" si="63"/>
        <v/>
      </c>
      <c r="CR65" s="784" t="str">
        <f t="shared" si="63"/>
        <v/>
      </c>
      <c r="CS65" s="97" t="str">
        <f t="shared" si="63"/>
        <v/>
      </c>
      <c r="CT65" s="97" t="str">
        <f t="shared" si="63"/>
        <v/>
      </c>
      <c r="CU65" s="97" t="str">
        <f t="shared" si="63"/>
        <v/>
      </c>
      <c r="CV65" s="97" t="str">
        <f t="shared" si="63"/>
        <v/>
      </c>
      <c r="CW65" s="97" t="str">
        <f t="shared" si="63"/>
        <v/>
      </c>
      <c r="CX65" s="98" t="str">
        <f t="shared" si="46"/>
        <v/>
      </c>
      <c r="CY65" s="392"/>
    </row>
    <row r="66" spans="1:103" ht="15.75" thickBot="1" x14ac:dyDescent="0.3">
      <c r="A66" s="100" t="s">
        <v>106</v>
      </c>
      <c r="B66" s="101" t="s">
        <v>827</v>
      </c>
      <c r="C66" s="102" t="s">
        <v>355</v>
      </c>
      <c r="D66" s="103"/>
      <c r="E66" s="104"/>
      <c r="F66" s="104"/>
      <c r="G66" s="104"/>
      <c r="H66" s="104"/>
      <c r="I66" s="104">
        <v>0</v>
      </c>
      <c r="J66" s="104">
        <v>0</v>
      </c>
      <c r="K66" s="104">
        <v>0</v>
      </c>
      <c r="L66" s="104">
        <v>0</v>
      </c>
      <c r="M66" s="655">
        <f>'2022-23 Input'!D66</f>
        <v>0</v>
      </c>
      <c r="N66" s="1066">
        <v>0</v>
      </c>
      <c r="O66" s="563">
        <f t="shared" si="27"/>
        <v>0</v>
      </c>
      <c r="P66" s="564">
        <f t="shared" si="0"/>
        <v>0</v>
      </c>
      <c r="Q66" s="564">
        <f t="shared" si="1"/>
        <v>0</v>
      </c>
      <c r="R66" s="564">
        <f t="shared" si="2"/>
        <v>0</v>
      </c>
      <c r="S66" s="564">
        <f t="shared" si="3"/>
        <v>0</v>
      </c>
      <c r="T66" s="564">
        <f t="shared" si="4"/>
        <v>0</v>
      </c>
      <c r="U66" s="564">
        <f t="shared" si="5"/>
        <v>0</v>
      </c>
      <c r="V66" s="564">
        <f t="shared" si="6"/>
        <v>0</v>
      </c>
      <c r="W66" s="676">
        <f t="shared" si="7"/>
        <v>0</v>
      </c>
      <c r="X66" s="676">
        <f t="shared" si="8"/>
        <v>0</v>
      </c>
      <c r="Y66" s="676">
        <f t="shared" si="8"/>
        <v>0</v>
      </c>
      <c r="Z66" s="105"/>
      <c r="AA66" s="106"/>
      <c r="AB66" s="106"/>
      <c r="AC66" s="106"/>
      <c r="AD66" s="106"/>
      <c r="AE66" s="106">
        <v>0</v>
      </c>
      <c r="AF66" s="106">
        <v>0</v>
      </c>
      <c r="AG66" s="106">
        <v>0</v>
      </c>
      <c r="AH66" s="106">
        <v>0</v>
      </c>
      <c r="AI66" s="1095">
        <f>'2022-23 Input'!K66</f>
        <v>0</v>
      </c>
      <c r="AJ66" s="666">
        <v>0</v>
      </c>
      <c r="AK66" s="133">
        <f t="shared" si="47"/>
        <v>0</v>
      </c>
      <c r="AL66" s="134">
        <f t="shared" si="48"/>
        <v>0</v>
      </c>
      <c r="AM66" s="135">
        <f t="shared" si="49"/>
        <v>0</v>
      </c>
      <c r="AN66" s="110" t="str">
        <f t="shared" si="50"/>
        <v/>
      </c>
      <c r="AO66" s="111" t="str">
        <f t="shared" si="51"/>
        <v/>
      </c>
      <c r="AP66" s="111" t="str">
        <f t="shared" si="52"/>
        <v/>
      </c>
      <c r="AQ66" s="111" t="str">
        <f t="shared" si="53"/>
        <v/>
      </c>
      <c r="AR66" s="111" t="str">
        <f t="shared" si="54"/>
        <v/>
      </c>
      <c r="AS66" s="111" t="str">
        <f t="shared" si="55"/>
        <v/>
      </c>
      <c r="AT66" s="111" t="str">
        <f t="shared" si="56"/>
        <v/>
      </c>
      <c r="AU66" s="111" t="str">
        <f t="shared" si="57"/>
        <v/>
      </c>
      <c r="AV66" s="111" t="str">
        <f t="shared" si="70"/>
        <v/>
      </c>
      <c r="AW66" s="111" t="str">
        <f t="shared" si="70"/>
        <v/>
      </c>
      <c r="AX66" s="111" t="str">
        <f t="shared" si="70"/>
        <v/>
      </c>
      <c r="AY66" s="112" t="str">
        <f t="shared" si="59"/>
        <v/>
      </c>
      <c r="AZ66" s="113" t="str">
        <f t="shared" si="60"/>
        <v/>
      </c>
      <c r="BA66" s="114" t="str">
        <f t="shared" si="61"/>
        <v/>
      </c>
      <c r="BB66" s="250" t="s">
        <v>422</v>
      </c>
      <c r="BC66" s="230" t="s">
        <v>433</v>
      </c>
      <c r="BD66" s="251">
        <v>0</v>
      </c>
      <c r="BE66" s="270">
        <f t="shared" si="28"/>
        <v>0</v>
      </c>
      <c r="BF66" s="271">
        <f t="shared" si="71"/>
        <v>0</v>
      </c>
      <c r="BG66" s="271">
        <f t="shared" si="71"/>
        <v>0</v>
      </c>
      <c r="BH66" s="271">
        <f t="shared" si="71"/>
        <v>1</v>
      </c>
      <c r="BI66" s="271">
        <f t="shared" si="71"/>
        <v>2</v>
      </c>
      <c r="BJ66" s="271">
        <f t="shared" si="71"/>
        <v>3</v>
      </c>
      <c r="BK66" s="271">
        <f t="shared" si="71"/>
        <v>4</v>
      </c>
      <c r="BL66" s="272">
        <f t="shared" si="71"/>
        <v>5</v>
      </c>
      <c r="BM66" s="257">
        <f>IF($BC66=Lookup!$A$2,$BD66*ROUNDUP(BE66/10,0)+1,
IF($BC66=Lookup!$A$3,($BD66+1)^BD66,
IF($BC66=Lookup!$A$4,BE66*$BD66+1,"Error")))</f>
        <v>1</v>
      </c>
      <c r="BN66" s="230">
        <f>IF($BC66=Lookup!$A$2,$BD66*ROUNDUP(BF66/10,0)+1,
IF($BC66=Lookup!$A$3,($BD66+1)^BE66,
IF($BC66=Lookup!$A$4,BF66*$BD66+1,"Error")))</f>
        <v>1</v>
      </c>
      <c r="BO66" s="230">
        <f>IF($BC66=Lookup!$A$2,$BD66*ROUNDUP(BG66/10,0)+1,
IF($BC66=Lookup!$A$3,($BD66+1)^BF66,
IF($BC66=Lookup!$A$4,BG66*$BD66+1,"Error")))</f>
        <v>1</v>
      </c>
      <c r="BP66" s="230">
        <f>IF($BC66=Lookup!$A$2,$BD66*ROUNDUP(BH66/10,0)+1,
IF($BC66=Lookup!$A$3,($BD66+1)^BG66,
IF($BC66=Lookup!$A$4,BH66*$BD66+1,"Error")))</f>
        <v>1</v>
      </c>
      <c r="BQ66" s="230">
        <f>IF($BC66=Lookup!$A$2,$BD66*ROUNDUP(BI66/10,0)+1,
IF($BC66=Lookup!$A$3,($BD66+1)^BH66,
IF($BC66=Lookup!$A$4,BI66*$BD66+1,"Error")))</f>
        <v>1</v>
      </c>
      <c r="BR66" s="230">
        <f>IF($BC66=Lookup!$A$2,$BD66*ROUNDUP(BJ66/10,0)+1,
IF($BC66=Lookup!$A$3,($BD66+1)^BI66,
IF($BC66=Lookup!$A$4,BJ66*$BD66+1,"Error")))</f>
        <v>1</v>
      </c>
      <c r="BS66" s="230">
        <f>IF($BC66=Lookup!$A$2,$BD66*ROUNDUP(BK66/10,0)+1,
IF($BC66=Lookup!$A$3,($BD66+1)^BJ66,
IF($BC66=Lookup!$A$4,BK66*$BD66+1,"Error")))</f>
        <v>1</v>
      </c>
      <c r="BT66" s="251">
        <f>IF($BC66=Lookup!$A$2,$BD66*ROUNDUP(BL66/10,0)+1,
IF($BC66=Lookup!$A$3,($BD66+1)^BK66,
IF($BC66=Lookup!$A$4,BL66*$BD66+1,"Error")))</f>
        <v>1</v>
      </c>
      <c r="BU66" s="322"/>
      <c r="BV66" s="323"/>
      <c r="BW66" s="323"/>
      <c r="BX66" s="323"/>
      <c r="BY66" s="323"/>
      <c r="BZ66" s="323"/>
      <c r="CA66" s="323"/>
      <c r="CB66" s="278"/>
      <c r="CC66" s="384" t="s">
        <v>293</v>
      </c>
      <c r="CD66" s="385">
        <f>HLOOKUP($CC66,$AK$6:$AM$132,ROWS(CD$6:CD66),0)</f>
        <v>0</v>
      </c>
      <c r="CE66" s="240">
        <f t="shared" si="33"/>
        <v>0</v>
      </c>
      <c r="CF66" s="141">
        <f t="shared" si="33"/>
        <v>0</v>
      </c>
      <c r="CG66" s="141">
        <f t="shared" si="33"/>
        <v>0</v>
      </c>
      <c r="CH66" s="141">
        <f t="shared" si="33"/>
        <v>0</v>
      </c>
      <c r="CI66" s="141">
        <f t="shared" si="64"/>
        <v>0</v>
      </c>
      <c r="CJ66" s="141">
        <f t="shared" si="64"/>
        <v>0</v>
      </c>
      <c r="CK66" s="141">
        <f t="shared" si="64"/>
        <v>0</v>
      </c>
      <c r="CL66" s="292">
        <f t="shared" si="64"/>
        <v>0</v>
      </c>
      <c r="CM66" s="308" t="s">
        <v>293</v>
      </c>
      <c r="CN66" s="316">
        <v>0.05</v>
      </c>
      <c r="CO66" s="309"/>
      <c r="CP66" s="310" t="str">
        <f>IF($CO66&lt;&gt;"",$CO66,HLOOKUP($CM66,$AY$6:$BA$132,ROWS(CP$6:CP66),0))</f>
        <v/>
      </c>
      <c r="CQ66" s="785" t="str">
        <f t="shared" si="63"/>
        <v/>
      </c>
      <c r="CR66" s="785" t="str">
        <f t="shared" si="63"/>
        <v/>
      </c>
      <c r="CS66" s="117" t="str">
        <f t="shared" si="63"/>
        <v/>
      </c>
      <c r="CT66" s="117" t="str">
        <f t="shared" si="63"/>
        <v/>
      </c>
      <c r="CU66" s="117" t="str">
        <f t="shared" si="63"/>
        <v/>
      </c>
      <c r="CV66" s="117" t="str">
        <f t="shared" si="63"/>
        <v/>
      </c>
      <c r="CW66" s="117" t="str">
        <f t="shared" si="63"/>
        <v/>
      </c>
      <c r="CX66" s="118" t="str">
        <f t="shared" si="46"/>
        <v/>
      </c>
      <c r="CY66" s="393"/>
    </row>
    <row r="67" spans="1:103" x14ac:dyDescent="0.25">
      <c r="A67" s="142" t="s">
        <v>138</v>
      </c>
      <c r="B67" s="143" t="s">
        <v>135</v>
      </c>
      <c r="C67" s="65" t="s">
        <v>356</v>
      </c>
      <c r="D67" s="66"/>
      <c r="E67" s="67"/>
      <c r="F67" s="67"/>
      <c r="G67" s="67"/>
      <c r="H67" s="67"/>
      <c r="I67" s="67">
        <v>447424.37428905419</v>
      </c>
      <c r="J67" s="67">
        <v>1176155.6954860173</v>
      </c>
      <c r="K67" s="67">
        <v>1518635.4202406912</v>
      </c>
      <c r="L67" s="67">
        <v>1260740.0366321392</v>
      </c>
      <c r="M67" s="653">
        <f>'2022-23 Input'!D67</f>
        <v>1762215.65881784</v>
      </c>
      <c r="N67" s="1064">
        <v>1585342.8153950402</v>
      </c>
      <c r="O67" s="557">
        <f t="shared" si="27"/>
        <v>0</v>
      </c>
      <c r="P67" s="558">
        <f t="shared" si="0"/>
        <v>0</v>
      </c>
      <c r="Q67" s="558">
        <f t="shared" si="1"/>
        <v>0</v>
      </c>
      <c r="R67" s="558">
        <f t="shared" si="2"/>
        <v>0</v>
      </c>
      <c r="S67" s="558">
        <f t="shared" si="3"/>
        <v>0</v>
      </c>
      <c r="T67" s="558">
        <f t="shared" si="4"/>
        <v>555319.99904856947</v>
      </c>
      <c r="U67" s="558">
        <f t="shared" si="5"/>
        <v>1464887.7740571278</v>
      </c>
      <c r="V67" s="558">
        <f t="shared" si="6"/>
        <v>1821388.7394571267</v>
      </c>
      <c r="W67" s="674">
        <f t="shared" si="7"/>
        <v>1424544.5023505839</v>
      </c>
      <c r="X67" s="674">
        <f t="shared" si="8"/>
        <v>1874047.4965004115</v>
      </c>
      <c r="Y67" s="674">
        <f t="shared" si="8"/>
        <v>1628937.3320130038</v>
      </c>
      <c r="Z67" s="68"/>
      <c r="AA67" s="69"/>
      <c r="AB67" s="69"/>
      <c r="AC67" s="69"/>
      <c r="AD67" s="69"/>
      <c r="AE67" s="69">
        <v>20</v>
      </c>
      <c r="AF67" s="69">
        <v>69</v>
      </c>
      <c r="AG67" s="69">
        <v>112</v>
      </c>
      <c r="AH67" s="69">
        <v>84</v>
      </c>
      <c r="AI67" s="1093">
        <f>'2022-23 Input'!K67</f>
        <v>59</v>
      </c>
      <c r="AJ67" s="664">
        <v>86</v>
      </c>
      <c r="AK67" s="70">
        <f t="shared" si="47"/>
        <v>68.8</v>
      </c>
      <c r="AL67" s="71">
        <f t="shared" si="48"/>
        <v>85</v>
      </c>
      <c r="AM67" s="72">
        <f t="shared" si="49"/>
        <v>59</v>
      </c>
      <c r="AN67" s="73" t="str">
        <f t="shared" si="50"/>
        <v/>
      </c>
      <c r="AO67" s="74" t="str">
        <f t="shared" si="51"/>
        <v/>
      </c>
      <c r="AP67" s="74" t="str">
        <f t="shared" si="52"/>
        <v/>
      </c>
      <c r="AQ67" s="74" t="str">
        <f t="shared" si="53"/>
        <v/>
      </c>
      <c r="AR67" s="74" t="str">
        <f t="shared" si="54"/>
        <v/>
      </c>
      <c r="AS67" s="74">
        <f t="shared" si="55"/>
        <v>22371.218714452709</v>
      </c>
      <c r="AT67" s="74">
        <f t="shared" si="56"/>
        <v>17045.734717188658</v>
      </c>
      <c r="AU67" s="74">
        <f t="shared" si="57"/>
        <v>13559.244823577599</v>
      </c>
      <c r="AV67" s="74">
        <f t="shared" si="70"/>
        <v>15008.809959906419</v>
      </c>
      <c r="AW67" s="74">
        <f t="shared" si="70"/>
        <v>29868.062013861694</v>
      </c>
      <c r="AX67" s="74">
        <f t="shared" si="70"/>
        <v>18434.218783663258</v>
      </c>
      <c r="AY67" s="75">
        <f t="shared" si="59"/>
        <v>17922.009260074832</v>
      </c>
      <c r="AZ67" s="76">
        <f t="shared" si="60"/>
        <v>17810.161238002627</v>
      </c>
      <c r="BA67" s="77">
        <f t="shared" si="61"/>
        <v>29868.062013861694</v>
      </c>
      <c r="BB67" s="246" t="s">
        <v>422</v>
      </c>
      <c r="BC67" s="228" t="s">
        <v>433</v>
      </c>
      <c r="BD67" s="247">
        <v>0</v>
      </c>
      <c r="BE67" s="264">
        <f t="shared" si="28"/>
        <v>0</v>
      </c>
      <c r="BF67" s="265">
        <f t="shared" si="71"/>
        <v>0</v>
      </c>
      <c r="BG67" s="265">
        <f t="shared" si="71"/>
        <v>0</v>
      </c>
      <c r="BH67" s="265">
        <f t="shared" si="71"/>
        <v>1</v>
      </c>
      <c r="BI67" s="265">
        <f t="shared" si="71"/>
        <v>2</v>
      </c>
      <c r="BJ67" s="265">
        <f t="shared" si="71"/>
        <v>3</v>
      </c>
      <c r="BK67" s="265">
        <f t="shared" si="71"/>
        <v>4</v>
      </c>
      <c r="BL67" s="266">
        <f t="shared" si="71"/>
        <v>5</v>
      </c>
      <c r="BM67" s="255">
        <f>IF($BC67=Lookup!$A$2,$BD67*ROUNDUP(BE67/10,0)+1,
IF($BC67=Lookup!$A$3,($BD67+1)^BD67,
IF($BC67=Lookup!$A$4,BE67*$BD67+1,"Error")))</f>
        <v>1</v>
      </c>
      <c r="BN67" s="228">
        <f>IF($BC67=Lookup!$A$2,$BD67*ROUNDUP(BF67/10,0)+1,
IF($BC67=Lookup!$A$3,($BD67+1)^BE67,
IF($BC67=Lookup!$A$4,BF67*$BD67+1,"Error")))</f>
        <v>1</v>
      </c>
      <c r="BO67" s="228">
        <f>IF($BC67=Lookup!$A$2,$BD67*ROUNDUP(BG67/10,0)+1,
IF($BC67=Lookup!$A$3,($BD67+1)^BF67,
IF($BC67=Lookup!$A$4,BG67*$BD67+1,"Error")))</f>
        <v>1</v>
      </c>
      <c r="BP67" s="228">
        <f>IF($BC67=Lookup!$A$2,$BD67*ROUNDUP(BH67/10,0)+1,
IF($BC67=Lookup!$A$3,($BD67+1)^BG67,
IF($BC67=Lookup!$A$4,BH67*$BD67+1,"Error")))</f>
        <v>1</v>
      </c>
      <c r="BQ67" s="228">
        <f>IF($BC67=Lookup!$A$2,$BD67*ROUNDUP(BI67/10,0)+1,
IF($BC67=Lookup!$A$3,($BD67+1)^BH67,
IF($BC67=Lookup!$A$4,BI67*$BD67+1,"Error")))</f>
        <v>1</v>
      </c>
      <c r="BR67" s="228">
        <f>IF($BC67=Lookup!$A$2,$BD67*ROUNDUP(BJ67/10,0)+1,
IF($BC67=Lookup!$A$3,($BD67+1)^BI67,
IF($BC67=Lookup!$A$4,BJ67*$BD67+1,"Error")))</f>
        <v>1</v>
      </c>
      <c r="BS67" s="228">
        <f>IF($BC67=Lookup!$A$2,$BD67*ROUNDUP(BK67/10,0)+1,
IF($BC67=Lookup!$A$3,($BD67+1)^BJ67,
IF($BC67=Lookup!$A$4,BK67*$BD67+1,"Error")))</f>
        <v>1</v>
      </c>
      <c r="BT67" s="247">
        <f>IF($BC67=Lookup!$A$2,$BD67*ROUNDUP(BL67/10,0)+1,
IF($BC67=Lookup!$A$3,($BD67+1)^BK67,
IF($BC67=Lookup!$A$4,BL67*$BD67+1,"Error")))</f>
        <v>1</v>
      </c>
      <c r="BU67" s="318"/>
      <c r="BV67" s="319">
        <f t="shared" ref="BV67:BV72" si="72">IFERROR(SUM(CF$34:CF$42)*HLOOKUP($BW$4,$AY$135:$BA$146,8,0)/HLOOKUP($BW$4,$AY$135:$BA$146,5,0)*$AK67/SUM($AK$67:$AK$72),"")</f>
        <v>40.314632948186656</v>
      </c>
      <c r="BW67" s="319">
        <f t="shared" ref="BW67:BW72" si="73">IFERROR(SUM(CG$34:CG$42)*HLOOKUP($BW$4,$AY$135:$BA$146,8,0)/HLOOKUP($BW$4,$AY$135:$BA$146,5,0)*$AK67/SUM($AK$67:$AK$72),"")</f>
        <v>40.314632948186656</v>
      </c>
      <c r="BX67" s="319">
        <f t="shared" ref="BX67:CB72" si="74">IFERROR(SUM(CH$34:CH$42)*HLOOKUP($BW$4,$AY$135:$BA$146,8,0)/HLOOKUP($BW$4,$AY$135:$BA$146,5,0)*$AK67/SUM($AK$67:$AK$72),"")</f>
        <v>52.852806782761142</v>
      </c>
      <c r="BY67" s="319">
        <f t="shared" si="74"/>
        <v>55.467088970998788</v>
      </c>
      <c r="BZ67" s="319">
        <f t="shared" si="74"/>
        <v>57.209943763157185</v>
      </c>
      <c r="CA67" s="319">
        <f t="shared" si="74"/>
        <v>58.95279855531561</v>
      </c>
      <c r="CB67" s="276">
        <f t="shared" si="74"/>
        <v>59.824225951394823</v>
      </c>
      <c r="CC67" s="380" t="s">
        <v>293</v>
      </c>
      <c r="CD67" s="381">
        <f>HLOOKUP($CC67,$AK$6:$AM$132,ROWS(CD$6:CD67),0)</f>
        <v>85</v>
      </c>
      <c r="CE67" s="233">
        <f t="shared" si="33"/>
        <v>85</v>
      </c>
      <c r="CF67" s="78">
        <f t="shared" si="33"/>
        <v>40.314632948186656</v>
      </c>
      <c r="CG67" s="78">
        <f t="shared" si="33"/>
        <v>40.314632948186656</v>
      </c>
      <c r="CH67" s="78">
        <f t="shared" si="33"/>
        <v>52.852806782761142</v>
      </c>
      <c r="CI67" s="78">
        <f t="shared" si="64"/>
        <v>55.467088970998788</v>
      </c>
      <c r="CJ67" s="78">
        <f t="shared" si="64"/>
        <v>57.209943763157185</v>
      </c>
      <c r="CK67" s="78">
        <f t="shared" si="64"/>
        <v>58.95279855531561</v>
      </c>
      <c r="CL67" s="285">
        <f t="shared" si="64"/>
        <v>59.824225951394823</v>
      </c>
      <c r="CM67" s="302" t="s">
        <v>293</v>
      </c>
      <c r="CN67" s="314">
        <v>0.05</v>
      </c>
      <c r="CO67" s="303"/>
      <c r="CP67" s="304">
        <f>IF($CO67&lt;&gt;"",$CO67,HLOOKUP($CM67,$AY$6:$BA$132,ROWS(CP$6:CP67),0))</f>
        <v>17810.161238002627</v>
      </c>
      <c r="CQ67" s="783">
        <f t="shared" si="63"/>
        <v>1513863.7052302232</v>
      </c>
      <c r="CR67" s="783">
        <f t="shared" si="63"/>
        <v>718010.11305809754</v>
      </c>
      <c r="CS67" s="79">
        <f t="shared" si="63"/>
        <v>718010.11305809754</v>
      </c>
      <c r="CT67" s="79">
        <f t="shared" si="63"/>
        <v>941317.01068197482</v>
      </c>
      <c r="CU67" s="79">
        <f t="shared" si="63"/>
        <v>987877.79797612561</v>
      </c>
      <c r="CV67" s="79">
        <f t="shared" si="63"/>
        <v>1018918.3228388922</v>
      </c>
      <c r="CW67" s="79">
        <f t="shared" si="63"/>
        <v>1049958.8477016594</v>
      </c>
      <c r="CX67" s="80">
        <f t="shared" si="46"/>
        <v>1065479.110133043</v>
      </c>
      <c r="CY67" s="391"/>
    </row>
    <row r="68" spans="1:103" x14ac:dyDescent="0.25">
      <c r="A68" s="81" t="s">
        <v>138</v>
      </c>
      <c r="B68" s="82" t="s">
        <v>139</v>
      </c>
      <c r="C68" s="83" t="s">
        <v>357</v>
      </c>
      <c r="D68" s="84"/>
      <c r="E68" s="85"/>
      <c r="F68" s="85"/>
      <c r="G68" s="85"/>
      <c r="H68" s="85"/>
      <c r="I68" s="85">
        <v>0</v>
      </c>
      <c r="J68" s="85">
        <v>0</v>
      </c>
      <c r="K68" s="85">
        <v>25164.434631886001</v>
      </c>
      <c r="L68" s="85">
        <v>0</v>
      </c>
      <c r="M68" s="654">
        <f>'2022-23 Input'!D68</f>
        <v>31391.658404647998</v>
      </c>
      <c r="N68" s="1065">
        <v>0</v>
      </c>
      <c r="O68" s="560">
        <f t="shared" si="27"/>
        <v>0</v>
      </c>
      <c r="P68" s="561">
        <f t="shared" si="0"/>
        <v>0</v>
      </c>
      <c r="Q68" s="561">
        <f t="shared" si="1"/>
        <v>0</v>
      </c>
      <c r="R68" s="561">
        <f t="shared" si="2"/>
        <v>0</v>
      </c>
      <c r="S68" s="561">
        <f t="shared" si="3"/>
        <v>0</v>
      </c>
      <c r="T68" s="561">
        <f t="shared" si="4"/>
        <v>0</v>
      </c>
      <c r="U68" s="561">
        <f t="shared" si="5"/>
        <v>0</v>
      </c>
      <c r="V68" s="561">
        <f t="shared" si="6"/>
        <v>30181.185860960468</v>
      </c>
      <c r="W68" s="675">
        <f t="shared" si="7"/>
        <v>0</v>
      </c>
      <c r="X68" s="675">
        <f t="shared" si="8"/>
        <v>33383.802118573658</v>
      </c>
      <c r="Y68" s="675">
        <f t="shared" si="8"/>
        <v>0</v>
      </c>
      <c r="Z68" s="86"/>
      <c r="AA68" s="87"/>
      <c r="AB68" s="87"/>
      <c r="AC68" s="87"/>
      <c r="AD68" s="87"/>
      <c r="AE68" s="87">
        <v>0</v>
      </c>
      <c r="AF68" s="87">
        <v>0</v>
      </c>
      <c r="AG68" s="87">
        <v>1</v>
      </c>
      <c r="AH68" s="87">
        <v>0</v>
      </c>
      <c r="AI68" s="1094">
        <f>'2022-23 Input'!K68</f>
        <v>1</v>
      </c>
      <c r="AJ68" s="665">
        <v>0</v>
      </c>
      <c r="AK68" s="88">
        <f t="shared" si="47"/>
        <v>0.4</v>
      </c>
      <c r="AL68" s="89">
        <f t="shared" si="48"/>
        <v>0.66666666666666663</v>
      </c>
      <c r="AM68" s="90">
        <f t="shared" si="49"/>
        <v>1</v>
      </c>
      <c r="AN68" s="91" t="str">
        <f t="shared" si="50"/>
        <v/>
      </c>
      <c r="AO68" s="92" t="str">
        <f t="shared" si="51"/>
        <v/>
      </c>
      <c r="AP68" s="92" t="str">
        <f t="shared" si="52"/>
        <v/>
      </c>
      <c r="AQ68" s="92" t="str">
        <f t="shared" si="53"/>
        <v/>
      </c>
      <c r="AR68" s="92" t="str">
        <f t="shared" si="54"/>
        <v/>
      </c>
      <c r="AS68" s="92" t="str">
        <f t="shared" si="55"/>
        <v/>
      </c>
      <c r="AT68" s="92" t="str">
        <f t="shared" si="56"/>
        <v/>
      </c>
      <c r="AU68" s="92">
        <f t="shared" si="57"/>
        <v>25164.434631886001</v>
      </c>
      <c r="AV68" s="92" t="str">
        <f t="shared" si="70"/>
        <v/>
      </c>
      <c r="AW68" s="92">
        <f t="shared" si="70"/>
        <v>31391.658404647998</v>
      </c>
      <c r="AX68" s="92" t="str">
        <f t="shared" si="70"/>
        <v/>
      </c>
      <c r="AY68" s="93">
        <f t="shared" si="59"/>
        <v>28278.046518267001</v>
      </c>
      <c r="AZ68" s="94">
        <f t="shared" si="60"/>
        <v>28278.046518267001</v>
      </c>
      <c r="BA68" s="95">
        <f t="shared" si="61"/>
        <v>31391.658404647998</v>
      </c>
      <c r="BB68" s="248" t="s">
        <v>422</v>
      </c>
      <c r="BC68" s="229" t="s">
        <v>433</v>
      </c>
      <c r="BD68" s="249">
        <v>0</v>
      </c>
      <c r="BE68" s="267">
        <f t="shared" si="28"/>
        <v>0</v>
      </c>
      <c r="BF68" s="268">
        <f t="shared" si="71"/>
        <v>0</v>
      </c>
      <c r="BG68" s="268">
        <f t="shared" si="71"/>
        <v>0</v>
      </c>
      <c r="BH68" s="268">
        <f t="shared" si="71"/>
        <v>1</v>
      </c>
      <c r="BI68" s="268">
        <f t="shared" si="71"/>
        <v>2</v>
      </c>
      <c r="BJ68" s="268">
        <f t="shared" si="71"/>
        <v>3</v>
      </c>
      <c r="BK68" s="268">
        <f t="shared" si="71"/>
        <v>4</v>
      </c>
      <c r="BL68" s="269">
        <f t="shared" si="71"/>
        <v>5</v>
      </c>
      <c r="BM68" s="256">
        <f>IF($BC68=Lookup!$A$2,$BD68*ROUNDUP(BE68/10,0)+1,
IF($BC68=Lookup!$A$3,($BD68+1)^BD68,
IF($BC68=Lookup!$A$4,BE68*$BD68+1,"Error")))</f>
        <v>1</v>
      </c>
      <c r="BN68" s="229">
        <f>IF($BC68=Lookup!$A$2,$BD68*ROUNDUP(BF68/10,0)+1,
IF($BC68=Lookup!$A$3,($BD68+1)^BE68,
IF($BC68=Lookup!$A$4,BF68*$BD68+1,"Error")))</f>
        <v>1</v>
      </c>
      <c r="BO68" s="229">
        <f>IF($BC68=Lookup!$A$2,$BD68*ROUNDUP(BG68/10,0)+1,
IF($BC68=Lookup!$A$3,($BD68+1)^BF68,
IF($BC68=Lookup!$A$4,BG68*$BD68+1,"Error")))</f>
        <v>1</v>
      </c>
      <c r="BP68" s="229">
        <f>IF($BC68=Lookup!$A$2,$BD68*ROUNDUP(BH68/10,0)+1,
IF($BC68=Lookup!$A$3,($BD68+1)^BG68,
IF($BC68=Lookup!$A$4,BH68*$BD68+1,"Error")))</f>
        <v>1</v>
      </c>
      <c r="BQ68" s="229">
        <f>IF($BC68=Lookup!$A$2,$BD68*ROUNDUP(BI68/10,0)+1,
IF($BC68=Lookup!$A$3,($BD68+1)^BH68,
IF($BC68=Lookup!$A$4,BI68*$BD68+1,"Error")))</f>
        <v>1</v>
      </c>
      <c r="BR68" s="229">
        <f>IF($BC68=Lookup!$A$2,$BD68*ROUNDUP(BJ68/10,0)+1,
IF($BC68=Lookup!$A$3,($BD68+1)^BI68,
IF($BC68=Lookup!$A$4,BJ68*$BD68+1,"Error")))</f>
        <v>1</v>
      </c>
      <c r="BS68" s="229">
        <f>IF($BC68=Lookup!$A$2,$BD68*ROUNDUP(BK68/10,0)+1,
IF($BC68=Lookup!$A$3,($BD68+1)^BJ68,
IF($BC68=Lookup!$A$4,BK68*$BD68+1,"Error")))</f>
        <v>1</v>
      </c>
      <c r="BT68" s="249">
        <f>IF($BC68=Lookup!$A$2,$BD68*ROUNDUP(BL68/10,0)+1,
IF($BC68=Lookup!$A$3,($BD68+1)^BK68,
IF($BC68=Lookup!$A$4,BL68*$BD68+1,"Error")))</f>
        <v>1</v>
      </c>
      <c r="BU68" s="320"/>
      <c r="BV68" s="319">
        <f t="shared" si="72"/>
        <v>0.23438740086155035</v>
      </c>
      <c r="BW68" s="319">
        <f t="shared" si="73"/>
        <v>0.23438740086155035</v>
      </c>
      <c r="BX68" s="319">
        <f t="shared" si="74"/>
        <v>0.30728376036489041</v>
      </c>
      <c r="BY68" s="321">
        <f t="shared" si="74"/>
        <v>0.3224830754127837</v>
      </c>
      <c r="BZ68" s="321">
        <f t="shared" si="74"/>
        <v>0.33261595211137901</v>
      </c>
      <c r="CA68" s="321">
        <f t="shared" si="74"/>
        <v>0.34274882880997454</v>
      </c>
      <c r="CB68" s="277">
        <f t="shared" si="74"/>
        <v>0.34781526715927225</v>
      </c>
      <c r="CC68" s="382" t="s">
        <v>293</v>
      </c>
      <c r="CD68" s="383">
        <f>HLOOKUP($CC68,$AK$6:$AM$132,ROWS(CD$6:CD68),0)</f>
        <v>0.66666666666666663</v>
      </c>
      <c r="CE68" s="234">
        <f t="shared" si="33"/>
        <v>0.66666666666666663</v>
      </c>
      <c r="CF68" s="96">
        <f t="shared" si="33"/>
        <v>0.23438740086155035</v>
      </c>
      <c r="CG68" s="96">
        <f t="shared" si="33"/>
        <v>0.23438740086155035</v>
      </c>
      <c r="CH68" s="96">
        <f t="shared" si="33"/>
        <v>0.30728376036489041</v>
      </c>
      <c r="CI68" s="96">
        <f t="shared" si="64"/>
        <v>0.3224830754127837</v>
      </c>
      <c r="CJ68" s="96">
        <f t="shared" si="64"/>
        <v>0.33261595211137901</v>
      </c>
      <c r="CK68" s="96">
        <f t="shared" si="64"/>
        <v>0.34274882880997454</v>
      </c>
      <c r="CL68" s="286">
        <f t="shared" si="64"/>
        <v>0.34781526715927225</v>
      </c>
      <c r="CM68" s="305" t="s">
        <v>293</v>
      </c>
      <c r="CN68" s="315">
        <v>0.05</v>
      </c>
      <c r="CO68" s="306"/>
      <c r="CP68" s="307">
        <f>IF($CO68&lt;&gt;"",$CO68,HLOOKUP($CM68,$AY$6:$BA$132,ROWS(CP$6:CP68),0))</f>
        <v>28278.046518267001</v>
      </c>
      <c r="CQ68" s="784">
        <f t="shared" si="63"/>
        <v>18852.031012177998</v>
      </c>
      <c r="CR68" s="784">
        <f t="shared" si="63"/>
        <v>6628.0178248586162</v>
      </c>
      <c r="CS68" s="97">
        <f t="shared" si="63"/>
        <v>6628.0178248586162</v>
      </c>
      <c r="CT68" s="97">
        <f t="shared" si="63"/>
        <v>8689.3844699063811</v>
      </c>
      <c r="CU68" s="97">
        <f t="shared" si="63"/>
        <v>9119.1914078765039</v>
      </c>
      <c r="CV68" s="97">
        <f t="shared" si="63"/>
        <v>9405.7293665232446</v>
      </c>
      <c r="CW68" s="97">
        <f t="shared" si="63"/>
        <v>9692.2673251699925</v>
      </c>
      <c r="CX68" s="98">
        <f t="shared" si="46"/>
        <v>9835.5363044933656</v>
      </c>
      <c r="CY68" s="392"/>
    </row>
    <row r="69" spans="1:103" x14ac:dyDescent="0.25">
      <c r="A69" s="81" t="s">
        <v>138</v>
      </c>
      <c r="B69" s="82" t="s">
        <v>141</v>
      </c>
      <c r="C69" s="83" t="s">
        <v>358</v>
      </c>
      <c r="D69" s="84"/>
      <c r="E69" s="85"/>
      <c r="F69" s="85"/>
      <c r="G69" s="85"/>
      <c r="H69" s="85"/>
      <c r="I69" s="85">
        <v>0</v>
      </c>
      <c r="J69" s="85">
        <v>0</v>
      </c>
      <c r="K69" s="85">
        <v>0</v>
      </c>
      <c r="L69" s="85">
        <v>0</v>
      </c>
      <c r="M69" s="654">
        <f>'2022-23 Input'!D69</f>
        <v>0</v>
      </c>
      <c r="N69" s="1065">
        <v>0</v>
      </c>
      <c r="O69" s="560">
        <f t="shared" si="27"/>
        <v>0</v>
      </c>
      <c r="P69" s="561">
        <f t="shared" si="0"/>
        <v>0</v>
      </c>
      <c r="Q69" s="561">
        <f t="shared" si="1"/>
        <v>0</v>
      </c>
      <c r="R69" s="561">
        <f t="shared" si="2"/>
        <v>0</v>
      </c>
      <c r="S69" s="561">
        <f t="shared" si="3"/>
        <v>0</v>
      </c>
      <c r="T69" s="561">
        <f t="shared" si="4"/>
        <v>0</v>
      </c>
      <c r="U69" s="561">
        <f t="shared" si="5"/>
        <v>0</v>
      </c>
      <c r="V69" s="561">
        <f t="shared" si="6"/>
        <v>0</v>
      </c>
      <c r="W69" s="675">
        <f t="shared" si="7"/>
        <v>0</v>
      </c>
      <c r="X69" s="675">
        <f t="shared" si="8"/>
        <v>0</v>
      </c>
      <c r="Y69" s="675">
        <f t="shared" si="8"/>
        <v>0</v>
      </c>
      <c r="Z69" s="86"/>
      <c r="AA69" s="87"/>
      <c r="AB69" s="87"/>
      <c r="AC69" s="87"/>
      <c r="AD69" s="87"/>
      <c r="AE69" s="87">
        <v>0</v>
      </c>
      <c r="AF69" s="87">
        <v>0</v>
      </c>
      <c r="AG69" s="87">
        <v>0</v>
      </c>
      <c r="AH69" s="87">
        <v>0</v>
      </c>
      <c r="AI69" s="1094">
        <f>'2022-23 Input'!K69</f>
        <v>0</v>
      </c>
      <c r="AJ69" s="665">
        <v>0</v>
      </c>
      <c r="AK69" s="88">
        <f t="shared" si="47"/>
        <v>0</v>
      </c>
      <c r="AL69" s="89">
        <f t="shared" si="48"/>
        <v>0</v>
      </c>
      <c r="AM69" s="90">
        <f t="shared" si="49"/>
        <v>0</v>
      </c>
      <c r="AN69" s="91" t="str">
        <f t="shared" si="50"/>
        <v/>
      </c>
      <c r="AO69" s="92" t="str">
        <f t="shared" si="51"/>
        <v/>
      </c>
      <c r="AP69" s="92" t="str">
        <f t="shared" si="52"/>
        <v/>
      </c>
      <c r="AQ69" s="92" t="str">
        <f t="shared" si="53"/>
        <v/>
      </c>
      <c r="AR69" s="92" t="str">
        <f t="shared" si="54"/>
        <v/>
      </c>
      <c r="AS69" s="92" t="str">
        <f t="shared" si="55"/>
        <v/>
      </c>
      <c r="AT69" s="92" t="str">
        <f t="shared" si="56"/>
        <v/>
      </c>
      <c r="AU69" s="92" t="str">
        <f t="shared" si="57"/>
        <v/>
      </c>
      <c r="AV69" s="92" t="str">
        <f t="shared" si="70"/>
        <v/>
      </c>
      <c r="AW69" s="92" t="str">
        <f t="shared" si="70"/>
        <v/>
      </c>
      <c r="AX69" s="92" t="str">
        <f t="shared" si="70"/>
        <v/>
      </c>
      <c r="AY69" s="93" t="str">
        <f t="shared" si="59"/>
        <v/>
      </c>
      <c r="AZ69" s="94" t="str">
        <f t="shared" si="60"/>
        <v/>
      </c>
      <c r="BA69" s="95" t="str">
        <f t="shared" si="61"/>
        <v/>
      </c>
      <c r="BB69" s="248" t="s">
        <v>422</v>
      </c>
      <c r="BC69" s="229" t="s">
        <v>433</v>
      </c>
      <c r="BD69" s="249">
        <v>0</v>
      </c>
      <c r="BE69" s="267">
        <f t="shared" si="28"/>
        <v>0</v>
      </c>
      <c r="BF69" s="268">
        <f t="shared" si="71"/>
        <v>0</v>
      </c>
      <c r="BG69" s="268">
        <f t="shared" si="71"/>
        <v>0</v>
      </c>
      <c r="BH69" s="268">
        <f t="shared" si="71"/>
        <v>1</v>
      </c>
      <c r="BI69" s="268">
        <f t="shared" si="71"/>
        <v>2</v>
      </c>
      <c r="BJ69" s="268">
        <f t="shared" si="71"/>
        <v>3</v>
      </c>
      <c r="BK69" s="268">
        <f t="shared" si="71"/>
        <v>4</v>
      </c>
      <c r="BL69" s="269">
        <f t="shared" si="71"/>
        <v>5</v>
      </c>
      <c r="BM69" s="256">
        <f>IF($BC69=Lookup!$A$2,$BD69*ROUNDUP(BE69/10,0)+1,
IF($BC69=Lookup!$A$3,($BD69+1)^BD69,
IF($BC69=Lookup!$A$4,BE69*$BD69+1,"Error")))</f>
        <v>1</v>
      </c>
      <c r="BN69" s="229">
        <f>IF($BC69=Lookup!$A$2,$BD69*ROUNDUP(BF69/10,0)+1,
IF($BC69=Lookup!$A$3,($BD69+1)^BE69,
IF($BC69=Lookup!$A$4,BF69*$BD69+1,"Error")))</f>
        <v>1</v>
      </c>
      <c r="BO69" s="229">
        <f>IF($BC69=Lookup!$A$2,$BD69*ROUNDUP(BG69/10,0)+1,
IF($BC69=Lookup!$A$3,($BD69+1)^BF69,
IF($BC69=Lookup!$A$4,BG69*$BD69+1,"Error")))</f>
        <v>1</v>
      </c>
      <c r="BP69" s="229">
        <f>IF($BC69=Lookup!$A$2,$BD69*ROUNDUP(BH69/10,0)+1,
IF($BC69=Lookup!$A$3,($BD69+1)^BG69,
IF($BC69=Lookup!$A$4,BH69*$BD69+1,"Error")))</f>
        <v>1</v>
      </c>
      <c r="BQ69" s="229">
        <f>IF($BC69=Lookup!$A$2,$BD69*ROUNDUP(BI69/10,0)+1,
IF($BC69=Lookup!$A$3,($BD69+1)^BH69,
IF($BC69=Lookup!$A$4,BI69*$BD69+1,"Error")))</f>
        <v>1</v>
      </c>
      <c r="BR69" s="229">
        <f>IF($BC69=Lookup!$A$2,$BD69*ROUNDUP(BJ69/10,0)+1,
IF($BC69=Lookup!$A$3,($BD69+1)^BI69,
IF($BC69=Lookup!$A$4,BJ69*$BD69+1,"Error")))</f>
        <v>1</v>
      </c>
      <c r="BS69" s="229">
        <f>IF($BC69=Lookup!$A$2,$BD69*ROUNDUP(BK69/10,0)+1,
IF($BC69=Lookup!$A$3,($BD69+1)^BJ69,
IF($BC69=Lookup!$A$4,BK69*$BD69+1,"Error")))</f>
        <v>1</v>
      </c>
      <c r="BT69" s="249">
        <f>IF($BC69=Lookup!$A$2,$BD69*ROUNDUP(BL69/10,0)+1,
IF($BC69=Lookup!$A$3,($BD69+1)^BK69,
IF($BC69=Lookup!$A$4,BL69*$BD69+1,"Error")))</f>
        <v>1</v>
      </c>
      <c r="BU69" s="320"/>
      <c r="BV69" s="319">
        <f t="shared" si="72"/>
        <v>0</v>
      </c>
      <c r="BW69" s="319">
        <f t="shared" si="73"/>
        <v>0</v>
      </c>
      <c r="BX69" s="319">
        <f t="shared" si="74"/>
        <v>0</v>
      </c>
      <c r="BY69" s="321">
        <f t="shared" si="74"/>
        <v>0</v>
      </c>
      <c r="BZ69" s="321">
        <f t="shared" si="74"/>
        <v>0</v>
      </c>
      <c r="CA69" s="321">
        <f t="shared" si="74"/>
        <v>0</v>
      </c>
      <c r="CB69" s="277">
        <f t="shared" si="74"/>
        <v>0</v>
      </c>
      <c r="CC69" s="382" t="s">
        <v>293</v>
      </c>
      <c r="CD69" s="383">
        <f>HLOOKUP($CC69,$AK$6:$AM$132,ROWS(CD$6:CD69),0)</f>
        <v>0</v>
      </c>
      <c r="CE69" s="234">
        <f t="shared" si="33"/>
        <v>0</v>
      </c>
      <c r="CF69" s="96">
        <f t="shared" si="33"/>
        <v>0</v>
      </c>
      <c r="CG69" s="96">
        <f t="shared" si="33"/>
        <v>0</v>
      </c>
      <c r="CH69" s="96">
        <f t="shared" si="33"/>
        <v>0</v>
      </c>
      <c r="CI69" s="96">
        <f t="shared" si="64"/>
        <v>0</v>
      </c>
      <c r="CJ69" s="96">
        <f t="shared" si="64"/>
        <v>0</v>
      </c>
      <c r="CK69" s="96">
        <f t="shared" si="64"/>
        <v>0</v>
      </c>
      <c r="CL69" s="286">
        <f t="shared" si="64"/>
        <v>0</v>
      </c>
      <c r="CM69" s="305" t="s">
        <v>293</v>
      </c>
      <c r="CN69" s="315">
        <v>0.05</v>
      </c>
      <c r="CO69" s="306"/>
      <c r="CP69" s="307" t="str">
        <f>IF($CO69&lt;&gt;"",$CO69,HLOOKUP($CM69,$AY$6:$BA$132,ROWS(CP$6:CP69),0))</f>
        <v/>
      </c>
      <c r="CQ69" s="784" t="str">
        <f t="shared" si="63"/>
        <v/>
      </c>
      <c r="CR69" s="784" t="str">
        <f t="shared" si="63"/>
        <v/>
      </c>
      <c r="CS69" s="97" t="str">
        <f t="shared" si="63"/>
        <v/>
      </c>
      <c r="CT69" s="97" t="str">
        <f t="shared" si="63"/>
        <v/>
      </c>
      <c r="CU69" s="97" t="str">
        <f t="shared" si="63"/>
        <v/>
      </c>
      <c r="CV69" s="97" t="str">
        <f t="shared" si="63"/>
        <v/>
      </c>
      <c r="CW69" s="97" t="str">
        <f t="shared" si="63"/>
        <v/>
      </c>
      <c r="CX69" s="98" t="str">
        <f t="shared" si="46"/>
        <v/>
      </c>
      <c r="CY69" s="392"/>
    </row>
    <row r="70" spans="1:103" x14ac:dyDescent="0.25">
      <c r="A70" s="81" t="s">
        <v>138</v>
      </c>
      <c r="B70" s="82" t="s">
        <v>143</v>
      </c>
      <c r="C70" s="83" t="s">
        <v>359</v>
      </c>
      <c r="D70" s="84"/>
      <c r="E70" s="85"/>
      <c r="F70" s="85"/>
      <c r="G70" s="85"/>
      <c r="H70" s="85"/>
      <c r="I70" s="85">
        <v>231797.03561890105</v>
      </c>
      <c r="J70" s="85">
        <v>971422.00187758566</v>
      </c>
      <c r="K70" s="85">
        <v>862547.11596188392</v>
      </c>
      <c r="L70" s="85">
        <v>1061762.7290670706</v>
      </c>
      <c r="M70" s="654">
        <f>'2022-23 Input'!D70</f>
        <v>1789912.9518270118</v>
      </c>
      <c r="N70" s="1065">
        <v>1019586.5144613185</v>
      </c>
      <c r="O70" s="560">
        <f t="shared" si="27"/>
        <v>0</v>
      </c>
      <c r="P70" s="561">
        <f t="shared" si="0"/>
        <v>0</v>
      </c>
      <c r="Q70" s="561">
        <f t="shared" si="1"/>
        <v>0</v>
      </c>
      <c r="R70" s="561">
        <f t="shared" si="2"/>
        <v>0</v>
      </c>
      <c r="S70" s="561">
        <f t="shared" si="3"/>
        <v>0</v>
      </c>
      <c r="T70" s="561">
        <f t="shared" si="4"/>
        <v>287694.49541921931</v>
      </c>
      <c r="U70" s="561">
        <f t="shared" si="5"/>
        <v>1209894.4208339234</v>
      </c>
      <c r="V70" s="561">
        <f t="shared" si="6"/>
        <v>1034503.4649693605</v>
      </c>
      <c r="W70" s="675">
        <f t="shared" si="7"/>
        <v>1199714.6235902207</v>
      </c>
      <c r="X70" s="675">
        <f t="shared" si="8"/>
        <v>1903502.4853741894</v>
      </c>
      <c r="Y70" s="675">
        <f t="shared" si="8"/>
        <v>1047623.5931401403</v>
      </c>
      <c r="Z70" s="86"/>
      <c r="AA70" s="87"/>
      <c r="AB70" s="87"/>
      <c r="AC70" s="87"/>
      <c r="AD70" s="87"/>
      <c r="AE70" s="87">
        <v>7</v>
      </c>
      <c r="AF70" s="87">
        <v>36</v>
      </c>
      <c r="AG70" s="87">
        <v>48</v>
      </c>
      <c r="AH70" s="87">
        <v>50</v>
      </c>
      <c r="AI70" s="1094">
        <f>'2022-23 Input'!K70</f>
        <v>64</v>
      </c>
      <c r="AJ70" s="665">
        <v>36</v>
      </c>
      <c r="AK70" s="88">
        <f t="shared" si="47"/>
        <v>41</v>
      </c>
      <c r="AL70" s="89">
        <f t="shared" si="48"/>
        <v>54</v>
      </c>
      <c r="AM70" s="90">
        <f t="shared" si="49"/>
        <v>64</v>
      </c>
      <c r="AN70" s="91" t="str">
        <f t="shared" si="50"/>
        <v/>
      </c>
      <c r="AO70" s="92" t="str">
        <f t="shared" si="51"/>
        <v/>
      </c>
      <c r="AP70" s="92" t="str">
        <f t="shared" si="52"/>
        <v/>
      </c>
      <c r="AQ70" s="92" t="str">
        <f t="shared" si="53"/>
        <v/>
      </c>
      <c r="AR70" s="92" t="str">
        <f t="shared" si="54"/>
        <v/>
      </c>
      <c r="AS70" s="92">
        <f t="shared" si="55"/>
        <v>33113.862231271582</v>
      </c>
      <c r="AT70" s="92">
        <f t="shared" si="56"/>
        <v>26983.944496599601</v>
      </c>
      <c r="AU70" s="92">
        <f t="shared" si="57"/>
        <v>17969.731582539247</v>
      </c>
      <c r="AV70" s="92">
        <f t="shared" si="70"/>
        <v>21235.254581341414</v>
      </c>
      <c r="AW70" s="92">
        <f t="shared" si="70"/>
        <v>27967.389872297059</v>
      </c>
      <c r="AX70" s="92">
        <f t="shared" si="70"/>
        <v>28321.847623925514</v>
      </c>
      <c r="AY70" s="93">
        <f t="shared" si="59"/>
        <v>23987.521143182697</v>
      </c>
      <c r="AZ70" s="94">
        <f t="shared" si="60"/>
        <v>22927.301215160289</v>
      </c>
      <c r="BA70" s="95">
        <f t="shared" si="61"/>
        <v>27967.389872297059</v>
      </c>
      <c r="BB70" s="248" t="s">
        <v>422</v>
      </c>
      <c r="BC70" s="229" t="s">
        <v>433</v>
      </c>
      <c r="BD70" s="249">
        <v>0</v>
      </c>
      <c r="BE70" s="267">
        <f t="shared" si="28"/>
        <v>0</v>
      </c>
      <c r="BF70" s="268">
        <f t="shared" si="71"/>
        <v>0</v>
      </c>
      <c r="BG70" s="268">
        <f t="shared" si="71"/>
        <v>0</v>
      </c>
      <c r="BH70" s="268">
        <f t="shared" si="71"/>
        <v>1</v>
      </c>
      <c r="BI70" s="268">
        <f t="shared" si="71"/>
        <v>2</v>
      </c>
      <c r="BJ70" s="268">
        <f t="shared" si="71"/>
        <v>3</v>
      </c>
      <c r="BK70" s="268">
        <f t="shared" si="71"/>
        <v>4</v>
      </c>
      <c r="BL70" s="269">
        <f t="shared" si="71"/>
        <v>5</v>
      </c>
      <c r="BM70" s="256">
        <f>IF($BC70=Lookup!$A$2,$BD70*ROUNDUP(BE70/10,0)+1,
IF($BC70=Lookup!$A$3,($BD70+1)^BD70,
IF($BC70=Lookup!$A$4,BE70*$BD70+1,"Error")))</f>
        <v>1</v>
      </c>
      <c r="BN70" s="229">
        <f>IF($BC70=Lookup!$A$2,$BD70*ROUNDUP(BF70/10,0)+1,
IF($BC70=Lookup!$A$3,($BD70+1)^BE70,
IF($BC70=Lookup!$A$4,BF70*$BD70+1,"Error")))</f>
        <v>1</v>
      </c>
      <c r="BO70" s="229">
        <f>IF($BC70=Lookup!$A$2,$BD70*ROUNDUP(BG70/10,0)+1,
IF($BC70=Lookup!$A$3,($BD70+1)^BF70,
IF($BC70=Lookup!$A$4,BG70*$BD70+1,"Error")))</f>
        <v>1</v>
      </c>
      <c r="BP70" s="229">
        <f>IF($BC70=Lookup!$A$2,$BD70*ROUNDUP(BH70/10,0)+1,
IF($BC70=Lookup!$A$3,($BD70+1)^BG70,
IF($BC70=Lookup!$A$4,BH70*$BD70+1,"Error")))</f>
        <v>1</v>
      </c>
      <c r="BQ70" s="229">
        <f>IF($BC70=Lookup!$A$2,$BD70*ROUNDUP(BI70/10,0)+1,
IF($BC70=Lookup!$A$3,($BD70+1)^BH70,
IF($BC70=Lookup!$A$4,BI70*$BD70+1,"Error")))</f>
        <v>1</v>
      </c>
      <c r="BR70" s="229">
        <f>IF($BC70=Lookup!$A$2,$BD70*ROUNDUP(BJ70/10,0)+1,
IF($BC70=Lookup!$A$3,($BD70+1)^BI70,
IF($BC70=Lookup!$A$4,BJ70*$BD70+1,"Error")))</f>
        <v>1</v>
      </c>
      <c r="BS70" s="229">
        <f>IF($BC70=Lookup!$A$2,$BD70*ROUNDUP(BK70/10,0)+1,
IF($BC70=Lookup!$A$3,($BD70+1)^BJ70,
IF($BC70=Lookup!$A$4,BK70*$BD70+1,"Error")))</f>
        <v>1</v>
      </c>
      <c r="BT70" s="249">
        <f>IF($BC70=Lookup!$A$2,$BD70*ROUNDUP(BL70/10,0)+1,
IF($BC70=Lookup!$A$3,($BD70+1)^BK70,
IF($BC70=Lookup!$A$4,BL70*$BD70+1,"Error")))</f>
        <v>1</v>
      </c>
      <c r="BU70" s="320"/>
      <c r="BV70" s="319">
        <f t="shared" si="72"/>
        <v>24.024708588308908</v>
      </c>
      <c r="BW70" s="319">
        <f t="shared" si="73"/>
        <v>24.024708588308908</v>
      </c>
      <c r="BX70" s="319">
        <f t="shared" si="74"/>
        <v>31.496585437401265</v>
      </c>
      <c r="BY70" s="321">
        <f t="shared" si="74"/>
        <v>33.054515229810328</v>
      </c>
      <c r="BZ70" s="321">
        <f t="shared" si="74"/>
        <v>34.093135091416343</v>
      </c>
      <c r="CA70" s="321">
        <f t="shared" si="74"/>
        <v>35.131754953022387</v>
      </c>
      <c r="CB70" s="277">
        <f t="shared" si="74"/>
        <v>35.651064883825406</v>
      </c>
      <c r="CC70" s="382" t="s">
        <v>293</v>
      </c>
      <c r="CD70" s="383">
        <f>HLOOKUP($CC70,$AK$6:$AM$132,ROWS(CD$6:CD70),0)</f>
        <v>54</v>
      </c>
      <c r="CE70" s="234">
        <f t="shared" si="33"/>
        <v>54</v>
      </c>
      <c r="CF70" s="96">
        <f t="shared" si="33"/>
        <v>24.024708588308908</v>
      </c>
      <c r="CG70" s="96">
        <f t="shared" si="33"/>
        <v>24.024708588308908</v>
      </c>
      <c r="CH70" s="96">
        <f t="shared" si="33"/>
        <v>31.496585437401265</v>
      </c>
      <c r="CI70" s="96">
        <f t="shared" si="64"/>
        <v>33.054515229810328</v>
      </c>
      <c r="CJ70" s="96">
        <f t="shared" si="64"/>
        <v>34.093135091416343</v>
      </c>
      <c r="CK70" s="96">
        <f t="shared" si="64"/>
        <v>35.131754953022387</v>
      </c>
      <c r="CL70" s="286">
        <f t="shared" si="64"/>
        <v>35.651064883825406</v>
      </c>
      <c r="CM70" s="305" t="s">
        <v>293</v>
      </c>
      <c r="CN70" s="315">
        <v>0.05</v>
      </c>
      <c r="CO70" s="306"/>
      <c r="CP70" s="307">
        <f>IF($CO70&lt;&gt;"",$CO70,HLOOKUP($CM70,$AY$6:$BA$132,ROWS(CP$6:CP70),0))</f>
        <v>22927.301215160289</v>
      </c>
      <c r="CQ70" s="784">
        <f t="shared" si="63"/>
        <v>1238074.2656186556</v>
      </c>
      <c r="CR70" s="784">
        <f t="shared" si="63"/>
        <v>550821.7304106066</v>
      </c>
      <c r="CS70" s="97">
        <f t="shared" si="63"/>
        <v>550821.7304106066</v>
      </c>
      <c r="CT70" s="97">
        <f t="shared" si="63"/>
        <v>722131.70157232985</v>
      </c>
      <c r="CU70" s="97">
        <f t="shared" si="63"/>
        <v>757850.82719496463</v>
      </c>
      <c r="CV70" s="97">
        <f t="shared" si="63"/>
        <v>781663.57761005382</v>
      </c>
      <c r="CW70" s="97">
        <f t="shared" si="63"/>
        <v>805476.32802514371</v>
      </c>
      <c r="CX70" s="98">
        <f t="shared" si="46"/>
        <v>817382.70323268848</v>
      </c>
      <c r="CY70" s="392"/>
    </row>
    <row r="71" spans="1:103" x14ac:dyDescent="0.25">
      <c r="A71" s="81" t="s">
        <v>138</v>
      </c>
      <c r="B71" s="82" t="s">
        <v>145</v>
      </c>
      <c r="C71" s="83" t="s">
        <v>360</v>
      </c>
      <c r="D71" s="84"/>
      <c r="E71" s="85"/>
      <c r="F71" s="85"/>
      <c r="G71" s="85"/>
      <c r="H71" s="85"/>
      <c r="I71" s="85">
        <v>377705.41529741575</v>
      </c>
      <c r="J71" s="85">
        <v>1206836.2603223168</v>
      </c>
      <c r="K71" s="85">
        <v>1441421.0246653322</v>
      </c>
      <c r="L71" s="85">
        <v>3683191.8163940241</v>
      </c>
      <c r="M71" s="654">
        <f>'2022-23 Input'!D71</f>
        <v>4337721.2722955029</v>
      </c>
      <c r="N71" s="1065">
        <v>4145351.3369613872</v>
      </c>
      <c r="O71" s="560">
        <f t="shared" si="27"/>
        <v>0</v>
      </c>
      <c r="P71" s="561">
        <f t="shared" ref="P71:P132" si="75">E71*P$4</f>
        <v>0</v>
      </c>
      <c r="Q71" s="561">
        <f t="shared" ref="Q71:Q132" si="76">F71*Q$4</f>
        <v>0</v>
      </c>
      <c r="R71" s="561">
        <f t="shared" ref="R71:R132" si="77">G71*R$4</f>
        <v>0</v>
      </c>
      <c r="S71" s="561">
        <f t="shared" ref="S71:S132" si="78">H71*S$4</f>
        <v>0</v>
      </c>
      <c r="T71" s="561">
        <f t="shared" ref="T71:T132" si="79">I71*T$4</f>
        <v>468788.43200458994</v>
      </c>
      <c r="U71" s="561">
        <f t="shared" ref="U71:U132" si="80">J71*U$4</f>
        <v>1503100.0485904668</v>
      </c>
      <c r="V71" s="561">
        <f t="shared" ref="V71:V132" si="81">K71*V$4</f>
        <v>1728780.9754404959</v>
      </c>
      <c r="W71" s="675">
        <f t="shared" ref="W71:W132" si="82">L71*W$4</f>
        <v>4161738.7412895407</v>
      </c>
      <c r="X71" s="675">
        <f t="shared" ref="X71:Y132" si="83">M71*X$4</f>
        <v>4612997.0813647565</v>
      </c>
      <c r="Y71" s="675">
        <f t="shared" si="83"/>
        <v>4259342.1949585136</v>
      </c>
      <c r="Z71" s="86"/>
      <c r="AA71" s="87"/>
      <c r="AB71" s="87"/>
      <c r="AC71" s="87"/>
      <c r="AD71" s="87"/>
      <c r="AE71" s="87">
        <v>11</v>
      </c>
      <c r="AF71" s="87">
        <v>20</v>
      </c>
      <c r="AG71" s="87">
        <v>39</v>
      </c>
      <c r="AH71" s="87">
        <v>108</v>
      </c>
      <c r="AI71" s="1094">
        <f>'2022-23 Input'!K71</f>
        <v>94</v>
      </c>
      <c r="AJ71" s="665">
        <v>78</v>
      </c>
      <c r="AK71" s="88">
        <f t="shared" ref="AK71:AK102" si="84">IFERROR(IF($AM$4="N",SUM(AD71:AH71)/5,SUM(AE71:AI71)/5),"")</f>
        <v>54.4</v>
      </c>
      <c r="AL71" s="89">
        <f t="shared" ref="AL71:AL102" si="85">IFERROR(IF($AM$4="N",SUM(AF71:AH71)/3,SUM(AG71:AI71)/3),"")</f>
        <v>80.333333333333329</v>
      </c>
      <c r="AM71" s="90">
        <f t="shared" ref="AM71:AM102" si="86">IFERROR(IF($AM$4="N",AH71,AI71),"")</f>
        <v>94</v>
      </c>
      <c r="AN71" s="91" t="str">
        <f t="shared" ref="AN71:AN102" si="87">IFERROR(D71/Z71,"")</f>
        <v/>
      </c>
      <c r="AO71" s="92" t="str">
        <f t="shared" ref="AO71:AO102" si="88">IFERROR(E71/AA71,"")</f>
        <v/>
      </c>
      <c r="AP71" s="92" t="str">
        <f t="shared" ref="AP71:AP102" si="89">IFERROR(F71/AB71,"")</f>
        <v/>
      </c>
      <c r="AQ71" s="92" t="str">
        <f t="shared" ref="AQ71:AQ102" si="90">IFERROR(G71/AC71,"")</f>
        <v/>
      </c>
      <c r="AR71" s="92" t="str">
        <f t="shared" ref="AR71:AR102" si="91">IFERROR(H71/AD71,"")</f>
        <v/>
      </c>
      <c r="AS71" s="92">
        <f t="shared" ref="AS71:AS102" si="92">IFERROR(I71/AE71,"")</f>
        <v>34336.855936128704</v>
      </c>
      <c r="AT71" s="92">
        <f t="shared" ref="AT71:AT102" si="93">IFERROR(J71/AF71,"")</f>
        <v>60341.813016115841</v>
      </c>
      <c r="AU71" s="92">
        <f t="shared" ref="AU71:AU102" si="94">IFERROR(K71/AG71,"")</f>
        <v>36959.513452957231</v>
      </c>
      <c r="AV71" s="92">
        <f t="shared" ref="AV71:AX86" si="95">IFERROR(L71/AH71,"")</f>
        <v>34103.627929574293</v>
      </c>
      <c r="AW71" s="92">
        <f t="shared" si="95"/>
        <v>46145.970981867053</v>
      </c>
      <c r="AX71" s="92">
        <f t="shared" si="95"/>
        <v>53145.529961043423</v>
      </c>
      <c r="AY71" s="93">
        <f t="shared" ref="AY71:AY102" si="96">IFERROR(IF($BA$3="N",
IF($BA$4="N",SUM(H71:L71)/SUM(AD71:AH71),SUM(I71:M71)/SUM(AE71:AI71)),
IF($BA$4="N",SUM(S71:W71)/SUM(AD71:AH71),SUM(T71:X71)/SUM(AE71:AI71))),"")</f>
        <v>40613.513930053647</v>
      </c>
      <c r="AZ71" s="94">
        <f t="shared" ref="AZ71:AZ102" si="97">IFERROR(IF($BA$3="N",
IF($BA$4="N",SUM(J71:L71)/SUM(AF71:AH71),SUM(K71:M71)/SUM(AG71:AI71)),
IF($BA$4="N",SUM(U71:W71)/SUM(AF71:AH71),SUM(V71:X71)/SUM(AG71:AI71))),"")</f>
        <v>39262.797150850034</v>
      </c>
      <c r="BA71" s="95">
        <f t="shared" ref="BA71:BA102" si="98">IFERROR(IF($BA$3="N",
IF($BA$4="N",L71/AH71,M71/AI71),
IF($BA$4="N",W71/AH71,X71/AI71)),"")</f>
        <v>46145.970981867053</v>
      </c>
      <c r="BB71" s="248" t="s">
        <v>422</v>
      </c>
      <c r="BC71" s="229" t="s">
        <v>433</v>
      </c>
      <c r="BD71" s="249">
        <v>0</v>
      </c>
      <c r="BE71" s="267">
        <f t="shared" si="28"/>
        <v>0</v>
      </c>
      <c r="BF71" s="268">
        <f t="shared" ref="BF71:BL86" si="99">IF(BF$6=$BB71,1,
IF(BE71&lt;&gt;0,BE71+1,0
))</f>
        <v>0</v>
      </c>
      <c r="BG71" s="268">
        <f t="shared" si="99"/>
        <v>0</v>
      </c>
      <c r="BH71" s="268">
        <f t="shared" si="99"/>
        <v>1</v>
      </c>
      <c r="BI71" s="268">
        <f t="shared" si="99"/>
        <v>2</v>
      </c>
      <c r="BJ71" s="268">
        <f t="shared" si="99"/>
        <v>3</v>
      </c>
      <c r="BK71" s="268">
        <f t="shared" si="99"/>
        <v>4</v>
      </c>
      <c r="BL71" s="269">
        <f t="shared" si="99"/>
        <v>5</v>
      </c>
      <c r="BM71" s="256">
        <f>IF($BC71=Lookup!$A$2,$BD71*ROUNDUP(BE71/10,0)+1,
IF($BC71=Lookup!$A$3,($BD71+1)^BD71,
IF($BC71=Lookup!$A$4,BE71*$BD71+1,"Error")))</f>
        <v>1</v>
      </c>
      <c r="BN71" s="229">
        <f>IF($BC71=Lookup!$A$2,$BD71*ROUNDUP(BF71/10,0)+1,
IF($BC71=Lookup!$A$3,($BD71+1)^BE71,
IF($BC71=Lookup!$A$4,BF71*$BD71+1,"Error")))</f>
        <v>1</v>
      </c>
      <c r="BO71" s="229">
        <f>IF($BC71=Lookup!$A$2,$BD71*ROUNDUP(BG71/10,0)+1,
IF($BC71=Lookup!$A$3,($BD71+1)^BF71,
IF($BC71=Lookup!$A$4,BG71*$BD71+1,"Error")))</f>
        <v>1</v>
      </c>
      <c r="BP71" s="229">
        <f>IF($BC71=Lookup!$A$2,$BD71*ROUNDUP(BH71/10,0)+1,
IF($BC71=Lookup!$A$3,($BD71+1)^BG71,
IF($BC71=Lookup!$A$4,BH71*$BD71+1,"Error")))</f>
        <v>1</v>
      </c>
      <c r="BQ71" s="229">
        <f>IF($BC71=Lookup!$A$2,$BD71*ROUNDUP(BI71/10,0)+1,
IF($BC71=Lookup!$A$3,($BD71+1)^BH71,
IF($BC71=Lookup!$A$4,BI71*$BD71+1,"Error")))</f>
        <v>1</v>
      </c>
      <c r="BR71" s="229">
        <f>IF($BC71=Lookup!$A$2,$BD71*ROUNDUP(BJ71/10,0)+1,
IF($BC71=Lookup!$A$3,($BD71+1)^BI71,
IF($BC71=Lookup!$A$4,BJ71*$BD71+1,"Error")))</f>
        <v>1</v>
      </c>
      <c r="BS71" s="229">
        <f>IF($BC71=Lookup!$A$2,$BD71*ROUNDUP(BK71/10,0)+1,
IF($BC71=Lookup!$A$3,($BD71+1)^BJ71,
IF($BC71=Lookup!$A$4,BK71*$BD71+1,"Error")))</f>
        <v>1</v>
      </c>
      <c r="BT71" s="249">
        <f>IF($BC71=Lookup!$A$2,$BD71*ROUNDUP(BL71/10,0)+1,
IF($BC71=Lookup!$A$3,($BD71+1)^BK71,
IF($BC71=Lookup!$A$4,BL71*$BD71+1,"Error")))</f>
        <v>1</v>
      </c>
      <c r="BU71" s="320"/>
      <c r="BV71" s="319">
        <f t="shared" si="72"/>
        <v>31.876686517170846</v>
      </c>
      <c r="BW71" s="319">
        <f t="shared" si="73"/>
        <v>31.876686517170846</v>
      </c>
      <c r="BX71" s="319">
        <f t="shared" si="74"/>
        <v>41.790591409625094</v>
      </c>
      <c r="BY71" s="321">
        <f t="shared" si="74"/>
        <v>43.857698256138583</v>
      </c>
      <c r="BZ71" s="321">
        <f t="shared" si="74"/>
        <v>45.235769487147543</v>
      </c>
      <c r="CA71" s="321">
        <f t="shared" si="74"/>
        <v>46.613840718156531</v>
      </c>
      <c r="CB71" s="277">
        <f t="shared" si="74"/>
        <v>47.302876333661025</v>
      </c>
      <c r="CC71" s="382" t="s">
        <v>293</v>
      </c>
      <c r="CD71" s="383">
        <f>HLOOKUP($CC71,$AK$6:$AM$132,ROWS(CD$6:CD71),0)</f>
        <v>80.333333333333329</v>
      </c>
      <c r="CE71" s="234">
        <f t="shared" si="33"/>
        <v>80.333333333333329</v>
      </c>
      <c r="CF71" s="96">
        <f t="shared" si="33"/>
        <v>31.876686517170846</v>
      </c>
      <c r="CG71" s="96">
        <f t="shared" si="33"/>
        <v>31.876686517170846</v>
      </c>
      <c r="CH71" s="96">
        <f t="shared" si="33"/>
        <v>41.790591409625094</v>
      </c>
      <c r="CI71" s="96">
        <f t="shared" si="64"/>
        <v>43.857698256138583</v>
      </c>
      <c r="CJ71" s="96">
        <f t="shared" si="64"/>
        <v>45.235769487147543</v>
      </c>
      <c r="CK71" s="96">
        <f t="shared" si="64"/>
        <v>46.613840718156531</v>
      </c>
      <c r="CL71" s="286">
        <f t="shared" si="64"/>
        <v>47.302876333661025</v>
      </c>
      <c r="CM71" s="305" t="s">
        <v>293</v>
      </c>
      <c r="CN71" s="315">
        <v>0.05</v>
      </c>
      <c r="CO71" s="306"/>
      <c r="CP71" s="307">
        <f>IF($CO71&lt;&gt;"",$CO71,HLOOKUP($CM71,$AY$6:$BA$132,ROWS(CP$6:CP71),0))</f>
        <v>39262.797150850034</v>
      </c>
      <c r="CQ71" s="784">
        <f t="shared" ref="CQ71:CX102" si="100">IFERROR(CE71*$CP71,"")</f>
        <v>3154111.3711182857</v>
      </c>
      <c r="CR71" s="784">
        <f t="shared" si="100"/>
        <v>1251567.8765649153</v>
      </c>
      <c r="CS71" s="97">
        <f t="shared" si="100"/>
        <v>1251567.8765649153</v>
      </c>
      <c r="CT71" s="97">
        <f t="shared" si="100"/>
        <v>1640815.513330166</v>
      </c>
      <c r="CU71" s="97">
        <f t="shared" si="100"/>
        <v>1721975.9101339586</v>
      </c>
      <c r="CV71" s="97">
        <f t="shared" si="100"/>
        <v>1776082.8413364855</v>
      </c>
      <c r="CW71" s="97">
        <f t="shared" si="100"/>
        <v>1830189.7725390135</v>
      </c>
      <c r="CX71" s="98">
        <f t="shared" si="46"/>
        <v>1857243.2381402776</v>
      </c>
      <c r="CY71" s="392"/>
    </row>
    <row r="72" spans="1:103" x14ac:dyDescent="0.25">
      <c r="A72" s="81" t="s">
        <v>138</v>
      </c>
      <c r="B72" s="82" t="s">
        <v>147</v>
      </c>
      <c r="C72" s="83" t="s">
        <v>362</v>
      </c>
      <c r="D72" s="84"/>
      <c r="E72" s="85"/>
      <c r="F72" s="85"/>
      <c r="G72" s="85"/>
      <c r="H72" s="85"/>
      <c r="I72" s="85">
        <v>0</v>
      </c>
      <c r="J72" s="85">
        <v>0</v>
      </c>
      <c r="K72" s="85">
        <v>0</v>
      </c>
      <c r="L72" s="85">
        <v>0</v>
      </c>
      <c r="M72" s="654">
        <f>'2022-23 Input'!D72</f>
        <v>0</v>
      </c>
      <c r="N72" s="1065">
        <v>0</v>
      </c>
      <c r="O72" s="560">
        <f t="shared" ref="O72:O132" si="101">D72*O$4</f>
        <v>0</v>
      </c>
      <c r="P72" s="561">
        <f t="shared" si="75"/>
        <v>0</v>
      </c>
      <c r="Q72" s="561">
        <f t="shared" si="76"/>
        <v>0</v>
      </c>
      <c r="R72" s="561">
        <f t="shared" si="77"/>
        <v>0</v>
      </c>
      <c r="S72" s="561">
        <f t="shared" si="78"/>
        <v>0</v>
      </c>
      <c r="T72" s="561">
        <f t="shared" si="79"/>
        <v>0</v>
      </c>
      <c r="U72" s="561">
        <f t="shared" si="80"/>
        <v>0</v>
      </c>
      <c r="V72" s="561">
        <f t="shared" si="81"/>
        <v>0</v>
      </c>
      <c r="W72" s="675">
        <f t="shared" si="82"/>
        <v>0</v>
      </c>
      <c r="X72" s="675">
        <f t="shared" si="83"/>
        <v>0</v>
      </c>
      <c r="Y72" s="675">
        <f t="shared" si="83"/>
        <v>0</v>
      </c>
      <c r="Z72" s="86"/>
      <c r="AA72" s="87"/>
      <c r="AB72" s="87"/>
      <c r="AC72" s="87"/>
      <c r="AD72" s="87"/>
      <c r="AE72" s="87">
        <v>0</v>
      </c>
      <c r="AF72" s="87">
        <v>0</v>
      </c>
      <c r="AG72" s="87">
        <v>0</v>
      </c>
      <c r="AH72" s="87">
        <v>0</v>
      </c>
      <c r="AI72" s="1094">
        <f>'2022-23 Input'!K72</f>
        <v>0</v>
      </c>
      <c r="AJ72" s="665">
        <v>0</v>
      </c>
      <c r="AK72" s="88">
        <f t="shared" si="84"/>
        <v>0</v>
      </c>
      <c r="AL72" s="89">
        <f t="shared" si="85"/>
        <v>0</v>
      </c>
      <c r="AM72" s="90">
        <f t="shared" si="86"/>
        <v>0</v>
      </c>
      <c r="AN72" s="91" t="str">
        <f t="shared" si="87"/>
        <v/>
      </c>
      <c r="AO72" s="92" t="str">
        <f t="shared" si="88"/>
        <v/>
      </c>
      <c r="AP72" s="92" t="str">
        <f t="shared" si="89"/>
        <v/>
      </c>
      <c r="AQ72" s="92" t="str">
        <f t="shared" si="90"/>
        <v/>
      </c>
      <c r="AR72" s="92" t="str">
        <f t="shared" si="91"/>
        <v/>
      </c>
      <c r="AS72" s="92" t="str">
        <f t="shared" si="92"/>
        <v/>
      </c>
      <c r="AT72" s="92" t="str">
        <f t="shared" si="93"/>
        <v/>
      </c>
      <c r="AU72" s="92" t="str">
        <f t="shared" si="94"/>
        <v/>
      </c>
      <c r="AV72" s="92" t="str">
        <f t="shared" si="95"/>
        <v/>
      </c>
      <c r="AW72" s="92" t="str">
        <f t="shared" si="95"/>
        <v/>
      </c>
      <c r="AX72" s="92" t="str">
        <f t="shared" si="95"/>
        <v/>
      </c>
      <c r="AY72" s="93" t="str">
        <f t="shared" si="96"/>
        <v/>
      </c>
      <c r="AZ72" s="94" t="str">
        <f t="shared" si="97"/>
        <v/>
      </c>
      <c r="BA72" s="95" t="str">
        <f t="shared" si="98"/>
        <v/>
      </c>
      <c r="BB72" s="248" t="s">
        <v>422</v>
      </c>
      <c r="BC72" s="229" t="s">
        <v>433</v>
      </c>
      <c r="BD72" s="249">
        <v>0</v>
      </c>
      <c r="BE72" s="267">
        <f t="shared" ref="BE72:BE132" si="102">IF(BE$6=$BB72,1,0
)</f>
        <v>0</v>
      </c>
      <c r="BF72" s="268">
        <f t="shared" si="99"/>
        <v>0</v>
      </c>
      <c r="BG72" s="268">
        <f t="shared" si="99"/>
        <v>0</v>
      </c>
      <c r="BH72" s="268">
        <f t="shared" si="99"/>
        <v>1</v>
      </c>
      <c r="BI72" s="268">
        <f t="shared" si="99"/>
        <v>2</v>
      </c>
      <c r="BJ72" s="268">
        <f t="shared" si="99"/>
        <v>3</v>
      </c>
      <c r="BK72" s="268">
        <f t="shared" si="99"/>
        <v>4</v>
      </c>
      <c r="BL72" s="269">
        <f t="shared" si="99"/>
        <v>5</v>
      </c>
      <c r="BM72" s="256">
        <f>IF($BC72=Lookup!$A$2,$BD72*ROUNDUP(BE72/10,0)+1,
IF($BC72=Lookup!$A$3,($BD72+1)^BD72,
IF($BC72=Lookup!$A$4,BE72*$BD72+1,"Error")))</f>
        <v>1</v>
      </c>
      <c r="BN72" s="229">
        <f>IF($BC72=Lookup!$A$2,$BD72*ROUNDUP(BF72/10,0)+1,
IF($BC72=Lookup!$A$3,($BD72+1)^BE72,
IF($BC72=Lookup!$A$4,BF72*$BD72+1,"Error")))</f>
        <v>1</v>
      </c>
      <c r="BO72" s="229">
        <f>IF($BC72=Lookup!$A$2,$BD72*ROUNDUP(BG72/10,0)+1,
IF($BC72=Lookup!$A$3,($BD72+1)^BF72,
IF($BC72=Lookup!$A$4,BG72*$BD72+1,"Error")))</f>
        <v>1</v>
      </c>
      <c r="BP72" s="229">
        <f>IF($BC72=Lookup!$A$2,$BD72*ROUNDUP(BH72/10,0)+1,
IF($BC72=Lookup!$A$3,($BD72+1)^BG72,
IF($BC72=Lookup!$A$4,BH72*$BD72+1,"Error")))</f>
        <v>1</v>
      </c>
      <c r="BQ72" s="229">
        <f>IF($BC72=Lookup!$A$2,$BD72*ROUNDUP(BI72/10,0)+1,
IF($BC72=Lookup!$A$3,($BD72+1)^BH72,
IF($BC72=Lookup!$A$4,BI72*$BD72+1,"Error")))</f>
        <v>1</v>
      </c>
      <c r="BR72" s="229">
        <f>IF($BC72=Lookup!$A$2,$BD72*ROUNDUP(BJ72/10,0)+1,
IF($BC72=Lookup!$A$3,($BD72+1)^BI72,
IF($BC72=Lookup!$A$4,BJ72*$BD72+1,"Error")))</f>
        <v>1</v>
      </c>
      <c r="BS72" s="229">
        <f>IF($BC72=Lookup!$A$2,$BD72*ROUNDUP(BK72/10,0)+1,
IF($BC72=Lookup!$A$3,($BD72+1)^BJ72,
IF($BC72=Lookup!$A$4,BK72*$BD72+1,"Error")))</f>
        <v>1</v>
      </c>
      <c r="BT72" s="249">
        <f>IF($BC72=Lookup!$A$2,$BD72*ROUNDUP(BL72/10,0)+1,
IF($BC72=Lookup!$A$3,($BD72+1)^BK72,
IF($BC72=Lookup!$A$4,BL72*$BD72+1,"Error")))</f>
        <v>1</v>
      </c>
      <c r="BU72" s="320"/>
      <c r="BV72" s="319">
        <f t="shared" si="72"/>
        <v>0</v>
      </c>
      <c r="BW72" s="319">
        <f t="shared" si="73"/>
        <v>0</v>
      </c>
      <c r="BX72" s="319">
        <f t="shared" si="74"/>
        <v>0</v>
      </c>
      <c r="BY72" s="321">
        <f t="shared" si="74"/>
        <v>0</v>
      </c>
      <c r="BZ72" s="321">
        <f t="shared" si="74"/>
        <v>0</v>
      </c>
      <c r="CA72" s="321">
        <f t="shared" si="74"/>
        <v>0</v>
      </c>
      <c r="CB72" s="277">
        <f t="shared" si="74"/>
        <v>0</v>
      </c>
      <c r="CC72" s="382" t="s">
        <v>293</v>
      </c>
      <c r="CD72" s="383">
        <f>HLOOKUP($CC72,$AK$6:$AM$132,ROWS(CD$6:CD72),0)</f>
        <v>0</v>
      </c>
      <c r="CE72" s="234">
        <f t="shared" ref="CE72:CK123" si="103">IFERROR(IF(BU72&lt;&gt;"",BU72,BM72*$CD72),"")</f>
        <v>0</v>
      </c>
      <c r="CF72" s="96">
        <f t="shared" si="103"/>
        <v>0</v>
      </c>
      <c r="CG72" s="96">
        <f t="shared" si="103"/>
        <v>0</v>
      </c>
      <c r="CH72" s="96">
        <f t="shared" si="103"/>
        <v>0</v>
      </c>
      <c r="CI72" s="96">
        <f t="shared" si="64"/>
        <v>0</v>
      </c>
      <c r="CJ72" s="96">
        <f t="shared" si="64"/>
        <v>0</v>
      </c>
      <c r="CK72" s="96">
        <f t="shared" si="64"/>
        <v>0</v>
      </c>
      <c r="CL72" s="286">
        <f t="shared" si="64"/>
        <v>0</v>
      </c>
      <c r="CM72" s="305" t="s">
        <v>293</v>
      </c>
      <c r="CN72" s="315">
        <v>0.05</v>
      </c>
      <c r="CO72" s="306"/>
      <c r="CP72" s="307" t="str">
        <f>IF($CO72&lt;&gt;"",$CO72,HLOOKUP($CM72,$AY$6:$BA$132,ROWS(CP$6:CP72),0))</f>
        <v/>
      </c>
      <c r="CQ72" s="784" t="str">
        <f t="shared" si="100"/>
        <v/>
      </c>
      <c r="CR72" s="784" t="str">
        <f t="shared" si="100"/>
        <v/>
      </c>
      <c r="CS72" s="97" t="str">
        <f t="shared" si="100"/>
        <v/>
      </c>
      <c r="CT72" s="97" t="str">
        <f t="shared" si="100"/>
        <v/>
      </c>
      <c r="CU72" s="97" t="str">
        <f t="shared" si="100"/>
        <v/>
      </c>
      <c r="CV72" s="97" t="str">
        <f t="shared" si="100"/>
        <v/>
      </c>
      <c r="CW72" s="97" t="str">
        <f t="shared" si="100"/>
        <v/>
      </c>
      <c r="CX72" s="98" t="str">
        <f t="shared" si="46"/>
        <v/>
      </c>
      <c r="CY72" s="392"/>
    </row>
    <row r="73" spans="1:103" x14ac:dyDescent="0.25">
      <c r="A73" s="81" t="s">
        <v>138</v>
      </c>
      <c r="B73" s="82" t="s">
        <v>149</v>
      </c>
      <c r="C73" s="83" t="s">
        <v>363</v>
      </c>
      <c r="D73" s="84"/>
      <c r="E73" s="85"/>
      <c r="F73" s="85"/>
      <c r="G73" s="85"/>
      <c r="H73" s="85"/>
      <c r="I73" s="85">
        <v>0</v>
      </c>
      <c r="J73" s="85">
        <v>0</v>
      </c>
      <c r="K73" s="85">
        <v>0</v>
      </c>
      <c r="L73" s="85">
        <v>0</v>
      </c>
      <c r="M73" s="654">
        <f>'2022-23 Input'!D73</f>
        <v>0</v>
      </c>
      <c r="N73" s="1065">
        <v>0</v>
      </c>
      <c r="O73" s="560">
        <f t="shared" si="101"/>
        <v>0</v>
      </c>
      <c r="P73" s="561">
        <f t="shared" si="75"/>
        <v>0</v>
      </c>
      <c r="Q73" s="561">
        <f t="shared" si="76"/>
        <v>0</v>
      </c>
      <c r="R73" s="561">
        <f t="shared" si="77"/>
        <v>0</v>
      </c>
      <c r="S73" s="561">
        <f t="shared" si="78"/>
        <v>0</v>
      </c>
      <c r="T73" s="561">
        <f t="shared" si="79"/>
        <v>0</v>
      </c>
      <c r="U73" s="561">
        <f t="shared" si="80"/>
        <v>0</v>
      </c>
      <c r="V73" s="561">
        <f t="shared" si="81"/>
        <v>0</v>
      </c>
      <c r="W73" s="675">
        <f t="shared" si="82"/>
        <v>0</v>
      </c>
      <c r="X73" s="675">
        <f t="shared" si="83"/>
        <v>0</v>
      </c>
      <c r="Y73" s="675">
        <f t="shared" si="83"/>
        <v>0</v>
      </c>
      <c r="Z73" s="86"/>
      <c r="AA73" s="87"/>
      <c r="AB73" s="87"/>
      <c r="AC73" s="87"/>
      <c r="AD73" s="87"/>
      <c r="AE73" s="87">
        <v>0</v>
      </c>
      <c r="AF73" s="87">
        <v>0</v>
      </c>
      <c r="AG73" s="87">
        <v>0</v>
      </c>
      <c r="AH73" s="87">
        <v>0</v>
      </c>
      <c r="AI73" s="1094">
        <f>'2022-23 Input'!K73</f>
        <v>0</v>
      </c>
      <c r="AJ73" s="665">
        <v>0</v>
      </c>
      <c r="AK73" s="88">
        <f t="shared" si="84"/>
        <v>0</v>
      </c>
      <c r="AL73" s="89">
        <f t="shared" si="85"/>
        <v>0</v>
      </c>
      <c r="AM73" s="90">
        <f t="shared" si="86"/>
        <v>0</v>
      </c>
      <c r="AN73" s="91" t="str">
        <f t="shared" si="87"/>
        <v/>
      </c>
      <c r="AO73" s="92" t="str">
        <f t="shared" si="88"/>
        <v/>
      </c>
      <c r="AP73" s="92" t="str">
        <f t="shared" si="89"/>
        <v/>
      </c>
      <c r="AQ73" s="92" t="str">
        <f t="shared" si="90"/>
        <v/>
      </c>
      <c r="AR73" s="92" t="str">
        <f t="shared" si="91"/>
        <v/>
      </c>
      <c r="AS73" s="92" t="str">
        <f t="shared" si="92"/>
        <v/>
      </c>
      <c r="AT73" s="92" t="str">
        <f t="shared" si="93"/>
        <v/>
      </c>
      <c r="AU73" s="92" t="str">
        <f t="shared" si="94"/>
        <v/>
      </c>
      <c r="AV73" s="92" t="str">
        <f t="shared" si="95"/>
        <v/>
      </c>
      <c r="AW73" s="92" t="str">
        <f t="shared" si="95"/>
        <v/>
      </c>
      <c r="AX73" s="92" t="str">
        <f t="shared" si="95"/>
        <v/>
      </c>
      <c r="AY73" s="93" t="str">
        <f t="shared" si="96"/>
        <v/>
      </c>
      <c r="AZ73" s="94" t="str">
        <f t="shared" si="97"/>
        <v/>
      </c>
      <c r="BA73" s="95" t="str">
        <f t="shared" si="98"/>
        <v/>
      </c>
      <c r="BB73" s="248" t="s">
        <v>422</v>
      </c>
      <c r="BC73" s="229" t="s">
        <v>433</v>
      </c>
      <c r="BD73" s="249">
        <v>0</v>
      </c>
      <c r="BE73" s="267">
        <f t="shared" si="102"/>
        <v>0</v>
      </c>
      <c r="BF73" s="268">
        <f t="shared" si="99"/>
        <v>0</v>
      </c>
      <c r="BG73" s="268">
        <f t="shared" si="99"/>
        <v>0</v>
      </c>
      <c r="BH73" s="268">
        <f t="shared" si="99"/>
        <v>1</v>
      </c>
      <c r="BI73" s="268">
        <f t="shared" si="99"/>
        <v>2</v>
      </c>
      <c r="BJ73" s="268">
        <f t="shared" si="99"/>
        <v>3</v>
      </c>
      <c r="BK73" s="268">
        <f t="shared" si="99"/>
        <v>4</v>
      </c>
      <c r="BL73" s="269">
        <f t="shared" si="99"/>
        <v>5</v>
      </c>
      <c r="BM73" s="256">
        <f>IF($BC73=Lookup!$A$2,$BD73*ROUNDUP(BE73/10,0)+1,
IF($BC73=Lookup!$A$3,($BD73+1)^BD73,
IF($BC73=Lookup!$A$4,BE73*$BD73+1,"Error")))</f>
        <v>1</v>
      </c>
      <c r="BN73" s="229">
        <f>IF($BC73=Lookup!$A$2,$BD73*ROUNDUP(BF73/10,0)+1,
IF($BC73=Lookup!$A$3,($BD73+1)^BE73,
IF($BC73=Lookup!$A$4,BF73*$BD73+1,"Error")))</f>
        <v>1</v>
      </c>
      <c r="BO73" s="229">
        <f>IF($BC73=Lookup!$A$2,$BD73*ROUNDUP(BG73/10,0)+1,
IF($BC73=Lookup!$A$3,($BD73+1)^BF73,
IF($BC73=Lookup!$A$4,BG73*$BD73+1,"Error")))</f>
        <v>1</v>
      </c>
      <c r="BP73" s="229">
        <f>IF($BC73=Lookup!$A$2,$BD73*ROUNDUP(BH73/10,0)+1,
IF($BC73=Lookup!$A$3,($BD73+1)^BG73,
IF($BC73=Lookup!$A$4,BH73*$BD73+1,"Error")))</f>
        <v>1</v>
      </c>
      <c r="BQ73" s="229">
        <f>IF($BC73=Lookup!$A$2,$BD73*ROUNDUP(BI73/10,0)+1,
IF($BC73=Lookup!$A$3,($BD73+1)^BH73,
IF($BC73=Lookup!$A$4,BI73*$BD73+1,"Error")))</f>
        <v>1</v>
      </c>
      <c r="BR73" s="229">
        <f>IF($BC73=Lookup!$A$2,$BD73*ROUNDUP(BJ73/10,0)+1,
IF($BC73=Lookup!$A$3,($BD73+1)^BI73,
IF($BC73=Lookup!$A$4,BJ73*$BD73+1,"Error")))</f>
        <v>1</v>
      </c>
      <c r="BS73" s="229">
        <f>IF($BC73=Lookup!$A$2,$BD73*ROUNDUP(BK73/10,0)+1,
IF($BC73=Lookup!$A$3,($BD73+1)^BJ73,
IF($BC73=Lookup!$A$4,BK73*$BD73+1,"Error")))</f>
        <v>1</v>
      </c>
      <c r="BT73" s="249">
        <f>IF($BC73=Lookup!$A$2,$BD73*ROUNDUP(BL73/10,0)+1,
IF($BC73=Lookup!$A$3,($BD73+1)^BK73,
IF($BC73=Lookup!$A$4,BL73*$BD73+1,"Error")))</f>
        <v>1</v>
      </c>
      <c r="BU73" s="320"/>
      <c r="BV73" s="321"/>
      <c r="BW73" s="321"/>
      <c r="BX73" s="321"/>
      <c r="BY73" s="321"/>
      <c r="BZ73" s="321"/>
      <c r="CA73" s="321"/>
      <c r="CB73" s="277"/>
      <c r="CC73" s="382" t="s">
        <v>293</v>
      </c>
      <c r="CD73" s="383">
        <f>HLOOKUP($CC73,$AK$6:$AM$132,ROWS(CD$6:CD73),0)</f>
        <v>0</v>
      </c>
      <c r="CE73" s="234">
        <f t="shared" si="103"/>
        <v>0</v>
      </c>
      <c r="CF73" s="96">
        <f t="shared" si="103"/>
        <v>0</v>
      </c>
      <c r="CG73" s="96">
        <f t="shared" si="103"/>
        <v>0</v>
      </c>
      <c r="CH73" s="96">
        <f t="shared" si="103"/>
        <v>0</v>
      </c>
      <c r="CI73" s="96">
        <f t="shared" si="64"/>
        <v>0</v>
      </c>
      <c r="CJ73" s="96">
        <f t="shared" si="64"/>
        <v>0</v>
      </c>
      <c r="CK73" s="96">
        <f t="shared" si="64"/>
        <v>0</v>
      </c>
      <c r="CL73" s="286">
        <f t="shared" si="64"/>
        <v>0</v>
      </c>
      <c r="CM73" s="305" t="s">
        <v>293</v>
      </c>
      <c r="CN73" s="315">
        <v>0.05</v>
      </c>
      <c r="CO73" s="306"/>
      <c r="CP73" s="307" t="str">
        <f>IF($CO73&lt;&gt;"",$CO73,HLOOKUP($CM73,$AY$6:$BA$132,ROWS(CP$6:CP73),0))</f>
        <v/>
      </c>
      <c r="CQ73" s="784" t="str">
        <f t="shared" si="100"/>
        <v/>
      </c>
      <c r="CR73" s="784" t="str">
        <f t="shared" si="100"/>
        <v/>
      </c>
      <c r="CS73" s="97" t="str">
        <f t="shared" si="100"/>
        <v/>
      </c>
      <c r="CT73" s="97" t="str">
        <f t="shared" si="100"/>
        <v/>
      </c>
      <c r="CU73" s="97" t="str">
        <f t="shared" si="100"/>
        <v/>
      </c>
      <c r="CV73" s="97" t="str">
        <f t="shared" si="100"/>
        <v/>
      </c>
      <c r="CW73" s="97" t="str">
        <f t="shared" si="100"/>
        <v/>
      </c>
      <c r="CX73" s="98" t="str">
        <f t="shared" si="46"/>
        <v/>
      </c>
      <c r="CY73" s="392"/>
    </row>
    <row r="74" spans="1:103" x14ac:dyDescent="0.25">
      <c r="A74" s="81" t="s">
        <v>138</v>
      </c>
      <c r="B74" s="82" t="s">
        <v>151</v>
      </c>
      <c r="C74" s="83" t="s">
        <v>364</v>
      </c>
      <c r="D74" s="84"/>
      <c r="E74" s="85"/>
      <c r="F74" s="85"/>
      <c r="G74" s="85"/>
      <c r="H74" s="85"/>
      <c r="I74" s="85">
        <v>0</v>
      </c>
      <c r="J74" s="85">
        <v>0</v>
      </c>
      <c r="K74" s="85">
        <v>0</v>
      </c>
      <c r="L74" s="85">
        <v>0</v>
      </c>
      <c r="M74" s="654">
        <f>'2022-23 Input'!D74</f>
        <v>0</v>
      </c>
      <c r="N74" s="1065">
        <v>0</v>
      </c>
      <c r="O74" s="560">
        <f t="shared" si="101"/>
        <v>0</v>
      </c>
      <c r="P74" s="561">
        <f t="shared" si="75"/>
        <v>0</v>
      </c>
      <c r="Q74" s="561">
        <f t="shared" si="76"/>
        <v>0</v>
      </c>
      <c r="R74" s="561">
        <f t="shared" si="77"/>
        <v>0</v>
      </c>
      <c r="S74" s="561">
        <f t="shared" si="78"/>
        <v>0</v>
      </c>
      <c r="T74" s="561">
        <f t="shared" si="79"/>
        <v>0</v>
      </c>
      <c r="U74" s="561">
        <f t="shared" si="80"/>
        <v>0</v>
      </c>
      <c r="V74" s="561">
        <f t="shared" si="81"/>
        <v>0</v>
      </c>
      <c r="W74" s="675">
        <f t="shared" si="82"/>
        <v>0</v>
      </c>
      <c r="X74" s="675">
        <f t="shared" si="83"/>
        <v>0</v>
      </c>
      <c r="Y74" s="675">
        <f t="shared" si="83"/>
        <v>0</v>
      </c>
      <c r="Z74" s="86"/>
      <c r="AA74" s="87"/>
      <c r="AB74" s="87"/>
      <c r="AC74" s="87"/>
      <c r="AD74" s="87"/>
      <c r="AE74" s="87">
        <v>0</v>
      </c>
      <c r="AF74" s="87">
        <v>0</v>
      </c>
      <c r="AG74" s="87">
        <v>0</v>
      </c>
      <c r="AH74" s="87">
        <v>0</v>
      </c>
      <c r="AI74" s="1094">
        <f>'2022-23 Input'!K74</f>
        <v>0</v>
      </c>
      <c r="AJ74" s="665">
        <v>0</v>
      </c>
      <c r="AK74" s="88">
        <f t="shared" si="84"/>
        <v>0</v>
      </c>
      <c r="AL74" s="89">
        <f t="shared" si="85"/>
        <v>0</v>
      </c>
      <c r="AM74" s="90">
        <f t="shared" si="86"/>
        <v>0</v>
      </c>
      <c r="AN74" s="91" t="str">
        <f t="shared" si="87"/>
        <v/>
      </c>
      <c r="AO74" s="92" t="str">
        <f t="shared" si="88"/>
        <v/>
      </c>
      <c r="AP74" s="92" t="str">
        <f t="shared" si="89"/>
        <v/>
      </c>
      <c r="AQ74" s="92" t="str">
        <f t="shared" si="90"/>
        <v/>
      </c>
      <c r="AR74" s="92" t="str">
        <f t="shared" si="91"/>
        <v/>
      </c>
      <c r="AS74" s="92" t="str">
        <f t="shared" si="92"/>
        <v/>
      </c>
      <c r="AT74" s="92" t="str">
        <f t="shared" si="93"/>
        <v/>
      </c>
      <c r="AU74" s="92" t="str">
        <f t="shared" si="94"/>
        <v/>
      </c>
      <c r="AV74" s="92" t="str">
        <f t="shared" si="95"/>
        <v/>
      </c>
      <c r="AW74" s="92" t="str">
        <f t="shared" si="95"/>
        <v/>
      </c>
      <c r="AX74" s="92" t="str">
        <f t="shared" si="95"/>
        <v/>
      </c>
      <c r="AY74" s="93" t="str">
        <f t="shared" si="96"/>
        <v/>
      </c>
      <c r="AZ74" s="94" t="str">
        <f t="shared" si="97"/>
        <v/>
      </c>
      <c r="BA74" s="95" t="str">
        <f t="shared" si="98"/>
        <v/>
      </c>
      <c r="BB74" s="248" t="s">
        <v>422</v>
      </c>
      <c r="BC74" s="229" t="s">
        <v>433</v>
      </c>
      <c r="BD74" s="249">
        <v>0</v>
      </c>
      <c r="BE74" s="267">
        <f t="shared" si="102"/>
        <v>0</v>
      </c>
      <c r="BF74" s="268">
        <f t="shared" si="99"/>
        <v>0</v>
      </c>
      <c r="BG74" s="268">
        <f t="shared" si="99"/>
        <v>0</v>
      </c>
      <c r="BH74" s="268">
        <f t="shared" si="99"/>
        <v>1</v>
      </c>
      <c r="BI74" s="268">
        <f t="shared" si="99"/>
        <v>2</v>
      </c>
      <c r="BJ74" s="268">
        <f t="shared" si="99"/>
        <v>3</v>
      </c>
      <c r="BK74" s="268">
        <f t="shared" si="99"/>
        <v>4</v>
      </c>
      <c r="BL74" s="269">
        <f t="shared" si="99"/>
        <v>5</v>
      </c>
      <c r="BM74" s="256">
        <f>IF($BC74=Lookup!$A$2,$BD74*ROUNDUP(BE74/10,0)+1,
IF($BC74=Lookup!$A$3,($BD74+1)^BD74,
IF($BC74=Lookup!$A$4,BE74*$BD74+1,"Error")))</f>
        <v>1</v>
      </c>
      <c r="BN74" s="229">
        <f>IF($BC74=Lookup!$A$2,$BD74*ROUNDUP(BF74/10,0)+1,
IF($BC74=Lookup!$A$3,($BD74+1)^BE74,
IF($BC74=Lookup!$A$4,BF74*$BD74+1,"Error")))</f>
        <v>1</v>
      </c>
      <c r="BO74" s="229">
        <f>IF($BC74=Lookup!$A$2,$BD74*ROUNDUP(BG74/10,0)+1,
IF($BC74=Lookup!$A$3,($BD74+1)^BF74,
IF($BC74=Lookup!$A$4,BG74*$BD74+1,"Error")))</f>
        <v>1</v>
      </c>
      <c r="BP74" s="229">
        <f>IF($BC74=Lookup!$A$2,$BD74*ROUNDUP(BH74/10,0)+1,
IF($BC74=Lookup!$A$3,($BD74+1)^BG74,
IF($BC74=Lookup!$A$4,BH74*$BD74+1,"Error")))</f>
        <v>1</v>
      </c>
      <c r="BQ74" s="229">
        <f>IF($BC74=Lookup!$A$2,$BD74*ROUNDUP(BI74/10,0)+1,
IF($BC74=Lookup!$A$3,($BD74+1)^BH74,
IF($BC74=Lookup!$A$4,BI74*$BD74+1,"Error")))</f>
        <v>1</v>
      </c>
      <c r="BR74" s="229">
        <f>IF($BC74=Lookup!$A$2,$BD74*ROUNDUP(BJ74/10,0)+1,
IF($BC74=Lookup!$A$3,($BD74+1)^BI74,
IF($BC74=Lookup!$A$4,BJ74*$BD74+1,"Error")))</f>
        <v>1</v>
      </c>
      <c r="BS74" s="229">
        <f>IF($BC74=Lookup!$A$2,$BD74*ROUNDUP(BK74/10,0)+1,
IF($BC74=Lookup!$A$3,($BD74+1)^BJ74,
IF($BC74=Lookup!$A$4,BK74*$BD74+1,"Error")))</f>
        <v>1</v>
      </c>
      <c r="BT74" s="249">
        <f>IF($BC74=Lookup!$A$2,$BD74*ROUNDUP(BL74/10,0)+1,
IF($BC74=Lookup!$A$3,($BD74+1)^BK74,
IF($BC74=Lookup!$A$4,BL74*$BD74+1,"Error")))</f>
        <v>1</v>
      </c>
      <c r="BU74" s="320"/>
      <c r="BV74" s="321"/>
      <c r="BW74" s="321"/>
      <c r="BX74" s="321"/>
      <c r="BY74" s="321"/>
      <c r="BZ74" s="321"/>
      <c r="CA74" s="321"/>
      <c r="CB74" s="277"/>
      <c r="CC74" s="382" t="s">
        <v>293</v>
      </c>
      <c r="CD74" s="383">
        <f>HLOOKUP($CC74,$AK$6:$AM$132,ROWS(CD$6:CD74),0)</f>
        <v>0</v>
      </c>
      <c r="CE74" s="234">
        <f t="shared" si="103"/>
        <v>0</v>
      </c>
      <c r="CF74" s="96">
        <f t="shared" si="103"/>
        <v>0</v>
      </c>
      <c r="CG74" s="96">
        <f t="shared" si="103"/>
        <v>0</v>
      </c>
      <c r="CH74" s="96">
        <f t="shared" si="103"/>
        <v>0</v>
      </c>
      <c r="CI74" s="96">
        <f t="shared" si="64"/>
        <v>0</v>
      </c>
      <c r="CJ74" s="96">
        <f t="shared" si="64"/>
        <v>0</v>
      </c>
      <c r="CK74" s="96">
        <f t="shared" si="64"/>
        <v>0</v>
      </c>
      <c r="CL74" s="286">
        <f t="shared" si="64"/>
        <v>0</v>
      </c>
      <c r="CM74" s="305" t="s">
        <v>293</v>
      </c>
      <c r="CN74" s="315">
        <v>0.05</v>
      </c>
      <c r="CO74" s="306"/>
      <c r="CP74" s="307" t="str">
        <f>IF($CO74&lt;&gt;"",$CO74,HLOOKUP($CM74,$AY$6:$BA$132,ROWS(CP$6:CP74),0))</f>
        <v/>
      </c>
      <c r="CQ74" s="784" t="str">
        <f t="shared" si="100"/>
        <v/>
      </c>
      <c r="CR74" s="784" t="str">
        <f t="shared" si="100"/>
        <v/>
      </c>
      <c r="CS74" s="97" t="str">
        <f t="shared" si="100"/>
        <v/>
      </c>
      <c r="CT74" s="97" t="str">
        <f t="shared" si="100"/>
        <v/>
      </c>
      <c r="CU74" s="97" t="str">
        <f t="shared" si="100"/>
        <v/>
      </c>
      <c r="CV74" s="97" t="str">
        <f t="shared" si="100"/>
        <v/>
      </c>
      <c r="CW74" s="97" t="str">
        <f t="shared" si="100"/>
        <v/>
      </c>
      <c r="CX74" s="98" t="str">
        <f t="shared" si="46"/>
        <v/>
      </c>
      <c r="CY74" s="392"/>
    </row>
    <row r="75" spans="1:103" x14ac:dyDescent="0.25">
      <c r="A75" s="81" t="s">
        <v>138</v>
      </c>
      <c r="B75" s="82" t="s">
        <v>153</v>
      </c>
      <c r="C75" s="83" t="s">
        <v>365</v>
      </c>
      <c r="D75" s="84"/>
      <c r="E75" s="85"/>
      <c r="F75" s="85"/>
      <c r="G75" s="85"/>
      <c r="H75" s="85"/>
      <c r="I75" s="85">
        <v>0</v>
      </c>
      <c r="J75" s="85">
        <v>0</v>
      </c>
      <c r="K75" s="85">
        <v>0</v>
      </c>
      <c r="L75" s="85">
        <v>0</v>
      </c>
      <c r="M75" s="654">
        <f>'2022-23 Input'!D75</f>
        <v>0</v>
      </c>
      <c r="N75" s="1065">
        <v>0</v>
      </c>
      <c r="O75" s="560">
        <f t="shared" si="101"/>
        <v>0</v>
      </c>
      <c r="P75" s="561">
        <f t="shared" si="75"/>
        <v>0</v>
      </c>
      <c r="Q75" s="561">
        <f t="shared" si="76"/>
        <v>0</v>
      </c>
      <c r="R75" s="561">
        <f t="shared" si="77"/>
        <v>0</v>
      </c>
      <c r="S75" s="561">
        <f t="shared" si="78"/>
        <v>0</v>
      </c>
      <c r="T75" s="561">
        <f t="shared" si="79"/>
        <v>0</v>
      </c>
      <c r="U75" s="561">
        <f t="shared" si="80"/>
        <v>0</v>
      </c>
      <c r="V75" s="561">
        <f t="shared" si="81"/>
        <v>0</v>
      </c>
      <c r="W75" s="675">
        <f t="shared" si="82"/>
        <v>0</v>
      </c>
      <c r="X75" s="675">
        <f t="shared" si="83"/>
        <v>0</v>
      </c>
      <c r="Y75" s="675">
        <f t="shared" si="83"/>
        <v>0</v>
      </c>
      <c r="Z75" s="86"/>
      <c r="AA75" s="87"/>
      <c r="AB75" s="87"/>
      <c r="AC75" s="87"/>
      <c r="AD75" s="87"/>
      <c r="AE75" s="87">
        <v>0</v>
      </c>
      <c r="AF75" s="87">
        <v>0</v>
      </c>
      <c r="AG75" s="87">
        <v>0</v>
      </c>
      <c r="AH75" s="87">
        <v>0</v>
      </c>
      <c r="AI75" s="1094">
        <f>'2022-23 Input'!K75</f>
        <v>0</v>
      </c>
      <c r="AJ75" s="665">
        <v>0</v>
      </c>
      <c r="AK75" s="88">
        <f t="shared" si="84"/>
        <v>0</v>
      </c>
      <c r="AL75" s="89">
        <f t="shared" si="85"/>
        <v>0</v>
      </c>
      <c r="AM75" s="90">
        <f t="shared" si="86"/>
        <v>0</v>
      </c>
      <c r="AN75" s="91" t="str">
        <f t="shared" si="87"/>
        <v/>
      </c>
      <c r="AO75" s="92" t="str">
        <f t="shared" si="88"/>
        <v/>
      </c>
      <c r="AP75" s="92" t="str">
        <f t="shared" si="89"/>
        <v/>
      </c>
      <c r="AQ75" s="92" t="str">
        <f t="shared" si="90"/>
        <v/>
      </c>
      <c r="AR75" s="92" t="str">
        <f t="shared" si="91"/>
        <v/>
      </c>
      <c r="AS75" s="92" t="str">
        <f t="shared" si="92"/>
        <v/>
      </c>
      <c r="AT75" s="92" t="str">
        <f t="shared" si="93"/>
        <v/>
      </c>
      <c r="AU75" s="92" t="str">
        <f t="shared" si="94"/>
        <v/>
      </c>
      <c r="AV75" s="92" t="str">
        <f t="shared" si="95"/>
        <v/>
      </c>
      <c r="AW75" s="92" t="str">
        <f t="shared" si="95"/>
        <v/>
      </c>
      <c r="AX75" s="92" t="str">
        <f t="shared" si="95"/>
        <v/>
      </c>
      <c r="AY75" s="93" t="str">
        <f t="shared" si="96"/>
        <v/>
      </c>
      <c r="AZ75" s="94" t="str">
        <f t="shared" si="97"/>
        <v/>
      </c>
      <c r="BA75" s="95" t="str">
        <f t="shared" si="98"/>
        <v/>
      </c>
      <c r="BB75" s="248" t="s">
        <v>422</v>
      </c>
      <c r="BC75" s="229" t="s">
        <v>433</v>
      </c>
      <c r="BD75" s="249">
        <v>0</v>
      </c>
      <c r="BE75" s="267">
        <f t="shared" si="102"/>
        <v>0</v>
      </c>
      <c r="BF75" s="268">
        <f t="shared" si="99"/>
        <v>0</v>
      </c>
      <c r="BG75" s="268">
        <f t="shared" si="99"/>
        <v>0</v>
      </c>
      <c r="BH75" s="268">
        <f t="shared" si="99"/>
        <v>1</v>
      </c>
      <c r="BI75" s="268">
        <f t="shared" si="99"/>
        <v>2</v>
      </c>
      <c r="BJ75" s="268">
        <f t="shared" si="99"/>
        <v>3</v>
      </c>
      <c r="BK75" s="268">
        <f t="shared" si="99"/>
        <v>4</v>
      </c>
      <c r="BL75" s="269">
        <f t="shared" si="99"/>
        <v>5</v>
      </c>
      <c r="BM75" s="256">
        <f>IF($BC75=Lookup!$A$2,$BD75*ROUNDUP(BE75/10,0)+1,
IF($BC75=Lookup!$A$3,($BD75+1)^BD75,
IF($BC75=Lookup!$A$4,BE75*$BD75+1,"Error")))</f>
        <v>1</v>
      </c>
      <c r="BN75" s="229">
        <f>IF($BC75=Lookup!$A$2,$BD75*ROUNDUP(BF75/10,0)+1,
IF($BC75=Lookup!$A$3,($BD75+1)^BE75,
IF($BC75=Lookup!$A$4,BF75*$BD75+1,"Error")))</f>
        <v>1</v>
      </c>
      <c r="BO75" s="229">
        <f>IF($BC75=Lookup!$A$2,$BD75*ROUNDUP(BG75/10,0)+1,
IF($BC75=Lookup!$A$3,($BD75+1)^BF75,
IF($BC75=Lookup!$A$4,BG75*$BD75+1,"Error")))</f>
        <v>1</v>
      </c>
      <c r="BP75" s="229">
        <f>IF($BC75=Lookup!$A$2,$BD75*ROUNDUP(BH75/10,0)+1,
IF($BC75=Lookup!$A$3,($BD75+1)^BG75,
IF($BC75=Lookup!$A$4,BH75*$BD75+1,"Error")))</f>
        <v>1</v>
      </c>
      <c r="BQ75" s="229">
        <f>IF($BC75=Lookup!$A$2,$BD75*ROUNDUP(BI75/10,0)+1,
IF($BC75=Lookup!$A$3,($BD75+1)^BH75,
IF($BC75=Lookup!$A$4,BI75*$BD75+1,"Error")))</f>
        <v>1</v>
      </c>
      <c r="BR75" s="229">
        <f>IF($BC75=Lookup!$A$2,$BD75*ROUNDUP(BJ75/10,0)+1,
IF($BC75=Lookup!$A$3,($BD75+1)^BI75,
IF($BC75=Lookup!$A$4,BJ75*$BD75+1,"Error")))</f>
        <v>1</v>
      </c>
      <c r="BS75" s="229">
        <f>IF($BC75=Lookup!$A$2,$BD75*ROUNDUP(BK75/10,0)+1,
IF($BC75=Lookup!$A$3,($BD75+1)^BJ75,
IF($BC75=Lookup!$A$4,BK75*$BD75+1,"Error")))</f>
        <v>1</v>
      </c>
      <c r="BT75" s="249">
        <f>IF($BC75=Lookup!$A$2,$BD75*ROUNDUP(BL75/10,0)+1,
IF($BC75=Lookup!$A$3,($BD75+1)^BK75,
IF($BC75=Lookup!$A$4,BL75*$BD75+1,"Error")))</f>
        <v>1</v>
      </c>
      <c r="BU75" s="320"/>
      <c r="BV75" s="321"/>
      <c r="BW75" s="321"/>
      <c r="BX75" s="321"/>
      <c r="BY75" s="321"/>
      <c r="BZ75" s="321"/>
      <c r="CA75" s="321"/>
      <c r="CB75" s="277"/>
      <c r="CC75" s="382" t="s">
        <v>293</v>
      </c>
      <c r="CD75" s="383">
        <f>HLOOKUP($CC75,$AK$6:$AM$132,ROWS(CD$6:CD75),0)</f>
        <v>0</v>
      </c>
      <c r="CE75" s="234">
        <f t="shared" si="103"/>
        <v>0</v>
      </c>
      <c r="CF75" s="96">
        <f t="shared" si="103"/>
        <v>0</v>
      </c>
      <c r="CG75" s="96">
        <f t="shared" si="103"/>
        <v>0</v>
      </c>
      <c r="CH75" s="96">
        <f t="shared" si="103"/>
        <v>0</v>
      </c>
      <c r="CI75" s="96">
        <f t="shared" si="64"/>
        <v>0</v>
      </c>
      <c r="CJ75" s="96">
        <f t="shared" si="64"/>
        <v>0</v>
      </c>
      <c r="CK75" s="96">
        <f t="shared" si="64"/>
        <v>0</v>
      </c>
      <c r="CL75" s="286">
        <f t="shared" si="64"/>
        <v>0</v>
      </c>
      <c r="CM75" s="305" t="s">
        <v>293</v>
      </c>
      <c r="CN75" s="315">
        <v>0.05</v>
      </c>
      <c r="CO75" s="306"/>
      <c r="CP75" s="307" t="str">
        <f>IF($CO75&lt;&gt;"",$CO75,HLOOKUP($CM75,$AY$6:$BA$132,ROWS(CP$6:CP75),0))</f>
        <v/>
      </c>
      <c r="CQ75" s="784" t="str">
        <f t="shared" si="100"/>
        <v/>
      </c>
      <c r="CR75" s="784" t="str">
        <f t="shared" si="100"/>
        <v/>
      </c>
      <c r="CS75" s="97" t="str">
        <f t="shared" si="100"/>
        <v/>
      </c>
      <c r="CT75" s="97" t="str">
        <f t="shared" si="100"/>
        <v/>
      </c>
      <c r="CU75" s="97" t="str">
        <f t="shared" si="100"/>
        <v/>
      </c>
      <c r="CV75" s="97" t="str">
        <f t="shared" si="100"/>
        <v/>
      </c>
      <c r="CW75" s="97" t="str">
        <f t="shared" si="100"/>
        <v/>
      </c>
      <c r="CX75" s="98" t="str">
        <f t="shared" si="46"/>
        <v/>
      </c>
      <c r="CY75" s="392"/>
    </row>
    <row r="76" spans="1:103" x14ac:dyDescent="0.25">
      <c r="A76" s="81" t="s">
        <v>138</v>
      </c>
      <c r="B76" s="82" t="s">
        <v>155</v>
      </c>
      <c r="C76" s="83" t="s">
        <v>366</v>
      </c>
      <c r="D76" s="84"/>
      <c r="E76" s="85"/>
      <c r="F76" s="85"/>
      <c r="G76" s="85"/>
      <c r="H76" s="85"/>
      <c r="I76" s="85">
        <v>0</v>
      </c>
      <c r="J76" s="85">
        <v>0</v>
      </c>
      <c r="K76" s="85">
        <v>0</v>
      </c>
      <c r="L76" s="85">
        <v>0</v>
      </c>
      <c r="M76" s="654">
        <f>'2022-23 Input'!D76</f>
        <v>0</v>
      </c>
      <c r="N76" s="1065">
        <v>0</v>
      </c>
      <c r="O76" s="560">
        <f t="shared" si="101"/>
        <v>0</v>
      </c>
      <c r="P76" s="561">
        <f t="shared" si="75"/>
        <v>0</v>
      </c>
      <c r="Q76" s="561">
        <f t="shared" si="76"/>
        <v>0</v>
      </c>
      <c r="R76" s="561">
        <f t="shared" si="77"/>
        <v>0</v>
      </c>
      <c r="S76" s="561">
        <f t="shared" si="78"/>
        <v>0</v>
      </c>
      <c r="T76" s="561">
        <f t="shared" si="79"/>
        <v>0</v>
      </c>
      <c r="U76" s="561">
        <f t="shared" si="80"/>
        <v>0</v>
      </c>
      <c r="V76" s="561">
        <f t="shared" si="81"/>
        <v>0</v>
      </c>
      <c r="W76" s="675">
        <f t="shared" si="82"/>
        <v>0</v>
      </c>
      <c r="X76" s="675">
        <f t="shared" si="83"/>
        <v>0</v>
      </c>
      <c r="Y76" s="675">
        <f t="shared" si="83"/>
        <v>0</v>
      </c>
      <c r="Z76" s="86"/>
      <c r="AA76" s="87"/>
      <c r="AB76" s="87"/>
      <c r="AC76" s="87"/>
      <c r="AD76" s="87"/>
      <c r="AE76" s="87">
        <v>0</v>
      </c>
      <c r="AF76" s="87">
        <v>0</v>
      </c>
      <c r="AG76" s="87">
        <v>0</v>
      </c>
      <c r="AH76" s="87">
        <v>0</v>
      </c>
      <c r="AI76" s="1094">
        <f>'2022-23 Input'!K76</f>
        <v>0</v>
      </c>
      <c r="AJ76" s="665">
        <v>0</v>
      </c>
      <c r="AK76" s="88">
        <f t="shared" si="84"/>
        <v>0</v>
      </c>
      <c r="AL76" s="89">
        <f t="shared" si="85"/>
        <v>0</v>
      </c>
      <c r="AM76" s="90">
        <f t="shared" si="86"/>
        <v>0</v>
      </c>
      <c r="AN76" s="91" t="str">
        <f t="shared" si="87"/>
        <v/>
      </c>
      <c r="AO76" s="92" t="str">
        <f t="shared" si="88"/>
        <v/>
      </c>
      <c r="AP76" s="92" t="str">
        <f t="shared" si="89"/>
        <v/>
      </c>
      <c r="AQ76" s="92" t="str">
        <f t="shared" si="90"/>
        <v/>
      </c>
      <c r="AR76" s="92" t="str">
        <f t="shared" si="91"/>
        <v/>
      </c>
      <c r="AS76" s="92" t="str">
        <f t="shared" si="92"/>
        <v/>
      </c>
      <c r="AT76" s="92" t="str">
        <f t="shared" si="93"/>
        <v/>
      </c>
      <c r="AU76" s="92" t="str">
        <f t="shared" si="94"/>
        <v/>
      </c>
      <c r="AV76" s="92" t="str">
        <f t="shared" si="95"/>
        <v/>
      </c>
      <c r="AW76" s="92" t="str">
        <f t="shared" si="95"/>
        <v/>
      </c>
      <c r="AX76" s="92" t="str">
        <f t="shared" si="95"/>
        <v/>
      </c>
      <c r="AY76" s="93" t="str">
        <f t="shared" si="96"/>
        <v/>
      </c>
      <c r="AZ76" s="94" t="str">
        <f t="shared" si="97"/>
        <v/>
      </c>
      <c r="BA76" s="95" t="str">
        <f t="shared" si="98"/>
        <v/>
      </c>
      <c r="BB76" s="248" t="s">
        <v>422</v>
      </c>
      <c r="BC76" s="229" t="s">
        <v>433</v>
      </c>
      <c r="BD76" s="249">
        <v>0</v>
      </c>
      <c r="BE76" s="267">
        <f t="shared" si="102"/>
        <v>0</v>
      </c>
      <c r="BF76" s="268">
        <f t="shared" si="99"/>
        <v>0</v>
      </c>
      <c r="BG76" s="268">
        <f t="shared" si="99"/>
        <v>0</v>
      </c>
      <c r="BH76" s="268">
        <f t="shared" si="99"/>
        <v>1</v>
      </c>
      <c r="BI76" s="268">
        <f t="shared" si="99"/>
        <v>2</v>
      </c>
      <c r="BJ76" s="268">
        <f t="shared" si="99"/>
        <v>3</v>
      </c>
      <c r="BK76" s="268">
        <f t="shared" si="99"/>
        <v>4</v>
      </c>
      <c r="BL76" s="269">
        <f t="shared" si="99"/>
        <v>5</v>
      </c>
      <c r="BM76" s="256">
        <f>IF($BC76=Lookup!$A$2,$BD76*ROUNDUP(BE76/10,0)+1,
IF($BC76=Lookup!$A$3,($BD76+1)^BD76,
IF($BC76=Lookup!$A$4,BE76*$BD76+1,"Error")))</f>
        <v>1</v>
      </c>
      <c r="BN76" s="229">
        <f>IF($BC76=Lookup!$A$2,$BD76*ROUNDUP(BF76/10,0)+1,
IF($BC76=Lookup!$A$3,($BD76+1)^BE76,
IF($BC76=Lookup!$A$4,BF76*$BD76+1,"Error")))</f>
        <v>1</v>
      </c>
      <c r="BO76" s="229">
        <f>IF($BC76=Lookup!$A$2,$BD76*ROUNDUP(BG76/10,0)+1,
IF($BC76=Lookup!$A$3,($BD76+1)^BF76,
IF($BC76=Lookup!$A$4,BG76*$BD76+1,"Error")))</f>
        <v>1</v>
      </c>
      <c r="BP76" s="229">
        <f>IF($BC76=Lookup!$A$2,$BD76*ROUNDUP(BH76/10,0)+1,
IF($BC76=Lookup!$A$3,($BD76+1)^BG76,
IF($BC76=Lookup!$A$4,BH76*$BD76+1,"Error")))</f>
        <v>1</v>
      </c>
      <c r="BQ76" s="229">
        <f>IF($BC76=Lookup!$A$2,$BD76*ROUNDUP(BI76/10,0)+1,
IF($BC76=Lookup!$A$3,($BD76+1)^BH76,
IF($BC76=Lookup!$A$4,BI76*$BD76+1,"Error")))</f>
        <v>1</v>
      </c>
      <c r="BR76" s="229">
        <f>IF($BC76=Lookup!$A$2,$BD76*ROUNDUP(BJ76/10,0)+1,
IF($BC76=Lookup!$A$3,($BD76+1)^BI76,
IF($BC76=Lookup!$A$4,BJ76*$BD76+1,"Error")))</f>
        <v>1</v>
      </c>
      <c r="BS76" s="229">
        <f>IF($BC76=Lookup!$A$2,$BD76*ROUNDUP(BK76/10,0)+1,
IF($BC76=Lookup!$A$3,($BD76+1)^BJ76,
IF($BC76=Lookup!$A$4,BK76*$BD76+1,"Error")))</f>
        <v>1</v>
      </c>
      <c r="BT76" s="249">
        <f>IF($BC76=Lookup!$A$2,$BD76*ROUNDUP(BL76/10,0)+1,
IF($BC76=Lookup!$A$3,($BD76+1)^BK76,
IF($BC76=Lookup!$A$4,BL76*$BD76+1,"Error")))</f>
        <v>1</v>
      </c>
      <c r="BU76" s="320"/>
      <c r="BV76" s="321"/>
      <c r="BW76" s="321"/>
      <c r="BX76" s="321"/>
      <c r="BY76" s="321"/>
      <c r="BZ76" s="321"/>
      <c r="CA76" s="321"/>
      <c r="CB76" s="277"/>
      <c r="CC76" s="382" t="s">
        <v>293</v>
      </c>
      <c r="CD76" s="383">
        <f>HLOOKUP($CC76,$AK$6:$AM$132,ROWS(CD$6:CD76),0)</f>
        <v>0</v>
      </c>
      <c r="CE76" s="234">
        <f t="shared" si="103"/>
        <v>0</v>
      </c>
      <c r="CF76" s="96">
        <f t="shared" si="103"/>
        <v>0</v>
      </c>
      <c r="CG76" s="96">
        <f t="shared" si="103"/>
        <v>0</v>
      </c>
      <c r="CH76" s="96">
        <f t="shared" si="103"/>
        <v>0</v>
      </c>
      <c r="CI76" s="96">
        <f t="shared" si="64"/>
        <v>0</v>
      </c>
      <c r="CJ76" s="96">
        <f t="shared" si="64"/>
        <v>0</v>
      </c>
      <c r="CK76" s="96">
        <f t="shared" si="64"/>
        <v>0</v>
      </c>
      <c r="CL76" s="286">
        <f t="shared" si="64"/>
        <v>0</v>
      </c>
      <c r="CM76" s="305" t="s">
        <v>293</v>
      </c>
      <c r="CN76" s="315">
        <v>0.05</v>
      </c>
      <c r="CO76" s="306"/>
      <c r="CP76" s="307" t="str">
        <f>IF($CO76&lt;&gt;"",$CO76,HLOOKUP($CM76,$AY$6:$BA$132,ROWS(CP$6:CP76),0))</f>
        <v/>
      </c>
      <c r="CQ76" s="784" t="str">
        <f t="shared" si="100"/>
        <v/>
      </c>
      <c r="CR76" s="784" t="str">
        <f t="shared" si="100"/>
        <v/>
      </c>
      <c r="CS76" s="97" t="str">
        <f t="shared" si="100"/>
        <v/>
      </c>
      <c r="CT76" s="97" t="str">
        <f t="shared" si="100"/>
        <v/>
      </c>
      <c r="CU76" s="97" t="str">
        <f t="shared" si="100"/>
        <v/>
      </c>
      <c r="CV76" s="97" t="str">
        <f t="shared" si="100"/>
        <v/>
      </c>
      <c r="CW76" s="97" t="str">
        <f t="shared" si="100"/>
        <v/>
      </c>
      <c r="CX76" s="98" t="str">
        <f t="shared" si="46"/>
        <v/>
      </c>
      <c r="CY76" s="392"/>
    </row>
    <row r="77" spans="1:103" x14ac:dyDescent="0.25">
      <c r="A77" s="81" t="s">
        <v>138</v>
      </c>
      <c r="B77" s="82" t="s">
        <v>157</v>
      </c>
      <c r="C77" s="83" t="s">
        <v>367</v>
      </c>
      <c r="D77" s="84"/>
      <c r="E77" s="85"/>
      <c r="F77" s="85"/>
      <c r="G77" s="85"/>
      <c r="H77" s="85"/>
      <c r="I77" s="85">
        <v>0</v>
      </c>
      <c r="J77" s="85">
        <v>0</v>
      </c>
      <c r="K77" s="85">
        <v>81116.697168055995</v>
      </c>
      <c r="L77" s="85">
        <v>0</v>
      </c>
      <c r="M77" s="654">
        <f>'2022-23 Input'!D77</f>
        <v>225563.19103622306</v>
      </c>
      <c r="N77" s="1065">
        <v>403121.63832456403</v>
      </c>
      <c r="O77" s="560">
        <f t="shared" si="101"/>
        <v>0</v>
      </c>
      <c r="P77" s="561">
        <f t="shared" si="75"/>
        <v>0</v>
      </c>
      <c r="Q77" s="561">
        <f t="shared" si="76"/>
        <v>0</v>
      </c>
      <c r="R77" s="561">
        <f t="shared" si="77"/>
        <v>0</v>
      </c>
      <c r="S77" s="561">
        <f t="shared" si="78"/>
        <v>0</v>
      </c>
      <c r="T77" s="561">
        <f t="shared" si="79"/>
        <v>0</v>
      </c>
      <c r="U77" s="561">
        <f t="shared" si="80"/>
        <v>0</v>
      </c>
      <c r="V77" s="561">
        <f t="shared" si="81"/>
        <v>97288.02373148562</v>
      </c>
      <c r="W77" s="675">
        <f t="shared" si="82"/>
        <v>0</v>
      </c>
      <c r="X77" s="675">
        <f t="shared" si="83"/>
        <v>239877.64003166993</v>
      </c>
      <c r="Y77" s="675">
        <f t="shared" si="83"/>
        <v>414206.87035787781</v>
      </c>
      <c r="Z77" s="86"/>
      <c r="AA77" s="87"/>
      <c r="AB77" s="87"/>
      <c r="AC77" s="87"/>
      <c r="AD77" s="87"/>
      <c r="AE77" s="87">
        <v>0</v>
      </c>
      <c r="AF77" s="87">
        <v>0</v>
      </c>
      <c r="AG77" s="87">
        <v>1</v>
      </c>
      <c r="AH77" s="87">
        <v>0</v>
      </c>
      <c r="AI77" s="1094">
        <f>'2022-23 Input'!K77</f>
        <v>2</v>
      </c>
      <c r="AJ77" s="665">
        <v>0</v>
      </c>
      <c r="AK77" s="88">
        <f t="shared" si="84"/>
        <v>0.6</v>
      </c>
      <c r="AL77" s="89">
        <f t="shared" si="85"/>
        <v>1</v>
      </c>
      <c r="AM77" s="90">
        <f t="shared" si="86"/>
        <v>2</v>
      </c>
      <c r="AN77" s="91" t="str">
        <f t="shared" si="87"/>
        <v/>
      </c>
      <c r="AO77" s="92" t="str">
        <f t="shared" si="88"/>
        <v/>
      </c>
      <c r="AP77" s="92" t="str">
        <f t="shared" si="89"/>
        <v/>
      </c>
      <c r="AQ77" s="92" t="str">
        <f t="shared" si="90"/>
        <v/>
      </c>
      <c r="AR77" s="92" t="str">
        <f t="shared" si="91"/>
        <v/>
      </c>
      <c r="AS77" s="92" t="str">
        <f t="shared" si="92"/>
        <v/>
      </c>
      <c r="AT77" s="92" t="str">
        <f t="shared" si="93"/>
        <v/>
      </c>
      <c r="AU77" s="92">
        <f t="shared" si="94"/>
        <v>81116.697168055995</v>
      </c>
      <c r="AV77" s="92" t="str">
        <f t="shared" si="95"/>
        <v/>
      </c>
      <c r="AW77" s="92">
        <f t="shared" si="95"/>
        <v>112781.59551811153</v>
      </c>
      <c r="AX77" s="92" t="str">
        <f t="shared" si="95"/>
        <v/>
      </c>
      <c r="AY77" s="93">
        <f t="shared" si="96"/>
        <v>102226.62940142635</v>
      </c>
      <c r="AZ77" s="94">
        <f t="shared" si="97"/>
        <v>102226.62940142635</v>
      </c>
      <c r="BA77" s="95">
        <f t="shared" si="98"/>
        <v>112781.59551811153</v>
      </c>
      <c r="BB77" s="248" t="s">
        <v>422</v>
      </c>
      <c r="BC77" s="229" t="s">
        <v>433</v>
      </c>
      <c r="BD77" s="249">
        <v>0</v>
      </c>
      <c r="BE77" s="267">
        <f t="shared" si="102"/>
        <v>0</v>
      </c>
      <c r="BF77" s="268">
        <f t="shared" si="99"/>
        <v>0</v>
      </c>
      <c r="BG77" s="268">
        <f t="shared" si="99"/>
        <v>0</v>
      </c>
      <c r="BH77" s="268">
        <f t="shared" si="99"/>
        <v>1</v>
      </c>
      <c r="BI77" s="268">
        <f t="shared" si="99"/>
        <v>2</v>
      </c>
      <c r="BJ77" s="268">
        <f t="shared" si="99"/>
        <v>3</v>
      </c>
      <c r="BK77" s="268">
        <f t="shared" si="99"/>
        <v>4</v>
      </c>
      <c r="BL77" s="269">
        <f t="shared" si="99"/>
        <v>5</v>
      </c>
      <c r="BM77" s="256">
        <f>IF($BC77=Lookup!$A$2,$BD77*ROUNDUP(BE77/10,0)+1,
IF($BC77=Lookup!$A$3,($BD77+1)^BD77,
IF($BC77=Lookup!$A$4,BE77*$BD77+1,"Error")))</f>
        <v>1</v>
      </c>
      <c r="BN77" s="229">
        <f>IF($BC77=Lookup!$A$2,$BD77*ROUNDUP(BF77/10,0)+1,
IF($BC77=Lookup!$A$3,($BD77+1)^BE77,
IF($BC77=Lookup!$A$4,BF77*$BD77+1,"Error")))</f>
        <v>1</v>
      </c>
      <c r="BO77" s="229">
        <f>IF($BC77=Lookup!$A$2,$BD77*ROUNDUP(BG77/10,0)+1,
IF($BC77=Lookup!$A$3,($BD77+1)^BF77,
IF($BC77=Lookup!$A$4,BG77*$BD77+1,"Error")))</f>
        <v>1</v>
      </c>
      <c r="BP77" s="229">
        <f>IF($BC77=Lookup!$A$2,$BD77*ROUNDUP(BH77/10,0)+1,
IF($BC77=Lookup!$A$3,($BD77+1)^BG77,
IF($BC77=Lookup!$A$4,BH77*$BD77+1,"Error")))</f>
        <v>1</v>
      </c>
      <c r="BQ77" s="229">
        <f>IF($BC77=Lookup!$A$2,$BD77*ROUNDUP(BI77/10,0)+1,
IF($BC77=Lookup!$A$3,($BD77+1)^BH77,
IF($BC77=Lookup!$A$4,BI77*$BD77+1,"Error")))</f>
        <v>1</v>
      </c>
      <c r="BR77" s="229">
        <f>IF($BC77=Lookup!$A$2,$BD77*ROUNDUP(BJ77/10,0)+1,
IF($BC77=Lookup!$A$3,($BD77+1)^BI77,
IF($BC77=Lookup!$A$4,BJ77*$BD77+1,"Error")))</f>
        <v>1</v>
      </c>
      <c r="BS77" s="229">
        <f>IF($BC77=Lookup!$A$2,$BD77*ROUNDUP(BK77/10,0)+1,
IF($BC77=Lookup!$A$3,($BD77+1)^BJ77,
IF($BC77=Lookup!$A$4,BK77*$BD77+1,"Error")))</f>
        <v>1</v>
      </c>
      <c r="BT77" s="249">
        <f>IF($BC77=Lookup!$A$2,$BD77*ROUNDUP(BL77/10,0)+1,
IF($BC77=Lookup!$A$3,($BD77+1)^BK77,
IF($BC77=Lookup!$A$4,BL77*$BD77+1,"Error")))</f>
        <v>1</v>
      </c>
      <c r="BU77" s="320"/>
      <c r="BV77" s="321"/>
      <c r="BW77" s="321"/>
      <c r="BX77" s="321"/>
      <c r="BY77" s="321"/>
      <c r="BZ77" s="321"/>
      <c r="CA77" s="321"/>
      <c r="CB77" s="277"/>
      <c r="CC77" s="382" t="s">
        <v>293</v>
      </c>
      <c r="CD77" s="383">
        <f>HLOOKUP($CC77,$AK$6:$AM$132,ROWS(CD$6:CD77),0)</f>
        <v>1</v>
      </c>
      <c r="CE77" s="234">
        <f t="shared" si="103"/>
        <v>1</v>
      </c>
      <c r="CF77" s="96">
        <f t="shared" si="103"/>
        <v>1</v>
      </c>
      <c r="CG77" s="96">
        <f t="shared" si="103"/>
        <v>1</v>
      </c>
      <c r="CH77" s="96">
        <f t="shared" si="103"/>
        <v>1</v>
      </c>
      <c r="CI77" s="96">
        <f t="shared" si="64"/>
        <v>1</v>
      </c>
      <c r="CJ77" s="96">
        <f t="shared" si="64"/>
        <v>1</v>
      </c>
      <c r="CK77" s="96">
        <f t="shared" si="64"/>
        <v>1</v>
      </c>
      <c r="CL77" s="286">
        <f t="shared" si="64"/>
        <v>1</v>
      </c>
      <c r="CM77" s="305" t="s">
        <v>293</v>
      </c>
      <c r="CN77" s="315">
        <v>0.05</v>
      </c>
      <c r="CO77" s="306"/>
      <c r="CP77" s="307">
        <f>IF($CO77&lt;&gt;"",$CO77,HLOOKUP($CM77,$AY$6:$BA$132,ROWS(CP$6:CP77),0))</f>
        <v>102226.62940142635</v>
      </c>
      <c r="CQ77" s="784">
        <f t="shared" si="100"/>
        <v>102226.62940142635</v>
      </c>
      <c r="CR77" s="784">
        <f t="shared" si="100"/>
        <v>102226.62940142635</v>
      </c>
      <c r="CS77" s="97">
        <f t="shared" si="100"/>
        <v>102226.62940142635</v>
      </c>
      <c r="CT77" s="97">
        <f t="shared" si="100"/>
        <v>102226.62940142635</v>
      </c>
      <c r="CU77" s="97">
        <f t="shared" si="100"/>
        <v>102226.62940142635</v>
      </c>
      <c r="CV77" s="97">
        <f t="shared" si="100"/>
        <v>102226.62940142635</v>
      </c>
      <c r="CW77" s="97">
        <f t="shared" si="100"/>
        <v>102226.62940142635</v>
      </c>
      <c r="CX77" s="98">
        <f t="shared" si="46"/>
        <v>102226.62940142635</v>
      </c>
      <c r="CY77" s="392"/>
    </row>
    <row r="78" spans="1:103" x14ac:dyDescent="0.25">
      <c r="A78" s="81" t="s">
        <v>138</v>
      </c>
      <c r="B78" s="82" t="s">
        <v>159</v>
      </c>
      <c r="C78" s="83" t="s">
        <v>368</v>
      </c>
      <c r="D78" s="84"/>
      <c r="E78" s="85"/>
      <c r="F78" s="85"/>
      <c r="G78" s="85"/>
      <c r="H78" s="85"/>
      <c r="I78" s="85">
        <v>0</v>
      </c>
      <c r="J78" s="85">
        <v>0</v>
      </c>
      <c r="K78" s="85">
        <v>0</v>
      </c>
      <c r="L78" s="85">
        <v>0</v>
      </c>
      <c r="M78" s="654">
        <f>'2022-23 Input'!D78</f>
        <v>0</v>
      </c>
      <c r="N78" s="1065">
        <v>0</v>
      </c>
      <c r="O78" s="560">
        <f t="shared" si="101"/>
        <v>0</v>
      </c>
      <c r="P78" s="561">
        <f t="shared" si="75"/>
        <v>0</v>
      </c>
      <c r="Q78" s="561">
        <f t="shared" si="76"/>
        <v>0</v>
      </c>
      <c r="R78" s="561">
        <f t="shared" si="77"/>
        <v>0</v>
      </c>
      <c r="S78" s="561">
        <f t="shared" si="78"/>
        <v>0</v>
      </c>
      <c r="T78" s="561">
        <f t="shared" si="79"/>
        <v>0</v>
      </c>
      <c r="U78" s="561">
        <f t="shared" si="80"/>
        <v>0</v>
      </c>
      <c r="V78" s="561">
        <f t="shared" si="81"/>
        <v>0</v>
      </c>
      <c r="W78" s="675">
        <f t="shared" si="82"/>
        <v>0</v>
      </c>
      <c r="X78" s="675">
        <f t="shared" si="83"/>
        <v>0</v>
      </c>
      <c r="Y78" s="675">
        <f t="shared" si="83"/>
        <v>0</v>
      </c>
      <c r="Z78" s="86"/>
      <c r="AA78" s="87"/>
      <c r="AB78" s="87"/>
      <c r="AC78" s="87"/>
      <c r="AD78" s="87"/>
      <c r="AE78" s="87">
        <v>0</v>
      </c>
      <c r="AF78" s="87">
        <v>1</v>
      </c>
      <c r="AG78" s="87">
        <v>0</v>
      </c>
      <c r="AH78" s="87">
        <v>0</v>
      </c>
      <c r="AI78" s="1094">
        <f>'2022-23 Input'!K78</f>
        <v>0</v>
      </c>
      <c r="AJ78" s="665">
        <v>0</v>
      </c>
      <c r="AK78" s="88">
        <f t="shared" si="84"/>
        <v>0.2</v>
      </c>
      <c r="AL78" s="89">
        <f t="shared" si="85"/>
        <v>0</v>
      </c>
      <c r="AM78" s="90">
        <f t="shared" si="86"/>
        <v>0</v>
      </c>
      <c r="AN78" s="91" t="str">
        <f t="shared" si="87"/>
        <v/>
      </c>
      <c r="AO78" s="92" t="str">
        <f t="shared" si="88"/>
        <v/>
      </c>
      <c r="AP78" s="92" t="str">
        <f t="shared" si="89"/>
        <v/>
      </c>
      <c r="AQ78" s="92" t="str">
        <f t="shared" si="90"/>
        <v/>
      </c>
      <c r="AR78" s="92" t="str">
        <f t="shared" si="91"/>
        <v/>
      </c>
      <c r="AS78" s="92" t="str">
        <f t="shared" si="92"/>
        <v/>
      </c>
      <c r="AT78" s="92">
        <f t="shared" si="93"/>
        <v>0</v>
      </c>
      <c r="AU78" s="92" t="str">
        <f t="shared" si="94"/>
        <v/>
      </c>
      <c r="AV78" s="92" t="str">
        <f t="shared" si="95"/>
        <v/>
      </c>
      <c r="AW78" s="92" t="str">
        <f t="shared" si="95"/>
        <v/>
      </c>
      <c r="AX78" s="92" t="str">
        <f t="shared" si="95"/>
        <v/>
      </c>
      <c r="AY78" s="93">
        <f t="shared" si="96"/>
        <v>0</v>
      </c>
      <c r="AZ78" s="94" t="str">
        <f t="shared" si="97"/>
        <v/>
      </c>
      <c r="BA78" s="95" t="str">
        <f t="shared" si="98"/>
        <v/>
      </c>
      <c r="BB78" s="248" t="s">
        <v>422</v>
      </c>
      <c r="BC78" s="229" t="s">
        <v>433</v>
      </c>
      <c r="BD78" s="249">
        <v>0</v>
      </c>
      <c r="BE78" s="267">
        <f t="shared" si="102"/>
        <v>0</v>
      </c>
      <c r="BF78" s="268">
        <f t="shared" si="99"/>
        <v>0</v>
      </c>
      <c r="BG78" s="268">
        <f t="shared" si="99"/>
        <v>0</v>
      </c>
      <c r="BH78" s="268">
        <f t="shared" si="99"/>
        <v>1</v>
      </c>
      <c r="BI78" s="268">
        <f t="shared" si="99"/>
        <v>2</v>
      </c>
      <c r="BJ78" s="268">
        <f t="shared" si="99"/>
        <v>3</v>
      </c>
      <c r="BK78" s="268">
        <f t="shared" si="99"/>
        <v>4</v>
      </c>
      <c r="BL78" s="269">
        <f t="shared" si="99"/>
        <v>5</v>
      </c>
      <c r="BM78" s="256">
        <f>IF($BC78=Lookup!$A$2,$BD78*ROUNDUP(BE78/10,0)+1,
IF($BC78=Lookup!$A$3,($BD78+1)^BD78,
IF($BC78=Lookup!$A$4,BE78*$BD78+1,"Error")))</f>
        <v>1</v>
      </c>
      <c r="BN78" s="229">
        <f>IF($BC78=Lookup!$A$2,$BD78*ROUNDUP(BF78/10,0)+1,
IF($BC78=Lookup!$A$3,($BD78+1)^BE78,
IF($BC78=Lookup!$A$4,BF78*$BD78+1,"Error")))</f>
        <v>1</v>
      </c>
      <c r="BO78" s="229">
        <f>IF($BC78=Lookup!$A$2,$BD78*ROUNDUP(BG78/10,0)+1,
IF($BC78=Lookup!$A$3,($BD78+1)^BF78,
IF($BC78=Lookup!$A$4,BG78*$BD78+1,"Error")))</f>
        <v>1</v>
      </c>
      <c r="BP78" s="229">
        <f>IF($BC78=Lookup!$A$2,$BD78*ROUNDUP(BH78/10,0)+1,
IF($BC78=Lookup!$A$3,($BD78+1)^BG78,
IF($BC78=Lookup!$A$4,BH78*$BD78+1,"Error")))</f>
        <v>1</v>
      </c>
      <c r="BQ78" s="229">
        <f>IF($BC78=Lookup!$A$2,$BD78*ROUNDUP(BI78/10,0)+1,
IF($BC78=Lookup!$A$3,($BD78+1)^BH78,
IF($BC78=Lookup!$A$4,BI78*$BD78+1,"Error")))</f>
        <v>1</v>
      </c>
      <c r="BR78" s="229">
        <f>IF($BC78=Lookup!$A$2,$BD78*ROUNDUP(BJ78/10,0)+1,
IF($BC78=Lookup!$A$3,($BD78+1)^BI78,
IF($BC78=Lookup!$A$4,BJ78*$BD78+1,"Error")))</f>
        <v>1</v>
      </c>
      <c r="BS78" s="229">
        <f>IF($BC78=Lookup!$A$2,$BD78*ROUNDUP(BK78/10,0)+1,
IF($BC78=Lookup!$A$3,($BD78+1)^BJ78,
IF($BC78=Lookup!$A$4,BK78*$BD78+1,"Error")))</f>
        <v>1</v>
      </c>
      <c r="BT78" s="249">
        <f>IF($BC78=Lookup!$A$2,$BD78*ROUNDUP(BL78/10,0)+1,
IF($BC78=Lookup!$A$3,($BD78+1)^BK78,
IF($BC78=Lookup!$A$4,BL78*$BD78+1,"Error")))</f>
        <v>1</v>
      </c>
      <c r="BU78" s="320"/>
      <c r="BV78" s="321"/>
      <c r="BW78" s="321"/>
      <c r="BX78" s="321"/>
      <c r="BY78" s="321"/>
      <c r="BZ78" s="321"/>
      <c r="CA78" s="321"/>
      <c r="CB78" s="277"/>
      <c r="CC78" s="382" t="s">
        <v>293</v>
      </c>
      <c r="CD78" s="383">
        <f>HLOOKUP($CC78,$AK$6:$AM$132,ROWS(CD$6:CD78),0)</f>
        <v>0</v>
      </c>
      <c r="CE78" s="234">
        <f t="shared" si="103"/>
        <v>0</v>
      </c>
      <c r="CF78" s="96">
        <f t="shared" si="103"/>
        <v>0</v>
      </c>
      <c r="CG78" s="96">
        <f t="shared" si="103"/>
        <v>0</v>
      </c>
      <c r="CH78" s="96">
        <f t="shared" si="103"/>
        <v>0</v>
      </c>
      <c r="CI78" s="96">
        <f t="shared" si="64"/>
        <v>0</v>
      </c>
      <c r="CJ78" s="96">
        <f t="shared" si="64"/>
        <v>0</v>
      </c>
      <c r="CK78" s="96">
        <f t="shared" si="64"/>
        <v>0</v>
      </c>
      <c r="CL78" s="286">
        <f t="shared" si="64"/>
        <v>0</v>
      </c>
      <c r="CM78" s="305" t="s">
        <v>293</v>
      </c>
      <c r="CN78" s="315">
        <v>0.05</v>
      </c>
      <c r="CO78" s="306"/>
      <c r="CP78" s="307" t="str">
        <f>IF($CO78&lt;&gt;"",$CO78,HLOOKUP($CM78,$AY$6:$BA$132,ROWS(CP$6:CP78),0))</f>
        <v/>
      </c>
      <c r="CQ78" s="784" t="str">
        <f t="shared" si="100"/>
        <v/>
      </c>
      <c r="CR78" s="784" t="str">
        <f t="shared" si="100"/>
        <v/>
      </c>
      <c r="CS78" s="97" t="str">
        <f t="shared" si="100"/>
        <v/>
      </c>
      <c r="CT78" s="97" t="str">
        <f t="shared" si="100"/>
        <v/>
      </c>
      <c r="CU78" s="97" t="str">
        <f t="shared" si="100"/>
        <v/>
      </c>
      <c r="CV78" s="97" t="str">
        <f t="shared" si="100"/>
        <v/>
      </c>
      <c r="CW78" s="97" t="str">
        <f t="shared" si="100"/>
        <v/>
      </c>
      <c r="CX78" s="98" t="str">
        <f t="shared" si="46"/>
        <v/>
      </c>
      <c r="CY78" s="392"/>
    </row>
    <row r="79" spans="1:103" x14ac:dyDescent="0.25">
      <c r="A79" s="81" t="s">
        <v>138</v>
      </c>
      <c r="B79" s="82" t="s">
        <v>161</v>
      </c>
      <c r="C79" s="83" t="s">
        <v>369</v>
      </c>
      <c r="D79" s="84"/>
      <c r="E79" s="85"/>
      <c r="F79" s="85"/>
      <c r="G79" s="85"/>
      <c r="H79" s="85"/>
      <c r="I79" s="85">
        <v>0</v>
      </c>
      <c r="J79" s="85">
        <v>0</v>
      </c>
      <c r="K79" s="85">
        <v>0</v>
      </c>
      <c r="L79" s="85">
        <v>0</v>
      </c>
      <c r="M79" s="654">
        <f>'2022-23 Input'!D79</f>
        <v>0</v>
      </c>
      <c r="N79" s="1065">
        <v>0</v>
      </c>
      <c r="O79" s="560">
        <f t="shared" si="101"/>
        <v>0</v>
      </c>
      <c r="P79" s="561">
        <f t="shared" si="75"/>
        <v>0</v>
      </c>
      <c r="Q79" s="561">
        <f t="shared" si="76"/>
        <v>0</v>
      </c>
      <c r="R79" s="561">
        <f t="shared" si="77"/>
        <v>0</v>
      </c>
      <c r="S79" s="561">
        <f t="shared" si="78"/>
        <v>0</v>
      </c>
      <c r="T79" s="561">
        <f t="shared" si="79"/>
        <v>0</v>
      </c>
      <c r="U79" s="561">
        <f t="shared" si="80"/>
        <v>0</v>
      </c>
      <c r="V79" s="561">
        <f t="shared" si="81"/>
        <v>0</v>
      </c>
      <c r="W79" s="675">
        <f t="shared" si="82"/>
        <v>0</v>
      </c>
      <c r="X79" s="675">
        <f t="shared" si="83"/>
        <v>0</v>
      </c>
      <c r="Y79" s="675">
        <f t="shared" si="83"/>
        <v>0</v>
      </c>
      <c r="Z79" s="86"/>
      <c r="AA79" s="87"/>
      <c r="AB79" s="87"/>
      <c r="AC79" s="87"/>
      <c r="AD79" s="87"/>
      <c r="AE79" s="87">
        <v>0</v>
      </c>
      <c r="AF79" s="87">
        <v>0</v>
      </c>
      <c r="AG79" s="87">
        <v>0</v>
      </c>
      <c r="AH79" s="87">
        <v>0</v>
      </c>
      <c r="AI79" s="1094">
        <f>'2022-23 Input'!K79</f>
        <v>0</v>
      </c>
      <c r="AJ79" s="665">
        <v>0</v>
      </c>
      <c r="AK79" s="88">
        <f t="shared" si="84"/>
        <v>0</v>
      </c>
      <c r="AL79" s="89">
        <f t="shared" si="85"/>
        <v>0</v>
      </c>
      <c r="AM79" s="90">
        <f t="shared" si="86"/>
        <v>0</v>
      </c>
      <c r="AN79" s="91" t="str">
        <f t="shared" si="87"/>
        <v/>
      </c>
      <c r="AO79" s="92" t="str">
        <f t="shared" si="88"/>
        <v/>
      </c>
      <c r="AP79" s="92" t="str">
        <f t="shared" si="89"/>
        <v/>
      </c>
      <c r="AQ79" s="92" t="str">
        <f t="shared" si="90"/>
        <v/>
      </c>
      <c r="AR79" s="92" t="str">
        <f t="shared" si="91"/>
        <v/>
      </c>
      <c r="AS79" s="92" t="str">
        <f t="shared" si="92"/>
        <v/>
      </c>
      <c r="AT79" s="92" t="str">
        <f t="shared" si="93"/>
        <v/>
      </c>
      <c r="AU79" s="92" t="str">
        <f t="shared" si="94"/>
        <v/>
      </c>
      <c r="AV79" s="92" t="str">
        <f t="shared" si="95"/>
        <v/>
      </c>
      <c r="AW79" s="92" t="str">
        <f t="shared" si="95"/>
        <v/>
      </c>
      <c r="AX79" s="92" t="str">
        <f t="shared" si="95"/>
        <v/>
      </c>
      <c r="AY79" s="93" t="str">
        <f t="shared" si="96"/>
        <v/>
      </c>
      <c r="AZ79" s="94" t="str">
        <f t="shared" si="97"/>
        <v/>
      </c>
      <c r="BA79" s="95" t="str">
        <f t="shared" si="98"/>
        <v/>
      </c>
      <c r="BB79" s="248" t="s">
        <v>422</v>
      </c>
      <c r="BC79" s="229" t="s">
        <v>433</v>
      </c>
      <c r="BD79" s="249">
        <v>0</v>
      </c>
      <c r="BE79" s="267">
        <f t="shared" si="102"/>
        <v>0</v>
      </c>
      <c r="BF79" s="268">
        <f t="shared" si="99"/>
        <v>0</v>
      </c>
      <c r="BG79" s="268">
        <f t="shared" si="99"/>
        <v>0</v>
      </c>
      <c r="BH79" s="268">
        <f t="shared" si="99"/>
        <v>1</v>
      </c>
      <c r="BI79" s="268">
        <f t="shared" si="99"/>
        <v>2</v>
      </c>
      <c r="BJ79" s="268">
        <f t="shared" si="99"/>
        <v>3</v>
      </c>
      <c r="BK79" s="268">
        <f t="shared" si="99"/>
        <v>4</v>
      </c>
      <c r="BL79" s="269">
        <f t="shared" si="99"/>
        <v>5</v>
      </c>
      <c r="BM79" s="256">
        <f>IF($BC79=Lookup!$A$2,$BD79*ROUNDUP(BE79/10,0)+1,
IF($BC79=Lookup!$A$3,($BD79+1)^BD79,
IF($BC79=Lookup!$A$4,BE79*$BD79+1,"Error")))</f>
        <v>1</v>
      </c>
      <c r="BN79" s="229">
        <f>IF($BC79=Lookup!$A$2,$BD79*ROUNDUP(BF79/10,0)+1,
IF($BC79=Lookup!$A$3,($BD79+1)^BE79,
IF($BC79=Lookup!$A$4,BF79*$BD79+1,"Error")))</f>
        <v>1</v>
      </c>
      <c r="BO79" s="229">
        <f>IF($BC79=Lookup!$A$2,$BD79*ROUNDUP(BG79/10,0)+1,
IF($BC79=Lookup!$A$3,($BD79+1)^BF79,
IF($BC79=Lookup!$A$4,BG79*$BD79+1,"Error")))</f>
        <v>1</v>
      </c>
      <c r="BP79" s="229">
        <f>IF($BC79=Lookup!$A$2,$BD79*ROUNDUP(BH79/10,0)+1,
IF($BC79=Lookup!$A$3,($BD79+1)^BG79,
IF($BC79=Lookup!$A$4,BH79*$BD79+1,"Error")))</f>
        <v>1</v>
      </c>
      <c r="BQ79" s="229">
        <f>IF($BC79=Lookup!$A$2,$BD79*ROUNDUP(BI79/10,0)+1,
IF($BC79=Lookup!$A$3,($BD79+1)^BH79,
IF($BC79=Lookup!$A$4,BI79*$BD79+1,"Error")))</f>
        <v>1</v>
      </c>
      <c r="BR79" s="229">
        <f>IF($BC79=Lookup!$A$2,$BD79*ROUNDUP(BJ79/10,0)+1,
IF($BC79=Lookup!$A$3,($BD79+1)^BI79,
IF($BC79=Lookup!$A$4,BJ79*$BD79+1,"Error")))</f>
        <v>1</v>
      </c>
      <c r="BS79" s="229">
        <f>IF($BC79=Lookup!$A$2,$BD79*ROUNDUP(BK79/10,0)+1,
IF($BC79=Lookup!$A$3,($BD79+1)^BJ79,
IF($BC79=Lookup!$A$4,BK79*$BD79+1,"Error")))</f>
        <v>1</v>
      </c>
      <c r="BT79" s="249">
        <f>IF($BC79=Lookup!$A$2,$BD79*ROUNDUP(BL79/10,0)+1,
IF($BC79=Lookup!$A$3,($BD79+1)^BK79,
IF($BC79=Lookup!$A$4,BL79*$BD79+1,"Error")))</f>
        <v>1</v>
      </c>
      <c r="BU79" s="320"/>
      <c r="BV79" s="321"/>
      <c r="BW79" s="321"/>
      <c r="BX79" s="321"/>
      <c r="BY79" s="321"/>
      <c r="BZ79" s="321"/>
      <c r="CA79" s="321"/>
      <c r="CB79" s="277"/>
      <c r="CC79" s="382" t="s">
        <v>293</v>
      </c>
      <c r="CD79" s="383">
        <f>HLOOKUP($CC79,$AK$6:$AM$132,ROWS(CD$6:CD79),0)</f>
        <v>0</v>
      </c>
      <c r="CE79" s="234">
        <f t="shared" si="103"/>
        <v>0</v>
      </c>
      <c r="CF79" s="96">
        <f t="shared" si="103"/>
        <v>0</v>
      </c>
      <c r="CG79" s="96">
        <f t="shared" si="103"/>
        <v>0</v>
      </c>
      <c r="CH79" s="96">
        <f t="shared" si="103"/>
        <v>0</v>
      </c>
      <c r="CI79" s="96">
        <f t="shared" si="64"/>
        <v>0</v>
      </c>
      <c r="CJ79" s="96">
        <f t="shared" si="64"/>
        <v>0</v>
      </c>
      <c r="CK79" s="96">
        <f t="shared" si="64"/>
        <v>0</v>
      </c>
      <c r="CL79" s="286">
        <f t="shared" si="64"/>
        <v>0</v>
      </c>
      <c r="CM79" s="305" t="s">
        <v>293</v>
      </c>
      <c r="CN79" s="315">
        <v>0.05</v>
      </c>
      <c r="CO79" s="306"/>
      <c r="CP79" s="307" t="str">
        <f>IF($CO79&lt;&gt;"",$CO79,HLOOKUP($CM79,$AY$6:$BA$132,ROWS(CP$6:CP79),0))</f>
        <v/>
      </c>
      <c r="CQ79" s="784" t="str">
        <f t="shared" si="100"/>
        <v/>
      </c>
      <c r="CR79" s="784" t="str">
        <f t="shared" si="100"/>
        <v/>
      </c>
      <c r="CS79" s="97" t="str">
        <f t="shared" si="100"/>
        <v/>
      </c>
      <c r="CT79" s="97" t="str">
        <f t="shared" si="100"/>
        <v/>
      </c>
      <c r="CU79" s="97" t="str">
        <f t="shared" si="100"/>
        <v/>
      </c>
      <c r="CV79" s="97" t="str">
        <f t="shared" si="100"/>
        <v/>
      </c>
      <c r="CW79" s="97" t="str">
        <f t="shared" si="100"/>
        <v/>
      </c>
      <c r="CX79" s="98" t="str">
        <f t="shared" si="46"/>
        <v/>
      </c>
      <c r="CY79" s="392"/>
    </row>
    <row r="80" spans="1:103" x14ac:dyDescent="0.25">
      <c r="A80" s="81" t="s">
        <v>138</v>
      </c>
      <c r="B80" s="82" t="s">
        <v>163</v>
      </c>
      <c r="C80" s="83" t="s">
        <v>370</v>
      </c>
      <c r="D80" s="84"/>
      <c r="E80" s="85"/>
      <c r="F80" s="85"/>
      <c r="G80" s="85"/>
      <c r="H80" s="85"/>
      <c r="I80" s="85">
        <v>0</v>
      </c>
      <c r="J80" s="85">
        <v>0</v>
      </c>
      <c r="K80" s="85">
        <v>0</v>
      </c>
      <c r="L80" s="85">
        <v>0</v>
      </c>
      <c r="M80" s="654">
        <f>'2022-23 Input'!D80</f>
        <v>0</v>
      </c>
      <c r="N80" s="1065">
        <v>0</v>
      </c>
      <c r="O80" s="560">
        <f t="shared" si="101"/>
        <v>0</v>
      </c>
      <c r="P80" s="561">
        <f t="shared" si="75"/>
        <v>0</v>
      </c>
      <c r="Q80" s="561">
        <f t="shared" si="76"/>
        <v>0</v>
      </c>
      <c r="R80" s="561">
        <f t="shared" si="77"/>
        <v>0</v>
      </c>
      <c r="S80" s="561">
        <f t="shared" si="78"/>
        <v>0</v>
      </c>
      <c r="T80" s="561">
        <f t="shared" si="79"/>
        <v>0</v>
      </c>
      <c r="U80" s="561">
        <f t="shared" si="80"/>
        <v>0</v>
      </c>
      <c r="V80" s="561">
        <f t="shared" si="81"/>
        <v>0</v>
      </c>
      <c r="W80" s="675">
        <f t="shared" si="82"/>
        <v>0</v>
      </c>
      <c r="X80" s="675">
        <f t="shared" si="83"/>
        <v>0</v>
      </c>
      <c r="Y80" s="675">
        <f t="shared" si="83"/>
        <v>0</v>
      </c>
      <c r="Z80" s="86"/>
      <c r="AA80" s="87"/>
      <c r="AB80" s="87"/>
      <c r="AC80" s="87"/>
      <c r="AD80" s="87"/>
      <c r="AE80" s="87">
        <v>0</v>
      </c>
      <c r="AF80" s="87">
        <v>0</v>
      </c>
      <c r="AG80" s="87">
        <v>0</v>
      </c>
      <c r="AH80" s="87">
        <v>0</v>
      </c>
      <c r="AI80" s="1094">
        <f>'2022-23 Input'!K80</f>
        <v>0</v>
      </c>
      <c r="AJ80" s="665">
        <v>0</v>
      </c>
      <c r="AK80" s="88">
        <f t="shared" si="84"/>
        <v>0</v>
      </c>
      <c r="AL80" s="89">
        <f t="shared" si="85"/>
        <v>0</v>
      </c>
      <c r="AM80" s="90">
        <f t="shared" si="86"/>
        <v>0</v>
      </c>
      <c r="AN80" s="91" t="str">
        <f t="shared" si="87"/>
        <v/>
      </c>
      <c r="AO80" s="92" t="str">
        <f t="shared" si="88"/>
        <v/>
      </c>
      <c r="AP80" s="92" t="str">
        <f t="shared" si="89"/>
        <v/>
      </c>
      <c r="AQ80" s="92" t="str">
        <f t="shared" si="90"/>
        <v/>
      </c>
      <c r="AR80" s="92" t="str">
        <f t="shared" si="91"/>
        <v/>
      </c>
      <c r="AS80" s="92" t="str">
        <f t="shared" si="92"/>
        <v/>
      </c>
      <c r="AT80" s="92" t="str">
        <f t="shared" si="93"/>
        <v/>
      </c>
      <c r="AU80" s="92" t="str">
        <f t="shared" si="94"/>
        <v/>
      </c>
      <c r="AV80" s="92" t="str">
        <f t="shared" si="95"/>
        <v/>
      </c>
      <c r="AW80" s="92" t="str">
        <f t="shared" si="95"/>
        <v/>
      </c>
      <c r="AX80" s="92" t="str">
        <f t="shared" si="95"/>
        <v/>
      </c>
      <c r="AY80" s="93" t="str">
        <f t="shared" si="96"/>
        <v/>
      </c>
      <c r="AZ80" s="94" t="str">
        <f t="shared" si="97"/>
        <v/>
      </c>
      <c r="BA80" s="95" t="str">
        <f t="shared" si="98"/>
        <v/>
      </c>
      <c r="BB80" s="248" t="s">
        <v>422</v>
      </c>
      <c r="BC80" s="229" t="s">
        <v>433</v>
      </c>
      <c r="BD80" s="249">
        <v>0</v>
      </c>
      <c r="BE80" s="267">
        <f t="shared" si="102"/>
        <v>0</v>
      </c>
      <c r="BF80" s="268">
        <f t="shared" si="99"/>
        <v>0</v>
      </c>
      <c r="BG80" s="268">
        <f t="shared" si="99"/>
        <v>0</v>
      </c>
      <c r="BH80" s="268">
        <f t="shared" si="99"/>
        <v>1</v>
      </c>
      <c r="BI80" s="268">
        <f t="shared" si="99"/>
        <v>2</v>
      </c>
      <c r="BJ80" s="268">
        <f t="shared" si="99"/>
        <v>3</v>
      </c>
      <c r="BK80" s="268">
        <f t="shared" si="99"/>
        <v>4</v>
      </c>
      <c r="BL80" s="269">
        <f t="shared" si="99"/>
        <v>5</v>
      </c>
      <c r="BM80" s="256">
        <f>IF($BC80=Lookup!$A$2,$BD80*ROUNDUP(BE80/10,0)+1,
IF($BC80=Lookup!$A$3,($BD80+1)^BD80,
IF($BC80=Lookup!$A$4,BE80*$BD80+1,"Error")))</f>
        <v>1</v>
      </c>
      <c r="BN80" s="229">
        <f>IF($BC80=Lookup!$A$2,$BD80*ROUNDUP(BF80/10,0)+1,
IF($BC80=Lookup!$A$3,($BD80+1)^BE80,
IF($BC80=Lookup!$A$4,BF80*$BD80+1,"Error")))</f>
        <v>1</v>
      </c>
      <c r="BO80" s="229">
        <f>IF($BC80=Lookup!$A$2,$BD80*ROUNDUP(BG80/10,0)+1,
IF($BC80=Lookup!$A$3,($BD80+1)^BF80,
IF($BC80=Lookup!$A$4,BG80*$BD80+1,"Error")))</f>
        <v>1</v>
      </c>
      <c r="BP80" s="229">
        <f>IF($BC80=Lookup!$A$2,$BD80*ROUNDUP(BH80/10,0)+1,
IF($BC80=Lookup!$A$3,($BD80+1)^BG80,
IF($BC80=Lookup!$A$4,BH80*$BD80+1,"Error")))</f>
        <v>1</v>
      </c>
      <c r="BQ80" s="229">
        <f>IF($BC80=Lookup!$A$2,$BD80*ROUNDUP(BI80/10,0)+1,
IF($BC80=Lookup!$A$3,($BD80+1)^BH80,
IF($BC80=Lookup!$A$4,BI80*$BD80+1,"Error")))</f>
        <v>1</v>
      </c>
      <c r="BR80" s="229">
        <f>IF($BC80=Lookup!$A$2,$BD80*ROUNDUP(BJ80/10,0)+1,
IF($BC80=Lookup!$A$3,($BD80+1)^BI80,
IF($BC80=Lookup!$A$4,BJ80*$BD80+1,"Error")))</f>
        <v>1</v>
      </c>
      <c r="BS80" s="229">
        <f>IF($BC80=Lookup!$A$2,$BD80*ROUNDUP(BK80/10,0)+1,
IF($BC80=Lookup!$A$3,($BD80+1)^BJ80,
IF($BC80=Lookup!$A$4,BK80*$BD80+1,"Error")))</f>
        <v>1</v>
      </c>
      <c r="BT80" s="249">
        <f>IF($BC80=Lookup!$A$2,$BD80*ROUNDUP(BL80/10,0)+1,
IF($BC80=Lookup!$A$3,($BD80+1)^BK80,
IF($BC80=Lookup!$A$4,BL80*$BD80+1,"Error")))</f>
        <v>1</v>
      </c>
      <c r="BU80" s="320"/>
      <c r="BV80" s="321"/>
      <c r="BW80" s="321"/>
      <c r="BX80" s="321"/>
      <c r="BY80" s="321"/>
      <c r="BZ80" s="321"/>
      <c r="CA80" s="321"/>
      <c r="CB80" s="277"/>
      <c r="CC80" s="382" t="s">
        <v>293</v>
      </c>
      <c r="CD80" s="383">
        <f>HLOOKUP($CC80,$AK$6:$AM$132,ROWS(CD$6:CD80),0)</f>
        <v>0</v>
      </c>
      <c r="CE80" s="234">
        <f t="shared" si="103"/>
        <v>0</v>
      </c>
      <c r="CF80" s="96">
        <f t="shared" si="103"/>
        <v>0</v>
      </c>
      <c r="CG80" s="96">
        <f t="shared" si="103"/>
        <v>0</v>
      </c>
      <c r="CH80" s="96">
        <f t="shared" si="103"/>
        <v>0</v>
      </c>
      <c r="CI80" s="96">
        <f t="shared" si="64"/>
        <v>0</v>
      </c>
      <c r="CJ80" s="96">
        <f t="shared" si="64"/>
        <v>0</v>
      </c>
      <c r="CK80" s="96">
        <f t="shared" si="64"/>
        <v>0</v>
      </c>
      <c r="CL80" s="286">
        <f t="shared" si="64"/>
        <v>0</v>
      </c>
      <c r="CM80" s="305" t="s">
        <v>293</v>
      </c>
      <c r="CN80" s="315">
        <v>0.05</v>
      </c>
      <c r="CO80" s="306"/>
      <c r="CP80" s="307" t="str">
        <f>IF($CO80&lt;&gt;"",$CO80,HLOOKUP($CM80,$AY$6:$BA$132,ROWS(CP$6:CP80),0))</f>
        <v/>
      </c>
      <c r="CQ80" s="784" t="str">
        <f t="shared" si="100"/>
        <v/>
      </c>
      <c r="CR80" s="784" t="str">
        <f t="shared" si="100"/>
        <v/>
      </c>
      <c r="CS80" s="97" t="str">
        <f t="shared" si="100"/>
        <v/>
      </c>
      <c r="CT80" s="97" t="str">
        <f t="shared" si="100"/>
        <v/>
      </c>
      <c r="CU80" s="97" t="str">
        <f t="shared" si="100"/>
        <v/>
      </c>
      <c r="CV80" s="97" t="str">
        <f t="shared" si="100"/>
        <v/>
      </c>
      <c r="CW80" s="97" t="str">
        <f t="shared" si="100"/>
        <v/>
      </c>
      <c r="CX80" s="98" t="str">
        <f t="shared" si="46"/>
        <v/>
      </c>
      <c r="CY80" s="392"/>
    </row>
    <row r="81" spans="1:103" x14ac:dyDescent="0.25">
      <c r="A81" s="81" t="s">
        <v>138</v>
      </c>
      <c r="B81" s="82" t="s">
        <v>165</v>
      </c>
      <c r="C81" s="83" t="s">
        <v>371</v>
      </c>
      <c r="D81" s="84"/>
      <c r="E81" s="85"/>
      <c r="F81" s="85"/>
      <c r="G81" s="85"/>
      <c r="H81" s="85"/>
      <c r="I81" s="85">
        <v>0</v>
      </c>
      <c r="J81" s="85">
        <v>0</v>
      </c>
      <c r="K81" s="85">
        <v>0</v>
      </c>
      <c r="L81" s="85">
        <v>0</v>
      </c>
      <c r="M81" s="654">
        <f>'2022-23 Input'!D81</f>
        <v>0</v>
      </c>
      <c r="N81" s="1065">
        <v>0</v>
      </c>
      <c r="O81" s="560">
        <f t="shared" si="101"/>
        <v>0</v>
      </c>
      <c r="P81" s="561">
        <f t="shared" si="75"/>
        <v>0</v>
      </c>
      <c r="Q81" s="561">
        <f t="shared" si="76"/>
        <v>0</v>
      </c>
      <c r="R81" s="561">
        <f t="shared" si="77"/>
        <v>0</v>
      </c>
      <c r="S81" s="561">
        <f t="shared" si="78"/>
        <v>0</v>
      </c>
      <c r="T81" s="561">
        <f t="shared" si="79"/>
        <v>0</v>
      </c>
      <c r="U81" s="561">
        <f t="shared" si="80"/>
        <v>0</v>
      </c>
      <c r="V81" s="561">
        <f t="shared" si="81"/>
        <v>0</v>
      </c>
      <c r="W81" s="675">
        <f t="shared" si="82"/>
        <v>0</v>
      </c>
      <c r="X81" s="675">
        <f t="shared" si="83"/>
        <v>0</v>
      </c>
      <c r="Y81" s="675">
        <f t="shared" si="83"/>
        <v>0</v>
      </c>
      <c r="Z81" s="86"/>
      <c r="AA81" s="87"/>
      <c r="AB81" s="87"/>
      <c r="AC81" s="87"/>
      <c r="AD81" s="87"/>
      <c r="AE81" s="87">
        <v>0</v>
      </c>
      <c r="AF81" s="87">
        <v>0</v>
      </c>
      <c r="AG81" s="87">
        <v>0</v>
      </c>
      <c r="AH81" s="87">
        <v>0</v>
      </c>
      <c r="AI81" s="1094">
        <f>'2022-23 Input'!K81</f>
        <v>0</v>
      </c>
      <c r="AJ81" s="665">
        <v>0</v>
      </c>
      <c r="AK81" s="88">
        <f t="shared" si="84"/>
        <v>0</v>
      </c>
      <c r="AL81" s="89">
        <f t="shared" si="85"/>
        <v>0</v>
      </c>
      <c r="AM81" s="90">
        <f t="shared" si="86"/>
        <v>0</v>
      </c>
      <c r="AN81" s="91" t="str">
        <f t="shared" si="87"/>
        <v/>
      </c>
      <c r="AO81" s="92" t="str">
        <f t="shared" si="88"/>
        <v/>
      </c>
      <c r="AP81" s="92" t="str">
        <f t="shared" si="89"/>
        <v/>
      </c>
      <c r="AQ81" s="92" t="str">
        <f t="shared" si="90"/>
        <v/>
      </c>
      <c r="AR81" s="92" t="str">
        <f t="shared" si="91"/>
        <v/>
      </c>
      <c r="AS81" s="92" t="str">
        <f t="shared" si="92"/>
        <v/>
      </c>
      <c r="AT81" s="92" t="str">
        <f t="shared" si="93"/>
        <v/>
      </c>
      <c r="AU81" s="92" t="str">
        <f t="shared" si="94"/>
        <v/>
      </c>
      <c r="AV81" s="92" t="str">
        <f t="shared" si="95"/>
        <v/>
      </c>
      <c r="AW81" s="92" t="str">
        <f t="shared" si="95"/>
        <v/>
      </c>
      <c r="AX81" s="92" t="str">
        <f t="shared" si="95"/>
        <v/>
      </c>
      <c r="AY81" s="93" t="str">
        <f t="shared" si="96"/>
        <v/>
      </c>
      <c r="AZ81" s="94" t="str">
        <f t="shared" si="97"/>
        <v/>
      </c>
      <c r="BA81" s="95" t="str">
        <f t="shared" si="98"/>
        <v/>
      </c>
      <c r="BB81" s="248" t="s">
        <v>422</v>
      </c>
      <c r="BC81" s="229" t="s">
        <v>433</v>
      </c>
      <c r="BD81" s="249">
        <v>0</v>
      </c>
      <c r="BE81" s="267">
        <f t="shared" si="102"/>
        <v>0</v>
      </c>
      <c r="BF81" s="268">
        <f t="shared" si="99"/>
        <v>0</v>
      </c>
      <c r="BG81" s="268">
        <f t="shared" si="99"/>
        <v>0</v>
      </c>
      <c r="BH81" s="268">
        <f t="shared" si="99"/>
        <v>1</v>
      </c>
      <c r="BI81" s="268">
        <f t="shared" si="99"/>
        <v>2</v>
      </c>
      <c r="BJ81" s="268">
        <f t="shared" si="99"/>
        <v>3</v>
      </c>
      <c r="BK81" s="268">
        <f t="shared" si="99"/>
        <v>4</v>
      </c>
      <c r="BL81" s="269">
        <f t="shared" si="99"/>
        <v>5</v>
      </c>
      <c r="BM81" s="256">
        <f>IF($BC81=Lookup!$A$2,$BD81*ROUNDUP(BE81/10,0)+1,
IF($BC81=Lookup!$A$3,($BD81+1)^BD81,
IF($BC81=Lookup!$A$4,BE81*$BD81+1,"Error")))</f>
        <v>1</v>
      </c>
      <c r="BN81" s="229">
        <f>IF($BC81=Lookup!$A$2,$BD81*ROUNDUP(BF81/10,0)+1,
IF($BC81=Lookup!$A$3,($BD81+1)^BE81,
IF($BC81=Lookup!$A$4,BF81*$BD81+1,"Error")))</f>
        <v>1</v>
      </c>
      <c r="BO81" s="229">
        <f>IF($BC81=Lookup!$A$2,$BD81*ROUNDUP(BG81/10,0)+1,
IF($BC81=Lookup!$A$3,($BD81+1)^BF81,
IF($BC81=Lookup!$A$4,BG81*$BD81+1,"Error")))</f>
        <v>1</v>
      </c>
      <c r="BP81" s="229">
        <f>IF($BC81=Lookup!$A$2,$BD81*ROUNDUP(BH81/10,0)+1,
IF($BC81=Lookup!$A$3,($BD81+1)^BG81,
IF($BC81=Lookup!$A$4,BH81*$BD81+1,"Error")))</f>
        <v>1</v>
      </c>
      <c r="BQ81" s="229">
        <f>IF($BC81=Lookup!$A$2,$BD81*ROUNDUP(BI81/10,0)+1,
IF($BC81=Lookup!$A$3,($BD81+1)^BH81,
IF($BC81=Lookup!$A$4,BI81*$BD81+1,"Error")))</f>
        <v>1</v>
      </c>
      <c r="BR81" s="229">
        <f>IF($BC81=Lookup!$A$2,$BD81*ROUNDUP(BJ81/10,0)+1,
IF($BC81=Lookup!$A$3,($BD81+1)^BI81,
IF($BC81=Lookup!$A$4,BJ81*$BD81+1,"Error")))</f>
        <v>1</v>
      </c>
      <c r="BS81" s="229">
        <f>IF($BC81=Lookup!$A$2,$BD81*ROUNDUP(BK81/10,0)+1,
IF($BC81=Lookup!$A$3,($BD81+1)^BJ81,
IF($BC81=Lookup!$A$4,BK81*$BD81+1,"Error")))</f>
        <v>1</v>
      </c>
      <c r="BT81" s="249">
        <f>IF($BC81=Lookup!$A$2,$BD81*ROUNDUP(BL81/10,0)+1,
IF($BC81=Lookup!$A$3,($BD81+1)^BK81,
IF($BC81=Lookup!$A$4,BL81*$BD81+1,"Error")))</f>
        <v>1</v>
      </c>
      <c r="BU81" s="320"/>
      <c r="BV81" s="321"/>
      <c r="BW81" s="321"/>
      <c r="BX81" s="321"/>
      <c r="BY81" s="321"/>
      <c r="BZ81" s="321"/>
      <c r="CA81" s="321"/>
      <c r="CB81" s="277"/>
      <c r="CC81" s="382" t="s">
        <v>293</v>
      </c>
      <c r="CD81" s="383">
        <f>HLOOKUP($CC81,$AK$6:$AM$132,ROWS(CD$6:CD81),0)</f>
        <v>0</v>
      </c>
      <c r="CE81" s="234">
        <f t="shared" si="103"/>
        <v>0</v>
      </c>
      <c r="CF81" s="96">
        <f t="shared" si="103"/>
        <v>0</v>
      </c>
      <c r="CG81" s="96">
        <f t="shared" si="103"/>
        <v>0</v>
      </c>
      <c r="CH81" s="96">
        <f t="shared" si="103"/>
        <v>0</v>
      </c>
      <c r="CI81" s="96">
        <f t="shared" si="64"/>
        <v>0</v>
      </c>
      <c r="CJ81" s="96">
        <f t="shared" si="64"/>
        <v>0</v>
      </c>
      <c r="CK81" s="96">
        <f t="shared" si="64"/>
        <v>0</v>
      </c>
      <c r="CL81" s="286">
        <f t="shared" si="64"/>
        <v>0</v>
      </c>
      <c r="CM81" s="305" t="s">
        <v>293</v>
      </c>
      <c r="CN81" s="315">
        <v>0.05</v>
      </c>
      <c r="CO81" s="306"/>
      <c r="CP81" s="307" t="str">
        <f>IF($CO81&lt;&gt;"",$CO81,HLOOKUP($CM81,$AY$6:$BA$132,ROWS(CP$6:CP81),0))</f>
        <v/>
      </c>
      <c r="CQ81" s="784" t="str">
        <f t="shared" si="100"/>
        <v/>
      </c>
      <c r="CR81" s="784" t="str">
        <f t="shared" si="100"/>
        <v/>
      </c>
      <c r="CS81" s="97" t="str">
        <f t="shared" si="100"/>
        <v/>
      </c>
      <c r="CT81" s="97" t="str">
        <f t="shared" si="100"/>
        <v/>
      </c>
      <c r="CU81" s="97" t="str">
        <f t="shared" si="100"/>
        <v/>
      </c>
      <c r="CV81" s="97" t="str">
        <f t="shared" si="100"/>
        <v/>
      </c>
      <c r="CW81" s="97" t="str">
        <f t="shared" si="100"/>
        <v/>
      </c>
      <c r="CX81" s="98" t="str">
        <f t="shared" si="46"/>
        <v/>
      </c>
      <c r="CY81" s="392"/>
    </row>
    <row r="82" spans="1:103" x14ac:dyDescent="0.25">
      <c r="A82" s="81" t="s">
        <v>138</v>
      </c>
      <c r="B82" s="82" t="s">
        <v>167</v>
      </c>
      <c r="C82" s="83" t="s">
        <v>372</v>
      </c>
      <c r="D82" s="84"/>
      <c r="E82" s="85"/>
      <c r="F82" s="85"/>
      <c r="G82" s="85"/>
      <c r="H82" s="85"/>
      <c r="I82" s="85">
        <v>0</v>
      </c>
      <c r="J82" s="85">
        <v>0</v>
      </c>
      <c r="K82" s="85">
        <v>0</v>
      </c>
      <c r="L82" s="85">
        <v>0</v>
      </c>
      <c r="M82" s="654">
        <f>'2022-23 Input'!D82</f>
        <v>0</v>
      </c>
      <c r="N82" s="1065">
        <v>0</v>
      </c>
      <c r="O82" s="560">
        <f t="shared" si="101"/>
        <v>0</v>
      </c>
      <c r="P82" s="561">
        <f t="shared" si="75"/>
        <v>0</v>
      </c>
      <c r="Q82" s="561">
        <f t="shared" si="76"/>
        <v>0</v>
      </c>
      <c r="R82" s="561">
        <f t="shared" si="77"/>
        <v>0</v>
      </c>
      <c r="S82" s="561">
        <f t="shared" si="78"/>
        <v>0</v>
      </c>
      <c r="T82" s="561">
        <f t="shared" si="79"/>
        <v>0</v>
      </c>
      <c r="U82" s="561">
        <f t="shared" si="80"/>
        <v>0</v>
      </c>
      <c r="V82" s="561">
        <f t="shared" si="81"/>
        <v>0</v>
      </c>
      <c r="W82" s="675">
        <f t="shared" si="82"/>
        <v>0</v>
      </c>
      <c r="X82" s="675">
        <f t="shared" si="83"/>
        <v>0</v>
      </c>
      <c r="Y82" s="675">
        <f t="shared" si="83"/>
        <v>0</v>
      </c>
      <c r="Z82" s="86"/>
      <c r="AA82" s="87"/>
      <c r="AB82" s="87"/>
      <c r="AC82" s="87"/>
      <c r="AD82" s="87"/>
      <c r="AE82" s="87">
        <v>0</v>
      </c>
      <c r="AF82" s="87">
        <v>0</v>
      </c>
      <c r="AG82" s="87">
        <v>0</v>
      </c>
      <c r="AH82" s="87">
        <v>0</v>
      </c>
      <c r="AI82" s="1094">
        <f>'2022-23 Input'!K82</f>
        <v>0</v>
      </c>
      <c r="AJ82" s="665">
        <v>0</v>
      </c>
      <c r="AK82" s="88">
        <f t="shared" si="84"/>
        <v>0</v>
      </c>
      <c r="AL82" s="89">
        <f t="shared" si="85"/>
        <v>0</v>
      </c>
      <c r="AM82" s="90">
        <f t="shared" si="86"/>
        <v>0</v>
      </c>
      <c r="AN82" s="91" t="str">
        <f t="shared" si="87"/>
        <v/>
      </c>
      <c r="AO82" s="92" t="str">
        <f t="shared" si="88"/>
        <v/>
      </c>
      <c r="AP82" s="92" t="str">
        <f t="shared" si="89"/>
        <v/>
      </c>
      <c r="AQ82" s="92" t="str">
        <f t="shared" si="90"/>
        <v/>
      </c>
      <c r="AR82" s="92" t="str">
        <f t="shared" si="91"/>
        <v/>
      </c>
      <c r="AS82" s="92" t="str">
        <f t="shared" si="92"/>
        <v/>
      </c>
      <c r="AT82" s="92" t="str">
        <f t="shared" si="93"/>
        <v/>
      </c>
      <c r="AU82" s="92" t="str">
        <f t="shared" si="94"/>
        <v/>
      </c>
      <c r="AV82" s="92" t="str">
        <f t="shared" si="95"/>
        <v/>
      </c>
      <c r="AW82" s="92" t="str">
        <f t="shared" si="95"/>
        <v/>
      </c>
      <c r="AX82" s="92" t="str">
        <f t="shared" si="95"/>
        <v/>
      </c>
      <c r="AY82" s="93" t="str">
        <f t="shared" si="96"/>
        <v/>
      </c>
      <c r="AZ82" s="94" t="str">
        <f t="shared" si="97"/>
        <v/>
      </c>
      <c r="BA82" s="95" t="str">
        <f t="shared" si="98"/>
        <v/>
      </c>
      <c r="BB82" s="248" t="s">
        <v>422</v>
      </c>
      <c r="BC82" s="229" t="s">
        <v>433</v>
      </c>
      <c r="BD82" s="249">
        <v>0</v>
      </c>
      <c r="BE82" s="267">
        <f t="shared" si="102"/>
        <v>0</v>
      </c>
      <c r="BF82" s="268">
        <f t="shared" si="99"/>
        <v>0</v>
      </c>
      <c r="BG82" s="268">
        <f t="shared" si="99"/>
        <v>0</v>
      </c>
      <c r="BH82" s="268">
        <f t="shared" si="99"/>
        <v>1</v>
      </c>
      <c r="BI82" s="268">
        <f t="shared" si="99"/>
        <v>2</v>
      </c>
      <c r="BJ82" s="268">
        <f t="shared" si="99"/>
        <v>3</v>
      </c>
      <c r="BK82" s="268">
        <f t="shared" si="99"/>
        <v>4</v>
      </c>
      <c r="BL82" s="269">
        <f t="shared" si="99"/>
        <v>5</v>
      </c>
      <c r="BM82" s="256">
        <f>IF($BC82=Lookup!$A$2,$BD82*ROUNDUP(BE82/10,0)+1,
IF($BC82=Lookup!$A$3,($BD82+1)^BD82,
IF($BC82=Lookup!$A$4,BE82*$BD82+1,"Error")))</f>
        <v>1</v>
      </c>
      <c r="BN82" s="229">
        <f>IF($BC82=Lookup!$A$2,$BD82*ROUNDUP(BF82/10,0)+1,
IF($BC82=Lookup!$A$3,($BD82+1)^BE82,
IF($BC82=Lookup!$A$4,BF82*$BD82+1,"Error")))</f>
        <v>1</v>
      </c>
      <c r="BO82" s="229">
        <f>IF($BC82=Lookup!$A$2,$BD82*ROUNDUP(BG82/10,0)+1,
IF($BC82=Lookup!$A$3,($BD82+1)^BF82,
IF($BC82=Lookup!$A$4,BG82*$BD82+1,"Error")))</f>
        <v>1</v>
      </c>
      <c r="BP82" s="229">
        <f>IF($BC82=Lookup!$A$2,$BD82*ROUNDUP(BH82/10,0)+1,
IF($BC82=Lookup!$A$3,($BD82+1)^BG82,
IF($BC82=Lookup!$A$4,BH82*$BD82+1,"Error")))</f>
        <v>1</v>
      </c>
      <c r="BQ82" s="229">
        <f>IF($BC82=Lookup!$A$2,$BD82*ROUNDUP(BI82/10,0)+1,
IF($BC82=Lookup!$A$3,($BD82+1)^BH82,
IF($BC82=Lookup!$A$4,BI82*$BD82+1,"Error")))</f>
        <v>1</v>
      </c>
      <c r="BR82" s="229">
        <f>IF($BC82=Lookup!$A$2,$BD82*ROUNDUP(BJ82/10,0)+1,
IF($BC82=Lookup!$A$3,($BD82+1)^BI82,
IF($BC82=Lookup!$A$4,BJ82*$BD82+1,"Error")))</f>
        <v>1</v>
      </c>
      <c r="BS82" s="229">
        <f>IF($BC82=Lookup!$A$2,$BD82*ROUNDUP(BK82/10,0)+1,
IF($BC82=Lookup!$A$3,($BD82+1)^BJ82,
IF($BC82=Lookup!$A$4,BK82*$BD82+1,"Error")))</f>
        <v>1</v>
      </c>
      <c r="BT82" s="249">
        <f>IF($BC82=Lookup!$A$2,$BD82*ROUNDUP(BL82/10,0)+1,
IF($BC82=Lookup!$A$3,($BD82+1)^BK82,
IF($BC82=Lookup!$A$4,BL82*$BD82+1,"Error")))</f>
        <v>1</v>
      </c>
      <c r="BU82" s="320"/>
      <c r="BV82" s="321"/>
      <c r="BW82" s="321"/>
      <c r="BX82" s="321"/>
      <c r="BY82" s="321"/>
      <c r="BZ82" s="321"/>
      <c r="CA82" s="321"/>
      <c r="CB82" s="277"/>
      <c r="CC82" s="382" t="s">
        <v>293</v>
      </c>
      <c r="CD82" s="383">
        <f>HLOOKUP($CC82,$AK$6:$AM$132,ROWS(CD$6:CD82),0)</f>
        <v>0</v>
      </c>
      <c r="CE82" s="234">
        <f t="shared" si="103"/>
        <v>0</v>
      </c>
      <c r="CF82" s="96">
        <f t="shared" si="103"/>
        <v>0</v>
      </c>
      <c r="CG82" s="96">
        <f t="shared" si="103"/>
        <v>0</v>
      </c>
      <c r="CH82" s="96">
        <f t="shared" si="103"/>
        <v>0</v>
      </c>
      <c r="CI82" s="96">
        <f t="shared" si="64"/>
        <v>0</v>
      </c>
      <c r="CJ82" s="96">
        <f t="shared" si="64"/>
        <v>0</v>
      </c>
      <c r="CK82" s="96">
        <f t="shared" si="64"/>
        <v>0</v>
      </c>
      <c r="CL82" s="286">
        <f t="shared" si="64"/>
        <v>0</v>
      </c>
      <c r="CM82" s="305" t="s">
        <v>293</v>
      </c>
      <c r="CN82" s="315">
        <v>0.05</v>
      </c>
      <c r="CO82" s="306"/>
      <c r="CP82" s="307" t="str">
        <f>IF($CO82&lt;&gt;"",$CO82,HLOOKUP($CM82,$AY$6:$BA$132,ROWS(CP$6:CP82),0))</f>
        <v/>
      </c>
      <c r="CQ82" s="784" t="str">
        <f t="shared" si="100"/>
        <v/>
      </c>
      <c r="CR82" s="784" t="str">
        <f t="shared" si="100"/>
        <v/>
      </c>
      <c r="CS82" s="97" t="str">
        <f t="shared" si="100"/>
        <v/>
      </c>
      <c r="CT82" s="97" t="str">
        <f t="shared" si="100"/>
        <v/>
      </c>
      <c r="CU82" s="97" t="str">
        <f t="shared" si="100"/>
        <v/>
      </c>
      <c r="CV82" s="97" t="str">
        <f t="shared" si="100"/>
        <v/>
      </c>
      <c r="CW82" s="97" t="str">
        <f t="shared" si="100"/>
        <v/>
      </c>
      <c r="CX82" s="98" t="str">
        <f t="shared" si="46"/>
        <v/>
      </c>
      <c r="CY82" s="392"/>
    </row>
    <row r="83" spans="1:103" x14ac:dyDescent="0.25">
      <c r="A83" s="81" t="s">
        <v>138</v>
      </c>
      <c r="B83" s="82" t="s">
        <v>169</v>
      </c>
      <c r="C83" s="83" t="s">
        <v>373</v>
      </c>
      <c r="D83" s="84"/>
      <c r="E83" s="85"/>
      <c r="F83" s="85"/>
      <c r="G83" s="85"/>
      <c r="H83" s="85"/>
      <c r="I83" s="85">
        <v>0</v>
      </c>
      <c r="J83" s="85">
        <v>0</v>
      </c>
      <c r="K83" s="85">
        <v>0</v>
      </c>
      <c r="L83" s="85">
        <v>0</v>
      </c>
      <c r="M83" s="654">
        <f>'2022-23 Input'!D83</f>
        <v>0</v>
      </c>
      <c r="N83" s="1065">
        <v>0</v>
      </c>
      <c r="O83" s="560">
        <f t="shared" si="101"/>
        <v>0</v>
      </c>
      <c r="P83" s="561">
        <f t="shared" si="75"/>
        <v>0</v>
      </c>
      <c r="Q83" s="561">
        <f t="shared" si="76"/>
        <v>0</v>
      </c>
      <c r="R83" s="561">
        <f t="shared" si="77"/>
        <v>0</v>
      </c>
      <c r="S83" s="561">
        <f t="shared" si="78"/>
        <v>0</v>
      </c>
      <c r="T83" s="561">
        <f t="shared" si="79"/>
        <v>0</v>
      </c>
      <c r="U83" s="561">
        <f t="shared" si="80"/>
        <v>0</v>
      </c>
      <c r="V83" s="561">
        <f t="shared" si="81"/>
        <v>0</v>
      </c>
      <c r="W83" s="675">
        <f t="shared" si="82"/>
        <v>0</v>
      </c>
      <c r="X83" s="675">
        <f t="shared" si="83"/>
        <v>0</v>
      </c>
      <c r="Y83" s="675">
        <f t="shared" si="83"/>
        <v>0</v>
      </c>
      <c r="Z83" s="86"/>
      <c r="AA83" s="87"/>
      <c r="AB83" s="87"/>
      <c r="AC83" s="87"/>
      <c r="AD83" s="87"/>
      <c r="AE83" s="87">
        <v>0</v>
      </c>
      <c r="AF83" s="87">
        <v>0</v>
      </c>
      <c r="AG83" s="87">
        <v>0</v>
      </c>
      <c r="AH83" s="87">
        <v>0</v>
      </c>
      <c r="AI83" s="1094">
        <f>'2022-23 Input'!K83</f>
        <v>0</v>
      </c>
      <c r="AJ83" s="665">
        <v>0</v>
      </c>
      <c r="AK83" s="88">
        <f t="shared" si="84"/>
        <v>0</v>
      </c>
      <c r="AL83" s="89">
        <f t="shared" si="85"/>
        <v>0</v>
      </c>
      <c r="AM83" s="90">
        <f t="shared" si="86"/>
        <v>0</v>
      </c>
      <c r="AN83" s="91" t="str">
        <f t="shared" si="87"/>
        <v/>
      </c>
      <c r="AO83" s="92" t="str">
        <f t="shared" si="88"/>
        <v/>
      </c>
      <c r="AP83" s="92" t="str">
        <f t="shared" si="89"/>
        <v/>
      </c>
      <c r="AQ83" s="92" t="str">
        <f t="shared" si="90"/>
        <v/>
      </c>
      <c r="AR83" s="92" t="str">
        <f t="shared" si="91"/>
        <v/>
      </c>
      <c r="AS83" s="92" t="str">
        <f t="shared" si="92"/>
        <v/>
      </c>
      <c r="AT83" s="92" t="str">
        <f t="shared" si="93"/>
        <v/>
      </c>
      <c r="AU83" s="92" t="str">
        <f t="shared" si="94"/>
        <v/>
      </c>
      <c r="AV83" s="92" t="str">
        <f t="shared" si="95"/>
        <v/>
      </c>
      <c r="AW83" s="92" t="str">
        <f t="shared" si="95"/>
        <v/>
      </c>
      <c r="AX83" s="92" t="str">
        <f t="shared" si="95"/>
        <v/>
      </c>
      <c r="AY83" s="93" t="str">
        <f t="shared" si="96"/>
        <v/>
      </c>
      <c r="AZ83" s="94" t="str">
        <f t="shared" si="97"/>
        <v/>
      </c>
      <c r="BA83" s="95" t="str">
        <f t="shared" si="98"/>
        <v/>
      </c>
      <c r="BB83" s="248" t="s">
        <v>422</v>
      </c>
      <c r="BC83" s="229" t="s">
        <v>433</v>
      </c>
      <c r="BD83" s="249">
        <v>0</v>
      </c>
      <c r="BE83" s="267">
        <f t="shared" si="102"/>
        <v>0</v>
      </c>
      <c r="BF83" s="268">
        <f t="shared" si="99"/>
        <v>0</v>
      </c>
      <c r="BG83" s="268">
        <f t="shared" si="99"/>
        <v>0</v>
      </c>
      <c r="BH83" s="268">
        <f t="shared" si="99"/>
        <v>1</v>
      </c>
      <c r="BI83" s="268">
        <f t="shared" si="99"/>
        <v>2</v>
      </c>
      <c r="BJ83" s="268">
        <f t="shared" si="99"/>
        <v>3</v>
      </c>
      <c r="BK83" s="268">
        <f t="shared" si="99"/>
        <v>4</v>
      </c>
      <c r="BL83" s="269">
        <f t="shared" si="99"/>
        <v>5</v>
      </c>
      <c r="BM83" s="256">
        <f>IF($BC83=Lookup!$A$2,$BD83*ROUNDUP(BE83/10,0)+1,
IF($BC83=Lookup!$A$3,($BD83+1)^BD83,
IF($BC83=Lookup!$A$4,BE83*$BD83+1,"Error")))</f>
        <v>1</v>
      </c>
      <c r="BN83" s="229">
        <f>IF($BC83=Lookup!$A$2,$BD83*ROUNDUP(BF83/10,0)+1,
IF($BC83=Lookup!$A$3,($BD83+1)^BE83,
IF($BC83=Lookup!$A$4,BF83*$BD83+1,"Error")))</f>
        <v>1</v>
      </c>
      <c r="BO83" s="229">
        <f>IF($BC83=Lookup!$A$2,$BD83*ROUNDUP(BG83/10,0)+1,
IF($BC83=Lookup!$A$3,($BD83+1)^BF83,
IF($BC83=Lookup!$A$4,BG83*$BD83+1,"Error")))</f>
        <v>1</v>
      </c>
      <c r="BP83" s="229">
        <f>IF($BC83=Lookup!$A$2,$BD83*ROUNDUP(BH83/10,0)+1,
IF($BC83=Lookup!$A$3,($BD83+1)^BG83,
IF($BC83=Lookup!$A$4,BH83*$BD83+1,"Error")))</f>
        <v>1</v>
      </c>
      <c r="BQ83" s="229">
        <f>IF($BC83=Lookup!$A$2,$BD83*ROUNDUP(BI83/10,0)+1,
IF($BC83=Lookup!$A$3,($BD83+1)^BH83,
IF($BC83=Lookup!$A$4,BI83*$BD83+1,"Error")))</f>
        <v>1</v>
      </c>
      <c r="BR83" s="229">
        <f>IF($BC83=Lookup!$A$2,$BD83*ROUNDUP(BJ83/10,0)+1,
IF($BC83=Lookup!$A$3,($BD83+1)^BI83,
IF($BC83=Lookup!$A$4,BJ83*$BD83+1,"Error")))</f>
        <v>1</v>
      </c>
      <c r="BS83" s="229">
        <f>IF($BC83=Lookup!$A$2,$BD83*ROUNDUP(BK83/10,0)+1,
IF($BC83=Lookup!$A$3,($BD83+1)^BJ83,
IF($BC83=Lookup!$A$4,BK83*$BD83+1,"Error")))</f>
        <v>1</v>
      </c>
      <c r="BT83" s="249">
        <f>IF($BC83=Lookup!$A$2,$BD83*ROUNDUP(BL83/10,0)+1,
IF($BC83=Lookup!$A$3,($BD83+1)^BK83,
IF($BC83=Lookup!$A$4,BL83*$BD83+1,"Error")))</f>
        <v>1</v>
      </c>
      <c r="BU83" s="320"/>
      <c r="BV83" s="321"/>
      <c r="BW83" s="321"/>
      <c r="BX83" s="321"/>
      <c r="BY83" s="321"/>
      <c r="BZ83" s="321"/>
      <c r="CA83" s="321"/>
      <c r="CB83" s="277"/>
      <c r="CC83" s="382" t="s">
        <v>293</v>
      </c>
      <c r="CD83" s="383">
        <f>HLOOKUP($CC83,$AK$6:$AM$132,ROWS(CD$6:CD83),0)</f>
        <v>0</v>
      </c>
      <c r="CE83" s="234">
        <f t="shared" si="103"/>
        <v>0</v>
      </c>
      <c r="CF83" s="96">
        <f t="shared" si="103"/>
        <v>0</v>
      </c>
      <c r="CG83" s="96">
        <f t="shared" si="103"/>
        <v>0</v>
      </c>
      <c r="CH83" s="96">
        <f t="shared" si="103"/>
        <v>0</v>
      </c>
      <c r="CI83" s="96">
        <f t="shared" si="64"/>
        <v>0</v>
      </c>
      <c r="CJ83" s="96">
        <f t="shared" si="64"/>
        <v>0</v>
      </c>
      <c r="CK83" s="96">
        <f t="shared" si="64"/>
        <v>0</v>
      </c>
      <c r="CL83" s="286">
        <f t="shared" si="64"/>
        <v>0</v>
      </c>
      <c r="CM83" s="305" t="s">
        <v>293</v>
      </c>
      <c r="CN83" s="315">
        <v>0.05</v>
      </c>
      <c r="CO83" s="306"/>
      <c r="CP83" s="307" t="str">
        <f>IF($CO83&lt;&gt;"",$CO83,HLOOKUP($CM83,$AY$6:$BA$132,ROWS(CP$6:CP83),0))</f>
        <v/>
      </c>
      <c r="CQ83" s="784" t="str">
        <f t="shared" si="100"/>
        <v/>
      </c>
      <c r="CR83" s="784" t="str">
        <f t="shared" si="100"/>
        <v/>
      </c>
      <c r="CS83" s="97" t="str">
        <f t="shared" si="100"/>
        <v/>
      </c>
      <c r="CT83" s="97" t="str">
        <f t="shared" si="100"/>
        <v/>
      </c>
      <c r="CU83" s="97" t="str">
        <f t="shared" si="100"/>
        <v/>
      </c>
      <c r="CV83" s="97" t="str">
        <f t="shared" si="100"/>
        <v/>
      </c>
      <c r="CW83" s="97" t="str">
        <f t="shared" si="100"/>
        <v/>
      </c>
      <c r="CX83" s="98" t="str">
        <f t="shared" si="46"/>
        <v/>
      </c>
      <c r="CY83" s="392"/>
    </row>
    <row r="84" spans="1:103" x14ac:dyDescent="0.25">
      <c r="A84" s="81" t="s">
        <v>138</v>
      </c>
      <c r="B84" s="82" t="s">
        <v>171</v>
      </c>
      <c r="C84" s="83" t="s">
        <v>374</v>
      </c>
      <c r="D84" s="84"/>
      <c r="E84" s="85"/>
      <c r="F84" s="85"/>
      <c r="G84" s="85"/>
      <c r="H84" s="85"/>
      <c r="I84" s="85">
        <v>0</v>
      </c>
      <c r="J84" s="85">
        <v>0</v>
      </c>
      <c r="K84" s="85">
        <v>0</v>
      </c>
      <c r="L84" s="85">
        <v>0</v>
      </c>
      <c r="M84" s="654">
        <f>'2022-23 Input'!D84</f>
        <v>0</v>
      </c>
      <c r="N84" s="1065">
        <v>0</v>
      </c>
      <c r="O84" s="560">
        <f t="shared" si="101"/>
        <v>0</v>
      </c>
      <c r="P84" s="561">
        <f t="shared" si="75"/>
        <v>0</v>
      </c>
      <c r="Q84" s="561">
        <f t="shared" si="76"/>
        <v>0</v>
      </c>
      <c r="R84" s="561">
        <f t="shared" si="77"/>
        <v>0</v>
      </c>
      <c r="S84" s="561">
        <f t="shared" si="78"/>
        <v>0</v>
      </c>
      <c r="T84" s="561">
        <f t="shared" si="79"/>
        <v>0</v>
      </c>
      <c r="U84" s="561">
        <f t="shared" si="80"/>
        <v>0</v>
      </c>
      <c r="V84" s="561">
        <f t="shared" si="81"/>
        <v>0</v>
      </c>
      <c r="W84" s="675">
        <f t="shared" si="82"/>
        <v>0</v>
      </c>
      <c r="X84" s="675">
        <f t="shared" si="83"/>
        <v>0</v>
      </c>
      <c r="Y84" s="675">
        <f t="shared" si="83"/>
        <v>0</v>
      </c>
      <c r="Z84" s="86"/>
      <c r="AA84" s="87"/>
      <c r="AB84" s="87"/>
      <c r="AC84" s="87"/>
      <c r="AD84" s="87"/>
      <c r="AE84" s="87">
        <v>0</v>
      </c>
      <c r="AF84" s="87">
        <v>0</v>
      </c>
      <c r="AG84" s="87">
        <v>0</v>
      </c>
      <c r="AH84" s="87">
        <v>0</v>
      </c>
      <c r="AI84" s="1094">
        <f>'2022-23 Input'!K84</f>
        <v>0</v>
      </c>
      <c r="AJ84" s="665">
        <v>0</v>
      </c>
      <c r="AK84" s="88">
        <f t="shared" si="84"/>
        <v>0</v>
      </c>
      <c r="AL84" s="89">
        <f t="shared" si="85"/>
        <v>0</v>
      </c>
      <c r="AM84" s="90">
        <f t="shared" si="86"/>
        <v>0</v>
      </c>
      <c r="AN84" s="91" t="str">
        <f t="shared" si="87"/>
        <v/>
      </c>
      <c r="AO84" s="92" t="str">
        <f t="shared" si="88"/>
        <v/>
      </c>
      <c r="AP84" s="92" t="str">
        <f t="shared" si="89"/>
        <v/>
      </c>
      <c r="AQ84" s="92" t="str">
        <f t="shared" si="90"/>
        <v/>
      </c>
      <c r="AR84" s="92" t="str">
        <f t="shared" si="91"/>
        <v/>
      </c>
      <c r="AS84" s="92" t="str">
        <f t="shared" si="92"/>
        <v/>
      </c>
      <c r="AT84" s="92" t="str">
        <f t="shared" si="93"/>
        <v/>
      </c>
      <c r="AU84" s="92" t="str">
        <f t="shared" si="94"/>
        <v/>
      </c>
      <c r="AV84" s="92" t="str">
        <f t="shared" si="95"/>
        <v/>
      </c>
      <c r="AW84" s="92" t="str">
        <f t="shared" si="95"/>
        <v/>
      </c>
      <c r="AX84" s="92" t="str">
        <f t="shared" si="95"/>
        <v/>
      </c>
      <c r="AY84" s="93" t="str">
        <f t="shared" si="96"/>
        <v/>
      </c>
      <c r="AZ84" s="94" t="str">
        <f t="shared" si="97"/>
        <v/>
      </c>
      <c r="BA84" s="95" t="str">
        <f t="shared" si="98"/>
        <v/>
      </c>
      <c r="BB84" s="248" t="s">
        <v>422</v>
      </c>
      <c r="BC84" s="229" t="s">
        <v>433</v>
      </c>
      <c r="BD84" s="249">
        <v>0</v>
      </c>
      <c r="BE84" s="267">
        <f t="shared" si="102"/>
        <v>0</v>
      </c>
      <c r="BF84" s="268">
        <f t="shared" si="99"/>
        <v>0</v>
      </c>
      <c r="BG84" s="268">
        <f t="shared" si="99"/>
        <v>0</v>
      </c>
      <c r="BH84" s="268">
        <f t="shared" si="99"/>
        <v>1</v>
      </c>
      <c r="BI84" s="268">
        <f t="shared" si="99"/>
        <v>2</v>
      </c>
      <c r="BJ84" s="268">
        <f t="shared" si="99"/>
        <v>3</v>
      </c>
      <c r="BK84" s="268">
        <f t="shared" si="99"/>
        <v>4</v>
      </c>
      <c r="BL84" s="269">
        <f t="shared" si="99"/>
        <v>5</v>
      </c>
      <c r="BM84" s="256">
        <f>IF($BC84=Lookup!$A$2,$BD84*ROUNDUP(BE84/10,0)+1,
IF($BC84=Lookup!$A$3,($BD84+1)^BD84,
IF($BC84=Lookup!$A$4,BE84*$BD84+1,"Error")))</f>
        <v>1</v>
      </c>
      <c r="BN84" s="229">
        <f>IF($BC84=Lookup!$A$2,$BD84*ROUNDUP(BF84/10,0)+1,
IF($BC84=Lookup!$A$3,($BD84+1)^BE84,
IF($BC84=Lookup!$A$4,BF84*$BD84+1,"Error")))</f>
        <v>1</v>
      </c>
      <c r="BO84" s="229">
        <f>IF($BC84=Lookup!$A$2,$BD84*ROUNDUP(BG84/10,0)+1,
IF($BC84=Lookup!$A$3,($BD84+1)^BF84,
IF($BC84=Lookup!$A$4,BG84*$BD84+1,"Error")))</f>
        <v>1</v>
      </c>
      <c r="BP84" s="229">
        <f>IF($BC84=Lookup!$A$2,$BD84*ROUNDUP(BH84/10,0)+1,
IF($BC84=Lookup!$A$3,($BD84+1)^BG84,
IF($BC84=Lookup!$A$4,BH84*$BD84+1,"Error")))</f>
        <v>1</v>
      </c>
      <c r="BQ84" s="229">
        <f>IF($BC84=Lookup!$A$2,$BD84*ROUNDUP(BI84/10,0)+1,
IF($BC84=Lookup!$A$3,($BD84+1)^BH84,
IF($BC84=Lookup!$A$4,BI84*$BD84+1,"Error")))</f>
        <v>1</v>
      </c>
      <c r="BR84" s="229">
        <f>IF($BC84=Lookup!$A$2,$BD84*ROUNDUP(BJ84/10,0)+1,
IF($BC84=Lookup!$A$3,($BD84+1)^BI84,
IF($BC84=Lookup!$A$4,BJ84*$BD84+1,"Error")))</f>
        <v>1</v>
      </c>
      <c r="BS84" s="229">
        <f>IF($BC84=Lookup!$A$2,$BD84*ROUNDUP(BK84/10,0)+1,
IF($BC84=Lookup!$A$3,($BD84+1)^BJ84,
IF($BC84=Lookup!$A$4,BK84*$BD84+1,"Error")))</f>
        <v>1</v>
      </c>
      <c r="BT84" s="249">
        <f>IF($BC84=Lookup!$A$2,$BD84*ROUNDUP(BL84/10,0)+1,
IF($BC84=Lookup!$A$3,($BD84+1)^BK84,
IF($BC84=Lookup!$A$4,BL84*$BD84+1,"Error")))</f>
        <v>1</v>
      </c>
      <c r="BU84" s="320"/>
      <c r="BV84" s="321"/>
      <c r="BW84" s="321"/>
      <c r="BX84" s="321"/>
      <c r="BY84" s="321"/>
      <c r="BZ84" s="321"/>
      <c r="CA84" s="321"/>
      <c r="CB84" s="277"/>
      <c r="CC84" s="382" t="s">
        <v>293</v>
      </c>
      <c r="CD84" s="383">
        <f>HLOOKUP($CC84,$AK$6:$AM$132,ROWS(CD$6:CD84),0)</f>
        <v>0</v>
      </c>
      <c r="CE84" s="234">
        <f t="shared" si="103"/>
        <v>0</v>
      </c>
      <c r="CF84" s="96">
        <f t="shared" si="103"/>
        <v>0</v>
      </c>
      <c r="CG84" s="96">
        <f t="shared" si="103"/>
        <v>0</v>
      </c>
      <c r="CH84" s="96">
        <f t="shared" si="103"/>
        <v>0</v>
      </c>
      <c r="CI84" s="96">
        <f t="shared" si="64"/>
        <v>0</v>
      </c>
      <c r="CJ84" s="96">
        <f t="shared" si="64"/>
        <v>0</v>
      </c>
      <c r="CK84" s="96">
        <f t="shared" si="64"/>
        <v>0</v>
      </c>
      <c r="CL84" s="286">
        <f t="shared" si="64"/>
        <v>0</v>
      </c>
      <c r="CM84" s="305" t="s">
        <v>293</v>
      </c>
      <c r="CN84" s="315">
        <v>0.05</v>
      </c>
      <c r="CO84" s="306"/>
      <c r="CP84" s="307" t="str">
        <f>IF($CO84&lt;&gt;"",$CO84,HLOOKUP($CM84,$AY$6:$BA$132,ROWS(CP$6:CP84),0))</f>
        <v/>
      </c>
      <c r="CQ84" s="784" t="str">
        <f t="shared" si="100"/>
        <v/>
      </c>
      <c r="CR84" s="784" t="str">
        <f t="shared" si="100"/>
        <v/>
      </c>
      <c r="CS84" s="97" t="str">
        <f t="shared" si="100"/>
        <v/>
      </c>
      <c r="CT84" s="97" t="str">
        <f t="shared" si="100"/>
        <v/>
      </c>
      <c r="CU84" s="97" t="str">
        <f t="shared" si="100"/>
        <v/>
      </c>
      <c r="CV84" s="97" t="str">
        <f t="shared" si="100"/>
        <v/>
      </c>
      <c r="CW84" s="97" t="str">
        <f t="shared" si="100"/>
        <v/>
      </c>
      <c r="CX84" s="98" t="str">
        <f t="shared" si="46"/>
        <v/>
      </c>
      <c r="CY84" s="392"/>
    </row>
    <row r="85" spans="1:103" x14ac:dyDescent="0.25">
      <c r="A85" s="81" t="s">
        <v>138</v>
      </c>
      <c r="B85" s="82" t="s">
        <v>173</v>
      </c>
      <c r="C85" s="83" t="s">
        <v>375</v>
      </c>
      <c r="D85" s="84"/>
      <c r="E85" s="85"/>
      <c r="F85" s="85"/>
      <c r="G85" s="85"/>
      <c r="H85" s="85"/>
      <c r="I85" s="85">
        <v>0</v>
      </c>
      <c r="J85" s="85">
        <v>0</v>
      </c>
      <c r="K85" s="85">
        <v>0</v>
      </c>
      <c r="L85" s="85">
        <v>0</v>
      </c>
      <c r="M85" s="654">
        <f>'2022-23 Input'!D85</f>
        <v>0</v>
      </c>
      <c r="N85" s="1065">
        <v>0</v>
      </c>
      <c r="O85" s="560">
        <f t="shared" si="101"/>
        <v>0</v>
      </c>
      <c r="P85" s="561">
        <f t="shared" si="75"/>
        <v>0</v>
      </c>
      <c r="Q85" s="561">
        <f t="shared" si="76"/>
        <v>0</v>
      </c>
      <c r="R85" s="561">
        <f t="shared" si="77"/>
        <v>0</v>
      </c>
      <c r="S85" s="561">
        <f t="shared" si="78"/>
        <v>0</v>
      </c>
      <c r="T85" s="561">
        <f t="shared" si="79"/>
        <v>0</v>
      </c>
      <c r="U85" s="561">
        <f t="shared" si="80"/>
        <v>0</v>
      </c>
      <c r="V85" s="561">
        <f t="shared" si="81"/>
        <v>0</v>
      </c>
      <c r="W85" s="675">
        <f t="shared" si="82"/>
        <v>0</v>
      </c>
      <c r="X85" s="675">
        <f t="shared" si="83"/>
        <v>0</v>
      </c>
      <c r="Y85" s="675">
        <f t="shared" si="83"/>
        <v>0</v>
      </c>
      <c r="Z85" s="86"/>
      <c r="AA85" s="87"/>
      <c r="AB85" s="87"/>
      <c r="AC85" s="87"/>
      <c r="AD85" s="87"/>
      <c r="AE85" s="87">
        <v>0</v>
      </c>
      <c r="AF85" s="87">
        <v>0</v>
      </c>
      <c r="AG85" s="87">
        <v>0</v>
      </c>
      <c r="AH85" s="87">
        <v>0</v>
      </c>
      <c r="AI85" s="1094">
        <f>'2022-23 Input'!K85</f>
        <v>0</v>
      </c>
      <c r="AJ85" s="665">
        <v>0</v>
      </c>
      <c r="AK85" s="88">
        <f t="shared" si="84"/>
        <v>0</v>
      </c>
      <c r="AL85" s="89">
        <f t="shared" si="85"/>
        <v>0</v>
      </c>
      <c r="AM85" s="90">
        <f t="shared" si="86"/>
        <v>0</v>
      </c>
      <c r="AN85" s="91" t="str">
        <f t="shared" si="87"/>
        <v/>
      </c>
      <c r="AO85" s="92" t="str">
        <f t="shared" si="88"/>
        <v/>
      </c>
      <c r="AP85" s="92" t="str">
        <f t="shared" si="89"/>
        <v/>
      </c>
      <c r="AQ85" s="92" t="str">
        <f t="shared" si="90"/>
        <v/>
      </c>
      <c r="AR85" s="92" t="str">
        <f t="shared" si="91"/>
        <v/>
      </c>
      <c r="AS85" s="92" t="str">
        <f t="shared" si="92"/>
        <v/>
      </c>
      <c r="AT85" s="92" t="str">
        <f t="shared" si="93"/>
        <v/>
      </c>
      <c r="AU85" s="92" t="str">
        <f t="shared" si="94"/>
        <v/>
      </c>
      <c r="AV85" s="92" t="str">
        <f t="shared" si="95"/>
        <v/>
      </c>
      <c r="AW85" s="92" t="str">
        <f t="shared" si="95"/>
        <v/>
      </c>
      <c r="AX85" s="92" t="str">
        <f t="shared" si="95"/>
        <v/>
      </c>
      <c r="AY85" s="93" t="str">
        <f t="shared" si="96"/>
        <v/>
      </c>
      <c r="AZ85" s="94" t="str">
        <f t="shared" si="97"/>
        <v/>
      </c>
      <c r="BA85" s="95" t="str">
        <f t="shared" si="98"/>
        <v/>
      </c>
      <c r="BB85" s="248" t="s">
        <v>422</v>
      </c>
      <c r="BC85" s="229" t="s">
        <v>433</v>
      </c>
      <c r="BD85" s="249">
        <v>0</v>
      </c>
      <c r="BE85" s="267">
        <f t="shared" si="102"/>
        <v>0</v>
      </c>
      <c r="BF85" s="268">
        <f t="shared" si="99"/>
        <v>0</v>
      </c>
      <c r="BG85" s="268">
        <f t="shared" si="99"/>
        <v>0</v>
      </c>
      <c r="BH85" s="268">
        <f t="shared" si="99"/>
        <v>1</v>
      </c>
      <c r="BI85" s="268">
        <f t="shared" si="99"/>
        <v>2</v>
      </c>
      <c r="BJ85" s="268">
        <f t="shared" si="99"/>
        <v>3</v>
      </c>
      <c r="BK85" s="268">
        <f t="shared" si="99"/>
        <v>4</v>
      </c>
      <c r="BL85" s="269">
        <f t="shared" si="99"/>
        <v>5</v>
      </c>
      <c r="BM85" s="256">
        <f>IF($BC85=Lookup!$A$2,$BD85*ROUNDUP(BE85/10,0)+1,
IF($BC85=Lookup!$A$3,($BD85+1)^BD85,
IF($BC85=Lookup!$A$4,BE85*$BD85+1,"Error")))</f>
        <v>1</v>
      </c>
      <c r="BN85" s="229">
        <f>IF($BC85=Lookup!$A$2,$BD85*ROUNDUP(BF85/10,0)+1,
IF($BC85=Lookup!$A$3,($BD85+1)^BE85,
IF($BC85=Lookup!$A$4,BF85*$BD85+1,"Error")))</f>
        <v>1</v>
      </c>
      <c r="BO85" s="229">
        <f>IF($BC85=Lookup!$A$2,$BD85*ROUNDUP(BG85/10,0)+1,
IF($BC85=Lookup!$A$3,($BD85+1)^BF85,
IF($BC85=Lookup!$A$4,BG85*$BD85+1,"Error")))</f>
        <v>1</v>
      </c>
      <c r="BP85" s="229">
        <f>IF($BC85=Lookup!$A$2,$BD85*ROUNDUP(BH85/10,0)+1,
IF($BC85=Lookup!$A$3,($BD85+1)^BG85,
IF($BC85=Lookup!$A$4,BH85*$BD85+1,"Error")))</f>
        <v>1</v>
      </c>
      <c r="BQ85" s="229">
        <f>IF($BC85=Lookup!$A$2,$BD85*ROUNDUP(BI85/10,0)+1,
IF($BC85=Lookup!$A$3,($BD85+1)^BH85,
IF($BC85=Lookup!$A$4,BI85*$BD85+1,"Error")))</f>
        <v>1</v>
      </c>
      <c r="BR85" s="229">
        <f>IF($BC85=Lookup!$A$2,$BD85*ROUNDUP(BJ85/10,0)+1,
IF($BC85=Lookup!$A$3,($BD85+1)^BI85,
IF($BC85=Lookup!$A$4,BJ85*$BD85+1,"Error")))</f>
        <v>1</v>
      </c>
      <c r="BS85" s="229">
        <f>IF($BC85=Lookup!$A$2,$BD85*ROUNDUP(BK85/10,0)+1,
IF($BC85=Lookup!$A$3,($BD85+1)^BJ85,
IF($BC85=Lookup!$A$4,BK85*$BD85+1,"Error")))</f>
        <v>1</v>
      </c>
      <c r="BT85" s="249">
        <f>IF($BC85=Lookup!$A$2,$BD85*ROUNDUP(BL85/10,0)+1,
IF($BC85=Lookup!$A$3,($BD85+1)^BK85,
IF($BC85=Lookup!$A$4,BL85*$BD85+1,"Error")))</f>
        <v>1</v>
      </c>
      <c r="BU85" s="320"/>
      <c r="BV85" s="321"/>
      <c r="BW85" s="321"/>
      <c r="BX85" s="321"/>
      <c r="BY85" s="321"/>
      <c r="BZ85" s="321"/>
      <c r="CA85" s="321"/>
      <c r="CB85" s="277"/>
      <c r="CC85" s="382" t="s">
        <v>293</v>
      </c>
      <c r="CD85" s="383">
        <f>HLOOKUP($CC85,$AK$6:$AM$132,ROWS(CD$6:CD85),0)</f>
        <v>0</v>
      </c>
      <c r="CE85" s="234">
        <f t="shared" si="103"/>
        <v>0</v>
      </c>
      <c r="CF85" s="96">
        <f t="shared" si="103"/>
        <v>0</v>
      </c>
      <c r="CG85" s="96">
        <f t="shared" si="103"/>
        <v>0</v>
      </c>
      <c r="CH85" s="96">
        <f t="shared" si="103"/>
        <v>0</v>
      </c>
      <c r="CI85" s="96">
        <f t="shared" si="64"/>
        <v>0</v>
      </c>
      <c r="CJ85" s="96">
        <f t="shared" si="64"/>
        <v>0</v>
      </c>
      <c r="CK85" s="96">
        <f t="shared" si="64"/>
        <v>0</v>
      </c>
      <c r="CL85" s="286">
        <f t="shared" si="64"/>
        <v>0</v>
      </c>
      <c r="CM85" s="305" t="s">
        <v>293</v>
      </c>
      <c r="CN85" s="315">
        <v>0.05</v>
      </c>
      <c r="CO85" s="306"/>
      <c r="CP85" s="307" t="str">
        <f>IF($CO85&lt;&gt;"",$CO85,HLOOKUP($CM85,$AY$6:$BA$132,ROWS(CP$6:CP85),0))</f>
        <v/>
      </c>
      <c r="CQ85" s="784" t="str">
        <f t="shared" si="100"/>
        <v/>
      </c>
      <c r="CR85" s="784" t="str">
        <f t="shared" si="100"/>
        <v/>
      </c>
      <c r="CS85" s="97" t="str">
        <f t="shared" si="100"/>
        <v/>
      </c>
      <c r="CT85" s="97" t="str">
        <f t="shared" si="100"/>
        <v/>
      </c>
      <c r="CU85" s="97" t="str">
        <f t="shared" si="100"/>
        <v/>
      </c>
      <c r="CV85" s="97" t="str">
        <f t="shared" si="100"/>
        <v/>
      </c>
      <c r="CW85" s="97" t="str">
        <f t="shared" si="100"/>
        <v/>
      </c>
      <c r="CX85" s="98" t="str">
        <f t="shared" si="46"/>
        <v/>
      </c>
      <c r="CY85" s="392"/>
    </row>
    <row r="86" spans="1:103" x14ac:dyDescent="0.25">
      <c r="A86" s="81" t="s">
        <v>138</v>
      </c>
      <c r="B86" s="82" t="s">
        <v>175</v>
      </c>
      <c r="C86" s="83" t="s">
        <v>376</v>
      </c>
      <c r="D86" s="84"/>
      <c r="E86" s="85"/>
      <c r="F86" s="85"/>
      <c r="G86" s="85"/>
      <c r="H86" s="85"/>
      <c r="I86" s="85">
        <v>0</v>
      </c>
      <c r="J86" s="85">
        <v>0</v>
      </c>
      <c r="K86" s="85">
        <v>0</v>
      </c>
      <c r="L86" s="85">
        <v>0</v>
      </c>
      <c r="M86" s="654">
        <f>'2022-23 Input'!D86</f>
        <v>0</v>
      </c>
      <c r="N86" s="1065">
        <v>0</v>
      </c>
      <c r="O86" s="560">
        <f t="shared" si="101"/>
        <v>0</v>
      </c>
      <c r="P86" s="561">
        <f t="shared" si="75"/>
        <v>0</v>
      </c>
      <c r="Q86" s="561">
        <f t="shared" si="76"/>
        <v>0</v>
      </c>
      <c r="R86" s="561">
        <f t="shared" si="77"/>
        <v>0</v>
      </c>
      <c r="S86" s="561">
        <f t="shared" si="78"/>
        <v>0</v>
      </c>
      <c r="T86" s="561">
        <f t="shared" si="79"/>
        <v>0</v>
      </c>
      <c r="U86" s="561">
        <f t="shared" si="80"/>
        <v>0</v>
      </c>
      <c r="V86" s="561">
        <f t="shared" si="81"/>
        <v>0</v>
      </c>
      <c r="W86" s="675">
        <f t="shared" si="82"/>
        <v>0</v>
      </c>
      <c r="X86" s="675">
        <f t="shared" si="83"/>
        <v>0</v>
      </c>
      <c r="Y86" s="675">
        <f t="shared" si="83"/>
        <v>0</v>
      </c>
      <c r="Z86" s="86"/>
      <c r="AA86" s="87"/>
      <c r="AB86" s="87"/>
      <c r="AC86" s="87"/>
      <c r="AD86" s="87"/>
      <c r="AE86" s="87">
        <v>0</v>
      </c>
      <c r="AF86" s="87">
        <v>0</v>
      </c>
      <c r="AG86" s="87">
        <v>0</v>
      </c>
      <c r="AH86" s="87">
        <v>0</v>
      </c>
      <c r="AI86" s="1094">
        <f>'2022-23 Input'!K86</f>
        <v>0</v>
      </c>
      <c r="AJ86" s="665">
        <v>0</v>
      </c>
      <c r="AK86" s="88">
        <f t="shared" si="84"/>
        <v>0</v>
      </c>
      <c r="AL86" s="89">
        <f t="shared" si="85"/>
        <v>0</v>
      </c>
      <c r="AM86" s="90">
        <f t="shared" si="86"/>
        <v>0</v>
      </c>
      <c r="AN86" s="91" t="str">
        <f t="shared" si="87"/>
        <v/>
      </c>
      <c r="AO86" s="92" t="str">
        <f t="shared" si="88"/>
        <v/>
      </c>
      <c r="AP86" s="92" t="str">
        <f t="shared" si="89"/>
        <v/>
      </c>
      <c r="AQ86" s="92" t="str">
        <f t="shared" si="90"/>
        <v/>
      </c>
      <c r="AR86" s="92" t="str">
        <f t="shared" si="91"/>
        <v/>
      </c>
      <c r="AS86" s="92" t="str">
        <f t="shared" si="92"/>
        <v/>
      </c>
      <c r="AT86" s="92" t="str">
        <f t="shared" si="93"/>
        <v/>
      </c>
      <c r="AU86" s="92" t="str">
        <f t="shared" si="94"/>
        <v/>
      </c>
      <c r="AV86" s="92" t="str">
        <f t="shared" si="95"/>
        <v/>
      </c>
      <c r="AW86" s="92" t="str">
        <f t="shared" si="95"/>
        <v/>
      </c>
      <c r="AX86" s="92" t="str">
        <f t="shared" si="95"/>
        <v/>
      </c>
      <c r="AY86" s="93" t="str">
        <f t="shared" si="96"/>
        <v/>
      </c>
      <c r="AZ86" s="94" t="str">
        <f t="shared" si="97"/>
        <v/>
      </c>
      <c r="BA86" s="95" t="str">
        <f t="shared" si="98"/>
        <v/>
      </c>
      <c r="BB86" s="248" t="s">
        <v>422</v>
      </c>
      <c r="BC86" s="229" t="s">
        <v>433</v>
      </c>
      <c r="BD86" s="249">
        <v>0</v>
      </c>
      <c r="BE86" s="267">
        <f t="shared" si="102"/>
        <v>0</v>
      </c>
      <c r="BF86" s="268">
        <f t="shared" si="99"/>
        <v>0</v>
      </c>
      <c r="BG86" s="268">
        <f t="shared" si="99"/>
        <v>0</v>
      </c>
      <c r="BH86" s="268">
        <f t="shared" si="99"/>
        <v>1</v>
      </c>
      <c r="BI86" s="268">
        <f t="shared" si="99"/>
        <v>2</v>
      </c>
      <c r="BJ86" s="268">
        <f t="shared" si="99"/>
        <v>3</v>
      </c>
      <c r="BK86" s="268">
        <f t="shared" si="99"/>
        <v>4</v>
      </c>
      <c r="BL86" s="269">
        <f t="shared" si="99"/>
        <v>5</v>
      </c>
      <c r="BM86" s="256">
        <f>IF($BC86=Lookup!$A$2,$BD86*ROUNDUP(BE86/10,0)+1,
IF($BC86=Lookup!$A$3,($BD86+1)^BD86,
IF($BC86=Lookup!$A$4,BE86*$BD86+1,"Error")))</f>
        <v>1</v>
      </c>
      <c r="BN86" s="229">
        <f>IF($BC86=Lookup!$A$2,$BD86*ROUNDUP(BF86/10,0)+1,
IF($BC86=Lookup!$A$3,($BD86+1)^BE86,
IF($BC86=Lookup!$A$4,BF86*$BD86+1,"Error")))</f>
        <v>1</v>
      </c>
      <c r="BO86" s="229">
        <f>IF($BC86=Lookup!$A$2,$BD86*ROUNDUP(BG86/10,0)+1,
IF($BC86=Lookup!$A$3,($BD86+1)^BF86,
IF($BC86=Lookup!$A$4,BG86*$BD86+1,"Error")))</f>
        <v>1</v>
      </c>
      <c r="BP86" s="229">
        <f>IF($BC86=Lookup!$A$2,$BD86*ROUNDUP(BH86/10,0)+1,
IF($BC86=Lookup!$A$3,($BD86+1)^BG86,
IF($BC86=Lookup!$A$4,BH86*$BD86+1,"Error")))</f>
        <v>1</v>
      </c>
      <c r="BQ86" s="229">
        <f>IF($BC86=Lookup!$A$2,$BD86*ROUNDUP(BI86/10,0)+1,
IF($BC86=Lookup!$A$3,($BD86+1)^BH86,
IF($BC86=Lookup!$A$4,BI86*$BD86+1,"Error")))</f>
        <v>1</v>
      </c>
      <c r="BR86" s="229">
        <f>IF($BC86=Lookup!$A$2,$BD86*ROUNDUP(BJ86/10,0)+1,
IF($BC86=Lookup!$A$3,($BD86+1)^BI86,
IF($BC86=Lookup!$A$4,BJ86*$BD86+1,"Error")))</f>
        <v>1</v>
      </c>
      <c r="BS86" s="229">
        <f>IF($BC86=Lookup!$A$2,$BD86*ROUNDUP(BK86/10,0)+1,
IF($BC86=Lookup!$A$3,($BD86+1)^BJ86,
IF($BC86=Lookup!$A$4,BK86*$BD86+1,"Error")))</f>
        <v>1</v>
      </c>
      <c r="BT86" s="249">
        <f>IF($BC86=Lookup!$A$2,$BD86*ROUNDUP(BL86/10,0)+1,
IF($BC86=Lookup!$A$3,($BD86+1)^BK86,
IF($BC86=Lookup!$A$4,BL86*$BD86+1,"Error")))</f>
        <v>1</v>
      </c>
      <c r="BU86" s="320"/>
      <c r="BV86" s="321"/>
      <c r="BW86" s="321"/>
      <c r="BX86" s="321"/>
      <c r="BY86" s="321"/>
      <c r="BZ86" s="321"/>
      <c r="CA86" s="321"/>
      <c r="CB86" s="277"/>
      <c r="CC86" s="382" t="s">
        <v>293</v>
      </c>
      <c r="CD86" s="383">
        <f>HLOOKUP($CC86,$AK$6:$AM$132,ROWS(CD$6:CD86),0)</f>
        <v>0</v>
      </c>
      <c r="CE86" s="234">
        <f t="shared" si="103"/>
        <v>0</v>
      </c>
      <c r="CF86" s="96">
        <f t="shared" si="103"/>
        <v>0</v>
      </c>
      <c r="CG86" s="96">
        <f t="shared" si="103"/>
        <v>0</v>
      </c>
      <c r="CH86" s="96">
        <f t="shared" si="103"/>
        <v>0</v>
      </c>
      <c r="CI86" s="96">
        <f t="shared" si="64"/>
        <v>0</v>
      </c>
      <c r="CJ86" s="96">
        <f t="shared" si="64"/>
        <v>0</v>
      </c>
      <c r="CK86" s="96">
        <f t="shared" si="64"/>
        <v>0</v>
      </c>
      <c r="CL86" s="286">
        <f t="shared" si="64"/>
        <v>0</v>
      </c>
      <c r="CM86" s="305" t="s">
        <v>293</v>
      </c>
      <c r="CN86" s="315">
        <v>0.05</v>
      </c>
      <c r="CO86" s="306"/>
      <c r="CP86" s="307" t="str">
        <f>IF($CO86&lt;&gt;"",$CO86,HLOOKUP($CM86,$AY$6:$BA$132,ROWS(CP$6:CP86),0))</f>
        <v/>
      </c>
      <c r="CQ86" s="784" t="str">
        <f t="shared" si="100"/>
        <v/>
      </c>
      <c r="CR86" s="784" t="str">
        <f t="shared" si="100"/>
        <v/>
      </c>
      <c r="CS86" s="97" t="str">
        <f t="shared" si="100"/>
        <v/>
      </c>
      <c r="CT86" s="97" t="str">
        <f t="shared" si="100"/>
        <v/>
      </c>
      <c r="CU86" s="97" t="str">
        <f t="shared" si="100"/>
        <v/>
      </c>
      <c r="CV86" s="97" t="str">
        <f t="shared" si="100"/>
        <v/>
      </c>
      <c r="CW86" s="97" t="str">
        <f t="shared" si="100"/>
        <v/>
      </c>
      <c r="CX86" s="98" t="str">
        <f t="shared" si="46"/>
        <v/>
      </c>
      <c r="CY86" s="392"/>
    </row>
    <row r="87" spans="1:103" x14ac:dyDescent="0.25">
      <c r="A87" s="81" t="s">
        <v>138</v>
      </c>
      <c r="B87" s="82" t="s">
        <v>177</v>
      </c>
      <c r="C87" s="83" t="s">
        <v>377</v>
      </c>
      <c r="D87" s="84"/>
      <c r="E87" s="85"/>
      <c r="F87" s="85"/>
      <c r="G87" s="85"/>
      <c r="H87" s="85"/>
      <c r="I87" s="85">
        <v>0</v>
      </c>
      <c r="J87" s="85">
        <v>0</v>
      </c>
      <c r="K87" s="85">
        <v>0</v>
      </c>
      <c r="L87" s="85">
        <v>0</v>
      </c>
      <c r="M87" s="654">
        <f>'2022-23 Input'!D87</f>
        <v>0</v>
      </c>
      <c r="N87" s="1065">
        <v>0</v>
      </c>
      <c r="O87" s="560">
        <f t="shared" si="101"/>
        <v>0</v>
      </c>
      <c r="P87" s="561">
        <f t="shared" si="75"/>
        <v>0</v>
      </c>
      <c r="Q87" s="561">
        <f t="shared" si="76"/>
        <v>0</v>
      </c>
      <c r="R87" s="561">
        <f t="shared" si="77"/>
        <v>0</v>
      </c>
      <c r="S87" s="561">
        <f t="shared" si="78"/>
        <v>0</v>
      </c>
      <c r="T87" s="561">
        <f t="shared" si="79"/>
        <v>0</v>
      </c>
      <c r="U87" s="561">
        <f t="shared" si="80"/>
        <v>0</v>
      </c>
      <c r="V87" s="561">
        <f t="shared" si="81"/>
        <v>0</v>
      </c>
      <c r="W87" s="675">
        <f t="shared" si="82"/>
        <v>0</v>
      </c>
      <c r="X87" s="675">
        <f t="shared" si="83"/>
        <v>0</v>
      </c>
      <c r="Y87" s="675">
        <f t="shared" si="83"/>
        <v>0</v>
      </c>
      <c r="Z87" s="86"/>
      <c r="AA87" s="87"/>
      <c r="AB87" s="87"/>
      <c r="AC87" s="87"/>
      <c r="AD87" s="87"/>
      <c r="AE87" s="87">
        <v>0</v>
      </c>
      <c r="AF87" s="87">
        <v>0</v>
      </c>
      <c r="AG87" s="87">
        <v>0</v>
      </c>
      <c r="AH87" s="87">
        <v>0</v>
      </c>
      <c r="AI87" s="1094">
        <f>'2022-23 Input'!K87</f>
        <v>0</v>
      </c>
      <c r="AJ87" s="665">
        <v>0</v>
      </c>
      <c r="AK87" s="88">
        <f t="shared" si="84"/>
        <v>0</v>
      </c>
      <c r="AL87" s="89">
        <f t="shared" si="85"/>
        <v>0</v>
      </c>
      <c r="AM87" s="90">
        <f t="shared" si="86"/>
        <v>0</v>
      </c>
      <c r="AN87" s="91" t="str">
        <f t="shared" si="87"/>
        <v/>
      </c>
      <c r="AO87" s="92" t="str">
        <f t="shared" si="88"/>
        <v/>
      </c>
      <c r="AP87" s="92" t="str">
        <f t="shared" si="89"/>
        <v/>
      </c>
      <c r="AQ87" s="92" t="str">
        <f t="shared" si="90"/>
        <v/>
      </c>
      <c r="AR87" s="92" t="str">
        <f t="shared" si="91"/>
        <v/>
      </c>
      <c r="AS87" s="92" t="str">
        <f t="shared" si="92"/>
        <v/>
      </c>
      <c r="AT87" s="92" t="str">
        <f t="shared" si="93"/>
        <v/>
      </c>
      <c r="AU87" s="92" t="str">
        <f t="shared" si="94"/>
        <v/>
      </c>
      <c r="AV87" s="92" t="str">
        <f t="shared" ref="AV87:AX102" si="104">IFERROR(L87/AH87,"")</f>
        <v/>
      </c>
      <c r="AW87" s="92" t="str">
        <f t="shared" si="104"/>
        <v/>
      </c>
      <c r="AX87" s="92" t="str">
        <f t="shared" si="104"/>
        <v/>
      </c>
      <c r="AY87" s="93" t="str">
        <f t="shared" si="96"/>
        <v/>
      </c>
      <c r="AZ87" s="94" t="str">
        <f t="shared" si="97"/>
        <v/>
      </c>
      <c r="BA87" s="95" t="str">
        <f t="shared" si="98"/>
        <v/>
      </c>
      <c r="BB87" s="248" t="s">
        <v>422</v>
      </c>
      <c r="BC87" s="229" t="s">
        <v>433</v>
      </c>
      <c r="BD87" s="249">
        <v>0</v>
      </c>
      <c r="BE87" s="267">
        <f t="shared" si="102"/>
        <v>0</v>
      </c>
      <c r="BF87" s="268">
        <f t="shared" ref="BF87:BL102" si="105">IF(BF$6=$BB87,1,
IF(BE87&lt;&gt;0,BE87+1,0
))</f>
        <v>0</v>
      </c>
      <c r="BG87" s="268">
        <f t="shared" si="105"/>
        <v>0</v>
      </c>
      <c r="BH87" s="268">
        <f t="shared" si="105"/>
        <v>1</v>
      </c>
      <c r="BI87" s="268">
        <f t="shared" si="105"/>
        <v>2</v>
      </c>
      <c r="BJ87" s="268">
        <f t="shared" si="105"/>
        <v>3</v>
      </c>
      <c r="BK87" s="268">
        <f t="shared" si="105"/>
        <v>4</v>
      </c>
      <c r="BL87" s="269">
        <f t="shared" si="105"/>
        <v>5</v>
      </c>
      <c r="BM87" s="256">
        <f>IF($BC87=Lookup!$A$2,$BD87*ROUNDUP(BE87/10,0)+1,
IF($BC87=Lookup!$A$3,($BD87+1)^BD87,
IF($BC87=Lookup!$A$4,BE87*$BD87+1,"Error")))</f>
        <v>1</v>
      </c>
      <c r="BN87" s="229">
        <f>IF($BC87=Lookup!$A$2,$BD87*ROUNDUP(BF87/10,0)+1,
IF($BC87=Lookup!$A$3,($BD87+1)^BE87,
IF($BC87=Lookup!$A$4,BF87*$BD87+1,"Error")))</f>
        <v>1</v>
      </c>
      <c r="BO87" s="229">
        <f>IF($BC87=Lookup!$A$2,$BD87*ROUNDUP(BG87/10,0)+1,
IF($BC87=Lookup!$A$3,($BD87+1)^BF87,
IF($BC87=Lookup!$A$4,BG87*$BD87+1,"Error")))</f>
        <v>1</v>
      </c>
      <c r="BP87" s="229">
        <f>IF($BC87=Lookup!$A$2,$BD87*ROUNDUP(BH87/10,0)+1,
IF($BC87=Lookup!$A$3,($BD87+1)^BG87,
IF($BC87=Lookup!$A$4,BH87*$BD87+1,"Error")))</f>
        <v>1</v>
      </c>
      <c r="BQ87" s="229">
        <f>IF($BC87=Lookup!$A$2,$BD87*ROUNDUP(BI87/10,0)+1,
IF($BC87=Lookup!$A$3,($BD87+1)^BH87,
IF($BC87=Lookup!$A$4,BI87*$BD87+1,"Error")))</f>
        <v>1</v>
      </c>
      <c r="BR87" s="229">
        <f>IF($BC87=Lookup!$A$2,$BD87*ROUNDUP(BJ87/10,0)+1,
IF($BC87=Lookup!$A$3,($BD87+1)^BI87,
IF($BC87=Lookup!$A$4,BJ87*$BD87+1,"Error")))</f>
        <v>1</v>
      </c>
      <c r="BS87" s="229">
        <f>IF($BC87=Lookup!$A$2,$BD87*ROUNDUP(BK87/10,0)+1,
IF($BC87=Lookup!$A$3,($BD87+1)^BJ87,
IF($BC87=Lookup!$A$4,BK87*$BD87+1,"Error")))</f>
        <v>1</v>
      </c>
      <c r="BT87" s="249">
        <f>IF($BC87=Lookup!$A$2,$BD87*ROUNDUP(BL87/10,0)+1,
IF($BC87=Lookup!$A$3,($BD87+1)^BK87,
IF($BC87=Lookup!$A$4,BL87*$BD87+1,"Error")))</f>
        <v>1</v>
      </c>
      <c r="BU87" s="320"/>
      <c r="BV87" s="321"/>
      <c r="BW87" s="321"/>
      <c r="BX87" s="321"/>
      <c r="BY87" s="321"/>
      <c r="BZ87" s="321"/>
      <c r="CA87" s="321"/>
      <c r="CB87" s="277"/>
      <c r="CC87" s="382" t="s">
        <v>293</v>
      </c>
      <c r="CD87" s="383">
        <f>HLOOKUP($CC87,$AK$6:$AM$132,ROWS(CD$6:CD87),0)</f>
        <v>0</v>
      </c>
      <c r="CE87" s="234">
        <f t="shared" si="103"/>
        <v>0</v>
      </c>
      <c r="CF87" s="96">
        <f t="shared" si="103"/>
        <v>0</v>
      </c>
      <c r="CG87" s="96">
        <f t="shared" si="103"/>
        <v>0</v>
      </c>
      <c r="CH87" s="96">
        <f t="shared" si="103"/>
        <v>0</v>
      </c>
      <c r="CI87" s="96">
        <f t="shared" si="64"/>
        <v>0</v>
      </c>
      <c r="CJ87" s="96">
        <f t="shared" si="64"/>
        <v>0</v>
      </c>
      <c r="CK87" s="96">
        <f t="shared" si="64"/>
        <v>0</v>
      </c>
      <c r="CL87" s="286">
        <f t="shared" si="64"/>
        <v>0</v>
      </c>
      <c r="CM87" s="305" t="s">
        <v>293</v>
      </c>
      <c r="CN87" s="315">
        <v>0.05</v>
      </c>
      <c r="CO87" s="306"/>
      <c r="CP87" s="307" t="str">
        <f>IF($CO87&lt;&gt;"",$CO87,HLOOKUP($CM87,$AY$6:$BA$132,ROWS(CP$6:CP87),0))</f>
        <v/>
      </c>
      <c r="CQ87" s="784" t="str">
        <f t="shared" si="100"/>
        <v/>
      </c>
      <c r="CR87" s="784" t="str">
        <f t="shared" si="100"/>
        <v/>
      </c>
      <c r="CS87" s="97" t="str">
        <f t="shared" si="100"/>
        <v/>
      </c>
      <c r="CT87" s="97" t="str">
        <f t="shared" si="100"/>
        <v/>
      </c>
      <c r="CU87" s="97" t="str">
        <f t="shared" si="100"/>
        <v/>
      </c>
      <c r="CV87" s="97" t="str">
        <f t="shared" si="100"/>
        <v/>
      </c>
      <c r="CW87" s="97" t="str">
        <f t="shared" si="100"/>
        <v/>
      </c>
      <c r="CX87" s="98" t="str">
        <f t="shared" si="46"/>
        <v/>
      </c>
      <c r="CY87" s="392"/>
    </row>
    <row r="88" spans="1:103" x14ac:dyDescent="0.25">
      <c r="A88" s="81" t="s">
        <v>138</v>
      </c>
      <c r="B88" s="82" t="s">
        <v>179</v>
      </c>
      <c r="C88" s="83" t="s">
        <v>378</v>
      </c>
      <c r="D88" s="84"/>
      <c r="E88" s="85"/>
      <c r="F88" s="85"/>
      <c r="G88" s="85"/>
      <c r="H88" s="85"/>
      <c r="I88" s="85">
        <v>0</v>
      </c>
      <c r="J88" s="85">
        <v>0</v>
      </c>
      <c r="K88" s="85">
        <v>0</v>
      </c>
      <c r="L88" s="85">
        <v>0</v>
      </c>
      <c r="M88" s="654">
        <f>'2022-23 Input'!D88</f>
        <v>0</v>
      </c>
      <c r="N88" s="1065">
        <v>0</v>
      </c>
      <c r="O88" s="560">
        <f t="shared" si="101"/>
        <v>0</v>
      </c>
      <c r="P88" s="561">
        <f t="shared" si="75"/>
        <v>0</v>
      </c>
      <c r="Q88" s="561">
        <f t="shared" si="76"/>
        <v>0</v>
      </c>
      <c r="R88" s="561">
        <f t="shared" si="77"/>
        <v>0</v>
      </c>
      <c r="S88" s="561">
        <f t="shared" si="78"/>
        <v>0</v>
      </c>
      <c r="T88" s="561">
        <f t="shared" si="79"/>
        <v>0</v>
      </c>
      <c r="U88" s="561">
        <f t="shared" si="80"/>
        <v>0</v>
      </c>
      <c r="V88" s="561">
        <f t="shared" si="81"/>
        <v>0</v>
      </c>
      <c r="W88" s="675">
        <f t="shared" si="82"/>
        <v>0</v>
      </c>
      <c r="X88" s="675">
        <f t="shared" si="83"/>
        <v>0</v>
      </c>
      <c r="Y88" s="675">
        <f t="shared" si="83"/>
        <v>0</v>
      </c>
      <c r="Z88" s="86"/>
      <c r="AA88" s="87"/>
      <c r="AB88" s="87"/>
      <c r="AC88" s="87"/>
      <c r="AD88" s="87"/>
      <c r="AE88" s="87">
        <v>0</v>
      </c>
      <c r="AF88" s="87">
        <v>0</v>
      </c>
      <c r="AG88" s="87">
        <v>0</v>
      </c>
      <c r="AH88" s="87">
        <v>0</v>
      </c>
      <c r="AI88" s="1094">
        <f>'2022-23 Input'!K88</f>
        <v>0</v>
      </c>
      <c r="AJ88" s="665">
        <v>0</v>
      </c>
      <c r="AK88" s="88">
        <f t="shared" si="84"/>
        <v>0</v>
      </c>
      <c r="AL88" s="89">
        <f t="shared" si="85"/>
        <v>0</v>
      </c>
      <c r="AM88" s="90">
        <f t="shared" si="86"/>
        <v>0</v>
      </c>
      <c r="AN88" s="91" t="str">
        <f t="shared" si="87"/>
        <v/>
      </c>
      <c r="AO88" s="92" t="str">
        <f t="shared" si="88"/>
        <v/>
      </c>
      <c r="AP88" s="92" t="str">
        <f t="shared" si="89"/>
        <v/>
      </c>
      <c r="AQ88" s="92" t="str">
        <f t="shared" si="90"/>
        <v/>
      </c>
      <c r="AR88" s="92" t="str">
        <f t="shared" si="91"/>
        <v/>
      </c>
      <c r="AS88" s="92" t="str">
        <f t="shared" si="92"/>
        <v/>
      </c>
      <c r="AT88" s="92" t="str">
        <f t="shared" si="93"/>
        <v/>
      </c>
      <c r="AU88" s="92" t="str">
        <f t="shared" si="94"/>
        <v/>
      </c>
      <c r="AV88" s="92" t="str">
        <f t="shared" si="104"/>
        <v/>
      </c>
      <c r="AW88" s="92" t="str">
        <f t="shared" si="104"/>
        <v/>
      </c>
      <c r="AX88" s="92" t="str">
        <f t="shared" si="104"/>
        <v/>
      </c>
      <c r="AY88" s="93" t="str">
        <f t="shared" si="96"/>
        <v/>
      </c>
      <c r="AZ88" s="94" t="str">
        <f t="shared" si="97"/>
        <v/>
      </c>
      <c r="BA88" s="95" t="str">
        <f t="shared" si="98"/>
        <v/>
      </c>
      <c r="BB88" s="248" t="s">
        <v>422</v>
      </c>
      <c r="BC88" s="229" t="s">
        <v>433</v>
      </c>
      <c r="BD88" s="249">
        <v>0</v>
      </c>
      <c r="BE88" s="267">
        <f t="shared" si="102"/>
        <v>0</v>
      </c>
      <c r="BF88" s="268">
        <f t="shared" si="105"/>
        <v>0</v>
      </c>
      <c r="BG88" s="268">
        <f t="shared" si="105"/>
        <v>0</v>
      </c>
      <c r="BH88" s="268">
        <f t="shared" si="105"/>
        <v>1</v>
      </c>
      <c r="BI88" s="268">
        <f t="shared" si="105"/>
        <v>2</v>
      </c>
      <c r="BJ88" s="268">
        <f t="shared" si="105"/>
        <v>3</v>
      </c>
      <c r="BK88" s="268">
        <f t="shared" si="105"/>
        <v>4</v>
      </c>
      <c r="BL88" s="269">
        <f t="shared" si="105"/>
        <v>5</v>
      </c>
      <c r="BM88" s="256">
        <f>IF($BC88=Lookup!$A$2,$BD88*ROUNDUP(BE88/10,0)+1,
IF($BC88=Lookup!$A$3,($BD88+1)^BD88,
IF($BC88=Lookup!$A$4,BE88*$BD88+1,"Error")))</f>
        <v>1</v>
      </c>
      <c r="BN88" s="229">
        <f>IF($BC88=Lookup!$A$2,$BD88*ROUNDUP(BF88/10,0)+1,
IF($BC88=Lookup!$A$3,($BD88+1)^BE88,
IF($BC88=Lookup!$A$4,BF88*$BD88+1,"Error")))</f>
        <v>1</v>
      </c>
      <c r="BO88" s="229">
        <f>IF($BC88=Lookup!$A$2,$BD88*ROUNDUP(BG88/10,0)+1,
IF($BC88=Lookup!$A$3,($BD88+1)^BF88,
IF($BC88=Lookup!$A$4,BG88*$BD88+1,"Error")))</f>
        <v>1</v>
      </c>
      <c r="BP88" s="229">
        <f>IF($BC88=Lookup!$A$2,$BD88*ROUNDUP(BH88/10,0)+1,
IF($BC88=Lookup!$A$3,($BD88+1)^BG88,
IF($BC88=Lookup!$A$4,BH88*$BD88+1,"Error")))</f>
        <v>1</v>
      </c>
      <c r="BQ88" s="229">
        <f>IF($BC88=Lookup!$A$2,$BD88*ROUNDUP(BI88/10,0)+1,
IF($BC88=Lookup!$A$3,($BD88+1)^BH88,
IF($BC88=Lookup!$A$4,BI88*$BD88+1,"Error")))</f>
        <v>1</v>
      </c>
      <c r="BR88" s="229">
        <f>IF($BC88=Lookup!$A$2,$BD88*ROUNDUP(BJ88/10,0)+1,
IF($BC88=Lookup!$A$3,($BD88+1)^BI88,
IF($BC88=Lookup!$A$4,BJ88*$BD88+1,"Error")))</f>
        <v>1</v>
      </c>
      <c r="BS88" s="229">
        <f>IF($BC88=Lookup!$A$2,$BD88*ROUNDUP(BK88/10,0)+1,
IF($BC88=Lookup!$A$3,($BD88+1)^BJ88,
IF($BC88=Lookup!$A$4,BK88*$BD88+1,"Error")))</f>
        <v>1</v>
      </c>
      <c r="BT88" s="249">
        <f>IF($BC88=Lookup!$A$2,$BD88*ROUNDUP(BL88/10,0)+1,
IF($BC88=Lookup!$A$3,($BD88+1)^BK88,
IF($BC88=Lookup!$A$4,BL88*$BD88+1,"Error")))</f>
        <v>1</v>
      </c>
      <c r="BU88" s="320"/>
      <c r="BV88" s="321"/>
      <c r="BW88" s="321"/>
      <c r="BX88" s="321"/>
      <c r="BY88" s="321"/>
      <c r="BZ88" s="321"/>
      <c r="CA88" s="321"/>
      <c r="CB88" s="277"/>
      <c r="CC88" s="382" t="s">
        <v>293</v>
      </c>
      <c r="CD88" s="383">
        <f>HLOOKUP($CC88,$AK$6:$AM$132,ROWS(CD$6:CD88),0)</f>
        <v>0</v>
      </c>
      <c r="CE88" s="234">
        <f t="shared" si="103"/>
        <v>0</v>
      </c>
      <c r="CF88" s="96">
        <f t="shared" si="103"/>
        <v>0</v>
      </c>
      <c r="CG88" s="96">
        <f t="shared" si="103"/>
        <v>0</v>
      </c>
      <c r="CH88" s="96">
        <f t="shared" si="103"/>
        <v>0</v>
      </c>
      <c r="CI88" s="96">
        <f t="shared" si="64"/>
        <v>0</v>
      </c>
      <c r="CJ88" s="96">
        <f t="shared" si="64"/>
        <v>0</v>
      </c>
      <c r="CK88" s="96">
        <f t="shared" si="64"/>
        <v>0</v>
      </c>
      <c r="CL88" s="286">
        <f t="shared" si="64"/>
        <v>0</v>
      </c>
      <c r="CM88" s="305" t="s">
        <v>293</v>
      </c>
      <c r="CN88" s="315">
        <v>0.05</v>
      </c>
      <c r="CO88" s="306"/>
      <c r="CP88" s="307" t="str">
        <f>IF($CO88&lt;&gt;"",$CO88,HLOOKUP($CM88,$AY$6:$BA$132,ROWS(CP$6:CP88),0))</f>
        <v/>
      </c>
      <c r="CQ88" s="784" t="str">
        <f t="shared" si="100"/>
        <v/>
      </c>
      <c r="CR88" s="784" t="str">
        <f t="shared" si="100"/>
        <v/>
      </c>
      <c r="CS88" s="97" t="str">
        <f t="shared" si="100"/>
        <v/>
      </c>
      <c r="CT88" s="97" t="str">
        <f t="shared" si="100"/>
        <v/>
      </c>
      <c r="CU88" s="97" t="str">
        <f t="shared" si="100"/>
        <v/>
      </c>
      <c r="CV88" s="97" t="str">
        <f t="shared" si="100"/>
        <v/>
      </c>
      <c r="CW88" s="97" t="str">
        <f t="shared" si="100"/>
        <v/>
      </c>
      <c r="CX88" s="98" t="str">
        <f t="shared" si="46"/>
        <v/>
      </c>
      <c r="CY88" s="392"/>
    </row>
    <row r="89" spans="1:103" x14ac:dyDescent="0.25">
      <c r="A89" s="81" t="s">
        <v>138</v>
      </c>
      <c r="B89" s="82" t="s">
        <v>181</v>
      </c>
      <c r="C89" s="83" t="s">
        <v>379</v>
      </c>
      <c r="D89" s="84"/>
      <c r="E89" s="85"/>
      <c r="F89" s="85"/>
      <c r="G89" s="85"/>
      <c r="H89" s="85"/>
      <c r="I89" s="85">
        <v>0</v>
      </c>
      <c r="J89" s="85">
        <v>0</v>
      </c>
      <c r="K89" s="85">
        <v>0</v>
      </c>
      <c r="L89" s="85">
        <v>0</v>
      </c>
      <c r="M89" s="654">
        <f>'2022-23 Input'!D89</f>
        <v>0</v>
      </c>
      <c r="N89" s="1065">
        <v>0</v>
      </c>
      <c r="O89" s="560">
        <f t="shared" si="101"/>
        <v>0</v>
      </c>
      <c r="P89" s="561">
        <f t="shared" si="75"/>
        <v>0</v>
      </c>
      <c r="Q89" s="561">
        <f t="shared" si="76"/>
        <v>0</v>
      </c>
      <c r="R89" s="561">
        <f t="shared" si="77"/>
        <v>0</v>
      </c>
      <c r="S89" s="561">
        <f t="shared" si="78"/>
        <v>0</v>
      </c>
      <c r="T89" s="561">
        <f t="shared" si="79"/>
        <v>0</v>
      </c>
      <c r="U89" s="561">
        <f t="shared" si="80"/>
        <v>0</v>
      </c>
      <c r="V89" s="561">
        <f t="shared" si="81"/>
        <v>0</v>
      </c>
      <c r="W89" s="675">
        <f t="shared" si="82"/>
        <v>0</v>
      </c>
      <c r="X89" s="675">
        <f t="shared" si="83"/>
        <v>0</v>
      </c>
      <c r="Y89" s="675">
        <f t="shared" si="83"/>
        <v>0</v>
      </c>
      <c r="Z89" s="86"/>
      <c r="AA89" s="87"/>
      <c r="AB89" s="87"/>
      <c r="AC89" s="87"/>
      <c r="AD89" s="87"/>
      <c r="AE89" s="87">
        <v>0</v>
      </c>
      <c r="AF89" s="87">
        <v>0</v>
      </c>
      <c r="AG89" s="87">
        <v>0</v>
      </c>
      <c r="AH89" s="87">
        <v>0</v>
      </c>
      <c r="AI89" s="1094">
        <f>'2022-23 Input'!K89</f>
        <v>0</v>
      </c>
      <c r="AJ89" s="665">
        <v>0</v>
      </c>
      <c r="AK89" s="88">
        <f t="shared" si="84"/>
        <v>0</v>
      </c>
      <c r="AL89" s="89">
        <f t="shared" si="85"/>
        <v>0</v>
      </c>
      <c r="AM89" s="90">
        <f t="shared" si="86"/>
        <v>0</v>
      </c>
      <c r="AN89" s="91" t="str">
        <f t="shared" si="87"/>
        <v/>
      </c>
      <c r="AO89" s="92" t="str">
        <f t="shared" si="88"/>
        <v/>
      </c>
      <c r="AP89" s="92" t="str">
        <f t="shared" si="89"/>
        <v/>
      </c>
      <c r="AQ89" s="92" t="str">
        <f t="shared" si="90"/>
        <v/>
      </c>
      <c r="AR89" s="92" t="str">
        <f t="shared" si="91"/>
        <v/>
      </c>
      <c r="AS89" s="92" t="str">
        <f t="shared" si="92"/>
        <v/>
      </c>
      <c r="AT89" s="92" t="str">
        <f t="shared" si="93"/>
        <v/>
      </c>
      <c r="AU89" s="92" t="str">
        <f t="shared" si="94"/>
        <v/>
      </c>
      <c r="AV89" s="92" t="str">
        <f t="shared" si="104"/>
        <v/>
      </c>
      <c r="AW89" s="92" t="str">
        <f t="shared" si="104"/>
        <v/>
      </c>
      <c r="AX89" s="92" t="str">
        <f t="shared" si="104"/>
        <v/>
      </c>
      <c r="AY89" s="93" t="str">
        <f t="shared" si="96"/>
        <v/>
      </c>
      <c r="AZ89" s="94" t="str">
        <f t="shared" si="97"/>
        <v/>
      </c>
      <c r="BA89" s="95" t="str">
        <f t="shared" si="98"/>
        <v/>
      </c>
      <c r="BB89" s="248" t="s">
        <v>422</v>
      </c>
      <c r="BC89" s="229" t="s">
        <v>433</v>
      </c>
      <c r="BD89" s="249">
        <v>0</v>
      </c>
      <c r="BE89" s="267">
        <f t="shared" si="102"/>
        <v>0</v>
      </c>
      <c r="BF89" s="268">
        <f t="shared" si="105"/>
        <v>0</v>
      </c>
      <c r="BG89" s="268">
        <f t="shared" si="105"/>
        <v>0</v>
      </c>
      <c r="BH89" s="268">
        <f t="shared" si="105"/>
        <v>1</v>
      </c>
      <c r="BI89" s="268">
        <f t="shared" si="105"/>
        <v>2</v>
      </c>
      <c r="BJ89" s="268">
        <f t="shared" si="105"/>
        <v>3</v>
      </c>
      <c r="BK89" s="268">
        <f t="shared" si="105"/>
        <v>4</v>
      </c>
      <c r="BL89" s="269">
        <f t="shared" si="105"/>
        <v>5</v>
      </c>
      <c r="BM89" s="256">
        <f>IF($BC89=Lookup!$A$2,$BD89*ROUNDUP(BE89/10,0)+1,
IF($BC89=Lookup!$A$3,($BD89+1)^BD89,
IF($BC89=Lookup!$A$4,BE89*$BD89+1,"Error")))</f>
        <v>1</v>
      </c>
      <c r="BN89" s="229">
        <f>IF($BC89=Lookup!$A$2,$BD89*ROUNDUP(BF89/10,0)+1,
IF($BC89=Lookup!$A$3,($BD89+1)^BE89,
IF($BC89=Lookup!$A$4,BF89*$BD89+1,"Error")))</f>
        <v>1</v>
      </c>
      <c r="BO89" s="229">
        <f>IF($BC89=Lookup!$A$2,$BD89*ROUNDUP(BG89/10,0)+1,
IF($BC89=Lookup!$A$3,($BD89+1)^BF89,
IF($BC89=Lookup!$A$4,BG89*$BD89+1,"Error")))</f>
        <v>1</v>
      </c>
      <c r="BP89" s="229">
        <f>IF($BC89=Lookup!$A$2,$BD89*ROUNDUP(BH89/10,0)+1,
IF($BC89=Lookup!$A$3,($BD89+1)^BG89,
IF($BC89=Lookup!$A$4,BH89*$BD89+1,"Error")))</f>
        <v>1</v>
      </c>
      <c r="BQ89" s="229">
        <f>IF($BC89=Lookup!$A$2,$BD89*ROUNDUP(BI89/10,0)+1,
IF($BC89=Lookup!$A$3,($BD89+1)^BH89,
IF($BC89=Lookup!$A$4,BI89*$BD89+1,"Error")))</f>
        <v>1</v>
      </c>
      <c r="BR89" s="229">
        <f>IF($BC89=Lookup!$A$2,$BD89*ROUNDUP(BJ89/10,0)+1,
IF($BC89=Lookup!$A$3,($BD89+1)^BI89,
IF($BC89=Lookup!$A$4,BJ89*$BD89+1,"Error")))</f>
        <v>1</v>
      </c>
      <c r="BS89" s="229">
        <f>IF($BC89=Lookup!$A$2,$BD89*ROUNDUP(BK89/10,0)+1,
IF($BC89=Lookup!$A$3,($BD89+1)^BJ89,
IF($BC89=Lookup!$A$4,BK89*$BD89+1,"Error")))</f>
        <v>1</v>
      </c>
      <c r="BT89" s="249">
        <f>IF($BC89=Lookup!$A$2,$BD89*ROUNDUP(BL89/10,0)+1,
IF($BC89=Lookup!$A$3,($BD89+1)^BK89,
IF($BC89=Lookup!$A$4,BL89*$BD89+1,"Error")))</f>
        <v>1</v>
      </c>
      <c r="BU89" s="320"/>
      <c r="BV89" s="321"/>
      <c r="BW89" s="321"/>
      <c r="BX89" s="321"/>
      <c r="BY89" s="321"/>
      <c r="BZ89" s="321"/>
      <c r="CA89" s="321"/>
      <c r="CB89" s="277"/>
      <c r="CC89" s="382" t="s">
        <v>293</v>
      </c>
      <c r="CD89" s="383">
        <f>HLOOKUP($CC89,$AK$6:$AM$132,ROWS(CD$6:CD89),0)</f>
        <v>0</v>
      </c>
      <c r="CE89" s="234">
        <f t="shared" si="103"/>
        <v>0</v>
      </c>
      <c r="CF89" s="96">
        <f t="shared" si="103"/>
        <v>0</v>
      </c>
      <c r="CG89" s="96">
        <f t="shared" si="103"/>
        <v>0</v>
      </c>
      <c r="CH89" s="96">
        <f t="shared" si="103"/>
        <v>0</v>
      </c>
      <c r="CI89" s="96">
        <f t="shared" si="64"/>
        <v>0</v>
      </c>
      <c r="CJ89" s="96">
        <f t="shared" si="64"/>
        <v>0</v>
      </c>
      <c r="CK89" s="96">
        <f t="shared" si="64"/>
        <v>0</v>
      </c>
      <c r="CL89" s="286">
        <f t="shared" si="64"/>
        <v>0</v>
      </c>
      <c r="CM89" s="305" t="s">
        <v>293</v>
      </c>
      <c r="CN89" s="315">
        <v>0.05</v>
      </c>
      <c r="CO89" s="306"/>
      <c r="CP89" s="307" t="str">
        <f>IF($CO89&lt;&gt;"",$CO89,HLOOKUP($CM89,$AY$6:$BA$132,ROWS(CP$6:CP89),0))</f>
        <v/>
      </c>
      <c r="CQ89" s="784" t="str">
        <f t="shared" si="100"/>
        <v/>
      </c>
      <c r="CR89" s="784" t="str">
        <f t="shared" si="100"/>
        <v/>
      </c>
      <c r="CS89" s="97" t="str">
        <f t="shared" si="100"/>
        <v/>
      </c>
      <c r="CT89" s="97" t="str">
        <f t="shared" si="100"/>
        <v/>
      </c>
      <c r="CU89" s="97" t="str">
        <f t="shared" si="100"/>
        <v/>
      </c>
      <c r="CV89" s="97" t="str">
        <f t="shared" si="100"/>
        <v/>
      </c>
      <c r="CW89" s="97" t="str">
        <f t="shared" si="100"/>
        <v/>
      </c>
      <c r="CX89" s="98" t="str">
        <f t="shared" si="46"/>
        <v/>
      </c>
      <c r="CY89" s="392"/>
    </row>
    <row r="90" spans="1:103" x14ac:dyDescent="0.25">
      <c r="A90" s="81" t="s">
        <v>138</v>
      </c>
      <c r="B90" s="82" t="s">
        <v>183</v>
      </c>
      <c r="C90" s="83" t="s">
        <v>380</v>
      </c>
      <c r="D90" s="84"/>
      <c r="E90" s="85"/>
      <c r="F90" s="85"/>
      <c r="G90" s="85"/>
      <c r="H90" s="85"/>
      <c r="I90" s="85">
        <v>0</v>
      </c>
      <c r="J90" s="85">
        <v>0</v>
      </c>
      <c r="K90" s="85">
        <v>0</v>
      </c>
      <c r="L90" s="85">
        <v>0</v>
      </c>
      <c r="M90" s="654">
        <f>'2022-23 Input'!D90</f>
        <v>0</v>
      </c>
      <c r="N90" s="1065">
        <v>0</v>
      </c>
      <c r="O90" s="560">
        <f t="shared" si="101"/>
        <v>0</v>
      </c>
      <c r="P90" s="561">
        <f t="shared" si="75"/>
        <v>0</v>
      </c>
      <c r="Q90" s="561">
        <f t="shared" si="76"/>
        <v>0</v>
      </c>
      <c r="R90" s="561">
        <f t="shared" si="77"/>
        <v>0</v>
      </c>
      <c r="S90" s="561">
        <f t="shared" si="78"/>
        <v>0</v>
      </c>
      <c r="T90" s="561">
        <f t="shared" si="79"/>
        <v>0</v>
      </c>
      <c r="U90" s="561">
        <f t="shared" si="80"/>
        <v>0</v>
      </c>
      <c r="V90" s="561">
        <f t="shared" si="81"/>
        <v>0</v>
      </c>
      <c r="W90" s="675">
        <f t="shared" si="82"/>
        <v>0</v>
      </c>
      <c r="X90" s="675">
        <f t="shared" si="83"/>
        <v>0</v>
      </c>
      <c r="Y90" s="675">
        <f t="shared" si="83"/>
        <v>0</v>
      </c>
      <c r="Z90" s="86"/>
      <c r="AA90" s="87"/>
      <c r="AB90" s="87"/>
      <c r="AC90" s="87"/>
      <c r="AD90" s="87"/>
      <c r="AE90" s="87">
        <v>0</v>
      </c>
      <c r="AF90" s="87">
        <v>0</v>
      </c>
      <c r="AG90" s="87">
        <v>0</v>
      </c>
      <c r="AH90" s="87">
        <v>0</v>
      </c>
      <c r="AI90" s="1094">
        <f>'2022-23 Input'!K90</f>
        <v>0</v>
      </c>
      <c r="AJ90" s="665">
        <v>0</v>
      </c>
      <c r="AK90" s="88">
        <f t="shared" si="84"/>
        <v>0</v>
      </c>
      <c r="AL90" s="89">
        <f t="shared" si="85"/>
        <v>0</v>
      </c>
      <c r="AM90" s="90">
        <f t="shared" si="86"/>
        <v>0</v>
      </c>
      <c r="AN90" s="91" t="str">
        <f t="shared" si="87"/>
        <v/>
      </c>
      <c r="AO90" s="92" t="str">
        <f t="shared" si="88"/>
        <v/>
      </c>
      <c r="AP90" s="92" t="str">
        <f t="shared" si="89"/>
        <v/>
      </c>
      <c r="AQ90" s="92" t="str">
        <f t="shared" si="90"/>
        <v/>
      </c>
      <c r="AR90" s="92" t="str">
        <f t="shared" si="91"/>
        <v/>
      </c>
      <c r="AS90" s="92" t="str">
        <f t="shared" si="92"/>
        <v/>
      </c>
      <c r="AT90" s="92" t="str">
        <f t="shared" si="93"/>
        <v/>
      </c>
      <c r="AU90" s="92" t="str">
        <f t="shared" si="94"/>
        <v/>
      </c>
      <c r="AV90" s="92" t="str">
        <f t="shared" si="104"/>
        <v/>
      </c>
      <c r="AW90" s="92" t="str">
        <f t="shared" si="104"/>
        <v/>
      </c>
      <c r="AX90" s="92" t="str">
        <f t="shared" si="104"/>
        <v/>
      </c>
      <c r="AY90" s="93" t="str">
        <f t="shared" si="96"/>
        <v/>
      </c>
      <c r="AZ90" s="94" t="str">
        <f t="shared" si="97"/>
        <v/>
      </c>
      <c r="BA90" s="95" t="str">
        <f t="shared" si="98"/>
        <v/>
      </c>
      <c r="BB90" s="248" t="s">
        <v>422</v>
      </c>
      <c r="BC90" s="229" t="s">
        <v>433</v>
      </c>
      <c r="BD90" s="249">
        <v>0</v>
      </c>
      <c r="BE90" s="267">
        <f t="shared" si="102"/>
        <v>0</v>
      </c>
      <c r="BF90" s="268">
        <f t="shared" si="105"/>
        <v>0</v>
      </c>
      <c r="BG90" s="268">
        <f t="shared" si="105"/>
        <v>0</v>
      </c>
      <c r="BH90" s="268">
        <f t="shared" si="105"/>
        <v>1</v>
      </c>
      <c r="BI90" s="268">
        <f t="shared" si="105"/>
        <v>2</v>
      </c>
      <c r="BJ90" s="268">
        <f t="shared" si="105"/>
        <v>3</v>
      </c>
      <c r="BK90" s="268">
        <f t="shared" si="105"/>
        <v>4</v>
      </c>
      <c r="BL90" s="269">
        <f t="shared" si="105"/>
        <v>5</v>
      </c>
      <c r="BM90" s="256">
        <f>IF($BC90=Lookup!$A$2,$BD90*ROUNDUP(BE90/10,0)+1,
IF($BC90=Lookup!$A$3,($BD90+1)^BD90,
IF($BC90=Lookup!$A$4,BE90*$BD90+1,"Error")))</f>
        <v>1</v>
      </c>
      <c r="BN90" s="229">
        <f>IF($BC90=Lookup!$A$2,$BD90*ROUNDUP(BF90/10,0)+1,
IF($BC90=Lookup!$A$3,($BD90+1)^BE90,
IF($BC90=Lookup!$A$4,BF90*$BD90+1,"Error")))</f>
        <v>1</v>
      </c>
      <c r="BO90" s="229">
        <f>IF($BC90=Lookup!$A$2,$BD90*ROUNDUP(BG90/10,0)+1,
IF($BC90=Lookup!$A$3,($BD90+1)^BF90,
IF($BC90=Lookup!$A$4,BG90*$BD90+1,"Error")))</f>
        <v>1</v>
      </c>
      <c r="BP90" s="229">
        <f>IF($BC90=Lookup!$A$2,$BD90*ROUNDUP(BH90/10,0)+1,
IF($BC90=Lookup!$A$3,($BD90+1)^BG90,
IF($BC90=Lookup!$A$4,BH90*$BD90+1,"Error")))</f>
        <v>1</v>
      </c>
      <c r="BQ90" s="229">
        <f>IF($BC90=Lookup!$A$2,$BD90*ROUNDUP(BI90/10,0)+1,
IF($BC90=Lookup!$A$3,($BD90+1)^BH90,
IF($BC90=Lookup!$A$4,BI90*$BD90+1,"Error")))</f>
        <v>1</v>
      </c>
      <c r="BR90" s="229">
        <f>IF($BC90=Lookup!$A$2,$BD90*ROUNDUP(BJ90/10,0)+1,
IF($BC90=Lookup!$A$3,($BD90+1)^BI90,
IF($BC90=Lookup!$A$4,BJ90*$BD90+1,"Error")))</f>
        <v>1</v>
      </c>
      <c r="BS90" s="229">
        <f>IF($BC90=Lookup!$A$2,$BD90*ROUNDUP(BK90/10,0)+1,
IF($BC90=Lookup!$A$3,($BD90+1)^BJ90,
IF($BC90=Lookup!$A$4,BK90*$BD90+1,"Error")))</f>
        <v>1</v>
      </c>
      <c r="BT90" s="249">
        <f>IF($BC90=Lookup!$A$2,$BD90*ROUNDUP(BL90/10,0)+1,
IF($BC90=Lookup!$A$3,($BD90+1)^BK90,
IF($BC90=Lookup!$A$4,BL90*$BD90+1,"Error")))</f>
        <v>1</v>
      </c>
      <c r="BU90" s="320"/>
      <c r="BV90" s="321"/>
      <c r="BW90" s="321"/>
      <c r="BX90" s="321"/>
      <c r="BY90" s="321"/>
      <c r="BZ90" s="321"/>
      <c r="CA90" s="321"/>
      <c r="CB90" s="277"/>
      <c r="CC90" s="382" t="s">
        <v>293</v>
      </c>
      <c r="CD90" s="383">
        <f>HLOOKUP($CC90,$AK$6:$AM$132,ROWS(CD$6:CD90),0)</f>
        <v>0</v>
      </c>
      <c r="CE90" s="234">
        <f t="shared" si="103"/>
        <v>0</v>
      </c>
      <c r="CF90" s="96">
        <f t="shared" si="103"/>
        <v>0</v>
      </c>
      <c r="CG90" s="96">
        <f t="shared" si="103"/>
        <v>0</v>
      </c>
      <c r="CH90" s="96">
        <f t="shared" si="103"/>
        <v>0</v>
      </c>
      <c r="CI90" s="96">
        <f t="shared" si="64"/>
        <v>0</v>
      </c>
      <c r="CJ90" s="96">
        <f t="shared" si="64"/>
        <v>0</v>
      </c>
      <c r="CK90" s="96">
        <f t="shared" si="64"/>
        <v>0</v>
      </c>
      <c r="CL90" s="286">
        <f t="shared" si="64"/>
        <v>0</v>
      </c>
      <c r="CM90" s="305" t="s">
        <v>293</v>
      </c>
      <c r="CN90" s="315">
        <v>0.05</v>
      </c>
      <c r="CO90" s="306"/>
      <c r="CP90" s="307" t="str">
        <f>IF($CO90&lt;&gt;"",$CO90,HLOOKUP($CM90,$AY$6:$BA$132,ROWS(CP$6:CP90),0))</f>
        <v/>
      </c>
      <c r="CQ90" s="784" t="str">
        <f t="shared" si="100"/>
        <v/>
      </c>
      <c r="CR90" s="784" t="str">
        <f t="shared" si="100"/>
        <v/>
      </c>
      <c r="CS90" s="97" t="str">
        <f t="shared" si="100"/>
        <v/>
      </c>
      <c r="CT90" s="97" t="str">
        <f t="shared" si="100"/>
        <v/>
      </c>
      <c r="CU90" s="97" t="str">
        <f t="shared" si="100"/>
        <v/>
      </c>
      <c r="CV90" s="97" t="str">
        <f t="shared" si="100"/>
        <v/>
      </c>
      <c r="CW90" s="97" t="str">
        <f t="shared" si="100"/>
        <v/>
      </c>
      <c r="CX90" s="98" t="str">
        <f t="shared" si="46"/>
        <v/>
      </c>
      <c r="CY90" s="392"/>
    </row>
    <row r="91" spans="1:103" x14ac:dyDescent="0.25">
      <c r="A91" s="81" t="s">
        <v>138</v>
      </c>
      <c r="B91" s="82" t="s">
        <v>185</v>
      </c>
      <c r="C91" s="83" t="s">
        <v>381</v>
      </c>
      <c r="D91" s="84"/>
      <c r="E91" s="85"/>
      <c r="F91" s="85"/>
      <c r="G91" s="85"/>
      <c r="H91" s="85"/>
      <c r="I91" s="85">
        <v>0</v>
      </c>
      <c r="J91" s="85">
        <v>0</v>
      </c>
      <c r="K91" s="85">
        <v>0</v>
      </c>
      <c r="L91" s="85">
        <v>0</v>
      </c>
      <c r="M91" s="654">
        <f>'2022-23 Input'!D91</f>
        <v>0</v>
      </c>
      <c r="N91" s="1065">
        <v>0</v>
      </c>
      <c r="O91" s="560">
        <f t="shared" si="101"/>
        <v>0</v>
      </c>
      <c r="P91" s="561">
        <f t="shared" si="75"/>
        <v>0</v>
      </c>
      <c r="Q91" s="561">
        <f t="shared" si="76"/>
        <v>0</v>
      </c>
      <c r="R91" s="561">
        <f t="shared" si="77"/>
        <v>0</v>
      </c>
      <c r="S91" s="561">
        <f t="shared" si="78"/>
        <v>0</v>
      </c>
      <c r="T91" s="561">
        <f t="shared" si="79"/>
        <v>0</v>
      </c>
      <c r="U91" s="561">
        <f t="shared" si="80"/>
        <v>0</v>
      </c>
      <c r="V91" s="561">
        <f t="shared" si="81"/>
        <v>0</v>
      </c>
      <c r="W91" s="675">
        <f t="shared" si="82"/>
        <v>0</v>
      </c>
      <c r="X91" s="675">
        <f t="shared" si="83"/>
        <v>0</v>
      </c>
      <c r="Y91" s="675">
        <f t="shared" si="83"/>
        <v>0</v>
      </c>
      <c r="Z91" s="86"/>
      <c r="AA91" s="87"/>
      <c r="AB91" s="87"/>
      <c r="AC91" s="87"/>
      <c r="AD91" s="87"/>
      <c r="AE91" s="87">
        <v>0</v>
      </c>
      <c r="AF91" s="87">
        <v>0</v>
      </c>
      <c r="AG91" s="87">
        <v>0</v>
      </c>
      <c r="AH91" s="87">
        <v>0</v>
      </c>
      <c r="AI91" s="1094">
        <f>'2022-23 Input'!K91</f>
        <v>0</v>
      </c>
      <c r="AJ91" s="665">
        <v>0</v>
      </c>
      <c r="AK91" s="88">
        <f t="shared" si="84"/>
        <v>0</v>
      </c>
      <c r="AL91" s="89">
        <f t="shared" si="85"/>
        <v>0</v>
      </c>
      <c r="AM91" s="90">
        <f t="shared" si="86"/>
        <v>0</v>
      </c>
      <c r="AN91" s="91" t="str">
        <f t="shared" si="87"/>
        <v/>
      </c>
      <c r="AO91" s="92" t="str">
        <f t="shared" si="88"/>
        <v/>
      </c>
      <c r="AP91" s="92" t="str">
        <f t="shared" si="89"/>
        <v/>
      </c>
      <c r="AQ91" s="92" t="str">
        <f t="shared" si="90"/>
        <v/>
      </c>
      <c r="AR91" s="92" t="str">
        <f t="shared" si="91"/>
        <v/>
      </c>
      <c r="AS91" s="92" t="str">
        <f t="shared" si="92"/>
        <v/>
      </c>
      <c r="AT91" s="92" t="str">
        <f t="shared" si="93"/>
        <v/>
      </c>
      <c r="AU91" s="92" t="str">
        <f t="shared" si="94"/>
        <v/>
      </c>
      <c r="AV91" s="92" t="str">
        <f t="shared" si="104"/>
        <v/>
      </c>
      <c r="AW91" s="92" t="str">
        <f t="shared" si="104"/>
        <v/>
      </c>
      <c r="AX91" s="92" t="str">
        <f t="shared" si="104"/>
        <v/>
      </c>
      <c r="AY91" s="93" t="str">
        <f t="shared" si="96"/>
        <v/>
      </c>
      <c r="AZ91" s="94" t="str">
        <f t="shared" si="97"/>
        <v/>
      </c>
      <c r="BA91" s="95" t="str">
        <f t="shared" si="98"/>
        <v/>
      </c>
      <c r="BB91" s="248" t="s">
        <v>422</v>
      </c>
      <c r="BC91" s="229" t="s">
        <v>433</v>
      </c>
      <c r="BD91" s="249">
        <v>0</v>
      </c>
      <c r="BE91" s="267">
        <f t="shared" si="102"/>
        <v>0</v>
      </c>
      <c r="BF91" s="268">
        <f t="shared" si="105"/>
        <v>0</v>
      </c>
      <c r="BG91" s="268">
        <f t="shared" si="105"/>
        <v>0</v>
      </c>
      <c r="BH91" s="268">
        <f t="shared" si="105"/>
        <v>1</v>
      </c>
      <c r="BI91" s="268">
        <f t="shared" si="105"/>
        <v>2</v>
      </c>
      <c r="BJ91" s="268">
        <f t="shared" si="105"/>
        <v>3</v>
      </c>
      <c r="BK91" s="268">
        <f t="shared" si="105"/>
        <v>4</v>
      </c>
      <c r="BL91" s="269">
        <f t="shared" si="105"/>
        <v>5</v>
      </c>
      <c r="BM91" s="256">
        <f>IF($BC91=Lookup!$A$2,$BD91*ROUNDUP(BE91/10,0)+1,
IF($BC91=Lookup!$A$3,($BD91+1)^BD91,
IF($BC91=Lookup!$A$4,BE91*$BD91+1,"Error")))</f>
        <v>1</v>
      </c>
      <c r="BN91" s="229">
        <f>IF($BC91=Lookup!$A$2,$BD91*ROUNDUP(BF91/10,0)+1,
IF($BC91=Lookup!$A$3,($BD91+1)^BE91,
IF($BC91=Lookup!$A$4,BF91*$BD91+1,"Error")))</f>
        <v>1</v>
      </c>
      <c r="BO91" s="229">
        <f>IF($BC91=Lookup!$A$2,$BD91*ROUNDUP(BG91/10,0)+1,
IF($BC91=Lookup!$A$3,($BD91+1)^BF91,
IF($BC91=Lookup!$A$4,BG91*$BD91+1,"Error")))</f>
        <v>1</v>
      </c>
      <c r="BP91" s="229">
        <f>IF($BC91=Lookup!$A$2,$BD91*ROUNDUP(BH91/10,0)+1,
IF($BC91=Lookup!$A$3,($BD91+1)^BG91,
IF($BC91=Lookup!$A$4,BH91*$BD91+1,"Error")))</f>
        <v>1</v>
      </c>
      <c r="BQ91" s="229">
        <f>IF($BC91=Lookup!$A$2,$BD91*ROUNDUP(BI91/10,0)+1,
IF($BC91=Lookup!$A$3,($BD91+1)^BH91,
IF($BC91=Lookup!$A$4,BI91*$BD91+1,"Error")))</f>
        <v>1</v>
      </c>
      <c r="BR91" s="229">
        <f>IF($BC91=Lookup!$A$2,$BD91*ROUNDUP(BJ91/10,0)+1,
IF($BC91=Lookup!$A$3,($BD91+1)^BI91,
IF($BC91=Lookup!$A$4,BJ91*$BD91+1,"Error")))</f>
        <v>1</v>
      </c>
      <c r="BS91" s="229">
        <f>IF($BC91=Lookup!$A$2,$BD91*ROUNDUP(BK91/10,0)+1,
IF($BC91=Lookup!$A$3,($BD91+1)^BJ91,
IF($BC91=Lookup!$A$4,BK91*$BD91+1,"Error")))</f>
        <v>1</v>
      </c>
      <c r="BT91" s="249">
        <f>IF($BC91=Lookup!$A$2,$BD91*ROUNDUP(BL91/10,0)+1,
IF($BC91=Lookup!$A$3,($BD91+1)^BK91,
IF($BC91=Lookup!$A$4,BL91*$BD91+1,"Error")))</f>
        <v>1</v>
      </c>
      <c r="BU91" s="320"/>
      <c r="BV91" s="321"/>
      <c r="BW91" s="321"/>
      <c r="BX91" s="321"/>
      <c r="BY91" s="321"/>
      <c r="BZ91" s="321"/>
      <c r="CA91" s="321"/>
      <c r="CB91" s="277"/>
      <c r="CC91" s="382" t="s">
        <v>293</v>
      </c>
      <c r="CD91" s="383">
        <f>HLOOKUP($CC91,$AK$6:$AM$132,ROWS(CD$6:CD91),0)</f>
        <v>0</v>
      </c>
      <c r="CE91" s="234">
        <f t="shared" si="103"/>
        <v>0</v>
      </c>
      <c r="CF91" s="96">
        <f t="shared" si="103"/>
        <v>0</v>
      </c>
      <c r="CG91" s="96">
        <f t="shared" si="103"/>
        <v>0</v>
      </c>
      <c r="CH91" s="96">
        <f t="shared" si="103"/>
        <v>0</v>
      </c>
      <c r="CI91" s="96">
        <f t="shared" si="64"/>
        <v>0</v>
      </c>
      <c r="CJ91" s="96">
        <f t="shared" si="64"/>
        <v>0</v>
      </c>
      <c r="CK91" s="96">
        <f t="shared" si="64"/>
        <v>0</v>
      </c>
      <c r="CL91" s="286">
        <f t="shared" si="64"/>
        <v>0</v>
      </c>
      <c r="CM91" s="305" t="s">
        <v>293</v>
      </c>
      <c r="CN91" s="315">
        <v>0.05</v>
      </c>
      <c r="CO91" s="306"/>
      <c r="CP91" s="307" t="str">
        <f>IF($CO91&lt;&gt;"",$CO91,HLOOKUP($CM91,$AY$6:$BA$132,ROWS(CP$6:CP91),0))</f>
        <v/>
      </c>
      <c r="CQ91" s="784" t="str">
        <f t="shared" si="100"/>
        <v/>
      </c>
      <c r="CR91" s="784" t="str">
        <f t="shared" si="100"/>
        <v/>
      </c>
      <c r="CS91" s="97" t="str">
        <f t="shared" si="100"/>
        <v/>
      </c>
      <c r="CT91" s="97" t="str">
        <f t="shared" si="100"/>
        <v/>
      </c>
      <c r="CU91" s="97" t="str">
        <f t="shared" si="100"/>
        <v/>
      </c>
      <c r="CV91" s="97" t="str">
        <f t="shared" si="100"/>
        <v/>
      </c>
      <c r="CW91" s="97" t="str">
        <f t="shared" si="100"/>
        <v/>
      </c>
      <c r="CX91" s="98" t="str">
        <f t="shared" si="46"/>
        <v/>
      </c>
      <c r="CY91" s="392"/>
    </row>
    <row r="92" spans="1:103" x14ac:dyDescent="0.25">
      <c r="A92" s="81" t="s">
        <v>138</v>
      </c>
      <c r="B92" s="82" t="s">
        <v>187</v>
      </c>
      <c r="C92" s="83" t="s">
        <v>382</v>
      </c>
      <c r="D92" s="84"/>
      <c r="E92" s="85"/>
      <c r="F92" s="85"/>
      <c r="G92" s="85"/>
      <c r="H92" s="85"/>
      <c r="I92" s="85">
        <v>0</v>
      </c>
      <c r="J92" s="85">
        <v>0</v>
      </c>
      <c r="K92" s="85">
        <v>0</v>
      </c>
      <c r="L92" s="85">
        <v>0</v>
      </c>
      <c r="M92" s="654">
        <f>'2022-23 Input'!D92</f>
        <v>0</v>
      </c>
      <c r="N92" s="1065">
        <v>0</v>
      </c>
      <c r="O92" s="560">
        <f t="shared" si="101"/>
        <v>0</v>
      </c>
      <c r="P92" s="561">
        <f t="shared" si="75"/>
        <v>0</v>
      </c>
      <c r="Q92" s="561">
        <f t="shared" si="76"/>
        <v>0</v>
      </c>
      <c r="R92" s="561">
        <f t="shared" si="77"/>
        <v>0</v>
      </c>
      <c r="S92" s="561">
        <f t="shared" si="78"/>
        <v>0</v>
      </c>
      <c r="T92" s="561">
        <f t="shared" si="79"/>
        <v>0</v>
      </c>
      <c r="U92" s="561">
        <f t="shared" si="80"/>
        <v>0</v>
      </c>
      <c r="V92" s="561">
        <f t="shared" si="81"/>
        <v>0</v>
      </c>
      <c r="W92" s="675">
        <f t="shared" si="82"/>
        <v>0</v>
      </c>
      <c r="X92" s="675">
        <f t="shared" si="83"/>
        <v>0</v>
      </c>
      <c r="Y92" s="675">
        <f t="shared" si="83"/>
        <v>0</v>
      </c>
      <c r="Z92" s="86"/>
      <c r="AA92" s="87"/>
      <c r="AB92" s="87"/>
      <c r="AC92" s="87"/>
      <c r="AD92" s="87"/>
      <c r="AE92" s="87">
        <v>0</v>
      </c>
      <c r="AF92" s="87">
        <v>0</v>
      </c>
      <c r="AG92" s="87">
        <v>0</v>
      </c>
      <c r="AH92" s="87">
        <v>0</v>
      </c>
      <c r="AI92" s="1094">
        <f>'2022-23 Input'!K92</f>
        <v>0</v>
      </c>
      <c r="AJ92" s="665">
        <v>0</v>
      </c>
      <c r="AK92" s="88">
        <f t="shared" si="84"/>
        <v>0</v>
      </c>
      <c r="AL92" s="89">
        <f t="shared" si="85"/>
        <v>0</v>
      </c>
      <c r="AM92" s="90">
        <f t="shared" si="86"/>
        <v>0</v>
      </c>
      <c r="AN92" s="91" t="str">
        <f t="shared" si="87"/>
        <v/>
      </c>
      <c r="AO92" s="92" t="str">
        <f t="shared" si="88"/>
        <v/>
      </c>
      <c r="AP92" s="92" t="str">
        <f t="shared" si="89"/>
        <v/>
      </c>
      <c r="AQ92" s="92" t="str">
        <f t="shared" si="90"/>
        <v/>
      </c>
      <c r="AR92" s="92" t="str">
        <f t="shared" si="91"/>
        <v/>
      </c>
      <c r="AS92" s="92" t="str">
        <f t="shared" si="92"/>
        <v/>
      </c>
      <c r="AT92" s="92" t="str">
        <f t="shared" si="93"/>
        <v/>
      </c>
      <c r="AU92" s="92" t="str">
        <f t="shared" si="94"/>
        <v/>
      </c>
      <c r="AV92" s="92" t="str">
        <f t="shared" si="104"/>
        <v/>
      </c>
      <c r="AW92" s="92" t="str">
        <f t="shared" si="104"/>
        <v/>
      </c>
      <c r="AX92" s="92" t="str">
        <f t="shared" si="104"/>
        <v/>
      </c>
      <c r="AY92" s="93" t="str">
        <f t="shared" si="96"/>
        <v/>
      </c>
      <c r="AZ92" s="94" t="str">
        <f t="shared" si="97"/>
        <v/>
      </c>
      <c r="BA92" s="95" t="str">
        <f t="shared" si="98"/>
        <v/>
      </c>
      <c r="BB92" s="248" t="s">
        <v>422</v>
      </c>
      <c r="BC92" s="229" t="s">
        <v>433</v>
      </c>
      <c r="BD92" s="249">
        <v>0</v>
      </c>
      <c r="BE92" s="267">
        <f t="shared" si="102"/>
        <v>0</v>
      </c>
      <c r="BF92" s="268">
        <f t="shared" si="105"/>
        <v>0</v>
      </c>
      <c r="BG92" s="268">
        <f t="shared" si="105"/>
        <v>0</v>
      </c>
      <c r="BH92" s="268">
        <f t="shared" si="105"/>
        <v>1</v>
      </c>
      <c r="BI92" s="268">
        <f t="shared" si="105"/>
        <v>2</v>
      </c>
      <c r="BJ92" s="268">
        <f t="shared" si="105"/>
        <v>3</v>
      </c>
      <c r="BK92" s="268">
        <f t="shared" si="105"/>
        <v>4</v>
      </c>
      <c r="BL92" s="269">
        <f t="shared" si="105"/>
        <v>5</v>
      </c>
      <c r="BM92" s="256">
        <f>IF($BC92=Lookup!$A$2,$BD92*ROUNDUP(BE92/10,0)+1,
IF($BC92=Lookup!$A$3,($BD92+1)^BD92,
IF($BC92=Lookup!$A$4,BE92*$BD92+1,"Error")))</f>
        <v>1</v>
      </c>
      <c r="BN92" s="229">
        <f>IF($BC92=Lookup!$A$2,$BD92*ROUNDUP(BF92/10,0)+1,
IF($BC92=Lookup!$A$3,($BD92+1)^BE92,
IF($BC92=Lookup!$A$4,BF92*$BD92+1,"Error")))</f>
        <v>1</v>
      </c>
      <c r="BO92" s="229">
        <f>IF($BC92=Lookup!$A$2,$BD92*ROUNDUP(BG92/10,0)+1,
IF($BC92=Lookup!$A$3,($BD92+1)^BF92,
IF($BC92=Lookup!$A$4,BG92*$BD92+1,"Error")))</f>
        <v>1</v>
      </c>
      <c r="BP92" s="229">
        <f>IF($BC92=Lookup!$A$2,$BD92*ROUNDUP(BH92/10,0)+1,
IF($BC92=Lookup!$A$3,($BD92+1)^BG92,
IF($BC92=Lookup!$A$4,BH92*$BD92+1,"Error")))</f>
        <v>1</v>
      </c>
      <c r="BQ92" s="229">
        <f>IF($BC92=Lookup!$A$2,$BD92*ROUNDUP(BI92/10,0)+1,
IF($BC92=Lookup!$A$3,($BD92+1)^BH92,
IF($BC92=Lookup!$A$4,BI92*$BD92+1,"Error")))</f>
        <v>1</v>
      </c>
      <c r="BR92" s="229">
        <f>IF($BC92=Lookup!$A$2,$BD92*ROUNDUP(BJ92/10,0)+1,
IF($BC92=Lookup!$A$3,($BD92+1)^BI92,
IF($BC92=Lookup!$A$4,BJ92*$BD92+1,"Error")))</f>
        <v>1</v>
      </c>
      <c r="BS92" s="229">
        <f>IF($BC92=Lookup!$A$2,$BD92*ROUNDUP(BK92/10,0)+1,
IF($BC92=Lookup!$A$3,($BD92+1)^BJ92,
IF($BC92=Lookup!$A$4,BK92*$BD92+1,"Error")))</f>
        <v>1</v>
      </c>
      <c r="BT92" s="249">
        <f>IF($BC92=Lookup!$A$2,$BD92*ROUNDUP(BL92/10,0)+1,
IF($BC92=Lookup!$A$3,($BD92+1)^BK92,
IF($BC92=Lookup!$A$4,BL92*$BD92+1,"Error")))</f>
        <v>1</v>
      </c>
      <c r="BU92" s="320"/>
      <c r="BV92" s="321"/>
      <c r="BW92" s="321"/>
      <c r="BX92" s="321"/>
      <c r="BY92" s="321"/>
      <c r="BZ92" s="321"/>
      <c r="CA92" s="321"/>
      <c r="CB92" s="277"/>
      <c r="CC92" s="382" t="s">
        <v>293</v>
      </c>
      <c r="CD92" s="383">
        <f>HLOOKUP($CC92,$AK$6:$AM$132,ROWS(CD$6:CD92),0)</f>
        <v>0</v>
      </c>
      <c r="CE92" s="234">
        <f t="shared" si="103"/>
        <v>0</v>
      </c>
      <c r="CF92" s="96">
        <f t="shared" si="103"/>
        <v>0</v>
      </c>
      <c r="CG92" s="96">
        <f t="shared" si="103"/>
        <v>0</v>
      </c>
      <c r="CH92" s="96">
        <f t="shared" si="103"/>
        <v>0</v>
      </c>
      <c r="CI92" s="96">
        <f t="shared" si="64"/>
        <v>0</v>
      </c>
      <c r="CJ92" s="96">
        <f t="shared" si="64"/>
        <v>0</v>
      </c>
      <c r="CK92" s="96">
        <f t="shared" si="64"/>
        <v>0</v>
      </c>
      <c r="CL92" s="286">
        <f t="shared" si="64"/>
        <v>0</v>
      </c>
      <c r="CM92" s="305" t="s">
        <v>293</v>
      </c>
      <c r="CN92" s="315">
        <v>0.05</v>
      </c>
      <c r="CO92" s="306"/>
      <c r="CP92" s="307" t="str">
        <f>IF($CO92&lt;&gt;"",$CO92,HLOOKUP($CM92,$AY$6:$BA$132,ROWS(CP$6:CP92),0))</f>
        <v/>
      </c>
      <c r="CQ92" s="784" t="str">
        <f t="shared" si="100"/>
        <v/>
      </c>
      <c r="CR92" s="784" t="str">
        <f t="shared" si="100"/>
        <v/>
      </c>
      <c r="CS92" s="97" t="str">
        <f t="shared" si="100"/>
        <v/>
      </c>
      <c r="CT92" s="97" t="str">
        <f t="shared" si="100"/>
        <v/>
      </c>
      <c r="CU92" s="97" t="str">
        <f t="shared" si="100"/>
        <v/>
      </c>
      <c r="CV92" s="97" t="str">
        <f t="shared" si="100"/>
        <v/>
      </c>
      <c r="CW92" s="97" t="str">
        <f t="shared" si="100"/>
        <v/>
      </c>
      <c r="CX92" s="98" t="str">
        <f t="shared" si="46"/>
        <v/>
      </c>
      <c r="CY92" s="392"/>
    </row>
    <row r="93" spans="1:103" x14ac:dyDescent="0.25">
      <c r="A93" s="81" t="s">
        <v>138</v>
      </c>
      <c r="B93" s="82" t="s">
        <v>189</v>
      </c>
      <c r="C93" s="83" t="s">
        <v>383</v>
      </c>
      <c r="D93" s="84"/>
      <c r="E93" s="85"/>
      <c r="F93" s="85"/>
      <c r="G93" s="85"/>
      <c r="H93" s="85"/>
      <c r="I93" s="85">
        <v>0</v>
      </c>
      <c r="J93" s="85">
        <v>0</v>
      </c>
      <c r="K93" s="85">
        <v>0</v>
      </c>
      <c r="L93" s="85">
        <v>0</v>
      </c>
      <c r="M93" s="654">
        <f>'2022-23 Input'!D93</f>
        <v>0</v>
      </c>
      <c r="N93" s="1065">
        <v>0</v>
      </c>
      <c r="O93" s="560">
        <f t="shared" si="101"/>
        <v>0</v>
      </c>
      <c r="P93" s="561">
        <f t="shared" si="75"/>
        <v>0</v>
      </c>
      <c r="Q93" s="561">
        <f t="shared" si="76"/>
        <v>0</v>
      </c>
      <c r="R93" s="561">
        <f t="shared" si="77"/>
        <v>0</v>
      </c>
      <c r="S93" s="561">
        <f t="shared" si="78"/>
        <v>0</v>
      </c>
      <c r="T93" s="561">
        <f t="shared" si="79"/>
        <v>0</v>
      </c>
      <c r="U93" s="561">
        <f t="shared" si="80"/>
        <v>0</v>
      </c>
      <c r="V93" s="561">
        <f t="shared" si="81"/>
        <v>0</v>
      </c>
      <c r="W93" s="675">
        <f t="shared" si="82"/>
        <v>0</v>
      </c>
      <c r="X93" s="675">
        <f t="shared" si="83"/>
        <v>0</v>
      </c>
      <c r="Y93" s="675">
        <f t="shared" si="83"/>
        <v>0</v>
      </c>
      <c r="Z93" s="86"/>
      <c r="AA93" s="87"/>
      <c r="AB93" s="87"/>
      <c r="AC93" s="87"/>
      <c r="AD93" s="87"/>
      <c r="AE93" s="87">
        <v>0</v>
      </c>
      <c r="AF93" s="87">
        <v>0</v>
      </c>
      <c r="AG93" s="87">
        <v>0</v>
      </c>
      <c r="AH93" s="87">
        <v>0</v>
      </c>
      <c r="AI93" s="1094">
        <f>'2022-23 Input'!K93</f>
        <v>0</v>
      </c>
      <c r="AJ93" s="665">
        <v>0</v>
      </c>
      <c r="AK93" s="88">
        <f t="shared" si="84"/>
        <v>0</v>
      </c>
      <c r="AL93" s="89">
        <f t="shared" si="85"/>
        <v>0</v>
      </c>
      <c r="AM93" s="90">
        <f t="shared" si="86"/>
        <v>0</v>
      </c>
      <c r="AN93" s="91" t="str">
        <f t="shared" si="87"/>
        <v/>
      </c>
      <c r="AO93" s="92" t="str">
        <f t="shared" si="88"/>
        <v/>
      </c>
      <c r="AP93" s="92" t="str">
        <f t="shared" si="89"/>
        <v/>
      </c>
      <c r="AQ93" s="92" t="str">
        <f t="shared" si="90"/>
        <v/>
      </c>
      <c r="AR93" s="92" t="str">
        <f t="shared" si="91"/>
        <v/>
      </c>
      <c r="AS93" s="92" t="str">
        <f t="shared" si="92"/>
        <v/>
      </c>
      <c r="AT93" s="92" t="str">
        <f t="shared" si="93"/>
        <v/>
      </c>
      <c r="AU93" s="92" t="str">
        <f t="shared" si="94"/>
        <v/>
      </c>
      <c r="AV93" s="92" t="str">
        <f t="shared" si="104"/>
        <v/>
      </c>
      <c r="AW93" s="92" t="str">
        <f t="shared" si="104"/>
        <v/>
      </c>
      <c r="AX93" s="92" t="str">
        <f t="shared" si="104"/>
        <v/>
      </c>
      <c r="AY93" s="93" t="str">
        <f t="shared" si="96"/>
        <v/>
      </c>
      <c r="AZ93" s="94" t="str">
        <f t="shared" si="97"/>
        <v/>
      </c>
      <c r="BA93" s="95" t="str">
        <f t="shared" si="98"/>
        <v/>
      </c>
      <c r="BB93" s="248" t="s">
        <v>422</v>
      </c>
      <c r="BC93" s="229" t="s">
        <v>433</v>
      </c>
      <c r="BD93" s="249">
        <v>0</v>
      </c>
      <c r="BE93" s="267">
        <f t="shared" si="102"/>
        <v>0</v>
      </c>
      <c r="BF93" s="268">
        <f t="shared" si="105"/>
        <v>0</v>
      </c>
      <c r="BG93" s="268">
        <f t="shared" si="105"/>
        <v>0</v>
      </c>
      <c r="BH93" s="268">
        <f t="shared" si="105"/>
        <v>1</v>
      </c>
      <c r="BI93" s="268">
        <f t="shared" si="105"/>
        <v>2</v>
      </c>
      <c r="BJ93" s="268">
        <f t="shared" si="105"/>
        <v>3</v>
      </c>
      <c r="BK93" s="268">
        <f t="shared" si="105"/>
        <v>4</v>
      </c>
      <c r="BL93" s="269">
        <f t="shared" si="105"/>
        <v>5</v>
      </c>
      <c r="BM93" s="256">
        <f>IF($BC93=Lookup!$A$2,$BD93*ROUNDUP(BE93/10,0)+1,
IF($BC93=Lookup!$A$3,($BD93+1)^BD93,
IF($BC93=Lookup!$A$4,BE93*$BD93+1,"Error")))</f>
        <v>1</v>
      </c>
      <c r="BN93" s="229">
        <f>IF($BC93=Lookup!$A$2,$BD93*ROUNDUP(BF93/10,0)+1,
IF($BC93=Lookup!$A$3,($BD93+1)^BE93,
IF($BC93=Lookup!$A$4,BF93*$BD93+1,"Error")))</f>
        <v>1</v>
      </c>
      <c r="BO93" s="229">
        <f>IF($BC93=Lookup!$A$2,$BD93*ROUNDUP(BG93/10,0)+1,
IF($BC93=Lookup!$A$3,($BD93+1)^BF93,
IF($BC93=Lookup!$A$4,BG93*$BD93+1,"Error")))</f>
        <v>1</v>
      </c>
      <c r="BP93" s="229">
        <f>IF($BC93=Lookup!$A$2,$BD93*ROUNDUP(BH93/10,0)+1,
IF($BC93=Lookup!$A$3,($BD93+1)^BG93,
IF($BC93=Lookup!$A$4,BH93*$BD93+1,"Error")))</f>
        <v>1</v>
      </c>
      <c r="BQ93" s="229">
        <f>IF($BC93=Lookup!$A$2,$BD93*ROUNDUP(BI93/10,0)+1,
IF($BC93=Lookup!$A$3,($BD93+1)^BH93,
IF($BC93=Lookup!$A$4,BI93*$BD93+1,"Error")))</f>
        <v>1</v>
      </c>
      <c r="BR93" s="229">
        <f>IF($BC93=Lookup!$A$2,$BD93*ROUNDUP(BJ93/10,0)+1,
IF($BC93=Lookup!$A$3,($BD93+1)^BI93,
IF($BC93=Lookup!$A$4,BJ93*$BD93+1,"Error")))</f>
        <v>1</v>
      </c>
      <c r="BS93" s="229">
        <f>IF($BC93=Lookup!$A$2,$BD93*ROUNDUP(BK93/10,0)+1,
IF($BC93=Lookup!$A$3,($BD93+1)^BJ93,
IF($BC93=Lookup!$A$4,BK93*$BD93+1,"Error")))</f>
        <v>1</v>
      </c>
      <c r="BT93" s="249">
        <f>IF($BC93=Lookup!$A$2,$BD93*ROUNDUP(BL93/10,0)+1,
IF($BC93=Lookup!$A$3,($BD93+1)^BK93,
IF($BC93=Lookup!$A$4,BL93*$BD93+1,"Error")))</f>
        <v>1</v>
      </c>
      <c r="BU93" s="320"/>
      <c r="BV93" s="321"/>
      <c r="BW93" s="321"/>
      <c r="BX93" s="321"/>
      <c r="BY93" s="321"/>
      <c r="BZ93" s="321"/>
      <c r="CA93" s="321"/>
      <c r="CB93" s="277"/>
      <c r="CC93" s="382" t="s">
        <v>293</v>
      </c>
      <c r="CD93" s="383">
        <f>HLOOKUP($CC93,$AK$6:$AM$132,ROWS(CD$6:CD93),0)</f>
        <v>0</v>
      </c>
      <c r="CE93" s="234">
        <f t="shared" si="103"/>
        <v>0</v>
      </c>
      <c r="CF93" s="96">
        <f t="shared" si="103"/>
        <v>0</v>
      </c>
      <c r="CG93" s="96">
        <f t="shared" si="103"/>
        <v>0</v>
      </c>
      <c r="CH93" s="96">
        <f t="shared" si="103"/>
        <v>0</v>
      </c>
      <c r="CI93" s="96">
        <f t="shared" si="64"/>
        <v>0</v>
      </c>
      <c r="CJ93" s="96">
        <f t="shared" si="64"/>
        <v>0</v>
      </c>
      <c r="CK93" s="96">
        <f t="shared" si="64"/>
        <v>0</v>
      </c>
      <c r="CL93" s="286">
        <f t="shared" si="64"/>
        <v>0</v>
      </c>
      <c r="CM93" s="305" t="s">
        <v>293</v>
      </c>
      <c r="CN93" s="315">
        <v>0.05</v>
      </c>
      <c r="CO93" s="306"/>
      <c r="CP93" s="307" t="str">
        <f>IF($CO93&lt;&gt;"",$CO93,HLOOKUP($CM93,$AY$6:$BA$132,ROWS(CP$6:CP93),0))</f>
        <v/>
      </c>
      <c r="CQ93" s="784" t="str">
        <f t="shared" si="100"/>
        <v/>
      </c>
      <c r="CR93" s="784" t="str">
        <f t="shared" si="100"/>
        <v/>
      </c>
      <c r="CS93" s="97" t="str">
        <f t="shared" si="100"/>
        <v/>
      </c>
      <c r="CT93" s="97" t="str">
        <f t="shared" si="100"/>
        <v/>
      </c>
      <c r="CU93" s="97" t="str">
        <f t="shared" si="100"/>
        <v/>
      </c>
      <c r="CV93" s="97" t="str">
        <f t="shared" si="100"/>
        <v/>
      </c>
      <c r="CW93" s="97" t="str">
        <f t="shared" si="100"/>
        <v/>
      </c>
      <c r="CX93" s="98" t="str">
        <f t="shared" si="46"/>
        <v/>
      </c>
      <c r="CY93" s="392"/>
    </row>
    <row r="94" spans="1:103" x14ac:dyDescent="0.25">
      <c r="A94" s="81" t="s">
        <v>138</v>
      </c>
      <c r="B94" s="82" t="s">
        <v>191</v>
      </c>
      <c r="C94" s="83" t="s">
        <v>384</v>
      </c>
      <c r="D94" s="84"/>
      <c r="E94" s="85"/>
      <c r="F94" s="85"/>
      <c r="G94" s="85"/>
      <c r="H94" s="85"/>
      <c r="I94" s="85">
        <v>0</v>
      </c>
      <c r="J94" s="85">
        <v>0</v>
      </c>
      <c r="K94" s="85">
        <v>0</v>
      </c>
      <c r="L94" s="85">
        <v>0</v>
      </c>
      <c r="M94" s="654">
        <f>'2022-23 Input'!D94</f>
        <v>0</v>
      </c>
      <c r="N94" s="1065">
        <v>0</v>
      </c>
      <c r="O94" s="560">
        <f t="shared" si="101"/>
        <v>0</v>
      </c>
      <c r="P94" s="561">
        <f t="shared" si="75"/>
        <v>0</v>
      </c>
      <c r="Q94" s="561">
        <f t="shared" si="76"/>
        <v>0</v>
      </c>
      <c r="R94" s="561">
        <f t="shared" si="77"/>
        <v>0</v>
      </c>
      <c r="S94" s="561">
        <f t="shared" si="78"/>
        <v>0</v>
      </c>
      <c r="T94" s="561">
        <f t="shared" si="79"/>
        <v>0</v>
      </c>
      <c r="U94" s="561">
        <f t="shared" si="80"/>
        <v>0</v>
      </c>
      <c r="V94" s="561">
        <f t="shared" si="81"/>
        <v>0</v>
      </c>
      <c r="W94" s="675">
        <f t="shared" si="82"/>
        <v>0</v>
      </c>
      <c r="X94" s="675">
        <f t="shared" si="83"/>
        <v>0</v>
      </c>
      <c r="Y94" s="675">
        <f t="shared" si="83"/>
        <v>0</v>
      </c>
      <c r="Z94" s="86"/>
      <c r="AA94" s="87"/>
      <c r="AB94" s="87"/>
      <c r="AC94" s="87"/>
      <c r="AD94" s="87"/>
      <c r="AE94" s="87">
        <v>0</v>
      </c>
      <c r="AF94" s="87">
        <v>0</v>
      </c>
      <c r="AG94" s="87">
        <v>0</v>
      </c>
      <c r="AH94" s="87">
        <v>0</v>
      </c>
      <c r="AI94" s="1094">
        <f>'2022-23 Input'!K94</f>
        <v>0</v>
      </c>
      <c r="AJ94" s="665">
        <v>0</v>
      </c>
      <c r="AK94" s="88">
        <f t="shared" si="84"/>
        <v>0</v>
      </c>
      <c r="AL94" s="89">
        <f t="shared" si="85"/>
        <v>0</v>
      </c>
      <c r="AM94" s="90">
        <f t="shared" si="86"/>
        <v>0</v>
      </c>
      <c r="AN94" s="91" t="str">
        <f t="shared" si="87"/>
        <v/>
      </c>
      <c r="AO94" s="92" t="str">
        <f t="shared" si="88"/>
        <v/>
      </c>
      <c r="AP94" s="92" t="str">
        <f t="shared" si="89"/>
        <v/>
      </c>
      <c r="AQ94" s="92" t="str">
        <f t="shared" si="90"/>
        <v/>
      </c>
      <c r="AR94" s="92" t="str">
        <f t="shared" si="91"/>
        <v/>
      </c>
      <c r="AS94" s="92" t="str">
        <f t="shared" si="92"/>
        <v/>
      </c>
      <c r="AT94" s="92" t="str">
        <f t="shared" si="93"/>
        <v/>
      </c>
      <c r="AU94" s="92" t="str">
        <f t="shared" si="94"/>
        <v/>
      </c>
      <c r="AV94" s="92" t="str">
        <f t="shared" si="104"/>
        <v/>
      </c>
      <c r="AW94" s="92" t="str">
        <f t="shared" si="104"/>
        <v/>
      </c>
      <c r="AX94" s="92" t="str">
        <f t="shared" si="104"/>
        <v/>
      </c>
      <c r="AY94" s="93" t="str">
        <f t="shared" si="96"/>
        <v/>
      </c>
      <c r="AZ94" s="94" t="str">
        <f t="shared" si="97"/>
        <v/>
      </c>
      <c r="BA94" s="95" t="str">
        <f t="shared" si="98"/>
        <v/>
      </c>
      <c r="BB94" s="248" t="s">
        <v>422</v>
      </c>
      <c r="BC94" s="229" t="s">
        <v>433</v>
      </c>
      <c r="BD94" s="249">
        <v>0</v>
      </c>
      <c r="BE94" s="267">
        <f t="shared" si="102"/>
        <v>0</v>
      </c>
      <c r="BF94" s="268">
        <f t="shared" si="105"/>
        <v>0</v>
      </c>
      <c r="BG94" s="268">
        <f t="shared" si="105"/>
        <v>0</v>
      </c>
      <c r="BH94" s="268">
        <f t="shared" si="105"/>
        <v>1</v>
      </c>
      <c r="BI94" s="268">
        <f t="shared" si="105"/>
        <v>2</v>
      </c>
      <c r="BJ94" s="268">
        <f t="shared" si="105"/>
        <v>3</v>
      </c>
      <c r="BK94" s="268">
        <f t="shared" si="105"/>
        <v>4</v>
      </c>
      <c r="BL94" s="269">
        <f t="shared" si="105"/>
        <v>5</v>
      </c>
      <c r="BM94" s="256">
        <f>IF($BC94=Lookup!$A$2,$BD94*ROUNDUP(BE94/10,0)+1,
IF($BC94=Lookup!$A$3,($BD94+1)^BD94,
IF($BC94=Lookup!$A$4,BE94*$BD94+1,"Error")))</f>
        <v>1</v>
      </c>
      <c r="BN94" s="229">
        <f>IF($BC94=Lookup!$A$2,$BD94*ROUNDUP(BF94/10,0)+1,
IF($BC94=Lookup!$A$3,($BD94+1)^BE94,
IF($BC94=Lookup!$A$4,BF94*$BD94+1,"Error")))</f>
        <v>1</v>
      </c>
      <c r="BO94" s="229">
        <f>IF($BC94=Lookup!$A$2,$BD94*ROUNDUP(BG94/10,0)+1,
IF($BC94=Lookup!$A$3,($BD94+1)^BF94,
IF($BC94=Lookup!$A$4,BG94*$BD94+1,"Error")))</f>
        <v>1</v>
      </c>
      <c r="BP94" s="229">
        <f>IF($BC94=Lookup!$A$2,$BD94*ROUNDUP(BH94/10,0)+1,
IF($BC94=Lookup!$A$3,($BD94+1)^BG94,
IF($BC94=Lookup!$A$4,BH94*$BD94+1,"Error")))</f>
        <v>1</v>
      </c>
      <c r="BQ94" s="229">
        <f>IF($BC94=Lookup!$A$2,$BD94*ROUNDUP(BI94/10,0)+1,
IF($BC94=Lookup!$A$3,($BD94+1)^BH94,
IF($BC94=Lookup!$A$4,BI94*$BD94+1,"Error")))</f>
        <v>1</v>
      </c>
      <c r="BR94" s="229">
        <f>IF($BC94=Lookup!$A$2,$BD94*ROUNDUP(BJ94/10,0)+1,
IF($BC94=Lookup!$A$3,($BD94+1)^BI94,
IF($BC94=Lookup!$A$4,BJ94*$BD94+1,"Error")))</f>
        <v>1</v>
      </c>
      <c r="BS94" s="229">
        <f>IF($BC94=Lookup!$A$2,$BD94*ROUNDUP(BK94/10,0)+1,
IF($BC94=Lookup!$A$3,($BD94+1)^BJ94,
IF($BC94=Lookup!$A$4,BK94*$BD94+1,"Error")))</f>
        <v>1</v>
      </c>
      <c r="BT94" s="249">
        <f>IF($BC94=Lookup!$A$2,$BD94*ROUNDUP(BL94/10,0)+1,
IF($BC94=Lookup!$A$3,($BD94+1)^BK94,
IF($BC94=Lookup!$A$4,BL94*$BD94+1,"Error")))</f>
        <v>1</v>
      </c>
      <c r="BU94" s="320"/>
      <c r="BV94" s="321"/>
      <c r="BW94" s="321"/>
      <c r="BX94" s="321"/>
      <c r="BY94" s="321"/>
      <c r="BZ94" s="321"/>
      <c r="CA94" s="321"/>
      <c r="CB94" s="277"/>
      <c r="CC94" s="382" t="s">
        <v>293</v>
      </c>
      <c r="CD94" s="383">
        <f>HLOOKUP($CC94,$AK$6:$AM$132,ROWS(CD$6:CD94),0)</f>
        <v>0</v>
      </c>
      <c r="CE94" s="234">
        <f t="shared" si="103"/>
        <v>0</v>
      </c>
      <c r="CF94" s="96">
        <f t="shared" si="103"/>
        <v>0</v>
      </c>
      <c r="CG94" s="96">
        <f t="shared" si="103"/>
        <v>0</v>
      </c>
      <c r="CH94" s="96">
        <f t="shared" si="103"/>
        <v>0</v>
      </c>
      <c r="CI94" s="96">
        <f t="shared" si="64"/>
        <v>0</v>
      </c>
      <c r="CJ94" s="96">
        <f t="shared" si="64"/>
        <v>0</v>
      </c>
      <c r="CK94" s="96">
        <f t="shared" si="64"/>
        <v>0</v>
      </c>
      <c r="CL94" s="286">
        <f t="shared" si="64"/>
        <v>0</v>
      </c>
      <c r="CM94" s="305" t="s">
        <v>293</v>
      </c>
      <c r="CN94" s="315">
        <v>0.05</v>
      </c>
      <c r="CO94" s="306"/>
      <c r="CP94" s="307" t="str">
        <f>IF($CO94&lt;&gt;"",$CO94,HLOOKUP($CM94,$AY$6:$BA$132,ROWS(CP$6:CP94),0))</f>
        <v/>
      </c>
      <c r="CQ94" s="784" t="str">
        <f t="shared" si="100"/>
        <v/>
      </c>
      <c r="CR94" s="784" t="str">
        <f t="shared" si="100"/>
        <v/>
      </c>
      <c r="CS94" s="97" t="str">
        <f t="shared" si="100"/>
        <v/>
      </c>
      <c r="CT94" s="97" t="str">
        <f t="shared" si="100"/>
        <v/>
      </c>
      <c r="CU94" s="97" t="str">
        <f t="shared" si="100"/>
        <v/>
      </c>
      <c r="CV94" s="97" t="str">
        <f t="shared" si="100"/>
        <v/>
      </c>
      <c r="CW94" s="97" t="str">
        <f t="shared" si="100"/>
        <v/>
      </c>
      <c r="CX94" s="98" t="str">
        <f t="shared" si="46"/>
        <v/>
      </c>
      <c r="CY94" s="392"/>
    </row>
    <row r="95" spans="1:103" ht="15.75" thickBot="1" x14ac:dyDescent="0.3">
      <c r="A95" s="100" t="s">
        <v>138</v>
      </c>
      <c r="B95" s="101" t="s">
        <v>385</v>
      </c>
      <c r="C95" s="102" t="s">
        <v>386</v>
      </c>
      <c r="D95" s="103"/>
      <c r="E95" s="104"/>
      <c r="F95" s="104"/>
      <c r="G95" s="104"/>
      <c r="H95" s="104"/>
      <c r="I95" s="104">
        <v>0</v>
      </c>
      <c r="J95" s="104">
        <v>0</v>
      </c>
      <c r="K95" s="104">
        <v>0</v>
      </c>
      <c r="L95" s="104">
        <v>0</v>
      </c>
      <c r="M95" s="655">
        <f>'2022-23 Input'!D95</f>
        <v>0</v>
      </c>
      <c r="N95" s="1066">
        <v>0</v>
      </c>
      <c r="O95" s="563">
        <f t="shared" si="101"/>
        <v>0</v>
      </c>
      <c r="P95" s="564">
        <f t="shared" si="75"/>
        <v>0</v>
      </c>
      <c r="Q95" s="564">
        <f t="shared" si="76"/>
        <v>0</v>
      </c>
      <c r="R95" s="564">
        <f t="shared" si="77"/>
        <v>0</v>
      </c>
      <c r="S95" s="564">
        <f t="shared" si="78"/>
        <v>0</v>
      </c>
      <c r="T95" s="564">
        <f t="shared" si="79"/>
        <v>0</v>
      </c>
      <c r="U95" s="564">
        <f t="shared" si="80"/>
        <v>0</v>
      </c>
      <c r="V95" s="564">
        <f t="shared" si="81"/>
        <v>0</v>
      </c>
      <c r="W95" s="676">
        <f t="shared" si="82"/>
        <v>0</v>
      </c>
      <c r="X95" s="676">
        <f t="shared" si="83"/>
        <v>0</v>
      </c>
      <c r="Y95" s="676">
        <f t="shared" si="83"/>
        <v>0</v>
      </c>
      <c r="Z95" s="105"/>
      <c r="AA95" s="106"/>
      <c r="AB95" s="106"/>
      <c r="AC95" s="106"/>
      <c r="AD95" s="106"/>
      <c r="AE95" s="106">
        <v>0</v>
      </c>
      <c r="AF95" s="106">
        <v>0</v>
      </c>
      <c r="AG95" s="106">
        <v>0</v>
      </c>
      <c r="AH95" s="106">
        <v>0</v>
      </c>
      <c r="AI95" s="1095">
        <f>'2022-23 Input'!K95</f>
        <v>0</v>
      </c>
      <c r="AJ95" s="666">
        <v>0</v>
      </c>
      <c r="AK95" s="107">
        <f t="shared" si="84"/>
        <v>0</v>
      </c>
      <c r="AL95" s="108">
        <f t="shared" si="85"/>
        <v>0</v>
      </c>
      <c r="AM95" s="109">
        <f t="shared" si="86"/>
        <v>0</v>
      </c>
      <c r="AN95" s="110" t="str">
        <f t="shared" si="87"/>
        <v/>
      </c>
      <c r="AO95" s="111" t="str">
        <f t="shared" si="88"/>
        <v/>
      </c>
      <c r="AP95" s="111" t="str">
        <f t="shared" si="89"/>
        <v/>
      </c>
      <c r="AQ95" s="111" t="str">
        <f t="shared" si="90"/>
        <v/>
      </c>
      <c r="AR95" s="111" t="str">
        <f t="shared" si="91"/>
        <v/>
      </c>
      <c r="AS95" s="111" t="str">
        <f t="shared" si="92"/>
        <v/>
      </c>
      <c r="AT95" s="111" t="str">
        <f t="shared" si="93"/>
        <v/>
      </c>
      <c r="AU95" s="111" t="str">
        <f t="shared" si="94"/>
        <v/>
      </c>
      <c r="AV95" s="111" t="str">
        <f t="shared" si="104"/>
        <v/>
      </c>
      <c r="AW95" s="111" t="str">
        <f t="shared" si="104"/>
        <v/>
      </c>
      <c r="AX95" s="111" t="str">
        <f t="shared" si="104"/>
        <v/>
      </c>
      <c r="AY95" s="112" t="str">
        <f t="shared" si="96"/>
        <v/>
      </c>
      <c r="AZ95" s="113" t="str">
        <f t="shared" si="97"/>
        <v/>
      </c>
      <c r="BA95" s="114" t="str">
        <f t="shared" si="98"/>
        <v/>
      </c>
      <c r="BB95" s="250" t="s">
        <v>422</v>
      </c>
      <c r="BC95" s="230" t="s">
        <v>433</v>
      </c>
      <c r="BD95" s="251">
        <v>0</v>
      </c>
      <c r="BE95" s="270">
        <f t="shared" si="102"/>
        <v>0</v>
      </c>
      <c r="BF95" s="271">
        <f t="shared" si="105"/>
        <v>0</v>
      </c>
      <c r="BG95" s="271">
        <f t="shared" si="105"/>
        <v>0</v>
      </c>
      <c r="BH95" s="271">
        <f t="shared" si="105"/>
        <v>1</v>
      </c>
      <c r="BI95" s="271">
        <f t="shared" si="105"/>
        <v>2</v>
      </c>
      <c r="BJ95" s="271">
        <f t="shared" si="105"/>
        <v>3</v>
      </c>
      <c r="BK95" s="271">
        <f t="shared" si="105"/>
        <v>4</v>
      </c>
      <c r="BL95" s="272">
        <f t="shared" si="105"/>
        <v>5</v>
      </c>
      <c r="BM95" s="257">
        <f>IF($BC95=Lookup!$A$2,$BD95*ROUNDUP(BE95/10,0)+1,
IF($BC95=Lookup!$A$3,($BD95+1)^BD95,
IF($BC95=Lookup!$A$4,BE95*$BD95+1,"Error")))</f>
        <v>1</v>
      </c>
      <c r="BN95" s="230">
        <f>IF($BC95=Lookup!$A$2,$BD95*ROUNDUP(BF95/10,0)+1,
IF($BC95=Lookup!$A$3,($BD95+1)^BE95,
IF($BC95=Lookup!$A$4,BF95*$BD95+1,"Error")))</f>
        <v>1</v>
      </c>
      <c r="BO95" s="230">
        <f>IF($BC95=Lookup!$A$2,$BD95*ROUNDUP(BG95/10,0)+1,
IF($BC95=Lookup!$A$3,($BD95+1)^BF95,
IF($BC95=Lookup!$A$4,BG95*$BD95+1,"Error")))</f>
        <v>1</v>
      </c>
      <c r="BP95" s="230">
        <f>IF($BC95=Lookup!$A$2,$BD95*ROUNDUP(BH95/10,0)+1,
IF($BC95=Lookup!$A$3,($BD95+1)^BG95,
IF($BC95=Lookup!$A$4,BH95*$BD95+1,"Error")))</f>
        <v>1</v>
      </c>
      <c r="BQ95" s="230">
        <f>IF($BC95=Lookup!$A$2,$BD95*ROUNDUP(BI95/10,0)+1,
IF($BC95=Lookup!$A$3,($BD95+1)^BH95,
IF($BC95=Lookup!$A$4,BI95*$BD95+1,"Error")))</f>
        <v>1</v>
      </c>
      <c r="BR95" s="230">
        <f>IF($BC95=Lookup!$A$2,$BD95*ROUNDUP(BJ95/10,0)+1,
IF($BC95=Lookup!$A$3,($BD95+1)^BI95,
IF($BC95=Lookup!$A$4,BJ95*$BD95+1,"Error")))</f>
        <v>1</v>
      </c>
      <c r="BS95" s="230">
        <f>IF($BC95=Lookup!$A$2,$BD95*ROUNDUP(BK95/10,0)+1,
IF($BC95=Lookup!$A$3,($BD95+1)^BJ95,
IF($BC95=Lookup!$A$4,BK95*$BD95+1,"Error")))</f>
        <v>1</v>
      </c>
      <c r="BT95" s="251">
        <f>IF($BC95=Lookup!$A$2,$BD95*ROUNDUP(BL95/10,0)+1,
IF($BC95=Lookup!$A$3,($BD95+1)^BK95,
IF($BC95=Lookup!$A$4,BL95*$BD95+1,"Error")))</f>
        <v>1</v>
      </c>
      <c r="BU95" s="322"/>
      <c r="BV95" s="323"/>
      <c r="BW95" s="323"/>
      <c r="BX95" s="323"/>
      <c r="BY95" s="323"/>
      <c r="BZ95" s="323"/>
      <c r="CA95" s="323"/>
      <c r="CB95" s="278"/>
      <c r="CC95" s="384" t="s">
        <v>293</v>
      </c>
      <c r="CD95" s="385">
        <f>HLOOKUP($CC95,$AK$6:$AM$132,ROWS(CD$6:CD95),0)</f>
        <v>0</v>
      </c>
      <c r="CE95" s="240">
        <f t="shared" si="103"/>
        <v>0</v>
      </c>
      <c r="CF95" s="141">
        <f t="shared" si="103"/>
        <v>0</v>
      </c>
      <c r="CG95" s="141">
        <f t="shared" si="103"/>
        <v>0</v>
      </c>
      <c r="CH95" s="141">
        <f t="shared" si="103"/>
        <v>0</v>
      </c>
      <c r="CI95" s="141">
        <f t="shared" si="64"/>
        <v>0</v>
      </c>
      <c r="CJ95" s="141">
        <f t="shared" si="64"/>
        <v>0</v>
      </c>
      <c r="CK95" s="141">
        <f t="shared" si="64"/>
        <v>0</v>
      </c>
      <c r="CL95" s="292">
        <f t="shared" si="64"/>
        <v>0</v>
      </c>
      <c r="CM95" s="308" t="s">
        <v>293</v>
      </c>
      <c r="CN95" s="316">
        <v>0.05</v>
      </c>
      <c r="CO95" s="309"/>
      <c r="CP95" s="310" t="str">
        <f>IF($CO95&lt;&gt;"",$CO95,HLOOKUP($CM95,$AY$6:$BA$132,ROWS(CP$6:CP95),0))</f>
        <v/>
      </c>
      <c r="CQ95" s="785" t="str">
        <f t="shared" si="100"/>
        <v/>
      </c>
      <c r="CR95" s="785" t="str">
        <f t="shared" si="100"/>
        <v/>
      </c>
      <c r="CS95" s="117" t="str">
        <f t="shared" si="100"/>
        <v/>
      </c>
      <c r="CT95" s="117" t="str">
        <f t="shared" si="100"/>
        <v/>
      </c>
      <c r="CU95" s="117" t="str">
        <f t="shared" si="100"/>
        <v/>
      </c>
      <c r="CV95" s="117" t="str">
        <f t="shared" si="100"/>
        <v/>
      </c>
      <c r="CW95" s="117" t="str">
        <f t="shared" si="100"/>
        <v/>
      </c>
      <c r="CX95" s="118" t="str">
        <f t="shared" si="46"/>
        <v/>
      </c>
      <c r="CY95" s="393"/>
    </row>
    <row r="96" spans="1:103" x14ac:dyDescent="0.25">
      <c r="A96" s="63" t="s">
        <v>196</v>
      </c>
      <c r="B96" s="64" t="s">
        <v>193</v>
      </c>
      <c r="C96" s="65" t="s">
        <v>387</v>
      </c>
      <c r="D96" s="66"/>
      <c r="E96" s="67"/>
      <c r="F96" s="67"/>
      <c r="G96" s="67"/>
      <c r="H96" s="67"/>
      <c r="I96" s="67">
        <v>837582.80687822727</v>
      </c>
      <c r="J96" s="67">
        <v>1893649.1614771669</v>
      </c>
      <c r="K96" s="67">
        <v>2759040.6908978336</v>
      </c>
      <c r="L96" s="67">
        <v>4632553.2505206699</v>
      </c>
      <c r="M96" s="653">
        <f>'2022-23 Input'!D96</f>
        <v>4209201.8124783915</v>
      </c>
      <c r="N96" s="1064">
        <v>2717142.755597766</v>
      </c>
      <c r="O96" s="557">
        <f t="shared" si="101"/>
        <v>0</v>
      </c>
      <c r="P96" s="558">
        <f t="shared" si="75"/>
        <v>0</v>
      </c>
      <c r="Q96" s="558">
        <f t="shared" si="76"/>
        <v>0</v>
      </c>
      <c r="R96" s="558">
        <f t="shared" si="77"/>
        <v>0</v>
      </c>
      <c r="S96" s="558">
        <f t="shared" si="78"/>
        <v>0</v>
      </c>
      <c r="T96" s="558">
        <f t="shared" si="79"/>
        <v>1039564.4722257016</v>
      </c>
      <c r="U96" s="558">
        <f t="shared" si="80"/>
        <v>2358517.2572370642</v>
      </c>
      <c r="V96" s="558">
        <f t="shared" si="81"/>
        <v>3309079.7034806805</v>
      </c>
      <c r="W96" s="674">
        <f t="shared" si="82"/>
        <v>5234448.0805927599</v>
      </c>
      <c r="X96" s="674">
        <f t="shared" si="83"/>
        <v>4476321.6576067954</v>
      </c>
      <c r="Y96" s="674">
        <f t="shared" si="83"/>
        <v>2791860.0494612828</v>
      </c>
      <c r="Z96" s="68"/>
      <c r="AA96" s="69"/>
      <c r="AB96" s="69"/>
      <c r="AC96" s="69"/>
      <c r="AD96" s="69"/>
      <c r="AE96" s="69">
        <v>1945</v>
      </c>
      <c r="AF96" s="69">
        <v>169</v>
      </c>
      <c r="AG96" s="69">
        <v>318</v>
      </c>
      <c r="AH96" s="69">
        <v>628</v>
      </c>
      <c r="AI96" s="1093">
        <f>'2022-23 Input'!K96</f>
        <v>483</v>
      </c>
      <c r="AJ96" s="664">
        <v>324</v>
      </c>
      <c r="AK96" s="70">
        <f t="shared" si="84"/>
        <v>708.6</v>
      </c>
      <c r="AL96" s="71">
        <f t="shared" si="85"/>
        <v>476.33333333333331</v>
      </c>
      <c r="AM96" s="72">
        <f t="shared" si="86"/>
        <v>483</v>
      </c>
      <c r="AN96" s="73" t="str">
        <f t="shared" si="87"/>
        <v/>
      </c>
      <c r="AO96" s="74" t="str">
        <f t="shared" si="88"/>
        <v/>
      </c>
      <c r="AP96" s="74" t="str">
        <f t="shared" si="89"/>
        <v/>
      </c>
      <c r="AQ96" s="74" t="str">
        <f t="shared" si="90"/>
        <v/>
      </c>
      <c r="AR96" s="74" t="str">
        <f t="shared" si="91"/>
        <v/>
      </c>
      <c r="AS96" s="74">
        <f t="shared" si="92"/>
        <v>430.63383387055387</v>
      </c>
      <c r="AT96" s="74">
        <f t="shared" si="93"/>
        <v>11205.024624125248</v>
      </c>
      <c r="AU96" s="74">
        <f t="shared" si="94"/>
        <v>8676.228587729036</v>
      </c>
      <c r="AV96" s="74">
        <f t="shared" si="104"/>
        <v>7376.6771505106208</v>
      </c>
      <c r="AW96" s="74">
        <f t="shared" si="104"/>
        <v>8714.7035455039168</v>
      </c>
      <c r="AX96" s="74">
        <f t="shared" si="104"/>
        <v>8386.2430728326108</v>
      </c>
      <c r="AY96" s="75">
        <f t="shared" si="96"/>
        <v>4045.1672938900051</v>
      </c>
      <c r="AZ96" s="76">
        <f t="shared" si="97"/>
        <v>8118.1215912504522</v>
      </c>
      <c r="BA96" s="77">
        <f t="shared" si="98"/>
        <v>8714.7035455039168</v>
      </c>
      <c r="BB96" s="246" t="s">
        <v>422</v>
      </c>
      <c r="BC96" s="228" t="s">
        <v>433</v>
      </c>
      <c r="BD96" s="247">
        <v>0</v>
      </c>
      <c r="BE96" s="264">
        <f t="shared" si="102"/>
        <v>0</v>
      </c>
      <c r="BF96" s="265">
        <f t="shared" si="105"/>
        <v>0</v>
      </c>
      <c r="BG96" s="265">
        <f t="shared" si="105"/>
        <v>0</v>
      </c>
      <c r="BH96" s="265">
        <f t="shared" si="105"/>
        <v>1</v>
      </c>
      <c r="BI96" s="265">
        <f t="shared" si="105"/>
        <v>2</v>
      </c>
      <c r="BJ96" s="265">
        <f t="shared" si="105"/>
        <v>3</v>
      </c>
      <c r="BK96" s="265">
        <f t="shared" si="105"/>
        <v>4</v>
      </c>
      <c r="BL96" s="266">
        <f t="shared" si="105"/>
        <v>5</v>
      </c>
      <c r="BM96" s="255">
        <f>IF($BC96=Lookup!$A$2,$BD96*ROUNDUP(BE96/10,0)+1,
IF($BC96=Lookup!$A$3,($BD96+1)^BD96,
IF($BC96=Lookup!$A$4,BE96*$BD96+1,"Error")))</f>
        <v>1</v>
      </c>
      <c r="BN96" s="228">
        <f>IF($BC96=Lookup!$A$2,$BD96*ROUNDUP(BF96/10,0)+1,
IF($BC96=Lookup!$A$3,($BD96+1)^BE96,
IF($BC96=Lookup!$A$4,BF96*$BD96+1,"Error")))</f>
        <v>1</v>
      </c>
      <c r="BO96" s="228">
        <f>IF($BC96=Lookup!$A$2,$BD96*ROUNDUP(BG96/10,0)+1,
IF($BC96=Lookup!$A$3,($BD96+1)^BF96,
IF($BC96=Lookup!$A$4,BG96*$BD96+1,"Error")))</f>
        <v>1</v>
      </c>
      <c r="BP96" s="228">
        <f>IF($BC96=Lookup!$A$2,$BD96*ROUNDUP(BH96/10,0)+1,
IF($BC96=Lookup!$A$3,($BD96+1)^BG96,
IF($BC96=Lookup!$A$4,BH96*$BD96+1,"Error")))</f>
        <v>1</v>
      </c>
      <c r="BQ96" s="228">
        <f>IF($BC96=Lookup!$A$2,$BD96*ROUNDUP(BI96/10,0)+1,
IF($BC96=Lookup!$A$3,($BD96+1)^BH96,
IF($BC96=Lookup!$A$4,BI96*$BD96+1,"Error")))</f>
        <v>1</v>
      </c>
      <c r="BR96" s="228">
        <f>IF($BC96=Lookup!$A$2,$BD96*ROUNDUP(BJ96/10,0)+1,
IF($BC96=Lookup!$A$3,($BD96+1)^BI96,
IF($BC96=Lookup!$A$4,BJ96*$BD96+1,"Error")))</f>
        <v>1</v>
      </c>
      <c r="BS96" s="228">
        <f>IF($BC96=Lookup!$A$2,$BD96*ROUNDUP(BK96/10,0)+1,
IF($BC96=Lookup!$A$3,($BD96+1)^BJ96,
IF($BC96=Lookup!$A$4,BK96*$BD96+1,"Error")))</f>
        <v>1</v>
      </c>
      <c r="BT96" s="247">
        <f>IF($BC96=Lookup!$A$2,$BD96*ROUNDUP(BL96/10,0)+1,
IF($BC96=Lookup!$A$3,($BD96+1)^BK96,
IF($BC96=Lookup!$A$4,BL96*$BD96+1,"Error")))</f>
        <v>1</v>
      </c>
      <c r="BU96" s="318"/>
      <c r="BV96" s="319">
        <f t="shared" ref="BV96:CA96" si="106">SUM(BV67:BV72)*2</f>
        <v>192.90083090905591</v>
      </c>
      <c r="BW96" s="319">
        <f t="shared" si="106"/>
        <v>192.90083090905591</v>
      </c>
      <c r="BX96" s="319">
        <f t="shared" si="106"/>
        <v>252.89453478030478</v>
      </c>
      <c r="BY96" s="319">
        <f t="shared" si="106"/>
        <v>265.40357106472095</v>
      </c>
      <c r="BZ96" s="319">
        <f t="shared" si="106"/>
        <v>273.74292858766489</v>
      </c>
      <c r="CA96" s="319">
        <f t="shared" si="106"/>
        <v>282.082286110609</v>
      </c>
      <c r="CB96" s="276">
        <f>SUM(CB67:CB72)*2</f>
        <v>286.25196487208103</v>
      </c>
      <c r="CC96" s="380" t="s">
        <v>293</v>
      </c>
      <c r="CD96" s="381">
        <f>HLOOKUP($CC96,$AK$6:$AM$132,ROWS(CD$6:CD96),0)</f>
        <v>476.33333333333331</v>
      </c>
      <c r="CE96" s="233">
        <f t="shared" si="103"/>
        <v>476.33333333333331</v>
      </c>
      <c r="CF96" s="78">
        <f t="shared" si="103"/>
        <v>192.90083090905591</v>
      </c>
      <c r="CG96" s="78">
        <f t="shared" si="103"/>
        <v>192.90083090905591</v>
      </c>
      <c r="CH96" s="78">
        <f t="shared" si="103"/>
        <v>252.89453478030478</v>
      </c>
      <c r="CI96" s="78">
        <f t="shared" si="64"/>
        <v>265.40357106472095</v>
      </c>
      <c r="CJ96" s="78">
        <f t="shared" si="64"/>
        <v>273.74292858766489</v>
      </c>
      <c r="CK96" s="78">
        <f t="shared" si="64"/>
        <v>282.082286110609</v>
      </c>
      <c r="CL96" s="285">
        <f t="shared" si="64"/>
        <v>286.25196487208103</v>
      </c>
      <c r="CM96" s="302" t="s">
        <v>293</v>
      </c>
      <c r="CN96" s="314">
        <v>0.05</v>
      </c>
      <c r="CO96" s="303">
        <v>12617.154686797503</v>
      </c>
      <c r="CP96" s="304">
        <f>IF($CO96&lt;&gt;"",$CO96,HLOOKUP($CM96,$AY$6:$BA$132,ROWS(CP$6:CP96),0))</f>
        <v>12617.154686797503</v>
      </c>
      <c r="CQ96" s="783">
        <f t="shared" si="100"/>
        <v>6009971.3491445435</v>
      </c>
      <c r="CR96" s="783">
        <f t="shared" si="100"/>
        <v>2433859.6227913275</v>
      </c>
      <c r="CS96" s="79">
        <f t="shared" si="100"/>
        <v>2433859.6227913275</v>
      </c>
      <c r="CT96" s="79">
        <f t="shared" si="100"/>
        <v>3190809.4647687967</v>
      </c>
      <c r="CU96" s="79">
        <f t="shared" si="100"/>
        <v>3348637.9105520379</v>
      </c>
      <c r="CV96" s="79">
        <f t="shared" si="100"/>
        <v>3453856.8744075303</v>
      </c>
      <c r="CW96" s="79">
        <f t="shared" si="100"/>
        <v>3559075.8382630246</v>
      </c>
      <c r="CX96" s="80">
        <f t="shared" si="46"/>
        <v>3611685.3201907715</v>
      </c>
      <c r="CY96" s="391"/>
    </row>
    <row r="97" spans="1:103" x14ac:dyDescent="0.25">
      <c r="A97" s="81" t="s">
        <v>196</v>
      </c>
      <c r="B97" s="82" t="s">
        <v>197</v>
      </c>
      <c r="C97" s="83" t="s">
        <v>388</v>
      </c>
      <c r="D97" s="84"/>
      <c r="E97" s="85"/>
      <c r="F97" s="85"/>
      <c r="G97" s="85"/>
      <c r="H97" s="85"/>
      <c r="I97" s="85">
        <v>345698.63172581705</v>
      </c>
      <c r="J97" s="85">
        <v>142153.87785316299</v>
      </c>
      <c r="K97" s="85">
        <v>761524.73755009996</v>
      </c>
      <c r="L97" s="85">
        <v>1523764.3711918127</v>
      </c>
      <c r="M97" s="654">
        <f>'2022-23 Input'!D97</f>
        <v>2152466.8879663073</v>
      </c>
      <c r="N97" s="1065">
        <v>732707.6087184567</v>
      </c>
      <c r="O97" s="560">
        <f t="shared" si="101"/>
        <v>0</v>
      </c>
      <c r="P97" s="561">
        <f t="shared" si="75"/>
        <v>0</v>
      </c>
      <c r="Q97" s="561">
        <f t="shared" si="76"/>
        <v>0</v>
      </c>
      <c r="R97" s="561">
        <f t="shared" si="77"/>
        <v>0</v>
      </c>
      <c r="S97" s="561">
        <f t="shared" si="78"/>
        <v>0</v>
      </c>
      <c r="T97" s="561">
        <f t="shared" si="79"/>
        <v>429063.26716355863</v>
      </c>
      <c r="U97" s="561">
        <f t="shared" si="80"/>
        <v>177050.94529671001</v>
      </c>
      <c r="V97" s="561">
        <f t="shared" si="81"/>
        <v>913341.38747531828</v>
      </c>
      <c r="W97" s="675">
        <f t="shared" si="82"/>
        <v>1721742.8611671454</v>
      </c>
      <c r="X97" s="675">
        <f t="shared" si="83"/>
        <v>2289064.4300592192</v>
      </c>
      <c r="Y97" s="675">
        <f t="shared" si="83"/>
        <v>752855.9537415019</v>
      </c>
      <c r="Z97" s="86"/>
      <c r="AA97" s="87"/>
      <c r="AB97" s="87"/>
      <c r="AC97" s="87"/>
      <c r="AD97" s="87"/>
      <c r="AE97" s="87">
        <v>16</v>
      </c>
      <c r="AF97" s="87">
        <v>7</v>
      </c>
      <c r="AG97" s="87">
        <v>20</v>
      </c>
      <c r="AH97" s="87">
        <v>46</v>
      </c>
      <c r="AI97" s="1094">
        <f>'2022-23 Input'!K97</f>
        <v>23</v>
      </c>
      <c r="AJ97" s="665">
        <v>18</v>
      </c>
      <c r="AK97" s="88">
        <f t="shared" si="84"/>
        <v>22.4</v>
      </c>
      <c r="AL97" s="89">
        <f t="shared" si="85"/>
        <v>29.666666666666668</v>
      </c>
      <c r="AM97" s="90">
        <f t="shared" si="86"/>
        <v>23</v>
      </c>
      <c r="AN97" s="91" t="str">
        <f t="shared" si="87"/>
        <v/>
      </c>
      <c r="AO97" s="92" t="str">
        <f t="shared" si="88"/>
        <v/>
      </c>
      <c r="AP97" s="92" t="str">
        <f t="shared" si="89"/>
        <v/>
      </c>
      <c r="AQ97" s="92" t="str">
        <f t="shared" si="90"/>
        <v/>
      </c>
      <c r="AR97" s="92" t="str">
        <f t="shared" si="91"/>
        <v/>
      </c>
      <c r="AS97" s="92">
        <f t="shared" si="92"/>
        <v>21606.164482863565</v>
      </c>
      <c r="AT97" s="92">
        <f t="shared" si="93"/>
        <v>20307.696836166142</v>
      </c>
      <c r="AU97" s="92">
        <f t="shared" si="94"/>
        <v>38076.236877504998</v>
      </c>
      <c r="AV97" s="92">
        <f t="shared" si="104"/>
        <v>33125.312417213318</v>
      </c>
      <c r="AW97" s="92">
        <f t="shared" si="104"/>
        <v>93585.516868100312</v>
      </c>
      <c r="AX97" s="92">
        <f t="shared" si="104"/>
        <v>40705.978262136487</v>
      </c>
      <c r="AY97" s="93">
        <f t="shared" si="96"/>
        <v>43978.647377564288</v>
      </c>
      <c r="AZ97" s="94">
        <f t="shared" si="97"/>
        <v>49862.426929305839</v>
      </c>
      <c r="BA97" s="95">
        <f t="shared" si="98"/>
        <v>93585.516868100312</v>
      </c>
      <c r="BB97" s="248" t="s">
        <v>422</v>
      </c>
      <c r="BC97" s="229" t="s">
        <v>433</v>
      </c>
      <c r="BD97" s="249">
        <v>0</v>
      </c>
      <c r="BE97" s="267">
        <f t="shared" si="102"/>
        <v>0</v>
      </c>
      <c r="BF97" s="268">
        <f t="shared" si="105"/>
        <v>0</v>
      </c>
      <c r="BG97" s="268">
        <f t="shared" si="105"/>
        <v>0</v>
      </c>
      <c r="BH97" s="268">
        <f t="shared" si="105"/>
        <v>1</v>
      </c>
      <c r="BI97" s="268">
        <f t="shared" si="105"/>
        <v>2</v>
      </c>
      <c r="BJ97" s="268">
        <f t="shared" si="105"/>
        <v>3</v>
      </c>
      <c r="BK97" s="268">
        <f t="shared" si="105"/>
        <v>4</v>
      </c>
      <c r="BL97" s="269">
        <f t="shared" si="105"/>
        <v>5</v>
      </c>
      <c r="BM97" s="256">
        <f>IF($BC97=Lookup!$A$2,$BD97*ROUNDUP(BE97/10,0)+1,
IF($BC97=Lookup!$A$3,($BD97+1)^BD97,
IF($BC97=Lookup!$A$4,BE97*$BD97+1,"Error")))</f>
        <v>1</v>
      </c>
      <c r="BN97" s="229">
        <f>IF($BC97=Lookup!$A$2,$BD97*ROUNDUP(BF97/10,0)+1,
IF($BC97=Lookup!$A$3,($BD97+1)^BE97,
IF($BC97=Lookup!$A$4,BF97*$BD97+1,"Error")))</f>
        <v>1</v>
      </c>
      <c r="BO97" s="229">
        <f>IF($BC97=Lookup!$A$2,$BD97*ROUNDUP(BG97/10,0)+1,
IF($BC97=Lookup!$A$3,($BD97+1)^BF97,
IF($BC97=Lookup!$A$4,BG97*$BD97+1,"Error")))</f>
        <v>1</v>
      </c>
      <c r="BP97" s="229">
        <f>IF($BC97=Lookup!$A$2,$BD97*ROUNDUP(BH97/10,0)+1,
IF($BC97=Lookup!$A$3,($BD97+1)^BG97,
IF($BC97=Lookup!$A$4,BH97*$BD97+1,"Error")))</f>
        <v>1</v>
      </c>
      <c r="BQ97" s="229">
        <f>IF($BC97=Lookup!$A$2,$BD97*ROUNDUP(BI97/10,0)+1,
IF($BC97=Lookup!$A$3,($BD97+1)^BH97,
IF($BC97=Lookup!$A$4,BI97*$BD97+1,"Error")))</f>
        <v>1</v>
      </c>
      <c r="BR97" s="229">
        <f>IF($BC97=Lookup!$A$2,$BD97*ROUNDUP(BJ97/10,0)+1,
IF($BC97=Lookup!$A$3,($BD97+1)^BI97,
IF($BC97=Lookup!$A$4,BJ97*$BD97+1,"Error")))</f>
        <v>1</v>
      </c>
      <c r="BS97" s="229">
        <f>IF($BC97=Lookup!$A$2,$BD97*ROUNDUP(BK97/10,0)+1,
IF($BC97=Lookup!$A$3,($BD97+1)^BJ97,
IF($BC97=Lookup!$A$4,BK97*$BD97+1,"Error")))</f>
        <v>1</v>
      </c>
      <c r="BT97" s="249">
        <f>IF($BC97=Lookup!$A$2,$BD97*ROUNDUP(BL97/10,0)+1,
IF($BC97=Lookup!$A$3,($BD97+1)^BK97,
IF($BC97=Lookup!$A$4,BL97*$BD97+1,"Error")))</f>
        <v>1</v>
      </c>
      <c r="BU97" s="320"/>
      <c r="BV97" s="321">
        <f t="shared" ref="BV97" si="107">IFERROR(SUM(CF$34:CF$42)*HLOOKUP($BW$4,$AY$135:$BA$146,9,0)/HLOOKUP($BW$4,$AY$135:$BA$146,5,0)*$AK97/SUM($AK$97,$AK$99,$AK$101),"")</f>
        <v>15.125891827167955</v>
      </c>
      <c r="BW97" s="321">
        <f t="shared" ref="BW97" si="108">IFERROR(SUM(CG$34:CG$42)*HLOOKUP($BW$4,$AY$135:$BA$146,9,0)/HLOOKUP($BW$4,$AY$135:$BA$146,5,0)*$AK97/SUM($AK$97,$AK$99,$AK$101),"")</f>
        <v>15.125891827167955</v>
      </c>
      <c r="BX97" s="321">
        <f>IFERROR(SUM(CH$34:CH$42)*HLOOKUP($BW$4,$AY$135:$BA$146,9,0)/HLOOKUP($BW$4,$AY$135:$BA$146,5,0)*$AK97/SUM($AK$97,$AK$99,$AK$101),"")</f>
        <v>19.830165369128402</v>
      </c>
      <c r="BY97" s="321">
        <f>IFERROR(SUM(CI$34:CI$42)*HLOOKUP($BW$4,$AY$135:$BA$146,9,0)/HLOOKUP($BW$4,$AY$135:$BA$146,5,0)*$AK97/SUM($AK$97,$AK$99,$AK$101),"")</f>
        <v>20.811033770827521</v>
      </c>
      <c r="BZ97" s="321">
        <f>IFERROR(SUM(CJ$34:CJ$42)*HLOOKUP($BW$4,$AY$135:$BA$146,9,0)/HLOOKUP($BW$4,$AY$135:$BA$146,5,0)*$AK97/SUM($AK$97,$AK$99,$AK$101),"")</f>
        <v>21.46494603862692</v>
      </c>
      <c r="CA97" s="321">
        <f>IFERROR(SUM(CK$34:CK$42)*HLOOKUP($BW$4,$AY$135:$BA$146,9,0)/HLOOKUP($BW$4,$AY$135:$BA$146,5,0)*$AK97/SUM($AK$97,$AK$99,$AK$101),"")</f>
        <v>22.118858306426333</v>
      </c>
      <c r="CB97" s="277">
        <f>IFERROR(SUM(CL$34:CL$42)*HLOOKUP($BW$4,$AY$135:$BA$146,9,0)/HLOOKUP($BW$4,$AY$135:$BA$146,5,0)*$AK97/SUM($AK$97,$AK$99,$AK$101),"")</f>
        <v>22.445814440326036</v>
      </c>
      <c r="CC97" s="382" t="s">
        <v>293</v>
      </c>
      <c r="CD97" s="383">
        <f>HLOOKUP($CC97,$AK$6:$AM$132,ROWS(CD$6:CD97),0)</f>
        <v>29.666666666666668</v>
      </c>
      <c r="CE97" s="234">
        <f t="shared" si="103"/>
        <v>29.666666666666668</v>
      </c>
      <c r="CF97" s="96">
        <f t="shared" si="103"/>
        <v>15.125891827167955</v>
      </c>
      <c r="CG97" s="96">
        <f t="shared" si="103"/>
        <v>15.125891827167955</v>
      </c>
      <c r="CH97" s="96">
        <f t="shared" si="103"/>
        <v>19.830165369128402</v>
      </c>
      <c r="CI97" s="96">
        <f t="shared" si="64"/>
        <v>20.811033770827521</v>
      </c>
      <c r="CJ97" s="96">
        <f t="shared" si="64"/>
        <v>21.46494603862692</v>
      </c>
      <c r="CK97" s="96">
        <f t="shared" si="64"/>
        <v>22.118858306426333</v>
      </c>
      <c r="CL97" s="286">
        <f t="shared" si="64"/>
        <v>22.445814440326036</v>
      </c>
      <c r="CM97" s="305" t="s">
        <v>293</v>
      </c>
      <c r="CN97" s="315">
        <v>0.05</v>
      </c>
      <c r="CO97" s="306"/>
      <c r="CP97" s="307">
        <f>IF($CO97&lt;&gt;"",$CO97,HLOOKUP($CM97,$AY$6:$BA$132,ROWS(CP$6:CP97),0))</f>
        <v>49862.426929305839</v>
      </c>
      <c r="CQ97" s="784">
        <f t="shared" si="100"/>
        <v>1479251.99890274</v>
      </c>
      <c r="CR97" s="784">
        <f t="shared" si="100"/>
        <v>754213.67597274657</v>
      </c>
      <c r="CS97" s="97">
        <f t="shared" si="100"/>
        <v>754213.67597274657</v>
      </c>
      <c r="CT97" s="97">
        <f t="shared" si="100"/>
        <v>988780.17171421612</v>
      </c>
      <c r="CU97" s="97">
        <f t="shared" si="100"/>
        <v>1037688.6507212034</v>
      </c>
      <c r="CV97" s="97">
        <f t="shared" si="100"/>
        <v>1070294.3033925276</v>
      </c>
      <c r="CW97" s="97">
        <f t="shared" si="100"/>
        <v>1102899.9560638524</v>
      </c>
      <c r="CX97" s="98">
        <f t="shared" si="46"/>
        <v>1119202.7823995147</v>
      </c>
      <c r="CY97" s="392"/>
    </row>
    <row r="98" spans="1:103" x14ac:dyDescent="0.25">
      <c r="A98" s="81" t="s">
        <v>196</v>
      </c>
      <c r="B98" s="82" t="s">
        <v>199</v>
      </c>
      <c r="C98" s="83" t="s">
        <v>389</v>
      </c>
      <c r="D98" s="84"/>
      <c r="E98" s="85"/>
      <c r="F98" s="85"/>
      <c r="G98" s="85"/>
      <c r="H98" s="85"/>
      <c r="I98" s="85">
        <v>0</v>
      </c>
      <c r="J98" s="85">
        <v>0</v>
      </c>
      <c r="K98" s="85">
        <v>0</v>
      </c>
      <c r="L98" s="85">
        <v>0</v>
      </c>
      <c r="M98" s="654">
        <f>'2022-23 Input'!D98</f>
        <v>0</v>
      </c>
      <c r="N98" s="1065">
        <v>0</v>
      </c>
      <c r="O98" s="560">
        <f t="shared" si="101"/>
        <v>0</v>
      </c>
      <c r="P98" s="561">
        <f t="shared" si="75"/>
        <v>0</v>
      </c>
      <c r="Q98" s="561">
        <f t="shared" si="76"/>
        <v>0</v>
      </c>
      <c r="R98" s="561">
        <f t="shared" si="77"/>
        <v>0</v>
      </c>
      <c r="S98" s="561">
        <f t="shared" si="78"/>
        <v>0</v>
      </c>
      <c r="T98" s="561">
        <f t="shared" si="79"/>
        <v>0</v>
      </c>
      <c r="U98" s="561">
        <f t="shared" si="80"/>
        <v>0</v>
      </c>
      <c r="V98" s="561">
        <f t="shared" si="81"/>
        <v>0</v>
      </c>
      <c r="W98" s="675">
        <f t="shared" si="82"/>
        <v>0</v>
      </c>
      <c r="X98" s="675">
        <f t="shared" si="83"/>
        <v>0</v>
      </c>
      <c r="Y98" s="675">
        <f t="shared" si="83"/>
        <v>0</v>
      </c>
      <c r="Z98" s="86"/>
      <c r="AA98" s="87"/>
      <c r="AB98" s="87"/>
      <c r="AC98" s="87"/>
      <c r="AD98" s="87"/>
      <c r="AE98" s="87">
        <v>0</v>
      </c>
      <c r="AF98" s="87">
        <v>0</v>
      </c>
      <c r="AG98" s="87">
        <v>0</v>
      </c>
      <c r="AH98" s="87">
        <v>0</v>
      </c>
      <c r="AI98" s="1094">
        <f>'2022-23 Input'!K98</f>
        <v>0</v>
      </c>
      <c r="AJ98" s="665">
        <v>0</v>
      </c>
      <c r="AK98" s="88">
        <f t="shared" si="84"/>
        <v>0</v>
      </c>
      <c r="AL98" s="89">
        <f t="shared" si="85"/>
        <v>0</v>
      </c>
      <c r="AM98" s="90">
        <f t="shared" si="86"/>
        <v>0</v>
      </c>
      <c r="AN98" s="91" t="str">
        <f t="shared" si="87"/>
        <v/>
      </c>
      <c r="AO98" s="92" t="str">
        <f t="shared" si="88"/>
        <v/>
      </c>
      <c r="AP98" s="92" t="str">
        <f t="shared" si="89"/>
        <v/>
      </c>
      <c r="AQ98" s="92" t="str">
        <f t="shared" si="90"/>
        <v/>
      </c>
      <c r="AR98" s="92" t="str">
        <f t="shared" si="91"/>
        <v/>
      </c>
      <c r="AS98" s="92" t="str">
        <f t="shared" si="92"/>
        <v/>
      </c>
      <c r="AT98" s="92" t="str">
        <f t="shared" si="93"/>
        <v/>
      </c>
      <c r="AU98" s="92" t="str">
        <f t="shared" si="94"/>
        <v/>
      </c>
      <c r="AV98" s="92" t="str">
        <f t="shared" si="104"/>
        <v/>
      </c>
      <c r="AW98" s="92" t="str">
        <f t="shared" si="104"/>
        <v/>
      </c>
      <c r="AX98" s="92" t="str">
        <f t="shared" si="104"/>
        <v/>
      </c>
      <c r="AY98" s="93" t="str">
        <f t="shared" si="96"/>
        <v/>
      </c>
      <c r="AZ98" s="94" t="str">
        <f t="shared" si="97"/>
        <v/>
      </c>
      <c r="BA98" s="95" t="str">
        <f t="shared" si="98"/>
        <v/>
      </c>
      <c r="BB98" s="248" t="s">
        <v>422</v>
      </c>
      <c r="BC98" s="229" t="s">
        <v>433</v>
      </c>
      <c r="BD98" s="249">
        <v>0</v>
      </c>
      <c r="BE98" s="267">
        <f t="shared" si="102"/>
        <v>0</v>
      </c>
      <c r="BF98" s="268">
        <f t="shared" si="105"/>
        <v>0</v>
      </c>
      <c r="BG98" s="268">
        <f t="shared" si="105"/>
        <v>0</v>
      </c>
      <c r="BH98" s="268">
        <f t="shared" si="105"/>
        <v>1</v>
      </c>
      <c r="BI98" s="268">
        <f t="shared" si="105"/>
        <v>2</v>
      </c>
      <c r="BJ98" s="268">
        <f t="shared" si="105"/>
        <v>3</v>
      </c>
      <c r="BK98" s="268">
        <f t="shared" si="105"/>
        <v>4</v>
      </c>
      <c r="BL98" s="269">
        <f t="shared" si="105"/>
        <v>5</v>
      </c>
      <c r="BM98" s="256">
        <f>IF($BC98=Lookup!$A$2,$BD98*ROUNDUP(BE98/10,0)+1,
IF($BC98=Lookup!$A$3,($BD98+1)^BD98,
IF($BC98=Lookup!$A$4,BE98*$BD98+1,"Error")))</f>
        <v>1</v>
      </c>
      <c r="BN98" s="229">
        <f>IF($BC98=Lookup!$A$2,$BD98*ROUNDUP(BF98/10,0)+1,
IF($BC98=Lookup!$A$3,($BD98+1)^BE98,
IF($BC98=Lookup!$A$4,BF98*$BD98+1,"Error")))</f>
        <v>1</v>
      </c>
      <c r="BO98" s="229">
        <f>IF($BC98=Lookup!$A$2,$BD98*ROUNDUP(BG98/10,0)+1,
IF($BC98=Lookup!$A$3,($BD98+1)^BF98,
IF($BC98=Lookup!$A$4,BG98*$BD98+1,"Error")))</f>
        <v>1</v>
      </c>
      <c r="BP98" s="229">
        <f>IF($BC98=Lookup!$A$2,$BD98*ROUNDUP(BH98/10,0)+1,
IF($BC98=Lookup!$A$3,($BD98+1)^BG98,
IF($BC98=Lookup!$A$4,BH98*$BD98+1,"Error")))</f>
        <v>1</v>
      </c>
      <c r="BQ98" s="229">
        <f>IF($BC98=Lookup!$A$2,$BD98*ROUNDUP(BI98/10,0)+1,
IF($BC98=Lookup!$A$3,($BD98+1)^BH98,
IF($BC98=Lookup!$A$4,BI98*$BD98+1,"Error")))</f>
        <v>1</v>
      </c>
      <c r="BR98" s="229">
        <f>IF($BC98=Lookup!$A$2,$BD98*ROUNDUP(BJ98/10,0)+1,
IF($BC98=Lookup!$A$3,($BD98+1)^BI98,
IF($BC98=Lookup!$A$4,BJ98*$BD98+1,"Error")))</f>
        <v>1</v>
      </c>
      <c r="BS98" s="229">
        <f>IF($BC98=Lookup!$A$2,$BD98*ROUNDUP(BK98/10,0)+1,
IF($BC98=Lookup!$A$3,($BD98+1)^BJ98,
IF($BC98=Lookup!$A$4,BK98*$BD98+1,"Error")))</f>
        <v>1</v>
      </c>
      <c r="BT98" s="249">
        <f>IF($BC98=Lookup!$A$2,$BD98*ROUNDUP(BL98/10,0)+1,
IF($BC98=Lookup!$A$3,($BD98+1)^BK98,
IF($BC98=Lookup!$A$4,BL98*$BD98+1,"Error")))</f>
        <v>1</v>
      </c>
      <c r="BU98" s="320"/>
      <c r="BV98" s="321">
        <v>0</v>
      </c>
      <c r="BW98" s="321">
        <v>0</v>
      </c>
      <c r="BX98" s="321">
        <v>0</v>
      </c>
      <c r="BY98" s="321">
        <v>0</v>
      </c>
      <c r="BZ98" s="321">
        <v>0</v>
      </c>
      <c r="CA98" s="321">
        <v>0</v>
      </c>
      <c r="CB98" s="277">
        <v>0</v>
      </c>
      <c r="CC98" s="382" t="s">
        <v>293</v>
      </c>
      <c r="CD98" s="383">
        <f>HLOOKUP($CC98,$AK$6:$AM$132,ROWS(CD$6:CD98),0)</f>
        <v>0</v>
      </c>
      <c r="CE98" s="234">
        <f t="shared" si="103"/>
        <v>0</v>
      </c>
      <c r="CF98" s="96">
        <f t="shared" si="103"/>
        <v>0</v>
      </c>
      <c r="CG98" s="96">
        <f t="shared" si="103"/>
        <v>0</v>
      </c>
      <c r="CH98" s="96">
        <f t="shared" si="103"/>
        <v>0</v>
      </c>
      <c r="CI98" s="96">
        <f t="shared" si="64"/>
        <v>0</v>
      </c>
      <c r="CJ98" s="96">
        <f t="shared" si="64"/>
        <v>0</v>
      </c>
      <c r="CK98" s="96">
        <f t="shared" si="64"/>
        <v>0</v>
      </c>
      <c r="CL98" s="286">
        <f t="shared" si="64"/>
        <v>0</v>
      </c>
      <c r="CM98" s="305" t="s">
        <v>293</v>
      </c>
      <c r="CN98" s="315">
        <v>0.05</v>
      </c>
      <c r="CO98" s="306"/>
      <c r="CP98" s="307" t="str">
        <f>IF($CO98&lt;&gt;"",$CO98,HLOOKUP($CM98,$AY$6:$BA$132,ROWS(CP$6:CP98),0))</f>
        <v/>
      </c>
      <c r="CQ98" s="784" t="str">
        <f t="shared" si="100"/>
        <v/>
      </c>
      <c r="CR98" s="784" t="str">
        <f t="shared" si="100"/>
        <v/>
      </c>
      <c r="CS98" s="97" t="str">
        <f t="shared" si="100"/>
        <v/>
      </c>
      <c r="CT98" s="97" t="str">
        <f t="shared" si="100"/>
        <v/>
      </c>
      <c r="CU98" s="97" t="str">
        <f t="shared" si="100"/>
        <v/>
      </c>
      <c r="CV98" s="97" t="str">
        <f t="shared" si="100"/>
        <v/>
      </c>
      <c r="CW98" s="97" t="str">
        <f t="shared" si="100"/>
        <v/>
      </c>
      <c r="CX98" s="98" t="str">
        <f t="shared" si="46"/>
        <v/>
      </c>
      <c r="CY98" s="392"/>
    </row>
    <row r="99" spans="1:103" x14ac:dyDescent="0.25">
      <c r="A99" s="81" t="s">
        <v>196</v>
      </c>
      <c r="B99" s="82" t="s">
        <v>201</v>
      </c>
      <c r="C99" s="83" t="s">
        <v>390</v>
      </c>
      <c r="D99" s="84"/>
      <c r="E99" s="85"/>
      <c r="F99" s="85"/>
      <c r="G99" s="85"/>
      <c r="H99" s="85"/>
      <c r="I99" s="85">
        <v>106232.93418830102</v>
      </c>
      <c r="J99" s="85">
        <v>119494.17741532397</v>
      </c>
      <c r="K99" s="85">
        <v>311582.02846760594</v>
      </c>
      <c r="L99" s="85">
        <v>460335.21859334805</v>
      </c>
      <c r="M99" s="654">
        <f>'2022-23 Input'!D99</f>
        <v>1176060.2820856506</v>
      </c>
      <c r="N99" s="1065">
        <v>1080490.6766481784</v>
      </c>
      <c r="O99" s="560">
        <f t="shared" si="101"/>
        <v>0</v>
      </c>
      <c r="P99" s="561">
        <f t="shared" si="75"/>
        <v>0</v>
      </c>
      <c r="Q99" s="561">
        <f t="shared" si="76"/>
        <v>0</v>
      </c>
      <c r="R99" s="561">
        <f t="shared" si="77"/>
        <v>0</v>
      </c>
      <c r="S99" s="561">
        <f t="shared" si="78"/>
        <v>0</v>
      </c>
      <c r="T99" s="561">
        <f t="shared" si="79"/>
        <v>131850.82508326208</v>
      </c>
      <c r="U99" s="561">
        <f t="shared" si="80"/>
        <v>148828.56091122201</v>
      </c>
      <c r="V99" s="561">
        <f t="shared" si="81"/>
        <v>373698.64452270011</v>
      </c>
      <c r="W99" s="675">
        <f t="shared" si="82"/>
        <v>520145.30024546949</v>
      </c>
      <c r="X99" s="675">
        <f t="shared" si="83"/>
        <v>1250694.1567269366</v>
      </c>
      <c r="Y99" s="675">
        <f t="shared" si="83"/>
        <v>1110202.5271711559</v>
      </c>
      <c r="Z99" s="86"/>
      <c r="AA99" s="87"/>
      <c r="AB99" s="87"/>
      <c r="AC99" s="87"/>
      <c r="AD99" s="87"/>
      <c r="AE99" s="87">
        <v>77</v>
      </c>
      <c r="AF99" s="87">
        <v>58</v>
      </c>
      <c r="AG99" s="87">
        <v>98</v>
      </c>
      <c r="AH99" s="87">
        <v>235</v>
      </c>
      <c r="AI99" s="1094">
        <f>'2022-23 Input'!K99</f>
        <v>181</v>
      </c>
      <c r="AJ99" s="665">
        <v>200</v>
      </c>
      <c r="AK99" s="88">
        <f t="shared" si="84"/>
        <v>129.80000000000001</v>
      </c>
      <c r="AL99" s="89">
        <f t="shared" si="85"/>
        <v>171.33333333333334</v>
      </c>
      <c r="AM99" s="90">
        <f t="shared" si="86"/>
        <v>181</v>
      </c>
      <c r="AN99" s="91" t="str">
        <f t="shared" si="87"/>
        <v/>
      </c>
      <c r="AO99" s="92" t="str">
        <f t="shared" si="88"/>
        <v/>
      </c>
      <c r="AP99" s="92" t="str">
        <f t="shared" si="89"/>
        <v/>
      </c>
      <c r="AQ99" s="92" t="str">
        <f t="shared" si="90"/>
        <v/>
      </c>
      <c r="AR99" s="92" t="str">
        <f t="shared" si="91"/>
        <v/>
      </c>
      <c r="AS99" s="92">
        <f t="shared" si="92"/>
        <v>1379.6484959519612</v>
      </c>
      <c r="AT99" s="92">
        <f t="shared" si="93"/>
        <v>2060.2444381952409</v>
      </c>
      <c r="AU99" s="92">
        <f t="shared" si="94"/>
        <v>3179.4084537510812</v>
      </c>
      <c r="AV99" s="92">
        <f t="shared" si="104"/>
        <v>1958.8732706099918</v>
      </c>
      <c r="AW99" s="92">
        <f t="shared" si="104"/>
        <v>6497.5706192577381</v>
      </c>
      <c r="AX99" s="92">
        <f t="shared" si="104"/>
        <v>5402.4533832408915</v>
      </c>
      <c r="AY99" s="93">
        <f t="shared" si="96"/>
        <v>3349.3137761944981</v>
      </c>
      <c r="AZ99" s="94">
        <f t="shared" si="97"/>
        <v>3789.8395508688809</v>
      </c>
      <c r="BA99" s="95">
        <f t="shared" si="98"/>
        <v>6497.5706192577381</v>
      </c>
      <c r="BB99" s="248" t="s">
        <v>422</v>
      </c>
      <c r="BC99" s="229" t="s">
        <v>433</v>
      </c>
      <c r="BD99" s="249">
        <v>0</v>
      </c>
      <c r="BE99" s="267">
        <f t="shared" si="102"/>
        <v>0</v>
      </c>
      <c r="BF99" s="268">
        <f t="shared" si="105"/>
        <v>0</v>
      </c>
      <c r="BG99" s="268">
        <f t="shared" si="105"/>
        <v>0</v>
      </c>
      <c r="BH99" s="268">
        <f t="shared" si="105"/>
        <v>1</v>
      </c>
      <c r="BI99" s="268">
        <f t="shared" si="105"/>
        <v>2</v>
      </c>
      <c r="BJ99" s="268">
        <f t="shared" si="105"/>
        <v>3</v>
      </c>
      <c r="BK99" s="268">
        <f t="shared" si="105"/>
        <v>4</v>
      </c>
      <c r="BL99" s="269">
        <f t="shared" si="105"/>
        <v>5</v>
      </c>
      <c r="BM99" s="256">
        <f>IF($BC99=Lookup!$A$2,$BD99*ROUNDUP(BE99/10,0)+1,
IF($BC99=Lookup!$A$3,($BD99+1)^BD99,
IF($BC99=Lookup!$A$4,BE99*$BD99+1,"Error")))</f>
        <v>1</v>
      </c>
      <c r="BN99" s="229">
        <f>IF($BC99=Lookup!$A$2,$BD99*ROUNDUP(BF99/10,0)+1,
IF($BC99=Lookup!$A$3,($BD99+1)^BE99,
IF($BC99=Lookup!$A$4,BF99*$BD99+1,"Error")))</f>
        <v>1</v>
      </c>
      <c r="BO99" s="229">
        <f>IF($BC99=Lookup!$A$2,$BD99*ROUNDUP(BG99/10,0)+1,
IF($BC99=Lookup!$A$3,($BD99+1)^BF99,
IF($BC99=Lookup!$A$4,BG99*$BD99+1,"Error")))</f>
        <v>1</v>
      </c>
      <c r="BP99" s="229">
        <f>IF($BC99=Lookup!$A$2,$BD99*ROUNDUP(BH99/10,0)+1,
IF($BC99=Lookup!$A$3,($BD99+1)^BG99,
IF($BC99=Lookup!$A$4,BH99*$BD99+1,"Error")))</f>
        <v>1</v>
      </c>
      <c r="BQ99" s="229">
        <f>IF($BC99=Lookup!$A$2,$BD99*ROUNDUP(BI99/10,0)+1,
IF($BC99=Lookup!$A$3,($BD99+1)^BH99,
IF($BC99=Lookup!$A$4,BI99*$BD99+1,"Error")))</f>
        <v>1</v>
      </c>
      <c r="BR99" s="229">
        <f>IF($BC99=Lookup!$A$2,$BD99*ROUNDUP(BJ99/10,0)+1,
IF($BC99=Lookup!$A$3,($BD99+1)^BI99,
IF($BC99=Lookup!$A$4,BJ99*$BD99+1,"Error")))</f>
        <v>1</v>
      </c>
      <c r="BS99" s="229">
        <f>IF($BC99=Lookup!$A$2,$BD99*ROUNDUP(BK99/10,0)+1,
IF($BC99=Lookup!$A$3,($BD99+1)^BJ99,
IF($BC99=Lookup!$A$4,BK99*$BD99+1,"Error")))</f>
        <v>1</v>
      </c>
      <c r="BT99" s="249">
        <f>IF($BC99=Lookup!$A$2,$BD99*ROUNDUP(BL99/10,0)+1,
IF($BC99=Lookup!$A$3,($BD99+1)^BK99,
IF($BC99=Lookup!$A$4,BL99*$BD99+1,"Error")))</f>
        <v>1</v>
      </c>
      <c r="BU99" s="320"/>
      <c r="BV99" s="319">
        <f t="shared" ref="BV99" si="109">IFERROR(SUM(CF$34:CF$42)*HLOOKUP($BW$4,$AY$135:$BA$146,9,0)/HLOOKUP($BW$4,$AY$135:$BA$146,5,0)*$AK99/SUM($AK$97,$AK$99,$AK$101),"")</f>
        <v>87.64914103421431</v>
      </c>
      <c r="BW99" s="319">
        <f t="shared" ref="BW99" si="110">IFERROR(SUM(CG$34:CG$42)*HLOOKUP($BW$4,$AY$135:$BA$146,9,0)/HLOOKUP($BW$4,$AY$135:$BA$146,5,0)*$AK99/SUM($AK$97,$AK$99,$AK$101),"")</f>
        <v>87.64914103421431</v>
      </c>
      <c r="BX99" s="319">
        <f>IFERROR(SUM(CH$34:CH$42)*HLOOKUP($BW$4,$AY$135:$BA$146,9,0)/HLOOKUP($BW$4,$AY$135:$BA$146,5,0)*$AK99/SUM($AK$97,$AK$99,$AK$101),"")</f>
        <v>114.90872611218154</v>
      </c>
      <c r="BY99" s="321">
        <f>IFERROR(SUM(CI$34:CI$42)*HLOOKUP($BW$4,$AY$135:$BA$146,9,0)/HLOOKUP($BW$4,$AY$135:$BA$146,5,0)*$AK99/SUM($AK$97,$AK$99,$AK$101),"")</f>
        <v>120.59250818988448</v>
      </c>
      <c r="BZ99" s="321">
        <f>IFERROR(SUM(CJ$34:CJ$42)*HLOOKUP($BW$4,$AY$135:$BA$146,9,0)/HLOOKUP($BW$4,$AY$135:$BA$146,5,0)*$AK99/SUM($AK$97,$AK$99,$AK$101),"")</f>
        <v>124.38169624168637</v>
      </c>
      <c r="CA99" s="321">
        <f>IFERROR(SUM(CK$34:CK$42)*HLOOKUP($BW$4,$AY$135:$BA$146,9,0)/HLOOKUP($BW$4,$AY$135:$BA$146,5,0)*$AK99/SUM($AK$97,$AK$99,$AK$101),"")</f>
        <v>128.17088429348831</v>
      </c>
      <c r="CB99" s="277">
        <f>IFERROR(SUM(CL$34:CL$42)*HLOOKUP($BW$4,$AY$135:$BA$146,9,0)/HLOOKUP($BW$4,$AY$135:$BA$146,5,0)*$AK99/SUM($AK$97,$AK$99,$AK$101),"")</f>
        <v>130.06547831938929</v>
      </c>
      <c r="CC99" s="382" t="s">
        <v>293</v>
      </c>
      <c r="CD99" s="383">
        <f>HLOOKUP($CC99,$AK$6:$AM$132,ROWS(CD$6:CD99),0)</f>
        <v>171.33333333333334</v>
      </c>
      <c r="CE99" s="234">
        <f t="shared" si="103"/>
        <v>171.33333333333334</v>
      </c>
      <c r="CF99" s="96">
        <f t="shared" si="103"/>
        <v>87.64914103421431</v>
      </c>
      <c r="CG99" s="96">
        <f t="shared" si="103"/>
        <v>87.64914103421431</v>
      </c>
      <c r="CH99" s="96">
        <f t="shared" si="103"/>
        <v>114.90872611218154</v>
      </c>
      <c r="CI99" s="96">
        <f t="shared" si="64"/>
        <v>120.59250818988448</v>
      </c>
      <c r="CJ99" s="96">
        <f t="shared" si="64"/>
        <v>124.38169624168637</v>
      </c>
      <c r="CK99" s="96">
        <f t="shared" si="64"/>
        <v>128.17088429348831</v>
      </c>
      <c r="CL99" s="286">
        <f t="shared" si="64"/>
        <v>130.06547831938929</v>
      </c>
      <c r="CM99" s="305" t="s">
        <v>293</v>
      </c>
      <c r="CN99" s="315">
        <v>0.05</v>
      </c>
      <c r="CO99" s="306"/>
      <c r="CP99" s="307">
        <f>IF($CO99&lt;&gt;"",$CO99,HLOOKUP($CM99,$AY$6:$BA$132,ROWS(CP$6:CP99),0))</f>
        <v>3789.8395508688809</v>
      </c>
      <c r="CQ99" s="784">
        <f t="shared" si="100"/>
        <v>649325.84304886835</v>
      </c>
      <c r="CR99" s="784">
        <f t="shared" si="100"/>
        <v>332176.18129114999</v>
      </c>
      <c r="CS99" s="97">
        <f t="shared" si="100"/>
        <v>332176.18129114999</v>
      </c>
      <c r="CT99" s="97">
        <f t="shared" si="100"/>
        <v>435485.63495990535</v>
      </c>
      <c r="CU99" s="97">
        <f t="shared" si="100"/>
        <v>457026.25707650365</v>
      </c>
      <c r="CV99" s="97">
        <f t="shared" si="100"/>
        <v>471386.67182090227</v>
      </c>
      <c r="CW99" s="97">
        <f t="shared" si="100"/>
        <v>485747.08656530106</v>
      </c>
      <c r="CX99" s="98">
        <f t="shared" si="46"/>
        <v>492927.29393750045</v>
      </c>
      <c r="CY99" s="392"/>
    </row>
    <row r="100" spans="1:103" x14ac:dyDescent="0.25">
      <c r="A100" s="81" t="s">
        <v>196</v>
      </c>
      <c r="B100" s="82" t="s">
        <v>203</v>
      </c>
      <c r="C100" s="83" t="s">
        <v>391</v>
      </c>
      <c r="D100" s="84"/>
      <c r="E100" s="85"/>
      <c r="F100" s="85"/>
      <c r="G100" s="85"/>
      <c r="H100" s="85"/>
      <c r="I100" s="85">
        <v>0</v>
      </c>
      <c r="J100" s="85">
        <v>0</v>
      </c>
      <c r="K100" s="85">
        <v>160786.633315666</v>
      </c>
      <c r="L100" s="85">
        <v>0</v>
      </c>
      <c r="M100" s="654">
        <f>'2022-23 Input'!D100</f>
        <v>129920.35446354399</v>
      </c>
      <c r="N100" s="1065">
        <v>23525.216878824998</v>
      </c>
      <c r="O100" s="560">
        <f t="shared" si="101"/>
        <v>0</v>
      </c>
      <c r="P100" s="561">
        <f t="shared" si="75"/>
        <v>0</v>
      </c>
      <c r="Q100" s="561">
        <f t="shared" si="76"/>
        <v>0</v>
      </c>
      <c r="R100" s="561">
        <f t="shared" si="77"/>
        <v>0</v>
      </c>
      <c r="S100" s="561">
        <f t="shared" si="78"/>
        <v>0</v>
      </c>
      <c r="T100" s="561">
        <f t="shared" si="79"/>
        <v>0</v>
      </c>
      <c r="U100" s="561">
        <f t="shared" si="80"/>
        <v>0</v>
      </c>
      <c r="V100" s="561">
        <f t="shared" si="81"/>
        <v>192840.8619166548</v>
      </c>
      <c r="W100" s="675">
        <f t="shared" si="82"/>
        <v>0</v>
      </c>
      <c r="X100" s="675">
        <f t="shared" si="83"/>
        <v>138165.22047601375</v>
      </c>
      <c r="Y100" s="675">
        <f t="shared" si="83"/>
        <v>24172.124568572581</v>
      </c>
      <c r="Z100" s="86"/>
      <c r="AA100" s="87"/>
      <c r="AB100" s="87"/>
      <c r="AC100" s="87"/>
      <c r="AD100" s="87"/>
      <c r="AE100" s="87">
        <v>0</v>
      </c>
      <c r="AF100" s="87">
        <v>0</v>
      </c>
      <c r="AG100" s="87">
        <v>2</v>
      </c>
      <c r="AH100" s="87">
        <v>0</v>
      </c>
      <c r="AI100" s="1094">
        <f>'2022-23 Input'!K100</f>
        <v>2</v>
      </c>
      <c r="AJ100" s="665">
        <v>0</v>
      </c>
      <c r="AK100" s="88">
        <f t="shared" si="84"/>
        <v>0.8</v>
      </c>
      <c r="AL100" s="89">
        <f t="shared" si="85"/>
        <v>1.3333333333333333</v>
      </c>
      <c r="AM100" s="90">
        <f t="shared" si="86"/>
        <v>2</v>
      </c>
      <c r="AN100" s="91" t="str">
        <f t="shared" si="87"/>
        <v/>
      </c>
      <c r="AO100" s="92" t="str">
        <f t="shared" si="88"/>
        <v/>
      </c>
      <c r="AP100" s="92" t="str">
        <f t="shared" si="89"/>
        <v/>
      </c>
      <c r="AQ100" s="92" t="str">
        <f t="shared" si="90"/>
        <v/>
      </c>
      <c r="AR100" s="92" t="str">
        <f t="shared" si="91"/>
        <v/>
      </c>
      <c r="AS100" s="92" t="str">
        <f t="shared" si="92"/>
        <v/>
      </c>
      <c r="AT100" s="92" t="str">
        <f t="shared" si="93"/>
        <v/>
      </c>
      <c r="AU100" s="92">
        <f t="shared" si="94"/>
        <v>80393.316657832998</v>
      </c>
      <c r="AV100" s="92" t="str">
        <f t="shared" si="104"/>
        <v/>
      </c>
      <c r="AW100" s="92">
        <f t="shared" si="104"/>
        <v>64960.177231771995</v>
      </c>
      <c r="AX100" s="92" t="str">
        <f t="shared" si="104"/>
        <v/>
      </c>
      <c r="AY100" s="93">
        <f t="shared" si="96"/>
        <v>72676.746944802493</v>
      </c>
      <c r="AZ100" s="94">
        <f t="shared" si="97"/>
        <v>72676.746944802493</v>
      </c>
      <c r="BA100" s="95">
        <f t="shared" si="98"/>
        <v>64960.177231771995</v>
      </c>
      <c r="BB100" s="248" t="s">
        <v>422</v>
      </c>
      <c r="BC100" s="229" t="s">
        <v>433</v>
      </c>
      <c r="BD100" s="249">
        <v>0</v>
      </c>
      <c r="BE100" s="267">
        <f t="shared" si="102"/>
        <v>0</v>
      </c>
      <c r="BF100" s="268">
        <f t="shared" si="105"/>
        <v>0</v>
      </c>
      <c r="BG100" s="268">
        <f t="shared" si="105"/>
        <v>0</v>
      </c>
      <c r="BH100" s="268">
        <f t="shared" si="105"/>
        <v>1</v>
      </c>
      <c r="BI100" s="268">
        <f t="shared" si="105"/>
        <v>2</v>
      </c>
      <c r="BJ100" s="268">
        <f t="shared" si="105"/>
        <v>3</v>
      </c>
      <c r="BK100" s="268">
        <f t="shared" si="105"/>
        <v>4</v>
      </c>
      <c r="BL100" s="269">
        <f t="shared" si="105"/>
        <v>5</v>
      </c>
      <c r="BM100" s="256">
        <f>IF($BC100=Lookup!$A$2,$BD100*ROUNDUP(BE100/10,0)+1,
IF($BC100=Lookup!$A$3,($BD100+1)^BD100,
IF($BC100=Lookup!$A$4,BE100*$BD100+1,"Error")))</f>
        <v>1</v>
      </c>
      <c r="BN100" s="229">
        <f>IF($BC100=Lookup!$A$2,$BD100*ROUNDUP(BF100/10,0)+1,
IF($BC100=Lookup!$A$3,($BD100+1)^BE100,
IF($BC100=Lookup!$A$4,BF100*$BD100+1,"Error")))</f>
        <v>1</v>
      </c>
      <c r="BO100" s="229">
        <f>IF($BC100=Lookup!$A$2,$BD100*ROUNDUP(BG100/10,0)+1,
IF($BC100=Lookup!$A$3,($BD100+1)^BF100,
IF($BC100=Lookup!$A$4,BG100*$BD100+1,"Error")))</f>
        <v>1</v>
      </c>
      <c r="BP100" s="229">
        <f>IF($BC100=Lookup!$A$2,$BD100*ROUNDUP(BH100/10,0)+1,
IF($BC100=Lookup!$A$3,($BD100+1)^BG100,
IF($BC100=Lookup!$A$4,BH100*$BD100+1,"Error")))</f>
        <v>1</v>
      </c>
      <c r="BQ100" s="229">
        <f>IF($BC100=Lookup!$A$2,$BD100*ROUNDUP(BI100/10,0)+1,
IF($BC100=Lookup!$A$3,($BD100+1)^BH100,
IF($BC100=Lookup!$A$4,BI100*$BD100+1,"Error")))</f>
        <v>1</v>
      </c>
      <c r="BR100" s="229">
        <f>IF($BC100=Lookup!$A$2,$BD100*ROUNDUP(BJ100/10,0)+1,
IF($BC100=Lookup!$A$3,($BD100+1)^BI100,
IF($BC100=Lookup!$A$4,BJ100*$BD100+1,"Error")))</f>
        <v>1</v>
      </c>
      <c r="BS100" s="229">
        <f>IF($BC100=Lookup!$A$2,$BD100*ROUNDUP(BK100/10,0)+1,
IF($BC100=Lookup!$A$3,($BD100+1)^BJ100,
IF($BC100=Lookup!$A$4,BK100*$BD100+1,"Error")))</f>
        <v>1</v>
      </c>
      <c r="BT100" s="249">
        <f>IF($BC100=Lookup!$A$2,$BD100*ROUNDUP(BL100/10,0)+1,
IF($BC100=Lookup!$A$3,($BD100+1)^BK100,
IF($BC100=Lookup!$A$4,BL100*$BD100+1,"Error")))</f>
        <v>1</v>
      </c>
      <c r="BU100" s="320"/>
      <c r="BV100" s="321">
        <v>0</v>
      </c>
      <c r="BW100" s="321">
        <v>0</v>
      </c>
      <c r="BX100" s="321">
        <v>0</v>
      </c>
      <c r="BY100" s="321">
        <v>0</v>
      </c>
      <c r="BZ100" s="321">
        <v>0</v>
      </c>
      <c r="CA100" s="321">
        <v>0</v>
      </c>
      <c r="CB100" s="277">
        <v>0</v>
      </c>
      <c r="CC100" s="382" t="s">
        <v>293</v>
      </c>
      <c r="CD100" s="383">
        <f>HLOOKUP($CC100,$AK$6:$AM$132,ROWS(CD$6:CD100),0)</f>
        <v>1.3333333333333333</v>
      </c>
      <c r="CE100" s="234">
        <f t="shared" si="103"/>
        <v>1.3333333333333333</v>
      </c>
      <c r="CF100" s="96">
        <f t="shared" si="103"/>
        <v>0</v>
      </c>
      <c r="CG100" s="96">
        <f t="shared" si="103"/>
        <v>0</v>
      </c>
      <c r="CH100" s="96">
        <f t="shared" si="103"/>
        <v>0</v>
      </c>
      <c r="CI100" s="96">
        <f t="shared" si="64"/>
        <v>0</v>
      </c>
      <c r="CJ100" s="96">
        <f t="shared" si="64"/>
        <v>0</v>
      </c>
      <c r="CK100" s="96">
        <f t="shared" si="64"/>
        <v>0</v>
      </c>
      <c r="CL100" s="286">
        <f t="shared" si="64"/>
        <v>0</v>
      </c>
      <c r="CM100" s="305" t="s">
        <v>293</v>
      </c>
      <c r="CN100" s="315">
        <v>0.05</v>
      </c>
      <c r="CO100" s="306"/>
      <c r="CP100" s="307">
        <f>IF($CO100&lt;&gt;"",$CO100,HLOOKUP($CM100,$AY$6:$BA$132,ROWS(CP$6:CP100),0))</f>
        <v>72676.746944802493</v>
      </c>
      <c r="CQ100" s="784">
        <f t="shared" si="100"/>
        <v>96902.329259736653</v>
      </c>
      <c r="CR100" s="784">
        <f t="shared" si="100"/>
        <v>0</v>
      </c>
      <c r="CS100" s="97">
        <f t="shared" si="100"/>
        <v>0</v>
      </c>
      <c r="CT100" s="97">
        <f t="shared" si="100"/>
        <v>0</v>
      </c>
      <c r="CU100" s="97">
        <f t="shared" si="100"/>
        <v>0</v>
      </c>
      <c r="CV100" s="97">
        <f t="shared" si="100"/>
        <v>0</v>
      </c>
      <c r="CW100" s="97">
        <f t="shared" si="100"/>
        <v>0</v>
      </c>
      <c r="CX100" s="98">
        <f t="shared" si="46"/>
        <v>0</v>
      </c>
      <c r="CY100" s="392"/>
    </row>
    <row r="101" spans="1:103" x14ac:dyDescent="0.25">
      <c r="A101" s="81" t="s">
        <v>196</v>
      </c>
      <c r="B101" s="82" t="s">
        <v>205</v>
      </c>
      <c r="C101" s="83" t="s">
        <v>206</v>
      </c>
      <c r="D101" s="84"/>
      <c r="E101" s="85"/>
      <c r="F101" s="85"/>
      <c r="G101" s="85"/>
      <c r="H101" s="85"/>
      <c r="I101" s="85">
        <v>0</v>
      </c>
      <c r="J101" s="85">
        <v>0</v>
      </c>
      <c r="K101" s="85">
        <v>2684.0010918510002</v>
      </c>
      <c r="L101" s="85">
        <v>0</v>
      </c>
      <c r="M101" s="654">
        <f>'2022-23 Input'!D101</f>
        <v>0</v>
      </c>
      <c r="N101" s="1065">
        <v>7080.2005217900041</v>
      </c>
      <c r="O101" s="560">
        <f t="shared" si="101"/>
        <v>0</v>
      </c>
      <c r="P101" s="561">
        <f t="shared" si="75"/>
        <v>0</v>
      </c>
      <c r="Q101" s="561">
        <f t="shared" si="76"/>
        <v>0</v>
      </c>
      <c r="R101" s="561">
        <f t="shared" si="77"/>
        <v>0</v>
      </c>
      <c r="S101" s="561">
        <f t="shared" si="78"/>
        <v>0</v>
      </c>
      <c r="T101" s="561">
        <f t="shared" si="79"/>
        <v>0</v>
      </c>
      <c r="U101" s="561">
        <f t="shared" si="80"/>
        <v>0</v>
      </c>
      <c r="V101" s="561">
        <f t="shared" si="81"/>
        <v>3219.0803007961194</v>
      </c>
      <c r="W101" s="675">
        <f t="shared" si="82"/>
        <v>0</v>
      </c>
      <c r="X101" s="675">
        <f t="shared" si="83"/>
        <v>0</v>
      </c>
      <c r="Y101" s="675">
        <f t="shared" si="83"/>
        <v>7274.89526939182</v>
      </c>
      <c r="Z101" s="86"/>
      <c r="AA101" s="87"/>
      <c r="AB101" s="87"/>
      <c r="AC101" s="87"/>
      <c r="AD101" s="87"/>
      <c r="AE101" s="87">
        <v>0</v>
      </c>
      <c r="AF101" s="87">
        <v>0</v>
      </c>
      <c r="AG101" s="87">
        <v>0</v>
      </c>
      <c r="AH101" s="87">
        <v>0</v>
      </c>
      <c r="AI101" s="1094">
        <f>'2022-23 Input'!K101</f>
        <v>0</v>
      </c>
      <c r="AJ101" s="665">
        <v>2</v>
      </c>
      <c r="AK101" s="88">
        <f t="shared" si="84"/>
        <v>0</v>
      </c>
      <c r="AL101" s="89">
        <f t="shared" si="85"/>
        <v>0</v>
      </c>
      <c r="AM101" s="90">
        <f t="shared" si="86"/>
        <v>0</v>
      </c>
      <c r="AN101" s="91" t="str">
        <f t="shared" si="87"/>
        <v/>
      </c>
      <c r="AO101" s="92" t="str">
        <f t="shared" si="88"/>
        <v/>
      </c>
      <c r="AP101" s="92" t="str">
        <f t="shared" si="89"/>
        <v/>
      </c>
      <c r="AQ101" s="92" t="str">
        <f t="shared" si="90"/>
        <v/>
      </c>
      <c r="AR101" s="92" t="str">
        <f t="shared" si="91"/>
        <v/>
      </c>
      <c r="AS101" s="92" t="str">
        <f t="shared" si="92"/>
        <v/>
      </c>
      <c r="AT101" s="92" t="str">
        <f t="shared" si="93"/>
        <v/>
      </c>
      <c r="AU101" s="92" t="str">
        <f t="shared" si="94"/>
        <v/>
      </c>
      <c r="AV101" s="92" t="str">
        <f t="shared" si="104"/>
        <v/>
      </c>
      <c r="AW101" s="92" t="str">
        <f t="shared" si="104"/>
        <v/>
      </c>
      <c r="AX101" s="92">
        <f t="shared" si="104"/>
        <v>3540.1002608950021</v>
      </c>
      <c r="AY101" s="93" t="str">
        <f t="shared" si="96"/>
        <v/>
      </c>
      <c r="AZ101" s="94" t="str">
        <f t="shared" si="97"/>
        <v/>
      </c>
      <c r="BA101" s="95" t="str">
        <f t="shared" si="98"/>
        <v/>
      </c>
      <c r="BB101" s="248" t="s">
        <v>422</v>
      </c>
      <c r="BC101" s="229" t="s">
        <v>433</v>
      </c>
      <c r="BD101" s="249">
        <v>0</v>
      </c>
      <c r="BE101" s="267">
        <f t="shared" si="102"/>
        <v>0</v>
      </c>
      <c r="BF101" s="268">
        <f t="shared" si="105"/>
        <v>0</v>
      </c>
      <c r="BG101" s="268">
        <f t="shared" si="105"/>
        <v>0</v>
      </c>
      <c r="BH101" s="268">
        <f t="shared" si="105"/>
        <v>1</v>
      </c>
      <c r="BI101" s="268">
        <f t="shared" si="105"/>
        <v>2</v>
      </c>
      <c r="BJ101" s="268">
        <f t="shared" si="105"/>
        <v>3</v>
      </c>
      <c r="BK101" s="268">
        <f t="shared" si="105"/>
        <v>4</v>
      </c>
      <c r="BL101" s="269">
        <f t="shared" si="105"/>
        <v>5</v>
      </c>
      <c r="BM101" s="256">
        <f>IF($BC101=Lookup!$A$2,$BD101*ROUNDUP(BE101/10,0)+1,
IF($BC101=Lookup!$A$3,($BD101+1)^BD101,
IF($BC101=Lookup!$A$4,BE101*$BD101+1,"Error")))</f>
        <v>1</v>
      </c>
      <c r="BN101" s="229">
        <f>IF($BC101=Lookup!$A$2,$BD101*ROUNDUP(BF101/10,0)+1,
IF($BC101=Lookup!$A$3,($BD101+1)^BE101,
IF($BC101=Lookup!$A$4,BF101*$BD101+1,"Error")))</f>
        <v>1</v>
      </c>
      <c r="BO101" s="229">
        <f>IF($BC101=Lookup!$A$2,$BD101*ROUNDUP(BG101/10,0)+1,
IF($BC101=Lookup!$A$3,($BD101+1)^BF101,
IF($BC101=Lookup!$A$4,BG101*$BD101+1,"Error")))</f>
        <v>1</v>
      </c>
      <c r="BP101" s="229">
        <f>IF($BC101=Lookup!$A$2,$BD101*ROUNDUP(BH101/10,0)+1,
IF($BC101=Lookup!$A$3,($BD101+1)^BG101,
IF($BC101=Lookup!$A$4,BH101*$BD101+1,"Error")))</f>
        <v>1</v>
      </c>
      <c r="BQ101" s="229">
        <f>IF($BC101=Lookup!$A$2,$BD101*ROUNDUP(BI101/10,0)+1,
IF($BC101=Lookup!$A$3,($BD101+1)^BH101,
IF($BC101=Lookup!$A$4,BI101*$BD101+1,"Error")))</f>
        <v>1</v>
      </c>
      <c r="BR101" s="229">
        <f>IF($BC101=Lookup!$A$2,$BD101*ROUNDUP(BJ101/10,0)+1,
IF($BC101=Lookup!$A$3,($BD101+1)^BI101,
IF($BC101=Lookup!$A$4,BJ101*$BD101+1,"Error")))</f>
        <v>1</v>
      </c>
      <c r="BS101" s="229">
        <f>IF($BC101=Lookup!$A$2,$BD101*ROUNDUP(BK101/10,0)+1,
IF($BC101=Lookup!$A$3,($BD101+1)^BJ101,
IF($BC101=Lookup!$A$4,BK101*$BD101+1,"Error")))</f>
        <v>1</v>
      </c>
      <c r="BT101" s="249">
        <f>IF($BC101=Lookup!$A$2,$BD101*ROUNDUP(BL101/10,0)+1,
IF($BC101=Lookup!$A$3,($BD101+1)^BK101,
IF($BC101=Lookup!$A$4,BL101*$BD101+1,"Error")))</f>
        <v>1</v>
      </c>
      <c r="BU101" s="320"/>
      <c r="BV101" s="321">
        <v>0</v>
      </c>
      <c r="BW101" s="321">
        <v>0</v>
      </c>
      <c r="BX101" s="319">
        <f>IFERROR(SUM(CH$34:CH$42)*HLOOKUP($BW$4,$AY$135:$BA$146,9,0)/HLOOKUP($BW$4,$AY$135:$BA$146,5,0)*$AK101/SUM($AK$97,$AK$99,$AK$101),"")</f>
        <v>0</v>
      </c>
      <c r="BY101" s="321">
        <f>IFERROR(SUM(CI$34:CI$42)*HLOOKUP($BW$4,$AY$135:$BA$146,9,0)/HLOOKUP($BW$4,$AY$135:$BA$146,5,0)*$AK101/SUM($AK$97,$AK$99,$AK$101),"")</f>
        <v>0</v>
      </c>
      <c r="BZ101" s="321">
        <f>IFERROR(SUM(CJ$34:CJ$42)*HLOOKUP($BW$4,$AY$135:$BA$146,9,0)/HLOOKUP($BW$4,$AY$135:$BA$146,5,0)*$AK101/SUM($AK$97,$AK$99,$AK$101),"")</f>
        <v>0</v>
      </c>
      <c r="CA101" s="321">
        <f>IFERROR(SUM(CK$34:CK$42)*HLOOKUP($BW$4,$AY$135:$BA$146,9,0)/HLOOKUP($BW$4,$AY$135:$BA$146,5,0)*$AK101/SUM($AK$97,$AK$99,$AK$101),"")</f>
        <v>0</v>
      </c>
      <c r="CB101" s="277">
        <f>IFERROR(SUM(CL$34:CL$42)*HLOOKUP($BW$4,$AY$135:$BA$146,9,0)/HLOOKUP($BW$4,$AY$135:$BA$146,5,0)*$AK101/SUM($AK$97,$AK$99,$AK$101),"")</f>
        <v>0</v>
      </c>
      <c r="CC101" s="382" t="s">
        <v>293</v>
      </c>
      <c r="CD101" s="383">
        <f>HLOOKUP($CC101,$AK$6:$AM$132,ROWS(CD$6:CD101),0)</f>
        <v>0</v>
      </c>
      <c r="CE101" s="234">
        <f t="shared" si="103"/>
        <v>0</v>
      </c>
      <c r="CF101" s="96">
        <f t="shared" si="103"/>
        <v>0</v>
      </c>
      <c r="CG101" s="96">
        <f t="shared" si="103"/>
        <v>0</v>
      </c>
      <c r="CH101" s="96">
        <f t="shared" si="103"/>
        <v>0</v>
      </c>
      <c r="CI101" s="96">
        <f t="shared" si="64"/>
        <v>0</v>
      </c>
      <c r="CJ101" s="96">
        <f t="shared" si="64"/>
        <v>0</v>
      </c>
      <c r="CK101" s="96">
        <f t="shared" si="64"/>
        <v>0</v>
      </c>
      <c r="CL101" s="286">
        <f t="shared" si="64"/>
        <v>0</v>
      </c>
      <c r="CM101" s="305" t="s">
        <v>293</v>
      </c>
      <c r="CN101" s="315">
        <v>0.05</v>
      </c>
      <c r="CO101" s="306"/>
      <c r="CP101" s="307" t="str">
        <f>IF($CO101&lt;&gt;"",$CO101,HLOOKUP($CM101,$AY$6:$BA$132,ROWS(CP$6:CP101),0))</f>
        <v/>
      </c>
      <c r="CQ101" s="784" t="str">
        <f t="shared" si="100"/>
        <v/>
      </c>
      <c r="CR101" s="784" t="str">
        <f t="shared" si="100"/>
        <v/>
      </c>
      <c r="CS101" s="97" t="str">
        <f t="shared" si="100"/>
        <v/>
      </c>
      <c r="CT101" s="97" t="str">
        <f t="shared" si="100"/>
        <v/>
      </c>
      <c r="CU101" s="97" t="str">
        <f t="shared" si="100"/>
        <v/>
      </c>
      <c r="CV101" s="97" t="str">
        <f t="shared" si="100"/>
        <v/>
      </c>
      <c r="CW101" s="97" t="str">
        <f t="shared" si="100"/>
        <v/>
      </c>
      <c r="CX101" s="98" t="str">
        <f t="shared" si="46"/>
        <v/>
      </c>
      <c r="CY101" s="392"/>
    </row>
    <row r="102" spans="1:103" x14ac:dyDescent="0.25">
      <c r="A102" s="81" t="s">
        <v>196</v>
      </c>
      <c r="B102" s="82" t="s">
        <v>207</v>
      </c>
      <c r="C102" s="83" t="s">
        <v>208</v>
      </c>
      <c r="D102" s="84"/>
      <c r="E102" s="85"/>
      <c r="F102" s="85"/>
      <c r="G102" s="85"/>
      <c r="H102" s="85"/>
      <c r="I102" s="85">
        <v>0</v>
      </c>
      <c r="J102" s="85">
        <v>0</v>
      </c>
      <c r="K102" s="85">
        <v>0</v>
      </c>
      <c r="L102" s="85">
        <v>0</v>
      </c>
      <c r="M102" s="654">
        <f>'2022-23 Input'!D102</f>
        <v>0</v>
      </c>
      <c r="N102" s="1065">
        <v>0</v>
      </c>
      <c r="O102" s="560">
        <f t="shared" si="101"/>
        <v>0</v>
      </c>
      <c r="P102" s="561">
        <f t="shared" si="75"/>
        <v>0</v>
      </c>
      <c r="Q102" s="561">
        <f t="shared" si="76"/>
        <v>0</v>
      </c>
      <c r="R102" s="561">
        <f t="shared" si="77"/>
        <v>0</v>
      </c>
      <c r="S102" s="561">
        <f t="shared" si="78"/>
        <v>0</v>
      </c>
      <c r="T102" s="561">
        <f t="shared" si="79"/>
        <v>0</v>
      </c>
      <c r="U102" s="561">
        <f t="shared" si="80"/>
        <v>0</v>
      </c>
      <c r="V102" s="561">
        <f t="shared" si="81"/>
        <v>0</v>
      </c>
      <c r="W102" s="675">
        <f t="shared" si="82"/>
        <v>0</v>
      </c>
      <c r="X102" s="675">
        <f t="shared" si="83"/>
        <v>0</v>
      </c>
      <c r="Y102" s="675">
        <f t="shared" si="83"/>
        <v>0</v>
      </c>
      <c r="Z102" s="86"/>
      <c r="AA102" s="87"/>
      <c r="AB102" s="87"/>
      <c r="AC102" s="87"/>
      <c r="AD102" s="87"/>
      <c r="AE102" s="87">
        <v>0</v>
      </c>
      <c r="AF102" s="87">
        <v>0</v>
      </c>
      <c r="AG102" s="87">
        <v>0</v>
      </c>
      <c r="AH102" s="87">
        <v>0</v>
      </c>
      <c r="AI102" s="1094">
        <f>'2022-23 Input'!K102</f>
        <v>0</v>
      </c>
      <c r="AJ102" s="665">
        <v>0</v>
      </c>
      <c r="AK102" s="88">
        <f t="shared" si="84"/>
        <v>0</v>
      </c>
      <c r="AL102" s="89">
        <f t="shared" si="85"/>
        <v>0</v>
      </c>
      <c r="AM102" s="90">
        <f t="shared" si="86"/>
        <v>0</v>
      </c>
      <c r="AN102" s="91" t="str">
        <f t="shared" si="87"/>
        <v/>
      </c>
      <c r="AO102" s="92" t="str">
        <f t="shared" si="88"/>
        <v/>
      </c>
      <c r="AP102" s="92" t="str">
        <f t="shared" si="89"/>
        <v/>
      </c>
      <c r="AQ102" s="92" t="str">
        <f t="shared" si="90"/>
        <v/>
      </c>
      <c r="AR102" s="92" t="str">
        <f t="shared" si="91"/>
        <v/>
      </c>
      <c r="AS102" s="92" t="str">
        <f t="shared" si="92"/>
        <v/>
      </c>
      <c r="AT102" s="92" t="str">
        <f t="shared" si="93"/>
        <v/>
      </c>
      <c r="AU102" s="92" t="str">
        <f t="shared" si="94"/>
        <v/>
      </c>
      <c r="AV102" s="92" t="str">
        <f t="shared" si="104"/>
        <v/>
      </c>
      <c r="AW102" s="92" t="str">
        <f t="shared" si="104"/>
        <v/>
      </c>
      <c r="AX102" s="92" t="str">
        <f t="shared" si="104"/>
        <v/>
      </c>
      <c r="AY102" s="93" t="str">
        <f t="shared" si="96"/>
        <v/>
      </c>
      <c r="AZ102" s="94" t="str">
        <f t="shared" si="97"/>
        <v/>
      </c>
      <c r="BA102" s="95" t="str">
        <f t="shared" si="98"/>
        <v/>
      </c>
      <c r="BB102" s="248" t="s">
        <v>422</v>
      </c>
      <c r="BC102" s="229" t="s">
        <v>433</v>
      </c>
      <c r="BD102" s="249">
        <v>0</v>
      </c>
      <c r="BE102" s="267">
        <f t="shared" si="102"/>
        <v>0</v>
      </c>
      <c r="BF102" s="268">
        <f t="shared" si="105"/>
        <v>0</v>
      </c>
      <c r="BG102" s="268">
        <f t="shared" si="105"/>
        <v>0</v>
      </c>
      <c r="BH102" s="268">
        <f t="shared" si="105"/>
        <v>1</v>
      </c>
      <c r="BI102" s="268">
        <f t="shared" si="105"/>
        <v>2</v>
      </c>
      <c r="BJ102" s="268">
        <f t="shared" si="105"/>
        <v>3</v>
      </c>
      <c r="BK102" s="268">
        <f t="shared" si="105"/>
        <v>4</v>
      </c>
      <c r="BL102" s="269">
        <f t="shared" si="105"/>
        <v>5</v>
      </c>
      <c r="BM102" s="256">
        <f>IF($BC102=Lookup!$A$2,$BD102*ROUNDUP(BE102/10,0)+1,
IF($BC102=Lookup!$A$3,($BD102+1)^BD102,
IF($BC102=Lookup!$A$4,BE102*$BD102+1,"Error")))</f>
        <v>1</v>
      </c>
      <c r="BN102" s="229">
        <f>IF($BC102=Lookup!$A$2,$BD102*ROUNDUP(BF102/10,0)+1,
IF($BC102=Lookup!$A$3,($BD102+1)^BE102,
IF($BC102=Lookup!$A$4,BF102*$BD102+1,"Error")))</f>
        <v>1</v>
      </c>
      <c r="BO102" s="229">
        <f>IF($BC102=Lookup!$A$2,$BD102*ROUNDUP(BG102/10,0)+1,
IF($BC102=Lookup!$A$3,($BD102+1)^BF102,
IF($BC102=Lookup!$A$4,BG102*$BD102+1,"Error")))</f>
        <v>1</v>
      </c>
      <c r="BP102" s="229">
        <f>IF($BC102=Lookup!$A$2,$BD102*ROUNDUP(BH102/10,0)+1,
IF($BC102=Lookup!$A$3,($BD102+1)^BG102,
IF($BC102=Lookup!$A$4,BH102*$BD102+1,"Error")))</f>
        <v>1</v>
      </c>
      <c r="BQ102" s="229">
        <f>IF($BC102=Lookup!$A$2,$BD102*ROUNDUP(BI102/10,0)+1,
IF($BC102=Lookup!$A$3,($BD102+1)^BH102,
IF($BC102=Lookup!$A$4,BI102*$BD102+1,"Error")))</f>
        <v>1</v>
      </c>
      <c r="BR102" s="229">
        <f>IF($BC102=Lookup!$A$2,$BD102*ROUNDUP(BJ102/10,0)+1,
IF($BC102=Lookup!$A$3,($BD102+1)^BI102,
IF($BC102=Lookup!$A$4,BJ102*$BD102+1,"Error")))</f>
        <v>1</v>
      </c>
      <c r="BS102" s="229">
        <f>IF($BC102=Lookup!$A$2,$BD102*ROUNDUP(BK102/10,0)+1,
IF($BC102=Lookup!$A$3,($BD102+1)^BJ102,
IF($BC102=Lookup!$A$4,BK102*$BD102+1,"Error")))</f>
        <v>1</v>
      </c>
      <c r="BT102" s="249">
        <f>IF($BC102=Lookup!$A$2,$BD102*ROUNDUP(BL102/10,0)+1,
IF($BC102=Lookup!$A$3,($BD102+1)^BK102,
IF($BC102=Lookup!$A$4,BL102*$BD102+1,"Error")))</f>
        <v>1</v>
      </c>
      <c r="BU102" s="320"/>
      <c r="BV102" s="321">
        <v>0</v>
      </c>
      <c r="BW102" s="321">
        <v>0</v>
      </c>
      <c r="BX102" s="321">
        <v>0</v>
      </c>
      <c r="BY102" s="321">
        <v>0</v>
      </c>
      <c r="BZ102" s="321">
        <v>0</v>
      </c>
      <c r="CA102" s="321">
        <v>0</v>
      </c>
      <c r="CB102" s="277">
        <v>0</v>
      </c>
      <c r="CC102" s="382" t="s">
        <v>293</v>
      </c>
      <c r="CD102" s="383">
        <f>HLOOKUP($CC102,$AK$6:$AM$132,ROWS(CD$6:CD102),0)</f>
        <v>0</v>
      </c>
      <c r="CE102" s="234">
        <f t="shared" si="103"/>
        <v>0</v>
      </c>
      <c r="CF102" s="96">
        <f t="shared" si="103"/>
        <v>0</v>
      </c>
      <c r="CG102" s="96">
        <f t="shared" si="103"/>
        <v>0</v>
      </c>
      <c r="CH102" s="96">
        <f t="shared" si="103"/>
        <v>0</v>
      </c>
      <c r="CI102" s="96">
        <f t="shared" si="64"/>
        <v>0</v>
      </c>
      <c r="CJ102" s="96">
        <f t="shared" si="64"/>
        <v>0</v>
      </c>
      <c r="CK102" s="96">
        <f t="shared" si="64"/>
        <v>0</v>
      </c>
      <c r="CL102" s="286">
        <f t="shared" si="64"/>
        <v>0</v>
      </c>
      <c r="CM102" s="305" t="s">
        <v>293</v>
      </c>
      <c r="CN102" s="315">
        <v>0.05</v>
      </c>
      <c r="CO102" s="306"/>
      <c r="CP102" s="307" t="str">
        <f>IF($CO102&lt;&gt;"",$CO102,HLOOKUP($CM102,$AY$6:$BA$132,ROWS(CP$6:CP102),0))</f>
        <v/>
      </c>
      <c r="CQ102" s="784" t="str">
        <f t="shared" si="100"/>
        <v/>
      </c>
      <c r="CR102" s="784" t="str">
        <f t="shared" si="100"/>
        <v/>
      </c>
      <c r="CS102" s="97" t="str">
        <f t="shared" si="100"/>
        <v/>
      </c>
      <c r="CT102" s="97" t="str">
        <f t="shared" si="100"/>
        <v/>
      </c>
      <c r="CU102" s="97" t="str">
        <f t="shared" si="100"/>
        <v/>
      </c>
      <c r="CV102" s="97" t="str">
        <f t="shared" si="100"/>
        <v/>
      </c>
      <c r="CW102" s="97" t="str">
        <f t="shared" si="100"/>
        <v/>
      </c>
      <c r="CX102" s="98" t="str">
        <f t="shared" si="100"/>
        <v/>
      </c>
      <c r="CY102" s="392"/>
    </row>
    <row r="103" spans="1:103" x14ac:dyDescent="0.25">
      <c r="A103" s="81" t="s">
        <v>196</v>
      </c>
      <c r="B103" s="82" t="s">
        <v>209</v>
      </c>
      <c r="C103" s="83" t="s">
        <v>210</v>
      </c>
      <c r="D103" s="84"/>
      <c r="E103" s="85"/>
      <c r="F103" s="85"/>
      <c r="G103" s="85"/>
      <c r="H103" s="85"/>
      <c r="I103" s="85">
        <v>0</v>
      </c>
      <c r="J103" s="85">
        <v>0</v>
      </c>
      <c r="K103" s="85">
        <v>0</v>
      </c>
      <c r="L103" s="85">
        <v>0</v>
      </c>
      <c r="M103" s="654">
        <f>'2022-23 Input'!D103</f>
        <v>0</v>
      </c>
      <c r="N103" s="1065">
        <v>0</v>
      </c>
      <c r="O103" s="560">
        <f t="shared" si="101"/>
        <v>0</v>
      </c>
      <c r="P103" s="561">
        <f t="shared" si="75"/>
        <v>0</v>
      </c>
      <c r="Q103" s="561">
        <f t="shared" si="76"/>
        <v>0</v>
      </c>
      <c r="R103" s="561">
        <f t="shared" si="77"/>
        <v>0</v>
      </c>
      <c r="S103" s="561">
        <f t="shared" si="78"/>
        <v>0</v>
      </c>
      <c r="T103" s="561">
        <f t="shared" si="79"/>
        <v>0</v>
      </c>
      <c r="U103" s="561">
        <f t="shared" si="80"/>
        <v>0</v>
      </c>
      <c r="V103" s="561">
        <f t="shared" si="81"/>
        <v>0</v>
      </c>
      <c r="W103" s="675">
        <f t="shared" si="82"/>
        <v>0</v>
      </c>
      <c r="X103" s="675">
        <f t="shared" si="83"/>
        <v>0</v>
      </c>
      <c r="Y103" s="675">
        <f t="shared" si="83"/>
        <v>0</v>
      </c>
      <c r="Z103" s="86"/>
      <c r="AA103" s="87"/>
      <c r="AB103" s="87"/>
      <c r="AC103" s="87"/>
      <c r="AD103" s="87"/>
      <c r="AE103" s="87">
        <v>0</v>
      </c>
      <c r="AF103" s="87">
        <v>0</v>
      </c>
      <c r="AG103" s="87">
        <v>0</v>
      </c>
      <c r="AH103" s="87">
        <v>0</v>
      </c>
      <c r="AI103" s="1094">
        <f>'2022-23 Input'!K103</f>
        <v>0</v>
      </c>
      <c r="AJ103" s="665">
        <v>0</v>
      </c>
      <c r="AK103" s="88">
        <f t="shared" ref="AK103:AK132" si="111">IFERROR(IF($AM$4="N",SUM(AD103:AH103)/5,SUM(AE103:AI103)/5),"")</f>
        <v>0</v>
      </c>
      <c r="AL103" s="89">
        <f t="shared" ref="AL103:AL132" si="112">IFERROR(IF($AM$4="N",SUM(AF103:AH103)/3,SUM(AG103:AI103)/3),"")</f>
        <v>0</v>
      </c>
      <c r="AM103" s="90">
        <f t="shared" ref="AM103:AM132" si="113">IFERROR(IF($AM$4="N",AH103,AI103),"")</f>
        <v>0</v>
      </c>
      <c r="AN103" s="91" t="str">
        <f t="shared" ref="AN103:AN132" si="114">IFERROR(D103/Z103,"")</f>
        <v/>
      </c>
      <c r="AO103" s="92" t="str">
        <f t="shared" ref="AO103:AO132" si="115">IFERROR(E103/AA103,"")</f>
        <v/>
      </c>
      <c r="AP103" s="92" t="str">
        <f t="shared" ref="AP103:AP132" si="116">IFERROR(F103/AB103,"")</f>
        <v/>
      </c>
      <c r="AQ103" s="92" t="str">
        <f t="shared" ref="AQ103:AQ132" si="117">IFERROR(G103/AC103,"")</f>
        <v/>
      </c>
      <c r="AR103" s="92" t="str">
        <f t="shared" ref="AR103:AR132" si="118">IFERROR(H103/AD103,"")</f>
        <v/>
      </c>
      <c r="AS103" s="92" t="str">
        <f t="shared" ref="AS103:AS132" si="119">IFERROR(I103/AE103,"")</f>
        <v/>
      </c>
      <c r="AT103" s="92" t="str">
        <f t="shared" ref="AT103:AT132" si="120">IFERROR(J103/AF103,"")</f>
        <v/>
      </c>
      <c r="AU103" s="92" t="str">
        <f t="shared" ref="AU103:AU132" si="121">IFERROR(K103/AG103,"")</f>
        <v/>
      </c>
      <c r="AV103" s="92" t="str">
        <f t="shared" ref="AV103:AX118" si="122">IFERROR(L103/AH103,"")</f>
        <v/>
      </c>
      <c r="AW103" s="92" t="str">
        <f t="shared" si="122"/>
        <v/>
      </c>
      <c r="AX103" s="92" t="str">
        <f t="shared" si="122"/>
        <v/>
      </c>
      <c r="AY103" s="93" t="str">
        <f t="shared" ref="AY103:AY132" si="123">IFERROR(IF($BA$3="N",
IF($BA$4="N",SUM(H103:L103)/SUM(AD103:AH103),SUM(I103:M103)/SUM(AE103:AI103)),
IF($BA$4="N",SUM(S103:W103)/SUM(AD103:AH103),SUM(T103:X103)/SUM(AE103:AI103))),"")</f>
        <v/>
      </c>
      <c r="AZ103" s="94" t="str">
        <f t="shared" ref="AZ103:AZ132" si="124">IFERROR(IF($BA$3="N",
IF($BA$4="N",SUM(J103:L103)/SUM(AF103:AH103),SUM(K103:M103)/SUM(AG103:AI103)),
IF($BA$4="N",SUM(U103:W103)/SUM(AF103:AH103),SUM(V103:X103)/SUM(AG103:AI103))),"")</f>
        <v/>
      </c>
      <c r="BA103" s="95" t="str">
        <f t="shared" ref="BA103:BA132" si="125">IFERROR(IF($BA$3="N",
IF($BA$4="N",L103/AH103,M103/AI103),
IF($BA$4="N",W103/AH103,X103/AI103)),"")</f>
        <v/>
      </c>
      <c r="BB103" s="248" t="s">
        <v>422</v>
      </c>
      <c r="BC103" s="229" t="s">
        <v>433</v>
      </c>
      <c r="BD103" s="249">
        <v>0</v>
      </c>
      <c r="BE103" s="267">
        <f t="shared" si="102"/>
        <v>0</v>
      </c>
      <c r="BF103" s="268">
        <f t="shared" ref="BF103:BL118" si="126">IF(BF$6=$BB103,1,
IF(BE103&lt;&gt;0,BE103+1,0
))</f>
        <v>0</v>
      </c>
      <c r="BG103" s="268">
        <f t="shared" si="126"/>
        <v>0</v>
      </c>
      <c r="BH103" s="268">
        <f t="shared" si="126"/>
        <v>1</v>
      </c>
      <c r="BI103" s="268">
        <f t="shared" si="126"/>
        <v>2</v>
      </c>
      <c r="BJ103" s="268">
        <f t="shared" si="126"/>
        <v>3</v>
      </c>
      <c r="BK103" s="268">
        <f t="shared" si="126"/>
        <v>4</v>
      </c>
      <c r="BL103" s="269">
        <f t="shared" si="126"/>
        <v>5</v>
      </c>
      <c r="BM103" s="256">
        <f>IF($BC103=Lookup!$A$2,$BD103*ROUNDUP(BE103/10,0)+1,
IF($BC103=Lookup!$A$3,($BD103+1)^BD103,
IF($BC103=Lookup!$A$4,BE103*$BD103+1,"Error")))</f>
        <v>1</v>
      </c>
      <c r="BN103" s="229">
        <f>IF($BC103=Lookup!$A$2,$BD103*ROUNDUP(BF103/10,0)+1,
IF($BC103=Lookup!$A$3,($BD103+1)^BE103,
IF($BC103=Lookup!$A$4,BF103*$BD103+1,"Error")))</f>
        <v>1</v>
      </c>
      <c r="BO103" s="229">
        <f>IF($BC103=Lookup!$A$2,$BD103*ROUNDUP(BG103/10,0)+1,
IF($BC103=Lookup!$A$3,($BD103+1)^BF103,
IF($BC103=Lookup!$A$4,BG103*$BD103+1,"Error")))</f>
        <v>1</v>
      </c>
      <c r="BP103" s="229">
        <f>IF($BC103=Lookup!$A$2,$BD103*ROUNDUP(BH103/10,0)+1,
IF($BC103=Lookup!$A$3,($BD103+1)^BG103,
IF($BC103=Lookup!$A$4,BH103*$BD103+1,"Error")))</f>
        <v>1</v>
      </c>
      <c r="BQ103" s="229">
        <f>IF($BC103=Lookup!$A$2,$BD103*ROUNDUP(BI103/10,0)+1,
IF($BC103=Lookup!$A$3,($BD103+1)^BH103,
IF($BC103=Lookup!$A$4,BI103*$BD103+1,"Error")))</f>
        <v>1</v>
      </c>
      <c r="BR103" s="229">
        <f>IF($BC103=Lookup!$A$2,$BD103*ROUNDUP(BJ103/10,0)+1,
IF($BC103=Lookup!$A$3,($BD103+1)^BI103,
IF($BC103=Lookup!$A$4,BJ103*$BD103+1,"Error")))</f>
        <v>1</v>
      </c>
      <c r="BS103" s="229">
        <f>IF($BC103=Lookup!$A$2,$BD103*ROUNDUP(BK103/10,0)+1,
IF($BC103=Lookup!$A$3,($BD103+1)^BJ103,
IF($BC103=Lookup!$A$4,BK103*$BD103+1,"Error")))</f>
        <v>1</v>
      </c>
      <c r="BT103" s="249">
        <f>IF($BC103=Lookup!$A$2,$BD103*ROUNDUP(BL103/10,0)+1,
IF($BC103=Lookup!$A$3,($BD103+1)^BK103,
IF($BC103=Lookup!$A$4,BL103*$BD103+1,"Error")))</f>
        <v>1</v>
      </c>
      <c r="BU103" s="320"/>
      <c r="BV103" s="321">
        <v>0</v>
      </c>
      <c r="BW103" s="321">
        <v>0</v>
      </c>
      <c r="BX103" s="321">
        <v>0</v>
      </c>
      <c r="BY103" s="321">
        <v>0</v>
      </c>
      <c r="BZ103" s="321">
        <v>0</v>
      </c>
      <c r="CA103" s="321">
        <v>0</v>
      </c>
      <c r="CB103" s="277">
        <v>0</v>
      </c>
      <c r="CC103" s="382" t="s">
        <v>293</v>
      </c>
      <c r="CD103" s="383">
        <f>HLOOKUP($CC103,$AK$6:$AM$132,ROWS(CD$6:CD103),0)</f>
        <v>0</v>
      </c>
      <c r="CE103" s="234">
        <f t="shared" si="103"/>
        <v>0</v>
      </c>
      <c r="CF103" s="96">
        <f t="shared" si="103"/>
        <v>0</v>
      </c>
      <c r="CG103" s="96">
        <f t="shared" si="103"/>
        <v>0</v>
      </c>
      <c r="CH103" s="96">
        <f t="shared" si="103"/>
        <v>0</v>
      </c>
      <c r="CI103" s="96">
        <f t="shared" si="64"/>
        <v>0</v>
      </c>
      <c r="CJ103" s="96">
        <f t="shared" si="64"/>
        <v>0</v>
      </c>
      <c r="CK103" s="96">
        <f t="shared" si="64"/>
        <v>0</v>
      </c>
      <c r="CL103" s="286">
        <f t="shared" si="64"/>
        <v>0</v>
      </c>
      <c r="CM103" s="305" t="s">
        <v>293</v>
      </c>
      <c r="CN103" s="315">
        <v>0.05</v>
      </c>
      <c r="CO103" s="306"/>
      <c r="CP103" s="307" t="str">
        <f>IF($CO103&lt;&gt;"",$CO103,HLOOKUP($CM103,$AY$6:$BA$132,ROWS(CP$6:CP103),0))</f>
        <v/>
      </c>
      <c r="CQ103" s="784" t="str">
        <f t="shared" ref="CQ103:CX132" si="127">IFERROR(CE103*$CP103,"")</f>
        <v/>
      </c>
      <c r="CR103" s="784" t="str">
        <f t="shared" si="127"/>
        <v/>
      </c>
      <c r="CS103" s="97" t="str">
        <f t="shared" si="127"/>
        <v/>
      </c>
      <c r="CT103" s="97" t="str">
        <f t="shared" si="127"/>
        <v/>
      </c>
      <c r="CU103" s="97" t="str">
        <f t="shared" si="127"/>
        <v/>
      </c>
      <c r="CV103" s="97" t="str">
        <f t="shared" si="127"/>
        <v/>
      </c>
      <c r="CW103" s="97" t="str">
        <f t="shared" si="127"/>
        <v/>
      </c>
      <c r="CX103" s="98" t="str">
        <f t="shared" si="127"/>
        <v/>
      </c>
      <c r="CY103" s="392"/>
    </row>
    <row r="104" spans="1:103" x14ac:dyDescent="0.25">
      <c r="A104" s="81" t="s">
        <v>196</v>
      </c>
      <c r="B104" s="82" t="s">
        <v>211</v>
      </c>
      <c r="C104" s="83" t="s">
        <v>212</v>
      </c>
      <c r="D104" s="84"/>
      <c r="E104" s="85"/>
      <c r="F104" s="85"/>
      <c r="G104" s="85"/>
      <c r="H104" s="85"/>
      <c r="I104" s="85">
        <v>0</v>
      </c>
      <c r="J104" s="85">
        <v>0</v>
      </c>
      <c r="K104" s="85">
        <v>0</v>
      </c>
      <c r="L104" s="85">
        <v>0</v>
      </c>
      <c r="M104" s="654">
        <f>'2022-23 Input'!D104</f>
        <v>0</v>
      </c>
      <c r="N104" s="1065">
        <v>0</v>
      </c>
      <c r="O104" s="560">
        <f t="shared" si="101"/>
        <v>0</v>
      </c>
      <c r="P104" s="561">
        <f t="shared" si="75"/>
        <v>0</v>
      </c>
      <c r="Q104" s="561">
        <f t="shared" si="76"/>
        <v>0</v>
      </c>
      <c r="R104" s="561">
        <f t="shared" si="77"/>
        <v>0</v>
      </c>
      <c r="S104" s="561">
        <f t="shared" si="78"/>
        <v>0</v>
      </c>
      <c r="T104" s="561">
        <f t="shared" si="79"/>
        <v>0</v>
      </c>
      <c r="U104" s="561">
        <f t="shared" si="80"/>
        <v>0</v>
      </c>
      <c r="V104" s="561">
        <f t="shared" si="81"/>
        <v>0</v>
      </c>
      <c r="W104" s="675">
        <f t="shared" si="82"/>
        <v>0</v>
      </c>
      <c r="X104" s="675">
        <f t="shared" si="83"/>
        <v>0</v>
      </c>
      <c r="Y104" s="675">
        <f t="shared" si="83"/>
        <v>0</v>
      </c>
      <c r="Z104" s="86"/>
      <c r="AA104" s="87"/>
      <c r="AB104" s="87"/>
      <c r="AC104" s="87"/>
      <c r="AD104" s="87"/>
      <c r="AE104" s="87">
        <v>0</v>
      </c>
      <c r="AF104" s="87">
        <v>0</v>
      </c>
      <c r="AG104" s="87">
        <v>0</v>
      </c>
      <c r="AH104" s="87">
        <v>0</v>
      </c>
      <c r="AI104" s="1094">
        <f>'2022-23 Input'!K104</f>
        <v>0</v>
      </c>
      <c r="AJ104" s="665">
        <v>0</v>
      </c>
      <c r="AK104" s="88">
        <f t="shared" si="111"/>
        <v>0</v>
      </c>
      <c r="AL104" s="89">
        <f t="shared" si="112"/>
        <v>0</v>
      </c>
      <c r="AM104" s="90">
        <f t="shared" si="113"/>
        <v>0</v>
      </c>
      <c r="AN104" s="91" t="str">
        <f t="shared" si="114"/>
        <v/>
      </c>
      <c r="AO104" s="92" t="str">
        <f t="shared" si="115"/>
        <v/>
      </c>
      <c r="AP104" s="92" t="str">
        <f t="shared" si="116"/>
        <v/>
      </c>
      <c r="AQ104" s="92" t="str">
        <f t="shared" si="117"/>
        <v/>
      </c>
      <c r="AR104" s="92" t="str">
        <f t="shared" si="118"/>
        <v/>
      </c>
      <c r="AS104" s="92" t="str">
        <f t="shared" si="119"/>
        <v/>
      </c>
      <c r="AT104" s="92" t="str">
        <f t="shared" si="120"/>
        <v/>
      </c>
      <c r="AU104" s="92" t="str">
        <f t="shared" si="121"/>
        <v/>
      </c>
      <c r="AV104" s="92" t="str">
        <f t="shared" si="122"/>
        <v/>
      </c>
      <c r="AW104" s="92" t="str">
        <f t="shared" si="122"/>
        <v/>
      </c>
      <c r="AX104" s="92" t="str">
        <f t="shared" si="122"/>
        <v/>
      </c>
      <c r="AY104" s="93" t="str">
        <f t="shared" si="123"/>
        <v/>
      </c>
      <c r="AZ104" s="94" t="str">
        <f t="shared" si="124"/>
        <v/>
      </c>
      <c r="BA104" s="95" t="str">
        <f t="shared" si="125"/>
        <v/>
      </c>
      <c r="BB104" s="248" t="s">
        <v>422</v>
      </c>
      <c r="BC104" s="229" t="s">
        <v>433</v>
      </c>
      <c r="BD104" s="249">
        <v>0</v>
      </c>
      <c r="BE104" s="267">
        <f t="shared" si="102"/>
        <v>0</v>
      </c>
      <c r="BF104" s="268">
        <f t="shared" si="126"/>
        <v>0</v>
      </c>
      <c r="BG104" s="268">
        <f t="shared" si="126"/>
        <v>0</v>
      </c>
      <c r="BH104" s="268">
        <f t="shared" si="126"/>
        <v>1</v>
      </c>
      <c r="BI104" s="268">
        <f t="shared" si="126"/>
        <v>2</v>
      </c>
      <c r="BJ104" s="268">
        <f t="shared" si="126"/>
        <v>3</v>
      </c>
      <c r="BK104" s="268">
        <f t="shared" si="126"/>
        <v>4</v>
      </c>
      <c r="BL104" s="269">
        <f t="shared" si="126"/>
        <v>5</v>
      </c>
      <c r="BM104" s="256">
        <f>IF($BC104=Lookup!$A$2,$BD104*ROUNDUP(BE104/10,0)+1,
IF($BC104=Lookup!$A$3,($BD104+1)^BD104,
IF($BC104=Lookup!$A$4,BE104*$BD104+1,"Error")))</f>
        <v>1</v>
      </c>
      <c r="BN104" s="229">
        <f>IF($BC104=Lookup!$A$2,$BD104*ROUNDUP(BF104/10,0)+1,
IF($BC104=Lookup!$A$3,($BD104+1)^BE104,
IF($BC104=Lookup!$A$4,BF104*$BD104+1,"Error")))</f>
        <v>1</v>
      </c>
      <c r="BO104" s="229">
        <f>IF($BC104=Lookup!$A$2,$BD104*ROUNDUP(BG104/10,0)+1,
IF($BC104=Lookup!$A$3,($BD104+1)^BF104,
IF($BC104=Lookup!$A$4,BG104*$BD104+1,"Error")))</f>
        <v>1</v>
      </c>
      <c r="BP104" s="229">
        <f>IF($BC104=Lookup!$A$2,$BD104*ROUNDUP(BH104/10,0)+1,
IF($BC104=Lookup!$A$3,($BD104+1)^BG104,
IF($BC104=Lookup!$A$4,BH104*$BD104+1,"Error")))</f>
        <v>1</v>
      </c>
      <c r="BQ104" s="229">
        <f>IF($BC104=Lookup!$A$2,$BD104*ROUNDUP(BI104/10,0)+1,
IF($BC104=Lookup!$A$3,($BD104+1)^BH104,
IF($BC104=Lookup!$A$4,BI104*$BD104+1,"Error")))</f>
        <v>1</v>
      </c>
      <c r="BR104" s="229">
        <f>IF($BC104=Lookup!$A$2,$BD104*ROUNDUP(BJ104/10,0)+1,
IF($BC104=Lookup!$A$3,($BD104+1)^BI104,
IF($BC104=Lookup!$A$4,BJ104*$BD104+1,"Error")))</f>
        <v>1</v>
      </c>
      <c r="BS104" s="229">
        <f>IF($BC104=Lookup!$A$2,$BD104*ROUNDUP(BK104/10,0)+1,
IF($BC104=Lookup!$A$3,($BD104+1)^BJ104,
IF($BC104=Lookup!$A$4,BK104*$BD104+1,"Error")))</f>
        <v>1</v>
      </c>
      <c r="BT104" s="249">
        <f>IF($BC104=Lookup!$A$2,$BD104*ROUNDUP(BL104/10,0)+1,
IF($BC104=Lookup!$A$3,($BD104+1)^BK104,
IF($BC104=Lookup!$A$4,BL104*$BD104+1,"Error")))</f>
        <v>1</v>
      </c>
      <c r="BU104" s="320"/>
      <c r="BV104" s="321">
        <v>0</v>
      </c>
      <c r="BW104" s="321">
        <v>0</v>
      </c>
      <c r="BX104" s="321">
        <v>0</v>
      </c>
      <c r="BY104" s="321">
        <v>0</v>
      </c>
      <c r="BZ104" s="321">
        <v>0</v>
      </c>
      <c r="CA104" s="321">
        <v>0</v>
      </c>
      <c r="CB104" s="277">
        <v>0</v>
      </c>
      <c r="CC104" s="382" t="s">
        <v>293</v>
      </c>
      <c r="CD104" s="383">
        <f>HLOOKUP($CC104,$AK$6:$AM$132,ROWS(CD$6:CD104),0)</f>
        <v>0</v>
      </c>
      <c r="CE104" s="234">
        <f t="shared" si="103"/>
        <v>0</v>
      </c>
      <c r="CF104" s="96">
        <f t="shared" si="103"/>
        <v>0</v>
      </c>
      <c r="CG104" s="96">
        <f t="shared" si="103"/>
        <v>0</v>
      </c>
      <c r="CH104" s="96">
        <f t="shared" si="103"/>
        <v>0</v>
      </c>
      <c r="CI104" s="96">
        <f t="shared" si="64"/>
        <v>0</v>
      </c>
      <c r="CJ104" s="96">
        <f t="shared" si="64"/>
        <v>0</v>
      </c>
      <c r="CK104" s="96">
        <f t="shared" si="64"/>
        <v>0</v>
      </c>
      <c r="CL104" s="286">
        <f t="shared" si="64"/>
        <v>0</v>
      </c>
      <c r="CM104" s="305" t="s">
        <v>293</v>
      </c>
      <c r="CN104" s="315">
        <v>0.05</v>
      </c>
      <c r="CO104" s="306"/>
      <c r="CP104" s="307" t="str">
        <f>IF($CO104&lt;&gt;"",$CO104,HLOOKUP($CM104,$AY$6:$BA$132,ROWS(CP$6:CP104),0))</f>
        <v/>
      </c>
      <c r="CQ104" s="784" t="str">
        <f t="shared" si="127"/>
        <v/>
      </c>
      <c r="CR104" s="784" t="str">
        <f t="shared" si="127"/>
        <v/>
      </c>
      <c r="CS104" s="97" t="str">
        <f t="shared" si="127"/>
        <v/>
      </c>
      <c r="CT104" s="97" t="str">
        <f t="shared" si="127"/>
        <v/>
      </c>
      <c r="CU104" s="97" t="str">
        <f t="shared" si="127"/>
        <v/>
      </c>
      <c r="CV104" s="97" t="str">
        <f t="shared" si="127"/>
        <v/>
      </c>
      <c r="CW104" s="97" t="str">
        <f t="shared" si="127"/>
        <v/>
      </c>
      <c r="CX104" s="98" t="str">
        <f t="shared" si="127"/>
        <v/>
      </c>
      <c r="CY104" s="392"/>
    </row>
    <row r="105" spans="1:103" x14ac:dyDescent="0.25">
      <c r="A105" s="81" t="s">
        <v>196</v>
      </c>
      <c r="B105" s="82" t="s">
        <v>213</v>
      </c>
      <c r="C105" s="83" t="s">
        <v>214</v>
      </c>
      <c r="D105" s="84"/>
      <c r="E105" s="85"/>
      <c r="F105" s="85"/>
      <c r="G105" s="85"/>
      <c r="H105" s="85"/>
      <c r="I105" s="85">
        <v>0</v>
      </c>
      <c r="J105" s="85">
        <v>0</v>
      </c>
      <c r="K105" s="85">
        <v>0</v>
      </c>
      <c r="L105" s="85">
        <v>0</v>
      </c>
      <c r="M105" s="654">
        <f>'2022-23 Input'!D105</f>
        <v>0</v>
      </c>
      <c r="N105" s="1065">
        <v>0</v>
      </c>
      <c r="O105" s="560">
        <f t="shared" si="101"/>
        <v>0</v>
      </c>
      <c r="P105" s="561">
        <f t="shared" si="75"/>
        <v>0</v>
      </c>
      <c r="Q105" s="561">
        <f t="shared" si="76"/>
        <v>0</v>
      </c>
      <c r="R105" s="561">
        <f t="shared" si="77"/>
        <v>0</v>
      </c>
      <c r="S105" s="561">
        <f t="shared" si="78"/>
        <v>0</v>
      </c>
      <c r="T105" s="561">
        <f t="shared" si="79"/>
        <v>0</v>
      </c>
      <c r="U105" s="561">
        <f t="shared" si="80"/>
        <v>0</v>
      </c>
      <c r="V105" s="561">
        <f t="shared" si="81"/>
        <v>0</v>
      </c>
      <c r="W105" s="675">
        <f t="shared" si="82"/>
        <v>0</v>
      </c>
      <c r="X105" s="675">
        <f t="shared" si="83"/>
        <v>0</v>
      </c>
      <c r="Y105" s="675">
        <f t="shared" si="83"/>
        <v>0</v>
      </c>
      <c r="Z105" s="86"/>
      <c r="AA105" s="87"/>
      <c r="AB105" s="87"/>
      <c r="AC105" s="87"/>
      <c r="AD105" s="87"/>
      <c r="AE105" s="87">
        <v>0</v>
      </c>
      <c r="AF105" s="87">
        <v>0</v>
      </c>
      <c r="AG105" s="87">
        <v>0</v>
      </c>
      <c r="AH105" s="87">
        <v>0</v>
      </c>
      <c r="AI105" s="1094">
        <f>'2022-23 Input'!K105</f>
        <v>0</v>
      </c>
      <c r="AJ105" s="665">
        <v>0</v>
      </c>
      <c r="AK105" s="88">
        <f t="shared" si="111"/>
        <v>0</v>
      </c>
      <c r="AL105" s="89">
        <f t="shared" si="112"/>
        <v>0</v>
      </c>
      <c r="AM105" s="90">
        <f t="shared" si="113"/>
        <v>0</v>
      </c>
      <c r="AN105" s="91" t="str">
        <f t="shared" si="114"/>
        <v/>
      </c>
      <c r="AO105" s="92" t="str">
        <f t="shared" si="115"/>
        <v/>
      </c>
      <c r="AP105" s="92" t="str">
        <f t="shared" si="116"/>
        <v/>
      </c>
      <c r="AQ105" s="92" t="str">
        <f t="shared" si="117"/>
        <v/>
      </c>
      <c r="AR105" s="92" t="str">
        <f t="shared" si="118"/>
        <v/>
      </c>
      <c r="AS105" s="92" t="str">
        <f t="shared" si="119"/>
        <v/>
      </c>
      <c r="AT105" s="92" t="str">
        <f t="shared" si="120"/>
        <v/>
      </c>
      <c r="AU105" s="92" t="str">
        <f t="shared" si="121"/>
        <v/>
      </c>
      <c r="AV105" s="92" t="str">
        <f t="shared" si="122"/>
        <v/>
      </c>
      <c r="AW105" s="92" t="str">
        <f t="shared" si="122"/>
        <v/>
      </c>
      <c r="AX105" s="92" t="str">
        <f t="shared" si="122"/>
        <v/>
      </c>
      <c r="AY105" s="93" t="str">
        <f t="shared" si="123"/>
        <v/>
      </c>
      <c r="AZ105" s="94" t="str">
        <f t="shared" si="124"/>
        <v/>
      </c>
      <c r="BA105" s="95" t="str">
        <f t="shared" si="125"/>
        <v/>
      </c>
      <c r="BB105" s="248" t="s">
        <v>422</v>
      </c>
      <c r="BC105" s="229" t="s">
        <v>433</v>
      </c>
      <c r="BD105" s="249">
        <v>0</v>
      </c>
      <c r="BE105" s="267">
        <f t="shared" si="102"/>
        <v>0</v>
      </c>
      <c r="BF105" s="268">
        <f t="shared" si="126"/>
        <v>0</v>
      </c>
      <c r="BG105" s="268">
        <f t="shared" si="126"/>
        <v>0</v>
      </c>
      <c r="BH105" s="268">
        <f t="shared" si="126"/>
        <v>1</v>
      </c>
      <c r="BI105" s="268">
        <f t="shared" si="126"/>
        <v>2</v>
      </c>
      <c r="BJ105" s="268">
        <f t="shared" si="126"/>
        <v>3</v>
      </c>
      <c r="BK105" s="268">
        <f t="shared" si="126"/>
        <v>4</v>
      </c>
      <c r="BL105" s="269">
        <f t="shared" si="126"/>
        <v>5</v>
      </c>
      <c r="BM105" s="256">
        <f>IF($BC105=Lookup!$A$2,$BD105*ROUNDUP(BE105/10,0)+1,
IF($BC105=Lookup!$A$3,($BD105+1)^BD105,
IF($BC105=Lookup!$A$4,BE105*$BD105+1,"Error")))</f>
        <v>1</v>
      </c>
      <c r="BN105" s="229">
        <f>IF($BC105=Lookup!$A$2,$BD105*ROUNDUP(BF105/10,0)+1,
IF($BC105=Lookup!$A$3,($BD105+1)^BE105,
IF($BC105=Lookup!$A$4,BF105*$BD105+1,"Error")))</f>
        <v>1</v>
      </c>
      <c r="BO105" s="229">
        <f>IF($BC105=Lookup!$A$2,$BD105*ROUNDUP(BG105/10,0)+1,
IF($BC105=Lookup!$A$3,($BD105+1)^BF105,
IF($BC105=Lookup!$A$4,BG105*$BD105+1,"Error")))</f>
        <v>1</v>
      </c>
      <c r="BP105" s="229">
        <f>IF($BC105=Lookup!$A$2,$BD105*ROUNDUP(BH105/10,0)+1,
IF($BC105=Lookup!$A$3,($BD105+1)^BG105,
IF($BC105=Lookup!$A$4,BH105*$BD105+1,"Error")))</f>
        <v>1</v>
      </c>
      <c r="BQ105" s="229">
        <f>IF($BC105=Lookup!$A$2,$BD105*ROUNDUP(BI105/10,0)+1,
IF($BC105=Lookup!$A$3,($BD105+1)^BH105,
IF($BC105=Lookup!$A$4,BI105*$BD105+1,"Error")))</f>
        <v>1</v>
      </c>
      <c r="BR105" s="229">
        <f>IF($BC105=Lookup!$A$2,$BD105*ROUNDUP(BJ105/10,0)+1,
IF($BC105=Lookup!$A$3,($BD105+1)^BI105,
IF($BC105=Lookup!$A$4,BJ105*$BD105+1,"Error")))</f>
        <v>1</v>
      </c>
      <c r="BS105" s="229">
        <f>IF($BC105=Lookup!$A$2,$BD105*ROUNDUP(BK105/10,0)+1,
IF($BC105=Lookup!$A$3,($BD105+1)^BJ105,
IF($BC105=Lookup!$A$4,BK105*$BD105+1,"Error")))</f>
        <v>1</v>
      </c>
      <c r="BT105" s="249">
        <f>IF($BC105=Lookup!$A$2,$BD105*ROUNDUP(BL105/10,0)+1,
IF($BC105=Lookup!$A$3,($BD105+1)^BK105,
IF($BC105=Lookup!$A$4,BL105*$BD105+1,"Error")))</f>
        <v>1</v>
      </c>
      <c r="BU105" s="320"/>
      <c r="BV105" s="321">
        <v>0</v>
      </c>
      <c r="BW105" s="321">
        <v>0</v>
      </c>
      <c r="BX105" s="321">
        <v>0</v>
      </c>
      <c r="BY105" s="321">
        <v>0</v>
      </c>
      <c r="BZ105" s="321">
        <v>0</v>
      </c>
      <c r="CA105" s="321">
        <v>0</v>
      </c>
      <c r="CB105" s="277">
        <v>0</v>
      </c>
      <c r="CC105" s="382" t="s">
        <v>293</v>
      </c>
      <c r="CD105" s="383">
        <f>HLOOKUP($CC105,$AK$6:$AM$132,ROWS(CD$6:CD105),0)</f>
        <v>0</v>
      </c>
      <c r="CE105" s="234">
        <f t="shared" si="103"/>
        <v>0</v>
      </c>
      <c r="CF105" s="96">
        <f t="shared" si="103"/>
        <v>0</v>
      </c>
      <c r="CG105" s="96">
        <f t="shared" si="103"/>
        <v>0</v>
      </c>
      <c r="CH105" s="96">
        <f t="shared" si="103"/>
        <v>0</v>
      </c>
      <c r="CI105" s="96">
        <f t="shared" si="64"/>
        <v>0</v>
      </c>
      <c r="CJ105" s="96">
        <f t="shared" si="64"/>
        <v>0</v>
      </c>
      <c r="CK105" s="96">
        <f t="shared" si="64"/>
        <v>0</v>
      </c>
      <c r="CL105" s="286">
        <f t="shared" si="64"/>
        <v>0</v>
      </c>
      <c r="CM105" s="305" t="s">
        <v>293</v>
      </c>
      <c r="CN105" s="315">
        <v>0.05</v>
      </c>
      <c r="CO105" s="306"/>
      <c r="CP105" s="307" t="str">
        <f>IF($CO105&lt;&gt;"",$CO105,HLOOKUP($CM105,$AY$6:$BA$132,ROWS(CP$6:CP105),0))</f>
        <v/>
      </c>
      <c r="CQ105" s="784" t="str">
        <f t="shared" si="127"/>
        <v/>
      </c>
      <c r="CR105" s="784" t="str">
        <f t="shared" si="127"/>
        <v/>
      </c>
      <c r="CS105" s="97" t="str">
        <f t="shared" si="127"/>
        <v/>
      </c>
      <c r="CT105" s="97" t="str">
        <f t="shared" si="127"/>
        <v/>
      </c>
      <c r="CU105" s="97" t="str">
        <f t="shared" si="127"/>
        <v/>
      </c>
      <c r="CV105" s="97" t="str">
        <f t="shared" si="127"/>
        <v/>
      </c>
      <c r="CW105" s="97" t="str">
        <f t="shared" si="127"/>
        <v/>
      </c>
      <c r="CX105" s="98" t="str">
        <f t="shared" si="127"/>
        <v/>
      </c>
      <c r="CY105" s="392"/>
    </row>
    <row r="106" spans="1:103" x14ac:dyDescent="0.25">
      <c r="A106" s="81" t="s">
        <v>196</v>
      </c>
      <c r="B106" s="82" t="s">
        <v>215</v>
      </c>
      <c r="C106" s="83" t="s">
        <v>392</v>
      </c>
      <c r="D106" s="84"/>
      <c r="E106" s="85"/>
      <c r="F106" s="85"/>
      <c r="G106" s="85"/>
      <c r="H106" s="85"/>
      <c r="I106" s="85">
        <v>0</v>
      </c>
      <c r="J106" s="85">
        <v>0</v>
      </c>
      <c r="K106" s="85">
        <v>0</v>
      </c>
      <c r="L106" s="85">
        <v>0</v>
      </c>
      <c r="M106" s="654">
        <f>'2022-23 Input'!D106</f>
        <v>0</v>
      </c>
      <c r="N106" s="1065">
        <v>0</v>
      </c>
      <c r="O106" s="560">
        <f t="shared" si="101"/>
        <v>0</v>
      </c>
      <c r="P106" s="561">
        <f t="shared" si="75"/>
        <v>0</v>
      </c>
      <c r="Q106" s="561">
        <f t="shared" si="76"/>
        <v>0</v>
      </c>
      <c r="R106" s="561">
        <f t="shared" si="77"/>
        <v>0</v>
      </c>
      <c r="S106" s="561">
        <f t="shared" si="78"/>
        <v>0</v>
      </c>
      <c r="T106" s="561">
        <f t="shared" si="79"/>
        <v>0</v>
      </c>
      <c r="U106" s="561">
        <f t="shared" si="80"/>
        <v>0</v>
      </c>
      <c r="V106" s="561">
        <f t="shared" si="81"/>
        <v>0</v>
      </c>
      <c r="W106" s="675">
        <f t="shared" si="82"/>
        <v>0</v>
      </c>
      <c r="X106" s="675">
        <f t="shared" si="83"/>
        <v>0</v>
      </c>
      <c r="Y106" s="675">
        <f t="shared" si="83"/>
        <v>0</v>
      </c>
      <c r="Z106" s="86"/>
      <c r="AA106" s="87"/>
      <c r="AB106" s="87"/>
      <c r="AC106" s="87"/>
      <c r="AD106" s="87"/>
      <c r="AE106" s="87">
        <v>0</v>
      </c>
      <c r="AF106" s="87">
        <v>0</v>
      </c>
      <c r="AG106" s="87">
        <v>0</v>
      </c>
      <c r="AH106" s="87">
        <v>0</v>
      </c>
      <c r="AI106" s="1094">
        <f>'2022-23 Input'!K106</f>
        <v>0</v>
      </c>
      <c r="AJ106" s="665">
        <v>0</v>
      </c>
      <c r="AK106" s="88">
        <f t="shared" si="111"/>
        <v>0</v>
      </c>
      <c r="AL106" s="89">
        <f t="shared" si="112"/>
        <v>0</v>
      </c>
      <c r="AM106" s="90">
        <f t="shared" si="113"/>
        <v>0</v>
      </c>
      <c r="AN106" s="91" t="str">
        <f t="shared" si="114"/>
        <v/>
      </c>
      <c r="AO106" s="92" t="str">
        <f t="shared" si="115"/>
        <v/>
      </c>
      <c r="AP106" s="92" t="str">
        <f t="shared" si="116"/>
        <v/>
      </c>
      <c r="AQ106" s="92" t="str">
        <f t="shared" si="117"/>
        <v/>
      </c>
      <c r="AR106" s="92" t="str">
        <f t="shared" si="118"/>
        <v/>
      </c>
      <c r="AS106" s="92" t="str">
        <f t="shared" si="119"/>
        <v/>
      </c>
      <c r="AT106" s="92" t="str">
        <f t="shared" si="120"/>
        <v/>
      </c>
      <c r="AU106" s="92" t="str">
        <f t="shared" si="121"/>
        <v/>
      </c>
      <c r="AV106" s="92" t="str">
        <f t="shared" si="122"/>
        <v/>
      </c>
      <c r="AW106" s="92" t="str">
        <f t="shared" si="122"/>
        <v/>
      </c>
      <c r="AX106" s="92" t="str">
        <f t="shared" si="122"/>
        <v/>
      </c>
      <c r="AY106" s="93" t="str">
        <f t="shared" si="123"/>
        <v/>
      </c>
      <c r="AZ106" s="94" t="str">
        <f t="shared" si="124"/>
        <v/>
      </c>
      <c r="BA106" s="95" t="str">
        <f t="shared" si="125"/>
        <v/>
      </c>
      <c r="BB106" s="248" t="s">
        <v>422</v>
      </c>
      <c r="BC106" s="229" t="s">
        <v>433</v>
      </c>
      <c r="BD106" s="249">
        <v>0</v>
      </c>
      <c r="BE106" s="267">
        <f t="shared" si="102"/>
        <v>0</v>
      </c>
      <c r="BF106" s="268">
        <f t="shared" si="126"/>
        <v>0</v>
      </c>
      <c r="BG106" s="268">
        <f t="shared" si="126"/>
        <v>0</v>
      </c>
      <c r="BH106" s="268">
        <f t="shared" si="126"/>
        <v>1</v>
      </c>
      <c r="BI106" s="268">
        <f t="shared" si="126"/>
        <v>2</v>
      </c>
      <c r="BJ106" s="268">
        <f t="shared" si="126"/>
        <v>3</v>
      </c>
      <c r="BK106" s="268">
        <f t="shared" si="126"/>
        <v>4</v>
      </c>
      <c r="BL106" s="269">
        <f t="shared" si="126"/>
        <v>5</v>
      </c>
      <c r="BM106" s="256">
        <f>IF($BC106=Lookup!$A$2,$BD106*ROUNDUP(BE106/10,0)+1,
IF($BC106=Lookup!$A$3,($BD106+1)^BD106,
IF($BC106=Lookup!$A$4,BE106*$BD106+1,"Error")))</f>
        <v>1</v>
      </c>
      <c r="BN106" s="229">
        <f>IF($BC106=Lookup!$A$2,$BD106*ROUNDUP(BF106/10,0)+1,
IF($BC106=Lookup!$A$3,($BD106+1)^BE106,
IF($BC106=Lookup!$A$4,BF106*$BD106+1,"Error")))</f>
        <v>1</v>
      </c>
      <c r="BO106" s="229">
        <f>IF($BC106=Lookup!$A$2,$BD106*ROUNDUP(BG106/10,0)+1,
IF($BC106=Lookup!$A$3,($BD106+1)^BF106,
IF($BC106=Lookup!$A$4,BG106*$BD106+1,"Error")))</f>
        <v>1</v>
      </c>
      <c r="BP106" s="229">
        <f>IF($BC106=Lookup!$A$2,$BD106*ROUNDUP(BH106/10,0)+1,
IF($BC106=Lookup!$A$3,($BD106+1)^BG106,
IF($BC106=Lookup!$A$4,BH106*$BD106+1,"Error")))</f>
        <v>1</v>
      </c>
      <c r="BQ106" s="229">
        <f>IF($BC106=Lookup!$A$2,$BD106*ROUNDUP(BI106/10,0)+1,
IF($BC106=Lookup!$A$3,($BD106+1)^BH106,
IF($BC106=Lookup!$A$4,BI106*$BD106+1,"Error")))</f>
        <v>1</v>
      </c>
      <c r="BR106" s="229">
        <f>IF($BC106=Lookup!$A$2,$BD106*ROUNDUP(BJ106/10,0)+1,
IF($BC106=Lookup!$A$3,($BD106+1)^BI106,
IF($BC106=Lookup!$A$4,BJ106*$BD106+1,"Error")))</f>
        <v>1</v>
      </c>
      <c r="BS106" s="229">
        <f>IF($BC106=Lookup!$A$2,$BD106*ROUNDUP(BK106/10,0)+1,
IF($BC106=Lookup!$A$3,($BD106+1)^BJ106,
IF($BC106=Lookup!$A$4,BK106*$BD106+1,"Error")))</f>
        <v>1</v>
      </c>
      <c r="BT106" s="249">
        <f>IF($BC106=Lookup!$A$2,$BD106*ROUNDUP(BL106/10,0)+1,
IF($BC106=Lookup!$A$3,($BD106+1)^BK106,
IF($BC106=Lookup!$A$4,BL106*$BD106+1,"Error")))</f>
        <v>1</v>
      </c>
      <c r="BU106" s="320"/>
      <c r="BV106" s="321">
        <v>0</v>
      </c>
      <c r="BW106" s="321">
        <v>0</v>
      </c>
      <c r="BX106" s="321">
        <v>0</v>
      </c>
      <c r="BY106" s="321">
        <v>0</v>
      </c>
      <c r="BZ106" s="321">
        <v>0</v>
      </c>
      <c r="CA106" s="321">
        <v>0</v>
      </c>
      <c r="CB106" s="277">
        <v>0</v>
      </c>
      <c r="CC106" s="382" t="s">
        <v>293</v>
      </c>
      <c r="CD106" s="383">
        <f>HLOOKUP($CC106,$AK$6:$AM$132,ROWS(CD$6:CD106),0)</f>
        <v>0</v>
      </c>
      <c r="CE106" s="234">
        <f t="shared" si="103"/>
        <v>0</v>
      </c>
      <c r="CF106" s="96">
        <f t="shared" si="103"/>
        <v>0</v>
      </c>
      <c r="CG106" s="96">
        <f t="shared" si="103"/>
        <v>0</v>
      </c>
      <c r="CH106" s="96">
        <f t="shared" si="103"/>
        <v>0</v>
      </c>
      <c r="CI106" s="96">
        <f t="shared" si="64"/>
        <v>0</v>
      </c>
      <c r="CJ106" s="96">
        <f t="shared" si="64"/>
        <v>0</v>
      </c>
      <c r="CK106" s="96">
        <f t="shared" si="64"/>
        <v>0</v>
      </c>
      <c r="CL106" s="286">
        <f t="shared" ref="CL106:CL132" si="128">IFERROR(IF(CB106&lt;&gt;"",CB106,BT106*$CD106),"")</f>
        <v>0</v>
      </c>
      <c r="CM106" s="305" t="s">
        <v>293</v>
      </c>
      <c r="CN106" s="315">
        <v>0.05</v>
      </c>
      <c r="CO106" s="306"/>
      <c r="CP106" s="307" t="str">
        <f>IF($CO106&lt;&gt;"",$CO106,HLOOKUP($CM106,$AY$6:$BA$132,ROWS(CP$6:CP106),0))</f>
        <v/>
      </c>
      <c r="CQ106" s="784" t="str">
        <f t="shared" si="127"/>
        <v/>
      </c>
      <c r="CR106" s="784" t="str">
        <f t="shared" si="127"/>
        <v/>
      </c>
      <c r="CS106" s="97" t="str">
        <f t="shared" si="127"/>
        <v/>
      </c>
      <c r="CT106" s="97" t="str">
        <f t="shared" si="127"/>
        <v/>
      </c>
      <c r="CU106" s="97" t="str">
        <f t="shared" si="127"/>
        <v/>
      </c>
      <c r="CV106" s="97" t="str">
        <f t="shared" si="127"/>
        <v/>
      </c>
      <c r="CW106" s="97" t="str">
        <f t="shared" si="127"/>
        <v/>
      </c>
      <c r="CX106" s="98" t="str">
        <f t="shared" si="127"/>
        <v/>
      </c>
      <c r="CY106" s="392"/>
    </row>
    <row r="107" spans="1:103" x14ac:dyDescent="0.25">
      <c r="A107" s="81" t="s">
        <v>196</v>
      </c>
      <c r="B107" s="82" t="s">
        <v>217</v>
      </c>
      <c r="C107" s="83" t="s">
        <v>218</v>
      </c>
      <c r="D107" s="84"/>
      <c r="E107" s="85"/>
      <c r="F107" s="85"/>
      <c r="G107" s="85"/>
      <c r="H107" s="85"/>
      <c r="I107" s="85">
        <v>0</v>
      </c>
      <c r="J107" s="85">
        <v>0</v>
      </c>
      <c r="K107" s="85">
        <v>0</v>
      </c>
      <c r="L107" s="85">
        <v>0</v>
      </c>
      <c r="M107" s="654">
        <f>'2022-23 Input'!D107</f>
        <v>0</v>
      </c>
      <c r="N107" s="1065">
        <v>0</v>
      </c>
      <c r="O107" s="560">
        <f t="shared" si="101"/>
        <v>0</v>
      </c>
      <c r="P107" s="561">
        <f t="shared" si="75"/>
        <v>0</v>
      </c>
      <c r="Q107" s="561">
        <f t="shared" si="76"/>
        <v>0</v>
      </c>
      <c r="R107" s="561">
        <f t="shared" si="77"/>
        <v>0</v>
      </c>
      <c r="S107" s="561">
        <f t="shared" si="78"/>
        <v>0</v>
      </c>
      <c r="T107" s="561">
        <f t="shared" si="79"/>
        <v>0</v>
      </c>
      <c r="U107" s="561">
        <f t="shared" si="80"/>
        <v>0</v>
      </c>
      <c r="V107" s="561">
        <f t="shared" si="81"/>
        <v>0</v>
      </c>
      <c r="W107" s="675">
        <f t="shared" si="82"/>
        <v>0</v>
      </c>
      <c r="X107" s="675">
        <f t="shared" si="83"/>
        <v>0</v>
      </c>
      <c r="Y107" s="675">
        <f t="shared" si="83"/>
        <v>0</v>
      </c>
      <c r="Z107" s="86"/>
      <c r="AA107" s="87"/>
      <c r="AB107" s="87"/>
      <c r="AC107" s="87"/>
      <c r="AD107" s="87"/>
      <c r="AE107" s="87">
        <v>0</v>
      </c>
      <c r="AF107" s="87">
        <v>0</v>
      </c>
      <c r="AG107" s="87">
        <v>0</v>
      </c>
      <c r="AH107" s="87">
        <v>0</v>
      </c>
      <c r="AI107" s="1094">
        <f>'2022-23 Input'!K107</f>
        <v>0</v>
      </c>
      <c r="AJ107" s="665">
        <v>0</v>
      </c>
      <c r="AK107" s="88">
        <f t="shared" si="111"/>
        <v>0</v>
      </c>
      <c r="AL107" s="89">
        <f t="shared" si="112"/>
        <v>0</v>
      </c>
      <c r="AM107" s="90">
        <f t="shared" si="113"/>
        <v>0</v>
      </c>
      <c r="AN107" s="91" t="str">
        <f t="shared" si="114"/>
        <v/>
      </c>
      <c r="AO107" s="92" t="str">
        <f t="shared" si="115"/>
        <v/>
      </c>
      <c r="AP107" s="92" t="str">
        <f t="shared" si="116"/>
        <v/>
      </c>
      <c r="AQ107" s="92" t="str">
        <f t="shared" si="117"/>
        <v/>
      </c>
      <c r="AR107" s="92" t="str">
        <f t="shared" si="118"/>
        <v/>
      </c>
      <c r="AS107" s="92" t="str">
        <f t="shared" si="119"/>
        <v/>
      </c>
      <c r="AT107" s="92" t="str">
        <f t="shared" si="120"/>
        <v/>
      </c>
      <c r="AU107" s="92" t="str">
        <f t="shared" si="121"/>
        <v/>
      </c>
      <c r="AV107" s="92" t="str">
        <f t="shared" si="122"/>
        <v/>
      </c>
      <c r="AW107" s="92" t="str">
        <f t="shared" si="122"/>
        <v/>
      </c>
      <c r="AX107" s="92" t="str">
        <f t="shared" si="122"/>
        <v/>
      </c>
      <c r="AY107" s="93" t="str">
        <f t="shared" si="123"/>
        <v/>
      </c>
      <c r="AZ107" s="94" t="str">
        <f t="shared" si="124"/>
        <v/>
      </c>
      <c r="BA107" s="95" t="str">
        <f t="shared" si="125"/>
        <v/>
      </c>
      <c r="BB107" s="248" t="s">
        <v>422</v>
      </c>
      <c r="BC107" s="229" t="s">
        <v>433</v>
      </c>
      <c r="BD107" s="249">
        <v>0</v>
      </c>
      <c r="BE107" s="267">
        <f t="shared" si="102"/>
        <v>0</v>
      </c>
      <c r="BF107" s="268">
        <f t="shared" si="126"/>
        <v>0</v>
      </c>
      <c r="BG107" s="268">
        <f t="shared" si="126"/>
        <v>0</v>
      </c>
      <c r="BH107" s="268">
        <f t="shared" si="126"/>
        <v>1</v>
      </c>
      <c r="BI107" s="268">
        <f t="shared" si="126"/>
        <v>2</v>
      </c>
      <c r="BJ107" s="268">
        <f t="shared" si="126"/>
        <v>3</v>
      </c>
      <c r="BK107" s="268">
        <f t="shared" si="126"/>
        <v>4</v>
      </c>
      <c r="BL107" s="269">
        <f t="shared" si="126"/>
        <v>5</v>
      </c>
      <c r="BM107" s="256">
        <f>IF($BC107=Lookup!$A$2,$BD107*ROUNDUP(BE107/10,0)+1,
IF($BC107=Lookup!$A$3,($BD107+1)^BD107,
IF($BC107=Lookup!$A$4,BE107*$BD107+1,"Error")))</f>
        <v>1</v>
      </c>
      <c r="BN107" s="229">
        <f>IF($BC107=Lookup!$A$2,$BD107*ROUNDUP(BF107/10,0)+1,
IF($BC107=Lookup!$A$3,($BD107+1)^BE107,
IF($BC107=Lookup!$A$4,BF107*$BD107+1,"Error")))</f>
        <v>1</v>
      </c>
      <c r="BO107" s="229">
        <f>IF($BC107=Lookup!$A$2,$BD107*ROUNDUP(BG107/10,0)+1,
IF($BC107=Lookup!$A$3,($BD107+1)^BF107,
IF($BC107=Lookup!$A$4,BG107*$BD107+1,"Error")))</f>
        <v>1</v>
      </c>
      <c r="BP107" s="229">
        <f>IF($BC107=Lookup!$A$2,$BD107*ROUNDUP(BH107/10,0)+1,
IF($BC107=Lookup!$A$3,($BD107+1)^BG107,
IF($BC107=Lookup!$A$4,BH107*$BD107+1,"Error")))</f>
        <v>1</v>
      </c>
      <c r="BQ107" s="229">
        <f>IF($BC107=Lookup!$A$2,$BD107*ROUNDUP(BI107/10,0)+1,
IF($BC107=Lookup!$A$3,($BD107+1)^BH107,
IF($BC107=Lookup!$A$4,BI107*$BD107+1,"Error")))</f>
        <v>1</v>
      </c>
      <c r="BR107" s="229">
        <f>IF($BC107=Lookup!$A$2,$BD107*ROUNDUP(BJ107/10,0)+1,
IF($BC107=Lookup!$A$3,($BD107+1)^BI107,
IF($BC107=Lookup!$A$4,BJ107*$BD107+1,"Error")))</f>
        <v>1</v>
      </c>
      <c r="BS107" s="229">
        <f>IF($BC107=Lookup!$A$2,$BD107*ROUNDUP(BK107/10,0)+1,
IF($BC107=Lookup!$A$3,($BD107+1)^BJ107,
IF($BC107=Lookup!$A$4,BK107*$BD107+1,"Error")))</f>
        <v>1</v>
      </c>
      <c r="BT107" s="249">
        <f>IF($BC107=Lookup!$A$2,$BD107*ROUNDUP(BL107/10,0)+1,
IF($BC107=Lookup!$A$3,($BD107+1)^BK107,
IF($BC107=Lookup!$A$4,BL107*$BD107+1,"Error")))</f>
        <v>1</v>
      </c>
      <c r="BU107" s="320"/>
      <c r="BV107" s="321">
        <v>0</v>
      </c>
      <c r="BW107" s="321">
        <v>0</v>
      </c>
      <c r="BX107" s="321">
        <v>0</v>
      </c>
      <c r="BY107" s="321">
        <v>0</v>
      </c>
      <c r="BZ107" s="321">
        <v>0</v>
      </c>
      <c r="CA107" s="321">
        <v>0</v>
      </c>
      <c r="CB107" s="277">
        <v>0</v>
      </c>
      <c r="CC107" s="382" t="s">
        <v>293</v>
      </c>
      <c r="CD107" s="383">
        <f>HLOOKUP($CC107,$AK$6:$AM$132,ROWS(CD$6:CD107),0)</f>
        <v>0</v>
      </c>
      <c r="CE107" s="234">
        <f t="shared" si="103"/>
        <v>0</v>
      </c>
      <c r="CF107" s="96">
        <f t="shared" si="103"/>
        <v>0</v>
      </c>
      <c r="CG107" s="96">
        <f t="shared" si="103"/>
        <v>0</v>
      </c>
      <c r="CH107" s="96">
        <f t="shared" si="103"/>
        <v>0</v>
      </c>
      <c r="CI107" s="96">
        <f t="shared" si="103"/>
        <v>0</v>
      </c>
      <c r="CJ107" s="96">
        <f t="shared" si="103"/>
        <v>0</v>
      </c>
      <c r="CK107" s="96">
        <f t="shared" si="103"/>
        <v>0</v>
      </c>
      <c r="CL107" s="286">
        <f t="shared" si="128"/>
        <v>0</v>
      </c>
      <c r="CM107" s="305" t="s">
        <v>293</v>
      </c>
      <c r="CN107" s="315">
        <v>0.05</v>
      </c>
      <c r="CO107" s="306"/>
      <c r="CP107" s="307" t="str">
        <f>IF($CO107&lt;&gt;"",$CO107,HLOOKUP($CM107,$AY$6:$BA$132,ROWS(CP$6:CP107),0))</f>
        <v/>
      </c>
      <c r="CQ107" s="784" t="str">
        <f t="shared" si="127"/>
        <v/>
      </c>
      <c r="CR107" s="784" t="str">
        <f t="shared" si="127"/>
        <v/>
      </c>
      <c r="CS107" s="97" t="str">
        <f t="shared" si="127"/>
        <v/>
      </c>
      <c r="CT107" s="97" t="str">
        <f t="shared" si="127"/>
        <v/>
      </c>
      <c r="CU107" s="97" t="str">
        <f t="shared" si="127"/>
        <v/>
      </c>
      <c r="CV107" s="97" t="str">
        <f t="shared" si="127"/>
        <v/>
      </c>
      <c r="CW107" s="97" t="str">
        <f t="shared" si="127"/>
        <v/>
      </c>
      <c r="CX107" s="98" t="str">
        <f t="shared" si="127"/>
        <v/>
      </c>
      <c r="CY107" s="392"/>
    </row>
    <row r="108" spans="1:103" x14ac:dyDescent="0.25">
      <c r="A108" s="81" t="s">
        <v>196</v>
      </c>
      <c r="B108" s="82" t="s">
        <v>219</v>
      </c>
      <c r="C108" s="83" t="s">
        <v>220</v>
      </c>
      <c r="D108" s="84"/>
      <c r="E108" s="85"/>
      <c r="F108" s="85"/>
      <c r="G108" s="85"/>
      <c r="H108" s="85"/>
      <c r="I108" s="85">
        <v>0</v>
      </c>
      <c r="J108" s="85">
        <v>0</v>
      </c>
      <c r="K108" s="85">
        <v>0</v>
      </c>
      <c r="L108" s="85">
        <v>0</v>
      </c>
      <c r="M108" s="654">
        <f>'2022-23 Input'!D108</f>
        <v>0</v>
      </c>
      <c r="N108" s="1065">
        <v>0</v>
      </c>
      <c r="O108" s="560">
        <f t="shared" si="101"/>
        <v>0</v>
      </c>
      <c r="P108" s="561">
        <f t="shared" si="75"/>
        <v>0</v>
      </c>
      <c r="Q108" s="561">
        <f t="shared" si="76"/>
        <v>0</v>
      </c>
      <c r="R108" s="561">
        <f t="shared" si="77"/>
        <v>0</v>
      </c>
      <c r="S108" s="561">
        <f t="shared" si="78"/>
        <v>0</v>
      </c>
      <c r="T108" s="561">
        <f t="shared" si="79"/>
        <v>0</v>
      </c>
      <c r="U108" s="561">
        <f t="shared" si="80"/>
        <v>0</v>
      </c>
      <c r="V108" s="561">
        <f t="shared" si="81"/>
        <v>0</v>
      </c>
      <c r="W108" s="675">
        <f t="shared" si="82"/>
        <v>0</v>
      </c>
      <c r="X108" s="675">
        <f t="shared" si="83"/>
        <v>0</v>
      </c>
      <c r="Y108" s="675">
        <f t="shared" si="83"/>
        <v>0</v>
      </c>
      <c r="Z108" s="86"/>
      <c r="AA108" s="87"/>
      <c r="AB108" s="87"/>
      <c r="AC108" s="87"/>
      <c r="AD108" s="87"/>
      <c r="AE108" s="87">
        <v>0</v>
      </c>
      <c r="AF108" s="87">
        <v>0</v>
      </c>
      <c r="AG108" s="87">
        <v>0</v>
      </c>
      <c r="AH108" s="87">
        <v>0</v>
      </c>
      <c r="AI108" s="1094">
        <f>'2022-23 Input'!K108</f>
        <v>0</v>
      </c>
      <c r="AJ108" s="665">
        <v>0</v>
      </c>
      <c r="AK108" s="88">
        <f t="shared" si="111"/>
        <v>0</v>
      </c>
      <c r="AL108" s="89">
        <f t="shared" si="112"/>
        <v>0</v>
      </c>
      <c r="AM108" s="90">
        <f t="shared" si="113"/>
        <v>0</v>
      </c>
      <c r="AN108" s="91" t="str">
        <f t="shared" si="114"/>
        <v/>
      </c>
      <c r="AO108" s="92" t="str">
        <f t="shared" si="115"/>
        <v/>
      </c>
      <c r="AP108" s="92" t="str">
        <f t="shared" si="116"/>
        <v/>
      </c>
      <c r="AQ108" s="92" t="str">
        <f t="shared" si="117"/>
        <v/>
      </c>
      <c r="AR108" s="92" t="str">
        <f t="shared" si="118"/>
        <v/>
      </c>
      <c r="AS108" s="92" t="str">
        <f t="shared" si="119"/>
        <v/>
      </c>
      <c r="AT108" s="92" t="str">
        <f t="shared" si="120"/>
        <v/>
      </c>
      <c r="AU108" s="92" t="str">
        <f t="shared" si="121"/>
        <v/>
      </c>
      <c r="AV108" s="92" t="str">
        <f t="shared" si="122"/>
        <v/>
      </c>
      <c r="AW108" s="92" t="str">
        <f t="shared" si="122"/>
        <v/>
      </c>
      <c r="AX108" s="92" t="str">
        <f t="shared" si="122"/>
        <v/>
      </c>
      <c r="AY108" s="93" t="str">
        <f t="shared" si="123"/>
        <v/>
      </c>
      <c r="AZ108" s="94" t="str">
        <f t="shared" si="124"/>
        <v/>
      </c>
      <c r="BA108" s="95" t="str">
        <f t="shared" si="125"/>
        <v/>
      </c>
      <c r="BB108" s="248" t="s">
        <v>422</v>
      </c>
      <c r="BC108" s="229" t="s">
        <v>433</v>
      </c>
      <c r="BD108" s="249">
        <v>0</v>
      </c>
      <c r="BE108" s="267">
        <f t="shared" si="102"/>
        <v>0</v>
      </c>
      <c r="BF108" s="268">
        <f t="shared" si="126"/>
        <v>0</v>
      </c>
      <c r="BG108" s="268">
        <f t="shared" si="126"/>
        <v>0</v>
      </c>
      <c r="BH108" s="268">
        <f t="shared" si="126"/>
        <v>1</v>
      </c>
      <c r="BI108" s="268">
        <f t="shared" si="126"/>
        <v>2</v>
      </c>
      <c r="BJ108" s="268">
        <f t="shared" si="126"/>
        <v>3</v>
      </c>
      <c r="BK108" s="268">
        <f t="shared" si="126"/>
        <v>4</v>
      </c>
      <c r="BL108" s="269">
        <f t="shared" si="126"/>
        <v>5</v>
      </c>
      <c r="BM108" s="256">
        <f>IF($BC108=Lookup!$A$2,$BD108*ROUNDUP(BE108/10,0)+1,
IF($BC108=Lookup!$A$3,($BD108+1)^BD108,
IF($BC108=Lookup!$A$4,BE108*$BD108+1,"Error")))</f>
        <v>1</v>
      </c>
      <c r="BN108" s="229">
        <f>IF($BC108=Lookup!$A$2,$BD108*ROUNDUP(BF108/10,0)+1,
IF($BC108=Lookup!$A$3,($BD108+1)^BE108,
IF($BC108=Lookup!$A$4,BF108*$BD108+1,"Error")))</f>
        <v>1</v>
      </c>
      <c r="BO108" s="229">
        <f>IF($BC108=Lookup!$A$2,$BD108*ROUNDUP(BG108/10,0)+1,
IF($BC108=Lookup!$A$3,($BD108+1)^BF108,
IF($BC108=Lookup!$A$4,BG108*$BD108+1,"Error")))</f>
        <v>1</v>
      </c>
      <c r="BP108" s="229">
        <f>IF($BC108=Lookup!$A$2,$BD108*ROUNDUP(BH108/10,0)+1,
IF($BC108=Lookup!$A$3,($BD108+1)^BG108,
IF($BC108=Lookup!$A$4,BH108*$BD108+1,"Error")))</f>
        <v>1</v>
      </c>
      <c r="BQ108" s="229">
        <f>IF($BC108=Lookup!$A$2,$BD108*ROUNDUP(BI108/10,0)+1,
IF($BC108=Lookup!$A$3,($BD108+1)^BH108,
IF($BC108=Lookup!$A$4,BI108*$BD108+1,"Error")))</f>
        <v>1</v>
      </c>
      <c r="BR108" s="229">
        <f>IF($BC108=Lookup!$A$2,$BD108*ROUNDUP(BJ108/10,0)+1,
IF($BC108=Lookup!$A$3,($BD108+1)^BI108,
IF($BC108=Lookup!$A$4,BJ108*$BD108+1,"Error")))</f>
        <v>1</v>
      </c>
      <c r="BS108" s="229">
        <f>IF($BC108=Lookup!$A$2,$BD108*ROUNDUP(BK108/10,0)+1,
IF($BC108=Lookup!$A$3,($BD108+1)^BJ108,
IF($BC108=Lookup!$A$4,BK108*$BD108+1,"Error")))</f>
        <v>1</v>
      </c>
      <c r="BT108" s="249">
        <f>IF($BC108=Lookup!$A$2,$BD108*ROUNDUP(BL108/10,0)+1,
IF($BC108=Lookup!$A$3,($BD108+1)^BK108,
IF($BC108=Lookup!$A$4,BL108*$BD108+1,"Error")))</f>
        <v>1</v>
      </c>
      <c r="BU108" s="320"/>
      <c r="BV108" s="321">
        <v>0</v>
      </c>
      <c r="BW108" s="321">
        <v>0</v>
      </c>
      <c r="BX108" s="321">
        <v>0</v>
      </c>
      <c r="BY108" s="321">
        <v>0</v>
      </c>
      <c r="BZ108" s="321">
        <v>0</v>
      </c>
      <c r="CA108" s="321">
        <v>0</v>
      </c>
      <c r="CB108" s="277">
        <v>0</v>
      </c>
      <c r="CC108" s="382" t="s">
        <v>293</v>
      </c>
      <c r="CD108" s="383">
        <f>HLOOKUP($CC108,$AK$6:$AM$132,ROWS(CD$6:CD108),0)</f>
        <v>0</v>
      </c>
      <c r="CE108" s="234">
        <f t="shared" si="103"/>
        <v>0</v>
      </c>
      <c r="CF108" s="96">
        <f t="shared" si="103"/>
        <v>0</v>
      </c>
      <c r="CG108" s="96">
        <f t="shared" si="103"/>
        <v>0</v>
      </c>
      <c r="CH108" s="96">
        <f t="shared" si="103"/>
        <v>0</v>
      </c>
      <c r="CI108" s="96">
        <f t="shared" si="103"/>
        <v>0</v>
      </c>
      <c r="CJ108" s="96">
        <f t="shared" si="103"/>
        <v>0</v>
      </c>
      <c r="CK108" s="96">
        <f t="shared" si="103"/>
        <v>0</v>
      </c>
      <c r="CL108" s="286">
        <f t="shared" si="128"/>
        <v>0</v>
      </c>
      <c r="CM108" s="305" t="s">
        <v>293</v>
      </c>
      <c r="CN108" s="315">
        <v>0.05</v>
      </c>
      <c r="CO108" s="306"/>
      <c r="CP108" s="307" t="str">
        <f>IF($CO108&lt;&gt;"",$CO108,HLOOKUP($CM108,$AY$6:$BA$132,ROWS(CP$6:CP108),0))</f>
        <v/>
      </c>
      <c r="CQ108" s="784" t="str">
        <f t="shared" si="127"/>
        <v/>
      </c>
      <c r="CR108" s="784" t="str">
        <f t="shared" si="127"/>
        <v/>
      </c>
      <c r="CS108" s="97" t="str">
        <f t="shared" si="127"/>
        <v/>
      </c>
      <c r="CT108" s="97" t="str">
        <f t="shared" si="127"/>
        <v/>
      </c>
      <c r="CU108" s="97" t="str">
        <f t="shared" si="127"/>
        <v/>
      </c>
      <c r="CV108" s="97" t="str">
        <f t="shared" si="127"/>
        <v/>
      </c>
      <c r="CW108" s="97" t="str">
        <f t="shared" si="127"/>
        <v/>
      </c>
      <c r="CX108" s="98" t="str">
        <f t="shared" si="127"/>
        <v/>
      </c>
      <c r="CY108" s="392"/>
    </row>
    <row r="109" spans="1:103" ht="15.75" thickBot="1" x14ac:dyDescent="0.3">
      <c r="A109" s="100" t="s">
        <v>196</v>
      </c>
      <c r="B109" s="101" t="s">
        <v>393</v>
      </c>
      <c r="C109" s="102" t="s">
        <v>394</v>
      </c>
      <c r="D109" s="103"/>
      <c r="E109" s="104"/>
      <c r="F109" s="104"/>
      <c r="G109" s="104"/>
      <c r="H109" s="104"/>
      <c r="I109" s="104">
        <v>0</v>
      </c>
      <c r="J109" s="104">
        <v>0</v>
      </c>
      <c r="K109" s="104">
        <v>0</v>
      </c>
      <c r="L109" s="104">
        <v>0</v>
      </c>
      <c r="M109" s="655">
        <f>'2022-23 Input'!D109</f>
        <v>0</v>
      </c>
      <c r="N109" s="1066">
        <v>0</v>
      </c>
      <c r="O109" s="563">
        <f t="shared" si="101"/>
        <v>0</v>
      </c>
      <c r="P109" s="564">
        <f t="shared" si="75"/>
        <v>0</v>
      </c>
      <c r="Q109" s="564">
        <f t="shared" si="76"/>
        <v>0</v>
      </c>
      <c r="R109" s="564">
        <f t="shared" si="77"/>
        <v>0</v>
      </c>
      <c r="S109" s="564">
        <f t="shared" si="78"/>
        <v>0</v>
      </c>
      <c r="T109" s="564">
        <f t="shared" si="79"/>
        <v>0</v>
      </c>
      <c r="U109" s="564">
        <f t="shared" si="80"/>
        <v>0</v>
      </c>
      <c r="V109" s="564">
        <f t="shared" si="81"/>
        <v>0</v>
      </c>
      <c r="W109" s="676">
        <f t="shared" si="82"/>
        <v>0</v>
      </c>
      <c r="X109" s="676">
        <f t="shared" si="83"/>
        <v>0</v>
      </c>
      <c r="Y109" s="676">
        <f t="shared" si="83"/>
        <v>0</v>
      </c>
      <c r="Z109" s="105"/>
      <c r="AA109" s="106"/>
      <c r="AB109" s="106"/>
      <c r="AC109" s="106"/>
      <c r="AD109" s="106"/>
      <c r="AE109" s="106">
        <v>0</v>
      </c>
      <c r="AF109" s="106">
        <v>0</v>
      </c>
      <c r="AG109" s="106">
        <v>0</v>
      </c>
      <c r="AH109" s="106">
        <v>0</v>
      </c>
      <c r="AI109" s="1095">
        <f>'2022-23 Input'!K109</f>
        <v>0</v>
      </c>
      <c r="AJ109" s="666">
        <v>0</v>
      </c>
      <c r="AK109" s="107">
        <f t="shared" si="111"/>
        <v>0</v>
      </c>
      <c r="AL109" s="108">
        <f t="shared" si="112"/>
        <v>0</v>
      </c>
      <c r="AM109" s="109">
        <f t="shared" si="113"/>
        <v>0</v>
      </c>
      <c r="AN109" s="110" t="str">
        <f t="shared" si="114"/>
        <v/>
      </c>
      <c r="AO109" s="111" t="str">
        <f t="shared" si="115"/>
        <v/>
      </c>
      <c r="AP109" s="111" t="str">
        <f t="shared" si="116"/>
        <v/>
      </c>
      <c r="AQ109" s="111" t="str">
        <f t="shared" si="117"/>
        <v/>
      </c>
      <c r="AR109" s="111" t="str">
        <f t="shared" si="118"/>
        <v/>
      </c>
      <c r="AS109" s="111" t="str">
        <f t="shared" si="119"/>
        <v/>
      </c>
      <c r="AT109" s="111" t="str">
        <f t="shared" si="120"/>
        <v/>
      </c>
      <c r="AU109" s="111" t="str">
        <f t="shared" si="121"/>
        <v/>
      </c>
      <c r="AV109" s="111" t="str">
        <f t="shared" si="122"/>
        <v/>
      </c>
      <c r="AW109" s="111" t="str">
        <f t="shared" si="122"/>
        <v/>
      </c>
      <c r="AX109" s="111" t="str">
        <f t="shared" si="122"/>
        <v/>
      </c>
      <c r="AY109" s="112" t="str">
        <f t="shared" si="123"/>
        <v/>
      </c>
      <c r="AZ109" s="113" t="str">
        <f t="shared" si="124"/>
        <v/>
      </c>
      <c r="BA109" s="114" t="str">
        <f t="shared" si="125"/>
        <v/>
      </c>
      <c r="BB109" s="250" t="s">
        <v>422</v>
      </c>
      <c r="BC109" s="230" t="s">
        <v>433</v>
      </c>
      <c r="BD109" s="251">
        <v>0</v>
      </c>
      <c r="BE109" s="270">
        <f t="shared" si="102"/>
        <v>0</v>
      </c>
      <c r="BF109" s="271">
        <f t="shared" si="126"/>
        <v>0</v>
      </c>
      <c r="BG109" s="271">
        <f t="shared" si="126"/>
        <v>0</v>
      </c>
      <c r="BH109" s="271">
        <f t="shared" si="126"/>
        <v>1</v>
      </c>
      <c r="BI109" s="271">
        <f t="shared" si="126"/>
        <v>2</v>
      </c>
      <c r="BJ109" s="271">
        <f t="shared" si="126"/>
        <v>3</v>
      </c>
      <c r="BK109" s="271">
        <f t="shared" si="126"/>
        <v>4</v>
      </c>
      <c r="BL109" s="272">
        <f t="shared" si="126"/>
        <v>5</v>
      </c>
      <c r="BM109" s="257">
        <f>IF($BC109=Lookup!$A$2,$BD109*ROUNDUP(BE109/10,0)+1,
IF($BC109=Lookup!$A$3,($BD109+1)^BD109,
IF($BC109=Lookup!$A$4,BE109*$BD109+1,"Error")))</f>
        <v>1</v>
      </c>
      <c r="BN109" s="230">
        <f>IF($BC109=Lookup!$A$2,$BD109*ROUNDUP(BF109/10,0)+1,
IF($BC109=Lookup!$A$3,($BD109+1)^BE109,
IF($BC109=Lookup!$A$4,BF109*$BD109+1,"Error")))</f>
        <v>1</v>
      </c>
      <c r="BO109" s="230">
        <f>IF($BC109=Lookup!$A$2,$BD109*ROUNDUP(BG109/10,0)+1,
IF($BC109=Lookup!$A$3,($BD109+1)^BF109,
IF($BC109=Lookup!$A$4,BG109*$BD109+1,"Error")))</f>
        <v>1</v>
      </c>
      <c r="BP109" s="230">
        <f>IF($BC109=Lookup!$A$2,$BD109*ROUNDUP(BH109/10,0)+1,
IF($BC109=Lookup!$A$3,($BD109+1)^BG109,
IF($BC109=Lookup!$A$4,BH109*$BD109+1,"Error")))</f>
        <v>1</v>
      </c>
      <c r="BQ109" s="230">
        <f>IF($BC109=Lookup!$A$2,$BD109*ROUNDUP(BI109/10,0)+1,
IF($BC109=Lookup!$A$3,($BD109+1)^BH109,
IF($BC109=Lookup!$A$4,BI109*$BD109+1,"Error")))</f>
        <v>1</v>
      </c>
      <c r="BR109" s="230">
        <f>IF($BC109=Lookup!$A$2,$BD109*ROUNDUP(BJ109/10,0)+1,
IF($BC109=Lookup!$A$3,($BD109+1)^BI109,
IF($BC109=Lookup!$A$4,BJ109*$BD109+1,"Error")))</f>
        <v>1</v>
      </c>
      <c r="BS109" s="230">
        <f>IF($BC109=Lookup!$A$2,$BD109*ROUNDUP(BK109/10,0)+1,
IF($BC109=Lookup!$A$3,($BD109+1)^BJ109,
IF($BC109=Lookup!$A$4,BK109*$BD109+1,"Error")))</f>
        <v>1</v>
      </c>
      <c r="BT109" s="251">
        <f>IF($BC109=Lookup!$A$2,$BD109*ROUNDUP(BL109/10,0)+1,
IF($BC109=Lookup!$A$3,($BD109+1)^BK109,
IF($BC109=Lookup!$A$4,BL109*$BD109+1,"Error")))</f>
        <v>1</v>
      </c>
      <c r="BU109" s="322"/>
      <c r="BV109" s="323">
        <v>0</v>
      </c>
      <c r="BW109" s="323">
        <v>0</v>
      </c>
      <c r="BX109" s="323">
        <v>0</v>
      </c>
      <c r="BY109" s="323">
        <v>0</v>
      </c>
      <c r="BZ109" s="323">
        <v>0</v>
      </c>
      <c r="CA109" s="323">
        <v>0</v>
      </c>
      <c r="CB109" s="278">
        <v>0</v>
      </c>
      <c r="CC109" s="384" t="s">
        <v>293</v>
      </c>
      <c r="CD109" s="385">
        <f>HLOOKUP($CC109,$AK$6:$AM$132,ROWS(CD$6:CD109),0)</f>
        <v>0</v>
      </c>
      <c r="CE109" s="235">
        <f t="shared" si="103"/>
        <v>0</v>
      </c>
      <c r="CF109" s="115">
        <f t="shared" si="103"/>
        <v>0</v>
      </c>
      <c r="CG109" s="115">
        <f t="shared" si="103"/>
        <v>0</v>
      </c>
      <c r="CH109" s="115">
        <f t="shared" si="103"/>
        <v>0</v>
      </c>
      <c r="CI109" s="115">
        <f t="shared" si="103"/>
        <v>0</v>
      </c>
      <c r="CJ109" s="115">
        <f t="shared" si="103"/>
        <v>0</v>
      </c>
      <c r="CK109" s="115">
        <f t="shared" si="103"/>
        <v>0</v>
      </c>
      <c r="CL109" s="287">
        <f t="shared" si="128"/>
        <v>0</v>
      </c>
      <c r="CM109" s="308" t="s">
        <v>293</v>
      </c>
      <c r="CN109" s="316">
        <v>0.05</v>
      </c>
      <c r="CO109" s="309"/>
      <c r="CP109" s="310" t="str">
        <f>IF($CO109&lt;&gt;"",$CO109,HLOOKUP($CM109,$AY$6:$BA$132,ROWS(CP$6:CP109),0))</f>
        <v/>
      </c>
      <c r="CQ109" s="785" t="str">
        <f t="shared" si="127"/>
        <v/>
      </c>
      <c r="CR109" s="785" t="str">
        <f t="shared" si="127"/>
        <v/>
      </c>
      <c r="CS109" s="117" t="str">
        <f t="shared" si="127"/>
        <v/>
      </c>
      <c r="CT109" s="117" t="str">
        <f t="shared" si="127"/>
        <v/>
      </c>
      <c r="CU109" s="117" t="str">
        <f t="shared" si="127"/>
        <v/>
      </c>
      <c r="CV109" s="117" t="str">
        <f t="shared" si="127"/>
        <v/>
      </c>
      <c r="CW109" s="117" t="str">
        <f t="shared" si="127"/>
        <v/>
      </c>
      <c r="CX109" s="118" t="str">
        <f t="shared" si="127"/>
        <v/>
      </c>
      <c r="CY109" s="393"/>
    </row>
    <row r="110" spans="1:103" x14ac:dyDescent="0.25">
      <c r="A110" s="63" t="s">
        <v>224</v>
      </c>
      <c r="B110" s="64" t="s">
        <v>221</v>
      </c>
      <c r="C110" s="65" t="s">
        <v>395</v>
      </c>
      <c r="D110" s="66"/>
      <c r="E110" s="67"/>
      <c r="F110" s="67"/>
      <c r="G110" s="67"/>
      <c r="H110" s="67"/>
      <c r="I110" s="67">
        <v>0</v>
      </c>
      <c r="J110" s="67">
        <v>2977.4170869479999</v>
      </c>
      <c r="K110" s="67">
        <v>29763.924385476999</v>
      </c>
      <c r="L110" s="67">
        <v>103086.525897282</v>
      </c>
      <c r="M110" s="653">
        <f>'2022-23 Input'!D110</f>
        <v>33668.227505293005</v>
      </c>
      <c r="N110" s="1064">
        <v>0</v>
      </c>
      <c r="O110" s="557">
        <f t="shared" si="101"/>
        <v>0</v>
      </c>
      <c r="P110" s="558">
        <f t="shared" si="75"/>
        <v>0</v>
      </c>
      <c r="Q110" s="558">
        <f t="shared" si="76"/>
        <v>0</v>
      </c>
      <c r="R110" s="558">
        <f t="shared" si="77"/>
        <v>0</v>
      </c>
      <c r="S110" s="558">
        <f t="shared" si="78"/>
        <v>0</v>
      </c>
      <c r="T110" s="558">
        <f t="shared" si="79"/>
        <v>0</v>
      </c>
      <c r="U110" s="558">
        <f t="shared" si="80"/>
        <v>3708.3371748130648</v>
      </c>
      <c r="V110" s="558">
        <f t="shared" si="81"/>
        <v>35697.624324585478</v>
      </c>
      <c r="W110" s="674">
        <f t="shared" si="82"/>
        <v>116480.27306698653</v>
      </c>
      <c r="X110" s="674">
        <f t="shared" si="83"/>
        <v>35804.844402658251</v>
      </c>
      <c r="Y110" s="674">
        <f t="shared" si="83"/>
        <v>0</v>
      </c>
      <c r="Z110" s="68"/>
      <c r="AA110" s="69"/>
      <c r="AB110" s="69"/>
      <c r="AC110" s="69"/>
      <c r="AD110" s="69"/>
      <c r="AE110" s="69">
        <v>12</v>
      </c>
      <c r="AF110" s="69">
        <v>-2</v>
      </c>
      <c r="AG110" s="69">
        <v>18</v>
      </c>
      <c r="AH110" s="69">
        <v>40</v>
      </c>
      <c r="AI110" s="1093">
        <f>'2022-23 Input'!K110</f>
        <v>39</v>
      </c>
      <c r="AJ110" s="664">
        <v>3</v>
      </c>
      <c r="AK110" s="70">
        <f t="shared" si="111"/>
        <v>21.4</v>
      </c>
      <c r="AL110" s="71">
        <f t="shared" si="112"/>
        <v>32.333333333333336</v>
      </c>
      <c r="AM110" s="72">
        <f t="shared" si="113"/>
        <v>39</v>
      </c>
      <c r="AN110" s="73" t="str">
        <f t="shared" si="114"/>
        <v/>
      </c>
      <c r="AO110" s="74" t="str">
        <f t="shared" si="115"/>
        <v/>
      </c>
      <c r="AP110" s="74" t="str">
        <f t="shared" si="116"/>
        <v/>
      </c>
      <c r="AQ110" s="74" t="str">
        <f t="shared" si="117"/>
        <v/>
      </c>
      <c r="AR110" s="74" t="str">
        <f t="shared" si="118"/>
        <v/>
      </c>
      <c r="AS110" s="74">
        <f t="shared" si="119"/>
        <v>0</v>
      </c>
      <c r="AT110" s="74">
        <f t="shared" si="120"/>
        <v>-1488.708543474</v>
      </c>
      <c r="AU110" s="74">
        <f t="shared" si="121"/>
        <v>1653.5513547487221</v>
      </c>
      <c r="AV110" s="74">
        <f t="shared" si="122"/>
        <v>2577.1631474320502</v>
      </c>
      <c r="AW110" s="74">
        <f t="shared" si="122"/>
        <v>863.28788475110275</v>
      </c>
      <c r="AX110" s="74">
        <f t="shared" si="122"/>
        <v>0</v>
      </c>
      <c r="AY110" s="75">
        <f t="shared" si="123"/>
        <v>1584.0756530373833</v>
      </c>
      <c r="AZ110" s="76">
        <f t="shared" si="124"/>
        <v>1716.6873998768249</v>
      </c>
      <c r="BA110" s="77">
        <f t="shared" si="125"/>
        <v>863.28788475110275</v>
      </c>
      <c r="BB110" s="246" t="s">
        <v>422</v>
      </c>
      <c r="BC110" s="228" t="s">
        <v>433</v>
      </c>
      <c r="BD110" s="247">
        <v>0</v>
      </c>
      <c r="BE110" s="264">
        <f t="shared" si="102"/>
        <v>0</v>
      </c>
      <c r="BF110" s="265">
        <f t="shared" si="126"/>
        <v>0</v>
      </c>
      <c r="BG110" s="265">
        <f t="shared" si="126"/>
        <v>0</v>
      </c>
      <c r="BH110" s="265">
        <f t="shared" si="126"/>
        <v>1</v>
      </c>
      <c r="BI110" s="265">
        <f t="shared" si="126"/>
        <v>2</v>
      </c>
      <c r="BJ110" s="265">
        <f t="shared" si="126"/>
        <v>3</v>
      </c>
      <c r="BK110" s="265">
        <f t="shared" si="126"/>
        <v>4</v>
      </c>
      <c r="BL110" s="266">
        <f t="shared" si="126"/>
        <v>5</v>
      </c>
      <c r="BM110" s="255">
        <f>IF($BC110=Lookup!$A$2,$BD110*ROUNDUP(BE110/10,0)+1,
IF($BC110=Lookup!$A$3,($BD110+1)^BD110,
IF($BC110=Lookup!$A$4,BE110*$BD110+1,"Error")))</f>
        <v>1</v>
      </c>
      <c r="BN110" s="228">
        <f>IF($BC110=Lookup!$A$2,$BD110*ROUNDUP(BF110/10,0)+1,
IF($BC110=Lookup!$A$3,($BD110+1)^BE110,
IF($BC110=Lookup!$A$4,BF110*$BD110+1,"Error")))</f>
        <v>1</v>
      </c>
      <c r="BO110" s="228">
        <f>IF($BC110=Lookup!$A$2,$BD110*ROUNDUP(BG110/10,0)+1,
IF($BC110=Lookup!$A$3,($BD110+1)^BF110,
IF($BC110=Lookup!$A$4,BG110*$BD110+1,"Error")))</f>
        <v>1</v>
      </c>
      <c r="BP110" s="228">
        <f>IF($BC110=Lookup!$A$2,$BD110*ROUNDUP(BH110/10,0)+1,
IF($BC110=Lookup!$A$3,($BD110+1)^BG110,
IF($BC110=Lookup!$A$4,BH110*$BD110+1,"Error")))</f>
        <v>1</v>
      </c>
      <c r="BQ110" s="228">
        <f>IF($BC110=Lookup!$A$2,$BD110*ROUNDUP(BI110/10,0)+1,
IF($BC110=Lookup!$A$3,($BD110+1)^BH110,
IF($BC110=Lookup!$A$4,BI110*$BD110+1,"Error")))</f>
        <v>1</v>
      </c>
      <c r="BR110" s="228">
        <f>IF($BC110=Lookup!$A$2,$BD110*ROUNDUP(BJ110/10,0)+1,
IF($BC110=Lookup!$A$3,($BD110+1)^BI110,
IF($BC110=Lookup!$A$4,BJ110*$BD110+1,"Error")))</f>
        <v>1</v>
      </c>
      <c r="BS110" s="228">
        <f>IF($BC110=Lookup!$A$2,$BD110*ROUNDUP(BK110/10,0)+1,
IF($BC110=Lookup!$A$3,($BD110+1)^BJ110,
IF($BC110=Lookup!$A$4,BK110*$BD110+1,"Error")))</f>
        <v>1</v>
      </c>
      <c r="BT110" s="247">
        <f>IF($BC110=Lookup!$A$2,$BD110*ROUNDUP(BL110/10,0)+1,
IF($BC110=Lookup!$A$3,($BD110+1)^BK110,
IF($BC110=Lookup!$A$4,BL110*$BD110+1,"Error")))</f>
        <v>1</v>
      </c>
      <c r="BU110" s="318">
        <v>0</v>
      </c>
      <c r="BV110" s="319">
        <v>0</v>
      </c>
      <c r="BW110" s="319">
        <v>0</v>
      </c>
      <c r="BX110" s="319">
        <v>0</v>
      </c>
      <c r="BY110" s="319">
        <v>0</v>
      </c>
      <c r="BZ110" s="319">
        <v>0</v>
      </c>
      <c r="CA110" s="319">
        <v>0</v>
      </c>
      <c r="CB110" s="276">
        <v>0</v>
      </c>
      <c r="CC110" s="380" t="s">
        <v>293</v>
      </c>
      <c r="CD110" s="381">
        <f>HLOOKUP($CC110,$AK$6:$AM$132,ROWS(CD$6:CD110),0)</f>
        <v>32.333333333333336</v>
      </c>
      <c r="CE110" s="233">
        <f t="shared" si="103"/>
        <v>0</v>
      </c>
      <c r="CF110" s="78">
        <f t="shared" si="103"/>
        <v>0</v>
      </c>
      <c r="CG110" s="78">
        <f t="shared" si="103"/>
        <v>0</v>
      </c>
      <c r="CH110" s="78">
        <f t="shared" si="103"/>
        <v>0</v>
      </c>
      <c r="CI110" s="78">
        <f t="shared" si="103"/>
        <v>0</v>
      </c>
      <c r="CJ110" s="78">
        <f t="shared" si="103"/>
        <v>0</v>
      </c>
      <c r="CK110" s="78">
        <f t="shared" si="103"/>
        <v>0</v>
      </c>
      <c r="CL110" s="285">
        <f t="shared" si="128"/>
        <v>0</v>
      </c>
      <c r="CM110" s="302" t="s">
        <v>293</v>
      </c>
      <c r="CN110" s="314">
        <v>0.05</v>
      </c>
      <c r="CO110" s="303"/>
      <c r="CP110" s="304">
        <f>IF($CO110&lt;&gt;"",$CO110,HLOOKUP($CM110,$AY$6:$BA$132,ROWS(CP$6:CP110),0))</f>
        <v>1716.6873998768249</v>
      </c>
      <c r="CQ110" s="783">
        <f t="shared" si="127"/>
        <v>0</v>
      </c>
      <c r="CR110" s="783">
        <f t="shared" si="127"/>
        <v>0</v>
      </c>
      <c r="CS110" s="79">
        <f t="shared" si="127"/>
        <v>0</v>
      </c>
      <c r="CT110" s="79">
        <f t="shared" si="127"/>
        <v>0</v>
      </c>
      <c r="CU110" s="79">
        <f t="shared" si="127"/>
        <v>0</v>
      </c>
      <c r="CV110" s="79">
        <f t="shared" si="127"/>
        <v>0</v>
      </c>
      <c r="CW110" s="79">
        <f t="shared" si="127"/>
        <v>0</v>
      </c>
      <c r="CX110" s="80">
        <f t="shared" si="127"/>
        <v>0</v>
      </c>
      <c r="CY110" s="391"/>
    </row>
    <row r="111" spans="1:103" x14ac:dyDescent="0.25">
      <c r="A111" s="81" t="s">
        <v>224</v>
      </c>
      <c r="B111" s="82" t="s">
        <v>225</v>
      </c>
      <c r="C111" s="83" t="s">
        <v>396</v>
      </c>
      <c r="D111" s="84"/>
      <c r="E111" s="85"/>
      <c r="F111" s="85"/>
      <c r="G111" s="85"/>
      <c r="H111" s="85"/>
      <c r="I111" s="85">
        <v>47152.426058748999</v>
      </c>
      <c r="J111" s="85">
        <v>52657.258195030001</v>
      </c>
      <c r="K111" s="85">
        <v>50511.846265793996</v>
      </c>
      <c r="L111" s="85">
        <v>57760.594609359003</v>
      </c>
      <c r="M111" s="654">
        <f>'2022-23 Input'!D111</f>
        <v>8824.4622040510021</v>
      </c>
      <c r="N111" s="1065">
        <v>0</v>
      </c>
      <c r="O111" s="560">
        <f t="shared" si="101"/>
        <v>0</v>
      </c>
      <c r="P111" s="561">
        <f t="shared" si="75"/>
        <v>0</v>
      </c>
      <c r="Q111" s="561">
        <f t="shared" si="76"/>
        <v>0</v>
      </c>
      <c r="R111" s="561">
        <f t="shared" si="77"/>
        <v>0</v>
      </c>
      <c r="S111" s="561">
        <f t="shared" si="78"/>
        <v>0</v>
      </c>
      <c r="T111" s="561">
        <f t="shared" si="79"/>
        <v>58523.15318245464</v>
      </c>
      <c r="U111" s="561">
        <f t="shared" si="80"/>
        <v>65583.981815769715</v>
      </c>
      <c r="V111" s="561">
        <f t="shared" si="81"/>
        <v>60581.8267975899</v>
      </c>
      <c r="W111" s="675">
        <f t="shared" si="82"/>
        <v>65265.268899580187</v>
      </c>
      <c r="X111" s="675">
        <f t="shared" si="83"/>
        <v>9384.4707477847696</v>
      </c>
      <c r="Y111" s="675">
        <f t="shared" si="83"/>
        <v>0</v>
      </c>
      <c r="Z111" s="86"/>
      <c r="AA111" s="87"/>
      <c r="AB111" s="87"/>
      <c r="AC111" s="87"/>
      <c r="AD111" s="87"/>
      <c r="AE111" s="87">
        <v>22</v>
      </c>
      <c r="AF111" s="87">
        <v>-3</v>
      </c>
      <c r="AG111" s="87">
        <v>23</v>
      </c>
      <c r="AH111" s="87">
        <v>16</v>
      </c>
      <c r="AI111" s="1094">
        <f>'2022-23 Input'!K111</f>
        <v>4</v>
      </c>
      <c r="AJ111" s="665">
        <v>3</v>
      </c>
      <c r="AK111" s="88">
        <f t="shared" si="111"/>
        <v>12.4</v>
      </c>
      <c r="AL111" s="89">
        <f t="shared" si="112"/>
        <v>14.333333333333334</v>
      </c>
      <c r="AM111" s="90">
        <f t="shared" si="113"/>
        <v>4</v>
      </c>
      <c r="AN111" s="91" t="str">
        <f t="shared" si="114"/>
        <v/>
      </c>
      <c r="AO111" s="92" t="str">
        <f t="shared" si="115"/>
        <v/>
      </c>
      <c r="AP111" s="92" t="str">
        <f t="shared" si="116"/>
        <v/>
      </c>
      <c r="AQ111" s="92" t="str">
        <f t="shared" si="117"/>
        <v/>
      </c>
      <c r="AR111" s="92" t="str">
        <f t="shared" si="118"/>
        <v/>
      </c>
      <c r="AS111" s="92">
        <f t="shared" si="119"/>
        <v>2143.2920935795</v>
      </c>
      <c r="AT111" s="92">
        <f t="shared" si="120"/>
        <v>-17552.419398343332</v>
      </c>
      <c r="AU111" s="92">
        <f t="shared" si="121"/>
        <v>2196.167228947565</v>
      </c>
      <c r="AV111" s="92">
        <f t="shared" si="122"/>
        <v>3610.0371630849377</v>
      </c>
      <c r="AW111" s="92">
        <f t="shared" si="122"/>
        <v>2206.1155510127505</v>
      </c>
      <c r="AX111" s="92">
        <f t="shared" si="122"/>
        <v>0</v>
      </c>
      <c r="AY111" s="93">
        <f t="shared" si="123"/>
        <v>3498.4933440803711</v>
      </c>
      <c r="AZ111" s="94">
        <f t="shared" si="124"/>
        <v>2723.183792539628</v>
      </c>
      <c r="BA111" s="95">
        <f t="shared" si="125"/>
        <v>2206.1155510127505</v>
      </c>
      <c r="BB111" s="248" t="s">
        <v>422</v>
      </c>
      <c r="BC111" s="229" t="s">
        <v>433</v>
      </c>
      <c r="BD111" s="249">
        <v>0</v>
      </c>
      <c r="BE111" s="267">
        <f t="shared" si="102"/>
        <v>0</v>
      </c>
      <c r="BF111" s="268">
        <f t="shared" si="126"/>
        <v>0</v>
      </c>
      <c r="BG111" s="268">
        <f t="shared" si="126"/>
        <v>0</v>
      </c>
      <c r="BH111" s="268">
        <f t="shared" si="126"/>
        <v>1</v>
      </c>
      <c r="BI111" s="268">
        <f t="shared" si="126"/>
        <v>2</v>
      </c>
      <c r="BJ111" s="268">
        <f t="shared" si="126"/>
        <v>3</v>
      </c>
      <c r="BK111" s="268">
        <f t="shared" si="126"/>
        <v>4</v>
      </c>
      <c r="BL111" s="269">
        <f t="shared" si="126"/>
        <v>5</v>
      </c>
      <c r="BM111" s="256">
        <f>IF($BC111=Lookup!$A$2,$BD111*ROUNDUP(BE111/10,0)+1,
IF($BC111=Lookup!$A$3,($BD111+1)^BD111,
IF($BC111=Lookup!$A$4,BE111*$BD111+1,"Error")))</f>
        <v>1</v>
      </c>
      <c r="BN111" s="229">
        <f>IF($BC111=Lookup!$A$2,$BD111*ROUNDUP(BF111/10,0)+1,
IF($BC111=Lookup!$A$3,($BD111+1)^BE111,
IF($BC111=Lookup!$A$4,BF111*$BD111+1,"Error")))</f>
        <v>1</v>
      </c>
      <c r="BO111" s="229">
        <f>IF($BC111=Lookup!$A$2,$BD111*ROUNDUP(BG111/10,0)+1,
IF($BC111=Lookup!$A$3,($BD111+1)^BF111,
IF($BC111=Lookup!$A$4,BG111*$BD111+1,"Error")))</f>
        <v>1</v>
      </c>
      <c r="BP111" s="229">
        <f>IF($BC111=Lookup!$A$2,$BD111*ROUNDUP(BH111/10,0)+1,
IF($BC111=Lookup!$A$3,($BD111+1)^BG111,
IF($BC111=Lookup!$A$4,BH111*$BD111+1,"Error")))</f>
        <v>1</v>
      </c>
      <c r="BQ111" s="229">
        <f>IF($BC111=Lookup!$A$2,$BD111*ROUNDUP(BI111/10,0)+1,
IF($BC111=Lookup!$A$3,($BD111+1)^BH111,
IF($BC111=Lookup!$A$4,BI111*$BD111+1,"Error")))</f>
        <v>1</v>
      </c>
      <c r="BR111" s="229">
        <f>IF($BC111=Lookup!$A$2,$BD111*ROUNDUP(BJ111/10,0)+1,
IF($BC111=Lookup!$A$3,($BD111+1)^BI111,
IF($BC111=Lookup!$A$4,BJ111*$BD111+1,"Error")))</f>
        <v>1</v>
      </c>
      <c r="BS111" s="229">
        <f>IF($BC111=Lookup!$A$2,$BD111*ROUNDUP(BK111/10,0)+1,
IF($BC111=Lookup!$A$3,($BD111+1)^BJ111,
IF($BC111=Lookup!$A$4,BK111*$BD111+1,"Error")))</f>
        <v>1</v>
      </c>
      <c r="BT111" s="249">
        <f>IF($BC111=Lookup!$A$2,$BD111*ROUNDUP(BL111/10,0)+1,
IF($BC111=Lookup!$A$3,($BD111+1)^BK111,
IF($BC111=Lookup!$A$4,BL111*$BD111+1,"Error")))</f>
        <v>1</v>
      </c>
      <c r="BU111" s="320">
        <v>0</v>
      </c>
      <c r="BV111" s="321">
        <v>0</v>
      </c>
      <c r="BW111" s="321">
        <v>0</v>
      </c>
      <c r="BX111" s="321">
        <v>0</v>
      </c>
      <c r="BY111" s="321">
        <v>0</v>
      </c>
      <c r="BZ111" s="321">
        <v>0</v>
      </c>
      <c r="CA111" s="321">
        <v>0</v>
      </c>
      <c r="CB111" s="277">
        <v>0</v>
      </c>
      <c r="CC111" s="382" t="s">
        <v>293</v>
      </c>
      <c r="CD111" s="383">
        <f>HLOOKUP($CC111,$AK$6:$AM$132,ROWS(CD$6:CD111),0)</f>
        <v>14.333333333333334</v>
      </c>
      <c r="CE111" s="234">
        <f t="shared" si="103"/>
        <v>0</v>
      </c>
      <c r="CF111" s="96">
        <f t="shared" si="103"/>
        <v>0</v>
      </c>
      <c r="CG111" s="96">
        <f t="shared" si="103"/>
        <v>0</v>
      </c>
      <c r="CH111" s="96">
        <f t="shared" si="103"/>
        <v>0</v>
      </c>
      <c r="CI111" s="96">
        <f t="shared" si="103"/>
        <v>0</v>
      </c>
      <c r="CJ111" s="96">
        <f t="shared" si="103"/>
        <v>0</v>
      </c>
      <c r="CK111" s="96">
        <f t="shared" si="103"/>
        <v>0</v>
      </c>
      <c r="CL111" s="286">
        <f t="shared" si="128"/>
        <v>0</v>
      </c>
      <c r="CM111" s="305" t="s">
        <v>293</v>
      </c>
      <c r="CN111" s="315">
        <v>0.05</v>
      </c>
      <c r="CO111" s="306"/>
      <c r="CP111" s="307">
        <f>IF($CO111&lt;&gt;"",$CO111,HLOOKUP($CM111,$AY$6:$BA$132,ROWS(CP$6:CP111),0))</f>
        <v>2723.183792539628</v>
      </c>
      <c r="CQ111" s="784">
        <f t="shared" si="127"/>
        <v>0</v>
      </c>
      <c r="CR111" s="784">
        <f t="shared" si="127"/>
        <v>0</v>
      </c>
      <c r="CS111" s="97">
        <f t="shared" si="127"/>
        <v>0</v>
      </c>
      <c r="CT111" s="97">
        <f t="shared" si="127"/>
        <v>0</v>
      </c>
      <c r="CU111" s="97">
        <f t="shared" si="127"/>
        <v>0</v>
      </c>
      <c r="CV111" s="97">
        <f t="shared" si="127"/>
        <v>0</v>
      </c>
      <c r="CW111" s="97">
        <f t="shared" si="127"/>
        <v>0</v>
      </c>
      <c r="CX111" s="98">
        <f t="shared" si="127"/>
        <v>0</v>
      </c>
      <c r="CY111" s="392"/>
    </row>
    <row r="112" spans="1:103" x14ac:dyDescent="0.25">
      <c r="A112" s="81" t="s">
        <v>224</v>
      </c>
      <c r="B112" s="82" t="s">
        <v>227</v>
      </c>
      <c r="C112" s="83" t="s">
        <v>228</v>
      </c>
      <c r="D112" s="84"/>
      <c r="E112" s="85"/>
      <c r="F112" s="85"/>
      <c r="G112" s="85"/>
      <c r="H112" s="85"/>
      <c r="I112" s="85">
        <v>2240.8094459270005</v>
      </c>
      <c r="J112" s="85">
        <v>18326.737765974998</v>
      </c>
      <c r="K112" s="85">
        <v>45762.056557589</v>
      </c>
      <c r="L112" s="85">
        <v>150577.91968439493</v>
      </c>
      <c r="M112" s="654">
        <f>'2022-23 Input'!D112</f>
        <v>218421.74875371589</v>
      </c>
      <c r="N112" s="1065">
        <v>0</v>
      </c>
      <c r="O112" s="560">
        <f t="shared" si="101"/>
        <v>0</v>
      </c>
      <c r="P112" s="561">
        <f t="shared" si="75"/>
        <v>0</v>
      </c>
      <c r="Q112" s="561">
        <f t="shared" si="76"/>
        <v>0</v>
      </c>
      <c r="R112" s="561">
        <f t="shared" si="77"/>
        <v>0</v>
      </c>
      <c r="S112" s="561">
        <f t="shared" si="78"/>
        <v>0</v>
      </c>
      <c r="T112" s="561">
        <f t="shared" si="79"/>
        <v>2781.1768220215395</v>
      </c>
      <c r="U112" s="561">
        <f t="shared" si="80"/>
        <v>22825.731486709428</v>
      </c>
      <c r="V112" s="561">
        <f t="shared" si="81"/>
        <v>54885.124762322746</v>
      </c>
      <c r="W112" s="675">
        <f t="shared" si="82"/>
        <v>170142.09228637448</v>
      </c>
      <c r="X112" s="675">
        <f t="shared" si="83"/>
        <v>232282.99520828162</v>
      </c>
      <c r="Y112" s="675">
        <f t="shared" si="83"/>
        <v>0</v>
      </c>
      <c r="Z112" s="86"/>
      <c r="AA112" s="87"/>
      <c r="AB112" s="87"/>
      <c r="AC112" s="87"/>
      <c r="AD112" s="87"/>
      <c r="AE112" s="87">
        <v>6</v>
      </c>
      <c r="AF112" s="87">
        <v>6</v>
      </c>
      <c r="AG112" s="87">
        <v>34</v>
      </c>
      <c r="AH112" s="87">
        <v>85</v>
      </c>
      <c r="AI112" s="1094">
        <f>'2022-23 Input'!K112</f>
        <v>42</v>
      </c>
      <c r="AJ112" s="665">
        <v>23</v>
      </c>
      <c r="AK112" s="88">
        <f t="shared" si="111"/>
        <v>34.6</v>
      </c>
      <c r="AL112" s="89">
        <f t="shared" si="112"/>
        <v>53.666666666666664</v>
      </c>
      <c r="AM112" s="90">
        <f t="shared" si="113"/>
        <v>42</v>
      </c>
      <c r="AN112" s="91" t="str">
        <f t="shared" si="114"/>
        <v/>
      </c>
      <c r="AO112" s="92" t="str">
        <f t="shared" si="115"/>
        <v/>
      </c>
      <c r="AP112" s="92" t="str">
        <f t="shared" si="116"/>
        <v/>
      </c>
      <c r="AQ112" s="92" t="str">
        <f t="shared" si="117"/>
        <v/>
      </c>
      <c r="AR112" s="92" t="str">
        <f t="shared" si="118"/>
        <v/>
      </c>
      <c r="AS112" s="92">
        <f t="shared" si="119"/>
        <v>373.46824098783344</v>
      </c>
      <c r="AT112" s="92">
        <f t="shared" si="120"/>
        <v>3054.4562943291662</v>
      </c>
      <c r="AU112" s="92">
        <f t="shared" si="121"/>
        <v>1345.9428399290882</v>
      </c>
      <c r="AV112" s="92">
        <f t="shared" si="122"/>
        <v>1771.5049374634698</v>
      </c>
      <c r="AW112" s="92">
        <f t="shared" si="122"/>
        <v>5200.5178274694263</v>
      </c>
      <c r="AX112" s="92">
        <f t="shared" si="122"/>
        <v>0</v>
      </c>
      <c r="AY112" s="93">
        <f t="shared" si="123"/>
        <v>2516.3541746104152</v>
      </c>
      <c r="AZ112" s="94">
        <f t="shared" si="124"/>
        <v>2576.1597825819863</v>
      </c>
      <c r="BA112" s="95">
        <f t="shared" si="125"/>
        <v>5200.5178274694263</v>
      </c>
      <c r="BB112" s="248" t="s">
        <v>422</v>
      </c>
      <c r="BC112" s="229" t="s">
        <v>433</v>
      </c>
      <c r="BD112" s="249">
        <v>0</v>
      </c>
      <c r="BE112" s="267">
        <f t="shared" si="102"/>
        <v>0</v>
      </c>
      <c r="BF112" s="268">
        <f t="shared" si="126"/>
        <v>0</v>
      </c>
      <c r="BG112" s="268">
        <f t="shared" si="126"/>
        <v>0</v>
      </c>
      <c r="BH112" s="268">
        <f t="shared" si="126"/>
        <v>1</v>
      </c>
      <c r="BI112" s="268">
        <f t="shared" si="126"/>
        <v>2</v>
      </c>
      <c r="BJ112" s="268">
        <f t="shared" si="126"/>
        <v>3</v>
      </c>
      <c r="BK112" s="268">
        <f t="shared" si="126"/>
        <v>4</v>
      </c>
      <c r="BL112" s="269">
        <f t="shared" si="126"/>
        <v>5</v>
      </c>
      <c r="BM112" s="256">
        <f>IF($BC112=Lookup!$A$2,$BD112*ROUNDUP(BE112/10,0)+1,
IF($BC112=Lookup!$A$3,($BD112+1)^BD112,
IF($BC112=Lookup!$A$4,BE112*$BD112+1,"Error")))</f>
        <v>1</v>
      </c>
      <c r="BN112" s="229">
        <f>IF($BC112=Lookup!$A$2,$BD112*ROUNDUP(BF112/10,0)+1,
IF($BC112=Lookup!$A$3,($BD112+1)^BE112,
IF($BC112=Lookup!$A$4,BF112*$BD112+1,"Error")))</f>
        <v>1</v>
      </c>
      <c r="BO112" s="229">
        <f>IF($BC112=Lookup!$A$2,$BD112*ROUNDUP(BG112/10,0)+1,
IF($BC112=Lookup!$A$3,($BD112+1)^BF112,
IF($BC112=Lookup!$A$4,BG112*$BD112+1,"Error")))</f>
        <v>1</v>
      </c>
      <c r="BP112" s="229">
        <f>IF($BC112=Lookup!$A$2,$BD112*ROUNDUP(BH112/10,0)+1,
IF($BC112=Lookup!$A$3,($BD112+1)^BG112,
IF($BC112=Lookup!$A$4,BH112*$BD112+1,"Error")))</f>
        <v>1</v>
      </c>
      <c r="BQ112" s="229">
        <f>IF($BC112=Lookup!$A$2,$BD112*ROUNDUP(BI112/10,0)+1,
IF($BC112=Lookup!$A$3,($BD112+1)^BH112,
IF($BC112=Lookup!$A$4,BI112*$BD112+1,"Error")))</f>
        <v>1</v>
      </c>
      <c r="BR112" s="229">
        <f>IF($BC112=Lookup!$A$2,$BD112*ROUNDUP(BJ112/10,0)+1,
IF($BC112=Lookup!$A$3,($BD112+1)^BI112,
IF($BC112=Lookup!$A$4,BJ112*$BD112+1,"Error")))</f>
        <v>1</v>
      </c>
      <c r="BS112" s="229">
        <f>IF($BC112=Lookup!$A$2,$BD112*ROUNDUP(BK112/10,0)+1,
IF($BC112=Lookup!$A$3,($BD112+1)^BJ112,
IF($BC112=Lookup!$A$4,BK112*$BD112+1,"Error")))</f>
        <v>1</v>
      </c>
      <c r="BT112" s="249">
        <f>IF($BC112=Lookup!$A$2,$BD112*ROUNDUP(BL112/10,0)+1,
IF($BC112=Lookup!$A$3,($BD112+1)^BK112,
IF($BC112=Lookup!$A$4,BL112*$BD112+1,"Error")))</f>
        <v>1</v>
      </c>
      <c r="BU112" s="320">
        <v>0</v>
      </c>
      <c r="BV112" s="321">
        <v>0</v>
      </c>
      <c r="BW112" s="321">
        <v>0</v>
      </c>
      <c r="BX112" s="321">
        <v>0</v>
      </c>
      <c r="BY112" s="321">
        <v>0</v>
      </c>
      <c r="BZ112" s="321">
        <v>0</v>
      </c>
      <c r="CA112" s="321">
        <v>0</v>
      </c>
      <c r="CB112" s="277">
        <v>0</v>
      </c>
      <c r="CC112" s="382" t="s">
        <v>293</v>
      </c>
      <c r="CD112" s="383">
        <f>HLOOKUP($CC112,$AK$6:$AM$132,ROWS(CD$6:CD112),0)</f>
        <v>53.666666666666664</v>
      </c>
      <c r="CE112" s="234">
        <f t="shared" si="103"/>
        <v>0</v>
      </c>
      <c r="CF112" s="96">
        <f t="shared" si="103"/>
        <v>0</v>
      </c>
      <c r="CG112" s="96">
        <f t="shared" si="103"/>
        <v>0</v>
      </c>
      <c r="CH112" s="96">
        <f t="shared" si="103"/>
        <v>0</v>
      </c>
      <c r="CI112" s="96">
        <f t="shared" si="103"/>
        <v>0</v>
      </c>
      <c r="CJ112" s="96">
        <f t="shared" si="103"/>
        <v>0</v>
      </c>
      <c r="CK112" s="96">
        <f t="shared" si="103"/>
        <v>0</v>
      </c>
      <c r="CL112" s="286">
        <f t="shared" si="128"/>
        <v>0</v>
      </c>
      <c r="CM112" s="305" t="s">
        <v>293</v>
      </c>
      <c r="CN112" s="315">
        <v>0.05</v>
      </c>
      <c r="CO112" s="306"/>
      <c r="CP112" s="307">
        <f>IF($CO112&lt;&gt;"",$CO112,HLOOKUP($CM112,$AY$6:$BA$132,ROWS(CP$6:CP112),0))</f>
        <v>2576.1597825819863</v>
      </c>
      <c r="CQ112" s="784">
        <f t="shared" si="127"/>
        <v>0</v>
      </c>
      <c r="CR112" s="784">
        <f t="shared" si="127"/>
        <v>0</v>
      </c>
      <c r="CS112" s="97">
        <f t="shared" si="127"/>
        <v>0</v>
      </c>
      <c r="CT112" s="97">
        <f t="shared" si="127"/>
        <v>0</v>
      </c>
      <c r="CU112" s="97">
        <f t="shared" si="127"/>
        <v>0</v>
      </c>
      <c r="CV112" s="97">
        <f t="shared" si="127"/>
        <v>0</v>
      </c>
      <c r="CW112" s="97">
        <f t="shared" si="127"/>
        <v>0</v>
      </c>
      <c r="CX112" s="98">
        <f t="shared" si="127"/>
        <v>0</v>
      </c>
      <c r="CY112" s="392"/>
    </row>
    <row r="113" spans="1:103" x14ac:dyDescent="0.25">
      <c r="A113" s="81" t="s">
        <v>224</v>
      </c>
      <c r="B113" s="82" t="s">
        <v>229</v>
      </c>
      <c r="C113" s="83" t="s">
        <v>230</v>
      </c>
      <c r="D113" s="84"/>
      <c r="E113" s="85"/>
      <c r="F113" s="85"/>
      <c r="G113" s="85"/>
      <c r="H113" s="85"/>
      <c r="I113" s="85">
        <v>568.10369450500002</v>
      </c>
      <c r="J113" s="85">
        <v>30393.658871625001</v>
      </c>
      <c r="K113" s="85">
        <v>18075.271334550998</v>
      </c>
      <c r="L113" s="85">
        <v>139520.01691599295</v>
      </c>
      <c r="M113" s="654">
        <f>'2022-23 Input'!D113</f>
        <v>106325.80291642499</v>
      </c>
      <c r="N113" s="1065">
        <v>0</v>
      </c>
      <c r="O113" s="560">
        <f t="shared" si="101"/>
        <v>0</v>
      </c>
      <c r="P113" s="561">
        <f t="shared" si="75"/>
        <v>0</v>
      </c>
      <c r="Q113" s="561">
        <f t="shared" si="76"/>
        <v>0</v>
      </c>
      <c r="R113" s="561">
        <f t="shared" si="77"/>
        <v>0</v>
      </c>
      <c r="S113" s="561">
        <f t="shared" si="78"/>
        <v>0</v>
      </c>
      <c r="T113" s="561">
        <f t="shared" si="79"/>
        <v>705.10093151114972</v>
      </c>
      <c r="U113" s="561">
        <f t="shared" si="80"/>
        <v>37854.936604722439</v>
      </c>
      <c r="V113" s="561">
        <f t="shared" si="81"/>
        <v>21678.735549422061</v>
      </c>
      <c r="W113" s="675">
        <f t="shared" si="82"/>
        <v>157647.4667977333</v>
      </c>
      <c r="X113" s="675">
        <f t="shared" si="83"/>
        <v>113073.3368369869</v>
      </c>
      <c r="Y113" s="675">
        <f t="shared" si="83"/>
        <v>0</v>
      </c>
      <c r="Z113" s="86"/>
      <c r="AA113" s="87"/>
      <c r="AB113" s="87"/>
      <c r="AC113" s="87"/>
      <c r="AD113" s="87"/>
      <c r="AE113" s="87">
        <v>18</v>
      </c>
      <c r="AF113" s="87">
        <v>23</v>
      </c>
      <c r="AG113" s="87">
        <v>61</v>
      </c>
      <c r="AH113" s="87">
        <v>211</v>
      </c>
      <c r="AI113" s="1094">
        <f>'2022-23 Input'!K113</f>
        <v>149</v>
      </c>
      <c r="AJ113" s="665">
        <v>114</v>
      </c>
      <c r="AK113" s="88">
        <f t="shared" si="111"/>
        <v>92.4</v>
      </c>
      <c r="AL113" s="89">
        <f t="shared" si="112"/>
        <v>140.33333333333334</v>
      </c>
      <c r="AM113" s="90">
        <f t="shared" si="113"/>
        <v>149</v>
      </c>
      <c r="AN113" s="91" t="str">
        <f t="shared" si="114"/>
        <v/>
      </c>
      <c r="AO113" s="92" t="str">
        <f t="shared" si="115"/>
        <v/>
      </c>
      <c r="AP113" s="92" t="str">
        <f t="shared" si="116"/>
        <v/>
      </c>
      <c r="AQ113" s="92" t="str">
        <f t="shared" si="117"/>
        <v/>
      </c>
      <c r="AR113" s="92" t="str">
        <f t="shared" si="118"/>
        <v/>
      </c>
      <c r="AS113" s="92">
        <f t="shared" si="119"/>
        <v>31.56131636138889</v>
      </c>
      <c r="AT113" s="92">
        <f t="shared" si="120"/>
        <v>1321.4634292010869</v>
      </c>
      <c r="AU113" s="92">
        <f t="shared" si="121"/>
        <v>296.31592351722946</v>
      </c>
      <c r="AV113" s="92">
        <f t="shared" si="122"/>
        <v>661.23230765873438</v>
      </c>
      <c r="AW113" s="92">
        <f t="shared" si="122"/>
        <v>713.59599272768446</v>
      </c>
      <c r="AX113" s="92">
        <f t="shared" si="122"/>
        <v>0</v>
      </c>
      <c r="AY113" s="93">
        <f t="shared" si="123"/>
        <v>638.27457517986784</v>
      </c>
      <c r="AZ113" s="94">
        <f t="shared" si="124"/>
        <v>626.89095289066256</v>
      </c>
      <c r="BA113" s="95">
        <f t="shared" si="125"/>
        <v>713.59599272768446</v>
      </c>
      <c r="BB113" s="248" t="s">
        <v>422</v>
      </c>
      <c r="BC113" s="229" t="s">
        <v>433</v>
      </c>
      <c r="BD113" s="249">
        <v>0</v>
      </c>
      <c r="BE113" s="267">
        <f t="shared" si="102"/>
        <v>0</v>
      </c>
      <c r="BF113" s="268">
        <f t="shared" si="126"/>
        <v>0</v>
      </c>
      <c r="BG113" s="268">
        <f t="shared" si="126"/>
        <v>0</v>
      </c>
      <c r="BH113" s="268">
        <f t="shared" si="126"/>
        <v>1</v>
      </c>
      <c r="BI113" s="268">
        <f t="shared" si="126"/>
        <v>2</v>
      </c>
      <c r="BJ113" s="268">
        <f t="shared" si="126"/>
        <v>3</v>
      </c>
      <c r="BK113" s="268">
        <f t="shared" si="126"/>
        <v>4</v>
      </c>
      <c r="BL113" s="269">
        <f t="shared" si="126"/>
        <v>5</v>
      </c>
      <c r="BM113" s="256">
        <f>IF($BC113=Lookup!$A$2,$BD113*ROUNDUP(BE113/10,0)+1,
IF($BC113=Lookup!$A$3,($BD113+1)^BD113,
IF($BC113=Lookup!$A$4,BE113*$BD113+1,"Error")))</f>
        <v>1</v>
      </c>
      <c r="BN113" s="229">
        <f>IF($BC113=Lookup!$A$2,$BD113*ROUNDUP(BF113/10,0)+1,
IF($BC113=Lookup!$A$3,($BD113+1)^BE113,
IF($BC113=Lookup!$A$4,BF113*$BD113+1,"Error")))</f>
        <v>1</v>
      </c>
      <c r="BO113" s="229">
        <f>IF($BC113=Lookup!$A$2,$BD113*ROUNDUP(BG113/10,0)+1,
IF($BC113=Lookup!$A$3,($BD113+1)^BF113,
IF($BC113=Lookup!$A$4,BG113*$BD113+1,"Error")))</f>
        <v>1</v>
      </c>
      <c r="BP113" s="229">
        <f>IF($BC113=Lookup!$A$2,$BD113*ROUNDUP(BH113/10,0)+1,
IF($BC113=Lookup!$A$3,($BD113+1)^BG113,
IF($BC113=Lookup!$A$4,BH113*$BD113+1,"Error")))</f>
        <v>1</v>
      </c>
      <c r="BQ113" s="229">
        <f>IF($BC113=Lookup!$A$2,$BD113*ROUNDUP(BI113/10,0)+1,
IF($BC113=Lookup!$A$3,($BD113+1)^BH113,
IF($BC113=Lookup!$A$4,BI113*$BD113+1,"Error")))</f>
        <v>1</v>
      </c>
      <c r="BR113" s="229">
        <f>IF($BC113=Lookup!$A$2,$BD113*ROUNDUP(BJ113/10,0)+1,
IF($BC113=Lookup!$A$3,($BD113+1)^BI113,
IF($BC113=Lookup!$A$4,BJ113*$BD113+1,"Error")))</f>
        <v>1</v>
      </c>
      <c r="BS113" s="229">
        <f>IF($BC113=Lookup!$A$2,$BD113*ROUNDUP(BK113/10,0)+1,
IF($BC113=Lookup!$A$3,($BD113+1)^BJ113,
IF($BC113=Lookup!$A$4,BK113*$BD113+1,"Error")))</f>
        <v>1</v>
      </c>
      <c r="BT113" s="249">
        <f>IF($BC113=Lookup!$A$2,$BD113*ROUNDUP(BL113/10,0)+1,
IF($BC113=Lookup!$A$3,($BD113+1)^BK113,
IF($BC113=Lookup!$A$4,BL113*$BD113+1,"Error")))</f>
        <v>1</v>
      </c>
      <c r="BU113" s="320">
        <v>0</v>
      </c>
      <c r="BV113" s="321">
        <v>0</v>
      </c>
      <c r="BW113" s="321">
        <v>0</v>
      </c>
      <c r="BX113" s="321">
        <v>0</v>
      </c>
      <c r="BY113" s="321">
        <v>0</v>
      </c>
      <c r="BZ113" s="321">
        <v>0</v>
      </c>
      <c r="CA113" s="321">
        <v>0</v>
      </c>
      <c r="CB113" s="277">
        <v>0</v>
      </c>
      <c r="CC113" s="382" t="s">
        <v>293</v>
      </c>
      <c r="CD113" s="383">
        <f>HLOOKUP($CC113,$AK$6:$AM$132,ROWS(CD$6:CD113),0)</f>
        <v>140.33333333333334</v>
      </c>
      <c r="CE113" s="234">
        <f t="shared" si="103"/>
        <v>0</v>
      </c>
      <c r="CF113" s="96">
        <f t="shared" si="103"/>
        <v>0</v>
      </c>
      <c r="CG113" s="96">
        <f t="shared" si="103"/>
        <v>0</v>
      </c>
      <c r="CH113" s="96">
        <f t="shared" si="103"/>
        <v>0</v>
      </c>
      <c r="CI113" s="96">
        <f t="shared" si="103"/>
        <v>0</v>
      </c>
      <c r="CJ113" s="96">
        <f t="shared" si="103"/>
        <v>0</v>
      </c>
      <c r="CK113" s="96">
        <f t="shared" si="103"/>
        <v>0</v>
      </c>
      <c r="CL113" s="286">
        <f t="shared" si="128"/>
        <v>0</v>
      </c>
      <c r="CM113" s="305" t="s">
        <v>293</v>
      </c>
      <c r="CN113" s="315">
        <v>0.05</v>
      </c>
      <c r="CO113" s="306"/>
      <c r="CP113" s="307">
        <f>IF($CO113&lt;&gt;"",$CO113,HLOOKUP($CM113,$AY$6:$BA$132,ROWS(CP$6:CP113),0))</f>
        <v>626.89095289066256</v>
      </c>
      <c r="CQ113" s="784">
        <f t="shared" si="127"/>
        <v>0</v>
      </c>
      <c r="CR113" s="784">
        <f t="shared" si="127"/>
        <v>0</v>
      </c>
      <c r="CS113" s="97">
        <f t="shared" si="127"/>
        <v>0</v>
      </c>
      <c r="CT113" s="97">
        <f t="shared" si="127"/>
        <v>0</v>
      </c>
      <c r="CU113" s="97">
        <f t="shared" si="127"/>
        <v>0</v>
      </c>
      <c r="CV113" s="97">
        <f t="shared" si="127"/>
        <v>0</v>
      </c>
      <c r="CW113" s="97">
        <f t="shared" si="127"/>
        <v>0</v>
      </c>
      <c r="CX113" s="98">
        <f t="shared" si="127"/>
        <v>0</v>
      </c>
      <c r="CY113" s="392"/>
    </row>
    <row r="114" spans="1:103" x14ac:dyDescent="0.25">
      <c r="A114" s="81" t="s">
        <v>224</v>
      </c>
      <c r="B114" s="82" t="s">
        <v>231</v>
      </c>
      <c r="C114" s="83" t="s">
        <v>232</v>
      </c>
      <c r="D114" s="84"/>
      <c r="E114" s="85"/>
      <c r="F114" s="85"/>
      <c r="G114" s="85"/>
      <c r="H114" s="85"/>
      <c r="I114" s="85">
        <v>-188.45</v>
      </c>
      <c r="J114" s="85">
        <v>749.05640735400004</v>
      </c>
      <c r="K114" s="85">
        <v>408.08410614600001</v>
      </c>
      <c r="L114" s="85">
        <v>5958.2184257399995</v>
      </c>
      <c r="M114" s="654">
        <f>'2022-23 Input'!D114</f>
        <v>786.80390434499998</v>
      </c>
      <c r="N114" s="1065">
        <v>0</v>
      </c>
      <c r="O114" s="560">
        <f t="shared" si="101"/>
        <v>0</v>
      </c>
      <c r="P114" s="561">
        <f t="shared" si="75"/>
        <v>0</v>
      </c>
      <c r="Q114" s="561">
        <f t="shared" si="76"/>
        <v>0</v>
      </c>
      <c r="R114" s="561">
        <f t="shared" si="77"/>
        <v>0</v>
      </c>
      <c r="S114" s="561">
        <f t="shared" si="78"/>
        <v>0</v>
      </c>
      <c r="T114" s="561">
        <f t="shared" si="79"/>
        <v>-233.89439609093529</v>
      </c>
      <c r="U114" s="561">
        <f t="shared" si="80"/>
        <v>932.94074706546814</v>
      </c>
      <c r="V114" s="561">
        <f t="shared" si="81"/>
        <v>489.43925960053502</v>
      </c>
      <c r="W114" s="675">
        <f t="shared" si="82"/>
        <v>6732.3532652024724</v>
      </c>
      <c r="X114" s="675">
        <f t="shared" si="83"/>
        <v>836.73520876760983</v>
      </c>
      <c r="Y114" s="675">
        <f t="shared" si="83"/>
        <v>0</v>
      </c>
      <c r="Z114" s="86"/>
      <c r="AA114" s="87"/>
      <c r="AB114" s="87"/>
      <c r="AC114" s="87"/>
      <c r="AD114" s="87"/>
      <c r="AE114" s="87">
        <v>2</v>
      </c>
      <c r="AF114" s="87">
        <v>11</v>
      </c>
      <c r="AG114" s="87">
        <v>12</v>
      </c>
      <c r="AH114" s="87">
        <v>41</v>
      </c>
      <c r="AI114" s="1094">
        <f>'2022-23 Input'!K114</f>
        <v>41</v>
      </c>
      <c r="AJ114" s="665">
        <v>5</v>
      </c>
      <c r="AK114" s="88">
        <f t="shared" si="111"/>
        <v>21.4</v>
      </c>
      <c r="AL114" s="89">
        <f t="shared" si="112"/>
        <v>31.333333333333332</v>
      </c>
      <c r="AM114" s="90">
        <f t="shared" si="113"/>
        <v>41</v>
      </c>
      <c r="AN114" s="91" t="str">
        <f t="shared" si="114"/>
        <v/>
      </c>
      <c r="AO114" s="92" t="str">
        <f t="shared" si="115"/>
        <v/>
      </c>
      <c r="AP114" s="92" t="str">
        <f t="shared" si="116"/>
        <v/>
      </c>
      <c r="AQ114" s="92" t="str">
        <f t="shared" si="117"/>
        <v/>
      </c>
      <c r="AR114" s="92" t="str">
        <f t="shared" si="118"/>
        <v/>
      </c>
      <c r="AS114" s="92">
        <f t="shared" si="119"/>
        <v>-94.224999999999994</v>
      </c>
      <c r="AT114" s="92">
        <f t="shared" si="120"/>
        <v>68.096037032181826</v>
      </c>
      <c r="AU114" s="92">
        <f t="shared" si="121"/>
        <v>34.007008845500003</v>
      </c>
      <c r="AV114" s="92">
        <f t="shared" si="122"/>
        <v>145.32240062780485</v>
      </c>
      <c r="AW114" s="92">
        <f t="shared" si="122"/>
        <v>19.190339130365853</v>
      </c>
      <c r="AX114" s="92">
        <f t="shared" si="122"/>
        <v>0</v>
      </c>
      <c r="AY114" s="93">
        <f t="shared" si="123"/>
        <v>72.09077423911215</v>
      </c>
      <c r="AZ114" s="94">
        <f t="shared" si="124"/>
        <v>76.096876981180841</v>
      </c>
      <c r="BA114" s="95">
        <f t="shared" si="125"/>
        <v>19.190339130365853</v>
      </c>
      <c r="BB114" s="248" t="s">
        <v>422</v>
      </c>
      <c r="BC114" s="229" t="s">
        <v>433</v>
      </c>
      <c r="BD114" s="249">
        <v>0</v>
      </c>
      <c r="BE114" s="267">
        <f t="shared" si="102"/>
        <v>0</v>
      </c>
      <c r="BF114" s="268">
        <f t="shared" si="126"/>
        <v>0</v>
      </c>
      <c r="BG114" s="268">
        <f t="shared" si="126"/>
        <v>0</v>
      </c>
      <c r="BH114" s="268">
        <f t="shared" si="126"/>
        <v>1</v>
      </c>
      <c r="BI114" s="268">
        <f t="shared" si="126"/>
        <v>2</v>
      </c>
      <c r="BJ114" s="268">
        <f t="shared" si="126"/>
        <v>3</v>
      </c>
      <c r="BK114" s="268">
        <f t="shared" si="126"/>
        <v>4</v>
      </c>
      <c r="BL114" s="269">
        <f t="shared" si="126"/>
        <v>5</v>
      </c>
      <c r="BM114" s="256">
        <f>IF($BC114=Lookup!$A$2,$BD114*ROUNDUP(BE114/10,0)+1,
IF($BC114=Lookup!$A$3,($BD114+1)^BD114,
IF($BC114=Lookup!$A$4,BE114*$BD114+1,"Error")))</f>
        <v>1</v>
      </c>
      <c r="BN114" s="229">
        <f>IF($BC114=Lookup!$A$2,$BD114*ROUNDUP(BF114/10,0)+1,
IF($BC114=Lookup!$A$3,($BD114+1)^BE114,
IF($BC114=Lookup!$A$4,BF114*$BD114+1,"Error")))</f>
        <v>1</v>
      </c>
      <c r="BO114" s="229">
        <f>IF($BC114=Lookup!$A$2,$BD114*ROUNDUP(BG114/10,0)+1,
IF($BC114=Lookup!$A$3,($BD114+1)^BF114,
IF($BC114=Lookup!$A$4,BG114*$BD114+1,"Error")))</f>
        <v>1</v>
      </c>
      <c r="BP114" s="229">
        <f>IF($BC114=Lookup!$A$2,$BD114*ROUNDUP(BH114/10,0)+1,
IF($BC114=Lookup!$A$3,($BD114+1)^BG114,
IF($BC114=Lookup!$A$4,BH114*$BD114+1,"Error")))</f>
        <v>1</v>
      </c>
      <c r="BQ114" s="229">
        <f>IF($BC114=Lookup!$A$2,$BD114*ROUNDUP(BI114/10,0)+1,
IF($BC114=Lookup!$A$3,($BD114+1)^BH114,
IF($BC114=Lookup!$A$4,BI114*$BD114+1,"Error")))</f>
        <v>1</v>
      </c>
      <c r="BR114" s="229">
        <f>IF($BC114=Lookup!$A$2,$BD114*ROUNDUP(BJ114/10,0)+1,
IF($BC114=Lookup!$A$3,($BD114+1)^BI114,
IF($BC114=Lookup!$A$4,BJ114*$BD114+1,"Error")))</f>
        <v>1</v>
      </c>
      <c r="BS114" s="229">
        <f>IF($BC114=Lookup!$A$2,$BD114*ROUNDUP(BK114/10,0)+1,
IF($BC114=Lookup!$A$3,($BD114+1)^BJ114,
IF($BC114=Lookup!$A$4,BK114*$BD114+1,"Error")))</f>
        <v>1</v>
      </c>
      <c r="BT114" s="249">
        <f>IF($BC114=Lookup!$A$2,$BD114*ROUNDUP(BL114/10,0)+1,
IF($BC114=Lookup!$A$3,($BD114+1)^BK114,
IF($BC114=Lookup!$A$4,BL114*$BD114+1,"Error")))</f>
        <v>1</v>
      </c>
      <c r="BU114" s="320">
        <v>0</v>
      </c>
      <c r="BV114" s="321">
        <v>0</v>
      </c>
      <c r="BW114" s="321">
        <v>0</v>
      </c>
      <c r="BX114" s="321">
        <v>0</v>
      </c>
      <c r="BY114" s="321">
        <v>0</v>
      </c>
      <c r="BZ114" s="321">
        <v>0</v>
      </c>
      <c r="CA114" s="321">
        <v>0</v>
      </c>
      <c r="CB114" s="277">
        <v>0</v>
      </c>
      <c r="CC114" s="382" t="s">
        <v>293</v>
      </c>
      <c r="CD114" s="383">
        <f>HLOOKUP($CC114,$AK$6:$AM$132,ROWS(CD$6:CD114),0)</f>
        <v>31.333333333333332</v>
      </c>
      <c r="CE114" s="234">
        <f t="shared" si="103"/>
        <v>0</v>
      </c>
      <c r="CF114" s="96">
        <f t="shared" si="103"/>
        <v>0</v>
      </c>
      <c r="CG114" s="96">
        <f t="shared" si="103"/>
        <v>0</v>
      </c>
      <c r="CH114" s="96">
        <f t="shared" si="103"/>
        <v>0</v>
      </c>
      <c r="CI114" s="96">
        <f t="shared" si="103"/>
        <v>0</v>
      </c>
      <c r="CJ114" s="96">
        <f t="shared" si="103"/>
        <v>0</v>
      </c>
      <c r="CK114" s="96">
        <f t="shared" si="103"/>
        <v>0</v>
      </c>
      <c r="CL114" s="286">
        <f t="shared" si="128"/>
        <v>0</v>
      </c>
      <c r="CM114" s="305" t="s">
        <v>293</v>
      </c>
      <c r="CN114" s="315">
        <v>0.05</v>
      </c>
      <c r="CO114" s="306"/>
      <c r="CP114" s="307">
        <f>IF($CO114&lt;&gt;"",$CO114,HLOOKUP($CM114,$AY$6:$BA$132,ROWS(CP$6:CP114),0))</f>
        <v>76.096876981180841</v>
      </c>
      <c r="CQ114" s="784">
        <f t="shared" si="127"/>
        <v>0</v>
      </c>
      <c r="CR114" s="784">
        <f t="shared" si="127"/>
        <v>0</v>
      </c>
      <c r="CS114" s="97">
        <f t="shared" si="127"/>
        <v>0</v>
      </c>
      <c r="CT114" s="97">
        <f t="shared" si="127"/>
        <v>0</v>
      </c>
      <c r="CU114" s="97">
        <f t="shared" si="127"/>
        <v>0</v>
      </c>
      <c r="CV114" s="97">
        <f t="shared" si="127"/>
        <v>0</v>
      </c>
      <c r="CW114" s="97">
        <f t="shared" si="127"/>
        <v>0</v>
      </c>
      <c r="CX114" s="98">
        <f t="shared" si="127"/>
        <v>0</v>
      </c>
      <c r="CY114" s="392"/>
    </row>
    <row r="115" spans="1:103" x14ac:dyDescent="0.25">
      <c r="A115" s="81" t="s">
        <v>224</v>
      </c>
      <c r="B115" s="82" t="s">
        <v>233</v>
      </c>
      <c r="C115" s="83" t="s">
        <v>234</v>
      </c>
      <c r="D115" s="84"/>
      <c r="E115" s="85"/>
      <c r="F115" s="85"/>
      <c r="G115" s="85"/>
      <c r="H115" s="85"/>
      <c r="I115" s="85">
        <v>495.88646362899999</v>
      </c>
      <c r="J115" s="85">
        <v>7315.0718193390003</v>
      </c>
      <c r="K115" s="85">
        <v>0</v>
      </c>
      <c r="L115" s="85">
        <v>43.402162943</v>
      </c>
      <c r="M115" s="654">
        <f>'2022-23 Input'!D115</f>
        <v>266.73646739900011</v>
      </c>
      <c r="N115" s="1065">
        <v>0</v>
      </c>
      <c r="O115" s="560">
        <f t="shared" si="101"/>
        <v>0</v>
      </c>
      <c r="P115" s="561">
        <f t="shared" si="75"/>
        <v>0</v>
      </c>
      <c r="Q115" s="561">
        <f t="shared" si="76"/>
        <v>0</v>
      </c>
      <c r="R115" s="561">
        <f t="shared" si="77"/>
        <v>0</v>
      </c>
      <c r="S115" s="561">
        <f t="shared" si="78"/>
        <v>0</v>
      </c>
      <c r="T115" s="561">
        <f t="shared" si="79"/>
        <v>615.46863857879805</v>
      </c>
      <c r="U115" s="561">
        <f t="shared" si="80"/>
        <v>9110.8339785503558</v>
      </c>
      <c r="V115" s="561">
        <f t="shared" si="81"/>
        <v>0</v>
      </c>
      <c r="W115" s="675">
        <f t="shared" si="82"/>
        <v>49.041285922622961</v>
      </c>
      <c r="X115" s="675">
        <f t="shared" si="83"/>
        <v>283.6638106426746</v>
      </c>
      <c r="Y115" s="675">
        <f t="shared" si="83"/>
        <v>0</v>
      </c>
      <c r="Z115" s="86"/>
      <c r="AA115" s="87"/>
      <c r="AB115" s="87"/>
      <c r="AC115" s="87"/>
      <c r="AD115" s="87"/>
      <c r="AE115" s="87">
        <v>8</v>
      </c>
      <c r="AF115" s="87">
        <v>83</v>
      </c>
      <c r="AG115" s="87">
        <v>3</v>
      </c>
      <c r="AH115" s="87">
        <v>2</v>
      </c>
      <c r="AI115" s="1094">
        <f>'2022-23 Input'!K115</f>
        <v>8</v>
      </c>
      <c r="AJ115" s="665">
        <v>3</v>
      </c>
      <c r="AK115" s="88">
        <f t="shared" si="111"/>
        <v>20.8</v>
      </c>
      <c r="AL115" s="89">
        <f t="shared" si="112"/>
        <v>4.333333333333333</v>
      </c>
      <c r="AM115" s="90">
        <f t="shared" si="113"/>
        <v>8</v>
      </c>
      <c r="AN115" s="91" t="str">
        <f t="shared" si="114"/>
        <v/>
      </c>
      <c r="AO115" s="92" t="str">
        <f t="shared" si="115"/>
        <v/>
      </c>
      <c r="AP115" s="92" t="str">
        <f t="shared" si="116"/>
        <v/>
      </c>
      <c r="AQ115" s="92" t="str">
        <f t="shared" si="117"/>
        <v/>
      </c>
      <c r="AR115" s="92" t="str">
        <f t="shared" si="118"/>
        <v/>
      </c>
      <c r="AS115" s="92">
        <f t="shared" si="119"/>
        <v>61.985807953624999</v>
      </c>
      <c r="AT115" s="92">
        <f t="shared" si="120"/>
        <v>88.133395413722894</v>
      </c>
      <c r="AU115" s="92">
        <f t="shared" si="121"/>
        <v>0</v>
      </c>
      <c r="AV115" s="92">
        <f t="shared" si="122"/>
        <v>21.7010814715</v>
      </c>
      <c r="AW115" s="92">
        <f t="shared" si="122"/>
        <v>33.342058424875013</v>
      </c>
      <c r="AX115" s="92">
        <f t="shared" si="122"/>
        <v>0</v>
      </c>
      <c r="AY115" s="93">
        <f t="shared" si="123"/>
        <v>78.087470320288475</v>
      </c>
      <c r="AZ115" s="94">
        <f t="shared" si="124"/>
        <v>23.856817718615392</v>
      </c>
      <c r="BA115" s="95">
        <f t="shared" si="125"/>
        <v>33.342058424875013</v>
      </c>
      <c r="BB115" s="248" t="s">
        <v>422</v>
      </c>
      <c r="BC115" s="229" t="s">
        <v>433</v>
      </c>
      <c r="BD115" s="249">
        <v>0</v>
      </c>
      <c r="BE115" s="267">
        <f t="shared" si="102"/>
        <v>0</v>
      </c>
      <c r="BF115" s="268">
        <f t="shared" si="126"/>
        <v>0</v>
      </c>
      <c r="BG115" s="268">
        <f t="shared" si="126"/>
        <v>0</v>
      </c>
      <c r="BH115" s="268">
        <f t="shared" si="126"/>
        <v>1</v>
      </c>
      <c r="BI115" s="268">
        <f t="shared" si="126"/>
        <v>2</v>
      </c>
      <c r="BJ115" s="268">
        <f t="shared" si="126"/>
        <v>3</v>
      </c>
      <c r="BK115" s="268">
        <f t="shared" si="126"/>
        <v>4</v>
      </c>
      <c r="BL115" s="269">
        <f t="shared" si="126"/>
        <v>5</v>
      </c>
      <c r="BM115" s="256">
        <f>IF($BC115=Lookup!$A$2,$BD115*ROUNDUP(BE115/10,0)+1,
IF($BC115=Lookup!$A$3,($BD115+1)^BD115,
IF($BC115=Lookup!$A$4,BE115*$BD115+1,"Error")))</f>
        <v>1</v>
      </c>
      <c r="BN115" s="229">
        <f>IF($BC115=Lookup!$A$2,$BD115*ROUNDUP(BF115/10,0)+1,
IF($BC115=Lookup!$A$3,($BD115+1)^BE115,
IF($BC115=Lookup!$A$4,BF115*$BD115+1,"Error")))</f>
        <v>1</v>
      </c>
      <c r="BO115" s="229">
        <f>IF($BC115=Lookup!$A$2,$BD115*ROUNDUP(BG115/10,0)+1,
IF($BC115=Lookup!$A$3,($BD115+1)^BF115,
IF($BC115=Lookup!$A$4,BG115*$BD115+1,"Error")))</f>
        <v>1</v>
      </c>
      <c r="BP115" s="229">
        <f>IF($BC115=Lookup!$A$2,$BD115*ROUNDUP(BH115/10,0)+1,
IF($BC115=Lookup!$A$3,($BD115+1)^BG115,
IF($BC115=Lookup!$A$4,BH115*$BD115+1,"Error")))</f>
        <v>1</v>
      </c>
      <c r="BQ115" s="229">
        <f>IF($BC115=Lookup!$A$2,$BD115*ROUNDUP(BI115/10,0)+1,
IF($BC115=Lookup!$A$3,($BD115+1)^BH115,
IF($BC115=Lookup!$A$4,BI115*$BD115+1,"Error")))</f>
        <v>1</v>
      </c>
      <c r="BR115" s="229">
        <f>IF($BC115=Lookup!$A$2,$BD115*ROUNDUP(BJ115/10,0)+1,
IF($BC115=Lookup!$A$3,($BD115+1)^BI115,
IF($BC115=Lookup!$A$4,BJ115*$BD115+1,"Error")))</f>
        <v>1</v>
      </c>
      <c r="BS115" s="229">
        <f>IF($BC115=Lookup!$A$2,$BD115*ROUNDUP(BK115/10,0)+1,
IF($BC115=Lookup!$A$3,($BD115+1)^BJ115,
IF($BC115=Lookup!$A$4,BK115*$BD115+1,"Error")))</f>
        <v>1</v>
      </c>
      <c r="BT115" s="249">
        <f>IF($BC115=Lookup!$A$2,$BD115*ROUNDUP(BL115/10,0)+1,
IF($BC115=Lookup!$A$3,($BD115+1)^BK115,
IF($BC115=Lookup!$A$4,BL115*$BD115+1,"Error")))</f>
        <v>1</v>
      </c>
      <c r="BU115" s="320">
        <v>0</v>
      </c>
      <c r="BV115" s="321">
        <v>0</v>
      </c>
      <c r="BW115" s="321">
        <v>0</v>
      </c>
      <c r="BX115" s="321">
        <v>0</v>
      </c>
      <c r="BY115" s="321">
        <v>0</v>
      </c>
      <c r="BZ115" s="321">
        <v>0</v>
      </c>
      <c r="CA115" s="321">
        <v>0</v>
      </c>
      <c r="CB115" s="277">
        <v>0</v>
      </c>
      <c r="CC115" s="382" t="s">
        <v>293</v>
      </c>
      <c r="CD115" s="383">
        <f>HLOOKUP($CC115,$AK$6:$AM$132,ROWS(CD$6:CD115),0)</f>
        <v>4.333333333333333</v>
      </c>
      <c r="CE115" s="234">
        <f t="shared" si="103"/>
        <v>0</v>
      </c>
      <c r="CF115" s="96">
        <f t="shared" si="103"/>
        <v>0</v>
      </c>
      <c r="CG115" s="96">
        <f t="shared" si="103"/>
        <v>0</v>
      </c>
      <c r="CH115" s="96">
        <f t="shared" si="103"/>
        <v>0</v>
      </c>
      <c r="CI115" s="96">
        <f t="shared" si="103"/>
        <v>0</v>
      </c>
      <c r="CJ115" s="96">
        <f t="shared" si="103"/>
        <v>0</v>
      </c>
      <c r="CK115" s="96">
        <f t="shared" si="103"/>
        <v>0</v>
      </c>
      <c r="CL115" s="286">
        <f t="shared" si="128"/>
        <v>0</v>
      </c>
      <c r="CM115" s="305" t="s">
        <v>293</v>
      </c>
      <c r="CN115" s="315">
        <v>0.05</v>
      </c>
      <c r="CO115" s="306"/>
      <c r="CP115" s="307">
        <f>IF($CO115&lt;&gt;"",$CO115,HLOOKUP($CM115,$AY$6:$BA$132,ROWS(CP$6:CP115),0))</f>
        <v>23.856817718615392</v>
      </c>
      <c r="CQ115" s="784">
        <f t="shared" si="127"/>
        <v>0</v>
      </c>
      <c r="CR115" s="784">
        <f t="shared" si="127"/>
        <v>0</v>
      </c>
      <c r="CS115" s="97">
        <f t="shared" si="127"/>
        <v>0</v>
      </c>
      <c r="CT115" s="97">
        <f t="shared" si="127"/>
        <v>0</v>
      </c>
      <c r="CU115" s="97">
        <f t="shared" si="127"/>
        <v>0</v>
      </c>
      <c r="CV115" s="97">
        <f t="shared" si="127"/>
        <v>0</v>
      </c>
      <c r="CW115" s="97">
        <f t="shared" si="127"/>
        <v>0</v>
      </c>
      <c r="CX115" s="98">
        <f t="shared" si="127"/>
        <v>0</v>
      </c>
      <c r="CY115" s="392"/>
    </row>
    <row r="116" spans="1:103" x14ac:dyDescent="0.25">
      <c r="A116" s="81" t="s">
        <v>224</v>
      </c>
      <c r="B116" s="82" t="s">
        <v>235</v>
      </c>
      <c r="C116" s="83" t="s">
        <v>236</v>
      </c>
      <c r="D116" s="84"/>
      <c r="E116" s="85"/>
      <c r="F116" s="85"/>
      <c r="G116" s="85"/>
      <c r="H116" s="85"/>
      <c r="I116" s="85">
        <v>0</v>
      </c>
      <c r="J116" s="85">
        <v>-566.48</v>
      </c>
      <c r="K116" s="85">
        <v>0</v>
      </c>
      <c r="L116" s="85">
        <v>0</v>
      </c>
      <c r="M116" s="654">
        <f>'2022-23 Input'!D116</f>
        <v>0</v>
      </c>
      <c r="N116" s="1065">
        <v>0</v>
      </c>
      <c r="O116" s="560">
        <f t="shared" si="101"/>
        <v>0</v>
      </c>
      <c r="P116" s="561">
        <f t="shared" si="75"/>
        <v>0</v>
      </c>
      <c r="Q116" s="561">
        <f t="shared" si="76"/>
        <v>0</v>
      </c>
      <c r="R116" s="561">
        <f t="shared" si="77"/>
        <v>0</v>
      </c>
      <c r="S116" s="561">
        <f t="shared" si="78"/>
        <v>0</v>
      </c>
      <c r="T116" s="561">
        <f t="shared" si="79"/>
        <v>0</v>
      </c>
      <c r="U116" s="561">
        <f t="shared" si="80"/>
        <v>-705.54402740444596</v>
      </c>
      <c r="V116" s="561">
        <f t="shared" si="81"/>
        <v>0</v>
      </c>
      <c r="W116" s="675">
        <f t="shared" si="82"/>
        <v>0</v>
      </c>
      <c r="X116" s="675">
        <f t="shared" si="83"/>
        <v>0</v>
      </c>
      <c r="Y116" s="675">
        <f t="shared" si="83"/>
        <v>0</v>
      </c>
      <c r="Z116" s="86"/>
      <c r="AA116" s="87"/>
      <c r="AB116" s="87"/>
      <c r="AC116" s="87"/>
      <c r="AD116" s="87"/>
      <c r="AE116" s="87">
        <v>0</v>
      </c>
      <c r="AF116" s="87">
        <v>-1</v>
      </c>
      <c r="AG116" s="87">
        <v>0</v>
      </c>
      <c r="AH116" s="87">
        <v>0</v>
      </c>
      <c r="AI116" s="1094">
        <f>'2022-23 Input'!K116</f>
        <v>0</v>
      </c>
      <c r="AJ116" s="665">
        <v>0</v>
      </c>
      <c r="AK116" s="88">
        <f t="shared" si="111"/>
        <v>-0.2</v>
      </c>
      <c r="AL116" s="89">
        <f t="shared" si="112"/>
        <v>0</v>
      </c>
      <c r="AM116" s="90">
        <f t="shared" si="113"/>
        <v>0</v>
      </c>
      <c r="AN116" s="91" t="str">
        <f t="shared" si="114"/>
        <v/>
      </c>
      <c r="AO116" s="92" t="str">
        <f t="shared" si="115"/>
        <v/>
      </c>
      <c r="AP116" s="92" t="str">
        <f t="shared" si="116"/>
        <v/>
      </c>
      <c r="AQ116" s="92" t="str">
        <f t="shared" si="117"/>
        <v/>
      </c>
      <c r="AR116" s="92" t="str">
        <f t="shared" si="118"/>
        <v/>
      </c>
      <c r="AS116" s="92" t="str">
        <f t="shared" si="119"/>
        <v/>
      </c>
      <c r="AT116" s="92">
        <f t="shared" si="120"/>
        <v>566.48</v>
      </c>
      <c r="AU116" s="92" t="str">
        <f t="shared" si="121"/>
        <v/>
      </c>
      <c r="AV116" s="92" t="str">
        <f t="shared" si="122"/>
        <v/>
      </c>
      <c r="AW116" s="92" t="str">
        <f t="shared" si="122"/>
        <v/>
      </c>
      <c r="AX116" s="92" t="str">
        <f t="shared" si="122"/>
        <v/>
      </c>
      <c r="AY116" s="93">
        <f t="shared" si="123"/>
        <v>566.48</v>
      </c>
      <c r="AZ116" s="94" t="str">
        <f t="shared" si="124"/>
        <v/>
      </c>
      <c r="BA116" s="95" t="str">
        <f t="shared" si="125"/>
        <v/>
      </c>
      <c r="BB116" s="248" t="s">
        <v>422</v>
      </c>
      <c r="BC116" s="229" t="s">
        <v>433</v>
      </c>
      <c r="BD116" s="249">
        <v>0</v>
      </c>
      <c r="BE116" s="267">
        <f t="shared" si="102"/>
        <v>0</v>
      </c>
      <c r="BF116" s="268">
        <f t="shared" si="126"/>
        <v>0</v>
      </c>
      <c r="BG116" s="268">
        <f t="shared" si="126"/>
        <v>0</v>
      </c>
      <c r="BH116" s="268">
        <f t="shared" si="126"/>
        <v>1</v>
      </c>
      <c r="BI116" s="268">
        <f t="shared" si="126"/>
        <v>2</v>
      </c>
      <c r="BJ116" s="268">
        <f t="shared" si="126"/>
        <v>3</v>
      </c>
      <c r="BK116" s="268">
        <f t="shared" si="126"/>
        <v>4</v>
      </c>
      <c r="BL116" s="269">
        <f t="shared" si="126"/>
        <v>5</v>
      </c>
      <c r="BM116" s="256">
        <f>IF($BC116=Lookup!$A$2,$BD116*ROUNDUP(BE116/10,0)+1,
IF($BC116=Lookup!$A$3,($BD116+1)^BD116,
IF($BC116=Lookup!$A$4,BE116*$BD116+1,"Error")))</f>
        <v>1</v>
      </c>
      <c r="BN116" s="229">
        <f>IF($BC116=Lookup!$A$2,$BD116*ROUNDUP(BF116/10,0)+1,
IF($BC116=Lookup!$A$3,($BD116+1)^BE116,
IF($BC116=Lookup!$A$4,BF116*$BD116+1,"Error")))</f>
        <v>1</v>
      </c>
      <c r="BO116" s="229">
        <f>IF($BC116=Lookup!$A$2,$BD116*ROUNDUP(BG116/10,0)+1,
IF($BC116=Lookup!$A$3,($BD116+1)^BF116,
IF($BC116=Lookup!$A$4,BG116*$BD116+1,"Error")))</f>
        <v>1</v>
      </c>
      <c r="BP116" s="229">
        <f>IF($BC116=Lookup!$A$2,$BD116*ROUNDUP(BH116/10,0)+1,
IF($BC116=Lookup!$A$3,($BD116+1)^BG116,
IF($BC116=Lookup!$A$4,BH116*$BD116+1,"Error")))</f>
        <v>1</v>
      </c>
      <c r="BQ116" s="229">
        <f>IF($BC116=Lookup!$A$2,$BD116*ROUNDUP(BI116/10,0)+1,
IF($BC116=Lookup!$A$3,($BD116+1)^BH116,
IF($BC116=Lookup!$A$4,BI116*$BD116+1,"Error")))</f>
        <v>1</v>
      </c>
      <c r="BR116" s="229">
        <f>IF($BC116=Lookup!$A$2,$BD116*ROUNDUP(BJ116/10,0)+1,
IF($BC116=Lookup!$A$3,($BD116+1)^BI116,
IF($BC116=Lookup!$A$4,BJ116*$BD116+1,"Error")))</f>
        <v>1</v>
      </c>
      <c r="BS116" s="229">
        <f>IF($BC116=Lookup!$A$2,$BD116*ROUNDUP(BK116/10,0)+1,
IF($BC116=Lookup!$A$3,($BD116+1)^BJ116,
IF($BC116=Lookup!$A$4,BK116*$BD116+1,"Error")))</f>
        <v>1</v>
      </c>
      <c r="BT116" s="249">
        <f>IF($BC116=Lookup!$A$2,$BD116*ROUNDUP(BL116/10,0)+1,
IF($BC116=Lookup!$A$3,($BD116+1)^BK116,
IF($BC116=Lookup!$A$4,BL116*$BD116+1,"Error")))</f>
        <v>1</v>
      </c>
      <c r="BU116" s="320">
        <v>0</v>
      </c>
      <c r="BV116" s="321">
        <v>0</v>
      </c>
      <c r="BW116" s="321">
        <v>0</v>
      </c>
      <c r="BX116" s="321">
        <v>0</v>
      </c>
      <c r="BY116" s="321">
        <v>0</v>
      </c>
      <c r="BZ116" s="321">
        <v>0</v>
      </c>
      <c r="CA116" s="321">
        <v>0</v>
      </c>
      <c r="CB116" s="277">
        <v>0</v>
      </c>
      <c r="CC116" s="382" t="s">
        <v>293</v>
      </c>
      <c r="CD116" s="383">
        <f>HLOOKUP($CC116,$AK$6:$AM$132,ROWS(CD$6:CD116),0)</f>
        <v>0</v>
      </c>
      <c r="CE116" s="234">
        <f t="shared" si="103"/>
        <v>0</v>
      </c>
      <c r="CF116" s="96">
        <f t="shared" si="103"/>
        <v>0</v>
      </c>
      <c r="CG116" s="96">
        <f t="shared" si="103"/>
        <v>0</v>
      </c>
      <c r="CH116" s="96">
        <f t="shared" si="103"/>
        <v>0</v>
      </c>
      <c r="CI116" s="96">
        <f t="shared" si="103"/>
        <v>0</v>
      </c>
      <c r="CJ116" s="96">
        <f t="shared" si="103"/>
        <v>0</v>
      </c>
      <c r="CK116" s="96">
        <f t="shared" si="103"/>
        <v>0</v>
      </c>
      <c r="CL116" s="286">
        <f t="shared" si="128"/>
        <v>0</v>
      </c>
      <c r="CM116" s="305" t="s">
        <v>293</v>
      </c>
      <c r="CN116" s="315">
        <v>0.05</v>
      </c>
      <c r="CO116" s="306"/>
      <c r="CP116" s="307" t="str">
        <f>IF($CO116&lt;&gt;"",$CO116,HLOOKUP($CM116,$AY$6:$BA$132,ROWS(CP$6:CP116),0))</f>
        <v/>
      </c>
      <c r="CQ116" s="784" t="str">
        <f t="shared" si="127"/>
        <v/>
      </c>
      <c r="CR116" s="784" t="str">
        <f t="shared" si="127"/>
        <v/>
      </c>
      <c r="CS116" s="97" t="str">
        <f t="shared" si="127"/>
        <v/>
      </c>
      <c r="CT116" s="97" t="str">
        <f t="shared" si="127"/>
        <v/>
      </c>
      <c r="CU116" s="97" t="str">
        <f t="shared" si="127"/>
        <v/>
      </c>
      <c r="CV116" s="97" t="str">
        <f t="shared" si="127"/>
        <v/>
      </c>
      <c r="CW116" s="97" t="str">
        <f t="shared" si="127"/>
        <v/>
      </c>
      <c r="CX116" s="98" t="str">
        <f t="shared" si="127"/>
        <v/>
      </c>
      <c r="CY116" s="392"/>
    </row>
    <row r="117" spans="1:103" x14ac:dyDescent="0.25">
      <c r="A117" s="81" t="s">
        <v>224</v>
      </c>
      <c r="B117" s="82" t="s">
        <v>237</v>
      </c>
      <c r="C117" s="83" t="s">
        <v>238</v>
      </c>
      <c r="D117" s="84"/>
      <c r="E117" s="85"/>
      <c r="F117" s="85"/>
      <c r="G117" s="85"/>
      <c r="H117" s="85"/>
      <c r="I117" s="85">
        <v>0</v>
      </c>
      <c r="J117" s="85">
        <v>3671.3167621360003</v>
      </c>
      <c r="K117" s="85">
        <v>0</v>
      </c>
      <c r="L117" s="85">
        <v>0</v>
      </c>
      <c r="M117" s="654">
        <f>'2022-23 Input'!D117</f>
        <v>0</v>
      </c>
      <c r="N117" s="1065">
        <v>0</v>
      </c>
      <c r="O117" s="560">
        <f t="shared" si="101"/>
        <v>0</v>
      </c>
      <c r="P117" s="561">
        <f t="shared" si="75"/>
        <v>0</v>
      </c>
      <c r="Q117" s="561">
        <f t="shared" si="76"/>
        <v>0</v>
      </c>
      <c r="R117" s="561">
        <f t="shared" si="77"/>
        <v>0</v>
      </c>
      <c r="S117" s="561">
        <f t="shared" si="78"/>
        <v>0</v>
      </c>
      <c r="T117" s="561">
        <f t="shared" si="79"/>
        <v>0</v>
      </c>
      <c r="U117" s="561">
        <f t="shared" si="80"/>
        <v>4572.5808752910671</v>
      </c>
      <c r="V117" s="561">
        <f t="shared" si="81"/>
        <v>0</v>
      </c>
      <c r="W117" s="675">
        <f t="shared" si="82"/>
        <v>0</v>
      </c>
      <c r="X117" s="675">
        <f t="shared" si="83"/>
        <v>0</v>
      </c>
      <c r="Y117" s="675">
        <f t="shared" si="83"/>
        <v>0</v>
      </c>
      <c r="Z117" s="86"/>
      <c r="AA117" s="87"/>
      <c r="AB117" s="87"/>
      <c r="AC117" s="87"/>
      <c r="AD117" s="87"/>
      <c r="AE117" s="87">
        <v>0</v>
      </c>
      <c r="AF117" s="87">
        <v>0</v>
      </c>
      <c r="AG117" s="87">
        <v>0</v>
      </c>
      <c r="AH117" s="87">
        <v>0</v>
      </c>
      <c r="AI117" s="1094">
        <f>'2022-23 Input'!K117</f>
        <v>0</v>
      </c>
      <c r="AJ117" s="665">
        <v>0</v>
      </c>
      <c r="AK117" s="88">
        <f t="shared" si="111"/>
        <v>0</v>
      </c>
      <c r="AL117" s="89">
        <f t="shared" si="112"/>
        <v>0</v>
      </c>
      <c r="AM117" s="90">
        <f t="shared" si="113"/>
        <v>0</v>
      </c>
      <c r="AN117" s="91" t="str">
        <f t="shared" si="114"/>
        <v/>
      </c>
      <c r="AO117" s="92" t="str">
        <f t="shared" si="115"/>
        <v/>
      </c>
      <c r="AP117" s="92" t="str">
        <f t="shared" si="116"/>
        <v/>
      </c>
      <c r="AQ117" s="92" t="str">
        <f t="shared" si="117"/>
        <v/>
      </c>
      <c r="AR117" s="92" t="str">
        <f t="shared" si="118"/>
        <v/>
      </c>
      <c r="AS117" s="92" t="str">
        <f t="shared" si="119"/>
        <v/>
      </c>
      <c r="AT117" s="92" t="str">
        <f t="shared" si="120"/>
        <v/>
      </c>
      <c r="AU117" s="92" t="str">
        <f t="shared" si="121"/>
        <v/>
      </c>
      <c r="AV117" s="92" t="str">
        <f t="shared" si="122"/>
        <v/>
      </c>
      <c r="AW117" s="92" t="str">
        <f t="shared" si="122"/>
        <v/>
      </c>
      <c r="AX117" s="92" t="str">
        <f t="shared" si="122"/>
        <v/>
      </c>
      <c r="AY117" s="93" t="str">
        <f t="shared" si="123"/>
        <v/>
      </c>
      <c r="AZ117" s="94" t="str">
        <f t="shared" si="124"/>
        <v/>
      </c>
      <c r="BA117" s="95" t="str">
        <f t="shared" si="125"/>
        <v/>
      </c>
      <c r="BB117" s="248" t="s">
        <v>422</v>
      </c>
      <c r="BC117" s="229" t="s">
        <v>433</v>
      </c>
      <c r="BD117" s="249">
        <v>0</v>
      </c>
      <c r="BE117" s="267">
        <f t="shared" si="102"/>
        <v>0</v>
      </c>
      <c r="BF117" s="268">
        <f t="shared" si="126"/>
        <v>0</v>
      </c>
      <c r="BG117" s="268">
        <f t="shared" si="126"/>
        <v>0</v>
      </c>
      <c r="BH117" s="268">
        <f t="shared" si="126"/>
        <v>1</v>
      </c>
      <c r="BI117" s="268">
        <f t="shared" si="126"/>
        <v>2</v>
      </c>
      <c r="BJ117" s="268">
        <f t="shared" si="126"/>
        <v>3</v>
      </c>
      <c r="BK117" s="268">
        <f t="shared" si="126"/>
        <v>4</v>
      </c>
      <c r="BL117" s="269">
        <f t="shared" si="126"/>
        <v>5</v>
      </c>
      <c r="BM117" s="256">
        <f>IF($BC117=Lookup!$A$2,$BD117*ROUNDUP(BE117/10,0)+1,
IF($BC117=Lookup!$A$3,($BD117+1)^BD117,
IF($BC117=Lookup!$A$4,BE117*$BD117+1,"Error")))</f>
        <v>1</v>
      </c>
      <c r="BN117" s="229">
        <f>IF($BC117=Lookup!$A$2,$BD117*ROUNDUP(BF117/10,0)+1,
IF($BC117=Lookup!$A$3,($BD117+1)^BE117,
IF($BC117=Lookup!$A$4,BF117*$BD117+1,"Error")))</f>
        <v>1</v>
      </c>
      <c r="BO117" s="229">
        <f>IF($BC117=Lookup!$A$2,$BD117*ROUNDUP(BG117/10,0)+1,
IF($BC117=Lookup!$A$3,($BD117+1)^BF117,
IF($BC117=Lookup!$A$4,BG117*$BD117+1,"Error")))</f>
        <v>1</v>
      </c>
      <c r="BP117" s="229">
        <f>IF($BC117=Lookup!$A$2,$BD117*ROUNDUP(BH117/10,0)+1,
IF($BC117=Lookup!$A$3,($BD117+1)^BG117,
IF($BC117=Lookup!$A$4,BH117*$BD117+1,"Error")))</f>
        <v>1</v>
      </c>
      <c r="BQ117" s="229">
        <f>IF($BC117=Lookup!$A$2,$BD117*ROUNDUP(BI117/10,0)+1,
IF($BC117=Lookup!$A$3,($BD117+1)^BH117,
IF($BC117=Lookup!$A$4,BI117*$BD117+1,"Error")))</f>
        <v>1</v>
      </c>
      <c r="BR117" s="229">
        <f>IF($BC117=Lookup!$A$2,$BD117*ROUNDUP(BJ117/10,0)+1,
IF($BC117=Lookup!$A$3,($BD117+1)^BI117,
IF($BC117=Lookup!$A$4,BJ117*$BD117+1,"Error")))</f>
        <v>1</v>
      </c>
      <c r="BS117" s="229">
        <f>IF($BC117=Lookup!$A$2,$BD117*ROUNDUP(BK117/10,0)+1,
IF($BC117=Lookup!$A$3,($BD117+1)^BJ117,
IF($BC117=Lookup!$A$4,BK117*$BD117+1,"Error")))</f>
        <v>1</v>
      </c>
      <c r="BT117" s="249">
        <f>IF($BC117=Lookup!$A$2,$BD117*ROUNDUP(BL117/10,0)+1,
IF($BC117=Lookup!$A$3,($BD117+1)^BK117,
IF($BC117=Lookup!$A$4,BL117*$BD117+1,"Error")))</f>
        <v>1</v>
      </c>
      <c r="BU117" s="320">
        <v>0</v>
      </c>
      <c r="BV117" s="321">
        <v>0</v>
      </c>
      <c r="BW117" s="321">
        <v>0</v>
      </c>
      <c r="BX117" s="321">
        <v>0</v>
      </c>
      <c r="BY117" s="321">
        <v>0</v>
      </c>
      <c r="BZ117" s="321">
        <v>0</v>
      </c>
      <c r="CA117" s="321">
        <v>0</v>
      </c>
      <c r="CB117" s="277">
        <v>0</v>
      </c>
      <c r="CC117" s="382" t="s">
        <v>293</v>
      </c>
      <c r="CD117" s="383">
        <f>HLOOKUP($CC117,$AK$6:$AM$132,ROWS(CD$6:CD117),0)</f>
        <v>0</v>
      </c>
      <c r="CE117" s="234">
        <f t="shared" si="103"/>
        <v>0</v>
      </c>
      <c r="CF117" s="96">
        <f t="shared" si="103"/>
        <v>0</v>
      </c>
      <c r="CG117" s="96">
        <f t="shared" si="103"/>
        <v>0</v>
      </c>
      <c r="CH117" s="96">
        <f t="shared" si="103"/>
        <v>0</v>
      </c>
      <c r="CI117" s="96">
        <f t="shared" si="103"/>
        <v>0</v>
      </c>
      <c r="CJ117" s="96">
        <f t="shared" si="103"/>
        <v>0</v>
      </c>
      <c r="CK117" s="96">
        <f t="shared" si="103"/>
        <v>0</v>
      </c>
      <c r="CL117" s="286">
        <f t="shared" si="128"/>
        <v>0</v>
      </c>
      <c r="CM117" s="305" t="s">
        <v>293</v>
      </c>
      <c r="CN117" s="315">
        <v>0.05</v>
      </c>
      <c r="CO117" s="306"/>
      <c r="CP117" s="307" t="str">
        <f>IF($CO117&lt;&gt;"",$CO117,HLOOKUP($CM117,$AY$6:$BA$132,ROWS(CP$6:CP117),0))</f>
        <v/>
      </c>
      <c r="CQ117" s="784" t="str">
        <f t="shared" si="127"/>
        <v/>
      </c>
      <c r="CR117" s="784" t="str">
        <f t="shared" si="127"/>
        <v/>
      </c>
      <c r="CS117" s="97" t="str">
        <f t="shared" si="127"/>
        <v/>
      </c>
      <c r="CT117" s="97" t="str">
        <f t="shared" si="127"/>
        <v/>
      </c>
      <c r="CU117" s="97" t="str">
        <f t="shared" si="127"/>
        <v/>
      </c>
      <c r="CV117" s="97" t="str">
        <f t="shared" si="127"/>
        <v/>
      </c>
      <c r="CW117" s="97" t="str">
        <f t="shared" si="127"/>
        <v/>
      </c>
      <c r="CX117" s="98" t="str">
        <f t="shared" si="127"/>
        <v/>
      </c>
      <c r="CY117" s="392"/>
    </row>
    <row r="118" spans="1:103" ht="15.75" thickBot="1" x14ac:dyDescent="0.3">
      <c r="A118" s="100" t="s">
        <v>224</v>
      </c>
      <c r="B118" s="101" t="s">
        <v>397</v>
      </c>
      <c r="C118" s="102" t="s">
        <v>398</v>
      </c>
      <c r="D118" s="103"/>
      <c r="E118" s="104"/>
      <c r="F118" s="104"/>
      <c r="G118" s="104"/>
      <c r="H118" s="104"/>
      <c r="I118" s="104">
        <v>0</v>
      </c>
      <c r="J118" s="104">
        <v>0</v>
      </c>
      <c r="K118" s="104">
        <v>0</v>
      </c>
      <c r="L118" s="104">
        <v>0</v>
      </c>
      <c r="M118" s="655">
        <f>'2022-23 Input'!D118</f>
        <v>0</v>
      </c>
      <c r="N118" s="1066">
        <v>0</v>
      </c>
      <c r="O118" s="563">
        <f t="shared" si="101"/>
        <v>0</v>
      </c>
      <c r="P118" s="564">
        <f t="shared" si="75"/>
        <v>0</v>
      </c>
      <c r="Q118" s="564">
        <f t="shared" si="76"/>
        <v>0</v>
      </c>
      <c r="R118" s="564">
        <f t="shared" si="77"/>
        <v>0</v>
      </c>
      <c r="S118" s="564">
        <f t="shared" si="78"/>
        <v>0</v>
      </c>
      <c r="T118" s="564">
        <f t="shared" si="79"/>
        <v>0</v>
      </c>
      <c r="U118" s="564">
        <f t="shared" si="80"/>
        <v>0</v>
      </c>
      <c r="V118" s="564">
        <f t="shared" si="81"/>
        <v>0</v>
      </c>
      <c r="W118" s="676">
        <f t="shared" si="82"/>
        <v>0</v>
      </c>
      <c r="X118" s="676">
        <f t="shared" si="83"/>
        <v>0</v>
      </c>
      <c r="Y118" s="676">
        <f t="shared" si="83"/>
        <v>0</v>
      </c>
      <c r="Z118" s="105"/>
      <c r="AA118" s="106"/>
      <c r="AB118" s="106"/>
      <c r="AC118" s="106"/>
      <c r="AD118" s="106"/>
      <c r="AE118" s="106">
        <v>0</v>
      </c>
      <c r="AF118" s="106">
        <v>0</v>
      </c>
      <c r="AG118" s="106">
        <v>0</v>
      </c>
      <c r="AH118" s="106">
        <v>0</v>
      </c>
      <c r="AI118" s="1095">
        <f>'2022-23 Input'!K118</f>
        <v>0</v>
      </c>
      <c r="AJ118" s="666">
        <v>0</v>
      </c>
      <c r="AK118" s="107">
        <f t="shared" si="111"/>
        <v>0</v>
      </c>
      <c r="AL118" s="108">
        <f t="shared" si="112"/>
        <v>0</v>
      </c>
      <c r="AM118" s="109">
        <f t="shared" si="113"/>
        <v>0</v>
      </c>
      <c r="AN118" s="110" t="str">
        <f t="shared" si="114"/>
        <v/>
      </c>
      <c r="AO118" s="111" t="str">
        <f t="shared" si="115"/>
        <v/>
      </c>
      <c r="AP118" s="111" t="str">
        <f t="shared" si="116"/>
        <v/>
      </c>
      <c r="AQ118" s="111" t="str">
        <f t="shared" si="117"/>
        <v/>
      </c>
      <c r="AR118" s="111" t="str">
        <f t="shared" si="118"/>
        <v/>
      </c>
      <c r="AS118" s="111" t="str">
        <f t="shared" si="119"/>
        <v/>
      </c>
      <c r="AT118" s="111" t="str">
        <f t="shared" si="120"/>
        <v/>
      </c>
      <c r="AU118" s="111" t="str">
        <f t="shared" si="121"/>
        <v/>
      </c>
      <c r="AV118" s="111" t="str">
        <f t="shared" si="122"/>
        <v/>
      </c>
      <c r="AW118" s="111" t="str">
        <f t="shared" si="122"/>
        <v/>
      </c>
      <c r="AX118" s="111" t="str">
        <f t="shared" si="122"/>
        <v/>
      </c>
      <c r="AY118" s="112" t="str">
        <f t="shared" si="123"/>
        <v/>
      </c>
      <c r="AZ118" s="113" t="str">
        <f t="shared" si="124"/>
        <v/>
      </c>
      <c r="BA118" s="114" t="str">
        <f t="shared" si="125"/>
        <v/>
      </c>
      <c r="BB118" s="250" t="s">
        <v>422</v>
      </c>
      <c r="BC118" s="230" t="s">
        <v>433</v>
      </c>
      <c r="BD118" s="251">
        <v>0</v>
      </c>
      <c r="BE118" s="270">
        <f t="shared" si="102"/>
        <v>0</v>
      </c>
      <c r="BF118" s="271">
        <f t="shared" si="126"/>
        <v>0</v>
      </c>
      <c r="BG118" s="271">
        <f t="shared" si="126"/>
        <v>0</v>
      </c>
      <c r="BH118" s="271">
        <f t="shared" si="126"/>
        <v>1</v>
      </c>
      <c r="BI118" s="271">
        <f t="shared" si="126"/>
        <v>2</v>
      </c>
      <c r="BJ118" s="271">
        <f t="shared" si="126"/>
        <v>3</v>
      </c>
      <c r="BK118" s="271">
        <f t="shared" si="126"/>
        <v>4</v>
      </c>
      <c r="BL118" s="272">
        <f t="shared" si="126"/>
        <v>5</v>
      </c>
      <c r="BM118" s="257">
        <f>IF($BC118=Lookup!$A$2,$BD118*ROUNDUP(BE118/10,0)+1,
IF($BC118=Lookup!$A$3,($BD118+1)^BD118,
IF($BC118=Lookup!$A$4,BE118*$BD118+1,"Error")))</f>
        <v>1</v>
      </c>
      <c r="BN118" s="230">
        <f>IF($BC118=Lookup!$A$2,$BD118*ROUNDUP(BF118/10,0)+1,
IF($BC118=Lookup!$A$3,($BD118+1)^BE118,
IF($BC118=Lookup!$A$4,BF118*$BD118+1,"Error")))</f>
        <v>1</v>
      </c>
      <c r="BO118" s="230">
        <f>IF($BC118=Lookup!$A$2,$BD118*ROUNDUP(BG118/10,0)+1,
IF($BC118=Lookup!$A$3,($BD118+1)^BF118,
IF($BC118=Lookup!$A$4,BG118*$BD118+1,"Error")))</f>
        <v>1</v>
      </c>
      <c r="BP118" s="230">
        <f>IF($BC118=Lookup!$A$2,$BD118*ROUNDUP(BH118/10,0)+1,
IF($BC118=Lookup!$A$3,($BD118+1)^BG118,
IF($BC118=Lookup!$A$4,BH118*$BD118+1,"Error")))</f>
        <v>1</v>
      </c>
      <c r="BQ118" s="230">
        <f>IF($BC118=Lookup!$A$2,$BD118*ROUNDUP(BI118/10,0)+1,
IF($BC118=Lookup!$A$3,($BD118+1)^BH118,
IF($BC118=Lookup!$A$4,BI118*$BD118+1,"Error")))</f>
        <v>1</v>
      </c>
      <c r="BR118" s="230">
        <f>IF($BC118=Lookup!$A$2,$BD118*ROUNDUP(BJ118/10,0)+1,
IF($BC118=Lookup!$A$3,($BD118+1)^BI118,
IF($BC118=Lookup!$A$4,BJ118*$BD118+1,"Error")))</f>
        <v>1</v>
      </c>
      <c r="BS118" s="230">
        <f>IF($BC118=Lookup!$A$2,$BD118*ROUNDUP(BK118/10,0)+1,
IF($BC118=Lookup!$A$3,($BD118+1)^BJ118,
IF($BC118=Lookup!$A$4,BK118*$BD118+1,"Error")))</f>
        <v>1</v>
      </c>
      <c r="BT118" s="251">
        <f>IF($BC118=Lookup!$A$2,$BD118*ROUNDUP(BL118/10,0)+1,
IF($BC118=Lookup!$A$3,($BD118+1)^BK118,
IF($BC118=Lookup!$A$4,BL118*$BD118+1,"Error")))</f>
        <v>1</v>
      </c>
      <c r="BU118" s="322">
        <v>0</v>
      </c>
      <c r="BV118" s="323">
        <v>0</v>
      </c>
      <c r="BW118" s="323">
        <v>0</v>
      </c>
      <c r="BX118" s="323">
        <v>0</v>
      </c>
      <c r="BY118" s="323">
        <v>0</v>
      </c>
      <c r="BZ118" s="323">
        <v>0</v>
      </c>
      <c r="CA118" s="323">
        <v>0</v>
      </c>
      <c r="CB118" s="278">
        <v>0</v>
      </c>
      <c r="CC118" s="384" t="s">
        <v>293</v>
      </c>
      <c r="CD118" s="385">
        <f>HLOOKUP($CC118,$AK$6:$AM$132,ROWS(CD$6:CD118),0)</f>
        <v>0</v>
      </c>
      <c r="CE118" s="235">
        <f t="shared" si="103"/>
        <v>0</v>
      </c>
      <c r="CF118" s="115">
        <f t="shared" si="103"/>
        <v>0</v>
      </c>
      <c r="CG118" s="115">
        <f t="shared" si="103"/>
        <v>0</v>
      </c>
      <c r="CH118" s="115">
        <f t="shared" si="103"/>
        <v>0</v>
      </c>
      <c r="CI118" s="115">
        <f t="shared" si="103"/>
        <v>0</v>
      </c>
      <c r="CJ118" s="115">
        <f t="shared" si="103"/>
        <v>0</v>
      </c>
      <c r="CK118" s="115">
        <f t="shared" si="103"/>
        <v>0</v>
      </c>
      <c r="CL118" s="287">
        <f t="shared" si="128"/>
        <v>0</v>
      </c>
      <c r="CM118" s="308" t="s">
        <v>293</v>
      </c>
      <c r="CN118" s="316">
        <v>0.05</v>
      </c>
      <c r="CO118" s="309"/>
      <c r="CP118" s="310" t="str">
        <f>IF($CO118&lt;&gt;"",$CO118,HLOOKUP($CM118,$AY$6:$BA$132,ROWS(CP$6:CP118),0))</f>
        <v/>
      </c>
      <c r="CQ118" s="785" t="str">
        <f t="shared" si="127"/>
        <v/>
      </c>
      <c r="CR118" s="785" t="str">
        <f t="shared" si="127"/>
        <v/>
      </c>
      <c r="CS118" s="117" t="str">
        <f t="shared" si="127"/>
        <v/>
      </c>
      <c r="CT118" s="117" t="str">
        <f t="shared" si="127"/>
        <v/>
      </c>
      <c r="CU118" s="117" t="str">
        <f t="shared" si="127"/>
        <v/>
      </c>
      <c r="CV118" s="117" t="str">
        <f t="shared" si="127"/>
        <v/>
      </c>
      <c r="CW118" s="117" t="str">
        <f t="shared" si="127"/>
        <v/>
      </c>
      <c r="CX118" s="118" t="str">
        <f t="shared" si="127"/>
        <v/>
      </c>
      <c r="CY118" s="393"/>
    </row>
    <row r="119" spans="1:103" x14ac:dyDescent="0.25">
      <c r="A119" s="63" t="s">
        <v>242</v>
      </c>
      <c r="B119" s="64" t="s">
        <v>239</v>
      </c>
      <c r="C119" s="65" t="s">
        <v>241</v>
      </c>
      <c r="D119" s="66"/>
      <c r="E119" s="67"/>
      <c r="F119" s="67"/>
      <c r="G119" s="67"/>
      <c r="H119" s="67"/>
      <c r="I119" s="67">
        <v>0</v>
      </c>
      <c r="J119" s="67">
        <v>0</v>
      </c>
      <c r="K119" s="67">
        <v>0</v>
      </c>
      <c r="L119" s="67">
        <v>0</v>
      </c>
      <c r="M119" s="653">
        <f>'2022-23 Input'!D119</f>
        <v>0</v>
      </c>
      <c r="N119" s="1064">
        <v>0</v>
      </c>
      <c r="O119" s="557">
        <f t="shared" si="101"/>
        <v>0</v>
      </c>
      <c r="P119" s="558">
        <f t="shared" si="75"/>
        <v>0</v>
      </c>
      <c r="Q119" s="558">
        <f t="shared" si="76"/>
        <v>0</v>
      </c>
      <c r="R119" s="558">
        <f t="shared" si="77"/>
        <v>0</v>
      </c>
      <c r="S119" s="558">
        <f t="shared" si="78"/>
        <v>0</v>
      </c>
      <c r="T119" s="558">
        <f t="shared" si="79"/>
        <v>0</v>
      </c>
      <c r="U119" s="558">
        <f t="shared" si="80"/>
        <v>0</v>
      </c>
      <c r="V119" s="558">
        <f t="shared" si="81"/>
        <v>0</v>
      </c>
      <c r="W119" s="674">
        <f t="shared" si="82"/>
        <v>0</v>
      </c>
      <c r="X119" s="674">
        <f t="shared" si="83"/>
        <v>0</v>
      </c>
      <c r="Y119" s="674">
        <f t="shared" si="83"/>
        <v>0</v>
      </c>
      <c r="Z119" s="68"/>
      <c r="AA119" s="69"/>
      <c r="AB119" s="69"/>
      <c r="AC119" s="69"/>
      <c r="AD119" s="69"/>
      <c r="AE119" s="69">
        <v>0</v>
      </c>
      <c r="AF119" s="69">
        <v>0</v>
      </c>
      <c r="AG119" s="69">
        <v>0</v>
      </c>
      <c r="AH119" s="69">
        <v>0</v>
      </c>
      <c r="AI119" s="1093">
        <f>'2022-23 Input'!K119</f>
        <v>0</v>
      </c>
      <c r="AJ119" s="664">
        <v>0</v>
      </c>
      <c r="AK119" s="70">
        <f t="shared" si="111"/>
        <v>0</v>
      </c>
      <c r="AL119" s="71">
        <f t="shared" si="112"/>
        <v>0</v>
      </c>
      <c r="AM119" s="72">
        <f t="shared" si="113"/>
        <v>0</v>
      </c>
      <c r="AN119" s="73" t="str">
        <f t="shared" si="114"/>
        <v/>
      </c>
      <c r="AO119" s="74" t="str">
        <f t="shared" si="115"/>
        <v/>
      </c>
      <c r="AP119" s="74" t="str">
        <f t="shared" si="116"/>
        <v/>
      </c>
      <c r="AQ119" s="74" t="str">
        <f t="shared" si="117"/>
        <v/>
      </c>
      <c r="AR119" s="74" t="str">
        <f t="shared" si="118"/>
        <v/>
      </c>
      <c r="AS119" s="74" t="str">
        <f t="shared" si="119"/>
        <v/>
      </c>
      <c r="AT119" s="74" t="str">
        <f t="shared" si="120"/>
        <v/>
      </c>
      <c r="AU119" s="74" t="str">
        <f t="shared" si="121"/>
        <v/>
      </c>
      <c r="AV119" s="74" t="str">
        <f t="shared" ref="AV119:AX132" si="129">IFERROR(L119/AH119,"")</f>
        <v/>
      </c>
      <c r="AW119" s="74" t="str">
        <f t="shared" si="129"/>
        <v/>
      </c>
      <c r="AX119" s="74" t="str">
        <f t="shared" si="129"/>
        <v/>
      </c>
      <c r="AY119" s="75" t="str">
        <f t="shared" si="123"/>
        <v/>
      </c>
      <c r="AZ119" s="76" t="str">
        <f t="shared" si="124"/>
        <v/>
      </c>
      <c r="BA119" s="77" t="str">
        <f t="shared" si="125"/>
        <v/>
      </c>
      <c r="BB119" s="252" t="s">
        <v>422</v>
      </c>
      <c r="BC119" s="231" t="s">
        <v>433</v>
      </c>
      <c r="BD119" s="253">
        <v>0</v>
      </c>
      <c r="BE119" s="273">
        <f t="shared" si="102"/>
        <v>0</v>
      </c>
      <c r="BF119" s="274">
        <f t="shared" ref="BF119:BL132" si="130">IF(BF$6=$BB119,1,
IF(BE119&lt;&gt;0,BE119+1,0
))</f>
        <v>0</v>
      </c>
      <c r="BG119" s="274">
        <f t="shared" si="130"/>
        <v>0</v>
      </c>
      <c r="BH119" s="274">
        <f t="shared" si="130"/>
        <v>1</v>
      </c>
      <c r="BI119" s="274">
        <f t="shared" si="130"/>
        <v>2</v>
      </c>
      <c r="BJ119" s="274">
        <f t="shared" si="130"/>
        <v>3</v>
      </c>
      <c r="BK119" s="274">
        <f t="shared" si="130"/>
        <v>4</v>
      </c>
      <c r="BL119" s="275">
        <f t="shared" si="130"/>
        <v>5</v>
      </c>
      <c r="BM119" s="258">
        <f>IF($BC119=Lookup!$A$2,$BD119*ROUNDUP(BE119/10,0)+1,
IF($BC119=Lookup!$A$3,($BD119+1)^BD119,
IF($BC119=Lookup!$A$4,BE119*$BD119+1,"Error")))</f>
        <v>1</v>
      </c>
      <c r="BN119" s="231">
        <f>IF($BC119=Lookup!$A$2,$BD119*ROUNDUP(BF119/10,0)+1,
IF($BC119=Lookup!$A$3,($BD119+1)^BE119,
IF($BC119=Lookup!$A$4,BF119*$BD119+1,"Error")))</f>
        <v>1</v>
      </c>
      <c r="BO119" s="231">
        <f>IF($BC119=Lookup!$A$2,$BD119*ROUNDUP(BG119/10,0)+1,
IF($BC119=Lookup!$A$3,($BD119+1)^BF119,
IF($BC119=Lookup!$A$4,BG119*$BD119+1,"Error")))</f>
        <v>1</v>
      </c>
      <c r="BP119" s="231">
        <f>IF($BC119=Lookup!$A$2,$BD119*ROUNDUP(BH119/10,0)+1,
IF($BC119=Lookup!$A$3,($BD119+1)^BG119,
IF($BC119=Lookup!$A$4,BH119*$BD119+1,"Error")))</f>
        <v>1</v>
      </c>
      <c r="BQ119" s="231">
        <f>IF($BC119=Lookup!$A$2,$BD119*ROUNDUP(BI119/10,0)+1,
IF($BC119=Lookup!$A$3,($BD119+1)^BH119,
IF($BC119=Lookup!$A$4,BI119*$BD119+1,"Error")))</f>
        <v>1</v>
      </c>
      <c r="BR119" s="231">
        <f>IF($BC119=Lookup!$A$2,$BD119*ROUNDUP(BJ119/10,0)+1,
IF($BC119=Lookup!$A$3,($BD119+1)^BI119,
IF($BC119=Lookup!$A$4,BJ119*$BD119+1,"Error")))</f>
        <v>1</v>
      </c>
      <c r="BS119" s="231">
        <f>IF($BC119=Lookup!$A$2,$BD119*ROUNDUP(BK119/10,0)+1,
IF($BC119=Lookup!$A$3,($BD119+1)^BJ119,
IF($BC119=Lookup!$A$4,BK119*$BD119+1,"Error")))</f>
        <v>1</v>
      </c>
      <c r="BT119" s="253">
        <f>IF($BC119=Lookup!$A$2,$BD119*ROUNDUP(BL119/10,0)+1,
IF($BC119=Lookup!$A$3,($BD119+1)^BK119,
IF($BC119=Lookup!$A$4,BL119*$BD119+1,"Error")))</f>
        <v>1</v>
      </c>
      <c r="BU119" s="324">
        <v>0</v>
      </c>
      <c r="BV119" s="325">
        <v>0</v>
      </c>
      <c r="BW119" s="325">
        <v>0</v>
      </c>
      <c r="BX119" s="325">
        <v>0</v>
      </c>
      <c r="BY119" s="325">
        <v>0</v>
      </c>
      <c r="BZ119" s="325">
        <v>0</v>
      </c>
      <c r="CA119" s="325">
        <v>0</v>
      </c>
      <c r="CB119" s="279">
        <v>0</v>
      </c>
      <c r="CC119" s="386" t="s">
        <v>293</v>
      </c>
      <c r="CD119" s="387">
        <f>HLOOKUP($CC119,$AK$6:$AM$132,ROWS(CD$6:CD119),0)</f>
        <v>0</v>
      </c>
      <c r="CE119" s="241">
        <f t="shared" si="103"/>
        <v>0</v>
      </c>
      <c r="CF119" s="144">
        <f t="shared" si="103"/>
        <v>0</v>
      </c>
      <c r="CG119" s="144">
        <f t="shared" si="103"/>
        <v>0</v>
      </c>
      <c r="CH119" s="144">
        <f t="shared" si="103"/>
        <v>0</v>
      </c>
      <c r="CI119" s="144">
        <f t="shared" si="103"/>
        <v>0</v>
      </c>
      <c r="CJ119" s="144">
        <f t="shared" si="103"/>
        <v>0</v>
      </c>
      <c r="CK119" s="144">
        <f t="shared" si="103"/>
        <v>0</v>
      </c>
      <c r="CL119" s="293">
        <f t="shared" si="128"/>
        <v>0</v>
      </c>
      <c r="CM119" s="302" t="s">
        <v>293</v>
      </c>
      <c r="CN119" s="314">
        <v>0.05</v>
      </c>
      <c r="CO119" s="303"/>
      <c r="CP119" s="304" t="str">
        <f>IF($CO119&lt;&gt;"",$CO119,HLOOKUP($CM119,$AY$6:$BA$132,ROWS(CP$6:CP119),0))</f>
        <v/>
      </c>
      <c r="CQ119" s="783" t="str">
        <f t="shared" si="127"/>
        <v/>
      </c>
      <c r="CR119" s="783" t="str">
        <f t="shared" si="127"/>
        <v/>
      </c>
      <c r="CS119" s="79" t="str">
        <f t="shared" si="127"/>
        <v/>
      </c>
      <c r="CT119" s="79" t="str">
        <f t="shared" si="127"/>
        <v/>
      </c>
      <c r="CU119" s="79" t="str">
        <f t="shared" si="127"/>
        <v/>
      </c>
      <c r="CV119" s="79" t="str">
        <f t="shared" si="127"/>
        <v/>
      </c>
      <c r="CW119" s="79" t="str">
        <f t="shared" si="127"/>
        <v/>
      </c>
      <c r="CX119" s="80" t="str">
        <f t="shared" si="127"/>
        <v/>
      </c>
      <c r="CY119" s="394"/>
    </row>
    <row r="120" spans="1:103" x14ac:dyDescent="0.25">
      <c r="A120" s="81" t="s">
        <v>242</v>
      </c>
      <c r="B120" s="82" t="s">
        <v>243</v>
      </c>
      <c r="C120" s="83" t="s">
        <v>244</v>
      </c>
      <c r="D120" s="84"/>
      <c r="E120" s="85"/>
      <c r="F120" s="85"/>
      <c r="G120" s="85"/>
      <c r="H120" s="85"/>
      <c r="I120" s="85">
        <v>0</v>
      </c>
      <c r="J120" s="85">
        <v>0</v>
      </c>
      <c r="K120" s="85">
        <v>0</v>
      </c>
      <c r="L120" s="85">
        <v>0</v>
      </c>
      <c r="M120" s="654">
        <f>'2022-23 Input'!D120</f>
        <v>0</v>
      </c>
      <c r="N120" s="1065">
        <v>0</v>
      </c>
      <c r="O120" s="560">
        <f t="shared" si="101"/>
        <v>0</v>
      </c>
      <c r="P120" s="561">
        <f t="shared" si="75"/>
        <v>0</v>
      </c>
      <c r="Q120" s="561">
        <f t="shared" si="76"/>
        <v>0</v>
      </c>
      <c r="R120" s="561">
        <f t="shared" si="77"/>
        <v>0</v>
      </c>
      <c r="S120" s="561">
        <f t="shared" si="78"/>
        <v>0</v>
      </c>
      <c r="T120" s="561">
        <f t="shared" si="79"/>
        <v>0</v>
      </c>
      <c r="U120" s="561">
        <f t="shared" si="80"/>
        <v>0</v>
      </c>
      <c r="V120" s="561">
        <f t="shared" si="81"/>
        <v>0</v>
      </c>
      <c r="W120" s="675">
        <f t="shared" si="82"/>
        <v>0</v>
      </c>
      <c r="X120" s="675">
        <f t="shared" si="83"/>
        <v>0</v>
      </c>
      <c r="Y120" s="675">
        <f t="shared" si="83"/>
        <v>0</v>
      </c>
      <c r="Z120" s="86"/>
      <c r="AA120" s="87"/>
      <c r="AB120" s="87"/>
      <c r="AC120" s="87"/>
      <c r="AD120" s="87"/>
      <c r="AE120" s="87">
        <v>0</v>
      </c>
      <c r="AF120" s="87">
        <v>0</v>
      </c>
      <c r="AG120" s="87">
        <v>0</v>
      </c>
      <c r="AH120" s="87">
        <v>0</v>
      </c>
      <c r="AI120" s="1094">
        <f>'2022-23 Input'!K120</f>
        <v>0</v>
      </c>
      <c r="AJ120" s="665">
        <v>0</v>
      </c>
      <c r="AK120" s="88">
        <f t="shared" si="111"/>
        <v>0</v>
      </c>
      <c r="AL120" s="89">
        <f t="shared" si="112"/>
        <v>0</v>
      </c>
      <c r="AM120" s="90">
        <f t="shared" si="113"/>
        <v>0</v>
      </c>
      <c r="AN120" s="91" t="str">
        <f t="shared" si="114"/>
        <v/>
      </c>
      <c r="AO120" s="92" t="str">
        <f t="shared" si="115"/>
        <v/>
      </c>
      <c r="AP120" s="92" t="str">
        <f t="shared" si="116"/>
        <v/>
      </c>
      <c r="AQ120" s="92" t="str">
        <f t="shared" si="117"/>
        <v/>
      </c>
      <c r="AR120" s="92" t="str">
        <f t="shared" si="118"/>
        <v/>
      </c>
      <c r="AS120" s="92" t="str">
        <f t="shared" si="119"/>
        <v/>
      </c>
      <c r="AT120" s="92" t="str">
        <f t="shared" si="120"/>
        <v/>
      </c>
      <c r="AU120" s="92" t="str">
        <f t="shared" si="121"/>
        <v/>
      </c>
      <c r="AV120" s="92" t="str">
        <f t="shared" si="129"/>
        <v/>
      </c>
      <c r="AW120" s="92" t="str">
        <f t="shared" si="129"/>
        <v/>
      </c>
      <c r="AX120" s="92" t="str">
        <f t="shared" si="129"/>
        <v/>
      </c>
      <c r="AY120" s="93" t="str">
        <f t="shared" si="123"/>
        <v/>
      </c>
      <c r="AZ120" s="94" t="str">
        <f t="shared" si="124"/>
        <v/>
      </c>
      <c r="BA120" s="95" t="str">
        <f t="shared" si="125"/>
        <v/>
      </c>
      <c r="BB120" s="248" t="s">
        <v>422</v>
      </c>
      <c r="BC120" s="229" t="s">
        <v>433</v>
      </c>
      <c r="BD120" s="249">
        <v>0</v>
      </c>
      <c r="BE120" s="267">
        <f t="shared" si="102"/>
        <v>0</v>
      </c>
      <c r="BF120" s="268">
        <f t="shared" si="130"/>
        <v>0</v>
      </c>
      <c r="BG120" s="268">
        <f t="shared" si="130"/>
        <v>0</v>
      </c>
      <c r="BH120" s="268">
        <f t="shared" si="130"/>
        <v>1</v>
      </c>
      <c r="BI120" s="268">
        <f t="shared" si="130"/>
        <v>2</v>
      </c>
      <c r="BJ120" s="268">
        <f t="shared" si="130"/>
        <v>3</v>
      </c>
      <c r="BK120" s="268">
        <f t="shared" si="130"/>
        <v>4</v>
      </c>
      <c r="BL120" s="269">
        <f t="shared" si="130"/>
        <v>5</v>
      </c>
      <c r="BM120" s="256">
        <f>IF($BC120=Lookup!$A$2,$BD120*ROUNDUP(BE120/10,0)+1,
IF($BC120=Lookup!$A$3,($BD120+1)^BD120,
IF($BC120=Lookup!$A$4,BE120*$BD120+1,"Error")))</f>
        <v>1</v>
      </c>
      <c r="BN120" s="229">
        <f>IF($BC120=Lookup!$A$2,$BD120*ROUNDUP(BF120/10,0)+1,
IF($BC120=Lookup!$A$3,($BD120+1)^BE120,
IF($BC120=Lookup!$A$4,BF120*$BD120+1,"Error")))</f>
        <v>1</v>
      </c>
      <c r="BO120" s="229">
        <f>IF($BC120=Lookup!$A$2,$BD120*ROUNDUP(BG120/10,0)+1,
IF($BC120=Lookup!$A$3,($BD120+1)^BF120,
IF($BC120=Lookup!$A$4,BG120*$BD120+1,"Error")))</f>
        <v>1</v>
      </c>
      <c r="BP120" s="229">
        <f>IF($BC120=Lookup!$A$2,$BD120*ROUNDUP(BH120/10,0)+1,
IF($BC120=Lookup!$A$3,($BD120+1)^BG120,
IF($BC120=Lookup!$A$4,BH120*$BD120+1,"Error")))</f>
        <v>1</v>
      </c>
      <c r="BQ120" s="229">
        <f>IF($BC120=Lookup!$A$2,$BD120*ROUNDUP(BI120/10,0)+1,
IF($BC120=Lookup!$A$3,($BD120+1)^BH120,
IF($BC120=Lookup!$A$4,BI120*$BD120+1,"Error")))</f>
        <v>1</v>
      </c>
      <c r="BR120" s="229">
        <f>IF($BC120=Lookup!$A$2,$BD120*ROUNDUP(BJ120/10,0)+1,
IF($BC120=Lookup!$A$3,($BD120+1)^BI120,
IF($BC120=Lookup!$A$4,BJ120*$BD120+1,"Error")))</f>
        <v>1</v>
      </c>
      <c r="BS120" s="229">
        <f>IF($BC120=Lookup!$A$2,$BD120*ROUNDUP(BK120/10,0)+1,
IF($BC120=Lookup!$A$3,($BD120+1)^BJ120,
IF($BC120=Lookup!$A$4,BK120*$BD120+1,"Error")))</f>
        <v>1</v>
      </c>
      <c r="BT120" s="249">
        <f>IF($BC120=Lookup!$A$2,$BD120*ROUNDUP(BL120/10,0)+1,
IF($BC120=Lookup!$A$3,($BD120+1)^BK120,
IF($BC120=Lookup!$A$4,BL120*$BD120+1,"Error")))</f>
        <v>1</v>
      </c>
      <c r="BU120" s="320">
        <v>0</v>
      </c>
      <c r="BV120" s="321">
        <v>0</v>
      </c>
      <c r="BW120" s="321">
        <v>0</v>
      </c>
      <c r="BX120" s="321">
        <v>0</v>
      </c>
      <c r="BY120" s="321">
        <v>0</v>
      </c>
      <c r="BZ120" s="321">
        <v>0</v>
      </c>
      <c r="CA120" s="321">
        <v>0</v>
      </c>
      <c r="CB120" s="277">
        <v>0</v>
      </c>
      <c r="CC120" s="382" t="s">
        <v>293</v>
      </c>
      <c r="CD120" s="383">
        <f>HLOOKUP($CC120,$AK$6:$AM$132,ROWS(CD$6:CD120),0)</f>
        <v>0</v>
      </c>
      <c r="CE120" s="234">
        <f t="shared" si="103"/>
        <v>0</v>
      </c>
      <c r="CF120" s="96">
        <f t="shared" si="103"/>
        <v>0</v>
      </c>
      <c r="CG120" s="96">
        <f t="shared" si="103"/>
        <v>0</v>
      </c>
      <c r="CH120" s="96">
        <f t="shared" si="103"/>
        <v>0</v>
      </c>
      <c r="CI120" s="96">
        <f t="shared" si="103"/>
        <v>0</v>
      </c>
      <c r="CJ120" s="96">
        <f t="shared" si="103"/>
        <v>0</v>
      </c>
      <c r="CK120" s="96">
        <f t="shared" si="103"/>
        <v>0</v>
      </c>
      <c r="CL120" s="286">
        <f t="shared" si="128"/>
        <v>0</v>
      </c>
      <c r="CM120" s="305" t="s">
        <v>293</v>
      </c>
      <c r="CN120" s="315">
        <v>0.05</v>
      </c>
      <c r="CO120" s="306"/>
      <c r="CP120" s="307" t="str">
        <f>IF($CO120&lt;&gt;"",$CO120,HLOOKUP($CM120,$AY$6:$BA$132,ROWS(CP$6:CP120),0))</f>
        <v/>
      </c>
      <c r="CQ120" s="784" t="str">
        <f t="shared" si="127"/>
        <v/>
      </c>
      <c r="CR120" s="784" t="str">
        <f t="shared" si="127"/>
        <v/>
      </c>
      <c r="CS120" s="97" t="str">
        <f t="shared" si="127"/>
        <v/>
      </c>
      <c r="CT120" s="97" t="str">
        <f t="shared" si="127"/>
        <v/>
      </c>
      <c r="CU120" s="97" t="str">
        <f t="shared" si="127"/>
        <v/>
      </c>
      <c r="CV120" s="97" t="str">
        <f t="shared" si="127"/>
        <v/>
      </c>
      <c r="CW120" s="97" t="str">
        <f t="shared" si="127"/>
        <v/>
      </c>
      <c r="CX120" s="98" t="str">
        <f t="shared" si="127"/>
        <v/>
      </c>
      <c r="CY120" s="392"/>
    </row>
    <row r="121" spans="1:103" x14ac:dyDescent="0.25">
      <c r="A121" s="81" t="s">
        <v>242</v>
      </c>
      <c r="B121" s="82" t="s">
        <v>245</v>
      </c>
      <c r="C121" s="83" t="s">
        <v>246</v>
      </c>
      <c r="D121" s="84"/>
      <c r="E121" s="85"/>
      <c r="F121" s="85"/>
      <c r="G121" s="85"/>
      <c r="H121" s="85"/>
      <c r="I121" s="85">
        <v>0</v>
      </c>
      <c r="J121" s="85">
        <v>0</v>
      </c>
      <c r="K121" s="85">
        <v>0</v>
      </c>
      <c r="L121" s="85">
        <v>0</v>
      </c>
      <c r="M121" s="654">
        <f>'2022-23 Input'!D121</f>
        <v>0</v>
      </c>
      <c r="N121" s="1065">
        <v>0</v>
      </c>
      <c r="O121" s="560">
        <f t="shared" si="101"/>
        <v>0</v>
      </c>
      <c r="P121" s="561">
        <f t="shared" si="75"/>
        <v>0</v>
      </c>
      <c r="Q121" s="561">
        <f t="shared" si="76"/>
        <v>0</v>
      </c>
      <c r="R121" s="561">
        <f t="shared" si="77"/>
        <v>0</v>
      </c>
      <c r="S121" s="561">
        <f t="shared" si="78"/>
        <v>0</v>
      </c>
      <c r="T121" s="561">
        <f t="shared" si="79"/>
        <v>0</v>
      </c>
      <c r="U121" s="561">
        <f t="shared" si="80"/>
        <v>0</v>
      </c>
      <c r="V121" s="561">
        <f t="shared" si="81"/>
        <v>0</v>
      </c>
      <c r="W121" s="675">
        <f t="shared" si="82"/>
        <v>0</v>
      </c>
      <c r="X121" s="675">
        <f t="shared" si="83"/>
        <v>0</v>
      </c>
      <c r="Y121" s="675">
        <f t="shared" si="83"/>
        <v>0</v>
      </c>
      <c r="Z121" s="86"/>
      <c r="AA121" s="87"/>
      <c r="AB121" s="87"/>
      <c r="AC121" s="87"/>
      <c r="AD121" s="87"/>
      <c r="AE121" s="87">
        <v>0</v>
      </c>
      <c r="AF121" s="87">
        <v>0</v>
      </c>
      <c r="AG121" s="87">
        <v>0</v>
      </c>
      <c r="AH121" s="87">
        <v>0</v>
      </c>
      <c r="AI121" s="1094">
        <f>'2022-23 Input'!K121</f>
        <v>0</v>
      </c>
      <c r="AJ121" s="665">
        <v>0</v>
      </c>
      <c r="AK121" s="88">
        <f t="shared" si="111"/>
        <v>0</v>
      </c>
      <c r="AL121" s="89">
        <f t="shared" si="112"/>
        <v>0</v>
      </c>
      <c r="AM121" s="90">
        <f t="shared" si="113"/>
        <v>0</v>
      </c>
      <c r="AN121" s="91" t="str">
        <f t="shared" si="114"/>
        <v/>
      </c>
      <c r="AO121" s="92" t="str">
        <f t="shared" si="115"/>
        <v/>
      </c>
      <c r="AP121" s="92" t="str">
        <f t="shared" si="116"/>
        <v/>
      </c>
      <c r="AQ121" s="92" t="str">
        <f t="shared" si="117"/>
        <v/>
      </c>
      <c r="AR121" s="92" t="str">
        <f t="shared" si="118"/>
        <v/>
      </c>
      <c r="AS121" s="92" t="str">
        <f t="shared" si="119"/>
        <v/>
      </c>
      <c r="AT121" s="92" t="str">
        <f t="shared" si="120"/>
        <v/>
      </c>
      <c r="AU121" s="92" t="str">
        <f t="shared" si="121"/>
        <v/>
      </c>
      <c r="AV121" s="92" t="str">
        <f t="shared" si="129"/>
        <v/>
      </c>
      <c r="AW121" s="92" t="str">
        <f t="shared" si="129"/>
        <v/>
      </c>
      <c r="AX121" s="92" t="str">
        <f t="shared" si="129"/>
        <v/>
      </c>
      <c r="AY121" s="93" t="str">
        <f t="shared" si="123"/>
        <v/>
      </c>
      <c r="AZ121" s="94" t="str">
        <f t="shared" si="124"/>
        <v/>
      </c>
      <c r="BA121" s="95" t="str">
        <f t="shared" si="125"/>
        <v/>
      </c>
      <c r="BB121" s="248" t="s">
        <v>422</v>
      </c>
      <c r="BC121" s="229" t="s">
        <v>433</v>
      </c>
      <c r="BD121" s="249">
        <v>0</v>
      </c>
      <c r="BE121" s="267">
        <f t="shared" si="102"/>
        <v>0</v>
      </c>
      <c r="BF121" s="268">
        <f t="shared" si="130"/>
        <v>0</v>
      </c>
      <c r="BG121" s="268">
        <f t="shared" si="130"/>
        <v>0</v>
      </c>
      <c r="BH121" s="268">
        <f t="shared" si="130"/>
        <v>1</v>
      </c>
      <c r="BI121" s="268">
        <f t="shared" si="130"/>
        <v>2</v>
      </c>
      <c r="BJ121" s="268">
        <f t="shared" si="130"/>
        <v>3</v>
      </c>
      <c r="BK121" s="268">
        <f t="shared" si="130"/>
        <v>4</v>
      </c>
      <c r="BL121" s="269">
        <f t="shared" si="130"/>
        <v>5</v>
      </c>
      <c r="BM121" s="256">
        <f>IF($BC121=Lookup!$A$2,$BD121*ROUNDUP(BE121/10,0)+1,
IF($BC121=Lookup!$A$3,($BD121+1)^BD121,
IF($BC121=Lookup!$A$4,BE121*$BD121+1,"Error")))</f>
        <v>1</v>
      </c>
      <c r="BN121" s="229">
        <f>IF($BC121=Lookup!$A$2,$BD121*ROUNDUP(BF121/10,0)+1,
IF($BC121=Lookup!$A$3,($BD121+1)^BE121,
IF($BC121=Lookup!$A$4,BF121*$BD121+1,"Error")))</f>
        <v>1</v>
      </c>
      <c r="BO121" s="229">
        <f>IF($BC121=Lookup!$A$2,$BD121*ROUNDUP(BG121/10,0)+1,
IF($BC121=Lookup!$A$3,($BD121+1)^BF121,
IF($BC121=Lookup!$A$4,BG121*$BD121+1,"Error")))</f>
        <v>1</v>
      </c>
      <c r="BP121" s="229">
        <f>IF($BC121=Lookup!$A$2,$BD121*ROUNDUP(BH121/10,0)+1,
IF($BC121=Lookup!$A$3,($BD121+1)^BG121,
IF($BC121=Lookup!$A$4,BH121*$BD121+1,"Error")))</f>
        <v>1</v>
      </c>
      <c r="BQ121" s="229">
        <f>IF($BC121=Lookup!$A$2,$BD121*ROUNDUP(BI121/10,0)+1,
IF($BC121=Lookup!$A$3,($BD121+1)^BH121,
IF($BC121=Lookup!$A$4,BI121*$BD121+1,"Error")))</f>
        <v>1</v>
      </c>
      <c r="BR121" s="229">
        <f>IF($BC121=Lookup!$A$2,$BD121*ROUNDUP(BJ121/10,0)+1,
IF($BC121=Lookup!$A$3,($BD121+1)^BI121,
IF($BC121=Lookup!$A$4,BJ121*$BD121+1,"Error")))</f>
        <v>1</v>
      </c>
      <c r="BS121" s="229">
        <f>IF($BC121=Lookup!$A$2,$BD121*ROUNDUP(BK121/10,0)+1,
IF($BC121=Lookup!$A$3,($BD121+1)^BJ121,
IF($BC121=Lookup!$A$4,BK121*$BD121+1,"Error")))</f>
        <v>1</v>
      </c>
      <c r="BT121" s="249">
        <f>IF($BC121=Lookup!$A$2,$BD121*ROUNDUP(BL121/10,0)+1,
IF($BC121=Lookup!$A$3,($BD121+1)^BK121,
IF($BC121=Lookup!$A$4,BL121*$BD121+1,"Error")))</f>
        <v>1</v>
      </c>
      <c r="BU121" s="320">
        <v>0</v>
      </c>
      <c r="BV121" s="321">
        <v>0</v>
      </c>
      <c r="BW121" s="321">
        <v>0</v>
      </c>
      <c r="BX121" s="321">
        <v>0</v>
      </c>
      <c r="BY121" s="321">
        <v>0</v>
      </c>
      <c r="BZ121" s="321">
        <v>0</v>
      </c>
      <c r="CA121" s="321">
        <v>0</v>
      </c>
      <c r="CB121" s="277">
        <v>0</v>
      </c>
      <c r="CC121" s="382" t="s">
        <v>293</v>
      </c>
      <c r="CD121" s="383">
        <f>HLOOKUP($CC121,$AK$6:$AM$132,ROWS(CD$6:CD121),0)</f>
        <v>0</v>
      </c>
      <c r="CE121" s="234">
        <f t="shared" si="103"/>
        <v>0</v>
      </c>
      <c r="CF121" s="96">
        <f t="shared" si="103"/>
        <v>0</v>
      </c>
      <c r="CG121" s="96">
        <f t="shared" si="103"/>
        <v>0</v>
      </c>
      <c r="CH121" s="96">
        <f t="shared" si="103"/>
        <v>0</v>
      </c>
      <c r="CI121" s="96">
        <f t="shared" si="103"/>
        <v>0</v>
      </c>
      <c r="CJ121" s="96">
        <f t="shared" si="103"/>
        <v>0</v>
      </c>
      <c r="CK121" s="96">
        <f t="shared" si="103"/>
        <v>0</v>
      </c>
      <c r="CL121" s="286">
        <f t="shared" si="128"/>
        <v>0</v>
      </c>
      <c r="CM121" s="305" t="s">
        <v>293</v>
      </c>
      <c r="CN121" s="315">
        <v>0.05</v>
      </c>
      <c r="CO121" s="306"/>
      <c r="CP121" s="307" t="str">
        <f>IF($CO121&lt;&gt;"",$CO121,HLOOKUP($CM121,$AY$6:$BA$132,ROWS(CP$6:CP121),0))</f>
        <v/>
      </c>
      <c r="CQ121" s="784" t="str">
        <f t="shared" si="127"/>
        <v/>
      </c>
      <c r="CR121" s="784" t="str">
        <f t="shared" si="127"/>
        <v/>
      </c>
      <c r="CS121" s="97" t="str">
        <f t="shared" si="127"/>
        <v/>
      </c>
      <c r="CT121" s="97" t="str">
        <f t="shared" si="127"/>
        <v/>
      </c>
      <c r="CU121" s="97" t="str">
        <f t="shared" si="127"/>
        <v/>
      </c>
      <c r="CV121" s="97" t="str">
        <f t="shared" si="127"/>
        <v/>
      </c>
      <c r="CW121" s="97" t="str">
        <f t="shared" si="127"/>
        <v/>
      </c>
      <c r="CX121" s="98" t="str">
        <f t="shared" si="127"/>
        <v/>
      </c>
      <c r="CY121" s="392"/>
    </row>
    <row r="122" spans="1:103" x14ac:dyDescent="0.25">
      <c r="A122" s="81" t="s">
        <v>242</v>
      </c>
      <c r="B122" s="82" t="s">
        <v>247</v>
      </c>
      <c r="C122" s="83" t="s">
        <v>248</v>
      </c>
      <c r="D122" s="84"/>
      <c r="E122" s="85"/>
      <c r="F122" s="85"/>
      <c r="G122" s="85"/>
      <c r="H122" s="85"/>
      <c r="I122" s="85">
        <v>0</v>
      </c>
      <c r="J122" s="85">
        <v>0</v>
      </c>
      <c r="K122" s="85">
        <v>0</v>
      </c>
      <c r="L122" s="85">
        <v>0</v>
      </c>
      <c r="M122" s="654">
        <f>'2022-23 Input'!D122</f>
        <v>0</v>
      </c>
      <c r="N122" s="1065">
        <v>0</v>
      </c>
      <c r="O122" s="560">
        <f t="shared" si="101"/>
        <v>0</v>
      </c>
      <c r="P122" s="561">
        <f t="shared" si="75"/>
        <v>0</v>
      </c>
      <c r="Q122" s="561">
        <f t="shared" si="76"/>
        <v>0</v>
      </c>
      <c r="R122" s="561">
        <f t="shared" si="77"/>
        <v>0</v>
      </c>
      <c r="S122" s="561">
        <f t="shared" si="78"/>
        <v>0</v>
      </c>
      <c r="T122" s="561">
        <f t="shared" si="79"/>
        <v>0</v>
      </c>
      <c r="U122" s="561">
        <f t="shared" si="80"/>
        <v>0</v>
      </c>
      <c r="V122" s="561">
        <f t="shared" si="81"/>
        <v>0</v>
      </c>
      <c r="W122" s="675">
        <f t="shared" si="82"/>
        <v>0</v>
      </c>
      <c r="X122" s="675">
        <f t="shared" si="83"/>
        <v>0</v>
      </c>
      <c r="Y122" s="675">
        <f t="shared" si="83"/>
        <v>0</v>
      </c>
      <c r="Z122" s="86"/>
      <c r="AA122" s="87"/>
      <c r="AB122" s="87"/>
      <c r="AC122" s="87"/>
      <c r="AD122" s="87"/>
      <c r="AE122" s="87">
        <v>0</v>
      </c>
      <c r="AF122" s="87">
        <v>0</v>
      </c>
      <c r="AG122" s="87">
        <v>0</v>
      </c>
      <c r="AH122" s="87">
        <v>0</v>
      </c>
      <c r="AI122" s="1094">
        <f>'2022-23 Input'!K122</f>
        <v>0</v>
      </c>
      <c r="AJ122" s="665">
        <v>0</v>
      </c>
      <c r="AK122" s="88">
        <f t="shared" si="111"/>
        <v>0</v>
      </c>
      <c r="AL122" s="89">
        <f t="shared" si="112"/>
        <v>0</v>
      </c>
      <c r="AM122" s="90">
        <f t="shared" si="113"/>
        <v>0</v>
      </c>
      <c r="AN122" s="91" t="str">
        <f t="shared" si="114"/>
        <v/>
      </c>
      <c r="AO122" s="92" t="str">
        <f t="shared" si="115"/>
        <v/>
      </c>
      <c r="AP122" s="92" t="str">
        <f t="shared" si="116"/>
        <v/>
      </c>
      <c r="AQ122" s="92" t="str">
        <f t="shared" si="117"/>
        <v/>
      </c>
      <c r="AR122" s="92" t="str">
        <f t="shared" si="118"/>
        <v/>
      </c>
      <c r="AS122" s="92" t="str">
        <f t="shared" si="119"/>
        <v/>
      </c>
      <c r="AT122" s="92" t="str">
        <f t="shared" si="120"/>
        <v/>
      </c>
      <c r="AU122" s="92" t="str">
        <f t="shared" si="121"/>
        <v/>
      </c>
      <c r="AV122" s="92" t="str">
        <f t="shared" si="129"/>
        <v/>
      </c>
      <c r="AW122" s="92" t="str">
        <f t="shared" si="129"/>
        <v/>
      </c>
      <c r="AX122" s="92" t="str">
        <f t="shared" si="129"/>
        <v/>
      </c>
      <c r="AY122" s="93" t="str">
        <f t="shared" si="123"/>
        <v/>
      </c>
      <c r="AZ122" s="94" t="str">
        <f t="shared" si="124"/>
        <v/>
      </c>
      <c r="BA122" s="95" t="str">
        <f t="shared" si="125"/>
        <v/>
      </c>
      <c r="BB122" s="248" t="s">
        <v>422</v>
      </c>
      <c r="BC122" s="229" t="s">
        <v>433</v>
      </c>
      <c r="BD122" s="249">
        <v>0</v>
      </c>
      <c r="BE122" s="267">
        <f t="shared" si="102"/>
        <v>0</v>
      </c>
      <c r="BF122" s="268">
        <f t="shared" si="130"/>
        <v>0</v>
      </c>
      <c r="BG122" s="268">
        <f t="shared" si="130"/>
        <v>0</v>
      </c>
      <c r="BH122" s="268">
        <f t="shared" si="130"/>
        <v>1</v>
      </c>
      <c r="BI122" s="268">
        <f t="shared" si="130"/>
        <v>2</v>
      </c>
      <c r="BJ122" s="268">
        <f t="shared" si="130"/>
        <v>3</v>
      </c>
      <c r="BK122" s="268">
        <f t="shared" si="130"/>
        <v>4</v>
      </c>
      <c r="BL122" s="269">
        <f t="shared" si="130"/>
        <v>5</v>
      </c>
      <c r="BM122" s="256">
        <f>IF($BC122=Lookup!$A$2,$BD122*ROUNDUP(BE122/10,0)+1,
IF($BC122=Lookup!$A$3,($BD122+1)^BD122,
IF($BC122=Lookup!$A$4,BE122*$BD122+1,"Error")))</f>
        <v>1</v>
      </c>
      <c r="BN122" s="229">
        <f>IF($BC122=Lookup!$A$2,$BD122*ROUNDUP(BF122/10,0)+1,
IF($BC122=Lookup!$A$3,($BD122+1)^BE122,
IF($BC122=Lookup!$A$4,BF122*$BD122+1,"Error")))</f>
        <v>1</v>
      </c>
      <c r="BO122" s="229">
        <f>IF($BC122=Lookup!$A$2,$BD122*ROUNDUP(BG122/10,0)+1,
IF($BC122=Lookup!$A$3,($BD122+1)^BF122,
IF($BC122=Lookup!$A$4,BG122*$BD122+1,"Error")))</f>
        <v>1</v>
      </c>
      <c r="BP122" s="229">
        <f>IF($BC122=Lookup!$A$2,$BD122*ROUNDUP(BH122/10,0)+1,
IF($BC122=Lookup!$A$3,($BD122+1)^BG122,
IF($BC122=Lookup!$A$4,BH122*$BD122+1,"Error")))</f>
        <v>1</v>
      </c>
      <c r="BQ122" s="229">
        <f>IF($BC122=Lookup!$A$2,$BD122*ROUNDUP(BI122/10,0)+1,
IF($BC122=Lookup!$A$3,($BD122+1)^BH122,
IF($BC122=Lookup!$A$4,BI122*$BD122+1,"Error")))</f>
        <v>1</v>
      </c>
      <c r="BR122" s="229">
        <f>IF($BC122=Lookup!$A$2,$BD122*ROUNDUP(BJ122/10,0)+1,
IF($BC122=Lookup!$A$3,($BD122+1)^BI122,
IF($BC122=Lookup!$A$4,BJ122*$BD122+1,"Error")))</f>
        <v>1</v>
      </c>
      <c r="BS122" s="229">
        <f>IF($BC122=Lookup!$A$2,$BD122*ROUNDUP(BK122/10,0)+1,
IF($BC122=Lookup!$A$3,($BD122+1)^BJ122,
IF($BC122=Lookup!$A$4,BK122*$BD122+1,"Error")))</f>
        <v>1</v>
      </c>
      <c r="BT122" s="249">
        <f>IF($BC122=Lookup!$A$2,$BD122*ROUNDUP(BL122/10,0)+1,
IF($BC122=Lookup!$A$3,($BD122+1)^BK122,
IF($BC122=Lookup!$A$4,BL122*$BD122+1,"Error")))</f>
        <v>1</v>
      </c>
      <c r="BU122" s="320">
        <v>0</v>
      </c>
      <c r="BV122" s="321">
        <v>0</v>
      </c>
      <c r="BW122" s="321">
        <v>0</v>
      </c>
      <c r="BX122" s="321">
        <v>0</v>
      </c>
      <c r="BY122" s="321">
        <v>0</v>
      </c>
      <c r="BZ122" s="321">
        <v>0</v>
      </c>
      <c r="CA122" s="321">
        <v>0</v>
      </c>
      <c r="CB122" s="277">
        <v>0</v>
      </c>
      <c r="CC122" s="382" t="s">
        <v>293</v>
      </c>
      <c r="CD122" s="383">
        <f>HLOOKUP($CC122,$AK$6:$AM$132,ROWS(CD$6:CD122),0)</f>
        <v>0</v>
      </c>
      <c r="CE122" s="234">
        <f t="shared" si="103"/>
        <v>0</v>
      </c>
      <c r="CF122" s="96">
        <f t="shared" si="103"/>
        <v>0</v>
      </c>
      <c r="CG122" s="96">
        <f t="shared" si="103"/>
        <v>0</v>
      </c>
      <c r="CH122" s="96">
        <f t="shared" si="103"/>
        <v>0</v>
      </c>
      <c r="CI122" s="96">
        <f t="shared" si="103"/>
        <v>0</v>
      </c>
      <c r="CJ122" s="96">
        <f t="shared" si="103"/>
        <v>0</v>
      </c>
      <c r="CK122" s="96">
        <f t="shared" si="103"/>
        <v>0</v>
      </c>
      <c r="CL122" s="286">
        <f t="shared" si="128"/>
        <v>0</v>
      </c>
      <c r="CM122" s="305" t="s">
        <v>293</v>
      </c>
      <c r="CN122" s="315">
        <v>0.05</v>
      </c>
      <c r="CO122" s="306"/>
      <c r="CP122" s="307" t="str">
        <f>IF($CO122&lt;&gt;"",$CO122,HLOOKUP($CM122,$AY$6:$BA$132,ROWS(CP$6:CP122),0))</f>
        <v/>
      </c>
      <c r="CQ122" s="784" t="str">
        <f t="shared" si="127"/>
        <v/>
      </c>
      <c r="CR122" s="784" t="str">
        <f t="shared" si="127"/>
        <v/>
      </c>
      <c r="CS122" s="97" t="str">
        <f t="shared" si="127"/>
        <v/>
      </c>
      <c r="CT122" s="97" t="str">
        <f t="shared" si="127"/>
        <v/>
      </c>
      <c r="CU122" s="97" t="str">
        <f t="shared" si="127"/>
        <v/>
      </c>
      <c r="CV122" s="97" t="str">
        <f t="shared" si="127"/>
        <v/>
      </c>
      <c r="CW122" s="97" t="str">
        <f t="shared" si="127"/>
        <v/>
      </c>
      <c r="CX122" s="98" t="str">
        <f t="shared" si="127"/>
        <v/>
      </c>
      <c r="CY122" s="392"/>
    </row>
    <row r="123" spans="1:103" x14ac:dyDescent="0.25">
      <c r="A123" s="81" t="s">
        <v>242</v>
      </c>
      <c r="B123" s="82" t="s">
        <v>249</v>
      </c>
      <c r="C123" s="83" t="s">
        <v>250</v>
      </c>
      <c r="D123" s="84"/>
      <c r="E123" s="85"/>
      <c r="F123" s="85"/>
      <c r="G123" s="85"/>
      <c r="H123" s="85"/>
      <c r="I123" s="85">
        <v>0</v>
      </c>
      <c r="J123" s="85">
        <v>0</v>
      </c>
      <c r="K123" s="85">
        <v>0</v>
      </c>
      <c r="L123" s="85">
        <v>0</v>
      </c>
      <c r="M123" s="654">
        <f>'2022-23 Input'!D123</f>
        <v>0</v>
      </c>
      <c r="N123" s="1065">
        <v>0</v>
      </c>
      <c r="O123" s="560">
        <f t="shared" si="101"/>
        <v>0</v>
      </c>
      <c r="P123" s="561">
        <f t="shared" si="75"/>
        <v>0</v>
      </c>
      <c r="Q123" s="561">
        <f t="shared" si="76"/>
        <v>0</v>
      </c>
      <c r="R123" s="561">
        <f t="shared" si="77"/>
        <v>0</v>
      </c>
      <c r="S123" s="561">
        <f t="shared" si="78"/>
        <v>0</v>
      </c>
      <c r="T123" s="561">
        <f t="shared" si="79"/>
        <v>0</v>
      </c>
      <c r="U123" s="561">
        <f t="shared" si="80"/>
        <v>0</v>
      </c>
      <c r="V123" s="561">
        <f t="shared" si="81"/>
        <v>0</v>
      </c>
      <c r="W123" s="675">
        <f t="shared" si="82"/>
        <v>0</v>
      </c>
      <c r="X123" s="675">
        <f t="shared" si="83"/>
        <v>0</v>
      </c>
      <c r="Y123" s="675">
        <f t="shared" si="83"/>
        <v>0</v>
      </c>
      <c r="Z123" s="86"/>
      <c r="AA123" s="87"/>
      <c r="AB123" s="87"/>
      <c r="AC123" s="87"/>
      <c r="AD123" s="87"/>
      <c r="AE123" s="87">
        <v>0</v>
      </c>
      <c r="AF123" s="87">
        <v>0</v>
      </c>
      <c r="AG123" s="87">
        <v>0</v>
      </c>
      <c r="AH123" s="87">
        <v>0</v>
      </c>
      <c r="AI123" s="1094">
        <f>'2022-23 Input'!K123</f>
        <v>0</v>
      </c>
      <c r="AJ123" s="665">
        <v>0</v>
      </c>
      <c r="AK123" s="88">
        <f t="shared" si="111"/>
        <v>0</v>
      </c>
      <c r="AL123" s="89">
        <f t="shared" si="112"/>
        <v>0</v>
      </c>
      <c r="AM123" s="90">
        <f t="shared" si="113"/>
        <v>0</v>
      </c>
      <c r="AN123" s="91" t="str">
        <f t="shared" si="114"/>
        <v/>
      </c>
      <c r="AO123" s="92" t="str">
        <f t="shared" si="115"/>
        <v/>
      </c>
      <c r="AP123" s="92" t="str">
        <f t="shared" si="116"/>
        <v/>
      </c>
      <c r="AQ123" s="92" t="str">
        <f t="shared" si="117"/>
        <v/>
      </c>
      <c r="AR123" s="92" t="str">
        <f t="shared" si="118"/>
        <v/>
      </c>
      <c r="AS123" s="92" t="str">
        <f t="shared" si="119"/>
        <v/>
      </c>
      <c r="AT123" s="92" t="str">
        <f t="shared" si="120"/>
        <v/>
      </c>
      <c r="AU123" s="92" t="str">
        <f t="shared" si="121"/>
        <v/>
      </c>
      <c r="AV123" s="92" t="str">
        <f t="shared" si="129"/>
        <v/>
      </c>
      <c r="AW123" s="92" t="str">
        <f t="shared" si="129"/>
        <v/>
      </c>
      <c r="AX123" s="92" t="str">
        <f t="shared" si="129"/>
        <v/>
      </c>
      <c r="AY123" s="93" t="str">
        <f t="shared" si="123"/>
        <v/>
      </c>
      <c r="AZ123" s="94" t="str">
        <f t="shared" si="124"/>
        <v/>
      </c>
      <c r="BA123" s="95" t="str">
        <f t="shared" si="125"/>
        <v/>
      </c>
      <c r="BB123" s="248" t="s">
        <v>422</v>
      </c>
      <c r="BC123" s="229" t="s">
        <v>433</v>
      </c>
      <c r="BD123" s="249">
        <v>0</v>
      </c>
      <c r="BE123" s="267">
        <f t="shared" si="102"/>
        <v>0</v>
      </c>
      <c r="BF123" s="268">
        <f t="shared" si="130"/>
        <v>0</v>
      </c>
      <c r="BG123" s="268">
        <f t="shared" si="130"/>
        <v>0</v>
      </c>
      <c r="BH123" s="268">
        <f t="shared" si="130"/>
        <v>1</v>
      </c>
      <c r="BI123" s="268">
        <f t="shared" si="130"/>
        <v>2</v>
      </c>
      <c r="BJ123" s="268">
        <f t="shared" si="130"/>
        <v>3</v>
      </c>
      <c r="BK123" s="268">
        <f t="shared" si="130"/>
        <v>4</v>
      </c>
      <c r="BL123" s="269">
        <f t="shared" si="130"/>
        <v>5</v>
      </c>
      <c r="BM123" s="256">
        <f>IF($BC123=Lookup!$A$2,$BD123*ROUNDUP(BE123/10,0)+1,
IF($BC123=Lookup!$A$3,($BD123+1)^BD123,
IF($BC123=Lookup!$A$4,BE123*$BD123+1,"Error")))</f>
        <v>1</v>
      </c>
      <c r="BN123" s="229">
        <f>IF($BC123=Lookup!$A$2,$BD123*ROUNDUP(BF123/10,0)+1,
IF($BC123=Lookup!$A$3,($BD123+1)^BE123,
IF($BC123=Lookup!$A$4,BF123*$BD123+1,"Error")))</f>
        <v>1</v>
      </c>
      <c r="BO123" s="229">
        <f>IF($BC123=Lookup!$A$2,$BD123*ROUNDUP(BG123/10,0)+1,
IF($BC123=Lookup!$A$3,($BD123+1)^BF123,
IF($BC123=Lookup!$A$4,BG123*$BD123+1,"Error")))</f>
        <v>1</v>
      </c>
      <c r="BP123" s="229">
        <f>IF($BC123=Lookup!$A$2,$BD123*ROUNDUP(BH123/10,0)+1,
IF($BC123=Lookup!$A$3,($BD123+1)^BG123,
IF($BC123=Lookup!$A$4,BH123*$BD123+1,"Error")))</f>
        <v>1</v>
      </c>
      <c r="BQ123" s="229">
        <f>IF($BC123=Lookup!$A$2,$BD123*ROUNDUP(BI123/10,0)+1,
IF($BC123=Lookup!$A$3,($BD123+1)^BH123,
IF($BC123=Lookup!$A$4,BI123*$BD123+1,"Error")))</f>
        <v>1</v>
      </c>
      <c r="BR123" s="229">
        <f>IF($BC123=Lookup!$A$2,$BD123*ROUNDUP(BJ123/10,0)+1,
IF($BC123=Lookup!$A$3,($BD123+1)^BI123,
IF($BC123=Lookup!$A$4,BJ123*$BD123+1,"Error")))</f>
        <v>1</v>
      </c>
      <c r="BS123" s="229">
        <f>IF($BC123=Lookup!$A$2,$BD123*ROUNDUP(BK123/10,0)+1,
IF($BC123=Lookup!$A$3,($BD123+1)^BJ123,
IF($BC123=Lookup!$A$4,BK123*$BD123+1,"Error")))</f>
        <v>1</v>
      </c>
      <c r="BT123" s="249">
        <f>IF($BC123=Lookup!$A$2,$BD123*ROUNDUP(BL123/10,0)+1,
IF($BC123=Lookup!$A$3,($BD123+1)^BK123,
IF($BC123=Lookup!$A$4,BL123*$BD123+1,"Error")))</f>
        <v>1</v>
      </c>
      <c r="BU123" s="320">
        <v>0</v>
      </c>
      <c r="BV123" s="321">
        <v>0</v>
      </c>
      <c r="BW123" s="321">
        <v>0</v>
      </c>
      <c r="BX123" s="321">
        <v>0</v>
      </c>
      <c r="BY123" s="321">
        <v>0</v>
      </c>
      <c r="BZ123" s="321">
        <v>0</v>
      </c>
      <c r="CA123" s="321">
        <v>0</v>
      </c>
      <c r="CB123" s="277">
        <v>0</v>
      </c>
      <c r="CC123" s="382" t="s">
        <v>293</v>
      </c>
      <c r="CD123" s="383">
        <f>HLOOKUP($CC123,$AK$6:$AM$132,ROWS(CD$6:CD123),0)</f>
        <v>0</v>
      </c>
      <c r="CE123" s="234">
        <f t="shared" si="103"/>
        <v>0</v>
      </c>
      <c r="CF123" s="96">
        <f t="shared" si="103"/>
        <v>0</v>
      </c>
      <c r="CG123" s="96">
        <f t="shared" si="103"/>
        <v>0</v>
      </c>
      <c r="CH123" s="96">
        <f t="shared" ref="CH123:CK132" si="131">IFERROR(IF(BX123&lt;&gt;"",BX123,BP123*$CD123),"")</f>
        <v>0</v>
      </c>
      <c r="CI123" s="96">
        <f t="shared" si="131"/>
        <v>0</v>
      </c>
      <c r="CJ123" s="96">
        <f t="shared" si="131"/>
        <v>0</v>
      </c>
      <c r="CK123" s="96">
        <f t="shared" si="131"/>
        <v>0</v>
      </c>
      <c r="CL123" s="286">
        <f t="shared" si="128"/>
        <v>0</v>
      </c>
      <c r="CM123" s="305" t="s">
        <v>293</v>
      </c>
      <c r="CN123" s="315">
        <v>0.05</v>
      </c>
      <c r="CO123" s="306"/>
      <c r="CP123" s="307" t="str">
        <f>IF($CO123&lt;&gt;"",$CO123,HLOOKUP($CM123,$AY$6:$BA$132,ROWS(CP$6:CP123),0))</f>
        <v/>
      </c>
      <c r="CQ123" s="784" t="str">
        <f t="shared" si="127"/>
        <v/>
      </c>
      <c r="CR123" s="784" t="str">
        <f t="shared" si="127"/>
        <v/>
      </c>
      <c r="CS123" s="97" t="str">
        <f t="shared" si="127"/>
        <v/>
      </c>
      <c r="CT123" s="97" t="str">
        <f t="shared" si="127"/>
        <v/>
      </c>
      <c r="CU123" s="97" t="str">
        <f t="shared" si="127"/>
        <v/>
      </c>
      <c r="CV123" s="97" t="str">
        <f t="shared" si="127"/>
        <v/>
      </c>
      <c r="CW123" s="97" t="str">
        <f t="shared" si="127"/>
        <v/>
      </c>
      <c r="CX123" s="98" t="str">
        <f t="shared" si="127"/>
        <v/>
      </c>
      <c r="CY123" s="392"/>
    </row>
    <row r="124" spans="1:103" x14ac:dyDescent="0.25">
      <c r="A124" s="81" t="s">
        <v>242</v>
      </c>
      <c r="B124" s="82" t="s">
        <v>251</v>
      </c>
      <c r="C124" s="83" t="s">
        <v>252</v>
      </c>
      <c r="D124" s="84"/>
      <c r="E124" s="85"/>
      <c r="F124" s="85"/>
      <c r="G124" s="85"/>
      <c r="H124" s="85"/>
      <c r="I124" s="85">
        <v>0</v>
      </c>
      <c r="J124" s="85">
        <v>0</v>
      </c>
      <c r="K124" s="85">
        <v>0</v>
      </c>
      <c r="L124" s="85">
        <v>115228.61698219899</v>
      </c>
      <c r="M124" s="654">
        <f>'2022-23 Input'!D124</f>
        <v>1885486.8175244262</v>
      </c>
      <c r="N124" s="1065">
        <v>0</v>
      </c>
      <c r="O124" s="560">
        <f t="shared" si="101"/>
        <v>0</v>
      </c>
      <c r="P124" s="561">
        <f t="shared" si="75"/>
        <v>0</v>
      </c>
      <c r="Q124" s="561">
        <f t="shared" si="76"/>
        <v>0</v>
      </c>
      <c r="R124" s="561">
        <f t="shared" si="77"/>
        <v>0</v>
      </c>
      <c r="S124" s="561">
        <f t="shared" si="78"/>
        <v>0</v>
      </c>
      <c r="T124" s="561">
        <f t="shared" si="79"/>
        <v>0</v>
      </c>
      <c r="U124" s="561">
        <f t="shared" si="80"/>
        <v>0</v>
      </c>
      <c r="V124" s="561">
        <f t="shared" si="81"/>
        <v>0</v>
      </c>
      <c r="W124" s="675">
        <f t="shared" si="82"/>
        <v>130199.95246121319</v>
      </c>
      <c r="X124" s="675">
        <f t="shared" si="83"/>
        <v>2005141.5570989633</v>
      </c>
      <c r="Y124" s="675">
        <f t="shared" si="83"/>
        <v>0</v>
      </c>
      <c r="Z124" s="86"/>
      <c r="AA124" s="87"/>
      <c r="AB124" s="87"/>
      <c r="AC124" s="87"/>
      <c r="AD124" s="87"/>
      <c r="AE124" s="87">
        <v>0</v>
      </c>
      <c r="AF124" s="87">
        <v>0</v>
      </c>
      <c r="AG124" s="87">
        <v>0</v>
      </c>
      <c r="AH124" s="87">
        <v>2932</v>
      </c>
      <c r="AI124" s="1094">
        <f>'2022-23 Input'!K124</f>
        <v>0</v>
      </c>
      <c r="AJ124" s="665">
        <v>127450</v>
      </c>
      <c r="AK124" s="88">
        <f t="shared" si="111"/>
        <v>586.4</v>
      </c>
      <c r="AL124" s="89">
        <f t="shared" si="112"/>
        <v>977.33333333333337</v>
      </c>
      <c r="AM124" s="90">
        <f t="shared" si="113"/>
        <v>0</v>
      </c>
      <c r="AN124" s="91" t="str">
        <f t="shared" si="114"/>
        <v/>
      </c>
      <c r="AO124" s="92" t="str">
        <f t="shared" si="115"/>
        <v/>
      </c>
      <c r="AP124" s="92" t="str">
        <f t="shared" si="116"/>
        <v/>
      </c>
      <c r="AQ124" s="92" t="str">
        <f t="shared" si="117"/>
        <v/>
      </c>
      <c r="AR124" s="92" t="str">
        <f t="shared" si="118"/>
        <v/>
      </c>
      <c r="AS124" s="92" t="str">
        <f t="shared" si="119"/>
        <v/>
      </c>
      <c r="AT124" s="92" t="str">
        <f t="shared" si="120"/>
        <v/>
      </c>
      <c r="AU124" s="92" t="str">
        <f t="shared" si="121"/>
        <v/>
      </c>
      <c r="AV124" s="92">
        <f t="shared" si="129"/>
        <v>39.300346856138809</v>
      </c>
      <c r="AW124" s="92" t="str">
        <f t="shared" si="129"/>
        <v/>
      </c>
      <c r="AX124" s="92">
        <f t="shared" si="129"/>
        <v>0</v>
      </c>
      <c r="AY124" s="93">
        <f t="shared" si="123"/>
        <v>682.37224914959927</v>
      </c>
      <c r="AZ124" s="94">
        <f t="shared" si="124"/>
        <v>682.37224914959927</v>
      </c>
      <c r="BA124" s="95" t="str">
        <f t="shared" si="125"/>
        <v/>
      </c>
      <c r="BB124" s="248" t="s">
        <v>422</v>
      </c>
      <c r="BC124" s="229" t="s">
        <v>433</v>
      </c>
      <c r="BD124" s="249">
        <v>0</v>
      </c>
      <c r="BE124" s="267">
        <f t="shared" si="102"/>
        <v>0</v>
      </c>
      <c r="BF124" s="268">
        <f t="shared" si="130"/>
        <v>0</v>
      </c>
      <c r="BG124" s="268">
        <f t="shared" si="130"/>
        <v>0</v>
      </c>
      <c r="BH124" s="268">
        <f t="shared" si="130"/>
        <v>1</v>
      </c>
      <c r="BI124" s="268">
        <f t="shared" si="130"/>
        <v>2</v>
      </c>
      <c r="BJ124" s="268">
        <f t="shared" si="130"/>
        <v>3</v>
      </c>
      <c r="BK124" s="268">
        <f t="shared" si="130"/>
        <v>4</v>
      </c>
      <c r="BL124" s="269">
        <f t="shared" si="130"/>
        <v>5</v>
      </c>
      <c r="BM124" s="256">
        <f>IF($BC124=Lookup!$A$2,$BD124*ROUNDUP(BE124/10,0)+1,
IF($BC124=Lookup!$A$3,($BD124+1)^BD124,
IF($BC124=Lookup!$A$4,BE124*$BD124+1,"Error")))</f>
        <v>1</v>
      </c>
      <c r="BN124" s="229">
        <f>IF($BC124=Lookup!$A$2,$BD124*ROUNDUP(BF124/10,0)+1,
IF($BC124=Lookup!$A$3,($BD124+1)^BE124,
IF($BC124=Lookup!$A$4,BF124*$BD124+1,"Error")))</f>
        <v>1</v>
      </c>
      <c r="BO124" s="229">
        <f>IF($BC124=Lookup!$A$2,$BD124*ROUNDUP(BG124/10,0)+1,
IF($BC124=Lookup!$A$3,($BD124+1)^BF124,
IF($BC124=Lookup!$A$4,BG124*$BD124+1,"Error")))</f>
        <v>1</v>
      </c>
      <c r="BP124" s="229">
        <f>IF($BC124=Lookup!$A$2,$BD124*ROUNDUP(BH124/10,0)+1,
IF($BC124=Lookup!$A$3,($BD124+1)^BG124,
IF($BC124=Lookup!$A$4,BH124*$BD124+1,"Error")))</f>
        <v>1</v>
      </c>
      <c r="BQ124" s="229">
        <f>IF($BC124=Lookup!$A$2,$BD124*ROUNDUP(BI124/10,0)+1,
IF($BC124=Lookup!$A$3,($BD124+1)^BH124,
IF($BC124=Lookup!$A$4,BI124*$BD124+1,"Error")))</f>
        <v>1</v>
      </c>
      <c r="BR124" s="229">
        <f>IF($BC124=Lookup!$A$2,$BD124*ROUNDUP(BJ124/10,0)+1,
IF($BC124=Lookup!$A$3,($BD124+1)^BI124,
IF($BC124=Lookup!$A$4,BJ124*$BD124+1,"Error")))</f>
        <v>1</v>
      </c>
      <c r="BS124" s="229">
        <f>IF($BC124=Lookup!$A$2,$BD124*ROUNDUP(BK124/10,0)+1,
IF($BC124=Lookup!$A$3,($BD124+1)^BJ124,
IF($BC124=Lookup!$A$4,BK124*$BD124+1,"Error")))</f>
        <v>1</v>
      </c>
      <c r="BT124" s="249">
        <f>IF($BC124=Lookup!$A$2,$BD124*ROUNDUP(BL124/10,0)+1,
IF($BC124=Lookup!$A$3,($BD124+1)^BK124,
IF($BC124=Lookup!$A$4,BL124*$BD124+1,"Error")))</f>
        <v>1</v>
      </c>
      <c r="BU124" s="320">
        <v>0</v>
      </c>
      <c r="BV124" s="321">
        <v>0</v>
      </c>
      <c r="BW124" s="321">
        <v>0</v>
      </c>
      <c r="BX124" s="321">
        <v>0</v>
      </c>
      <c r="BY124" s="321">
        <v>0</v>
      </c>
      <c r="BZ124" s="321">
        <v>0</v>
      </c>
      <c r="CA124" s="321">
        <v>0</v>
      </c>
      <c r="CB124" s="277">
        <v>0</v>
      </c>
      <c r="CC124" s="382" t="s">
        <v>293</v>
      </c>
      <c r="CD124" s="383">
        <f>HLOOKUP($CC124,$AK$6:$AM$132,ROWS(CD$6:CD124),0)</f>
        <v>977.33333333333337</v>
      </c>
      <c r="CE124" s="234">
        <f t="shared" ref="CE124:CG132" si="132">IFERROR(IF(BU124&lt;&gt;"",BU124,BM124*$CD124),"")</f>
        <v>0</v>
      </c>
      <c r="CF124" s="96">
        <f t="shared" si="132"/>
        <v>0</v>
      </c>
      <c r="CG124" s="96">
        <f t="shared" si="132"/>
        <v>0</v>
      </c>
      <c r="CH124" s="96">
        <f t="shared" si="131"/>
        <v>0</v>
      </c>
      <c r="CI124" s="96">
        <f t="shared" si="131"/>
        <v>0</v>
      </c>
      <c r="CJ124" s="96">
        <f t="shared" si="131"/>
        <v>0</v>
      </c>
      <c r="CK124" s="96">
        <f t="shared" si="131"/>
        <v>0</v>
      </c>
      <c r="CL124" s="286">
        <f t="shared" si="128"/>
        <v>0</v>
      </c>
      <c r="CM124" s="305" t="s">
        <v>293</v>
      </c>
      <c r="CN124" s="315">
        <v>0.05</v>
      </c>
      <c r="CO124" s="306"/>
      <c r="CP124" s="307">
        <f>IF($CO124&lt;&gt;"",$CO124,HLOOKUP($CM124,$AY$6:$BA$132,ROWS(CP$6:CP124),0))</f>
        <v>682.37224914959927</v>
      </c>
      <c r="CQ124" s="784">
        <f t="shared" si="127"/>
        <v>0</v>
      </c>
      <c r="CR124" s="784">
        <f t="shared" si="127"/>
        <v>0</v>
      </c>
      <c r="CS124" s="97">
        <f t="shared" si="127"/>
        <v>0</v>
      </c>
      <c r="CT124" s="97">
        <f t="shared" si="127"/>
        <v>0</v>
      </c>
      <c r="CU124" s="97">
        <f t="shared" si="127"/>
        <v>0</v>
      </c>
      <c r="CV124" s="97">
        <f t="shared" si="127"/>
        <v>0</v>
      </c>
      <c r="CW124" s="97">
        <f t="shared" si="127"/>
        <v>0</v>
      </c>
      <c r="CX124" s="98">
        <f t="shared" si="127"/>
        <v>0</v>
      </c>
      <c r="CY124" s="392"/>
    </row>
    <row r="125" spans="1:103" x14ac:dyDescent="0.25">
      <c r="A125" s="81" t="s">
        <v>242</v>
      </c>
      <c r="B125" s="82" t="s">
        <v>253</v>
      </c>
      <c r="C125" s="83" t="s">
        <v>254</v>
      </c>
      <c r="D125" s="84"/>
      <c r="E125" s="85"/>
      <c r="F125" s="85"/>
      <c r="G125" s="85"/>
      <c r="H125" s="85"/>
      <c r="I125" s="85">
        <v>0</v>
      </c>
      <c r="J125" s="85">
        <v>0</v>
      </c>
      <c r="K125" s="85">
        <v>0</v>
      </c>
      <c r="L125" s="85">
        <v>0</v>
      </c>
      <c r="M125" s="654">
        <f>'2022-23 Input'!D125</f>
        <v>0</v>
      </c>
      <c r="N125" s="1065">
        <v>0</v>
      </c>
      <c r="O125" s="560">
        <f t="shared" si="101"/>
        <v>0</v>
      </c>
      <c r="P125" s="561">
        <f t="shared" si="75"/>
        <v>0</v>
      </c>
      <c r="Q125" s="561">
        <f t="shared" si="76"/>
        <v>0</v>
      </c>
      <c r="R125" s="561">
        <f t="shared" si="77"/>
        <v>0</v>
      </c>
      <c r="S125" s="561">
        <f t="shared" si="78"/>
        <v>0</v>
      </c>
      <c r="T125" s="561">
        <f t="shared" si="79"/>
        <v>0</v>
      </c>
      <c r="U125" s="561">
        <f t="shared" si="80"/>
        <v>0</v>
      </c>
      <c r="V125" s="561">
        <f t="shared" si="81"/>
        <v>0</v>
      </c>
      <c r="W125" s="675">
        <f t="shared" si="82"/>
        <v>0</v>
      </c>
      <c r="X125" s="675">
        <f t="shared" si="83"/>
        <v>0</v>
      </c>
      <c r="Y125" s="675">
        <f t="shared" si="83"/>
        <v>0</v>
      </c>
      <c r="Z125" s="86"/>
      <c r="AA125" s="87"/>
      <c r="AB125" s="87"/>
      <c r="AC125" s="87"/>
      <c r="AD125" s="87"/>
      <c r="AE125" s="87">
        <v>0</v>
      </c>
      <c r="AF125" s="87">
        <v>0</v>
      </c>
      <c r="AG125" s="87">
        <v>0</v>
      </c>
      <c r="AH125" s="87">
        <v>0</v>
      </c>
      <c r="AI125" s="1094">
        <f>'2022-23 Input'!K125</f>
        <v>0</v>
      </c>
      <c r="AJ125" s="665">
        <v>0</v>
      </c>
      <c r="AK125" s="88">
        <f t="shared" si="111"/>
        <v>0</v>
      </c>
      <c r="AL125" s="89">
        <f t="shared" si="112"/>
        <v>0</v>
      </c>
      <c r="AM125" s="90">
        <f t="shared" si="113"/>
        <v>0</v>
      </c>
      <c r="AN125" s="91" t="str">
        <f t="shared" si="114"/>
        <v/>
      </c>
      <c r="AO125" s="92" t="str">
        <f t="shared" si="115"/>
        <v/>
      </c>
      <c r="AP125" s="92" t="str">
        <f t="shared" si="116"/>
        <v/>
      </c>
      <c r="AQ125" s="92" t="str">
        <f t="shared" si="117"/>
        <v/>
      </c>
      <c r="AR125" s="92" t="str">
        <f t="shared" si="118"/>
        <v/>
      </c>
      <c r="AS125" s="92" t="str">
        <f t="shared" si="119"/>
        <v/>
      </c>
      <c r="AT125" s="92" t="str">
        <f t="shared" si="120"/>
        <v/>
      </c>
      <c r="AU125" s="92" t="str">
        <f t="shared" si="121"/>
        <v/>
      </c>
      <c r="AV125" s="92" t="str">
        <f t="shared" si="129"/>
        <v/>
      </c>
      <c r="AW125" s="92" t="str">
        <f t="shared" si="129"/>
        <v/>
      </c>
      <c r="AX125" s="92" t="str">
        <f t="shared" si="129"/>
        <v/>
      </c>
      <c r="AY125" s="93" t="str">
        <f t="shared" si="123"/>
        <v/>
      </c>
      <c r="AZ125" s="94" t="str">
        <f t="shared" si="124"/>
        <v/>
      </c>
      <c r="BA125" s="95" t="str">
        <f t="shared" si="125"/>
        <v/>
      </c>
      <c r="BB125" s="248" t="s">
        <v>422</v>
      </c>
      <c r="BC125" s="229" t="s">
        <v>433</v>
      </c>
      <c r="BD125" s="249">
        <v>0</v>
      </c>
      <c r="BE125" s="267">
        <f t="shared" si="102"/>
        <v>0</v>
      </c>
      <c r="BF125" s="268">
        <f t="shared" si="130"/>
        <v>0</v>
      </c>
      <c r="BG125" s="268">
        <f t="shared" si="130"/>
        <v>0</v>
      </c>
      <c r="BH125" s="268">
        <f t="shared" si="130"/>
        <v>1</v>
      </c>
      <c r="BI125" s="268">
        <f t="shared" si="130"/>
        <v>2</v>
      </c>
      <c r="BJ125" s="268">
        <f t="shared" si="130"/>
        <v>3</v>
      </c>
      <c r="BK125" s="268">
        <f t="shared" si="130"/>
        <v>4</v>
      </c>
      <c r="BL125" s="269">
        <f t="shared" si="130"/>
        <v>5</v>
      </c>
      <c r="BM125" s="256">
        <f>IF($BC125=Lookup!$A$2,$BD125*ROUNDUP(BE125/10,0)+1,
IF($BC125=Lookup!$A$3,($BD125+1)^BD125,
IF($BC125=Lookup!$A$4,BE125*$BD125+1,"Error")))</f>
        <v>1</v>
      </c>
      <c r="BN125" s="229">
        <f>IF($BC125=Lookup!$A$2,$BD125*ROUNDUP(BF125/10,0)+1,
IF($BC125=Lookup!$A$3,($BD125+1)^BE125,
IF($BC125=Lookup!$A$4,BF125*$BD125+1,"Error")))</f>
        <v>1</v>
      </c>
      <c r="BO125" s="229">
        <f>IF($BC125=Lookup!$A$2,$BD125*ROUNDUP(BG125/10,0)+1,
IF($BC125=Lookup!$A$3,($BD125+1)^BF125,
IF($BC125=Lookup!$A$4,BG125*$BD125+1,"Error")))</f>
        <v>1</v>
      </c>
      <c r="BP125" s="229">
        <f>IF($BC125=Lookup!$A$2,$BD125*ROUNDUP(BH125/10,0)+1,
IF($BC125=Lookup!$A$3,($BD125+1)^BG125,
IF($BC125=Lookup!$A$4,BH125*$BD125+1,"Error")))</f>
        <v>1</v>
      </c>
      <c r="BQ125" s="229">
        <f>IF($BC125=Lookup!$A$2,$BD125*ROUNDUP(BI125/10,0)+1,
IF($BC125=Lookup!$A$3,($BD125+1)^BH125,
IF($BC125=Lookup!$A$4,BI125*$BD125+1,"Error")))</f>
        <v>1</v>
      </c>
      <c r="BR125" s="229">
        <f>IF($BC125=Lookup!$A$2,$BD125*ROUNDUP(BJ125/10,0)+1,
IF($BC125=Lookup!$A$3,($BD125+1)^BI125,
IF($BC125=Lookup!$A$4,BJ125*$BD125+1,"Error")))</f>
        <v>1</v>
      </c>
      <c r="BS125" s="229">
        <f>IF($BC125=Lookup!$A$2,$BD125*ROUNDUP(BK125/10,0)+1,
IF($BC125=Lookup!$A$3,($BD125+1)^BJ125,
IF($BC125=Lookup!$A$4,BK125*$BD125+1,"Error")))</f>
        <v>1</v>
      </c>
      <c r="BT125" s="249">
        <f>IF($BC125=Lookup!$A$2,$BD125*ROUNDUP(BL125/10,0)+1,
IF($BC125=Lookup!$A$3,($BD125+1)^BK125,
IF($BC125=Lookup!$A$4,BL125*$BD125+1,"Error")))</f>
        <v>1</v>
      </c>
      <c r="BU125" s="320">
        <v>0</v>
      </c>
      <c r="BV125" s="321">
        <v>0</v>
      </c>
      <c r="BW125" s="321">
        <v>0</v>
      </c>
      <c r="BX125" s="321">
        <v>0</v>
      </c>
      <c r="BY125" s="321">
        <v>0</v>
      </c>
      <c r="BZ125" s="321">
        <v>0</v>
      </c>
      <c r="CA125" s="321">
        <v>0</v>
      </c>
      <c r="CB125" s="277">
        <v>0</v>
      </c>
      <c r="CC125" s="382" t="s">
        <v>293</v>
      </c>
      <c r="CD125" s="383">
        <f>HLOOKUP($CC125,$AK$6:$AM$132,ROWS(CD$6:CD125),0)</f>
        <v>0</v>
      </c>
      <c r="CE125" s="234">
        <f t="shared" si="132"/>
        <v>0</v>
      </c>
      <c r="CF125" s="96">
        <f t="shared" si="132"/>
        <v>0</v>
      </c>
      <c r="CG125" s="96">
        <f t="shared" si="132"/>
        <v>0</v>
      </c>
      <c r="CH125" s="96">
        <f t="shared" si="131"/>
        <v>0</v>
      </c>
      <c r="CI125" s="96">
        <f t="shared" si="131"/>
        <v>0</v>
      </c>
      <c r="CJ125" s="96">
        <f t="shared" si="131"/>
        <v>0</v>
      </c>
      <c r="CK125" s="96">
        <f t="shared" si="131"/>
        <v>0</v>
      </c>
      <c r="CL125" s="286">
        <f t="shared" si="128"/>
        <v>0</v>
      </c>
      <c r="CM125" s="305" t="s">
        <v>293</v>
      </c>
      <c r="CN125" s="315">
        <v>0.05</v>
      </c>
      <c r="CO125" s="306"/>
      <c r="CP125" s="307" t="str">
        <f>IF($CO125&lt;&gt;"",$CO125,HLOOKUP($CM125,$AY$6:$BA$132,ROWS(CP$6:CP125),0))</f>
        <v/>
      </c>
      <c r="CQ125" s="784" t="str">
        <f t="shared" si="127"/>
        <v/>
      </c>
      <c r="CR125" s="784" t="str">
        <f t="shared" si="127"/>
        <v/>
      </c>
      <c r="CS125" s="97" t="str">
        <f t="shared" si="127"/>
        <v/>
      </c>
      <c r="CT125" s="97" t="str">
        <f t="shared" si="127"/>
        <v/>
      </c>
      <c r="CU125" s="97" t="str">
        <f t="shared" si="127"/>
        <v/>
      </c>
      <c r="CV125" s="97" t="str">
        <f t="shared" si="127"/>
        <v/>
      </c>
      <c r="CW125" s="97" t="str">
        <f t="shared" si="127"/>
        <v/>
      </c>
      <c r="CX125" s="98" t="str">
        <f t="shared" si="127"/>
        <v/>
      </c>
      <c r="CY125" s="392"/>
    </row>
    <row r="126" spans="1:103" ht="15.75" thickBot="1" x14ac:dyDescent="0.3">
      <c r="A126" s="81" t="s">
        <v>242</v>
      </c>
      <c r="B126" s="82" t="s">
        <v>399</v>
      </c>
      <c r="C126" s="102" t="s">
        <v>400</v>
      </c>
      <c r="D126" s="103"/>
      <c r="E126" s="104"/>
      <c r="F126" s="104"/>
      <c r="G126" s="104"/>
      <c r="H126" s="104"/>
      <c r="I126" s="104">
        <v>0</v>
      </c>
      <c r="J126" s="104">
        <v>0</v>
      </c>
      <c r="K126" s="104">
        <v>0</v>
      </c>
      <c r="L126" s="104">
        <v>0</v>
      </c>
      <c r="M126" s="655">
        <f>'2022-23 Input'!D126</f>
        <v>0</v>
      </c>
      <c r="N126" s="1066">
        <v>0</v>
      </c>
      <c r="O126" s="563">
        <f t="shared" si="101"/>
        <v>0</v>
      </c>
      <c r="P126" s="564">
        <f t="shared" si="75"/>
        <v>0</v>
      </c>
      <c r="Q126" s="564">
        <f t="shared" si="76"/>
        <v>0</v>
      </c>
      <c r="R126" s="564">
        <f t="shared" si="77"/>
        <v>0</v>
      </c>
      <c r="S126" s="564">
        <f t="shared" si="78"/>
        <v>0</v>
      </c>
      <c r="T126" s="564">
        <f t="shared" si="79"/>
        <v>0</v>
      </c>
      <c r="U126" s="564">
        <f t="shared" si="80"/>
        <v>0</v>
      </c>
      <c r="V126" s="564">
        <f t="shared" si="81"/>
        <v>0</v>
      </c>
      <c r="W126" s="676">
        <f t="shared" si="82"/>
        <v>0</v>
      </c>
      <c r="X126" s="676">
        <f t="shared" si="83"/>
        <v>0</v>
      </c>
      <c r="Y126" s="676">
        <f t="shared" si="83"/>
        <v>0</v>
      </c>
      <c r="Z126" s="105"/>
      <c r="AA126" s="106"/>
      <c r="AB126" s="106"/>
      <c r="AC126" s="106"/>
      <c r="AD126" s="106"/>
      <c r="AE126" s="106">
        <v>0</v>
      </c>
      <c r="AF126" s="106">
        <v>0</v>
      </c>
      <c r="AG126" s="106">
        <v>0</v>
      </c>
      <c r="AH126" s="106">
        <v>0</v>
      </c>
      <c r="AI126" s="1095">
        <f>'2022-23 Input'!K126</f>
        <v>0</v>
      </c>
      <c r="AJ126" s="666">
        <v>0</v>
      </c>
      <c r="AK126" s="107">
        <f t="shared" si="111"/>
        <v>0</v>
      </c>
      <c r="AL126" s="108">
        <f t="shared" si="112"/>
        <v>0</v>
      </c>
      <c r="AM126" s="109">
        <f t="shared" si="113"/>
        <v>0</v>
      </c>
      <c r="AN126" s="110" t="str">
        <f t="shared" si="114"/>
        <v/>
      </c>
      <c r="AO126" s="111" t="str">
        <f t="shared" si="115"/>
        <v/>
      </c>
      <c r="AP126" s="111" t="str">
        <f t="shared" si="116"/>
        <v/>
      </c>
      <c r="AQ126" s="111" t="str">
        <f t="shared" si="117"/>
        <v/>
      </c>
      <c r="AR126" s="111" t="str">
        <f t="shared" si="118"/>
        <v/>
      </c>
      <c r="AS126" s="111" t="str">
        <f t="shared" si="119"/>
        <v/>
      </c>
      <c r="AT126" s="111" t="str">
        <f t="shared" si="120"/>
        <v/>
      </c>
      <c r="AU126" s="111" t="str">
        <f t="shared" si="121"/>
        <v/>
      </c>
      <c r="AV126" s="111" t="str">
        <f t="shared" si="129"/>
        <v/>
      </c>
      <c r="AW126" s="111" t="str">
        <f t="shared" si="129"/>
        <v/>
      </c>
      <c r="AX126" s="111" t="str">
        <f t="shared" si="129"/>
        <v/>
      </c>
      <c r="AY126" s="112" t="str">
        <f t="shared" si="123"/>
        <v/>
      </c>
      <c r="AZ126" s="113" t="str">
        <f t="shared" si="124"/>
        <v/>
      </c>
      <c r="BA126" s="114" t="str">
        <f t="shared" si="125"/>
        <v/>
      </c>
      <c r="BB126" s="250" t="s">
        <v>422</v>
      </c>
      <c r="BC126" s="230" t="s">
        <v>433</v>
      </c>
      <c r="BD126" s="251">
        <v>0</v>
      </c>
      <c r="BE126" s="270">
        <f t="shared" si="102"/>
        <v>0</v>
      </c>
      <c r="BF126" s="271">
        <f t="shared" si="130"/>
        <v>0</v>
      </c>
      <c r="BG126" s="271">
        <f t="shared" si="130"/>
        <v>0</v>
      </c>
      <c r="BH126" s="271">
        <f t="shared" si="130"/>
        <v>1</v>
      </c>
      <c r="BI126" s="271">
        <f t="shared" si="130"/>
        <v>2</v>
      </c>
      <c r="BJ126" s="271">
        <f t="shared" si="130"/>
        <v>3</v>
      </c>
      <c r="BK126" s="271">
        <f t="shared" si="130"/>
        <v>4</v>
      </c>
      <c r="BL126" s="272">
        <f t="shared" si="130"/>
        <v>5</v>
      </c>
      <c r="BM126" s="257">
        <f>IF($BC126=Lookup!$A$2,$BD126*ROUNDUP(BE126/10,0)+1,
IF($BC126=Lookup!$A$3,($BD126+1)^BD126,
IF($BC126=Lookup!$A$4,BE126*$BD126+1,"Error")))</f>
        <v>1</v>
      </c>
      <c r="BN126" s="230">
        <f>IF($BC126=Lookup!$A$2,$BD126*ROUNDUP(BF126/10,0)+1,
IF($BC126=Lookup!$A$3,($BD126+1)^BE126,
IF($BC126=Lookup!$A$4,BF126*$BD126+1,"Error")))</f>
        <v>1</v>
      </c>
      <c r="BO126" s="230">
        <f>IF($BC126=Lookup!$A$2,$BD126*ROUNDUP(BG126/10,0)+1,
IF($BC126=Lookup!$A$3,($BD126+1)^BF126,
IF($BC126=Lookup!$A$4,BG126*$BD126+1,"Error")))</f>
        <v>1</v>
      </c>
      <c r="BP126" s="230">
        <f>IF($BC126=Lookup!$A$2,$BD126*ROUNDUP(BH126/10,0)+1,
IF($BC126=Lookup!$A$3,($BD126+1)^BG126,
IF($BC126=Lookup!$A$4,BH126*$BD126+1,"Error")))</f>
        <v>1</v>
      </c>
      <c r="BQ126" s="230">
        <f>IF($BC126=Lookup!$A$2,$BD126*ROUNDUP(BI126/10,0)+1,
IF($BC126=Lookup!$A$3,($BD126+1)^BH126,
IF($BC126=Lookup!$A$4,BI126*$BD126+1,"Error")))</f>
        <v>1</v>
      </c>
      <c r="BR126" s="230">
        <f>IF($BC126=Lookup!$A$2,$BD126*ROUNDUP(BJ126/10,0)+1,
IF($BC126=Lookup!$A$3,($BD126+1)^BI126,
IF($BC126=Lookup!$A$4,BJ126*$BD126+1,"Error")))</f>
        <v>1</v>
      </c>
      <c r="BS126" s="230">
        <f>IF($BC126=Lookup!$A$2,$BD126*ROUNDUP(BK126/10,0)+1,
IF($BC126=Lookup!$A$3,($BD126+1)^BJ126,
IF($BC126=Lookup!$A$4,BK126*$BD126+1,"Error")))</f>
        <v>1</v>
      </c>
      <c r="BT126" s="251">
        <f>IF($BC126=Lookup!$A$2,$BD126*ROUNDUP(BL126/10,0)+1,
IF($BC126=Lookup!$A$3,($BD126+1)^BK126,
IF($BC126=Lookup!$A$4,BL126*$BD126+1,"Error")))</f>
        <v>1</v>
      </c>
      <c r="BU126" s="322">
        <v>0</v>
      </c>
      <c r="BV126" s="323">
        <v>0</v>
      </c>
      <c r="BW126" s="323">
        <v>0</v>
      </c>
      <c r="BX126" s="323">
        <v>0</v>
      </c>
      <c r="BY126" s="323">
        <v>0</v>
      </c>
      <c r="BZ126" s="323">
        <v>0</v>
      </c>
      <c r="CA126" s="323">
        <v>0</v>
      </c>
      <c r="CB126" s="278">
        <v>0</v>
      </c>
      <c r="CC126" s="384" t="s">
        <v>293</v>
      </c>
      <c r="CD126" s="385">
        <f>HLOOKUP($CC126,$AK$6:$AM$132,ROWS(CD$6:CD126),0)</f>
        <v>0</v>
      </c>
      <c r="CE126" s="235">
        <f t="shared" si="132"/>
        <v>0</v>
      </c>
      <c r="CF126" s="115">
        <f t="shared" si="132"/>
        <v>0</v>
      </c>
      <c r="CG126" s="115">
        <f t="shared" si="132"/>
        <v>0</v>
      </c>
      <c r="CH126" s="115">
        <f t="shared" si="131"/>
        <v>0</v>
      </c>
      <c r="CI126" s="115">
        <f t="shared" si="131"/>
        <v>0</v>
      </c>
      <c r="CJ126" s="115">
        <f t="shared" si="131"/>
        <v>0</v>
      </c>
      <c r="CK126" s="115">
        <f t="shared" si="131"/>
        <v>0</v>
      </c>
      <c r="CL126" s="287">
        <f t="shared" si="128"/>
        <v>0</v>
      </c>
      <c r="CM126" s="308" t="s">
        <v>293</v>
      </c>
      <c r="CN126" s="316">
        <v>0.05</v>
      </c>
      <c r="CO126" s="309"/>
      <c r="CP126" s="310" t="str">
        <f>IF($CO126&lt;&gt;"",$CO126,HLOOKUP($CM126,$AY$6:$BA$132,ROWS(CP$6:CP126),0))</f>
        <v/>
      </c>
      <c r="CQ126" s="785" t="str">
        <f t="shared" si="127"/>
        <v/>
      </c>
      <c r="CR126" s="785" t="str">
        <f t="shared" si="127"/>
        <v/>
      </c>
      <c r="CS126" s="117" t="str">
        <f t="shared" si="127"/>
        <v/>
      </c>
      <c r="CT126" s="117" t="str">
        <f t="shared" si="127"/>
        <v/>
      </c>
      <c r="CU126" s="117" t="str">
        <f t="shared" si="127"/>
        <v/>
      </c>
      <c r="CV126" s="117" t="str">
        <f t="shared" si="127"/>
        <v/>
      </c>
      <c r="CW126" s="117" t="str">
        <f t="shared" si="127"/>
        <v/>
      </c>
      <c r="CX126" s="118" t="str">
        <f t="shared" si="127"/>
        <v/>
      </c>
      <c r="CY126" s="393"/>
    </row>
    <row r="127" spans="1:103" x14ac:dyDescent="0.25">
      <c r="A127" s="81" t="s">
        <v>258</v>
      </c>
      <c r="B127" s="82" t="s">
        <v>255</v>
      </c>
      <c r="C127" s="145" t="s">
        <v>401</v>
      </c>
      <c r="D127" s="146"/>
      <c r="E127" s="147"/>
      <c r="F127" s="147"/>
      <c r="G127" s="147"/>
      <c r="H127" s="147"/>
      <c r="I127" s="147">
        <v>0</v>
      </c>
      <c r="J127" s="147">
        <v>0</v>
      </c>
      <c r="K127" s="147">
        <v>0</v>
      </c>
      <c r="L127" s="147">
        <v>0</v>
      </c>
      <c r="M127" s="656">
        <f>'2022-23 Input'!D127</f>
        <v>0</v>
      </c>
      <c r="N127" s="1067">
        <v>0</v>
      </c>
      <c r="O127" s="566">
        <f t="shared" si="101"/>
        <v>0</v>
      </c>
      <c r="P127" s="567">
        <f t="shared" si="75"/>
        <v>0</v>
      </c>
      <c r="Q127" s="567">
        <f t="shared" si="76"/>
        <v>0</v>
      </c>
      <c r="R127" s="567">
        <f t="shared" si="77"/>
        <v>0</v>
      </c>
      <c r="S127" s="567">
        <f t="shared" si="78"/>
        <v>0</v>
      </c>
      <c r="T127" s="567">
        <f t="shared" si="79"/>
        <v>0</v>
      </c>
      <c r="U127" s="567">
        <f t="shared" si="80"/>
        <v>0</v>
      </c>
      <c r="V127" s="567">
        <f t="shared" si="81"/>
        <v>0</v>
      </c>
      <c r="W127" s="677">
        <f t="shared" si="82"/>
        <v>0</v>
      </c>
      <c r="X127" s="677">
        <f t="shared" si="83"/>
        <v>0</v>
      </c>
      <c r="Y127" s="677">
        <f t="shared" si="83"/>
        <v>0</v>
      </c>
      <c r="Z127" s="148"/>
      <c r="AA127" s="149"/>
      <c r="AB127" s="149"/>
      <c r="AC127" s="149"/>
      <c r="AD127" s="149"/>
      <c r="AE127" s="149">
        <v>0</v>
      </c>
      <c r="AF127" s="149">
        <v>0</v>
      </c>
      <c r="AG127" s="149">
        <v>0</v>
      </c>
      <c r="AH127" s="149">
        <v>0</v>
      </c>
      <c r="AI127" s="1099">
        <f>'2022-23 Input'!K127</f>
        <v>0</v>
      </c>
      <c r="AJ127" s="670">
        <v>0</v>
      </c>
      <c r="AK127" s="150">
        <f t="shared" si="111"/>
        <v>0</v>
      </c>
      <c r="AL127" s="151">
        <f t="shared" si="112"/>
        <v>0</v>
      </c>
      <c r="AM127" s="152">
        <f t="shared" si="113"/>
        <v>0</v>
      </c>
      <c r="AN127" s="153" t="str">
        <f t="shared" si="114"/>
        <v/>
      </c>
      <c r="AO127" s="154" t="str">
        <f t="shared" si="115"/>
        <v/>
      </c>
      <c r="AP127" s="154" t="str">
        <f t="shared" si="116"/>
        <v/>
      </c>
      <c r="AQ127" s="154" t="str">
        <f t="shared" si="117"/>
        <v/>
      </c>
      <c r="AR127" s="154" t="str">
        <f t="shared" si="118"/>
        <v/>
      </c>
      <c r="AS127" s="154" t="str">
        <f t="shared" si="119"/>
        <v/>
      </c>
      <c r="AT127" s="154" t="str">
        <f t="shared" si="120"/>
        <v/>
      </c>
      <c r="AU127" s="154" t="str">
        <f t="shared" si="121"/>
        <v/>
      </c>
      <c r="AV127" s="154" t="str">
        <f t="shared" si="129"/>
        <v/>
      </c>
      <c r="AW127" s="154" t="str">
        <f t="shared" si="129"/>
        <v/>
      </c>
      <c r="AX127" s="154" t="str">
        <f t="shared" si="129"/>
        <v/>
      </c>
      <c r="AY127" s="155" t="str">
        <f t="shared" si="123"/>
        <v/>
      </c>
      <c r="AZ127" s="156" t="str">
        <f t="shared" si="124"/>
        <v/>
      </c>
      <c r="BA127" s="157" t="str">
        <f t="shared" si="125"/>
        <v/>
      </c>
      <c r="BB127" s="246" t="s">
        <v>422</v>
      </c>
      <c r="BC127" s="228" t="s">
        <v>433</v>
      </c>
      <c r="BD127" s="247">
        <v>0</v>
      </c>
      <c r="BE127" s="264">
        <f t="shared" si="102"/>
        <v>0</v>
      </c>
      <c r="BF127" s="265">
        <f t="shared" si="130"/>
        <v>0</v>
      </c>
      <c r="BG127" s="265">
        <f t="shared" si="130"/>
        <v>0</v>
      </c>
      <c r="BH127" s="265">
        <f t="shared" si="130"/>
        <v>1</v>
      </c>
      <c r="BI127" s="265">
        <f t="shared" si="130"/>
        <v>2</v>
      </c>
      <c r="BJ127" s="265">
        <f t="shared" si="130"/>
        <v>3</v>
      </c>
      <c r="BK127" s="265">
        <f t="shared" si="130"/>
        <v>4</v>
      </c>
      <c r="BL127" s="266">
        <f t="shared" si="130"/>
        <v>5</v>
      </c>
      <c r="BM127" s="255">
        <f>IF($BC127=Lookup!$A$2,$BD127*ROUNDUP(BE127/10,0)+1,
IF($BC127=Lookup!$A$3,($BD127+1)^BD127,
IF($BC127=Lookup!$A$4,BE127*$BD127+1,"Error")))</f>
        <v>1</v>
      </c>
      <c r="BN127" s="228">
        <f>IF($BC127=Lookup!$A$2,$BD127*ROUNDUP(BF127/10,0)+1,
IF($BC127=Lookup!$A$3,($BD127+1)^BE127,
IF($BC127=Lookup!$A$4,BF127*$BD127+1,"Error")))</f>
        <v>1</v>
      </c>
      <c r="BO127" s="228">
        <f>IF($BC127=Lookup!$A$2,$BD127*ROUNDUP(BG127/10,0)+1,
IF($BC127=Lookup!$A$3,($BD127+1)^BF127,
IF($BC127=Lookup!$A$4,BG127*$BD127+1,"Error")))</f>
        <v>1</v>
      </c>
      <c r="BP127" s="228">
        <f>IF($BC127=Lookup!$A$2,$BD127*ROUNDUP(BH127/10,0)+1,
IF($BC127=Lookup!$A$3,($BD127+1)^BG127,
IF($BC127=Lookup!$A$4,BH127*$BD127+1,"Error")))</f>
        <v>1</v>
      </c>
      <c r="BQ127" s="228">
        <f>IF($BC127=Lookup!$A$2,$BD127*ROUNDUP(BI127/10,0)+1,
IF($BC127=Lookup!$A$3,($BD127+1)^BH127,
IF($BC127=Lookup!$A$4,BI127*$BD127+1,"Error")))</f>
        <v>1</v>
      </c>
      <c r="BR127" s="228">
        <f>IF($BC127=Lookup!$A$2,$BD127*ROUNDUP(BJ127/10,0)+1,
IF($BC127=Lookup!$A$3,($BD127+1)^BI127,
IF($BC127=Lookup!$A$4,BJ127*$BD127+1,"Error")))</f>
        <v>1</v>
      </c>
      <c r="BS127" s="228">
        <f>IF($BC127=Lookup!$A$2,$BD127*ROUNDUP(BK127/10,0)+1,
IF($BC127=Lookup!$A$3,($BD127+1)^BJ127,
IF($BC127=Lookup!$A$4,BK127*$BD127+1,"Error")))</f>
        <v>1</v>
      </c>
      <c r="BT127" s="247">
        <f>IF($BC127=Lookup!$A$2,$BD127*ROUNDUP(BL127/10,0)+1,
IF($BC127=Lookup!$A$3,($BD127+1)^BK127,
IF($BC127=Lookup!$A$4,BL127*$BD127+1,"Error")))</f>
        <v>1</v>
      </c>
      <c r="BU127" s="318">
        <v>0</v>
      </c>
      <c r="BV127" s="319">
        <v>0</v>
      </c>
      <c r="BW127" s="319">
        <v>0</v>
      </c>
      <c r="BX127" s="319">
        <v>0</v>
      </c>
      <c r="BY127" s="319">
        <v>0</v>
      </c>
      <c r="BZ127" s="319">
        <v>0</v>
      </c>
      <c r="CA127" s="319">
        <v>0</v>
      </c>
      <c r="CB127" s="276">
        <v>0</v>
      </c>
      <c r="CC127" s="380" t="s">
        <v>293</v>
      </c>
      <c r="CD127" s="381">
        <f>HLOOKUP($CC127,$AK$6:$AM$132,ROWS(CD$6:CD127),0)</f>
        <v>0</v>
      </c>
      <c r="CE127" s="233">
        <f t="shared" si="132"/>
        <v>0</v>
      </c>
      <c r="CF127" s="78">
        <f t="shared" si="132"/>
        <v>0</v>
      </c>
      <c r="CG127" s="78">
        <f t="shared" si="132"/>
        <v>0</v>
      </c>
      <c r="CH127" s="78">
        <f t="shared" si="131"/>
        <v>0</v>
      </c>
      <c r="CI127" s="78">
        <f t="shared" si="131"/>
        <v>0</v>
      </c>
      <c r="CJ127" s="78">
        <f t="shared" si="131"/>
        <v>0</v>
      </c>
      <c r="CK127" s="78">
        <f t="shared" si="131"/>
        <v>0</v>
      </c>
      <c r="CL127" s="285">
        <f t="shared" si="128"/>
        <v>0</v>
      </c>
      <c r="CM127" s="311" t="s">
        <v>293</v>
      </c>
      <c r="CN127" s="317">
        <v>0.05</v>
      </c>
      <c r="CO127" s="312"/>
      <c r="CP127" s="313" t="str">
        <f>IF($CO127&lt;&gt;"",$CO127,HLOOKUP($CM127,$AY$6:$BA$132,ROWS(CP$6:CP127),0))</f>
        <v/>
      </c>
      <c r="CQ127" s="783" t="str">
        <f t="shared" si="127"/>
        <v/>
      </c>
      <c r="CR127" s="783" t="str">
        <f t="shared" si="127"/>
        <v/>
      </c>
      <c r="CS127" s="79" t="str">
        <f t="shared" si="127"/>
        <v/>
      </c>
      <c r="CT127" s="79" t="str">
        <f t="shared" si="127"/>
        <v/>
      </c>
      <c r="CU127" s="79" t="str">
        <f t="shared" si="127"/>
        <v/>
      </c>
      <c r="CV127" s="79" t="str">
        <f t="shared" si="127"/>
        <v/>
      </c>
      <c r="CW127" s="79" t="str">
        <f t="shared" si="127"/>
        <v/>
      </c>
      <c r="CX127" s="80" t="str">
        <f t="shared" si="127"/>
        <v/>
      </c>
      <c r="CY127" s="391"/>
    </row>
    <row r="128" spans="1:103" x14ac:dyDescent="0.25">
      <c r="A128" s="81" t="s">
        <v>258</v>
      </c>
      <c r="B128" s="82" t="s">
        <v>259</v>
      </c>
      <c r="C128" s="83" t="s">
        <v>257</v>
      </c>
      <c r="D128" s="84"/>
      <c r="E128" s="85"/>
      <c r="F128" s="85"/>
      <c r="G128" s="85"/>
      <c r="H128" s="85"/>
      <c r="I128" s="85">
        <v>0</v>
      </c>
      <c r="J128" s="85">
        <v>0</v>
      </c>
      <c r="K128" s="85">
        <v>54966.257260026003</v>
      </c>
      <c r="L128" s="85">
        <v>0</v>
      </c>
      <c r="M128" s="654">
        <f>'2022-23 Input'!D128</f>
        <v>5320.3725315080001</v>
      </c>
      <c r="N128" s="1065">
        <v>6119.2808526220006</v>
      </c>
      <c r="O128" s="560">
        <f t="shared" si="101"/>
        <v>0</v>
      </c>
      <c r="P128" s="561">
        <f t="shared" si="75"/>
        <v>0</v>
      </c>
      <c r="Q128" s="561">
        <f t="shared" si="76"/>
        <v>0</v>
      </c>
      <c r="R128" s="561">
        <f t="shared" si="77"/>
        <v>0</v>
      </c>
      <c r="S128" s="561">
        <f t="shared" si="78"/>
        <v>0</v>
      </c>
      <c r="T128" s="561">
        <f t="shared" si="79"/>
        <v>0</v>
      </c>
      <c r="U128" s="561">
        <f t="shared" si="80"/>
        <v>0</v>
      </c>
      <c r="V128" s="561">
        <f t="shared" si="81"/>
        <v>65924.263775994055</v>
      </c>
      <c r="W128" s="675">
        <f t="shared" si="82"/>
        <v>0</v>
      </c>
      <c r="X128" s="675">
        <f t="shared" si="83"/>
        <v>5658.0082995124421</v>
      </c>
      <c r="Y128" s="675">
        <f t="shared" si="83"/>
        <v>6287.5517705768298</v>
      </c>
      <c r="Z128" s="86"/>
      <c r="AA128" s="87"/>
      <c r="AB128" s="87"/>
      <c r="AC128" s="87"/>
      <c r="AD128" s="87"/>
      <c r="AE128" s="87">
        <v>0</v>
      </c>
      <c r="AF128" s="87">
        <v>0</v>
      </c>
      <c r="AG128" s="87">
        <v>0</v>
      </c>
      <c r="AH128" s="87">
        <v>0</v>
      </c>
      <c r="AI128" s="1094">
        <f>'2022-23 Input'!K128</f>
        <v>1</v>
      </c>
      <c r="AJ128" s="665">
        <v>0</v>
      </c>
      <c r="AK128" s="88">
        <f t="shared" si="111"/>
        <v>0.2</v>
      </c>
      <c r="AL128" s="89">
        <f t="shared" si="112"/>
        <v>0.33333333333333331</v>
      </c>
      <c r="AM128" s="90">
        <f t="shared" si="113"/>
        <v>1</v>
      </c>
      <c r="AN128" s="91" t="str">
        <f t="shared" si="114"/>
        <v/>
      </c>
      <c r="AO128" s="92" t="str">
        <f t="shared" si="115"/>
        <v/>
      </c>
      <c r="AP128" s="92" t="str">
        <f t="shared" si="116"/>
        <v/>
      </c>
      <c r="AQ128" s="92" t="str">
        <f t="shared" si="117"/>
        <v/>
      </c>
      <c r="AR128" s="92" t="str">
        <f t="shared" si="118"/>
        <v/>
      </c>
      <c r="AS128" s="92" t="str">
        <f t="shared" si="119"/>
        <v/>
      </c>
      <c r="AT128" s="92" t="str">
        <f t="shared" si="120"/>
        <v/>
      </c>
      <c r="AU128" s="92" t="str">
        <f t="shared" si="121"/>
        <v/>
      </c>
      <c r="AV128" s="92" t="str">
        <f t="shared" si="129"/>
        <v/>
      </c>
      <c r="AW128" s="92">
        <f t="shared" si="129"/>
        <v>5320.3725315080001</v>
      </c>
      <c r="AX128" s="92" t="str">
        <f t="shared" si="129"/>
        <v/>
      </c>
      <c r="AY128" s="93">
        <f t="shared" si="123"/>
        <v>60286.629791534004</v>
      </c>
      <c r="AZ128" s="94">
        <f t="shared" si="124"/>
        <v>60286.629791534004</v>
      </c>
      <c r="BA128" s="95">
        <f t="shared" si="125"/>
        <v>5320.3725315080001</v>
      </c>
      <c r="BB128" s="248" t="s">
        <v>422</v>
      </c>
      <c r="BC128" s="229" t="s">
        <v>433</v>
      </c>
      <c r="BD128" s="249">
        <v>0</v>
      </c>
      <c r="BE128" s="267">
        <f t="shared" si="102"/>
        <v>0</v>
      </c>
      <c r="BF128" s="268">
        <f t="shared" si="130"/>
        <v>0</v>
      </c>
      <c r="BG128" s="268">
        <f t="shared" si="130"/>
        <v>0</v>
      </c>
      <c r="BH128" s="268">
        <f t="shared" si="130"/>
        <v>1</v>
      </c>
      <c r="BI128" s="268">
        <f t="shared" si="130"/>
        <v>2</v>
      </c>
      <c r="BJ128" s="268">
        <f t="shared" si="130"/>
        <v>3</v>
      </c>
      <c r="BK128" s="268">
        <f t="shared" si="130"/>
        <v>4</v>
      </c>
      <c r="BL128" s="269">
        <f t="shared" si="130"/>
        <v>5</v>
      </c>
      <c r="BM128" s="256">
        <f>IF($BC128=Lookup!$A$2,$BD128*ROUNDUP(BE128/10,0)+1,
IF($BC128=Lookup!$A$3,($BD128+1)^BD128,
IF($BC128=Lookup!$A$4,BE128*$BD128+1,"Error")))</f>
        <v>1</v>
      </c>
      <c r="BN128" s="229">
        <f>IF($BC128=Lookup!$A$2,$BD128*ROUNDUP(BF128/10,0)+1,
IF($BC128=Lookup!$A$3,($BD128+1)^BE128,
IF($BC128=Lookup!$A$4,BF128*$BD128+1,"Error")))</f>
        <v>1</v>
      </c>
      <c r="BO128" s="229">
        <f>IF($BC128=Lookup!$A$2,$BD128*ROUNDUP(BG128/10,0)+1,
IF($BC128=Lookup!$A$3,($BD128+1)^BF128,
IF($BC128=Lookup!$A$4,BG128*$BD128+1,"Error")))</f>
        <v>1</v>
      </c>
      <c r="BP128" s="229">
        <f>IF($BC128=Lookup!$A$2,$BD128*ROUNDUP(BH128/10,0)+1,
IF($BC128=Lookup!$A$3,($BD128+1)^BG128,
IF($BC128=Lookup!$A$4,BH128*$BD128+1,"Error")))</f>
        <v>1</v>
      </c>
      <c r="BQ128" s="229">
        <f>IF($BC128=Lookup!$A$2,$BD128*ROUNDUP(BI128/10,0)+1,
IF($BC128=Lookup!$A$3,($BD128+1)^BH128,
IF($BC128=Lookup!$A$4,BI128*$BD128+1,"Error")))</f>
        <v>1</v>
      </c>
      <c r="BR128" s="229">
        <f>IF($BC128=Lookup!$A$2,$BD128*ROUNDUP(BJ128/10,0)+1,
IF($BC128=Lookup!$A$3,($BD128+1)^BI128,
IF($BC128=Lookup!$A$4,BJ128*$BD128+1,"Error")))</f>
        <v>1</v>
      </c>
      <c r="BS128" s="229">
        <f>IF($BC128=Lookup!$A$2,$BD128*ROUNDUP(BK128/10,0)+1,
IF($BC128=Lookup!$A$3,($BD128+1)^BJ128,
IF($BC128=Lookup!$A$4,BK128*$BD128+1,"Error")))</f>
        <v>1</v>
      </c>
      <c r="BT128" s="249">
        <f>IF($BC128=Lookup!$A$2,$BD128*ROUNDUP(BL128/10,0)+1,
IF($BC128=Lookup!$A$3,($BD128+1)^BK128,
IF($BC128=Lookup!$A$4,BL128*$BD128+1,"Error")))</f>
        <v>1</v>
      </c>
      <c r="BU128" s="320">
        <v>0</v>
      </c>
      <c r="BV128" s="321">
        <v>0</v>
      </c>
      <c r="BW128" s="321">
        <v>0</v>
      </c>
      <c r="BX128" s="321">
        <v>0</v>
      </c>
      <c r="BY128" s="321">
        <v>0</v>
      </c>
      <c r="BZ128" s="321">
        <v>0</v>
      </c>
      <c r="CA128" s="321">
        <v>0</v>
      </c>
      <c r="CB128" s="277">
        <v>0</v>
      </c>
      <c r="CC128" s="382" t="s">
        <v>293</v>
      </c>
      <c r="CD128" s="383">
        <f>HLOOKUP($CC128,$AK$6:$AM$132,ROWS(CD$6:CD128),0)</f>
        <v>0.33333333333333331</v>
      </c>
      <c r="CE128" s="234">
        <f t="shared" si="132"/>
        <v>0</v>
      </c>
      <c r="CF128" s="96">
        <f t="shared" si="132"/>
        <v>0</v>
      </c>
      <c r="CG128" s="96">
        <f t="shared" si="132"/>
        <v>0</v>
      </c>
      <c r="CH128" s="96">
        <f t="shared" si="131"/>
        <v>0</v>
      </c>
      <c r="CI128" s="96">
        <f t="shared" si="131"/>
        <v>0</v>
      </c>
      <c r="CJ128" s="96">
        <f t="shared" si="131"/>
        <v>0</v>
      </c>
      <c r="CK128" s="96">
        <f t="shared" si="131"/>
        <v>0</v>
      </c>
      <c r="CL128" s="286">
        <f t="shared" si="128"/>
        <v>0</v>
      </c>
      <c r="CM128" s="305" t="s">
        <v>293</v>
      </c>
      <c r="CN128" s="315">
        <v>0.05</v>
      </c>
      <c r="CO128" s="306"/>
      <c r="CP128" s="307">
        <f>IF($CO128&lt;&gt;"",$CO128,HLOOKUP($CM128,$AY$6:$BA$132,ROWS(CP$6:CP128),0))</f>
        <v>60286.629791534004</v>
      </c>
      <c r="CQ128" s="784">
        <f t="shared" si="127"/>
        <v>0</v>
      </c>
      <c r="CR128" s="784">
        <f t="shared" si="127"/>
        <v>0</v>
      </c>
      <c r="CS128" s="97">
        <f t="shared" si="127"/>
        <v>0</v>
      </c>
      <c r="CT128" s="97">
        <f t="shared" si="127"/>
        <v>0</v>
      </c>
      <c r="CU128" s="97">
        <f t="shared" si="127"/>
        <v>0</v>
      </c>
      <c r="CV128" s="97">
        <f t="shared" si="127"/>
        <v>0</v>
      </c>
      <c r="CW128" s="97">
        <f t="shared" si="127"/>
        <v>0</v>
      </c>
      <c r="CX128" s="98">
        <f t="shared" si="127"/>
        <v>0</v>
      </c>
      <c r="CY128" s="392"/>
    </row>
    <row r="129" spans="1:103" x14ac:dyDescent="0.25">
      <c r="A129" s="81" t="s">
        <v>258</v>
      </c>
      <c r="B129" s="82" t="s">
        <v>261</v>
      </c>
      <c r="C129" s="83" t="s">
        <v>402</v>
      </c>
      <c r="D129" s="84"/>
      <c r="E129" s="85"/>
      <c r="F129" s="85"/>
      <c r="G129" s="85"/>
      <c r="H129" s="85"/>
      <c r="I129" s="85">
        <v>0</v>
      </c>
      <c r="J129" s="85">
        <v>0</v>
      </c>
      <c r="K129" s="85">
        <v>0</v>
      </c>
      <c r="L129" s="85">
        <v>0</v>
      </c>
      <c r="M129" s="654">
        <f>'2022-23 Input'!D129</f>
        <v>0</v>
      </c>
      <c r="N129" s="1065">
        <v>0</v>
      </c>
      <c r="O129" s="560">
        <f t="shared" si="101"/>
        <v>0</v>
      </c>
      <c r="P129" s="561">
        <f t="shared" si="75"/>
        <v>0</v>
      </c>
      <c r="Q129" s="561">
        <f t="shared" si="76"/>
        <v>0</v>
      </c>
      <c r="R129" s="561">
        <f t="shared" si="77"/>
        <v>0</v>
      </c>
      <c r="S129" s="561">
        <f t="shared" si="78"/>
        <v>0</v>
      </c>
      <c r="T129" s="561">
        <f t="shared" si="79"/>
        <v>0</v>
      </c>
      <c r="U129" s="561">
        <f t="shared" si="80"/>
        <v>0</v>
      </c>
      <c r="V129" s="561">
        <f t="shared" si="81"/>
        <v>0</v>
      </c>
      <c r="W129" s="675">
        <f t="shared" si="82"/>
        <v>0</v>
      </c>
      <c r="X129" s="675">
        <f t="shared" si="83"/>
        <v>0</v>
      </c>
      <c r="Y129" s="675">
        <f t="shared" si="83"/>
        <v>0</v>
      </c>
      <c r="Z129" s="86"/>
      <c r="AA129" s="87"/>
      <c r="AB129" s="87"/>
      <c r="AC129" s="87"/>
      <c r="AD129" s="87"/>
      <c r="AE129" s="87">
        <v>0</v>
      </c>
      <c r="AF129" s="87">
        <v>0</v>
      </c>
      <c r="AG129" s="87">
        <v>0</v>
      </c>
      <c r="AH129" s="87">
        <v>0</v>
      </c>
      <c r="AI129" s="1094">
        <f>'2022-23 Input'!K129</f>
        <v>0</v>
      </c>
      <c r="AJ129" s="665">
        <v>0</v>
      </c>
      <c r="AK129" s="88">
        <f t="shared" si="111"/>
        <v>0</v>
      </c>
      <c r="AL129" s="89">
        <f t="shared" si="112"/>
        <v>0</v>
      </c>
      <c r="AM129" s="90">
        <f t="shared" si="113"/>
        <v>0</v>
      </c>
      <c r="AN129" s="91" t="str">
        <f t="shared" si="114"/>
        <v/>
      </c>
      <c r="AO129" s="92" t="str">
        <f t="shared" si="115"/>
        <v/>
      </c>
      <c r="AP129" s="92" t="str">
        <f t="shared" si="116"/>
        <v/>
      </c>
      <c r="AQ129" s="92" t="str">
        <f t="shared" si="117"/>
        <v/>
      </c>
      <c r="AR129" s="92" t="str">
        <f t="shared" si="118"/>
        <v/>
      </c>
      <c r="AS129" s="92" t="str">
        <f t="shared" si="119"/>
        <v/>
      </c>
      <c r="AT129" s="92" t="str">
        <f t="shared" si="120"/>
        <v/>
      </c>
      <c r="AU129" s="92" t="str">
        <f t="shared" si="121"/>
        <v/>
      </c>
      <c r="AV129" s="92" t="str">
        <f t="shared" si="129"/>
        <v/>
      </c>
      <c r="AW129" s="92" t="str">
        <f t="shared" si="129"/>
        <v/>
      </c>
      <c r="AX129" s="92" t="str">
        <f t="shared" si="129"/>
        <v/>
      </c>
      <c r="AY129" s="93" t="str">
        <f t="shared" si="123"/>
        <v/>
      </c>
      <c r="AZ129" s="94" t="str">
        <f t="shared" si="124"/>
        <v/>
      </c>
      <c r="BA129" s="95" t="str">
        <f t="shared" si="125"/>
        <v/>
      </c>
      <c r="BB129" s="248" t="s">
        <v>422</v>
      </c>
      <c r="BC129" s="229" t="s">
        <v>433</v>
      </c>
      <c r="BD129" s="249">
        <v>0</v>
      </c>
      <c r="BE129" s="267">
        <f t="shared" si="102"/>
        <v>0</v>
      </c>
      <c r="BF129" s="268">
        <f t="shared" si="130"/>
        <v>0</v>
      </c>
      <c r="BG129" s="268">
        <f t="shared" si="130"/>
        <v>0</v>
      </c>
      <c r="BH129" s="268">
        <f t="shared" si="130"/>
        <v>1</v>
      </c>
      <c r="BI129" s="268">
        <f t="shared" si="130"/>
        <v>2</v>
      </c>
      <c r="BJ129" s="268">
        <f t="shared" si="130"/>
        <v>3</v>
      </c>
      <c r="BK129" s="268">
        <f t="shared" si="130"/>
        <v>4</v>
      </c>
      <c r="BL129" s="269">
        <f t="shared" si="130"/>
        <v>5</v>
      </c>
      <c r="BM129" s="256">
        <f>IF($BC129=Lookup!$A$2,$BD129*ROUNDUP(BE129/10,0)+1,
IF($BC129=Lookup!$A$3,($BD129+1)^BD129,
IF($BC129=Lookup!$A$4,BE129*$BD129+1,"Error")))</f>
        <v>1</v>
      </c>
      <c r="BN129" s="229">
        <f>IF($BC129=Lookup!$A$2,$BD129*ROUNDUP(BF129/10,0)+1,
IF($BC129=Lookup!$A$3,($BD129+1)^BE129,
IF($BC129=Lookup!$A$4,BF129*$BD129+1,"Error")))</f>
        <v>1</v>
      </c>
      <c r="BO129" s="229">
        <f>IF($BC129=Lookup!$A$2,$BD129*ROUNDUP(BG129/10,0)+1,
IF($BC129=Lookup!$A$3,($BD129+1)^BF129,
IF($BC129=Lookup!$A$4,BG129*$BD129+1,"Error")))</f>
        <v>1</v>
      </c>
      <c r="BP129" s="229">
        <f>IF($BC129=Lookup!$A$2,$BD129*ROUNDUP(BH129/10,0)+1,
IF($BC129=Lookup!$A$3,($BD129+1)^BG129,
IF($BC129=Lookup!$A$4,BH129*$BD129+1,"Error")))</f>
        <v>1</v>
      </c>
      <c r="BQ129" s="229">
        <f>IF($BC129=Lookup!$A$2,$BD129*ROUNDUP(BI129/10,0)+1,
IF($BC129=Lookup!$A$3,($BD129+1)^BH129,
IF($BC129=Lookup!$A$4,BI129*$BD129+1,"Error")))</f>
        <v>1</v>
      </c>
      <c r="BR129" s="229">
        <f>IF($BC129=Lookup!$A$2,$BD129*ROUNDUP(BJ129/10,0)+1,
IF($BC129=Lookup!$A$3,($BD129+1)^BI129,
IF($BC129=Lookup!$A$4,BJ129*$BD129+1,"Error")))</f>
        <v>1</v>
      </c>
      <c r="BS129" s="229">
        <f>IF($BC129=Lookup!$A$2,$BD129*ROUNDUP(BK129/10,0)+1,
IF($BC129=Lookup!$A$3,($BD129+1)^BJ129,
IF($BC129=Lookup!$A$4,BK129*$BD129+1,"Error")))</f>
        <v>1</v>
      </c>
      <c r="BT129" s="249">
        <f>IF($BC129=Lookup!$A$2,$BD129*ROUNDUP(BL129/10,0)+1,
IF($BC129=Lookup!$A$3,($BD129+1)^BK129,
IF($BC129=Lookup!$A$4,BL129*$BD129+1,"Error")))</f>
        <v>1</v>
      </c>
      <c r="BU129" s="320">
        <v>0</v>
      </c>
      <c r="BV129" s="321">
        <v>0</v>
      </c>
      <c r="BW129" s="321">
        <v>0</v>
      </c>
      <c r="BX129" s="321">
        <v>0</v>
      </c>
      <c r="BY129" s="321">
        <v>0</v>
      </c>
      <c r="BZ129" s="321">
        <v>0</v>
      </c>
      <c r="CA129" s="321">
        <v>0</v>
      </c>
      <c r="CB129" s="277">
        <v>0</v>
      </c>
      <c r="CC129" s="382" t="s">
        <v>293</v>
      </c>
      <c r="CD129" s="383">
        <f>HLOOKUP($CC129,$AK$6:$AM$132,ROWS(CD$6:CD129),0)</f>
        <v>0</v>
      </c>
      <c r="CE129" s="234">
        <f t="shared" si="132"/>
        <v>0</v>
      </c>
      <c r="CF129" s="96">
        <f t="shared" si="132"/>
        <v>0</v>
      </c>
      <c r="CG129" s="96">
        <f t="shared" si="132"/>
        <v>0</v>
      </c>
      <c r="CH129" s="96">
        <f t="shared" si="131"/>
        <v>0</v>
      </c>
      <c r="CI129" s="96">
        <f t="shared" si="131"/>
        <v>0</v>
      </c>
      <c r="CJ129" s="96">
        <f t="shared" si="131"/>
        <v>0</v>
      </c>
      <c r="CK129" s="96">
        <f t="shared" si="131"/>
        <v>0</v>
      </c>
      <c r="CL129" s="286">
        <f t="shared" si="128"/>
        <v>0</v>
      </c>
      <c r="CM129" s="305" t="s">
        <v>293</v>
      </c>
      <c r="CN129" s="315">
        <v>0.05</v>
      </c>
      <c r="CO129" s="306"/>
      <c r="CP129" s="307" t="str">
        <f>IF($CO129&lt;&gt;"",$CO129,HLOOKUP($CM129,$AY$6:$BA$132,ROWS(CP$6:CP129),0))</f>
        <v/>
      </c>
      <c r="CQ129" s="784" t="str">
        <f t="shared" si="127"/>
        <v/>
      </c>
      <c r="CR129" s="784" t="str">
        <f t="shared" si="127"/>
        <v/>
      </c>
      <c r="CS129" s="97" t="str">
        <f t="shared" si="127"/>
        <v/>
      </c>
      <c r="CT129" s="97" t="str">
        <f t="shared" si="127"/>
        <v/>
      </c>
      <c r="CU129" s="97" t="str">
        <f t="shared" si="127"/>
        <v/>
      </c>
      <c r="CV129" s="97" t="str">
        <f t="shared" si="127"/>
        <v/>
      </c>
      <c r="CW129" s="97" t="str">
        <f t="shared" si="127"/>
        <v/>
      </c>
      <c r="CX129" s="98" t="str">
        <f t="shared" si="127"/>
        <v/>
      </c>
      <c r="CY129" s="392"/>
    </row>
    <row r="130" spans="1:103" x14ac:dyDescent="0.25">
      <c r="A130" s="81" t="s">
        <v>258</v>
      </c>
      <c r="B130" s="82" t="s">
        <v>263</v>
      </c>
      <c r="C130" s="83" t="s">
        <v>403</v>
      </c>
      <c r="D130" s="84"/>
      <c r="E130" s="85"/>
      <c r="F130" s="85"/>
      <c r="G130" s="85"/>
      <c r="H130" s="85"/>
      <c r="I130" s="85">
        <v>0</v>
      </c>
      <c r="J130" s="85">
        <v>0</v>
      </c>
      <c r="K130" s="85">
        <v>0</v>
      </c>
      <c r="L130" s="85">
        <v>0</v>
      </c>
      <c r="M130" s="654">
        <f>'2022-23 Input'!D130</f>
        <v>0</v>
      </c>
      <c r="N130" s="1065">
        <v>0</v>
      </c>
      <c r="O130" s="560">
        <f t="shared" si="101"/>
        <v>0</v>
      </c>
      <c r="P130" s="561">
        <f t="shared" si="75"/>
        <v>0</v>
      </c>
      <c r="Q130" s="561">
        <f t="shared" si="76"/>
        <v>0</v>
      </c>
      <c r="R130" s="561">
        <f t="shared" si="77"/>
        <v>0</v>
      </c>
      <c r="S130" s="561">
        <f t="shared" si="78"/>
        <v>0</v>
      </c>
      <c r="T130" s="561">
        <f t="shared" si="79"/>
        <v>0</v>
      </c>
      <c r="U130" s="561">
        <f t="shared" si="80"/>
        <v>0</v>
      </c>
      <c r="V130" s="561">
        <f t="shared" si="81"/>
        <v>0</v>
      </c>
      <c r="W130" s="675">
        <f t="shared" si="82"/>
        <v>0</v>
      </c>
      <c r="X130" s="675">
        <f t="shared" si="83"/>
        <v>0</v>
      </c>
      <c r="Y130" s="675">
        <f t="shared" si="83"/>
        <v>0</v>
      </c>
      <c r="Z130" s="86"/>
      <c r="AA130" s="87"/>
      <c r="AB130" s="87"/>
      <c r="AC130" s="87"/>
      <c r="AD130" s="87"/>
      <c r="AE130" s="87">
        <v>0</v>
      </c>
      <c r="AF130" s="87">
        <v>0</v>
      </c>
      <c r="AG130" s="87">
        <v>0</v>
      </c>
      <c r="AH130" s="87">
        <v>0</v>
      </c>
      <c r="AI130" s="1094">
        <f>'2022-23 Input'!K130</f>
        <v>0</v>
      </c>
      <c r="AJ130" s="665">
        <v>0</v>
      </c>
      <c r="AK130" s="88">
        <f t="shared" si="111"/>
        <v>0</v>
      </c>
      <c r="AL130" s="89">
        <f t="shared" si="112"/>
        <v>0</v>
      </c>
      <c r="AM130" s="90">
        <f t="shared" si="113"/>
        <v>0</v>
      </c>
      <c r="AN130" s="91" t="str">
        <f t="shared" si="114"/>
        <v/>
      </c>
      <c r="AO130" s="92" t="str">
        <f t="shared" si="115"/>
        <v/>
      </c>
      <c r="AP130" s="92" t="str">
        <f t="shared" si="116"/>
        <v/>
      </c>
      <c r="AQ130" s="92" t="str">
        <f t="shared" si="117"/>
        <v/>
      </c>
      <c r="AR130" s="92" t="str">
        <f t="shared" si="118"/>
        <v/>
      </c>
      <c r="AS130" s="92" t="str">
        <f t="shared" si="119"/>
        <v/>
      </c>
      <c r="AT130" s="92" t="str">
        <f t="shared" si="120"/>
        <v/>
      </c>
      <c r="AU130" s="92" t="str">
        <f t="shared" si="121"/>
        <v/>
      </c>
      <c r="AV130" s="92" t="str">
        <f t="shared" si="129"/>
        <v/>
      </c>
      <c r="AW130" s="92" t="str">
        <f t="shared" si="129"/>
        <v/>
      </c>
      <c r="AX130" s="92" t="str">
        <f t="shared" si="129"/>
        <v/>
      </c>
      <c r="AY130" s="93" t="str">
        <f t="shared" si="123"/>
        <v/>
      </c>
      <c r="AZ130" s="94" t="str">
        <f t="shared" si="124"/>
        <v/>
      </c>
      <c r="BA130" s="95" t="str">
        <f t="shared" si="125"/>
        <v/>
      </c>
      <c r="BB130" s="248" t="s">
        <v>422</v>
      </c>
      <c r="BC130" s="229" t="s">
        <v>433</v>
      </c>
      <c r="BD130" s="249">
        <v>0</v>
      </c>
      <c r="BE130" s="267">
        <f t="shared" si="102"/>
        <v>0</v>
      </c>
      <c r="BF130" s="268">
        <f t="shared" si="130"/>
        <v>0</v>
      </c>
      <c r="BG130" s="268">
        <f t="shared" si="130"/>
        <v>0</v>
      </c>
      <c r="BH130" s="268">
        <f t="shared" si="130"/>
        <v>1</v>
      </c>
      <c r="BI130" s="268">
        <f t="shared" si="130"/>
        <v>2</v>
      </c>
      <c r="BJ130" s="268">
        <f t="shared" si="130"/>
        <v>3</v>
      </c>
      <c r="BK130" s="268">
        <f t="shared" si="130"/>
        <v>4</v>
      </c>
      <c r="BL130" s="269">
        <f t="shared" si="130"/>
        <v>5</v>
      </c>
      <c r="BM130" s="256">
        <f>IF($BC130=Lookup!$A$2,$BD130*ROUNDUP(BE130/10,0)+1,
IF($BC130=Lookup!$A$3,($BD130+1)^BD130,
IF($BC130=Lookup!$A$4,BE130*$BD130+1,"Error")))</f>
        <v>1</v>
      </c>
      <c r="BN130" s="229">
        <f>IF($BC130=Lookup!$A$2,$BD130*ROUNDUP(BF130/10,0)+1,
IF($BC130=Lookup!$A$3,($BD130+1)^BE130,
IF($BC130=Lookup!$A$4,BF130*$BD130+1,"Error")))</f>
        <v>1</v>
      </c>
      <c r="BO130" s="229">
        <f>IF($BC130=Lookup!$A$2,$BD130*ROUNDUP(BG130/10,0)+1,
IF($BC130=Lookup!$A$3,($BD130+1)^BF130,
IF($BC130=Lookup!$A$4,BG130*$BD130+1,"Error")))</f>
        <v>1</v>
      </c>
      <c r="BP130" s="229">
        <f>IF($BC130=Lookup!$A$2,$BD130*ROUNDUP(BH130/10,0)+1,
IF($BC130=Lookup!$A$3,($BD130+1)^BG130,
IF($BC130=Lookup!$A$4,BH130*$BD130+1,"Error")))</f>
        <v>1</v>
      </c>
      <c r="BQ130" s="229">
        <f>IF($BC130=Lookup!$A$2,$BD130*ROUNDUP(BI130/10,0)+1,
IF($BC130=Lookup!$A$3,($BD130+1)^BH130,
IF($BC130=Lookup!$A$4,BI130*$BD130+1,"Error")))</f>
        <v>1</v>
      </c>
      <c r="BR130" s="229">
        <f>IF($BC130=Lookup!$A$2,$BD130*ROUNDUP(BJ130/10,0)+1,
IF($BC130=Lookup!$A$3,($BD130+1)^BI130,
IF($BC130=Lookup!$A$4,BJ130*$BD130+1,"Error")))</f>
        <v>1</v>
      </c>
      <c r="BS130" s="229">
        <f>IF($BC130=Lookup!$A$2,$BD130*ROUNDUP(BK130/10,0)+1,
IF($BC130=Lookup!$A$3,($BD130+1)^BJ130,
IF($BC130=Lookup!$A$4,BK130*$BD130+1,"Error")))</f>
        <v>1</v>
      </c>
      <c r="BT130" s="249">
        <f>IF($BC130=Lookup!$A$2,$BD130*ROUNDUP(BL130/10,0)+1,
IF($BC130=Lookup!$A$3,($BD130+1)^BK130,
IF($BC130=Lookup!$A$4,BL130*$BD130+1,"Error")))</f>
        <v>1</v>
      </c>
      <c r="BU130" s="320">
        <v>0</v>
      </c>
      <c r="BV130" s="321">
        <v>0</v>
      </c>
      <c r="BW130" s="321">
        <v>0</v>
      </c>
      <c r="BX130" s="321">
        <v>0</v>
      </c>
      <c r="BY130" s="321">
        <v>0</v>
      </c>
      <c r="BZ130" s="321">
        <v>0</v>
      </c>
      <c r="CA130" s="321">
        <v>0</v>
      </c>
      <c r="CB130" s="277">
        <v>0</v>
      </c>
      <c r="CC130" s="382" t="s">
        <v>293</v>
      </c>
      <c r="CD130" s="383">
        <f>HLOOKUP($CC130,$AK$6:$AM$132,ROWS(CD$6:CD130),0)</f>
        <v>0</v>
      </c>
      <c r="CE130" s="234">
        <f t="shared" si="132"/>
        <v>0</v>
      </c>
      <c r="CF130" s="96">
        <f t="shared" si="132"/>
        <v>0</v>
      </c>
      <c r="CG130" s="96">
        <f t="shared" si="132"/>
        <v>0</v>
      </c>
      <c r="CH130" s="96">
        <f t="shared" si="131"/>
        <v>0</v>
      </c>
      <c r="CI130" s="96">
        <f t="shared" si="131"/>
        <v>0</v>
      </c>
      <c r="CJ130" s="96">
        <f t="shared" si="131"/>
        <v>0</v>
      </c>
      <c r="CK130" s="96">
        <f t="shared" si="131"/>
        <v>0</v>
      </c>
      <c r="CL130" s="286">
        <f t="shared" si="128"/>
        <v>0</v>
      </c>
      <c r="CM130" s="305" t="s">
        <v>293</v>
      </c>
      <c r="CN130" s="315">
        <v>0.05</v>
      </c>
      <c r="CO130" s="306"/>
      <c r="CP130" s="307" t="str">
        <f>IF($CO130&lt;&gt;"",$CO130,HLOOKUP($CM130,$AY$6:$BA$132,ROWS(CP$6:CP130),0))</f>
        <v/>
      </c>
      <c r="CQ130" s="784" t="str">
        <f t="shared" si="127"/>
        <v/>
      </c>
      <c r="CR130" s="784" t="str">
        <f t="shared" si="127"/>
        <v/>
      </c>
      <c r="CS130" s="97" t="str">
        <f t="shared" si="127"/>
        <v/>
      </c>
      <c r="CT130" s="97" t="str">
        <f t="shared" si="127"/>
        <v/>
      </c>
      <c r="CU130" s="97" t="str">
        <f t="shared" si="127"/>
        <v/>
      </c>
      <c r="CV130" s="97" t="str">
        <f t="shared" si="127"/>
        <v/>
      </c>
      <c r="CW130" s="97" t="str">
        <f t="shared" si="127"/>
        <v/>
      </c>
      <c r="CX130" s="98" t="str">
        <f t="shared" si="127"/>
        <v/>
      </c>
      <c r="CY130" s="392"/>
    </row>
    <row r="131" spans="1:103" x14ac:dyDescent="0.25">
      <c r="A131" s="81" t="s">
        <v>258</v>
      </c>
      <c r="B131" s="82" t="s">
        <v>404</v>
      </c>
      <c r="C131" s="83" t="s">
        <v>405</v>
      </c>
      <c r="D131" s="84"/>
      <c r="E131" s="85"/>
      <c r="F131" s="85"/>
      <c r="G131" s="85"/>
      <c r="H131" s="85"/>
      <c r="I131" s="85">
        <v>0</v>
      </c>
      <c r="J131" s="85">
        <v>0</v>
      </c>
      <c r="K131" s="85">
        <v>0</v>
      </c>
      <c r="L131" s="85">
        <v>0</v>
      </c>
      <c r="M131" s="654">
        <f>'2022-23 Input'!D131</f>
        <v>0</v>
      </c>
      <c r="N131" s="1065">
        <v>0</v>
      </c>
      <c r="O131" s="560">
        <f t="shared" si="101"/>
        <v>0</v>
      </c>
      <c r="P131" s="561">
        <f t="shared" si="75"/>
        <v>0</v>
      </c>
      <c r="Q131" s="561">
        <f t="shared" si="76"/>
        <v>0</v>
      </c>
      <c r="R131" s="561">
        <f t="shared" si="77"/>
        <v>0</v>
      </c>
      <c r="S131" s="561">
        <f t="shared" si="78"/>
        <v>0</v>
      </c>
      <c r="T131" s="561">
        <f t="shared" si="79"/>
        <v>0</v>
      </c>
      <c r="U131" s="561">
        <f t="shared" si="80"/>
        <v>0</v>
      </c>
      <c r="V131" s="561">
        <f t="shared" si="81"/>
        <v>0</v>
      </c>
      <c r="W131" s="675">
        <f t="shared" si="82"/>
        <v>0</v>
      </c>
      <c r="X131" s="675">
        <f t="shared" si="83"/>
        <v>0</v>
      </c>
      <c r="Y131" s="675">
        <f t="shared" si="83"/>
        <v>0</v>
      </c>
      <c r="Z131" s="86"/>
      <c r="AA131" s="87"/>
      <c r="AB131" s="87"/>
      <c r="AC131" s="87"/>
      <c r="AD131" s="87"/>
      <c r="AE131" s="87">
        <v>0</v>
      </c>
      <c r="AF131" s="87">
        <v>0</v>
      </c>
      <c r="AG131" s="87">
        <v>0</v>
      </c>
      <c r="AH131" s="87">
        <v>0</v>
      </c>
      <c r="AI131" s="1094">
        <f>'2022-23 Input'!K131</f>
        <v>0</v>
      </c>
      <c r="AJ131" s="665">
        <v>0</v>
      </c>
      <c r="AK131" s="88">
        <f t="shared" si="111"/>
        <v>0</v>
      </c>
      <c r="AL131" s="89">
        <f t="shared" si="112"/>
        <v>0</v>
      </c>
      <c r="AM131" s="90">
        <f t="shared" si="113"/>
        <v>0</v>
      </c>
      <c r="AN131" s="91" t="str">
        <f t="shared" si="114"/>
        <v/>
      </c>
      <c r="AO131" s="92" t="str">
        <f t="shared" si="115"/>
        <v/>
      </c>
      <c r="AP131" s="92" t="str">
        <f t="shared" si="116"/>
        <v/>
      </c>
      <c r="AQ131" s="92" t="str">
        <f t="shared" si="117"/>
        <v/>
      </c>
      <c r="AR131" s="92" t="str">
        <f t="shared" si="118"/>
        <v/>
      </c>
      <c r="AS131" s="92" t="str">
        <f t="shared" si="119"/>
        <v/>
      </c>
      <c r="AT131" s="92" t="str">
        <f t="shared" si="120"/>
        <v/>
      </c>
      <c r="AU131" s="92" t="str">
        <f t="shared" si="121"/>
        <v/>
      </c>
      <c r="AV131" s="92" t="str">
        <f t="shared" si="129"/>
        <v/>
      </c>
      <c r="AW131" s="92" t="str">
        <f t="shared" si="129"/>
        <v/>
      </c>
      <c r="AX131" s="92" t="str">
        <f t="shared" si="129"/>
        <v/>
      </c>
      <c r="AY131" s="93" t="str">
        <f t="shared" si="123"/>
        <v/>
      </c>
      <c r="AZ131" s="94" t="str">
        <f t="shared" si="124"/>
        <v/>
      </c>
      <c r="BA131" s="95" t="str">
        <f t="shared" si="125"/>
        <v/>
      </c>
      <c r="BB131" s="248" t="s">
        <v>422</v>
      </c>
      <c r="BC131" s="229" t="s">
        <v>433</v>
      </c>
      <c r="BD131" s="249">
        <v>0</v>
      </c>
      <c r="BE131" s="267">
        <f t="shared" si="102"/>
        <v>0</v>
      </c>
      <c r="BF131" s="268">
        <f t="shared" si="130"/>
        <v>0</v>
      </c>
      <c r="BG131" s="268">
        <f t="shared" si="130"/>
        <v>0</v>
      </c>
      <c r="BH131" s="268">
        <f t="shared" si="130"/>
        <v>1</v>
      </c>
      <c r="BI131" s="268">
        <f t="shared" si="130"/>
        <v>2</v>
      </c>
      <c r="BJ131" s="268">
        <f t="shared" si="130"/>
        <v>3</v>
      </c>
      <c r="BK131" s="268">
        <f t="shared" si="130"/>
        <v>4</v>
      </c>
      <c r="BL131" s="269">
        <f t="shared" si="130"/>
        <v>5</v>
      </c>
      <c r="BM131" s="256">
        <f>IF($BC131=Lookup!$A$2,$BD131*ROUNDUP(BE131/10,0)+1,
IF($BC131=Lookup!$A$3,($BD131+1)^BD131,
IF($BC131=Lookup!$A$4,BE131*$BD131+1,"Error")))</f>
        <v>1</v>
      </c>
      <c r="BN131" s="229">
        <f>IF($BC131=Lookup!$A$2,$BD131*ROUNDUP(BF131/10,0)+1,
IF($BC131=Lookup!$A$3,($BD131+1)^BE131,
IF($BC131=Lookup!$A$4,BF131*$BD131+1,"Error")))</f>
        <v>1</v>
      </c>
      <c r="BO131" s="229">
        <f>IF($BC131=Lookup!$A$2,$BD131*ROUNDUP(BG131/10,0)+1,
IF($BC131=Lookup!$A$3,($BD131+1)^BF131,
IF($BC131=Lookup!$A$4,BG131*$BD131+1,"Error")))</f>
        <v>1</v>
      </c>
      <c r="BP131" s="229">
        <f>IF($BC131=Lookup!$A$2,$BD131*ROUNDUP(BH131/10,0)+1,
IF($BC131=Lookup!$A$3,($BD131+1)^BG131,
IF($BC131=Lookup!$A$4,BH131*$BD131+1,"Error")))</f>
        <v>1</v>
      </c>
      <c r="BQ131" s="229">
        <f>IF($BC131=Lookup!$A$2,$BD131*ROUNDUP(BI131/10,0)+1,
IF($BC131=Lookup!$A$3,($BD131+1)^BH131,
IF($BC131=Lookup!$A$4,BI131*$BD131+1,"Error")))</f>
        <v>1</v>
      </c>
      <c r="BR131" s="229">
        <f>IF($BC131=Lookup!$A$2,$BD131*ROUNDUP(BJ131/10,0)+1,
IF($BC131=Lookup!$A$3,($BD131+1)^BI131,
IF($BC131=Lookup!$A$4,BJ131*$BD131+1,"Error")))</f>
        <v>1</v>
      </c>
      <c r="BS131" s="229">
        <f>IF($BC131=Lookup!$A$2,$BD131*ROUNDUP(BK131/10,0)+1,
IF($BC131=Lookup!$A$3,($BD131+1)^BJ131,
IF($BC131=Lookup!$A$4,BK131*$BD131+1,"Error")))</f>
        <v>1</v>
      </c>
      <c r="BT131" s="249">
        <f>IF($BC131=Lookup!$A$2,$BD131*ROUNDUP(BL131/10,0)+1,
IF($BC131=Lookup!$A$3,($BD131+1)^BK131,
IF($BC131=Lookup!$A$4,BL131*$BD131+1,"Error")))</f>
        <v>1</v>
      </c>
      <c r="BU131" s="320">
        <v>0</v>
      </c>
      <c r="BV131" s="321">
        <v>0</v>
      </c>
      <c r="BW131" s="321">
        <v>0</v>
      </c>
      <c r="BX131" s="321">
        <v>0</v>
      </c>
      <c r="BY131" s="321">
        <v>0</v>
      </c>
      <c r="BZ131" s="321">
        <v>0</v>
      </c>
      <c r="CA131" s="321">
        <v>0</v>
      </c>
      <c r="CB131" s="277">
        <v>0</v>
      </c>
      <c r="CC131" s="382" t="s">
        <v>293</v>
      </c>
      <c r="CD131" s="383">
        <f>HLOOKUP($CC131,$AK$6:$AM$132,ROWS(CD$6:CD131),0)</f>
        <v>0</v>
      </c>
      <c r="CE131" s="234">
        <f t="shared" si="132"/>
        <v>0</v>
      </c>
      <c r="CF131" s="96">
        <f t="shared" si="132"/>
        <v>0</v>
      </c>
      <c r="CG131" s="96">
        <f t="shared" si="132"/>
        <v>0</v>
      </c>
      <c r="CH131" s="96">
        <f t="shared" si="131"/>
        <v>0</v>
      </c>
      <c r="CI131" s="96">
        <f t="shared" si="131"/>
        <v>0</v>
      </c>
      <c r="CJ131" s="96">
        <f t="shared" si="131"/>
        <v>0</v>
      </c>
      <c r="CK131" s="96">
        <f t="shared" si="131"/>
        <v>0</v>
      </c>
      <c r="CL131" s="286">
        <f t="shared" si="128"/>
        <v>0</v>
      </c>
      <c r="CM131" s="305" t="s">
        <v>293</v>
      </c>
      <c r="CN131" s="315">
        <v>0.05</v>
      </c>
      <c r="CO131" s="306"/>
      <c r="CP131" s="307" t="str">
        <f>IF($CO131&lt;&gt;"",$CO131,HLOOKUP($CM131,$AY$6:$BA$132,ROWS(CP$6:CP131),0))</f>
        <v/>
      </c>
      <c r="CQ131" s="784" t="str">
        <f t="shared" si="127"/>
        <v/>
      </c>
      <c r="CR131" s="784" t="str">
        <f t="shared" si="127"/>
        <v/>
      </c>
      <c r="CS131" s="97" t="str">
        <f t="shared" si="127"/>
        <v/>
      </c>
      <c r="CT131" s="97" t="str">
        <f t="shared" si="127"/>
        <v/>
      </c>
      <c r="CU131" s="97" t="str">
        <f t="shared" si="127"/>
        <v/>
      </c>
      <c r="CV131" s="97" t="str">
        <f t="shared" si="127"/>
        <v/>
      </c>
      <c r="CW131" s="97" t="str">
        <f t="shared" si="127"/>
        <v/>
      </c>
      <c r="CX131" s="98" t="str">
        <f t="shared" si="127"/>
        <v/>
      </c>
      <c r="CY131" s="392"/>
    </row>
    <row r="132" spans="1:103" ht="15.75" thickBot="1" x14ac:dyDescent="0.3">
      <c r="A132" s="100" t="s">
        <v>258</v>
      </c>
      <c r="B132" s="101" t="s">
        <v>265</v>
      </c>
      <c r="C132" s="159" t="s">
        <v>406</v>
      </c>
      <c r="D132" s="103"/>
      <c r="E132" s="104"/>
      <c r="F132" s="104"/>
      <c r="G132" s="104"/>
      <c r="H132" s="104"/>
      <c r="I132" s="104">
        <v>0</v>
      </c>
      <c r="J132" s="104">
        <v>0</v>
      </c>
      <c r="K132" s="104">
        <v>12074.37</v>
      </c>
      <c r="L132" s="104">
        <v>0</v>
      </c>
      <c r="M132" s="655">
        <f>'2022-23 Input'!D132</f>
        <v>0</v>
      </c>
      <c r="N132" s="1066">
        <v>0</v>
      </c>
      <c r="O132" s="563">
        <f t="shared" si="101"/>
        <v>0</v>
      </c>
      <c r="P132" s="564">
        <f t="shared" si="75"/>
        <v>0</v>
      </c>
      <c r="Q132" s="564">
        <f t="shared" si="76"/>
        <v>0</v>
      </c>
      <c r="R132" s="564">
        <f t="shared" si="77"/>
        <v>0</v>
      </c>
      <c r="S132" s="564">
        <f t="shared" si="78"/>
        <v>0</v>
      </c>
      <c r="T132" s="564">
        <f t="shared" si="79"/>
        <v>0</v>
      </c>
      <c r="U132" s="564">
        <f t="shared" si="80"/>
        <v>0</v>
      </c>
      <c r="V132" s="564">
        <f t="shared" si="81"/>
        <v>14481.501788331383</v>
      </c>
      <c r="W132" s="676">
        <f t="shared" si="82"/>
        <v>0</v>
      </c>
      <c r="X132" s="676">
        <f t="shared" si="83"/>
        <v>0</v>
      </c>
      <c r="Y132" s="676">
        <f t="shared" si="83"/>
        <v>0</v>
      </c>
      <c r="Z132" s="105"/>
      <c r="AA132" s="106"/>
      <c r="AB132" s="106"/>
      <c r="AC132" s="106"/>
      <c r="AD132" s="106"/>
      <c r="AE132" s="106">
        <v>0</v>
      </c>
      <c r="AF132" s="106">
        <v>1</v>
      </c>
      <c r="AG132" s="106">
        <v>20</v>
      </c>
      <c r="AH132" s="106">
        <v>8</v>
      </c>
      <c r="AI132" s="1095">
        <f>'2022-23 Input'!K132</f>
        <v>1</v>
      </c>
      <c r="AJ132" s="666">
        <v>2.1666666669999999</v>
      </c>
      <c r="AK132" s="107">
        <f t="shared" si="111"/>
        <v>6</v>
      </c>
      <c r="AL132" s="108">
        <f t="shared" si="112"/>
        <v>9.6666666666666661</v>
      </c>
      <c r="AM132" s="109">
        <f t="shared" si="113"/>
        <v>1</v>
      </c>
      <c r="AN132" s="110" t="str">
        <f t="shared" si="114"/>
        <v/>
      </c>
      <c r="AO132" s="111" t="str">
        <f t="shared" si="115"/>
        <v/>
      </c>
      <c r="AP132" s="111" t="str">
        <f t="shared" si="116"/>
        <v/>
      </c>
      <c r="AQ132" s="111" t="str">
        <f t="shared" si="117"/>
        <v/>
      </c>
      <c r="AR132" s="111" t="str">
        <f t="shared" si="118"/>
        <v/>
      </c>
      <c r="AS132" s="111" t="str">
        <f t="shared" si="119"/>
        <v/>
      </c>
      <c r="AT132" s="111">
        <f t="shared" si="120"/>
        <v>0</v>
      </c>
      <c r="AU132" s="111">
        <f t="shared" si="121"/>
        <v>603.71850000000006</v>
      </c>
      <c r="AV132" s="111">
        <f t="shared" si="129"/>
        <v>0</v>
      </c>
      <c r="AW132" s="111">
        <f t="shared" si="129"/>
        <v>0</v>
      </c>
      <c r="AX132" s="111">
        <f t="shared" si="129"/>
        <v>0</v>
      </c>
      <c r="AY132" s="112">
        <f t="shared" si="123"/>
        <v>402.47900000000004</v>
      </c>
      <c r="AZ132" s="113">
        <f t="shared" si="124"/>
        <v>416.3575862068966</v>
      </c>
      <c r="BA132" s="114">
        <f t="shared" si="125"/>
        <v>0</v>
      </c>
      <c r="BB132" s="250" t="s">
        <v>422</v>
      </c>
      <c r="BC132" s="230" t="s">
        <v>433</v>
      </c>
      <c r="BD132" s="251">
        <v>0</v>
      </c>
      <c r="BE132" s="270">
        <f t="shared" si="102"/>
        <v>0</v>
      </c>
      <c r="BF132" s="271">
        <f t="shared" si="130"/>
        <v>0</v>
      </c>
      <c r="BG132" s="271">
        <f t="shared" si="130"/>
        <v>0</v>
      </c>
      <c r="BH132" s="271">
        <f t="shared" si="130"/>
        <v>1</v>
      </c>
      <c r="BI132" s="271">
        <f t="shared" si="130"/>
        <v>2</v>
      </c>
      <c r="BJ132" s="271">
        <f t="shared" si="130"/>
        <v>3</v>
      </c>
      <c r="BK132" s="271">
        <f t="shared" si="130"/>
        <v>4</v>
      </c>
      <c r="BL132" s="272">
        <f t="shared" si="130"/>
        <v>5</v>
      </c>
      <c r="BM132" s="257">
        <f>IF($BC132=Lookup!$A$2,$BD132*ROUNDUP(BE132/10,0)+1,
IF($BC132=Lookup!$A$3,($BD132+1)^BD132,
IF($BC132=Lookup!$A$4,BE132*$BD132+1,"Error")))</f>
        <v>1</v>
      </c>
      <c r="BN132" s="230">
        <f>IF($BC132=Lookup!$A$2,$BD132*ROUNDUP(BF132/10,0)+1,
IF($BC132=Lookup!$A$3,($BD132+1)^BE132,
IF($BC132=Lookup!$A$4,BF132*$BD132+1,"Error")))</f>
        <v>1</v>
      </c>
      <c r="BO132" s="230">
        <f>IF($BC132=Lookup!$A$2,$BD132*ROUNDUP(BG132/10,0)+1,
IF($BC132=Lookup!$A$3,($BD132+1)^BF132,
IF($BC132=Lookup!$A$4,BG132*$BD132+1,"Error")))</f>
        <v>1</v>
      </c>
      <c r="BP132" s="230">
        <f>IF($BC132=Lookup!$A$2,$BD132*ROUNDUP(BH132/10,0)+1,
IF($BC132=Lookup!$A$3,($BD132+1)^BG132,
IF($BC132=Lookup!$A$4,BH132*$BD132+1,"Error")))</f>
        <v>1</v>
      </c>
      <c r="BQ132" s="230">
        <f>IF($BC132=Lookup!$A$2,$BD132*ROUNDUP(BI132/10,0)+1,
IF($BC132=Lookup!$A$3,($BD132+1)^BH132,
IF($BC132=Lookup!$A$4,BI132*$BD132+1,"Error")))</f>
        <v>1</v>
      </c>
      <c r="BR132" s="230">
        <f>IF($BC132=Lookup!$A$2,$BD132*ROUNDUP(BJ132/10,0)+1,
IF($BC132=Lookup!$A$3,($BD132+1)^BI132,
IF($BC132=Lookup!$A$4,BJ132*$BD132+1,"Error")))</f>
        <v>1</v>
      </c>
      <c r="BS132" s="230">
        <f>IF($BC132=Lookup!$A$2,$BD132*ROUNDUP(BK132/10,0)+1,
IF($BC132=Lookup!$A$3,($BD132+1)^BJ132,
IF($BC132=Lookup!$A$4,BK132*$BD132+1,"Error")))</f>
        <v>1</v>
      </c>
      <c r="BT132" s="251">
        <f>IF($BC132=Lookup!$A$2,$BD132*ROUNDUP(BL132/10,0)+1,
IF($BC132=Lookup!$A$3,($BD132+1)^BK132,
IF($BC132=Lookup!$A$4,BL132*$BD132+1,"Error")))</f>
        <v>1</v>
      </c>
      <c r="BU132" s="322">
        <v>0</v>
      </c>
      <c r="BV132" s="323">
        <v>0</v>
      </c>
      <c r="BW132" s="323">
        <v>0</v>
      </c>
      <c r="BX132" s="323">
        <v>0</v>
      </c>
      <c r="BY132" s="323">
        <v>0</v>
      </c>
      <c r="BZ132" s="323">
        <v>0</v>
      </c>
      <c r="CA132" s="323">
        <v>0</v>
      </c>
      <c r="CB132" s="278">
        <v>0</v>
      </c>
      <c r="CC132" s="384" t="s">
        <v>293</v>
      </c>
      <c r="CD132" s="385">
        <f>HLOOKUP($CC132,$AK$6:$AM$132,ROWS(CD$6:CD132),0)</f>
        <v>9.6666666666666661</v>
      </c>
      <c r="CE132" s="235">
        <f t="shared" si="132"/>
        <v>0</v>
      </c>
      <c r="CF132" s="115">
        <f t="shared" si="132"/>
        <v>0</v>
      </c>
      <c r="CG132" s="115">
        <f t="shared" si="132"/>
        <v>0</v>
      </c>
      <c r="CH132" s="115">
        <f t="shared" si="131"/>
        <v>0</v>
      </c>
      <c r="CI132" s="115">
        <f t="shared" si="131"/>
        <v>0</v>
      </c>
      <c r="CJ132" s="115">
        <f t="shared" si="131"/>
        <v>0</v>
      </c>
      <c r="CK132" s="115">
        <f t="shared" si="131"/>
        <v>0</v>
      </c>
      <c r="CL132" s="287">
        <f t="shared" si="128"/>
        <v>0</v>
      </c>
      <c r="CM132" s="308" t="s">
        <v>293</v>
      </c>
      <c r="CN132" s="316">
        <v>0.05</v>
      </c>
      <c r="CO132" s="309"/>
      <c r="CP132" s="310">
        <f>IF($CO132&lt;&gt;"",$CO132,HLOOKUP($CM132,$AY$6:$BA$132,ROWS(CP$6:CP132),0))</f>
        <v>416.3575862068966</v>
      </c>
      <c r="CQ132" s="785">
        <f t="shared" si="127"/>
        <v>0</v>
      </c>
      <c r="CR132" s="785">
        <f t="shared" si="127"/>
        <v>0</v>
      </c>
      <c r="CS132" s="117">
        <f t="shared" si="127"/>
        <v>0</v>
      </c>
      <c r="CT132" s="117">
        <f t="shared" si="127"/>
        <v>0</v>
      </c>
      <c r="CU132" s="117">
        <f t="shared" si="127"/>
        <v>0</v>
      </c>
      <c r="CV132" s="117">
        <f t="shared" si="127"/>
        <v>0</v>
      </c>
      <c r="CW132" s="117">
        <f t="shared" si="127"/>
        <v>0</v>
      </c>
      <c r="CX132" s="118">
        <f t="shared" si="127"/>
        <v>0</v>
      </c>
      <c r="CY132" s="393"/>
    </row>
    <row r="133" spans="1:103" ht="15.75" thickBot="1" x14ac:dyDescent="0.3">
      <c r="A133" s="19"/>
      <c r="B133" s="19"/>
      <c r="C133" s="160" t="s">
        <v>407</v>
      </c>
      <c r="D133" s="161">
        <f>SUM(D7:D132)</f>
        <v>0</v>
      </c>
      <c r="E133" s="162">
        <f t="shared" ref="E133:X133" si="133">SUM(E7:E132)</f>
        <v>0</v>
      </c>
      <c r="F133" s="162">
        <f t="shared" si="133"/>
        <v>0</v>
      </c>
      <c r="G133" s="162">
        <f t="shared" si="133"/>
        <v>0</v>
      </c>
      <c r="H133" s="162">
        <f t="shared" si="133"/>
        <v>0</v>
      </c>
      <c r="I133" s="162">
        <f t="shared" si="133"/>
        <v>9815191.6555821802</v>
      </c>
      <c r="J133" s="162">
        <f t="shared" si="133"/>
        <v>20694366.158575289</v>
      </c>
      <c r="K133" s="162">
        <f t="shared" si="133"/>
        <v>33861053.184815042</v>
      </c>
      <c r="L133" s="162">
        <f t="shared" si="133"/>
        <v>63759645.81213668</v>
      </c>
      <c r="M133" s="162">
        <f t="shared" si="133"/>
        <v>81754132.857317016</v>
      </c>
      <c r="N133" s="162">
        <f t="shared" si="133"/>
        <v>79804746.203585416</v>
      </c>
      <c r="O133" s="569">
        <f t="shared" si="133"/>
        <v>0</v>
      </c>
      <c r="P133" s="570">
        <f t="shared" si="133"/>
        <v>0</v>
      </c>
      <c r="Q133" s="570">
        <f t="shared" si="133"/>
        <v>0</v>
      </c>
      <c r="R133" s="570">
        <f t="shared" si="133"/>
        <v>0</v>
      </c>
      <c r="S133" s="570">
        <f t="shared" si="133"/>
        <v>0</v>
      </c>
      <c r="T133" s="570">
        <f t="shared" si="133"/>
        <v>12182108.383121151</v>
      </c>
      <c r="U133" s="570">
        <f t="shared" si="133"/>
        <v>25774584.176146522</v>
      </c>
      <c r="V133" s="570">
        <f t="shared" si="133"/>
        <v>40611551.762177482</v>
      </c>
      <c r="W133" s="1106">
        <f t="shared" si="133"/>
        <v>72043760.231596261</v>
      </c>
      <c r="X133" s="1106">
        <f t="shared" si="133"/>
        <v>86942325.840298533</v>
      </c>
      <c r="Y133" s="678">
        <f t="shared" ref="Y133" si="134">SUM(Y7:Y132)</f>
        <v>81999255.366386026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82"/>
      <c r="AJ133" s="282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19"/>
      <c r="BC133" s="19"/>
      <c r="BD133" s="326">
        <v>0</v>
      </c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282"/>
      <c r="CM133" s="282"/>
      <c r="CN133" s="282"/>
      <c r="CO133" s="282"/>
      <c r="CP133" s="19"/>
      <c r="CQ133" s="787">
        <f t="shared" ref="CQ133:CX133" si="135">SUM(CQ7:CQ132)</f>
        <v>60390503.054544322</v>
      </c>
      <c r="CR133" s="1110">
        <f t="shared" si="135"/>
        <v>49842398.910910308</v>
      </c>
      <c r="CS133" s="163">
        <f t="shared" si="135"/>
        <v>49842398.910910308</v>
      </c>
      <c r="CT133" s="163">
        <f t="shared" si="135"/>
        <v>65311990.992494531</v>
      </c>
      <c r="CU133" s="163">
        <f t="shared" si="135"/>
        <v>68477062.088111982</v>
      </c>
      <c r="CV133" s="163">
        <f t="shared" si="135"/>
        <v>70587502.737082675</v>
      </c>
      <c r="CW133" s="163">
        <f t="shared" si="135"/>
        <v>72698221.45938915</v>
      </c>
      <c r="CX133" s="164">
        <f t="shared" si="135"/>
        <v>73753676.590948239</v>
      </c>
    </row>
    <row r="134" spans="1:103" ht="15.75" thickBo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82"/>
      <c r="N134" s="282"/>
      <c r="O134" s="19"/>
      <c r="P134" s="19"/>
      <c r="Q134" s="19"/>
      <c r="R134" s="19"/>
      <c r="S134" s="19"/>
      <c r="T134" s="19"/>
      <c r="U134" s="19"/>
      <c r="V134" s="19"/>
      <c r="W134" s="19"/>
      <c r="X134" s="282"/>
      <c r="Y134" s="282"/>
      <c r="Z134" s="19"/>
      <c r="AA134" s="19"/>
      <c r="AB134" s="19"/>
      <c r="AC134" s="19"/>
      <c r="AD134" s="19"/>
      <c r="AE134" s="19"/>
      <c r="AF134" s="19"/>
      <c r="AG134" s="19"/>
      <c r="AH134" s="19"/>
      <c r="AI134" s="282"/>
      <c r="AJ134" s="282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/>
      <c r="AX134" s="282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282"/>
      <c r="CM134" s="282"/>
      <c r="CN134" s="282"/>
      <c r="CO134" s="282"/>
      <c r="CP134" s="19"/>
      <c r="CQ134" s="780"/>
      <c r="CR134" s="780"/>
      <c r="CS134" s="19"/>
      <c r="CT134" s="19"/>
      <c r="CU134" s="19"/>
      <c r="CV134" s="19"/>
      <c r="CW134" s="19"/>
      <c r="CX134" s="19"/>
    </row>
    <row r="135" spans="1:103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82"/>
      <c r="N135" s="282"/>
      <c r="O135" s="19"/>
      <c r="P135" s="19"/>
      <c r="Q135" s="19"/>
      <c r="R135" s="19"/>
      <c r="S135" s="19"/>
      <c r="T135" s="19"/>
      <c r="U135" s="19"/>
      <c r="V135" s="19"/>
      <c r="W135" s="19"/>
      <c r="X135" s="282"/>
      <c r="Y135" s="282"/>
      <c r="Z135" s="165" t="e">
        <f t="shared" ref="Z135:AF135" si="136">Z136/(Z136+Z137)</f>
        <v>#DIV/0!</v>
      </c>
      <c r="AA135" s="165" t="e">
        <f t="shared" si="136"/>
        <v>#DIV/0!</v>
      </c>
      <c r="AB135" s="165" t="e">
        <f t="shared" si="136"/>
        <v>#DIV/0!</v>
      </c>
      <c r="AC135" s="165" t="e">
        <f t="shared" si="136"/>
        <v>#DIV/0!</v>
      </c>
      <c r="AD135" s="165" t="e">
        <f t="shared" si="136"/>
        <v>#DIV/0!</v>
      </c>
      <c r="AE135" s="165">
        <f t="shared" si="136"/>
        <v>0</v>
      </c>
      <c r="AF135" s="165">
        <f t="shared" si="136"/>
        <v>0</v>
      </c>
      <c r="AG135" s="165"/>
      <c r="AH135" s="165"/>
      <c r="AI135" s="294"/>
      <c r="AJ135" s="294"/>
      <c r="AK135" s="19"/>
      <c r="AL135" s="19"/>
      <c r="AM135" s="19"/>
      <c r="AN135" s="19" t="s">
        <v>603</v>
      </c>
      <c r="AO135" s="19"/>
      <c r="AP135" s="19"/>
      <c r="AQ135" s="19" t="s">
        <v>604</v>
      </c>
      <c r="AR135" s="19"/>
      <c r="AS135" s="19"/>
      <c r="AT135" s="19"/>
      <c r="AU135" s="19"/>
      <c r="AV135" s="19"/>
      <c r="AW135" s="282"/>
      <c r="AX135" s="282"/>
      <c r="AY135" s="616" t="s">
        <v>292</v>
      </c>
      <c r="AZ135" s="617" t="s">
        <v>293</v>
      </c>
      <c r="BA135" s="618" t="s">
        <v>294</v>
      </c>
      <c r="BB135" s="19">
        <v>1</v>
      </c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N135" s="19"/>
      <c r="BO135" s="19"/>
      <c r="BP135" s="19"/>
      <c r="BQ135" s="19"/>
      <c r="BR135" s="19"/>
      <c r="BS135" s="19"/>
      <c r="BT135" s="19"/>
      <c r="BV135" s="19"/>
      <c r="BW135" s="19"/>
      <c r="CB135" s="280"/>
      <c r="CC135" s="19"/>
      <c r="CD135" s="19"/>
      <c r="CE135" s="165"/>
      <c r="CF135" s="165"/>
      <c r="CG135" s="165"/>
      <c r="CH135" s="165"/>
      <c r="CI135" s="165"/>
      <c r="CJ135" s="165"/>
      <c r="CK135" s="165"/>
      <c r="CL135" s="294"/>
      <c r="CM135" s="294"/>
      <c r="CN135" s="294"/>
      <c r="CO135" s="294"/>
      <c r="CP135" s="19"/>
      <c r="CQ135" s="780"/>
      <c r="CR135" s="780"/>
      <c r="CS135" s="19"/>
      <c r="CT135" s="19"/>
      <c r="CU135" s="19"/>
      <c r="CV135" s="19"/>
      <c r="CW135" s="19"/>
      <c r="CX135" s="19"/>
    </row>
    <row r="136" spans="1:103" x14ac:dyDescent="0.25">
      <c r="A136" s="63" t="s">
        <v>296</v>
      </c>
      <c r="B136" s="166"/>
      <c r="C136" s="64" t="s">
        <v>409</v>
      </c>
      <c r="D136" s="167">
        <f>SUMIF($A$7:$A$132,$A136,D$7:D$132)</f>
        <v>0</v>
      </c>
      <c r="E136" s="168">
        <f t="shared" ref="E136:AF146" si="137">SUMIF($A$7:$A$132,$A136,E$7:E$132)</f>
        <v>0</v>
      </c>
      <c r="F136" s="168">
        <f t="shared" si="137"/>
        <v>0</v>
      </c>
      <c r="G136" s="168">
        <f t="shared" si="137"/>
        <v>0</v>
      </c>
      <c r="H136" s="168">
        <f t="shared" si="137"/>
        <v>0</v>
      </c>
      <c r="I136" s="168">
        <f t="shared" si="137"/>
        <v>0</v>
      </c>
      <c r="J136" s="168">
        <f t="shared" si="137"/>
        <v>0</v>
      </c>
      <c r="K136" s="168">
        <f t="shared" si="137"/>
        <v>0</v>
      </c>
      <c r="L136" s="168">
        <f t="shared" si="137"/>
        <v>0</v>
      </c>
      <c r="M136" s="658">
        <f t="shared" si="137"/>
        <v>0</v>
      </c>
      <c r="N136" s="658">
        <f t="shared" ref="N136:N146" si="138">SUMIF($A$7:$A$132,$A136,N$7:N$132)</f>
        <v>0</v>
      </c>
      <c r="O136" s="578">
        <f>SUMIF($A$7:$A$132,$A136,O$7:O$132)</f>
        <v>0</v>
      </c>
      <c r="P136" s="575">
        <f t="shared" si="137"/>
        <v>0</v>
      </c>
      <c r="Q136" s="575">
        <f t="shared" si="137"/>
        <v>0</v>
      </c>
      <c r="R136" s="575">
        <f t="shared" si="137"/>
        <v>0</v>
      </c>
      <c r="S136" s="575">
        <f t="shared" si="137"/>
        <v>0</v>
      </c>
      <c r="T136" s="575">
        <f t="shared" si="137"/>
        <v>0</v>
      </c>
      <c r="U136" s="575">
        <f t="shared" si="137"/>
        <v>0</v>
      </c>
      <c r="V136" s="575">
        <f t="shared" si="137"/>
        <v>0</v>
      </c>
      <c r="W136" s="575">
        <f t="shared" si="137"/>
        <v>0</v>
      </c>
      <c r="X136" s="679">
        <f t="shared" si="137"/>
        <v>0</v>
      </c>
      <c r="Y136" s="679">
        <f t="shared" ref="Y136:Y143" si="139">SUMIF($A$7:$A$132,$A136,Y$7:Y$132)</f>
        <v>0</v>
      </c>
      <c r="Z136" s="169">
        <f t="shared" si="137"/>
        <v>0</v>
      </c>
      <c r="AA136" s="170">
        <f t="shared" si="137"/>
        <v>0</v>
      </c>
      <c r="AB136" s="170">
        <f t="shared" si="137"/>
        <v>0</v>
      </c>
      <c r="AC136" s="170">
        <f t="shared" si="137"/>
        <v>0</v>
      </c>
      <c r="AD136" s="170">
        <f t="shared" si="137"/>
        <v>0</v>
      </c>
      <c r="AE136" s="170">
        <f t="shared" si="137"/>
        <v>0</v>
      </c>
      <c r="AF136" s="170">
        <f t="shared" si="137"/>
        <v>0</v>
      </c>
      <c r="AG136" s="170">
        <f t="shared" ref="AG136:AJ146" si="140">SUMIF($A$7:$A$132,$A136,AG$7:AG$132)</f>
        <v>0</v>
      </c>
      <c r="AH136" s="170">
        <f t="shared" si="140"/>
        <v>0</v>
      </c>
      <c r="AI136" s="170">
        <f t="shared" si="140"/>
        <v>0</v>
      </c>
      <c r="AJ136" s="613">
        <f t="shared" si="140"/>
        <v>0</v>
      </c>
      <c r="AK136" s="19"/>
      <c r="AL136" s="19"/>
      <c r="AM136" s="19"/>
      <c r="AN136" s="169">
        <v>0</v>
      </c>
      <c r="AO136" s="170">
        <v>0</v>
      </c>
      <c r="AP136" s="170">
        <v>0</v>
      </c>
      <c r="AQ136" s="170">
        <v>0</v>
      </c>
      <c r="AR136" s="170">
        <v>0</v>
      </c>
      <c r="AS136" s="170">
        <v>0</v>
      </c>
      <c r="AT136" s="170">
        <v>0</v>
      </c>
      <c r="AU136" s="170">
        <v>0</v>
      </c>
      <c r="AV136" s="170">
        <v>0</v>
      </c>
      <c r="AW136" s="613">
        <v>0</v>
      </c>
      <c r="AX136" s="1081">
        <v>0</v>
      </c>
      <c r="AY136" s="75">
        <f>SUM(AS136:AW136)/5</f>
        <v>0</v>
      </c>
      <c r="AZ136" s="76">
        <f>SUM(AU136:AW136)/3</f>
        <v>0</v>
      </c>
      <c r="BA136" s="77">
        <f>SUM(AW136)</f>
        <v>0</v>
      </c>
      <c r="BB136" s="19">
        <v>2</v>
      </c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420">
        <f t="shared" ref="CE136:CL146" si="141">SUMIF($A$7:$A$132,$A136,CE$7:CE$132)</f>
        <v>0</v>
      </c>
      <c r="CF136" s="144">
        <f t="shared" si="141"/>
        <v>0</v>
      </c>
      <c r="CG136" s="520">
        <f t="shared" si="141"/>
        <v>0</v>
      </c>
      <c r="CH136" s="420">
        <f t="shared" si="141"/>
        <v>0</v>
      </c>
      <c r="CI136" s="144">
        <f t="shared" si="141"/>
        <v>0</v>
      </c>
      <c r="CJ136" s="144">
        <f t="shared" si="141"/>
        <v>0</v>
      </c>
      <c r="CK136" s="144">
        <f t="shared" si="141"/>
        <v>0</v>
      </c>
      <c r="CL136" s="293">
        <f t="shared" si="141"/>
        <v>0</v>
      </c>
      <c r="CM136" s="124"/>
      <c r="CN136" s="294"/>
      <c r="CO136" s="294"/>
      <c r="CP136" s="19"/>
      <c r="CQ136" s="788">
        <f t="shared" ref="CQ136:CX146" si="142">SUMIF($A$7:$A$132,$A136,CQ$7:CQ$132)</f>
        <v>0</v>
      </c>
      <c r="CR136" s="783">
        <f t="shared" si="142"/>
        <v>0</v>
      </c>
      <c r="CS136" s="79">
        <f t="shared" si="142"/>
        <v>0</v>
      </c>
      <c r="CT136" s="79">
        <f t="shared" si="142"/>
        <v>0</v>
      </c>
      <c r="CU136" s="79">
        <f t="shared" si="142"/>
        <v>0</v>
      </c>
      <c r="CV136" s="79">
        <f t="shared" si="142"/>
        <v>0</v>
      </c>
      <c r="CW136" s="79">
        <f t="shared" si="142"/>
        <v>0</v>
      </c>
      <c r="CX136" s="80">
        <f t="shared" si="142"/>
        <v>0</v>
      </c>
    </row>
    <row r="137" spans="1:103" x14ac:dyDescent="0.25">
      <c r="A137" s="81" t="s">
        <v>27</v>
      </c>
      <c r="B137" s="171"/>
      <c r="C137" s="82" t="s">
        <v>410</v>
      </c>
      <c r="D137" s="172">
        <f t="shared" ref="D137:D146" si="143">SUMIF($A$7:$A$132,$A137,D$7:D$132)</f>
        <v>0</v>
      </c>
      <c r="E137" s="173">
        <f t="shared" si="137"/>
        <v>0</v>
      </c>
      <c r="F137" s="173">
        <f t="shared" si="137"/>
        <v>0</v>
      </c>
      <c r="G137" s="173">
        <f t="shared" si="137"/>
        <v>0</v>
      </c>
      <c r="H137" s="173">
        <f t="shared" si="137"/>
        <v>0</v>
      </c>
      <c r="I137" s="173">
        <f t="shared" si="137"/>
        <v>3068228.2186774937</v>
      </c>
      <c r="J137" s="173">
        <f t="shared" si="137"/>
        <v>4853264.6611097679</v>
      </c>
      <c r="K137" s="173">
        <f t="shared" si="137"/>
        <v>8454494.4653619267</v>
      </c>
      <c r="L137" s="173">
        <f t="shared" si="137"/>
        <v>18940744.22005311</v>
      </c>
      <c r="M137" s="659">
        <f t="shared" si="137"/>
        <v>18847441.448918682</v>
      </c>
      <c r="N137" s="659">
        <f t="shared" si="138"/>
        <v>31632770.289025139</v>
      </c>
      <c r="O137" s="580">
        <f t="shared" si="137"/>
        <v>0</v>
      </c>
      <c r="P137" s="576">
        <f t="shared" si="137"/>
        <v>0</v>
      </c>
      <c r="Q137" s="576">
        <f t="shared" si="137"/>
        <v>0</v>
      </c>
      <c r="R137" s="576">
        <f t="shared" si="137"/>
        <v>0</v>
      </c>
      <c r="S137" s="576">
        <f t="shared" si="137"/>
        <v>0</v>
      </c>
      <c r="T137" s="576">
        <f t="shared" si="137"/>
        <v>3808126.2206247742</v>
      </c>
      <c r="U137" s="576">
        <f t="shared" si="137"/>
        <v>6044682.769134053</v>
      </c>
      <c r="V137" s="576">
        <f t="shared" si="137"/>
        <v>10139972.248620549</v>
      </c>
      <c r="W137" s="576">
        <f t="shared" si="137"/>
        <v>21401662.725951876</v>
      </c>
      <c r="X137" s="680">
        <f t="shared" si="137"/>
        <v>20043517.5377336</v>
      </c>
      <c r="Y137" s="680">
        <f t="shared" si="139"/>
        <v>32502623.368526753</v>
      </c>
      <c r="Z137" s="174">
        <f t="shared" si="137"/>
        <v>0</v>
      </c>
      <c r="AA137" s="175">
        <f t="shared" si="137"/>
        <v>0</v>
      </c>
      <c r="AB137" s="175">
        <f t="shared" si="137"/>
        <v>0</v>
      </c>
      <c r="AC137" s="175">
        <f t="shared" si="137"/>
        <v>0</v>
      </c>
      <c r="AD137" s="175">
        <f t="shared" si="137"/>
        <v>0</v>
      </c>
      <c r="AE137" s="175">
        <f t="shared" si="137"/>
        <v>423</v>
      </c>
      <c r="AF137" s="175">
        <f t="shared" si="137"/>
        <v>744</v>
      </c>
      <c r="AG137" s="175">
        <f t="shared" si="140"/>
        <v>1250</v>
      </c>
      <c r="AH137" s="175">
        <f t="shared" si="140"/>
        <v>2833</v>
      </c>
      <c r="AI137" s="175">
        <f t="shared" si="140"/>
        <v>2357</v>
      </c>
      <c r="AJ137" s="614">
        <f t="shared" si="140"/>
        <v>2553</v>
      </c>
      <c r="AK137" s="19"/>
      <c r="AL137" s="19"/>
      <c r="AM137" s="19"/>
      <c r="AN137" s="174">
        <v>0</v>
      </c>
      <c r="AO137" s="175">
        <v>0</v>
      </c>
      <c r="AP137" s="175">
        <v>0</v>
      </c>
      <c r="AQ137" s="175">
        <v>0</v>
      </c>
      <c r="AR137" s="175">
        <v>0</v>
      </c>
      <c r="AS137" s="175">
        <v>423</v>
      </c>
      <c r="AT137" s="175">
        <v>744</v>
      </c>
      <c r="AU137" s="175">
        <v>1279</v>
      </c>
      <c r="AV137" s="175">
        <v>2835</v>
      </c>
      <c r="AW137" s="614">
        <v>2358</v>
      </c>
      <c r="AX137" s="1082">
        <v>2130</v>
      </c>
      <c r="AY137" s="93">
        <f t="shared" ref="AY137:AY146" si="144">SUM(AS137:AW137)/5</f>
        <v>1527.8</v>
      </c>
      <c r="AZ137" s="94">
        <f t="shared" ref="AZ137:AZ146" si="145">SUM(AU137:AW137)/3</f>
        <v>2157.3333333333335</v>
      </c>
      <c r="BA137" s="95">
        <f t="shared" ref="BA137:BA146" si="146">SUM(AW137)</f>
        <v>2358</v>
      </c>
      <c r="BB137" s="19">
        <v>3</v>
      </c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421">
        <f t="shared" si="141"/>
        <v>2146.6666666666665</v>
      </c>
      <c r="CF137" s="96">
        <f t="shared" si="141"/>
        <v>1677.0007727825152</v>
      </c>
      <c r="CG137" s="521">
        <f t="shared" si="141"/>
        <v>1677.0007727825152</v>
      </c>
      <c r="CH137" s="421">
        <f t="shared" si="141"/>
        <v>2198.5614487010266</v>
      </c>
      <c r="CI137" s="96">
        <f t="shared" si="141"/>
        <v>2307.3098839300096</v>
      </c>
      <c r="CJ137" s="96">
        <f t="shared" si="141"/>
        <v>2379.8088407493301</v>
      </c>
      <c r="CK137" s="96">
        <f t="shared" si="141"/>
        <v>2452.3077975686524</v>
      </c>
      <c r="CL137" s="286">
        <f t="shared" si="141"/>
        <v>2488.5572759783131</v>
      </c>
      <c r="CM137" s="307"/>
      <c r="CN137" s="294"/>
      <c r="CO137" s="294"/>
      <c r="CP137" s="19"/>
      <c r="CQ137" s="789">
        <f t="shared" si="142"/>
        <v>15413405.617507039</v>
      </c>
      <c r="CR137" s="784">
        <f t="shared" si="142"/>
        <v>12094797.456407292</v>
      </c>
      <c r="CS137" s="97">
        <f t="shared" si="142"/>
        <v>12094797.456407292</v>
      </c>
      <c r="CT137" s="97">
        <f t="shared" si="142"/>
        <v>15856376.364921827</v>
      </c>
      <c r="CU137" s="97">
        <f t="shared" si="142"/>
        <v>16640687.451203208</v>
      </c>
      <c r="CV137" s="97">
        <f t="shared" si="142"/>
        <v>17163561.508724123</v>
      </c>
      <c r="CW137" s="97">
        <f t="shared" si="142"/>
        <v>17686435.566245042</v>
      </c>
      <c r="CX137" s="98">
        <f t="shared" si="142"/>
        <v>17947872.595005509</v>
      </c>
    </row>
    <row r="138" spans="1:103" x14ac:dyDescent="0.25">
      <c r="A138" s="81" t="s">
        <v>68</v>
      </c>
      <c r="B138" s="171"/>
      <c r="C138" s="82" t="s">
        <v>411</v>
      </c>
      <c r="D138" s="172">
        <f t="shared" si="143"/>
        <v>0</v>
      </c>
      <c r="E138" s="173">
        <f t="shared" si="137"/>
        <v>0</v>
      </c>
      <c r="F138" s="173">
        <f t="shared" si="137"/>
        <v>0</v>
      </c>
      <c r="G138" s="173">
        <f t="shared" si="137"/>
        <v>0</v>
      </c>
      <c r="H138" s="173">
        <f t="shared" si="137"/>
        <v>0</v>
      </c>
      <c r="I138" s="173">
        <f t="shared" si="137"/>
        <v>998596.50389507378</v>
      </c>
      <c r="J138" s="173">
        <f t="shared" si="137"/>
        <v>3855364.4728336842</v>
      </c>
      <c r="K138" s="173">
        <f t="shared" si="137"/>
        <v>6213375.0125917252</v>
      </c>
      <c r="L138" s="173">
        <f t="shared" si="137"/>
        <v>8500664.1868386641</v>
      </c>
      <c r="M138" s="659">
        <f t="shared" si="137"/>
        <v>12087358.979426147</v>
      </c>
      <c r="N138" s="659">
        <f t="shared" si="138"/>
        <v>9775629.0304777473</v>
      </c>
      <c r="O138" s="580">
        <f t="shared" si="137"/>
        <v>0</v>
      </c>
      <c r="P138" s="576">
        <f t="shared" si="137"/>
        <v>0</v>
      </c>
      <c r="Q138" s="576">
        <f t="shared" si="137"/>
        <v>0</v>
      </c>
      <c r="R138" s="576">
        <f t="shared" si="137"/>
        <v>0</v>
      </c>
      <c r="S138" s="576">
        <f t="shared" si="137"/>
        <v>0</v>
      </c>
      <c r="T138" s="576">
        <f t="shared" si="137"/>
        <v>1239406.3476628156</v>
      </c>
      <c r="U138" s="576">
        <f t="shared" si="137"/>
        <v>4801810.0855724756</v>
      </c>
      <c r="V138" s="576">
        <f t="shared" si="137"/>
        <v>7452065.9344065646</v>
      </c>
      <c r="W138" s="576">
        <f t="shared" si="137"/>
        <v>9605131.9715666864</v>
      </c>
      <c r="X138" s="680">
        <f t="shared" si="137"/>
        <v>12854433.974268133</v>
      </c>
      <c r="Y138" s="680">
        <f t="shared" si="139"/>
        <v>10044443.963173559</v>
      </c>
      <c r="Z138" s="174">
        <f t="shared" si="137"/>
        <v>0</v>
      </c>
      <c r="AA138" s="175">
        <f t="shared" si="137"/>
        <v>0</v>
      </c>
      <c r="AB138" s="175">
        <f t="shared" si="137"/>
        <v>0</v>
      </c>
      <c r="AC138" s="175">
        <f t="shared" si="137"/>
        <v>0</v>
      </c>
      <c r="AD138" s="175">
        <f t="shared" si="137"/>
        <v>0</v>
      </c>
      <c r="AE138" s="175">
        <f t="shared" si="137"/>
        <v>743</v>
      </c>
      <c r="AF138" s="175">
        <f t="shared" si="137"/>
        <v>1644</v>
      </c>
      <c r="AG138" s="175">
        <f t="shared" si="140"/>
        <v>3135</v>
      </c>
      <c r="AH138" s="175">
        <f t="shared" si="140"/>
        <v>5334</v>
      </c>
      <c r="AI138" s="175">
        <f t="shared" si="140"/>
        <v>4431</v>
      </c>
      <c r="AJ138" s="614">
        <f t="shared" si="140"/>
        <v>4375</v>
      </c>
      <c r="AK138" s="19"/>
      <c r="AL138" s="19"/>
      <c r="AM138" s="19"/>
      <c r="AN138" s="174">
        <v>0</v>
      </c>
      <c r="AO138" s="175">
        <v>0</v>
      </c>
      <c r="AP138" s="175">
        <v>0</v>
      </c>
      <c r="AQ138" s="175">
        <v>0</v>
      </c>
      <c r="AR138" s="175">
        <v>0</v>
      </c>
      <c r="AS138" s="175">
        <v>1033</v>
      </c>
      <c r="AT138" s="175">
        <v>1645</v>
      </c>
      <c r="AU138" s="175">
        <v>3197</v>
      </c>
      <c r="AV138" s="175">
        <v>5373</v>
      </c>
      <c r="AW138" s="614">
        <v>4431</v>
      </c>
      <c r="AX138" s="1082">
        <v>4381</v>
      </c>
      <c r="AY138" s="93">
        <f t="shared" si="144"/>
        <v>3135.8</v>
      </c>
      <c r="AZ138" s="94">
        <f t="shared" si="145"/>
        <v>4333.666666666667</v>
      </c>
      <c r="BA138" s="95">
        <f t="shared" si="146"/>
        <v>4431</v>
      </c>
      <c r="BB138" s="19">
        <v>4</v>
      </c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421">
        <f t="shared" si="141"/>
        <v>4300</v>
      </c>
      <c r="CF138" s="96">
        <f t="shared" si="141"/>
        <v>3368.7711753624044</v>
      </c>
      <c r="CG138" s="521">
        <f t="shared" si="141"/>
        <v>3368.7711753624044</v>
      </c>
      <c r="CH138" s="421">
        <f t="shared" si="141"/>
        <v>4416.4860003958684</v>
      </c>
      <c r="CI138" s="96">
        <f t="shared" si="141"/>
        <v>4634.9406367388829</v>
      </c>
      <c r="CJ138" s="96">
        <f t="shared" si="141"/>
        <v>4780.5770609675601</v>
      </c>
      <c r="CK138" s="96">
        <f t="shared" si="141"/>
        <v>4926.2134851962373</v>
      </c>
      <c r="CL138" s="286">
        <f t="shared" si="141"/>
        <v>4999.0316973105764</v>
      </c>
      <c r="CM138" s="307"/>
      <c r="CN138" s="294"/>
      <c r="CO138" s="294"/>
      <c r="CP138" s="19"/>
      <c r="CQ138" s="789">
        <f t="shared" si="142"/>
        <v>8933799.3929521795</v>
      </c>
      <c r="CR138" s="784">
        <f t="shared" si="142"/>
        <v>6997675.0704863649</v>
      </c>
      <c r="CS138" s="97">
        <f t="shared" si="142"/>
        <v>6997675.0704863649</v>
      </c>
      <c r="CT138" s="97">
        <f t="shared" si="142"/>
        <v>9174008.0804976318</v>
      </c>
      <c r="CU138" s="97">
        <f t="shared" si="142"/>
        <v>9627786.1744060833</v>
      </c>
      <c r="CV138" s="97">
        <f t="shared" si="142"/>
        <v>9930304.90367838</v>
      </c>
      <c r="CW138" s="97">
        <f t="shared" si="142"/>
        <v>10232823.632950682</v>
      </c>
      <c r="CX138" s="98">
        <f t="shared" si="142"/>
        <v>10384082.997586835</v>
      </c>
    </row>
    <row r="139" spans="1:103" x14ac:dyDescent="0.25">
      <c r="A139" s="81" t="s">
        <v>81</v>
      </c>
      <c r="B139" s="171"/>
      <c r="C139" s="82" t="s">
        <v>270</v>
      </c>
      <c r="D139" s="172">
        <f t="shared" si="143"/>
        <v>0</v>
      </c>
      <c r="E139" s="173">
        <f t="shared" si="137"/>
        <v>0</v>
      </c>
      <c r="F139" s="173">
        <f t="shared" si="137"/>
        <v>0</v>
      </c>
      <c r="G139" s="173">
        <f t="shared" si="137"/>
        <v>0</v>
      </c>
      <c r="H139" s="173">
        <f t="shared" si="137"/>
        <v>0</v>
      </c>
      <c r="I139" s="173">
        <f t="shared" si="137"/>
        <v>2877285.0023317002</v>
      </c>
      <c r="J139" s="173">
        <f t="shared" si="137"/>
        <v>5544241.2713794392</v>
      </c>
      <c r="K139" s="173">
        <f t="shared" si="137"/>
        <v>9591185.5400014147</v>
      </c>
      <c r="L139" s="173">
        <f t="shared" si="137"/>
        <v>18019382.211133584</v>
      </c>
      <c r="M139" s="659">
        <f t="shared" si="137"/>
        <v>29783439.501007192</v>
      </c>
      <c r="N139" s="659">
        <f t="shared" si="138"/>
        <v>24445188.899566997</v>
      </c>
      <c r="O139" s="580">
        <f t="shared" si="137"/>
        <v>0</v>
      </c>
      <c r="P139" s="576">
        <f t="shared" si="137"/>
        <v>0</v>
      </c>
      <c r="Q139" s="576">
        <f t="shared" si="137"/>
        <v>0</v>
      </c>
      <c r="R139" s="576">
        <f t="shared" si="137"/>
        <v>0</v>
      </c>
      <c r="S139" s="576">
        <f t="shared" si="137"/>
        <v>0</v>
      </c>
      <c r="T139" s="576">
        <f t="shared" si="137"/>
        <v>3571137.3733185367</v>
      </c>
      <c r="U139" s="576">
        <f t="shared" si="137"/>
        <v>6905285.8274096083</v>
      </c>
      <c r="V139" s="576">
        <f t="shared" si="137"/>
        <v>11503272.680044472</v>
      </c>
      <c r="W139" s="576">
        <f t="shared" si="137"/>
        <v>20360590.699725769</v>
      </c>
      <c r="X139" s="680">
        <f t="shared" si="137"/>
        <v>31673524.153948992</v>
      </c>
      <c r="Y139" s="680">
        <f t="shared" si="139"/>
        <v>25117394.420898281</v>
      </c>
      <c r="Z139" s="174">
        <f t="shared" si="137"/>
        <v>0</v>
      </c>
      <c r="AA139" s="175">
        <f t="shared" si="137"/>
        <v>0</v>
      </c>
      <c r="AB139" s="175">
        <f t="shared" si="137"/>
        <v>0</v>
      </c>
      <c r="AC139" s="175">
        <f t="shared" si="137"/>
        <v>0</v>
      </c>
      <c r="AD139" s="175">
        <f t="shared" si="137"/>
        <v>0</v>
      </c>
      <c r="AE139" s="175">
        <f t="shared" si="137"/>
        <v>109.91578857600003</v>
      </c>
      <c r="AF139" s="175">
        <f t="shared" si="137"/>
        <v>148.91150000100001</v>
      </c>
      <c r="AG139" s="175">
        <f t="shared" si="140"/>
        <v>299.36949999999962</v>
      </c>
      <c r="AH139" s="175">
        <f t="shared" si="140"/>
        <v>550.8228257830001</v>
      </c>
      <c r="AI139" s="175">
        <f t="shared" si="140"/>
        <v>364.63816004399996</v>
      </c>
      <c r="AJ139" s="614">
        <f t="shared" si="140"/>
        <v>598.95982434999985</v>
      </c>
      <c r="AK139" s="19"/>
      <c r="AL139" s="19"/>
      <c r="AM139" s="19"/>
      <c r="AN139" s="174">
        <v>0</v>
      </c>
      <c r="AO139" s="175">
        <v>0</v>
      </c>
      <c r="AP139" s="175">
        <v>0</v>
      </c>
      <c r="AQ139" s="175">
        <v>0</v>
      </c>
      <c r="AR139" s="175">
        <v>0</v>
      </c>
      <c r="AS139" s="175">
        <v>448</v>
      </c>
      <c r="AT139" s="175">
        <v>355</v>
      </c>
      <c r="AU139" s="175">
        <v>550</v>
      </c>
      <c r="AV139" s="175">
        <v>658</v>
      </c>
      <c r="AW139" s="614">
        <v>577.40499999999997</v>
      </c>
      <c r="AX139" s="1082">
        <v>598.99649101399984</v>
      </c>
      <c r="AY139" s="93">
        <f t="shared" si="144"/>
        <v>517.68099999999993</v>
      </c>
      <c r="AZ139" s="94">
        <f t="shared" si="145"/>
        <v>595.13499999999999</v>
      </c>
      <c r="BA139" s="95">
        <f t="shared" si="146"/>
        <v>577.40499999999997</v>
      </c>
      <c r="BB139" s="19">
        <v>5</v>
      </c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421">
        <f t="shared" si="141"/>
        <v>404.94349527566658</v>
      </c>
      <c r="CF139" s="96">
        <f t="shared" si="141"/>
        <v>462.6275594452668</v>
      </c>
      <c r="CG139" s="521">
        <f t="shared" si="141"/>
        <v>462.6275594452668</v>
      </c>
      <c r="CH139" s="651">
        <f t="shared" si="141"/>
        <v>606.50843685384075</v>
      </c>
      <c r="CI139" s="130">
        <f t="shared" si="141"/>
        <v>636.50843685384098</v>
      </c>
      <c r="CJ139" s="130">
        <f t="shared" si="141"/>
        <v>656.50843685384086</v>
      </c>
      <c r="CK139" s="130">
        <f t="shared" si="141"/>
        <v>676.50843685384109</v>
      </c>
      <c r="CL139" s="288">
        <f t="shared" si="141"/>
        <v>686.50843685384109</v>
      </c>
      <c r="CM139" s="307"/>
      <c r="CN139" s="294"/>
      <c r="CO139" s="294"/>
      <c r="CP139" s="19"/>
      <c r="CQ139" s="789">
        <f t="shared" si="142"/>
        <v>19131335.75071406</v>
      </c>
      <c r="CR139" s="784">
        <f t="shared" si="142"/>
        <v>21783961.508955881</v>
      </c>
      <c r="CS139" s="97">
        <f t="shared" si="142"/>
        <v>21783961.508955881</v>
      </c>
      <c r="CT139" s="97">
        <f t="shared" si="142"/>
        <v>28558948.064234797</v>
      </c>
      <c r="CU139" s="97">
        <f t="shared" si="142"/>
        <v>29911143.324737146</v>
      </c>
      <c r="CV139" s="97">
        <f t="shared" si="142"/>
        <v>30813000.083631091</v>
      </c>
      <c r="CW139" s="97">
        <f t="shared" si="142"/>
        <v>31715134.915860869</v>
      </c>
      <c r="CX139" s="98">
        <f t="shared" si="142"/>
        <v>32166298.102381572</v>
      </c>
    </row>
    <row r="140" spans="1:103" x14ac:dyDescent="0.25">
      <c r="A140" s="81" t="s">
        <v>94</v>
      </c>
      <c r="B140" s="171"/>
      <c r="C140" s="82" t="s">
        <v>412</v>
      </c>
      <c r="D140" s="172">
        <f t="shared" si="143"/>
        <v>0</v>
      </c>
      <c r="E140" s="173">
        <f t="shared" si="137"/>
        <v>0</v>
      </c>
      <c r="F140" s="173">
        <f t="shared" si="137"/>
        <v>0</v>
      </c>
      <c r="G140" s="173">
        <f t="shared" si="137"/>
        <v>0</v>
      </c>
      <c r="H140" s="173">
        <f t="shared" si="137"/>
        <v>0</v>
      </c>
      <c r="I140" s="173">
        <f t="shared" si="137"/>
        <v>204378.79000205401</v>
      </c>
      <c r="J140" s="173">
        <f t="shared" si="137"/>
        <v>29120.75692381</v>
      </c>
      <c r="K140" s="173">
        <f t="shared" si="137"/>
        <v>561546.41769771092</v>
      </c>
      <c r="L140" s="173">
        <f t="shared" si="137"/>
        <v>565839.2360454041</v>
      </c>
      <c r="M140" s="659">
        <f t="shared" si="137"/>
        <v>457069.97113020485</v>
      </c>
      <c r="N140" s="659">
        <f t="shared" si="138"/>
        <v>263591.44601995987</v>
      </c>
      <c r="O140" s="580">
        <f t="shared" si="137"/>
        <v>0</v>
      </c>
      <c r="P140" s="576">
        <f t="shared" si="137"/>
        <v>0</v>
      </c>
      <c r="Q140" s="576">
        <f t="shared" si="137"/>
        <v>0</v>
      </c>
      <c r="R140" s="576">
        <f t="shared" si="137"/>
        <v>0</v>
      </c>
      <c r="S140" s="576">
        <f t="shared" si="137"/>
        <v>0</v>
      </c>
      <c r="T140" s="576">
        <f t="shared" si="137"/>
        <v>253664.38663479174</v>
      </c>
      <c r="U140" s="576">
        <f t="shared" si="137"/>
        <v>36269.552536878284</v>
      </c>
      <c r="V140" s="576">
        <f t="shared" si="137"/>
        <v>673495.63183176285</v>
      </c>
      <c r="W140" s="576">
        <f t="shared" si="137"/>
        <v>639357.16285809455</v>
      </c>
      <c r="X140" s="680">
        <f t="shared" si="137"/>
        <v>486076.05478701484</v>
      </c>
      <c r="Y140" s="680">
        <f t="shared" si="139"/>
        <v>270839.80994622322</v>
      </c>
      <c r="Z140" s="174">
        <f t="shared" si="137"/>
        <v>0</v>
      </c>
      <c r="AA140" s="175">
        <f t="shared" si="137"/>
        <v>0</v>
      </c>
      <c r="AB140" s="175">
        <f t="shared" si="137"/>
        <v>0</v>
      </c>
      <c r="AC140" s="175">
        <f t="shared" si="137"/>
        <v>0</v>
      </c>
      <c r="AD140" s="175">
        <f t="shared" si="137"/>
        <v>0</v>
      </c>
      <c r="AE140" s="175">
        <f t="shared" si="137"/>
        <v>0.33296999900000002</v>
      </c>
      <c r="AF140" s="175">
        <f t="shared" si="137"/>
        <v>0.48533333300000003</v>
      </c>
      <c r="AG140" s="175">
        <f t="shared" si="140"/>
        <v>1.506333333333332</v>
      </c>
      <c r="AH140" s="175">
        <f t="shared" si="140"/>
        <v>2.1933333050000003</v>
      </c>
      <c r="AI140" s="175">
        <f t="shared" si="140"/>
        <v>1.411333349</v>
      </c>
      <c r="AJ140" s="614">
        <f t="shared" si="140"/>
        <v>0.558333352</v>
      </c>
      <c r="AK140" s="19"/>
      <c r="AL140" s="19"/>
      <c r="AM140" s="19"/>
      <c r="AN140" s="174">
        <v>0</v>
      </c>
      <c r="AO140" s="175">
        <v>0</v>
      </c>
      <c r="AP140" s="175">
        <v>0</v>
      </c>
      <c r="AQ140" s="175">
        <v>0</v>
      </c>
      <c r="AR140" s="175">
        <v>0</v>
      </c>
      <c r="AS140" s="175">
        <v>0</v>
      </c>
      <c r="AT140" s="175">
        <v>0</v>
      </c>
      <c r="AU140" s="175">
        <v>0</v>
      </c>
      <c r="AV140" s="175">
        <v>0</v>
      </c>
      <c r="AW140" s="614">
        <v>0</v>
      </c>
      <c r="AX140" s="1082">
        <v>0</v>
      </c>
      <c r="AY140" s="93">
        <f t="shared" si="144"/>
        <v>0</v>
      </c>
      <c r="AZ140" s="94">
        <f t="shared" si="145"/>
        <v>0</v>
      </c>
      <c r="BA140" s="95">
        <f t="shared" si="146"/>
        <v>0</v>
      </c>
      <c r="BB140" s="19">
        <v>6</v>
      </c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421">
        <f t="shared" si="141"/>
        <v>0</v>
      </c>
      <c r="CF140" s="96">
        <f t="shared" si="141"/>
        <v>0</v>
      </c>
      <c r="CG140" s="521">
        <f t="shared" si="141"/>
        <v>0</v>
      </c>
      <c r="CH140" s="421">
        <f t="shared" si="141"/>
        <v>0</v>
      </c>
      <c r="CI140" s="96">
        <f t="shared" si="141"/>
        <v>0</v>
      </c>
      <c r="CJ140" s="96">
        <f t="shared" si="141"/>
        <v>0</v>
      </c>
      <c r="CK140" s="96">
        <f t="shared" si="141"/>
        <v>0</v>
      </c>
      <c r="CL140" s="286">
        <f t="shared" si="141"/>
        <v>0</v>
      </c>
      <c r="CM140" s="307"/>
      <c r="CN140" s="294"/>
      <c r="CO140" s="294"/>
      <c r="CP140" s="19"/>
      <c r="CQ140" s="789">
        <f t="shared" si="142"/>
        <v>0</v>
      </c>
      <c r="CR140" s="784">
        <f t="shared" si="142"/>
        <v>0</v>
      </c>
      <c r="CS140" s="97">
        <f t="shared" si="142"/>
        <v>0</v>
      </c>
      <c r="CT140" s="97">
        <f t="shared" si="142"/>
        <v>0</v>
      </c>
      <c r="CU140" s="97">
        <f t="shared" si="142"/>
        <v>0</v>
      </c>
      <c r="CV140" s="97">
        <f t="shared" si="142"/>
        <v>0</v>
      </c>
      <c r="CW140" s="97">
        <f t="shared" si="142"/>
        <v>0</v>
      </c>
      <c r="CX140" s="98">
        <f t="shared" si="142"/>
        <v>0</v>
      </c>
    </row>
    <row r="141" spans="1:103" x14ac:dyDescent="0.25">
      <c r="A141" s="81" t="s">
        <v>106</v>
      </c>
      <c r="B141" s="171"/>
      <c r="C141" s="82" t="s">
        <v>272</v>
      </c>
      <c r="D141" s="172">
        <f t="shared" si="143"/>
        <v>0</v>
      </c>
      <c r="E141" s="173">
        <f t="shared" si="137"/>
        <v>0</v>
      </c>
      <c r="F141" s="173">
        <f t="shared" si="137"/>
        <v>0</v>
      </c>
      <c r="G141" s="173">
        <f t="shared" si="137"/>
        <v>0</v>
      </c>
      <c r="H141" s="173">
        <f t="shared" si="137"/>
        <v>0</v>
      </c>
      <c r="I141" s="173">
        <f t="shared" si="137"/>
        <v>269993.16701533203</v>
      </c>
      <c r="J141" s="173">
        <f t="shared" si="137"/>
        <v>787139.78498861019</v>
      </c>
      <c r="K141" s="173">
        <f t="shared" si="137"/>
        <v>904387.15526177117</v>
      </c>
      <c r="L141" s="173">
        <f t="shared" si="137"/>
        <v>4538493.2409889456</v>
      </c>
      <c r="M141" s="659">
        <f t="shared" si="137"/>
        <v>2505267.9156524986</v>
      </c>
      <c r="N141" s="659">
        <f t="shared" si="138"/>
        <v>1967098.4941356112</v>
      </c>
      <c r="O141" s="580">
        <f t="shared" si="137"/>
        <v>0</v>
      </c>
      <c r="P141" s="576">
        <f t="shared" si="137"/>
        <v>0</v>
      </c>
      <c r="Q141" s="576">
        <f t="shared" si="137"/>
        <v>0</v>
      </c>
      <c r="R141" s="576">
        <f t="shared" si="137"/>
        <v>0</v>
      </c>
      <c r="S141" s="576">
        <f t="shared" si="137"/>
        <v>0</v>
      </c>
      <c r="T141" s="576">
        <f t="shared" si="137"/>
        <v>335101.55875685922</v>
      </c>
      <c r="U141" s="576">
        <f t="shared" si="137"/>
        <v>980373.13591147726</v>
      </c>
      <c r="V141" s="576">
        <f t="shared" si="137"/>
        <v>1084684.6838607125</v>
      </c>
      <c r="W141" s="576">
        <f t="shared" si="137"/>
        <v>5128167.1141951196</v>
      </c>
      <c r="X141" s="680">
        <f t="shared" si="137"/>
        <v>2664254.5376886195</v>
      </c>
      <c r="Y141" s="680">
        <f t="shared" si="139"/>
        <v>2021190.7113892008</v>
      </c>
      <c r="Z141" s="174">
        <f t="shared" si="137"/>
        <v>0</v>
      </c>
      <c r="AA141" s="175">
        <f t="shared" si="137"/>
        <v>0</v>
      </c>
      <c r="AB141" s="175">
        <f t="shared" si="137"/>
        <v>0</v>
      </c>
      <c r="AC141" s="175">
        <f t="shared" si="137"/>
        <v>0</v>
      </c>
      <c r="AD141" s="175">
        <f t="shared" si="137"/>
        <v>0</v>
      </c>
      <c r="AE141" s="175">
        <f t="shared" si="137"/>
        <v>243.08999486600004</v>
      </c>
      <c r="AF141" s="175">
        <f t="shared" si="137"/>
        <v>787.92757575799999</v>
      </c>
      <c r="AG141" s="175">
        <f t="shared" si="140"/>
        <v>130.81818914400006</v>
      </c>
      <c r="AH141" s="175">
        <f t="shared" si="140"/>
        <v>2971.8526508820014</v>
      </c>
      <c r="AI141" s="175">
        <f t="shared" si="140"/>
        <v>1836.8087574920007</v>
      </c>
      <c r="AJ141" s="614">
        <f t="shared" si="140"/>
        <v>1415.8584662699998</v>
      </c>
      <c r="AK141" s="19"/>
      <c r="AL141" s="19"/>
      <c r="AM141" s="19"/>
      <c r="AN141" s="174">
        <v>0</v>
      </c>
      <c r="AO141" s="175">
        <v>0</v>
      </c>
      <c r="AP141" s="175">
        <v>0</v>
      </c>
      <c r="AQ141" s="175">
        <v>0</v>
      </c>
      <c r="AR141" s="175">
        <v>0</v>
      </c>
      <c r="AS141" s="175">
        <v>387.5999917530001</v>
      </c>
      <c r="AT141" s="175">
        <v>884.70788420800045</v>
      </c>
      <c r="AU141" s="175">
        <v>2011.6187955999999</v>
      </c>
      <c r="AV141" s="175">
        <v>3151.4253835440022</v>
      </c>
      <c r="AW141" s="614">
        <v>1847.717848606</v>
      </c>
      <c r="AX141" s="1082">
        <v>1462.3372525940003</v>
      </c>
      <c r="AY141" s="93">
        <f>(SUM(AS141:AW141)/5)</f>
        <v>1656.6139807422005</v>
      </c>
      <c r="AZ141" s="94">
        <f>(SUM(AU141:AW141)/3)</f>
        <v>2336.9206759166677</v>
      </c>
      <c r="BA141" s="95">
        <f>(SUM(AW141))</f>
        <v>1847.717848606</v>
      </c>
      <c r="BB141" s="19">
        <v>7</v>
      </c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421">
        <f t="shared" si="141"/>
        <v>1646.4931991726673</v>
      </c>
      <c r="CF141" s="96">
        <f t="shared" si="141"/>
        <v>1816.6028025851467</v>
      </c>
      <c r="CG141" s="521">
        <f t="shared" si="141"/>
        <v>1816.6028025851467</v>
      </c>
      <c r="CH141" s="421">
        <f t="shared" si="141"/>
        <v>2381.5808282182015</v>
      </c>
      <c r="CI141" s="96">
        <f t="shared" si="141"/>
        <v>2499.3820334531492</v>
      </c>
      <c r="CJ141" s="96">
        <f t="shared" si="141"/>
        <v>2577.9161702764463</v>
      </c>
      <c r="CK141" s="96">
        <f t="shared" si="141"/>
        <v>2656.4503070997448</v>
      </c>
      <c r="CL141" s="286">
        <f t="shared" si="141"/>
        <v>2695.7173755113936</v>
      </c>
      <c r="CM141" s="307"/>
      <c r="CN141" s="294"/>
      <c r="CO141" s="294"/>
      <c r="CP141" s="19"/>
      <c r="CQ141" s="789">
        <f t="shared" si="142"/>
        <v>2649382.7706344053</v>
      </c>
      <c r="CR141" s="784">
        <f t="shared" si="142"/>
        <v>2816461.0277456488</v>
      </c>
      <c r="CS141" s="97">
        <f t="shared" si="142"/>
        <v>2816461.0277456488</v>
      </c>
      <c r="CT141" s="97">
        <f t="shared" si="142"/>
        <v>3692402.9719415624</v>
      </c>
      <c r="CU141" s="97">
        <f t="shared" si="142"/>
        <v>3875041.9633014509</v>
      </c>
      <c r="CV141" s="97">
        <f t="shared" si="142"/>
        <v>3996801.290874708</v>
      </c>
      <c r="CW141" s="97">
        <f t="shared" si="142"/>
        <v>4118560.6184479664</v>
      </c>
      <c r="CX141" s="98">
        <f t="shared" si="142"/>
        <v>4179440.2822345952</v>
      </c>
    </row>
    <row r="142" spans="1:103" x14ac:dyDescent="0.25">
      <c r="A142" s="81" t="s">
        <v>138</v>
      </c>
      <c r="B142" s="171"/>
      <c r="C142" s="82" t="s">
        <v>413</v>
      </c>
      <c r="D142" s="172">
        <f t="shared" si="143"/>
        <v>0</v>
      </c>
      <c r="E142" s="173">
        <f t="shared" si="137"/>
        <v>0</v>
      </c>
      <c r="F142" s="173">
        <f t="shared" si="137"/>
        <v>0</v>
      </c>
      <c r="G142" s="173">
        <f t="shared" si="137"/>
        <v>0</v>
      </c>
      <c r="H142" s="173">
        <f t="shared" si="137"/>
        <v>0</v>
      </c>
      <c r="I142" s="173">
        <f t="shared" si="137"/>
        <v>1056926.825205371</v>
      </c>
      <c r="J142" s="173">
        <f t="shared" si="137"/>
        <v>3354413.9576859195</v>
      </c>
      <c r="K142" s="173">
        <f t="shared" si="137"/>
        <v>3928884.6926678494</v>
      </c>
      <c r="L142" s="173">
        <f t="shared" si="137"/>
        <v>6005694.5820932332</v>
      </c>
      <c r="M142" s="659">
        <f t="shared" si="137"/>
        <v>8146804.7323812265</v>
      </c>
      <c r="N142" s="659">
        <f>SUMIF($A$7:$A$132,$A142,N$7:N$132)</f>
        <v>7153402.3051423095</v>
      </c>
      <c r="O142" s="580">
        <f t="shared" si="137"/>
        <v>0</v>
      </c>
      <c r="P142" s="576">
        <f t="shared" si="137"/>
        <v>0</v>
      </c>
      <c r="Q142" s="576">
        <f t="shared" si="137"/>
        <v>0</v>
      </c>
      <c r="R142" s="576">
        <f t="shared" si="137"/>
        <v>0</v>
      </c>
      <c r="S142" s="576">
        <f t="shared" si="137"/>
        <v>0</v>
      </c>
      <c r="T142" s="576">
        <f t="shared" si="137"/>
        <v>1311802.9264723789</v>
      </c>
      <c r="U142" s="576">
        <f t="shared" si="137"/>
        <v>4177882.2434815182</v>
      </c>
      <c r="V142" s="576">
        <f t="shared" si="137"/>
        <v>4712142.3894594293</v>
      </c>
      <c r="W142" s="576">
        <f t="shared" si="137"/>
        <v>6785997.8672303446</v>
      </c>
      <c r="X142" s="680">
        <f t="shared" si="137"/>
        <v>8663808.505389601</v>
      </c>
      <c r="Y142" s="680">
        <f t="shared" si="139"/>
        <v>7350109.9904695349</v>
      </c>
      <c r="Z142" s="174">
        <f t="shared" si="137"/>
        <v>0</v>
      </c>
      <c r="AA142" s="175">
        <f t="shared" si="137"/>
        <v>0</v>
      </c>
      <c r="AB142" s="175">
        <f t="shared" si="137"/>
        <v>0</v>
      </c>
      <c r="AC142" s="175">
        <f t="shared" si="137"/>
        <v>0</v>
      </c>
      <c r="AD142" s="175">
        <f t="shared" si="137"/>
        <v>0</v>
      </c>
      <c r="AE142" s="175">
        <f t="shared" si="137"/>
        <v>38</v>
      </c>
      <c r="AF142" s="175">
        <f t="shared" si="137"/>
        <v>126</v>
      </c>
      <c r="AG142" s="175">
        <f t="shared" si="140"/>
        <v>201</v>
      </c>
      <c r="AH142" s="175">
        <f t="shared" si="140"/>
        <v>242</v>
      </c>
      <c r="AI142" s="175">
        <f t="shared" si="140"/>
        <v>220</v>
      </c>
      <c r="AJ142" s="614">
        <f>SUMIF($A$7:$A$132,$A142,AJ$7:AJ$132)</f>
        <v>200</v>
      </c>
      <c r="AK142" s="19"/>
      <c r="AL142" s="19"/>
      <c r="AM142" s="19"/>
      <c r="AN142" s="174">
        <v>0</v>
      </c>
      <c r="AO142" s="175">
        <v>0</v>
      </c>
      <c r="AP142" s="175">
        <v>0</v>
      </c>
      <c r="AQ142" s="175">
        <v>0</v>
      </c>
      <c r="AR142" s="175">
        <v>0</v>
      </c>
      <c r="AS142" s="175">
        <v>38</v>
      </c>
      <c r="AT142" s="175">
        <v>127</v>
      </c>
      <c r="AU142" s="175">
        <v>202</v>
      </c>
      <c r="AV142" s="175">
        <v>249</v>
      </c>
      <c r="AW142" s="614">
        <v>220</v>
      </c>
      <c r="AX142" s="1082">
        <v>202</v>
      </c>
      <c r="AY142" s="93">
        <f>(SUM(AS142:AW142)/5)*0.554736610218028</f>
        <v>92.751961228454277</v>
      </c>
      <c r="AZ142" s="94">
        <f>(SUM(AU142:AW142)/3)*0.554736610218028</f>
        <v>124.07608848543225</v>
      </c>
      <c r="BA142" s="95">
        <f>(SUM(AW142))*0.554736610218028</f>
        <v>122.04205424796616</v>
      </c>
      <c r="BB142" s="19">
        <v>8</v>
      </c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421">
        <f t="shared" si="141"/>
        <v>221</v>
      </c>
      <c r="CF142" s="96">
        <f t="shared" si="141"/>
        <v>97.450415454527956</v>
      </c>
      <c r="CG142" s="521">
        <f t="shared" si="141"/>
        <v>97.450415454527956</v>
      </c>
      <c r="CH142" s="421">
        <f t="shared" si="141"/>
        <v>127.44726739015239</v>
      </c>
      <c r="CI142" s="96">
        <f t="shared" si="141"/>
        <v>133.70178553236047</v>
      </c>
      <c r="CJ142" s="96">
        <f t="shared" si="141"/>
        <v>137.87146429383245</v>
      </c>
      <c r="CK142" s="96">
        <f t="shared" si="141"/>
        <v>142.0411430553045</v>
      </c>
      <c r="CL142" s="286">
        <f t="shared" si="141"/>
        <v>144.12598243604052</v>
      </c>
      <c r="CM142" s="307"/>
      <c r="CN142" s="294"/>
      <c r="CO142" s="294"/>
      <c r="CP142" s="19"/>
      <c r="CQ142" s="789">
        <f t="shared" si="142"/>
        <v>6027128.0023807697</v>
      </c>
      <c r="CR142" s="784">
        <f t="shared" si="142"/>
        <v>2629254.3672599043</v>
      </c>
      <c r="CS142" s="97">
        <f t="shared" si="142"/>
        <v>2629254.3672599043</v>
      </c>
      <c r="CT142" s="97">
        <f t="shared" si="142"/>
        <v>3415180.2394558033</v>
      </c>
      <c r="CU142" s="97">
        <f t="shared" si="142"/>
        <v>3579050.3561143517</v>
      </c>
      <c r="CV142" s="97">
        <f t="shared" si="142"/>
        <v>3688297.1005533808</v>
      </c>
      <c r="CW142" s="97">
        <f t="shared" si="142"/>
        <v>3797543.8449924132</v>
      </c>
      <c r="CX142" s="98">
        <f t="shared" si="142"/>
        <v>3852167.2172119287</v>
      </c>
    </row>
    <row r="143" spans="1:103" x14ac:dyDescent="0.25">
      <c r="A143" s="81" t="s">
        <v>196</v>
      </c>
      <c r="B143" s="171"/>
      <c r="C143" s="82" t="s">
        <v>274</v>
      </c>
      <c r="D143" s="172">
        <f t="shared" si="143"/>
        <v>0</v>
      </c>
      <c r="E143" s="173">
        <f t="shared" si="137"/>
        <v>0</v>
      </c>
      <c r="F143" s="173">
        <f t="shared" si="137"/>
        <v>0</v>
      </c>
      <c r="G143" s="173">
        <f t="shared" si="137"/>
        <v>0</v>
      </c>
      <c r="H143" s="173">
        <f t="shared" si="137"/>
        <v>0</v>
      </c>
      <c r="I143" s="173">
        <f t="shared" si="137"/>
        <v>1289514.3727923452</v>
      </c>
      <c r="J143" s="173">
        <f t="shared" si="137"/>
        <v>2155297.2167456541</v>
      </c>
      <c r="K143" s="173">
        <f t="shared" si="137"/>
        <v>3995618.0913230563</v>
      </c>
      <c r="L143" s="173">
        <f t="shared" si="137"/>
        <v>6616652.8403058304</v>
      </c>
      <c r="M143" s="659">
        <f t="shared" si="137"/>
        <v>7667649.3369938927</v>
      </c>
      <c r="N143" s="659">
        <f>SUM(N97:N109)</f>
        <v>1843803.7027672501</v>
      </c>
      <c r="O143" s="580">
        <f t="shared" si="137"/>
        <v>0</v>
      </c>
      <c r="P143" s="576">
        <f t="shared" si="137"/>
        <v>0</v>
      </c>
      <c r="Q143" s="576">
        <f t="shared" si="137"/>
        <v>0</v>
      </c>
      <c r="R143" s="576">
        <f t="shared" si="137"/>
        <v>0</v>
      </c>
      <c r="S143" s="576">
        <f t="shared" si="137"/>
        <v>0</v>
      </c>
      <c r="T143" s="576">
        <f t="shared" si="137"/>
        <v>1600478.5644725224</v>
      </c>
      <c r="U143" s="576">
        <f t="shared" si="137"/>
        <v>2684396.763444996</v>
      </c>
      <c r="V143" s="576">
        <f t="shared" si="137"/>
        <v>4792179.6776961498</v>
      </c>
      <c r="W143" s="576">
        <f t="shared" si="137"/>
        <v>7476336.2420053743</v>
      </c>
      <c r="X143" s="680">
        <f t="shared" si="137"/>
        <v>8154245.4648689646</v>
      </c>
      <c r="Y143" s="680">
        <f t="shared" si="139"/>
        <v>4686365.5502119046</v>
      </c>
      <c r="Z143" s="174">
        <f t="shared" si="137"/>
        <v>0</v>
      </c>
      <c r="AA143" s="175">
        <f t="shared" si="137"/>
        <v>0</v>
      </c>
      <c r="AB143" s="175">
        <f t="shared" si="137"/>
        <v>0</v>
      </c>
      <c r="AC143" s="175">
        <f t="shared" si="137"/>
        <v>0</v>
      </c>
      <c r="AD143" s="175">
        <f t="shared" si="137"/>
        <v>0</v>
      </c>
      <c r="AE143" s="175">
        <f t="shared" si="137"/>
        <v>2038</v>
      </c>
      <c r="AF143" s="175">
        <f t="shared" si="137"/>
        <v>234</v>
      </c>
      <c r="AG143" s="175">
        <f t="shared" si="140"/>
        <v>438</v>
      </c>
      <c r="AH143" s="175">
        <f t="shared" si="140"/>
        <v>909</v>
      </c>
      <c r="AI143" s="175">
        <f t="shared" si="140"/>
        <v>689</v>
      </c>
      <c r="AJ143" s="614">
        <f t="shared" si="140"/>
        <v>544</v>
      </c>
      <c r="AK143" s="19"/>
      <c r="AL143" s="19"/>
      <c r="AM143" s="19"/>
      <c r="AN143" s="174">
        <v>0</v>
      </c>
      <c r="AO143" s="175">
        <v>0</v>
      </c>
      <c r="AP143" s="175">
        <v>0</v>
      </c>
      <c r="AQ143" s="175">
        <v>0</v>
      </c>
      <c r="AR143" s="175">
        <v>0</v>
      </c>
      <c r="AS143" s="175">
        <v>93</v>
      </c>
      <c r="AT143" s="175">
        <v>87</v>
      </c>
      <c r="AU143" s="175">
        <v>157</v>
      </c>
      <c r="AV143" s="175">
        <v>314</v>
      </c>
      <c r="AW143" s="614">
        <v>244</v>
      </c>
      <c r="AX143" s="1082">
        <v>244</v>
      </c>
      <c r="AY143" s="93">
        <f>SUM(AS143:AW143)/5*0.554736610218028</f>
        <v>99.297853229027012</v>
      </c>
      <c r="AZ143" s="94">
        <f>SUM(AU143:AW143)/3*0.554736610218028</f>
        <v>132.21222543529669</v>
      </c>
      <c r="BA143" s="95">
        <f>SUM(AW143)*0.554736610218028</f>
        <v>135.35573289319882</v>
      </c>
      <c r="BB143" s="19">
        <v>9</v>
      </c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421">
        <f t="shared" si="141"/>
        <v>678.66666666666674</v>
      </c>
      <c r="CF143" s="96">
        <f t="shared" si="141"/>
        <v>295.67586377043818</v>
      </c>
      <c r="CG143" s="521">
        <f t="shared" si="141"/>
        <v>295.67586377043818</v>
      </c>
      <c r="CH143" s="421">
        <f t="shared" si="141"/>
        <v>387.63342626161477</v>
      </c>
      <c r="CI143" s="96">
        <f t="shared" si="141"/>
        <v>406.80711302543295</v>
      </c>
      <c r="CJ143" s="96">
        <f t="shared" si="141"/>
        <v>419.58957086797818</v>
      </c>
      <c r="CK143" s="96">
        <f t="shared" si="141"/>
        <v>432.37202871052364</v>
      </c>
      <c r="CL143" s="286">
        <f t="shared" si="141"/>
        <v>438.76325763179636</v>
      </c>
      <c r="CM143" s="307"/>
      <c r="CN143" s="294"/>
      <c r="CO143" s="294"/>
      <c r="CP143" s="19"/>
      <c r="CQ143" s="789">
        <f t="shared" si="142"/>
        <v>8235451.5203558886</v>
      </c>
      <c r="CR143" s="784">
        <f t="shared" si="142"/>
        <v>3520249.4800552242</v>
      </c>
      <c r="CS143" s="97">
        <f t="shared" si="142"/>
        <v>3520249.4800552242</v>
      </c>
      <c r="CT143" s="97">
        <f t="shared" si="142"/>
        <v>4615075.2714429181</v>
      </c>
      <c r="CU143" s="97">
        <f t="shared" si="142"/>
        <v>4843352.8183497451</v>
      </c>
      <c r="CV143" s="97">
        <f t="shared" si="142"/>
        <v>4995537.8496209597</v>
      </c>
      <c r="CW143" s="97">
        <f t="shared" si="142"/>
        <v>5147722.880892178</v>
      </c>
      <c r="CX143" s="98">
        <f t="shared" si="142"/>
        <v>5223815.3965277867</v>
      </c>
    </row>
    <row r="144" spans="1:103" x14ac:dyDescent="0.25">
      <c r="A144" s="81" t="s">
        <v>224</v>
      </c>
      <c r="B144" s="171"/>
      <c r="C144" s="82" t="s">
        <v>414</v>
      </c>
      <c r="D144" s="172">
        <f t="shared" si="143"/>
        <v>0</v>
      </c>
      <c r="E144" s="173">
        <f t="shared" si="137"/>
        <v>0</v>
      </c>
      <c r="F144" s="173">
        <f t="shared" si="137"/>
        <v>0</v>
      </c>
      <c r="G144" s="173">
        <f t="shared" si="137"/>
        <v>0</v>
      </c>
      <c r="H144" s="173">
        <f t="shared" si="137"/>
        <v>0</v>
      </c>
      <c r="I144" s="173">
        <f t="shared" si="137"/>
        <v>50268.775662810003</v>
      </c>
      <c r="J144" s="173">
        <f t="shared" si="137"/>
        <v>115524.03690840701</v>
      </c>
      <c r="K144" s="173">
        <f t="shared" si="137"/>
        <v>144521.18264955701</v>
      </c>
      <c r="L144" s="173">
        <f t="shared" si="137"/>
        <v>456946.6776957119</v>
      </c>
      <c r="M144" s="659">
        <f t="shared" si="137"/>
        <v>368293.7817512289</v>
      </c>
      <c r="N144" s="659">
        <f t="shared" si="138"/>
        <v>0</v>
      </c>
      <c r="O144" s="580">
        <f t="shared" ref="O144:Y146" si="147">SUMIF($A$7:$A$132,$A144,O$7:O$132)</f>
        <v>0</v>
      </c>
      <c r="P144" s="576">
        <f t="shared" si="147"/>
        <v>0</v>
      </c>
      <c r="Q144" s="576">
        <f t="shared" si="147"/>
        <v>0</v>
      </c>
      <c r="R144" s="576">
        <f t="shared" si="147"/>
        <v>0</v>
      </c>
      <c r="S144" s="576">
        <f t="shared" si="147"/>
        <v>0</v>
      </c>
      <c r="T144" s="576">
        <f t="shared" si="147"/>
        <v>62391.005178475192</v>
      </c>
      <c r="U144" s="576">
        <f t="shared" si="147"/>
        <v>143883.79865551711</v>
      </c>
      <c r="V144" s="576">
        <f t="shared" si="147"/>
        <v>173332.75069352073</v>
      </c>
      <c r="W144" s="576">
        <f t="shared" si="147"/>
        <v>516316.49560179957</v>
      </c>
      <c r="X144" s="680">
        <f t="shared" si="147"/>
        <v>391666.04621512175</v>
      </c>
      <c r="Y144" s="680">
        <f t="shared" si="147"/>
        <v>0</v>
      </c>
      <c r="Z144" s="174">
        <f t="shared" si="137"/>
        <v>0</v>
      </c>
      <c r="AA144" s="175">
        <f t="shared" si="137"/>
        <v>0</v>
      </c>
      <c r="AB144" s="175">
        <f t="shared" si="137"/>
        <v>0</v>
      </c>
      <c r="AC144" s="175">
        <f t="shared" si="137"/>
        <v>0</v>
      </c>
      <c r="AD144" s="175">
        <f t="shared" si="137"/>
        <v>0</v>
      </c>
      <c r="AE144" s="175">
        <f t="shared" si="137"/>
        <v>68</v>
      </c>
      <c r="AF144" s="175">
        <f t="shared" si="137"/>
        <v>117</v>
      </c>
      <c r="AG144" s="175">
        <f t="shared" si="140"/>
        <v>151</v>
      </c>
      <c r="AH144" s="175">
        <f t="shared" si="140"/>
        <v>395</v>
      </c>
      <c r="AI144" s="175">
        <f t="shared" si="140"/>
        <v>283</v>
      </c>
      <c r="AJ144" s="614">
        <f t="shared" si="140"/>
        <v>151</v>
      </c>
      <c r="AK144" s="19"/>
      <c r="AL144" s="19"/>
      <c r="AM144" s="19"/>
      <c r="AN144" s="174">
        <v>0</v>
      </c>
      <c r="AO144" s="175">
        <v>0</v>
      </c>
      <c r="AP144" s="175">
        <v>0</v>
      </c>
      <c r="AQ144" s="175">
        <v>0</v>
      </c>
      <c r="AR144" s="175">
        <v>0</v>
      </c>
      <c r="AS144" s="175">
        <v>0</v>
      </c>
      <c r="AT144" s="175">
        <v>0</v>
      </c>
      <c r="AU144" s="175">
        <v>0</v>
      </c>
      <c r="AV144" s="175">
        <v>0</v>
      </c>
      <c r="AW144" s="614">
        <v>0</v>
      </c>
      <c r="AX144" s="1082"/>
      <c r="AY144" s="93">
        <f t="shared" si="144"/>
        <v>0</v>
      </c>
      <c r="AZ144" s="94">
        <f t="shared" si="145"/>
        <v>0</v>
      </c>
      <c r="BA144" s="95">
        <f t="shared" si="146"/>
        <v>0</v>
      </c>
      <c r="BB144" s="19">
        <v>10</v>
      </c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421">
        <f t="shared" si="141"/>
        <v>0</v>
      </c>
      <c r="CF144" s="96">
        <f t="shared" si="141"/>
        <v>0</v>
      </c>
      <c r="CG144" s="521">
        <f t="shared" si="141"/>
        <v>0</v>
      </c>
      <c r="CH144" s="421">
        <f t="shared" si="141"/>
        <v>0</v>
      </c>
      <c r="CI144" s="96">
        <f t="shared" si="141"/>
        <v>0</v>
      </c>
      <c r="CJ144" s="96">
        <f t="shared" si="141"/>
        <v>0</v>
      </c>
      <c r="CK144" s="96">
        <f t="shared" si="141"/>
        <v>0</v>
      </c>
      <c r="CL144" s="286">
        <f t="shared" si="141"/>
        <v>0</v>
      </c>
      <c r="CM144" s="307"/>
      <c r="CN144" s="294"/>
      <c r="CO144" s="294"/>
      <c r="CP144" s="19"/>
      <c r="CQ144" s="789">
        <f t="shared" si="142"/>
        <v>0</v>
      </c>
      <c r="CR144" s="784">
        <f t="shared" si="142"/>
        <v>0</v>
      </c>
      <c r="CS144" s="97">
        <f t="shared" si="142"/>
        <v>0</v>
      </c>
      <c r="CT144" s="97">
        <f t="shared" si="142"/>
        <v>0</v>
      </c>
      <c r="CU144" s="97">
        <f t="shared" si="142"/>
        <v>0</v>
      </c>
      <c r="CV144" s="97">
        <f t="shared" si="142"/>
        <v>0</v>
      </c>
      <c r="CW144" s="97">
        <f t="shared" si="142"/>
        <v>0</v>
      </c>
      <c r="CX144" s="98">
        <f t="shared" si="142"/>
        <v>0</v>
      </c>
    </row>
    <row r="145" spans="1:102" x14ac:dyDescent="0.25">
      <c r="A145" s="81" t="s">
        <v>242</v>
      </c>
      <c r="B145" s="171"/>
      <c r="C145" s="82" t="s">
        <v>415</v>
      </c>
      <c r="D145" s="172">
        <f t="shared" si="143"/>
        <v>0</v>
      </c>
      <c r="E145" s="173">
        <f t="shared" si="137"/>
        <v>0</v>
      </c>
      <c r="F145" s="173">
        <f t="shared" si="137"/>
        <v>0</v>
      </c>
      <c r="G145" s="173">
        <f t="shared" si="137"/>
        <v>0</v>
      </c>
      <c r="H145" s="173">
        <f t="shared" si="137"/>
        <v>0</v>
      </c>
      <c r="I145" s="173">
        <f t="shared" si="137"/>
        <v>0</v>
      </c>
      <c r="J145" s="173">
        <f t="shared" si="137"/>
        <v>0</v>
      </c>
      <c r="K145" s="173">
        <f t="shared" si="137"/>
        <v>0</v>
      </c>
      <c r="L145" s="173">
        <f t="shared" si="137"/>
        <v>115228.61698219899</v>
      </c>
      <c r="M145" s="659">
        <f t="shared" si="137"/>
        <v>1885486.8175244262</v>
      </c>
      <c r="N145" s="659">
        <f t="shared" si="138"/>
        <v>0</v>
      </c>
      <c r="O145" s="580">
        <f t="shared" si="147"/>
        <v>0</v>
      </c>
      <c r="P145" s="576">
        <f t="shared" si="147"/>
        <v>0</v>
      </c>
      <c r="Q145" s="576">
        <f t="shared" si="147"/>
        <v>0</v>
      </c>
      <c r="R145" s="576">
        <f t="shared" si="147"/>
        <v>0</v>
      </c>
      <c r="S145" s="576">
        <f t="shared" si="147"/>
        <v>0</v>
      </c>
      <c r="T145" s="576">
        <f t="shared" si="147"/>
        <v>0</v>
      </c>
      <c r="U145" s="576">
        <f t="shared" si="147"/>
        <v>0</v>
      </c>
      <c r="V145" s="576">
        <f t="shared" si="147"/>
        <v>0</v>
      </c>
      <c r="W145" s="576">
        <f t="shared" si="147"/>
        <v>130199.95246121319</v>
      </c>
      <c r="X145" s="680">
        <f t="shared" si="147"/>
        <v>2005141.5570989633</v>
      </c>
      <c r="Y145" s="680">
        <f t="shared" si="147"/>
        <v>0</v>
      </c>
      <c r="Z145" s="174">
        <f t="shared" si="137"/>
        <v>0</v>
      </c>
      <c r="AA145" s="175">
        <f t="shared" si="137"/>
        <v>0</v>
      </c>
      <c r="AB145" s="175">
        <f t="shared" si="137"/>
        <v>0</v>
      </c>
      <c r="AC145" s="175">
        <f t="shared" si="137"/>
        <v>0</v>
      </c>
      <c r="AD145" s="175">
        <f t="shared" si="137"/>
        <v>0</v>
      </c>
      <c r="AE145" s="175">
        <f t="shared" si="137"/>
        <v>0</v>
      </c>
      <c r="AF145" s="175">
        <f t="shared" si="137"/>
        <v>0</v>
      </c>
      <c r="AG145" s="175">
        <f t="shared" si="140"/>
        <v>0</v>
      </c>
      <c r="AH145" s="175">
        <f t="shared" si="140"/>
        <v>2932</v>
      </c>
      <c r="AI145" s="175">
        <f t="shared" si="140"/>
        <v>0</v>
      </c>
      <c r="AJ145" s="614">
        <f t="shared" si="140"/>
        <v>127450</v>
      </c>
      <c r="AK145" s="19"/>
      <c r="AL145" s="19"/>
      <c r="AM145" s="19"/>
      <c r="AN145" s="174">
        <v>0</v>
      </c>
      <c r="AO145" s="175">
        <v>0</v>
      </c>
      <c r="AP145" s="175">
        <v>0</v>
      </c>
      <c r="AQ145" s="175">
        <v>0</v>
      </c>
      <c r="AR145" s="175">
        <v>0</v>
      </c>
      <c r="AS145" s="175">
        <v>0</v>
      </c>
      <c r="AT145" s="175">
        <v>0</v>
      </c>
      <c r="AU145" s="175">
        <v>0</v>
      </c>
      <c r="AV145" s="175">
        <v>0</v>
      </c>
      <c r="AW145" s="614">
        <v>0</v>
      </c>
      <c r="AX145" s="1082"/>
      <c r="AY145" s="93">
        <f t="shared" si="144"/>
        <v>0</v>
      </c>
      <c r="AZ145" s="94">
        <f t="shared" si="145"/>
        <v>0</v>
      </c>
      <c r="BA145" s="95">
        <f t="shared" si="146"/>
        <v>0</v>
      </c>
      <c r="BB145" s="19">
        <v>11</v>
      </c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421">
        <f t="shared" si="141"/>
        <v>0</v>
      </c>
      <c r="CF145" s="96">
        <f t="shared" si="141"/>
        <v>0</v>
      </c>
      <c r="CG145" s="521">
        <f t="shared" si="141"/>
        <v>0</v>
      </c>
      <c r="CH145" s="421">
        <f t="shared" si="141"/>
        <v>0</v>
      </c>
      <c r="CI145" s="96">
        <f t="shared" si="141"/>
        <v>0</v>
      </c>
      <c r="CJ145" s="96">
        <f t="shared" si="141"/>
        <v>0</v>
      </c>
      <c r="CK145" s="96">
        <f t="shared" si="141"/>
        <v>0</v>
      </c>
      <c r="CL145" s="286">
        <f t="shared" si="141"/>
        <v>0</v>
      </c>
      <c r="CM145" s="307"/>
      <c r="CN145" s="294"/>
      <c r="CO145" s="294"/>
      <c r="CP145" s="19"/>
      <c r="CQ145" s="789">
        <f t="shared" si="142"/>
        <v>0</v>
      </c>
      <c r="CR145" s="784">
        <f t="shared" si="142"/>
        <v>0</v>
      </c>
      <c r="CS145" s="97">
        <f t="shared" si="142"/>
        <v>0</v>
      </c>
      <c r="CT145" s="97">
        <f t="shared" si="142"/>
        <v>0</v>
      </c>
      <c r="CU145" s="97">
        <f t="shared" si="142"/>
        <v>0</v>
      </c>
      <c r="CV145" s="97">
        <f t="shared" si="142"/>
        <v>0</v>
      </c>
      <c r="CW145" s="97">
        <f t="shared" si="142"/>
        <v>0</v>
      </c>
      <c r="CX145" s="98">
        <f t="shared" si="142"/>
        <v>0</v>
      </c>
    </row>
    <row r="146" spans="1:102" ht="15.75" thickBot="1" x14ac:dyDescent="0.3">
      <c r="A146" s="100" t="s">
        <v>258</v>
      </c>
      <c r="B146" s="176"/>
      <c r="C146" s="101" t="s">
        <v>64</v>
      </c>
      <c r="D146" s="177">
        <f t="shared" si="143"/>
        <v>0</v>
      </c>
      <c r="E146" s="178">
        <f t="shared" si="137"/>
        <v>0</v>
      </c>
      <c r="F146" s="178">
        <f t="shared" si="137"/>
        <v>0</v>
      </c>
      <c r="G146" s="178">
        <f t="shared" si="137"/>
        <v>0</v>
      </c>
      <c r="H146" s="178">
        <f t="shared" si="137"/>
        <v>0</v>
      </c>
      <c r="I146" s="178">
        <f t="shared" si="137"/>
        <v>0</v>
      </c>
      <c r="J146" s="178">
        <f t="shared" si="137"/>
        <v>0</v>
      </c>
      <c r="K146" s="178">
        <f t="shared" si="137"/>
        <v>67040.627260025998</v>
      </c>
      <c r="L146" s="178">
        <f t="shared" si="137"/>
        <v>0</v>
      </c>
      <c r="M146" s="660">
        <f t="shared" si="137"/>
        <v>5320.3725315080001</v>
      </c>
      <c r="N146" s="660">
        <f t="shared" si="138"/>
        <v>6119.2808526220006</v>
      </c>
      <c r="O146" s="582">
        <f t="shared" si="147"/>
        <v>0</v>
      </c>
      <c r="P146" s="577">
        <f t="shared" si="147"/>
        <v>0</v>
      </c>
      <c r="Q146" s="577">
        <f t="shared" si="147"/>
        <v>0</v>
      </c>
      <c r="R146" s="577">
        <f t="shared" si="147"/>
        <v>0</v>
      </c>
      <c r="S146" s="577">
        <f t="shared" si="147"/>
        <v>0</v>
      </c>
      <c r="T146" s="577">
        <f t="shared" si="147"/>
        <v>0</v>
      </c>
      <c r="U146" s="577">
        <f t="shared" si="147"/>
        <v>0</v>
      </c>
      <c r="V146" s="577">
        <f t="shared" si="147"/>
        <v>80405.76556432544</v>
      </c>
      <c r="W146" s="577">
        <f t="shared" si="147"/>
        <v>0</v>
      </c>
      <c r="X146" s="681">
        <f t="shared" si="147"/>
        <v>5658.0082995124421</v>
      </c>
      <c r="Y146" s="681">
        <f t="shared" si="147"/>
        <v>6287.5517705768298</v>
      </c>
      <c r="Z146" s="179">
        <f t="shared" si="137"/>
        <v>0</v>
      </c>
      <c r="AA146" s="180">
        <f t="shared" si="137"/>
        <v>0</v>
      </c>
      <c r="AB146" s="180">
        <f t="shared" si="137"/>
        <v>0</v>
      </c>
      <c r="AC146" s="180">
        <f t="shared" si="137"/>
        <v>0</v>
      </c>
      <c r="AD146" s="180">
        <f t="shared" si="137"/>
        <v>0</v>
      </c>
      <c r="AE146" s="180">
        <f t="shared" si="137"/>
        <v>0</v>
      </c>
      <c r="AF146" s="180">
        <f t="shared" si="137"/>
        <v>1</v>
      </c>
      <c r="AG146" s="180">
        <f t="shared" si="140"/>
        <v>20</v>
      </c>
      <c r="AH146" s="180">
        <f t="shared" si="140"/>
        <v>8</v>
      </c>
      <c r="AI146" s="180">
        <f t="shared" si="140"/>
        <v>2</v>
      </c>
      <c r="AJ146" s="615">
        <f t="shared" si="140"/>
        <v>2.1666666669999999</v>
      </c>
      <c r="AK146" s="19"/>
      <c r="AL146" s="19"/>
      <c r="AM146" s="19"/>
      <c r="AN146" s="179">
        <v>0</v>
      </c>
      <c r="AO146" s="180">
        <v>0</v>
      </c>
      <c r="AP146" s="180">
        <v>0</v>
      </c>
      <c r="AQ146" s="180">
        <v>0</v>
      </c>
      <c r="AR146" s="180">
        <v>0</v>
      </c>
      <c r="AS146" s="180">
        <v>0</v>
      </c>
      <c r="AT146" s="180">
        <v>0</v>
      </c>
      <c r="AU146" s="180">
        <v>0</v>
      </c>
      <c r="AV146" s="180">
        <v>0</v>
      </c>
      <c r="AW146" s="615">
        <v>0</v>
      </c>
      <c r="AX146" s="1083"/>
      <c r="AY146" s="112">
        <f t="shared" si="144"/>
        <v>0</v>
      </c>
      <c r="AZ146" s="113">
        <f t="shared" si="145"/>
        <v>0</v>
      </c>
      <c r="BA146" s="114">
        <f t="shared" si="146"/>
        <v>0</v>
      </c>
      <c r="BB146" s="19">
        <v>12</v>
      </c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422">
        <f t="shared" si="141"/>
        <v>0</v>
      </c>
      <c r="CF146" s="115">
        <f t="shared" si="141"/>
        <v>0</v>
      </c>
      <c r="CG146" s="522">
        <f t="shared" si="141"/>
        <v>0</v>
      </c>
      <c r="CH146" s="422">
        <f t="shared" si="141"/>
        <v>0</v>
      </c>
      <c r="CI146" s="115">
        <f t="shared" si="141"/>
        <v>0</v>
      </c>
      <c r="CJ146" s="115">
        <f t="shared" si="141"/>
        <v>0</v>
      </c>
      <c r="CK146" s="115">
        <f t="shared" si="141"/>
        <v>0</v>
      </c>
      <c r="CL146" s="287">
        <f t="shared" si="141"/>
        <v>0</v>
      </c>
      <c r="CM146" s="310"/>
      <c r="CN146" s="294"/>
      <c r="CO146" s="294"/>
      <c r="CP146" s="19"/>
      <c r="CQ146" s="790">
        <f t="shared" si="142"/>
        <v>0</v>
      </c>
      <c r="CR146" s="1111">
        <f t="shared" si="142"/>
        <v>0</v>
      </c>
      <c r="CS146" s="181">
        <f t="shared" si="142"/>
        <v>0</v>
      </c>
      <c r="CT146" s="181">
        <f t="shared" si="142"/>
        <v>0</v>
      </c>
      <c r="CU146" s="181">
        <f t="shared" si="142"/>
        <v>0</v>
      </c>
      <c r="CV146" s="181">
        <f t="shared" si="142"/>
        <v>0</v>
      </c>
      <c r="CW146" s="181">
        <f t="shared" si="142"/>
        <v>0</v>
      </c>
      <c r="CX146" s="182">
        <f t="shared" si="142"/>
        <v>0</v>
      </c>
    </row>
    <row r="147" spans="1:102" ht="15.75" thickBot="1" x14ac:dyDescent="0.3">
      <c r="D147" s="183">
        <f>SUM(D136:D146)</f>
        <v>0</v>
      </c>
      <c r="E147" s="184">
        <f t="shared" ref="E147:M147" si="148">SUM(E136:E146)</f>
        <v>0</v>
      </c>
      <c r="F147" s="184">
        <f t="shared" si="148"/>
        <v>0</v>
      </c>
      <c r="G147" s="184">
        <f t="shared" si="148"/>
        <v>0</v>
      </c>
      <c r="H147" s="184">
        <f t="shared" si="148"/>
        <v>0</v>
      </c>
      <c r="I147" s="184">
        <f t="shared" si="148"/>
        <v>9815191.6555821784</v>
      </c>
      <c r="J147" s="184">
        <f t="shared" si="148"/>
        <v>20694366.158575293</v>
      </c>
      <c r="K147" s="184">
        <f t="shared" si="148"/>
        <v>33861053.184815042</v>
      </c>
      <c r="L147" s="184">
        <f t="shared" si="148"/>
        <v>63759645.812136687</v>
      </c>
      <c r="M147" s="661">
        <f t="shared" si="148"/>
        <v>81754132.857317016</v>
      </c>
      <c r="N147" s="661">
        <f t="shared" ref="N147" si="149">SUM(N136:N146)</f>
        <v>77087603.447987646</v>
      </c>
      <c r="O147" s="183">
        <f>SUM(O136:O146)</f>
        <v>0</v>
      </c>
      <c r="P147" s="184">
        <f t="shared" ref="P147:X147" si="150">SUM(P136:P146)</f>
        <v>0</v>
      </c>
      <c r="Q147" s="184">
        <f t="shared" si="150"/>
        <v>0</v>
      </c>
      <c r="R147" s="184">
        <f t="shared" si="150"/>
        <v>0</v>
      </c>
      <c r="S147" s="184">
        <f t="shared" si="150"/>
        <v>0</v>
      </c>
      <c r="T147" s="184">
        <f t="shared" si="150"/>
        <v>12182108.383121155</v>
      </c>
      <c r="U147" s="184">
        <f t="shared" si="150"/>
        <v>25774584.176146522</v>
      </c>
      <c r="V147" s="184">
        <f t="shared" si="150"/>
        <v>40611551.76217749</v>
      </c>
      <c r="W147" s="184">
        <f t="shared" si="150"/>
        <v>72043760.231596276</v>
      </c>
      <c r="X147" s="661">
        <f t="shared" si="150"/>
        <v>86942325.840298519</v>
      </c>
      <c r="Y147" s="661">
        <f t="shared" ref="Y147" si="151">SUM(Y136:Y146)</f>
        <v>81999255.366386026</v>
      </c>
      <c r="CE147" s="19"/>
      <c r="CF147" s="19"/>
      <c r="CG147" s="19"/>
      <c r="CH147" s="19"/>
      <c r="CI147" s="19"/>
      <c r="CJ147" s="19"/>
      <c r="CK147" s="19"/>
      <c r="CL147" s="282"/>
      <c r="CM147" s="294"/>
      <c r="CN147" s="294"/>
      <c r="CO147" s="294"/>
      <c r="CP147" s="19"/>
      <c r="CQ147" s="791">
        <f>SUM(CQ136:CQ146)</f>
        <v>60390503.054544337</v>
      </c>
      <c r="CR147" s="1112">
        <f t="shared" ref="CR147:CX147" si="152">SUM(CR136:CR146)</f>
        <v>49842398.910910323</v>
      </c>
      <c r="CS147" s="184">
        <f t="shared" si="152"/>
        <v>49842398.910910323</v>
      </c>
      <c r="CT147" s="184">
        <f t="shared" si="152"/>
        <v>65311990.992494538</v>
      </c>
      <c r="CU147" s="184">
        <f t="shared" si="152"/>
        <v>68477062.088111982</v>
      </c>
      <c r="CV147" s="184">
        <f t="shared" si="152"/>
        <v>70587502.73708263</v>
      </c>
      <c r="CW147" s="184">
        <f t="shared" si="152"/>
        <v>72698221.459389135</v>
      </c>
      <c r="CX147" s="185">
        <f t="shared" si="152"/>
        <v>73753676.590948224</v>
      </c>
    </row>
    <row r="148" spans="1:102" x14ac:dyDescent="0.25">
      <c r="CM148" s="294"/>
      <c r="CN148" s="294"/>
      <c r="CO148" s="294"/>
    </row>
    <row r="149" spans="1:102" x14ac:dyDescent="0.25">
      <c r="CM149" s="294"/>
      <c r="CN149" s="294"/>
      <c r="CO149" s="294"/>
    </row>
    <row r="150" spans="1:102" x14ac:dyDescent="0.25">
      <c r="CM150" s="294"/>
      <c r="CN150" s="294"/>
      <c r="CO150" s="294"/>
    </row>
  </sheetData>
  <autoFilter ref="A6:CZ133" xr:uid="{3BAC6F90-453C-43A8-9D10-891DF0E10740}"/>
  <phoneticPr fontId="17" type="noConversion"/>
  <dataValidations disablePrompts="1" count="2">
    <dataValidation type="list" allowBlank="1" showInputMessage="1" showErrorMessage="1" sqref="CC7:CC132 CM7:CM132" xr:uid="{7901A5F0-8FAF-4E50-9028-6907B1C5B130}">
      <formula1>$AY$6:$BA$6</formula1>
    </dataValidation>
    <dataValidation type="list" allowBlank="1" showInputMessage="1" showErrorMessage="1" sqref="BW4" xr:uid="{7C2E4A5F-A718-4AA5-8651-C034904BD20C}">
      <formula1>$AY$135:$BA$135</formula1>
    </dataValidation>
  </dataValidations>
  <pageMargins left="0.7" right="0.7" top="0.75" bottom="0.75" header="0.3" footer="0.3"/>
  <pageSetup paperSize="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9FC50694-0426-4703-A403-5BB2F5A8185A}">
          <x14:formula1>
            <xm:f>Lookup!$A$2:$A$4</xm:f>
          </x14:formula1>
          <xm:sqref>BC7:BC132</xm:sqref>
        </x14:dataValidation>
        <x14:dataValidation type="list" allowBlank="1" showInputMessage="1" showErrorMessage="1" xr:uid="{218C6D87-94B3-4F06-99CC-7E377BFB4104}">
          <x14:formula1>
            <xm:f>Lookup!$B$2:$B$9</xm:f>
          </x14:formula1>
          <xm:sqref>BB7:BB132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572E-FF65-4B2E-8488-A30246A39F7D}">
  <sheetPr codeName="Sheet11"/>
  <dimension ref="A1:CZ147"/>
  <sheetViews>
    <sheetView zoomScaleNormal="100" workbookViewId="0">
      <pane xSplit="3" ySplit="7" topLeftCell="BD8" activePane="bottomRight" state="frozen"/>
      <selection activeCell="BM1" sqref="BM1:BO1048576"/>
      <selection pane="topRight" activeCell="BM1" sqref="BM1:BO1048576"/>
      <selection pane="bottomLeft" activeCell="BM1" sqref="BM1:BO1048576"/>
      <selection pane="bottomRight" activeCell="BE1" sqref="BE1:BL1048576"/>
    </sheetView>
  </sheetViews>
  <sheetFormatPr defaultRowHeight="15" x14ac:dyDescent="0.25"/>
  <cols>
    <col min="1" max="1" width="5.7109375" bestFit="1" customWidth="1"/>
    <col min="3" max="3" width="37" customWidth="1"/>
    <col min="13" max="14" width="9.140625" style="280"/>
    <col min="24" max="25" width="9.140625" style="280"/>
    <col min="35" max="36" width="9.140625" style="280"/>
    <col min="49" max="50" width="9.140625" style="280"/>
    <col min="55" max="55" width="9.140625" customWidth="1"/>
    <col min="57" max="64" width="9.140625" hidden="1" customWidth="1"/>
    <col min="81" max="81" width="9.140625" customWidth="1"/>
    <col min="90" max="93" width="9.140625" style="280" customWidth="1"/>
    <col min="95" max="96" width="13.7109375" style="778" customWidth="1"/>
    <col min="97" max="102" width="13.7109375" customWidth="1"/>
  </cols>
  <sheetData>
    <row r="1" spans="1:104" ht="15.75" thickBot="1" x14ac:dyDescent="0.3">
      <c r="A1" t="s">
        <v>448</v>
      </c>
      <c r="N1" s="280">
        <f>'Defect P2'!N1</f>
        <v>1.0233248425996433</v>
      </c>
      <c r="AT1" t="s">
        <v>279</v>
      </c>
      <c r="AW1" s="701"/>
      <c r="AX1" s="701"/>
      <c r="CP1" s="280"/>
      <c r="CS1" s="280"/>
      <c r="CT1" s="280"/>
      <c r="CU1" s="280"/>
      <c r="CV1" s="280"/>
      <c r="CW1" s="280"/>
      <c r="CX1" s="280"/>
    </row>
    <row r="2" spans="1:104" ht="15.75" thickBot="1" x14ac:dyDescent="0.3">
      <c r="O2" s="593" t="s">
        <v>583</v>
      </c>
      <c r="P2" s="594" t="str">
        <f>'Defect P1'!P2</f>
        <v>2024/25</v>
      </c>
      <c r="Q2" s="584"/>
      <c r="R2" s="584"/>
      <c r="S2" s="584"/>
      <c r="T2" s="584"/>
      <c r="U2" s="584"/>
      <c r="V2" s="584"/>
      <c r="W2" s="1100"/>
      <c r="X2" s="1100"/>
      <c r="Y2" s="1101"/>
      <c r="CP2" s="280"/>
      <c r="CS2" s="280"/>
      <c r="CT2" s="280"/>
      <c r="CU2" s="280"/>
      <c r="CV2" s="280"/>
      <c r="CW2" s="280"/>
      <c r="CX2" s="280"/>
    </row>
    <row r="3" spans="1:104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388"/>
      <c r="N3" s="388"/>
      <c r="O3" s="586" t="s">
        <v>584</v>
      </c>
      <c r="P3" s="587"/>
      <c r="Q3" s="587"/>
      <c r="R3" s="587"/>
      <c r="S3" s="587"/>
      <c r="T3" s="587"/>
      <c r="U3" s="587"/>
      <c r="V3" s="587"/>
      <c r="W3" s="1102"/>
      <c r="X3" s="1102"/>
      <c r="Y3" s="1103"/>
      <c r="AY3" s="607" t="str">
        <f>"Escalated to "&amp;P2</f>
        <v>Escalated to 2024/25</v>
      </c>
      <c r="AZ3" s="604"/>
      <c r="BA3" s="605" t="str">
        <f>'Defect P1'!BA3</f>
        <v>N</v>
      </c>
      <c r="CE3" s="19"/>
      <c r="CF3" s="19"/>
      <c r="CG3" s="19"/>
      <c r="CH3" s="19"/>
      <c r="CI3" s="19"/>
      <c r="CJ3" s="19"/>
      <c r="CK3" s="19"/>
      <c r="CL3" s="281"/>
      <c r="CM3" s="281"/>
      <c r="CN3" s="281"/>
      <c r="CO3" s="281"/>
      <c r="CP3" s="281"/>
      <c r="CQ3" s="779"/>
      <c r="CR3" s="779"/>
      <c r="CS3" s="281"/>
      <c r="CT3" s="281"/>
      <c r="CU3" s="281"/>
      <c r="CV3" s="281"/>
      <c r="CW3" s="281"/>
      <c r="CX3" s="281"/>
    </row>
    <row r="4" spans="1:104" ht="15.75" thickBot="1" x14ac:dyDescent="0.3">
      <c r="O4" s="589">
        <f>VLOOKUP(O$6,'Financial Escalation'!$C$31:$W$52,VLOOKUP($P$2,Lookup!$D$2:$E$19,2,0),0)</f>
        <v>1.3454563192065767</v>
      </c>
      <c r="P4" s="590">
        <f>VLOOKUP(P$6,'Financial Escalation'!$C$31:$W$52,VLOOKUP($P$2,Lookup!$D$2:$E$19,2,0),0)</f>
        <v>1.3254309228276884</v>
      </c>
      <c r="Q4" s="590">
        <f>VLOOKUP(Q$6,'Financial Escalation'!$C$31:$W$52,VLOOKUP($P$2,Lookup!$D$2:$E$19,2,0),0)</f>
        <v>1.3120057477345903</v>
      </c>
      <c r="R4" s="590">
        <f>VLOOKUP(R$6,'Financial Escalation'!$C$31:$W$52,VLOOKUP($P$2,Lookup!$D$2:$E$19,2,0),0)</f>
        <v>1.2871167498100859</v>
      </c>
      <c r="S4" s="590">
        <f>VLOOKUP(S$6,'Financial Escalation'!$C$31:$W$52,VLOOKUP($P$2,Lookup!$D$2:$E$19,2,0),0)</f>
        <v>1.2609187982652788</v>
      </c>
      <c r="T4" s="590">
        <f>VLOOKUP(T$6,'Financial Escalation'!$C$31:$W$52,VLOOKUP($P$2,Lookup!$D$2:$E$19,2,0),0)</f>
        <v>1.2411482944597256</v>
      </c>
      <c r="U4" s="590">
        <f>VLOOKUP(U$6,'Financial Escalation'!$C$31:$W$52,VLOOKUP($P$2,Lookup!$D$2:$E$19,2,0),0)</f>
        <v>1.2454879738109834</v>
      </c>
      <c r="V4" s="590">
        <f>VLOOKUP(V$6,'Financial Escalation'!$C$31:$W$52,VLOOKUP($P$2,Lookup!$D$2:$E$19,2,0),0)</f>
        <v>1.199358789595762</v>
      </c>
      <c r="W4" s="1104">
        <f>VLOOKUP(W$6,'Financial Escalation'!$C$31:$W$52,VLOOKUP($P$2,Lookup!$D$2:$E$19,2,0),0)</f>
        <v>1.129927233972851</v>
      </c>
      <c r="X4" s="1104">
        <f>VLOOKUP(X$6,'Financial Escalation'!$C$31:$W$52,VLOOKUP($P$2,Lookup!$D$2:$E$19,2,0),0)</f>
        <v>1.0634609260920951</v>
      </c>
      <c r="Y4" s="1105">
        <f>VLOOKUP(Y$6,'Financial Escalation'!$C$31:$W$52,VLOOKUP($P$2,Lookup!$D$2:$E$19,2,0),0)</f>
        <v>1.027498479316034</v>
      </c>
      <c r="AK4" s="220" t="s">
        <v>427</v>
      </c>
      <c r="AL4" s="221"/>
      <c r="AM4" s="222" t="s">
        <v>588</v>
      </c>
      <c r="AY4" s="595" t="s">
        <v>427</v>
      </c>
      <c r="AZ4" s="596"/>
      <c r="BA4" s="601" t="s">
        <v>588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282"/>
      <c r="CM4" s="282"/>
      <c r="CN4" s="282"/>
      <c r="CO4" s="282"/>
      <c r="CP4" s="282"/>
      <c r="CQ4" s="780"/>
      <c r="CR4" s="780"/>
      <c r="CS4" s="282"/>
      <c r="CT4" s="282"/>
      <c r="CU4" s="282"/>
      <c r="CV4" s="282"/>
      <c r="CW4" s="282"/>
      <c r="CX4" s="282"/>
    </row>
    <row r="5" spans="1:104" s="186" customFormat="1" ht="15.75" thickBot="1" x14ac:dyDescent="0.3">
      <c r="A5" s="27" t="s">
        <v>281</v>
      </c>
      <c r="B5" s="27" t="s">
        <v>282</v>
      </c>
      <c r="C5" s="28" t="s">
        <v>283</v>
      </c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35"/>
      <c r="N5" s="335"/>
      <c r="O5" s="552" t="s">
        <v>582</v>
      </c>
      <c r="P5" s="553"/>
      <c r="Q5" s="553"/>
      <c r="R5" s="553"/>
      <c r="S5" s="553"/>
      <c r="T5" s="553"/>
      <c r="U5" s="553"/>
      <c r="V5" s="553"/>
      <c r="W5" s="554"/>
      <c r="X5" s="554"/>
      <c r="Y5" s="554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662"/>
      <c r="AJ5" s="662"/>
      <c r="AK5" s="33" t="s">
        <v>586</v>
      </c>
      <c r="AL5" s="34"/>
      <c r="AM5" s="35"/>
      <c r="AN5" s="36" t="s">
        <v>463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259" t="s">
        <v>429</v>
      </c>
      <c r="BC5" s="260"/>
      <c r="BD5" s="260"/>
      <c r="BE5" s="242" t="s">
        <v>439</v>
      </c>
      <c r="BF5" s="226"/>
      <c r="BG5" s="226"/>
      <c r="BH5" s="226"/>
      <c r="BI5" s="226"/>
      <c r="BJ5" s="226"/>
      <c r="BK5" s="226"/>
      <c r="BL5" s="243"/>
      <c r="BM5" s="226" t="s">
        <v>440</v>
      </c>
      <c r="BN5" s="226"/>
      <c r="BO5" s="226"/>
      <c r="BP5" s="226"/>
      <c r="BQ5" s="226"/>
      <c r="BR5" s="226"/>
      <c r="BS5" s="226"/>
      <c r="BT5" s="243"/>
      <c r="BU5" s="242" t="s">
        <v>430</v>
      </c>
      <c r="BV5" s="226"/>
      <c r="BW5" s="226"/>
      <c r="BX5" s="226"/>
      <c r="BY5" s="226"/>
      <c r="BZ5" s="226"/>
      <c r="CA5" s="226"/>
      <c r="CB5" s="243"/>
      <c r="CC5" s="376" t="s">
        <v>442</v>
      </c>
      <c r="CD5" s="377"/>
      <c r="CE5" s="189" t="s">
        <v>441</v>
      </c>
      <c r="CF5" s="189"/>
      <c r="CG5" s="189"/>
      <c r="CH5" s="189"/>
      <c r="CI5" s="189"/>
      <c r="CJ5" s="189"/>
      <c r="CK5" s="189"/>
      <c r="CL5" s="283"/>
      <c r="CM5" s="412" t="s">
        <v>484</v>
      </c>
      <c r="CN5" s="296"/>
      <c r="CO5" s="296"/>
      <c r="CP5" s="297"/>
      <c r="CQ5" s="781"/>
      <c r="CR5" s="781"/>
      <c r="CS5" s="191"/>
      <c r="CT5" s="191"/>
      <c r="CU5" s="191"/>
      <c r="CV5" s="191"/>
      <c r="CW5" s="191"/>
      <c r="CX5" s="192"/>
    </row>
    <row r="6" spans="1:104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657" t="s">
        <v>14</v>
      </c>
      <c r="N6" s="1063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673" t="s">
        <v>13</v>
      </c>
      <c r="X6" s="673" t="s">
        <v>14</v>
      </c>
      <c r="Y6" s="1085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1092" t="s">
        <v>14</v>
      </c>
      <c r="AJ6" s="663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261" t="s">
        <v>431</v>
      </c>
      <c r="BC6" s="262" t="s">
        <v>438</v>
      </c>
      <c r="BD6" s="263" t="s">
        <v>432</v>
      </c>
      <c r="BE6" s="254" t="s">
        <v>14</v>
      </c>
      <c r="BF6" s="227" t="s">
        <v>15</v>
      </c>
      <c r="BG6" s="227" t="s">
        <v>280</v>
      </c>
      <c r="BH6" s="227" t="s">
        <v>422</v>
      </c>
      <c r="BI6" s="227" t="s">
        <v>423</v>
      </c>
      <c r="BJ6" s="227" t="s">
        <v>424</v>
      </c>
      <c r="BK6" s="227" t="s">
        <v>425</v>
      </c>
      <c r="BL6" s="245" t="s">
        <v>426</v>
      </c>
      <c r="BM6" s="254" t="s">
        <v>14</v>
      </c>
      <c r="BN6" s="227" t="s">
        <v>15</v>
      </c>
      <c r="BO6" s="227" t="s">
        <v>280</v>
      </c>
      <c r="BP6" s="227" t="s">
        <v>422</v>
      </c>
      <c r="BQ6" s="227" t="s">
        <v>423</v>
      </c>
      <c r="BR6" s="227" t="s">
        <v>424</v>
      </c>
      <c r="BS6" s="227" t="s">
        <v>425</v>
      </c>
      <c r="BT6" s="245" t="s">
        <v>426</v>
      </c>
      <c r="BU6" s="244" t="s">
        <v>14</v>
      </c>
      <c r="BV6" s="227" t="s">
        <v>15</v>
      </c>
      <c r="BW6" s="227" t="s">
        <v>280</v>
      </c>
      <c r="BX6" s="227" t="s">
        <v>422</v>
      </c>
      <c r="BY6" s="227" t="s">
        <v>423</v>
      </c>
      <c r="BZ6" s="227" t="s">
        <v>424</v>
      </c>
      <c r="CA6" s="227" t="s">
        <v>425</v>
      </c>
      <c r="CB6" s="245" t="s">
        <v>426</v>
      </c>
      <c r="CC6" s="378"/>
      <c r="CD6" s="379"/>
      <c r="CE6" s="232" t="s">
        <v>14</v>
      </c>
      <c r="CF6" s="59" t="s">
        <v>15</v>
      </c>
      <c r="CG6" s="59" t="s">
        <v>280</v>
      </c>
      <c r="CH6" s="59" t="s">
        <v>422</v>
      </c>
      <c r="CI6" s="59" t="s">
        <v>423</v>
      </c>
      <c r="CJ6" s="59" t="s">
        <v>424</v>
      </c>
      <c r="CK6" s="59" t="s">
        <v>425</v>
      </c>
      <c r="CL6" s="284" t="s">
        <v>426</v>
      </c>
      <c r="CM6" s="298" t="s">
        <v>444</v>
      </c>
      <c r="CN6" s="301" t="s">
        <v>445</v>
      </c>
      <c r="CO6" s="299" t="s">
        <v>443</v>
      </c>
      <c r="CP6" s="300" t="s">
        <v>295</v>
      </c>
      <c r="CQ6" s="782" t="s">
        <v>14</v>
      </c>
      <c r="CR6" s="1109" t="s">
        <v>15</v>
      </c>
      <c r="CS6" s="61" t="s">
        <v>280</v>
      </c>
      <c r="CT6" s="61" t="s">
        <v>422</v>
      </c>
      <c r="CU6" s="61" t="s">
        <v>423</v>
      </c>
      <c r="CV6" s="61" t="s">
        <v>424</v>
      </c>
      <c r="CW6" s="61" t="s">
        <v>425</v>
      </c>
      <c r="CX6" s="62" t="s">
        <v>426</v>
      </c>
    </row>
    <row r="7" spans="1:104" x14ac:dyDescent="0.25">
      <c r="A7" s="63" t="s">
        <v>296</v>
      </c>
      <c r="B7" s="64" t="s">
        <v>22</v>
      </c>
      <c r="C7" s="65" t="s">
        <v>24</v>
      </c>
      <c r="D7" s="66"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53">
        <f>'2022-23 Input'!H7</f>
        <v>0</v>
      </c>
      <c r="N7" s="1064">
        <v>0</v>
      </c>
      <c r="O7" s="557">
        <f>D7*O$4</f>
        <v>0</v>
      </c>
      <c r="P7" s="558">
        <f t="shared" ref="P7:P70" si="0">E7*P$4</f>
        <v>0</v>
      </c>
      <c r="Q7" s="558">
        <f t="shared" ref="Q7:Q70" si="1">F7*Q$4</f>
        <v>0</v>
      </c>
      <c r="R7" s="558">
        <f t="shared" ref="R7:R70" si="2">G7*R$4</f>
        <v>0</v>
      </c>
      <c r="S7" s="558">
        <f t="shared" ref="S7:S70" si="3">H7*S$4</f>
        <v>0</v>
      </c>
      <c r="T7" s="558">
        <f t="shared" ref="T7:T70" si="4">I7*T$4</f>
        <v>0</v>
      </c>
      <c r="U7" s="558">
        <f t="shared" ref="U7:U70" si="5">J7*U$4</f>
        <v>0</v>
      </c>
      <c r="V7" s="558">
        <f t="shared" ref="V7:V70" si="6">K7*V$4</f>
        <v>0</v>
      </c>
      <c r="W7" s="674">
        <f t="shared" ref="W7:W70" si="7">L7*W$4</f>
        <v>0</v>
      </c>
      <c r="X7" s="674">
        <f t="shared" ref="X7:Y70" si="8">M7*X$4</f>
        <v>0</v>
      </c>
      <c r="Y7" s="674">
        <f t="shared" si="8"/>
        <v>0</v>
      </c>
      <c r="Z7" s="68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69">
        <v>0</v>
      </c>
      <c r="AG7" s="69">
        <v>0</v>
      </c>
      <c r="AH7" s="69">
        <v>0</v>
      </c>
      <c r="AI7" s="1093">
        <f>'2022-23 Input'!O7</f>
        <v>0</v>
      </c>
      <c r="AJ7" s="664">
        <v>0</v>
      </c>
      <c r="AK7" s="70">
        <f t="shared" ref="AK7:AK38" si="9">IFERROR(IF($AM$4="N",SUM(AD7:AH7)/5,SUM(AE7:AI7)/5),"")</f>
        <v>0</v>
      </c>
      <c r="AL7" s="71">
        <f t="shared" ref="AL7:AL38" si="10">IFERROR(IF($AM$4="N",SUM(AF7:AH7)/3,SUM(AG7:AI7)/3),"")</f>
        <v>0</v>
      </c>
      <c r="AM7" s="72">
        <f t="shared" ref="AM7:AM38" si="11">IFERROR(IF($AM$4="N",AH7,AI7),"")</f>
        <v>0</v>
      </c>
      <c r="AN7" s="73" t="str">
        <f t="shared" ref="AN7:AN38" si="12">IFERROR(D7/Z7,"")</f>
        <v/>
      </c>
      <c r="AO7" s="74" t="str">
        <f t="shared" ref="AO7:AO38" si="13">IFERROR(E7/AA7,"")</f>
        <v/>
      </c>
      <c r="AP7" s="74" t="str">
        <f t="shared" ref="AP7:AP38" si="14">IFERROR(F7/AB7,"")</f>
        <v/>
      </c>
      <c r="AQ7" s="74" t="str">
        <f t="shared" ref="AQ7:AQ38" si="15">IFERROR(G7/AC7,"")</f>
        <v/>
      </c>
      <c r="AR7" s="74" t="str">
        <f t="shared" ref="AR7:AR38" si="16">IFERROR(H7/AD7,"")</f>
        <v/>
      </c>
      <c r="AS7" s="74" t="str">
        <f t="shared" ref="AS7:AS38" si="17">IFERROR(I7/AE7,"")</f>
        <v/>
      </c>
      <c r="AT7" s="74" t="str">
        <f t="shared" ref="AT7:AT38" si="18">IFERROR(J7/AF7,"")</f>
        <v/>
      </c>
      <c r="AU7" s="74" t="str">
        <f t="shared" ref="AU7:AU38" si="19">IFERROR(K7/AG7,"")</f>
        <v/>
      </c>
      <c r="AV7" s="74" t="str">
        <f t="shared" ref="AV7:AX22" si="20">IFERROR(L7/AH7,"")</f>
        <v/>
      </c>
      <c r="AW7" s="74" t="str">
        <f t="shared" si="20"/>
        <v/>
      </c>
      <c r="AX7" s="74" t="str">
        <f t="shared" si="20"/>
        <v/>
      </c>
      <c r="AY7" s="75" t="str">
        <f t="shared" ref="AY7:AY38" si="21">IFERROR(IF($BA$3="N",
IF($BA$4="N",SUM(H7:L7)/SUM(AD7:AH7),SUM(I7:M7)/SUM(AE7:AI7)),
IF($BA$4="N",SUM(S7:W7)/SUM(AD7:AH7),SUM(T7:X7)/SUM(AE7:AI7))),"")</f>
        <v/>
      </c>
      <c r="AZ7" s="76" t="str">
        <f t="shared" ref="AZ7:AZ38" si="22">IFERROR(IF($BA$3="N",
IF($BA$4="N",SUM(J7:L7)/SUM(AF7:AH7),SUM(K7:M7)/SUM(AG7:AI7)),
IF($BA$4="N",SUM(U7:W7)/SUM(AF7:AH7),SUM(V7:X7)/SUM(AG7:AI7))),"")</f>
        <v/>
      </c>
      <c r="BA7" s="77" t="str">
        <f t="shared" ref="BA7:BA38" si="23">IFERROR(IF($BA$3="N",
IF($BA$4="N",L7/AH7,M7/AI7),
IF($BA$4="N",W7/AH7,X7/AI7)),"")</f>
        <v/>
      </c>
      <c r="BB7" s="246" t="s">
        <v>422</v>
      </c>
      <c r="BC7" s="228" t="s">
        <v>434</v>
      </c>
      <c r="BD7" s="247">
        <v>0</v>
      </c>
      <c r="BE7" s="264">
        <f>IF(BE$6=$BB7,1,0
)</f>
        <v>0</v>
      </c>
      <c r="BF7" s="265">
        <f t="shared" ref="BF7:BL22" si="24">IF(BF$6=$BB7,1,
IF(BE7&lt;&gt;0,BE7+1,0
))</f>
        <v>0</v>
      </c>
      <c r="BG7" s="265">
        <f t="shared" si="24"/>
        <v>0</v>
      </c>
      <c r="BH7" s="265">
        <f t="shared" si="24"/>
        <v>1</v>
      </c>
      <c r="BI7" s="265">
        <f t="shared" si="24"/>
        <v>2</v>
      </c>
      <c r="BJ7" s="265">
        <f t="shared" si="24"/>
        <v>3</v>
      </c>
      <c r="BK7" s="265">
        <f t="shared" si="24"/>
        <v>4</v>
      </c>
      <c r="BL7" s="266">
        <f t="shared" si="24"/>
        <v>5</v>
      </c>
      <c r="BM7" s="255">
        <f>IF($BC7=Lookup!$A$2,$BD7*ROUNDUP(BE7/10,0)+1,
IF($BC7=Lookup!$A$3,($BD7+1)^BD7,
IF($BC7=Lookup!$A$4,BE7*$BD7+1,"Error")))</f>
        <v>1</v>
      </c>
      <c r="BN7" s="228">
        <f>IF($BC7=Lookup!$A$2,$BD7*ROUNDUP(BF7/10,0)+1,
IF($BC7=Lookup!$A$3,($BD7+1)^BE7,
IF($BC7=Lookup!$A$4,BF7*$BD7+1,"Error")))</f>
        <v>1</v>
      </c>
      <c r="BO7" s="228">
        <f>IF($BC7=Lookup!$A$2,$BD7*ROUNDUP(BG7/10,0)+1,
IF($BC7=Lookup!$A$3,($BD7+1)^BF7,
IF($BC7=Lookup!$A$4,BG7*$BD7+1,"Error")))</f>
        <v>1</v>
      </c>
      <c r="BP7" s="228">
        <f>IF($BC7=Lookup!$A$2,$BD7*ROUNDUP(BH7/10,0)+1,
IF($BC7=Lookup!$A$3,($BD7+1)^BG7,
IF($BC7=Lookup!$A$4,BH7*$BD7+1,"Error")))</f>
        <v>1</v>
      </c>
      <c r="BQ7" s="228">
        <f>IF($BC7=Lookup!$A$2,$BD7*ROUNDUP(BI7/10,0)+1,
IF($BC7=Lookup!$A$3,($BD7+1)^BH7,
IF($BC7=Lookup!$A$4,BI7*$BD7+1,"Error")))</f>
        <v>1</v>
      </c>
      <c r="BR7" s="228">
        <f>IF($BC7=Lookup!$A$2,$BD7*ROUNDUP(BJ7/10,0)+1,
IF($BC7=Lookup!$A$3,($BD7+1)^BI7,
IF($BC7=Lookup!$A$4,BJ7*$BD7+1,"Error")))</f>
        <v>1</v>
      </c>
      <c r="BS7" s="228">
        <f>IF($BC7=Lookup!$A$2,$BD7*ROUNDUP(BK7/10,0)+1,
IF($BC7=Lookup!$A$3,($BD7+1)^BJ7,
IF($BC7=Lookup!$A$4,BK7*$BD7+1,"Error")))</f>
        <v>1</v>
      </c>
      <c r="BT7" s="247">
        <f>IF($BC7=Lookup!$A$2,$BD7*ROUNDUP(BL7/10,0)+1,
IF($BC7=Lookup!$A$3,($BD7+1)^BK7,
IF($BC7=Lookup!$A$4,BL7*$BD7+1,"Error")))</f>
        <v>1</v>
      </c>
      <c r="BU7" s="318">
        <v>0</v>
      </c>
      <c r="BV7" s="319">
        <v>0</v>
      </c>
      <c r="BW7" s="319">
        <v>0</v>
      </c>
      <c r="BX7" s="319">
        <v>0</v>
      </c>
      <c r="BY7" s="319">
        <v>0</v>
      </c>
      <c r="BZ7" s="319">
        <v>0</v>
      </c>
      <c r="CA7" s="319">
        <v>0</v>
      </c>
      <c r="CB7" s="276">
        <v>0</v>
      </c>
      <c r="CC7" s="380" t="s">
        <v>293</v>
      </c>
      <c r="CD7" s="381">
        <f>HLOOKUP($CC7,$AK$6:$AM$132,ROWS(CD$6:CD7),0)</f>
        <v>0</v>
      </c>
      <c r="CE7" s="233">
        <f>IFERROR(IF(BU7&lt;&gt;"",BU7,BM7*$CD7),"")</f>
        <v>0</v>
      </c>
      <c r="CF7" s="78">
        <f t="shared" ref="CF7:CL43" si="25">IFERROR(IF(BV7&lt;&gt;"",BV7,BN7*$CD7),"")</f>
        <v>0</v>
      </c>
      <c r="CG7" s="78">
        <f t="shared" si="25"/>
        <v>0</v>
      </c>
      <c r="CH7" s="78">
        <f t="shared" si="25"/>
        <v>0</v>
      </c>
      <c r="CI7" s="78">
        <f t="shared" si="25"/>
        <v>0</v>
      </c>
      <c r="CJ7" s="78">
        <f t="shared" si="25"/>
        <v>0</v>
      </c>
      <c r="CK7" s="78">
        <f t="shared" si="25"/>
        <v>0</v>
      </c>
      <c r="CL7" s="285">
        <f t="shared" si="25"/>
        <v>0</v>
      </c>
      <c r="CM7" s="302" t="s">
        <v>292</v>
      </c>
      <c r="CN7" s="314">
        <v>0.05</v>
      </c>
      <c r="CO7" s="303"/>
      <c r="CP7" s="304" t="str">
        <f>IF($CO7&lt;&gt;"",$CO7,HLOOKUP($CM7,$AY$6:$BA$132,ROWS(CP$6:CP7),0))</f>
        <v/>
      </c>
      <c r="CQ7" s="783" t="str">
        <f t="shared" ref="CQ7:CX38" si="26">IFERROR(CE7*$CP7,"")</f>
        <v/>
      </c>
      <c r="CR7" s="783" t="str">
        <f t="shared" si="26"/>
        <v/>
      </c>
      <c r="CS7" s="79" t="str">
        <f t="shared" si="26"/>
        <v/>
      </c>
      <c r="CT7" s="79" t="str">
        <f t="shared" si="26"/>
        <v/>
      </c>
      <c r="CU7" s="79" t="str">
        <f t="shared" si="26"/>
        <v/>
      </c>
      <c r="CV7" s="79" t="str">
        <f t="shared" si="26"/>
        <v/>
      </c>
      <c r="CW7" s="79" t="str">
        <f t="shared" si="26"/>
        <v/>
      </c>
      <c r="CX7" s="80" t="str">
        <f t="shared" si="26"/>
        <v/>
      </c>
      <c r="CY7" s="25"/>
      <c r="CZ7" s="187"/>
    </row>
    <row r="8" spans="1:104" x14ac:dyDescent="0.25">
      <c r="A8" s="81" t="s">
        <v>27</v>
      </c>
      <c r="B8" s="82" t="s">
        <v>25</v>
      </c>
      <c r="C8" s="83" t="s">
        <v>297</v>
      </c>
      <c r="D8" s="84">
        <v>0</v>
      </c>
      <c r="E8" s="85">
        <v>314360.7282255342</v>
      </c>
      <c r="F8" s="85">
        <v>718536.67893071345</v>
      </c>
      <c r="G8" s="85">
        <v>1813790.5105752633</v>
      </c>
      <c r="H8" s="85">
        <v>2564833.0784144709</v>
      </c>
      <c r="I8" s="85">
        <v>2388398.7492206413</v>
      </c>
      <c r="J8" s="85">
        <v>4232620.5002159253</v>
      </c>
      <c r="K8" s="85">
        <v>4067663.6690270435</v>
      </c>
      <c r="L8" s="85">
        <v>38704.762592682804</v>
      </c>
      <c r="M8" s="654">
        <f>'2022-23 Input'!H8</f>
        <v>142916.58046022497</v>
      </c>
      <c r="N8" s="1065">
        <v>93413.677244706021</v>
      </c>
      <c r="O8" s="560">
        <f t="shared" ref="O8:O71" si="27">D8*O$4</f>
        <v>0</v>
      </c>
      <c r="P8" s="561">
        <f t="shared" si="0"/>
        <v>416663.43011275394</v>
      </c>
      <c r="Q8" s="561">
        <f t="shared" si="1"/>
        <v>942724.25271521998</v>
      </c>
      <c r="R8" s="561">
        <f t="shared" si="2"/>
        <v>2334560.1468080091</v>
      </c>
      <c r="S8" s="561">
        <f t="shared" si="3"/>
        <v>3234046.2429854102</v>
      </c>
      <c r="T8" s="561">
        <f t="shared" si="4"/>
        <v>2964357.0340849408</v>
      </c>
      <c r="U8" s="561">
        <f t="shared" si="5"/>
        <v>5271677.9307247642</v>
      </c>
      <c r="V8" s="561">
        <f t="shared" si="6"/>
        <v>4878588.1745669311</v>
      </c>
      <c r="W8" s="675">
        <f t="shared" si="7"/>
        <v>43733.565337925953</v>
      </c>
      <c r="X8" s="675">
        <f t="shared" si="8"/>
        <v>151986.19901014626</v>
      </c>
      <c r="Y8" s="675">
        <f t="shared" si="8"/>
        <v>95982.411316254249</v>
      </c>
      <c r="Z8" s="86">
        <v>0</v>
      </c>
      <c r="AA8" s="87">
        <v>48.4</v>
      </c>
      <c r="AB8" s="87">
        <v>12.4</v>
      </c>
      <c r="AC8" s="87">
        <v>275.2</v>
      </c>
      <c r="AD8" s="87">
        <v>397</v>
      </c>
      <c r="AE8" s="87">
        <v>388</v>
      </c>
      <c r="AF8" s="87">
        <v>644</v>
      </c>
      <c r="AG8" s="87">
        <v>926</v>
      </c>
      <c r="AH8" s="87">
        <v>105</v>
      </c>
      <c r="AI8" s="1094">
        <f>'2022-23 Input'!O8</f>
        <v>21</v>
      </c>
      <c r="AJ8" s="665">
        <v>11</v>
      </c>
      <c r="AK8" s="88">
        <f t="shared" si="9"/>
        <v>416.8</v>
      </c>
      <c r="AL8" s="89">
        <f t="shared" si="10"/>
        <v>350.66666666666669</v>
      </c>
      <c r="AM8" s="90">
        <f t="shared" si="11"/>
        <v>21</v>
      </c>
      <c r="AN8" s="91" t="str">
        <f t="shared" si="12"/>
        <v/>
      </c>
      <c r="AO8" s="92">
        <f t="shared" si="13"/>
        <v>6495.0563682961611</v>
      </c>
      <c r="AP8" s="92">
        <f t="shared" si="14"/>
        <v>57946.506365380112</v>
      </c>
      <c r="AQ8" s="92">
        <f t="shared" si="15"/>
        <v>6590.8085413345325</v>
      </c>
      <c r="AR8" s="92">
        <f t="shared" si="16"/>
        <v>6460.5367214470298</v>
      </c>
      <c r="AS8" s="92">
        <f t="shared" si="17"/>
        <v>6155.6668794346424</v>
      </c>
      <c r="AT8" s="92">
        <f t="shared" si="18"/>
        <v>6572.3920810806294</v>
      </c>
      <c r="AU8" s="92">
        <f t="shared" si="19"/>
        <v>4392.7253445216456</v>
      </c>
      <c r="AV8" s="92">
        <f t="shared" si="20"/>
        <v>368.61678659697907</v>
      </c>
      <c r="AW8" s="92">
        <f t="shared" si="20"/>
        <v>6805.5514504869034</v>
      </c>
      <c r="AX8" s="92">
        <f t="shared" si="20"/>
        <v>8492.1524767914561</v>
      </c>
      <c r="AY8" s="93">
        <f t="shared" si="21"/>
        <v>5216.0769009196338</v>
      </c>
      <c r="AZ8" s="94">
        <f t="shared" si="22"/>
        <v>4039.2443080607904</v>
      </c>
      <c r="BA8" s="95">
        <f t="shared" si="23"/>
        <v>6805.5514504869034</v>
      </c>
      <c r="BB8" s="248" t="s">
        <v>422</v>
      </c>
      <c r="BC8" s="229" t="s">
        <v>433</v>
      </c>
      <c r="BD8" s="249">
        <v>0</v>
      </c>
      <c r="BE8" s="267">
        <f t="shared" ref="BE8:BE71" si="28">IF(BE$6=$BB8,1,0
)</f>
        <v>0</v>
      </c>
      <c r="BF8" s="268">
        <f t="shared" si="24"/>
        <v>0</v>
      </c>
      <c r="BG8" s="268">
        <f t="shared" si="24"/>
        <v>0</v>
      </c>
      <c r="BH8" s="268">
        <f t="shared" si="24"/>
        <v>1</v>
      </c>
      <c r="BI8" s="268">
        <f t="shared" si="24"/>
        <v>2</v>
      </c>
      <c r="BJ8" s="268">
        <f t="shared" si="24"/>
        <v>3</v>
      </c>
      <c r="BK8" s="268">
        <f t="shared" si="24"/>
        <v>4</v>
      </c>
      <c r="BL8" s="269">
        <f t="shared" si="24"/>
        <v>5</v>
      </c>
      <c r="BM8" s="256">
        <f>IF($BC8=Lookup!$A$2,$BD8*ROUNDUP(BE8/10,0)+1,
IF($BC8=Lookup!$A$3,($BD8+1)^BD8,
IF($BC8=Lookup!$A$4,BE8*$BD8+1,"Error")))</f>
        <v>1</v>
      </c>
      <c r="BN8" s="229">
        <f>IF($BC8=Lookup!$A$2,$BD8*ROUNDUP(BF8/10,0)+1,
IF($BC8=Lookup!$A$3,($BD8+1)^BE8,
IF($BC8=Lookup!$A$4,BF8*$BD8+1,"Error")))</f>
        <v>1</v>
      </c>
      <c r="BO8" s="229">
        <f>IF($BC8=Lookup!$A$2,$BD8*ROUNDUP(BG8/10,0)+1,
IF($BC8=Lookup!$A$3,($BD8+1)^BF8,
IF($BC8=Lookup!$A$4,BG8*$BD8+1,"Error")))</f>
        <v>1</v>
      </c>
      <c r="BP8" s="229">
        <f>IF($BC8=Lookup!$A$2,$BD8*ROUNDUP(BH8/10,0)+1,
IF($BC8=Lookup!$A$3,($BD8+1)^BG8,
IF($BC8=Lookup!$A$4,BH8*$BD8+1,"Error")))</f>
        <v>1</v>
      </c>
      <c r="BQ8" s="229">
        <f>IF($BC8=Lookup!$A$2,$BD8*ROUNDUP(BI8/10,0)+1,
IF($BC8=Lookup!$A$3,($BD8+1)^BH8,
IF($BC8=Lookup!$A$4,BI8*$BD8+1,"Error")))</f>
        <v>1</v>
      </c>
      <c r="BR8" s="229">
        <f>IF($BC8=Lookup!$A$2,$BD8*ROUNDUP(BJ8/10,0)+1,
IF($BC8=Lookup!$A$3,($BD8+1)^BI8,
IF($BC8=Lookup!$A$4,BJ8*$BD8+1,"Error")))</f>
        <v>1</v>
      </c>
      <c r="BS8" s="229">
        <f>IF($BC8=Lookup!$A$2,$BD8*ROUNDUP(BK8/10,0)+1,
IF($BC8=Lookup!$A$3,($BD8+1)^BJ8,
IF($BC8=Lookup!$A$4,BK8*$BD8+1,"Error")))</f>
        <v>1</v>
      </c>
      <c r="BT8" s="249">
        <f>IF($BC8=Lookup!$A$2,$BD8*ROUNDUP(BL8/10,0)+1,
IF($BC8=Lookup!$A$3,($BD8+1)^BK8,
IF($BC8=Lookup!$A$4,BL8*$BD8+1,"Error")))</f>
        <v>1</v>
      </c>
      <c r="BU8" s="320">
        <v>0</v>
      </c>
      <c r="BV8" s="321">
        <v>0</v>
      </c>
      <c r="BW8" s="321">
        <v>0</v>
      </c>
      <c r="BX8" s="321">
        <v>0</v>
      </c>
      <c r="BY8" s="321">
        <v>0</v>
      </c>
      <c r="BZ8" s="321">
        <v>0</v>
      </c>
      <c r="CA8" s="321">
        <v>0</v>
      </c>
      <c r="CB8" s="277">
        <v>0</v>
      </c>
      <c r="CC8" s="382" t="s">
        <v>293</v>
      </c>
      <c r="CD8" s="383">
        <f>HLOOKUP($CC8,$AK$6:$AM$132,ROWS(CD$6:CD8),0)</f>
        <v>350.66666666666669</v>
      </c>
      <c r="CE8" s="234">
        <f t="shared" ref="CE8:CH71" si="29">IFERROR(IF(BU8&lt;&gt;"",BU8,BM8*$CD8),"")</f>
        <v>0</v>
      </c>
      <c r="CF8" s="96">
        <f t="shared" si="25"/>
        <v>0</v>
      </c>
      <c r="CG8" s="96">
        <f t="shared" si="25"/>
        <v>0</v>
      </c>
      <c r="CH8" s="96">
        <f t="shared" si="25"/>
        <v>0</v>
      </c>
      <c r="CI8" s="96">
        <f t="shared" si="25"/>
        <v>0</v>
      </c>
      <c r="CJ8" s="96">
        <f t="shared" si="25"/>
        <v>0</v>
      </c>
      <c r="CK8" s="96">
        <f t="shared" si="25"/>
        <v>0</v>
      </c>
      <c r="CL8" s="286">
        <f t="shared" si="25"/>
        <v>0</v>
      </c>
      <c r="CM8" s="305" t="s">
        <v>292</v>
      </c>
      <c r="CN8" s="315">
        <v>0.05</v>
      </c>
      <c r="CO8" s="306"/>
      <c r="CP8" s="307">
        <f>IF($CO8&lt;&gt;"",$CO8,HLOOKUP($CM8,$AY$6:$BA$132,ROWS(CP$6:CP8),0))</f>
        <v>5216.0769009196338</v>
      </c>
      <c r="CQ8" s="784">
        <f t="shared" si="26"/>
        <v>0</v>
      </c>
      <c r="CR8" s="784">
        <f t="shared" si="26"/>
        <v>0</v>
      </c>
      <c r="CS8" s="97">
        <f t="shared" si="26"/>
        <v>0</v>
      </c>
      <c r="CT8" s="97">
        <f t="shared" si="26"/>
        <v>0</v>
      </c>
      <c r="CU8" s="97">
        <f t="shared" si="26"/>
        <v>0</v>
      </c>
      <c r="CV8" s="97">
        <f t="shared" si="26"/>
        <v>0</v>
      </c>
      <c r="CW8" s="97">
        <f t="shared" si="26"/>
        <v>0</v>
      </c>
      <c r="CX8" s="98">
        <f t="shared" si="26"/>
        <v>0</v>
      </c>
      <c r="CY8" s="25"/>
      <c r="CZ8" s="187"/>
    </row>
    <row r="9" spans="1:104" x14ac:dyDescent="0.25">
      <c r="A9" s="81" t="s">
        <v>27</v>
      </c>
      <c r="B9" s="82" t="s">
        <v>28</v>
      </c>
      <c r="C9" s="83" t="s">
        <v>29</v>
      </c>
      <c r="D9" s="84">
        <v>0</v>
      </c>
      <c r="E9" s="85">
        <v>69930.883837858622</v>
      </c>
      <c r="F9" s="85">
        <v>401457.05369781028</v>
      </c>
      <c r="G9" s="85">
        <v>1354542.4908985193</v>
      </c>
      <c r="H9" s="85">
        <v>2904001.4623674862</v>
      </c>
      <c r="I9" s="85">
        <v>8972765.2652997058</v>
      </c>
      <c r="J9" s="85">
        <v>15367807.069114996</v>
      </c>
      <c r="K9" s="85">
        <v>17132990.368055958</v>
      </c>
      <c r="L9" s="85">
        <v>298083.24640687415</v>
      </c>
      <c r="M9" s="654">
        <f>'2022-23 Input'!H9</f>
        <v>347415.60118972196</v>
      </c>
      <c r="N9" s="1065">
        <v>246581.59697596199</v>
      </c>
      <c r="O9" s="560">
        <f t="shared" si="27"/>
        <v>0</v>
      </c>
      <c r="P9" s="561">
        <f t="shared" si="0"/>
        <v>92688.555899368832</v>
      </c>
      <c r="Q9" s="561">
        <f t="shared" si="1"/>
        <v>526713.9619201211</v>
      </c>
      <c r="R9" s="561">
        <f t="shared" si="2"/>
        <v>1743454.3283649602</v>
      </c>
      <c r="S9" s="561">
        <f t="shared" si="3"/>
        <v>3661710.0340890228</v>
      </c>
      <c r="T9" s="561">
        <f t="shared" si="4"/>
        <v>11136532.305614198</v>
      </c>
      <c r="U9" s="561">
        <f t="shared" si="5"/>
        <v>19140418.888430145</v>
      </c>
      <c r="V9" s="561">
        <f t="shared" si="6"/>
        <v>20548602.589987442</v>
      </c>
      <c r="W9" s="675">
        <f t="shared" si="7"/>
        <v>336812.37810616707</v>
      </c>
      <c r="X9" s="675">
        <f t="shared" si="8"/>
        <v>369462.91698006366</v>
      </c>
      <c r="Y9" s="675">
        <f t="shared" si="8"/>
        <v>253362.2159201201</v>
      </c>
      <c r="Z9" s="86">
        <v>0</v>
      </c>
      <c r="AA9" s="87">
        <v>6.7999999999999989</v>
      </c>
      <c r="AB9" s="87">
        <v>4.7999999999999989</v>
      </c>
      <c r="AC9" s="87">
        <v>146.39999999999998</v>
      </c>
      <c r="AD9" s="87">
        <v>314</v>
      </c>
      <c r="AE9" s="87">
        <v>877</v>
      </c>
      <c r="AF9" s="87">
        <v>1521</v>
      </c>
      <c r="AG9" s="87">
        <v>2544</v>
      </c>
      <c r="AH9" s="87">
        <v>321</v>
      </c>
      <c r="AI9" s="1094">
        <f>'2022-23 Input'!O9</f>
        <v>84</v>
      </c>
      <c r="AJ9" s="665">
        <v>30</v>
      </c>
      <c r="AK9" s="88">
        <f t="shared" si="9"/>
        <v>1069.4000000000001</v>
      </c>
      <c r="AL9" s="89">
        <f t="shared" si="10"/>
        <v>983</v>
      </c>
      <c r="AM9" s="90">
        <f t="shared" si="11"/>
        <v>84</v>
      </c>
      <c r="AN9" s="91" t="str">
        <f t="shared" si="12"/>
        <v/>
      </c>
      <c r="AO9" s="92">
        <f t="shared" si="13"/>
        <v>10283.953505567446</v>
      </c>
      <c r="AP9" s="92">
        <f t="shared" si="14"/>
        <v>83636.886187043827</v>
      </c>
      <c r="AQ9" s="92">
        <f t="shared" si="15"/>
        <v>9252.3394187057347</v>
      </c>
      <c r="AR9" s="92">
        <f t="shared" si="16"/>
        <v>9248.412300533395</v>
      </c>
      <c r="AS9" s="92">
        <f t="shared" si="17"/>
        <v>10231.203267160439</v>
      </c>
      <c r="AT9" s="92">
        <f t="shared" si="18"/>
        <v>10103.752182192633</v>
      </c>
      <c r="AU9" s="92">
        <f t="shared" si="19"/>
        <v>6734.6660251792291</v>
      </c>
      <c r="AV9" s="92">
        <f t="shared" si="20"/>
        <v>928.60824425817498</v>
      </c>
      <c r="AW9" s="92">
        <f t="shared" si="20"/>
        <v>4135.9000141633569</v>
      </c>
      <c r="AX9" s="92">
        <f t="shared" si="20"/>
        <v>8219.3865658653995</v>
      </c>
      <c r="AY9" s="93">
        <f t="shared" si="21"/>
        <v>7877.1388722774009</v>
      </c>
      <c r="AZ9" s="94">
        <f t="shared" si="22"/>
        <v>6028.6501239920499</v>
      </c>
      <c r="BA9" s="95">
        <f t="shared" si="23"/>
        <v>4135.9000141633569</v>
      </c>
      <c r="BB9" s="248" t="s">
        <v>422</v>
      </c>
      <c r="BC9" s="229" t="s">
        <v>435</v>
      </c>
      <c r="BD9" s="249">
        <v>0</v>
      </c>
      <c r="BE9" s="267">
        <f t="shared" si="28"/>
        <v>0</v>
      </c>
      <c r="BF9" s="268">
        <f t="shared" si="24"/>
        <v>0</v>
      </c>
      <c r="BG9" s="268">
        <f t="shared" si="24"/>
        <v>0</v>
      </c>
      <c r="BH9" s="268">
        <f t="shared" si="24"/>
        <v>1</v>
      </c>
      <c r="BI9" s="268">
        <f t="shared" si="24"/>
        <v>2</v>
      </c>
      <c r="BJ9" s="268">
        <f t="shared" si="24"/>
        <v>3</v>
      </c>
      <c r="BK9" s="268">
        <f t="shared" si="24"/>
        <v>4</v>
      </c>
      <c r="BL9" s="269">
        <f t="shared" si="24"/>
        <v>5</v>
      </c>
      <c r="BM9" s="256">
        <f>IF($BC9=Lookup!$A$2,$BD9*ROUNDUP(BE9/10,0)+1,
IF($BC9=Lookup!$A$3,($BD9+1)^BD9,
IF($BC9=Lookup!$A$4,BE9*$BD9+1,"Error")))</f>
        <v>1</v>
      </c>
      <c r="BN9" s="229">
        <f>IF($BC9=Lookup!$A$2,$BD9*ROUNDUP(BF9/10,0)+1,
IF($BC9=Lookup!$A$3,($BD9+1)^BE9,
IF($BC9=Lookup!$A$4,BF9*$BD9+1,"Error")))</f>
        <v>1</v>
      </c>
      <c r="BO9" s="229">
        <f>IF($BC9=Lookup!$A$2,$BD9*ROUNDUP(BG9/10,0)+1,
IF($BC9=Lookup!$A$3,($BD9+1)^BF9,
IF($BC9=Lookup!$A$4,BG9*$BD9+1,"Error")))</f>
        <v>1</v>
      </c>
      <c r="BP9" s="229">
        <f>IF($BC9=Lookup!$A$2,$BD9*ROUNDUP(BH9/10,0)+1,
IF($BC9=Lookup!$A$3,($BD9+1)^BG9,
IF($BC9=Lookup!$A$4,BH9*$BD9+1,"Error")))</f>
        <v>1</v>
      </c>
      <c r="BQ9" s="229">
        <f>IF($BC9=Lookup!$A$2,$BD9*ROUNDUP(BI9/10,0)+1,
IF($BC9=Lookup!$A$3,($BD9+1)^BH9,
IF($BC9=Lookup!$A$4,BI9*$BD9+1,"Error")))</f>
        <v>1</v>
      </c>
      <c r="BR9" s="229">
        <f>IF($BC9=Lookup!$A$2,$BD9*ROUNDUP(BJ9/10,0)+1,
IF($BC9=Lookup!$A$3,($BD9+1)^BI9,
IF($BC9=Lookup!$A$4,BJ9*$BD9+1,"Error")))</f>
        <v>1</v>
      </c>
      <c r="BS9" s="229">
        <f>IF($BC9=Lookup!$A$2,$BD9*ROUNDUP(BK9/10,0)+1,
IF($BC9=Lookup!$A$3,($BD9+1)^BJ9,
IF($BC9=Lookup!$A$4,BK9*$BD9+1,"Error")))</f>
        <v>1</v>
      </c>
      <c r="BT9" s="249">
        <f>IF($BC9=Lookup!$A$2,$BD9*ROUNDUP(BL9/10,0)+1,
IF($BC9=Lookup!$A$3,($BD9+1)^BK9,
IF($BC9=Lookup!$A$4,BL9*$BD9+1,"Error")))</f>
        <v>1</v>
      </c>
      <c r="BU9" s="320">
        <v>0</v>
      </c>
      <c r="BV9" s="321">
        <v>0</v>
      </c>
      <c r="BW9" s="321">
        <v>0</v>
      </c>
      <c r="BX9" s="321">
        <v>0</v>
      </c>
      <c r="BY9" s="321">
        <v>0</v>
      </c>
      <c r="BZ9" s="321">
        <v>0</v>
      </c>
      <c r="CA9" s="321">
        <v>0</v>
      </c>
      <c r="CB9" s="277">
        <v>0</v>
      </c>
      <c r="CC9" s="382" t="s">
        <v>293</v>
      </c>
      <c r="CD9" s="383">
        <f>HLOOKUP($CC9,$AK$6:$AM$132,ROWS(CD$6:CD9),0)</f>
        <v>983</v>
      </c>
      <c r="CE9" s="234">
        <f t="shared" si="29"/>
        <v>0</v>
      </c>
      <c r="CF9" s="96">
        <f t="shared" si="25"/>
        <v>0</v>
      </c>
      <c r="CG9" s="96">
        <f t="shared" si="25"/>
        <v>0</v>
      </c>
      <c r="CH9" s="96">
        <f t="shared" si="25"/>
        <v>0</v>
      </c>
      <c r="CI9" s="96">
        <f t="shared" si="25"/>
        <v>0</v>
      </c>
      <c r="CJ9" s="96">
        <f t="shared" si="25"/>
        <v>0</v>
      </c>
      <c r="CK9" s="96">
        <f t="shared" si="25"/>
        <v>0</v>
      </c>
      <c r="CL9" s="286">
        <f t="shared" si="25"/>
        <v>0</v>
      </c>
      <c r="CM9" s="305" t="s">
        <v>292</v>
      </c>
      <c r="CN9" s="315">
        <v>0.05</v>
      </c>
      <c r="CO9" s="306"/>
      <c r="CP9" s="307">
        <f>IF($CO9&lt;&gt;"",$CO9,HLOOKUP($CM9,$AY$6:$BA$132,ROWS(CP$6:CP9),0))</f>
        <v>7877.1388722774009</v>
      </c>
      <c r="CQ9" s="784">
        <f t="shared" si="26"/>
        <v>0</v>
      </c>
      <c r="CR9" s="784">
        <f t="shared" si="26"/>
        <v>0</v>
      </c>
      <c r="CS9" s="97">
        <f t="shared" si="26"/>
        <v>0</v>
      </c>
      <c r="CT9" s="97">
        <f t="shared" si="26"/>
        <v>0</v>
      </c>
      <c r="CU9" s="97">
        <f t="shared" si="26"/>
        <v>0</v>
      </c>
      <c r="CV9" s="97">
        <f t="shared" si="26"/>
        <v>0</v>
      </c>
      <c r="CW9" s="97">
        <f t="shared" si="26"/>
        <v>0</v>
      </c>
      <c r="CX9" s="98">
        <f t="shared" si="26"/>
        <v>0</v>
      </c>
    </row>
    <row r="10" spans="1:104" x14ac:dyDescent="0.25">
      <c r="A10" s="81" t="s">
        <v>27</v>
      </c>
      <c r="B10" s="82" t="s">
        <v>30</v>
      </c>
      <c r="C10" s="83" t="s">
        <v>298</v>
      </c>
      <c r="D10" s="84">
        <v>0</v>
      </c>
      <c r="E10" s="85">
        <v>69930.883837858637</v>
      </c>
      <c r="F10" s="85">
        <v>401457.05369781033</v>
      </c>
      <c r="G10" s="85">
        <v>1354542.4908985195</v>
      </c>
      <c r="H10" s="85">
        <v>2904001.4623674867</v>
      </c>
      <c r="I10" s="85">
        <v>1728332.3626648351</v>
      </c>
      <c r="J10" s="85">
        <v>0</v>
      </c>
      <c r="K10" s="85">
        <v>0</v>
      </c>
      <c r="L10" s="85">
        <v>0</v>
      </c>
      <c r="M10" s="654">
        <f>'2022-23 Input'!H10</f>
        <v>0</v>
      </c>
      <c r="N10" s="1065">
        <v>0</v>
      </c>
      <c r="O10" s="560">
        <f t="shared" si="27"/>
        <v>0</v>
      </c>
      <c r="P10" s="561">
        <f t="shared" si="0"/>
        <v>92688.555899368846</v>
      </c>
      <c r="Q10" s="561">
        <f t="shared" si="1"/>
        <v>526713.96192012122</v>
      </c>
      <c r="R10" s="561">
        <f t="shared" si="2"/>
        <v>1743454.3283649604</v>
      </c>
      <c r="S10" s="561">
        <f t="shared" si="3"/>
        <v>3661710.0340890232</v>
      </c>
      <c r="T10" s="561">
        <f t="shared" si="4"/>
        <v>2145116.7641810081</v>
      </c>
      <c r="U10" s="561">
        <f t="shared" si="5"/>
        <v>0</v>
      </c>
      <c r="V10" s="561">
        <f t="shared" si="6"/>
        <v>0</v>
      </c>
      <c r="W10" s="675">
        <f t="shared" si="7"/>
        <v>0</v>
      </c>
      <c r="X10" s="675">
        <f t="shared" si="8"/>
        <v>0</v>
      </c>
      <c r="Y10" s="675">
        <f t="shared" si="8"/>
        <v>0</v>
      </c>
      <c r="Z10" s="86">
        <v>0</v>
      </c>
      <c r="AA10" s="87">
        <v>6.8000000000000007</v>
      </c>
      <c r="AB10" s="87">
        <v>4.8000000000000007</v>
      </c>
      <c r="AC10" s="87">
        <v>146.4</v>
      </c>
      <c r="AD10" s="87">
        <v>314</v>
      </c>
      <c r="AE10" s="87">
        <v>125</v>
      </c>
      <c r="AF10" s="87">
        <v>0</v>
      </c>
      <c r="AG10" s="87">
        <v>0</v>
      </c>
      <c r="AH10" s="87">
        <v>0</v>
      </c>
      <c r="AI10" s="1094">
        <f>'2022-23 Input'!O10</f>
        <v>0</v>
      </c>
      <c r="AJ10" s="665">
        <v>0</v>
      </c>
      <c r="AK10" s="88">
        <f t="shared" si="9"/>
        <v>25</v>
      </c>
      <c r="AL10" s="89">
        <f t="shared" si="10"/>
        <v>0</v>
      </c>
      <c r="AM10" s="90">
        <f t="shared" si="11"/>
        <v>0</v>
      </c>
      <c r="AN10" s="91" t="str">
        <f t="shared" si="12"/>
        <v/>
      </c>
      <c r="AO10" s="92">
        <f t="shared" si="13"/>
        <v>10283.953505567446</v>
      </c>
      <c r="AP10" s="92">
        <f t="shared" si="14"/>
        <v>83636.886187043812</v>
      </c>
      <c r="AQ10" s="92">
        <f t="shared" si="15"/>
        <v>9252.3394187057347</v>
      </c>
      <c r="AR10" s="92">
        <f t="shared" si="16"/>
        <v>9248.4123005333968</v>
      </c>
      <c r="AS10" s="92">
        <f t="shared" si="17"/>
        <v>13826.65890131868</v>
      </c>
      <c r="AT10" s="92" t="str">
        <f t="shared" si="18"/>
        <v/>
      </c>
      <c r="AU10" s="92" t="str">
        <f t="shared" si="19"/>
        <v/>
      </c>
      <c r="AV10" s="92" t="str">
        <f t="shared" si="20"/>
        <v/>
      </c>
      <c r="AW10" s="92" t="str">
        <f t="shared" si="20"/>
        <v/>
      </c>
      <c r="AX10" s="92" t="str">
        <f t="shared" si="20"/>
        <v/>
      </c>
      <c r="AY10" s="93">
        <f t="shared" si="21"/>
        <v>13826.65890131868</v>
      </c>
      <c r="AZ10" s="94" t="str">
        <f t="shared" si="22"/>
        <v/>
      </c>
      <c r="BA10" s="95" t="str">
        <f t="shared" si="23"/>
        <v/>
      </c>
      <c r="BB10" s="248" t="s">
        <v>422</v>
      </c>
      <c r="BC10" s="229" t="s">
        <v>433</v>
      </c>
      <c r="BD10" s="249">
        <v>0</v>
      </c>
      <c r="BE10" s="267">
        <f t="shared" si="28"/>
        <v>0</v>
      </c>
      <c r="BF10" s="268">
        <f t="shared" si="24"/>
        <v>0</v>
      </c>
      <c r="BG10" s="268">
        <f t="shared" si="24"/>
        <v>0</v>
      </c>
      <c r="BH10" s="268">
        <f t="shared" si="24"/>
        <v>1</v>
      </c>
      <c r="BI10" s="268">
        <f t="shared" si="24"/>
        <v>2</v>
      </c>
      <c r="BJ10" s="268">
        <f t="shared" si="24"/>
        <v>3</v>
      </c>
      <c r="BK10" s="268">
        <f t="shared" si="24"/>
        <v>4</v>
      </c>
      <c r="BL10" s="269">
        <f t="shared" si="24"/>
        <v>5</v>
      </c>
      <c r="BM10" s="256">
        <f>IF($BC10=Lookup!$A$2,$BD10*ROUNDUP(BE10/10,0)+1,
IF($BC10=Lookup!$A$3,($BD10+1)^BD10,
IF($BC10=Lookup!$A$4,BE10*$BD10+1,"Error")))</f>
        <v>1</v>
      </c>
      <c r="BN10" s="229">
        <f>IF($BC10=Lookup!$A$2,$BD10*ROUNDUP(BF10/10,0)+1,
IF($BC10=Lookup!$A$3,($BD10+1)^BE10,
IF($BC10=Lookup!$A$4,BF10*$BD10+1,"Error")))</f>
        <v>1</v>
      </c>
      <c r="BO10" s="229">
        <f>IF($BC10=Lookup!$A$2,$BD10*ROUNDUP(BG10/10,0)+1,
IF($BC10=Lookup!$A$3,($BD10+1)^BF10,
IF($BC10=Lookup!$A$4,BG10*$BD10+1,"Error")))</f>
        <v>1</v>
      </c>
      <c r="BP10" s="229">
        <f>IF($BC10=Lookup!$A$2,$BD10*ROUNDUP(BH10/10,0)+1,
IF($BC10=Lookup!$A$3,($BD10+1)^BG10,
IF($BC10=Lookup!$A$4,BH10*$BD10+1,"Error")))</f>
        <v>1</v>
      </c>
      <c r="BQ10" s="229">
        <f>IF($BC10=Lookup!$A$2,$BD10*ROUNDUP(BI10/10,0)+1,
IF($BC10=Lookup!$A$3,($BD10+1)^BH10,
IF($BC10=Lookup!$A$4,BI10*$BD10+1,"Error")))</f>
        <v>1</v>
      </c>
      <c r="BR10" s="229">
        <f>IF($BC10=Lookup!$A$2,$BD10*ROUNDUP(BJ10/10,0)+1,
IF($BC10=Lookup!$A$3,($BD10+1)^BI10,
IF($BC10=Lookup!$A$4,BJ10*$BD10+1,"Error")))</f>
        <v>1</v>
      </c>
      <c r="BS10" s="229">
        <f>IF($BC10=Lookup!$A$2,$BD10*ROUNDUP(BK10/10,0)+1,
IF($BC10=Lookup!$A$3,($BD10+1)^BJ10,
IF($BC10=Lookup!$A$4,BK10*$BD10+1,"Error")))</f>
        <v>1</v>
      </c>
      <c r="BT10" s="249">
        <f>IF($BC10=Lookup!$A$2,$BD10*ROUNDUP(BL10/10,0)+1,
IF($BC10=Lookup!$A$3,($BD10+1)^BK10,
IF($BC10=Lookup!$A$4,BL10*$BD10+1,"Error")))</f>
        <v>1</v>
      </c>
      <c r="BU10" s="320">
        <v>0</v>
      </c>
      <c r="BV10" s="321">
        <v>0</v>
      </c>
      <c r="BW10" s="321">
        <v>0</v>
      </c>
      <c r="BX10" s="321">
        <v>0</v>
      </c>
      <c r="BY10" s="321">
        <v>0</v>
      </c>
      <c r="BZ10" s="321">
        <v>0</v>
      </c>
      <c r="CA10" s="321">
        <v>0</v>
      </c>
      <c r="CB10" s="277">
        <v>0</v>
      </c>
      <c r="CC10" s="382" t="s">
        <v>293</v>
      </c>
      <c r="CD10" s="383">
        <f>HLOOKUP($CC10,$AK$6:$AM$132,ROWS(CD$6:CD10),0)</f>
        <v>0</v>
      </c>
      <c r="CE10" s="234">
        <f t="shared" si="29"/>
        <v>0</v>
      </c>
      <c r="CF10" s="96">
        <f t="shared" si="25"/>
        <v>0</v>
      </c>
      <c r="CG10" s="96">
        <f t="shared" si="25"/>
        <v>0</v>
      </c>
      <c r="CH10" s="96">
        <f t="shared" si="25"/>
        <v>0</v>
      </c>
      <c r="CI10" s="96">
        <f t="shared" si="25"/>
        <v>0</v>
      </c>
      <c r="CJ10" s="96">
        <f t="shared" si="25"/>
        <v>0</v>
      </c>
      <c r="CK10" s="96">
        <f t="shared" si="25"/>
        <v>0</v>
      </c>
      <c r="CL10" s="286">
        <f t="shared" si="25"/>
        <v>0</v>
      </c>
      <c r="CM10" s="305" t="s">
        <v>292</v>
      </c>
      <c r="CN10" s="315">
        <v>0.05</v>
      </c>
      <c r="CO10" s="306"/>
      <c r="CP10" s="307">
        <f>IF($CO10&lt;&gt;"",$CO10,HLOOKUP($CM10,$AY$6:$BA$132,ROWS(CP$6:CP10),0))</f>
        <v>13826.65890131868</v>
      </c>
      <c r="CQ10" s="784">
        <f t="shared" si="26"/>
        <v>0</v>
      </c>
      <c r="CR10" s="784">
        <f t="shared" si="26"/>
        <v>0</v>
      </c>
      <c r="CS10" s="97">
        <f t="shared" si="26"/>
        <v>0</v>
      </c>
      <c r="CT10" s="97">
        <f t="shared" si="26"/>
        <v>0</v>
      </c>
      <c r="CU10" s="97">
        <f t="shared" si="26"/>
        <v>0</v>
      </c>
      <c r="CV10" s="97">
        <f t="shared" si="26"/>
        <v>0</v>
      </c>
      <c r="CW10" s="97">
        <f t="shared" si="26"/>
        <v>0</v>
      </c>
      <c r="CX10" s="98">
        <f t="shared" si="26"/>
        <v>0</v>
      </c>
    </row>
    <row r="11" spans="1:104" x14ac:dyDescent="0.25">
      <c r="A11" s="81" t="s">
        <v>27</v>
      </c>
      <c r="B11" s="82" t="s">
        <v>32</v>
      </c>
      <c r="C11" s="83" t="s">
        <v>33</v>
      </c>
      <c r="D11" s="84">
        <v>0</v>
      </c>
      <c r="E11" s="85">
        <v>0</v>
      </c>
      <c r="F11" s="85">
        <v>0</v>
      </c>
      <c r="G11" s="85">
        <v>345800.59026645793</v>
      </c>
      <c r="H11" s="85">
        <v>2071881.0473575445</v>
      </c>
      <c r="I11" s="85">
        <v>67006.76175009401</v>
      </c>
      <c r="J11" s="85">
        <v>4832253.9762026612</v>
      </c>
      <c r="K11" s="85">
        <v>5020316.9393076217</v>
      </c>
      <c r="L11" s="85">
        <v>41441.925899460795</v>
      </c>
      <c r="M11" s="654">
        <f>'2022-23 Input'!H11</f>
        <v>124.5800000000005</v>
      </c>
      <c r="N11" s="1065">
        <v>8031.894084726001</v>
      </c>
      <c r="O11" s="560">
        <f t="shared" si="27"/>
        <v>0</v>
      </c>
      <c r="P11" s="561">
        <f t="shared" si="0"/>
        <v>0</v>
      </c>
      <c r="Q11" s="561">
        <f t="shared" si="1"/>
        <v>0</v>
      </c>
      <c r="R11" s="561">
        <f t="shared" si="2"/>
        <v>445085.73182617256</v>
      </c>
      <c r="S11" s="561">
        <f t="shared" si="3"/>
        <v>2612473.7603826821</v>
      </c>
      <c r="T11" s="561">
        <f t="shared" si="4"/>
        <v>83165.328063398367</v>
      </c>
      <c r="U11" s="561">
        <f t="shared" si="5"/>
        <v>6018514.2137607206</v>
      </c>
      <c r="V11" s="561">
        <f t="shared" si="6"/>
        <v>6021161.2477150895</v>
      </c>
      <c r="W11" s="675">
        <f t="shared" si="7"/>
        <v>46826.360702085592</v>
      </c>
      <c r="X11" s="675">
        <f t="shared" si="8"/>
        <v>132.48596217255374</v>
      </c>
      <c r="Y11" s="675">
        <f t="shared" si="8"/>
        <v>8252.7589580834156</v>
      </c>
      <c r="Z11" s="86">
        <v>0</v>
      </c>
      <c r="AA11" s="87">
        <v>0</v>
      </c>
      <c r="AB11" s="87">
        <v>0</v>
      </c>
      <c r="AC11" s="87">
        <v>24</v>
      </c>
      <c r="AD11" s="87">
        <v>118</v>
      </c>
      <c r="AE11" s="87">
        <v>2</v>
      </c>
      <c r="AF11" s="87">
        <v>298</v>
      </c>
      <c r="AG11" s="87">
        <v>496</v>
      </c>
      <c r="AH11" s="87">
        <v>51</v>
      </c>
      <c r="AI11" s="1094">
        <f>'2022-23 Input'!O11</f>
        <v>7</v>
      </c>
      <c r="AJ11" s="665">
        <v>0</v>
      </c>
      <c r="AK11" s="88">
        <f t="shared" si="9"/>
        <v>170.8</v>
      </c>
      <c r="AL11" s="89">
        <f t="shared" si="10"/>
        <v>184.66666666666666</v>
      </c>
      <c r="AM11" s="90">
        <f t="shared" si="11"/>
        <v>7</v>
      </c>
      <c r="AN11" s="91" t="str">
        <f t="shared" si="12"/>
        <v/>
      </c>
      <c r="AO11" s="92" t="str">
        <f t="shared" si="13"/>
        <v/>
      </c>
      <c r="AP11" s="92" t="str">
        <f t="shared" si="14"/>
        <v/>
      </c>
      <c r="AQ11" s="92">
        <f t="shared" si="15"/>
        <v>14408.357927769081</v>
      </c>
      <c r="AR11" s="92">
        <f t="shared" si="16"/>
        <v>17558.313960657157</v>
      </c>
      <c r="AS11" s="92">
        <f t="shared" si="17"/>
        <v>33503.380875047005</v>
      </c>
      <c r="AT11" s="92">
        <f t="shared" si="18"/>
        <v>16215.617369807587</v>
      </c>
      <c r="AU11" s="92">
        <f t="shared" si="19"/>
        <v>10121.606732475044</v>
      </c>
      <c r="AV11" s="92">
        <f t="shared" si="20"/>
        <v>812.58678234236856</v>
      </c>
      <c r="AW11" s="92">
        <f t="shared" si="20"/>
        <v>17.797142857142926</v>
      </c>
      <c r="AX11" s="92" t="str">
        <f t="shared" si="20"/>
        <v/>
      </c>
      <c r="AY11" s="93">
        <f t="shared" si="21"/>
        <v>11664.103258969364</v>
      </c>
      <c r="AZ11" s="94">
        <f t="shared" si="22"/>
        <v>9136.9737278106186</v>
      </c>
      <c r="BA11" s="95">
        <f t="shared" si="23"/>
        <v>17.797142857142926</v>
      </c>
      <c r="BB11" s="248" t="s">
        <v>422</v>
      </c>
      <c r="BC11" s="229" t="s">
        <v>433</v>
      </c>
      <c r="BD11" s="249">
        <v>0</v>
      </c>
      <c r="BE11" s="267">
        <f t="shared" si="28"/>
        <v>0</v>
      </c>
      <c r="BF11" s="268">
        <f t="shared" si="24"/>
        <v>0</v>
      </c>
      <c r="BG11" s="268">
        <f t="shared" si="24"/>
        <v>0</v>
      </c>
      <c r="BH11" s="268">
        <f t="shared" si="24"/>
        <v>1</v>
      </c>
      <c r="BI11" s="268">
        <f t="shared" si="24"/>
        <v>2</v>
      </c>
      <c r="BJ11" s="268">
        <f t="shared" si="24"/>
        <v>3</v>
      </c>
      <c r="BK11" s="268">
        <f t="shared" si="24"/>
        <v>4</v>
      </c>
      <c r="BL11" s="269">
        <f t="shared" si="24"/>
        <v>5</v>
      </c>
      <c r="BM11" s="256">
        <f>IF($BC11=Lookup!$A$2,$BD11*ROUNDUP(BE11/10,0)+1,
IF($BC11=Lookup!$A$3,($BD11+1)^BD11,
IF($BC11=Lookup!$A$4,BE11*$BD11+1,"Error")))</f>
        <v>1</v>
      </c>
      <c r="BN11" s="229">
        <f>IF($BC11=Lookup!$A$2,$BD11*ROUNDUP(BF11/10,0)+1,
IF($BC11=Lookup!$A$3,($BD11+1)^BE11,
IF($BC11=Lookup!$A$4,BF11*$BD11+1,"Error")))</f>
        <v>1</v>
      </c>
      <c r="BO11" s="229">
        <f>IF($BC11=Lookup!$A$2,$BD11*ROUNDUP(BG11/10,0)+1,
IF($BC11=Lookup!$A$3,($BD11+1)^BF11,
IF($BC11=Lookup!$A$4,BG11*$BD11+1,"Error")))</f>
        <v>1</v>
      </c>
      <c r="BP11" s="229">
        <f>IF($BC11=Lookup!$A$2,$BD11*ROUNDUP(BH11/10,0)+1,
IF($BC11=Lookup!$A$3,($BD11+1)^BG11,
IF($BC11=Lookup!$A$4,BH11*$BD11+1,"Error")))</f>
        <v>1</v>
      </c>
      <c r="BQ11" s="229">
        <f>IF($BC11=Lookup!$A$2,$BD11*ROUNDUP(BI11/10,0)+1,
IF($BC11=Lookup!$A$3,($BD11+1)^BH11,
IF($BC11=Lookup!$A$4,BI11*$BD11+1,"Error")))</f>
        <v>1</v>
      </c>
      <c r="BR11" s="229">
        <f>IF($BC11=Lookup!$A$2,$BD11*ROUNDUP(BJ11/10,0)+1,
IF($BC11=Lookup!$A$3,($BD11+1)^BI11,
IF($BC11=Lookup!$A$4,BJ11*$BD11+1,"Error")))</f>
        <v>1</v>
      </c>
      <c r="BS11" s="229">
        <f>IF($BC11=Lookup!$A$2,$BD11*ROUNDUP(BK11/10,0)+1,
IF($BC11=Lookup!$A$3,($BD11+1)^BJ11,
IF($BC11=Lookup!$A$4,BK11*$BD11+1,"Error")))</f>
        <v>1</v>
      </c>
      <c r="BT11" s="249">
        <f>IF($BC11=Lookup!$A$2,$BD11*ROUNDUP(BL11/10,0)+1,
IF($BC11=Lookup!$A$3,($BD11+1)^BK11,
IF($BC11=Lookup!$A$4,BL11*$BD11+1,"Error")))</f>
        <v>1</v>
      </c>
      <c r="BU11" s="320">
        <v>0</v>
      </c>
      <c r="BV11" s="321">
        <v>0</v>
      </c>
      <c r="BW11" s="321">
        <v>0</v>
      </c>
      <c r="BX11" s="321">
        <v>0</v>
      </c>
      <c r="BY11" s="321">
        <v>0</v>
      </c>
      <c r="BZ11" s="321">
        <v>0</v>
      </c>
      <c r="CA11" s="321">
        <v>0</v>
      </c>
      <c r="CB11" s="277">
        <v>0</v>
      </c>
      <c r="CC11" s="382" t="s">
        <v>293</v>
      </c>
      <c r="CD11" s="383">
        <f>HLOOKUP($CC11,$AK$6:$AM$132,ROWS(CD$6:CD11),0)</f>
        <v>184.66666666666666</v>
      </c>
      <c r="CE11" s="234">
        <f t="shared" si="29"/>
        <v>0</v>
      </c>
      <c r="CF11" s="96">
        <f t="shared" si="25"/>
        <v>0</v>
      </c>
      <c r="CG11" s="96">
        <f t="shared" si="25"/>
        <v>0</v>
      </c>
      <c r="CH11" s="96">
        <f t="shared" si="25"/>
        <v>0</v>
      </c>
      <c r="CI11" s="96">
        <f t="shared" si="25"/>
        <v>0</v>
      </c>
      <c r="CJ11" s="96">
        <f t="shared" si="25"/>
        <v>0</v>
      </c>
      <c r="CK11" s="96">
        <f t="shared" si="25"/>
        <v>0</v>
      </c>
      <c r="CL11" s="286">
        <f t="shared" si="25"/>
        <v>0</v>
      </c>
      <c r="CM11" s="305" t="s">
        <v>292</v>
      </c>
      <c r="CN11" s="315">
        <v>0.05</v>
      </c>
      <c r="CO11" s="306"/>
      <c r="CP11" s="307">
        <f>IF($CO11&lt;&gt;"",$CO11,HLOOKUP($CM11,$AY$6:$BA$132,ROWS(CP$6:CP11),0))</f>
        <v>11664.103258969364</v>
      </c>
      <c r="CQ11" s="784">
        <f t="shared" si="26"/>
        <v>0</v>
      </c>
      <c r="CR11" s="784">
        <f t="shared" si="26"/>
        <v>0</v>
      </c>
      <c r="CS11" s="97">
        <f t="shared" si="26"/>
        <v>0</v>
      </c>
      <c r="CT11" s="97">
        <f t="shared" si="26"/>
        <v>0</v>
      </c>
      <c r="CU11" s="97">
        <f t="shared" si="26"/>
        <v>0</v>
      </c>
      <c r="CV11" s="97">
        <f t="shared" si="26"/>
        <v>0</v>
      </c>
      <c r="CW11" s="97">
        <f t="shared" si="26"/>
        <v>0</v>
      </c>
      <c r="CX11" s="98">
        <f t="shared" si="26"/>
        <v>0</v>
      </c>
    </row>
    <row r="12" spans="1:104" x14ac:dyDescent="0.25">
      <c r="A12" s="81" t="s">
        <v>27</v>
      </c>
      <c r="B12" s="82" t="s">
        <v>34</v>
      </c>
      <c r="C12" s="83" t="s">
        <v>35</v>
      </c>
      <c r="D12" s="84">
        <v>0</v>
      </c>
      <c r="E12" s="85">
        <v>0</v>
      </c>
      <c r="F12" s="85">
        <v>0</v>
      </c>
      <c r="G12" s="85">
        <v>0</v>
      </c>
      <c r="H12" s="85">
        <v>63983.454333973845</v>
      </c>
      <c r="I12" s="85">
        <v>2297092.4791517579</v>
      </c>
      <c r="J12" s="85">
        <v>375551.70067229116</v>
      </c>
      <c r="K12" s="85">
        <v>202115.572419517</v>
      </c>
      <c r="L12" s="85">
        <v>0</v>
      </c>
      <c r="M12" s="654">
        <f>'2022-23 Input'!H12</f>
        <v>0</v>
      </c>
      <c r="N12" s="1065">
        <v>0</v>
      </c>
      <c r="O12" s="560">
        <f t="shared" si="27"/>
        <v>0</v>
      </c>
      <c r="P12" s="561">
        <f t="shared" si="0"/>
        <v>0</v>
      </c>
      <c r="Q12" s="561">
        <f t="shared" si="1"/>
        <v>0</v>
      </c>
      <c r="R12" s="561">
        <f t="shared" si="2"/>
        <v>0</v>
      </c>
      <c r="S12" s="561">
        <f t="shared" si="3"/>
        <v>80677.940347655647</v>
      </c>
      <c r="T12" s="561">
        <f t="shared" si="4"/>
        <v>2851032.4127154672</v>
      </c>
      <c r="U12" s="561">
        <f t="shared" si="5"/>
        <v>467745.12673160085</v>
      </c>
      <c r="V12" s="561">
        <f t="shared" si="6"/>
        <v>242409.08829552651</v>
      </c>
      <c r="W12" s="675">
        <f t="shared" si="7"/>
        <v>0</v>
      </c>
      <c r="X12" s="675">
        <f t="shared" si="8"/>
        <v>0</v>
      </c>
      <c r="Y12" s="675">
        <f t="shared" si="8"/>
        <v>0</v>
      </c>
      <c r="Z12" s="86">
        <v>0</v>
      </c>
      <c r="AA12" s="87">
        <v>0</v>
      </c>
      <c r="AB12" s="87">
        <v>0</v>
      </c>
      <c r="AC12" s="87">
        <v>0</v>
      </c>
      <c r="AD12" s="87">
        <v>2</v>
      </c>
      <c r="AE12" s="87">
        <v>999</v>
      </c>
      <c r="AF12" s="87">
        <v>19</v>
      </c>
      <c r="AG12" s="87">
        <v>25</v>
      </c>
      <c r="AH12" s="87">
        <v>3</v>
      </c>
      <c r="AI12" s="1094">
        <f>'2022-23 Input'!O12</f>
        <v>0</v>
      </c>
      <c r="AJ12" s="665">
        <v>0</v>
      </c>
      <c r="AK12" s="88">
        <f t="shared" si="9"/>
        <v>209.2</v>
      </c>
      <c r="AL12" s="89">
        <f t="shared" si="10"/>
        <v>9.3333333333333339</v>
      </c>
      <c r="AM12" s="90">
        <f t="shared" si="11"/>
        <v>0</v>
      </c>
      <c r="AN12" s="91" t="str">
        <f t="shared" si="12"/>
        <v/>
      </c>
      <c r="AO12" s="92" t="str">
        <f t="shared" si="13"/>
        <v/>
      </c>
      <c r="AP12" s="92" t="str">
        <f t="shared" si="14"/>
        <v/>
      </c>
      <c r="AQ12" s="92" t="str">
        <f t="shared" si="15"/>
        <v/>
      </c>
      <c r="AR12" s="92">
        <f t="shared" si="16"/>
        <v>31991.727166986922</v>
      </c>
      <c r="AS12" s="92">
        <f t="shared" si="17"/>
        <v>2299.3918710227808</v>
      </c>
      <c r="AT12" s="92">
        <f t="shared" si="18"/>
        <v>19765.878982752165</v>
      </c>
      <c r="AU12" s="92">
        <f t="shared" si="19"/>
        <v>8084.6228967806801</v>
      </c>
      <c r="AV12" s="92">
        <f t="shared" si="20"/>
        <v>0</v>
      </c>
      <c r="AW12" s="92" t="str">
        <f t="shared" si="20"/>
        <v/>
      </c>
      <c r="AX12" s="92" t="str">
        <f t="shared" si="20"/>
        <v/>
      </c>
      <c r="AY12" s="93">
        <f t="shared" si="21"/>
        <v>2748.3362832156467</v>
      </c>
      <c r="AZ12" s="94">
        <f t="shared" si="22"/>
        <v>7218.413300697036</v>
      </c>
      <c r="BA12" s="95" t="str">
        <f t="shared" si="23"/>
        <v/>
      </c>
      <c r="BB12" s="248" t="s">
        <v>422</v>
      </c>
      <c r="BC12" s="229" t="s">
        <v>433</v>
      </c>
      <c r="BD12" s="249">
        <v>0</v>
      </c>
      <c r="BE12" s="267">
        <f t="shared" si="28"/>
        <v>0</v>
      </c>
      <c r="BF12" s="268">
        <f t="shared" si="24"/>
        <v>0</v>
      </c>
      <c r="BG12" s="268">
        <f t="shared" si="24"/>
        <v>0</v>
      </c>
      <c r="BH12" s="268">
        <f t="shared" si="24"/>
        <v>1</v>
      </c>
      <c r="BI12" s="268">
        <f t="shared" si="24"/>
        <v>2</v>
      </c>
      <c r="BJ12" s="268">
        <f t="shared" si="24"/>
        <v>3</v>
      </c>
      <c r="BK12" s="268">
        <f t="shared" si="24"/>
        <v>4</v>
      </c>
      <c r="BL12" s="269">
        <f t="shared" si="24"/>
        <v>5</v>
      </c>
      <c r="BM12" s="256">
        <f>IF($BC12=Lookup!$A$2,$BD12*ROUNDUP(BE12/10,0)+1,
IF($BC12=Lookup!$A$3,($BD12+1)^BD12,
IF($BC12=Lookup!$A$4,BE12*$BD12+1,"Error")))</f>
        <v>1</v>
      </c>
      <c r="BN12" s="229">
        <f>IF($BC12=Lookup!$A$2,$BD12*ROUNDUP(BF12/10,0)+1,
IF($BC12=Lookup!$A$3,($BD12+1)^BE12,
IF($BC12=Lookup!$A$4,BF12*$BD12+1,"Error")))</f>
        <v>1</v>
      </c>
      <c r="BO12" s="229">
        <f>IF($BC12=Lookup!$A$2,$BD12*ROUNDUP(BG12/10,0)+1,
IF($BC12=Lookup!$A$3,($BD12+1)^BF12,
IF($BC12=Lookup!$A$4,BG12*$BD12+1,"Error")))</f>
        <v>1</v>
      </c>
      <c r="BP12" s="229">
        <f>IF($BC12=Lookup!$A$2,$BD12*ROUNDUP(BH12/10,0)+1,
IF($BC12=Lookup!$A$3,($BD12+1)^BG12,
IF($BC12=Lookup!$A$4,BH12*$BD12+1,"Error")))</f>
        <v>1</v>
      </c>
      <c r="BQ12" s="229">
        <f>IF($BC12=Lookup!$A$2,$BD12*ROUNDUP(BI12/10,0)+1,
IF($BC12=Lookup!$A$3,($BD12+1)^BH12,
IF($BC12=Lookup!$A$4,BI12*$BD12+1,"Error")))</f>
        <v>1</v>
      </c>
      <c r="BR12" s="229">
        <f>IF($BC12=Lookup!$A$2,$BD12*ROUNDUP(BJ12/10,0)+1,
IF($BC12=Lookup!$A$3,($BD12+1)^BI12,
IF($BC12=Lookup!$A$4,BJ12*$BD12+1,"Error")))</f>
        <v>1</v>
      </c>
      <c r="BS12" s="229">
        <f>IF($BC12=Lookup!$A$2,$BD12*ROUNDUP(BK12/10,0)+1,
IF($BC12=Lookup!$A$3,($BD12+1)^BJ12,
IF($BC12=Lookup!$A$4,BK12*$BD12+1,"Error")))</f>
        <v>1</v>
      </c>
      <c r="BT12" s="249">
        <f>IF($BC12=Lookup!$A$2,$BD12*ROUNDUP(BL12/10,0)+1,
IF($BC12=Lookup!$A$3,($BD12+1)^BK12,
IF($BC12=Lookup!$A$4,BL12*$BD12+1,"Error")))</f>
        <v>1</v>
      </c>
      <c r="BU12" s="320">
        <v>0</v>
      </c>
      <c r="BV12" s="321">
        <v>0</v>
      </c>
      <c r="BW12" s="321">
        <v>0</v>
      </c>
      <c r="BX12" s="321">
        <v>0</v>
      </c>
      <c r="BY12" s="321">
        <v>0</v>
      </c>
      <c r="BZ12" s="321">
        <v>0</v>
      </c>
      <c r="CA12" s="321">
        <v>0</v>
      </c>
      <c r="CB12" s="277">
        <v>0</v>
      </c>
      <c r="CC12" s="382" t="s">
        <v>293</v>
      </c>
      <c r="CD12" s="383">
        <f>HLOOKUP($CC12,$AK$6:$AM$132,ROWS(CD$6:CD12),0)</f>
        <v>9.3333333333333339</v>
      </c>
      <c r="CE12" s="234">
        <f t="shared" si="29"/>
        <v>0</v>
      </c>
      <c r="CF12" s="96">
        <f t="shared" si="25"/>
        <v>0</v>
      </c>
      <c r="CG12" s="96">
        <f t="shared" si="25"/>
        <v>0</v>
      </c>
      <c r="CH12" s="96">
        <f t="shared" si="25"/>
        <v>0</v>
      </c>
      <c r="CI12" s="96">
        <f t="shared" si="25"/>
        <v>0</v>
      </c>
      <c r="CJ12" s="96">
        <f t="shared" si="25"/>
        <v>0</v>
      </c>
      <c r="CK12" s="96">
        <f t="shared" si="25"/>
        <v>0</v>
      </c>
      <c r="CL12" s="286">
        <f t="shared" si="25"/>
        <v>0</v>
      </c>
      <c r="CM12" s="305" t="s">
        <v>292</v>
      </c>
      <c r="CN12" s="315">
        <v>0.05</v>
      </c>
      <c r="CO12" s="306"/>
      <c r="CP12" s="307">
        <f>IF($CO12&lt;&gt;"",$CO12,HLOOKUP($CM12,$AY$6:$BA$132,ROWS(CP$6:CP12),0))</f>
        <v>2748.3362832156467</v>
      </c>
      <c r="CQ12" s="784">
        <f t="shared" si="26"/>
        <v>0</v>
      </c>
      <c r="CR12" s="784">
        <f t="shared" si="26"/>
        <v>0</v>
      </c>
      <c r="CS12" s="97">
        <f t="shared" si="26"/>
        <v>0</v>
      </c>
      <c r="CT12" s="97">
        <f t="shared" si="26"/>
        <v>0</v>
      </c>
      <c r="CU12" s="97">
        <f t="shared" si="26"/>
        <v>0</v>
      </c>
      <c r="CV12" s="97">
        <f t="shared" si="26"/>
        <v>0</v>
      </c>
      <c r="CW12" s="97">
        <f t="shared" si="26"/>
        <v>0</v>
      </c>
      <c r="CX12" s="98">
        <f t="shared" si="26"/>
        <v>0</v>
      </c>
    </row>
    <row r="13" spans="1:104" x14ac:dyDescent="0.25">
      <c r="A13" s="81" t="s">
        <v>27</v>
      </c>
      <c r="B13" s="82" t="s">
        <v>36</v>
      </c>
      <c r="C13" s="83" t="s">
        <v>37</v>
      </c>
      <c r="D13" s="84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654">
        <f>'2022-23 Input'!H13</f>
        <v>0</v>
      </c>
      <c r="N13" s="1065">
        <v>0</v>
      </c>
      <c r="O13" s="560">
        <f t="shared" si="27"/>
        <v>0</v>
      </c>
      <c r="P13" s="561">
        <f t="shared" si="0"/>
        <v>0</v>
      </c>
      <c r="Q13" s="561">
        <f t="shared" si="1"/>
        <v>0</v>
      </c>
      <c r="R13" s="561">
        <f t="shared" si="2"/>
        <v>0</v>
      </c>
      <c r="S13" s="561">
        <f t="shared" si="3"/>
        <v>0</v>
      </c>
      <c r="T13" s="561">
        <f t="shared" si="4"/>
        <v>0</v>
      </c>
      <c r="U13" s="561">
        <f t="shared" si="5"/>
        <v>0</v>
      </c>
      <c r="V13" s="561">
        <f t="shared" si="6"/>
        <v>0</v>
      </c>
      <c r="W13" s="675">
        <f t="shared" si="7"/>
        <v>0</v>
      </c>
      <c r="X13" s="675">
        <f t="shared" si="8"/>
        <v>0</v>
      </c>
      <c r="Y13" s="675">
        <f t="shared" si="8"/>
        <v>0</v>
      </c>
      <c r="Z13" s="86">
        <v>0</v>
      </c>
      <c r="AA13" s="87">
        <v>0</v>
      </c>
      <c r="AB13" s="87">
        <v>0</v>
      </c>
      <c r="AC13" s="87">
        <v>0</v>
      </c>
      <c r="AD13" s="87">
        <v>0</v>
      </c>
      <c r="AE13" s="87">
        <v>0</v>
      </c>
      <c r="AF13" s="87">
        <v>0</v>
      </c>
      <c r="AG13" s="87">
        <v>0</v>
      </c>
      <c r="AH13" s="87">
        <v>0</v>
      </c>
      <c r="AI13" s="1094">
        <f>'2022-23 Input'!O13</f>
        <v>0</v>
      </c>
      <c r="AJ13" s="665">
        <v>0</v>
      </c>
      <c r="AK13" s="88">
        <f t="shared" si="9"/>
        <v>0</v>
      </c>
      <c r="AL13" s="89">
        <f t="shared" si="10"/>
        <v>0</v>
      </c>
      <c r="AM13" s="90">
        <f t="shared" si="11"/>
        <v>0</v>
      </c>
      <c r="AN13" s="91" t="str">
        <f t="shared" si="12"/>
        <v/>
      </c>
      <c r="AO13" s="92" t="str">
        <f t="shared" si="13"/>
        <v/>
      </c>
      <c r="AP13" s="92" t="str">
        <f t="shared" si="14"/>
        <v/>
      </c>
      <c r="AQ13" s="92" t="str">
        <f t="shared" si="15"/>
        <v/>
      </c>
      <c r="AR13" s="92" t="str">
        <f t="shared" si="16"/>
        <v/>
      </c>
      <c r="AS13" s="92" t="str">
        <f t="shared" si="17"/>
        <v/>
      </c>
      <c r="AT13" s="92" t="str">
        <f t="shared" si="18"/>
        <v/>
      </c>
      <c r="AU13" s="92" t="str">
        <f t="shared" si="19"/>
        <v/>
      </c>
      <c r="AV13" s="92" t="str">
        <f t="shared" si="20"/>
        <v/>
      </c>
      <c r="AW13" s="92" t="str">
        <f t="shared" si="20"/>
        <v/>
      </c>
      <c r="AX13" s="92" t="str">
        <f t="shared" si="20"/>
        <v/>
      </c>
      <c r="AY13" s="93" t="str">
        <f t="shared" si="21"/>
        <v/>
      </c>
      <c r="AZ13" s="94" t="str">
        <f t="shared" si="22"/>
        <v/>
      </c>
      <c r="BA13" s="95" t="str">
        <f t="shared" si="23"/>
        <v/>
      </c>
      <c r="BB13" s="248" t="s">
        <v>422</v>
      </c>
      <c r="BC13" s="229" t="s">
        <v>433</v>
      </c>
      <c r="BD13" s="249">
        <v>0</v>
      </c>
      <c r="BE13" s="267">
        <f t="shared" si="28"/>
        <v>0</v>
      </c>
      <c r="BF13" s="268">
        <f t="shared" si="24"/>
        <v>0</v>
      </c>
      <c r="BG13" s="268">
        <f t="shared" si="24"/>
        <v>0</v>
      </c>
      <c r="BH13" s="268">
        <f t="shared" si="24"/>
        <v>1</v>
      </c>
      <c r="BI13" s="268">
        <f t="shared" si="24"/>
        <v>2</v>
      </c>
      <c r="BJ13" s="268">
        <f t="shared" si="24"/>
        <v>3</v>
      </c>
      <c r="BK13" s="268">
        <f t="shared" si="24"/>
        <v>4</v>
      </c>
      <c r="BL13" s="269">
        <f t="shared" si="24"/>
        <v>5</v>
      </c>
      <c r="BM13" s="256">
        <f>IF($BC13=Lookup!$A$2,$BD13*ROUNDUP(BE13/10,0)+1,
IF($BC13=Lookup!$A$3,($BD13+1)^BD13,
IF($BC13=Lookup!$A$4,BE13*$BD13+1,"Error")))</f>
        <v>1</v>
      </c>
      <c r="BN13" s="229">
        <f>IF($BC13=Lookup!$A$2,$BD13*ROUNDUP(BF13/10,0)+1,
IF($BC13=Lookup!$A$3,($BD13+1)^BE13,
IF($BC13=Lookup!$A$4,BF13*$BD13+1,"Error")))</f>
        <v>1</v>
      </c>
      <c r="BO13" s="229">
        <f>IF($BC13=Lookup!$A$2,$BD13*ROUNDUP(BG13/10,0)+1,
IF($BC13=Lookup!$A$3,($BD13+1)^BF13,
IF($BC13=Lookup!$A$4,BG13*$BD13+1,"Error")))</f>
        <v>1</v>
      </c>
      <c r="BP13" s="229">
        <f>IF($BC13=Lookup!$A$2,$BD13*ROUNDUP(BH13/10,0)+1,
IF($BC13=Lookup!$A$3,($BD13+1)^BG13,
IF($BC13=Lookup!$A$4,BH13*$BD13+1,"Error")))</f>
        <v>1</v>
      </c>
      <c r="BQ13" s="229">
        <f>IF($BC13=Lookup!$A$2,$BD13*ROUNDUP(BI13/10,0)+1,
IF($BC13=Lookup!$A$3,($BD13+1)^BH13,
IF($BC13=Lookup!$A$4,BI13*$BD13+1,"Error")))</f>
        <v>1</v>
      </c>
      <c r="BR13" s="229">
        <f>IF($BC13=Lookup!$A$2,$BD13*ROUNDUP(BJ13/10,0)+1,
IF($BC13=Lookup!$A$3,($BD13+1)^BI13,
IF($BC13=Lookup!$A$4,BJ13*$BD13+1,"Error")))</f>
        <v>1</v>
      </c>
      <c r="BS13" s="229">
        <f>IF($BC13=Lookup!$A$2,$BD13*ROUNDUP(BK13/10,0)+1,
IF($BC13=Lookup!$A$3,($BD13+1)^BJ13,
IF($BC13=Lookup!$A$4,BK13*$BD13+1,"Error")))</f>
        <v>1</v>
      </c>
      <c r="BT13" s="249">
        <f>IF($BC13=Lookup!$A$2,$BD13*ROUNDUP(BL13/10,0)+1,
IF($BC13=Lookup!$A$3,($BD13+1)^BK13,
IF($BC13=Lookup!$A$4,BL13*$BD13+1,"Error")))</f>
        <v>1</v>
      </c>
      <c r="BU13" s="320">
        <v>0</v>
      </c>
      <c r="BV13" s="321">
        <v>0</v>
      </c>
      <c r="BW13" s="321">
        <v>0</v>
      </c>
      <c r="BX13" s="321">
        <v>0</v>
      </c>
      <c r="BY13" s="321">
        <v>0</v>
      </c>
      <c r="BZ13" s="321">
        <v>0</v>
      </c>
      <c r="CA13" s="321">
        <v>0</v>
      </c>
      <c r="CB13" s="277">
        <v>0</v>
      </c>
      <c r="CC13" s="382" t="s">
        <v>293</v>
      </c>
      <c r="CD13" s="383">
        <f>HLOOKUP($CC13,$AK$6:$AM$132,ROWS(CD$6:CD13),0)</f>
        <v>0</v>
      </c>
      <c r="CE13" s="234">
        <f t="shared" si="29"/>
        <v>0</v>
      </c>
      <c r="CF13" s="96">
        <f t="shared" si="25"/>
        <v>0</v>
      </c>
      <c r="CG13" s="96">
        <f t="shared" si="25"/>
        <v>0</v>
      </c>
      <c r="CH13" s="96">
        <f t="shared" si="25"/>
        <v>0</v>
      </c>
      <c r="CI13" s="96">
        <f t="shared" si="25"/>
        <v>0</v>
      </c>
      <c r="CJ13" s="96">
        <f t="shared" si="25"/>
        <v>0</v>
      </c>
      <c r="CK13" s="96">
        <f t="shared" si="25"/>
        <v>0</v>
      </c>
      <c r="CL13" s="286">
        <f t="shared" si="25"/>
        <v>0</v>
      </c>
      <c r="CM13" s="305" t="s">
        <v>292</v>
      </c>
      <c r="CN13" s="315">
        <v>0.05</v>
      </c>
      <c r="CO13" s="306"/>
      <c r="CP13" s="307" t="str">
        <f>IF($CO13&lt;&gt;"",$CO13,HLOOKUP($CM13,$AY$6:$BA$132,ROWS(CP$6:CP13),0))</f>
        <v/>
      </c>
      <c r="CQ13" s="784" t="str">
        <f t="shared" si="26"/>
        <v/>
      </c>
      <c r="CR13" s="784" t="str">
        <f t="shared" si="26"/>
        <v/>
      </c>
      <c r="CS13" s="97" t="str">
        <f t="shared" si="26"/>
        <v/>
      </c>
      <c r="CT13" s="97" t="str">
        <f t="shared" si="26"/>
        <v/>
      </c>
      <c r="CU13" s="97" t="str">
        <f t="shared" si="26"/>
        <v/>
      </c>
      <c r="CV13" s="97" t="str">
        <f t="shared" si="26"/>
        <v/>
      </c>
      <c r="CW13" s="97" t="str">
        <f t="shared" si="26"/>
        <v/>
      </c>
      <c r="CX13" s="98" t="str">
        <f t="shared" si="26"/>
        <v/>
      </c>
    </row>
    <row r="14" spans="1:104" x14ac:dyDescent="0.25">
      <c r="A14" s="81" t="s">
        <v>27</v>
      </c>
      <c r="B14" s="82" t="s">
        <v>39</v>
      </c>
      <c r="C14" s="83" t="s">
        <v>299</v>
      </c>
      <c r="D14" s="84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654">
        <f>'2022-23 Input'!H14</f>
        <v>0</v>
      </c>
      <c r="N14" s="1065">
        <v>0</v>
      </c>
      <c r="O14" s="560">
        <f t="shared" si="27"/>
        <v>0</v>
      </c>
      <c r="P14" s="561">
        <f t="shared" si="0"/>
        <v>0</v>
      </c>
      <c r="Q14" s="561">
        <f t="shared" si="1"/>
        <v>0</v>
      </c>
      <c r="R14" s="561">
        <f t="shared" si="2"/>
        <v>0</v>
      </c>
      <c r="S14" s="561">
        <f t="shared" si="3"/>
        <v>0</v>
      </c>
      <c r="T14" s="561">
        <f t="shared" si="4"/>
        <v>0</v>
      </c>
      <c r="U14" s="561">
        <f t="shared" si="5"/>
        <v>0</v>
      </c>
      <c r="V14" s="561">
        <f t="shared" si="6"/>
        <v>0</v>
      </c>
      <c r="W14" s="675">
        <f t="shared" si="7"/>
        <v>0</v>
      </c>
      <c r="X14" s="675">
        <f t="shared" si="8"/>
        <v>0</v>
      </c>
      <c r="Y14" s="675">
        <f t="shared" si="8"/>
        <v>0</v>
      </c>
      <c r="Z14" s="86">
        <v>0</v>
      </c>
      <c r="AA14" s="87">
        <v>0</v>
      </c>
      <c r="AB14" s="87">
        <v>0</v>
      </c>
      <c r="AC14" s="87">
        <v>0</v>
      </c>
      <c r="AD14" s="87">
        <v>0</v>
      </c>
      <c r="AE14" s="87">
        <v>0</v>
      </c>
      <c r="AF14" s="87">
        <v>0</v>
      </c>
      <c r="AG14" s="87">
        <v>0</v>
      </c>
      <c r="AH14" s="87">
        <v>0</v>
      </c>
      <c r="AI14" s="1094">
        <f>'2022-23 Input'!O14</f>
        <v>0</v>
      </c>
      <c r="AJ14" s="665">
        <v>0</v>
      </c>
      <c r="AK14" s="88">
        <f t="shared" si="9"/>
        <v>0</v>
      </c>
      <c r="AL14" s="89">
        <f t="shared" si="10"/>
        <v>0</v>
      </c>
      <c r="AM14" s="90">
        <f t="shared" si="11"/>
        <v>0</v>
      </c>
      <c r="AN14" s="91" t="str">
        <f t="shared" si="12"/>
        <v/>
      </c>
      <c r="AO14" s="92" t="str">
        <f t="shared" si="13"/>
        <v/>
      </c>
      <c r="AP14" s="92" t="str">
        <f t="shared" si="14"/>
        <v/>
      </c>
      <c r="AQ14" s="92" t="str">
        <f t="shared" si="15"/>
        <v/>
      </c>
      <c r="AR14" s="92" t="str">
        <f t="shared" si="16"/>
        <v/>
      </c>
      <c r="AS14" s="92" t="str">
        <f t="shared" si="17"/>
        <v/>
      </c>
      <c r="AT14" s="92" t="str">
        <f t="shared" si="18"/>
        <v/>
      </c>
      <c r="AU14" s="92" t="str">
        <f t="shared" si="19"/>
        <v/>
      </c>
      <c r="AV14" s="92" t="str">
        <f t="shared" si="20"/>
        <v/>
      </c>
      <c r="AW14" s="92" t="str">
        <f t="shared" si="20"/>
        <v/>
      </c>
      <c r="AX14" s="92" t="str">
        <f t="shared" si="20"/>
        <v/>
      </c>
      <c r="AY14" s="93" t="str">
        <f t="shared" si="21"/>
        <v/>
      </c>
      <c r="AZ14" s="94" t="str">
        <f t="shared" si="22"/>
        <v/>
      </c>
      <c r="BA14" s="95" t="str">
        <f t="shared" si="23"/>
        <v/>
      </c>
      <c r="BB14" s="248" t="s">
        <v>422</v>
      </c>
      <c r="BC14" s="229" t="s">
        <v>433</v>
      </c>
      <c r="BD14" s="249">
        <v>0</v>
      </c>
      <c r="BE14" s="267">
        <f t="shared" si="28"/>
        <v>0</v>
      </c>
      <c r="BF14" s="268">
        <f t="shared" si="24"/>
        <v>0</v>
      </c>
      <c r="BG14" s="268">
        <f t="shared" si="24"/>
        <v>0</v>
      </c>
      <c r="BH14" s="268">
        <f t="shared" si="24"/>
        <v>1</v>
      </c>
      <c r="BI14" s="268">
        <f t="shared" si="24"/>
        <v>2</v>
      </c>
      <c r="BJ14" s="268">
        <f t="shared" si="24"/>
        <v>3</v>
      </c>
      <c r="BK14" s="268">
        <f t="shared" si="24"/>
        <v>4</v>
      </c>
      <c r="BL14" s="269">
        <f t="shared" si="24"/>
        <v>5</v>
      </c>
      <c r="BM14" s="256">
        <f>IF($BC14=Lookup!$A$2,$BD14*ROUNDUP(BE14/10,0)+1,
IF($BC14=Lookup!$A$3,($BD14+1)^BD14,
IF($BC14=Lookup!$A$4,BE14*$BD14+1,"Error")))</f>
        <v>1</v>
      </c>
      <c r="BN14" s="229">
        <f>IF($BC14=Lookup!$A$2,$BD14*ROUNDUP(BF14/10,0)+1,
IF($BC14=Lookup!$A$3,($BD14+1)^BE14,
IF($BC14=Lookup!$A$4,BF14*$BD14+1,"Error")))</f>
        <v>1</v>
      </c>
      <c r="BO14" s="229">
        <f>IF($BC14=Lookup!$A$2,$BD14*ROUNDUP(BG14/10,0)+1,
IF($BC14=Lookup!$A$3,($BD14+1)^BF14,
IF($BC14=Lookup!$A$4,BG14*$BD14+1,"Error")))</f>
        <v>1</v>
      </c>
      <c r="BP14" s="229">
        <f>IF($BC14=Lookup!$A$2,$BD14*ROUNDUP(BH14/10,0)+1,
IF($BC14=Lookup!$A$3,($BD14+1)^BG14,
IF($BC14=Lookup!$A$4,BH14*$BD14+1,"Error")))</f>
        <v>1</v>
      </c>
      <c r="BQ14" s="229">
        <f>IF($BC14=Lookup!$A$2,$BD14*ROUNDUP(BI14/10,0)+1,
IF($BC14=Lookup!$A$3,($BD14+1)^BH14,
IF($BC14=Lookup!$A$4,BI14*$BD14+1,"Error")))</f>
        <v>1</v>
      </c>
      <c r="BR14" s="229">
        <f>IF($BC14=Lookup!$A$2,$BD14*ROUNDUP(BJ14/10,0)+1,
IF($BC14=Lookup!$A$3,($BD14+1)^BI14,
IF($BC14=Lookup!$A$4,BJ14*$BD14+1,"Error")))</f>
        <v>1</v>
      </c>
      <c r="BS14" s="229">
        <f>IF($BC14=Lookup!$A$2,$BD14*ROUNDUP(BK14/10,0)+1,
IF($BC14=Lookup!$A$3,($BD14+1)^BJ14,
IF($BC14=Lookup!$A$4,BK14*$BD14+1,"Error")))</f>
        <v>1</v>
      </c>
      <c r="BT14" s="249">
        <f>IF($BC14=Lookup!$A$2,$BD14*ROUNDUP(BL14/10,0)+1,
IF($BC14=Lookup!$A$3,($BD14+1)^BK14,
IF($BC14=Lookup!$A$4,BL14*$BD14+1,"Error")))</f>
        <v>1</v>
      </c>
      <c r="BU14" s="320">
        <v>0</v>
      </c>
      <c r="BV14" s="321">
        <v>0</v>
      </c>
      <c r="BW14" s="321">
        <v>0</v>
      </c>
      <c r="BX14" s="321">
        <v>0</v>
      </c>
      <c r="BY14" s="321">
        <v>0</v>
      </c>
      <c r="BZ14" s="321">
        <v>0</v>
      </c>
      <c r="CA14" s="321">
        <v>0</v>
      </c>
      <c r="CB14" s="277">
        <v>0</v>
      </c>
      <c r="CC14" s="382" t="s">
        <v>293</v>
      </c>
      <c r="CD14" s="383">
        <f>HLOOKUP($CC14,$AK$6:$AM$132,ROWS(CD$6:CD14),0)</f>
        <v>0</v>
      </c>
      <c r="CE14" s="234">
        <f t="shared" si="29"/>
        <v>0</v>
      </c>
      <c r="CF14" s="96">
        <f t="shared" si="25"/>
        <v>0</v>
      </c>
      <c r="CG14" s="96">
        <f t="shared" si="25"/>
        <v>0</v>
      </c>
      <c r="CH14" s="96">
        <f t="shared" si="25"/>
        <v>0</v>
      </c>
      <c r="CI14" s="96">
        <f t="shared" si="25"/>
        <v>0</v>
      </c>
      <c r="CJ14" s="96">
        <f t="shared" si="25"/>
        <v>0</v>
      </c>
      <c r="CK14" s="96">
        <f t="shared" si="25"/>
        <v>0</v>
      </c>
      <c r="CL14" s="286">
        <f t="shared" si="25"/>
        <v>0</v>
      </c>
      <c r="CM14" s="305" t="s">
        <v>292</v>
      </c>
      <c r="CN14" s="315">
        <v>0.05</v>
      </c>
      <c r="CO14" s="306"/>
      <c r="CP14" s="307" t="str">
        <f>IF($CO14&lt;&gt;"",$CO14,HLOOKUP($CM14,$AY$6:$BA$132,ROWS(CP$6:CP14),0))</f>
        <v/>
      </c>
      <c r="CQ14" s="784" t="str">
        <f t="shared" si="26"/>
        <v/>
      </c>
      <c r="CR14" s="784" t="str">
        <f t="shared" si="26"/>
        <v/>
      </c>
      <c r="CS14" s="97" t="str">
        <f t="shared" si="26"/>
        <v/>
      </c>
      <c r="CT14" s="97" t="str">
        <f t="shared" si="26"/>
        <v/>
      </c>
      <c r="CU14" s="97" t="str">
        <f t="shared" si="26"/>
        <v/>
      </c>
      <c r="CV14" s="97" t="str">
        <f t="shared" si="26"/>
        <v/>
      </c>
      <c r="CW14" s="97" t="str">
        <f t="shared" si="26"/>
        <v/>
      </c>
      <c r="CX14" s="98" t="str">
        <f t="shared" si="26"/>
        <v/>
      </c>
    </row>
    <row r="15" spans="1:104" x14ac:dyDescent="0.25">
      <c r="A15" s="81" t="s">
        <v>27</v>
      </c>
      <c r="B15" s="82" t="s">
        <v>41</v>
      </c>
      <c r="C15" s="83" t="s">
        <v>42</v>
      </c>
      <c r="D15" s="84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23909.488926194001</v>
      </c>
      <c r="L15" s="85">
        <v>0</v>
      </c>
      <c r="M15" s="654">
        <f>'2022-23 Input'!H15</f>
        <v>0</v>
      </c>
      <c r="N15" s="1065">
        <v>0</v>
      </c>
      <c r="O15" s="560">
        <f t="shared" si="27"/>
        <v>0</v>
      </c>
      <c r="P15" s="561">
        <f t="shared" si="0"/>
        <v>0</v>
      </c>
      <c r="Q15" s="561">
        <f t="shared" si="1"/>
        <v>0</v>
      </c>
      <c r="R15" s="561">
        <f t="shared" si="2"/>
        <v>0</v>
      </c>
      <c r="S15" s="561">
        <f t="shared" si="3"/>
        <v>0</v>
      </c>
      <c r="T15" s="561">
        <f t="shared" si="4"/>
        <v>0</v>
      </c>
      <c r="U15" s="561">
        <f t="shared" si="5"/>
        <v>0</v>
      </c>
      <c r="V15" s="561">
        <f t="shared" si="6"/>
        <v>28676.055698373311</v>
      </c>
      <c r="W15" s="675">
        <f t="shared" si="7"/>
        <v>0</v>
      </c>
      <c r="X15" s="675">
        <f t="shared" si="8"/>
        <v>0</v>
      </c>
      <c r="Y15" s="675">
        <f t="shared" si="8"/>
        <v>0</v>
      </c>
      <c r="Z15" s="86">
        <v>0</v>
      </c>
      <c r="AA15" s="87">
        <v>0</v>
      </c>
      <c r="AB15" s="87">
        <v>0</v>
      </c>
      <c r="AC15" s="87">
        <v>0</v>
      </c>
      <c r="AD15" s="87">
        <v>0</v>
      </c>
      <c r="AE15" s="87">
        <v>0</v>
      </c>
      <c r="AF15" s="87">
        <v>0</v>
      </c>
      <c r="AG15" s="87">
        <v>4</v>
      </c>
      <c r="AH15" s="87">
        <v>0</v>
      </c>
      <c r="AI15" s="1094">
        <f>'2022-23 Input'!O15</f>
        <v>0</v>
      </c>
      <c r="AJ15" s="665">
        <v>0</v>
      </c>
      <c r="AK15" s="88">
        <f t="shared" si="9"/>
        <v>0.8</v>
      </c>
      <c r="AL15" s="89">
        <f t="shared" si="10"/>
        <v>1.3333333333333333</v>
      </c>
      <c r="AM15" s="90">
        <f t="shared" si="11"/>
        <v>0</v>
      </c>
      <c r="AN15" s="91" t="str">
        <f t="shared" si="12"/>
        <v/>
      </c>
      <c r="AO15" s="92" t="str">
        <f t="shared" si="13"/>
        <v/>
      </c>
      <c r="AP15" s="92" t="str">
        <f t="shared" si="14"/>
        <v/>
      </c>
      <c r="AQ15" s="92" t="str">
        <f t="shared" si="15"/>
        <v/>
      </c>
      <c r="AR15" s="92" t="str">
        <f t="shared" si="16"/>
        <v/>
      </c>
      <c r="AS15" s="92" t="str">
        <f t="shared" si="17"/>
        <v/>
      </c>
      <c r="AT15" s="92" t="str">
        <f t="shared" si="18"/>
        <v/>
      </c>
      <c r="AU15" s="92">
        <f t="shared" si="19"/>
        <v>5977.3722315485002</v>
      </c>
      <c r="AV15" s="92" t="str">
        <f t="shared" si="20"/>
        <v/>
      </c>
      <c r="AW15" s="92" t="str">
        <f t="shared" si="20"/>
        <v/>
      </c>
      <c r="AX15" s="92" t="str">
        <f t="shared" si="20"/>
        <v/>
      </c>
      <c r="AY15" s="93">
        <f t="shared" si="21"/>
        <v>5977.3722315485002</v>
      </c>
      <c r="AZ15" s="94">
        <f t="shared" si="22"/>
        <v>5977.3722315485002</v>
      </c>
      <c r="BA15" s="95" t="str">
        <f t="shared" si="23"/>
        <v/>
      </c>
      <c r="BB15" s="248" t="s">
        <v>422</v>
      </c>
      <c r="BC15" s="229" t="s">
        <v>433</v>
      </c>
      <c r="BD15" s="249">
        <v>0</v>
      </c>
      <c r="BE15" s="267">
        <f t="shared" si="28"/>
        <v>0</v>
      </c>
      <c r="BF15" s="268">
        <f t="shared" si="24"/>
        <v>0</v>
      </c>
      <c r="BG15" s="268">
        <f t="shared" si="24"/>
        <v>0</v>
      </c>
      <c r="BH15" s="268">
        <f t="shared" si="24"/>
        <v>1</v>
      </c>
      <c r="BI15" s="268">
        <f t="shared" si="24"/>
        <v>2</v>
      </c>
      <c r="BJ15" s="268">
        <f t="shared" si="24"/>
        <v>3</v>
      </c>
      <c r="BK15" s="268">
        <f t="shared" si="24"/>
        <v>4</v>
      </c>
      <c r="BL15" s="269">
        <f t="shared" si="24"/>
        <v>5</v>
      </c>
      <c r="BM15" s="256">
        <f>IF($BC15=Lookup!$A$2,$BD15*ROUNDUP(BE15/10,0)+1,
IF($BC15=Lookup!$A$3,($BD15+1)^BD15,
IF($BC15=Lookup!$A$4,BE15*$BD15+1,"Error")))</f>
        <v>1</v>
      </c>
      <c r="BN15" s="229">
        <f>IF($BC15=Lookup!$A$2,$BD15*ROUNDUP(BF15/10,0)+1,
IF($BC15=Lookup!$A$3,($BD15+1)^BE15,
IF($BC15=Lookup!$A$4,BF15*$BD15+1,"Error")))</f>
        <v>1</v>
      </c>
      <c r="BO15" s="229">
        <f>IF($BC15=Lookup!$A$2,$BD15*ROUNDUP(BG15/10,0)+1,
IF($BC15=Lookup!$A$3,($BD15+1)^BF15,
IF($BC15=Lookup!$A$4,BG15*$BD15+1,"Error")))</f>
        <v>1</v>
      </c>
      <c r="BP15" s="229">
        <f>IF($BC15=Lookup!$A$2,$BD15*ROUNDUP(BH15/10,0)+1,
IF($BC15=Lookup!$A$3,($BD15+1)^BG15,
IF($BC15=Lookup!$A$4,BH15*$BD15+1,"Error")))</f>
        <v>1</v>
      </c>
      <c r="BQ15" s="229">
        <f>IF($BC15=Lookup!$A$2,$BD15*ROUNDUP(BI15/10,0)+1,
IF($BC15=Lookup!$A$3,($BD15+1)^BH15,
IF($BC15=Lookup!$A$4,BI15*$BD15+1,"Error")))</f>
        <v>1</v>
      </c>
      <c r="BR15" s="229">
        <f>IF($BC15=Lookup!$A$2,$BD15*ROUNDUP(BJ15/10,0)+1,
IF($BC15=Lookup!$A$3,($BD15+1)^BI15,
IF($BC15=Lookup!$A$4,BJ15*$BD15+1,"Error")))</f>
        <v>1</v>
      </c>
      <c r="BS15" s="229">
        <f>IF($BC15=Lookup!$A$2,$BD15*ROUNDUP(BK15/10,0)+1,
IF($BC15=Lookup!$A$3,($BD15+1)^BJ15,
IF($BC15=Lookup!$A$4,BK15*$BD15+1,"Error")))</f>
        <v>1</v>
      </c>
      <c r="BT15" s="249">
        <f>IF($BC15=Lookup!$A$2,$BD15*ROUNDUP(BL15/10,0)+1,
IF($BC15=Lookup!$A$3,($BD15+1)^BK15,
IF($BC15=Lookup!$A$4,BL15*$BD15+1,"Error")))</f>
        <v>1</v>
      </c>
      <c r="BU15" s="320">
        <v>0</v>
      </c>
      <c r="BV15" s="321">
        <v>0</v>
      </c>
      <c r="BW15" s="321">
        <v>0</v>
      </c>
      <c r="BX15" s="321">
        <v>0</v>
      </c>
      <c r="BY15" s="321">
        <v>0</v>
      </c>
      <c r="BZ15" s="321">
        <v>0</v>
      </c>
      <c r="CA15" s="321">
        <v>0</v>
      </c>
      <c r="CB15" s="277">
        <v>0</v>
      </c>
      <c r="CC15" s="382" t="s">
        <v>293</v>
      </c>
      <c r="CD15" s="383">
        <f>HLOOKUP($CC15,$AK$6:$AM$132,ROWS(CD$6:CD15),0)</f>
        <v>1.3333333333333333</v>
      </c>
      <c r="CE15" s="234">
        <f t="shared" si="29"/>
        <v>0</v>
      </c>
      <c r="CF15" s="96">
        <f t="shared" si="25"/>
        <v>0</v>
      </c>
      <c r="CG15" s="96">
        <f t="shared" si="25"/>
        <v>0</v>
      </c>
      <c r="CH15" s="96">
        <f t="shared" si="25"/>
        <v>0</v>
      </c>
      <c r="CI15" s="96">
        <f t="shared" si="25"/>
        <v>0</v>
      </c>
      <c r="CJ15" s="96">
        <f t="shared" si="25"/>
        <v>0</v>
      </c>
      <c r="CK15" s="96">
        <f t="shared" si="25"/>
        <v>0</v>
      </c>
      <c r="CL15" s="286">
        <f t="shared" si="25"/>
        <v>0</v>
      </c>
      <c r="CM15" s="305" t="s">
        <v>292</v>
      </c>
      <c r="CN15" s="315">
        <v>0.05</v>
      </c>
      <c r="CO15" s="306"/>
      <c r="CP15" s="307">
        <f>IF($CO15&lt;&gt;"",$CO15,HLOOKUP($CM15,$AY$6:$BA$132,ROWS(CP$6:CP15),0))</f>
        <v>5977.3722315485002</v>
      </c>
      <c r="CQ15" s="784">
        <f t="shared" si="26"/>
        <v>0</v>
      </c>
      <c r="CR15" s="784">
        <f t="shared" si="26"/>
        <v>0</v>
      </c>
      <c r="CS15" s="97">
        <f t="shared" si="26"/>
        <v>0</v>
      </c>
      <c r="CT15" s="97">
        <f t="shared" si="26"/>
        <v>0</v>
      </c>
      <c r="CU15" s="97">
        <f t="shared" si="26"/>
        <v>0</v>
      </c>
      <c r="CV15" s="97">
        <f t="shared" si="26"/>
        <v>0</v>
      </c>
      <c r="CW15" s="97">
        <f t="shared" si="26"/>
        <v>0</v>
      </c>
      <c r="CX15" s="98">
        <f t="shared" si="26"/>
        <v>0</v>
      </c>
    </row>
    <row r="16" spans="1:104" x14ac:dyDescent="0.25">
      <c r="A16" s="81" t="s">
        <v>27</v>
      </c>
      <c r="B16" s="82" t="s">
        <v>43</v>
      </c>
      <c r="C16" s="83" t="s">
        <v>300</v>
      </c>
      <c r="D16" s="84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85">
        <v>10038.491506586</v>
      </c>
      <c r="L16" s="85">
        <v>-2106.5</v>
      </c>
      <c r="M16" s="654">
        <f>'2022-23 Input'!H16</f>
        <v>0</v>
      </c>
      <c r="N16" s="1065">
        <v>0</v>
      </c>
      <c r="O16" s="560">
        <f t="shared" si="27"/>
        <v>0</v>
      </c>
      <c r="P16" s="561">
        <f t="shared" si="0"/>
        <v>0</v>
      </c>
      <c r="Q16" s="561">
        <f t="shared" si="1"/>
        <v>0</v>
      </c>
      <c r="R16" s="561">
        <f t="shared" si="2"/>
        <v>0</v>
      </c>
      <c r="S16" s="561">
        <f t="shared" si="3"/>
        <v>0</v>
      </c>
      <c r="T16" s="561">
        <f t="shared" si="4"/>
        <v>0</v>
      </c>
      <c r="U16" s="561">
        <f t="shared" si="5"/>
        <v>0</v>
      </c>
      <c r="V16" s="561">
        <f t="shared" si="6"/>
        <v>12039.753022706323</v>
      </c>
      <c r="W16" s="675">
        <f t="shared" si="7"/>
        <v>-2380.1917183638107</v>
      </c>
      <c r="X16" s="675">
        <f t="shared" si="8"/>
        <v>0</v>
      </c>
      <c r="Y16" s="675">
        <f t="shared" si="8"/>
        <v>0</v>
      </c>
      <c r="Z16" s="86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1</v>
      </c>
      <c r="AH16" s="87">
        <v>-1</v>
      </c>
      <c r="AI16" s="1094">
        <f>'2022-23 Input'!O16</f>
        <v>0</v>
      </c>
      <c r="AJ16" s="665">
        <v>0</v>
      </c>
      <c r="AK16" s="88">
        <f t="shared" si="9"/>
        <v>0</v>
      </c>
      <c r="AL16" s="89">
        <f t="shared" si="10"/>
        <v>0</v>
      </c>
      <c r="AM16" s="90">
        <f t="shared" si="11"/>
        <v>0</v>
      </c>
      <c r="AN16" s="91" t="str">
        <f t="shared" si="12"/>
        <v/>
      </c>
      <c r="AO16" s="92" t="str">
        <f t="shared" si="13"/>
        <v/>
      </c>
      <c r="AP16" s="92" t="str">
        <f t="shared" si="14"/>
        <v/>
      </c>
      <c r="AQ16" s="92" t="str">
        <f t="shared" si="15"/>
        <v/>
      </c>
      <c r="AR16" s="92" t="str">
        <f t="shared" si="16"/>
        <v/>
      </c>
      <c r="AS16" s="92" t="str">
        <f t="shared" si="17"/>
        <v/>
      </c>
      <c r="AT16" s="92" t="str">
        <f t="shared" si="18"/>
        <v/>
      </c>
      <c r="AU16" s="92">
        <f t="shared" si="19"/>
        <v>10038.491506586</v>
      </c>
      <c r="AV16" s="92">
        <f t="shared" si="20"/>
        <v>2106.5</v>
      </c>
      <c r="AW16" s="92" t="str">
        <f t="shared" si="20"/>
        <v/>
      </c>
      <c r="AX16" s="92" t="str">
        <f t="shared" si="20"/>
        <v/>
      </c>
      <c r="AY16" s="93" t="str">
        <f t="shared" si="21"/>
        <v/>
      </c>
      <c r="AZ16" s="94" t="str">
        <f t="shared" si="22"/>
        <v/>
      </c>
      <c r="BA16" s="95" t="str">
        <f t="shared" si="23"/>
        <v/>
      </c>
      <c r="BB16" s="248" t="s">
        <v>422</v>
      </c>
      <c r="BC16" s="229" t="s">
        <v>433</v>
      </c>
      <c r="BD16" s="249">
        <v>0</v>
      </c>
      <c r="BE16" s="267">
        <f t="shared" si="28"/>
        <v>0</v>
      </c>
      <c r="BF16" s="268">
        <f t="shared" si="24"/>
        <v>0</v>
      </c>
      <c r="BG16" s="268">
        <f t="shared" si="24"/>
        <v>0</v>
      </c>
      <c r="BH16" s="268">
        <f t="shared" si="24"/>
        <v>1</v>
      </c>
      <c r="BI16" s="268">
        <f t="shared" si="24"/>
        <v>2</v>
      </c>
      <c r="BJ16" s="268">
        <f t="shared" si="24"/>
        <v>3</v>
      </c>
      <c r="BK16" s="268">
        <f t="shared" si="24"/>
        <v>4</v>
      </c>
      <c r="BL16" s="269">
        <f t="shared" si="24"/>
        <v>5</v>
      </c>
      <c r="BM16" s="256">
        <f>IF($BC16=Lookup!$A$2,$BD16*ROUNDUP(BE16/10,0)+1,
IF($BC16=Lookup!$A$3,($BD16+1)^BD16,
IF($BC16=Lookup!$A$4,BE16*$BD16+1,"Error")))</f>
        <v>1</v>
      </c>
      <c r="BN16" s="229">
        <f>IF($BC16=Lookup!$A$2,$BD16*ROUNDUP(BF16/10,0)+1,
IF($BC16=Lookup!$A$3,($BD16+1)^BE16,
IF($BC16=Lookup!$A$4,BF16*$BD16+1,"Error")))</f>
        <v>1</v>
      </c>
      <c r="BO16" s="229">
        <f>IF($BC16=Lookup!$A$2,$BD16*ROUNDUP(BG16/10,0)+1,
IF($BC16=Lookup!$A$3,($BD16+1)^BF16,
IF($BC16=Lookup!$A$4,BG16*$BD16+1,"Error")))</f>
        <v>1</v>
      </c>
      <c r="BP16" s="229">
        <f>IF($BC16=Lookup!$A$2,$BD16*ROUNDUP(BH16/10,0)+1,
IF($BC16=Lookup!$A$3,($BD16+1)^BG16,
IF($BC16=Lookup!$A$4,BH16*$BD16+1,"Error")))</f>
        <v>1</v>
      </c>
      <c r="BQ16" s="229">
        <f>IF($BC16=Lookup!$A$2,$BD16*ROUNDUP(BI16/10,0)+1,
IF($BC16=Lookup!$A$3,($BD16+1)^BH16,
IF($BC16=Lookup!$A$4,BI16*$BD16+1,"Error")))</f>
        <v>1</v>
      </c>
      <c r="BR16" s="229">
        <f>IF($BC16=Lookup!$A$2,$BD16*ROUNDUP(BJ16/10,0)+1,
IF($BC16=Lookup!$A$3,($BD16+1)^BI16,
IF($BC16=Lookup!$A$4,BJ16*$BD16+1,"Error")))</f>
        <v>1</v>
      </c>
      <c r="BS16" s="229">
        <f>IF($BC16=Lookup!$A$2,$BD16*ROUNDUP(BK16/10,0)+1,
IF($BC16=Lookup!$A$3,($BD16+1)^BJ16,
IF($BC16=Lookup!$A$4,BK16*$BD16+1,"Error")))</f>
        <v>1</v>
      </c>
      <c r="BT16" s="249">
        <f>IF($BC16=Lookup!$A$2,$BD16*ROUNDUP(BL16/10,0)+1,
IF($BC16=Lookup!$A$3,($BD16+1)^BK16,
IF($BC16=Lookup!$A$4,BL16*$BD16+1,"Error")))</f>
        <v>1</v>
      </c>
      <c r="BU16" s="320">
        <v>0</v>
      </c>
      <c r="BV16" s="321">
        <v>0</v>
      </c>
      <c r="BW16" s="321">
        <v>0</v>
      </c>
      <c r="BX16" s="321">
        <v>0</v>
      </c>
      <c r="BY16" s="321">
        <v>0</v>
      </c>
      <c r="BZ16" s="321">
        <v>0</v>
      </c>
      <c r="CA16" s="321">
        <v>0</v>
      </c>
      <c r="CB16" s="277">
        <v>0</v>
      </c>
      <c r="CC16" s="382" t="s">
        <v>293</v>
      </c>
      <c r="CD16" s="383">
        <f>HLOOKUP($CC16,$AK$6:$AM$132,ROWS(CD$6:CD16),0)</f>
        <v>0</v>
      </c>
      <c r="CE16" s="234">
        <f t="shared" si="29"/>
        <v>0</v>
      </c>
      <c r="CF16" s="96">
        <f t="shared" si="25"/>
        <v>0</v>
      </c>
      <c r="CG16" s="96">
        <f t="shared" si="25"/>
        <v>0</v>
      </c>
      <c r="CH16" s="96">
        <f t="shared" si="25"/>
        <v>0</v>
      </c>
      <c r="CI16" s="96">
        <f t="shared" si="25"/>
        <v>0</v>
      </c>
      <c r="CJ16" s="96">
        <f t="shared" si="25"/>
        <v>0</v>
      </c>
      <c r="CK16" s="96">
        <f t="shared" si="25"/>
        <v>0</v>
      </c>
      <c r="CL16" s="286">
        <f t="shared" si="25"/>
        <v>0</v>
      </c>
      <c r="CM16" s="305" t="s">
        <v>292</v>
      </c>
      <c r="CN16" s="315">
        <v>0.05</v>
      </c>
      <c r="CO16" s="306"/>
      <c r="CP16" s="307" t="str">
        <f>IF($CO16&lt;&gt;"",$CO16,HLOOKUP($CM16,$AY$6:$BA$132,ROWS(CP$6:CP16),0))</f>
        <v/>
      </c>
      <c r="CQ16" s="784" t="str">
        <f t="shared" si="26"/>
        <v/>
      </c>
      <c r="CR16" s="784" t="str">
        <f t="shared" si="26"/>
        <v/>
      </c>
      <c r="CS16" s="97" t="str">
        <f t="shared" si="26"/>
        <v/>
      </c>
      <c r="CT16" s="97" t="str">
        <f t="shared" si="26"/>
        <v/>
      </c>
      <c r="CU16" s="97" t="str">
        <f t="shared" si="26"/>
        <v/>
      </c>
      <c r="CV16" s="97" t="str">
        <f t="shared" si="26"/>
        <v/>
      </c>
      <c r="CW16" s="97" t="str">
        <f t="shared" si="26"/>
        <v/>
      </c>
      <c r="CX16" s="98" t="str">
        <f t="shared" si="26"/>
        <v/>
      </c>
    </row>
    <row r="17" spans="1:102" x14ac:dyDescent="0.25">
      <c r="A17" s="81" t="s">
        <v>27</v>
      </c>
      <c r="B17" s="82" t="s">
        <v>45</v>
      </c>
      <c r="C17" s="83" t="s">
        <v>46</v>
      </c>
      <c r="D17" s="84">
        <v>0</v>
      </c>
      <c r="E17" s="85">
        <v>0</v>
      </c>
      <c r="F17" s="85">
        <v>0</v>
      </c>
      <c r="G17" s="85">
        <v>0</v>
      </c>
      <c r="H17" s="85">
        <v>0</v>
      </c>
      <c r="I17" s="85">
        <v>0</v>
      </c>
      <c r="J17" s="85">
        <v>292150.60757172696</v>
      </c>
      <c r="K17" s="85">
        <v>0</v>
      </c>
      <c r="L17" s="85">
        <v>0</v>
      </c>
      <c r="M17" s="654">
        <f>'2022-23 Input'!H17</f>
        <v>0</v>
      </c>
      <c r="N17" s="1065">
        <v>0</v>
      </c>
      <c r="O17" s="560">
        <f t="shared" si="27"/>
        <v>0</v>
      </c>
      <c r="P17" s="561">
        <f t="shared" si="0"/>
        <v>0</v>
      </c>
      <c r="Q17" s="561">
        <f t="shared" si="1"/>
        <v>0</v>
      </c>
      <c r="R17" s="561">
        <f t="shared" si="2"/>
        <v>0</v>
      </c>
      <c r="S17" s="561">
        <f t="shared" si="3"/>
        <v>0</v>
      </c>
      <c r="T17" s="561">
        <f t="shared" si="4"/>
        <v>0</v>
      </c>
      <c r="U17" s="561">
        <f t="shared" si="5"/>
        <v>363870.06827215798</v>
      </c>
      <c r="V17" s="561">
        <f t="shared" si="6"/>
        <v>0</v>
      </c>
      <c r="W17" s="675">
        <f t="shared" si="7"/>
        <v>0</v>
      </c>
      <c r="X17" s="675">
        <f t="shared" si="8"/>
        <v>0</v>
      </c>
      <c r="Y17" s="675">
        <f t="shared" si="8"/>
        <v>0</v>
      </c>
      <c r="Z17" s="86">
        <v>0</v>
      </c>
      <c r="AA17" s="87">
        <v>0</v>
      </c>
      <c r="AB17" s="87">
        <v>0</v>
      </c>
      <c r="AC17" s="87">
        <v>0</v>
      </c>
      <c r="AD17" s="87">
        <v>0</v>
      </c>
      <c r="AE17" s="87">
        <v>0</v>
      </c>
      <c r="AF17" s="87">
        <v>4</v>
      </c>
      <c r="AG17" s="87">
        <v>0</v>
      </c>
      <c r="AH17" s="87">
        <v>0</v>
      </c>
      <c r="AI17" s="1094">
        <f>'2022-23 Input'!O17</f>
        <v>0</v>
      </c>
      <c r="AJ17" s="665">
        <v>0</v>
      </c>
      <c r="AK17" s="88">
        <f t="shared" si="9"/>
        <v>0.8</v>
      </c>
      <c r="AL17" s="89">
        <f t="shared" si="10"/>
        <v>0</v>
      </c>
      <c r="AM17" s="90">
        <f t="shared" si="11"/>
        <v>0</v>
      </c>
      <c r="AN17" s="91" t="str">
        <f t="shared" si="12"/>
        <v/>
      </c>
      <c r="AO17" s="92" t="str">
        <f t="shared" si="13"/>
        <v/>
      </c>
      <c r="AP17" s="92" t="str">
        <f t="shared" si="14"/>
        <v/>
      </c>
      <c r="AQ17" s="92" t="str">
        <f t="shared" si="15"/>
        <v/>
      </c>
      <c r="AR17" s="92" t="str">
        <f t="shared" si="16"/>
        <v/>
      </c>
      <c r="AS17" s="92" t="str">
        <f t="shared" si="17"/>
        <v/>
      </c>
      <c r="AT17" s="92">
        <f t="shared" si="18"/>
        <v>73037.651892931739</v>
      </c>
      <c r="AU17" s="92" t="str">
        <f t="shared" si="19"/>
        <v/>
      </c>
      <c r="AV17" s="92" t="str">
        <f t="shared" si="20"/>
        <v/>
      </c>
      <c r="AW17" s="92" t="str">
        <f t="shared" si="20"/>
        <v/>
      </c>
      <c r="AX17" s="92" t="str">
        <f t="shared" si="20"/>
        <v/>
      </c>
      <c r="AY17" s="93">
        <f t="shared" si="21"/>
        <v>73037.651892931739</v>
      </c>
      <c r="AZ17" s="94" t="str">
        <f t="shared" si="22"/>
        <v/>
      </c>
      <c r="BA17" s="95" t="str">
        <f t="shared" si="23"/>
        <v/>
      </c>
      <c r="BB17" s="248" t="s">
        <v>422</v>
      </c>
      <c r="BC17" s="229" t="s">
        <v>433</v>
      </c>
      <c r="BD17" s="249">
        <v>0</v>
      </c>
      <c r="BE17" s="267">
        <f t="shared" si="28"/>
        <v>0</v>
      </c>
      <c r="BF17" s="268">
        <f t="shared" si="24"/>
        <v>0</v>
      </c>
      <c r="BG17" s="268">
        <f t="shared" si="24"/>
        <v>0</v>
      </c>
      <c r="BH17" s="268">
        <f t="shared" si="24"/>
        <v>1</v>
      </c>
      <c r="BI17" s="268">
        <f t="shared" si="24"/>
        <v>2</v>
      </c>
      <c r="BJ17" s="268">
        <f t="shared" si="24"/>
        <v>3</v>
      </c>
      <c r="BK17" s="268">
        <f t="shared" si="24"/>
        <v>4</v>
      </c>
      <c r="BL17" s="269">
        <f t="shared" si="24"/>
        <v>5</v>
      </c>
      <c r="BM17" s="256">
        <f>IF($BC17=Lookup!$A$2,$BD17*ROUNDUP(BE17/10,0)+1,
IF($BC17=Lookup!$A$3,($BD17+1)^BD17,
IF($BC17=Lookup!$A$4,BE17*$BD17+1,"Error")))</f>
        <v>1</v>
      </c>
      <c r="BN17" s="229">
        <f>IF($BC17=Lookup!$A$2,$BD17*ROUNDUP(BF17/10,0)+1,
IF($BC17=Lookup!$A$3,($BD17+1)^BE17,
IF($BC17=Lookup!$A$4,BF17*$BD17+1,"Error")))</f>
        <v>1</v>
      </c>
      <c r="BO17" s="229">
        <f>IF($BC17=Lookup!$A$2,$BD17*ROUNDUP(BG17/10,0)+1,
IF($BC17=Lookup!$A$3,($BD17+1)^BF17,
IF($BC17=Lookup!$A$4,BG17*$BD17+1,"Error")))</f>
        <v>1</v>
      </c>
      <c r="BP17" s="229">
        <f>IF($BC17=Lookup!$A$2,$BD17*ROUNDUP(BH17/10,0)+1,
IF($BC17=Lookup!$A$3,($BD17+1)^BG17,
IF($BC17=Lookup!$A$4,BH17*$BD17+1,"Error")))</f>
        <v>1</v>
      </c>
      <c r="BQ17" s="229">
        <f>IF($BC17=Lookup!$A$2,$BD17*ROUNDUP(BI17/10,0)+1,
IF($BC17=Lookup!$A$3,($BD17+1)^BH17,
IF($BC17=Lookup!$A$4,BI17*$BD17+1,"Error")))</f>
        <v>1</v>
      </c>
      <c r="BR17" s="229">
        <f>IF($BC17=Lookup!$A$2,$BD17*ROUNDUP(BJ17/10,0)+1,
IF($BC17=Lookup!$A$3,($BD17+1)^BI17,
IF($BC17=Lookup!$A$4,BJ17*$BD17+1,"Error")))</f>
        <v>1</v>
      </c>
      <c r="BS17" s="229">
        <f>IF($BC17=Lookup!$A$2,$BD17*ROUNDUP(BK17/10,0)+1,
IF($BC17=Lookup!$A$3,($BD17+1)^BJ17,
IF($BC17=Lookup!$A$4,BK17*$BD17+1,"Error")))</f>
        <v>1</v>
      </c>
      <c r="BT17" s="249">
        <f>IF($BC17=Lookup!$A$2,$BD17*ROUNDUP(BL17/10,0)+1,
IF($BC17=Lookup!$A$3,($BD17+1)^BK17,
IF($BC17=Lookup!$A$4,BL17*$BD17+1,"Error")))</f>
        <v>1</v>
      </c>
      <c r="BU17" s="320">
        <v>0</v>
      </c>
      <c r="BV17" s="321">
        <v>0</v>
      </c>
      <c r="BW17" s="321">
        <v>0</v>
      </c>
      <c r="BX17" s="321">
        <v>0</v>
      </c>
      <c r="BY17" s="321">
        <v>0</v>
      </c>
      <c r="BZ17" s="321">
        <v>0</v>
      </c>
      <c r="CA17" s="321">
        <v>0</v>
      </c>
      <c r="CB17" s="277">
        <v>0</v>
      </c>
      <c r="CC17" s="382" t="s">
        <v>293</v>
      </c>
      <c r="CD17" s="383">
        <f>HLOOKUP($CC17,$AK$6:$AM$132,ROWS(CD$6:CD17),0)</f>
        <v>0</v>
      </c>
      <c r="CE17" s="234">
        <f t="shared" si="29"/>
        <v>0</v>
      </c>
      <c r="CF17" s="96">
        <f t="shared" si="25"/>
        <v>0</v>
      </c>
      <c r="CG17" s="96">
        <f t="shared" si="25"/>
        <v>0</v>
      </c>
      <c r="CH17" s="96">
        <f t="shared" si="25"/>
        <v>0</v>
      </c>
      <c r="CI17" s="96">
        <f t="shared" si="25"/>
        <v>0</v>
      </c>
      <c r="CJ17" s="96">
        <f t="shared" si="25"/>
        <v>0</v>
      </c>
      <c r="CK17" s="96">
        <f t="shared" si="25"/>
        <v>0</v>
      </c>
      <c r="CL17" s="286">
        <f t="shared" si="25"/>
        <v>0</v>
      </c>
      <c r="CM17" s="305" t="s">
        <v>292</v>
      </c>
      <c r="CN17" s="315">
        <v>0.05</v>
      </c>
      <c r="CO17" s="306"/>
      <c r="CP17" s="307">
        <f>IF($CO17&lt;&gt;"",$CO17,HLOOKUP($CM17,$AY$6:$BA$132,ROWS(CP$6:CP17),0))</f>
        <v>73037.651892931739</v>
      </c>
      <c r="CQ17" s="784">
        <f t="shared" si="26"/>
        <v>0</v>
      </c>
      <c r="CR17" s="784">
        <f t="shared" si="26"/>
        <v>0</v>
      </c>
      <c r="CS17" s="97">
        <f t="shared" si="26"/>
        <v>0</v>
      </c>
      <c r="CT17" s="97">
        <f t="shared" si="26"/>
        <v>0</v>
      </c>
      <c r="CU17" s="97">
        <f t="shared" si="26"/>
        <v>0</v>
      </c>
      <c r="CV17" s="97">
        <f t="shared" si="26"/>
        <v>0</v>
      </c>
      <c r="CW17" s="97">
        <f t="shared" si="26"/>
        <v>0</v>
      </c>
      <c r="CX17" s="98">
        <f t="shared" si="26"/>
        <v>0</v>
      </c>
    </row>
    <row r="18" spans="1:102" x14ac:dyDescent="0.25">
      <c r="A18" s="81" t="s">
        <v>27</v>
      </c>
      <c r="B18" s="82" t="s">
        <v>47</v>
      </c>
      <c r="C18" s="83" t="s">
        <v>48</v>
      </c>
      <c r="D18" s="84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654">
        <f>'2022-23 Input'!H18</f>
        <v>0</v>
      </c>
      <c r="N18" s="1065">
        <v>0</v>
      </c>
      <c r="O18" s="560">
        <f t="shared" si="27"/>
        <v>0</v>
      </c>
      <c r="P18" s="561">
        <f t="shared" si="0"/>
        <v>0</v>
      </c>
      <c r="Q18" s="561">
        <f t="shared" si="1"/>
        <v>0</v>
      </c>
      <c r="R18" s="561">
        <f t="shared" si="2"/>
        <v>0</v>
      </c>
      <c r="S18" s="561">
        <f t="shared" si="3"/>
        <v>0</v>
      </c>
      <c r="T18" s="561">
        <f t="shared" si="4"/>
        <v>0</v>
      </c>
      <c r="U18" s="561">
        <f t="shared" si="5"/>
        <v>0</v>
      </c>
      <c r="V18" s="561">
        <f t="shared" si="6"/>
        <v>0</v>
      </c>
      <c r="W18" s="675">
        <f t="shared" si="7"/>
        <v>0</v>
      </c>
      <c r="X18" s="675">
        <f t="shared" si="8"/>
        <v>0</v>
      </c>
      <c r="Y18" s="675">
        <f t="shared" si="8"/>
        <v>0</v>
      </c>
      <c r="Z18" s="86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87">
        <v>0</v>
      </c>
      <c r="AI18" s="1094">
        <f>'2022-23 Input'!O18</f>
        <v>0</v>
      </c>
      <c r="AJ18" s="665">
        <v>0</v>
      </c>
      <c r="AK18" s="88">
        <f t="shared" si="9"/>
        <v>0</v>
      </c>
      <c r="AL18" s="89">
        <f t="shared" si="10"/>
        <v>0</v>
      </c>
      <c r="AM18" s="90">
        <f t="shared" si="11"/>
        <v>0</v>
      </c>
      <c r="AN18" s="91" t="str">
        <f t="shared" si="12"/>
        <v/>
      </c>
      <c r="AO18" s="92" t="str">
        <f t="shared" si="13"/>
        <v/>
      </c>
      <c r="AP18" s="92" t="str">
        <f t="shared" si="14"/>
        <v/>
      </c>
      <c r="AQ18" s="92" t="str">
        <f t="shared" si="15"/>
        <v/>
      </c>
      <c r="AR18" s="92" t="str">
        <f t="shared" si="16"/>
        <v/>
      </c>
      <c r="AS18" s="92" t="str">
        <f t="shared" si="17"/>
        <v/>
      </c>
      <c r="AT18" s="92" t="str">
        <f t="shared" si="18"/>
        <v/>
      </c>
      <c r="AU18" s="92" t="str">
        <f t="shared" si="19"/>
        <v/>
      </c>
      <c r="AV18" s="92" t="str">
        <f t="shared" si="20"/>
        <v/>
      </c>
      <c r="AW18" s="92" t="str">
        <f t="shared" si="20"/>
        <v/>
      </c>
      <c r="AX18" s="92" t="str">
        <f t="shared" si="20"/>
        <v/>
      </c>
      <c r="AY18" s="93" t="str">
        <f t="shared" si="21"/>
        <v/>
      </c>
      <c r="AZ18" s="94" t="str">
        <f t="shared" si="22"/>
        <v/>
      </c>
      <c r="BA18" s="95" t="str">
        <f t="shared" si="23"/>
        <v/>
      </c>
      <c r="BB18" s="248" t="s">
        <v>422</v>
      </c>
      <c r="BC18" s="229" t="s">
        <v>433</v>
      </c>
      <c r="BD18" s="249">
        <v>0</v>
      </c>
      <c r="BE18" s="267">
        <f t="shared" si="28"/>
        <v>0</v>
      </c>
      <c r="BF18" s="268">
        <f t="shared" si="24"/>
        <v>0</v>
      </c>
      <c r="BG18" s="268">
        <f t="shared" si="24"/>
        <v>0</v>
      </c>
      <c r="BH18" s="268">
        <f t="shared" si="24"/>
        <v>1</v>
      </c>
      <c r="BI18" s="268">
        <f t="shared" si="24"/>
        <v>2</v>
      </c>
      <c r="BJ18" s="268">
        <f t="shared" si="24"/>
        <v>3</v>
      </c>
      <c r="BK18" s="268">
        <f t="shared" si="24"/>
        <v>4</v>
      </c>
      <c r="BL18" s="269">
        <f t="shared" si="24"/>
        <v>5</v>
      </c>
      <c r="BM18" s="256">
        <f>IF($BC18=Lookup!$A$2,$BD18*ROUNDUP(BE18/10,0)+1,
IF($BC18=Lookup!$A$3,($BD18+1)^BD18,
IF($BC18=Lookup!$A$4,BE18*$BD18+1,"Error")))</f>
        <v>1</v>
      </c>
      <c r="BN18" s="229">
        <f>IF($BC18=Lookup!$A$2,$BD18*ROUNDUP(BF18/10,0)+1,
IF($BC18=Lookup!$A$3,($BD18+1)^BE18,
IF($BC18=Lookup!$A$4,BF18*$BD18+1,"Error")))</f>
        <v>1</v>
      </c>
      <c r="BO18" s="229">
        <f>IF($BC18=Lookup!$A$2,$BD18*ROUNDUP(BG18/10,0)+1,
IF($BC18=Lookup!$A$3,($BD18+1)^BF18,
IF($BC18=Lookup!$A$4,BG18*$BD18+1,"Error")))</f>
        <v>1</v>
      </c>
      <c r="BP18" s="229">
        <f>IF($BC18=Lookup!$A$2,$BD18*ROUNDUP(BH18/10,0)+1,
IF($BC18=Lookup!$A$3,($BD18+1)^BG18,
IF($BC18=Lookup!$A$4,BH18*$BD18+1,"Error")))</f>
        <v>1</v>
      </c>
      <c r="BQ18" s="229">
        <f>IF($BC18=Lookup!$A$2,$BD18*ROUNDUP(BI18/10,0)+1,
IF($BC18=Lookup!$A$3,($BD18+1)^BH18,
IF($BC18=Lookup!$A$4,BI18*$BD18+1,"Error")))</f>
        <v>1</v>
      </c>
      <c r="BR18" s="229">
        <f>IF($BC18=Lookup!$A$2,$BD18*ROUNDUP(BJ18/10,0)+1,
IF($BC18=Lookup!$A$3,($BD18+1)^BI18,
IF($BC18=Lookup!$A$4,BJ18*$BD18+1,"Error")))</f>
        <v>1</v>
      </c>
      <c r="BS18" s="229">
        <f>IF($BC18=Lookup!$A$2,$BD18*ROUNDUP(BK18/10,0)+1,
IF($BC18=Lookup!$A$3,($BD18+1)^BJ18,
IF($BC18=Lookup!$A$4,BK18*$BD18+1,"Error")))</f>
        <v>1</v>
      </c>
      <c r="BT18" s="249">
        <f>IF($BC18=Lookup!$A$2,$BD18*ROUNDUP(BL18/10,0)+1,
IF($BC18=Lookup!$A$3,($BD18+1)^BK18,
IF($BC18=Lookup!$A$4,BL18*$BD18+1,"Error")))</f>
        <v>1</v>
      </c>
      <c r="BU18" s="320">
        <v>0</v>
      </c>
      <c r="BV18" s="321">
        <v>0</v>
      </c>
      <c r="BW18" s="321">
        <v>0</v>
      </c>
      <c r="BX18" s="321">
        <v>0</v>
      </c>
      <c r="BY18" s="321">
        <v>0</v>
      </c>
      <c r="BZ18" s="321">
        <v>0</v>
      </c>
      <c r="CA18" s="321">
        <v>0</v>
      </c>
      <c r="CB18" s="277">
        <v>0</v>
      </c>
      <c r="CC18" s="382" t="s">
        <v>293</v>
      </c>
      <c r="CD18" s="383">
        <f>HLOOKUP($CC18,$AK$6:$AM$132,ROWS(CD$6:CD18),0)</f>
        <v>0</v>
      </c>
      <c r="CE18" s="234">
        <f t="shared" si="29"/>
        <v>0</v>
      </c>
      <c r="CF18" s="96">
        <f t="shared" si="25"/>
        <v>0</v>
      </c>
      <c r="CG18" s="96">
        <f t="shared" si="25"/>
        <v>0</v>
      </c>
      <c r="CH18" s="96">
        <f t="shared" si="25"/>
        <v>0</v>
      </c>
      <c r="CI18" s="96">
        <f t="shared" si="25"/>
        <v>0</v>
      </c>
      <c r="CJ18" s="96">
        <f t="shared" si="25"/>
        <v>0</v>
      </c>
      <c r="CK18" s="96">
        <f t="shared" si="25"/>
        <v>0</v>
      </c>
      <c r="CL18" s="286">
        <f t="shared" si="25"/>
        <v>0</v>
      </c>
      <c r="CM18" s="305" t="s">
        <v>292</v>
      </c>
      <c r="CN18" s="315">
        <v>0.05</v>
      </c>
      <c r="CO18" s="306"/>
      <c r="CP18" s="307" t="str">
        <f>IF($CO18&lt;&gt;"",$CO18,HLOOKUP($CM18,$AY$6:$BA$132,ROWS(CP$6:CP18),0))</f>
        <v/>
      </c>
      <c r="CQ18" s="784" t="str">
        <f t="shared" si="26"/>
        <v/>
      </c>
      <c r="CR18" s="784" t="str">
        <f t="shared" si="26"/>
        <v/>
      </c>
      <c r="CS18" s="97" t="str">
        <f t="shared" si="26"/>
        <v/>
      </c>
      <c r="CT18" s="97" t="str">
        <f t="shared" si="26"/>
        <v/>
      </c>
      <c r="CU18" s="97" t="str">
        <f t="shared" si="26"/>
        <v/>
      </c>
      <c r="CV18" s="97" t="str">
        <f t="shared" si="26"/>
        <v/>
      </c>
      <c r="CW18" s="97" t="str">
        <f t="shared" si="26"/>
        <v/>
      </c>
      <c r="CX18" s="98" t="str">
        <f t="shared" si="26"/>
        <v/>
      </c>
    </row>
    <row r="19" spans="1:102" x14ac:dyDescent="0.25">
      <c r="A19" s="81" t="s">
        <v>27</v>
      </c>
      <c r="B19" s="82" t="s">
        <v>49</v>
      </c>
      <c r="C19" s="83" t="s">
        <v>50</v>
      </c>
      <c r="D19" s="84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654">
        <f>'2022-23 Input'!H19</f>
        <v>0</v>
      </c>
      <c r="N19" s="1065">
        <v>0</v>
      </c>
      <c r="O19" s="560">
        <f t="shared" si="27"/>
        <v>0</v>
      </c>
      <c r="P19" s="561">
        <f t="shared" si="0"/>
        <v>0</v>
      </c>
      <c r="Q19" s="561">
        <f t="shared" si="1"/>
        <v>0</v>
      </c>
      <c r="R19" s="561">
        <f t="shared" si="2"/>
        <v>0</v>
      </c>
      <c r="S19" s="561">
        <f t="shared" si="3"/>
        <v>0</v>
      </c>
      <c r="T19" s="561">
        <f t="shared" si="4"/>
        <v>0</v>
      </c>
      <c r="U19" s="561">
        <f t="shared" si="5"/>
        <v>0</v>
      </c>
      <c r="V19" s="561">
        <f t="shared" si="6"/>
        <v>0</v>
      </c>
      <c r="W19" s="675">
        <f t="shared" si="7"/>
        <v>0</v>
      </c>
      <c r="X19" s="675">
        <f t="shared" si="8"/>
        <v>0</v>
      </c>
      <c r="Y19" s="675">
        <f t="shared" si="8"/>
        <v>0</v>
      </c>
      <c r="Z19" s="86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87">
        <v>0</v>
      </c>
      <c r="AI19" s="1094">
        <f>'2022-23 Input'!O19</f>
        <v>0</v>
      </c>
      <c r="AJ19" s="665">
        <v>0</v>
      </c>
      <c r="AK19" s="88">
        <f t="shared" si="9"/>
        <v>0</v>
      </c>
      <c r="AL19" s="89">
        <f t="shared" si="10"/>
        <v>0</v>
      </c>
      <c r="AM19" s="90">
        <f t="shared" si="11"/>
        <v>0</v>
      </c>
      <c r="AN19" s="91" t="str">
        <f t="shared" si="12"/>
        <v/>
      </c>
      <c r="AO19" s="92" t="str">
        <f t="shared" si="13"/>
        <v/>
      </c>
      <c r="AP19" s="92" t="str">
        <f t="shared" si="14"/>
        <v/>
      </c>
      <c r="AQ19" s="92" t="str">
        <f t="shared" si="15"/>
        <v/>
      </c>
      <c r="AR19" s="92" t="str">
        <f t="shared" si="16"/>
        <v/>
      </c>
      <c r="AS19" s="92" t="str">
        <f t="shared" si="17"/>
        <v/>
      </c>
      <c r="AT19" s="92" t="str">
        <f t="shared" si="18"/>
        <v/>
      </c>
      <c r="AU19" s="92" t="str">
        <f t="shared" si="19"/>
        <v/>
      </c>
      <c r="AV19" s="92" t="str">
        <f t="shared" si="20"/>
        <v/>
      </c>
      <c r="AW19" s="92" t="str">
        <f t="shared" si="20"/>
        <v/>
      </c>
      <c r="AX19" s="92" t="str">
        <f t="shared" si="20"/>
        <v/>
      </c>
      <c r="AY19" s="93" t="str">
        <f t="shared" si="21"/>
        <v/>
      </c>
      <c r="AZ19" s="94" t="str">
        <f t="shared" si="22"/>
        <v/>
      </c>
      <c r="BA19" s="95" t="str">
        <f t="shared" si="23"/>
        <v/>
      </c>
      <c r="BB19" s="248" t="s">
        <v>422</v>
      </c>
      <c r="BC19" s="229" t="s">
        <v>433</v>
      </c>
      <c r="BD19" s="249">
        <v>0</v>
      </c>
      <c r="BE19" s="267">
        <f t="shared" si="28"/>
        <v>0</v>
      </c>
      <c r="BF19" s="268">
        <f t="shared" si="24"/>
        <v>0</v>
      </c>
      <c r="BG19" s="268">
        <f t="shared" si="24"/>
        <v>0</v>
      </c>
      <c r="BH19" s="268">
        <f t="shared" si="24"/>
        <v>1</v>
      </c>
      <c r="BI19" s="268">
        <f t="shared" si="24"/>
        <v>2</v>
      </c>
      <c r="BJ19" s="268">
        <f t="shared" si="24"/>
        <v>3</v>
      </c>
      <c r="BK19" s="268">
        <f t="shared" si="24"/>
        <v>4</v>
      </c>
      <c r="BL19" s="269">
        <f t="shared" si="24"/>
        <v>5</v>
      </c>
      <c r="BM19" s="256">
        <f>IF($BC19=Lookup!$A$2,$BD19*ROUNDUP(BE19/10,0)+1,
IF($BC19=Lookup!$A$3,($BD19+1)^BD19,
IF($BC19=Lookup!$A$4,BE19*$BD19+1,"Error")))</f>
        <v>1</v>
      </c>
      <c r="BN19" s="229">
        <f>IF($BC19=Lookup!$A$2,$BD19*ROUNDUP(BF19/10,0)+1,
IF($BC19=Lookup!$A$3,($BD19+1)^BE19,
IF($BC19=Lookup!$A$4,BF19*$BD19+1,"Error")))</f>
        <v>1</v>
      </c>
      <c r="BO19" s="229">
        <f>IF($BC19=Lookup!$A$2,$BD19*ROUNDUP(BG19/10,0)+1,
IF($BC19=Lookup!$A$3,($BD19+1)^BF19,
IF($BC19=Lookup!$A$4,BG19*$BD19+1,"Error")))</f>
        <v>1</v>
      </c>
      <c r="BP19" s="229">
        <f>IF($BC19=Lookup!$A$2,$BD19*ROUNDUP(BH19/10,0)+1,
IF($BC19=Lookup!$A$3,($BD19+1)^BG19,
IF($BC19=Lookup!$A$4,BH19*$BD19+1,"Error")))</f>
        <v>1</v>
      </c>
      <c r="BQ19" s="229">
        <f>IF($BC19=Lookup!$A$2,$BD19*ROUNDUP(BI19/10,0)+1,
IF($BC19=Lookup!$A$3,($BD19+1)^BH19,
IF($BC19=Lookup!$A$4,BI19*$BD19+1,"Error")))</f>
        <v>1</v>
      </c>
      <c r="BR19" s="229">
        <f>IF($BC19=Lookup!$A$2,$BD19*ROUNDUP(BJ19/10,0)+1,
IF($BC19=Lookup!$A$3,($BD19+1)^BI19,
IF($BC19=Lookup!$A$4,BJ19*$BD19+1,"Error")))</f>
        <v>1</v>
      </c>
      <c r="BS19" s="229">
        <f>IF($BC19=Lookup!$A$2,$BD19*ROUNDUP(BK19/10,0)+1,
IF($BC19=Lookup!$A$3,($BD19+1)^BJ19,
IF($BC19=Lookup!$A$4,BK19*$BD19+1,"Error")))</f>
        <v>1</v>
      </c>
      <c r="BT19" s="249">
        <f>IF($BC19=Lookup!$A$2,$BD19*ROUNDUP(BL19/10,0)+1,
IF($BC19=Lookup!$A$3,($BD19+1)^BK19,
IF($BC19=Lookup!$A$4,BL19*$BD19+1,"Error")))</f>
        <v>1</v>
      </c>
      <c r="BU19" s="320">
        <v>0</v>
      </c>
      <c r="BV19" s="321">
        <v>0</v>
      </c>
      <c r="BW19" s="321">
        <v>0</v>
      </c>
      <c r="BX19" s="321">
        <v>0</v>
      </c>
      <c r="BY19" s="321">
        <v>0</v>
      </c>
      <c r="BZ19" s="321">
        <v>0</v>
      </c>
      <c r="CA19" s="321">
        <v>0</v>
      </c>
      <c r="CB19" s="277">
        <v>0</v>
      </c>
      <c r="CC19" s="382" t="s">
        <v>293</v>
      </c>
      <c r="CD19" s="383">
        <f>HLOOKUP($CC19,$AK$6:$AM$132,ROWS(CD$6:CD19),0)</f>
        <v>0</v>
      </c>
      <c r="CE19" s="234">
        <f t="shared" si="29"/>
        <v>0</v>
      </c>
      <c r="CF19" s="96">
        <f t="shared" si="25"/>
        <v>0</v>
      </c>
      <c r="CG19" s="96">
        <f t="shared" si="25"/>
        <v>0</v>
      </c>
      <c r="CH19" s="96">
        <f t="shared" si="25"/>
        <v>0</v>
      </c>
      <c r="CI19" s="96">
        <f t="shared" si="25"/>
        <v>0</v>
      </c>
      <c r="CJ19" s="96">
        <f t="shared" si="25"/>
        <v>0</v>
      </c>
      <c r="CK19" s="96">
        <f t="shared" si="25"/>
        <v>0</v>
      </c>
      <c r="CL19" s="286">
        <f t="shared" si="25"/>
        <v>0</v>
      </c>
      <c r="CM19" s="305" t="s">
        <v>292</v>
      </c>
      <c r="CN19" s="315">
        <v>0.05</v>
      </c>
      <c r="CO19" s="306"/>
      <c r="CP19" s="307" t="str">
        <f>IF($CO19&lt;&gt;"",$CO19,HLOOKUP($CM19,$AY$6:$BA$132,ROWS(CP$6:CP19),0))</f>
        <v/>
      </c>
      <c r="CQ19" s="784" t="str">
        <f t="shared" si="26"/>
        <v/>
      </c>
      <c r="CR19" s="784" t="str">
        <f t="shared" si="26"/>
        <v/>
      </c>
      <c r="CS19" s="97" t="str">
        <f t="shared" si="26"/>
        <v/>
      </c>
      <c r="CT19" s="97" t="str">
        <f t="shared" si="26"/>
        <v/>
      </c>
      <c r="CU19" s="97" t="str">
        <f t="shared" si="26"/>
        <v/>
      </c>
      <c r="CV19" s="97" t="str">
        <f t="shared" si="26"/>
        <v/>
      </c>
      <c r="CW19" s="97" t="str">
        <f t="shared" si="26"/>
        <v/>
      </c>
      <c r="CX19" s="98" t="str">
        <f t="shared" si="26"/>
        <v/>
      </c>
    </row>
    <row r="20" spans="1:102" x14ac:dyDescent="0.25">
      <c r="A20" s="81" t="s">
        <v>27</v>
      </c>
      <c r="B20" s="82" t="s">
        <v>51</v>
      </c>
      <c r="C20" s="83" t="s">
        <v>301</v>
      </c>
      <c r="D20" s="84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654">
        <f>'2022-23 Input'!H20</f>
        <v>0</v>
      </c>
      <c r="N20" s="1065">
        <v>0</v>
      </c>
      <c r="O20" s="560">
        <f t="shared" si="27"/>
        <v>0</v>
      </c>
      <c r="P20" s="561">
        <f t="shared" si="0"/>
        <v>0</v>
      </c>
      <c r="Q20" s="561">
        <f t="shared" si="1"/>
        <v>0</v>
      </c>
      <c r="R20" s="561">
        <f t="shared" si="2"/>
        <v>0</v>
      </c>
      <c r="S20" s="561">
        <f t="shared" si="3"/>
        <v>0</v>
      </c>
      <c r="T20" s="561">
        <f t="shared" si="4"/>
        <v>0</v>
      </c>
      <c r="U20" s="561">
        <f t="shared" si="5"/>
        <v>0</v>
      </c>
      <c r="V20" s="561">
        <f t="shared" si="6"/>
        <v>0</v>
      </c>
      <c r="W20" s="675">
        <f t="shared" si="7"/>
        <v>0</v>
      </c>
      <c r="X20" s="675">
        <f t="shared" si="8"/>
        <v>0</v>
      </c>
      <c r="Y20" s="675">
        <f t="shared" si="8"/>
        <v>0</v>
      </c>
      <c r="Z20" s="86">
        <v>0</v>
      </c>
      <c r="AA20" s="87">
        <v>0</v>
      </c>
      <c r="AB20" s="87">
        <v>0</v>
      </c>
      <c r="AC20" s="87">
        <v>0</v>
      </c>
      <c r="AD20" s="87">
        <v>0</v>
      </c>
      <c r="AE20" s="87">
        <v>0</v>
      </c>
      <c r="AF20" s="87">
        <v>0</v>
      </c>
      <c r="AG20" s="87">
        <v>0</v>
      </c>
      <c r="AH20" s="87">
        <v>0</v>
      </c>
      <c r="AI20" s="1094">
        <f>'2022-23 Input'!O20</f>
        <v>0</v>
      </c>
      <c r="AJ20" s="665">
        <v>0</v>
      </c>
      <c r="AK20" s="88">
        <f t="shared" si="9"/>
        <v>0</v>
      </c>
      <c r="AL20" s="89">
        <f t="shared" si="10"/>
        <v>0</v>
      </c>
      <c r="AM20" s="90">
        <f t="shared" si="11"/>
        <v>0</v>
      </c>
      <c r="AN20" s="91" t="str">
        <f t="shared" si="12"/>
        <v/>
      </c>
      <c r="AO20" s="92" t="str">
        <f t="shared" si="13"/>
        <v/>
      </c>
      <c r="AP20" s="92" t="str">
        <f t="shared" si="14"/>
        <v/>
      </c>
      <c r="AQ20" s="92" t="str">
        <f t="shared" si="15"/>
        <v/>
      </c>
      <c r="AR20" s="92" t="str">
        <f t="shared" si="16"/>
        <v/>
      </c>
      <c r="AS20" s="92" t="str">
        <f t="shared" si="17"/>
        <v/>
      </c>
      <c r="AT20" s="92" t="str">
        <f t="shared" si="18"/>
        <v/>
      </c>
      <c r="AU20" s="92" t="str">
        <f t="shared" si="19"/>
        <v/>
      </c>
      <c r="AV20" s="92" t="str">
        <f t="shared" si="20"/>
        <v/>
      </c>
      <c r="AW20" s="92" t="str">
        <f t="shared" si="20"/>
        <v/>
      </c>
      <c r="AX20" s="92" t="str">
        <f t="shared" si="20"/>
        <v/>
      </c>
      <c r="AY20" s="93" t="str">
        <f t="shared" si="21"/>
        <v/>
      </c>
      <c r="AZ20" s="94" t="str">
        <f t="shared" si="22"/>
        <v/>
      </c>
      <c r="BA20" s="95" t="str">
        <f t="shared" si="23"/>
        <v/>
      </c>
      <c r="BB20" s="248" t="s">
        <v>422</v>
      </c>
      <c r="BC20" s="229" t="s">
        <v>433</v>
      </c>
      <c r="BD20" s="249">
        <v>0</v>
      </c>
      <c r="BE20" s="267">
        <f t="shared" si="28"/>
        <v>0</v>
      </c>
      <c r="BF20" s="268">
        <f t="shared" si="24"/>
        <v>0</v>
      </c>
      <c r="BG20" s="268">
        <f t="shared" si="24"/>
        <v>0</v>
      </c>
      <c r="BH20" s="268">
        <f t="shared" si="24"/>
        <v>1</v>
      </c>
      <c r="BI20" s="268">
        <f t="shared" si="24"/>
        <v>2</v>
      </c>
      <c r="BJ20" s="268">
        <f t="shared" si="24"/>
        <v>3</v>
      </c>
      <c r="BK20" s="268">
        <f t="shared" si="24"/>
        <v>4</v>
      </c>
      <c r="BL20" s="269">
        <f t="shared" si="24"/>
        <v>5</v>
      </c>
      <c r="BM20" s="256">
        <f>IF($BC20=Lookup!$A$2,$BD20*ROUNDUP(BE20/10,0)+1,
IF($BC20=Lookup!$A$3,($BD20+1)^BD20,
IF($BC20=Lookup!$A$4,BE20*$BD20+1,"Error")))</f>
        <v>1</v>
      </c>
      <c r="BN20" s="229">
        <f>IF($BC20=Lookup!$A$2,$BD20*ROUNDUP(BF20/10,0)+1,
IF($BC20=Lookup!$A$3,($BD20+1)^BE20,
IF($BC20=Lookup!$A$4,BF20*$BD20+1,"Error")))</f>
        <v>1</v>
      </c>
      <c r="BO20" s="229">
        <f>IF($BC20=Lookup!$A$2,$BD20*ROUNDUP(BG20/10,0)+1,
IF($BC20=Lookup!$A$3,($BD20+1)^BF20,
IF($BC20=Lookup!$A$4,BG20*$BD20+1,"Error")))</f>
        <v>1</v>
      </c>
      <c r="BP20" s="229">
        <f>IF($BC20=Lookup!$A$2,$BD20*ROUNDUP(BH20/10,0)+1,
IF($BC20=Lookup!$A$3,($BD20+1)^BG20,
IF($BC20=Lookup!$A$4,BH20*$BD20+1,"Error")))</f>
        <v>1</v>
      </c>
      <c r="BQ20" s="229">
        <f>IF($BC20=Lookup!$A$2,$BD20*ROUNDUP(BI20/10,0)+1,
IF($BC20=Lookup!$A$3,($BD20+1)^BH20,
IF($BC20=Lookup!$A$4,BI20*$BD20+1,"Error")))</f>
        <v>1</v>
      </c>
      <c r="BR20" s="229">
        <f>IF($BC20=Lookup!$A$2,$BD20*ROUNDUP(BJ20/10,0)+1,
IF($BC20=Lookup!$A$3,($BD20+1)^BI20,
IF($BC20=Lookup!$A$4,BJ20*$BD20+1,"Error")))</f>
        <v>1</v>
      </c>
      <c r="BS20" s="229">
        <f>IF($BC20=Lookup!$A$2,$BD20*ROUNDUP(BK20/10,0)+1,
IF($BC20=Lookup!$A$3,($BD20+1)^BJ20,
IF($BC20=Lookup!$A$4,BK20*$BD20+1,"Error")))</f>
        <v>1</v>
      </c>
      <c r="BT20" s="249">
        <f>IF($BC20=Lookup!$A$2,$BD20*ROUNDUP(BL20/10,0)+1,
IF($BC20=Lookup!$A$3,($BD20+1)^BK20,
IF($BC20=Lookup!$A$4,BL20*$BD20+1,"Error")))</f>
        <v>1</v>
      </c>
      <c r="BU20" s="320">
        <v>0</v>
      </c>
      <c r="BV20" s="321">
        <v>0</v>
      </c>
      <c r="BW20" s="321">
        <v>0</v>
      </c>
      <c r="BX20" s="321">
        <v>0</v>
      </c>
      <c r="BY20" s="321">
        <v>0</v>
      </c>
      <c r="BZ20" s="321">
        <v>0</v>
      </c>
      <c r="CA20" s="321">
        <v>0</v>
      </c>
      <c r="CB20" s="277">
        <v>0</v>
      </c>
      <c r="CC20" s="382" t="s">
        <v>293</v>
      </c>
      <c r="CD20" s="383">
        <f>HLOOKUP($CC20,$AK$6:$AM$132,ROWS(CD$6:CD20),0)</f>
        <v>0</v>
      </c>
      <c r="CE20" s="234">
        <f t="shared" si="29"/>
        <v>0</v>
      </c>
      <c r="CF20" s="96">
        <f t="shared" si="25"/>
        <v>0</v>
      </c>
      <c r="CG20" s="96">
        <f t="shared" si="25"/>
        <v>0</v>
      </c>
      <c r="CH20" s="96">
        <f t="shared" si="25"/>
        <v>0</v>
      </c>
      <c r="CI20" s="96">
        <f t="shared" si="25"/>
        <v>0</v>
      </c>
      <c r="CJ20" s="96">
        <f t="shared" si="25"/>
        <v>0</v>
      </c>
      <c r="CK20" s="96">
        <f t="shared" si="25"/>
        <v>0</v>
      </c>
      <c r="CL20" s="286">
        <f t="shared" si="25"/>
        <v>0</v>
      </c>
      <c r="CM20" s="305" t="s">
        <v>292</v>
      </c>
      <c r="CN20" s="315">
        <v>0.05</v>
      </c>
      <c r="CO20" s="306"/>
      <c r="CP20" s="307" t="str">
        <f>IF($CO20&lt;&gt;"",$CO20,HLOOKUP($CM20,$AY$6:$BA$132,ROWS(CP$6:CP20),0))</f>
        <v/>
      </c>
      <c r="CQ20" s="784" t="str">
        <f t="shared" si="26"/>
        <v/>
      </c>
      <c r="CR20" s="784" t="str">
        <f t="shared" si="26"/>
        <v/>
      </c>
      <c r="CS20" s="97" t="str">
        <f t="shared" si="26"/>
        <v/>
      </c>
      <c r="CT20" s="97" t="str">
        <f t="shared" si="26"/>
        <v/>
      </c>
      <c r="CU20" s="97" t="str">
        <f t="shared" si="26"/>
        <v/>
      </c>
      <c r="CV20" s="97" t="str">
        <f t="shared" si="26"/>
        <v/>
      </c>
      <c r="CW20" s="97" t="str">
        <f t="shared" si="26"/>
        <v/>
      </c>
      <c r="CX20" s="98" t="str">
        <f t="shared" si="26"/>
        <v/>
      </c>
    </row>
    <row r="21" spans="1:102" x14ac:dyDescent="0.25">
      <c r="A21" s="81" t="s">
        <v>27</v>
      </c>
      <c r="B21" s="82" t="s">
        <v>53</v>
      </c>
      <c r="C21" s="83" t="s">
        <v>54</v>
      </c>
      <c r="D21" s="84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654">
        <f>'2022-23 Input'!H21</f>
        <v>0</v>
      </c>
      <c r="N21" s="1065">
        <v>0</v>
      </c>
      <c r="O21" s="560">
        <f t="shared" si="27"/>
        <v>0</v>
      </c>
      <c r="P21" s="561">
        <f t="shared" si="0"/>
        <v>0</v>
      </c>
      <c r="Q21" s="561">
        <f t="shared" si="1"/>
        <v>0</v>
      </c>
      <c r="R21" s="561">
        <f t="shared" si="2"/>
        <v>0</v>
      </c>
      <c r="S21" s="561">
        <f t="shared" si="3"/>
        <v>0</v>
      </c>
      <c r="T21" s="561">
        <f t="shared" si="4"/>
        <v>0</v>
      </c>
      <c r="U21" s="561">
        <f t="shared" si="5"/>
        <v>0</v>
      </c>
      <c r="V21" s="561">
        <f t="shared" si="6"/>
        <v>0</v>
      </c>
      <c r="W21" s="675">
        <f t="shared" si="7"/>
        <v>0</v>
      </c>
      <c r="X21" s="675">
        <f t="shared" si="8"/>
        <v>0</v>
      </c>
      <c r="Y21" s="675">
        <f t="shared" si="8"/>
        <v>0</v>
      </c>
      <c r="Z21" s="86">
        <v>0</v>
      </c>
      <c r="AA21" s="87">
        <v>0</v>
      </c>
      <c r="AB21" s="87">
        <v>0</v>
      </c>
      <c r="AC21" s="87">
        <v>0</v>
      </c>
      <c r="AD21" s="87">
        <v>0</v>
      </c>
      <c r="AE21" s="87">
        <v>0</v>
      </c>
      <c r="AF21" s="87">
        <v>0</v>
      </c>
      <c r="AG21" s="87">
        <v>0</v>
      </c>
      <c r="AH21" s="87">
        <v>0</v>
      </c>
      <c r="AI21" s="1094">
        <f>'2022-23 Input'!O21</f>
        <v>0</v>
      </c>
      <c r="AJ21" s="665">
        <v>0</v>
      </c>
      <c r="AK21" s="88">
        <f t="shared" si="9"/>
        <v>0</v>
      </c>
      <c r="AL21" s="89">
        <f t="shared" si="10"/>
        <v>0</v>
      </c>
      <c r="AM21" s="90">
        <f t="shared" si="11"/>
        <v>0</v>
      </c>
      <c r="AN21" s="91" t="str">
        <f t="shared" si="12"/>
        <v/>
      </c>
      <c r="AO21" s="92" t="str">
        <f t="shared" si="13"/>
        <v/>
      </c>
      <c r="AP21" s="92" t="str">
        <f t="shared" si="14"/>
        <v/>
      </c>
      <c r="AQ21" s="92" t="str">
        <f t="shared" si="15"/>
        <v/>
      </c>
      <c r="AR21" s="92" t="str">
        <f t="shared" si="16"/>
        <v/>
      </c>
      <c r="AS21" s="92" t="str">
        <f t="shared" si="17"/>
        <v/>
      </c>
      <c r="AT21" s="92" t="str">
        <f t="shared" si="18"/>
        <v/>
      </c>
      <c r="AU21" s="92" t="str">
        <f t="shared" si="19"/>
        <v/>
      </c>
      <c r="AV21" s="92" t="str">
        <f t="shared" si="20"/>
        <v/>
      </c>
      <c r="AW21" s="92" t="str">
        <f t="shared" si="20"/>
        <v/>
      </c>
      <c r="AX21" s="92" t="str">
        <f t="shared" si="20"/>
        <v/>
      </c>
      <c r="AY21" s="93" t="str">
        <f t="shared" si="21"/>
        <v/>
      </c>
      <c r="AZ21" s="94" t="str">
        <f t="shared" si="22"/>
        <v/>
      </c>
      <c r="BA21" s="95" t="str">
        <f t="shared" si="23"/>
        <v/>
      </c>
      <c r="BB21" s="248" t="s">
        <v>422</v>
      </c>
      <c r="BC21" s="229" t="s">
        <v>433</v>
      </c>
      <c r="BD21" s="249">
        <v>0</v>
      </c>
      <c r="BE21" s="267">
        <f t="shared" si="28"/>
        <v>0</v>
      </c>
      <c r="BF21" s="268">
        <f t="shared" si="24"/>
        <v>0</v>
      </c>
      <c r="BG21" s="268">
        <f t="shared" si="24"/>
        <v>0</v>
      </c>
      <c r="BH21" s="268">
        <f t="shared" si="24"/>
        <v>1</v>
      </c>
      <c r="BI21" s="268">
        <f t="shared" si="24"/>
        <v>2</v>
      </c>
      <c r="BJ21" s="268">
        <f t="shared" si="24"/>
        <v>3</v>
      </c>
      <c r="BK21" s="268">
        <f t="shared" si="24"/>
        <v>4</v>
      </c>
      <c r="BL21" s="269">
        <f t="shared" si="24"/>
        <v>5</v>
      </c>
      <c r="BM21" s="256">
        <f>IF($BC21=Lookup!$A$2,$BD21*ROUNDUP(BE21/10,0)+1,
IF($BC21=Lookup!$A$3,($BD21+1)^BD21,
IF($BC21=Lookup!$A$4,BE21*$BD21+1,"Error")))</f>
        <v>1</v>
      </c>
      <c r="BN21" s="229">
        <f>IF($BC21=Lookup!$A$2,$BD21*ROUNDUP(BF21/10,0)+1,
IF($BC21=Lookup!$A$3,($BD21+1)^BE21,
IF($BC21=Lookup!$A$4,BF21*$BD21+1,"Error")))</f>
        <v>1</v>
      </c>
      <c r="BO21" s="229">
        <f>IF($BC21=Lookup!$A$2,$BD21*ROUNDUP(BG21/10,0)+1,
IF($BC21=Lookup!$A$3,($BD21+1)^BF21,
IF($BC21=Lookup!$A$4,BG21*$BD21+1,"Error")))</f>
        <v>1</v>
      </c>
      <c r="BP21" s="229">
        <f>IF($BC21=Lookup!$A$2,$BD21*ROUNDUP(BH21/10,0)+1,
IF($BC21=Lookup!$A$3,($BD21+1)^BG21,
IF($BC21=Lookup!$A$4,BH21*$BD21+1,"Error")))</f>
        <v>1</v>
      </c>
      <c r="BQ21" s="229">
        <f>IF($BC21=Lookup!$A$2,$BD21*ROUNDUP(BI21/10,0)+1,
IF($BC21=Lookup!$A$3,($BD21+1)^BH21,
IF($BC21=Lookup!$A$4,BI21*$BD21+1,"Error")))</f>
        <v>1</v>
      </c>
      <c r="BR21" s="229">
        <f>IF($BC21=Lookup!$A$2,$BD21*ROUNDUP(BJ21/10,0)+1,
IF($BC21=Lookup!$A$3,($BD21+1)^BI21,
IF($BC21=Lookup!$A$4,BJ21*$BD21+1,"Error")))</f>
        <v>1</v>
      </c>
      <c r="BS21" s="229">
        <f>IF($BC21=Lookup!$A$2,$BD21*ROUNDUP(BK21/10,0)+1,
IF($BC21=Lookup!$A$3,($BD21+1)^BJ21,
IF($BC21=Lookup!$A$4,BK21*$BD21+1,"Error")))</f>
        <v>1</v>
      </c>
      <c r="BT21" s="249">
        <f>IF($BC21=Lookup!$A$2,$BD21*ROUNDUP(BL21/10,0)+1,
IF($BC21=Lookup!$A$3,($BD21+1)^BK21,
IF($BC21=Lookup!$A$4,BL21*$BD21+1,"Error")))</f>
        <v>1</v>
      </c>
      <c r="BU21" s="320">
        <v>0</v>
      </c>
      <c r="BV21" s="321">
        <v>0</v>
      </c>
      <c r="BW21" s="321">
        <v>0</v>
      </c>
      <c r="BX21" s="321">
        <v>0</v>
      </c>
      <c r="BY21" s="321">
        <v>0</v>
      </c>
      <c r="BZ21" s="321">
        <v>0</v>
      </c>
      <c r="CA21" s="321">
        <v>0</v>
      </c>
      <c r="CB21" s="277">
        <v>0</v>
      </c>
      <c r="CC21" s="382" t="s">
        <v>293</v>
      </c>
      <c r="CD21" s="383">
        <f>HLOOKUP($CC21,$AK$6:$AM$132,ROWS(CD$6:CD21),0)</f>
        <v>0</v>
      </c>
      <c r="CE21" s="234">
        <f t="shared" si="29"/>
        <v>0</v>
      </c>
      <c r="CF21" s="96">
        <f t="shared" si="25"/>
        <v>0</v>
      </c>
      <c r="CG21" s="96">
        <f t="shared" si="25"/>
        <v>0</v>
      </c>
      <c r="CH21" s="96">
        <f t="shared" si="25"/>
        <v>0</v>
      </c>
      <c r="CI21" s="96">
        <f t="shared" si="25"/>
        <v>0</v>
      </c>
      <c r="CJ21" s="96">
        <f t="shared" si="25"/>
        <v>0</v>
      </c>
      <c r="CK21" s="96">
        <f t="shared" si="25"/>
        <v>0</v>
      </c>
      <c r="CL21" s="286">
        <f t="shared" si="25"/>
        <v>0</v>
      </c>
      <c r="CM21" s="305" t="s">
        <v>292</v>
      </c>
      <c r="CN21" s="315">
        <v>0.05</v>
      </c>
      <c r="CO21" s="306"/>
      <c r="CP21" s="307" t="str">
        <f>IF($CO21&lt;&gt;"",$CO21,HLOOKUP($CM21,$AY$6:$BA$132,ROWS(CP$6:CP21),0))</f>
        <v/>
      </c>
      <c r="CQ21" s="784" t="str">
        <f t="shared" si="26"/>
        <v/>
      </c>
      <c r="CR21" s="784" t="str">
        <f t="shared" si="26"/>
        <v/>
      </c>
      <c r="CS21" s="97" t="str">
        <f t="shared" si="26"/>
        <v/>
      </c>
      <c r="CT21" s="97" t="str">
        <f t="shared" si="26"/>
        <v/>
      </c>
      <c r="CU21" s="97" t="str">
        <f t="shared" si="26"/>
        <v/>
      </c>
      <c r="CV21" s="97" t="str">
        <f t="shared" si="26"/>
        <v/>
      </c>
      <c r="CW21" s="97" t="str">
        <f t="shared" si="26"/>
        <v/>
      </c>
      <c r="CX21" s="98" t="str">
        <f t="shared" si="26"/>
        <v/>
      </c>
    </row>
    <row r="22" spans="1:102" x14ac:dyDescent="0.25">
      <c r="A22" s="81" t="s">
        <v>27</v>
      </c>
      <c r="B22" s="82" t="s">
        <v>55</v>
      </c>
      <c r="C22" s="83" t="s">
        <v>302</v>
      </c>
      <c r="D22" s="84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654">
        <f>'2022-23 Input'!H22</f>
        <v>0</v>
      </c>
      <c r="N22" s="1065">
        <v>0</v>
      </c>
      <c r="O22" s="560">
        <f t="shared" si="27"/>
        <v>0</v>
      </c>
      <c r="P22" s="561">
        <f t="shared" si="0"/>
        <v>0</v>
      </c>
      <c r="Q22" s="561">
        <f t="shared" si="1"/>
        <v>0</v>
      </c>
      <c r="R22" s="561">
        <f t="shared" si="2"/>
        <v>0</v>
      </c>
      <c r="S22" s="561">
        <f t="shared" si="3"/>
        <v>0</v>
      </c>
      <c r="T22" s="561">
        <f t="shared" si="4"/>
        <v>0</v>
      </c>
      <c r="U22" s="561">
        <f t="shared" si="5"/>
        <v>0</v>
      </c>
      <c r="V22" s="561">
        <f t="shared" si="6"/>
        <v>0</v>
      </c>
      <c r="W22" s="675">
        <f t="shared" si="7"/>
        <v>0</v>
      </c>
      <c r="X22" s="675">
        <f t="shared" si="8"/>
        <v>0</v>
      </c>
      <c r="Y22" s="675">
        <f t="shared" si="8"/>
        <v>0</v>
      </c>
      <c r="Z22" s="86">
        <v>0</v>
      </c>
      <c r="AA22" s="87">
        <v>0</v>
      </c>
      <c r="AB22" s="87">
        <v>0</v>
      </c>
      <c r="AC22" s="87">
        <v>0</v>
      </c>
      <c r="AD22" s="87">
        <v>0</v>
      </c>
      <c r="AE22" s="87">
        <v>0</v>
      </c>
      <c r="AF22" s="87">
        <v>0</v>
      </c>
      <c r="AG22" s="87">
        <v>0</v>
      </c>
      <c r="AH22" s="87">
        <v>0</v>
      </c>
      <c r="AI22" s="1094">
        <f>'2022-23 Input'!O22</f>
        <v>0</v>
      </c>
      <c r="AJ22" s="665">
        <v>0</v>
      </c>
      <c r="AK22" s="88">
        <f t="shared" si="9"/>
        <v>0</v>
      </c>
      <c r="AL22" s="89">
        <f t="shared" si="10"/>
        <v>0</v>
      </c>
      <c r="AM22" s="90">
        <f t="shared" si="11"/>
        <v>0</v>
      </c>
      <c r="AN22" s="91" t="str">
        <f t="shared" si="12"/>
        <v/>
      </c>
      <c r="AO22" s="92" t="str">
        <f t="shared" si="13"/>
        <v/>
      </c>
      <c r="AP22" s="92" t="str">
        <f t="shared" si="14"/>
        <v/>
      </c>
      <c r="AQ22" s="92" t="str">
        <f t="shared" si="15"/>
        <v/>
      </c>
      <c r="AR22" s="92" t="str">
        <f t="shared" si="16"/>
        <v/>
      </c>
      <c r="AS22" s="92" t="str">
        <f t="shared" si="17"/>
        <v/>
      </c>
      <c r="AT22" s="92" t="str">
        <f t="shared" si="18"/>
        <v/>
      </c>
      <c r="AU22" s="92" t="str">
        <f t="shared" si="19"/>
        <v/>
      </c>
      <c r="AV22" s="92" t="str">
        <f t="shared" si="20"/>
        <v/>
      </c>
      <c r="AW22" s="92" t="str">
        <f t="shared" si="20"/>
        <v/>
      </c>
      <c r="AX22" s="92" t="str">
        <f t="shared" si="20"/>
        <v/>
      </c>
      <c r="AY22" s="93" t="str">
        <f t="shared" si="21"/>
        <v/>
      </c>
      <c r="AZ22" s="94" t="str">
        <f t="shared" si="22"/>
        <v/>
      </c>
      <c r="BA22" s="95" t="str">
        <f t="shared" si="23"/>
        <v/>
      </c>
      <c r="BB22" s="248" t="s">
        <v>422</v>
      </c>
      <c r="BC22" s="229" t="s">
        <v>433</v>
      </c>
      <c r="BD22" s="249">
        <v>0</v>
      </c>
      <c r="BE22" s="267">
        <f t="shared" si="28"/>
        <v>0</v>
      </c>
      <c r="BF22" s="268">
        <f t="shared" si="24"/>
        <v>0</v>
      </c>
      <c r="BG22" s="268">
        <f t="shared" si="24"/>
        <v>0</v>
      </c>
      <c r="BH22" s="268">
        <f t="shared" si="24"/>
        <v>1</v>
      </c>
      <c r="BI22" s="268">
        <f t="shared" si="24"/>
        <v>2</v>
      </c>
      <c r="BJ22" s="268">
        <f t="shared" si="24"/>
        <v>3</v>
      </c>
      <c r="BK22" s="268">
        <f t="shared" si="24"/>
        <v>4</v>
      </c>
      <c r="BL22" s="269">
        <f t="shared" si="24"/>
        <v>5</v>
      </c>
      <c r="BM22" s="256">
        <f>IF($BC22=Lookup!$A$2,$BD22*ROUNDUP(BE22/10,0)+1,
IF($BC22=Lookup!$A$3,($BD22+1)^BD22,
IF($BC22=Lookup!$A$4,BE22*$BD22+1,"Error")))</f>
        <v>1</v>
      </c>
      <c r="BN22" s="229">
        <f>IF($BC22=Lookup!$A$2,$BD22*ROUNDUP(BF22/10,0)+1,
IF($BC22=Lookup!$A$3,($BD22+1)^BE22,
IF($BC22=Lookup!$A$4,BF22*$BD22+1,"Error")))</f>
        <v>1</v>
      </c>
      <c r="BO22" s="229">
        <f>IF($BC22=Lookup!$A$2,$BD22*ROUNDUP(BG22/10,0)+1,
IF($BC22=Lookup!$A$3,($BD22+1)^BF22,
IF($BC22=Lookup!$A$4,BG22*$BD22+1,"Error")))</f>
        <v>1</v>
      </c>
      <c r="BP22" s="229">
        <f>IF($BC22=Lookup!$A$2,$BD22*ROUNDUP(BH22/10,0)+1,
IF($BC22=Lookup!$A$3,($BD22+1)^BG22,
IF($BC22=Lookup!$A$4,BH22*$BD22+1,"Error")))</f>
        <v>1</v>
      </c>
      <c r="BQ22" s="229">
        <f>IF($BC22=Lookup!$A$2,$BD22*ROUNDUP(BI22/10,0)+1,
IF($BC22=Lookup!$A$3,($BD22+1)^BH22,
IF($BC22=Lookup!$A$4,BI22*$BD22+1,"Error")))</f>
        <v>1</v>
      </c>
      <c r="BR22" s="229">
        <f>IF($BC22=Lookup!$A$2,$BD22*ROUNDUP(BJ22/10,0)+1,
IF($BC22=Lookup!$A$3,($BD22+1)^BI22,
IF($BC22=Lookup!$A$4,BJ22*$BD22+1,"Error")))</f>
        <v>1</v>
      </c>
      <c r="BS22" s="229">
        <f>IF($BC22=Lookup!$A$2,$BD22*ROUNDUP(BK22/10,0)+1,
IF($BC22=Lookup!$A$3,($BD22+1)^BJ22,
IF($BC22=Lookup!$A$4,BK22*$BD22+1,"Error")))</f>
        <v>1</v>
      </c>
      <c r="BT22" s="249">
        <f>IF($BC22=Lookup!$A$2,$BD22*ROUNDUP(BL22/10,0)+1,
IF($BC22=Lookup!$A$3,($BD22+1)^BK22,
IF($BC22=Lookup!$A$4,BL22*$BD22+1,"Error")))</f>
        <v>1</v>
      </c>
      <c r="BU22" s="320">
        <v>0</v>
      </c>
      <c r="BV22" s="321">
        <v>0</v>
      </c>
      <c r="BW22" s="321">
        <v>0</v>
      </c>
      <c r="BX22" s="321">
        <v>0</v>
      </c>
      <c r="BY22" s="321">
        <v>0</v>
      </c>
      <c r="BZ22" s="321">
        <v>0</v>
      </c>
      <c r="CA22" s="321">
        <v>0</v>
      </c>
      <c r="CB22" s="277">
        <v>0</v>
      </c>
      <c r="CC22" s="382" t="s">
        <v>293</v>
      </c>
      <c r="CD22" s="383">
        <f>HLOOKUP($CC22,$AK$6:$AM$132,ROWS(CD$6:CD22),0)</f>
        <v>0</v>
      </c>
      <c r="CE22" s="234">
        <f t="shared" si="29"/>
        <v>0</v>
      </c>
      <c r="CF22" s="96">
        <f t="shared" si="25"/>
        <v>0</v>
      </c>
      <c r="CG22" s="96">
        <f t="shared" si="25"/>
        <v>0</v>
      </c>
      <c r="CH22" s="96">
        <f t="shared" si="25"/>
        <v>0</v>
      </c>
      <c r="CI22" s="96">
        <f t="shared" si="25"/>
        <v>0</v>
      </c>
      <c r="CJ22" s="96">
        <f t="shared" si="25"/>
        <v>0</v>
      </c>
      <c r="CK22" s="96">
        <f t="shared" si="25"/>
        <v>0</v>
      </c>
      <c r="CL22" s="286">
        <f t="shared" si="25"/>
        <v>0</v>
      </c>
      <c r="CM22" s="305" t="s">
        <v>292</v>
      </c>
      <c r="CN22" s="315">
        <v>0.05</v>
      </c>
      <c r="CO22" s="306"/>
      <c r="CP22" s="307" t="str">
        <f>IF($CO22&lt;&gt;"",$CO22,HLOOKUP($CM22,$AY$6:$BA$132,ROWS(CP$6:CP22),0))</f>
        <v/>
      </c>
      <c r="CQ22" s="784" t="str">
        <f t="shared" si="26"/>
        <v/>
      </c>
      <c r="CR22" s="784" t="str">
        <f t="shared" si="26"/>
        <v/>
      </c>
      <c r="CS22" s="97" t="str">
        <f t="shared" si="26"/>
        <v/>
      </c>
      <c r="CT22" s="97" t="str">
        <f t="shared" si="26"/>
        <v/>
      </c>
      <c r="CU22" s="97" t="str">
        <f t="shared" si="26"/>
        <v/>
      </c>
      <c r="CV22" s="97" t="str">
        <f t="shared" si="26"/>
        <v/>
      </c>
      <c r="CW22" s="97" t="str">
        <f t="shared" si="26"/>
        <v/>
      </c>
      <c r="CX22" s="98" t="str">
        <f t="shared" si="26"/>
        <v/>
      </c>
    </row>
    <row r="23" spans="1:102" x14ac:dyDescent="0.25">
      <c r="A23" s="81" t="s">
        <v>27</v>
      </c>
      <c r="B23" s="82" t="s">
        <v>57</v>
      </c>
      <c r="C23" s="83" t="s">
        <v>58</v>
      </c>
      <c r="D23" s="84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654">
        <f>'2022-23 Input'!H23</f>
        <v>0</v>
      </c>
      <c r="N23" s="1065">
        <v>0</v>
      </c>
      <c r="O23" s="560">
        <f t="shared" si="27"/>
        <v>0</v>
      </c>
      <c r="P23" s="561">
        <f t="shared" si="0"/>
        <v>0</v>
      </c>
      <c r="Q23" s="561">
        <f t="shared" si="1"/>
        <v>0</v>
      </c>
      <c r="R23" s="561">
        <f t="shared" si="2"/>
        <v>0</v>
      </c>
      <c r="S23" s="561">
        <f t="shared" si="3"/>
        <v>0</v>
      </c>
      <c r="T23" s="561">
        <f t="shared" si="4"/>
        <v>0</v>
      </c>
      <c r="U23" s="561">
        <f t="shared" si="5"/>
        <v>0</v>
      </c>
      <c r="V23" s="561">
        <f t="shared" si="6"/>
        <v>0</v>
      </c>
      <c r="W23" s="675">
        <f t="shared" si="7"/>
        <v>0</v>
      </c>
      <c r="X23" s="675">
        <f t="shared" si="8"/>
        <v>0</v>
      </c>
      <c r="Y23" s="675">
        <f t="shared" si="8"/>
        <v>0</v>
      </c>
      <c r="Z23" s="86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1094">
        <f>'2022-23 Input'!O23</f>
        <v>0</v>
      </c>
      <c r="AJ23" s="665">
        <v>0</v>
      </c>
      <c r="AK23" s="88">
        <f t="shared" si="9"/>
        <v>0</v>
      </c>
      <c r="AL23" s="89">
        <f t="shared" si="10"/>
        <v>0</v>
      </c>
      <c r="AM23" s="90">
        <f t="shared" si="11"/>
        <v>0</v>
      </c>
      <c r="AN23" s="91" t="str">
        <f t="shared" si="12"/>
        <v/>
      </c>
      <c r="AO23" s="92" t="str">
        <f t="shared" si="13"/>
        <v/>
      </c>
      <c r="AP23" s="92" t="str">
        <f t="shared" si="14"/>
        <v/>
      </c>
      <c r="AQ23" s="92" t="str">
        <f t="shared" si="15"/>
        <v/>
      </c>
      <c r="AR23" s="92" t="str">
        <f t="shared" si="16"/>
        <v/>
      </c>
      <c r="AS23" s="92" t="str">
        <f t="shared" si="17"/>
        <v/>
      </c>
      <c r="AT23" s="92" t="str">
        <f t="shared" si="18"/>
        <v/>
      </c>
      <c r="AU23" s="92" t="str">
        <f t="shared" si="19"/>
        <v/>
      </c>
      <c r="AV23" s="92" t="str">
        <f t="shared" ref="AV23:AX38" si="30">IFERROR(L23/AH23,"")</f>
        <v/>
      </c>
      <c r="AW23" s="92" t="str">
        <f t="shared" si="30"/>
        <v/>
      </c>
      <c r="AX23" s="92" t="str">
        <f t="shared" si="30"/>
        <v/>
      </c>
      <c r="AY23" s="93" t="str">
        <f t="shared" si="21"/>
        <v/>
      </c>
      <c r="AZ23" s="94" t="str">
        <f t="shared" si="22"/>
        <v/>
      </c>
      <c r="BA23" s="95" t="str">
        <f t="shared" si="23"/>
        <v/>
      </c>
      <c r="BB23" s="248" t="s">
        <v>422</v>
      </c>
      <c r="BC23" s="229" t="s">
        <v>433</v>
      </c>
      <c r="BD23" s="249">
        <v>0</v>
      </c>
      <c r="BE23" s="267">
        <f t="shared" si="28"/>
        <v>0</v>
      </c>
      <c r="BF23" s="268">
        <f t="shared" ref="BF23:BL38" si="31">IF(BF$6=$BB23,1,
IF(BE23&lt;&gt;0,BE23+1,0
))</f>
        <v>0</v>
      </c>
      <c r="BG23" s="268">
        <f t="shared" si="31"/>
        <v>0</v>
      </c>
      <c r="BH23" s="268">
        <f t="shared" si="31"/>
        <v>1</v>
      </c>
      <c r="BI23" s="268">
        <f t="shared" si="31"/>
        <v>2</v>
      </c>
      <c r="BJ23" s="268">
        <f t="shared" si="31"/>
        <v>3</v>
      </c>
      <c r="BK23" s="268">
        <f t="shared" si="31"/>
        <v>4</v>
      </c>
      <c r="BL23" s="269">
        <f t="shared" si="31"/>
        <v>5</v>
      </c>
      <c r="BM23" s="256">
        <f>IF($BC23=Lookup!$A$2,$BD23*ROUNDUP(BE23/10,0)+1,
IF($BC23=Lookup!$A$3,($BD23+1)^BD23,
IF($BC23=Lookup!$A$4,BE23*$BD23+1,"Error")))</f>
        <v>1</v>
      </c>
      <c r="BN23" s="229">
        <f>IF($BC23=Lookup!$A$2,$BD23*ROUNDUP(BF23/10,0)+1,
IF($BC23=Lookup!$A$3,($BD23+1)^BE23,
IF($BC23=Lookup!$A$4,BF23*$BD23+1,"Error")))</f>
        <v>1</v>
      </c>
      <c r="BO23" s="229">
        <f>IF($BC23=Lookup!$A$2,$BD23*ROUNDUP(BG23/10,0)+1,
IF($BC23=Lookup!$A$3,($BD23+1)^BF23,
IF($BC23=Lookup!$A$4,BG23*$BD23+1,"Error")))</f>
        <v>1</v>
      </c>
      <c r="BP23" s="229">
        <f>IF($BC23=Lookup!$A$2,$BD23*ROUNDUP(BH23/10,0)+1,
IF($BC23=Lookup!$A$3,($BD23+1)^BG23,
IF($BC23=Lookup!$A$4,BH23*$BD23+1,"Error")))</f>
        <v>1</v>
      </c>
      <c r="BQ23" s="229">
        <f>IF($BC23=Lookup!$A$2,$BD23*ROUNDUP(BI23/10,0)+1,
IF($BC23=Lookup!$A$3,($BD23+1)^BH23,
IF($BC23=Lookup!$A$4,BI23*$BD23+1,"Error")))</f>
        <v>1</v>
      </c>
      <c r="BR23" s="229">
        <f>IF($BC23=Lookup!$A$2,$BD23*ROUNDUP(BJ23/10,0)+1,
IF($BC23=Lookup!$A$3,($BD23+1)^BI23,
IF($BC23=Lookup!$A$4,BJ23*$BD23+1,"Error")))</f>
        <v>1</v>
      </c>
      <c r="BS23" s="229">
        <f>IF($BC23=Lookup!$A$2,$BD23*ROUNDUP(BK23/10,0)+1,
IF($BC23=Lookup!$A$3,($BD23+1)^BJ23,
IF($BC23=Lookup!$A$4,BK23*$BD23+1,"Error")))</f>
        <v>1</v>
      </c>
      <c r="BT23" s="249">
        <f>IF($BC23=Lookup!$A$2,$BD23*ROUNDUP(BL23/10,0)+1,
IF($BC23=Lookup!$A$3,($BD23+1)^BK23,
IF($BC23=Lookup!$A$4,BL23*$BD23+1,"Error")))</f>
        <v>1</v>
      </c>
      <c r="BU23" s="320">
        <v>0</v>
      </c>
      <c r="BV23" s="321">
        <v>0</v>
      </c>
      <c r="BW23" s="321">
        <v>0</v>
      </c>
      <c r="BX23" s="321">
        <v>0</v>
      </c>
      <c r="BY23" s="321">
        <v>0</v>
      </c>
      <c r="BZ23" s="321">
        <v>0</v>
      </c>
      <c r="CA23" s="321">
        <v>0</v>
      </c>
      <c r="CB23" s="277">
        <v>0</v>
      </c>
      <c r="CC23" s="382" t="s">
        <v>293</v>
      </c>
      <c r="CD23" s="383">
        <f>HLOOKUP($CC23,$AK$6:$AM$132,ROWS(CD$6:CD23),0)</f>
        <v>0</v>
      </c>
      <c r="CE23" s="234">
        <f t="shared" si="29"/>
        <v>0</v>
      </c>
      <c r="CF23" s="96">
        <f t="shared" si="25"/>
        <v>0</v>
      </c>
      <c r="CG23" s="96">
        <f t="shared" si="25"/>
        <v>0</v>
      </c>
      <c r="CH23" s="96">
        <f t="shared" si="25"/>
        <v>0</v>
      </c>
      <c r="CI23" s="96">
        <f t="shared" si="25"/>
        <v>0</v>
      </c>
      <c r="CJ23" s="96">
        <f t="shared" si="25"/>
        <v>0</v>
      </c>
      <c r="CK23" s="96">
        <f t="shared" si="25"/>
        <v>0</v>
      </c>
      <c r="CL23" s="286">
        <f t="shared" si="25"/>
        <v>0</v>
      </c>
      <c r="CM23" s="305" t="s">
        <v>292</v>
      </c>
      <c r="CN23" s="315">
        <v>0.05</v>
      </c>
      <c r="CO23" s="306"/>
      <c r="CP23" s="307" t="str">
        <f>IF($CO23&lt;&gt;"",$CO23,HLOOKUP($CM23,$AY$6:$BA$132,ROWS(CP$6:CP23),0))</f>
        <v/>
      </c>
      <c r="CQ23" s="784" t="str">
        <f t="shared" si="26"/>
        <v/>
      </c>
      <c r="CR23" s="784" t="str">
        <f t="shared" si="26"/>
        <v/>
      </c>
      <c r="CS23" s="97" t="str">
        <f t="shared" si="26"/>
        <v/>
      </c>
      <c r="CT23" s="97" t="str">
        <f t="shared" si="26"/>
        <v/>
      </c>
      <c r="CU23" s="97" t="str">
        <f t="shared" si="26"/>
        <v/>
      </c>
      <c r="CV23" s="97" t="str">
        <f t="shared" si="26"/>
        <v/>
      </c>
      <c r="CW23" s="97" t="str">
        <f t="shared" si="26"/>
        <v/>
      </c>
      <c r="CX23" s="98" t="str">
        <f t="shared" si="26"/>
        <v/>
      </c>
    </row>
    <row r="24" spans="1:102" x14ac:dyDescent="0.25">
      <c r="A24" s="81" t="s">
        <v>27</v>
      </c>
      <c r="B24" s="82" t="s">
        <v>59</v>
      </c>
      <c r="C24" s="83" t="s">
        <v>60</v>
      </c>
      <c r="D24" s="84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654">
        <f>'2022-23 Input'!H24</f>
        <v>0</v>
      </c>
      <c r="N24" s="1065">
        <v>0</v>
      </c>
      <c r="O24" s="560">
        <f t="shared" si="27"/>
        <v>0</v>
      </c>
      <c r="P24" s="561">
        <f t="shared" si="0"/>
        <v>0</v>
      </c>
      <c r="Q24" s="561">
        <f t="shared" si="1"/>
        <v>0</v>
      </c>
      <c r="R24" s="561">
        <f t="shared" si="2"/>
        <v>0</v>
      </c>
      <c r="S24" s="561">
        <f t="shared" si="3"/>
        <v>0</v>
      </c>
      <c r="T24" s="561">
        <f t="shared" si="4"/>
        <v>0</v>
      </c>
      <c r="U24" s="561">
        <f t="shared" si="5"/>
        <v>0</v>
      </c>
      <c r="V24" s="561">
        <f t="shared" si="6"/>
        <v>0</v>
      </c>
      <c r="W24" s="675">
        <f t="shared" si="7"/>
        <v>0</v>
      </c>
      <c r="X24" s="675">
        <f t="shared" si="8"/>
        <v>0</v>
      </c>
      <c r="Y24" s="675">
        <f t="shared" si="8"/>
        <v>0</v>
      </c>
      <c r="Z24" s="86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1094">
        <f>'2022-23 Input'!O24</f>
        <v>0</v>
      </c>
      <c r="AJ24" s="665">
        <v>0</v>
      </c>
      <c r="AK24" s="88">
        <f t="shared" si="9"/>
        <v>0</v>
      </c>
      <c r="AL24" s="89">
        <f t="shared" si="10"/>
        <v>0</v>
      </c>
      <c r="AM24" s="90">
        <f t="shared" si="11"/>
        <v>0</v>
      </c>
      <c r="AN24" s="91" t="str">
        <f t="shared" si="12"/>
        <v/>
      </c>
      <c r="AO24" s="92" t="str">
        <f t="shared" si="13"/>
        <v/>
      </c>
      <c r="AP24" s="92" t="str">
        <f t="shared" si="14"/>
        <v/>
      </c>
      <c r="AQ24" s="92" t="str">
        <f t="shared" si="15"/>
        <v/>
      </c>
      <c r="AR24" s="92" t="str">
        <f t="shared" si="16"/>
        <v/>
      </c>
      <c r="AS24" s="92" t="str">
        <f t="shared" si="17"/>
        <v/>
      </c>
      <c r="AT24" s="92" t="str">
        <f t="shared" si="18"/>
        <v/>
      </c>
      <c r="AU24" s="92" t="str">
        <f t="shared" si="19"/>
        <v/>
      </c>
      <c r="AV24" s="92" t="str">
        <f t="shared" si="30"/>
        <v/>
      </c>
      <c r="AW24" s="92" t="str">
        <f t="shared" si="30"/>
        <v/>
      </c>
      <c r="AX24" s="92" t="str">
        <f t="shared" si="30"/>
        <v/>
      </c>
      <c r="AY24" s="93" t="str">
        <f t="shared" si="21"/>
        <v/>
      </c>
      <c r="AZ24" s="94" t="str">
        <f t="shared" si="22"/>
        <v/>
      </c>
      <c r="BA24" s="95" t="str">
        <f t="shared" si="23"/>
        <v/>
      </c>
      <c r="BB24" s="248" t="s">
        <v>422</v>
      </c>
      <c r="BC24" s="229" t="s">
        <v>433</v>
      </c>
      <c r="BD24" s="249">
        <v>0</v>
      </c>
      <c r="BE24" s="267">
        <f t="shared" si="28"/>
        <v>0</v>
      </c>
      <c r="BF24" s="268">
        <f t="shared" si="31"/>
        <v>0</v>
      </c>
      <c r="BG24" s="268">
        <f t="shared" si="31"/>
        <v>0</v>
      </c>
      <c r="BH24" s="268">
        <f t="shared" si="31"/>
        <v>1</v>
      </c>
      <c r="BI24" s="268">
        <f t="shared" si="31"/>
        <v>2</v>
      </c>
      <c r="BJ24" s="268">
        <f t="shared" si="31"/>
        <v>3</v>
      </c>
      <c r="BK24" s="268">
        <f t="shared" si="31"/>
        <v>4</v>
      </c>
      <c r="BL24" s="269">
        <f t="shared" si="31"/>
        <v>5</v>
      </c>
      <c r="BM24" s="256">
        <f>IF($BC24=Lookup!$A$2,$BD24*ROUNDUP(BE24/10,0)+1,
IF($BC24=Lookup!$A$3,($BD24+1)^BD24,
IF($BC24=Lookup!$A$4,BE24*$BD24+1,"Error")))</f>
        <v>1</v>
      </c>
      <c r="BN24" s="229">
        <f>IF($BC24=Lookup!$A$2,$BD24*ROUNDUP(BF24/10,0)+1,
IF($BC24=Lookup!$A$3,($BD24+1)^BE24,
IF($BC24=Lookup!$A$4,BF24*$BD24+1,"Error")))</f>
        <v>1</v>
      </c>
      <c r="BO24" s="229">
        <f>IF($BC24=Lookup!$A$2,$BD24*ROUNDUP(BG24/10,0)+1,
IF($BC24=Lookup!$A$3,($BD24+1)^BF24,
IF($BC24=Lookup!$A$4,BG24*$BD24+1,"Error")))</f>
        <v>1</v>
      </c>
      <c r="BP24" s="229">
        <f>IF($BC24=Lookup!$A$2,$BD24*ROUNDUP(BH24/10,0)+1,
IF($BC24=Lookup!$A$3,($BD24+1)^BG24,
IF($BC24=Lookup!$A$4,BH24*$BD24+1,"Error")))</f>
        <v>1</v>
      </c>
      <c r="BQ24" s="229">
        <f>IF($BC24=Lookup!$A$2,$BD24*ROUNDUP(BI24/10,0)+1,
IF($BC24=Lookup!$A$3,($BD24+1)^BH24,
IF($BC24=Lookup!$A$4,BI24*$BD24+1,"Error")))</f>
        <v>1</v>
      </c>
      <c r="BR24" s="229">
        <f>IF($BC24=Lookup!$A$2,$BD24*ROUNDUP(BJ24/10,0)+1,
IF($BC24=Lookup!$A$3,($BD24+1)^BI24,
IF($BC24=Lookup!$A$4,BJ24*$BD24+1,"Error")))</f>
        <v>1</v>
      </c>
      <c r="BS24" s="229">
        <f>IF($BC24=Lookup!$A$2,$BD24*ROUNDUP(BK24/10,0)+1,
IF($BC24=Lookup!$A$3,($BD24+1)^BJ24,
IF($BC24=Lookup!$A$4,BK24*$BD24+1,"Error")))</f>
        <v>1</v>
      </c>
      <c r="BT24" s="249">
        <f>IF($BC24=Lookup!$A$2,$BD24*ROUNDUP(BL24/10,0)+1,
IF($BC24=Lookup!$A$3,($BD24+1)^BK24,
IF($BC24=Lookup!$A$4,BL24*$BD24+1,"Error")))</f>
        <v>1</v>
      </c>
      <c r="BU24" s="320">
        <v>0</v>
      </c>
      <c r="BV24" s="321">
        <v>0</v>
      </c>
      <c r="BW24" s="321">
        <v>0</v>
      </c>
      <c r="BX24" s="321">
        <v>0</v>
      </c>
      <c r="BY24" s="321">
        <v>0</v>
      </c>
      <c r="BZ24" s="321">
        <v>0</v>
      </c>
      <c r="CA24" s="321">
        <v>0</v>
      </c>
      <c r="CB24" s="277">
        <v>0</v>
      </c>
      <c r="CC24" s="382" t="s">
        <v>293</v>
      </c>
      <c r="CD24" s="383">
        <f>HLOOKUP($CC24,$AK$6:$AM$132,ROWS(CD$6:CD24),0)</f>
        <v>0</v>
      </c>
      <c r="CE24" s="234">
        <f t="shared" si="29"/>
        <v>0</v>
      </c>
      <c r="CF24" s="96">
        <f t="shared" si="25"/>
        <v>0</v>
      </c>
      <c r="CG24" s="96">
        <f t="shared" si="25"/>
        <v>0</v>
      </c>
      <c r="CH24" s="96">
        <f t="shared" si="25"/>
        <v>0</v>
      </c>
      <c r="CI24" s="96">
        <f t="shared" si="25"/>
        <v>0</v>
      </c>
      <c r="CJ24" s="96">
        <f t="shared" si="25"/>
        <v>0</v>
      </c>
      <c r="CK24" s="96">
        <f t="shared" si="25"/>
        <v>0</v>
      </c>
      <c r="CL24" s="286">
        <f t="shared" si="25"/>
        <v>0</v>
      </c>
      <c r="CM24" s="305" t="s">
        <v>292</v>
      </c>
      <c r="CN24" s="315">
        <v>0.05</v>
      </c>
      <c r="CO24" s="306"/>
      <c r="CP24" s="307" t="str">
        <f>IF($CO24&lt;&gt;"",$CO24,HLOOKUP($CM24,$AY$6:$BA$132,ROWS(CP$6:CP24),0))</f>
        <v/>
      </c>
      <c r="CQ24" s="784" t="str">
        <f t="shared" si="26"/>
        <v/>
      </c>
      <c r="CR24" s="784" t="str">
        <f t="shared" si="26"/>
        <v/>
      </c>
      <c r="CS24" s="97" t="str">
        <f t="shared" si="26"/>
        <v/>
      </c>
      <c r="CT24" s="97" t="str">
        <f t="shared" si="26"/>
        <v/>
      </c>
      <c r="CU24" s="97" t="str">
        <f t="shared" si="26"/>
        <v/>
      </c>
      <c r="CV24" s="97" t="str">
        <f t="shared" si="26"/>
        <v/>
      </c>
      <c r="CW24" s="97" t="str">
        <f t="shared" si="26"/>
        <v/>
      </c>
      <c r="CX24" s="98" t="str">
        <f t="shared" si="26"/>
        <v/>
      </c>
    </row>
    <row r="25" spans="1:102" x14ac:dyDescent="0.25">
      <c r="A25" s="81" t="s">
        <v>27</v>
      </c>
      <c r="B25" s="82" t="s">
        <v>61</v>
      </c>
      <c r="C25" s="83" t="s">
        <v>62</v>
      </c>
      <c r="D25" s="84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654">
        <f>'2022-23 Input'!H25</f>
        <v>0</v>
      </c>
      <c r="N25" s="1065">
        <v>0</v>
      </c>
      <c r="O25" s="560">
        <f t="shared" si="27"/>
        <v>0</v>
      </c>
      <c r="P25" s="561">
        <f t="shared" si="0"/>
        <v>0</v>
      </c>
      <c r="Q25" s="561">
        <f t="shared" si="1"/>
        <v>0</v>
      </c>
      <c r="R25" s="561">
        <f t="shared" si="2"/>
        <v>0</v>
      </c>
      <c r="S25" s="561">
        <f t="shared" si="3"/>
        <v>0</v>
      </c>
      <c r="T25" s="561">
        <f t="shared" si="4"/>
        <v>0</v>
      </c>
      <c r="U25" s="561">
        <f t="shared" si="5"/>
        <v>0</v>
      </c>
      <c r="V25" s="561">
        <f t="shared" si="6"/>
        <v>0</v>
      </c>
      <c r="W25" s="675">
        <f t="shared" si="7"/>
        <v>0</v>
      </c>
      <c r="X25" s="675">
        <f t="shared" si="8"/>
        <v>0</v>
      </c>
      <c r="Y25" s="675">
        <f t="shared" si="8"/>
        <v>0</v>
      </c>
      <c r="Z25" s="86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1094">
        <f>'2022-23 Input'!O25</f>
        <v>0</v>
      </c>
      <c r="AJ25" s="665">
        <v>0</v>
      </c>
      <c r="AK25" s="88">
        <f t="shared" si="9"/>
        <v>0</v>
      </c>
      <c r="AL25" s="89">
        <f t="shared" si="10"/>
        <v>0</v>
      </c>
      <c r="AM25" s="90">
        <f t="shared" si="11"/>
        <v>0</v>
      </c>
      <c r="AN25" s="91" t="str">
        <f t="shared" si="12"/>
        <v/>
      </c>
      <c r="AO25" s="92" t="str">
        <f t="shared" si="13"/>
        <v/>
      </c>
      <c r="AP25" s="92" t="str">
        <f t="shared" si="14"/>
        <v/>
      </c>
      <c r="AQ25" s="92" t="str">
        <f t="shared" si="15"/>
        <v/>
      </c>
      <c r="AR25" s="92" t="str">
        <f t="shared" si="16"/>
        <v/>
      </c>
      <c r="AS25" s="92" t="str">
        <f t="shared" si="17"/>
        <v/>
      </c>
      <c r="AT25" s="92" t="str">
        <f t="shared" si="18"/>
        <v/>
      </c>
      <c r="AU25" s="92" t="str">
        <f t="shared" si="19"/>
        <v/>
      </c>
      <c r="AV25" s="92" t="str">
        <f t="shared" si="30"/>
        <v/>
      </c>
      <c r="AW25" s="92" t="str">
        <f t="shared" si="30"/>
        <v/>
      </c>
      <c r="AX25" s="92" t="str">
        <f t="shared" si="30"/>
        <v/>
      </c>
      <c r="AY25" s="93" t="str">
        <f t="shared" si="21"/>
        <v/>
      </c>
      <c r="AZ25" s="94" t="str">
        <f t="shared" si="22"/>
        <v/>
      </c>
      <c r="BA25" s="95" t="str">
        <f t="shared" si="23"/>
        <v/>
      </c>
      <c r="BB25" s="248" t="s">
        <v>422</v>
      </c>
      <c r="BC25" s="229" t="s">
        <v>433</v>
      </c>
      <c r="BD25" s="249">
        <v>0</v>
      </c>
      <c r="BE25" s="267">
        <f t="shared" si="28"/>
        <v>0</v>
      </c>
      <c r="BF25" s="268">
        <f t="shared" si="31"/>
        <v>0</v>
      </c>
      <c r="BG25" s="268">
        <f t="shared" si="31"/>
        <v>0</v>
      </c>
      <c r="BH25" s="268">
        <f t="shared" si="31"/>
        <v>1</v>
      </c>
      <c r="BI25" s="268">
        <f t="shared" si="31"/>
        <v>2</v>
      </c>
      <c r="BJ25" s="268">
        <f t="shared" si="31"/>
        <v>3</v>
      </c>
      <c r="BK25" s="268">
        <f t="shared" si="31"/>
        <v>4</v>
      </c>
      <c r="BL25" s="269">
        <f t="shared" si="31"/>
        <v>5</v>
      </c>
      <c r="BM25" s="256">
        <f>IF($BC25=Lookup!$A$2,$BD25*ROUNDUP(BE25/10,0)+1,
IF($BC25=Lookup!$A$3,($BD25+1)^BD25,
IF($BC25=Lookup!$A$4,BE25*$BD25+1,"Error")))</f>
        <v>1</v>
      </c>
      <c r="BN25" s="229">
        <f>IF($BC25=Lookup!$A$2,$BD25*ROUNDUP(BF25/10,0)+1,
IF($BC25=Lookup!$A$3,($BD25+1)^BE25,
IF($BC25=Lookup!$A$4,BF25*$BD25+1,"Error")))</f>
        <v>1</v>
      </c>
      <c r="BO25" s="229">
        <f>IF($BC25=Lookup!$A$2,$BD25*ROUNDUP(BG25/10,0)+1,
IF($BC25=Lookup!$A$3,($BD25+1)^BF25,
IF($BC25=Lookup!$A$4,BG25*$BD25+1,"Error")))</f>
        <v>1</v>
      </c>
      <c r="BP25" s="229">
        <f>IF($BC25=Lookup!$A$2,$BD25*ROUNDUP(BH25/10,0)+1,
IF($BC25=Lookup!$A$3,($BD25+1)^BG25,
IF($BC25=Lookup!$A$4,BH25*$BD25+1,"Error")))</f>
        <v>1</v>
      </c>
      <c r="BQ25" s="229">
        <f>IF($BC25=Lookup!$A$2,$BD25*ROUNDUP(BI25/10,0)+1,
IF($BC25=Lookup!$A$3,($BD25+1)^BH25,
IF($BC25=Lookup!$A$4,BI25*$BD25+1,"Error")))</f>
        <v>1</v>
      </c>
      <c r="BR25" s="229">
        <f>IF($BC25=Lookup!$A$2,$BD25*ROUNDUP(BJ25/10,0)+1,
IF($BC25=Lookup!$A$3,($BD25+1)^BI25,
IF($BC25=Lookup!$A$4,BJ25*$BD25+1,"Error")))</f>
        <v>1</v>
      </c>
      <c r="BS25" s="229">
        <f>IF($BC25=Lookup!$A$2,$BD25*ROUNDUP(BK25/10,0)+1,
IF($BC25=Lookup!$A$3,($BD25+1)^BJ25,
IF($BC25=Lookup!$A$4,BK25*$BD25+1,"Error")))</f>
        <v>1</v>
      </c>
      <c r="BT25" s="249">
        <f>IF($BC25=Lookup!$A$2,$BD25*ROUNDUP(BL25/10,0)+1,
IF($BC25=Lookup!$A$3,($BD25+1)^BK25,
IF($BC25=Lookup!$A$4,BL25*$BD25+1,"Error")))</f>
        <v>1</v>
      </c>
      <c r="BU25" s="320">
        <v>0</v>
      </c>
      <c r="BV25" s="321">
        <v>0</v>
      </c>
      <c r="BW25" s="321">
        <v>0</v>
      </c>
      <c r="BX25" s="321">
        <v>0</v>
      </c>
      <c r="BY25" s="321">
        <v>0</v>
      </c>
      <c r="BZ25" s="321">
        <v>0</v>
      </c>
      <c r="CA25" s="321">
        <v>0</v>
      </c>
      <c r="CB25" s="277">
        <v>0</v>
      </c>
      <c r="CC25" s="382" t="s">
        <v>293</v>
      </c>
      <c r="CD25" s="383">
        <f>HLOOKUP($CC25,$AK$6:$AM$132,ROWS(CD$6:CD25),0)</f>
        <v>0</v>
      </c>
      <c r="CE25" s="234">
        <f t="shared" si="29"/>
        <v>0</v>
      </c>
      <c r="CF25" s="96">
        <f t="shared" si="25"/>
        <v>0</v>
      </c>
      <c r="CG25" s="96">
        <f t="shared" si="25"/>
        <v>0</v>
      </c>
      <c r="CH25" s="96">
        <f t="shared" si="25"/>
        <v>0</v>
      </c>
      <c r="CI25" s="96">
        <f t="shared" si="25"/>
        <v>0</v>
      </c>
      <c r="CJ25" s="96">
        <f t="shared" si="25"/>
        <v>0</v>
      </c>
      <c r="CK25" s="96">
        <f t="shared" si="25"/>
        <v>0</v>
      </c>
      <c r="CL25" s="286">
        <f t="shared" si="25"/>
        <v>0</v>
      </c>
      <c r="CM25" s="305" t="s">
        <v>292</v>
      </c>
      <c r="CN25" s="315">
        <v>0.05</v>
      </c>
      <c r="CO25" s="306"/>
      <c r="CP25" s="307" t="str">
        <f>IF($CO25&lt;&gt;"",$CO25,HLOOKUP($CM25,$AY$6:$BA$132,ROWS(CP$6:CP25),0))</f>
        <v/>
      </c>
      <c r="CQ25" s="784" t="str">
        <f t="shared" si="26"/>
        <v/>
      </c>
      <c r="CR25" s="784" t="str">
        <f t="shared" si="26"/>
        <v/>
      </c>
      <c r="CS25" s="97" t="str">
        <f t="shared" si="26"/>
        <v/>
      </c>
      <c r="CT25" s="97" t="str">
        <f t="shared" si="26"/>
        <v/>
      </c>
      <c r="CU25" s="97" t="str">
        <f t="shared" si="26"/>
        <v/>
      </c>
      <c r="CV25" s="97" t="str">
        <f t="shared" si="26"/>
        <v/>
      </c>
      <c r="CW25" s="97" t="str">
        <f t="shared" si="26"/>
        <v/>
      </c>
      <c r="CX25" s="98" t="str">
        <f t="shared" si="26"/>
        <v/>
      </c>
    </row>
    <row r="26" spans="1:102" ht="15.75" thickBot="1" x14ac:dyDescent="0.3">
      <c r="A26" s="100" t="s">
        <v>27</v>
      </c>
      <c r="B26" s="101" t="s">
        <v>303</v>
      </c>
      <c r="C26" s="102" t="s">
        <v>304</v>
      </c>
      <c r="D26" s="103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655">
        <f>'2022-23 Input'!H26</f>
        <v>0</v>
      </c>
      <c r="N26" s="1066">
        <v>0</v>
      </c>
      <c r="O26" s="563">
        <f t="shared" si="27"/>
        <v>0</v>
      </c>
      <c r="P26" s="564">
        <f t="shared" si="0"/>
        <v>0</v>
      </c>
      <c r="Q26" s="564">
        <f t="shared" si="1"/>
        <v>0</v>
      </c>
      <c r="R26" s="564">
        <f t="shared" si="2"/>
        <v>0</v>
      </c>
      <c r="S26" s="564">
        <f t="shared" si="3"/>
        <v>0</v>
      </c>
      <c r="T26" s="564">
        <f t="shared" si="4"/>
        <v>0</v>
      </c>
      <c r="U26" s="564">
        <f t="shared" si="5"/>
        <v>0</v>
      </c>
      <c r="V26" s="564">
        <f t="shared" si="6"/>
        <v>0</v>
      </c>
      <c r="W26" s="676">
        <f t="shared" si="7"/>
        <v>0</v>
      </c>
      <c r="X26" s="676">
        <f t="shared" si="8"/>
        <v>0</v>
      </c>
      <c r="Y26" s="676">
        <f t="shared" si="8"/>
        <v>0</v>
      </c>
      <c r="Z26" s="105">
        <v>0</v>
      </c>
      <c r="AA26" s="106">
        <v>0</v>
      </c>
      <c r="AB26" s="106">
        <v>0</v>
      </c>
      <c r="AC26" s="106">
        <v>0</v>
      </c>
      <c r="AD26" s="106">
        <v>0</v>
      </c>
      <c r="AE26" s="106">
        <v>0</v>
      </c>
      <c r="AF26" s="106">
        <v>0</v>
      </c>
      <c r="AG26" s="106">
        <v>0</v>
      </c>
      <c r="AH26" s="106">
        <v>0</v>
      </c>
      <c r="AI26" s="1095">
        <f>'2022-23 Input'!O26</f>
        <v>0</v>
      </c>
      <c r="AJ26" s="666">
        <v>0</v>
      </c>
      <c r="AK26" s="107">
        <f t="shared" si="9"/>
        <v>0</v>
      </c>
      <c r="AL26" s="108">
        <f t="shared" si="10"/>
        <v>0</v>
      </c>
      <c r="AM26" s="109">
        <f t="shared" si="11"/>
        <v>0</v>
      </c>
      <c r="AN26" s="110" t="str">
        <f t="shared" si="12"/>
        <v/>
      </c>
      <c r="AO26" s="111" t="str">
        <f t="shared" si="13"/>
        <v/>
      </c>
      <c r="AP26" s="111" t="str">
        <f t="shared" si="14"/>
        <v/>
      </c>
      <c r="AQ26" s="111" t="str">
        <f t="shared" si="15"/>
        <v/>
      </c>
      <c r="AR26" s="111" t="str">
        <f t="shared" si="16"/>
        <v/>
      </c>
      <c r="AS26" s="111" t="str">
        <f t="shared" si="17"/>
        <v/>
      </c>
      <c r="AT26" s="111" t="str">
        <f t="shared" si="18"/>
        <v/>
      </c>
      <c r="AU26" s="111" t="str">
        <f t="shared" si="19"/>
        <v/>
      </c>
      <c r="AV26" s="111" t="str">
        <f t="shared" si="30"/>
        <v/>
      </c>
      <c r="AW26" s="111" t="str">
        <f t="shared" si="30"/>
        <v/>
      </c>
      <c r="AX26" s="111" t="str">
        <f t="shared" si="30"/>
        <v/>
      </c>
      <c r="AY26" s="112" t="str">
        <f t="shared" si="21"/>
        <v/>
      </c>
      <c r="AZ26" s="113" t="str">
        <f t="shared" si="22"/>
        <v/>
      </c>
      <c r="BA26" s="114" t="str">
        <f t="shared" si="23"/>
        <v/>
      </c>
      <c r="BB26" s="250" t="s">
        <v>422</v>
      </c>
      <c r="BC26" s="230" t="s">
        <v>433</v>
      </c>
      <c r="BD26" s="251">
        <v>0</v>
      </c>
      <c r="BE26" s="270">
        <f t="shared" si="28"/>
        <v>0</v>
      </c>
      <c r="BF26" s="271">
        <f t="shared" si="31"/>
        <v>0</v>
      </c>
      <c r="BG26" s="271">
        <f t="shared" si="31"/>
        <v>0</v>
      </c>
      <c r="BH26" s="271">
        <f t="shared" si="31"/>
        <v>1</v>
      </c>
      <c r="BI26" s="271">
        <f t="shared" si="31"/>
        <v>2</v>
      </c>
      <c r="BJ26" s="271">
        <f t="shared" si="31"/>
        <v>3</v>
      </c>
      <c r="BK26" s="271">
        <f t="shared" si="31"/>
        <v>4</v>
      </c>
      <c r="BL26" s="272">
        <f t="shared" si="31"/>
        <v>5</v>
      </c>
      <c r="BM26" s="257">
        <f>IF($BC26=Lookup!$A$2,$BD26*ROUNDUP(BE26/10,0)+1,
IF($BC26=Lookup!$A$3,($BD26+1)^BD26,
IF($BC26=Lookup!$A$4,BE26*$BD26+1,"Error")))</f>
        <v>1</v>
      </c>
      <c r="BN26" s="230">
        <f>IF($BC26=Lookup!$A$2,$BD26*ROUNDUP(BF26/10,0)+1,
IF($BC26=Lookup!$A$3,($BD26+1)^BE26,
IF($BC26=Lookup!$A$4,BF26*$BD26+1,"Error")))</f>
        <v>1</v>
      </c>
      <c r="BO26" s="230">
        <f>IF($BC26=Lookup!$A$2,$BD26*ROUNDUP(BG26/10,0)+1,
IF($BC26=Lookup!$A$3,($BD26+1)^BF26,
IF($BC26=Lookup!$A$4,BG26*$BD26+1,"Error")))</f>
        <v>1</v>
      </c>
      <c r="BP26" s="230">
        <f>IF($BC26=Lookup!$A$2,$BD26*ROUNDUP(BH26/10,0)+1,
IF($BC26=Lookup!$A$3,($BD26+1)^BG26,
IF($BC26=Lookup!$A$4,BH26*$BD26+1,"Error")))</f>
        <v>1</v>
      </c>
      <c r="BQ26" s="230">
        <f>IF($BC26=Lookup!$A$2,$BD26*ROUNDUP(BI26/10,0)+1,
IF($BC26=Lookup!$A$3,($BD26+1)^BH26,
IF($BC26=Lookup!$A$4,BI26*$BD26+1,"Error")))</f>
        <v>1</v>
      </c>
      <c r="BR26" s="230">
        <f>IF($BC26=Lookup!$A$2,$BD26*ROUNDUP(BJ26/10,0)+1,
IF($BC26=Lookup!$A$3,($BD26+1)^BI26,
IF($BC26=Lookup!$A$4,BJ26*$BD26+1,"Error")))</f>
        <v>1</v>
      </c>
      <c r="BS26" s="230">
        <f>IF($BC26=Lookup!$A$2,$BD26*ROUNDUP(BK26/10,0)+1,
IF($BC26=Lookup!$A$3,($BD26+1)^BJ26,
IF($BC26=Lookup!$A$4,BK26*$BD26+1,"Error")))</f>
        <v>1</v>
      </c>
      <c r="BT26" s="251">
        <f>IF($BC26=Lookup!$A$2,$BD26*ROUNDUP(BL26/10,0)+1,
IF($BC26=Lookup!$A$3,($BD26+1)^BK26,
IF($BC26=Lookup!$A$4,BL26*$BD26+1,"Error")))</f>
        <v>1</v>
      </c>
      <c r="BU26" s="322">
        <v>0</v>
      </c>
      <c r="BV26" s="323">
        <v>0</v>
      </c>
      <c r="BW26" s="323">
        <v>0</v>
      </c>
      <c r="BX26" s="323">
        <v>0</v>
      </c>
      <c r="BY26" s="323">
        <v>0</v>
      </c>
      <c r="BZ26" s="323">
        <v>0</v>
      </c>
      <c r="CA26" s="323">
        <v>0</v>
      </c>
      <c r="CB26" s="278">
        <v>0</v>
      </c>
      <c r="CC26" s="384" t="s">
        <v>293</v>
      </c>
      <c r="CD26" s="385">
        <f>HLOOKUP($CC26,$AK$6:$AM$132,ROWS(CD$6:CD26),0)</f>
        <v>0</v>
      </c>
      <c r="CE26" s="235">
        <f t="shared" si="29"/>
        <v>0</v>
      </c>
      <c r="CF26" s="115">
        <f t="shared" si="25"/>
        <v>0</v>
      </c>
      <c r="CG26" s="115">
        <f t="shared" si="25"/>
        <v>0</v>
      </c>
      <c r="CH26" s="115">
        <f t="shared" si="25"/>
        <v>0</v>
      </c>
      <c r="CI26" s="115">
        <f t="shared" si="25"/>
        <v>0</v>
      </c>
      <c r="CJ26" s="115">
        <f t="shared" si="25"/>
        <v>0</v>
      </c>
      <c r="CK26" s="115">
        <f t="shared" si="25"/>
        <v>0</v>
      </c>
      <c r="CL26" s="287">
        <f t="shared" si="25"/>
        <v>0</v>
      </c>
      <c r="CM26" s="308" t="s">
        <v>292</v>
      </c>
      <c r="CN26" s="316">
        <v>0.05</v>
      </c>
      <c r="CO26" s="309"/>
      <c r="CP26" s="310" t="str">
        <f>IF($CO26&lt;&gt;"",$CO26,HLOOKUP($CM26,$AY$6:$BA$132,ROWS(CP$6:CP26),0))</f>
        <v/>
      </c>
      <c r="CQ26" s="785" t="str">
        <f t="shared" si="26"/>
        <v/>
      </c>
      <c r="CR26" s="785" t="str">
        <f t="shared" si="26"/>
        <v/>
      </c>
      <c r="CS26" s="117" t="str">
        <f t="shared" si="26"/>
        <v/>
      </c>
      <c r="CT26" s="117" t="str">
        <f t="shared" si="26"/>
        <v/>
      </c>
      <c r="CU26" s="117" t="str">
        <f t="shared" si="26"/>
        <v/>
      </c>
      <c r="CV26" s="117" t="str">
        <f t="shared" si="26"/>
        <v/>
      </c>
      <c r="CW26" s="117" t="str">
        <f t="shared" si="26"/>
        <v/>
      </c>
      <c r="CX26" s="118" t="str">
        <f t="shared" si="26"/>
        <v/>
      </c>
    </row>
    <row r="27" spans="1:102" x14ac:dyDescent="0.25">
      <c r="A27" s="63" t="s">
        <v>68</v>
      </c>
      <c r="B27" s="64" t="s">
        <v>65</v>
      </c>
      <c r="C27" s="65" t="s">
        <v>305</v>
      </c>
      <c r="D27" s="66">
        <v>0</v>
      </c>
      <c r="E27" s="67">
        <v>144062.83209075176</v>
      </c>
      <c r="F27" s="67">
        <v>83543.460238874977</v>
      </c>
      <c r="G27" s="67">
        <v>457509.14103366737</v>
      </c>
      <c r="H27" s="67">
        <v>1171789.8021465684</v>
      </c>
      <c r="I27" s="67">
        <v>1531070.1502447366</v>
      </c>
      <c r="J27" s="67">
        <v>5232708.3418848775</v>
      </c>
      <c r="K27" s="67">
        <v>4593283.3402044037</v>
      </c>
      <c r="L27" s="67">
        <v>88976.032105082617</v>
      </c>
      <c r="M27" s="653">
        <f>'2022-23 Input'!H27</f>
        <v>111338.97414399598</v>
      </c>
      <c r="N27" s="1064">
        <v>165572.80913416803</v>
      </c>
      <c r="O27" s="557">
        <f t="shared" si="27"/>
        <v>0</v>
      </c>
      <c r="P27" s="558">
        <f t="shared" si="0"/>
        <v>190945.33248321543</v>
      </c>
      <c r="Q27" s="558">
        <f t="shared" si="1"/>
        <v>109609.50001904018</v>
      </c>
      <c r="R27" s="558">
        <f t="shared" si="2"/>
        <v>588867.67861565819</v>
      </c>
      <c r="S27" s="558">
        <f t="shared" si="3"/>
        <v>1477531.7891421597</v>
      </c>
      <c r="T27" s="558">
        <f t="shared" si="4"/>
        <v>1900285.1056744508</v>
      </c>
      <c r="U27" s="558">
        <f t="shared" si="5"/>
        <v>6517275.3102780264</v>
      </c>
      <c r="V27" s="558">
        <f t="shared" si="6"/>
        <v>5508994.7471779324</v>
      </c>
      <c r="W27" s="674">
        <f t="shared" si="7"/>
        <v>100536.44184637559</v>
      </c>
      <c r="X27" s="674">
        <f t="shared" si="8"/>
        <v>118404.64855331779</v>
      </c>
      <c r="Y27" s="674">
        <f t="shared" si="8"/>
        <v>170125.80960144158</v>
      </c>
      <c r="Z27" s="68">
        <v>0</v>
      </c>
      <c r="AA27" s="69">
        <v>78</v>
      </c>
      <c r="AB27" s="69">
        <v>6</v>
      </c>
      <c r="AC27" s="69">
        <v>313</v>
      </c>
      <c r="AD27" s="69">
        <v>779</v>
      </c>
      <c r="AE27" s="69">
        <v>684</v>
      </c>
      <c r="AF27" s="69">
        <v>1644</v>
      </c>
      <c r="AG27" s="69">
        <v>2034</v>
      </c>
      <c r="AH27" s="69">
        <v>211</v>
      </c>
      <c r="AI27" s="1093">
        <f>'2022-23 Input'!O27</f>
        <v>50</v>
      </c>
      <c r="AJ27" s="664">
        <v>27</v>
      </c>
      <c r="AK27" s="70">
        <f t="shared" si="9"/>
        <v>924.6</v>
      </c>
      <c r="AL27" s="71">
        <f t="shared" si="10"/>
        <v>765</v>
      </c>
      <c r="AM27" s="72">
        <f t="shared" si="11"/>
        <v>50</v>
      </c>
      <c r="AN27" s="73" t="str">
        <f t="shared" si="12"/>
        <v/>
      </c>
      <c r="AO27" s="74">
        <f t="shared" si="13"/>
        <v>1846.9593857788689</v>
      </c>
      <c r="AP27" s="74">
        <f t="shared" si="14"/>
        <v>13923.910039812496</v>
      </c>
      <c r="AQ27" s="74">
        <f t="shared" si="15"/>
        <v>1461.690546433442</v>
      </c>
      <c r="AR27" s="74">
        <f t="shared" si="16"/>
        <v>1504.2231093023986</v>
      </c>
      <c r="AS27" s="74">
        <f t="shared" si="17"/>
        <v>2238.4066524045857</v>
      </c>
      <c r="AT27" s="74">
        <f t="shared" si="18"/>
        <v>3182.9126167182953</v>
      </c>
      <c r="AU27" s="74">
        <f t="shared" si="19"/>
        <v>2258.2513963640135</v>
      </c>
      <c r="AV27" s="74">
        <f t="shared" si="30"/>
        <v>421.68735594825887</v>
      </c>
      <c r="AW27" s="74">
        <f t="shared" si="30"/>
        <v>2226.7794828799197</v>
      </c>
      <c r="AX27" s="74">
        <f t="shared" si="30"/>
        <v>6132.3262642284453</v>
      </c>
      <c r="AY27" s="75">
        <f t="shared" si="21"/>
        <v>2499.9733589840143</v>
      </c>
      <c r="AZ27" s="76">
        <f t="shared" si="22"/>
        <v>2088.7138764503193</v>
      </c>
      <c r="BA27" s="77">
        <f t="shared" si="23"/>
        <v>2226.7794828799197</v>
      </c>
      <c r="BB27" s="246" t="s">
        <v>422</v>
      </c>
      <c r="BC27" s="228" t="s">
        <v>433</v>
      </c>
      <c r="BD27" s="247">
        <v>0</v>
      </c>
      <c r="BE27" s="264">
        <f t="shared" si="28"/>
        <v>0</v>
      </c>
      <c r="BF27" s="265">
        <f t="shared" si="31"/>
        <v>0</v>
      </c>
      <c r="BG27" s="265">
        <f t="shared" si="31"/>
        <v>0</v>
      </c>
      <c r="BH27" s="265">
        <f t="shared" si="31"/>
        <v>1</v>
      </c>
      <c r="BI27" s="265">
        <f t="shared" si="31"/>
        <v>2</v>
      </c>
      <c r="BJ27" s="265">
        <f t="shared" si="31"/>
        <v>3</v>
      </c>
      <c r="BK27" s="265">
        <f t="shared" si="31"/>
        <v>4</v>
      </c>
      <c r="BL27" s="266">
        <f t="shared" si="31"/>
        <v>5</v>
      </c>
      <c r="BM27" s="255">
        <f>IF($BC27=Lookup!$A$2,$BD27*ROUNDUP(BE27/10,0)+1,
IF($BC27=Lookup!$A$3,($BD27+1)^BD27,
IF($BC27=Lookup!$A$4,BE27*$BD27+1,"Error")))</f>
        <v>1</v>
      </c>
      <c r="BN27" s="228">
        <f>IF($BC27=Lookup!$A$2,$BD27*ROUNDUP(BF27/10,0)+1,
IF($BC27=Lookup!$A$3,($BD27+1)^BE27,
IF($BC27=Lookup!$A$4,BF27*$BD27+1,"Error")))</f>
        <v>1</v>
      </c>
      <c r="BO27" s="228">
        <f>IF($BC27=Lookup!$A$2,$BD27*ROUNDUP(BG27/10,0)+1,
IF($BC27=Lookup!$A$3,($BD27+1)^BF27,
IF($BC27=Lookup!$A$4,BG27*$BD27+1,"Error")))</f>
        <v>1</v>
      </c>
      <c r="BP27" s="228">
        <f>IF($BC27=Lookup!$A$2,$BD27*ROUNDUP(BH27/10,0)+1,
IF($BC27=Lookup!$A$3,($BD27+1)^BG27,
IF($BC27=Lookup!$A$4,BH27*$BD27+1,"Error")))</f>
        <v>1</v>
      </c>
      <c r="BQ27" s="228">
        <f>IF($BC27=Lookup!$A$2,$BD27*ROUNDUP(BI27/10,0)+1,
IF($BC27=Lookup!$A$3,($BD27+1)^BH27,
IF($BC27=Lookup!$A$4,BI27*$BD27+1,"Error")))</f>
        <v>1</v>
      </c>
      <c r="BR27" s="228">
        <f>IF($BC27=Lookup!$A$2,$BD27*ROUNDUP(BJ27/10,0)+1,
IF($BC27=Lookup!$A$3,($BD27+1)^BI27,
IF($BC27=Lookup!$A$4,BJ27*$BD27+1,"Error")))</f>
        <v>1</v>
      </c>
      <c r="BS27" s="228">
        <f>IF($BC27=Lookup!$A$2,$BD27*ROUNDUP(BK27/10,0)+1,
IF($BC27=Lookup!$A$3,($BD27+1)^BJ27,
IF($BC27=Lookup!$A$4,BK27*$BD27+1,"Error")))</f>
        <v>1</v>
      </c>
      <c r="BT27" s="247">
        <f>IF($BC27=Lookup!$A$2,$BD27*ROUNDUP(BL27/10,0)+1,
IF($BC27=Lookup!$A$3,($BD27+1)^BK27,
IF($BC27=Lookup!$A$4,BL27*$BD27+1,"Error")))</f>
        <v>1</v>
      </c>
      <c r="BU27" s="318">
        <v>0</v>
      </c>
      <c r="BV27" s="319">
        <v>0</v>
      </c>
      <c r="BW27" s="319">
        <v>0</v>
      </c>
      <c r="BX27" s="319">
        <v>0</v>
      </c>
      <c r="BY27" s="319">
        <v>0</v>
      </c>
      <c r="BZ27" s="319">
        <v>0</v>
      </c>
      <c r="CA27" s="319">
        <v>0</v>
      </c>
      <c r="CB27" s="276">
        <v>0</v>
      </c>
      <c r="CC27" s="380" t="s">
        <v>293</v>
      </c>
      <c r="CD27" s="381">
        <f>HLOOKUP($CC27,$AK$6:$AM$132,ROWS(CD$6:CD27),0)</f>
        <v>765</v>
      </c>
      <c r="CE27" s="233">
        <f t="shared" si="29"/>
        <v>0</v>
      </c>
      <c r="CF27" s="78">
        <f t="shared" si="25"/>
        <v>0</v>
      </c>
      <c r="CG27" s="78">
        <f t="shared" si="25"/>
        <v>0</v>
      </c>
      <c r="CH27" s="78">
        <f t="shared" si="25"/>
        <v>0</v>
      </c>
      <c r="CI27" s="78">
        <f t="shared" si="25"/>
        <v>0</v>
      </c>
      <c r="CJ27" s="78">
        <f t="shared" si="25"/>
        <v>0</v>
      </c>
      <c r="CK27" s="78">
        <f t="shared" si="25"/>
        <v>0</v>
      </c>
      <c r="CL27" s="285">
        <f t="shared" si="25"/>
        <v>0</v>
      </c>
      <c r="CM27" s="302" t="s">
        <v>292</v>
      </c>
      <c r="CN27" s="314">
        <v>0.05</v>
      </c>
      <c r="CO27" s="303"/>
      <c r="CP27" s="304">
        <f>IF($CO27&lt;&gt;"",$CO27,HLOOKUP($CM27,$AY$6:$BA$132,ROWS(CP$6:CP27),0))</f>
        <v>2499.9733589840143</v>
      </c>
      <c r="CQ27" s="783">
        <f t="shared" si="26"/>
        <v>0</v>
      </c>
      <c r="CR27" s="783">
        <f t="shared" si="26"/>
        <v>0</v>
      </c>
      <c r="CS27" s="79">
        <f t="shared" si="26"/>
        <v>0</v>
      </c>
      <c r="CT27" s="79">
        <f t="shared" si="26"/>
        <v>0</v>
      </c>
      <c r="CU27" s="79">
        <f t="shared" si="26"/>
        <v>0</v>
      </c>
      <c r="CV27" s="79">
        <f t="shared" si="26"/>
        <v>0</v>
      </c>
      <c r="CW27" s="79">
        <f t="shared" si="26"/>
        <v>0</v>
      </c>
      <c r="CX27" s="80">
        <f t="shared" si="26"/>
        <v>0</v>
      </c>
    </row>
    <row r="28" spans="1:102" x14ac:dyDescent="0.25">
      <c r="A28" s="81" t="s">
        <v>68</v>
      </c>
      <c r="B28" s="82" t="s">
        <v>69</v>
      </c>
      <c r="C28" s="83" t="s">
        <v>70</v>
      </c>
      <c r="D28" s="84">
        <v>0</v>
      </c>
      <c r="E28" s="85">
        <v>108469.28033148026</v>
      </c>
      <c r="F28" s="85">
        <v>13288.035928851217</v>
      </c>
      <c r="G28" s="85">
        <v>617958.64578606677</v>
      </c>
      <c r="H28" s="85">
        <v>1106625.8292911421</v>
      </c>
      <c r="I28" s="85">
        <v>866336.51596291363</v>
      </c>
      <c r="J28" s="85">
        <v>3310889.3189299447</v>
      </c>
      <c r="K28" s="85">
        <v>5616862.3390947366</v>
      </c>
      <c r="L28" s="85">
        <v>-76871.267837841136</v>
      </c>
      <c r="M28" s="654">
        <f>'2022-23 Input'!H28</f>
        <v>49021.16143705701</v>
      </c>
      <c r="N28" s="1065">
        <v>44775.225658552001</v>
      </c>
      <c r="O28" s="560">
        <f t="shared" si="27"/>
        <v>0</v>
      </c>
      <c r="P28" s="561">
        <f t="shared" si="0"/>
        <v>143768.53832820911</v>
      </c>
      <c r="Q28" s="561">
        <f t="shared" si="1"/>
        <v>17433.979514756542</v>
      </c>
      <c r="R28" s="561">
        <f t="shared" si="2"/>
        <v>795384.92368120444</v>
      </c>
      <c r="S28" s="561">
        <f t="shared" si="3"/>
        <v>1395365.3107991044</v>
      </c>
      <c r="T28" s="561">
        <f t="shared" si="4"/>
        <v>1075252.089215551</v>
      </c>
      <c r="U28" s="561">
        <f t="shared" si="5"/>
        <v>4123672.8293464836</v>
      </c>
      <c r="V28" s="561">
        <f t="shared" si="6"/>
        <v>6736633.2163426839</v>
      </c>
      <c r="W28" s="675">
        <f t="shared" si="7"/>
        <v>-86858.939039998018</v>
      </c>
      <c r="X28" s="675">
        <f t="shared" si="8"/>
        <v>52132.089739962743</v>
      </c>
      <c r="Y28" s="675">
        <f t="shared" si="8"/>
        <v>46006.476275194451</v>
      </c>
      <c r="Z28" s="86">
        <v>0</v>
      </c>
      <c r="AA28" s="87">
        <v>53</v>
      </c>
      <c r="AB28" s="87">
        <v>1</v>
      </c>
      <c r="AC28" s="87">
        <v>327</v>
      </c>
      <c r="AD28" s="87">
        <v>624</v>
      </c>
      <c r="AE28" s="87">
        <v>321</v>
      </c>
      <c r="AF28" s="87">
        <v>1122</v>
      </c>
      <c r="AG28" s="87">
        <v>2728</v>
      </c>
      <c r="AH28" s="87">
        <v>186</v>
      </c>
      <c r="AI28" s="1094">
        <f>'2022-23 Input'!O28</f>
        <v>45</v>
      </c>
      <c r="AJ28" s="665">
        <v>11</v>
      </c>
      <c r="AK28" s="88">
        <f t="shared" si="9"/>
        <v>880.4</v>
      </c>
      <c r="AL28" s="89">
        <f t="shared" si="10"/>
        <v>986.33333333333337</v>
      </c>
      <c r="AM28" s="90">
        <f t="shared" si="11"/>
        <v>45</v>
      </c>
      <c r="AN28" s="91" t="str">
        <f t="shared" si="12"/>
        <v/>
      </c>
      <c r="AO28" s="92">
        <f t="shared" si="13"/>
        <v>2046.5901949335898</v>
      </c>
      <c r="AP28" s="92">
        <f t="shared" si="14"/>
        <v>13288.035928851217</v>
      </c>
      <c r="AQ28" s="92">
        <f t="shared" si="15"/>
        <v>1889.7817913946997</v>
      </c>
      <c r="AR28" s="92">
        <f t="shared" si="16"/>
        <v>1773.4388289922149</v>
      </c>
      <c r="AS28" s="92">
        <f t="shared" si="17"/>
        <v>2698.8676509748088</v>
      </c>
      <c r="AT28" s="92">
        <f t="shared" si="18"/>
        <v>2950.8817459268671</v>
      </c>
      <c r="AU28" s="92">
        <f t="shared" si="19"/>
        <v>2058.9671330992437</v>
      </c>
      <c r="AV28" s="92">
        <f t="shared" si="30"/>
        <v>-413.28638622495237</v>
      </c>
      <c r="AW28" s="92">
        <f t="shared" si="30"/>
        <v>1089.3591430457113</v>
      </c>
      <c r="AX28" s="92">
        <f t="shared" si="30"/>
        <v>4070.4750598683636</v>
      </c>
      <c r="AY28" s="93">
        <f t="shared" si="21"/>
        <v>2218.5911103104977</v>
      </c>
      <c r="AZ28" s="94">
        <f t="shared" si="22"/>
        <v>1888.8179225055601</v>
      </c>
      <c r="BA28" s="95">
        <f t="shared" si="23"/>
        <v>1089.3591430457113</v>
      </c>
      <c r="BB28" s="248" t="s">
        <v>422</v>
      </c>
      <c r="BC28" s="229" t="s">
        <v>433</v>
      </c>
      <c r="BD28" s="249">
        <v>0</v>
      </c>
      <c r="BE28" s="267">
        <f t="shared" si="28"/>
        <v>0</v>
      </c>
      <c r="BF28" s="268">
        <f t="shared" si="31"/>
        <v>0</v>
      </c>
      <c r="BG28" s="268">
        <f t="shared" si="31"/>
        <v>0</v>
      </c>
      <c r="BH28" s="268">
        <f t="shared" si="31"/>
        <v>1</v>
      </c>
      <c r="BI28" s="268">
        <f t="shared" si="31"/>
        <v>2</v>
      </c>
      <c r="BJ28" s="268">
        <f t="shared" si="31"/>
        <v>3</v>
      </c>
      <c r="BK28" s="268">
        <f t="shared" si="31"/>
        <v>4</v>
      </c>
      <c r="BL28" s="269">
        <f t="shared" si="31"/>
        <v>5</v>
      </c>
      <c r="BM28" s="256">
        <f>IF($BC28=Lookup!$A$2,$BD28*ROUNDUP(BE28/10,0)+1,
IF($BC28=Lookup!$A$3,($BD28+1)^BD28,
IF($BC28=Lookup!$A$4,BE28*$BD28+1,"Error")))</f>
        <v>1</v>
      </c>
      <c r="BN28" s="229">
        <f>IF($BC28=Lookup!$A$2,$BD28*ROUNDUP(BF28/10,0)+1,
IF($BC28=Lookup!$A$3,($BD28+1)^BE28,
IF($BC28=Lookup!$A$4,BF28*$BD28+1,"Error")))</f>
        <v>1</v>
      </c>
      <c r="BO28" s="229">
        <f>IF($BC28=Lookup!$A$2,$BD28*ROUNDUP(BG28/10,0)+1,
IF($BC28=Lookup!$A$3,($BD28+1)^BF28,
IF($BC28=Lookup!$A$4,BG28*$BD28+1,"Error")))</f>
        <v>1</v>
      </c>
      <c r="BP28" s="229">
        <f>IF($BC28=Lookup!$A$2,$BD28*ROUNDUP(BH28/10,0)+1,
IF($BC28=Lookup!$A$3,($BD28+1)^BG28,
IF($BC28=Lookup!$A$4,BH28*$BD28+1,"Error")))</f>
        <v>1</v>
      </c>
      <c r="BQ28" s="229">
        <f>IF($BC28=Lookup!$A$2,$BD28*ROUNDUP(BI28/10,0)+1,
IF($BC28=Lookup!$A$3,($BD28+1)^BH28,
IF($BC28=Lookup!$A$4,BI28*$BD28+1,"Error")))</f>
        <v>1</v>
      </c>
      <c r="BR28" s="229">
        <f>IF($BC28=Lookup!$A$2,$BD28*ROUNDUP(BJ28/10,0)+1,
IF($BC28=Lookup!$A$3,($BD28+1)^BI28,
IF($BC28=Lookup!$A$4,BJ28*$BD28+1,"Error")))</f>
        <v>1</v>
      </c>
      <c r="BS28" s="229">
        <f>IF($BC28=Lookup!$A$2,$BD28*ROUNDUP(BK28/10,0)+1,
IF($BC28=Lookup!$A$3,($BD28+1)^BJ28,
IF($BC28=Lookup!$A$4,BK28*$BD28+1,"Error")))</f>
        <v>1</v>
      </c>
      <c r="BT28" s="249">
        <f>IF($BC28=Lookup!$A$2,$BD28*ROUNDUP(BL28/10,0)+1,
IF($BC28=Lookup!$A$3,($BD28+1)^BK28,
IF($BC28=Lookup!$A$4,BL28*$BD28+1,"Error")))</f>
        <v>1</v>
      </c>
      <c r="BU28" s="320">
        <v>0</v>
      </c>
      <c r="BV28" s="321">
        <v>0</v>
      </c>
      <c r="BW28" s="321">
        <v>0</v>
      </c>
      <c r="BX28" s="321">
        <v>0</v>
      </c>
      <c r="BY28" s="321">
        <v>0</v>
      </c>
      <c r="BZ28" s="321">
        <v>0</v>
      </c>
      <c r="CA28" s="321">
        <v>0</v>
      </c>
      <c r="CB28" s="277">
        <v>0</v>
      </c>
      <c r="CC28" s="382" t="s">
        <v>293</v>
      </c>
      <c r="CD28" s="383">
        <f>HLOOKUP($CC28,$AK$6:$AM$132,ROWS(CD$6:CD28),0)</f>
        <v>986.33333333333337</v>
      </c>
      <c r="CE28" s="234">
        <f t="shared" si="29"/>
        <v>0</v>
      </c>
      <c r="CF28" s="96">
        <f t="shared" si="25"/>
        <v>0</v>
      </c>
      <c r="CG28" s="96">
        <f t="shared" si="25"/>
        <v>0</v>
      </c>
      <c r="CH28" s="96">
        <f t="shared" si="25"/>
        <v>0</v>
      </c>
      <c r="CI28" s="96">
        <f t="shared" si="25"/>
        <v>0</v>
      </c>
      <c r="CJ28" s="96">
        <f t="shared" si="25"/>
        <v>0</v>
      </c>
      <c r="CK28" s="96">
        <f t="shared" si="25"/>
        <v>0</v>
      </c>
      <c r="CL28" s="286">
        <f t="shared" si="25"/>
        <v>0</v>
      </c>
      <c r="CM28" s="305" t="s">
        <v>292</v>
      </c>
      <c r="CN28" s="315">
        <v>0.05</v>
      </c>
      <c r="CO28" s="306"/>
      <c r="CP28" s="307">
        <f>IF($CO28&lt;&gt;"",$CO28,HLOOKUP($CM28,$AY$6:$BA$132,ROWS(CP$6:CP28),0))</f>
        <v>2218.5911103104977</v>
      </c>
      <c r="CQ28" s="784">
        <f t="shared" si="26"/>
        <v>0</v>
      </c>
      <c r="CR28" s="784">
        <f t="shared" si="26"/>
        <v>0</v>
      </c>
      <c r="CS28" s="97">
        <f t="shared" si="26"/>
        <v>0</v>
      </c>
      <c r="CT28" s="97">
        <f t="shared" si="26"/>
        <v>0</v>
      </c>
      <c r="CU28" s="97">
        <f t="shared" si="26"/>
        <v>0</v>
      </c>
      <c r="CV28" s="97">
        <f t="shared" si="26"/>
        <v>0</v>
      </c>
      <c r="CW28" s="97">
        <f t="shared" si="26"/>
        <v>0</v>
      </c>
      <c r="CX28" s="98">
        <f t="shared" si="26"/>
        <v>0</v>
      </c>
    </row>
    <row r="29" spans="1:102" x14ac:dyDescent="0.25">
      <c r="A29" s="81" t="s">
        <v>68</v>
      </c>
      <c r="B29" s="82" t="s">
        <v>71</v>
      </c>
      <c r="C29" s="83" t="s">
        <v>306</v>
      </c>
      <c r="D29" s="84">
        <v>0</v>
      </c>
      <c r="E29" s="85">
        <v>4355.9706860997885</v>
      </c>
      <c r="F29" s="85">
        <v>29826.095091504529</v>
      </c>
      <c r="G29" s="85">
        <v>301321.38172407961</v>
      </c>
      <c r="H29" s="85">
        <v>571378.54221861949</v>
      </c>
      <c r="I29" s="85">
        <v>138140.7081606396</v>
      </c>
      <c r="J29" s="85">
        <v>2261117.7344177607</v>
      </c>
      <c r="K29" s="85">
        <v>0</v>
      </c>
      <c r="L29" s="85">
        <v>422231.32782663114</v>
      </c>
      <c r="M29" s="654">
        <f>'2022-23 Input'!H29</f>
        <v>0</v>
      </c>
      <c r="N29" s="1065">
        <v>108056.78967382299</v>
      </c>
      <c r="O29" s="560">
        <f t="shared" si="27"/>
        <v>0</v>
      </c>
      <c r="P29" s="561">
        <f t="shared" si="0"/>
        <v>5773.5382462876014</v>
      </c>
      <c r="Q29" s="561">
        <f t="shared" si="1"/>
        <v>39132.00819253239</v>
      </c>
      <c r="R29" s="561">
        <f t="shared" si="2"/>
        <v>387835.7974929816</v>
      </c>
      <c r="S29" s="561">
        <f t="shared" si="3"/>
        <v>720461.94480886857</v>
      </c>
      <c r="T29" s="561">
        <f t="shared" si="4"/>
        <v>171453.10432903655</v>
      </c>
      <c r="U29" s="561">
        <f t="shared" si="5"/>
        <v>2816194.9455880583</v>
      </c>
      <c r="V29" s="561">
        <f t="shared" si="6"/>
        <v>0</v>
      </c>
      <c r="W29" s="675">
        <f t="shared" si="7"/>
        <v>477090.6763478294</v>
      </c>
      <c r="X29" s="675">
        <f t="shared" si="8"/>
        <v>0</v>
      </c>
      <c r="Y29" s="675">
        <f t="shared" si="8"/>
        <v>111028.18706962565</v>
      </c>
      <c r="Z29" s="86">
        <v>0</v>
      </c>
      <c r="AA29" s="87">
        <v>3</v>
      </c>
      <c r="AB29" s="87">
        <v>2</v>
      </c>
      <c r="AC29" s="87">
        <v>112</v>
      </c>
      <c r="AD29" s="87">
        <v>226</v>
      </c>
      <c r="AE29" s="87">
        <v>95</v>
      </c>
      <c r="AF29" s="87">
        <v>495</v>
      </c>
      <c r="AG29" s="87">
        <v>0</v>
      </c>
      <c r="AH29" s="87">
        <v>258</v>
      </c>
      <c r="AI29" s="1094">
        <f>'2022-23 Input'!O29</f>
        <v>0</v>
      </c>
      <c r="AJ29" s="665">
        <v>39</v>
      </c>
      <c r="AK29" s="88">
        <f t="shared" si="9"/>
        <v>169.6</v>
      </c>
      <c r="AL29" s="89">
        <f t="shared" si="10"/>
        <v>86</v>
      </c>
      <c r="AM29" s="90">
        <f t="shared" si="11"/>
        <v>0</v>
      </c>
      <c r="AN29" s="91" t="str">
        <f t="shared" si="12"/>
        <v/>
      </c>
      <c r="AO29" s="92">
        <f t="shared" si="13"/>
        <v>1451.9902286999295</v>
      </c>
      <c r="AP29" s="92">
        <f t="shared" si="14"/>
        <v>14913.047545752264</v>
      </c>
      <c r="AQ29" s="92">
        <f t="shared" si="15"/>
        <v>2690.369479679282</v>
      </c>
      <c r="AR29" s="92">
        <f t="shared" si="16"/>
        <v>2528.2236381354846</v>
      </c>
      <c r="AS29" s="92">
        <f t="shared" si="17"/>
        <v>1454.1127174804167</v>
      </c>
      <c r="AT29" s="92">
        <f t="shared" si="18"/>
        <v>4567.914614985375</v>
      </c>
      <c r="AU29" s="92" t="str">
        <f t="shared" si="19"/>
        <v/>
      </c>
      <c r="AV29" s="92">
        <f t="shared" si="30"/>
        <v>1636.5555342117486</v>
      </c>
      <c r="AW29" s="92" t="str">
        <f t="shared" si="30"/>
        <v/>
      </c>
      <c r="AX29" s="92">
        <f t="shared" si="30"/>
        <v>2770.6869147134098</v>
      </c>
      <c r="AY29" s="93">
        <f t="shared" si="21"/>
        <v>3327.2285028361225</v>
      </c>
      <c r="AZ29" s="94">
        <f t="shared" si="22"/>
        <v>1636.5555342117486</v>
      </c>
      <c r="BA29" s="95" t="str">
        <f t="shared" si="23"/>
        <v/>
      </c>
      <c r="BB29" s="248" t="s">
        <v>422</v>
      </c>
      <c r="BC29" s="229" t="s">
        <v>433</v>
      </c>
      <c r="BD29" s="249">
        <v>0</v>
      </c>
      <c r="BE29" s="267">
        <f t="shared" si="28"/>
        <v>0</v>
      </c>
      <c r="BF29" s="268">
        <f t="shared" si="31"/>
        <v>0</v>
      </c>
      <c r="BG29" s="268">
        <f t="shared" si="31"/>
        <v>0</v>
      </c>
      <c r="BH29" s="268">
        <f t="shared" si="31"/>
        <v>1</v>
      </c>
      <c r="BI29" s="268">
        <f t="shared" si="31"/>
        <v>2</v>
      </c>
      <c r="BJ29" s="268">
        <f t="shared" si="31"/>
        <v>3</v>
      </c>
      <c r="BK29" s="268">
        <f t="shared" si="31"/>
        <v>4</v>
      </c>
      <c r="BL29" s="269">
        <f t="shared" si="31"/>
        <v>5</v>
      </c>
      <c r="BM29" s="256">
        <f>IF($BC29=Lookup!$A$2,$BD29*ROUNDUP(BE29/10,0)+1,
IF($BC29=Lookup!$A$3,($BD29+1)^BD29,
IF($BC29=Lookup!$A$4,BE29*$BD29+1,"Error")))</f>
        <v>1</v>
      </c>
      <c r="BN29" s="229">
        <f>IF($BC29=Lookup!$A$2,$BD29*ROUNDUP(BF29/10,0)+1,
IF($BC29=Lookup!$A$3,($BD29+1)^BE29,
IF($BC29=Lookup!$A$4,BF29*$BD29+1,"Error")))</f>
        <v>1</v>
      </c>
      <c r="BO29" s="229">
        <f>IF($BC29=Lookup!$A$2,$BD29*ROUNDUP(BG29/10,0)+1,
IF($BC29=Lookup!$A$3,($BD29+1)^BF29,
IF($BC29=Lookup!$A$4,BG29*$BD29+1,"Error")))</f>
        <v>1</v>
      </c>
      <c r="BP29" s="229">
        <f>IF($BC29=Lookup!$A$2,$BD29*ROUNDUP(BH29/10,0)+1,
IF($BC29=Lookup!$A$3,($BD29+1)^BG29,
IF($BC29=Lookup!$A$4,BH29*$BD29+1,"Error")))</f>
        <v>1</v>
      </c>
      <c r="BQ29" s="229">
        <f>IF($BC29=Lookup!$A$2,$BD29*ROUNDUP(BI29/10,0)+1,
IF($BC29=Lookup!$A$3,($BD29+1)^BH29,
IF($BC29=Lookup!$A$4,BI29*$BD29+1,"Error")))</f>
        <v>1</v>
      </c>
      <c r="BR29" s="229">
        <f>IF($BC29=Lookup!$A$2,$BD29*ROUNDUP(BJ29/10,0)+1,
IF($BC29=Lookup!$A$3,($BD29+1)^BI29,
IF($BC29=Lookup!$A$4,BJ29*$BD29+1,"Error")))</f>
        <v>1</v>
      </c>
      <c r="BS29" s="229">
        <f>IF($BC29=Lookup!$A$2,$BD29*ROUNDUP(BK29/10,0)+1,
IF($BC29=Lookup!$A$3,($BD29+1)^BJ29,
IF($BC29=Lookup!$A$4,BK29*$BD29+1,"Error")))</f>
        <v>1</v>
      </c>
      <c r="BT29" s="249">
        <f>IF($BC29=Lookup!$A$2,$BD29*ROUNDUP(BL29/10,0)+1,
IF($BC29=Lookup!$A$3,($BD29+1)^BK29,
IF($BC29=Lookup!$A$4,BL29*$BD29+1,"Error")))</f>
        <v>1</v>
      </c>
      <c r="BU29" s="320">
        <v>0</v>
      </c>
      <c r="BV29" s="321">
        <v>0</v>
      </c>
      <c r="BW29" s="321">
        <v>0</v>
      </c>
      <c r="BX29" s="321">
        <v>0</v>
      </c>
      <c r="BY29" s="321">
        <v>0</v>
      </c>
      <c r="BZ29" s="321">
        <v>0</v>
      </c>
      <c r="CA29" s="321">
        <v>0</v>
      </c>
      <c r="CB29" s="277">
        <v>0</v>
      </c>
      <c r="CC29" s="382" t="s">
        <v>293</v>
      </c>
      <c r="CD29" s="383">
        <f>HLOOKUP($CC29,$AK$6:$AM$132,ROWS(CD$6:CD29),0)</f>
        <v>86</v>
      </c>
      <c r="CE29" s="234">
        <f t="shared" si="29"/>
        <v>0</v>
      </c>
      <c r="CF29" s="96">
        <f t="shared" si="25"/>
        <v>0</v>
      </c>
      <c r="CG29" s="96">
        <f t="shared" si="25"/>
        <v>0</v>
      </c>
      <c r="CH29" s="96">
        <f t="shared" si="25"/>
        <v>0</v>
      </c>
      <c r="CI29" s="96">
        <f t="shared" si="25"/>
        <v>0</v>
      </c>
      <c r="CJ29" s="96">
        <f t="shared" si="25"/>
        <v>0</v>
      </c>
      <c r="CK29" s="96">
        <f t="shared" si="25"/>
        <v>0</v>
      </c>
      <c r="CL29" s="286">
        <f t="shared" si="25"/>
        <v>0</v>
      </c>
      <c r="CM29" s="305" t="s">
        <v>292</v>
      </c>
      <c r="CN29" s="315">
        <v>0.05</v>
      </c>
      <c r="CO29" s="306"/>
      <c r="CP29" s="307">
        <f>IF($CO29&lt;&gt;"",$CO29,HLOOKUP($CM29,$AY$6:$BA$132,ROWS(CP$6:CP29),0))</f>
        <v>3327.2285028361225</v>
      </c>
      <c r="CQ29" s="784">
        <f t="shared" si="26"/>
        <v>0</v>
      </c>
      <c r="CR29" s="784">
        <f t="shared" si="26"/>
        <v>0</v>
      </c>
      <c r="CS29" s="97">
        <f t="shared" si="26"/>
        <v>0</v>
      </c>
      <c r="CT29" s="97">
        <f t="shared" si="26"/>
        <v>0</v>
      </c>
      <c r="CU29" s="97">
        <f t="shared" si="26"/>
        <v>0</v>
      </c>
      <c r="CV29" s="97">
        <f t="shared" si="26"/>
        <v>0</v>
      </c>
      <c r="CW29" s="97">
        <f t="shared" si="26"/>
        <v>0</v>
      </c>
      <c r="CX29" s="98">
        <f t="shared" si="26"/>
        <v>0</v>
      </c>
    </row>
    <row r="30" spans="1:102" x14ac:dyDescent="0.25">
      <c r="A30" s="81" t="s">
        <v>68</v>
      </c>
      <c r="B30" s="82" t="s">
        <v>73</v>
      </c>
      <c r="C30" s="83" t="s">
        <v>307</v>
      </c>
      <c r="D30" s="84">
        <v>0</v>
      </c>
      <c r="E30" s="85">
        <v>5416.9616801382017</v>
      </c>
      <c r="F30" s="85">
        <v>30643.266642907594</v>
      </c>
      <c r="G30" s="85">
        <v>31498.440725940822</v>
      </c>
      <c r="H30" s="85">
        <v>107122.31289042722</v>
      </c>
      <c r="I30" s="85">
        <v>0</v>
      </c>
      <c r="J30" s="85">
        <v>970792.70856704458</v>
      </c>
      <c r="K30" s="85">
        <v>1641961.4385274868</v>
      </c>
      <c r="L30" s="85">
        <v>-43038.204823864005</v>
      </c>
      <c r="M30" s="654">
        <f>'2022-23 Input'!H30</f>
        <v>-37.544236908000023</v>
      </c>
      <c r="N30" s="1065">
        <v>58.419710821999999</v>
      </c>
      <c r="O30" s="560">
        <f t="shared" si="27"/>
        <v>0</v>
      </c>
      <c r="P30" s="561">
        <f t="shared" si="0"/>
        <v>7179.8085186278022</v>
      </c>
      <c r="Q30" s="561">
        <f t="shared" si="1"/>
        <v>40204.141964858405</v>
      </c>
      <c r="R30" s="561">
        <f t="shared" si="2"/>
        <v>40542.170651258595</v>
      </c>
      <c r="S30" s="561">
        <f t="shared" si="3"/>
        <v>135072.53803719467</v>
      </c>
      <c r="T30" s="561">
        <f t="shared" si="4"/>
        <v>0</v>
      </c>
      <c r="U30" s="561">
        <f t="shared" si="5"/>
        <v>1209110.6435836449</v>
      </c>
      <c r="V30" s="561">
        <f t="shared" si="6"/>
        <v>1969300.8834752426</v>
      </c>
      <c r="W30" s="675">
        <f t="shared" si="7"/>
        <v>-48630.03973178567</v>
      </c>
      <c r="X30" s="675">
        <f t="shared" si="8"/>
        <v>-39.926828951602722</v>
      </c>
      <c r="Y30" s="675">
        <f t="shared" si="8"/>
        <v>60.026164031687451</v>
      </c>
      <c r="Z30" s="86">
        <v>0</v>
      </c>
      <c r="AA30" s="87">
        <v>3</v>
      </c>
      <c r="AB30" s="87">
        <v>2</v>
      </c>
      <c r="AC30" s="87">
        <v>27</v>
      </c>
      <c r="AD30" s="87">
        <v>87</v>
      </c>
      <c r="AE30" s="87">
        <v>0</v>
      </c>
      <c r="AF30" s="87">
        <v>142</v>
      </c>
      <c r="AG30" s="87">
        <v>394</v>
      </c>
      <c r="AH30" s="87">
        <v>35</v>
      </c>
      <c r="AI30" s="1094">
        <f>'2022-23 Input'!O30</f>
        <v>3</v>
      </c>
      <c r="AJ30" s="665">
        <v>0</v>
      </c>
      <c r="AK30" s="88">
        <f t="shared" si="9"/>
        <v>114.8</v>
      </c>
      <c r="AL30" s="89">
        <f t="shared" si="10"/>
        <v>144</v>
      </c>
      <c r="AM30" s="90">
        <f t="shared" si="11"/>
        <v>3</v>
      </c>
      <c r="AN30" s="91" t="str">
        <f t="shared" si="12"/>
        <v/>
      </c>
      <c r="AO30" s="92">
        <f t="shared" si="13"/>
        <v>1805.6538933794006</v>
      </c>
      <c r="AP30" s="92">
        <f t="shared" si="14"/>
        <v>15321.633321453797</v>
      </c>
      <c r="AQ30" s="92">
        <f t="shared" si="15"/>
        <v>1166.608915775586</v>
      </c>
      <c r="AR30" s="92">
        <f t="shared" si="16"/>
        <v>1231.2909527635313</v>
      </c>
      <c r="AS30" s="92" t="str">
        <f t="shared" si="17"/>
        <v/>
      </c>
      <c r="AT30" s="92">
        <f t="shared" si="18"/>
        <v>6836.5683701904545</v>
      </c>
      <c r="AU30" s="92">
        <f t="shared" si="19"/>
        <v>4167.4148185976819</v>
      </c>
      <c r="AV30" s="92">
        <f t="shared" si="30"/>
        <v>-1229.662994967543</v>
      </c>
      <c r="AW30" s="92">
        <f t="shared" si="30"/>
        <v>-12.514745636000008</v>
      </c>
      <c r="AX30" s="92" t="str">
        <f t="shared" si="30"/>
        <v/>
      </c>
      <c r="AY30" s="93">
        <f t="shared" si="21"/>
        <v>4476.7916342051549</v>
      </c>
      <c r="AZ30" s="94">
        <f t="shared" si="22"/>
        <v>3701.1242811729512</v>
      </c>
      <c r="BA30" s="95">
        <f t="shared" si="23"/>
        <v>-12.514745636000008</v>
      </c>
      <c r="BB30" s="248" t="s">
        <v>422</v>
      </c>
      <c r="BC30" s="229" t="s">
        <v>433</v>
      </c>
      <c r="BD30" s="249">
        <v>0</v>
      </c>
      <c r="BE30" s="267">
        <f t="shared" si="28"/>
        <v>0</v>
      </c>
      <c r="BF30" s="268">
        <f t="shared" si="31"/>
        <v>0</v>
      </c>
      <c r="BG30" s="268">
        <f t="shared" si="31"/>
        <v>0</v>
      </c>
      <c r="BH30" s="268">
        <f t="shared" si="31"/>
        <v>1</v>
      </c>
      <c r="BI30" s="268">
        <f t="shared" si="31"/>
        <v>2</v>
      </c>
      <c r="BJ30" s="268">
        <f t="shared" si="31"/>
        <v>3</v>
      </c>
      <c r="BK30" s="268">
        <f t="shared" si="31"/>
        <v>4</v>
      </c>
      <c r="BL30" s="269">
        <f t="shared" si="31"/>
        <v>5</v>
      </c>
      <c r="BM30" s="256">
        <f>IF($BC30=Lookup!$A$2,$BD30*ROUNDUP(BE30/10,0)+1,
IF($BC30=Lookup!$A$3,($BD30+1)^BD30,
IF($BC30=Lookup!$A$4,BE30*$BD30+1,"Error")))</f>
        <v>1</v>
      </c>
      <c r="BN30" s="229">
        <f>IF($BC30=Lookup!$A$2,$BD30*ROUNDUP(BF30/10,0)+1,
IF($BC30=Lookup!$A$3,($BD30+1)^BE30,
IF($BC30=Lookup!$A$4,BF30*$BD30+1,"Error")))</f>
        <v>1</v>
      </c>
      <c r="BO30" s="229">
        <f>IF($BC30=Lookup!$A$2,$BD30*ROUNDUP(BG30/10,0)+1,
IF($BC30=Lookup!$A$3,($BD30+1)^BF30,
IF($BC30=Lookup!$A$4,BG30*$BD30+1,"Error")))</f>
        <v>1</v>
      </c>
      <c r="BP30" s="229">
        <f>IF($BC30=Lookup!$A$2,$BD30*ROUNDUP(BH30/10,0)+1,
IF($BC30=Lookup!$A$3,($BD30+1)^BG30,
IF($BC30=Lookup!$A$4,BH30*$BD30+1,"Error")))</f>
        <v>1</v>
      </c>
      <c r="BQ30" s="229">
        <f>IF($BC30=Lookup!$A$2,$BD30*ROUNDUP(BI30/10,0)+1,
IF($BC30=Lookup!$A$3,($BD30+1)^BH30,
IF($BC30=Lookup!$A$4,BI30*$BD30+1,"Error")))</f>
        <v>1</v>
      </c>
      <c r="BR30" s="229">
        <f>IF($BC30=Lookup!$A$2,$BD30*ROUNDUP(BJ30/10,0)+1,
IF($BC30=Lookup!$A$3,($BD30+1)^BI30,
IF($BC30=Lookup!$A$4,BJ30*$BD30+1,"Error")))</f>
        <v>1</v>
      </c>
      <c r="BS30" s="229">
        <f>IF($BC30=Lookup!$A$2,$BD30*ROUNDUP(BK30/10,0)+1,
IF($BC30=Lookup!$A$3,($BD30+1)^BJ30,
IF($BC30=Lookup!$A$4,BK30*$BD30+1,"Error")))</f>
        <v>1</v>
      </c>
      <c r="BT30" s="249">
        <f>IF($BC30=Lookup!$A$2,$BD30*ROUNDUP(BL30/10,0)+1,
IF($BC30=Lookup!$A$3,($BD30+1)^BK30,
IF($BC30=Lookup!$A$4,BL30*$BD30+1,"Error")))</f>
        <v>1</v>
      </c>
      <c r="BU30" s="320">
        <v>0</v>
      </c>
      <c r="BV30" s="321">
        <v>0</v>
      </c>
      <c r="BW30" s="321">
        <v>0</v>
      </c>
      <c r="BX30" s="321">
        <v>0</v>
      </c>
      <c r="BY30" s="321">
        <v>0</v>
      </c>
      <c r="BZ30" s="321">
        <v>0</v>
      </c>
      <c r="CA30" s="321">
        <v>0</v>
      </c>
      <c r="CB30" s="277">
        <v>0</v>
      </c>
      <c r="CC30" s="382" t="s">
        <v>293</v>
      </c>
      <c r="CD30" s="383">
        <f>HLOOKUP($CC30,$AK$6:$AM$132,ROWS(CD$6:CD30),0)</f>
        <v>144</v>
      </c>
      <c r="CE30" s="234">
        <f t="shared" si="29"/>
        <v>0</v>
      </c>
      <c r="CF30" s="96">
        <f t="shared" si="25"/>
        <v>0</v>
      </c>
      <c r="CG30" s="96">
        <f t="shared" si="25"/>
        <v>0</v>
      </c>
      <c r="CH30" s="96">
        <f t="shared" si="25"/>
        <v>0</v>
      </c>
      <c r="CI30" s="96">
        <f t="shared" si="25"/>
        <v>0</v>
      </c>
      <c r="CJ30" s="96">
        <f t="shared" si="25"/>
        <v>0</v>
      </c>
      <c r="CK30" s="96">
        <f t="shared" si="25"/>
        <v>0</v>
      </c>
      <c r="CL30" s="286">
        <f t="shared" si="25"/>
        <v>0</v>
      </c>
      <c r="CM30" s="305" t="s">
        <v>292</v>
      </c>
      <c r="CN30" s="315">
        <v>0.05</v>
      </c>
      <c r="CO30" s="306"/>
      <c r="CP30" s="307">
        <f>IF($CO30&lt;&gt;"",$CO30,HLOOKUP($CM30,$AY$6:$BA$132,ROWS(CP$6:CP30),0))</f>
        <v>4476.7916342051549</v>
      </c>
      <c r="CQ30" s="784">
        <f t="shared" si="26"/>
        <v>0</v>
      </c>
      <c r="CR30" s="784">
        <f t="shared" si="26"/>
        <v>0</v>
      </c>
      <c r="CS30" s="97">
        <f t="shared" si="26"/>
        <v>0</v>
      </c>
      <c r="CT30" s="97">
        <f t="shared" si="26"/>
        <v>0</v>
      </c>
      <c r="CU30" s="97">
        <f t="shared" si="26"/>
        <v>0</v>
      </c>
      <c r="CV30" s="97">
        <f t="shared" si="26"/>
        <v>0</v>
      </c>
      <c r="CW30" s="97">
        <f t="shared" si="26"/>
        <v>0</v>
      </c>
      <c r="CX30" s="98">
        <f t="shared" si="26"/>
        <v>0</v>
      </c>
    </row>
    <row r="31" spans="1:102" x14ac:dyDescent="0.25">
      <c r="A31" s="81" t="s">
        <v>68</v>
      </c>
      <c r="B31" s="82" t="s">
        <v>75</v>
      </c>
      <c r="C31" s="83" t="s">
        <v>76</v>
      </c>
      <c r="D31" s="84">
        <v>0</v>
      </c>
      <c r="E31" s="85">
        <v>0</v>
      </c>
      <c r="F31" s="85">
        <v>0</v>
      </c>
      <c r="G31" s="85">
        <v>0</v>
      </c>
      <c r="H31" s="85">
        <v>9272.2936871823549</v>
      </c>
      <c r="I31" s="85">
        <v>0</v>
      </c>
      <c r="J31" s="85">
        <v>0</v>
      </c>
      <c r="K31" s="85">
        <v>0</v>
      </c>
      <c r="L31" s="85">
        <v>0</v>
      </c>
      <c r="M31" s="654">
        <f>'2022-23 Input'!H31</f>
        <v>0</v>
      </c>
      <c r="N31" s="1065">
        <v>0</v>
      </c>
      <c r="O31" s="560">
        <f t="shared" si="27"/>
        <v>0</v>
      </c>
      <c r="P31" s="561">
        <f t="shared" si="0"/>
        <v>0</v>
      </c>
      <c r="Q31" s="561">
        <f t="shared" si="1"/>
        <v>0</v>
      </c>
      <c r="R31" s="561">
        <f t="shared" si="2"/>
        <v>0</v>
      </c>
      <c r="S31" s="561">
        <f t="shared" si="3"/>
        <v>11691.609413204706</v>
      </c>
      <c r="T31" s="561">
        <f t="shared" si="4"/>
        <v>0</v>
      </c>
      <c r="U31" s="561">
        <f t="shared" si="5"/>
        <v>0</v>
      </c>
      <c r="V31" s="561">
        <f t="shared" si="6"/>
        <v>0</v>
      </c>
      <c r="W31" s="675">
        <f t="shared" si="7"/>
        <v>0</v>
      </c>
      <c r="X31" s="675">
        <f t="shared" si="8"/>
        <v>0</v>
      </c>
      <c r="Y31" s="675">
        <f t="shared" si="8"/>
        <v>0</v>
      </c>
      <c r="Z31" s="86">
        <v>0</v>
      </c>
      <c r="AA31" s="87">
        <v>0</v>
      </c>
      <c r="AB31" s="87">
        <v>0</v>
      </c>
      <c r="AC31" s="87">
        <v>0</v>
      </c>
      <c r="AD31" s="87">
        <v>1</v>
      </c>
      <c r="AE31" s="87">
        <v>0</v>
      </c>
      <c r="AF31" s="87">
        <v>0</v>
      </c>
      <c r="AG31" s="87">
        <v>0</v>
      </c>
      <c r="AH31" s="87">
        <v>0</v>
      </c>
      <c r="AI31" s="1094">
        <f>'2022-23 Input'!O31</f>
        <v>0</v>
      </c>
      <c r="AJ31" s="665">
        <v>0</v>
      </c>
      <c r="AK31" s="88">
        <f t="shared" si="9"/>
        <v>0</v>
      </c>
      <c r="AL31" s="89">
        <f t="shared" si="10"/>
        <v>0</v>
      </c>
      <c r="AM31" s="90">
        <f t="shared" si="11"/>
        <v>0</v>
      </c>
      <c r="AN31" s="91" t="str">
        <f t="shared" si="12"/>
        <v/>
      </c>
      <c r="AO31" s="92" t="str">
        <f t="shared" si="13"/>
        <v/>
      </c>
      <c r="AP31" s="92" t="str">
        <f t="shared" si="14"/>
        <v/>
      </c>
      <c r="AQ31" s="92" t="str">
        <f t="shared" si="15"/>
        <v/>
      </c>
      <c r="AR31" s="92">
        <f t="shared" si="16"/>
        <v>9272.2936871823549</v>
      </c>
      <c r="AS31" s="92" t="str">
        <f t="shared" si="17"/>
        <v/>
      </c>
      <c r="AT31" s="92" t="str">
        <f t="shared" si="18"/>
        <v/>
      </c>
      <c r="AU31" s="92" t="str">
        <f t="shared" si="19"/>
        <v/>
      </c>
      <c r="AV31" s="92" t="str">
        <f t="shared" si="30"/>
        <v/>
      </c>
      <c r="AW31" s="92" t="str">
        <f t="shared" si="30"/>
        <v/>
      </c>
      <c r="AX31" s="92" t="str">
        <f t="shared" si="30"/>
        <v/>
      </c>
      <c r="AY31" s="93" t="str">
        <f t="shared" si="21"/>
        <v/>
      </c>
      <c r="AZ31" s="94" t="str">
        <f t="shared" si="22"/>
        <v/>
      </c>
      <c r="BA31" s="95" t="str">
        <f t="shared" si="23"/>
        <v/>
      </c>
      <c r="BB31" s="248" t="s">
        <v>422</v>
      </c>
      <c r="BC31" s="229" t="s">
        <v>433</v>
      </c>
      <c r="BD31" s="249">
        <v>0</v>
      </c>
      <c r="BE31" s="267">
        <f t="shared" si="28"/>
        <v>0</v>
      </c>
      <c r="BF31" s="268">
        <f t="shared" si="31"/>
        <v>0</v>
      </c>
      <c r="BG31" s="268">
        <f t="shared" si="31"/>
        <v>0</v>
      </c>
      <c r="BH31" s="268">
        <f t="shared" si="31"/>
        <v>1</v>
      </c>
      <c r="BI31" s="268">
        <f t="shared" si="31"/>
        <v>2</v>
      </c>
      <c r="BJ31" s="268">
        <f t="shared" si="31"/>
        <v>3</v>
      </c>
      <c r="BK31" s="268">
        <f t="shared" si="31"/>
        <v>4</v>
      </c>
      <c r="BL31" s="269">
        <f t="shared" si="31"/>
        <v>5</v>
      </c>
      <c r="BM31" s="256">
        <f>IF($BC31=Lookup!$A$2,$BD31*ROUNDUP(BE31/10,0)+1,
IF($BC31=Lookup!$A$3,($BD31+1)^BD31,
IF($BC31=Lookup!$A$4,BE31*$BD31+1,"Error")))</f>
        <v>1</v>
      </c>
      <c r="BN31" s="229">
        <f>IF($BC31=Lookup!$A$2,$BD31*ROUNDUP(BF31/10,0)+1,
IF($BC31=Lookup!$A$3,($BD31+1)^BE31,
IF($BC31=Lookup!$A$4,BF31*$BD31+1,"Error")))</f>
        <v>1</v>
      </c>
      <c r="BO31" s="229">
        <f>IF($BC31=Lookup!$A$2,$BD31*ROUNDUP(BG31/10,0)+1,
IF($BC31=Lookup!$A$3,($BD31+1)^BF31,
IF($BC31=Lookup!$A$4,BG31*$BD31+1,"Error")))</f>
        <v>1</v>
      </c>
      <c r="BP31" s="229">
        <f>IF($BC31=Lookup!$A$2,$BD31*ROUNDUP(BH31/10,0)+1,
IF($BC31=Lookup!$A$3,($BD31+1)^BG31,
IF($BC31=Lookup!$A$4,BH31*$BD31+1,"Error")))</f>
        <v>1</v>
      </c>
      <c r="BQ31" s="229">
        <f>IF($BC31=Lookup!$A$2,$BD31*ROUNDUP(BI31/10,0)+1,
IF($BC31=Lookup!$A$3,($BD31+1)^BH31,
IF($BC31=Lookup!$A$4,BI31*$BD31+1,"Error")))</f>
        <v>1</v>
      </c>
      <c r="BR31" s="229">
        <f>IF($BC31=Lookup!$A$2,$BD31*ROUNDUP(BJ31/10,0)+1,
IF($BC31=Lookup!$A$3,($BD31+1)^BI31,
IF($BC31=Lookup!$A$4,BJ31*$BD31+1,"Error")))</f>
        <v>1</v>
      </c>
      <c r="BS31" s="229">
        <f>IF($BC31=Lookup!$A$2,$BD31*ROUNDUP(BK31/10,0)+1,
IF($BC31=Lookup!$A$3,($BD31+1)^BJ31,
IF($BC31=Lookup!$A$4,BK31*$BD31+1,"Error")))</f>
        <v>1</v>
      </c>
      <c r="BT31" s="249">
        <f>IF($BC31=Lookup!$A$2,$BD31*ROUNDUP(BL31/10,0)+1,
IF($BC31=Lookup!$A$3,($BD31+1)^BK31,
IF($BC31=Lookup!$A$4,BL31*$BD31+1,"Error")))</f>
        <v>1</v>
      </c>
      <c r="BU31" s="320">
        <v>0</v>
      </c>
      <c r="BV31" s="321">
        <v>0</v>
      </c>
      <c r="BW31" s="321">
        <v>0</v>
      </c>
      <c r="BX31" s="321">
        <v>0</v>
      </c>
      <c r="BY31" s="321">
        <v>0</v>
      </c>
      <c r="BZ31" s="321">
        <v>0</v>
      </c>
      <c r="CA31" s="321">
        <v>0</v>
      </c>
      <c r="CB31" s="277">
        <v>0</v>
      </c>
      <c r="CC31" s="382" t="s">
        <v>293</v>
      </c>
      <c r="CD31" s="383">
        <f>HLOOKUP($CC31,$AK$6:$AM$132,ROWS(CD$6:CD31),0)</f>
        <v>0</v>
      </c>
      <c r="CE31" s="234">
        <f t="shared" si="29"/>
        <v>0</v>
      </c>
      <c r="CF31" s="96">
        <f t="shared" si="25"/>
        <v>0</v>
      </c>
      <c r="CG31" s="96">
        <f t="shared" si="25"/>
        <v>0</v>
      </c>
      <c r="CH31" s="96">
        <f t="shared" si="25"/>
        <v>0</v>
      </c>
      <c r="CI31" s="96">
        <f t="shared" si="25"/>
        <v>0</v>
      </c>
      <c r="CJ31" s="96">
        <f t="shared" si="25"/>
        <v>0</v>
      </c>
      <c r="CK31" s="96">
        <f t="shared" si="25"/>
        <v>0</v>
      </c>
      <c r="CL31" s="286">
        <f t="shared" si="25"/>
        <v>0</v>
      </c>
      <c r="CM31" s="305" t="s">
        <v>292</v>
      </c>
      <c r="CN31" s="315">
        <v>0.05</v>
      </c>
      <c r="CO31" s="306"/>
      <c r="CP31" s="307" t="str">
        <f>IF($CO31&lt;&gt;"",$CO31,HLOOKUP($CM31,$AY$6:$BA$132,ROWS(CP$6:CP31),0))</f>
        <v/>
      </c>
      <c r="CQ31" s="784" t="str">
        <f t="shared" si="26"/>
        <v/>
      </c>
      <c r="CR31" s="784" t="str">
        <f t="shared" si="26"/>
        <v/>
      </c>
      <c r="CS31" s="97" t="str">
        <f t="shared" si="26"/>
        <v/>
      </c>
      <c r="CT31" s="97" t="str">
        <f t="shared" si="26"/>
        <v/>
      </c>
      <c r="CU31" s="97" t="str">
        <f t="shared" si="26"/>
        <v/>
      </c>
      <c r="CV31" s="97" t="str">
        <f t="shared" si="26"/>
        <v/>
      </c>
      <c r="CW31" s="97" t="str">
        <f t="shared" si="26"/>
        <v/>
      </c>
      <c r="CX31" s="98" t="str">
        <f t="shared" si="26"/>
        <v/>
      </c>
    </row>
    <row r="32" spans="1:102" x14ac:dyDescent="0.25">
      <c r="A32" s="81" t="s">
        <v>68</v>
      </c>
      <c r="B32" s="82" t="s">
        <v>77</v>
      </c>
      <c r="C32" s="83" t="s">
        <v>78</v>
      </c>
      <c r="D32" s="84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654">
        <f>'2022-23 Input'!H32</f>
        <v>0</v>
      </c>
      <c r="N32" s="1065">
        <v>0</v>
      </c>
      <c r="O32" s="560">
        <f t="shared" si="27"/>
        <v>0</v>
      </c>
      <c r="P32" s="561">
        <f t="shared" si="0"/>
        <v>0</v>
      </c>
      <c r="Q32" s="561">
        <f t="shared" si="1"/>
        <v>0</v>
      </c>
      <c r="R32" s="561">
        <f t="shared" si="2"/>
        <v>0</v>
      </c>
      <c r="S32" s="561">
        <f t="shared" si="3"/>
        <v>0</v>
      </c>
      <c r="T32" s="561">
        <f t="shared" si="4"/>
        <v>0</v>
      </c>
      <c r="U32" s="561">
        <f t="shared" si="5"/>
        <v>0</v>
      </c>
      <c r="V32" s="561">
        <f t="shared" si="6"/>
        <v>0</v>
      </c>
      <c r="W32" s="675">
        <f t="shared" si="7"/>
        <v>0</v>
      </c>
      <c r="X32" s="675">
        <f t="shared" si="8"/>
        <v>0</v>
      </c>
      <c r="Y32" s="675">
        <f t="shared" si="8"/>
        <v>0</v>
      </c>
      <c r="Z32" s="86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1094">
        <f>'2022-23 Input'!O32</f>
        <v>0</v>
      </c>
      <c r="AJ32" s="665">
        <v>0</v>
      </c>
      <c r="AK32" s="88">
        <f t="shared" si="9"/>
        <v>0</v>
      </c>
      <c r="AL32" s="89">
        <f t="shared" si="10"/>
        <v>0</v>
      </c>
      <c r="AM32" s="90">
        <f t="shared" si="11"/>
        <v>0</v>
      </c>
      <c r="AN32" s="91" t="str">
        <f t="shared" si="12"/>
        <v/>
      </c>
      <c r="AO32" s="92" t="str">
        <f t="shared" si="13"/>
        <v/>
      </c>
      <c r="AP32" s="92" t="str">
        <f t="shared" si="14"/>
        <v/>
      </c>
      <c r="AQ32" s="92" t="str">
        <f t="shared" si="15"/>
        <v/>
      </c>
      <c r="AR32" s="92" t="str">
        <f t="shared" si="16"/>
        <v/>
      </c>
      <c r="AS32" s="92" t="str">
        <f t="shared" si="17"/>
        <v/>
      </c>
      <c r="AT32" s="92" t="str">
        <f t="shared" si="18"/>
        <v/>
      </c>
      <c r="AU32" s="92" t="str">
        <f t="shared" si="19"/>
        <v/>
      </c>
      <c r="AV32" s="92" t="str">
        <f t="shared" si="30"/>
        <v/>
      </c>
      <c r="AW32" s="92" t="str">
        <f t="shared" si="30"/>
        <v/>
      </c>
      <c r="AX32" s="92" t="str">
        <f t="shared" si="30"/>
        <v/>
      </c>
      <c r="AY32" s="93" t="str">
        <f t="shared" si="21"/>
        <v/>
      </c>
      <c r="AZ32" s="94" t="str">
        <f t="shared" si="22"/>
        <v/>
      </c>
      <c r="BA32" s="95" t="str">
        <f t="shared" si="23"/>
        <v/>
      </c>
      <c r="BB32" s="248" t="s">
        <v>422</v>
      </c>
      <c r="BC32" s="229" t="s">
        <v>433</v>
      </c>
      <c r="BD32" s="249">
        <v>0</v>
      </c>
      <c r="BE32" s="267">
        <f t="shared" si="28"/>
        <v>0</v>
      </c>
      <c r="BF32" s="268">
        <f t="shared" si="31"/>
        <v>0</v>
      </c>
      <c r="BG32" s="268">
        <f t="shared" si="31"/>
        <v>0</v>
      </c>
      <c r="BH32" s="268">
        <f t="shared" si="31"/>
        <v>1</v>
      </c>
      <c r="BI32" s="268">
        <f t="shared" si="31"/>
        <v>2</v>
      </c>
      <c r="BJ32" s="268">
        <f t="shared" si="31"/>
        <v>3</v>
      </c>
      <c r="BK32" s="268">
        <f t="shared" si="31"/>
        <v>4</v>
      </c>
      <c r="BL32" s="269">
        <f t="shared" si="31"/>
        <v>5</v>
      </c>
      <c r="BM32" s="256">
        <f>IF($BC32=Lookup!$A$2,$BD32*ROUNDUP(BE32/10,0)+1,
IF($BC32=Lookup!$A$3,($BD32+1)^BD32,
IF($BC32=Lookup!$A$4,BE32*$BD32+1,"Error")))</f>
        <v>1</v>
      </c>
      <c r="BN32" s="229">
        <f>IF($BC32=Lookup!$A$2,$BD32*ROUNDUP(BF32/10,0)+1,
IF($BC32=Lookup!$A$3,($BD32+1)^BE32,
IF($BC32=Lookup!$A$4,BF32*$BD32+1,"Error")))</f>
        <v>1</v>
      </c>
      <c r="BO32" s="229">
        <f>IF($BC32=Lookup!$A$2,$BD32*ROUNDUP(BG32/10,0)+1,
IF($BC32=Lookup!$A$3,($BD32+1)^BF32,
IF($BC32=Lookup!$A$4,BG32*$BD32+1,"Error")))</f>
        <v>1</v>
      </c>
      <c r="BP32" s="229">
        <f>IF($BC32=Lookup!$A$2,$BD32*ROUNDUP(BH32/10,0)+1,
IF($BC32=Lookup!$A$3,($BD32+1)^BG32,
IF($BC32=Lookup!$A$4,BH32*$BD32+1,"Error")))</f>
        <v>1</v>
      </c>
      <c r="BQ32" s="229">
        <f>IF($BC32=Lookup!$A$2,$BD32*ROUNDUP(BI32/10,0)+1,
IF($BC32=Lookup!$A$3,($BD32+1)^BH32,
IF($BC32=Lookup!$A$4,BI32*$BD32+1,"Error")))</f>
        <v>1</v>
      </c>
      <c r="BR32" s="229">
        <f>IF($BC32=Lookup!$A$2,$BD32*ROUNDUP(BJ32/10,0)+1,
IF($BC32=Lookup!$A$3,($BD32+1)^BI32,
IF($BC32=Lookup!$A$4,BJ32*$BD32+1,"Error")))</f>
        <v>1</v>
      </c>
      <c r="BS32" s="229">
        <f>IF($BC32=Lookup!$A$2,$BD32*ROUNDUP(BK32/10,0)+1,
IF($BC32=Lookup!$A$3,($BD32+1)^BJ32,
IF($BC32=Lookup!$A$4,BK32*$BD32+1,"Error")))</f>
        <v>1</v>
      </c>
      <c r="BT32" s="249">
        <f>IF($BC32=Lookup!$A$2,$BD32*ROUNDUP(BL32/10,0)+1,
IF($BC32=Lookup!$A$3,($BD32+1)^BK32,
IF($BC32=Lookup!$A$4,BL32*$BD32+1,"Error")))</f>
        <v>1</v>
      </c>
      <c r="BU32" s="320">
        <v>0</v>
      </c>
      <c r="BV32" s="321">
        <v>0</v>
      </c>
      <c r="BW32" s="321">
        <v>0</v>
      </c>
      <c r="BX32" s="321">
        <v>0</v>
      </c>
      <c r="BY32" s="321">
        <v>0</v>
      </c>
      <c r="BZ32" s="321">
        <v>0</v>
      </c>
      <c r="CA32" s="321">
        <v>0</v>
      </c>
      <c r="CB32" s="277">
        <v>0</v>
      </c>
      <c r="CC32" s="382" t="s">
        <v>293</v>
      </c>
      <c r="CD32" s="383">
        <f>HLOOKUP($CC32,$AK$6:$AM$132,ROWS(CD$6:CD32),0)</f>
        <v>0</v>
      </c>
      <c r="CE32" s="234">
        <f t="shared" si="29"/>
        <v>0</v>
      </c>
      <c r="CF32" s="96">
        <f t="shared" si="25"/>
        <v>0</v>
      </c>
      <c r="CG32" s="96">
        <f t="shared" si="25"/>
        <v>0</v>
      </c>
      <c r="CH32" s="96">
        <f t="shared" si="25"/>
        <v>0</v>
      </c>
      <c r="CI32" s="96">
        <f t="shared" si="25"/>
        <v>0</v>
      </c>
      <c r="CJ32" s="96">
        <f t="shared" si="25"/>
        <v>0</v>
      </c>
      <c r="CK32" s="96">
        <f t="shared" si="25"/>
        <v>0</v>
      </c>
      <c r="CL32" s="286">
        <f t="shared" si="25"/>
        <v>0</v>
      </c>
      <c r="CM32" s="305" t="s">
        <v>292</v>
      </c>
      <c r="CN32" s="315">
        <v>0.05</v>
      </c>
      <c r="CO32" s="306"/>
      <c r="CP32" s="307" t="str">
        <f>IF($CO32&lt;&gt;"",$CO32,HLOOKUP($CM32,$AY$6:$BA$132,ROWS(CP$6:CP32),0))</f>
        <v/>
      </c>
      <c r="CQ32" s="784" t="str">
        <f t="shared" si="26"/>
        <v/>
      </c>
      <c r="CR32" s="784" t="str">
        <f t="shared" si="26"/>
        <v/>
      </c>
      <c r="CS32" s="97" t="str">
        <f t="shared" si="26"/>
        <v/>
      </c>
      <c r="CT32" s="97" t="str">
        <f t="shared" si="26"/>
        <v/>
      </c>
      <c r="CU32" s="97" t="str">
        <f t="shared" si="26"/>
        <v/>
      </c>
      <c r="CV32" s="97" t="str">
        <f t="shared" si="26"/>
        <v/>
      </c>
      <c r="CW32" s="97" t="str">
        <f t="shared" si="26"/>
        <v/>
      </c>
      <c r="CX32" s="98" t="str">
        <f t="shared" si="26"/>
        <v/>
      </c>
    </row>
    <row r="33" spans="1:102" ht="15.75" thickBot="1" x14ac:dyDescent="0.3">
      <c r="A33" s="100" t="s">
        <v>68</v>
      </c>
      <c r="B33" s="101" t="s">
        <v>308</v>
      </c>
      <c r="C33" s="102" t="s">
        <v>309</v>
      </c>
      <c r="D33" s="103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0</v>
      </c>
      <c r="K33" s="104">
        <v>0</v>
      </c>
      <c r="L33" s="104">
        <v>0</v>
      </c>
      <c r="M33" s="655">
        <f>'2022-23 Input'!H33</f>
        <v>0</v>
      </c>
      <c r="N33" s="1066">
        <v>0</v>
      </c>
      <c r="O33" s="563">
        <f t="shared" si="27"/>
        <v>0</v>
      </c>
      <c r="P33" s="564">
        <f t="shared" si="0"/>
        <v>0</v>
      </c>
      <c r="Q33" s="564">
        <f t="shared" si="1"/>
        <v>0</v>
      </c>
      <c r="R33" s="564">
        <f t="shared" si="2"/>
        <v>0</v>
      </c>
      <c r="S33" s="564">
        <f t="shared" si="3"/>
        <v>0</v>
      </c>
      <c r="T33" s="564">
        <f t="shared" si="4"/>
        <v>0</v>
      </c>
      <c r="U33" s="564">
        <f t="shared" si="5"/>
        <v>0</v>
      </c>
      <c r="V33" s="564">
        <f t="shared" si="6"/>
        <v>0</v>
      </c>
      <c r="W33" s="676">
        <f t="shared" si="7"/>
        <v>0</v>
      </c>
      <c r="X33" s="676">
        <f t="shared" si="8"/>
        <v>0</v>
      </c>
      <c r="Y33" s="676">
        <f t="shared" si="8"/>
        <v>0</v>
      </c>
      <c r="Z33" s="105">
        <v>0</v>
      </c>
      <c r="AA33" s="106">
        <v>0</v>
      </c>
      <c r="AB33" s="106">
        <v>0</v>
      </c>
      <c r="AC33" s="106">
        <v>0</v>
      </c>
      <c r="AD33" s="106">
        <v>0</v>
      </c>
      <c r="AE33" s="106">
        <v>0</v>
      </c>
      <c r="AF33" s="106">
        <v>0</v>
      </c>
      <c r="AG33" s="106">
        <v>0</v>
      </c>
      <c r="AH33" s="106">
        <v>0</v>
      </c>
      <c r="AI33" s="1095">
        <f>'2022-23 Input'!O33</f>
        <v>0</v>
      </c>
      <c r="AJ33" s="666">
        <v>0</v>
      </c>
      <c r="AK33" s="107">
        <f t="shared" si="9"/>
        <v>0</v>
      </c>
      <c r="AL33" s="108">
        <f t="shared" si="10"/>
        <v>0</v>
      </c>
      <c r="AM33" s="109">
        <f t="shared" si="11"/>
        <v>0</v>
      </c>
      <c r="AN33" s="110" t="str">
        <f t="shared" si="12"/>
        <v/>
      </c>
      <c r="AO33" s="111" t="str">
        <f t="shared" si="13"/>
        <v/>
      </c>
      <c r="AP33" s="111" t="str">
        <f t="shared" si="14"/>
        <v/>
      </c>
      <c r="AQ33" s="111" t="str">
        <f t="shared" si="15"/>
        <v/>
      </c>
      <c r="AR33" s="111" t="str">
        <f t="shared" si="16"/>
        <v/>
      </c>
      <c r="AS33" s="111" t="str">
        <f t="shared" si="17"/>
        <v/>
      </c>
      <c r="AT33" s="111" t="str">
        <f t="shared" si="18"/>
        <v/>
      </c>
      <c r="AU33" s="111" t="str">
        <f t="shared" si="19"/>
        <v/>
      </c>
      <c r="AV33" s="111" t="str">
        <f t="shared" si="30"/>
        <v/>
      </c>
      <c r="AW33" s="111" t="str">
        <f t="shared" si="30"/>
        <v/>
      </c>
      <c r="AX33" s="111" t="str">
        <f t="shared" si="30"/>
        <v/>
      </c>
      <c r="AY33" s="112" t="str">
        <f t="shared" si="21"/>
        <v/>
      </c>
      <c r="AZ33" s="113" t="str">
        <f t="shared" si="22"/>
        <v/>
      </c>
      <c r="BA33" s="114" t="str">
        <f t="shared" si="23"/>
        <v/>
      </c>
      <c r="BB33" s="250" t="s">
        <v>422</v>
      </c>
      <c r="BC33" s="230" t="s">
        <v>433</v>
      </c>
      <c r="BD33" s="251">
        <v>0</v>
      </c>
      <c r="BE33" s="270">
        <f t="shared" si="28"/>
        <v>0</v>
      </c>
      <c r="BF33" s="271">
        <f t="shared" si="31"/>
        <v>0</v>
      </c>
      <c r="BG33" s="271">
        <f t="shared" si="31"/>
        <v>0</v>
      </c>
      <c r="BH33" s="271">
        <f t="shared" si="31"/>
        <v>1</v>
      </c>
      <c r="BI33" s="271">
        <f t="shared" si="31"/>
        <v>2</v>
      </c>
      <c r="BJ33" s="271">
        <f t="shared" si="31"/>
        <v>3</v>
      </c>
      <c r="BK33" s="271">
        <f t="shared" si="31"/>
        <v>4</v>
      </c>
      <c r="BL33" s="272">
        <f t="shared" si="31"/>
        <v>5</v>
      </c>
      <c r="BM33" s="257">
        <f>IF($BC33=Lookup!$A$2,$BD33*ROUNDUP(BE33/10,0)+1,
IF($BC33=Lookup!$A$3,($BD33+1)^BD33,
IF($BC33=Lookup!$A$4,BE33*$BD33+1,"Error")))</f>
        <v>1</v>
      </c>
      <c r="BN33" s="230">
        <f>IF($BC33=Lookup!$A$2,$BD33*ROUNDUP(BF33/10,0)+1,
IF($BC33=Lookup!$A$3,($BD33+1)^BE33,
IF($BC33=Lookup!$A$4,BF33*$BD33+1,"Error")))</f>
        <v>1</v>
      </c>
      <c r="BO33" s="230">
        <f>IF($BC33=Lookup!$A$2,$BD33*ROUNDUP(BG33/10,0)+1,
IF($BC33=Lookup!$A$3,($BD33+1)^BF33,
IF($BC33=Lookup!$A$4,BG33*$BD33+1,"Error")))</f>
        <v>1</v>
      </c>
      <c r="BP33" s="230">
        <f>IF($BC33=Lookup!$A$2,$BD33*ROUNDUP(BH33/10,0)+1,
IF($BC33=Lookup!$A$3,($BD33+1)^BG33,
IF($BC33=Lookup!$A$4,BH33*$BD33+1,"Error")))</f>
        <v>1</v>
      </c>
      <c r="BQ33" s="230">
        <f>IF($BC33=Lookup!$A$2,$BD33*ROUNDUP(BI33/10,0)+1,
IF($BC33=Lookup!$A$3,($BD33+1)^BH33,
IF($BC33=Lookup!$A$4,BI33*$BD33+1,"Error")))</f>
        <v>1</v>
      </c>
      <c r="BR33" s="230">
        <f>IF($BC33=Lookup!$A$2,$BD33*ROUNDUP(BJ33/10,0)+1,
IF($BC33=Lookup!$A$3,($BD33+1)^BI33,
IF($BC33=Lookup!$A$4,BJ33*$BD33+1,"Error")))</f>
        <v>1</v>
      </c>
      <c r="BS33" s="230">
        <f>IF($BC33=Lookup!$A$2,$BD33*ROUNDUP(BK33/10,0)+1,
IF($BC33=Lookup!$A$3,($BD33+1)^BJ33,
IF($BC33=Lookup!$A$4,BK33*$BD33+1,"Error")))</f>
        <v>1</v>
      </c>
      <c r="BT33" s="251">
        <f>IF($BC33=Lookup!$A$2,$BD33*ROUNDUP(BL33/10,0)+1,
IF($BC33=Lookup!$A$3,($BD33+1)^BK33,
IF($BC33=Lookup!$A$4,BL33*$BD33+1,"Error")))</f>
        <v>1</v>
      </c>
      <c r="BU33" s="322">
        <v>0</v>
      </c>
      <c r="BV33" s="323">
        <v>0</v>
      </c>
      <c r="BW33" s="323">
        <v>0</v>
      </c>
      <c r="BX33" s="323">
        <v>0</v>
      </c>
      <c r="BY33" s="323">
        <v>0</v>
      </c>
      <c r="BZ33" s="323">
        <v>0</v>
      </c>
      <c r="CA33" s="323">
        <v>0</v>
      </c>
      <c r="CB33" s="278">
        <v>0</v>
      </c>
      <c r="CC33" s="384" t="s">
        <v>293</v>
      </c>
      <c r="CD33" s="385">
        <f>HLOOKUP($CC33,$AK$6:$AM$132,ROWS(CD$6:CD33),0)</f>
        <v>0</v>
      </c>
      <c r="CE33" s="235">
        <f t="shared" si="29"/>
        <v>0</v>
      </c>
      <c r="CF33" s="115">
        <f t="shared" si="25"/>
        <v>0</v>
      </c>
      <c r="CG33" s="115">
        <f t="shared" si="25"/>
        <v>0</v>
      </c>
      <c r="CH33" s="115">
        <f t="shared" si="25"/>
        <v>0</v>
      </c>
      <c r="CI33" s="115">
        <f t="shared" si="25"/>
        <v>0</v>
      </c>
      <c r="CJ33" s="115">
        <f t="shared" si="25"/>
        <v>0</v>
      </c>
      <c r="CK33" s="115">
        <f t="shared" si="25"/>
        <v>0</v>
      </c>
      <c r="CL33" s="287">
        <f t="shared" si="25"/>
        <v>0</v>
      </c>
      <c r="CM33" s="308" t="s">
        <v>292</v>
      </c>
      <c r="CN33" s="316">
        <v>0.05</v>
      </c>
      <c r="CO33" s="309"/>
      <c r="CP33" s="310" t="str">
        <f>IF($CO33&lt;&gt;"",$CO33,HLOOKUP($CM33,$AY$6:$BA$132,ROWS(CP$6:CP33),0))</f>
        <v/>
      </c>
      <c r="CQ33" s="785" t="str">
        <f t="shared" si="26"/>
        <v/>
      </c>
      <c r="CR33" s="785" t="str">
        <f t="shared" si="26"/>
        <v/>
      </c>
      <c r="CS33" s="117" t="str">
        <f t="shared" si="26"/>
        <v/>
      </c>
      <c r="CT33" s="117" t="str">
        <f t="shared" si="26"/>
        <v/>
      </c>
      <c r="CU33" s="117" t="str">
        <f t="shared" si="26"/>
        <v/>
      </c>
      <c r="CV33" s="117" t="str">
        <f t="shared" si="26"/>
        <v/>
      </c>
      <c r="CW33" s="117" t="str">
        <f t="shared" si="26"/>
        <v/>
      </c>
      <c r="CX33" s="118" t="str">
        <f t="shared" si="26"/>
        <v/>
      </c>
    </row>
    <row r="34" spans="1:102" x14ac:dyDescent="0.25">
      <c r="A34" s="63" t="s">
        <v>81</v>
      </c>
      <c r="B34" s="334" t="s">
        <v>79</v>
      </c>
      <c r="C34" s="65" t="s">
        <v>305</v>
      </c>
      <c r="D34" s="66">
        <v>0</v>
      </c>
      <c r="E34" s="67">
        <v>50074.730782537205</v>
      </c>
      <c r="F34" s="67">
        <v>473863.51881589927</v>
      </c>
      <c r="G34" s="67">
        <v>212422.43504581219</v>
      </c>
      <c r="H34" s="67">
        <v>1963540.0561310095</v>
      </c>
      <c r="I34" s="67">
        <v>3197683.3678241903</v>
      </c>
      <c r="J34" s="67">
        <v>3282588.1555405119</v>
      </c>
      <c r="K34" s="67">
        <v>2885537.7027068506</v>
      </c>
      <c r="L34" s="67">
        <v>551031.16103826673</v>
      </c>
      <c r="M34" s="653">
        <f>'2022-23 Input'!H34</f>
        <v>172759.01772318696</v>
      </c>
      <c r="N34" s="1064">
        <v>326357.24600146204</v>
      </c>
      <c r="O34" s="557">
        <f t="shared" si="27"/>
        <v>0</v>
      </c>
      <c r="P34" s="558">
        <f t="shared" si="0"/>
        <v>66370.596631446344</v>
      </c>
      <c r="Q34" s="558">
        <f t="shared" si="1"/>
        <v>621711.66032819799</v>
      </c>
      <c r="R34" s="558">
        <f t="shared" si="2"/>
        <v>273412.47418290988</v>
      </c>
      <c r="S34" s="558">
        <f t="shared" si="3"/>
        <v>2475864.5679224506</v>
      </c>
      <c r="T34" s="558">
        <f t="shared" si="4"/>
        <v>3968799.2581972252</v>
      </c>
      <c r="U34" s="558">
        <f t="shared" si="5"/>
        <v>4088424.0707000857</v>
      </c>
      <c r="V34" s="558">
        <f t="shared" si="6"/>
        <v>3460795.0064514242</v>
      </c>
      <c r="W34" s="674">
        <f t="shared" si="7"/>
        <v>622625.11562481732</v>
      </c>
      <c r="X34" s="674">
        <f t="shared" si="8"/>
        <v>183722.46497866107</v>
      </c>
      <c r="Y34" s="674">
        <f t="shared" si="8"/>
        <v>335331.57398027106</v>
      </c>
      <c r="Z34" s="119">
        <v>0</v>
      </c>
      <c r="AA34" s="120">
        <v>0</v>
      </c>
      <c r="AB34" s="120">
        <v>0</v>
      </c>
      <c r="AC34" s="120">
        <v>2</v>
      </c>
      <c r="AD34" s="120">
        <v>23</v>
      </c>
      <c r="AE34" s="120">
        <v>49.003030235999987</v>
      </c>
      <c r="AF34" s="120">
        <v>57.872166685999986</v>
      </c>
      <c r="AG34" s="120">
        <v>57.2334999999999</v>
      </c>
      <c r="AH34" s="120">
        <v>18.357666481999999</v>
      </c>
      <c r="AI34" s="1096">
        <f>'2022-23 Input'!O34</f>
        <v>3.8050000083333333</v>
      </c>
      <c r="AJ34" s="667">
        <v>8.1333332059999996</v>
      </c>
      <c r="AK34" s="121">
        <f t="shared" si="9"/>
        <v>37.254272682466642</v>
      </c>
      <c r="AL34" s="122">
        <f t="shared" si="10"/>
        <v>26.465388830111078</v>
      </c>
      <c r="AM34" s="123">
        <f t="shared" si="11"/>
        <v>3.8050000083333333</v>
      </c>
      <c r="AN34" s="73" t="str">
        <f t="shared" si="12"/>
        <v/>
      </c>
      <c r="AO34" s="74" t="str">
        <f t="shared" si="13"/>
        <v/>
      </c>
      <c r="AP34" s="74" t="str">
        <f t="shared" si="14"/>
        <v/>
      </c>
      <c r="AQ34" s="74">
        <f t="shared" si="15"/>
        <v>106211.2175229061</v>
      </c>
      <c r="AR34" s="74">
        <f t="shared" si="16"/>
        <v>85371.306788304762</v>
      </c>
      <c r="AS34" s="74">
        <f t="shared" si="17"/>
        <v>65254.808782723361</v>
      </c>
      <c r="AT34" s="74">
        <f t="shared" si="18"/>
        <v>56721.362677693069</v>
      </c>
      <c r="AU34" s="74">
        <f t="shared" si="19"/>
        <v>50416.935932746652</v>
      </c>
      <c r="AV34" s="74">
        <f t="shared" si="30"/>
        <v>30016.405493506598</v>
      </c>
      <c r="AW34" s="74">
        <f t="shared" si="30"/>
        <v>45403.158303502576</v>
      </c>
      <c r="AX34" s="74">
        <f t="shared" si="30"/>
        <v>40125.891530019537</v>
      </c>
      <c r="AY34" s="75">
        <f t="shared" si="21"/>
        <v>54166.132786060691</v>
      </c>
      <c r="AZ34" s="76">
        <f t="shared" si="22"/>
        <v>45459.724833285916</v>
      </c>
      <c r="BA34" s="77">
        <f t="shared" si="23"/>
        <v>45403.158303502576</v>
      </c>
      <c r="BB34" s="246" t="s">
        <v>422</v>
      </c>
      <c r="BC34" s="228" t="s">
        <v>433</v>
      </c>
      <c r="BD34" s="247">
        <v>0</v>
      </c>
      <c r="BE34" s="264">
        <f t="shared" si="28"/>
        <v>0</v>
      </c>
      <c r="BF34" s="265">
        <f t="shared" si="31"/>
        <v>0</v>
      </c>
      <c r="BG34" s="265">
        <f t="shared" si="31"/>
        <v>0</v>
      </c>
      <c r="BH34" s="265">
        <f t="shared" si="31"/>
        <v>1</v>
      </c>
      <c r="BI34" s="265">
        <f t="shared" si="31"/>
        <v>2</v>
      </c>
      <c r="BJ34" s="265">
        <f t="shared" si="31"/>
        <v>3</v>
      </c>
      <c r="BK34" s="265">
        <f t="shared" si="31"/>
        <v>4</v>
      </c>
      <c r="BL34" s="266">
        <f t="shared" si="31"/>
        <v>5</v>
      </c>
      <c r="BM34" s="255">
        <f>IF($BC34=Lookup!$A$2,$BD34*ROUNDUP(BE34/10,0)+1,
IF($BC34=Lookup!$A$3,($BD34+1)^BD34,
IF($BC34=Lookup!$A$4,BE34*$BD34+1,"Error")))</f>
        <v>1</v>
      </c>
      <c r="BN34" s="228">
        <f>IF($BC34=Lookup!$A$2,$BD34*ROUNDUP(BF34/10,0)+1,
IF($BC34=Lookup!$A$3,($BD34+1)^BE34,
IF($BC34=Lookup!$A$4,BF34*$BD34+1,"Error")))</f>
        <v>1</v>
      </c>
      <c r="BO34" s="228">
        <f>IF($BC34=Lookup!$A$2,$BD34*ROUNDUP(BG34/10,0)+1,
IF($BC34=Lookup!$A$3,($BD34+1)^BF34,
IF($BC34=Lookup!$A$4,BG34*$BD34+1,"Error")))</f>
        <v>1</v>
      </c>
      <c r="BP34" s="228">
        <f>IF($BC34=Lookup!$A$2,$BD34*ROUNDUP(BH34/10,0)+1,
IF($BC34=Lookup!$A$3,($BD34+1)^BG34,
IF($BC34=Lookup!$A$4,BH34*$BD34+1,"Error")))</f>
        <v>1</v>
      </c>
      <c r="BQ34" s="228">
        <f>IF($BC34=Lookup!$A$2,$BD34*ROUNDUP(BI34/10,0)+1,
IF($BC34=Lookup!$A$3,($BD34+1)^BH34,
IF($BC34=Lookup!$A$4,BI34*$BD34+1,"Error")))</f>
        <v>1</v>
      </c>
      <c r="BR34" s="228">
        <f>IF($BC34=Lookup!$A$2,$BD34*ROUNDUP(BJ34/10,0)+1,
IF($BC34=Lookup!$A$3,($BD34+1)^BI34,
IF($BC34=Lookup!$A$4,BJ34*$BD34+1,"Error")))</f>
        <v>1</v>
      </c>
      <c r="BS34" s="228">
        <f>IF($BC34=Lookup!$A$2,$BD34*ROUNDUP(BK34/10,0)+1,
IF($BC34=Lookup!$A$3,($BD34+1)^BJ34,
IF($BC34=Lookup!$A$4,BK34*$BD34+1,"Error")))</f>
        <v>1</v>
      </c>
      <c r="BT34" s="247">
        <f>IF($BC34=Lookup!$A$2,$BD34*ROUNDUP(BL34/10,0)+1,
IF($BC34=Lookup!$A$3,($BD34+1)^BK34,
IF($BC34=Lookup!$A$4,BL34*$BD34+1,"Error")))</f>
        <v>1</v>
      </c>
      <c r="BU34" s="396">
        <v>0</v>
      </c>
      <c r="BV34" s="354">
        <v>0</v>
      </c>
      <c r="BW34" s="354">
        <v>0</v>
      </c>
      <c r="BX34" s="354">
        <v>0</v>
      </c>
      <c r="BY34" s="354">
        <v>0</v>
      </c>
      <c r="BZ34" s="354">
        <v>0</v>
      </c>
      <c r="CA34" s="354">
        <v>0</v>
      </c>
      <c r="CB34" s="397">
        <v>0</v>
      </c>
      <c r="CC34" s="380" t="s">
        <v>293</v>
      </c>
      <c r="CD34" s="381">
        <f>HLOOKUP($CC34,$AK$6:$AM$132,ROWS(CD$6:CD34),0)</f>
        <v>26.465388830111078</v>
      </c>
      <c r="CE34" s="359">
        <f t="shared" si="29"/>
        <v>0</v>
      </c>
      <c r="CF34" s="360">
        <f t="shared" si="25"/>
        <v>0</v>
      </c>
      <c r="CG34" s="360">
        <f t="shared" si="25"/>
        <v>0</v>
      </c>
      <c r="CH34" s="360">
        <f t="shared" si="25"/>
        <v>0</v>
      </c>
      <c r="CI34" s="360">
        <f t="shared" si="25"/>
        <v>0</v>
      </c>
      <c r="CJ34" s="360">
        <f t="shared" si="25"/>
        <v>0</v>
      </c>
      <c r="CK34" s="360">
        <f t="shared" si="25"/>
        <v>0</v>
      </c>
      <c r="CL34" s="361">
        <f t="shared" si="25"/>
        <v>0</v>
      </c>
      <c r="CM34" s="302" t="s">
        <v>292</v>
      </c>
      <c r="CN34" s="314">
        <v>0.05</v>
      </c>
      <c r="CO34" s="303"/>
      <c r="CP34" s="304">
        <f>IF($CO34&lt;&gt;"",$CO34,HLOOKUP($CM34,$AY$6:$BA$132,ROWS(CP$6:CP34),0))</f>
        <v>54166.132786060691</v>
      </c>
      <c r="CQ34" s="783">
        <f t="shared" si="26"/>
        <v>0</v>
      </c>
      <c r="CR34" s="783">
        <f t="shared" si="26"/>
        <v>0</v>
      </c>
      <c r="CS34" s="79">
        <f t="shared" si="26"/>
        <v>0</v>
      </c>
      <c r="CT34" s="79">
        <f t="shared" si="26"/>
        <v>0</v>
      </c>
      <c r="CU34" s="79">
        <f t="shared" si="26"/>
        <v>0</v>
      </c>
      <c r="CV34" s="79">
        <f t="shared" si="26"/>
        <v>0</v>
      </c>
      <c r="CW34" s="79">
        <f t="shared" si="26"/>
        <v>0</v>
      </c>
      <c r="CX34" s="80">
        <f t="shared" si="26"/>
        <v>0</v>
      </c>
    </row>
    <row r="35" spans="1:102" x14ac:dyDescent="0.25">
      <c r="A35" s="81" t="s">
        <v>81</v>
      </c>
      <c r="B35" s="82" t="s">
        <v>82</v>
      </c>
      <c r="C35" s="83" t="s">
        <v>70</v>
      </c>
      <c r="D35" s="84">
        <v>0</v>
      </c>
      <c r="E35" s="85">
        <v>56225.980699207212</v>
      </c>
      <c r="F35" s="85">
        <v>0</v>
      </c>
      <c r="G35" s="85">
        <v>208861.86972395648</v>
      </c>
      <c r="H35" s="85">
        <v>398782.6477637926</v>
      </c>
      <c r="I35" s="85">
        <v>551816.55530967633</v>
      </c>
      <c r="J35" s="85">
        <v>1418553.3480060874</v>
      </c>
      <c r="K35" s="85">
        <v>1858808.6860930885</v>
      </c>
      <c r="L35" s="85">
        <v>84305.521039515734</v>
      </c>
      <c r="M35" s="654">
        <f>'2022-23 Input'!H35</f>
        <v>212809.25655025803</v>
      </c>
      <c r="N35" s="1065">
        <v>0</v>
      </c>
      <c r="O35" s="560">
        <f t="shared" si="27"/>
        <v>0</v>
      </c>
      <c r="P35" s="561">
        <f t="shared" si="0"/>
        <v>74523.653485042014</v>
      </c>
      <c r="Q35" s="561">
        <f t="shared" si="1"/>
        <v>0</v>
      </c>
      <c r="R35" s="561">
        <f t="shared" si="2"/>
        <v>268829.61091835645</v>
      </c>
      <c r="S35" s="561">
        <f t="shared" si="3"/>
        <v>502832.53698736732</v>
      </c>
      <c r="T35" s="561">
        <f t="shared" si="4"/>
        <v>684886.17647724564</v>
      </c>
      <c r="U35" s="561">
        <f t="shared" si="5"/>
        <v>1766791.1351508885</v>
      </c>
      <c r="V35" s="561">
        <f t="shared" si="6"/>
        <v>2229378.5358426953</v>
      </c>
      <c r="W35" s="675">
        <f t="shared" si="7"/>
        <v>95259.104196820001</v>
      </c>
      <c r="X35" s="675">
        <f t="shared" si="8"/>
        <v>226314.32905190764</v>
      </c>
      <c r="Y35" s="675">
        <f t="shared" si="8"/>
        <v>0</v>
      </c>
      <c r="Z35" s="125">
        <v>0</v>
      </c>
      <c r="AA35" s="126">
        <v>0</v>
      </c>
      <c r="AB35" s="126">
        <v>0</v>
      </c>
      <c r="AC35" s="126">
        <v>6</v>
      </c>
      <c r="AD35" s="126">
        <v>10</v>
      </c>
      <c r="AE35" s="126">
        <v>10.697940215000001</v>
      </c>
      <c r="AF35" s="126">
        <v>32.654666663000008</v>
      </c>
      <c r="AG35" s="126">
        <v>69.259499999999917</v>
      </c>
      <c r="AH35" s="126">
        <v>6.8663332120000025</v>
      </c>
      <c r="AI35" s="1097">
        <f>'2022-23 Input'!O35</f>
        <v>10.943333238333333</v>
      </c>
      <c r="AJ35" s="668">
        <v>0</v>
      </c>
      <c r="AK35" s="127">
        <f t="shared" si="9"/>
        <v>26.084354665666655</v>
      </c>
      <c r="AL35" s="128">
        <f t="shared" si="10"/>
        <v>29.02305548344442</v>
      </c>
      <c r="AM35" s="129">
        <f t="shared" si="11"/>
        <v>10.943333238333333</v>
      </c>
      <c r="AN35" s="91" t="str">
        <f t="shared" si="12"/>
        <v/>
      </c>
      <c r="AO35" s="92" t="str">
        <f t="shared" si="13"/>
        <v/>
      </c>
      <c r="AP35" s="92" t="str">
        <f t="shared" si="14"/>
        <v/>
      </c>
      <c r="AQ35" s="92">
        <f t="shared" si="15"/>
        <v>34810.311620659413</v>
      </c>
      <c r="AR35" s="92">
        <f t="shared" si="16"/>
        <v>39878.264776379263</v>
      </c>
      <c r="AS35" s="92">
        <f t="shared" si="17"/>
        <v>51581.570304155626</v>
      </c>
      <c r="AT35" s="92">
        <f t="shared" si="18"/>
        <v>43441.060435426407</v>
      </c>
      <c r="AU35" s="92">
        <f t="shared" si="19"/>
        <v>26838.320895950601</v>
      </c>
      <c r="AV35" s="92">
        <f t="shared" si="30"/>
        <v>12278.09930519808</v>
      </c>
      <c r="AW35" s="92">
        <f t="shared" si="30"/>
        <v>19446.475028724322</v>
      </c>
      <c r="AX35" s="92" t="str">
        <f t="shared" si="30"/>
        <v/>
      </c>
      <c r="AY35" s="93">
        <f t="shared" si="21"/>
        <v>31638.071325796151</v>
      </c>
      <c r="AZ35" s="94">
        <f t="shared" si="22"/>
        <v>24761.044024840441</v>
      </c>
      <c r="BA35" s="95">
        <f t="shared" si="23"/>
        <v>19446.475028724322</v>
      </c>
      <c r="BB35" s="248" t="s">
        <v>422</v>
      </c>
      <c r="BC35" s="229" t="s">
        <v>433</v>
      </c>
      <c r="BD35" s="249">
        <v>0</v>
      </c>
      <c r="BE35" s="267">
        <f t="shared" si="28"/>
        <v>0</v>
      </c>
      <c r="BF35" s="268">
        <f t="shared" si="31"/>
        <v>0</v>
      </c>
      <c r="BG35" s="268">
        <f t="shared" si="31"/>
        <v>0</v>
      </c>
      <c r="BH35" s="268">
        <f t="shared" si="31"/>
        <v>1</v>
      </c>
      <c r="BI35" s="268">
        <f t="shared" si="31"/>
        <v>2</v>
      </c>
      <c r="BJ35" s="268">
        <f t="shared" si="31"/>
        <v>3</v>
      </c>
      <c r="BK35" s="268">
        <f t="shared" si="31"/>
        <v>4</v>
      </c>
      <c r="BL35" s="269">
        <f t="shared" si="31"/>
        <v>5</v>
      </c>
      <c r="BM35" s="256">
        <f>IF($BC35=Lookup!$A$2,$BD35*ROUNDUP(BE35/10,0)+1,
IF($BC35=Lookup!$A$3,($BD35+1)^BD35,
IF($BC35=Lookup!$A$4,BE35*$BD35+1,"Error")))</f>
        <v>1</v>
      </c>
      <c r="BN35" s="229">
        <f>IF($BC35=Lookup!$A$2,$BD35*ROUNDUP(BF35/10,0)+1,
IF($BC35=Lookup!$A$3,($BD35+1)^BE35,
IF($BC35=Lookup!$A$4,BF35*$BD35+1,"Error")))</f>
        <v>1</v>
      </c>
      <c r="BO35" s="229">
        <f>IF($BC35=Lookup!$A$2,$BD35*ROUNDUP(BG35/10,0)+1,
IF($BC35=Lookup!$A$3,($BD35+1)^BF35,
IF($BC35=Lookup!$A$4,BG35*$BD35+1,"Error")))</f>
        <v>1</v>
      </c>
      <c r="BP35" s="229">
        <f>IF($BC35=Lookup!$A$2,$BD35*ROUNDUP(BH35/10,0)+1,
IF($BC35=Lookup!$A$3,($BD35+1)^BG35,
IF($BC35=Lookup!$A$4,BH35*$BD35+1,"Error")))</f>
        <v>1</v>
      </c>
      <c r="BQ35" s="229">
        <f>IF($BC35=Lookup!$A$2,$BD35*ROUNDUP(BI35/10,0)+1,
IF($BC35=Lookup!$A$3,($BD35+1)^BH35,
IF($BC35=Lookup!$A$4,BI35*$BD35+1,"Error")))</f>
        <v>1</v>
      </c>
      <c r="BR35" s="229">
        <f>IF($BC35=Lookup!$A$2,$BD35*ROUNDUP(BJ35/10,0)+1,
IF($BC35=Lookup!$A$3,($BD35+1)^BI35,
IF($BC35=Lookup!$A$4,BJ35*$BD35+1,"Error")))</f>
        <v>1</v>
      </c>
      <c r="BS35" s="229">
        <f>IF($BC35=Lookup!$A$2,$BD35*ROUNDUP(BK35/10,0)+1,
IF($BC35=Lookup!$A$3,($BD35+1)^BJ35,
IF($BC35=Lookup!$A$4,BK35*$BD35+1,"Error")))</f>
        <v>1</v>
      </c>
      <c r="BT35" s="249">
        <f>IF($BC35=Lookup!$A$2,$BD35*ROUNDUP(BL35/10,0)+1,
IF($BC35=Lookup!$A$3,($BD35+1)^BK35,
IF($BC35=Lookup!$A$4,BL35*$BD35+1,"Error")))</f>
        <v>1</v>
      </c>
      <c r="BU35" s="398">
        <v>0</v>
      </c>
      <c r="BV35" s="356">
        <v>0</v>
      </c>
      <c r="BW35" s="356">
        <v>0</v>
      </c>
      <c r="BX35" s="356">
        <v>0</v>
      </c>
      <c r="BY35" s="356">
        <v>0</v>
      </c>
      <c r="BZ35" s="356">
        <v>0</v>
      </c>
      <c r="CA35" s="356">
        <v>0</v>
      </c>
      <c r="CB35" s="399">
        <v>0</v>
      </c>
      <c r="CC35" s="382" t="s">
        <v>293</v>
      </c>
      <c r="CD35" s="383">
        <f>HLOOKUP($CC35,$AK$6:$AM$132,ROWS(CD$6:CD35),0)</f>
        <v>29.02305548344442</v>
      </c>
      <c r="CE35" s="362">
        <f t="shared" si="29"/>
        <v>0</v>
      </c>
      <c r="CF35" s="363">
        <f t="shared" si="25"/>
        <v>0</v>
      </c>
      <c r="CG35" s="363">
        <f t="shared" si="25"/>
        <v>0</v>
      </c>
      <c r="CH35" s="363">
        <f t="shared" si="25"/>
        <v>0</v>
      </c>
      <c r="CI35" s="363">
        <f t="shared" si="25"/>
        <v>0</v>
      </c>
      <c r="CJ35" s="363">
        <f t="shared" si="25"/>
        <v>0</v>
      </c>
      <c r="CK35" s="363">
        <f t="shared" si="25"/>
        <v>0</v>
      </c>
      <c r="CL35" s="364">
        <f t="shared" si="25"/>
        <v>0</v>
      </c>
      <c r="CM35" s="305" t="s">
        <v>292</v>
      </c>
      <c r="CN35" s="315">
        <v>0.05</v>
      </c>
      <c r="CO35" s="306"/>
      <c r="CP35" s="307">
        <f>IF($CO35&lt;&gt;"",$CO35,HLOOKUP($CM35,$AY$6:$BA$132,ROWS(CP$6:CP35),0))</f>
        <v>31638.071325796151</v>
      </c>
      <c r="CQ35" s="784">
        <f t="shared" si="26"/>
        <v>0</v>
      </c>
      <c r="CR35" s="784">
        <f t="shared" si="26"/>
        <v>0</v>
      </c>
      <c r="CS35" s="97">
        <f t="shared" si="26"/>
        <v>0</v>
      </c>
      <c r="CT35" s="97">
        <f t="shared" si="26"/>
        <v>0</v>
      </c>
      <c r="CU35" s="97">
        <f t="shared" si="26"/>
        <v>0</v>
      </c>
      <c r="CV35" s="97">
        <f t="shared" si="26"/>
        <v>0</v>
      </c>
      <c r="CW35" s="97">
        <f t="shared" si="26"/>
        <v>0</v>
      </c>
      <c r="CX35" s="98">
        <f t="shared" si="26"/>
        <v>0</v>
      </c>
    </row>
    <row r="36" spans="1:102" x14ac:dyDescent="0.25">
      <c r="A36" s="81" t="s">
        <v>81</v>
      </c>
      <c r="B36" s="82" t="s">
        <v>83</v>
      </c>
      <c r="C36" s="83" t="s">
        <v>312</v>
      </c>
      <c r="D36" s="84">
        <v>0</v>
      </c>
      <c r="E36" s="85">
        <v>0</v>
      </c>
      <c r="F36" s="85">
        <v>0</v>
      </c>
      <c r="G36" s="85">
        <v>76326.662461958389</v>
      </c>
      <c r="H36" s="85">
        <v>55563.667144401734</v>
      </c>
      <c r="I36" s="85">
        <v>55629.931763631001</v>
      </c>
      <c r="J36" s="85">
        <v>217508.94502171801</v>
      </c>
      <c r="K36" s="85">
        <v>408759.46284595295</v>
      </c>
      <c r="L36" s="85">
        <v>46320.456064189995</v>
      </c>
      <c r="M36" s="654">
        <f>'2022-23 Input'!H36</f>
        <v>59413.785163716013</v>
      </c>
      <c r="N36" s="1065">
        <v>21958.785683625996</v>
      </c>
      <c r="O36" s="560">
        <f t="shared" si="27"/>
        <v>0</v>
      </c>
      <c r="P36" s="561">
        <f t="shared" si="0"/>
        <v>0</v>
      </c>
      <c r="Q36" s="561">
        <f t="shared" si="1"/>
        <v>0</v>
      </c>
      <c r="R36" s="561">
        <f t="shared" si="2"/>
        <v>98241.325711887373</v>
      </c>
      <c r="S36" s="561">
        <f t="shared" si="3"/>
        <v>70061.27240293099</v>
      </c>
      <c r="T36" s="561">
        <f t="shared" si="4"/>
        <v>69044.994929341527</v>
      </c>
      <c r="U36" s="561">
        <f t="shared" si="5"/>
        <v>270904.77522086416</v>
      </c>
      <c r="V36" s="561">
        <f t="shared" si="6"/>
        <v>490249.25459473598</v>
      </c>
      <c r="W36" s="675">
        <f t="shared" si="7"/>
        <v>52338.744796971172</v>
      </c>
      <c r="X36" s="675">
        <f t="shared" si="8"/>
        <v>63184.238992842213</v>
      </c>
      <c r="Y36" s="675">
        <f t="shared" si="8"/>
        <v>22562.618897552409</v>
      </c>
      <c r="Z36" s="125">
        <v>0</v>
      </c>
      <c r="AA36" s="126">
        <v>0</v>
      </c>
      <c r="AB36" s="126">
        <v>0</v>
      </c>
      <c r="AC36" s="126">
        <v>2</v>
      </c>
      <c r="AD36" s="126">
        <v>2</v>
      </c>
      <c r="AE36" s="126">
        <v>1.7506500190000001</v>
      </c>
      <c r="AF36" s="126">
        <v>9.4136666649999992</v>
      </c>
      <c r="AG36" s="126">
        <v>17.970666666666645</v>
      </c>
      <c r="AH36" s="126">
        <v>3.0489999440000002</v>
      </c>
      <c r="AI36" s="1097">
        <f>'2022-23 Input'!O36</f>
        <v>3.8266665339999997</v>
      </c>
      <c r="AJ36" s="668">
        <v>2.0666666039999999</v>
      </c>
      <c r="AK36" s="127">
        <f t="shared" si="9"/>
        <v>7.2021299657333291</v>
      </c>
      <c r="AL36" s="128">
        <f t="shared" si="10"/>
        <v>8.282111048222216</v>
      </c>
      <c r="AM36" s="129">
        <f t="shared" si="11"/>
        <v>3.8266665339999997</v>
      </c>
      <c r="AN36" s="91" t="str">
        <f t="shared" si="12"/>
        <v/>
      </c>
      <c r="AO36" s="92" t="str">
        <f t="shared" si="13"/>
        <v/>
      </c>
      <c r="AP36" s="92" t="str">
        <f t="shared" si="14"/>
        <v/>
      </c>
      <c r="AQ36" s="92">
        <f t="shared" si="15"/>
        <v>38163.331230979195</v>
      </c>
      <c r="AR36" s="92">
        <f t="shared" si="16"/>
        <v>27781.833572200867</v>
      </c>
      <c r="AS36" s="92">
        <f t="shared" si="17"/>
        <v>31776.729306185211</v>
      </c>
      <c r="AT36" s="92">
        <f t="shared" si="18"/>
        <v>23105.656144636607</v>
      </c>
      <c r="AU36" s="92">
        <f t="shared" si="19"/>
        <v>22745.926482747076</v>
      </c>
      <c r="AV36" s="92">
        <f t="shared" si="30"/>
        <v>15192.016042946176</v>
      </c>
      <c r="AW36" s="92">
        <f t="shared" si="30"/>
        <v>15526.251016602435</v>
      </c>
      <c r="AX36" s="92">
        <f t="shared" si="30"/>
        <v>10625.219201357935</v>
      </c>
      <c r="AY36" s="93">
        <f t="shared" si="21"/>
        <v>21872.21237624557</v>
      </c>
      <c r="AZ36" s="94">
        <f t="shared" si="22"/>
        <v>20707.027515015707</v>
      </c>
      <c r="BA36" s="95">
        <f t="shared" si="23"/>
        <v>15526.251016602435</v>
      </c>
      <c r="BB36" s="248" t="s">
        <v>422</v>
      </c>
      <c r="BC36" s="229" t="s">
        <v>433</v>
      </c>
      <c r="BD36" s="249">
        <v>0</v>
      </c>
      <c r="BE36" s="267">
        <f t="shared" si="28"/>
        <v>0</v>
      </c>
      <c r="BF36" s="268">
        <f t="shared" si="31"/>
        <v>0</v>
      </c>
      <c r="BG36" s="268">
        <f t="shared" si="31"/>
        <v>0</v>
      </c>
      <c r="BH36" s="268">
        <f t="shared" si="31"/>
        <v>1</v>
      </c>
      <c r="BI36" s="268">
        <f t="shared" si="31"/>
        <v>2</v>
      </c>
      <c r="BJ36" s="268">
        <f t="shared" si="31"/>
        <v>3</v>
      </c>
      <c r="BK36" s="268">
        <f t="shared" si="31"/>
        <v>4</v>
      </c>
      <c r="BL36" s="269">
        <f t="shared" si="31"/>
        <v>5</v>
      </c>
      <c r="BM36" s="256">
        <f>IF($BC36=Lookup!$A$2,$BD36*ROUNDUP(BE36/10,0)+1,
IF($BC36=Lookup!$A$3,($BD36+1)^BD36,
IF($BC36=Lookup!$A$4,BE36*$BD36+1,"Error")))</f>
        <v>1</v>
      </c>
      <c r="BN36" s="229">
        <f>IF($BC36=Lookup!$A$2,$BD36*ROUNDUP(BF36/10,0)+1,
IF($BC36=Lookup!$A$3,($BD36+1)^BE36,
IF($BC36=Lookup!$A$4,BF36*$BD36+1,"Error")))</f>
        <v>1</v>
      </c>
      <c r="BO36" s="229">
        <f>IF($BC36=Lookup!$A$2,$BD36*ROUNDUP(BG36/10,0)+1,
IF($BC36=Lookup!$A$3,($BD36+1)^BF36,
IF($BC36=Lookup!$A$4,BG36*$BD36+1,"Error")))</f>
        <v>1</v>
      </c>
      <c r="BP36" s="229">
        <f>IF($BC36=Lookup!$A$2,$BD36*ROUNDUP(BH36/10,0)+1,
IF($BC36=Lookup!$A$3,($BD36+1)^BG36,
IF($BC36=Lookup!$A$4,BH36*$BD36+1,"Error")))</f>
        <v>1</v>
      </c>
      <c r="BQ36" s="229">
        <f>IF($BC36=Lookup!$A$2,$BD36*ROUNDUP(BI36/10,0)+1,
IF($BC36=Lookup!$A$3,($BD36+1)^BH36,
IF($BC36=Lookup!$A$4,BI36*$BD36+1,"Error")))</f>
        <v>1</v>
      </c>
      <c r="BR36" s="229">
        <f>IF($BC36=Lookup!$A$2,$BD36*ROUNDUP(BJ36/10,0)+1,
IF($BC36=Lookup!$A$3,($BD36+1)^BI36,
IF($BC36=Lookup!$A$4,BJ36*$BD36+1,"Error")))</f>
        <v>1</v>
      </c>
      <c r="BS36" s="229">
        <f>IF($BC36=Lookup!$A$2,$BD36*ROUNDUP(BK36/10,0)+1,
IF($BC36=Lookup!$A$3,($BD36+1)^BJ36,
IF($BC36=Lookup!$A$4,BK36*$BD36+1,"Error")))</f>
        <v>1</v>
      </c>
      <c r="BT36" s="249">
        <f>IF($BC36=Lookup!$A$2,$BD36*ROUNDUP(BL36/10,0)+1,
IF($BC36=Lookup!$A$3,($BD36+1)^BK36,
IF($BC36=Lookup!$A$4,BL36*$BD36+1,"Error")))</f>
        <v>1</v>
      </c>
      <c r="BU36" s="398">
        <v>0</v>
      </c>
      <c r="BV36" s="356">
        <v>0</v>
      </c>
      <c r="BW36" s="356">
        <v>0</v>
      </c>
      <c r="BX36" s="356">
        <v>0</v>
      </c>
      <c r="BY36" s="356">
        <v>0</v>
      </c>
      <c r="BZ36" s="356">
        <v>0</v>
      </c>
      <c r="CA36" s="356">
        <v>0</v>
      </c>
      <c r="CB36" s="399">
        <v>0</v>
      </c>
      <c r="CC36" s="382" t="s">
        <v>293</v>
      </c>
      <c r="CD36" s="383">
        <f>HLOOKUP($CC36,$AK$6:$AM$132,ROWS(CD$6:CD36),0)</f>
        <v>8.282111048222216</v>
      </c>
      <c r="CE36" s="362">
        <f t="shared" si="29"/>
        <v>0</v>
      </c>
      <c r="CF36" s="363">
        <f t="shared" si="25"/>
        <v>0</v>
      </c>
      <c r="CG36" s="363">
        <f t="shared" si="25"/>
        <v>0</v>
      </c>
      <c r="CH36" s="363">
        <f t="shared" si="25"/>
        <v>0</v>
      </c>
      <c r="CI36" s="363">
        <f t="shared" si="25"/>
        <v>0</v>
      </c>
      <c r="CJ36" s="363">
        <f t="shared" si="25"/>
        <v>0</v>
      </c>
      <c r="CK36" s="363">
        <f t="shared" si="25"/>
        <v>0</v>
      </c>
      <c r="CL36" s="364">
        <f t="shared" si="25"/>
        <v>0</v>
      </c>
      <c r="CM36" s="305" t="s">
        <v>292</v>
      </c>
      <c r="CN36" s="315">
        <v>0.05</v>
      </c>
      <c r="CO36" s="306"/>
      <c r="CP36" s="307">
        <f>IF($CO36&lt;&gt;"",$CO36,HLOOKUP($CM36,$AY$6:$BA$132,ROWS(CP$6:CP36),0))</f>
        <v>21872.21237624557</v>
      </c>
      <c r="CQ36" s="784">
        <f t="shared" si="26"/>
        <v>0</v>
      </c>
      <c r="CR36" s="784">
        <f t="shared" si="26"/>
        <v>0</v>
      </c>
      <c r="CS36" s="97">
        <f t="shared" si="26"/>
        <v>0</v>
      </c>
      <c r="CT36" s="97">
        <f t="shared" si="26"/>
        <v>0</v>
      </c>
      <c r="CU36" s="97">
        <f t="shared" si="26"/>
        <v>0</v>
      </c>
      <c r="CV36" s="97">
        <f t="shared" si="26"/>
        <v>0</v>
      </c>
      <c r="CW36" s="97">
        <f t="shared" si="26"/>
        <v>0</v>
      </c>
      <c r="CX36" s="98">
        <f t="shared" si="26"/>
        <v>0</v>
      </c>
    </row>
    <row r="37" spans="1:102" x14ac:dyDescent="0.25">
      <c r="A37" s="81" t="s">
        <v>81</v>
      </c>
      <c r="B37" s="82" t="s">
        <v>85</v>
      </c>
      <c r="C37" s="83" t="s">
        <v>314</v>
      </c>
      <c r="D37" s="84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654">
        <f>'2022-23 Input'!H37</f>
        <v>0</v>
      </c>
      <c r="N37" s="1065">
        <v>0</v>
      </c>
      <c r="O37" s="560">
        <f t="shared" si="27"/>
        <v>0</v>
      </c>
      <c r="P37" s="561">
        <f t="shared" si="0"/>
        <v>0</v>
      </c>
      <c r="Q37" s="561">
        <f t="shared" si="1"/>
        <v>0</v>
      </c>
      <c r="R37" s="561">
        <f t="shared" si="2"/>
        <v>0</v>
      </c>
      <c r="S37" s="561">
        <f t="shared" si="3"/>
        <v>0</v>
      </c>
      <c r="T37" s="561">
        <f t="shared" si="4"/>
        <v>0</v>
      </c>
      <c r="U37" s="561">
        <f t="shared" si="5"/>
        <v>0</v>
      </c>
      <c r="V37" s="561">
        <f t="shared" si="6"/>
        <v>0</v>
      </c>
      <c r="W37" s="675">
        <f t="shared" si="7"/>
        <v>0</v>
      </c>
      <c r="X37" s="675">
        <f t="shared" si="8"/>
        <v>0</v>
      </c>
      <c r="Y37" s="675">
        <f t="shared" si="8"/>
        <v>0</v>
      </c>
      <c r="Z37" s="125">
        <v>0</v>
      </c>
      <c r="AA37" s="126">
        <v>0</v>
      </c>
      <c r="AB37" s="126">
        <v>0</v>
      </c>
      <c r="AC37" s="126">
        <v>0</v>
      </c>
      <c r="AD37" s="126">
        <v>0</v>
      </c>
      <c r="AE37" s="126">
        <v>0</v>
      </c>
      <c r="AF37" s="126">
        <v>0</v>
      </c>
      <c r="AG37" s="126">
        <v>0</v>
      </c>
      <c r="AH37" s="126">
        <v>0</v>
      </c>
      <c r="AI37" s="1097">
        <f>'2022-23 Input'!O37</f>
        <v>0</v>
      </c>
      <c r="AJ37" s="668">
        <v>0</v>
      </c>
      <c r="AK37" s="127">
        <f t="shared" si="9"/>
        <v>0</v>
      </c>
      <c r="AL37" s="128">
        <f t="shared" si="10"/>
        <v>0</v>
      </c>
      <c r="AM37" s="129">
        <f t="shared" si="11"/>
        <v>0</v>
      </c>
      <c r="AN37" s="91" t="str">
        <f t="shared" si="12"/>
        <v/>
      </c>
      <c r="AO37" s="92" t="str">
        <f t="shared" si="13"/>
        <v/>
      </c>
      <c r="AP37" s="92" t="str">
        <f t="shared" si="14"/>
        <v/>
      </c>
      <c r="AQ37" s="92" t="str">
        <f t="shared" si="15"/>
        <v/>
      </c>
      <c r="AR37" s="92" t="str">
        <f t="shared" si="16"/>
        <v/>
      </c>
      <c r="AS37" s="92" t="str">
        <f t="shared" si="17"/>
        <v/>
      </c>
      <c r="AT37" s="92" t="str">
        <f t="shared" si="18"/>
        <v/>
      </c>
      <c r="AU37" s="92" t="str">
        <f t="shared" si="19"/>
        <v/>
      </c>
      <c r="AV37" s="92" t="str">
        <f t="shared" si="30"/>
        <v/>
      </c>
      <c r="AW37" s="92" t="str">
        <f t="shared" si="30"/>
        <v/>
      </c>
      <c r="AX37" s="92" t="str">
        <f t="shared" si="30"/>
        <v/>
      </c>
      <c r="AY37" s="93" t="str">
        <f t="shared" si="21"/>
        <v/>
      </c>
      <c r="AZ37" s="94" t="str">
        <f t="shared" si="22"/>
        <v/>
      </c>
      <c r="BA37" s="95" t="str">
        <f t="shared" si="23"/>
        <v/>
      </c>
      <c r="BB37" s="248" t="s">
        <v>422</v>
      </c>
      <c r="BC37" s="229" t="s">
        <v>433</v>
      </c>
      <c r="BD37" s="249">
        <v>0</v>
      </c>
      <c r="BE37" s="267">
        <f t="shared" si="28"/>
        <v>0</v>
      </c>
      <c r="BF37" s="268">
        <f t="shared" si="31"/>
        <v>0</v>
      </c>
      <c r="BG37" s="268">
        <f t="shared" si="31"/>
        <v>0</v>
      </c>
      <c r="BH37" s="268">
        <f t="shared" si="31"/>
        <v>1</v>
      </c>
      <c r="BI37" s="268">
        <f t="shared" si="31"/>
        <v>2</v>
      </c>
      <c r="BJ37" s="268">
        <f t="shared" si="31"/>
        <v>3</v>
      </c>
      <c r="BK37" s="268">
        <f t="shared" si="31"/>
        <v>4</v>
      </c>
      <c r="BL37" s="269">
        <f t="shared" si="31"/>
        <v>5</v>
      </c>
      <c r="BM37" s="256">
        <f>IF($BC37=Lookup!$A$2,$BD37*ROUNDUP(BE37/10,0)+1,
IF($BC37=Lookup!$A$3,($BD37+1)^BD37,
IF($BC37=Lookup!$A$4,BE37*$BD37+1,"Error")))</f>
        <v>1</v>
      </c>
      <c r="BN37" s="229">
        <f>IF($BC37=Lookup!$A$2,$BD37*ROUNDUP(BF37/10,0)+1,
IF($BC37=Lookup!$A$3,($BD37+1)^BE37,
IF($BC37=Lookup!$A$4,BF37*$BD37+1,"Error")))</f>
        <v>1</v>
      </c>
      <c r="BO37" s="229">
        <f>IF($BC37=Lookup!$A$2,$BD37*ROUNDUP(BG37/10,0)+1,
IF($BC37=Lookup!$A$3,($BD37+1)^BF37,
IF($BC37=Lookup!$A$4,BG37*$BD37+1,"Error")))</f>
        <v>1</v>
      </c>
      <c r="BP37" s="229">
        <f>IF($BC37=Lookup!$A$2,$BD37*ROUNDUP(BH37/10,0)+1,
IF($BC37=Lookup!$A$3,($BD37+1)^BG37,
IF($BC37=Lookup!$A$4,BH37*$BD37+1,"Error")))</f>
        <v>1</v>
      </c>
      <c r="BQ37" s="229">
        <f>IF($BC37=Lookup!$A$2,$BD37*ROUNDUP(BI37/10,0)+1,
IF($BC37=Lookup!$A$3,($BD37+1)^BH37,
IF($BC37=Lookup!$A$4,BI37*$BD37+1,"Error")))</f>
        <v>1</v>
      </c>
      <c r="BR37" s="229">
        <f>IF($BC37=Lookup!$A$2,$BD37*ROUNDUP(BJ37/10,0)+1,
IF($BC37=Lookup!$A$3,($BD37+1)^BI37,
IF($BC37=Lookup!$A$4,BJ37*$BD37+1,"Error")))</f>
        <v>1</v>
      </c>
      <c r="BS37" s="229">
        <f>IF($BC37=Lookup!$A$2,$BD37*ROUNDUP(BK37/10,0)+1,
IF($BC37=Lookup!$A$3,($BD37+1)^BJ37,
IF($BC37=Lookup!$A$4,BK37*$BD37+1,"Error")))</f>
        <v>1</v>
      </c>
      <c r="BT37" s="249">
        <f>IF($BC37=Lookup!$A$2,$BD37*ROUNDUP(BL37/10,0)+1,
IF($BC37=Lookup!$A$3,($BD37+1)^BK37,
IF($BC37=Lookup!$A$4,BL37*$BD37+1,"Error")))</f>
        <v>1</v>
      </c>
      <c r="BU37" s="398">
        <v>0</v>
      </c>
      <c r="BV37" s="356">
        <v>0</v>
      </c>
      <c r="BW37" s="356">
        <v>0</v>
      </c>
      <c r="BX37" s="356">
        <v>0</v>
      </c>
      <c r="BY37" s="356">
        <v>0</v>
      </c>
      <c r="BZ37" s="356">
        <v>0</v>
      </c>
      <c r="CA37" s="356">
        <v>0</v>
      </c>
      <c r="CB37" s="399">
        <v>0</v>
      </c>
      <c r="CC37" s="382" t="s">
        <v>293</v>
      </c>
      <c r="CD37" s="383">
        <f>HLOOKUP($CC37,$AK$6:$AM$132,ROWS(CD$6:CD37),0)</f>
        <v>0</v>
      </c>
      <c r="CE37" s="362">
        <f t="shared" si="29"/>
        <v>0</v>
      </c>
      <c r="CF37" s="363">
        <f t="shared" si="25"/>
        <v>0</v>
      </c>
      <c r="CG37" s="363">
        <f t="shared" si="25"/>
        <v>0</v>
      </c>
      <c r="CH37" s="363">
        <f t="shared" si="25"/>
        <v>0</v>
      </c>
      <c r="CI37" s="363">
        <f t="shared" si="25"/>
        <v>0</v>
      </c>
      <c r="CJ37" s="363">
        <f t="shared" si="25"/>
        <v>0</v>
      </c>
      <c r="CK37" s="363">
        <f t="shared" si="25"/>
        <v>0</v>
      </c>
      <c r="CL37" s="364">
        <f t="shared" si="25"/>
        <v>0</v>
      </c>
      <c r="CM37" s="305" t="s">
        <v>292</v>
      </c>
      <c r="CN37" s="315">
        <v>0.05</v>
      </c>
      <c r="CO37" s="306"/>
      <c r="CP37" s="307" t="str">
        <f>IF($CO37&lt;&gt;"",$CO37,HLOOKUP($CM37,$AY$6:$BA$132,ROWS(CP$6:CP37),0))</f>
        <v/>
      </c>
      <c r="CQ37" s="784" t="str">
        <f t="shared" si="26"/>
        <v/>
      </c>
      <c r="CR37" s="784" t="str">
        <f t="shared" si="26"/>
        <v/>
      </c>
      <c r="CS37" s="97" t="str">
        <f t="shared" si="26"/>
        <v/>
      </c>
      <c r="CT37" s="97" t="str">
        <f t="shared" si="26"/>
        <v/>
      </c>
      <c r="CU37" s="97" t="str">
        <f t="shared" si="26"/>
        <v/>
      </c>
      <c r="CV37" s="97" t="str">
        <f t="shared" si="26"/>
        <v/>
      </c>
      <c r="CW37" s="97" t="str">
        <f t="shared" si="26"/>
        <v/>
      </c>
      <c r="CX37" s="98" t="str">
        <f t="shared" si="26"/>
        <v/>
      </c>
    </row>
    <row r="38" spans="1:102" x14ac:dyDescent="0.25">
      <c r="A38" s="81" t="s">
        <v>81</v>
      </c>
      <c r="B38" s="82" t="s">
        <v>87</v>
      </c>
      <c r="C38" s="83" t="s">
        <v>315</v>
      </c>
      <c r="D38" s="84">
        <v>0</v>
      </c>
      <c r="E38" s="85">
        <v>0</v>
      </c>
      <c r="F38" s="85">
        <v>0</v>
      </c>
      <c r="G38" s="85">
        <v>31447.980987101419</v>
      </c>
      <c r="H38" s="85">
        <v>44201.785308632498</v>
      </c>
      <c r="I38" s="85">
        <v>9496.3315387740022</v>
      </c>
      <c r="J38" s="85">
        <v>94361.780760259004</v>
      </c>
      <c r="K38" s="85">
        <v>137041.07407099303</v>
      </c>
      <c r="L38" s="85">
        <v>-1464.107</v>
      </c>
      <c r="M38" s="654">
        <f>'2022-23 Input'!H38</f>
        <v>594.029</v>
      </c>
      <c r="N38" s="1065">
        <v>681.56329291099996</v>
      </c>
      <c r="O38" s="560">
        <f t="shared" si="27"/>
        <v>0</v>
      </c>
      <c r="P38" s="561">
        <f t="shared" si="0"/>
        <v>0</v>
      </c>
      <c r="Q38" s="561">
        <f t="shared" si="1"/>
        <v>0</v>
      </c>
      <c r="R38" s="561">
        <f t="shared" si="2"/>
        <v>40477.22307620736</v>
      </c>
      <c r="S38" s="561">
        <f t="shared" si="3"/>
        <v>55734.86201254074</v>
      </c>
      <c r="T38" s="561">
        <f t="shared" si="4"/>
        <v>11786.355692973455</v>
      </c>
      <c r="U38" s="561">
        <f t="shared" si="5"/>
        <v>117526.46312429123</v>
      </c>
      <c r="V38" s="561">
        <f t="shared" si="6"/>
        <v>164361.41672268938</v>
      </c>
      <c r="W38" s="675">
        <f t="shared" si="7"/>
        <v>-1654.3343727502888</v>
      </c>
      <c r="X38" s="675">
        <f t="shared" si="8"/>
        <v>631.72663046556113</v>
      </c>
      <c r="Y38" s="675">
        <f t="shared" si="8"/>
        <v>700.30524702368109</v>
      </c>
      <c r="Z38" s="125">
        <v>0</v>
      </c>
      <c r="AA38" s="126">
        <v>0</v>
      </c>
      <c r="AB38" s="126">
        <v>0</v>
      </c>
      <c r="AC38" s="126">
        <v>1</v>
      </c>
      <c r="AD38" s="126">
        <v>1</v>
      </c>
      <c r="AE38" s="126">
        <v>0.514800013</v>
      </c>
      <c r="AF38" s="126">
        <v>2.7116666659999997</v>
      </c>
      <c r="AG38" s="126">
        <v>5.8496666666666615</v>
      </c>
      <c r="AH38" s="126">
        <v>0</v>
      </c>
      <c r="AI38" s="1097">
        <f>'2022-23 Input'!O38</f>
        <v>0</v>
      </c>
      <c r="AJ38" s="668">
        <v>0</v>
      </c>
      <c r="AK38" s="127">
        <f t="shared" si="9"/>
        <v>1.8152266691333323</v>
      </c>
      <c r="AL38" s="128">
        <f t="shared" si="10"/>
        <v>1.9498888888888872</v>
      </c>
      <c r="AM38" s="129">
        <f t="shared" si="11"/>
        <v>0</v>
      </c>
      <c r="AN38" s="91" t="str">
        <f t="shared" si="12"/>
        <v/>
      </c>
      <c r="AO38" s="92" t="str">
        <f t="shared" si="13"/>
        <v/>
      </c>
      <c r="AP38" s="92" t="str">
        <f t="shared" si="14"/>
        <v/>
      </c>
      <c r="AQ38" s="92">
        <f t="shared" si="15"/>
        <v>31447.980987101419</v>
      </c>
      <c r="AR38" s="92">
        <f t="shared" si="16"/>
        <v>44201.785308632498</v>
      </c>
      <c r="AS38" s="92">
        <f t="shared" si="17"/>
        <v>18446.641994886668</v>
      </c>
      <c r="AT38" s="92">
        <f t="shared" si="18"/>
        <v>34798.444050445476</v>
      </c>
      <c r="AU38" s="92">
        <f t="shared" si="19"/>
        <v>23427.159508403867</v>
      </c>
      <c r="AV38" s="92" t="str">
        <f t="shared" si="30"/>
        <v/>
      </c>
      <c r="AW38" s="92" t="str">
        <f t="shared" si="30"/>
        <v/>
      </c>
      <c r="AX38" s="92" t="str">
        <f t="shared" si="30"/>
        <v/>
      </c>
      <c r="AY38" s="93">
        <f t="shared" si="21"/>
        <v>26446.18575206658</v>
      </c>
      <c r="AZ38" s="94">
        <f t="shared" si="22"/>
        <v>23278.419751152745</v>
      </c>
      <c r="BA38" s="95" t="str">
        <f t="shared" si="23"/>
        <v/>
      </c>
      <c r="BB38" s="248" t="s">
        <v>422</v>
      </c>
      <c r="BC38" s="229" t="s">
        <v>433</v>
      </c>
      <c r="BD38" s="249">
        <v>0</v>
      </c>
      <c r="BE38" s="267">
        <f t="shared" si="28"/>
        <v>0</v>
      </c>
      <c r="BF38" s="268">
        <f t="shared" si="31"/>
        <v>0</v>
      </c>
      <c r="BG38" s="268">
        <f t="shared" si="31"/>
        <v>0</v>
      </c>
      <c r="BH38" s="268">
        <f t="shared" si="31"/>
        <v>1</v>
      </c>
      <c r="BI38" s="268">
        <f t="shared" si="31"/>
        <v>2</v>
      </c>
      <c r="BJ38" s="268">
        <f t="shared" si="31"/>
        <v>3</v>
      </c>
      <c r="BK38" s="268">
        <f t="shared" si="31"/>
        <v>4</v>
      </c>
      <c r="BL38" s="269">
        <f t="shared" si="31"/>
        <v>5</v>
      </c>
      <c r="BM38" s="256">
        <f>IF($BC38=Lookup!$A$2,$BD38*ROUNDUP(BE38/10,0)+1,
IF($BC38=Lookup!$A$3,($BD38+1)^BD38,
IF($BC38=Lookup!$A$4,BE38*$BD38+1,"Error")))</f>
        <v>1</v>
      </c>
      <c r="BN38" s="229">
        <f>IF($BC38=Lookup!$A$2,$BD38*ROUNDUP(BF38/10,0)+1,
IF($BC38=Lookup!$A$3,($BD38+1)^BE38,
IF($BC38=Lookup!$A$4,BF38*$BD38+1,"Error")))</f>
        <v>1</v>
      </c>
      <c r="BO38" s="229">
        <f>IF($BC38=Lookup!$A$2,$BD38*ROUNDUP(BG38/10,0)+1,
IF($BC38=Lookup!$A$3,($BD38+1)^BF38,
IF($BC38=Lookup!$A$4,BG38*$BD38+1,"Error")))</f>
        <v>1</v>
      </c>
      <c r="BP38" s="229">
        <f>IF($BC38=Lookup!$A$2,$BD38*ROUNDUP(BH38/10,0)+1,
IF($BC38=Lookup!$A$3,($BD38+1)^BG38,
IF($BC38=Lookup!$A$4,BH38*$BD38+1,"Error")))</f>
        <v>1</v>
      </c>
      <c r="BQ38" s="229">
        <f>IF($BC38=Lookup!$A$2,$BD38*ROUNDUP(BI38/10,0)+1,
IF($BC38=Lookup!$A$3,($BD38+1)^BH38,
IF($BC38=Lookup!$A$4,BI38*$BD38+1,"Error")))</f>
        <v>1</v>
      </c>
      <c r="BR38" s="229">
        <f>IF($BC38=Lookup!$A$2,$BD38*ROUNDUP(BJ38/10,0)+1,
IF($BC38=Lookup!$A$3,($BD38+1)^BI38,
IF($BC38=Lookup!$A$4,BJ38*$BD38+1,"Error")))</f>
        <v>1</v>
      </c>
      <c r="BS38" s="229">
        <f>IF($BC38=Lookup!$A$2,$BD38*ROUNDUP(BK38/10,0)+1,
IF($BC38=Lookup!$A$3,($BD38+1)^BJ38,
IF($BC38=Lookup!$A$4,BK38*$BD38+1,"Error")))</f>
        <v>1</v>
      </c>
      <c r="BT38" s="249">
        <f>IF($BC38=Lookup!$A$2,$BD38*ROUNDUP(BL38/10,0)+1,
IF($BC38=Lookup!$A$3,($BD38+1)^BK38,
IF($BC38=Lookup!$A$4,BL38*$BD38+1,"Error")))</f>
        <v>1</v>
      </c>
      <c r="BU38" s="398">
        <v>0</v>
      </c>
      <c r="BV38" s="356">
        <v>0</v>
      </c>
      <c r="BW38" s="356">
        <v>0</v>
      </c>
      <c r="BX38" s="356">
        <v>0</v>
      </c>
      <c r="BY38" s="356">
        <v>0</v>
      </c>
      <c r="BZ38" s="356">
        <v>0</v>
      </c>
      <c r="CA38" s="356">
        <v>0</v>
      </c>
      <c r="CB38" s="399">
        <v>0</v>
      </c>
      <c r="CC38" s="382" t="s">
        <v>293</v>
      </c>
      <c r="CD38" s="383">
        <f>HLOOKUP($CC38,$AK$6:$AM$132,ROWS(CD$6:CD38),0)</f>
        <v>1.9498888888888872</v>
      </c>
      <c r="CE38" s="362">
        <f t="shared" si="29"/>
        <v>0</v>
      </c>
      <c r="CF38" s="363">
        <f t="shared" si="25"/>
        <v>0</v>
      </c>
      <c r="CG38" s="363">
        <f t="shared" si="25"/>
        <v>0</v>
      </c>
      <c r="CH38" s="363">
        <f t="shared" si="25"/>
        <v>0</v>
      </c>
      <c r="CI38" s="363">
        <f t="shared" si="25"/>
        <v>0</v>
      </c>
      <c r="CJ38" s="363">
        <f t="shared" si="25"/>
        <v>0</v>
      </c>
      <c r="CK38" s="363">
        <f t="shared" si="25"/>
        <v>0</v>
      </c>
      <c r="CL38" s="364">
        <f t="shared" si="25"/>
        <v>0</v>
      </c>
      <c r="CM38" s="305" t="s">
        <v>292</v>
      </c>
      <c r="CN38" s="315">
        <v>0.05</v>
      </c>
      <c r="CO38" s="306"/>
      <c r="CP38" s="307">
        <f>IF($CO38&lt;&gt;"",$CO38,HLOOKUP($CM38,$AY$6:$BA$132,ROWS(CP$6:CP38),0))</f>
        <v>26446.18575206658</v>
      </c>
      <c r="CQ38" s="784">
        <f t="shared" si="26"/>
        <v>0</v>
      </c>
      <c r="CR38" s="784">
        <f t="shared" si="26"/>
        <v>0</v>
      </c>
      <c r="CS38" s="97">
        <f t="shared" si="26"/>
        <v>0</v>
      </c>
      <c r="CT38" s="97">
        <f t="shared" si="26"/>
        <v>0</v>
      </c>
      <c r="CU38" s="97">
        <f t="shared" si="26"/>
        <v>0</v>
      </c>
      <c r="CV38" s="97">
        <f t="shared" si="26"/>
        <v>0</v>
      </c>
      <c r="CW38" s="97">
        <f t="shared" si="26"/>
        <v>0</v>
      </c>
      <c r="CX38" s="98">
        <f t="shared" ref="CX38:CX101" si="32">IFERROR(CL38*$CP38,"")</f>
        <v>0</v>
      </c>
    </row>
    <row r="39" spans="1:102" x14ac:dyDescent="0.25">
      <c r="A39" s="81" t="s">
        <v>81</v>
      </c>
      <c r="B39" s="82" t="s">
        <v>89</v>
      </c>
      <c r="C39" s="83" t="s">
        <v>74</v>
      </c>
      <c r="D39" s="84">
        <v>0</v>
      </c>
      <c r="E39" s="85">
        <v>0</v>
      </c>
      <c r="F39" s="85">
        <v>0</v>
      </c>
      <c r="G39" s="85">
        <v>0</v>
      </c>
      <c r="H39" s="85">
        <v>0</v>
      </c>
      <c r="I39" s="85">
        <v>-3769.26</v>
      </c>
      <c r="J39" s="85">
        <v>6397.1616308540006</v>
      </c>
      <c r="K39" s="85">
        <v>0</v>
      </c>
      <c r="L39" s="85">
        <v>11286.26</v>
      </c>
      <c r="M39" s="654">
        <f>'2022-23 Input'!H39</f>
        <v>0</v>
      </c>
      <c r="N39" s="1065">
        <v>0</v>
      </c>
      <c r="O39" s="560">
        <f t="shared" si="27"/>
        <v>0</v>
      </c>
      <c r="P39" s="561">
        <f t="shared" si="0"/>
        <v>0</v>
      </c>
      <c r="Q39" s="561">
        <f t="shared" si="1"/>
        <v>0</v>
      </c>
      <c r="R39" s="561">
        <f t="shared" si="2"/>
        <v>0</v>
      </c>
      <c r="S39" s="561">
        <f t="shared" si="3"/>
        <v>0</v>
      </c>
      <c r="T39" s="561">
        <f t="shared" si="4"/>
        <v>-4678.2106203752655</v>
      </c>
      <c r="U39" s="561">
        <f t="shared" si="5"/>
        <v>7967.5878777537155</v>
      </c>
      <c r="V39" s="561">
        <f t="shared" si="6"/>
        <v>0</v>
      </c>
      <c r="W39" s="675">
        <f t="shared" si="7"/>
        <v>12752.65254369843</v>
      </c>
      <c r="X39" s="675">
        <f t="shared" si="8"/>
        <v>0</v>
      </c>
      <c r="Y39" s="675">
        <f t="shared" si="8"/>
        <v>0</v>
      </c>
      <c r="Z39" s="125">
        <v>0</v>
      </c>
      <c r="AA39" s="126">
        <v>0</v>
      </c>
      <c r="AB39" s="126">
        <v>0</v>
      </c>
      <c r="AC39" s="126">
        <v>0</v>
      </c>
      <c r="AD39" s="126">
        <v>0</v>
      </c>
      <c r="AE39" s="126">
        <v>-0.726000011</v>
      </c>
      <c r="AF39" s="126">
        <v>0.21</v>
      </c>
      <c r="AG39" s="126">
        <v>0</v>
      </c>
      <c r="AH39" s="126">
        <v>1.033333302</v>
      </c>
      <c r="AI39" s="1097">
        <f>'2022-23 Input'!O39</f>
        <v>0</v>
      </c>
      <c r="AJ39" s="668">
        <v>0</v>
      </c>
      <c r="AK39" s="127">
        <f t="shared" ref="AK39:AK70" si="33">IFERROR(IF($AM$4="N",SUM(AD39:AH39)/5,SUM(AE39:AI39)/5),"")</f>
        <v>0.10346665819999998</v>
      </c>
      <c r="AL39" s="128">
        <f t="shared" ref="AL39:AL70" si="34">IFERROR(IF($AM$4="N",SUM(AF39:AH39)/3,SUM(AG39:AI39)/3),"")</f>
        <v>0.34444443399999997</v>
      </c>
      <c r="AM39" s="129">
        <f t="shared" ref="AM39:AM70" si="35">IFERROR(IF($AM$4="N",AH39,AI39),"")</f>
        <v>0</v>
      </c>
      <c r="AN39" s="91" t="str">
        <f t="shared" ref="AN39:AN70" si="36">IFERROR(D39/Z39,"")</f>
        <v/>
      </c>
      <c r="AO39" s="92" t="str">
        <f t="shared" ref="AO39:AO70" si="37">IFERROR(E39/AA39,"")</f>
        <v/>
      </c>
      <c r="AP39" s="92" t="str">
        <f t="shared" ref="AP39:AP70" si="38">IFERROR(F39/AB39,"")</f>
        <v/>
      </c>
      <c r="AQ39" s="92" t="str">
        <f t="shared" ref="AQ39:AQ70" si="39">IFERROR(G39/AC39,"")</f>
        <v/>
      </c>
      <c r="AR39" s="92" t="str">
        <f t="shared" ref="AR39:AR70" si="40">IFERROR(H39/AD39,"")</f>
        <v/>
      </c>
      <c r="AS39" s="92">
        <f t="shared" ref="AS39:AS70" si="41">IFERROR(I39/AE39,"")</f>
        <v>5191.8181031542717</v>
      </c>
      <c r="AT39" s="92">
        <f t="shared" ref="AT39:AT70" si="42">IFERROR(J39/AF39,"")</f>
        <v>30462.674432638098</v>
      </c>
      <c r="AU39" s="92" t="str">
        <f t="shared" ref="AU39:AU70" si="43">IFERROR(K39/AG39,"")</f>
        <v/>
      </c>
      <c r="AV39" s="92">
        <f t="shared" ref="AV39:AX54" si="44">IFERROR(L39/AH39,"")</f>
        <v>10922.187427963103</v>
      </c>
      <c r="AW39" s="92" t="str">
        <f t="shared" si="44"/>
        <v/>
      </c>
      <c r="AX39" s="92" t="str">
        <f t="shared" si="44"/>
        <v/>
      </c>
      <c r="AY39" s="93">
        <f t="shared" ref="AY39:AY70" si="45">IFERROR(IF($BA$3="N",
IF($BA$4="N",SUM(H39:L39)/SUM(AD39:AH39),SUM(I39:M39)/SUM(AE39:AI39)),
IF($BA$4="N",SUM(S39:W39)/SUM(AD39:AH39),SUM(T39:X39)/SUM(AE39:AI39))),"")</f>
        <v>26895.933188366958</v>
      </c>
      <c r="AZ39" s="94">
        <f t="shared" ref="AZ39:AZ70" si="46">IFERROR(IF($BA$3="N",
IF($BA$4="N",SUM(J39:L39)/SUM(AF39:AH39),SUM(K39:M39)/SUM(AG39:AI39)),
IF($BA$4="N",SUM(U39:W39)/SUM(AF39:AH39),SUM(V39:X39)/SUM(AG39:AI39))),"")</f>
        <v>10922.187427963103</v>
      </c>
      <c r="BA39" s="95" t="str">
        <f t="shared" ref="BA39:BA70" si="47">IFERROR(IF($BA$3="N",
IF($BA$4="N",L39/AH39,M39/AI39),
IF($BA$4="N",W39/AH39,X39/AI39)),"")</f>
        <v/>
      </c>
      <c r="BB39" s="248" t="s">
        <v>422</v>
      </c>
      <c r="BC39" s="229" t="s">
        <v>433</v>
      </c>
      <c r="BD39" s="249">
        <v>0</v>
      </c>
      <c r="BE39" s="267">
        <f t="shared" si="28"/>
        <v>0</v>
      </c>
      <c r="BF39" s="268">
        <f t="shared" ref="BF39:BL54" si="48">IF(BF$6=$BB39,1,
IF(BE39&lt;&gt;0,BE39+1,0
))</f>
        <v>0</v>
      </c>
      <c r="BG39" s="268">
        <f t="shared" si="48"/>
        <v>0</v>
      </c>
      <c r="BH39" s="268">
        <f t="shared" si="48"/>
        <v>1</v>
      </c>
      <c r="BI39" s="268">
        <f t="shared" si="48"/>
        <v>2</v>
      </c>
      <c r="BJ39" s="268">
        <f t="shared" si="48"/>
        <v>3</v>
      </c>
      <c r="BK39" s="268">
        <f t="shared" si="48"/>
        <v>4</v>
      </c>
      <c r="BL39" s="269">
        <f t="shared" si="48"/>
        <v>5</v>
      </c>
      <c r="BM39" s="256">
        <f>IF($BC39=Lookup!$A$2,$BD39*ROUNDUP(BE39/10,0)+1,
IF($BC39=Lookup!$A$3,($BD39+1)^BD39,
IF($BC39=Lookup!$A$4,BE39*$BD39+1,"Error")))</f>
        <v>1</v>
      </c>
      <c r="BN39" s="229">
        <f>IF($BC39=Lookup!$A$2,$BD39*ROUNDUP(BF39/10,0)+1,
IF($BC39=Lookup!$A$3,($BD39+1)^BE39,
IF($BC39=Lookup!$A$4,BF39*$BD39+1,"Error")))</f>
        <v>1</v>
      </c>
      <c r="BO39" s="229">
        <f>IF($BC39=Lookup!$A$2,$BD39*ROUNDUP(BG39/10,0)+1,
IF($BC39=Lookup!$A$3,($BD39+1)^BF39,
IF($BC39=Lookup!$A$4,BG39*$BD39+1,"Error")))</f>
        <v>1</v>
      </c>
      <c r="BP39" s="229">
        <f>IF($BC39=Lookup!$A$2,$BD39*ROUNDUP(BH39/10,0)+1,
IF($BC39=Lookup!$A$3,($BD39+1)^BG39,
IF($BC39=Lookup!$A$4,BH39*$BD39+1,"Error")))</f>
        <v>1</v>
      </c>
      <c r="BQ39" s="229">
        <f>IF($BC39=Lookup!$A$2,$BD39*ROUNDUP(BI39/10,0)+1,
IF($BC39=Lookup!$A$3,($BD39+1)^BH39,
IF($BC39=Lookup!$A$4,BI39*$BD39+1,"Error")))</f>
        <v>1</v>
      </c>
      <c r="BR39" s="229">
        <f>IF($BC39=Lookup!$A$2,$BD39*ROUNDUP(BJ39/10,0)+1,
IF($BC39=Lookup!$A$3,($BD39+1)^BI39,
IF($BC39=Lookup!$A$4,BJ39*$BD39+1,"Error")))</f>
        <v>1</v>
      </c>
      <c r="BS39" s="229">
        <f>IF($BC39=Lookup!$A$2,$BD39*ROUNDUP(BK39/10,0)+1,
IF($BC39=Lookup!$A$3,($BD39+1)^BJ39,
IF($BC39=Lookup!$A$4,BK39*$BD39+1,"Error")))</f>
        <v>1</v>
      </c>
      <c r="BT39" s="249">
        <f>IF($BC39=Lookup!$A$2,$BD39*ROUNDUP(BL39/10,0)+1,
IF($BC39=Lookup!$A$3,($BD39+1)^BK39,
IF($BC39=Lookup!$A$4,BL39*$BD39+1,"Error")))</f>
        <v>1</v>
      </c>
      <c r="BU39" s="398">
        <v>0</v>
      </c>
      <c r="BV39" s="356">
        <v>0</v>
      </c>
      <c r="BW39" s="356">
        <v>0</v>
      </c>
      <c r="BX39" s="356">
        <v>0</v>
      </c>
      <c r="BY39" s="356">
        <v>0</v>
      </c>
      <c r="BZ39" s="356">
        <v>0</v>
      </c>
      <c r="CA39" s="356">
        <v>0</v>
      </c>
      <c r="CB39" s="399">
        <v>0</v>
      </c>
      <c r="CC39" s="382" t="s">
        <v>293</v>
      </c>
      <c r="CD39" s="383">
        <f>HLOOKUP($CC39,$AK$6:$AM$132,ROWS(CD$6:CD39),0)</f>
        <v>0.34444443399999997</v>
      </c>
      <c r="CE39" s="362">
        <f t="shared" si="29"/>
        <v>0</v>
      </c>
      <c r="CF39" s="363">
        <f t="shared" si="25"/>
        <v>0</v>
      </c>
      <c r="CG39" s="363">
        <f t="shared" si="25"/>
        <v>0</v>
      </c>
      <c r="CH39" s="363">
        <f t="shared" si="25"/>
        <v>0</v>
      </c>
      <c r="CI39" s="363">
        <f t="shared" si="25"/>
        <v>0</v>
      </c>
      <c r="CJ39" s="363">
        <f t="shared" si="25"/>
        <v>0</v>
      </c>
      <c r="CK39" s="363">
        <f t="shared" si="25"/>
        <v>0</v>
      </c>
      <c r="CL39" s="364">
        <f t="shared" si="25"/>
        <v>0</v>
      </c>
      <c r="CM39" s="305" t="s">
        <v>292</v>
      </c>
      <c r="CN39" s="315">
        <v>0.05</v>
      </c>
      <c r="CO39" s="306"/>
      <c r="CP39" s="307">
        <f>IF($CO39&lt;&gt;"",$CO39,HLOOKUP($CM39,$AY$6:$BA$132,ROWS(CP$6:CP39),0))</f>
        <v>26895.933188366958</v>
      </c>
      <c r="CQ39" s="784">
        <f t="shared" ref="CQ39:CW70" si="49">IFERROR(CE39*$CP39,"")</f>
        <v>0</v>
      </c>
      <c r="CR39" s="784">
        <f t="shared" si="49"/>
        <v>0</v>
      </c>
      <c r="CS39" s="97">
        <f t="shared" si="49"/>
        <v>0</v>
      </c>
      <c r="CT39" s="97">
        <f t="shared" si="49"/>
        <v>0</v>
      </c>
      <c r="CU39" s="97">
        <f t="shared" si="49"/>
        <v>0</v>
      </c>
      <c r="CV39" s="97">
        <f t="shared" si="49"/>
        <v>0</v>
      </c>
      <c r="CW39" s="97">
        <f t="shared" si="49"/>
        <v>0</v>
      </c>
      <c r="CX39" s="98">
        <f t="shared" si="32"/>
        <v>0</v>
      </c>
    </row>
    <row r="40" spans="1:102" x14ac:dyDescent="0.25">
      <c r="A40" s="81" t="s">
        <v>81</v>
      </c>
      <c r="B40" s="82" t="s">
        <v>90</v>
      </c>
      <c r="C40" s="83" t="s">
        <v>76</v>
      </c>
      <c r="D40" s="84">
        <v>0</v>
      </c>
      <c r="E40" s="85">
        <v>0</v>
      </c>
      <c r="F40" s="85">
        <v>0</v>
      </c>
      <c r="G40" s="85">
        <v>0</v>
      </c>
      <c r="H40" s="85">
        <v>0</v>
      </c>
      <c r="I40" s="85">
        <v>-6906.83</v>
      </c>
      <c r="J40" s="85">
        <v>0</v>
      </c>
      <c r="K40" s="85">
        <v>0</v>
      </c>
      <c r="L40" s="85">
        <v>0</v>
      </c>
      <c r="M40" s="654">
        <f>'2022-23 Input'!H40</f>
        <v>0</v>
      </c>
      <c r="N40" s="1065">
        <v>0</v>
      </c>
      <c r="O40" s="560">
        <f t="shared" si="27"/>
        <v>0</v>
      </c>
      <c r="P40" s="561">
        <f t="shared" si="0"/>
        <v>0</v>
      </c>
      <c r="Q40" s="561">
        <f t="shared" si="1"/>
        <v>0</v>
      </c>
      <c r="R40" s="561">
        <f t="shared" si="2"/>
        <v>0</v>
      </c>
      <c r="S40" s="561">
        <f t="shared" si="3"/>
        <v>0</v>
      </c>
      <c r="T40" s="561">
        <f t="shared" si="4"/>
        <v>-8572.4002746232673</v>
      </c>
      <c r="U40" s="561">
        <f t="shared" si="5"/>
        <v>0</v>
      </c>
      <c r="V40" s="561">
        <f t="shared" si="6"/>
        <v>0</v>
      </c>
      <c r="W40" s="675">
        <f t="shared" si="7"/>
        <v>0</v>
      </c>
      <c r="X40" s="675">
        <f t="shared" si="8"/>
        <v>0</v>
      </c>
      <c r="Y40" s="675">
        <f t="shared" si="8"/>
        <v>0</v>
      </c>
      <c r="Z40" s="125">
        <v>0</v>
      </c>
      <c r="AA40" s="126">
        <v>0</v>
      </c>
      <c r="AB40" s="126">
        <v>0</v>
      </c>
      <c r="AC40" s="126">
        <v>0</v>
      </c>
      <c r="AD40" s="126">
        <v>0</v>
      </c>
      <c r="AE40" s="126">
        <v>-0.247500002</v>
      </c>
      <c r="AF40" s="126">
        <v>0</v>
      </c>
      <c r="AG40" s="126">
        <v>0</v>
      </c>
      <c r="AH40" s="126">
        <v>0</v>
      </c>
      <c r="AI40" s="1097">
        <f>'2022-23 Input'!O40</f>
        <v>0</v>
      </c>
      <c r="AJ40" s="668">
        <v>0</v>
      </c>
      <c r="AK40" s="127">
        <f t="shared" si="33"/>
        <v>-4.9500000400000001E-2</v>
      </c>
      <c r="AL40" s="128">
        <f t="shared" si="34"/>
        <v>0</v>
      </c>
      <c r="AM40" s="129">
        <f t="shared" si="35"/>
        <v>0</v>
      </c>
      <c r="AN40" s="91" t="str">
        <f t="shared" si="36"/>
        <v/>
      </c>
      <c r="AO40" s="92" t="str">
        <f t="shared" si="37"/>
        <v/>
      </c>
      <c r="AP40" s="92" t="str">
        <f t="shared" si="38"/>
        <v/>
      </c>
      <c r="AQ40" s="92" t="str">
        <f t="shared" si="39"/>
        <v/>
      </c>
      <c r="AR40" s="92" t="str">
        <f t="shared" si="40"/>
        <v/>
      </c>
      <c r="AS40" s="92">
        <f t="shared" si="41"/>
        <v>27906.383612877707</v>
      </c>
      <c r="AT40" s="92" t="str">
        <f t="shared" si="42"/>
        <v/>
      </c>
      <c r="AU40" s="92" t="str">
        <f t="shared" si="43"/>
        <v/>
      </c>
      <c r="AV40" s="92" t="str">
        <f t="shared" si="44"/>
        <v/>
      </c>
      <c r="AW40" s="92" t="str">
        <f t="shared" si="44"/>
        <v/>
      </c>
      <c r="AX40" s="92" t="str">
        <f t="shared" si="44"/>
        <v/>
      </c>
      <c r="AY40" s="93">
        <f t="shared" si="45"/>
        <v>27906.383612877707</v>
      </c>
      <c r="AZ40" s="94" t="str">
        <f t="shared" si="46"/>
        <v/>
      </c>
      <c r="BA40" s="95" t="str">
        <f t="shared" si="47"/>
        <v/>
      </c>
      <c r="BB40" s="248" t="s">
        <v>422</v>
      </c>
      <c r="BC40" s="229" t="s">
        <v>433</v>
      </c>
      <c r="BD40" s="249">
        <v>0</v>
      </c>
      <c r="BE40" s="267">
        <f t="shared" si="28"/>
        <v>0</v>
      </c>
      <c r="BF40" s="268">
        <f t="shared" si="48"/>
        <v>0</v>
      </c>
      <c r="BG40" s="268">
        <f t="shared" si="48"/>
        <v>0</v>
      </c>
      <c r="BH40" s="268">
        <f t="shared" si="48"/>
        <v>1</v>
      </c>
      <c r="BI40" s="268">
        <f t="shared" si="48"/>
        <v>2</v>
      </c>
      <c r="BJ40" s="268">
        <f t="shared" si="48"/>
        <v>3</v>
      </c>
      <c r="BK40" s="268">
        <f t="shared" si="48"/>
        <v>4</v>
      </c>
      <c r="BL40" s="269">
        <f t="shared" si="48"/>
        <v>5</v>
      </c>
      <c r="BM40" s="256">
        <f>IF($BC40=Lookup!$A$2,$BD40*ROUNDUP(BE40/10,0)+1,
IF($BC40=Lookup!$A$3,($BD40+1)^BD40,
IF($BC40=Lookup!$A$4,BE40*$BD40+1,"Error")))</f>
        <v>1</v>
      </c>
      <c r="BN40" s="229">
        <f>IF($BC40=Lookup!$A$2,$BD40*ROUNDUP(BF40/10,0)+1,
IF($BC40=Lookup!$A$3,($BD40+1)^BE40,
IF($BC40=Lookup!$A$4,BF40*$BD40+1,"Error")))</f>
        <v>1</v>
      </c>
      <c r="BO40" s="229">
        <f>IF($BC40=Lookup!$A$2,$BD40*ROUNDUP(BG40/10,0)+1,
IF($BC40=Lookup!$A$3,($BD40+1)^BF40,
IF($BC40=Lookup!$A$4,BG40*$BD40+1,"Error")))</f>
        <v>1</v>
      </c>
      <c r="BP40" s="229">
        <f>IF($BC40=Lookup!$A$2,$BD40*ROUNDUP(BH40/10,0)+1,
IF($BC40=Lookup!$A$3,($BD40+1)^BG40,
IF($BC40=Lookup!$A$4,BH40*$BD40+1,"Error")))</f>
        <v>1</v>
      </c>
      <c r="BQ40" s="229">
        <f>IF($BC40=Lookup!$A$2,$BD40*ROUNDUP(BI40/10,0)+1,
IF($BC40=Lookup!$A$3,($BD40+1)^BH40,
IF($BC40=Lookup!$A$4,BI40*$BD40+1,"Error")))</f>
        <v>1</v>
      </c>
      <c r="BR40" s="229">
        <f>IF($BC40=Lookup!$A$2,$BD40*ROUNDUP(BJ40/10,0)+1,
IF($BC40=Lookup!$A$3,($BD40+1)^BI40,
IF($BC40=Lookup!$A$4,BJ40*$BD40+1,"Error")))</f>
        <v>1</v>
      </c>
      <c r="BS40" s="229">
        <f>IF($BC40=Lookup!$A$2,$BD40*ROUNDUP(BK40/10,0)+1,
IF($BC40=Lookup!$A$3,($BD40+1)^BJ40,
IF($BC40=Lookup!$A$4,BK40*$BD40+1,"Error")))</f>
        <v>1</v>
      </c>
      <c r="BT40" s="249">
        <f>IF($BC40=Lookup!$A$2,$BD40*ROUNDUP(BL40/10,0)+1,
IF($BC40=Lookup!$A$3,($BD40+1)^BK40,
IF($BC40=Lookup!$A$4,BL40*$BD40+1,"Error")))</f>
        <v>1</v>
      </c>
      <c r="BU40" s="398">
        <v>0</v>
      </c>
      <c r="BV40" s="356">
        <v>0</v>
      </c>
      <c r="BW40" s="356">
        <v>0</v>
      </c>
      <c r="BX40" s="356">
        <v>0</v>
      </c>
      <c r="BY40" s="356">
        <v>0</v>
      </c>
      <c r="BZ40" s="356">
        <v>0</v>
      </c>
      <c r="CA40" s="356">
        <v>0</v>
      </c>
      <c r="CB40" s="399">
        <v>0</v>
      </c>
      <c r="CC40" s="382" t="s">
        <v>293</v>
      </c>
      <c r="CD40" s="383">
        <f>HLOOKUP($CC40,$AK$6:$AM$132,ROWS(CD$6:CD40),0)</f>
        <v>0</v>
      </c>
      <c r="CE40" s="362">
        <f t="shared" si="29"/>
        <v>0</v>
      </c>
      <c r="CF40" s="363">
        <f t="shared" si="25"/>
        <v>0</v>
      </c>
      <c r="CG40" s="363">
        <f t="shared" si="25"/>
        <v>0</v>
      </c>
      <c r="CH40" s="363">
        <f t="shared" si="25"/>
        <v>0</v>
      </c>
      <c r="CI40" s="363">
        <f t="shared" si="25"/>
        <v>0</v>
      </c>
      <c r="CJ40" s="363">
        <f t="shared" si="25"/>
        <v>0</v>
      </c>
      <c r="CK40" s="363">
        <f t="shared" si="25"/>
        <v>0</v>
      </c>
      <c r="CL40" s="364">
        <f t="shared" si="25"/>
        <v>0</v>
      </c>
      <c r="CM40" s="305" t="s">
        <v>292</v>
      </c>
      <c r="CN40" s="315">
        <v>0.05</v>
      </c>
      <c r="CO40" s="306"/>
      <c r="CP40" s="307">
        <f>IF($CO40&lt;&gt;"",$CO40,HLOOKUP($CM40,$AY$6:$BA$132,ROWS(CP$6:CP40),0))</f>
        <v>27906.383612877707</v>
      </c>
      <c r="CQ40" s="784">
        <f t="shared" si="49"/>
        <v>0</v>
      </c>
      <c r="CR40" s="784">
        <f t="shared" si="49"/>
        <v>0</v>
      </c>
      <c r="CS40" s="97">
        <f t="shared" si="49"/>
        <v>0</v>
      </c>
      <c r="CT40" s="97">
        <f t="shared" si="49"/>
        <v>0</v>
      </c>
      <c r="CU40" s="97">
        <f t="shared" si="49"/>
        <v>0</v>
      </c>
      <c r="CV40" s="97">
        <f t="shared" si="49"/>
        <v>0</v>
      </c>
      <c r="CW40" s="97">
        <f t="shared" si="49"/>
        <v>0</v>
      </c>
      <c r="CX40" s="98">
        <f t="shared" si="32"/>
        <v>0</v>
      </c>
    </row>
    <row r="41" spans="1:102" x14ac:dyDescent="0.25">
      <c r="A41" s="81" t="s">
        <v>81</v>
      </c>
      <c r="B41" s="82" t="s">
        <v>91</v>
      </c>
      <c r="C41" s="83" t="s">
        <v>78</v>
      </c>
      <c r="D41" s="84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654">
        <f>'2022-23 Input'!H41</f>
        <v>0</v>
      </c>
      <c r="N41" s="1065">
        <v>0</v>
      </c>
      <c r="O41" s="560">
        <f t="shared" si="27"/>
        <v>0</v>
      </c>
      <c r="P41" s="561">
        <f t="shared" si="0"/>
        <v>0</v>
      </c>
      <c r="Q41" s="561">
        <f t="shared" si="1"/>
        <v>0</v>
      </c>
      <c r="R41" s="561">
        <f t="shared" si="2"/>
        <v>0</v>
      </c>
      <c r="S41" s="561">
        <f t="shared" si="3"/>
        <v>0</v>
      </c>
      <c r="T41" s="561">
        <f t="shared" si="4"/>
        <v>0</v>
      </c>
      <c r="U41" s="561">
        <f t="shared" si="5"/>
        <v>0</v>
      </c>
      <c r="V41" s="561">
        <f t="shared" si="6"/>
        <v>0</v>
      </c>
      <c r="W41" s="675">
        <f t="shared" si="7"/>
        <v>0</v>
      </c>
      <c r="X41" s="675">
        <f t="shared" si="8"/>
        <v>0</v>
      </c>
      <c r="Y41" s="675">
        <f t="shared" si="8"/>
        <v>0</v>
      </c>
      <c r="Z41" s="125">
        <v>0</v>
      </c>
      <c r="AA41" s="126">
        <v>0</v>
      </c>
      <c r="AB41" s="126">
        <v>0</v>
      </c>
      <c r="AC41" s="126">
        <v>0</v>
      </c>
      <c r="AD41" s="126">
        <v>0</v>
      </c>
      <c r="AE41" s="126">
        <v>0</v>
      </c>
      <c r="AF41" s="126">
        <v>0</v>
      </c>
      <c r="AG41" s="126">
        <v>0</v>
      </c>
      <c r="AH41" s="126">
        <v>0</v>
      </c>
      <c r="AI41" s="1097">
        <f>'2022-23 Input'!O41</f>
        <v>0</v>
      </c>
      <c r="AJ41" s="668">
        <v>0</v>
      </c>
      <c r="AK41" s="127">
        <f t="shared" si="33"/>
        <v>0</v>
      </c>
      <c r="AL41" s="128">
        <f t="shared" si="34"/>
        <v>0</v>
      </c>
      <c r="AM41" s="129">
        <f t="shared" si="35"/>
        <v>0</v>
      </c>
      <c r="AN41" s="91" t="str">
        <f t="shared" si="36"/>
        <v/>
      </c>
      <c r="AO41" s="92" t="str">
        <f t="shared" si="37"/>
        <v/>
      </c>
      <c r="AP41" s="92" t="str">
        <f t="shared" si="38"/>
        <v/>
      </c>
      <c r="AQ41" s="92" t="str">
        <f t="shared" si="39"/>
        <v/>
      </c>
      <c r="AR41" s="92" t="str">
        <f t="shared" si="40"/>
        <v/>
      </c>
      <c r="AS41" s="92" t="str">
        <f t="shared" si="41"/>
        <v/>
      </c>
      <c r="AT41" s="92" t="str">
        <f t="shared" si="42"/>
        <v/>
      </c>
      <c r="AU41" s="92" t="str">
        <f t="shared" si="43"/>
        <v/>
      </c>
      <c r="AV41" s="92" t="str">
        <f t="shared" si="44"/>
        <v/>
      </c>
      <c r="AW41" s="92" t="str">
        <f t="shared" si="44"/>
        <v/>
      </c>
      <c r="AX41" s="92" t="str">
        <f t="shared" si="44"/>
        <v/>
      </c>
      <c r="AY41" s="93" t="str">
        <f t="shared" si="45"/>
        <v/>
      </c>
      <c r="AZ41" s="94" t="str">
        <f t="shared" si="46"/>
        <v/>
      </c>
      <c r="BA41" s="95" t="str">
        <f t="shared" si="47"/>
        <v/>
      </c>
      <c r="BB41" s="248" t="s">
        <v>422</v>
      </c>
      <c r="BC41" s="229" t="s">
        <v>433</v>
      </c>
      <c r="BD41" s="249">
        <v>0</v>
      </c>
      <c r="BE41" s="267">
        <f t="shared" si="28"/>
        <v>0</v>
      </c>
      <c r="BF41" s="268">
        <f t="shared" si="48"/>
        <v>0</v>
      </c>
      <c r="BG41" s="268">
        <f t="shared" si="48"/>
        <v>0</v>
      </c>
      <c r="BH41" s="268">
        <f t="shared" si="48"/>
        <v>1</v>
      </c>
      <c r="BI41" s="268">
        <f t="shared" si="48"/>
        <v>2</v>
      </c>
      <c r="BJ41" s="268">
        <f t="shared" si="48"/>
        <v>3</v>
      </c>
      <c r="BK41" s="268">
        <f t="shared" si="48"/>
        <v>4</v>
      </c>
      <c r="BL41" s="269">
        <f t="shared" si="48"/>
        <v>5</v>
      </c>
      <c r="BM41" s="256">
        <f>IF($BC41=Lookup!$A$2,$BD41*ROUNDUP(BE41/10,0)+1,
IF($BC41=Lookup!$A$3,($BD41+1)^BD41,
IF($BC41=Lookup!$A$4,BE41*$BD41+1,"Error")))</f>
        <v>1</v>
      </c>
      <c r="BN41" s="229">
        <f>IF($BC41=Lookup!$A$2,$BD41*ROUNDUP(BF41/10,0)+1,
IF($BC41=Lookup!$A$3,($BD41+1)^BE41,
IF($BC41=Lookup!$A$4,BF41*$BD41+1,"Error")))</f>
        <v>1</v>
      </c>
      <c r="BO41" s="229">
        <f>IF($BC41=Lookup!$A$2,$BD41*ROUNDUP(BG41/10,0)+1,
IF($BC41=Lookup!$A$3,($BD41+1)^BF41,
IF($BC41=Lookup!$A$4,BG41*$BD41+1,"Error")))</f>
        <v>1</v>
      </c>
      <c r="BP41" s="229">
        <f>IF($BC41=Lookup!$A$2,$BD41*ROUNDUP(BH41/10,0)+1,
IF($BC41=Lookup!$A$3,($BD41+1)^BG41,
IF($BC41=Lookup!$A$4,BH41*$BD41+1,"Error")))</f>
        <v>1</v>
      </c>
      <c r="BQ41" s="229">
        <f>IF($BC41=Lookup!$A$2,$BD41*ROUNDUP(BI41/10,0)+1,
IF($BC41=Lookup!$A$3,($BD41+1)^BH41,
IF($BC41=Lookup!$A$4,BI41*$BD41+1,"Error")))</f>
        <v>1</v>
      </c>
      <c r="BR41" s="229">
        <f>IF($BC41=Lookup!$A$2,$BD41*ROUNDUP(BJ41/10,0)+1,
IF($BC41=Lookup!$A$3,($BD41+1)^BI41,
IF($BC41=Lookup!$A$4,BJ41*$BD41+1,"Error")))</f>
        <v>1</v>
      </c>
      <c r="BS41" s="229">
        <f>IF($BC41=Lookup!$A$2,$BD41*ROUNDUP(BK41/10,0)+1,
IF($BC41=Lookup!$A$3,($BD41+1)^BJ41,
IF($BC41=Lookup!$A$4,BK41*$BD41+1,"Error")))</f>
        <v>1</v>
      </c>
      <c r="BT41" s="249">
        <f>IF($BC41=Lookup!$A$2,$BD41*ROUNDUP(BL41/10,0)+1,
IF($BC41=Lookup!$A$3,($BD41+1)^BK41,
IF($BC41=Lookup!$A$4,BL41*$BD41+1,"Error")))</f>
        <v>1</v>
      </c>
      <c r="BU41" s="398">
        <v>0</v>
      </c>
      <c r="BV41" s="356">
        <v>0</v>
      </c>
      <c r="BW41" s="356">
        <v>0</v>
      </c>
      <c r="BX41" s="356">
        <v>0</v>
      </c>
      <c r="BY41" s="356">
        <v>0</v>
      </c>
      <c r="BZ41" s="356">
        <v>0</v>
      </c>
      <c r="CA41" s="356">
        <v>0</v>
      </c>
      <c r="CB41" s="399">
        <v>0</v>
      </c>
      <c r="CC41" s="382" t="s">
        <v>293</v>
      </c>
      <c r="CD41" s="383">
        <f>HLOOKUP($CC41,$AK$6:$AM$132,ROWS(CD$6:CD41),0)</f>
        <v>0</v>
      </c>
      <c r="CE41" s="362">
        <f t="shared" si="29"/>
        <v>0</v>
      </c>
      <c r="CF41" s="363">
        <f t="shared" si="25"/>
        <v>0</v>
      </c>
      <c r="CG41" s="363">
        <f t="shared" si="25"/>
        <v>0</v>
      </c>
      <c r="CH41" s="363">
        <f t="shared" si="25"/>
        <v>0</v>
      </c>
      <c r="CI41" s="363">
        <f t="shared" si="25"/>
        <v>0</v>
      </c>
      <c r="CJ41" s="363">
        <f t="shared" si="25"/>
        <v>0</v>
      </c>
      <c r="CK41" s="363">
        <f t="shared" si="25"/>
        <v>0</v>
      </c>
      <c r="CL41" s="364">
        <f t="shared" si="25"/>
        <v>0</v>
      </c>
      <c r="CM41" s="305" t="s">
        <v>292</v>
      </c>
      <c r="CN41" s="315">
        <v>0.05</v>
      </c>
      <c r="CO41" s="306"/>
      <c r="CP41" s="307" t="str">
        <f>IF($CO41&lt;&gt;"",$CO41,HLOOKUP($CM41,$AY$6:$BA$132,ROWS(CP$6:CP41),0))</f>
        <v/>
      </c>
      <c r="CQ41" s="784" t="str">
        <f t="shared" si="49"/>
        <v/>
      </c>
      <c r="CR41" s="784" t="str">
        <f t="shared" si="49"/>
        <v/>
      </c>
      <c r="CS41" s="97" t="str">
        <f t="shared" si="49"/>
        <v/>
      </c>
      <c r="CT41" s="97" t="str">
        <f t="shared" si="49"/>
        <v/>
      </c>
      <c r="CU41" s="97" t="str">
        <f t="shared" si="49"/>
        <v/>
      </c>
      <c r="CV41" s="97" t="str">
        <f t="shared" si="49"/>
        <v/>
      </c>
      <c r="CW41" s="97" t="str">
        <f t="shared" si="49"/>
        <v/>
      </c>
      <c r="CX41" s="98" t="str">
        <f t="shared" si="32"/>
        <v/>
      </c>
    </row>
    <row r="42" spans="1:102" ht="15.75" thickBot="1" x14ac:dyDescent="0.3">
      <c r="A42" s="100" t="s">
        <v>81</v>
      </c>
      <c r="B42" s="101" t="s">
        <v>460</v>
      </c>
      <c r="C42" s="102" t="s">
        <v>320</v>
      </c>
      <c r="D42" s="103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655">
        <f>'2022-23 Input'!H42</f>
        <v>0</v>
      </c>
      <c r="N42" s="1066">
        <v>0</v>
      </c>
      <c r="O42" s="563">
        <f t="shared" si="27"/>
        <v>0</v>
      </c>
      <c r="P42" s="564">
        <f t="shared" si="0"/>
        <v>0</v>
      </c>
      <c r="Q42" s="564">
        <f t="shared" si="1"/>
        <v>0</v>
      </c>
      <c r="R42" s="564">
        <f t="shared" si="2"/>
        <v>0</v>
      </c>
      <c r="S42" s="564">
        <f t="shared" si="3"/>
        <v>0</v>
      </c>
      <c r="T42" s="564">
        <f t="shared" si="4"/>
        <v>0</v>
      </c>
      <c r="U42" s="564">
        <f t="shared" si="5"/>
        <v>0</v>
      </c>
      <c r="V42" s="564">
        <f t="shared" si="6"/>
        <v>0</v>
      </c>
      <c r="W42" s="676">
        <f t="shared" si="7"/>
        <v>0</v>
      </c>
      <c r="X42" s="676">
        <f t="shared" si="8"/>
        <v>0</v>
      </c>
      <c r="Y42" s="676">
        <f t="shared" si="8"/>
        <v>0</v>
      </c>
      <c r="Z42" s="131">
        <v>0</v>
      </c>
      <c r="AA42" s="132">
        <v>0</v>
      </c>
      <c r="AB42" s="132">
        <v>0</v>
      </c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098">
        <f>'2022-23 Input'!O42</f>
        <v>0</v>
      </c>
      <c r="AJ42" s="669">
        <v>0</v>
      </c>
      <c r="AK42" s="133">
        <f t="shared" si="33"/>
        <v>0</v>
      </c>
      <c r="AL42" s="134">
        <f t="shared" si="34"/>
        <v>0</v>
      </c>
      <c r="AM42" s="135">
        <f t="shared" si="35"/>
        <v>0</v>
      </c>
      <c r="AN42" s="110" t="str">
        <f t="shared" si="36"/>
        <v/>
      </c>
      <c r="AO42" s="111" t="str">
        <f t="shared" si="37"/>
        <v/>
      </c>
      <c r="AP42" s="111" t="str">
        <f t="shared" si="38"/>
        <v/>
      </c>
      <c r="AQ42" s="111" t="str">
        <f t="shared" si="39"/>
        <v/>
      </c>
      <c r="AR42" s="111" t="str">
        <f t="shared" si="40"/>
        <v/>
      </c>
      <c r="AS42" s="111" t="str">
        <f t="shared" si="41"/>
        <v/>
      </c>
      <c r="AT42" s="111" t="str">
        <f t="shared" si="42"/>
        <v/>
      </c>
      <c r="AU42" s="111" t="str">
        <f t="shared" si="43"/>
        <v/>
      </c>
      <c r="AV42" s="111" t="str">
        <f t="shared" si="44"/>
        <v/>
      </c>
      <c r="AW42" s="111" t="str">
        <f t="shared" si="44"/>
        <v/>
      </c>
      <c r="AX42" s="111" t="str">
        <f t="shared" si="44"/>
        <v/>
      </c>
      <c r="AY42" s="112" t="str">
        <f t="shared" si="45"/>
        <v/>
      </c>
      <c r="AZ42" s="113" t="str">
        <f t="shared" si="46"/>
        <v/>
      </c>
      <c r="BA42" s="114" t="str">
        <f t="shared" si="47"/>
        <v/>
      </c>
      <c r="BB42" s="250" t="s">
        <v>422</v>
      </c>
      <c r="BC42" s="230" t="s">
        <v>433</v>
      </c>
      <c r="BD42" s="251">
        <v>0</v>
      </c>
      <c r="BE42" s="270">
        <f t="shared" si="28"/>
        <v>0</v>
      </c>
      <c r="BF42" s="271">
        <f t="shared" si="48"/>
        <v>0</v>
      </c>
      <c r="BG42" s="271">
        <f t="shared" si="48"/>
        <v>0</v>
      </c>
      <c r="BH42" s="271">
        <f t="shared" si="48"/>
        <v>1</v>
      </c>
      <c r="BI42" s="271">
        <f t="shared" si="48"/>
        <v>2</v>
      </c>
      <c r="BJ42" s="271">
        <f t="shared" si="48"/>
        <v>3</v>
      </c>
      <c r="BK42" s="271">
        <f t="shared" si="48"/>
        <v>4</v>
      </c>
      <c r="BL42" s="272">
        <f t="shared" si="48"/>
        <v>5</v>
      </c>
      <c r="BM42" s="257">
        <f>IF($BC42=Lookup!$A$2,$BD42*ROUNDUP(BE42/10,0)+1,
IF($BC42=Lookup!$A$3,($BD42+1)^BD42,
IF($BC42=Lookup!$A$4,BE42*$BD42+1,"Error")))</f>
        <v>1</v>
      </c>
      <c r="BN42" s="230">
        <f>IF($BC42=Lookup!$A$2,$BD42*ROUNDUP(BF42/10,0)+1,
IF($BC42=Lookup!$A$3,($BD42+1)^BE42,
IF($BC42=Lookup!$A$4,BF42*$BD42+1,"Error")))</f>
        <v>1</v>
      </c>
      <c r="BO42" s="230">
        <f>IF($BC42=Lookup!$A$2,$BD42*ROUNDUP(BG42/10,0)+1,
IF($BC42=Lookup!$A$3,($BD42+1)^BF42,
IF($BC42=Lookup!$A$4,BG42*$BD42+1,"Error")))</f>
        <v>1</v>
      </c>
      <c r="BP42" s="230">
        <f>IF($BC42=Lookup!$A$2,$BD42*ROUNDUP(BH42/10,0)+1,
IF($BC42=Lookup!$A$3,($BD42+1)^BG42,
IF($BC42=Lookup!$A$4,BH42*$BD42+1,"Error")))</f>
        <v>1</v>
      </c>
      <c r="BQ42" s="230">
        <f>IF($BC42=Lookup!$A$2,$BD42*ROUNDUP(BI42/10,0)+1,
IF($BC42=Lookup!$A$3,($BD42+1)^BH42,
IF($BC42=Lookup!$A$4,BI42*$BD42+1,"Error")))</f>
        <v>1</v>
      </c>
      <c r="BR42" s="230">
        <f>IF($BC42=Lookup!$A$2,$BD42*ROUNDUP(BJ42/10,0)+1,
IF($BC42=Lookup!$A$3,($BD42+1)^BI42,
IF($BC42=Lookup!$A$4,BJ42*$BD42+1,"Error")))</f>
        <v>1</v>
      </c>
      <c r="BS42" s="230">
        <f>IF($BC42=Lookup!$A$2,$BD42*ROUNDUP(BK42/10,0)+1,
IF($BC42=Lookup!$A$3,($BD42+1)^BJ42,
IF($BC42=Lookup!$A$4,BK42*$BD42+1,"Error")))</f>
        <v>1</v>
      </c>
      <c r="BT42" s="251">
        <f>IF($BC42=Lookup!$A$2,$BD42*ROUNDUP(BL42/10,0)+1,
IF($BC42=Lookup!$A$3,($BD42+1)^BK42,
IF($BC42=Lookup!$A$4,BL42*$BD42+1,"Error")))</f>
        <v>1</v>
      </c>
      <c r="BU42" s="400">
        <v>0</v>
      </c>
      <c r="BV42" s="358">
        <v>0</v>
      </c>
      <c r="BW42" s="358">
        <v>0</v>
      </c>
      <c r="BX42" s="358">
        <v>0</v>
      </c>
      <c r="BY42" s="358">
        <v>0</v>
      </c>
      <c r="BZ42" s="358">
        <v>0</v>
      </c>
      <c r="CA42" s="358">
        <v>0</v>
      </c>
      <c r="CB42" s="401">
        <v>0</v>
      </c>
      <c r="CC42" s="384" t="s">
        <v>293</v>
      </c>
      <c r="CD42" s="385">
        <f>HLOOKUP($CC42,$AK$6:$AM$132,ROWS(CD$6:CD42),0)</f>
        <v>0</v>
      </c>
      <c r="CE42" s="365">
        <f t="shared" si="29"/>
        <v>0</v>
      </c>
      <c r="CF42" s="366">
        <f t="shared" si="25"/>
        <v>0</v>
      </c>
      <c r="CG42" s="366">
        <f t="shared" si="25"/>
        <v>0</v>
      </c>
      <c r="CH42" s="366">
        <f t="shared" si="25"/>
        <v>0</v>
      </c>
      <c r="CI42" s="366">
        <f t="shared" si="25"/>
        <v>0</v>
      </c>
      <c r="CJ42" s="366">
        <f t="shared" si="25"/>
        <v>0</v>
      </c>
      <c r="CK42" s="366">
        <f t="shared" si="25"/>
        <v>0</v>
      </c>
      <c r="CL42" s="367">
        <f t="shared" si="25"/>
        <v>0</v>
      </c>
      <c r="CM42" s="308" t="s">
        <v>292</v>
      </c>
      <c r="CN42" s="316">
        <v>0.05</v>
      </c>
      <c r="CO42" s="309"/>
      <c r="CP42" s="310" t="str">
        <f>IF($CO42&lt;&gt;"",$CO42,HLOOKUP($CM42,$AY$6:$BA$132,ROWS(CP$6:CP42),0))</f>
        <v/>
      </c>
      <c r="CQ42" s="785" t="str">
        <f t="shared" si="49"/>
        <v/>
      </c>
      <c r="CR42" s="785" t="str">
        <f t="shared" si="49"/>
        <v/>
      </c>
      <c r="CS42" s="117" t="str">
        <f t="shared" si="49"/>
        <v/>
      </c>
      <c r="CT42" s="117" t="str">
        <f t="shared" si="49"/>
        <v/>
      </c>
      <c r="CU42" s="117" t="str">
        <f t="shared" si="49"/>
        <v/>
      </c>
      <c r="CV42" s="117" t="str">
        <f t="shared" si="49"/>
        <v/>
      </c>
      <c r="CW42" s="117" t="str">
        <f t="shared" si="49"/>
        <v/>
      </c>
      <c r="CX42" s="118" t="str">
        <f t="shared" si="32"/>
        <v/>
      </c>
    </row>
    <row r="43" spans="1:102" x14ac:dyDescent="0.25">
      <c r="A43" s="63" t="s">
        <v>94</v>
      </c>
      <c r="B43" s="334" t="s">
        <v>92</v>
      </c>
      <c r="C43" s="65" t="s">
        <v>305</v>
      </c>
      <c r="D43" s="66">
        <v>0</v>
      </c>
      <c r="E43" s="67">
        <v>0</v>
      </c>
      <c r="F43" s="67">
        <v>0</v>
      </c>
      <c r="G43" s="67">
        <v>66051.197429607433</v>
      </c>
      <c r="H43" s="67">
        <v>173108.345582835</v>
      </c>
      <c r="I43" s="67">
        <v>359059.16873372492</v>
      </c>
      <c r="J43" s="67">
        <v>430137.97504272207</v>
      </c>
      <c r="K43" s="67">
        <v>474671.5158494119</v>
      </c>
      <c r="L43" s="67">
        <v>10166.002593247</v>
      </c>
      <c r="M43" s="653">
        <f>'2022-23 Input'!H43</f>
        <v>0</v>
      </c>
      <c r="N43" s="1064">
        <v>77.892947763000009</v>
      </c>
      <c r="O43" s="557">
        <f t="shared" si="27"/>
        <v>0</v>
      </c>
      <c r="P43" s="558">
        <f t="shared" si="0"/>
        <v>0</v>
      </c>
      <c r="Q43" s="558">
        <f t="shared" si="1"/>
        <v>0</v>
      </c>
      <c r="R43" s="558">
        <f t="shared" si="2"/>
        <v>85015.602556660626</v>
      </c>
      <c r="S43" s="558">
        <f t="shared" si="3"/>
        <v>218275.56708199889</v>
      </c>
      <c r="T43" s="558">
        <f t="shared" si="4"/>
        <v>445645.6748839895</v>
      </c>
      <c r="U43" s="558">
        <f t="shared" si="5"/>
        <v>535731.67499511922</v>
      </c>
      <c r="V43" s="558">
        <f t="shared" si="6"/>
        <v>569301.45470473624</v>
      </c>
      <c r="W43" s="674">
        <f t="shared" si="7"/>
        <v>11486.843190748412</v>
      </c>
      <c r="X43" s="674">
        <f t="shared" si="8"/>
        <v>0</v>
      </c>
      <c r="Y43" s="674">
        <f t="shared" si="8"/>
        <v>80.034885375925782</v>
      </c>
      <c r="Z43" s="119">
        <v>0</v>
      </c>
      <c r="AA43" s="120">
        <v>0</v>
      </c>
      <c r="AB43" s="120">
        <v>0</v>
      </c>
      <c r="AC43" s="120">
        <v>0</v>
      </c>
      <c r="AD43" s="120">
        <v>0</v>
      </c>
      <c r="AE43" s="120">
        <v>2.0742000389999999</v>
      </c>
      <c r="AF43" s="120">
        <v>1.9920000039999997</v>
      </c>
      <c r="AG43" s="120">
        <v>2.0919999999999965</v>
      </c>
      <c r="AH43" s="120">
        <v>0.95500001300000004</v>
      </c>
      <c r="AI43" s="1096">
        <f>'2022-23 Input'!O43</f>
        <v>0</v>
      </c>
      <c r="AJ43" s="667">
        <v>0</v>
      </c>
      <c r="AK43" s="121">
        <f t="shared" si="33"/>
        <v>1.4226400111999991</v>
      </c>
      <c r="AL43" s="122">
        <f t="shared" si="34"/>
        <v>1.0156666709999989</v>
      </c>
      <c r="AM43" s="123">
        <f t="shared" si="35"/>
        <v>0</v>
      </c>
      <c r="AN43" s="73" t="str">
        <f t="shared" si="36"/>
        <v/>
      </c>
      <c r="AO43" s="74" t="str">
        <f t="shared" si="37"/>
        <v/>
      </c>
      <c r="AP43" s="74" t="str">
        <f t="shared" si="38"/>
        <v/>
      </c>
      <c r="AQ43" s="74" t="str">
        <f t="shared" si="39"/>
        <v/>
      </c>
      <c r="AR43" s="74" t="str">
        <f t="shared" si="40"/>
        <v/>
      </c>
      <c r="AS43" s="74">
        <f t="shared" si="41"/>
        <v>173107.30015550103</v>
      </c>
      <c r="AT43" s="74">
        <f t="shared" si="42"/>
        <v>215932.717961341</v>
      </c>
      <c r="AU43" s="74">
        <f t="shared" si="43"/>
        <v>226898.43013834258</v>
      </c>
      <c r="AV43" s="74">
        <f t="shared" si="44"/>
        <v>10645.028748546205</v>
      </c>
      <c r="AW43" s="74" t="str">
        <f t="shared" si="44"/>
        <v/>
      </c>
      <c r="AX43" s="74" t="str">
        <f t="shared" si="44"/>
        <v/>
      </c>
      <c r="AY43" s="75">
        <f t="shared" si="45"/>
        <v>179108.50983931706</v>
      </c>
      <c r="AZ43" s="76">
        <f t="shared" si="46"/>
        <v>159119.63123534765</v>
      </c>
      <c r="BA43" s="77" t="str">
        <f t="shared" si="47"/>
        <v/>
      </c>
      <c r="BB43" s="246" t="s">
        <v>422</v>
      </c>
      <c r="BC43" s="228" t="s">
        <v>433</v>
      </c>
      <c r="BD43" s="247">
        <v>0</v>
      </c>
      <c r="BE43" s="264">
        <f t="shared" si="28"/>
        <v>0</v>
      </c>
      <c r="BF43" s="265">
        <f t="shared" si="48"/>
        <v>0</v>
      </c>
      <c r="BG43" s="265">
        <f t="shared" si="48"/>
        <v>0</v>
      </c>
      <c r="BH43" s="265">
        <f t="shared" si="48"/>
        <v>1</v>
      </c>
      <c r="BI43" s="265">
        <f t="shared" si="48"/>
        <v>2</v>
      </c>
      <c r="BJ43" s="265">
        <f t="shared" si="48"/>
        <v>3</v>
      </c>
      <c r="BK43" s="265">
        <f t="shared" si="48"/>
        <v>4</v>
      </c>
      <c r="BL43" s="266">
        <f t="shared" si="48"/>
        <v>5</v>
      </c>
      <c r="BM43" s="255">
        <f>IF($BC43=Lookup!$A$2,$BD43*ROUNDUP(BE43/10,0)+1,
IF($BC43=Lookup!$A$3,($BD43+1)^BD43,
IF($BC43=Lookup!$A$4,BE43*$BD43+1,"Error")))</f>
        <v>1</v>
      </c>
      <c r="BN43" s="228">
        <f>IF($BC43=Lookup!$A$2,$BD43*ROUNDUP(BF43/10,0)+1,
IF($BC43=Lookup!$A$3,($BD43+1)^BE43,
IF($BC43=Lookup!$A$4,BF43*$BD43+1,"Error")))</f>
        <v>1</v>
      </c>
      <c r="BO43" s="228">
        <f>IF($BC43=Lookup!$A$2,$BD43*ROUNDUP(BG43/10,0)+1,
IF($BC43=Lookup!$A$3,($BD43+1)^BF43,
IF($BC43=Lookup!$A$4,BG43*$BD43+1,"Error")))</f>
        <v>1</v>
      </c>
      <c r="BP43" s="228">
        <f>IF($BC43=Lookup!$A$2,$BD43*ROUNDUP(BH43/10,0)+1,
IF($BC43=Lookup!$A$3,($BD43+1)^BG43,
IF($BC43=Lookup!$A$4,BH43*$BD43+1,"Error")))</f>
        <v>1</v>
      </c>
      <c r="BQ43" s="228">
        <f>IF($BC43=Lookup!$A$2,$BD43*ROUNDUP(BI43/10,0)+1,
IF($BC43=Lookup!$A$3,($BD43+1)^BH43,
IF($BC43=Lookup!$A$4,BI43*$BD43+1,"Error")))</f>
        <v>1</v>
      </c>
      <c r="BR43" s="228">
        <f>IF($BC43=Lookup!$A$2,$BD43*ROUNDUP(BJ43/10,0)+1,
IF($BC43=Lookup!$A$3,($BD43+1)^BI43,
IF($BC43=Lookup!$A$4,BJ43*$BD43+1,"Error")))</f>
        <v>1</v>
      </c>
      <c r="BS43" s="228">
        <f>IF($BC43=Lookup!$A$2,$BD43*ROUNDUP(BK43/10,0)+1,
IF($BC43=Lookup!$A$3,($BD43+1)^BJ43,
IF($BC43=Lookup!$A$4,BK43*$BD43+1,"Error")))</f>
        <v>1</v>
      </c>
      <c r="BT43" s="247">
        <f>IF($BC43=Lookup!$A$2,$BD43*ROUNDUP(BL43/10,0)+1,
IF($BC43=Lookup!$A$3,($BD43+1)^BK43,
IF($BC43=Lookup!$A$4,BL43*$BD43+1,"Error")))</f>
        <v>1</v>
      </c>
      <c r="BU43" s="396">
        <v>0</v>
      </c>
      <c r="BV43" s="354">
        <v>0</v>
      </c>
      <c r="BW43" s="354">
        <v>0</v>
      </c>
      <c r="BX43" s="354">
        <v>0</v>
      </c>
      <c r="BY43" s="354">
        <v>0</v>
      </c>
      <c r="BZ43" s="354">
        <v>0</v>
      </c>
      <c r="CA43" s="354">
        <v>0</v>
      </c>
      <c r="CB43" s="397">
        <v>0</v>
      </c>
      <c r="CC43" s="380" t="s">
        <v>293</v>
      </c>
      <c r="CD43" s="381">
        <f>HLOOKUP($CC43,$AK$6:$AM$132,ROWS(CD$6:CD43),0)</f>
        <v>1.0156666709999989</v>
      </c>
      <c r="CE43" s="359">
        <f t="shared" si="29"/>
        <v>0</v>
      </c>
      <c r="CF43" s="360">
        <f t="shared" si="25"/>
        <v>0</v>
      </c>
      <c r="CG43" s="360">
        <f t="shared" si="25"/>
        <v>0</v>
      </c>
      <c r="CH43" s="360">
        <f t="shared" si="25"/>
        <v>0</v>
      </c>
      <c r="CI43" s="360">
        <f t="shared" ref="CI43:CL106" si="50">IFERROR(IF(BY43&lt;&gt;"",BY43,BQ43*$CD43),"")</f>
        <v>0</v>
      </c>
      <c r="CJ43" s="360">
        <f t="shared" si="50"/>
        <v>0</v>
      </c>
      <c r="CK43" s="360">
        <f t="shared" si="50"/>
        <v>0</v>
      </c>
      <c r="CL43" s="361">
        <f t="shared" si="50"/>
        <v>0</v>
      </c>
      <c r="CM43" s="302" t="s">
        <v>292</v>
      </c>
      <c r="CN43" s="314">
        <v>0.05</v>
      </c>
      <c r="CO43" s="303"/>
      <c r="CP43" s="304">
        <f>IF($CO43&lt;&gt;"",$CO43,HLOOKUP($CM43,$AY$6:$BA$132,ROWS(CP$6:CP43),0))</f>
        <v>179108.50983931706</v>
      </c>
      <c r="CQ43" s="783">
        <f t="shared" si="49"/>
        <v>0</v>
      </c>
      <c r="CR43" s="783">
        <f t="shared" si="49"/>
        <v>0</v>
      </c>
      <c r="CS43" s="79">
        <f t="shared" si="49"/>
        <v>0</v>
      </c>
      <c r="CT43" s="79">
        <f t="shared" si="49"/>
        <v>0</v>
      </c>
      <c r="CU43" s="79">
        <f t="shared" si="49"/>
        <v>0</v>
      </c>
      <c r="CV43" s="79">
        <f t="shared" si="49"/>
        <v>0</v>
      </c>
      <c r="CW43" s="79">
        <f t="shared" si="49"/>
        <v>0</v>
      </c>
      <c r="CX43" s="80">
        <f t="shared" si="32"/>
        <v>0</v>
      </c>
    </row>
    <row r="44" spans="1:102" x14ac:dyDescent="0.25">
      <c r="A44" s="81" t="s">
        <v>94</v>
      </c>
      <c r="B44" s="82" t="s">
        <v>95</v>
      </c>
      <c r="C44" s="83" t="s">
        <v>70</v>
      </c>
      <c r="D44" s="84">
        <v>0</v>
      </c>
      <c r="E44" s="85">
        <v>0</v>
      </c>
      <c r="F44" s="85">
        <v>0</v>
      </c>
      <c r="G44" s="85">
        <v>0</v>
      </c>
      <c r="H44" s="85">
        <v>0</v>
      </c>
      <c r="I44" s="85">
        <v>-3725.94</v>
      </c>
      <c r="J44" s="85">
        <v>132072.86673600902</v>
      </c>
      <c r="K44" s="85">
        <v>0</v>
      </c>
      <c r="L44" s="85">
        <v>0</v>
      </c>
      <c r="M44" s="654">
        <f>'2022-23 Input'!H44</f>
        <v>0</v>
      </c>
      <c r="N44" s="1065">
        <v>0</v>
      </c>
      <c r="O44" s="560">
        <f t="shared" si="27"/>
        <v>0</v>
      </c>
      <c r="P44" s="561">
        <f t="shared" si="0"/>
        <v>0</v>
      </c>
      <c r="Q44" s="561">
        <f t="shared" si="1"/>
        <v>0</v>
      </c>
      <c r="R44" s="561">
        <f t="shared" si="2"/>
        <v>0</v>
      </c>
      <c r="S44" s="561">
        <f t="shared" si="3"/>
        <v>0</v>
      </c>
      <c r="T44" s="561">
        <f t="shared" si="4"/>
        <v>-4624.4440762592703</v>
      </c>
      <c r="U44" s="561">
        <f t="shared" si="5"/>
        <v>164495.16718643991</v>
      </c>
      <c r="V44" s="561">
        <f t="shared" si="6"/>
        <v>0</v>
      </c>
      <c r="W44" s="675">
        <f t="shared" si="7"/>
        <v>0</v>
      </c>
      <c r="X44" s="675">
        <f t="shared" si="8"/>
        <v>0</v>
      </c>
      <c r="Y44" s="675">
        <f t="shared" si="8"/>
        <v>0</v>
      </c>
      <c r="Z44" s="125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-9.0000003999999995E-2</v>
      </c>
      <c r="AF44" s="126">
        <v>0.05</v>
      </c>
      <c r="AG44" s="126">
        <v>0.11666666666666654</v>
      </c>
      <c r="AH44" s="126">
        <v>0</v>
      </c>
      <c r="AI44" s="1097">
        <f>'2022-23 Input'!O44</f>
        <v>0</v>
      </c>
      <c r="AJ44" s="668">
        <v>0</v>
      </c>
      <c r="AK44" s="127">
        <f t="shared" si="33"/>
        <v>1.533333253333331E-2</v>
      </c>
      <c r="AL44" s="128">
        <f t="shared" si="34"/>
        <v>3.8888888888888848E-2</v>
      </c>
      <c r="AM44" s="129">
        <f t="shared" si="35"/>
        <v>0</v>
      </c>
      <c r="AN44" s="91" t="str">
        <f t="shared" si="36"/>
        <v/>
      </c>
      <c r="AO44" s="92" t="str">
        <f t="shared" si="37"/>
        <v/>
      </c>
      <c r="AP44" s="92" t="str">
        <f t="shared" si="38"/>
        <v/>
      </c>
      <c r="AQ44" s="92" t="str">
        <f t="shared" si="39"/>
        <v/>
      </c>
      <c r="AR44" s="92" t="str">
        <f t="shared" si="40"/>
        <v/>
      </c>
      <c r="AS44" s="92">
        <f t="shared" si="41"/>
        <v>41399.331493363046</v>
      </c>
      <c r="AT44" s="92">
        <f t="shared" si="42"/>
        <v>2641457.3347201804</v>
      </c>
      <c r="AU44" s="92">
        <f t="shared" si="43"/>
        <v>0</v>
      </c>
      <c r="AV44" s="92" t="str">
        <f t="shared" si="44"/>
        <v/>
      </c>
      <c r="AW44" s="92" t="str">
        <f t="shared" si="44"/>
        <v/>
      </c>
      <c r="AX44" s="92" t="str">
        <f t="shared" si="44"/>
        <v/>
      </c>
      <c r="AY44" s="93">
        <f t="shared" si="45"/>
        <v>1674090.4360744038</v>
      </c>
      <c r="AZ44" s="94">
        <f t="shared" si="46"/>
        <v>0</v>
      </c>
      <c r="BA44" s="95" t="str">
        <f t="shared" si="47"/>
        <v/>
      </c>
      <c r="BB44" s="248" t="s">
        <v>422</v>
      </c>
      <c r="BC44" s="229" t="s">
        <v>433</v>
      </c>
      <c r="BD44" s="249">
        <v>0</v>
      </c>
      <c r="BE44" s="267">
        <f t="shared" si="28"/>
        <v>0</v>
      </c>
      <c r="BF44" s="268">
        <f t="shared" si="48"/>
        <v>0</v>
      </c>
      <c r="BG44" s="268">
        <f t="shared" si="48"/>
        <v>0</v>
      </c>
      <c r="BH44" s="268">
        <f t="shared" si="48"/>
        <v>1</v>
      </c>
      <c r="BI44" s="268">
        <f t="shared" si="48"/>
        <v>2</v>
      </c>
      <c r="BJ44" s="268">
        <f t="shared" si="48"/>
        <v>3</v>
      </c>
      <c r="BK44" s="268">
        <f t="shared" si="48"/>
        <v>4</v>
      </c>
      <c r="BL44" s="269">
        <f t="shared" si="48"/>
        <v>5</v>
      </c>
      <c r="BM44" s="256">
        <f>IF($BC44=Lookup!$A$2,$BD44*ROUNDUP(BE44/10,0)+1,
IF($BC44=Lookup!$A$3,($BD44+1)^BD44,
IF($BC44=Lookup!$A$4,BE44*$BD44+1,"Error")))</f>
        <v>1</v>
      </c>
      <c r="BN44" s="229">
        <f>IF($BC44=Lookup!$A$2,$BD44*ROUNDUP(BF44/10,0)+1,
IF($BC44=Lookup!$A$3,($BD44+1)^BE44,
IF($BC44=Lookup!$A$4,BF44*$BD44+1,"Error")))</f>
        <v>1</v>
      </c>
      <c r="BO44" s="229">
        <f>IF($BC44=Lookup!$A$2,$BD44*ROUNDUP(BG44/10,0)+1,
IF($BC44=Lookup!$A$3,($BD44+1)^BF44,
IF($BC44=Lookup!$A$4,BG44*$BD44+1,"Error")))</f>
        <v>1</v>
      </c>
      <c r="BP44" s="229">
        <f>IF($BC44=Lookup!$A$2,$BD44*ROUNDUP(BH44/10,0)+1,
IF($BC44=Lookup!$A$3,($BD44+1)^BG44,
IF($BC44=Lookup!$A$4,BH44*$BD44+1,"Error")))</f>
        <v>1</v>
      </c>
      <c r="BQ44" s="229">
        <f>IF($BC44=Lookup!$A$2,$BD44*ROUNDUP(BI44/10,0)+1,
IF($BC44=Lookup!$A$3,($BD44+1)^BH44,
IF($BC44=Lookup!$A$4,BI44*$BD44+1,"Error")))</f>
        <v>1</v>
      </c>
      <c r="BR44" s="229">
        <f>IF($BC44=Lookup!$A$2,$BD44*ROUNDUP(BJ44/10,0)+1,
IF($BC44=Lookup!$A$3,($BD44+1)^BI44,
IF($BC44=Lookup!$A$4,BJ44*$BD44+1,"Error")))</f>
        <v>1</v>
      </c>
      <c r="BS44" s="229">
        <f>IF($BC44=Lookup!$A$2,$BD44*ROUNDUP(BK44/10,0)+1,
IF($BC44=Lookup!$A$3,($BD44+1)^BJ44,
IF($BC44=Lookup!$A$4,BK44*$BD44+1,"Error")))</f>
        <v>1</v>
      </c>
      <c r="BT44" s="249">
        <f>IF($BC44=Lookup!$A$2,$BD44*ROUNDUP(BL44/10,0)+1,
IF($BC44=Lookup!$A$3,($BD44+1)^BK44,
IF($BC44=Lookup!$A$4,BL44*$BD44+1,"Error")))</f>
        <v>1</v>
      </c>
      <c r="BU44" s="398">
        <v>0</v>
      </c>
      <c r="BV44" s="356">
        <v>0</v>
      </c>
      <c r="BW44" s="356">
        <v>0</v>
      </c>
      <c r="BX44" s="356">
        <v>0</v>
      </c>
      <c r="BY44" s="356">
        <v>0</v>
      </c>
      <c r="BZ44" s="356">
        <v>0</v>
      </c>
      <c r="CA44" s="356">
        <v>0</v>
      </c>
      <c r="CB44" s="399">
        <v>0</v>
      </c>
      <c r="CC44" s="382" t="s">
        <v>293</v>
      </c>
      <c r="CD44" s="383">
        <f>HLOOKUP($CC44,$AK$6:$AM$132,ROWS(CD$6:CD44),0)</f>
        <v>3.8888888888888848E-2</v>
      </c>
      <c r="CE44" s="362">
        <f t="shared" si="29"/>
        <v>0</v>
      </c>
      <c r="CF44" s="363">
        <f t="shared" si="29"/>
        <v>0</v>
      </c>
      <c r="CG44" s="363">
        <f t="shared" si="29"/>
        <v>0</v>
      </c>
      <c r="CH44" s="363">
        <f t="shared" si="29"/>
        <v>0</v>
      </c>
      <c r="CI44" s="363">
        <f t="shared" si="50"/>
        <v>0</v>
      </c>
      <c r="CJ44" s="363">
        <f t="shared" si="50"/>
        <v>0</v>
      </c>
      <c r="CK44" s="363">
        <f t="shared" si="50"/>
        <v>0</v>
      </c>
      <c r="CL44" s="364">
        <f t="shared" si="50"/>
        <v>0</v>
      </c>
      <c r="CM44" s="305" t="s">
        <v>292</v>
      </c>
      <c r="CN44" s="315">
        <v>0.05</v>
      </c>
      <c r="CO44" s="306"/>
      <c r="CP44" s="307">
        <f>IF($CO44&lt;&gt;"",$CO44,HLOOKUP($CM44,$AY$6:$BA$132,ROWS(CP$6:CP44),0))</f>
        <v>1674090.4360744038</v>
      </c>
      <c r="CQ44" s="784">
        <f t="shared" si="49"/>
        <v>0</v>
      </c>
      <c r="CR44" s="784">
        <f t="shared" si="49"/>
        <v>0</v>
      </c>
      <c r="CS44" s="97">
        <f t="shared" si="49"/>
        <v>0</v>
      </c>
      <c r="CT44" s="97">
        <f t="shared" si="49"/>
        <v>0</v>
      </c>
      <c r="CU44" s="97">
        <f t="shared" si="49"/>
        <v>0</v>
      </c>
      <c r="CV44" s="97">
        <f t="shared" si="49"/>
        <v>0</v>
      </c>
      <c r="CW44" s="97">
        <f t="shared" si="49"/>
        <v>0</v>
      </c>
      <c r="CX44" s="98">
        <f t="shared" si="32"/>
        <v>0</v>
      </c>
    </row>
    <row r="45" spans="1:102" x14ac:dyDescent="0.25">
      <c r="A45" s="81" t="s">
        <v>94</v>
      </c>
      <c r="B45" s="82" t="s">
        <v>96</v>
      </c>
      <c r="C45" s="83" t="s">
        <v>72</v>
      </c>
      <c r="D45" s="84">
        <v>0</v>
      </c>
      <c r="E45" s="85">
        <v>0</v>
      </c>
      <c r="F45" s="85">
        <v>0</v>
      </c>
      <c r="G45" s="85">
        <v>0</v>
      </c>
      <c r="H45" s="85">
        <v>0</v>
      </c>
      <c r="I45" s="85">
        <v>35718.276679343013</v>
      </c>
      <c r="J45" s="85">
        <v>0</v>
      </c>
      <c r="K45" s="85">
        <v>0</v>
      </c>
      <c r="L45" s="85">
        <v>0</v>
      </c>
      <c r="M45" s="654">
        <f>'2022-23 Input'!H45</f>
        <v>0</v>
      </c>
      <c r="N45" s="1065">
        <v>0</v>
      </c>
      <c r="O45" s="560">
        <f t="shared" si="27"/>
        <v>0</v>
      </c>
      <c r="P45" s="561">
        <f t="shared" si="0"/>
        <v>0</v>
      </c>
      <c r="Q45" s="561">
        <f t="shared" si="1"/>
        <v>0</v>
      </c>
      <c r="R45" s="561">
        <f t="shared" si="2"/>
        <v>0</v>
      </c>
      <c r="S45" s="561">
        <f t="shared" si="3"/>
        <v>0</v>
      </c>
      <c r="T45" s="561">
        <f t="shared" si="4"/>
        <v>44331.678181607174</v>
      </c>
      <c r="U45" s="561">
        <f t="shared" si="5"/>
        <v>0</v>
      </c>
      <c r="V45" s="561">
        <f t="shared" si="6"/>
        <v>0</v>
      </c>
      <c r="W45" s="675">
        <f t="shared" si="7"/>
        <v>0</v>
      </c>
      <c r="X45" s="675">
        <f t="shared" si="8"/>
        <v>0</v>
      </c>
      <c r="Y45" s="675">
        <f t="shared" si="8"/>
        <v>0</v>
      </c>
      <c r="Z45" s="125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0.02</v>
      </c>
      <c r="AG45" s="126">
        <v>0</v>
      </c>
      <c r="AH45" s="126">
        <v>0</v>
      </c>
      <c r="AI45" s="1097">
        <f>'2022-23 Input'!O45</f>
        <v>0</v>
      </c>
      <c r="AJ45" s="668">
        <v>0</v>
      </c>
      <c r="AK45" s="127">
        <f t="shared" si="33"/>
        <v>4.0000000000000001E-3</v>
      </c>
      <c r="AL45" s="128">
        <f t="shared" si="34"/>
        <v>0</v>
      </c>
      <c r="AM45" s="129">
        <f t="shared" si="35"/>
        <v>0</v>
      </c>
      <c r="AN45" s="91" t="str">
        <f t="shared" si="36"/>
        <v/>
      </c>
      <c r="AO45" s="92" t="str">
        <f t="shared" si="37"/>
        <v/>
      </c>
      <c r="AP45" s="92" t="str">
        <f t="shared" si="38"/>
        <v/>
      </c>
      <c r="AQ45" s="92" t="str">
        <f t="shared" si="39"/>
        <v/>
      </c>
      <c r="AR45" s="92" t="str">
        <f t="shared" si="40"/>
        <v/>
      </c>
      <c r="AS45" s="92" t="str">
        <f t="shared" si="41"/>
        <v/>
      </c>
      <c r="AT45" s="92">
        <f t="shared" si="42"/>
        <v>0</v>
      </c>
      <c r="AU45" s="92" t="str">
        <f t="shared" si="43"/>
        <v/>
      </c>
      <c r="AV45" s="92" t="str">
        <f t="shared" si="44"/>
        <v/>
      </c>
      <c r="AW45" s="92" t="str">
        <f t="shared" si="44"/>
        <v/>
      </c>
      <c r="AX45" s="92" t="str">
        <f t="shared" si="44"/>
        <v/>
      </c>
      <c r="AY45" s="93">
        <f t="shared" si="45"/>
        <v>1785913.8339671507</v>
      </c>
      <c r="AZ45" s="94" t="str">
        <f t="shared" si="46"/>
        <v/>
      </c>
      <c r="BA45" s="95" t="str">
        <f t="shared" si="47"/>
        <v/>
      </c>
      <c r="BB45" s="248" t="s">
        <v>422</v>
      </c>
      <c r="BC45" s="229" t="s">
        <v>433</v>
      </c>
      <c r="BD45" s="249">
        <v>0</v>
      </c>
      <c r="BE45" s="267">
        <f t="shared" si="28"/>
        <v>0</v>
      </c>
      <c r="BF45" s="268">
        <f t="shared" si="48"/>
        <v>0</v>
      </c>
      <c r="BG45" s="268">
        <f t="shared" si="48"/>
        <v>0</v>
      </c>
      <c r="BH45" s="268">
        <f t="shared" si="48"/>
        <v>1</v>
      </c>
      <c r="BI45" s="268">
        <f t="shared" si="48"/>
        <v>2</v>
      </c>
      <c r="BJ45" s="268">
        <f t="shared" si="48"/>
        <v>3</v>
      </c>
      <c r="BK45" s="268">
        <f t="shared" si="48"/>
        <v>4</v>
      </c>
      <c r="BL45" s="269">
        <f t="shared" si="48"/>
        <v>5</v>
      </c>
      <c r="BM45" s="256">
        <f>IF($BC45=Lookup!$A$2,$BD45*ROUNDUP(BE45/10,0)+1,
IF($BC45=Lookup!$A$3,($BD45+1)^BD45,
IF($BC45=Lookup!$A$4,BE45*$BD45+1,"Error")))</f>
        <v>1</v>
      </c>
      <c r="BN45" s="229">
        <f>IF($BC45=Lookup!$A$2,$BD45*ROUNDUP(BF45/10,0)+1,
IF($BC45=Lookup!$A$3,($BD45+1)^BE45,
IF($BC45=Lookup!$A$4,BF45*$BD45+1,"Error")))</f>
        <v>1</v>
      </c>
      <c r="BO45" s="229">
        <f>IF($BC45=Lookup!$A$2,$BD45*ROUNDUP(BG45/10,0)+1,
IF($BC45=Lookup!$A$3,($BD45+1)^BF45,
IF($BC45=Lookup!$A$4,BG45*$BD45+1,"Error")))</f>
        <v>1</v>
      </c>
      <c r="BP45" s="229">
        <f>IF($BC45=Lookup!$A$2,$BD45*ROUNDUP(BH45/10,0)+1,
IF($BC45=Lookup!$A$3,($BD45+1)^BG45,
IF($BC45=Lookup!$A$4,BH45*$BD45+1,"Error")))</f>
        <v>1</v>
      </c>
      <c r="BQ45" s="229">
        <f>IF($BC45=Lookup!$A$2,$BD45*ROUNDUP(BI45/10,0)+1,
IF($BC45=Lookup!$A$3,($BD45+1)^BH45,
IF($BC45=Lookup!$A$4,BI45*$BD45+1,"Error")))</f>
        <v>1</v>
      </c>
      <c r="BR45" s="229">
        <f>IF($BC45=Lookup!$A$2,$BD45*ROUNDUP(BJ45/10,0)+1,
IF($BC45=Lookup!$A$3,($BD45+1)^BI45,
IF($BC45=Lookup!$A$4,BJ45*$BD45+1,"Error")))</f>
        <v>1</v>
      </c>
      <c r="BS45" s="229">
        <f>IF($BC45=Lookup!$A$2,$BD45*ROUNDUP(BK45/10,0)+1,
IF($BC45=Lookup!$A$3,($BD45+1)^BJ45,
IF($BC45=Lookup!$A$4,BK45*$BD45+1,"Error")))</f>
        <v>1</v>
      </c>
      <c r="BT45" s="249">
        <f>IF($BC45=Lookup!$A$2,$BD45*ROUNDUP(BL45/10,0)+1,
IF($BC45=Lookup!$A$3,($BD45+1)^BK45,
IF($BC45=Lookup!$A$4,BL45*$BD45+1,"Error")))</f>
        <v>1</v>
      </c>
      <c r="BU45" s="398">
        <v>0</v>
      </c>
      <c r="BV45" s="356">
        <v>0</v>
      </c>
      <c r="BW45" s="356">
        <v>0</v>
      </c>
      <c r="BX45" s="356">
        <v>0</v>
      </c>
      <c r="BY45" s="356">
        <v>0</v>
      </c>
      <c r="BZ45" s="356">
        <v>0</v>
      </c>
      <c r="CA45" s="356">
        <v>0</v>
      </c>
      <c r="CB45" s="399">
        <v>0</v>
      </c>
      <c r="CC45" s="382" t="s">
        <v>293</v>
      </c>
      <c r="CD45" s="383">
        <f>HLOOKUP($CC45,$AK$6:$AM$132,ROWS(CD$6:CD45),0)</f>
        <v>0</v>
      </c>
      <c r="CE45" s="362">
        <f t="shared" si="29"/>
        <v>0</v>
      </c>
      <c r="CF45" s="363">
        <f t="shared" si="29"/>
        <v>0</v>
      </c>
      <c r="CG45" s="363">
        <f t="shared" si="29"/>
        <v>0</v>
      </c>
      <c r="CH45" s="363">
        <f t="shared" si="29"/>
        <v>0</v>
      </c>
      <c r="CI45" s="363">
        <f t="shared" si="50"/>
        <v>0</v>
      </c>
      <c r="CJ45" s="363">
        <f t="shared" si="50"/>
        <v>0</v>
      </c>
      <c r="CK45" s="363">
        <f t="shared" si="50"/>
        <v>0</v>
      </c>
      <c r="CL45" s="364">
        <f t="shared" si="50"/>
        <v>0</v>
      </c>
      <c r="CM45" s="305" t="s">
        <v>292</v>
      </c>
      <c r="CN45" s="315">
        <v>0.05</v>
      </c>
      <c r="CO45" s="306"/>
      <c r="CP45" s="307">
        <f>IF($CO45&lt;&gt;"",$CO45,HLOOKUP($CM45,$AY$6:$BA$132,ROWS(CP$6:CP45),0))</f>
        <v>1785913.8339671507</v>
      </c>
      <c r="CQ45" s="784">
        <f t="shared" si="49"/>
        <v>0</v>
      </c>
      <c r="CR45" s="784">
        <f t="shared" si="49"/>
        <v>0</v>
      </c>
      <c r="CS45" s="97">
        <f t="shared" si="49"/>
        <v>0</v>
      </c>
      <c r="CT45" s="97">
        <f t="shared" si="49"/>
        <v>0</v>
      </c>
      <c r="CU45" s="97">
        <f t="shared" si="49"/>
        <v>0</v>
      </c>
      <c r="CV45" s="97">
        <f t="shared" si="49"/>
        <v>0</v>
      </c>
      <c r="CW45" s="97">
        <f t="shared" si="49"/>
        <v>0</v>
      </c>
      <c r="CX45" s="98">
        <f t="shared" si="32"/>
        <v>0</v>
      </c>
    </row>
    <row r="46" spans="1:102" x14ac:dyDescent="0.25">
      <c r="A46" s="81" t="s">
        <v>94</v>
      </c>
      <c r="B46" s="82" t="s">
        <v>97</v>
      </c>
      <c r="C46" s="83" t="s">
        <v>98</v>
      </c>
      <c r="D46" s="84">
        <v>0</v>
      </c>
      <c r="E46" s="85">
        <v>0</v>
      </c>
      <c r="F46" s="85">
        <v>0</v>
      </c>
      <c r="G46" s="85">
        <v>0</v>
      </c>
      <c r="H46" s="85">
        <v>0</v>
      </c>
      <c r="I46" s="85">
        <v>0</v>
      </c>
      <c r="J46" s="85">
        <v>0</v>
      </c>
      <c r="K46" s="85">
        <v>0</v>
      </c>
      <c r="L46" s="85">
        <v>0</v>
      </c>
      <c r="M46" s="654">
        <f>'2022-23 Input'!H46</f>
        <v>0</v>
      </c>
      <c r="N46" s="1065">
        <v>0</v>
      </c>
      <c r="O46" s="560">
        <f t="shared" si="27"/>
        <v>0</v>
      </c>
      <c r="P46" s="561">
        <f t="shared" si="0"/>
        <v>0</v>
      </c>
      <c r="Q46" s="561">
        <f t="shared" si="1"/>
        <v>0</v>
      </c>
      <c r="R46" s="561">
        <f t="shared" si="2"/>
        <v>0</v>
      </c>
      <c r="S46" s="561">
        <f t="shared" si="3"/>
        <v>0</v>
      </c>
      <c r="T46" s="561">
        <f t="shared" si="4"/>
        <v>0</v>
      </c>
      <c r="U46" s="561">
        <f t="shared" si="5"/>
        <v>0</v>
      </c>
      <c r="V46" s="561">
        <f t="shared" si="6"/>
        <v>0</v>
      </c>
      <c r="W46" s="675">
        <f t="shared" si="7"/>
        <v>0</v>
      </c>
      <c r="X46" s="675">
        <f t="shared" si="8"/>
        <v>0</v>
      </c>
      <c r="Y46" s="675">
        <f t="shared" si="8"/>
        <v>0</v>
      </c>
      <c r="Z46" s="125">
        <v>0</v>
      </c>
      <c r="AA46" s="126">
        <v>0</v>
      </c>
      <c r="AB46" s="126">
        <v>0</v>
      </c>
      <c r="AC46" s="126">
        <v>0</v>
      </c>
      <c r="AD46" s="126">
        <v>0</v>
      </c>
      <c r="AE46" s="126">
        <v>0</v>
      </c>
      <c r="AF46" s="126">
        <v>0</v>
      </c>
      <c r="AG46" s="126">
        <v>0</v>
      </c>
      <c r="AH46" s="126">
        <v>0</v>
      </c>
      <c r="AI46" s="1097">
        <f>'2022-23 Input'!O46</f>
        <v>0</v>
      </c>
      <c r="AJ46" s="668">
        <v>0</v>
      </c>
      <c r="AK46" s="127">
        <f t="shared" si="33"/>
        <v>0</v>
      </c>
      <c r="AL46" s="128">
        <f t="shared" si="34"/>
        <v>0</v>
      </c>
      <c r="AM46" s="129">
        <f t="shared" si="35"/>
        <v>0</v>
      </c>
      <c r="AN46" s="91" t="str">
        <f t="shared" si="36"/>
        <v/>
      </c>
      <c r="AO46" s="92" t="str">
        <f t="shared" si="37"/>
        <v/>
      </c>
      <c r="AP46" s="92" t="str">
        <f t="shared" si="38"/>
        <v/>
      </c>
      <c r="AQ46" s="92" t="str">
        <f t="shared" si="39"/>
        <v/>
      </c>
      <c r="AR46" s="92" t="str">
        <f t="shared" si="40"/>
        <v/>
      </c>
      <c r="AS46" s="92" t="str">
        <f t="shared" si="41"/>
        <v/>
      </c>
      <c r="AT46" s="92" t="str">
        <f t="shared" si="42"/>
        <v/>
      </c>
      <c r="AU46" s="92" t="str">
        <f t="shared" si="43"/>
        <v/>
      </c>
      <c r="AV46" s="92" t="str">
        <f t="shared" si="44"/>
        <v/>
      </c>
      <c r="AW46" s="92" t="str">
        <f t="shared" si="44"/>
        <v/>
      </c>
      <c r="AX46" s="92" t="str">
        <f t="shared" si="44"/>
        <v/>
      </c>
      <c r="AY46" s="93" t="str">
        <f t="shared" si="45"/>
        <v/>
      </c>
      <c r="AZ46" s="94" t="str">
        <f t="shared" si="46"/>
        <v/>
      </c>
      <c r="BA46" s="95" t="str">
        <f t="shared" si="47"/>
        <v/>
      </c>
      <c r="BB46" s="248" t="s">
        <v>422</v>
      </c>
      <c r="BC46" s="229" t="s">
        <v>433</v>
      </c>
      <c r="BD46" s="249">
        <v>0</v>
      </c>
      <c r="BE46" s="267">
        <f t="shared" si="28"/>
        <v>0</v>
      </c>
      <c r="BF46" s="268">
        <f t="shared" si="48"/>
        <v>0</v>
      </c>
      <c r="BG46" s="268">
        <f t="shared" si="48"/>
        <v>0</v>
      </c>
      <c r="BH46" s="268">
        <f t="shared" si="48"/>
        <v>1</v>
      </c>
      <c r="BI46" s="268">
        <f t="shared" si="48"/>
        <v>2</v>
      </c>
      <c r="BJ46" s="268">
        <f t="shared" si="48"/>
        <v>3</v>
      </c>
      <c r="BK46" s="268">
        <f t="shared" si="48"/>
        <v>4</v>
      </c>
      <c r="BL46" s="269">
        <f t="shared" si="48"/>
        <v>5</v>
      </c>
      <c r="BM46" s="256">
        <f>IF($BC46=Lookup!$A$2,$BD46*ROUNDUP(BE46/10,0)+1,
IF($BC46=Lookup!$A$3,($BD46+1)^BD46,
IF($BC46=Lookup!$A$4,BE46*$BD46+1,"Error")))</f>
        <v>1</v>
      </c>
      <c r="BN46" s="229">
        <f>IF($BC46=Lookup!$A$2,$BD46*ROUNDUP(BF46/10,0)+1,
IF($BC46=Lookup!$A$3,($BD46+1)^BE46,
IF($BC46=Lookup!$A$4,BF46*$BD46+1,"Error")))</f>
        <v>1</v>
      </c>
      <c r="BO46" s="229">
        <f>IF($BC46=Lookup!$A$2,$BD46*ROUNDUP(BG46/10,0)+1,
IF($BC46=Lookup!$A$3,($BD46+1)^BF46,
IF($BC46=Lookup!$A$4,BG46*$BD46+1,"Error")))</f>
        <v>1</v>
      </c>
      <c r="BP46" s="229">
        <f>IF($BC46=Lookup!$A$2,$BD46*ROUNDUP(BH46/10,0)+1,
IF($BC46=Lookup!$A$3,($BD46+1)^BG46,
IF($BC46=Lookup!$A$4,BH46*$BD46+1,"Error")))</f>
        <v>1</v>
      </c>
      <c r="BQ46" s="229">
        <f>IF($BC46=Lookup!$A$2,$BD46*ROUNDUP(BI46/10,0)+1,
IF($BC46=Lookup!$A$3,($BD46+1)^BH46,
IF($BC46=Lookup!$A$4,BI46*$BD46+1,"Error")))</f>
        <v>1</v>
      </c>
      <c r="BR46" s="229">
        <f>IF($BC46=Lookup!$A$2,$BD46*ROUNDUP(BJ46/10,0)+1,
IF($BC46=Lookup!$A$3,($BD46+1)^BI46,
IF($BC46=Lookup!$A$4,BJ46*$BD46+1,"Error")))</f>
        <v>1</v>
      </c>
      <c r="BS46" s="229">
        <f>IF($BC46=Lookup!$A$2,$BD46*ROUNDUP(BK46/10,0)+1,
IF($BC46=Lookup!$A$3,($BD46+1)^BJ46,
IF($BC46=Lookup!$A$4,BK46*$BD46+1,"Error")))</f>
        <v>1</v>
      </c>
      <c r="BT46" s="249">
        <f>IF($BC46=Lookup!$A$2,$BD46*ROUNDUP(BL46/10,0)+1,
IF($BC46=Lookup!$A$3,($BD46+1)^BK46,
IF($BC46=Lookup!$A$4,BL46*$BD46+1,"Error")))</f>
        <v>1</v>
      </c>
      <c r="BU46" s="398">
        <v>0</v>
      </c>
      <c r="BV46" s="356">
        <v>0</v>
      </c>
      <c r="BW46" s="356">
        <v>0</v>
      </c>
      <c r="BX46" s="356">
        <v>0</v>
      </c>
      <c r="BY46" s="356">
        <v>0</v>
      </c>
      <c r="BZ46" s="356">
        <v>0</v>
      </c>
      <c r="CA46" s="356">
        <v>0</v>
      </c>
      <c r="CB46" s="399">
        <v>0</v>
      </c>
      <c r="CC46" s="382" t="s">
        <v>293</v>
      </c>
      <c r="CD46" s="383">
        <f>HLOOKUP($CC46,$AK$6:$AM$132,ROWS(CD$6:CD46),0)</f>
        <v>0</v>
      </c>
      <c r="CE46" s="362">
        <f t="shared" si="29"/>
        <v>0</v>
      </c>
      <c r="CF46" s="363">
        <f t="shared" si="29"/>
        <v>0</v>
      </c>
      <c r="CG46" s="363">
        <f t="shared" si="29"/>
        <v>0</v>
      </c>
      <c r="CH46" s="363">
        <f t="shared" si="29"/>
        <v>0</v>
      </c>
      <c r="CI46" s="363">
        <f t="shared" si="50"/>
        <v>0</v>
      </c>
      <c r="CJ46" s="363">
        <f t="shared" si="50"/>
        <v>0</v>
      </c>
      <c r="CK46" s="363">
        <f t="shared" si="50"/>
        <v>0</v>
      </c>
      <c r="CL46" s="364">
        <f t="shared" si="50"/>
        <v>0</v>
      </c>
      <c r="CM46" s="305" t="s">
        <v>292</v>
      </c>
      <c r="CN46" s="315">
        <v>0.05</v>
      </c>
      <c r="CO46" s="306"/>
      <c r="CP46" s="307" t="str">
        <f>IF($CO46&lt;&gt;"",$CO46,HLOOKUP($CM46,$AY$6:$BA$132,ROWS(CP$6:CP46),0))</f>
        <v/>
      </c>
      <c r="CQ46" s="784" t="str">
        <f t="shared" si="49"/>
        <v/>
      </c>
      <c r="CR46" s="784" t="str">
        <f t="shared" si="49"/>
        <v/>
      </c>
      <c r="CS46" s="97" t="str">
        <f t="shared" si="49"/>
        <v/>
      </c>
      <c r="CT46" s="97" t="str">
        <f t="shared" si="49"/>
        <v/>
      </c>
      <c r="CU46" s="97" t="str">
        <f t="shared" si="49"/>
        <v/>
      </c>
      <c r="CV46" s="97" t="str">
        <f t="shared" si="49"/>
        <v/>
      </c>
      <c r="CW46" s="97" t="str">
        <f t="shared" si="49"/>
        <v/>
      </c>
      <c r="CX46" s="98" t="str">
        <f t="shared" si="32"/>
        <v/>
      </c>
    </row>
    <row r="47" spans="1:102" x14ac:dyDescent="0.25">
      <c r="A47" s="81" t="s">
        <v>94</v>
      </c>
      <c r="B47" s="82" t="s">
        <v>99</v>
      </c>
      <c r="C47" s="83" t="s">
        <v>100</v>
      </c>
      <c r="D47" s="84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654">
        <f>'2022-23 Input'!H47</f>
        <v>0</v>
      </c>
      <c r="N47" s="1065">
        <v>0</v>
      </c>
      <c r="O47" s="560">
        <f t="shared" si="27"/>
        <v>0</v>
      </c>
      <c r="P47" s="561">
        <f t="shared" si="0"/>
        <v>0</v>
      </c>
      <c r="Q47" s="561">
        <f t="shared" si="1"/>
        <v>0</v>
      </c>
      <c r="R47" s="561">
        <f t="shared" si="2"/>
        <v>0</v>
      </c>
      <c r="S47" s="561">
        <f t="shared" si="3"/>
        <v>0</v>
      </c>
      <c r="T47" s="561">
        <f t="shared" si="4"/>
        <v>0</v>
      </c>
      <c r="U47" s="561">
        <f t="shared" si="5"/>
        <v>0</v>
      </c>
      <c r="V47" s="561">
        <f t="shared" si="6"/>
        <v>0</v>
      </c>
      <c r="W47" s="675">
        <f t="shared" si="7"/>
        <v>0</v>
      </c>
      <c r="X47" s="675">
        <f t="shared" si="8"/>
        <v>0</v>
      </c>
      <c r="Y47" s="675">
        <f t="shared" si="8"/>
        <v>0</v>
      </c>
      <c r="Z47" s="125">
        <v>0</v>
      </c>
      <c r="AA47" s="126">
        <v>0</v>
      </c>
      <c r="AB47" s="126">
        <v>0</v>
      </c>
      <c r="AC47" s="126">
        <v>0</v>
      </c>
      <c r="AD47" s="126">
        <v>0</v>
      </c>
      <c r="AE47" s="126">
        <v>0</v>
      </c>
      <c r="AF47" s="126">
        <v>0</v>
      </c>
      <c r="AG47" s="126">
        <v>0</v>
      </c>
      <c r="AH47" s="126">
        <v>0</v>
      </c>
      <c r="AI47" s="1097">
        <f>'2022-23 Input'!O47</f>
        <v>0</v>
      </c>
      <c r="AJ47" s="668">
        <v>0</v>
      </c>
      <c r="AK47" s="127">
        <f t="shared" si="33"/>
        <v>0</v>
      </c>
      <c r="AL47" s="128">
        <f t="shared" si="34"/>
        <v>0</v>
      </c>
      <c r="AM47" s="129">
        <f t="shared" si="35"/>
        <v>0</v>
      </c>
      <c r="AN47" s="91" t="str">
        <f t="shared" si="36"/>
        <v/>
      </c>
      <c r="AO47" s="92" t="str">
        <f t="shared" si="37"/>
        <v/>
      </c>
      <c r="AP47" s="92" t="str">
        <f t="shared" si="38"/>
        <v/>
      </c>
      <c r="AQ47" s="92" t="str">
        <f t="shared" si="39"/>
        <v/>
      </c>
      <c r="AR47" s="92" t="str">
        <f t="shared" si="40"/>
        <v/>
      </c>
      <c r="AS47" s="92" t="str">
        <f t="shared" si="41"/>
        <v/>
      </c>
      <c r="AT47" s="92" t="str">
        <f t="shared" si="42"/>
        <v/>
      </c>
      <c r="AU47" s="92" t="str">
        <f t="shared" si="43"/>
        <v/>
      </c>
      <c r="AV47" s="92" t="str">
        <f t="shared" si="44"/>
        <v/>
      </c>
      <c r="AW47" s="92" t="str">
        <f t="shared" si="44"/>
        <v/>
      </c>
      <c r="AX47" s="92" t="str">
        <f t="shared" si="44"/>
        <v/>
      </c>
      <c r="AY47" s="93" t="str">
        <f t="shared" si="45"/>
        <v/>
      </c>
      <c r="AZ47" s="94" t="str">
        <f t="shared" si="46"/>
        <v/>
      </c>
      <c r="BA47" s="95" t="str">
        <f t="shared" si="47"/>
        <v/>
      </c>
      <c r="BB47" s="248" t="s">
        <v>422</v>
      </c>
      <c r="BC47" s="229" t="s">
        <v>433</v>
      </c>
      <c r="BD47" s="249">
        <v>0</v>
      </c>
      <c r="BE47" s="267">
        <f t="shared" si="28"/>
        <v>0</v>
      </c>
      <c r="BF47" s="268">
        <f t="shared" si="48"/>
        <v>0</v>
      </c>
      <c r="BG47" s="268">
        <f t="shared" si="48"/>
        <v>0</v>
      </c>
      <c r="BH47" s="268">
        <f t="shared" si="48"/>
        <v>1</v>
      </c>
      <c r="BI47" s="268">
        <f t="shared" si="48"/>
        <v>2</v>
      </c>
      <c r="BJ47" s="268">
        <f t="shared" si="48"/>
        <v>3</v>
      </c>
      <c r="BK47" s="268">
        <f t="shared" si="48"/>
        <v>4</v>
      </c>
      <c r="BL47" s="269">
        <f t="shared" si="48"/>
        <v>5</v>
      </c>
      <c r="BM47" s="256">
        <f>IF($BC47=Lookup!$A$2,$BD47*ROUNDUP(BE47/10,0)+1,
IF($BC47=Lookup!$A$3,($BD47+1)^BD47,
IF($BC47=Lookup!$A$4,BE47*$BD47+1,"Error")))</f>
        <v>1</v>
      </c>
      <c r="BN47" s="229">
        <f>IF($BC47=Lookup!$A$2,$BD47*ROUNDUP(BF47/10,0)+1,
IF($BC47=Lookup!$A$3,($BD47+1)^BE47,
IF($BC47=Lookup!$A$4,BF47*$BD47+1,"Error")))</f>
        <v>1</v>
      </c>
      <c r="BO47" s="229">
        <f>IF($BC47=Lookup!$A$2,$BD47*ROUNDUP(BG47/10,0)+1,
IF($BC47=Lookup!$A$3,($BD47+1)^BF47,
IF($BC47=Lookup!$A$4,BG47*$BD47+1,"Error")))</f>
        <v>1</v>
      </c>
      <c r="BP47" s="229">
        <f>IF($BC47=Lookup!$A$2,$BD47*ROUNDUP(BH47/10,0)+1,
IF($BC47=Lookup!$A$3,($BD47+1)^BG47,
IF($BC47=Lookup!$A$4,BH47*$BD47+1,"Error")))</f>
        <v>1</v>
      </c>
      <c r="BQ47" s="229">
        <f>IF($BC47=Lookup!$A$2,$BD47*ROUNDUP(BI47/10,0)+1,
IF($BC47=Lookup!$A$3,($BD47+1)^BH47,
IF($BC47=Lookup!$A$4,BI47*$BD47+1,"Error")))</f>
        <v>1</v>
      </c>
      <c r="BR47" s="229">
        <f>IF($BC47=Lookup!$A$2,$BD47*ROUNDUP(BJ47/10,0)+1,
IF($BC47=Lookup!$A$3,($BD47+1)^BI47,
IF($BC47=Lookup!$A$4,BJ47*$BD47+1,"Error")))</f>
        <v>1</v>
      </c>
      <c r="BS47" s="229">
        <f>IF($BC47=Lookup!$A$2,$BD47*ROUNDUP(BK47/10,0)+1,
IF($BC47=Lookup!$A$3,($BD47+1)^BJ47,
IF($BC47=Lookup!$A$4,BK47*$BD47+1,"Error")))</f>
        <v>1</v>
      </c>
      <c r="BT47" s="249">
        <f>IF($BC47=Lookup!$A$2,$BD47*ROUNDUP(BL47/10,0)+1,
IF($BC47=Lookup!$A$3,($BD47+1)^BK47,
IF($BC47=Lookup!$A$4,BL47*$BD47+1,"Error")))</f>
        <v>1</v>
      </c>
      <c r="BU47" s="398">
        <v>0</v>
      </c>
      <c r="BV47" s="356">
        <v>0</v>
      </c>
      <c r="BW47" s="356">
        <v>0</v>
      </c>
      <c r="BX47" s="356">
        <v>0</v>
      </c>
      <c r="BY47" s="356">
        <v>0</v>
      </c>
      <c r="BZ47" s="356">
        <v>0</v>
      </c>
      <c r="CA47" s="356">
        <v>0</v>
      </c>
      <c r="CB47" s="399">
        <v>0</v>
      </c>
      <c r="CC47" s="382" t="s">
        <v>293</v>
      </c>
      <c r="CD47" s="383">
        <f>HLOOKUP($CC47,$AK$6:$AM$132,ROWS(CD$6:CD47),0)</f>
        <v>0</v>
      </c>
      <c r="CE47" s="362">
        <f t="shared" si="29"/>
        <v>0</v>
      </c>
      <c r="CF47" s="363">
        <f t="shared" si="29"/>
        <v>0</v>
      </c>
      <c r="CG47" s="363">
        <f t="shared" si="29"/>
        <v>0</v>
      </c>
      <c r="CH47" s="363">
        <f t="shared" si="29"/>
        <v>0</v>
      </c>
      <c r="CI47" s="363">
        <f t="shared" si="50"/>
        <v>0</v>
      </c>
      <c r="CJ47" s="363">
        <f t="shared" si="50"/>
        <v>0</v>
      </c>
      <c r="CK47" s="363">
        <f t="shared" si="50"/>
        <v>0</v>
      </c>
      <c r="CL47" s="364">
        <f t="shared" si="50"/>
        <v>0</v>
      </c>
      <c r="CM47" s="305" t="s">
        <v>292</v>
      </c>
      <c r="CN47" s="315">
        <v>0.05</v>
      </c>
      <c r="CO47" s="306"/>
      <c r="CP47" s="307" t="str">
        <f>IF($CO47&lt;&gt;"",$CO47,HLOOKUP($CM47,$AY$6:$BA$132,ROWS(CP$6:CP47),0))</f>
        <v/>
      </c>
      <c r="CQ47" s="784" t="str">
        <f t="shared" si="49"/>
        <v/>
      </c>
      <c r="CR47" s="784" t="str">
        <f t="shared" si="49"/>
        <v/>
      </c>
      <c r="CS47" s="97" t="str">
        <f t="shared" si="49"/>
        <v/>
      </c>
      <c r="CT47" s="97" t="str">
        <f t="shared" si="49"/>
        <v/>
      </c>
      <c r="CU47" s="97" t="str">
        <f t="shared" si="49"/>
        <v/>
      </c>
      <c r="CV47" s="97" t="str">
        <f t="shared" si="49"/>
        <v/>
      </c>
      <c r="CW47" s="97" t="str">
        <f t="shared" si="49"/>
        <v/>
      </c>
      <c r="CX47" s="98" t="str">
        <f t="shared" si="32"/>
        <v/>
      </c>
    </row>
    <row r="48" spans="1:102" x14ac:dyDescent="0.25">
      <c r="A48" s="81" t="s">
        <v>94</v>
      </c>
      <c r="B48" s="82" t="s">
        <v>101</v>
      </c>
      <c r="C48" s="83" t="s">
        <v>76</v>
      </c>
      <c r="D48" s="84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654">
        <f>'2022-23 Input'!H48</f>
        <v>0</v>
      </c>
      <c r="N48" s="1065">
        <v>0</v>
      </c>
      <c r="O48" s="560">
        <f t="shared" si="27"/>
        <v>0</v>
      </c>
      <c r="P48" s="561">
        <f t="shared" si="0"/>
        <v>0</v>
      </c>
      <c r="Q48" s="561">
        <f t="shared" si="1"/>
        <v>0</v>
      </c>
      <c r="R48" s="561">
        <f t="shared" si="2"/>
        <v>0</v>
      </c>
      <c r="S48" s="561">
        <f t="shared" si="3"/>
        <v>0</v>
      </c>
      <c r="T48" s="561">
        <f t="shared" si="4"/>
        <v>0</v>
      </c>
      <c r="U48" s="561">
        <f t="shared" si="5"/>
        <v>0</v>
      </c>
      <c r="V48" s="561">
        <f t="shared" si="6"/>
        <v>0</v>
      </c>
      <c r="W48" s="675">
        <f t="shared" si="7"/>
        <v>0</v>
      </c>
      <c r="X48" s="675">
        <f t="shared" si="8"/>
        <v>0</v>
      </c>
      <c r="Y48" s="675">
        <f t="shared" si="8"/>
        <v>0</v>
      </c>
      <c r="Z48" s="125">
        <v>0</v>
      </c>
      <c r="AA48" s="126">
        <v>0</v>
      </c>
      <c r="AB48" s="126">
        <v>0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6">
        <v>0</v>
      </c>
      <c r="AI48" s="1097">
        <f>'2022-23 Input'!O48</f>
        <v>0</v>
      </c>
      <c r="AJ48" s="668">
        <v>0</v>
      </c>
      <c r="AK48" s="127">
        <f t="shared" si="33"/>
        <v>0</v>
      </c>
      <c r="AL48" s="128">
        <f t="shared" si="34"/>
        <v>0</v>
      </c>
      <c r="AM48" s="129">
        <f t="shared" si="35"/>
        <v>0</v>
      </c>
      <c r="AN48" s="91" t="str">
        <f t="shared" si="36"/>
        <v/>
      </c>
      <c r="AO48" s="92" t="str">
        <f t="shared" si="37"/>
        <v/>
      </c>
      <c r="AP48" s="92" t="str">
        <f t="shared" si="38"/>
        <v/>
      </c>
      <c r="AQ48" s="92" t="str">
        <f t="shared" si="39"/>
        <v/>
      </c>
      <c r="AR48" s="92" t="str">
        <f t="shared" si="40"/>
        <v/>
      </c>
      <c r="AS48" s="92" t="str">
        <f t="shared" si="41"/>
        <v/>
      </c>
      <c r="AT48" s="92" t="str">
        <f t="shared" si="42"/>
        <v/>
      </c>
      <c r="AU48" s="92" t="str">
        <f t="shared" si="43"/>
        <v/>
      </c>
      <c r="AV48" s="92" t="str">
        <f t="shared" si="44"/>
        <v/>
      </c>
      <c r="AW48" s="92" t="str">
        <f t="shared" si="44"/>
        <v/>
      </c>
      <c r="AX48" s="92" t="str">
        <f t="shared" si="44"/>
        <v/>
      </c>
      <c r="AY48" s="93" t="str">
        <f t="shared" si="45"/>
        <v/>
      </c>
      <c r="AZ48" s="94" t="str">
        <f t="shared" si="46"/>
        <v/>
      </c>
      <c r="BA48" s="95" t="str">
        <f t="shared" si="47"/>
        <v/>
      </c>
      <c r="BB48" s="248" t="s">
        <v>422</v>
      </c>
      <c r="BC48" s="229" t="s">
        <v>433</v>
      </c>
      <c r="BD48" s="249">
        <v>0</v>
      </c>
      <c r="BE48" s="267">
        <f t="shared" si="28"/>
        <v>0</v>
      </c>
      <c r="BF48" s="268">
        <f t="shared" si="48"/>
        <v>0</v>
      </c>
      <c r="BG48" s="268">
        <f t="shared" si="48"/>
        <v>0</v>
      </c>
      <c r="BH48" s="268">
        <f t="shared" si="48"/>
        <v>1</v>
      </c>
      <c r="BI48" s="268">
        <f t="shared" si="48"/>
        <v>2</v>
      </c>
      <c r="BJ48" s="268">
        <f t="shared" si="48"/>
        <v>3</v>
      </c>
      <c r="BK48" s="268">
        <f t="shared" si="48"/>
        <v>4</v>
      </c>
      <c r="BL48" s="269">
        <f t="shared" si="48"/>
        <v>5</v>
      </c>
      <c r="BM48" s="256">
        <f>IF($BC48=Lookup!$A$2,$BD48*ROUNDUP(BE48/10,0)+1,
IF($BC48=Lookup!$A$3,($BD48+1)^BD48,
IF($BC48=Lookup!$A$4,BE48*$BD48+1,"Error")))</f>
        <v>1</v>
      </c>
      <c r="BN48" s="229">
        <f>IF($BC48=Lookup!$A$2,$BD48*ROUNDUP(BF48/10,0)+1,
IF($BC48=Lookup!$A$3,($BD48+1)^BE48,
IF($BC48=Lookup!$A$4,BF48*$BD48+1,"Error")))</f>
        <v>1</v>
      </c>
      <c r="BO48" s="229">
        <f>IF($BC48=Lookup!$A$2,$BD48*ROUNDUP(BG48/10,0)+1,
IF($BC48=Lookup!$A$3,($BD48+1)^BF48,
IF($BC48=Lookup!$A$4,BG48*$BD48+1,"Error")))</f>
        <v>1</v>
      </c>
      <c r="BP48" s="229">
        <f>IF($BC48=Lookup!$A$2,$BD48*ROUNDUP(BH48/10,0)+1,
IF($BC48=Lookup!$A$3,($BD48+1)^BG48,
IF($BC48=Lookup!$A$4,BH48*$BD48+1,"Error")))</f>
        <v>1</v>
      </c>
      <c r="BQ48" s="229">
        <f>IF($BC48=Lookup!$A$2,$BD48*ROUNDUP(BI48/10,0)+1,
IF($BC48=Lookup!$A$3,($BD48+1)^BH48,
IF($BC48=Lookup!$A$4,BI48*$BD48+1,"Error")))</f>
        <v>1</v>
      </c>
      <c r="BR48" s="229">
        <f>IF($BC48=Lookup!$A$2,$BD48*ROUNDUP(BJ48/10,0)+1,
IF($BC48=Lookup!$A$3,($BD48+1)^BI48,
IF($BC48=Lookup!$A$4,BJ48*$BD48+1,"Error")))</f>
        <v>1</v>
      </c>
      <c r="BS48" s="229">
        <f>IF($BC48=Lookup!$A$2,$BD48*ROUNDUP(BK48/10,0)+1,
IF($BC48=Lookup!$A$3,($BD48+1)^BJ48,
IF($BC48=Lookup!$A$4,BK48*$BD48+1,"Error")))</f>
        <v>1</v>
      </c>
      <c r="BT48" s="249">
        <f>IF($BC48=Lookup!$A$2,$BD48*ROUNDUP(BL48/10,0)+1,
IF($BC48=Lookup!$A$3,($BD48+1)^BK48,
IF($BC48=Lookup!$A$4,BL48*$BD48+1,"Error")))</f>
        <v>1</v>
      </c>
      <c r="BU48" s="398">
        <v>0</v>
      </c>
      <c r="BV48" s="356">
        <v>0</v>
      </c>
      <c r="BW48" s="356">
        <v>0</v>
      </c>
      <c r="BX48" s="356">
        <v>0</v>
      </c>
      <c r="BY48" s="356">
        <v>0</v>
      </c>
      <c r="BZ48" s="356">
        <v>0</v>
      </c>
      <c r="CA48" s="356">
        <v>0</v>
      </c>
      <c r="CB48" s="399">
        <v>0</v>
      </c>
      <c r="CC48" s="382" t="s">
        <v>293</v>
      </c>
      <c r="CD48" s="383">
        <f>HLOOKUP($CC48,$AK$6:$AM$132,ROWS(CD$6:CD48),0)</f>
        <v>0</v>
      </c>
      <c r="CE48" s="362">
        <f t="shared" si="29"/>
        <v>0</v>
      </c>
      <c r="CF48" s="363">
        <f t="shared" si="29"/>
        <v>0</v>
      </c>
      <c r="CG48" s="363">
        <f t="shared" si="29"/>
        <v>0</v>
      </c>
      <c r="CH48" s="363">
        <f t="shared" si="29"/>
        <v>0</v>
      </c>
      <c r="CI48" s="363">
        <f t="shared" si="50"/>
        <v>0</v>
      </c>
      <c r="CJ48" s="363">
        <f t="shared" si="50"/>
        <v>0</v>
      </c>
      <c r="CK48" s="363">
        <f t="shared" si="50"/>
        <v>0</v>
      </c>
      <c r="CL48" s="364">
        <f t="shared" si="50"/>
        <v>0</v>
      </c>
      <c r="CM48" s="305" t="s">
        <v>292</v>
      </c>
      <c r="CN48" s="315">
        <v>0.05</v>
      </c>
      <c r="CO48" s="306"/>
      <c r="CP48" s="307" t="str">
        <f>IF($CO48&lt;&gt;"",$CO48,HLOOKUP($CM48,$AY$6:$BA$132,ROWS(CP$6:CP48),0))</f>
        <v/>
      </c>
      <c r="CQ48" s="784" t="str">
        <f t="shared" si="49"/>
        <v/>
      </c>
      <c r="CR48" s="784" t="str">
        <f t="shared" si="49"/>
        <v/>
      </c>
      <c r="CS48" s="97" t="str">
        <f t="shared" si="49"/>
        <v/>
      </c>
      <c r="CT48" s="97" t="str">
        <f t="shared" si="49"/>
        <v/>
      </c>
      <c r="CU48" s="97" t="str">
        <f t="shared" si="49"/>
        <v/>
      </c>
      <c r="CV48" s="97" t="str">
        <f t="shared" si="49"/>
        <v/>
      </c>
      <c r="CW48" s="97" t="str">
        <f t="shared" si="49"/>
        <v/>
      </c>
      <c r="CX48" s="98" t="str">
        <f t="shared" si="32"/>
        <v/>
      </c>
    </row>
    <row r="49" spans="1:102" x14ac:dyDescent="0.25">
      <c r="A49" s="81" t="s">
        <v>94</v>
      </c>
      <c r="B49" s="82" t="s">
        <v>102</v>
      </c>
      <c r="C49" s="83" t="s">
        <v>323</v>
      </c>
      <c r="D49" s="84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  <c r="M49" s="654">
        <f>'2022-23 Input'!H49</f>
        <v>0</v>
      </c>
      <c r="N49" s="1065">
        <v>0</v>
      </c>
      <c r="O49" s="560">
        <f t="shared" si="27"/>
        <v>0</v>
      </c>
      <c r="P49" s="561">
        <f t="shared" si="0"/>
        <v>0</v>
      </c>
      <c r="Q49" s="561">
        <f t="shared" si="1"/>
        <v>0</v>
      </c>
      <c r="R49" s="561">
        <f t="shared" si="2"/>
        <v>0</v>
      </c>
      <c r="S49" s="561">
        <f t="shared" si="3"/>
        <v>0</v>
      </c>
      <c r="T49" s="561">
        <f t="shared" si="4"/>
        <v>0</v>
      </c>
      <c r="U49" s="561">
        <f t="shared" si="5"/>
        <v>0</v>
      </c>
      <c r="V49" s="561">
        <f t="shared" si="6"/>
        <v>0</v>
      </c>
      <c r="W49" s="675">
        <f t="shared" si="7"/>
        <v>0</v>
      </c>
      <c r="X49" s="675">
        <f t="shared" si="8"/>
        <v>0</v>
      </c>
      <c r="Y49" s="675">
        <f t="shared" si="8"/>
        <v>0</v>
      </c>
      <c r="Z49" s="125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097">
        <f>'2022-23 Input'!O49</f>
        <v>0</v>
      </c>
      <c r="AJ49" s="668">
        <v>0</v>
      </c>
      <c r="AK49" s="127">
        <f t="shared" si="33"/>
        <v>0</v>
      </c>
      <c r="AL49" s="128">
        <f t="shared" si="34"/>
        <v>0</v>
      </c>
      <c r="AM49" s="129">
        <f t="shared" si="35"/>
        <v>0</v>
      </c>
      <c r="AN49" s="91" t="str">
        <f t="shared" si="36"/>
        <v/>
      </c>
      <c r="AO49" s="92" t="str">
        <f t="shared" si="37"/>
        <v/>
      </c>
      <c r="AP49" s="92" t="str">
        <f t="shared" si="38"/>
        <v/>
      </c>
      <c r="AQ49" s="92" t="str">
        <f t="shared" si="39"/>
        <v/>
      </c>
      <c r="AR49" s="92" t="str">
        <f t="shared" si="40"/>
        <v/>
      </c>
      <c r="AS49" s="92" t="str">
        <f t="shared" si="41"/>
        <v/>
      </c>
      <c r="AT49" s="92" t="str">
        <f t="shared" si="42"/>
        <v/>
      </c>
      <c r="AU49" s="92" t="str">
        <f t="shared" si="43"/>
        <v/>
      </c>
      <c r="AV49" s="92" t="str">
        <f t="shared" si="44"/>
        <v/>
      </c>
      <c r="AW49" s="92" t="str">
        <f t="shared" si="44"/>
        <v/>
      </c>
      <c r="AX49" s="92" t="str">
        <f t="shared" si="44"/>
        <v/>
      </c>
      <c r="AY49" s="93" t="str">
        <f t="shared" si="45"/>
        <v/>
      </c>
      <c r="AZ49" s="94" t="str">
        <f t="shared" si="46"/>
        <v/>
      </c>
      <c r="BA49" s="95" t="str">
        <f t="shared" si="47"/>
        <v/>
      </c>
      <c r="BB49" s="248" t="s">
        <v>422</v>
      </c>
      <c r="BC49" s="229" t="s">
        <v>433</v>
      </c>
      <c r="BD49" s="249">
        <v>0</v>
      </c>
      <c r="BE49" s="267">
        <f t="shared" si="28"/>
        <v>0</v>
      </c>
      <c r="BF49" s="268">
        <f t="shared" si="48"/>
        <v>0</v>
      </c>
      <c r="BG49" s="268">
        <f t="shared" si="48"/>
        <v>0</v>
      </c>
      <c r="BH49" s="268">
        <f t="shared" si="48"/>
        <v>1</v>
      </c>
      <c r="BI49" s="268">
        <f t="shared" si="48"/>
        <v>2</v>
      </c>
      <c r="BJ49" s="268">
        <f t="shared" si="48"/>
        <v>3</v>
      </c>
      <c r="BK49" s="268">
        <f t="shared" si="48"/>
        <v>4</v>
      </c>
      <c r="BL49" s="269">
        <f t="shared" si="48"/>
        <v>5</v>
      </c>
      <c r="BM49" s="256">
        <f>IF($BC49=Lookup!$A$2,$BD49*ROUNDUP(BE49/10,0)+1,
IF($BC49=Lookup!$A$3,($BD49+1)^BD49,
IF($BC49=Lookup!$A$4,BE49*$BD49+1,"Error")))</f>
        <v>1</v>
      </c>
      <c r="BN49" s="229">
        <f>IF($BC49=Lookup!$A$2,$BD49*ROUNDUP(BF49/10,0)+1,
IF($BC49=Lookup!$A$3,($BD49+1)^BE49,
IF($BC49=Lookup!$A$4,BF49*$BD49+1,"Error")))</f>
        <v>1</v>
      </c>
      <c r="BO49" s="229">
        <f>IF($BC49=Lookup!$A$2,$BD49*ROUNDUP(BG49/10,0)+1,
IF($BC49=Lookup!$A$3,($BD49+1)^BF49,
IF($BC49=Lookup!$A$4,BG49*$BD49+1,"Error")))</f>
        <v>1</v>
      </c>
      <c r="BP49" s="229">
        <f>IF($BC49=Lookup!$A$2,$BD49*ROUNDUP(BH49/10,0)+1,
IF($BC49=Lookup!$A$3,($BD49+1)^BG49,
IF($BC49=Lookup!$A$4,BH49*$BD49+1,"Error")))</f>
        <v>1</v>
      </c>
      <c r="BQ49" s="229">
        <f>IF($BC49=Lookup!$A$2,$BD49*ROUNDUP(BI49/10,0)+1,
IF($BC49=Lookup!$A$3,($BD49+1)^BH49,
IF($BC49=Lookup!$A$4,BI49*$BD49+1,"Error")))</f>
        <v>1</v>
      </c>
      <c r="BR49" s="229">
        <f>IF($BC49=Lookup!$A$2,$BD49*ROUNDUP(BJ49/10,0)+1,
IF($BC49=Lookup!$A$3,($BD49+1)^BI49,
IF($BC49=Lookup!$A$4,BJ49*$BD49+1,"Error")))</f>
        <v>1</v>
      </c>
      <c r="BS49" s="229">
        <f>IF($BC49=Lookup!$A$2,$BD49*ROUNDUP(BK49/10,0)+1,
IF($BC49=Lookup!$A$3,($BD49+1)^BJ49,
IF($BC49=Lookup!$A$4,BK49*$BD49+1,"Error")))</f>
        <v>1</v>
      </c>
      <c r="BT49" s="249">
        <f>IF($BC49=Lookup!$A$2,$BD49*ROUNDUP(BL49/10,0)+1,
IF($BC49=Lookup!$A$3,($BD49+1)^BK49,
IF($BC49=Lookup!$A$4,BL49*$BD49+1,"Error")))</f>
        <v>1</v>
      </c>
      <c r="BU49" s="398">
        <v>0</v>
      </c>
      <c r="BV49" s="356">
        <v>0</v>
      </c>
      <c r="BW49" s="356">
        <v>0</v>
      </c>
      <c r="BX49" s="356">
        <v>0</v>
      </c>
      <c r="BY49" s="356">
        <v>0</v>
      </c>
      <c r="BZ49" s="356">
        <v>0</v>
      </c>
      <c r="CA49" s="356">
        <v>0</v>
      </c>
      <c r="CB49" s="399">
        <v>0</v>
      </c>
      <c r="CC49" s="382" t="s">
        <v>293</v>
      </c>
      <c r="CD49" s="383">
        <f>HLOOKUP($CC49,$AK$6:$AM$132,ROWS(CD$6:CD49),0)</f>
        <v>0</v>
      </c>
      <c r="CE49" s="362">
        <f t="shared" si="29"/>
        <v>0</v>
      </c>
      <c r="CF49" s="363">
        <f t="shared" si="29"/>
        <v>0</v>
      </c>
      <c r="CG49" s="363">
        <f t="shared" si="29"/>
        <v>0</v>
      </c>
      <c r="CH49" s="363">
        <f t="shared" si="29"/>
        <v>0</v>
      </c>
      <c r="CI49" s="363">
        <f t="shared" si="50"/>
        <v>0</v>
      </c>
      <c r="CJ49" s="363">
        <f t="shared" si="50"/>
        <v>0</v>
      </c>
      <c r="CK49" s="363">
        <f t="shared" si="50"/>
        <v>0</v>
      </c>
      <c r="CL49" s="364">
        <f t="shared" si="50"/>
        <v>0</v>
      </c>
      <c r="CM49" s="305" t="s">
        <v>292</v>
      </c>
      <c r="CN49" s="315">
        <v>0.05</v>
      </c>
      <c r="CO49" s="306"/>
      <c r="CP49" s="307" t="str">
        <f>IF($CO49&lt;&gt;"",$CO49,HLOOKUP($CM49,$AY$6:$BA$132,ROWS(CP$6:CP49),0))</f>
        <v/>
      </c>
      <c r="CQ49" s="784" t="str">
        <f t="shared" si="49"/>
        <v/>
      </c>
      <c r="CR49" s="784" t="str">
        <f t="shared" si="49"/>
        <v/>
      </c>
      <c r="CS49" s="97" t="str">
        <f t="shared" si="49"/>
        <v/>
      </c>
      <c r="CT49" s="97" t="str">
        <f t="shared" si="49"/>
        <v/>
      </c>
      <c r="CU49" s="97" t="str">
        <f t="shared" si="49"/>
        <v/>
      </c>
      <c r="CV49" s="97" t="str">
        <f t="shared" si="49"/>
        <v/>
      </c>
      <c r="CW49" s="97" t="str">
        <f t="shared" si="49"/>
        <v/>
      </c>
      <c r="CX49" s="98" t="str">
        <f t="shared" si="32"/>
        <v/>
      </c>
    </row>
    <row r="50" spans="1:102" ht="15.75" thickBot="1" x14ac:dyDescent="0.3">
      <c r="A50" s="138" t="s">
        <v>94</v>
      </c>
      <c r="B50" s="139" t="s">
        <v>461</v>
      </c>
      <c r="C50" s="102" t="s">
        <v>325</v>
      </c>
      <c r="D50" s="103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655">
        <f>'2022-23 Input'!H50</f>
        <v>0</v>
      </c>
      <c r="N50" s="1066">
        <v>0</v>
      </c>
      <c r="O50" s="563">
        <f t="shared" si="27"/>
        <v>0</v>
      </c>
      <c r="P50" s="564">
        <f t="shared" si="0"/>
        <v>0</v>
      </c>
      <c r="Q50" s="564">
        <f t="shared" si="1"/>
        <v>0</v>
      </c>
      <c r="R50" s="564">
        <f t="shared" si="2"/>
        <v>0</v>
      </c>
      <c r="S50" s="564">
        <f t="shared" si="3"/>
        <v>0</v>
      </c>
      <c r="T50" s="564">
        <f t="shared" si="4"/>
        <v>0</v>
      </c>
      <c r="U50" s="564">
        <f t="shared" si="5"/>
        <v>0</v>
      </c>
      <c r="V50" s="564">
        <f t="shared" si="6"/>
        <v>0</v>
      </c>
      <c r="W50" s="676">
        <f t="shared" si="7"/>
        <v>0</v>
      </c>
      <c r="X50" s="676">
        <f t="shared" si="8"/>
        <v>0</v>
      </c>
      <c r="Y50" s="676">
        <f t="shared" si="8"/>
        <v>0</v>
      </c>
      <c r="Z50" s="131">
        <v>0</v>
      </c>
      <c r="AA50" s="132">
        <v>0</v>
      </c>
      <c r="AB50" s="132">
        <v>0</v>
      </c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098">
        <f>'2022-23 Input'!O50</f>
        <v>0</v>
      </c>
      <c r="AJ50" s="669">
        <v>0</v>
      </c>
      <c r="AK50" s="133">
        <f t="shared" si="33"/>
        <v>0</v>
      </c>
      <c r="AL50" s="134">
        <f t="shared" si="34"/>
        <v>0</v>
      </c>
      <c r="AM50" s="135">
        <f t="shared" si="35"/>
        <v>0</v>
      </c>
      <c r="AN50" s="110" t="str">
        <f t="shared" si="36"/>
        <v/>
      </c>
      <c r="AO50" s="111" t="str">
        <f t="shared" si="37"/>
        <v/>
      </c>
      <c r="AP50" s="111" t="str">
        <f t="shared" si="38"/>
        <v/>
      </c>
      <c r="AQ50" s="111" t="str">
        <f t="shared" si="39"/>
        <v/>
      </c>
      <c r="AR50" s="111" t="str">
        <f t="shared" si="40"/>
        <v/>
      </c>
      <c r="AS50" s="111" t="str">
        <f t="shared" si="41"/>
        <v/>
      </c>
      <c r="AT50" s="111" t="str">
        <f t="shared" si="42"/>
        <v/>
      </c>
      <c r="AU50" s="111" t="str">
        <f t="shared" si="43"/>
        <v/>
      </c>
      <c r="AV50" s="111" t="str">
        <f t="shared" si="44"/>
        <v/>
      </c>
      <c r="AW50" s="111" t="str">
        <f t="shared" si="44"/>
        <v/>
      </c>
      <c r="AX50" s="111" t="str">
        <f t="shared" si="44"/>
        <v/>
      </c>
      <c r="AY50" s="112" t="str">
        <f t="shared" si="45"/>
        <v/>
      </c>
      <c r="AZ50" s="113" t="str">
        <f t="shared" si="46"/>
        <v/>
      </c>
      <c r="BA50" s="114" t="str">
        <f t="shared" si="47"/>
        <v/>
      </c>
      <c r="BB50" s="250" t="s">
        <v>422</v>
      </c>
      <c r="BC50" s="230" t="s">
        <v>433</v>
      </c>
      <c r="BD50" s="251">
        <v>0</v>
      </c>
      <c r="BE50" s="270">
        <f t="shared" si="28"/>
        <v>0</v>
      </c>
      <c r="BF50" s="271">
        <f t="shared" si="48"/>
        <v>0</v>
      </c>
      <c r="BG50" s="271">
        <f t="shared" si="48"/>
        <v>0</v>
      </c>
      <c r="BH50" s="271">
        <f t="shared" si="48"/>
        <v>1</v>
      </c>
      <c r="BI50" s="271">
        <f t="shared" si="48"/>
        <v>2</v>
      </c>
      <c r="BJ50" s="271">
        <f t="shared" si="48"/>
        <v>3</v>
      </c>
      <c r="BK50" s="271">
        <f t="shared" si="48"/>
        <v>4</v>
      </c>
      <c r="BL50" s="272">
        <f t="shared" si="48"/>
        <v>5</v>
      </c>
      <c r="BM50" s="257">
        <f>IF($BC50=Lookup!$A$2,$BD50*ROUNDUP(BE50/10,0)+1,
IF($BC50=Lookup!$A$3,($BD50+1)^BD50,
IF($BC50=Lookup!$A$4,BE50*$BD50+1,"Error")))</f>
        <v>1</v>
      </c>
      <c r="BN50" s="230">
        <f>IF($BC50=Lookup!$A$2,$BD50*ROUNDUP(BF50/10,0)+1,
IF($BC50=Lookup!$A$3,($BD50+1)^BE50,
IF($BC50=Lookup!$A$4,BF50*$BD50+1,"Error")))</f>
        <v>1</v>
      </c>
      <c r="BO50" s="230">
        <f>IF($BC50=Lookup!$A$2,$BD50*ROUNDUP(BG50/10,0)+1,
IF($BC50=Lookup!$A$3,($BD50+1)^BF50,
IF($BC50=Lookup!$A$4,BG50*$BD50+1,"Error")))</f>
        <v>1</v>
      </c>
      <c r="BP50" s="230">
        <f>IF($BC50=Lookup!$A$2,$BD50*ROUNDUP(BH50/10,0)+1,
IF($BC50=Lookup!$A$3,($BD50+1)^BG50,
IF($BC50=Lookup!$A$4,BH50*$BD50+1,"Error")))</f>
        <v>1</v>
      </c>
      <c r="BQ50" s="230">
        <f>IF($BC50=Lookup!$A$2,$BD50*ROUNDUP(BI50/10,0)+1,
IF($BC50=Lookup!$A$3,($BD50+1)^BH50,
IF($BC50=Lookup!$A$4,BI50*$BD50+1,"Error")))</f>
        <v>1</v>
      </c>
      <c r="BR50" s="230">
        <f>IF($BC50=Lookup!$A$2,$BD50*ROUNDUP(BJ50/10,0)+1,
IF($BC50=Lookup!$A$3,($BD50+1)^BI50,
IF($BC50=Lookup!$A$4,BJ50*$BD50+1,"Error")))</f>
        <v>1</v>
      </c>
      <c r="BS50" s="230">
        <f>IF($BC50=Lookup!$A$2,$BD50*ROUNDUP(BK50/10,0)+1,
IF($BC50=Lookup!$A$3,($BD50+1)^BJ50,
IF($BC50=Lookup!$A$4,BK50*$BD50+1,"Error")))</f>
        <v>1</v>
      </c>
      <c r="BT50" s="251">
        <f>IF($BC50=Lookup!$A$2,$BD50*ROUNDUP(BL50/10,0)+1,
IF($BC50=Lookup!$A$3,($BD50+1)^BK50,
IF($BC50=Lookup!$A$4,BL50*$BD50+1,"Error")))</f>
        <v>1</v>
      </c>
      <c r="BU50" s="400">
        <v>0</v>
      </c>
      <c r="BV50" s="358">
        <v>0</v>
      </c>
      <c r="BW50" s="358">
        <v>0</v>
      </c>
      <c r="BX50" s="358">
        <v>0</v>
      </c>
      <c r="BY50" s="358">
        <v>0</v>
      </c>
      <c r="BZ50" s="358">
        <v>0</v>
      </c>
      <c r="CA50" s="358">
        <v>0</v>
      </c>
      <c r="CB50" s="401">
        <v>0</v>
      </c>
      <c r="CC50" s="384" t="s">
        <v>293</v>
      </c>
      <c r="CD50" s="385">
        <f>HLOOKUP($CC50,$AK$6:$AM$132,ROWS(CD$6:CD50),0)</f>
        <v>0</v>
      </c>
      <c r="CE50" s="365">
        <f t="shared" si="29"/>
        <v>0</v>
      </c>
      <c r="CF50" s="366">
        <f t="shared" si="29"/>
        <v>0</v>
      </c>
      <c r="CG50" s="366">
        <f t="shared" si="29"/>
        <v>0</v>
      </c>
      <c r="CH50" s="366">
        <f t="shared" si="29"/>
        <v>0</v>
      </c>
      <c r="CI50" s="366">
        <f t="shared" si="50"/>
        <v>0</v>
      </c>
      <c r="CJ50" s="366">
        <f t="shared" si="50"/>
        <v>0</v>
      </c>
      <c r="CK50" s="366">
        <f t="shared" si="50"/>
        <v>0</v>
      </c>
      <c r="CL50" s="367">
        <f t="shared" si="50"/>
        <v>0</v>
      </c>
      <c r="CM50" s="308" t="s">
        <v>292</v>
      </c>
      <c r="CN50" s="316">
        <v>0.05</v>
      </c>
      <c r="CO50" s="309"/>
      <c r="CP50" s="310" t="str">
        <f>IF($CO50&lt;&gt;"",$CO50,HLOOKUP($CM50,$AY$6:$BA$132,ROWS(CP$6:CP50),0))</f>
        <v/>
      </c>
      <c r="CQ50" s="785" t="str">
        <f t="shared" si="49"/>
        <v/>
      </c>
      <c r="CR50" s="785" t="str">
        <f t="shared" si="49"/>
        <v/>
      </c>
      <c r="CS50" s="117" t="str">
        <f t="shared" si="49"/>
        <v/>
      </c>
      <c r="CT50" s="117" t="str">
        <f t="shared" si="49"/>
        <v/>
      </c>
      <c r="CU50" s="117" t="str">
        <f t="shared" si="49"/>
        <v/>
      </c>
      <c r="CV50" s="117" t="str">
        <f t="shared" si="49"/>
        <v/>
      </c>
      <c r="CW50" s="117" t="str">
        <f t="shared" si="49"/>
        <v/>
      </c>
      <c r="CX50" s="118" t="str">
        <f t="shared" si="32"/>
        <v/>
      </c>
    </row>
    <row r="51" spans="1:102" x14ac:dyDescent="0.25">
      <c r="A51" s="63" t="s">
        <v>106</v>
      </c>
      <c r="B51" s="64" t="s">
        <v>103</v>
      </c>
      <c r="C51" s="65" t="s">
        <v>326</v>
      </c>
      <c r="D51" s="66">
        <v>0</v>
      </c>
      <c r="E51" s="67">
        <v>50244.029420225685</v>
      </c>
      <c r="F51" s="67">
        <v>86917.458928273278</v>
      </c>
      <c r="G51" s="67">
        <v>305635.08868367219</v>
      </c>
      <c r="H51" s="67">
        <v>449088.65023229772</v>
      </c>
      <c r="I51" s="67">
        <v>609499.22300557583</v>
      </c>
      <c r="J51" s="67">
        <v>1287833.511429661</v>
      </c>
      <c r="K51" s="67">
        <v>0</v>
      </c>
      <c r="L51" s="67">
        <v>-116905.89266779201</v>
      </c>
      <c r="M51" s="653">
        <f>'2022-23 Input'!H51</f>
        <v>0</v>
      </c>
      <c r="N51" s="1064">
        <v>49575.010762590013</v>
      </c>
      <c r="O51" s="557">
        <f t="shared" si="27"/>
        <v>0</v>
      </c>
      <c r="P51" s="558">
        <f t="shared" si="0"/>
        <v>66594.990281031249</v>
      </c>
      <c r="Q51" s="558">
        <f t="shared" si="1"/>
        <v>114036.20569237972</v>
      </c>
      <c r="R51" s="558">
        <f t="shared" si="2"/>
        <v>393388.04197444551</v>
      </c>
      <c r="S51" s="558">
        <f t="shared" si="3"/>
        <v>566264.32116548496</v>
      </c>
      <c r="T51" s="558">
        <f t="shared" si="4"/>
        <v>756478.92110789835</v>
      </c>
      <c r="U51" s="558">
        <f t="shared" si="5"/>
        <v>1603981.1507564124</v>
      </c>
      <c r="V51" s="558">
        <f t="shared" si="6"/>
        <v>0</v>
      </c>
      <c r="W51" s="674">
        <f t="shared" si="7"/>
        <v>-132095.15193724522</v>
      </c>
      <c r="X51" s="674">
        <f t="shared" si="8"/>
        <v>0</v>
      </c>
      <c r="Y51" s="674">
        <f t="shared" si="8"/>
        <v>50938.248170637256</v>
      </c>
      <c r="Z51" s="68">
        <v>0</v>
      </c>
      <c r="AA51" s="69">
        <v>23</v>
      </c>
      <c r="AB51" s="69">
        <v>6</v>
      </c>
      <c r="AC51" s="69">
        <v>271</v>
      </c>
      <c r="AD51" s="69">
        <v>377</v>
      </c>
      <c r="AE51" s="69">
        <v>672.41998742100009</v>
      </c>
      <c r="AF51" s="69">
        <v>1561.8048485960003</v>
      </c>
      <c r="AG51" s="69">
        <v>0</v>
      </c>
      <c r="AH51" s="69">
        <v>290.03999109199998</v>
      </c>
      <c r="AI51" s="1093">
        <f>'2022-23 Input'!O51</f>
        <v>0</v>
      </c>
      <c r="AJ51" s="664">
        <v>61.5</v>
      </c>
      <c r="AK51" s="121">
        <f t="shared" si="33"/>
        <v>504.85296542180015</v>
      </c>
      <c r="AL51" s="122">
        <f t="shared" si="34"/>
        <v>96.679997030666655</v>
      </c>
      <c r="AM51" s="123">
        <f t="shared" si="35"/>
        <v>0</v>
      </c>
      <c r="AN51" s="73" t="str">
        <f t="shared" si="36"/>
        <v/>
      </c>
      <c r="AO51" s="74">
        <f t="shared" si="37"/>
        <v>2184.5230182706819</v>
      </c>
      <c r="AP51" s="74">
        <f t="shared" si="38"/>
        <v>14486.243154712212</v>
      </c>
      <c r="AQ51" s="74">
        <f t="shared" si="39"/>
        <v>1127.8047552903033</v>
      </c>
      <c r="AR51" s="74">
        <f t="shared" si="40"/>
        <v>1191.2165788655111</v>
      </c>
      <c r="AS51" s="74">
        <f t="shared" si="41"/>
        <v>906.42639184960785</v>
      </c>
      <c r="AT51" s="74">
        <f t="shared" si="42"/>
        <v>824.58030053330378</v>
      </c>
      <c r="AU51" s="74" t="str">
        <f t="shared" si="43"/>
        <v/>
      </c>
      <c r="AV51" s="74">
        <f t="shared" si="44"/>
        <v>-403.0681845894477</v>
      </c>
      <c r="AW51" s="74" t="str">
        <f t="shared" si="44"/>
        <v/>
      </c>
      <c r="AX51" s="74">
        <f t="shared" si="44"/>
        <v>806.0977359770734</v>
      </c>
      <c r="AY51" s="75">
        <f t="shared" si="45"/>
        <v>705.32490198603239</v>
      </c>
      <c r="AZ51" s="76">
        <f t="shared" si="46"/>
        <v>-403.0681845894477</v>
      </c>
      <c r="BA51" s="77" t="str">
        <f t="shared" si="47"/>
        <v/>
      </c>
      <c r="BB51" s="246" t="s">
        <v>422</v>
      </c>
      <c r="BC51" s="228" t="s">
        <v>433</v>
      </c>
      <c r="BD51" s="247">
        <v>0</v>
      </c>
      <c r="BE51" s="264">
        <f t="shared" si="28"/>
        <v>0</v>
      </c>
      <c r="BF51" s="265">
        <f t="shared" si="48"/>
        <v>0</v>
      </c>
      <c r="BG51" s="265">
        <f t="shared" si="48"/>
        <v>0</v>
      </c>
      <c r="BH51" s="265">
        <f t="shared" si="48"/>
        <v>1</v>
      </c>
      <c r="BI51" s="265">
        <f t="shared" si="48"/>
        <v>2</v>
      </c>
      <c r="BJ51" s="265">
        <f t="shared" si="48"/>
        <v>3</v>
      </c>
      <c r="BK51" s="265">
        <f t="shared" si="48"/>
        <v>4</v>
      </c>
      <c r="BL51" s="266">
        <f t="shared" si="48"/>
        <v>5</v>
      </c>
      <c r="BM51" s="255">
        <f>IF($BC51=Lookup!$A$2,$BD51*ROUNDUP(BE51/10,0)+1,
IF($BC51=Lookup!$A$3,($BD51+1)^BD51,
IF($BC51=Lookup!$A$4,BE51*$BD51+1,"Error")))</f>
        <v>1</v>
      </c>
      <c r="BN51" s="228">
        <f>IF($BC51=Lookup!$A$2,$BD51*ROUNDUP(BF51/10,0)+1,
IF($BC51=Lookup!$A$3,($BD51+1)^BE51,
IF($BC51=Lookup!$A$4,BF51*$BD51+1,"Error")))</f>
        <v>1</v>
      </c>
      <c r="BO51" s="228">
        <f>IF($BC51=Lookup!$A$2,$BD51*ROUNDUP(BG51/10,0)+1,
IF($BC51=Lookup!$A$3,($BD51+1)^BF51,
IF($BC51=Lookup!$A$4,BG51*$BD51+1,"Error")))</f>
        <v>1</v>
      </c>
      <c r="BP51" s="228">
        <f>IF($BC51=Lookup!$A$2,$BD51*ROUNDUP(BH51/10,0)+1,
IF($BC51=Lookup!$A$3,($BD51+1)^BG51,
IF($BC51=Lookup!$A$4,BH51*$BD51+1,"Error")))</f>
        <v>1</v>
      </c>
      <c r="BQ51" s="228">
        <f>IF($BC51=Lookup!$A$2,$BD51*ROUNDUP(BI51/10,0)+1,
IF($BC51=Lookup!$A$3,($BD51+1)^BH51,
IF($BC51=Lookup!$A$4,BI51*$BD51+1,"Error")))</f>
        <v>1</v>
      </c>
      <c r="BR51" s="228">
        <f>IF($BC51=Lookup!$A$2,$BD51*ROUNDUP(BJ51/10,0)+1,
IF($BC51=Lookup!$A$3,($BD51+1)^BI51,
IF($BC51=Lookup!$A$4,BJ51*$BD51+1,"Error")))</f>
        <v>1</v>
      </c>
      <c r="BS51" s="228">
        <f>IF($BC51=Lookup!$A$2,$BD51*ROUNDUP(BK51/10,0)+1,
IF($BC51=Lookup!$A$3,($BD51+1)^BJ51,
IF($BC51=Lookup!$A$4,BK51*$BD51+1,"Error")))</f>
        <v>1</v>
      </c>
      <c r="BT51" s="247">
        <f>IF($BC51=Lookup!$A$2,$BD51*ROUNDUP(BL51/10,0)+1,
IF($BC51=Lookup!$A$3,($BD51+1)^BK51,
IF($BC51=Lookup!$A$4,BL51*$BD51+1,"Error")))</f>
        <v>1</v>
      </c>
      <c r="BU51" s="318">
        <v>0</v>
      </c>
      <c r="BV51" s="319">
        <v>0</v>
      </c>
      <c r="BW51" s="319">
        <v>0</v>
      </c>
      <c r="BX51" s="319">
        <v>0</v>
      </c>
      <c r="BY51" s="319">
        <v>0</v>
      </c>
      <c r="BZ51" s="319">
        <v>0</v>
      </c>
      <c r="CA51" s="319">
        <v>0</v>
      </c>
      <c r="CB51" s="276">
        <v>0</v>
      </c>
      <c r="CC51" s="380" t="s">
        <v>293</v>
      </c>
      <c r="CD51" s="381">
        <f>HLOOKUP($CC51,$AK$6:$AM$132,ROWS(CD$6:CD51),0)</f>
        <v>96.679997030666655</v>
      </c>
      <c r="CE51" s="233">
        <f t="shared" si="29"/>
        <v>0</v>
      </c>
      <c r="CF51" s="78">
        <f t="shared" si="29"/>
        <v>0</v>
      </c>
      <c r="CG51" s="78">
        <f t="shared" si="29"/>
        <v>0</v>
      </c>
      <c r="CH51" s="78">
        <f t="shared" si="29"/>
        <v>0</v>
      </c>
      <c r="CI51" s="78">
        <f t="shared" si="50"/>
        <v>0</v>
      </c>
      <c r="CJ51" s="78">
        <f t="shared" si="50"/>
        <v>0</v>
      </c>
      <c r="CK51" s="78">
        <f t="shared" si="50"/>
        <v>0</v>
      </c>
      <c r="CL51" s="285">
        <f t="shared" si="50"/>
        <v>0</v>
      </c>
      <c r="CM51" s="302" t="s">
        <v>292</v>
      </c>
      <c r="CN51" s="314">
        <v>0.05</v>
      </c>
      <c r="CO51" s="303"/>
      <c r="CP51" s="304">
        <f>IF($CO51&lt;&gt;"",$CO51,HLOOKUP($CM51,$AY$6:$BA$132,ROWS(CP$6:CP51),0))</f>
        <v>705.32490198603239</v>
      </c>
      <c r="CQ51" s="783">
        <f t="shared" si="49"/>
        <v>0</v>
      </c>
      <c r="CR51" s="783">
        <f t="shared" si="49"/>
        <v>0</v>
      </c>
      <c r="CS51" s="79">
        <f t="shared" si="49"/>
        <v>0</v>
      </c>
      <c r="CT51" s="79">
        <f t="shared" si="49"/>
        <v>0</v>
      </c>
      <c r="CU51" s="79">
        <f t="shared" si="49"/>
        <v>0</v>
      </c>
      <c r="CV51" s="79">
        <f t="shared" si="49"/>
        <v>0</v>
      </c>
      <c r="CW51" s="79">
        <f t="shared" si="49"/>
        <v>0</v>
      </c>
      <c r="CX51" s="80">
        <f t="shared" si="32"/>
        <v>0</v>
      </c>
    </row>
    <row r="52" spans="1:102" x14ac:dyDescent="0.25">
      <c r="A52" s="81" t="s">
        <v>106</v>
      </c>
      <c r="B52" s="82" t="s">
        <v>107</v>
      </c>
      <c r="C52" s="83" t="s">
        <v>328</v>
      </c>
      <c r="D52" s="84">
        <v>0</v>
      </c>
      <c r="E52" s="85">
        <v>12009.101725870521</v>
      </c>
      <c r="F52" s="85">
        <v>23103.426031593142</v>
      </c>
      <c r="G52" s="85">
        <v>201580.94990725373</v>
      </c>
      <c r="H52" s="85">
        <v>349374.21285062836</v>
      </c>
      <c r="I52" s="85">
        <v>0</v>
      </c>
      <c r="J52" s="85">
        <v>0</v>
      </c>
      <c r="K52" s="85">
        <v>1662250.2159603448</v>
      </c>
      <c r="L52" s="85">
        <v>0</v>
      </c>
      <c r="M52" s="654">
        <f>'2022-23 Input'!H52</f>
        <v>0</v>
      </c>
      <c r="N52" s="1065">
        <v>24248.282300400009</v>
      </c>
      <c r="O52" s="560">
        <f t="shared" si="27"/>
        <v>0</v>
      </c>
      <c r="P52" s="561">
        <f t="shared" si="0"/>
        <v>15917.234782852151</v>
      </c>
      <c r="Q52" s="561">
        <f t="shared" si="1"/>
        <v>30311.827745811159</v>
      </c>
      <c r="R52" s="561">
        <f t="shared" si="2"/>
        <v>259458.21706825416</v>
      </c>
      <c r="S52" s="561">
        <f t="shared" si="3"/>
        <v>440532.51261249202</v>
      </c>
      <c r="T52" s="561">
        <f t="shared" si="4"/>
        <v>0</v>
      </c>
      <c r="U52" s="561">
        <f t="shared" si="5"/>
        <v>0</v>
      </c>
      <c r="V52" s="561">
        <f t="shared" si="6"/>
        <v>1993634.4070194932</v>
      </c>
      <c r="W52" s="675">
        <f t="shared" si="7"/>
        <v>0</v>
      </c>
      <c r="X52" s="675">
        <f t="shared" si="8"/>
        <v>0</v>
      </c>
      <c r="Y52" s="675">
        <f t="shared" si="8"/>
        <v>24915.073189686911</v>
      </c>
      <c r="Z52" s="86">
        <v>0</v>
      </c>
      <c r="AA52" s="87">
        <v>6</v>
      </c>
      <c r="AB52" s="87">
        <v>2</v>
      </c>
      <c r="AC52" s="87">
        <v>118</v>
      </c>
      <c r="AD52" s="87">
        <v>209</v>
      </c>
      <c r="AE52" s="87">
        <v>0</v>
      </c>
      <c r="AF52" s="87">
        <v>0</v>
      </c>
      <c r="AG52" s="87">
        <v>230.15152803999919</v>
      </c>
      <c r="AH52" s="87">
        <v>0</v>
      </c>
      <c r="AI52" s="1094">
        <f>'2022-23 Input'!O52</f>
        <v>0</v>
      </c>
      <c r="AJ52" s="665">
        <v>1.8939394949999999</v>
      </c>
      <c r="AK52" s="127">
        <f t="shared" si="33"/>
        <v>46.030305607999836</v>
      </c>
      <c r="AL52" s="128">
        <f t="shared" si="34"/>
        <v>76.717176013333059</v>
      </c>
      <c r="AM52" s="129">
        <f t="shared" si="35"/>
        <v>0</v>
      </c>
      <c r="AN52" s="91" t="str">
        <f t="shared" si="36"/>
        <v/>
      </c>
      <c r="AO52" s="92">
        <f t="shared" si="37"/>
        <v>2001.5169543117536</v>
      </c>
      <c r="AP52" s="92">
        <f t="shared" si="38"/>
        <v>11551.713015796571</v>
      </c>
      <c r="AQ52" s="92">
        <f t="shared" si="39"/>
        <v>1708.313134807235</v>
      </c>
      <c r="AR52" s="92">
        <f t="shared" si="40"/>
        <v>1671.6469514384132</v>
      </c>
      <c r="AS52" s="92" t="str">
        <f t="shared" si="41"/>
        <v/>
      </c>
      <c r="AT52" s="92" t="str">
        <f t="shared" si="42"/>
        <v/>
      </c>
      <c r="AU52" s="92">
        <f t="shared" si="43"/>
        <v>7222.4165970840477</v>
      </c>
      <c r="AV52" s="92" t="str">
        <f t="shared" si="44"/>
        <v/>
      </c>
      <c r="AW52" s="92" t="str">
        <f t="shared" si="44"/>
        <v/>
      </c>
      <c r="AX52" s="92">
        <f t="shared" si="44"/>
        <v>12803.092371438197</v>
      </c>
      <c r="AY52" s="93">
        <f t="shared" si="45"/>
        <v>7222.4165970840477</v>
      </c>
      <c r="AZ52" s="94">
        <f t="shared" si="46"/>
        <v>7222.4165970840477</v>
      </c>
      <c r="BA52" s="95" t="str">
        <f t="shared" si="47"/>
        <v/>
      </c>
      <c r="BB52" s="248" t="s">
        <v>422</v>
      </c>
      <c r="BC52" s="229" t="s">
        <v>433</v>
      </c>
      <c r="BD52" s="249">
        <v>0</v>
      </c>
      <c r="BE52" s="267">
        <f t="shared" si="28"/>
        <v>0</v>
      </c>
      <c r="BF52" s="268">
        <f t="shared" si="48"/>
        <v>0</v>
      </c>
      <c r="BG52" s="268">
        <f t="shared" si="48"/>
        <v>0</v>
      </c>
      <c r="BH52" s="268">
        <f t="shared" si="48"/>
        <v>1</v>
      </c>
      <c r="BI52" s="268">
        <f t="shared" si="48"/>
        <v>2</v>
      </c>
      <c r="BJ52" s="268">
        <f t="shared" si="48"/>
        <v>3</v>
      </c>
      <c r="BK52" s="268">
        <f t="shared" si="48"/>
        <v>4</v>
      </c>
      <c r="BL52" s="269">
        <f t="shared" si="48"/>
        <v>5</v>
      </c>
      <c r="BM52" s="256">
        <f>IF($BC52=Lookup!$A$2,$BD52*ROUNDUP(BE52/10,0)+1,
IF($BC52=Lookup!$A$3,($BD52+1)^BD52,
IF($BC52=Lookup!$A$4,BE52*$BD52+1,"Error")))</f>
        <v>1</v>
      </c>
      <c r="BN52" s="229">
        <f>IF($BC52=Lookup!$A$2,$BD52*ROUNDUP(BF52/10,0)+1,
IF($BC52=Lookup!$A$3,($BD52+1)^BE52,
IF($BC52=Lookup!$A$4,BF52*$BD52+1,"Error")))</f>
        <v>1</v>
      </c>
      <c r="BO52" s="229">
        <f>IF($BC52=Lookup!$A$2,$BD52*ROUNDUP(BG52/10,0)+1,
IF($BC52=Lookup!$A$3,($BD52+1)^BF52,
IF($BC52=Lookup!$A$4,BG52*$BD52+1,"Error")))</f>
        <v>1</v>
      </c>
      <c r="BP52" s="229">
        <f>IF($BC52=Lookup!$A$2,$BD52*ROUNDUP(BH52/10,0)+1,
IF($BC52=Lookup!$A$3,($BD52+1)^BG52,
IF($BC52=Lookup!$A$4,BH52*$BD52+1,"Error")))</f>
        <v>1</v>
      </c>
      <c r="BQ52" s="229">
        <f>IF($BC52=Lookup!$A$2,$BD52*ROUNDUP(BI52/10,0)+1,
IF($BC52=Lookup!$A$3,($BD52+1)^BH52,
IF($BC52=Lookup!$A$4,BI52*$BD52+1,"Error")))</f>
        <v>1</v>
      </c>
      <c r="BR52" s="229">
        <f>IF($BC52=Lookup!$A$2,$BD52*ROUNDUP(BJ52/10,0)+1,
IF($BC52=Lookup!$A$3,($BD52+1)^BI52,
IF($BC52=Lookup!$A$4,BJ52*$BD52+1,"Error")))</f>
        <v>1</v>
      </c>
      <c r="BS52" s="229">
        <f>IF($BC52=Lookup!$A$2,$BD52*ROUNDUP(BK52/10,0)+1,
IF($BC52=Lookup!$A$3,($BD52+1)^BJ52,
IF($BC52=Lookup!$A$4,BK52*$BD52+1,"Error")))</f>
        <v>1</v>
      </c>
      <c r="BT52" s="249">
        <f>IF($BC52=Lookup!$A$2,$BD52*ROUNDUP(BL52/10,0)+1,
IF($BC52=Lookup!$A$3,($BD52+1)^BK52,
IF($BC52=Lookup!$A$4,BL52*$BD52+1,"Error")))</f>
        <v>1</v>
      </c>
      <c r="BU52" s="320">
        <v>0</v>
      </c>
      <c r="BV52" s="321">
        <v>0</v>
      </c>
      <c r="BW52" s="321">
        <v>0</v>
      </c>
      <c r="BX52" s="321">
        <v>0</v>
      </c>
      <c r="BY52" s="321">
        <v>0</v>
      </c>
      <c r="BZ52" s="321">
        <v>0</v>
      </c>
      <c r="CA52" s="321">
        <v>0</v>
      </c>
      <c r="CB52" s="277">
        <v>0</v>
      </c>
      <c r="CC52" s="382" t="s">
        <v>293</v>
      </c>
      <c r="CD52" s="383">
        <f>HLOOKUP($CC52,$AK$6:$AM$132,ROWS(CD$6:CD52),0)</f>
        <v>76.717176013333059</v>
      </c>
      <c r="CE52" s="234">
        <f t="shared" si="29"/>
        <v>0</v>
      </c>
      <c r="CF52" s="96">
        <f t="shared" si="29"/>
        <v>0</v>
      </c>
      <c r="CG52" s="96">
        <f t="shared" si="29"/>
        <v>0</v>
      </c>
      <c r="CH52" s="96">
        <f t="shared" si="29"/>
        <v>0</v>
      </c>
      <c r="CI52" s="96">
        <f t="shared" si="50"/>
        <v>0</v>
      </c>
      <c r="CJ52" s="96">
        <f t="shared" si="50"/>
        <v>0</v>
      </c>
      <c r="CK52" s="96">
        <f t="shared" si="50"/>
        <v>0</v>
      </c>
      <c r="CL52" s="286">
        <f t="shared" si="50"/>
        <v>0</v>
      </c>
      <c r="CM52" s="305" t="s">
        <v>292</v>
      </c>
      <c r="CN52" s="315">
        <v>0.05</v>
      </c>
      <c r="CO52" s="306"/>
      <c r="CP52" s="307">
        <f>IF($CO52&lt;&gt;"",$CO52,HLOOKUP($CM52,$AY$6:$BA$132,ROWS(CP$6:CP52),0))</f>
        <v>7222.4165970840477</v>
      </c>
      <c r="CQ52" s="784">
        <f t="shared" si="49"/>
        <v>0</v>
      </c>
      <c r="CR52" s="784">
        <f t="shared" si="49"/>
        <v>0</v>
      </c>
      <c r="CS52" s="97">
        <f t="shared" si="49"/>
        <v>0</v>
      </c>
      <c r="CT52" s="97">
        <f t="shared" si="49"/>
        <v>0</v>
      </c>
      <c r="CU52" s="97">
        <f t="shared" si="49"/>
        <v>0</v>
      </c>
      <c r="CV52" s="97">
        <f t="shared" si="49"/>
        <v>0</v>
      </c>
      <c r="CW52" s="97">
        <f t="shared" si="49"/>
        <v>0</v>
      </c>
      <c r="CX52" s="98">
        <f t="shared" si="32"/>
        <v>0</v>
      </c>
    </row>
    <row r="53" spans="1:102" x14ac:dyDescent="0.25">
      <c r="A53" s="81" t="s">
        <v>106</v>
      </c>
      <c r="B53" s="82" t="s">
        <v>109</v>
      </c>
      <c r="C53" s="83" t="s">
        <v>329</v>
      </c>
      <c r="D53" s="84">
        <v>0</v>
      </c>
      <c r="E53" s="85">
        <v>0</v>
      </c>
      <c r="F53" s="85">
        <v>0</v>
      </c>
      <c r="G53" s="85">
        <v>0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  <c r="M53" s="654">
        <f>'2022-23 Input'!H53</f>
        <v>0</v>
      </c>
      <c r="N53" s="1065">
        <v>0</v>
      </c>
      <c r="O53" s="560">
        <f t="shared" si="27"/>
        <v>0</v>
      </c>
      <c r="P53" s="561">
        <f t="shared" si="0"/>
        <v>0</v>
      </c>
      <c r="Q53" s="561">
        <f t="shared" si="1"/>
        <v>0</v>
      </c>
      <c r="R53" s="561">
        <f t="shared" si="2"/>
        <v>0</v>
      </c>
      <c r="S53" s="561">
        <f t="shared" si="3"/>
        <v>0</v>
      </c>
      <c r="T53" s="561">
        <f t="shared" si="4"/>
        <v>0</v>
      </c>
      <c r="U53" s="561">
        <f t="shared" si="5"/>
        <v>0</v>
      </c>
      <c r="V53" s="561">
        <f t="shared" si="6"/>
        <v>0</v>
      </c>
      <c r="W53" s="675">
        <f t="shared" si="7"/>
        <v>0</v>
      </c>
      <c r="X53" s="675">
        <f t="shared" si="8"/>
        <v>0</v>
      </c>
      <c r="Y53" s="675">
        <f t="shared" si="8"/>
        <v>0</v>
      </c>
      <c r="Z53" s="86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1094">
        <f>'2022-23 Input'!O53</f>
        <v>0</v>
      </c>
      <c r="AJ53" s="665">
        <v>0</v>
      </c>
      <c r="AK53" s="127">
        <f t="shared" si="33"/>
        <v>0</v>
      </c>
      <c r="AL53" s="128">
        <f t="shared" si="34"/>
        <v>0</v>
      </c>
      <c r="AM53" s="129">
        <f t="shared" si="35"/>
        <v>0</v>
      </c>
      <c r="AN53" s="91" t="str">
        <f t="shared" si="36"/>
        <v/>
      </c>
      <c r="AO53" s="92" t="str">
        <f t="shared" si="37"/>
        <v/>
      </c>
      <c r="AP53" s="92" t="str">
        <f t="shared" si="38"/>
        <v/>
      </c>
      <c r="AQ53" s="92" t="str">
        <f t="shared" si="39"/>
        <v/>
      </c>
      <c r="AR53" s="92" t="str">
        <f t="shared" si="40"/>
        <v/>
      </c>
      <c r="AS53" s="92" t="str">
        <f t="shared" si="41"/>
        <v/>
      </c>
      <c r="AT53" s="92" t="str">
        <f t="shared" si="42"/>
        <v/>
      </c>
      <c r="AU53" s="92" t="str">
        <f t="shared" si="43"/>
        <v/>
      </c>
      <c r="AV53" s="92" t="str">
        <f t="shared" si="44"/>
        <v/>
      </c>
      <c r="AW53" s="92" t="str">
        <f t="shared" si="44"/>
        <v/>
      </c>
      <c r="AX53" s="92" t="str">
        <f t="shared" si="44"/>
        <v/>
      </c>
      <c r="AY53" s="93" t="str">
        <f t="shared" si="45"/>
        <v/>
      </c>
      <c r="AZ53" s="94" t="str">
        <f t="shared" si="46"/>
        <v/>
      </c>
      <c r="BA53" s="95" t="str">
        <f t="shared" si="47"/>
        <v/>
      </c>
      <c r="BB53" s="248" t="s">
        <v>422</v>
      </c>
      <c r="BC53" s="229" t="s">
        <v>433</v>
      </c>
      <c r="BD53" s="249">
        <v>0</v>
      </c>
      <c r="BE53" s="267">
        <f t="shared" si="28"/>
        <v>0</v>
      </c>
      <c r="BF53" s="268">
        <f t="shared" si="48"/>
        <v>0</v>
      </c>
      <c r="BG53" s="268">
        <f t="shared" si="48"/>
        <v>0</v>
      </c>
      <c r="BH53" s="268">
        <f t="shared" si="48"/>
        <v>1</v>
      </c>
      <c r="BI53" s="268">
        <f t="shared" si="48"/>
        <v>2</v>
      </c>
      <c r="BJ53" s="268">
        <f t="shared" si="48"/>
        <v>3</v>
      </c>
      <c r="BK53" s="268">
        <f t="shared" si="48"/>
        <v>4</v>
      </c>
      <c r="BL53" s="269">
        <f t="shared" si="48"/>
        <v>5</v>
      </c>
      <c r="BM53" s="256">
        <f>IF($BC53=Lookup!$A$2,$BD53*ROUNDUP(BE53/10,0)+1,
IF($BC53=Lookup!$A$3,($BD53+1)^BD53,
IF($BC53=Lookup!$A$4,BE53*$BD53+1,"Error")))</f>
        <v>1</v>
      </c>
      <c r="BN53" s="229">
        <f>IF($BC53=Lookup!$A$2,$BD53*ROUNDUP(BF53/10,0)+1,
IF($BC53=Lookup!$A$3,($BD53+1)^BE53,
IF($BC53=Lookup!$A$4,BF53*$BD53+1,"Error")))</f>
        <v>1</v>
      </c>
      <c r="BO53" s="229">
        <f>IF($BC53=Lookup!$A$2,$BD53*ROUNDUP(BG53/10,0)+1,
IF($BC53=Lookup!$A$3,($BD53+1)^BF53,
IF($BC53=Lookup!$A$4,BG53*$BD53+1,"Error")))</f>
        <v>1</v>
      </c>
      <c r="BP53" s="229">
        <f>IF($BC53=Lookup!$A$2,$BD53*ROUNDUP(BH53/10,0)+1,
IF($BC53=Lookup!$A$3,($BD53+1)^BG53,
IF($BC53=Lookup!$A$4,BH53*$BD53+1,"Error")))</f>
        <v>1</v>
      </c>
      <c r="BQ53" s="229">
        <f>IF($BC53=Lookup!$A$2,$BD53*ROUNDUP(BI53/10,0)+1,
IF($BC53=Lookup!$A$3,($BD53+1)^BH53,
IF($BC53=Lookup!$A$4,BI53*$BD53+1,"Error")))</f>
        <v>1</v>
      </c>
      <c r="BR53" s="229">
        <f>IF($BC53=Lookup!$A$2,$BD53*ROUNDUP(BJ53/10,0)+1,
IF($BC53=Lookup!$A$3,($BD53+1)^BI53,
IF($BC53=Lookup!$A$4,BJ53*$BD53+1,"Error")))</f>
        <v>1</v>
      </c>
      <c r="BS53" s="229">
        <f>IF($BC53=Lookup!$A$2,$BD53*ROUNDUP(BK53/10,0)+1,
IF($BC53=Lookup!$A$3,($BD53+1)^BJ53,
IF($BC53=Lookup!$A$4,BK53*$BD53+1,"Error")))</f>
        <v>1</v>
      </c>
      <c r="BT53" s="249">
        <f>IF($BC53=Lookup!$A$2,$BD53*ROUNDUP(BL53/10,0)+1,
IF($BC53=Lookup!$A$3,($BD53+1)^BK53,
IF($BC53=Lookup!$A$4,BL53*$BD53+1,"Error")))</f>
        <v>1</v>
      </c>
      <c r="BU53" s="320">
        <v>0</v>
      </c>
      <c r="BV53" s="321">
        <v>0</v>
      </c>
      <c r="BW53" s="321">
        <v>0</v>
      </c>
      <c r="BX53" s="321">
        <v>0</v>
      </c>
      <c r="BY53" s="321">
        <v>0</v>
      </c>
      <c r="BZ53" s="321">
        <v>0</v>
      </c>
      <c r="CA53" s="321">
        <v>0</v>
      </c>
      <c r="CB53" s="277">
        <v>0</v>
      </c>
      <c r="CC53" s="382" t="s">
        <v>293</v>
      </c>
      <c r="CD53" s="383">
        <f>HLOOKUP($CC53,$AK$6:$AM$132,ROWS(CD$6:CD53),0)</f>
        <v>0</v>
      </c>
      <c r="CE53" s="234">
        <f t="shared" si="29"/>
        <v>0</v>
      </c>
      <c r="CF53" s="96">
        <f t="shared" si="29"/>
        <v>0</v>
      </c>
      <c r="CG53" s="96">
        <f t="shared" si="29"/>
        <v>0</v>
      </c>
      <c r="CH53" s="96">
        <f t="shared" si="29"/>
        <v>0</v>
      </c>
      <c r="CI53" s="96">
        <f t="shared" si="50"/>
        <v>0</v>
      </c>
      <c r="CJ53" s="96">
        <f t="shared" si="50"/>
        <v>0</v>
      </c>
      <c r="CK53" s="96">
        <f t="shared" si="50"/>
        <v>0</v>
      </c>
      <c r="CL53" s="286">
        <f t="shared" si="50"/>
        <v>0</v>
      </c>
      <c r="CM53" s="305" t="s">
        <v>292</v>
      </c>
      <c r="CN53" s="315">
        <v>0.05</v>
      </c>
      <c r="CO53" s="306"/>
      <c r="CP53" s="307" t="str">
        <f>IF($CO53&lt;&gt;"",$CO53,HLOOKUP($CM53,$AY$6:$BA$132,ROWS(CP$6:CP53),0))</f>
        <v/>
      </c>
      <c r="CQ53" s="784" t="str">
        <f t="shared" si="49"/>
        <v/>
      </c>
      <c r="CR53" s="784" t="str">
        <f t="shared" si="49"/>
        <v/>
      </c>
      <c r="CS53" s="97" t="str">
        <f t="shared" si="49"/>
        <v/>
      </c>
      <c r="CT53" s="97" t="str">
        <f t="shared" si="49"/>
        <v/>
      </c>
      <c r="CU53" s="97" t="str">
        <f t="shared" si="49"/>
        <v/>
      </c>
      <c r="CV53" s="97" t="str">
        <f t="shared" si="49"/>
        <v/>
      </c>
      <c r="CW53" s="97" t="str">
        <f t="shared" si="49"/>
        <v/>
      </c>
      <c r="CX53" s="98" t="str">
        <f t="shared" si="32"/>
        <v/>
      </c>
    </row>
    <row r="54" spans="1:102" x14ac:dyDescent="0.25">
      <c r="A54" s="81" t="s">
        <v>106</v>
      </c>
      <c r="B54" s="82" t="s">
        <v>111</v>
      </c>
      <c r="C54" s="83" t="s">
        <v>331</v>
      </c>
      <c r="D54" s="84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654">
        <f>'2022-23 Input'!H54</f>
        <v>0</v>
      </c>
      <c r="N54" s="1065">
        <v>0</v>
      </c>
      <c r="O54" s="560">
        <f t="shared" si="27"/>
        <v>0</v>
      </c>
      <c r="P54" s="561">
        <f t="shared" si="0"/>
        <v>0</v>
      </c>
      <c r="Q54" s="561">
        <f t="shared" si="1"/>
        <v>0</v>
      </c>
      <c r="R54" s="561">
        <f t="shared" si="2"/>
        <v>0</v>
      </c>
      <c r="S54" s="561">
        <f t="shared" si="3"/>
        <v>0</v>
      </c>
      <c r="T54" s="561">
        <f t="shared" si="4"/>
        <v>0</v>
      </c>
      <c r="U54" s="561">
        <f t="shared" si="5"/>
        <v>0</v>
      </c>
      <c r="V54" s="561">
        <f t="shared" si="6"/>
        <v>0</v>
      </c>
      <c r="W54" s="675">
        <f t="shared" si="7"/>
        <v>0</v>
      </c>
      <c r="X54" s="675">
        <f t="shared" si="8"/>
        <v>0</v>
      </c>
      <c r="Y54" s="675">
        <f t="shared" si="8"/>
        <v>0</v>
      </c>
      <c r="Z54" s="86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1094">
        <f>'2022-23 Input'!O54</f>
        <v>0</v>
      </c>
      <c r="AJ54" s="665">
        <v>0</v>
      </c>
      <c r="AK54" s="127">
        <f t="shared" si="33"/>
        <v>0</v>
      </c>
      <c r="AL54" s="128">
        <f t="shared" si="34"/>
        <v>0</v>
      </c>
      <c r="AM54" s="129">
        <f t="shared" si="35"/>
        <v>0</v>
      </c>
      <c r="AN54" s="91" t="str">
        <f t="shared" si="36"/>
        <v/>
      </c>
      <c r="AO54" s="92" t="str">
        <f t="shared" si="37"/>
        <v/>
      </c>
      <c r="AP54" s="92" t="str">
        <f t="shared" si="38"/>
        <v/>
      </c>
      <c r="AQ54" s="92" t="str">
        <f t="shared" si="39"/>
        <v/>
      </c>
      <c r="AR54" s="92" t="str">
        <f t="shared" si="40"/>
        <v/>
      </c>
      <c r="AS54" s="92" t="str">
        <f t="shared" si="41"/>
        <v/>
      </c>
      <c r="AT54" s="92" t="str">
        <f t="shared" si="42"/>
        <v/>
      </c>
      <c r="AU54" s="92" t="str">
        <f t="shared" si="43"/>
        <v/>
      </c>
      <c r="AV54" s="92" t="str">
        <f t="shared" si="44"/>
        <v/>
      </c>
      <c r="AW54" s="92" t="str">
        <f t="shared" si="44"/>
        <v/>
      </c>
      <c r="AX54" s="92" t="str">
        <f t="shared" si="44"/>
        <v/>
      </c>
      <c r="AY54" s="93" t="str">
        <f t="shared" si="45"/>
        <v/>
      </c>
      <c r="AZ54" s="94" t="str">
        <f t="shared" si="46"/>
        <v/>
      </c>
      <c r="BA54" s="95" t="str">
        <f t="shared" si="47"/>
        <v/>
      </c>
      <c r="BB54" s="248" t="s">
        <v>422</v>
      </c>
      <c r="BC54" s="229" t="s">
        <v>433</v>
      </c>
      <c r="BD54" s="249">
        <v>0</v>
      </c>
      <c r="BE54" s="267">
        <f t="shared" si="28"/>
        <v>0</v>
      </c>
      <c r="BF54" s="268">
        <f t="shared" si="48"/>
        <v>0</v>
      </c>
      <c r="BG54" s="268">
        <f t="shared" si="48"/>
        <v>0</v>
      </c>
      <c r="BH54" s="268">
        <f t="shared" si="48"/>
        <v>1</v>
      </c>
      <c r="BI54" s="268">
        <f t="shared" si="48"/>
        <v>2</v>
      </c>
      <c r="BJ54" s="268">
        <f t="shared" si="48"/>
        <v>3</v>
      </c>
      <c r="BK54" s="268">
        <f t="shared" si="48"/>
        <v>4</v>
      </c>
      <c r="BL54" s="269">
        <f t="shared" si="48"/>
        <v>5</v>
      </c>
      <c r="BM54" s="256">
        <f>IF($BC54=Lookup!$A$2,$BD54*ROUNDUP(BE54/10,0)+1,
IF($BC54=Lookup!$A$3,($BD54+1)^BD54,
IF($BC54=Lookup!$A$4,BE54*$BD54+1,"Error")))</f>
        <v>1</v>
      </c>
      <c r="BN54" s="229">
        <f>IF($BC54=Lookup!$A$2,$BD54*ROUNDUP(BF54/10,0)+1,
IF($BC54=Lookup!$A$3,($BD54+1)^BE54,
IF($BC54=Lookup!$A$4,BF54*$BD54+1,"Error")))</f>
        <v>1</v>
      </c>
      <c r="BO54" s="229">
        <f>IF($BC54=Lookup!$A$2,$BD54*ROUNDUP(BG54/10,0)+1,
IF($BC54=Lookup!$A$3,($BD54+1)^BF54,
IF($BC54=Lookup!$A$4,BG54*$BD54+1,"Error")))</f>
        <v>1</v>
      </c>
      <c r="BP54" s="229">
        <f>IF($BC54=Lookup!$A$2,$BD54*ROUNDUP(BH54/10,0)+1,
IF($BC54=Lookup!$A$3,($BD54+1)^BG54,
IF($BC54=Lookup!$A$4,BH54*$BD54+1,"Error")))</f>
        <v>1</v>
      </c>
      <c r="BQ54" s="229">
        <f>IF($BC54=Lookup!$A$2,$BD54*ROUNDUP(BI54/10,0)+1,
IF($BC54=Lookup!$A$3,($BD54+1)^BH54,
IF($BC54=Lookup!$A$4,BI54*$BD54+1,"Error")))</f>
        <v>1</v>
      </c>
      <c r="BR54" s="229">
        <f>IF($BC54=Lookup!$A$2,$BD54*ROUNDUP(BJ54/10,0)+1,
IF($BC54=Lookup!$A$3,($BD54+1)^BI54,
IF($BC54=Lookup!$A$4,BJ54*$BD54+1,"Error")))</f>
        <v>1</v>
      </c>
      <c r="BS54" s="229">
        <f>IF($BC54=Lookup!$A$2,$BD54*ROUNDUP(BK54/10,0)+1,
IF($BC54=Lookup!$A$3,($BD54+1)^BJ54,
IF($BC54=Lookup!$A$4,BK54*$BD54+1,"Error")))</f>
        <v>1</v>
      </c>
      <c r="BT54" s="249">
        <f>IF($BC54=Lookup!$A$2,$BD54*ROUNDUP(BL54/10,0)+1,
IF($BC54=Lookup!$A$3,($BD54+1)^BK54,
IF($BC54=Lookup!$A$4,BL54*$BD54+1,"Error")))</f>
        <v>1</v>
      </c>
      <c r="BU54" s="320">
        <v>0</v>
      </c>
      <c r="BV54" s="321">
        <v>0</v>
      </c>
      <c r="BW54" s="321">
        <v>0</v>
      </c>
      <c r="BX54" s="321">
        <v>0</v>
      </c>
      <c r="BY54" s="321">
        <v>0</v>
      </c>
      <c r="BZ54" s="321">
        <v>0</v>
      </c>
      <c r="CA54" s="321">
        <v>0</v>
      </c>
      <c r="CB54" s="277">
        <v>0</v>
      </c>
      <c r="CC54" s="382" t="s">
        <v>293</v>
      </c>
      <c r="CD54" s="383">
        <f>HLOOKUP($CC54,$AK$6:$AM$132,ROWS(CD$6:CD54),0)</f>
        <v>0</v>
      </c>
      <c r="CE54" s="234">
        <f t="shared" si="29"/>
        <v>0</v>
      </c>
      <c r="CF54" s="96">
        <f t="shared" si="29"/>
        <v>0</v>
      </c>
      <c r="CG54" s="96">
        <f t="shared" si="29"/>
        <v>0</v>
      </c>
      <c r="CH54" s="96">
        <f t="shared" si="29"/>
        <v>0</v>
      </c>
      <c r="CI54" s="96">
        <f t="shared" si="50"/>
        <v>0</v>
      </c>
      <c r="CJ54" s="96">
        <f t="shared" si="50"/>
        <v>0</v>
      </c>
      <c r="CK54" s="96">
        <f t="shared" si="50"/>
        <v>0</v>
      </c>
      <c r="CL54" s="286">
        <f t="shared" si="50"/>
        <v>0</v>
      </c>
      <c r="CM54" s="305" t="s">
        <v>292</v>
      </c>
      <c r="CN54" s="315">
        <v>0.05</v>
      </c>
      <c r="CO54" s="306"/>
      <c r="CP54" s="307" t="str">
        <f>IF($CO54&lt;&gt;"",$CO54,HLOOKUP($CM54,$AY$6:$BA$132,ROWS(CP$6:CP54),0))</f>
        <v/>
      </c>
      <c r="CQ54" s="784" t="str">
        <f t="shared" si="49"/>
        <v/>
      </c>
      <c r="CR54" s="784" t="str">
        <f t="shared" si="49"/>
        <v/>
      </c>
      <c r="CS54" s="97" t="str">
        <f t="shared" si="49"/>
        <v/>
      </c>
      <c r="CT54" s="97" t="str">
        <f t="shared" si="49"/>
        <v/>
      </c>
      <c r="CU54" s="97" t="str">
        <f t="shared" si="49"/>
        <v/>
      </c>
      <c r="CV54" s="97" t="str">
        <f t="shared" si="49"/>
        <v/>
      </c>
      <c r="CW54" s="97" t="str">
        <f t="shared" si="49"/>
        <v/>
      </c>
      <c r="CX54" s="98" t="str">
        <f t="shared" si="32"/>
        <v/>
      </c>
    </row>
    <row r="55" spans="1:102" x14ac:dyDescent="0.25">
      <c r="A55" s="81" t="s">
        <v>106</v>
      </c>
      <c r="B55" s="82" t="s">
        <v>113</v>
      </c>
      <c r="C55" s="83" t="s">
        <v>333</v>
      </c>
      <c r="D55" s="84">
        <v>0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654">
        <f>'2022-23 Input'!H55</f>
        <v>0</v>
      </c>
      <c r="N55" s="1065">
        <v>0</v>
      </c>
      <c r="O55" s="560">
        <f t="shared" si="27"/>
        <v>0</v>
      </c>
      <c r="P55" s="561">
        <f t="shared" si="0"/>
        <v>0</v>
      </c>
      <c r="Q55" s="561">
        <f t="shared" si="1"/>
        <v>0</v>
      </c>
      <c r="R55" s="561">
        <f t="shared" si="2"/>
        <v>0</v>
      </c>
      <c r="S55" s="561">
        <f t="shared" si="3"/>
        <v>0</v>
      </c>
      <c r="T55" s="561">
        <f t="shared" si="4"/>
        <v>0</v>
      </c>
      <c r="U55" s="561">
        <f t="shared" si="5"/>
        <v>0</v>
      </c>
      <c r="V55" s="561">
        <f t="shared" si="6"/>
        <v>0</v>
      </c>
      <c r="W55" s="675">
        <f t="shared" si="7"/>
        <v>0</v>
      </c>
      <c r="X55" s="675">
        <f t="shared" si="8"/>
        <v>0</v>
      </c>
      <c r="Y55" s="675">
        <f t="shared" si="8"/>
        <v>0</v>
      </c>
      <c r="Z55" s="86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1094">
        <f>'2022-23 Input'!O55</f>
        <v>0</v>
      </c>
      <c r="AJ55" s="665">
        <v>0</v>
      </c>
      <c r="AK55" s="127">
        <f t="shared" si="33"/>
        <v>0</v>
      </c>
      <c r="AL55" s="128">
        <f t="shared" si="34"/>
        <v>0</v>
      </c>
      <c r="AM55" s="129">
        <f t="shared" si="35"/>
        <v>0</v>
      </c>
      <c r="AN55" s="91" t="str">
        <f t="shared" si="36"/>
        <v/>
      </c>
      <c r="AO55" s="92" t="str">
        <f t="shared" si="37"/>
        <v/>
      </c>
      <c r="AP55" s="92" t="str">
        <f t="shared" si="38"/>
        <v/>
      </c>
      <c r="AQ55" s="92" t="str">
        <f t="shared" si="39"/>
        <v/>
      </c>
      <c r="AR55" s="92" t="str">
        <f t="shared" si="40"/>
        <v/>
      </c>
      <c r="AS55" s="92" t="str">
        <f t="shared" si="41"/>
        <v/>
      </c>
      <c r="AT55" s="92" t="str">
        <f t="shared" si="42"/>
        <v/>
      </c>
      <c r="AU55" s="92" t="str">
        <f t="shared" si="43"/>
        <v/>
      </c>
      <c r="AV55" s="92" t="str">
        <f t="shared" ref="AV55:AX70" si="51">IFERROR(L55/AH55,"")</f>
        <v/>
      </c>
      <c r="AW55" s="92" t="str">
        <f t="shared" si="51"/>
        <v/>
      </c>
      <c r="AX55" s="92" t="str">
        <f t="shared" si="51"/>
        <v/>
      </c>
      <c r="AY55" s="93" t="str">
        <f t="shared" si="45"/>
        <v/>
      </c>
      <c r="AZ55" s="94" t="str">
        <f t="shared" si="46"/>
        <v/>
      </c>
      <c r="BA55" s="95" t="str">
        <f t="shared" si="47"/>
        <v/>
      </c>
      <c r="BB55" s="248" t="s">
        <v>422</v>
      </c>
      <c r="BC55" s="229" t="s">
        <v>433</v>
      </c>
      <c r="BD55" s="249">
        <v>0</v>
      </c>
      <c r="BE55" s="267">
        <f t="shared" si="28"/>
        <v>0</v>
      </c>
      <c r="BF55" s="268">
        <f t="shared" ref="BF55:BL70" si="52">IF(BF$6=$BB55,1,
IF(BE55&lt;&gt;0,BE55+1,0
))</f>
        <v>0</v>
      </c>
      <c r="BG55" s="268">
        <f t="shared" si="52"/>
        <v>0</v>
      </c>
      <c r="BH55" s="268">
        <f t="shared" si="52"/>
        <v>1</v>
      </c>
      <c r="BI55" s="268">
        <f t="shared" si="52"/>
        <v>2</v>
      </c>
      <c r="BJ55" s="268">
        <f t="shared" si="52"/>
        <v>3</v>
      </c>
      <c r="BK55" s="268">
        <f t="shared" si="52"/>
        <v>4</v>
      </c>
      <c r="BL55" s="269">
        <f t="shared" si="52"/>
        <v>5</v>
      </c>
      <c r="BM55" s="256">
        <f>IF($BC55=Lookup!$A$2,$BD55*ROUNDUP(BE55/10,0)+1,
IF($BC55=Lookup!$A$3,($BD55+1)^BD55,
IF($BC55=Lookup!$A$4,BE55*$BD55+1,"Error")))</f>
        <v>1</v>
      </c>
      <c r="BN55" s="229">
        <f>IF($BC55=Lookup!$A$2,$BD55*ROUNDUP(BF55/10,0)+1,
IF($BC55=Lookup!$A$3,($BD55+1)^BE55,
IF($BC55=Lookup!$A$4,BF55*$BD55+1,"Error")))</f>
        <v>1</v>
      </c>
      <c r="BO55" s="229">
        <f>IF($BC55=Lookup!$A$2,$BD55*ROUNDUP(BG55/10,0)+1,
IF($BC55=Lookup!$A$3,($BD55+1)^BF55,
IF($BC55=Lookup!$A$4,BG55*$BD55+1,"Error")))</f>
        <v>1</v>
      </c>
      <c r="BP55" s="229">
        <f>IF($BC55=Lookup!$A$2,$BD55*ROUNDUP(BH55/10,0)+1,
IF($BC55=Lookup!$A$3,($BD55+1)^BG55,
IF($BC55=Lookup!$A$4,BH55*$BD55+1,"Error")))</f>
        <v>1</v>
      </c>
      <c r="BQ55" s="229">
        <f>IF($BC55=Lookup!$A$2,$BD55*ROUNDUP(BI55/10,0)+1,
IF($BC55=Lookup!$A$3,($BD55+1)^BH55,
IF($BC55=Lookup!$A$4,BI55*$BD55+1,"Error")))</f>
        <v>1</v>
      </c>
      <c r="BR55" s="229">
        <f>IF($BC55=Lookup!$A$2,$BD55*ROUNDUP(BJ55/10,0)+1,
IF($BC55=Lookup!$A$3,($BD55+1)^BI55,
IF($BC55=Lookup!$A$4,BJ55*$BD55+1,"Error")))</f>
        <v>1</v>
      </c>
      <c r="BS55" s="229">
        <f>IF($BC55=Lookup!$A$2,$BD55*ROUNDUP(BK55/10,0)+1,
IF($BC55=Lookup!$A$3,($BD55+1)^BJ55,
IF($BC55=Lookup!$A$4,BK55*$BD55+1,"Error")))</f>
        <v>1</v>
      </c>
      <c r="BT55" s="249">
        <f>IF($BC55=Lookup!$A$2,$BD55*ROUNDUP(BL55/10,0)+1,
IF($BC55=Lookup!$A$3,($BD55+1)^BK55,
IF($BC55=Lookup!$A$4,BL55*$BD55+1,"Error")))</f>
        <v>1</v>
      </c>
      <c r="BU55" s="320">
        <v>0</v>
      </c>
      <c r="BV55" s="321">
        <v>0</v>
      </c>
      <c r="BW55" s="321">
        <v>0</v>
      </c>
      <c r="BX55" s="321">
        <v>0</v>
      </c>
      <c r="BY55" s="321">
        <v>0</v>
      </c>
      <c r="BZ55" s="321">
        <v>0</v>
      </c>
      <c r="CA55" s="321">
        <v>0</v>
      </c>
      <c r="CB55" s="277">
        <v>0</v>
      </c>
      <c r="CC55" s="382" t="s">
        <v>293</v>
      </c>
      <c r="CD55" s="383">
        <f>HLOOKUP($CC55,$AK$6:$AM$132,ROWS(CD$6:CD55),0)</f>
        <v>0</v>
      </c>
      <c r="CE55" s="234">
        <f t="shared" si="29"/>
        <v>0</v>
      </c>
      <c r="CF55" s="96">
        <f t="shared" si="29"/>
        <v>0</v>
      </c>
      <c r="CG55" s="96">
        <f t="shared" si="29"/>
        <v>0</v>
      </c>
      <c r="CH55" s="96">
        <f t="shared" si="29"/>
        <v>0</v>
      </c>
      <c r="CI55" s="96">
        <f t="shared" si="50"/>
        <v>0</v>
      </c>
      <c r="CJ55" s="96">
        <f t="shared" si="50"/>
        <v>0</v>
      </c>
      <c r="CK55" s="96">
        <f t="shared" si="50"/>
        <v>0</v>
      </c>
      <c r="CL55" s="286">
        <f t="shared" si="50"/>
        <v>0</v>
      </c>
      <c r="CM55" s="305" t="s">
        <v>292</v>
      </c>
      <c r="CN55" s="315">
        <v>0.05</v>
      </c>
      <c r="CO55" s="306"/>
      <c r="CP55" s="307" t="str">
        <f>IF($CO55&lt;&gt;"",$CO55,HLOOKUP($CM55,$AY$6:$BA$132,ROWS(CP$6:CP55),0))</f>
        <v/>
      </c>
      <c r="CQ55" s="784" t="str">
        <f t="shared" si="49"/>
        <v/>
      </c>
      <c r="CR55" s="784" t="str">
        <f t="shared" si="49"/>
        <v/>
      </c>
      <c r="CS55" s="97" t="str">
        <f t="shared" si="49"/>
        <v/>
      </c>
      <c r="CT55" s="97" t="str">
        <f t="shared" si="49"/>
        <v/>
      </c>
      <c r="CU55" s="97" t="str">
        <f t="shared" si="49"/>
        <v/>
      </c>
      <c r="CV55" s="97" t="str">
        <f t="shared" si="49"/>
        <v/>
      </c>
      <c r="CW55" s="97" t="str">
        <f t="shared" si="49"/>
        <v/>
      </c>
      <c r="CX55" s="98" t="str">
        <f t="shared" si="32"/>
        <v/>
      </c>
    </row>
    <row r="56" spans="1:102" x14ac:dyDescent="0.25">
      <c r="A56" s="81" t="s">
        <v>106</v>
      </c>
      <c r="B56" s="82" t="s">
        <v>115</v>
      </c>
      <c r="C56" s="83" t="s">
        <v>335</v>
      </c>
      <c r="D56" s="84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654">
        <f>'2022-23 Input'!H56</f>
        <v>0</v>
      </c>
      <c r="N56" s="1065">
        <v>0</v>
      </c>
      <c r="O56" s="560">
        <f t="shared" si="27"/>
        <v>0</v>
      </c>
      <c r="P56" s="561">
        <f t="shared" si="0"/>
        <v>0</v>
      </c>
      <c r="Q56" s="561">
        <f t="shared" si="1"/>
        <v>0</v>
      </c>
      <c r="R56" s="561">
        <f t="shared" si="2"/>
        <v>0</v>
      </c>
      <c r="S56" s="561">
        <f t="shared" si="3"/>
        <v>0</v>
      </c>
      <c r="T56" s="561">
        <f t="shared" si="4"/>
        <v>0</v>
      </c>
      <c r="U56" s="561">
        <f t="shared" si="5"/>
        <v>0</v>
      </c>
      <c r="V56" s="561">
        <f t="shared" si="6"/>
        <v>0</v>
      </c>
      <c r="W56" s="675">
        <f t="shared" si="7"/>
        <v>0</v>
      </c>
      <c r="X56" s="675">
        <f t="shared" si="8"/>
        <v>0</v>
      </c>
      <c r="Y56" s="675">
        <f t="shared" si="8"/>
        <v>0</v>
      </c>
      <c r="Z56" s="86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1094">
        <f>'2022-23 Input'!O56</f>
        <v>0</v>
      </c>
      <c r="AJ56" s="665">
        <v>0</v>
      </c>
      <c r="AK56" s="127">
        <f t="shared" si="33"/>
        <v>0</v>
      </c>
      <c r="AL56" s="128">
        <f t="shared" si="34"/>
        <v>0</v>
      </c>
      <c r="AM56" s="129">
        <f t="shared" si="35"/>
        <v>0</v>
      </c>
      <c r="AN56" s="91" t="str">
        <f t="shared" si="36"/>
        <v/>
      </c>
      <c r="AO56" s="92" t="str">
        <f t="shared" si="37"/>
        <v/>
      </c>
      <c r="AP56" s="92" t="str">
        <f t="shared" si="38"/>
        <v/>
      </c>
      <c r="AQ56" s="92" t="str">
        <f t="shared" si="39"/>
        <v/>
      </c>
      <c r="AR56" s="92" t="str">
        <f t="shared" si="40"/>
        <v/>
      </c>
      <c r="AS56" s="92" t="str">
        <f t="shared" si="41"/>
        <v/>
      </c>
      <c r="AT56" s="92" t="str">
        <f t="shared" si="42"/>
        <v/>
      </c>
      <c r="AU56" s="92" t="str">
        <f t="shared" si="43"/>
        <v/>
      </c>
      <c r="AV56" s="92" t="str">
        <f t="shared" si="51"/>
        <v/>
      </c>
      <c r="AW56" s="92" t="str">
        <f t="shared" si="51"/>
        <v/>
      </c>
      <c r="AX56" s="92" t="str">
        <f t="shared" si="51"/>
        <v/>
      </c>
      <c r="AY56" s="93" t="str">
        <f t="shared" si="45"/>
        <v/>
      </c>
      <c r="AZ56" s="94" t="str">
        <f t="shared" si="46"/>
        <v/>
      </c>
      <c r="BA56" s="95" t="str">
        <f t="shared" si="47"/>
        <v/>
      </c>
      <c r="BB56" s="248" t="s">
        <v>422</v>
      </c>
      <c r="BC56" s="229" t="s">
        <v>433</v>
      </c>
      <c r="BD56" s="249">
        <v>0</v>
      </c>
      <c r="BE56" s="267">
        <f t="shared" si="28"/>
        <v>0</v>
      </c>
      <c r="BF56" s="268">
        <f t="shared" si="52"/>
        <v>0</v>
      </c>
      <c r="BG56" s="268">
        <f t="shared" si="52"/>
        <v>0</v>
      </c>
      <c r="BH56" s="268">
        <f t="shared" si="52"/>
        <v>1</v>
      </c>
      <c r="BI56" s="268">
        <f t="shared" si="52"/>
        <v>2</v>
      </c>
      <c r="BJ56" s="268">
        <f t="shared" si="52"/>
        <v>3</v>
      </c>
      <c r="BK56" s="268">
        <f t="shared" si="52"/>
        <v>4</v>
      </c>
      <c r="BL56" s="269">
        <f t="shared" si="52"/>
        <v>5</v>
      </c>
      <c r="BM56" s="256">
        <f>IF($BC56=Lookup!$A$2,$BD56*ROUNDUP(BE56/10,0)+1,
IF($BC56=Lookup!$A$3,($BD56+1)^BD56,
IF($BC56=Lookup!$A$4,BE56*$BD56+1,"Error")))</f>
        <v>1</v>
      </c>
      <c r="BN56" s="229">
        <f>IF($BC56=Lookup!$A$2,$BD56*ROUNDUP(BF56/10,0)+1,
IF($BC56=Lookup!$A$3,($BD56+1)^BE56,
IF($BC56=Lookup!$A$4,BF56*$BD56+1,"Error")))</f>
        <v>1</v>
      </c>
      <c r="BO56" s="229">
        <f>IF($BC56=Lookup!$A$2,$BD56*ROUNDUP(BG56/10,0)+1,
IF($BC56=Lookup!$A$3,($BD56+1)^BF56,
IF($BC56=Lookup!$A$4,BG56*$BD56+1,"Error")))</f>
        <v>1</v>
      </c>
      <c r="BP56" s="229">
        <f>IF($BC56=Lookup!$A$2,$BD56*ROUNDUP(BH56/10,0)+1,
IF($BC56=Lookup!$A$3,($BD56+1)^BG56,
IF($BC56=Lookup!$A$4,BH56*$BD56+1,"Error")))</f>
        <v>1</v>
      </c>
      <c r="BQ56" s="229">
        <f>IF($BC56=Lookup!$A$2,$BD56*ROUNDUP(BI56/10,0)+1,
IF($BC56=Lookup!$A$3,($BD56+1)^BH56,
IF($BC56=Lookup!$A$4,BI56*$BD56+1,"Error")))</f>
        <v>1</v>
      </c>
      <c r="BR56" s="229">
        <f>IF($BC56=Lookup!$A$2,$BD56*ROUNDUP(BJ56/10,0)+1,
IF($BC56=Lookup!$A$3,($BD56+1)^BI56,
IF($BC56=Lookup!$A$4,BJ56*$BD56+1,"Error")))</f>
        <v>1</v>
      </c>
      <c r="BS56" s="229">
        <f>IF($BC56=Lookup!$A$2,$BD56*ROUNDUP(BK56/10,0)+1,
IF($BC56=Lookup!$A$3,($BD56+1)^BJ56,
IF($BC56=Lookup!$A$4,BK56*$BD56+1,"Error")))</f>
        <v>1</v>
      </c>
      <c r="BT56" s="249">
        <f>IF($BC56=Lookup!$A$2,$BD56*ROUNDUP(BL56/10,0)+1,
IF($BC56=Lookup!$A$3,($BD56+1)^BK56,
IF($BC56=Lookup!$A$4,BL56*$BD56+1,"Error")))</f>
        <v>1</v>
      </c>
      <c r="BU56" s="320">
        <v>0</v>
      </c>
      <c r="BV56" s="321">
        <v>0</v>
      </c>
      <c r="BW56" s="321">
        <v>0</v>
      </c>
      <c r="BX56" s="321">
        <v>0</v>
      </c>
      <c r="BY56" s="321">
        <v>0</v>
      </c>
      <c r="BZ56" s="321">
        <v>0</v>
      </c>
      <c r="CA56" s="321">
        <v>0</v>
      </c>
      <c r="CB56" s="277">
        <v>0</v>
      </c>
      <c r="CC56" s="382" t="s">
        <v>293</v>
      </c>
      <c r="CD56" s="383">
        <f>HLOOKUP($CC56,$AK$6:$AM$132,ROWS(CD$6:CD56),0)</f>
        <v>0</v>
      </c>
      <c r="CE56" s="239">
        <f t="shared" si="29"/>
        <v>0</v>
      </c>
      <c r="CF56" s="140">
        <f t="shared" si="29"/>
        <v>0</v>
      </c>
      <c r="CG56" s="140">
        <f t="shared" si="29"/>
        <v>0</v>
      </c>
      <c r="CH56" s="140">
        <f t="shared" si="29"/>
        <v>0</v>
      </c>
      <c r="CI56" s="140">
        <f t="shared" si="50"/>
        <v>0</v>
      </c>
      <c r="CJ56" s="140">
        <f t="shared" si="50"/>
        <v>0</v>
      </c>
      <c r="CK56" s="140">
        <f t="shared" si="50"/>
        <v>0</v>
      </c>
      <c r="CL56" s="291">
        <f t="shared" si="50"/>
        <v>0</v>
      </c>
      <c r="CM56" s="305" t="s">
        <v>292</v>
      </c>
      <c r="CN56" s="315">
        <v>0.05</v>
      </c>
      <c r="CO56" s="306"/>
      <c r="CP56" s="307" t="str">
        <f>IF($CO56&lt;&gt;"",$CO56,HLOOKUP($CM56,$AY$6:$BA$132,ROWS(CP$6:CP56),0))</f>
        <v/>
      </c>
      <c r="CQ56" s="784" t="str">
        <f t="shared" si="49"/>
        <v/>
      </c>
      <c r="CR56" s="784" t="str">
        <f t="shared" si="49"/>
        <v/>
      </c>
      <c r="CS56" s="97" t="str">
        <f t="shared" si="49"/>
        <v/>
      </c>
      <c r="CT56" s="97" t="str">
        <f t="shared" si="49"/>
        <v/>
      </c>
      <c r="CU56" s="97" t="str">
        <f t="shared" si="49"/>
        <v/>
      </c>
      <c r="CV56" s="97" t="str">
        <f t="shared" si="49"/>
        <v/>
      </c>
      <c r="CW56" s="97" t="str">
        <f t="shared" si="49"/>
        <v/>
      </c>
      <c r="CX56" s="98" t="str">
        <f t="shared" si="32"/>
        <v/>
      </c>
    </row>
    <row r="57" spans="1:102" x14ac:dyDescent="0.25">
      <c r="A57" s="81" t="s">
        <v>106</v>
      </c>
      <c r="B57" s="82" t="s">
        <v>117</v>
      </c>
      <c r="C57" s="83" t="s">
        <v>337</v>
      </c>
      <c r="D57" s="84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654">
        <f>'2022-23 Input'!H57</f>
        <v>0</v>
      </c>
      <c r="N57" s="1065">
        <v>0</v>
      </c>
      <c r="O57" s="560">
        <f t="shared" si="27"/>
        <v>0</v>
      </c>
      <c r="P57" s="561">
        <f t="shared" si="0"/>
        <v>0</v>
      </c>
      <c r="Q57" s="561">
        <f t="shared" si="1"/>
        <v>0</v>
      </c>
      <c r="R57" s="561">
        <f t="shared" si="2"/>
        <v>0</v>
      </c>
      <c r="S57" s="561">
        <f t="shared" si="3"/>
        <v>0</v>
      </c>
      <c r="T57" s="561">
        <f t="shared" si="4"/>
        <v>0</v>
      </c>
      <c r="U57" s="561">
        <f t="shared" si="5"/>
        <v>0</v>
      </c>
      <c r="V57" s="561">
        <f t="shared" si="6"/>
        <v>0</v>
      </c>
      <c r="W57" s="675">
        <f t="shared" si="7"/>
        <v>0</v>
      </c>
      <c r="X57" s="675">
        <f t="shared" si="8"/>
        <v>0</v>
      </c>
      <c r="Y57" s="675">
        <f t="shared" si="8"/>
        <v>0</v>
      </c>
      <c r="Z57" s="86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1094">
        <f>'2022-23 Input'!O57</f>
        <v>0</v>
      </c>
      <c r="AJ57" s="665">
        <v>0</v>
      </c>
      <c r="AK57" s="127">
        <f t="shared" si="33"/>
        <v>0</v>
      </c>
      <c r="AL57" s="128">
        <f t="shared" si="34"/>
        <v>0</v>
      </c>
      <c r="AM57" s="129">
        <f t="shared" si="35"/>
        <v>0</v>
      </c>
      <c r="AN57" s="91" t="str">
        <f t="shared" si="36"/>
        <v/>
      </c>
      <c r="AO57" s="92" t="str">
        <f t="shared" si="37"/>
        <v/>
      </c>
      <c r="AP57" s="92" t="str">
        <f t="shared" si="38"/>
        <v/>
      </c>
      <c r="AQ57" s="92" t="str">
        <f t="shared" si="39"/>
        <v/>
      </c>
      <c r="AR57" s="92" t="str">
        <f t="shared" si="40"/>
        <v/>
      </c>
      <c r="AS57" s="92" t="str">
        <f t="shared" si="41"/>
        <v/>
      </c>
      <c r="AT57" s="92" t="str">
        <f t="shared" si="42"/>
        <v/>
      </c>
      <c r="AU57" s="92" t="str">
        <f t="shared" si="43"/>
        <v/>
      </c>
      <c r="AV57" s="92" t="str">
        <f t="shared" si="51"/>
        <v/>
      </c>
      <c r="AW57" s="92" t="str">
        <f t="shared" si="51"/>
        <v/>
      </c>
      <c r="AX57" s="92" t="str">
        <f t="shared" si="51"/>
        <v/>
      </c>
      <c r="AY57" s="93" t="str">
        <f t="shared" si="45"/>
        <v/>
      </c>
      <c r="AZ57" s="94" t="str">
        <f t="shared" si="46"/>
        <v/>
      </c>
      <c r="BA57" s="95" t="str">
        <f t="shared" si="47"/>
        <v/>
      </c>
      <c r="BB57" s="248" t="s">
        <v>422</v>
      </c>
      <c r="BC57" s="229" t="s">
        <v>433</v>
      </c>
      <c r="BD57" s="249">
        <v>0</v>
      </c>
      <c r="BE57" s="267">
        <f t="shared" si="28"/>
        <v>0</v>
      </c>
      <c r="BF57" s="268">
        <f t="shared" si="52"/>
        <v>0</v>
      </c>
      <c r="BG57" s="268">
        <f t="shared" si="52"/>
        <v>0</v>
      </c>
      <c r="BH57" s="268">
        <f t="shared" si="52"/>
        <v>1</v>
      </c>
      <c r="BI57" s="268">
        <f t="shared" si="52"/>
        <v>2</v>
      </c>
      <c r="BJ57" s="268">
        <f t="shared" si="52"/>
        <v>3</v>
      </c>
      <c r="BK57" s="268">
        <f t="shared" si="52"/>
        <v>4</v>
      </c>
      <c r="BL57" s="269">
        <f t="shared" si="52"/>
        <v>5</v>
      </c>
      <c r="BM57" s="256">
        <f>IF($BC57=Lookup!$A$2,$BD57*ROUNDUP(BE57/10,0)+1,
IF($BC57=Lookup!$A$3,($BD57+1)^BD57,
IF($BC57=Lookup!$A$4,BE57*$BD57+1,"Error")))</f>
        <v>1</v>
      </c>
      <c r="BN57" s="229">
        <f>IF($BC57=Lookup!$A$2,$BD57*ROUNDUP(BF57/10,0)+1,
IF($BC57=Lookup!$A$3,($BD57+1)^BE57,
IF($BC57=Lookup!$A$4,BF57*$BD57+1,"Error")))</f>
        <v>1</v>
      </c>
      <c r="BO57" s="229">
        <f>IF($BC57=Lookup!$A$2,$BD57*ROUNDUP(BG57/10,0)+1,
IF($BC57=Lookup!$A$3,($BD57+1)^BF57,
IF($BC57=Lookup!$A$4,BG57*$BD57+1,"Error")))</f>
        <v>1</v>
      </c>
      <c r="BP57" s="229">
        <f>IF($BC57=Lookup!$A$2,$BD57*ROUNDUP(BH57/10,0)+1,
IF($BC57=Lookup!$A$3,($BD57+1)^BG57,
IF($BC57=Lookup!$A$4,BH57*$BD57+1,"Error")))</f>
        <v>1</v>
      </c>
      <c r="BQ57" s="229">
        <f>IF($BC57=Lookup!$A$2,$BD57*ROUNDUP(BI57/10,0)+1,
IF($BC57=Lookup!$A$3,($BD57+1)^BH57,
IF($BC57=Lookup!$A$4,BI57*$BD57+1,"Error")))</f>
        <v>1</v>
      </c>
      <c r="BR57" s="229">
        <f>IF($BC57=Lookup!$A$2,$BD57*ROUNDUP(BJ57/10,0)+1,
IF($BC57=Lookup!$A$3,($BD57+1)^BI57,
IF($BC57=Lookup!$A$4,BJ57*$BD57+1,"Error")))</f>
        <v>1</v>
      </c>
      <c r="BS57" s="229">
        <f>IF($BC57=Lookup!$A$2,$BD57*ROUNDUP(BK57/10,0)+1,
IF($BC57=Lookup!$A$3,($BD57+1)^BJ57,
IF($BC57=Lookup!$A$4,BK57*$BD57+1,"Error")))</f>
        <v>1</v>
      </c>
      <c r="BT57" s="249">
        <f>IF($BC57=Lookup!$A$2,$BD57*ROUNDUP(BL57/10,0)+1,
IF($BC57=Lookup!$A$3,($BD57+1)^BK57,
IF($BC57=Lookup!$A$4,BL57*$BD57+1,"Error")))</f>
        <v>1</v>
      </c>
      <c r="BU57" s="320">
        <v>0</v>
      </c>
      <c r="BV57" s="321">
        <v>0</v>
      </c>
      <c r="BW57" s="321">
        <v>0</v>
      </c>
      <c r="BX57" s="321">
        <v>0</v>
      </c>
      <c r="BY57" s="321">
        <v>0</v>
      </c>
      <c r="BZ57" s="321">
        <v>0</v>
      </c>
      <c r="CA57" s="321">
        <v>0</v>
      </c>
      <c r="CB57" s="277">
        <v>0</v>
      </c>
      <c r="CC57" s="382" t="s">
        <v>293</v>
      </c>
      <c r="CD57" s="383">
        <f>HLOOKUP($CC57,$AK$6:$AM$132,ROWS(CD$6:CD57),0)</f>
        <v>0</v>
      </c>
      <c r="CE57" s="239">
        <f t="shared" si="29"/>
        <v>0</v>
      </c>
      <c r="CF57" s="140">
        <f t="shared" si="29"/>
        <v>0</v>
      </c>
      <c r="CG57" s="140">
        <f t="shared" si="29"/>
        <v>0</v>
      </c>
      <c r="CH57" s="140">
        <f t="shared" si="29"/>
        <v>0</v>
      </c>
      <c r="CI57" s="140">
        <f t="shared" si="50"/>
        <v>0</v>
      </c>
      <c r="CJ57" s="140">
        <f t="shared" si="50"/>
        <v>0</v>
      </c>
      <c r="CK57" s="140">
        <f t="shared" si="50"/>
        <v>0</v>
      </c>
      <c r="CL57" s="291">
        <f t="shared" si="50"/>
        <v>0</v>
      </c>
      <c r="CM57" s="305" t="s">
        <v>292</v>
      </c>
      <c r="CN57" s="315">
        <v>0.05</v>
      </c>
      <c r="CO57" s="306"/>
      <c r="CP57" s="307" t="str">
        <f>IF($CO57&lt;&gt;"",$CO57,HLOOKUP($CM57,$AY$6:$BA$132,ROWS(CP$6:CP57),0))</f>
        <v/>
      </c>
      <c r="CQ57" s="784" t="str">
        <f t="shared" si="49"/>
        <v/>
      </c>
      <c r="CR57" s="784" t="str">
        <f t="shared" si="49"/>
        <v/>
      </c>
      <c r="CS57" s="97" t="str">
        <f t="shared" si="49"/>
        <v/>
      </c>
      <c r="CT57" s="97" t="str">
        <f t="shared" si="49"/>
        <v/>
      </c>
      <c r="CU57" s="97" t="str">
        <f t="shared" si="49"/>
        <v/>
      </c>
      <c r="CV57" s="97" t="str">
        <f t="shared" si="49"/>
        <v/>
      </c>
      <c r="CW57" s="97" t="str">
        <f t="shared" si="49"/>
        <v/>
      </c>
      <c r="CX57" s="98" t="str">
        <f t="shared" si="32"/>
        <v/>
      </c>
    </row>
    <row r="58" spans="1:102" x14ac:dyDescent="0.25">
      <c r="A58" s="81" t="s">
        <v>106</v>
      </c>
      <c r="B58" s="82" t="s">
        <v>119</v>
      </c>
      <c r="C58" s="83" t="s">
        <v>339</v>
      </c>
      <c r="D58" s="84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654">
        <f>'2022-23 Input'!H58</f>
        <v>0</v>
      </c>
      <c r="N58" s="1065">
        <v>0</v>
      </c>
      <c r="O58" s="560">
        <f t="shared" si="27"/>
        <v>0</v>
      </c>
      <c r="P58" s="561">
        <f t="shared" si="0"/>
        <v>0</v>
      </c>
      <c r="Q58" s="561">
        <f t="shared" si="1"/>
        <v>0</v>
      </c>
      <c r="R58" s="561">
        <f t="shared" si="2"/>
        <v>0</v>
      </c>
      <c r="S58" s="561">
        <f t="shared" si="3"/>
        <v>0</v>
      </c>
      <c r="T58" s="561">
        <f t="shared" si="4"/>
        <v>0</v>
      </c>
      <c r="U58" s="561">
        <f t="shared" si="5"/>
        <v>0</v>
      </c>
      <c r="V58" s="561">
        <f t="shared" si="6"/>
        <v>0</v>
      </c>
      <c r="W58" s="675">
        <f t="shared" si="7"/>
        <v>0</v>
      </c>
      <c r="X58" s="675">
        <f t="shared" si="8"/>
        <v>0</v>
      </c>
      <c r="Y58" s="675">
        <f t="shared" si="8"/>
        <v>0</v>
      </c>
      <c r="Z58" s="86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1094">
        <f>'2022-23 Input'!O58</f>
        <v>0</v>
      </c>
      <c r="AJ58" s="665">
        <v>0</v>
      </c>
      <c r="AK58" s="127">
        <f t="shared" si="33"/>
        <v>0</v>
      </c>
      <c r="AL58" s="128">
        <f t="shared" si="34"/>
        <v>0</v>
      </c>
      <c r="AM58" s="129">
        <f t="shared" si="35"/>
        <v>0</v>
      </c>
      <c r="AN58" s="91" t="str">
        <f t="shared" si="36"/>
        <v/>
      </c>
      <c r="AO58" s="92" t="str">
        <f t="shared" si="37"/>
        <v/>
      </c>
      <c r="AP58" s="92" t="str">
        <f t="shared" si="38"/>
        <v/>
      </c>
      <c r="AQ58" s="92" t="str">
        <f t="shared" si="39"/>
        <v/>
      </c>
      <c r="AR58" s="92" t="str">
        <f t="shared" si="40"/>
        <v/>
      </c>
      <c r="AS58" s="92" t="str">
        <f t="shared" si="41"/>
        <v/>
      </c>
      <c r="AT58" s="92" t="str">
        <f t="shared" si="42"/>
        <v/>
      </c>
      <c r="AU58" s="92" t="str">
        <f t="shared" si="43"/>
        <v/>
      </c>
      <c r="AV58" s="92" t="str">
        <f t="shared" si="51"/>
        <v/>
      </c>
      <c r="AW58" s="92" t="str">
        <f t="shared" si="51"/>
        <v/>
      </c>
      <c r="AX58" s="92" t="str">
        <f t="shared" si="51"/>
        <v/>
      </c>
      <c r="AY58" s="93" t="str">
        <f t="shared" si="45"/>
        <v/>
      </c>
      <c r="AZ58" s="94" t="str">
        <f t="shared" si="46"/>
        <v/>
      </c>
      <c r="BA58" s="95" t="str">
        <f t="shared" si="47"/>
        <v/>
      </c>
      <c r="BB58" s="248" t="s">
        <v>422</v>
      </c>
      <c r="BC58" s="229" t="s">
        <v>433</v>
      </c>
      <c r="BD58" s="249">
        <v>0</v>
      </c>
      <c r="BE58" s="267">
        <f t="shared" si="28"/>
        <v>0</v>
      </c>
      <c r="BF58" s="268">
        <f t="shared" si="52"/>
        <v>0</v>
      </c>
      <c r="BG58" s="268">
        <f t="shared" si="52"/>
        <v>0</v>
      </c>
      <c r="BH58" s="268">
        <f t="shared" si="52"/>
        <v>1</v>
      </c>
      <c r="BI58" s="268">
        <f t="shared" si="52"/>
        <v>2</v>
      </c>
      <c r="BJ58" s="268">
        <f t="shared" si="52"/>
        <v>3</v>
      </c>
      <c r="BK58" s="268">
        <f t="shared" si="52"/>
        <v>4</v>
      </c>
      <c r="BL58" s="269">
        <f t="shared" si="52"/>
        <v>5</v>
      </c>
      <c r="BM58" s="256">
        <f>IF($BC58=Lookup!$A$2,$BD58*ROUNDUP(BE58/10,0)+1,
IF($BC58=Lookup!$A$3,($BD58+1)^BD58,
IF($BC58=Lookup!$A$4,BE58*$BD58+1,"Error")))</f>
        <v>1</v>
      </c>
      <c r="BN58" s="229">
        <f>IF($BC58=Lookup!$A$2,$BD58*ROUNDUP(BF58/10,0)+1,
IF($BC58=Lookup!$A$3,($BD58+1)^BE58,
IF($BC58=Lookup!$A$4,BF58*$BD58+1,"Error")))</f>
        <v>1</v>
      </c>
      <c r="BO58" s="229">
        <f>IF($BC58=Lookup!$A$2,$BD58*ROUNDUP(BG58/10,0)+1,
IF($BC58=Lookup!$A$3,($BD58+1)^BF58,
IF($BC58=Lookup!$A$4,BG58*$BD58+1,"Error")))</f>
        <v>1</v>
      </c>
      <c r="BP58" s="229">
        <f>IF($BC58=Lookup!$A$2,$BD58*ROUNDUP(BH58/10,0)+1,
IF($BC58=Lookup!$A$3,($BD58+1)^BG58,
IF($BC58=Lookup!$A$4,BH58*$BD58+1,"Error")))</f>
        <v>1</v>
      </c>
      <c r="BQ58" s="229">
        <f>IF($BC58=Lookup!$A$2,$BD58*ROUNDUP(BI58/10,0)+1,
IF($BC58=Lookup!$A$3,($BD58+1)^BH58,
IF($BC58=Lookup!$A$4,BI58*$BD58+1,"Error")))</f>
        <v>1</v>
      </c>
      <c r="BR58" s="229">
        <f>IF($BC58=Lookup!$A$2,$BD58*ROUNDUP(BJ58/10,0)+1,
IF($BC58=Lookup!$A$3,($BD58+1)^BI58,
IF($BC58=Lookup!$A$4,BJ58*$BD58+1,"Error")))</f>
        <v>1</v>
      </c>
      <c r="BS58" s="229">
        <f>IF($BC58=Lookup!$A$2,$BD58*ROUNDUP(BK58/10,0)+1,
IF($BC58=Lookup!$A$3,($BD58+1)^BJ58,
IF($BC58=Lookup!$A$4,BK58*$BD58+1,"Error")))</f>
        <v>1</v>
      </c>
      <c r="BT58" s="249">
        <f>IF($BC58=Lookup!$A$2,$BD58*ROUNDUP(BL58/10,0)+1,
IF($BC58=Lookup!$A$3,($BD58+1)^BK58,
IF($BC58=Lookup!$A$4,BL58*$BD58+1,"Error")))</f>
        <v>1</v>
      </c>
      <c r="BU58" s="320">
        <v>0</v>
      </c>
      <c r="BV58" s="321">
        <v>0</v>
      </c>
      <c r="BW58" s="321">
        <v>0</v>
      </c>
      <c r="BX58" s="321">
        <v>0</v>
      </c>
      <c r="BY58" s="321">
        <v>0</v>
      </c>
      <c r="BZ58" s="321">
        <v>0</v>
      </c>
      <c r="CA58" s="321">
        <v>0</v>
      </c>
      <c r="CB58" s="277">
        <v>0</v>
      </c>
      <c r="CC58" s="382" t="s">
        <v>293</v>
      </c>
      <c r="CD58" s="383">
        <f>HLOOKUP($CC58,$AK$6:$AM$132,ROWS(CD$6:CD58),0)</f>
        <v>0</v>
      </c>
      <c r="CE58" s="239">
        <f t="shared" si="29"/>
        <v>0</v>
      </c>
      <c r="CF58" s="140">
        <f t="shared" si="29"/>
        <v>0</v>
      </c>
      <c r="CG58" s="140">
        <f t="shared" si="29"/>
        <v>0</v>
      </c>
      <c r="CH58" s="140">
        <f t="shared" si="29"/>
        <v>0</v>
      </c>
      <c r="CI58" s="140">
        <f t="shared" si="50"/>
        <v>0</v>
      </c>
      <c r="CJ58" s="140">
        <f t="shared" si="50"/>
        <v>0</v>
      </c>
      <c r="CK58" s="140">
        <f t="shared" si="50"/>
        <v>0</v>
      </c>
      <c r="CL58" s="291">
        <f t="shared" si="50"/>
        <v>0</v>
      </c>
      <c r="CM58" s="305" t="s">
        <v>292</v>
      </c>
      <c r="CN58" s="315">
        <v>0.05</v>
      </c>
      <c r="CO58" s="306"/>
      <c r="CP58" s="307" t="str">
        <f>IF($CO58&lt;&gt;"",$CO58,HLOOKUP($CM58,$AY$6:$BA$132,ROWS(CP$6:CP58),0))</f>
        <v/>
      </c>
      <c r="CQ58" s="784" t="str">
        <f t="shared" si="49"/>
        <v/>
      </c>
      <c r="CR58" s="784" t="str">
        <f t="shared" si="49"/>
        <v/>
      </c>
      <c r="CS58" s="97" t="str">
        <f t="shared" si="49"/>
        <v/>
      </c>
      <c r="CT58" s="97" t="str">
        <f t="shared" si="49"/>
        <v/>
      </c>
      <c r="CU58" s="97" t="str">
        <f t="shared" si="49"/>
        <v/>
      </c>
      <c r="CV58" s="97" t="str">
        <f t="shared" si="49"/>
        <v/>
      </c>
      <c r="CW58" s="97" t="str">
        <f t="shared" si="49"/>
        <v/>
      </c>
      <c r="CX58" s="98" t="str">
        <f t="shared" si="32"/>
        <v/>
      </c>
    </row>
    <row r="59" spans="1:102" x14ac:dyDescent="0.25">
      <c r="A59" s="81" t="s">
        <v>106</v>
      </c>
      <c r="B59" s="82" t="s">
        <v>121</v>
      </c>
      <c r="C59" s="83" t="s">
        <v>341</v>
      </c>
      <c r="D59" s="84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654">
        <f>'2022-23 Input'!H59</f>
        <v>0</v>
      </c>
      <c r="N59" s="1065">
        <v>0</v>
      </c>
      <c r="O59" s="560">
        <f t="shared" si="27"/>
        <v>0</v>
      </c>
      <c r="P59" s="561">
        <f t="shared" si="0"/>
        <v>0</v>
      </c>
      <c r="Q59" s="561">
        <f t="shared" si="1"/>
        <v>0</v>
      </c>
      <c r="R59" s="561">
        <f t="shared" si="2"/>
        <v>0</v>
      </c>
      <c r="S59" s="561">
        <f t="shared" si="3"/>
        <v>0</v>
      </c>
      <c r="T59" s="561">
        <f t="shared" si="4"/>
        <v>0</v>
      </c>
      <c r="U59" s="561">
        <f t="shared" si="5"/>
        <v>0</v>
      </c>
      <c r="V59" s="561">
        <f t="shared" si="6"/>
        <v>0</v>
      </c>
      <c r="W59" s="675">
        <f t="shared" si="7"/>
        <v>0</v>
      </c>
      <c r="X59" s="675">
        <f t="shared" si="8"/>
        <v>0</v>
      </c>
      <c r="Y59" s="675">
        <f t="shared" si="8"/>
        <v>0</v>
      </c>
      <c r="Z59" s="86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1094">
        <f>'2022-23 Input'!O59</f>
        <v>0</v>
      </c>
      <c r="AJ59" s="665">
        <v>0</v>
      </c>
      <c r="AK59" s="127">
        <f t="shared" si="33"/>
        <v>0</v>
      </c>
      <c r="AL59" s="128">
        <f t="shared" si="34"/>
        <v>0</v>
      </c>
      <c r="AM59" s="129">
        <f t="shared" si="35"/>
        <v>0</v>
      </c>
      <c r="AN59" s="91" t="str">
        <f t="shared" si="36"/>
        <v/>
      </c>
      <c r="AO59" s="92" t="str">
        <f t="shared" si="37"/>
        <v/>
      </c>
      <c r="AP59" s="92" t="str">
        <f t="shared" si="38"/>
        <v/>
      </c>
      <c r="AQ59" s="92" t="str">
        <f t="shared" si="39"/>
        <v/>
      </c>
      <c r="AR59" s="92" t="str">
        <f t="shared" si="40"/>
        <v/>
      </c>
      <c r="AS59" s="92" t="str">
        <f t="shared" si="41"/>
        <v/>
      </c>
      <c r="AT59" s="92" t="str">
        <f t="shared" si="42"/>
        <v/>
      </c>
      <c r="AU59" s="92" t="str">
        <f t="shared" si="43"/>
        <v/>
      </c>
      <c r="AV59" s="92" t="str">
        <f t="shared" si="51"/>
        <v/>
      </c>
      <c r="AW59" s="92" t="str">
        <f t="shared" si="51"/>
        <v/>
      </c>
      <c r="AX59" s="92" t="str">
        <f t="shared" si="51"/>
        <v/>
      </c>
      <c r="AY59" s="93" t="str">
        <f t="shared" si="45"/>
        <v/>
      </c>
      <c r="AZ59" s="94" t="str">
        <f t="shared" si="46"/>
        <v/>
      </c>
      <c r="BA59" s="95" t="str">
        <f t="shared" si="47"/>
        <v/>
      </c>
      <c r="BB59" s="248" t="s">
        <v>422</v>
      </c>
      <c r="BC59" s="229" t="s">
        <v>433</v>
      </c>
      <c r="BD59" s="249">
        <v>0</v>
      </c>
      <c r="BE59" s="267">
        <f t="shared" si="28"/>
        <v>0</v>
      </c>
      <c r="BF59" s="268">
        <f t="shared" si="52"/>
        <v>0</v>
      </c>
      <c r="BG59" s="268">
        <f t="shared" si="52"/>
        <v>0</v>
      </c>
      <c r="BH59" s="268">
        <f t="shared" si="52"/>
        <v>1</v>
      </c>
      <c r="BI59" s="268">
        <f t="shared" si="52"/>
        <v>2</v>
      </c>
      <c r="BJ59" s="268">
        <f t="shared" si="52"/>
        <v>3</v>
      </c>
      <c r="BK59" s="268">
        <f t="shared" si="52"/>
        <v>4</v>
      </c>
      <c r="BL59" s="269">
        <f t="shared" si="52"/>
        <v>5</v>
      </c>
      <c r="BM59" s="256">
        <f>IF($BC59=Lookup!$A$2,$BD59*ROUNDUP(BE59/10,0)+1,
IF($BC59=Lookup!$A$3,($BD59+1)^BD59,
IF($BC59=Lookup!$A$4,BE59*$BD59+1,"Error")))</f>
        <v>1</v>
      </c>
      <c r="BN59" s="229">
        <f>IF($BC59=Lookup!$A$2,$BD59*ROUNDUP(BF59/10,0)+1,
IF($BC59=Lookup!$A$3,($BD59+1)^BE59,
IF($BC59=Lookup!$A$4,BF59*$BD59+1,"Error")))</f>
        <v>1</v>
      </c>
      <c r="BO59" s="229">
        <f>IF($BC59=Lookup!$A$2,$BD59*ROUNDUP(BG59/10,0)+1,
IF($BC59=Lookup!$A$3,($BD59+1)^BF59,
IF($BC59=Lookup!$A$4,BG59*$BD59+1,"Error")))</f>
        <v>1</v>
      </c>
      <c r="BP59" s="229">
        <f>IF($BC59=Lookup!$A$2,$BD59*ROUNDUP(BH59/10,0)+1,
IF($BC59=Lookup!$A$3,($BD59+1)^BG59,
IF($BC59=Lookup!$A$4,BH59*$BD59+1,"Error")))</f>
        <v>1</v>
      </c>
      <c r="BQ59" s="229">
        <f>IF($BC59=Lookup!$A$2,$BD59*ROUNDUP(BI59/10,0)+1,
IF($BC59=Lookup!$A$3,($BD59+1)^BH59,
IF($BC59=Lookup!$A$4,BI59*$BD59+1,"Error")))</f>
        <v>1</v>
      </c>
      <c r="BR59" s="229">
        <f>IF($BC59=Lookup!$A$2,$BD59*ROUNDUP(BJ59/10,0)+1,
IF($BC59=Lookup!$A$3,($BD59+1)^BI59,
IF($BC59=Lookup!$A$4,BJ59*$BD59+1,"Error")))</f>
        <v>1</v>
      </c>
      <c r="BS59" s="229">
        <f>IF($BC59=Lookup!$A$2,$BD59*ROUNDUP(BK59/10,0)+1,
IF($BC59=Lookup!$A$3,($BD59+1)^BJ59,
IF($BC59=Lookup!$A$4,BK59*$BD59+1,"Error")))</f>
        <v>1</v>
      </c>
      <c r="BT59" s="249">
        <f>IF($BC59=Lookup!$A$2,$BD59*ROUNDUP(BL59/10,0)+1,
IF($BC59=Lookup!$A$3,($BD59+1)^BK59,
IF($BC59=Lookup!$A$4,BL59*$BD59+1,"Error")))</f>
        <v>1</v>
      </c>
      <c r="BU59" s="320">
        <v>0</v>
      </c>
      <c r="BV59" s="321">
        <v>0</v>
      </c>
      <c r="BW59" s="321">
        <v>0</v>
      </c>
      <c r="BX59" s="321">
        <v>0</v>
      </c>
      <c r="BY59" s="321">
        <v>0</v>
      </c>
      <c r="BZ59" s="321">
        <v>0</v>
      </c>
      <c r="CA59" s="321">
        <v>0</v>
      </c>
      <c r="CB59" s="277">
        <v>0</v>
      </c>
      <c r="CC59" s="382" t="s">
        <v>293</v>
      </c>
      <c r="CD59" s="383">
        <f>HLOOKUP($CC59,$AK$6:$AM$132,ROWS(CD$6:CD59),0)</f>
        <v>0</v>
      </c>
      <c r="CE59" s="239">
        <f t="shared" si="29"/>
        <v>0</v>
      </c>
      <c r="CF59" s="140">
        <f t="shared" si="29"/>
        <v>0</v>
      </c>
      <c r="CG59" s="140">
        <f t="shared" si="29"/>
        <v>0</v>
      </c>
      <c r="CH59" s="140">
        <f t="shared" si="29"/>
        <v>0</v>
      </c>
      <c r="CI59" s="140">
        <f t="shared" si="50"/>
        <v>0</v>
      </c>
      <c r="CJ59" s="140">
        <f t="shared" si="50"/>
        <v>0</v>
      </c>
      <c r="CK59" s="140">
        <f t="shared" si="50"/>
        <v>0</v>
      </c>
      <c r="CL59" s="291">
        <f t="shared" si="50"/>
        <v>0</v>
      </c>
      <c r="CM59" s="305" t="s">
        <v>292</v>
      </c>
      <c r="CN59" s="315">
        <v>0.05</v>
      </c>
      <c r="CO59" s="306"/>
      <c r="CP59" s="307" t="str">
        <f>IF($CO59&lt;&gt;"",$CO59,HLOOKUP($CM59,$AY$6:$BA$132,ROWS(CP$6:CP59),0))</f>
        <v/>
      </c>
      <c r="CQ59" s="784" t="str">
        <f t="shared" si="49"/>
        <v/>
      </c>
      <c r="CR59" s="784" t="str">
        <f t="shared" si="49"/>
        <v/>
      </c>
      <c r="CS59" s="97" t="str">
        <f t="shared" si="49"/>
        <v/>
      </c>
      <c r="CT59" s="97" t="str">
        <f t="shared" si="49"/>
        <v/>
      </c>
      <c r="CU59" s="97" t="str">
        <f t="shared" si="49"/>
        <v/>
      </c>
      <c r="CV59" s="97" t="str">
        <f t="shared" si="49"/>
        <v/>
      </c>
      <c r="CW59" s="97" t="str">
        <f t="shared" si="49"/>
        <v/>
      </c>
      <c r="CX59" s="98" t="str">
        <f t="shared" si="32"/>
        <v/>
      </c>
    </row>
    <row r="60" spans="1:102" x14ac:dyDescent="0.25">
      <c r="A60" s="81" t="s">
        <v>106</v>
      </c>
      <c r="B60" s="82" t="s">
        <v>123</v>
      </c>
      <c r="C60" s="83" t="s">
        <v>343</v>
      </c>
      <c r="D60" s="84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654">
        <f>'2022-23 Input'!H60</f>
        <v>0</v>
      </c>
      <c r="N60" s="1065">
        <v>0</v>
      </c>
      <c r="O60" s="560">
        <f t="shared" si="27"/>
        <v>0</v>
      </c>
      <c r="P60" s="561">
        <f t="shared" si="0"/>
        <v>0</v>
      </c>
      <c r="Q60" s="561">
        <f t="shared" si="1"/>
        <v>0</v>
      </c>
      <c r="R60" s="561">
        <f t="shared" si="2"/>
        <v>0</v>
      </c>
      <c r="S60" s="561">
        <f t="shared" si="3"/>
        <v>0</v>
      </c>
      <c r="T60" s="561">
        <f t="shared" si="4"/>
        <v>0</v>
      </c>
      <c r="U60" s="561">
        <f t="shared" si="5"/>
        <v>0</v>
      </c>
      <c r="V60" s="561">
        <f t="shared" si="6"/>
        <v>0</v>
      </c>
      <c r="W60" s="675">
        <f t="shared" si="7"/>
        <v>0</v>
      </c>
      <c r="X60" s="675">
        <f t="shared" si="8"/>
        <v>0</v>
      </c>
      <c r="Y60" s="675">
        <f t="shared" si="8"/>
        <v>0</v>
      </c>
      <c r="Z60" s="86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1094">
        <f>'2022-23 Input'!O60</f>
        <v>0</v>
      </c>
      <c r="AJ60" s="665">
        <v>0</v>
      </c>
      <c r="AK60" s="127">
        <f t="shared" si="33"/>
        <v>0</v>
      </c>
      <c r="AL60" s="128">
        <f t="shared" si="34"/>
        <v>0</v>
      </c>
      <c r="AM60" s="129">
        <f t="shared" si="35"/>
        <v>0</v>
      </c>
      <c r="AN60" s="91" t="str">
        <f t="shared" si="36"/>
        <v/>
      </c>
      <c r="AO60" s="92" t="str">
        <f t="shared" si="37"/>
        <v/>
      </c>
      <c r="AP60" s="92" t="str">
        <f t="shared" si="38"/>
        <v/>
      </c>
      <c r="AQ60" s="92" t="str">
        <f t="shared" si="39"/>
        <v/>
      </c>
      <c r="AR60" s="92" t="str">
        <f t="shared" si="40"/>
        <v/>
      </c>
      <c r="AS60" s="92" t="str">
        <f t="shared" si="41"/>
        <v/>
      </c>
      <c r="AT60" s="92" t="str">
        <f t="shared" si="42"/>
        <v/>
      </c>
      <c r="AU60" s="92" t="str">
        <f t="shared" si="43"/>
        <v/>
      </c>
      <c r="AV60" s="92" t="str">
        <f t="shared" si="51"/>
        <v/>
      </c>
      <c r="AW60" s="92" t="str">
        <f t="shared" si="51"/>
        <v/>
      </c>
      <c r="AX60" s="92" t="str">
        <f t="shared" si="51"/>
        <v/>
      </c>
      <c r="AY60" s="93" t="str">
        <f t="shared" si="45"/>
        <v/>
      </c>
      <c r="AZ60" s="94" t="str">
        <f t="shared" si="46"/>
        <v/>
      </c>
      <c r="BA60" s="95" t="str">
        <f t="shared" si="47"/>
        <v/>
      </c>
      <c r="BB60" s="248" t="s">
        <v>422</v>
      </c>
      <c r="BC60" s="229" t="s">
        <v>433</v>
      </c>
      <c r="BD60" s="249">
        <v>0</v>
      </c>
      <c r="BE60" s="267">
        <f t="shared" si="28"/>
        <v>0</v>
      </c>
      <c r="BF60" s="268">
        <f t="shared" si="52"/>
        <v>0</v>
      </c>
      <c r="BG60" s="268">
        <f t="shared" si="52"/>
        <v>0</v>
      </c>
      <c r="BH60" s="268">
        <f t="shared" si="52"/>
        <v>1</v>
      </c>
      <c r="BI60" s="268">
        <f t="shared" si="52"/>
        <v>2</v>
      </c>
      <c r="BJ60" s="268">
        <f t="shared" si="52"/>
        <v>3</v>
      </c>
      <c r="BK60" s="268">
        <f t="shared" si="52"/>
        <v>4</v>
      </c>
      <c r="BL60" s="269">
        <f t="shared" si="52"/>
        <v>5</v>
      </c>
      <c r="BM60" s="256">
        <f>IF($BC60=Lookup!$A$2,$BD60*ROUNDUP(BE60/10,0)+1,
IF($BC60=Lookup!$A$3,($BD60+1)^BD60,
IF($BC60=Lookup!$A$4,BE60*$BD60+1,"Error")))</f>
        <v>1</v>
      </c>
      <c r="BN60" s="229">
        <f>IF($BC60=Lookup!$A$2,$BD60*ROUNDUP(BF60/10,0)+1,
IF($BC60=Lookup!$A$3,($BD60+1)^BE60,
IF($BC60=Lookup!$A$4,BF60*$BD60+1,"Error")))</f>
        <v>1</v>
      </c>
      <c r="BO60" s="229">
        <f>IF($BC60=Lookup!$A$2,$BD60*ROUNDUP(BG60/10,0)+1,
IF($BC60=Lookup!$A$3,($BD60+1)^BF60,
IF($BC60=Lookup!$A$4,BG60*$BD60+1,"Error")))</f>
        <v>1</v>
      </c>
      <c r="BP60" s="229">
        <f>IF($BC60=Lookup!$A$2,$BD60*ROUNDUP(BH60/10,0)+1,
IF($BC60=Lookup!$A$3,($BD60+1)^BG60,
IF($BC60=Lookup!$A$4,BH60*$BD60+1,"Error")))</f>
        <v>1</v>
      </c>
      <c r="BQ60" s="229">
        <f>IF($BC60=Lookup!$A$2,$BD60*ROUNDUP(BI60/10,0)+1,
IF($BC60=Lookup!$A$3,($BD60+1)^BH60,
IF($BC60=Lookup!$A$4,BI60*$BD60+1,"Error")))</f>
        <v>1</v>
      </c>
      <c r="BR60" s="229">
        <f>IF($BC60=Lookup!$A$2,$BD60*ROUNDUP(BJ60/10,0)+1,
IF($BC60=Lookup!$A$3,($BD60+1)^BI60,
IF($BC60=Lookup!$A$4,BJ60*$BD60+1,"Error")))</f>
        <v>1</v>
      </c>
      <c r="BS60" s="229">
        <f>IF($BC60=Lookup!$A$2,$BD60*ROUNDUP(BK60/10,0)+1,
IF($BC60=Lookup!$A$3,($BD60+1)^BJ60,
IF($BC60=Lookup!$A$4,BK60*$BD60+1,"Error")))</f>
        <v>1</v>
      </c>
      <c r="BT60" s="249">
        <f>IF($BC60=Lookup!$A$2,$BD60*ROUNDUP(BL60/10,0)+1,
IF($BC60=Lookup!$A$3,($BD60+1)^BK60,
IF($BC60=Lookup!$A$4,BL60*$BD60+1,"Error")))</f>
        <v>1</v>
      </c>
      <c r="BU60" s="320">
        <v>0</v>
      </c>
      <c r="BV60" s="321">
        <v>0</v>
      </c>
      <c r="BW60" s="321">
        <v>0</v>
      </c>
      <c r="BX60" s="321">
        <v>0</v>
      </c>
      <c r="BY60" s="321">
        <v>0</v>
      </c>
      <c r="BZ60" s="321">
        <v>0</v>
      </c>
      <c r="CA60" s="321">
        <v>0</v>
      </c>
      <c r="CB60" s="277">
        <v>0</v>
      </c>
      <c r="CC60" s="382" t="s">
        <v>293</v>
      </c>
      <c r="CD60" s="383">
        <f>HLOOKUP($CC60,$AK$6:$AM$132,ROWS(CD$6:CD60),0)</f>
        <v>0</v>
      </c>
      <c r="CE60" s="239">
        <f t="shared" si="29"/>
        <v>0</v>
      </c>
      <c r="CF60" s="140">
        <f t="shared" si="29"/>
        <v>0</v>
      </c>
      <c r="CG60" s="140">
        <f t="shared" si="29"/>
        <v>0</v>
      </c>
      <c r="CH60" s="140">
        <f t="shared" si="29"/>
        <v>0</v>
      </c>
      <c r="CI60" s="140">
        <f t="shared" si="50"/>
        <v>0</v>
      </c>
      <c r="CJ60" s="140">
        <f t="shared" si="50"/>
        <v>0</v>
      </c>
      <c r="CK60" s="140">
        <f t="shared" si="50"/>
        <v>0</v>
      </c>
      <c r="CL60" s="291">
        <f t="shared" si="50"/>
        <v>0</v>
      </c>
      <c r="CM60" s="305" t="s">
        <v>292</v>
      </c>
      <c r="CN60" s="315">
        <v>0.05</v>
      </c>
      <c r="CO60" s="306"/>
      <c r="CP60" s="307" t="str">
        <f>IF($CO60&lt;&gt;"",$CO60,HLOOKUP($CM60,$AY$6:$BA$132,ROWS(CP$6:CP60),0))</f>
        <v/>
      </c>
      <c r="CQ60" s="784" t="str">
        <f t="shared" si="49"/>
        <v/>
      </c>
      <c r="CR60" s="784" t="str">
        <f t="shared" si="49"/>
        <v/>
      </c>
      <c r="CS60" s="97" t="str">
        <f t="shared" si="49"/>
        <v/>
      </c>
      <c r="CT60" s="97" t="str">
        <f t="shared" si="49"/>
        <v/>
      </c>
      <c r="CU60" s="97" t="str">
        <f t="shared" si="49"/>
        <v/>
      </c>
      <c r="CV60" s="97" t="str">
        <f t="shared" si="49"/>
        <v/>
      </c>
      <c r="CW60" s="97" t="str">
        <f t="shared" si="49"/>
        <v/>
      </c>
      <c r="CX60" s="98" t="str">
        <f t="shared" si="32"/>
        <v/>
      </c>
    </row>
    <row r="61" spans="1:102" x14ac:dyDescent="0.25">
      <c r="A61" s="81" t="s">
        <v>106</v>
      </c>
      <c r="B61" s="82" t="s">
        <v>125</v>
      </c>
      <c r="C61" s="83" t="s">
        <v>345</v>
      </c>
      <c r="D61" s="84">
        <v>0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654">
        <f>'2022-23 Input'!H61</f>
        <v>0</v>
      </c>
      <c r="N61" s="1065">
        <v>0</v>
      </c>
      <c r="O61" s="560">
        <f t="shared" si="27"/>
        <v>0</v>
      </c>
      <c r="P61" s="561">
        <f t="shared" si="0"/>
        <v>0</v>
      </c>
      <c r="Q61" s="561">
        <f t="shared" si="1"/>
        <v>0</v>
      </c>
      <c r="R61" s="561">
        <f t="shared" si="2"/>
        <v>0</v>
      </c>
      <c r="S61" s="561">
        <f t="shared" si="3"/>
        <v>0</v>
      </c>
      <c r="T61" s="561">
        <f t="shared" si="4"/>
        <v>0</v>
      </c>
      <c r="U61" s="561">
        <f t="shared" si="5"/>
        <v>0</v>
      </c>
      <c r="V61" s="561">
        <f t="shared" si="6"/>
        <v>0</v>
      </c>
      <c r="W61" s="675">
        <f t="shared" si="7"/>
        <v>0</v>
      </c>
      <c r="X61" s="675">
        <f t="shared" si="8"/>
        <v>0</v>
      </c>
      <c r="Y61" s="675">
        <f t="shared" si="8"/>
        <v>0</v>
      </c>
      <c r="Z61" s="86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1094">
        <f>'2022-23 Input'!O61</f>
        <v>0</v>
      </c>
      <c r="AJ61" s="665">
        <v>0</v>
      </c>
      <c r="AK61" s="127">
        <f t="shared" si="33"/>
        <v>0</v>
      </c>
      <c r="AL61" s="128">
        <f t="shared" si="34"/>
        <v>0</v>
      </c>
      <c r="AM61" s="129">
        <f t="shared" si="35"/>
        <v>0</v>
      </c>
      <c r="AN61" s="91" t="str">
        <f t="shared" si="36"/>
        <v/>
      </c>
      <c r="AO61" s="92" t="str">
        <f t="shared" si="37"/>
        <v/>
      </c>
      <c r="AP61" s="92" t="str">
        <f t="shared" si="38"/>
        <v/>
      </c>
      <c r="AQ61" s="92" t="str">
        <f t="shared" si="39"/>
        <v/>
      </c>
      <c r="AR61" s="92" t="str">
        <f t="shared" si="40"/>
        <v/>
      </c>
      <c r="AS61" s="92" t="str">
        <f t="shared" si="41"/>
        <v/>
      </c>
      <c r="AT61" s="92" t="str">
        <f t="shared" si="42"/>
        <v/>
      </c>
      <c r="AU61" s="92" t="str">
        <f t="shared" si="43"/>
        <v/>
      </c>
      <c r="AV61" s="92" t="str">
        <f t="shared" si="51"/>
        <v/>
      </c>
      <c r="AW61" s="92" t="str">
        <f t="shared" si="51"/>
        <v/>
      </c>
      <c r="AX61" s="92" t="str">
        <f t="shared" si="51"/>
        <v/>
      </c>
      <c r="AY61" s="93" t="str">
        <f t="shared" si="45"/>
        <v/>
      </c>
      <c r="AZ61" s="94" t="str">
        <f t="shared" si="46"/>
        <v/>
      </c>
      <c r="BA61" s="95" t="str">
        <f t="shared" si="47"/>
        <v/>
      </c>
      <c r="BB61" s="248" t="s">
        <v>422</v>
      </c>
      <c r="BC61" s="229" t="s">
        <v>433</v>
      </c>
      <c r="BD61" s="249">
        <v>0</v>
      </c>
      <c r="BE61" s="267">
        <f t="shared" si="28"/>
        <v>0</v>
      </c>
      <c r="BF61" s="268">
        <f t="shared" si="52"/>
        <v>0</v>
      </c>
      <c r="BG61" s="268">
        <f t="shared" si="52"/>
        <v>0</v>
      </c>
      <c r="BH61" s="268">
        <f t="shared" si="52"/>
        <v>1</v>
      </c>
      <c r="BI61" s="268">
        <f t="shared" si="52"/>
        <v>2</v>
      </c>
      <c r="BJ61" s="268">
        <f t="shared" si="52"/>
        <v>3</v>
      </c>
      <c r="BK61" s="268">
        <f t="shared" si="52"/>
        <v>4</v>
      </c>
      <c r="BL61" s="269">
        <f t="shared" si="52"/>
        <v>5</v>
      </c>
      <c r="BM61" s="256">
        <f>IF($BC61=Lookup!$A$2,$BD61*ROUNDUP(BE61/10,0)+1,
IF($BC61=Lookup!$A$3,($BD61+1)^BD61,
IF($BC61=Lookup!$A$4,BE61*$BD61+1,"Error")))</f>
        <v>1</v>
      </c>
      <c r="BN61" s="229">
        <f>IF($BC61=Lookup!$A$2,$BD61*ROUNDUP(BF61/10,0)+1,
IF($BC61=Lookup!$A$3,($BD61+1)^BE61,
IF($BC61=Lookup!$A$4,BF61*$BD61+1,"Error")))</f>
        <v>1</v>
      </c>
      <c r="BO61" s="229">
        <f>IF($BC61=Lookup!$A$2,$BD61*ROUNDUP(BG61/10,0)+1,
IF($BC61=Lookup!$A$3,($BD61+1)^BF61,
IF($BC61=Lookup!$A$4,BG61*$BD61+1,"Error")))</f>
        <v>1</v>
      </c>
      <c r="BP61" s="229">
        <f>IF($BC61=Lookup!$A$2,$BD61*ROUNDUP(BH61/10,0)+1,
IF($BC61=Lookup!$A$3,($BD61+1)^BG61,
IF($BC61=Lookup!$A$4,BH61*$BD61+1,"Error")))</f>
        <v>1</v>
      </c>
      <c r="BQ61" s="229">
        <f>IF($BC61=Lookup!$A$2,$BD61*ROUNDUP(BI61/10,0)+1,
IF($BC61=Lookup!$A$3,($BD61+1)^BH61,
IF($BC61=Lookup!$A$4,BI61*$BD61+1,"Error")))</f>
        <v>1</v>
      </c>
      <c r="BR61" s="229">
        <f>IF($BC61=Lookup!$A$2,$BD61*ROUNDUP(BJ61/10,0)+1,
IF($BC61=Lookup!$A$3,($BD61+1)^BI61,
IF($BC61=Lookup!$A$4,BJ61*$BD61+1,"Error")))</f>
        <v>1</v>
      </c>
      <c r="BS61" s="229">
        <f>IF($BC61=Lookup!$A$2,$BD61*ROUNDUP(BK61/10,0)+1,
IF($BC61=Lookup!$A$3,($BD61+1)^BJ61,
IF($BC61=Lookup!$A$4,BK61*$BD61+1,"Error")))</f>
        <v>1</v>
      </c>
      <c r="BT61" s="249">
        <f>IF($BC61=Lookup!$A$2,$BD61*ROUNDUP(BL61/10,0)+1,
IF($BC61=Lookup!$A$3,($BD61+1)^BK61,
IF($BC61=Lookup!$A$4,BL61*$BD61+1,"Error")))</f>
        <v>1</v>
      </c>
      <c r="BU61" s="320">
        <v>0</v>
      </c>
      <c r="BV61" s="321">
        <v>0</v>
      </c>
      <c r="BW61" s="321">
        <v>0</v>
      </c>
      <c r="BX61" s="321">
        <v>0</v>
      </c>
      <c r="BY61" s="321">
        <v>0</v>
      </c>
      <c r="BZ61" s="321">
        <v>0</v>
      </c>
      <c r="CA61" s="321">
        <v>0</v>
      </c>
      <c r="CB61" s="277">
        <v>0</v>
      </c>
      <c r="CC61" s="382" t="s">
        <v>293</v>
      </c>
      <c r="CD61" s="383">
        <f>HLOOKUP($CC61,$AK$6:$AM$132,ROWS(CD$6:CD61),0)</f>
        <v>0</v>
      </c>
      <c r="CE61" s="239">
        <f t="shared" si="29"/>
        <v>0</v>
      </c>
      <c r="CF61" s="140">
        <f t="shared" si="29"/>
        <v>0</v>
      </c>
      <c r="CG61" s="140">
        <f t="shared" si="29"/>
        <v>0</v>
      </c>
      <c r="CH61" s="140">
        <f t="shared" si="29"/>
        <v>0</v>
      </c>
      <c r="CI61" s="140">
        <f t="shared" si="50"/>
        <v>0</v>
      </c>
      <c r="CJ61" s="140">
        <f t="shared" si="50"/>
        <v>0</v>
      </c>
      <c r="CK61" s="140">
        <f t="shared" si="50"/>
        <v>0</v>
      </c>
      <c r="CL61" s="291">
        <f t="shared" si="50"/>
        <v>0</v>
      </c>
      <c r="CM61" s="305" t="s">
        <v>292</v>
      </c>
      <c r="CN61" s="315">
        <v>0.05</v>
      </c>
      <c r="CO61" s="306"/>
      <c r="CP61" s="307" t="str">
        <f>IF($CO61&lt;&gt;"",$CO61,HLOOKUP($CM61,$AY$6:$BA$132,ROWS(CP$6:CP61),0))</f>
        <v/>
      </c>
      <c r="CQ61" s="784" t="str">
        <f t="shared" si="49"/>
        <v/>
      </c>
      <c r="CR61" s="784" t="str">
        <f t="shared" si="49"/>
        <v/>
      </c>
      <c r="CS61" s="97" t="str">
        <f t="shared" si="49"/>
        <v/>
      </c>
      <c r="CT61" s="97" t="str">
        <f t="shared" si="49"/>
        <v/>
      </c>
      <c r="CU61" s="97" t="str">
        <f t="shared" si="49"/>
        <v/>
      </c>
      <c r="CV61" s="97" t="str">
        <f t="shared" si="49"/>
        <v/>
      </c>
      <c r="CW61" s="97" t="str">
        <f t="shared" si="49"/>
        <v/>
      </c>
      <c r="CX61" s="98" t="str">
        <f t="shared" si="32"/>
        <v/>
      </c>
    </row>
    <row r="62" spans="1:102" x14ac:dyDescent="0.25">
      <c r="A62" s="81" t="s">
        <v>106</v>
      </c>
      <c r="B62" s="82" t="s">
        <v>127</v>
      </c>
      <c r="C62" s="83" t="s">
        <v>347</v>
      </c>
      <c r="D62" s="84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654">
        <f>'2022-23 Input'!H62</f>
        <v>0</v>
      </c>
      <c r="N62" s="1065">
        <v>0</v>
      </c>
      <c r="O62" s="560">
        <f t="shared" si="27"/>
        <v>0</v>
      </c>
      <c r="P62" s="561">
        <f t="shared" si="0"/>
        <v>0</v>
      </c>
      <c r="Q62" s="561">
        <f t="shared" si="1"/>
        <v>0</v>
      </c>
      <c r="R62" s="561">
        <f t="shared" si="2"/>
        <v>0</v>
      </c>
      <c r="S62" s="561">
        <f t="shared" si="3"/>
        <v>0</v>
      </c>
      <c r="T62" s="561">
        <f t="shared" si="4"/>
        <v>0</v>
      </c>
      <c r="U62" s="561">
        <f t="shared" si="5"/>
        <v>0</v>
      </c>
      <c r="V62" s="561">
        <f t="shared" si="6"/>
        <v>0</v>
      </c>
      <c r="W62" s="675">
        <f t="shared" si="7"/>
        <v>0</v>
      </c>
      <c r="X62" s="675">
        <f t="shared" si="8"/>
        <v>0</v>
      </c>
      <c r="Y62" s="675">
        <f t="shared" si="8"/>
        <v>0</v>
      </c>
      <c r="Z62" s="86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1094">
        <f>'2022-23 Input'!O62</f>
        <v>0</v>
      </c>
      <c r="AJ62" s="665">
        <v>0</v>
      </c>
      <c r="AK62" s="127">
        <f t="shared" si="33"/>
        <v>0</v>
      </c>
      <c r="AL62" s="128">
        <f t="shared" si="34"/>
        <v>0</v>
      </c>
      <c r="AM62" s="129">
        <f t="shared" si="35"/>
        <v>0</v>
      </c>
      <c r="AN62" s="91" t="str">
        <f t="shared" si="36"/>
        <v/>
      </c>
      <c r="AO62" s="92" t="str">
        <f t="shared" si="37"/>
        <v/>
      </c>
      <c r="AP62" s="92" t="str">
        <f t="shared" si="38"/>
        <v/>
      </c>
      <c r="AQ62" s="92" t="str">
        <f t="shared" si="39"/>
        <v/>
      </c>
      <c r="AR62" s="92" t="str">
        <f t="shared" si="40"/>
        <v/>
      </c>
      <c r="AS62" s="92" t="str">
        <f t="shared" si="41"/>
        <v/>
      </c>
      <c r="AT62" s="92" t="str">
        <f t="shared" si="42"/>
        <v/>
      </c>
      <c r="AU62" s="92" t="str">
        <f t="shared" si="43"/>
        <v/>
      </c>
      <c r="AV62" s="92" t="str">
        <f t="shared" si="51"/>
        <v/>
      </c>
      <c r="AW62" s="92" t="str">
        <f t="shared" si="51"/>
        <v/>
      </c>
      <c r="AX62" s="92" t="str">
        <f t="shared" si="51"/>
        <v/>
      </c>
      <c r="AY62" s="93" t="str">
        <f t="shared" si="45"/>
        <v/>
      </c>
      <c r="AZ62" s="94" t="str">
        <f t="shared" si="46"/>
        <v/>
      </c>
      <c r="BA62" s="95" t="str">
        <f t="shared" si="47"/>
        <v/>
      </c>
      <c r="BB62" s="248" t="s">
        <v>422</v>
      </c>
      <c r="BC62" s="229" t="s">
        <v>433</v>
      </c>
      <c r="BD62" s="249">
        <v>0</v>
      </c>
      <c r="BE62" s="267">
        <f t="shared" si="28"/>
        <v>0</v>
      </c>
      <c r="BF62" s="268">
        <f t="shared" si="52"/>
        <v>0</v>
      </c>
      <c r="BG62" s="268">
        <f t="shared" si="52"/>
        <v>0</v>
      </c>
      <c r="BH62" s="268">
        <f t="shared" si="52"/>
        <v>1</v>
      </c>
      <c r="BI62" s="268">
        <f t="shared" si="52"/>
        <v>2</v>
      </c>
      <c r="BJ62" s="268">
        <f t="shared" si="52"/>
        <v>3</v>
      </c>
      <c r="BK62" s="268">
        <f t="shared" si="52"/>
        <v>4</v>
      </c>
      <c r="BL62" s="269">
        <f t="shared" si="52"/>
        <v>5</v>
      </c>
      <c r="BM62" s="256">
        <f>IF($BC62=Lookup!$A$2,$BD62*ROUNDUP(BE62/10,0)+1,
IF($BC62=Lookup!$A$3,($BD62+1)^BD62,
IF($BC62=Lookup!$A$4,BE62*$BD62+1,"Error")))</f>
        <v>1</v>
      </c>
      <c r="BN62" s="229">
        <f>IF($BC62=Lookup!$A$2,$BD62*ROUNDUP(BF62/10,0)+1,
IF($BC62=Lookup!$A$3,($BD62+1)^BE62,
IF($BC62=Lookup!$A$4,BF62*$BD62+1,"Error")))</f>
        <v>1</v>
      </c>
      <c r="BO62" s="229">
        <f>IF($BC62=Lookup!$A$2,$BD62*ROUNDUP(BG62/10,0)+1,
IF($BC62=Lookup!$A$3,($BD62+1)^BF62,
IF($BC62=Lookup!$A$4,BG62*$BD62+1,"Error")))</f>
        <v>1</v>
      </c>
      <c r="BP62" s="229">
        <f>IF($BC62=Lookup!$A$2,$BD62*ROUNDUP(BH62/10,0)+1,
IF($BC62=Lookup!$A$3,($BD62+1)^BG62,
IF($BC62=Lookup!$A$4,BH62*$BD62+1,"Error")))</f>
        <v>1</v>
      </c>
      <c r="BQ62" s="229">
        <f>IF($BC62=Lookup!$A$2,$BD62*ROUNDUP(BI62/10,0)+1,
IF($BC62=Lookup!$A$3,($BD62+1)^BH62,
IF($BC62=Lookup!$A$4,BI62*$BD62+1,"Error")))</f>
        <v>1</v>
      </c>
      <c r="BR62" s="229">
        <f>IF($BC62=Lookup!$A$2,$BD62*ROUNDUP(BJ62/10,0)+1,
IF($BC62=Lookup!$A$3,($BD62+1)^BI62,
IF($BC62=Lookup!$A$4,BJ62*$BD62+1,"Error")))</f>
        <v>1</v>
      </c>
      <c r="BS62" s="229">
        <f>IF($BC62=Lookup!$A$2,$BD62*ROUNDUP(BK62/10,0)+1,
IF($BC62=Lookup!$A$3,($BD62+1)^BJ62,
IF($BC62=Lookup!$A$4,BK62*$BD62+1,"Error")))</f>
        <v>1</v>
      </c>
      <c r="BT62" s="249">
        <f>IF($BC62=Lookup!$A$2,$BD62*ROUNDUP(BL62/10,0)+1,
IF($BC62=Lookup!$A$3,($BD62+1)^BK62,
IF($BC62=Lookup!$A$4,BL62*$BD62+1,"Error")))</f>
        <v>1</v>
      </c>
      <c r="BU62" s="320">
        <v>0</v>
      </c>
      <c r="BV62" s="321">
        <v>0</v>
      </c>
      <c r="BW62" s="321">
        <v>0</v>
      </c>
      <c r="BX62" s="321">
        <v>0</v>
      </c>
      <c r="BY62" s="321">
        <v>0</v>
      </c>
      <c r="BZ62" s="321">
        <v>0</v>
      </c>
      <c r="CA62" s="321">
        <v>0</v>
      </c>
      <c r="CB62" s="277">
        <v>0</v>
      </c>
      <c r="CC62" s="382" t="s">
        <v>293</v>
      </c>
      <c r="CD62" s="383">
        <f>HLOOKUP($CC62,$AK$6:$AM$132,ROWS(CD$6:CD62),0)</f>
        <v>0</v>
      </c>
      <c r="CE62" s="239">
        <f t="shared" si="29"/>
        <v>0</v>
      </c>
      <c r="CF62" s="140">
        <f t="shared" si="29"/>
        <v>0</v>
      </c>
      <c r="CG62" s="140">
        <f t="shared" si="29"/>
        <v>0</v>
      </c>
      <c r="CH62" s="140">
        <f t="shared" si="29"/>
        <v>0</v>
      </c>
      <c r="CI62" s="140">
        <f t="shared" si="50"/>
        <v>0</v>
      </c>
      <c r="CJ62" s="140">
        <f t="shared" si="50"/>
        <v>0</v>
      </c>
      <c r="CK62" s="140">
        <f t="shared" si="50"/>
        <v>0</v>
      </c>
      <c r="CL62" s="291">
        <f t="shared" si="50"/>
        <v>0</v>
      </c>
      <c r="CM62" s="305" t="s">
        <v>292</v>
      </c>
      <c r="CN62" s="315">
        <v>0.05</v>
      </c>
      <c r="CO62" s="306"/>
      <c r="CP62" s="307" t="str">
        <f>IF($CO62&lt;&gt;"",$CO62,HLOOKUP($CM62,$AY$6:$BA$132,ROWS(CP$6:CP62),0))</f>
        <v/>
      </c>
      <c r="CQ62" s="784" t="str">
        <f t="shared" si="49"/>
        <v/>
      </c>
      <c r="CR62" s="784" t="str">
        <f t="shared" si="49"/>
        <v/>
      </c>
      <c r="CS62" s="97" t="str">
        <f t="shared" si="49"/>
        <v/>
      </c>
      <c r="CT62" s="97" t="str">
        <f t="shared" si="49"/>
        <v/>
      </c>
      <c r="CU62" s="97" t="str">
        <f t="shared" si="49"/>
        <v/>
      </c>
      <c r="CV62" s="97" t="str">
        <f t="shared" si="49"/>
        <v/>
      </c>
      <c r="CW62" s="97" t="str">
        <f t="shared" si="49"/>
        <v/>
      </c>
      <c r="CX62" s="98" t="str">
        <f t="shared" si="32"/>
        <v/>
      </c>
    </row>
    <row r="63" spans="1:102" x14ac:dyDescent="0.25">
      <c r="A63" s="81" t="s">
        <v>106</v>
      </c>
      <c r="B63" s="82" t="s">
        <v>129</v>
      </c>
      <c r="C63" s="83" t="s">
        <v>349</v>
      </c>
      <c r="D63" s="84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654">
        <f>'2022-23 Input'!H63</f>
        <v>0</v>
      </c>
      <c r="N63" s="1065">
        <v>0</v>
      </c>
      <c r="O63" s="560">
        <f t="shared" si="27"/>
        <v>0</v>
      </c>
      <c r="P63" s="561">
        <f t="shared" si="0"/>
        <v>0</v>
      </c>
      <c r="Q63" s="561">
        <f t="shared" si="1"/>
        <v>0</v>
      </c>
      <c r="R63" s="561">
        <f t="shared" si="2"/>
        <v>0</v>
      </c>
      <c r="S63" s="561">
        <f t="shared" si="3"/>
        <v>0</v>
      </c>
      <c r="T63" s="561">
        <f t="shared" si="4"/>
        <v>0</v>
      </c>
      <c r="U63" s="561">
        <f t="shared" si="5"/>
        <v>0</v>
      </c>
      <c r="V63" s="561">
        <f t="shared" si="6"/>
        <v>0</v>
      </c>
      <c r="W63" s="675">
        <f t="shared" si="7"/>
        <v>0</v>
      </c>
      <c r="X63" s="675">
        <f t="shared" si="8"/>
        <v>0</v>
      </c>
      <c r="Y63" s="675">
        <f t="shared" si="8"/>
        <v>0</v>
      </c>
      <c r="Z63" s="86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1094">
        <f>'2022-23 Input'!O63</f>
        <v>0</v>
      </c>
      <c r="AJ63" s="665">
        <v>0</v>
      </c>
      <c r="AK63" s="127">
        <f t="shared" si="33"/>
        <v>0</v>
      </c>
      <c r="AL63" s="128">
        <f t="shared" si="34"/>
        <v>0</v>
      </c>
      <c r="AM63" s="129">
        <f t="shared" si="35"/>
        <v>0</v>
      </c>
      <c r="AN63" s="91" t="str">
        <f t="shared" si="36"/>
        <v/>
      </c>
      <c r="AO63" s="92" t="str">
        <f t="shared" si="37"/>
        <v/>
      </c>
      <c r="AP63" s="92" t="str">
        <f t="shared" si="38"/>
        <v/>
      </c>
      <c r="AQ63" s="92" t="str">
        <f t="shared" si="39"/>
        <v/>
      </c>
      <c r="AR63" s="92" t="str">
        <f t="shared" si="40"/>
        <v/>
      </c>
      <c r="AS63" s="92" t="str">
        <f t="shared" si="41"/>
        <v/>
      </c>
      <c r="AT63" s="92" t="str">
        <f t="shared" si="42"/>
        <v/>
      </c>
      <c r="AU63" s="92" t="str">
        <f t="shared" si="43"/>
        <v/>
      </c>
      <c r="AV63" s="92" t="str">
        <f t="shared" si="51"/>
        <v/>
      </c>
      <c r="AW63" s="92" t="str">
        <f t="shared" si="51"/>
        <v/>
      </c>
      <c r="AX63" s="92" t="str">
        <f t="shared" si="51"/>
        <v/>
      </c>
      <c r="AY63" s="93" t="str">
        <f t="shared" si="45"/>
        <v/>
      </c>
      <c r="AZ63" s="94" t="str">
        <f t="shared" si="46"/>
        <v/>
      </c>
      <c r="BA63" s="95" t="str">
        <f t="shared" si="47"/>
        <v/>
      </c>
      <c r="BB63" s="248" t="s">
        <v>422</v>
      </c>
      <c r="BC63" s="229" t="s">
        <v>433</v>
      </c>
      <c r="BD63" s="249">
        <v>0</v>
      </c>
      <c r="BE63" s="267">
        <f t="shared" si="28"/>
        <v>0</v>
      </c>
      <c r="BF63" s="268">
        <f t="shared" si="52"/>
        <v>0</v>
      </c>
      <c r="BG63" s="268">
        <f t="shared" si="52"/>
        <v>0</v>
      </c>
      <c r="BH63" s="268">
        <f t="shared" si="52"/>
        <v>1</v>
      </c>
      <c r="BI63" s="268">
        <f t="shared" si="52"/>
        <v>2</v>
      </c>
      <c r="BJ63" s="268">
        <f t="shared" si="52"/>
        <v>3</v>
      </c>
      <c r="BK63" s="268">
        <f t="shared" si="52"/>
        <v>4</v>
      </c>
      <c r="BL63" s="269">
        <f t="shared" si="52"/>
        <v>5</v>
      </c>
      <c r="BM63" s="256">
        <f>IF($BC63=Lookup!$A$2,$BD63*ROUNDUP(BE63/10,0)+1,
IF($BC63=Lookup!$A$3,($BD63+1)^BD63,
IF($BC63=Lookup!$A$4,BE63*$BD63+1,"Error")))</f>
        <v>1</v>
      </c>
      <c r="BN63" s="229">
        <f>IF($BC63=Lookup!$A$2,$BD63*ROUNDUP(BF63/10,0)+1,
IF($BC63=Lookup!$A$3,($BD63+1)^BE63,
IF($BC63=Lookup!$A$4,BF63*$BD63+1,"Error")))</f>
        <v>1</v>
      </c>
      <c r="BO63" s="229">
        <f>IF($BC63=Lookup!$A$2,$BD63*ROUNDUP(BG63/10,0)+1,
IF($BC63=Lookup!$A$3,($BD63+1)^BF63,
IF($BC63=Lookup!$A$4,BG63*$BD63+1,"Error")))</f>
        <v>1</v>
      </c>
      <c r="BP63" s="229">
        <f>IF($BC63=Lookup!$A$2,$BD63*ROUNDUP(BH63/10,0)+1,
IF($BC63=Lookup!$A$3,($BD63+1)^BG63,
IF($BC63=Lookup!$A$4,BH63*$BD63+1,"Error")))</f>
        <v>1</v>
      </c>
      <c r="BQ63" s="229">
        <f>IF($BC63=Lookup!$A$2,$BD63*ROUNDUP(BI63/10,0)+1,
IF($BC63=Lookup!$A$3,($BD63+1)^BH63,
IF($BC63=Lookup!$A$4,BI63*$BD63+1,"Error")))</f>
        <v>1</v>
      </c>
      <c r="BR63" s="229">
        <f>IF($BC63=Lookup!$A$2,$BD63*ROUNDUP(BJ63/10,0)+1,
IF($BC63=Lookup!$A$3,($BD63+1)^BI63,
IF($BC63=Lookup!$A$4,BJ63*$BD63+1,"Error")))</f>
        <v>1</v>
      </c>
      <c r="BS63" s="229">
        <f>IF($BC63=Lookup!$A$2,$BD63*ROUNDUP(BK63/10,0)+1,
IF($BC63=Lookup!$A$3,($BD63+1)^BJ63,
IF($BC63=Lookup!$A$4,BK63*$BD63+1,"Error")))</f>
        <v>1</v>
      </c>
      <c r="BT63" s="249">
        <f>IF($BC63=Lookup!$A$2,$BD63*ROUNDUP(BL63/10,0)+1,
IF($BC63=Lookup!$A$3,($BD63+1)^BK63,
IF($BC63=Lookup!$A$4,BL63*$BD63+1,"Error")))</f>
        <v>1</v>
      </c>
      <c r="BU63" s="320">
        <v>0</v>
      </c>
      <c r="BV63" s="321">
        <v>0</v>
      </c>
      <c r="BW63" s="321">
        <v>0</v>
      </c>
      <c r="BX63" s="321">
        <v>0</v>
      </c>
      <c r="BY63" s="321">
        <v>0</v>
      </c>
      <c r="BZ63" s="321">
        <v>0</v>
      </c>
      <c r="CA63" s="321">
        <v>0</v>
      </c>
      <c r="CB63" s="277">
        <v>0</v>
      </c>
      <c r="CC63" s="382" t="s">
        <v>293</v>
      </c>
      <c r="CD63" s="383">
        <f>HLOOKUP($CC63,$AK$6:$AM$132,ROWS(CD$6:CD63),0)</f>
        <v>0</v>
      </c>
      <c r="CE63" s="239">
        <f t="shared" si="29"/>
        <v>0</v>
      </c>
      <c r="CF63" s="140">
        <f t="shared" si="29"/>
        <v>0</v>
      </c>
      <c r="CG63" s="140">
        <f t="shared" si="29"/>
        <v>0</v>
      </c>
      <c r="CH63" s="140">
        <f t="shared" si="29"/>
        <v>0</v>
      </c>
      <c r="CI63" s="140">
        <f t="shared" si="50"/>
        <v>0</v>
      </c>
      <c r="CJ63" s="140">
        <f t="shared" si="50"/>
        <v>0</v>
      </c>
      <c r="CK63" s="140">
        <f t="shared" si="50"/>
        <v>0</v>
      </c>
      <c r="CL63" s="291">
        <f t="shared" si="50"/>
        <v>0</v>
      </c>
      <c r="CM63" s="305" t="s">
        <v>292</v>
      </c>
      <c r="CN63" s="315">
        <v>0.05</v>
      </c>
      <c r="CO63" s="306"/>
      <c r="CP63" s="307" t="str">
        <f>IF($CO63&lt;&gt;"",$CO63,HLOOKUP($CM63,$AY$6:$BA$132,ROWS(CP$6:CP63),0))</f>
        <v/>
      </c>
      <c r="CQ63" s="784" t="str">
        <f t="shared" si="49"/>
        <v/>
      </c>
      <c r="CR63" s="784" t="str">
        <f t="shared" si="49"/>
        <v/>
      </c>
      <c r="CS63" s="97" t="str">
        <f t="shared" si="49"/>
        <v/>
      </c>
      <c r="CT63" s="97" t="str">
        <f t="shared" si="49"/>
        <v/>
      </c>
      <c r="CU63" s="97" t="str">
        <f t="shared" si="49"/>
        <v/>
      </c>
      <c r="CV63" s="97" t="str">
        <f t="shared" si="49"/>
        <v/>
      </c>
      <c r="CW63" s="97" t="str">
        <f t="shared" si="49"/>
        <v/>
      </c>
      <c r="CX63" s="98" t="str">
        <f t="shared" si="32"/>
        <v/>
      </c>
    </row>
    <row r="64" spans="1:102" x14ac:dyDescent="0.25">
      <c r="A64" s="81" t="s">
        <v>106</v>
      </c>
      <c r="B64" s="82" t="s">
        <v>131</v>
      </c>
      <c r="C64" s="83" t="s">
        <v>351</v>
      </c>
      <c r="D64" s="84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654">
        <f>'2022-23 Input'!H64</f>
        <v>0</v>
      </c>
      <c r="N64" s="1065">
        <v>0</v>
      </c>
      <c r="O64" s="560">
        <f t="shared" si="27"/>
        <v>0</v>
      </c>
      <c r="P64" s="561">
        <f t="shared" si="0"/>
        <v>0</v>
      </c>
      <c r="Q64" s="561">
        <f t="shared" si="1"/>
        <v>0</v>
      </c>
      <c r="R64" s="561">
        <f t="shared" si="2"/>
        <v>0</v>
      </c>
      <c r="S64" s="561">
        <f t="shared" si="3"/>
        <v>0</v>
      </c>
      <c r="T64" s="561">
        <f t="shared" si="4"/>
        <v>0</v>
      </c>
      <c r="U64" s="561">
        <f t="shared" si="5"/>
        <v>0</v>
      </c>
      <c r="V64" s="561">
        <f t="shared" si="6"/>
        <v>0</v>
      </c>
      <c r="W64" s="675">
        <f t="shared" si="7"/>
        <v>0</v>
      </c>
      <c r="X64" s="675">
        <f t="shared" si="8"/>
        <v>0</v>
      </c>
      <c r="Y64" s="675">
        <f t="shared" si="8"/>
        <v>0</v>
      </c>
      <c r="Z64" s="86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1094">
        <f>'2022-23 Input'!O64</f>
        <v>0</v>
      </c>
      <c r="AJ64" s="665">
        <v>0</v>
      </c>
      <c r="AK64" s="127">
        <f t="shared" si="33"/>
        <v>0</v>
      </c>
      <c r="AL64" s="128">
        <f t="shared" si="34"/>
        <v>0</v>
      </c>
      <c r="AM64" s="129">
        <f t="shared" si="35"/>
        <v>0</v>
      </c>
      <c r="AN64" s="91" t="str">
        <f t="shared" si="36"/>
        <v/>
      </c>
      <c r="AO64" s="92" t="str">
        <f t="shared" si="37"/>
        <v/>
      </c>
      <c r="AP64" s="92" t="str">
        <f t="shared" si="38"/>
        <v/>
      </c>
      <c r="AQ64" s="92" t="str">
        <f t="shared" si="39"/>
        <v/>
      </c>
      <c r="AR64" s="92" t="str">
        <f t="shared" si="40"/>
        <v/>
      </c>
      <c r="AS64" s="92" t="str">
        <f t="shared" si="41"/>
        <v/>
      </c>
      <c r="AT64" s="92" t="str">
        <f t="shared" si="42"/>
        <v/>
      </c>
      <c r="AU64" s="92" t="str">
        <f t="shared" si="43"/>
        <v/>
      </c>
      <c r="AV64" s="92" t="str">
        <f t="shared" si="51"/>
        <v/>
      </c>
      <c r="AW64" s="92" t="str">
        <f t="shared" si="51"/>
        <v/>
      </c>
      <c r="AX64" s="92" t="str">
        <f t="shared" si="51"/>
        <v/>
      </c>
      <c r="AY64" s="93" t="str">
        <f t="shared" si="45"/>
        <v/>
      </c>
      <c r="AZ64" s="94" t="str">
        <f t="shared" si="46"/>
        <v/>
      </c>
      <c r="BA64" s="95" t="str">
        <f t="shared" si="47"/>
        <v/>
      </c>
      <c r="BB64" s="248" t="s">
        <v>422</v>
      </c>
      <c r="BC64" s="229" t="s">
        <v>433</v>
      </c>
      <c r="BD64" s="249">
        <v>0</v>
      </c>
      <c r="BE64" s="267">
        <f t="shared" si="28"/>
        <v>0</v>
      </c>
      <c r="BF64" s="268">
        <f t="shared" si="52"/>
        <v>0</v>
      </c>
      <c r="BG64" s="268">
        <f t="shared" si="52"/>
        <v>0</v>
      </c>
      <c r="BH64" s="268">
        <f t="shared" si="52"/>
        <v>1</v>
      </c>
      <c r="BI64" s="268">
        <f t="shared" si="52"/>
        <v>2</v>
      </c>
      <c r="BJ64" s="268">
        <f t="shared" si="52"/>
        <v>3</v>
      </c>
      <c r="BK64" s="268">
        <f t="shared" si="52"/>
        <v>4</v>
      </c>
      <c r="BL64" s="269">
        <f t="shared" si="52"/>
        <v>5</v>
      </c>
      <c r="BM64" s="256">
        <f>IF($BC64=Lookup!$A$2,$BD64*ROUNDUP(BE64/10,0)+1,
IF($BC64=Lookup!$A$3,($BD64+1)^BD64,
IF($BC64=Lookup!$A$4,BE64*$BD64+1,"Error")))</f>
        <v>1</v>
      </c>
      <c r="BN64" s="229">
        <f>IF($BC64=Lookup!$A$2,$BD64*ROUNDUP(BF64/10,0)+1,
IF($BC64=Lookup!$A$3,($BD64+1)^BE64,
IF($BC64=Lookup!$A$4,BF64*$BD64+1,"Error")))</f>
        <v>1</v>
      </c>
      <c r="BO64" s="229">
        <f>IF($BC64=Lookup!$A$2,$BD64*ROUNDUP(BG64/10,0)+1,
IF($BC64=Lookup!$A$3,($BD64+1)^BF64,
IF($BC64=Lookup!$A$4,BG64*$BD64+1,"Error")))</f>
        <v>1</v>
      </c>
      <c r="BP64" s="229">
        <f>IF($BC64=Lookup!$A$2,$BD64*ROUNDUP(BH64/10,0)+1,
IF($BC64=Lookup!$A$3,($BD64+1)^BG64,
IF($BC64=Lookup!$A$4,BH64*$BD64+1,"Error")))</f>
        <v>1</v>
      </c>
      <c r="BQ64" s="229">
        <f>IF($BC64=Lookup!$A$2,$BD64*ROUNDUP(BI64/10,0)+1,
IF($BC64=Lookup!$A$3,($BD64+1)^BH64,
IF($BC64=Lookup!$A$4,BI64*$BD64+1,"Error")))</f>
        <v>1</v>
      </c>
      <c r="BR64" s="229">
        <f>IF($BC64=Lookup!$A$2,$BD64*ROUNDUP(BJ64/10,0)+1,
IF($BC64=Lookup!$A$3,($BD64+1)^BI64,
IF($BC64=Lookup!$A$4,BJ64*$BD64+1,"Error")))</f>
        <v>1</v>
      </c>
      <c r="BS64" s="229">
        <f>IF($BC64=Lookup!$A$2,$BD64*ROUNDUP(BK64/10,0)+1,
IF($BC64=Lookup!$A$3,($BD64+1)^BJ64,
IF($BC64=Lookup!$A$4,BK64*$BD64+1,"Error")))</f>
        <v>1</v>
      </c>
      <c r="BT64" s="249">
        <f>IF($BC64=Lookup!$A$2,$BD64*ROUNDUP(BL64/10,0)+1,
IF($BC64=Lookup!$A$3,($BD64+1)^BK64,
IF($BC64=Lookup!$A$4,BL64*$BD64+1,"Error")))</f>
        <v>1</v>
      </c>
      <c r="BU64" s="320">
        <v>0</v>
      </c>
      <c r="BV64" s="321">
        <v>0</v>
      </c>
      <c r="BW64" s="321">
        <v>0</v>
      </c>
      <c r="BX64" s="321">
        <v>0</v>
      </c>
      <c r="BY64" s="321">
        <v>0</v>
      </c>
      <c r="BZ64" s="321">
        <v>0</v>
      </c>
      <c r="CA64" s="321">
        <v>0</v>
      </c>
      <c r="CB64" s="277">
        <v>0</v>
      </c>
      <c r="CC64" s="382" t="s">
        <v>293</v>
      </c>
      <c r="CD64" s="383">
        <f>HLOOKUP($CC64,$AK$6:$AM$132,ROWS(CD$6:CD64),0)</f>
        <v>0</v>
      </c>
      <c r="CE64" s="239">
        <f t="shared" si="29"/>
        <v>0</v>
      </c>
      <c r="CF64" s="140">
        <f t="shared" si="29"/>
        <v>0</v>
      </c>
      <c r="CG64" s="140">
        <f t="shared" si="29"/>
        <v>0</v>
      </c>
      <c r="CH64" s="140">
        <f t="shared" si="29"/>
        <v>0</v>
      </c>
      <c r="CI64" s="140">
        <f t="shared" si="50"/>
        <v>0</v>
      </c>
      <c r="CJ64" s="140">
        <f t="shared" si="50"/>
        <v>0</v>
      </c>
      <c r="CK64" s="140">
        <f t="shared" si="50"/>
        <v>0</v>
      </c>
      <c r="CL64" s="291">
        <f t="shared" si="50"/>
        <v>0</v>
      </c>
      <c r="CM64" s="305" t="s">
        <v>292</v>
      </c>
      <c r="CN64" s="315">
        <v>0.05</v>
      </c>
      <c r="CO64" s="306"/>
      <c r="CP64" s="307" t="str">
        <f>IF($CO64&lt;&gt;"",$CO64,HLOOKUP($CM64,$AY$6:$BA$132,ROWS(CP$6:CP64),0))</f>
        <v/>
      </c>
      <c r="CQ64" s="784" t="str">
        <f t="shared" si="49"/>
        <v/>
      </c>
      <c r="CR64" s="784" t="str">
        <f t="shared" si="49"/>
        <v/>
      </c>
      <c r="CS64" s="97" t="str">
        <f t="shared" si="49"/>
        <v/>
      </c>
      <c r="CT64" s="97" t="str">
        <f t="shared" si="49"/>
        <v/>
      </c>
      <c r="CU64" s="97" t="str">
        <f t="shared" si="49"/>
        <v/>
      </c>
      <c r="CV64" s="97" t="str">
        <f t="shared" si="49"/>
        <v/>
      </c>
      <c r="CW64" s="97" t="str">
        <f t="shared" si="49"/>
        <v/>
      </c>
      <c r="CX64" s="98" t="str">
        <f t="shared" si="32"/>
        <v/>
      </c>
    </row>
    <row r="65" spans="1:102" x14ac:dyDescent="0.25">
      <c r="A65" s="81" t="s">
        <v>106</v>
      </c>
      <c r="B65" s="82" t="s">
        <v>133</v>
      </c>
      <c r="C65" s="83" t="s">
        <v>353</v>
      </c>
      <c r="D65" s="84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654">
        <f>'2022-23 Input'!H65</f>
        <v>0</v>
      </c>
      <c r="N65" s="1065">
        <v>0</v>
      </c>
      <c r="O65" s="560">
        <f t="shared" si="27"/>
        <v>0</v>
      </c>
      <c r="P65" s="561">
        <f t="shared" si="0"/>
        <v>0</v>
      </c>
      <c r="Q65" s="561">
        <f t="shared" si="1"/>
        <v>0</v>
      </c>
      <c r="R65" s="561">
        <f t="shared" si="2"/>
        <v>0</v>
      </c>
      <c r="S65" s="561">
        <f t="shared" si="3"/>
        <v>0</v>
      </c>
      <c r="T65" s="561">
        <f t="shared" si="4"/>
        <v>0</v>
      </c>
      <c r="U65" s="561">
        <f t="shared" si="5"/>
        <v>0</v>
      </c>
      <c r="V65" s="561">
        <f t="shared" si="6"/>
        <v>0</v>
      </c>
      <c r="W65" s="675">
        <f t="shared" si="7"/>
        <v>0</v>
      </c>
      <c r="X65" s="675">
        <f t="shared" si="8"/>
        <v>0</v>
      </c>
      <c r="Y65" s="675">
        <f t="shared" si="8"/>
        <v>0</v>
      </c>
      <c r="Z65" s="86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1094">
        <f>'2022-23 Input'!O65</f>
        <v>0</v>
      </c>
      <c r="AJ65" s="665">
        <v>0</v>
      </c>
      <c r="AK65" s="127">
        <f t="shared" si="33"/>
        <v>0</v>
      </c>
      <c r="AL65" s="128">
        <f t="shared" si="34"/>
        <v>0</v>
      </c>
      <c r="AM65" s="129">
        <f t="shared" si="35"/>
        <v>0</v>
      </c>
      <c r="AN65" s="91" t="str">
        <f t="shared" si="36"/>
        <v/>
      </c>
      <c r="AO65" s="92" t="str">
        <f t="shared" si="37"/>
        <v/>
      </c>
      <c r="AP65" s="92" t="str">
        <f t="shared" si="38"/>
        <v/>
      </c>
      <c r="AQ65" s="92" t="str">
        <f t="shared" si="39"/>
        <v/>
      </c>
      <c r="AR65" s="92" t="str">
        <f t="shared" si="40"/>
        <v/>
      </c>
      <c r="AS65" s="92" t="str">
        <f t="shared" si="41"/>
        <v/>
      </c>
      <c r="AT65" s="92" t="str">
        <f t="shared" si="42"/>
        <v/>
      </c>
      <c r="AU65" s="92" t="str">
        <f t="shared" si="43"/>
        <v/>
      </c>
      <c r="AV65" s="92" t="str">
        <f t="shared" si="51"/>
        <v/>
      </c>
      <c r="AW65" s="92" t="str">
        <f t="shared" si="51"/>
        <v/>
      </c>
      <c r="AX65" s="92" t="str">
        <f t="shared" si="51"/>
        <v/>
      </c>
      <c r="AY65" s="93" t="str">
        <f t="shared" si="45"/>
        <v/>
      </c>
      <c r="AZ65" s="94" t="str">
        <f t="shared" si="46"/>
        <v/>
      </c>
      <c r="BA65" s="95" t="str">
        <f t="shared" si="47"/>
        <v/>
      </c>
      <c r="BB65" s="248" t="s">
        <v>422</v>
      </c>
      <c r="BC65" s="229" t="s">
        <v>433</v>
      </c>
      <c r="BD65" s="249">
        <v>0</v>
      </c>
      <c r="BE65" s="267">
        <f t="shared" si="28"/>
        <v>0</v>
      </c>
      <c r="BF65" s="268">
        <f t="shared" si="52"/>
        <v>0</v>
      </c>
      <c r="BG65" s="268">
        <f t="shared" si="52"/>
        <v>0</v>
      </c>
      <c r="BH65" s="268">
        <f t="shared" si="52"/>
        <v>1</v>
      </c>
      <c r="BI65" s="268">
        <f t="shared" si="52"/>
        <v>2</v>
      </c>
      <c r="BJ65" s="268">
        <f t="shared" si="52"/>
        <v>3</v>
      </c>
      <c r="BK65" s="268">
        <f t="shared" si="52"/>
        <v>4</v>
      </c>
      <c r="BL65" s="269">
        <f t="shared" si="52"/>
        <v>5</v>
      </c>
      <c r="BM65" s="256">
        <f>IF($BC65=Lookup!$A$2,$BD65*ROUNDUP(BE65/10,0)+1,
IF($BC65=Lookup!$A$3,($BD65+1)^BD65,
IF($BC65=Lookup!$A$4,BE65*$BD65+1,"Error")))</f>
        <v>1</v>
      </c>
      <c r="BN65" s="229">
        <f>IF($BC65=Lookup!$A$2,$BD65*ROUNDUP(BF65/10,0)+1,
IF($BC65=Lookup!$A$3,($BD65+1)^BE65,
IF($BC65=Lookup!$A$4,BF65*$BD65+1,"Error")))</f>
        <v>1</v>
      </c>
      <c r="BO65" s="229">
        <f>IF($BC65=Lookup!$A$2,$BD65*ROUNDUP(BG65/10,0)+1,
IF($BC65=Lookup!$A$3,($BD65+1)^BF65,
IF($BC65=Lookup!$A$4,BG65*$BD65+1,"Error")))</f>
        <v>1</v>
      </c>
      <c r="BP65" s="229">
        <f>IF($BC65=Lookup!$A$2,$BD65*ROUNDUP(BH65/10,0)+1,
IF($BC65=Lookup!$A$3,($BD65+1)^BG65,
IF($BC65=Lookup!$A$4,BH65*$BD65+1,"Error")))</f>
        <v>1</v>
      </c>
      <c r="BQ65" s="229">
        <f>IF($BC65=Lookup!$A$2,$BD65*ROUNDUP(BI65/10,0)+1,
IF($BC65=Lookup!$A$3,($BD65+1)^BH65,
IF($BC65=Lookup!$A$4,BI65*$BD65+1,"Error")))</f>
        <v>1</v>
      </c>
      <c r="BR65" s="229">
        <f>IF($BC65=Lookup!$A$2,$BD65*ROUNDUP(BJ65/10,0)+1,
IF($BC65=Lookup!$A$3,($BD65+1)^BI65,
IF($BC65=Lookup!$A$4,BJ65*$BD65+1,"Error")))</f>
        <v>1</v>
      </c>
      <c r="BS65" s="229">
        <f>IF($BC65=Lookup!$A$2,$BD65*ROUNDUP(BK65/10,0)+1,
IF($BC65=Lookup!$A$3,($BD65+1)^BJ65,
IF($BC65=Lookup!$A$4,BK65*$BD65+1,"Error")))</f>
        <v>1</v>
      </c>
      <c r="BT65" s="249">
        <f>IF($BC65=Lookup!$A$2,$BD65*ROUNDUP(BL65/10,0)+1,
IF($BC65=Lookup!$A$3,($BD65+1)^BK65,
IF($BC65=Lookup!$A$4,BL65*$BD65+1,"Error")))</f>
        <v>1</v>
      </c>
      <c r="BU65" s="320">
        <v>0</v>
      </c>
      <c r="BV65" s="321">
        <v>0</v>
      </c>
      <c r="BW65" s="321">
        <v>0</v>
      </c>
      <c r="BX65" s="321">
        <v>0</v>
      </c>
      <c r="BY65" s="321">
        <v>0</v>
      </c>
      <c r="BZ65" s="321">
        <v>0</v>
      </c>
      <c r="CA65" s="321">
        <v>0</v>
      </c>
      <c r="CB65" s="277">
        <v>0</v>
      </c>
      <c r="CC65" s="382" t="s">
        <v>293</v>
      </c>
      <c r="CD65" s="383">
        <f>HLOOKUP($CC65,$AK$6:$AM$132,ROWS(CD$6:CD65),0)</f>
        <v>0</v>
      </c>
      <c r="CE65" s="239">
        <f t="shared" si="29"/>
        <v>0</v>
      </c>
      <c r="CF65" s="140">
        <f t="shared" si="29"/>
        <v>0</v>
      </c>
      <c r="CG65" s="140">
        <f t="shared" si="29"/>
        <v>0</v>
      </c>
      <c r="CH65" s="140">
        <f t="shared" si="29"/>
        <v>0</v>
      </c>
      <c r="CI65" s="140">
        <f t="shared" si="50"/>
        <v>0</v>
      </c>
      <c r="CJ65" s="140">
        <f t="shared" si="50"/>
        <v>0</v>
      </c>
      <c r="CK65" s="140">
        <f t="shared" si="50"/>
        <v>0</v>
      </c>
      <c r="CL65" s="291">
        <f t="shared" si="50"/>
        <v>0</v>
      </c>
      <c r="CM65" s="305" t="s">
        <v>292</v>
      </c>
      <c r="CN65" s="315">
        <v>0.05</v>
      </c>
      <c r="CO65" s="306"/>
      <c r="CP65" s="307" t="str">
        <f>IF($CO65&lt;&gt;"",$CO65,HLOOKUP($CM65,$AY$6:$BA$132,ROWS(CP$6:CP65),0))</f>
        <v/>
      </c>
      <c r="CQ65" s="784" t="str">
        <f t="shared" si="49"/>
        <v/>
      </c>
      <c r="CR65" s="784" t="str">
        <f t="shared" si="49"/>
        <v/>
      </c>
      <c r="CS65" s="97" t="str">
        <f t="shared" si="49"/>
        <v/>
      </c>
      <c r="CT65" s="97" t="str">
        <f t="shared" si="49"/>
        <v/>
      </c>
      <c r="CU65" s="97" t="str">
        <f t="shared" si="49"/>
        <v/>
      </c>
      <c r="CV65" s="97" t="str">
        <f t="shared" si="49"/>
        <v/>
      </c>
      <c r="CW65" s="97" t="str">
        <f t="shared" si="49"/>
        <v/>
      </c>
      <c r="CX65" s="98" t="str">
        <f t="shared" si="32"/>
        <v/>
      </c>
    </row>
    <row r="66" spans="1:102" ht="15.75" thickBot="1" x14ac:dyDescent="0.3">
      <c r="A66" s="100" t="s">
        <v>106</v>
      </c>
      <c r="B66" s="101" t="s">
        <v>827</v>
      </c>
      <c r="C66" s="102" t="s">
        <v>355</v>
      </c>
      <c r="D66" s="103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655">
        <f>'2022-23 Input'!H66</f>
        <v>0</v>
      </c>
      <c r="N66" s="1066">
        <v>0</v>
      </c>
      <c r="O66" s="563">
        <f t="shared" si="27"/>
        <v>0</v>
      </c>
      <c r="P66" s="564">
        <f t="shared" si="0"/>
        <v>0</v>
      </c>
      <c r="Q66" s="564">
        <f t="shared" si="1"/>
        <v>0</v>
      </c>
      <c r="R66" s="564">
        <f t="shared" si="2"/>
        <v>0</v>
      </c>
      <c r="S66" s="564">
        <f t="shared" si="3"/>
        <v>0</v>
      </c>
      <c r="T66" s="564">
        <f t="shared" si="4"/>
        <v>0</v>
      </c>
      <c r="U66" s="564">
        <f t="shared" si="5"/>
        <v>0</v>
      </c>
      <c r="V66" s="564">
        <f t="shared" si="6"/>
        <v>0</v>
      </c>
      <c r="W66" s="676">
        <f t="shared" si="7"/>
        <v>0</v>
      </c>
      <c r="X66" s="676">
        <f t="shared" si="8"/>
        <v>0</v>
      </c>
      <c r="Y66" s="676">
        <f t="shared" si="8"/>
        <v>0</v>
      </c>
      <c r="Z66" s="105">
        <v>0</v>
      </c>
      <c r="AA66" s="106">
        <v>0</v>
      </c>
      <c r="AB66" s="106">
        <v>0</v>
      </c>
      <c r="AC66" s="106">
        <v>0</v>
      </c>
      <c r="AD66" s="106">
        <v>0</v>
      </c>
      <c r="AE66" s="106">
        <v>0</v>
      </c>
      <c r="AF66" s="106">
        <v>0</v>
      </c>
      <c r="AG66" s="106">
        <v>0</v>
      </c>
      <c r="AH66" s="106">
        <v>0</v>
      </c>
      <c r="AI66" s="1095">
        <f>'2022-23 Input'!O66</f>
        <v>0</v>
      </c>
      <c r="AJ66" s="666">
        <v>0</v>
      </c>
      <c r="AK66" s="133">
        <f t="shared" si="33"/>
        <v>0</v>
      </c>
      <c r="AL66" s="134">
        <f t="shared" si="34"/>
        <v>0</v>
      </c>
      <c r="AM66" s="135">
        <f t="shared" si="35"/>
        <v>0</v>
      </c>
      <c r="AN66" s="110" t="str">
        <f t="shared" si="36"/>
        <v/>
      </c>
      <c r="AO66" s="111" t="str">
        <f t="shared" si="37"/>
        <v/>
      </c>
      <c r="AP66" s="111" t="str">
        <f t="shared" si="38"/>
        <v/>
      </c>
      <c r="AQ66" s="111" t="str">
        <f t="shared" si="39"/>
        <v/>
      </c>
      <c r="AR66" s="111" t="str">
        <f t="shared" si="40"/>
        <v/>
      </c>
      <c r="AS66" s="111" t="str">
        <f t="shared" si="41"/>
        <v/>
      </c>
      <c r="AT66" s="111" t="str">
        <f t="shared" si="42"/>
        <v/>
      </c>
      <c r="AU66" s="111" t="str">
        <f t="shared" si="43"/>
        <v/>
      </c>
      <c r="AV66" s="111" t="str">
        <f t="shared" si="51"/>
        <v/>
      </c>
      <c r="AW66" s="111" t="str">
        <f t="shared" si="51"/>
        <v/>
      </c>
      <c r="AX66" s="111" t="str">
        <f t="shared" si="51"/>
        <v/>
      </c>
      <c r="AY66" s="112" t="str">
        <f t="shared" si="45"/>
        <v/>
      </c>
      <c r="AZ66" s="113" t="str">
        <f t="shared" si="46"/>
        <v/>
      </c>
      <c r="BA66" s="114" t="str">
        <f t="shared" si="47"/>
        <v/>
      </c>
      <c r="BB66" s="250" t="s">
        <v>422</v>
      </c>
      <c r="BC66" s="230" t="s">
        <v>433</v>
      </c>
      <c r="BD66" s="251">
        <v>0</v>
      </c>
      <c r="BE66" s="270">
        <f t="shared" si="28"/>
        <v>0</v>
      </c>
      <c r="BF66" s="271">
        <f t="shared" si="52"/>
        <v>0</v>
      </c>
      <c r="BG66" s="271">
        <f t="shared" si="52"/>
        <v>0</v>
      </c>
      <c r="BH66" s="271">
        <f t="shared" si="52"/>
        <v>1</v>
      </c>
      <c r="BI66" s="271">
        <f t="shared" si="52"/>
        <v>2</v>
      </c>
      <c r="BJ66" s="271">
        <f t="shared" si="52"/>
        <v>3</v>
      </c>
      <c r="BK66" s="271">
        <f t="shared" si="52"/>
        <v>4</v>
      </c>
      <c r="BL66" s="272">
        <f t="shared" si="52"/>
        <v>5</v>
      </c>
      <c r="BM66" s="257">
        <f>IF($BC66=Lookup!$A$2,$BD66*ROUNDUP(BE66/10,0)+1,
IF($BC66=Lookup!$A$3,($BD66+1)^BD66,
IF($BC66=Lookup!$A$4,BE66*$BD66+1,"Error")))</f>
        <v>1</v>
      </c>
      <c r="BN66" s="230">
        <f>IF($BC66=Lookup!$A$2,$BD66*ROUNDUP(BF66/10,0)+1,
IF($BC66=Lookup!$A$3,($BD66+1)^BE66,
IF($BC66=Lookup!$A$4,BF66*$BD66+1,"Error")))</f>
        <v>1</v>
      </c>
      <c r="BO66" s="230">
        <f>IF($BC66=Lookup!$A$2,$BD66*ROUNDUP(BG66/10,0)+1,
IF($BC66=Lookup!$A$3,($BD66+1)^BF66,
IF($BC66=Lookup!$A$4,BG66*$BD66+1,"Error")))</f>
        <v>1</v>
      </c>
      <c r="BP66" s="230">
        <f>IF($BC66=Lookup!$A$2,$BD66*ROUNDUP(BH66/10,0)+1,
IF($BC66=Lookup!$A$3,($BD66+1)^BG66,
IF($BC66=Lookup!$A$4,BH66*$BD66+1,"Error")))</f>
        <v>1</v>
      </c>
      <c r="BQ66" s="230">
        <f>IF($BC66=Lookup!$A$2,$BD66*ROUNDUP(BI66/10,0)+1,
IF($BC66=Lookup!$A$3,($BD66+1)^BH66,
IF($BC66=Lookup!$A$4,BI66*$BD66+1,"Error")))</f>
        <v>1</v>
      </c>
      <c r="BR66" s="230">
        <f>IF($BC66=Lookup!$A$2,$BD66*ROUNDUP(BJ66/10,0)+1,
IF($BC66=Lookup!$A$3,($BD66+1)^BI66,
IF($BC66=Lookup!$A$4,BJ66*$BD66+1,"Error")))</f>
        <v>1</v>
      </c>
      <c r="BS66" s="230">
        <f>IF($BC66=Lookup!$A$2,$BD66*ROUNDUP(BK66/10,0)+1,
IF($BC66=Lookup!$A$3,($BD66+1)^BJ66,
IF($BC66=Lookup!$A$4,BK66*$BD66+1,"Error")))</f>
        <v>1</v>
      </c>
      <c r="BT66" s="251">
        <f>IF($BC66=Lookup!$A$2,$BD66*ROUNDUP(BL66/10,0)+1,
IF($BC66=Lookup!$A$3,($BD66+1)^BK66,
IF($BC66=Lookup!$A$4,BL66*$BD66+1,"Error")))</f>
        <v>1</v>
      </c>
      <c r="BU66" s="322">
        <v>0</v>
      </c>
      <c r="BV66" s="323">
        <v>0</v>
      </c>
      <c r="BW66" s="323">
        <v>0</v>
      </c>
      <c r="BX66" s="323">
        <v>0</v>
      </c>
      <c r="BY66" s="323">
        <v>0</v>
      </c>
      <c r="BZ66" s="323">
        <v>0</v>
      </c>
      <c r="CA66" s="323">
        <v>0</v>
      </c>
      <c r="CB66" s="278">
        <v>0</v>
      </c>
      <c r="CC66" s="384" t="s">
        <v>293</v>
      </c>
      <c r="CD66" s="385">
        <f>HLOOKUP($CC66,$AK$6:$AM$132,ROWS(CD$6:CD66),0)</f>
        <v>0</v>
      </c>
      <c r="CE66" s="240">
        <f t="shared" si="29"/>
        <v>0</v>
      </c>
      <c r="CF66" s="141">
        <f t="shared" si="29"/>
        <v>0</v>
      </c>
      <c r="CG66" s="141">
        <f t="shared" si="29"/>
        <v>0</v>
      </c>
      <c r="CH66" s="141">
        <f t="shared" si="29"/>
        <v>0</v>
      </c>
      <c r="CI66" s="141">
        <f t="shared" si="50"/>
        <v>0</v>
      </c>
      <c r="CJ66" s="141">
        <f t="shared" si="50"/>
        <v>0</v>
      </c>
      <c r="CK66" s="141">
        <f t="shared" si="50"/>
        <v>0</v>
      </c>
      <c r="CL66" s="292">
        <f t="shared" si="50"/>
        <v>0</v>
      </c>
      <c r="CM66" s="308" t="s">
        <v>292</v>
      </c>
      <c r="CN66" s="316">
        <v>0.05</v>
      </c>
      <c r="CO66" s="309"/>
      <c r="CP66" s="310" t="str">
        <f>IF($CO66&lt;&gt;"",$CO66,HLOOKUP($CM66,$AY$6:$BA$132,ROWS(CP$6:CP66),0))</f>
        <v/>
      </c>
      <c r="CQ66" s="785" t="str">
        <f t="shared" si="49"/>
        <v/>
      </c>
      <c r="CR66" s="785" t="str">
        <f t="shared" si="49"/>
        <v/>
      </c>
      <c r="CS66" s="117" t="str">
        <f t="shared" si="49"/>
        <v/>
      </c>
      <c r="CT66" s="117" t="str">
        <f t="shared" si="49"/>
        <v/>
      </c>
      <c r="CU66" s="117" t="str">
        <f t="shared" si="49"/>
        <v/>
      </c>
      <c r="CV66" s="117" t="str">
        <f t="shared" si="49"/>
        <v/>
      </c>
      <c r="CW66" s="117" t="str">
        <f t="shared" si="49"/>
        <v/>
      </c>
      <c r="CX66" s="118" t="str">
        <f t="shared" si="32"/>
        <v/>
      </c>
    </row>
    <row r="67" spans="1:102" x14ac:dyDescent="0.25">
      <c r="A67" s="142" t="s">
        <v>138</v>
      </c>
      <c r="B67" s="143" t="s">
        <v>135</v>
      </c>
      <c r="C67" s="65" t="s">
        <v>356</v>
      </c>
      <c r="D67" s="66">
        <v>0</v>
      </c>
      <c r="E67" s="67">
        <v>0</v>
      </c>
      <c r="F67" s="67">
        <v>0</v>
      </c>
      <c r="G67" s="67">
        <v>162330.48162431477</v>
      </c>
      <c r="H67" s="67">
        <v>433882.77600325632</v>
      </c>
      <c r="I67" s="67">
        <v>981284.18414843595</v>
      </c>
      <c r="J67" s="67">
        <v>1844746.3091633166</v>
      </c>
      <c r="K67" s="67">
        <v>2348430.724906073</v>
      </c>
      <c r="L67" s="67">
        <v>-39374.0990000003</v>
      </c>
      <c r="M67" s="653">
        <f>'2022-23 Input'!H67</f>
        <v>-350.10000000000025</v>
      </c>
      <c r="N67" s="1064">
        <v>40119.459933373</v>
      </c>
      <c r="O67" s="557">
        <f t="shared" si="27"/>
        <v>0</v>
      </c>
      <c r="P67" s="558">
        <f t="shared" si="0"/>
        <v>0</v>
      </c>
      <c r="Q67" s="558">
        <f t="shared" si="1"/>
        <v>0</v>
      </c>
      <c r="R67" s="558">
        <f t="shared" si="2"/>
        <v>208938.28190339392</v>
      </c>
      <c r="S67" s="558">
        <f t="shared" si="3"/>
        <v>547090.94850602909</v>
      </c>
      <c r="T67" s="558">
        <f t="shared" si="4"/>
        <v>1217919.1915361346</v>
      </c>
      <c r="U67" s="558">
        <f t="shared" si="5"/>
        <v>2297609.3427951094</v>
      </c>
      <c r="V67" s="558">
        <f t="shared" si="6"/>
        <v>2816611.0316728456</v>
      </c>
      <c r="W67" s="674">
        <f t="shared" si="7"/>
        <v>-44489.866773243535</v>
      </c>
      <c r="X67" s="674">
        <f t="shared" si="8"/>
        <v>-372.31767022484274</v>
      </c>
      <c r="Y67" s="674">
        <f t="shared" si="8"/>
        <v>41222.684072521311</v>
      </c>
      <c r="Z67" s="68">
        <v>0</v>
      </c>
      <c r="AA67" s="69">
        <v>0</v>
      </c>
      <c r="AB67" s="69">
        <v>0</v>
      </c>
      <c r="AC67" s="69">
        <v>7</v>
      </c>
      <c r="AD67" s="69">
        <v>19</v>
      </c>
      <c r="AE67" s="69">
        <v>44</v>
      </c>
      <c r="AF67" s="69">
        <v>79</v>
      </c>
      <c r="AG67" s="69">
        <v>154</v>
      </c>
      <c r="AH67" s="69">
        <v>16</v>
      </c>
      <c r="AI67" s="1093">
        <f>'2022-23 Input'!O67</f>
        <v>2</v>
      </c>
      <c r="AJ67" s="664">
        <v>0</v>
      </c>
      <c r="AK67" s="70">
        <f t="shared" si="33"/>
        <v>59</v>
      </c>
      <c r="AL67" s="71">
        <f t="shared" si="34"/>
        <v>57.333333333333336</v>
      </c>
      <c r="AM67" s="72">
        <f t="shared" si="35"/>
        <v>2</v>
      </c>
      <c r="AN67" s="73" t="str">
        <f t="shared" si="36"/>
        <v/>
      </c>
      <c r="AO67" s="74" t="str">
        <f t="shared" si="37"/>
        <v/>
      </c>
      <c r="AP67" s="74" t="str">
        <f t="shared" si="38"/>
        <v/>
      </c>
      <c r="AQ67" s="74">
        <f t="shared" si="39"/>
        <v>23190.068803473539</v>
      </c>
      <c r="AR67" s="74">
        <f t="shared" si="40"/>
        <v>22835.935579118755</v>
      </c>
      <c r="AS67" s="74">
        <f t="shared" si="41"/>
        <v>22301.913276100819</v>
      </c>
      <c r="AT67" s="74">
        <f t="shared" si="42"/>
        <v>23351.219103333122</v>
      </c>
      <c r="AU67" s="74">
        <f t="shared" si="43"/>
        <v>15249.550161727746</v>
      </c>
      <c r="AV67" s="74">
        <f t="shared" si="51"/>
        <v>-2460.8811875000188</v>
      </c>
      <c r="AW67" s="74">
        <f t="shared" si="51"/>
        <v>-175.05000000000013</v>
      </c>
      <c r="AX67" s="74" t="str">
        <f t="shared" si="51"/>
        <v/>
      </c>
      <c r="AY67" s="75">
        <f t="shared" si="45"/>
        <v>17405.888200738391</v>
      </c>
      <c r="AZ67" s="76">
        <f t="shared" si="46"/>
        <v>13422.712359919025</v>
      </c>
      <c r="BA67" s="77">
        <f t="shared" si="47"/>
        <v>-175.05000000000013</v>
      </c>
      <c r="BB67" s="246" t="s">
        <v>422</v>
      </c>
      <c r="BC67" s="228" t="s">
        <v>433</v>
      </c>
      <c r="BD67" s="247">
        <v>0</v>
      </c>
      <c r="BE67" s="264">
        <f t="shared" si="28"/>
        <v>0</v>
      </c>
      <c r="BF67" s="265">
        <f t="shared" si="52"/>
        <v>0</v>
      </c>
      <c r="BG67" s="265">
        <f t="shared" si="52"/>
        <v>0</v>
      </c>
      <c r="BH67" s="265">
        <f t="shared" si="52"/>
        <v>1</v>
      </c>
      <c r="BI67" s="265">
        <f t="shared" si="52"/>
        <v>2</v>
      </c>
      <c r="BJ67" s="265">
        <f t="shared" si="52"/>
        <v>3</v>
      </c>
      <c r="BK67" s="265">
        <f t="shared" si="52"/>
        <v>4</v>
      </c>
      <c r="BL67" s="266">
        <f t="shared" si="52"/>
        <v>5</v>
      </c>
      <c r="BM67" s="255">
        <f>IF($BC67=Lookup!$A$2,$BD67*ROUNDUP(BE67/10,0)+1,
IF($BC67=Lookup!$A$3,($BD67+1)^BD67,
IF($BC67=Lookup!$A$4,BE67*$BD67+1,"Error")))</f>
        <v>1</v>
      </c>
      <c r="BN67" s="228">
        <f>IF($BC67=Lookup!$A$2,$BD67*ROUNDUP(BF67/10,0)+1,
IF($BC67=Lookup!$A$3,($BD67+1)^BE67,
IF($BC67=Lookup!$A$4,BF67*$BD67+1,"Error")))</f>
        <v>1</v>
      </c>
      <c r="BO67" s="228">
        <f>IF($BC67=Lookup!$A$2,$BD67*ROUNDUP(BG67/10,0)+1,
IF($BC67=Lookup!$A$3,($BD67+1)^BF67,
IF($BC67=Lookup!$A$4,BG67*$BD67+1,"Error")))</f>
        <v>1</v>
      </c>
      <c r="BP67" s="228">
        <f>IF($BC67=Lookup!$A$2,$BD67*ROUNDUP(BH67/10,0)+1,
IF($BC67=Lookup!$A$3,($BD67+1)^BG67,
IF($BC67=Lookup!$A$4,BH67*$BD67+1,"Error")))</f>
        <v>1</v>
      </c>
      <c r="BQ67" s="228">
        <f>IF($BC67=Lookup!$A$2,$BD67*ROUNDUP(BI67/10,0)+1,
IF($BC67=Lookup!$A$3,($BD67+1)^BH67,
IF($BC67=Lookup!$A$4,BI67*$BD67+1,"Error")))</f>
        <v>1</v>
      </c>
      <c r="BR67" s="228">
        <f>IF($BC67=Lookup!$A$2,$BD67*ROUNDUP(BJ67/10,0)+1,
IF($BC67=Lookup!$A$3,($BD67+1)^BI67,
IF($BC67=Lookup!$A$4,BJ67*$BD67+1,"Error")))</f>
        <v>1</v>
      </c>
      <c r="BS67" s="228">
        <f>IF($BC67=Lookup!$A$2,$BD67*ROUNDUP(BK67/10,0)+1,
IF($BC67=Lookup!$A$3,($BD67+1)^BJ67,
IF($BC67=Lookup!$A$4,BK67*$BD67+1,"Error")))</f>
        <v>1</v>
      </c>
      <c r="BT67" s="247">
        <f>IF($BC67=Lookup!$A$2,$BD67*ROUNDUP(BL67/10,0)+1,
IF($BC67=Lookup!$A$3,($BD67+1)^BK67,
IF($BC67=Lookup!$A$4,BL67*$BD67+1,"Error")))</f>
        <v>1</v>
      </c>
      <c r="BU67" s="318">
        <v>0</v>
      </c>
      <c r="BV67" s="319">
        <v>0</v>
      </c>
      <c r="BW67" s="319">
        <v>0</v>
      </c>
      <c r="BX67" s="319">
        <v>0</v>
      </c>
      <c r="BY67" s="319">
        <v>0</v>
      </c>
      <c r="BZ67" s="319">
        <v>0</v>
      </c>
      <c r="CA67" s="319">
        <v>0</v>
      </c>
      <c r="CB67" s="276">
        <v>0</v>
      </c>
      <c r="CC67" s="380" t="s">
        <v>293</v>
      </c>
      <c r="CD67" s="381">
        <f>HLOOKUP($CC67,$AK$6:$AM$132,ROWS(CD$6:CD67),0)</f>
        <v>57.333333333333336</v>
      </c>
      <c r="CE67" s="233">
        <f t="shared" si="29"/>
        <v>0</v>
      </c>
      <c r="CF67" s="78">
        <f t="shared" si="29"/>
        <v>0</v>
      </c>
      <c r="CG67" s="78">
        <f t="shared" si="29"/>
        <v>0</v>
      </c>
      <c r="CH67" s="78">
        <f t="shared" si="29"/>
        <v>0</v>
      </c>
      <c r="CI67" s="78">
        <f t="shared" si="50"/>
        <v>0</v>
      </c>
      <c r="CJ67" s="78">
        <f t="shared" si="50"/>
        <v>0</v>
      </c>
      <c r="CK67" s="78">
        <f t="shared" si="50"/>
        <v>0</v>
      </c>
      <c r="CL67" s="285">
        <f t="shared" si="50"/>
        <v>0</v>
      </c>
      <c r="CM67" s="302" t="s">
        <v>292</v>
      </c>
      <c r="CN67" s="314">
        <v>0.05</v>
      </c>
      <c r="CO67" s="303"/>
      <c r="CP67" s="304">
        <f>IF($CO67&lt;&gt;"",$CO67,HLOOKUP($CM67,$AY$6:$BA$132,ROWS(CP$6:CP67),0))</f>
        <v>17405.888200738391</v>
      </c>
      <c r="CQ67" s="783">
        <f t="shared" si="49"/>
        <v>0</v>
      </c>
      <c r="CR67" s="783">
        <f t="shared" si="49"/>
        <v>0</v>
      </c>
      <c r="CS67" s="79">
        <f t="shared" si="49"/>
        <v>0</v>
      </c>
      <c r="CT67" s="79">
        <f t="shared" si="49"/>
        <v>0</v>
      </c>
      <c r="CU67" s="79">
        <f t="shared" si="49"/>
        <v>0</v>
      </c>
      <c r="CV67" s="79">
        <f t="shared" si="49"/>
        <v>0</v>
      </c>
      <c r="CW67" s="79">
        <f t="shared" si="49"/>
        <v>0</v>
      </c>
      <c r="CX67" s="80">
        <f t="shared" si="32"/>
        <v>0</v>
      </c>
    </row>
    <row r="68" spans="1:102" x14ac:dyDescent="0.25">
      <c r="A68" s="81" t="s">
        <v>138</v>
      </c>
      <c r="B68" s="82" t="s">
        <v>139</v>
      </c>
      <c r="C68" s="83" t="s">
        <v>357</v>
      </c>
      <c r="D68" s="84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654">
        <f>'2022-23 Input'!H68</f>
        <v>0</v>
      </c>
      <c r="N68" s="1065">
        <v>0</v>
      </c>
      <c r="O68" s="560">
        <f t="shared" si="27"/>
        <v>0</v>
      </c>
      <c r="P68" s="561">
        <f t="shared" si="0"/>
        <v>0</v>
      </c>
      <c r="Q68" s="561">
        <f t="shared" si="1"/>
        <v>0</v>
      </c>
      <c r="R68" s="561">
        <f t="shared" si="2"/>
        <v>0</v>
      </c>
      <c r="S68" s="561">
        <f t="shared" si="3"/>
        <v>0</v>
      </c>
      <c r="T68" s="561">
        <f t="shared" si="4"/>
        <v>0</v>
      </c>
      <c r="U68" s="561">
        <f t="shared" si="5"/>
        <v>0</v>
      </c>
      <c r="V68" s="561">
        <f t="shared" si="6"/>
        <v>0</v>
      </c>
      <c r="W68" s="675">
        <f t="shared" si="7"/>
        <v>0</v>
      </c>
      <c r="X68" s="675">
        <f t="shared" si="8"/>
        <v>0</v>
      </c>
      <c r="Y68" s="675">
        <f t="shared" si="8"/>
        <v>0</v>
      </c>
      <c r="Z68" s="86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1094">
        <f>'2022-23 Input'!O68</f>
        <v>0</v>
      </c>
      <c r="AJ68" s="665">
        <v>0</v>
      </c>
      <c r="AK68" s="88">
        <f t="shared" si="33"/>
        <v>0</v>
      </c>
      <c r="AL68" s="89">
        <f t="shared" si="34"/>
        <v>0</v>
      </c>
      <c r="AM68" s="90">
        <f t="shared" si="35"/>
        <v>0</v>
      </c>
      <c r="AN68" s="91" t="str">
        <f t="shared" si="36"/>
        <v/>
      </c>
      <c r="AO68" s="92" t="str">
        <f t="shared" si="37"/>
        <v/>
      </c>
      <c r="AP68" s="92" t="str">
        <f t="shared" si="38"/>
        <v/>
      </c>
      <c r="AQ68" s="92" t="str">
        <f t="shared" si="39"/>
        <v/>
      </c>
      <c r="AR68" s="92" t="str">
        <f t="shared" si="40"/>
        <v/>
      </c>
      <c r="AS68" s="92" t="str">
        <f t="shared" si="41"/>
        <v/>
      </c>
      <c r="AT68" s="92" t="str">
        <f t="shared" si="42"/>
        <v/>
      </c>
      <c r="AU68" s="92" t="str">
        <f t="shared" si="43"/>
        <v/>
      </c>
      <c r="AV68" s="92" t="str">
        <f t="shared" si="51"/>
        <v/>
      </c>
      <c r="AW68" s="92" t="str">
        <f t="shared" si="51"/>
        <v/>
      </c>
      <c r="AX68" s="92" t="str">
        <f t="shared" si="51"/>
        <v/>
      </c>
      <c r="AY68" s="93" t="str">
        <f t="shared" si="45"/>
        <v/>
      </c>
      <c r="AZ68" s="94" t="str">
        <f t="shared" si="46"/>
        <v/>
      </c>
      <c r="BA68" s="95" t="str">
        <f t="shared" si="47"/>
        <v/>
      </c>
      <c r="BB68" s="248" t="s">
        <v>422</v>
      </c>
      <c r="BC68" s="229" t="s">
        <v>433</v>
      </c>
      <c r="BD68" s="249">
        <v>0</v>
      </c>
      <c r="BE68" s="267">
        <f t="shared" si="28"/>
        <v>0</v>
      </c>
      <c r="BF68" s="268">
        <f t="shared" si="52"/>
        <v>0</v>
      </c>
      <c r="BG68" s="268">
        <f t="shared" si="52"/>
        <v>0</v>
      </c>
      <c r="BH68" s="268">
        <f t="shared" si="52"/>
        <v>1</v>
      </c>
      <c r="BI68" s="268">
        <f t="shared" si="52"/>
        <v>2</v>
      </c>
      <c r="BJ68" s="268">
        <f t="shared" si="52"/>
        <v>3</v>
      </c>
      <c r="BK68" s="268">
        <f t="shared" si="52"/>
        <v>4</v>
      </c>
      <c r="BL68" s="269">
        <f t="shared" si="52"/>
        <v>5</v>
      </c>
      <c r="BM68" s="256">
        <f>IF($BC68=Lookup!$A$2,$BD68*ROUNDUP(BE68/10,0)+1,
IF($BC68=Lookup!$A$3,($BD68+1)^BD68,
IF($BC68=Lookup!$A$4,BE68*$BD68+1,"Error")))</f>
        <v>1</v>
      </c>
      <c r="BN68" s="229">
        <f>IF($BC68=Lookup!$A$2,$BD68*ROUNDUP(BF68/10,0)+1,
IF($BC68=Lookup!$A$3,($BD68+1)^BE68,
IF($BC68=Lookup!$A$4,BF68*$BD68+1,"Error")))</f>
        <v>1</v>
      </c>
      <c r="BO68" s="229">
        <f>IF($BC68=Lookup!$A$2,$BD68*ROUNDUP(BG68/10,0)+1,
IF($BC68=Lookup!$A$3,($BD68+1)^BF68,
IF($BC68=Lookup!$A$4,BG68*$BD68+1,"Error")))</f>
        <v>1</v>
      </c>
      <c r="BP68" s="229">
        <f>IF($BC68=Lookup!$A$2,$BD68*ROUNDUP(BH68/10,0)+1,
IF($BC68=Lookup!$A$3,($BD68+1)^BG68,
IF($BC68=Lookup!$A$4,BH68*$BD68+1,"Error")))</f>
        <v>1</v>
      </c>
      <c r="BQ68" s="229">
        <f>IF($BC68=Lookup!$A$2,$BD68*ROUNDUP(BI68/10,0)+1,
IF($BC68=Lookup!$A$3,($BD68+1)^BH68,
IF($BC68=Lookup!$A$4,BI68*$BD68+1,"Error")))</f>
        <v>1</v>
      </c>
      <c r="BR68" s="229">
        <f>IF($BC68=Lookup!$A$2,$BD68*ROUNDUP(BJ68/10,0)+1,
IF($BC68=Lookup!$A$3,($BD68+1)^BI68,
IF($BC68=Lookup!$A$4,BJ68*$BD68+1,"Error")))</f>
        <v>1</v>
      </c>
      <c r="BS68" s="229">
        <f>IF($BC68=Lookup!$A$2,$BD68*ROUNDUP(BK68/10,0)+1,
IF($BC68=Lookup!$A$3,($BD68+1)^BJ68,
IF($BC68=Lookup!$A$4,BK68*$BD68+1,"Error")))</f>
        <v>1</v>
      </c>
      <c r="BT68" s="249">
        <f>IF($BC68=Lookup!$A$2,$BD68*ROUNDUP(BL68/10,0)+1,
IF($BC68=Lookup!$A$3,($BD68+1)^BK68,
IF($BC68=Lookup!$A$4,BL68*$BD68+1,"Error")))</f>
        <v>1</v>
      </c>
      <c r="BU68" s="320">
        <v>0</v>
      </c>
      <c r="BV68" s="321">
        <v>0</v>
      </c>
      <c r="BW68" s="321">
        <v>0</v>
      </c>
      <c r="BX68" s="321">
        <v>0</v>
      </c>
      <c r="BY68" s="321">
        <v>0</v>
      </c>
      <c r="BZ68" s="321">
        <v>0</v>
      </c>
      <c r="CA68" s="321">
        <v>0</v>
      </c>
      <c r="CB68" s="277">
        <v>0</v>
      </c>
      <c r="CC68" s="382" t="s">
        <v>293</v>
      </c>
      <c r="CD68" s="383">
        <f>HLOOKUP($CC68,$AK$6:$AM$132,ROWS(CD$6:CD68),0)</f>
        <v>0</v>
      </c>
      <c r="CE68" s="234">
        <f t="shared" si="29"/>
        <v>0</v>
      </c>
      <c r="CF68" s="96">
        <f t="shared" si="29"/>
        <v>0</v>
      </c>
      <c r="CG68" s="96">
        <f t="shared" si="29"/>
        <v>0</v>
      </c>
      <c r="CH68" s="96">
        <f t="shared" si="29"/>
        <v>0</v>
      </c>
      <c r="CI68" s="96">
        <f t="shared" si="50"/>
        <v>0</v>
      </c>
      <c r="CJ68" s="96">
        <f t="shared" si="50"/>
        <v>0</v>
      </c>
      <c r="CK68" s="96">
        <f t="shared" si="50"/>
        <v>0</v>
      </c>
      <c r="CL68" s="286">
        <f t="shared" si="50"/>
        <v>0</v>
      </c>
      <c r="CM68" s="305" t="s">
        <v>292</v>
      </c>
      <c r="CN68" s="315">
        <v>0.05</v>
      </c>
      <c r="CO68" s="306"/>
      <c r="CP68" s="307" t="str">
        <f>IF($CO68&lt;&gt;"",$CO68,HLOOKUP($CM68,$AY$6:$BA$132,ROWS(CP$6:CP68),0))</f>
        <v/>
      </c>
      <c r="CQ68" s="784" t="str">
        <f t="shared" si="49"/>
        <v/>
      </c>
      <c r="CR68" s="784" t="str">
        <f t="shared" si="49"/>
        <v/>
      </c>
      <c r="CS68" s="97" t="str">
        <f t="shared" si="49"/>
        <v/>
      </c>
      <c r="CT68" s="97" t="str">
        <f t="shared" si="49"/>
        <v/>
      </c>
      <c r="CU68" s="97" t="str">
        <f t="shared" si="49"/>
        <v/>
      </c>
      <c r="CV68" s="97" t="str">
        <f t="shared" si="49"/>
        <v/>
      </c>
      <c r="CW68" s="97" t="str">
        <f t="shared" si="49"/>
        <v/>
      </c>
      <c r="CX68" s="98" t="str">
        <f t="shared" si="32"/>
        <v/>
      </c>
    </row>
    <row r="69" spans="1:102" x14ac:dyDescent="0.25">
      <c r="A69" s="81" t="s">
        <v>138</v>
      </c>
      <c r="B69" s="82" t="s">
        <v>141</v>
      </c>
      <c r="C69" s="83" t="s">
        <v>358</v>
      </c>
      <c r="D69" s="84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85">
        <v>0</v>
      </c>
      <c r="L69" s="85">
        <v>0</v>
      </c>
      <c r="M69" s="654">
        <f>'2022-23 Input'!H69</f>
        <v>0</v>
      </c>
      <c r="N69" s="1065">
        <v>0</v>
      </c>
      <c r="O69" s="560">
        <f t="shared" si="27"/>
        <v>0</v>
      </c>
      <c r="P69" s="561">
        <f t="shared" si="0"/>
        <v>0</v>
      </c>
      <c r="Q69" s="561">
        <f t="shared" si="1"/>
        <v>0</v>
      </c>
      <c r="R69" s="561">
        <f t="shared" si="2"/>
        <v>0</v>
      </c>
      <c r="S69" s="561">
        <f t="shared" si="3"/>
        <v>0</v>
      </c>
      <c r="T69" s="561">
        <f t="shared" si="4"/>
        <v>0</v>
      </c>
      <c r="U69" s="561">
        <f t="shared" si="5"/>
        <v>0</v>
      </c>
      <c r="V69" s="561">
        <f t="shared" si="6"/>
        <v>0</v>
      </c>
      <c r="W69" s="675">
        <f t="shared" si="7"/>
        <v>0</v>
      </c>
      <c r="X69" s="675">
        <f t="shared" si="8"/>
        <v>0</v>
      </c>
      <c r="Y69" s="675">
        <f t="shared" si="8"/>
        <v>0</v>
      </c>
      <c r="Z69" s="86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87">
        <v>0</v>
      </c>
      <c r="AI69" s="1094">
        <f>'2022-23 Input'!O69</f>
        <v>0</v>
      </c>
      <c r="AJ69" s="665">
        <v>0</v>
      </c>
      <c r="AK69" s="88">
        <f t="shared" si="33"/>
        <v>0</v>
      </c>
      <c r="AL69" s="89">
        <f t="shared" si="34"/>
        <v>0</v>
      </c>
      <c r="AM69" s="90">
        <f t="shared" si="35"/>
        <v>0</v>
      </c>
      <c r="AN69" s="91" t="str">
        <f t="shared" si="36"/>
        <v/>
      </c>
      <c r="AO69" s="92" t="str">
        <f t="shared" si="37"/>
        <v/>
      </c>
      <c r="AP69" s="92" t="str">
        <f t="shared" si="38"/>
        <v/>
      </c>
      <c r="AQ69" s="92" t="str">
        <f t="shared" si="39"/>
        <v/>
      </c>
      <c r="AR69" s="92" t="str">
        <f t="shared" si="40"/>
        <v/>
      </c>
      <c r="AS69" s="92" t="str">
        <f t="shared" si="41"/>
        <v/>
      </c>
      <c r="AT69" s="92" t="str">
        <f t="shared" si="42"/>
        <v/>
      </c>
      <c r="AU69" s="92" t="str">
        <f t="shared" si="43"/>
        <v/>
      </c>
      <c r="AV69" s="92" t="str">
        <f t="shared" si="51"/>
        <v/>
      </c>
      <c r="AW69" s="92" t="str">
        <f t="shared" si="51"/>
        <v/>
      </c>
      <c r="AX69" s="92" t="str">
        <f t="shared" si="51"/>
        <v/>
      </c>
      <c r="AY69" s="93" t="str">
        <f t="shared" si="45"/>
        <v/>
      </c>
      <c r="AZ69" s="94" t="str">
        <f t="shared" si="46"/>
        <v/>
      </c>
      <c r="BA69" s="95" t="str">
        <f t="shared" si="47"/>
        <v/>
      </c>
      <c r="BB69" s="248" t="s">
        <v>422</v>
      </c>
      <c r="BC69" s="229" t="s">
        <v>433</v>
      </c>
      <c r="BD69" s="249">
        <v>0</v>
      </c>
      <c r="BE69" s="267">
        <f t="shared" si="28"/>
        <v>0</v>
      </c>
      <c r="BF69" s="268">
        <f t="shared" si="52"/>
        <v>0</v>
      </c>
      <c r="BG69" s="268">
        <f t="shared" si="52"/>
        <v>0</v>
      </c>
      <c r="BH69" s="268">
        <f t="shared" si="52"/>
        <v>1</v>
      </c>
      <c r="BI69" s="268">
        <f t="shared" si="52"/>
        <v>2</v>
      </c>
      <c r="BJ69" s="268">
        <f t="shared" si="52"/>
        <v>3</v>
      </c>
      <c r="BK69" s="268">
        <f t="shared" si="52"/>
        <v>4</v>
      </c>
      <c r="BL69" s="269">
        <f t="shared" si="52"/>
        <v>5</v>
      </c>
      <c r="BM69" s="256">
        <f>IF($BC69=Lookup!$A$2,$BD69*ROUNDUP(BE69/10,0)+1,
IF($BC69=Lookup!$A$3,($BD69+1)^BD69,
IF($BC69=Lookup!$A$4,BE69*$BD69+1,"Error")))</f>
        <v>1</v>
      </c>
      <c r="BN69" s="229">
        <f>IF($BC69=Lookup!$A$2,$BD69*ROUNDUP(BF69/10,0)+1,
IF($BC69=Lookup!$A$3,($BD69+1)^BE69,
IF($BC69=Lookup!$A$4,BF69*$BD69+1,"Error")))</f>
        <v>1</v>
      </c>
      <c r="BO69" s="229">
        <f>IF($BC69=Lookup!$A$2,$BD69*ROUNDUP(BG69/10,0)+1,
IF($BC69=Lookup!$A$3,($BD69+1)^BF69,
IF($BC69=Lookup!$A$4,BG69*$BD69+1,"Error")))</f>
        <v>1</v>
      </c>
      <c r="BP69" s="229">
        <f>IF($BC69=Lookup!$A$2,$BD69*ROUNDUP(BH69/10,0)+1,
IF($BC69=Lookup!$A$3,($BD69+1)^BG69,
IF($BC69=Lookup!$A$4,BH69*$BD69+1,"Error")))</f>
        <v>1</v>
      </c>
      <c r="BQ69" s="229">
        <f>IF($BC69=Lookup!$A$2,$BD69*ROUNDUP(BI69/10,0)+1,
IF($BC69=Lookup!$A$3,($BD69+1)^BH69,
IF($BC69=Lookup!$A$4,BI69*$BD69+1,"Error")))</f>
        <v>1</v>
      </c>
      <c r="BR69" s="229">
        <f>IF($BC69=Lookup!$A$2,$BD69*ROUNDUP(BJ69/10,0)+1,
IF($BC69=Lookup!$A$3,($BD69+1)^BI69,
IF($BC69=Lookup!$A$4,BJ69*$BD69+1,"Error")))</f>
        <v>1</v>
      </c>
      <c r="BS69" s="229">
        <f>IF($BC69=Lookup!$A$2,$BD69*ROUNDUP(BK69/10,0)+1,
IF($BC69=Lookup!$A$3,($BD69+1)^BJ69,
IF($BC69=Lookup!$A$4,BK69*$BD69+1,"Error")))</f>
        <v>1</v>
      </c>
      <c r="BT69" s="249">
        <f>IF($BC69=Lookup!$A$2,$BD69*ROUNDUP(BL69/10,0)+1,
IF($BC69=Lookup!$A$3,($BD69+1)^BK69,
IF($BC69=Lookup!$A$4,BL69*$BD69+1,"Error")))</f>
        <v>1</v>
      </c>
      <c r="BU69" s="320">
        <v>0</v>
      </c>
      <c r="BV69" s="321">
        <v>0</v>
      </c>
      <c r="BW69" s="321">
        <v>0</v>
      </c>
      <c r="BX69" s="321">
        <v>0</v>
      </c>
      <c r="BY69" s="321">
        <v>0</v>
      </c>
      <c r="BZ69" s="321">
        <v>0</v>
      </c>
      <c r="CA69" s="321">
        <v>0</v>
      </c>
      <c r="CB69" s="277">
        <v>0</v>
      </c>
      <c r="CC69" s="382" t="s">
        <v>293</v>
      </c>
      <c r="CD69" s="383">
        <f>HLOOKUP($CC69,$AK$6:$AM$132,ROWS(CD$6:CD69),0)</f>
        <v>0</v>
      </c>
      <c r="CE69" s="234">
        <f t="shared" si="29"/>
        <v>0</v>
      </c>
      <c r="CF69" s="96">
        <f t="shared" si="29"/>
        <v>0</v>
      </c>
      <c r="CG69" s="96">
        <f t="shared" si="29"/>
        <v>0</v>
      </c>
      <c r="CH69" s="96">
        <f t="shared" si="29"/>
        <v>0</v>
      </c>
      <c r="CI69" s="96">
        <f t="shared" si="50"/>
        <v>0</v>
      </c>
      <c r="CJ69" s="96">
        <f t="shared" si="50"/>
        <v>0</v>
      </c>
      <c r="CK69" s="96">
        <f t="shared" si="50"/>
        <v>0</v>
      </c>
      <c r="CL69" s="286">
        <f t="shared" si="50"/>
        <v>0</v>
      </c>
      <c r="CM69" s="305" t="s">
        <v>292</v>
      </c>
      <c r="CN69" s="315">
        <v>0.05</v>
      </c>
      <c r="CO69" s="306"/>
      <c r="CP69" s="307" t="str">
        <f>IF($CO69&lt;&gt;"",$CO69,HLOOKUP($CM69,$AY$6:$BA$132,ROWS(CP$6:CP69),0))</f>
        <v/>
      </c>
      <c r="CQ69" s="784" t="str">
        <f t="shared" si="49"/>
        <v/>
      </c>
      <c r="CR69" s="784" t="str">
        <f t="shared" si="49"/>
        <v/>
      </c>
      <c r="CS69" s="97" t="str">
        <f t="shared" si="49"/>
        <v/>
      </c>
      <c r="CT69" s="97" t="str">
        <f t="shared" si="49"/>
        <v/>
      </c>
      <c r="CU69" s="97" t="str">
        <f t="shared" si="49"/>
        <v/>
      </c>
      <c r="CV69" s="97" t="str">
        <f t="shared" si="49"/>
        <v/>
      </c>
      <c r="CW69" s="97" t="str">
        <f t="shared" si="49"/>
        <v/>
      </c>
      <c r="CX69" s="98" t="str">
        <f t="shared" si="32"/>
        <v/>
      </c>
    </row>
    <row r="70" spans="1:102" x14ac:dyDescent="0.25">
      <c r="A70" s="81" t="s">
        <v>138</v>
      </c>
      <c r="B70" s="82" t="s">
        <v>143</v>
      </c>
      <c r="C70" s="83" t="s">
        <v>359</v>
      </c>
      <c r="D70" s="84">
        <v>0</v>
      </c>
      <c r="E70" s="85">
        <v>0</v>
      </c>
      <c r="F70" s="85">
        <v>0</v>
      </c>
      <c r="G70" s="85">
        <v>453309.11866425752</v>
      </c>
      <c r="H70" s="85">
        <v>894689.46634143568</v>
      </c>
      <c r="I70" s="85">
        <v>570916.36406166537</v>
      </c>
      <c r="J70" s="85">
        <v>852777.35244246118</v>
      </c>
      <c r="K70" s="85">
        <v>822166.01836163015</v>
      </c>
      <c r="L70" s="85">
        <v>0</v>
      </c>
      <c r="M70" s="654">
        <f>'2022-23 Input'!H70</f>
        <v>0</v>
      </c>
      <c r="N70" s="1065">
        <v>66845.818479135996</v>
      </c>
      <c r="O70" s="560">
        <f t="shared" si="27"/>
        <v>0</v>
      </c>
      <c r="P70" s="561">
        <f t="shared" si="0"/>
        <v>0</v>
      </c>
      <c r="Q70" s="561">
        <f t="shared" si="1"/>
        <v>0</v>
      </c>
      <c r="R70" s="561">
        <f t="shared" si="2"/>
        <v>583461.7594744137</v>
      </c>
      <c r="S70" s="561">
        <f t="shared" si="3"/>
        <v>1128130.7667198465</v>
      </c>
      <c r="T70" s="561">
        <f t="shared" si="4"/>
        <v>708591.87153428374</v>
      </c>
      <c r="U70" s="561">
        <f t="shared" si="5"/>
        <v>1062123.9368054559</v>
      </c>
      <c r="V70" s="561">
        <f t="shared" si="6"/>
        <v>986072.04062897176</v>
      </c>
      <c r="W70" s="675">
        <f t="shared" si="7"/>
        <v>0</v>
      </c>
      <c r="X70" s="675">
        <f t="shared" si="8"/>
        <v>0</v>
      </c>
      <c r="Y70" s="675">
        <f t="shared" si="8"/>
        <v>68683.976835947877</v>
      </c>
      <c r="Z70" s="86">
        <v>0</v>
      </c>
      <c r="AA70" s="87">
        <v>0</v>
      </c>
      <c r="AB70" s="87">
        <v>0</v>
      </c>
      <c r="AC70" s="87">
        <v>12</v>
      </c>
      <c r="AD70" s="87">
        <v>26</v>
      </c>
      <c r="AE70" s="87">
        <v>20</v>
      </c>
      <c r="AF70" s="87">
        <v>32</v>
      </c>
      <c r="AG70" s="87">
        <v>53</v>
      </c>
      <c r="AH70" s="87">
        <v>5</v>
      </c>
      <c r="AI70" s="1094">
        <f>'2022-23 Input'!O70</f>
        <v>0</v>
      </c>
      <c r="AJ70" s="665">
        <v>0</v>
      </c>
      <c r="AK70" s="88">
        <f t="shared" si="33"/>
        <v>22</v>
      </c>
      <c r="AL70" s="89">
        <f t="shared" si="34"/>
        <v>19.333333333333332</v>
      </c>
      <c r="AM70" s="90">
        <f t="shared" si="35"/>
        <v>0</v>
      </c>
      <c r="AN70" s="91" t="str">
        <f t="shared" si="36"/>
        <v/>
      </c>
      <c r="AO70" s="92" t="str">
        <f t="shared" si="37"/>
        <v/>
      </c>
      <c r="AP70" s="92" t="str">
        <f t="shared" si="38"/>
        <v/>
      </c>
      <c r="AQ70" s="92">
        <f t="shared" si="39"/>
        <v>37775.759888688124</v>
      </c>
      <c r="AR70" s="92">
        <f t="shared" si="40"/>
        <v>34411.133320824447</v>
      </c>
      <c r="AS70" s="92">
        <f t="shared" si="41"/>
        <v>28545.818203083269</v>
      </c>
      <c r="AT70" s="92">
        <f t="shared" si="42"/>
        <v>26649.292263826912</v>
      </c>
      <c r="AU70" s="92">
        <f t="shared" si="43"/>
        <v>15512.5663841817</v>
      </c>
      <c r="AV70" s="92">
        <f t="shared" si="51"/>
        <v>0</v>
      </c>
      <c r="AW70" s="92" t="str">
        <f t="shared" si="51"/>
        <v/>
      </c>
      <c r="AX70" s="92" t="str">
        <f t="shared" si="51"/>
        <v/>
      </c>
      <c r="AY70" s="93">
        <f t="shared" si="45"/>
        <v>20416.906680597789</v>
      </c>
      <c r="AZ70" s="94">
        <f t="shared" si="46"/>
        <v>14175.276178648795</v>
      </c>
      <c r="BA70" s="95" t="str">
        <f t="shared" si="47"/>
        <v/>
      </c>
      <c r="BB70" s="248" t="s">
        <v>422</v>
      </c>
      <c r="BC70" s="229" t="s">
        <v>433</v>
      </c>
      <c r="BD70" s="249">
        <v>0</v>
      </c>
      <c r="BE70" s="267">
        <f t="shared" si="28"/>
        <v>0</v>
      </c>
      <c r="BF70" s="268">
        <f t="shared" si="52"/>
        <v>0</v>
      </c>
      <c r="BG70" s="268">
        <f t="shared" si="52"/>
        <v>0</v>
      </c>
      <c r="BH70" s="268">
        <f t="shared" si="52"/>
        <v>1</v>
      </c>
      <c r="BI70" s="268">
        <f t="shared" si="52"/>
        <v>2</v>
      </c>
      <c r="BJ70" s="268">
        <f t="shared" si="52"/>
        <v>3</v>
      </c>
      <c r="BK70" s="268">
        <f t="shared" si="52"/>
        <v>4</v>
      </c>
      <c r="BL70" s="269">
        <f t="shared" si="52"/>
        <v>5</v>
      </c>
      <c r="BM70" s="256">
        <f>IF($BC70=Lookup!$A$2,$BD70*ROUNDUP(BE70/10,0)+1,
IF($BC70=Lookup!$A$3,($BD70+1)^BD70,
IF($BC70=Lookup!$A$4,BE70*$BD70+1,"Error")))</f>
        <v>1</v>
      </c>
      <c r="BN70" s="229">
        <f>IF($BC70=Lookup!$A$2,$BD70*ROUNDUP(BF70/10,0)+1,
IF($BC70=Lookup!$A$3,($BD70+1)^BE70,
IF($BC70=Lookup!$A$4,BF70*$BD70+1,"Error")))</f>
        <v>1</v>
      </c>
      <c r="BO70" s="229">
        <f>IF($BC70=Lookup!$A$2,$BD70*ROUNDUP(BG70/10,0)+1,
IF($BC70=Lookup!$A$3,($BD70+1)^BF70,
IF($BC70=Lookup!$A$4,BG70*$BD70+1,"Error")))</f>
        <v>1</v>
      </c>
      <c r="BP70" s="229">
        <f>IF($BC70=Lookup!$A$2,$BD70*ROUNDUP(BH70/10,0)+1,
IF($BC70=Lookup!$A$3,($BD70+1)^BG70,
IF($BC70=Lookup!$A$4,BH70*$BD70+1,"Error")))</f>
        <v>1</v>
      </c>
      <c r="BQ70" s="229">
        <f>IF($BC70=Lookup!$A$2,$BD70*ROUNDUP(BI70/10,0)+1,
IF($BC70=Lookup!$A$3,($BD70+1)^BH70,
IF($BC70=Lookup!$A$4,BI70*$BD70+1,"Error")))</f>
        <v>1</v>
      </c>
      <c r="BR70" s="229">
        <f>IF($BC70=Lookup!$A$2,$BD70*ROUNDUP(BJ70/10,0)+1,
IF($BC70=Lookup!$A$3,($BD70+1)^BI70,
IF($BC70=Lookup!$A$4,BJ70*$BD70+1,"Error")))</f>
        <v>1</v>
      </c>
      <c r="BS70" s="229">
        <f>IF($BC70=Lookup!$A$2,$BD70*ROUNDUP(BK70/10,0)+1,
IF($BC70=Lookup!$A$3,($BD70+1)^BJ70,
IF($BC70=Lookup!$A$4,BK70*$BD70+1,"Error")))</f>
        <v>1</v>
      </c>
      <c r="BT70" s="249">
        <f>IF($BC70=Lookup!$A$2,$BD70*ROUNDUP(BL70/10,0)+1,
IF($BC70=Lookup!$A$3,($BD70+1)^BK70,
IF($BC70=Lookup!$A$4,BL70*$BD70+1,"Error")))</f>
        <v>1</v>
      </c>
      <c r="BU70" s="320">
        <v>0</v>
      </c>
      <c r="BV70" s="321">
        <v>0</v>
      </c>
      <c r="BW70" s="321">
        <v>0</v>
      </c>
      <c r="BX70" s="321">
        <v>0</v>
      </c>
      <c r="BY70" s="321">
        <v>0</v>
      </c>
      <c r="BZ70" s="321">
        <v>0</v>
      </c>
      <c r="CA70" s="321">
        <v>0</v>
      </c>
      <c r="CB70" s="277">
        <v>0</v>
      </c>
      <c r="CC70" s="382" t="s">
        <v>293</v>
      </c>
      <c r="CD70" s="383">
        <f>HLOOKUP($CC70,$AK$6:$AM$132,ROWS(CD$6:CD70),0)</f>
        <v>19.333333333333332</v>
      </c>
      <c r="CE70" s="234">
        <f t="shared" si="29"/>
        <v>0</v>
      </c>
      <c r="CF70" s="96">
        <f t="shared" si="29"/>
        <v>0</v>
      </c>
      <c r="CG70" s="96">
        <f t="shared" si="29"/>
        <v>0</v>
      </c>
      <c r="CH70" s="96">
        <f t="shared" si="29"/>
        <v>0</v>
      </c>
      <c r="CI70" s="96">
        <f t="shared" si="50"/>
        <v>0</v>
      </c>
      <c r="CJ70" s="96">
        <f t="shared" si="50"/>
        <v>0</v>
      </c>
      <c r="CK70" s="96">
        <f t="shared" si="50"/>
        <v>0</v>
      </c>
      <c r="CL70" s="286">
        <f t="shared" si="50"/>
        <v>0</v>
      </c>
      <c r="CM70" s="305" t="s">
        <v>292</v>
      </c>
      <c r="CN70" s="315">
        <v>0.05</v>
      </c>
      <c r="CO70" s="306"/>
      <c r="CP70" s="307">
        <f>IF($CO70&lt;&gt;"",$CO70,HLOOKUP($CM70,$AY$6:$BA$132,ROWS(CP$6:CP70),0))</f>
        <v>20416.906680597789</v>
      </c>
      <c r="CQ70" s="784">
        <f t="shared" si="49"/>
        <v>0</v>
      </c>
      <c r="CR70" s="784">
        <f t="shared" si="49"/>
        <v>0</v>
      </c>
      <c r="CS70" s="97">
        <f t="shared" si="49"/>
        <v>0</v>
      </c>
      <c r="CT70" s="97">
        <f t="shared" si="49"/>
        <v>0</v>
      </c>
      <c r="CU70" s="97">
        <f t="shared" si="49"/>
        <v>0</v>
      </c>
      <c r="CV70" s="97">
        <f t="shared" si="49"/>
        <v>0</v>
      </c>
      <c r="CW70" s="97">
        <f t="shared" si="49"/>
        <v>0</v>
      </c>
      <c r="CX70" s="98">
        <f t="shared" si="32"/>
        <v>0</v>
      </c>
    </row>
    <row r="71" spans="1:102" x14ac:dyDescent="0.25">
      <c r="A71" s="81" t="s">
        <v>138</v>
      </c>
      <c r="B71" s="82" t="s">
        <v>145</v>
      </c>
      <c r="C71" s="83" t="s">
        <v>360</v>
      </c>
      <c r="D71" s="84">
        <v>0</v>
      </c>
      <c r="E71" s="85">
        <v>0</v>
      </c>
      <c r="F71" s="85">
        <v>0</v>
      </c>
      <c r="G71" s="85">
        <v>572997.36652441893</v>
      </c>
      <c r="H71" s="85">
        <v>1830778.0013917424</v>
      </c>
      <c r="I71" s="85">
        <v>2181471.2687398563</v>
      </c>
      <c r="J71" s="85">
        <v>3211239.8583803428</v>
      </c>
      <c r="K71" s="85">
        <v>3236818.3153467486</v>
      </c>
      <c r="L71" s="85">
        <v>111690.65117745778</v>
      </c>
      <c r="M71" s="654">
        <f>'2022-23 Input'!H71</f>
        <v>11912.201499999999</v>
      </c>
      <c r="N71" s="1065">
        <v>2258.8954850750001</v>
      </c>
      <c r="O71" s="560">
        <f t="shared" si="27"/>
        <v>0</v>
      </c>
      <c r="P71" s="561">
        <f t="shared" ref="P71:P132" si="53">E71*P$4</f>
        <v>0</v>
      </c>
      <c r="Q71" s="561">
        <f t="shared" ref="Q71:Q132" si="54">F71*Q$4</f>
        <v>0</v>
      </c>
      <c r="R71" s="561">
        <f t="shared" ref="R71:R132" si="55">G71*R$4</f>
        <v>737514.50805064861</v>
      </c>
      <c r="S71" s="561">
        <f t="shared" ref="S71:S132" si="56">H71*S$4</f>
        <v>2308462.3974053846</v>
      </c>
      <c r="T71" s="561">
        <f t="shared" ref="T71:T132" si="57">I71*T$4</f>
        <v>2707529.3446093663</v>
      </c>
      <c r="U71" s="561">
        <f t="shared" ref="U71:U132" si="58">J71*U$4</f>
        <v>3999560.6246352023</v>
      </c>
      <c r="V71" s="561">
        <f t="shared" ref="V71:V132" si="59">K71*V$4</f>
        <v>3882106.49683567</v>
      </c>
      <c r="W71" s="675">
        <f t="shared" ref="W71:W132" si="60">L71*W$4</f>
        <v>126202.30854557142</v>
      </c>
      <c r="X71" s="675">
        <f t="shared" ref="X71:Y132" si="61">M71*X$4</f>
        <v>12668.160838985643</v>
      </c>
      <c r="Y71" s="675">
        <f t="shared" si="61"/>
        <v>2321.0116758484178</v>
      </c>
      <c r="Z71" s="86">
        <v>0</v>
      </c>
      <c r="AA71" s="87">
        <v>0</v>
      </c>
      <c r="AB71" s="87">
        <v>0</v>
      </c>
      <c r="AC71" s="87">
        <v>7</v>
      </c>
      <c r="AD71" s="87">
        <v>22</v>
      </c>
      <c r="AE71" s="87">
        <v>31</v>
      </c>
      <c r="AF71" s="87">
        <v>73</v>
      </c>
      <c r="AG71" s="87">
        <v>105</v>
      </c>
      <c r="AH71" s="87">
        <v>6</v>
      </c>
      <c r="AI71" s="1094">
        <f>'2022-23 Input'!O71</f>
        <v>0</v>
      </c>
      <c r="AJ71" s="665">
        <v>0</v>
      </c>
      <c r="AK71" s="88">
        <f t="shared" ref="AK71:AK102" si="62">IFERROR(IF($AM$4="N",SUM(AD71:AH71)/5,SUM(AE71:AI71)/5),"")</f>
        <v>43</v>
      </c>
      <c r="AL71" s="89">
        <f t="shared" ref="AL71:AL102" si="63">IFERROR(IF($AM$4="N",SUM(AF71:AH71)/3,SUM(AG71:AI71)/3),"")</f>
        <v>37</v>
      </c>
      <c r="AM71" s="90">
        <f t="shared" ref="AM71:AM102" si="64">IFERROR(IF($AM$4="N",AH71,AI71),"")</f>
        <v>0</v>
      </c>
      <c r="AN71" s="91" t="str">
        <f t="shared" ref="AN71:AN102" si="65">IFERROR(D71/Z71,"")</f>
        <v/>
      </c>
      <c r="AO71" s="92" t="str">
        <f t="shared" ref="AO71:AO102" si="66">IFERROR(E71/AA71,"")</f>
        <v/>
      </c>
      <c r="AP71" s="92" t="str">
        <f t="shared" ref="AP71:AP102" si="67">IFERROR(F71/AB71,"")</f>
        <v/>
      </c>
      <c r="AQ71" s="92">
        <f t="shared" ref="AQ71:AQ102" si="68">IFERROR(G71/AC71,"")</f>
        <v>81856.766646345568</v>
      </c>
      <c r="AR71" s="92">
        <f t="shared" ref="AR71:AR102" si="69">IFERROR(H71/AD71,"")</f>
        <v>83217.181881442841</v>
      </c>
      <c r="AS71" s="92">
        <f t="shared" ref="AS71:AS102" si="70">IFERROR(I71/AE71,"")</f>
        <v>70370.040927092137</v>
      </c>
      <c r="AT71" s="92">
        <f t="shared" ref="AT71:AT102" si="71">IFERROR(J71/AF71,"")</f>
        <v>43989.587101100587</v>
      </c>
      <c r="AU71" s="92">
        <f t="shared" ref="AU71:AU102" si="72">IFERROR(K71/AG71,"")</f>
        <v>30826.841098540463</v>
      </c>
      <c r="AV71" s="92">
        <f t="shared" ref="AV71:AX86" si="73">IFERROR(L71/AH71,"")</f>
        <v>18615.108529576297</v>
      </c>
      <c r="AW71" s="92" t="str">
        <f t="shared" si="73"/>
        <v/>
      </c>
      <c r="AX71" s="92" t="str">
        <f t="shared" si="73"/>
        <v/>
      </c>
      <c r="AY71" s="93">
        <f t="shared" ref="AY71:AY102" si="74">IFERROR(IF($BA$3="N",
IF($BA$4="N",SUM(H71:L71)/SUM(AD71:AH71),SUM(I71:M71)/SUM(AE71:AI71)),
IF($BA$4="N",SUM(S71:W71)/SUM(AD71:AH71),SUM(T71:X71)/SUM(AE71:AI71))),"")</f>
        <v>40712.243233229798</v>
      </c>
      <c r="AZ71" s="94">
        <f t="shared" ref="AZ71:AZ102" si="75">IFERROR(IF($BA$3="N",
IF($BA$4="N",SUM(J71:L71)/SUM(AF71:AH71),SUM(K71:M71)/SUM(AG71:AI71)),
IF($BA$4="N",SUM(U71:W71)/SUM(AF71:AH71),SUM(V71:X71)/SUM(AG71:AI71))),"")</f>
        <v>30274.064576794652</v>
      </c>
      <c r="BA71" s="95" t="str">
        <f t="shared" ref="BA71:BA102" si="76">IFERROR(IF($BA$3="N",
IF($BA$4="N",L71/AH71,M71/AI71),
IF($BA$4="N",W71/AH71,X71/AI71)),"")</f>
        <v/>
      </c>
      <c r="BB71" s="248" t="s">
        <v>422</v>
      </c>
      <c r="BC71" s="229" t="s">
        <v>433</v>
      </c>
      <c r="BD71" s="249">
        <v>0</v>
      </c>
      <c r="BE71" s="267">
        <f t="shared" si="28"/>
        <v>0</v>
      </c>
      <c r="BF71" s="268">
        <f t="shared" ref="BF71:BL86" si="77">IF(BF$6=$BB71,1,
IF(BE71&lt;&gt;0,BE71+1,0
))</f>
        <v>0</v>
      </c>
      <c r="BG71" s="268">
        <f t="shared" si="77"/>
        <v>0</v>
      </c>
      <c r="BH71" s="268">
        <f t="shared" si="77"/>
        <v>1</v>
      </c>
      <c r="BI71" s="268">
        <f t="shared" si="77"/>
        <v>2</v>
      </c>
      <c r="BJ71" s="268">
        <f t="shared" si="77"/>
        <v>3</v>
      </c>
      <c r="BK71" s="268">
        <f t="shared" si="77"/>
        <v>4</v>
      </c>
      <c r="BL71" s="269">
        <f t="shared" si="77"/>
        <v>5</v>
      </c>
      <c r="BM71" s="256">
        <f>IF($BC71=Lookup!$A$2,$BD71*ROUNDUP(BE71/10,0)+1,
IF($BC71=Lookup!$A$3,($BD71+1)^BD71,
IF($BC71=Lookup!$A$4,BE71*$BD71+1,"Error")))</f>
        <v>1</v>
      </c>
      <c r="BN71" s="229">
        <f>IF($BC71=Lookup!$A$2,$BD71*ROUNDUP(BF71/10,0)+1,
IF($BC71=Lookup!$A$3,($BD71+1)^BE71,
IF($BC71=Lookup!$A$4,BF71*$BD71+1,"Error")))</f>
        <v>1</v>
      </c>
      <c r="BO71" s="229">
        <f>IF($BC71=Lookup!$A$2,$BD71*ROUNDUP(BG71/10,0)+1,
IF($BC71=Lookup!$A$3,($BD71+1)^BF71,
IF($BC71=Lookup!$A$4,BG71*$BD71+1,"Error")))</f>
        <v>1</v>
      </c>
      <c r="BP71" s="229">
        <f>IF($BC71=Lookup!$A$2,$BD71*ROUNDUP(BH71/10,0)+1,
IF($BC71=Lookup!$A$3,($BD71+1)^BG71,
IF($BC71=Lookup!$A$4,BH71*$BD71+1,"Error")))</f>
        <v>1</v>
      </c>
      <c r="BQ71" s="229">
        <f>IF($BC71=Lookup!$A$2,$BD71*ROUNDUP(BI71/10,0)+1,
IF($BC71=Lookup!$A$3,($BD71+1)^BH71,
IF($BC71=Lookup!$A$4,BI71*$BD71+1,"Error")))</f>
        <v>1</v>
      </c>
      <c r="BR71" s="229">
        <f>IF($BC71=Lookup!$A$2,$BD71*ROUNDUP(BJ71/10,0)+1,
IF($BC71=Lookup!$A$3,($BD71+1)^BI71,
IF($BC71=Lookup!$A$4,BJ71*$BD71+1,"Error")))</f>
        <v>1</v>
      </c>
      <c r="BS71" s="229">
        <f>IF($BC71=Lookup!$A$2,$BD71*ROUNDUP(BK71/10,0)+1,
IF($BC71=Lookup!$A$3,($BD71+1)^BJ71,
IF($BC71=Lookup!$A$4,BK71*$BD71+1,"Error")))</f>
        <v>1</v>
      </c>
      <c r="BT71" s="249">
        <f>IF($BC71=Lookup!$A$2,$BD71*ROUNDUP(BL71/10,0)+1,
IF($BC71=Lookup!$A$3,($BD71+1)^BK71,
IF($BC71=Lookup!$A$4,BL71*$BD71+1,"Error")))</f>
        <v>1</v>
      </c>
      <c r="BU71" s="320">
        <v>0</v>
      </c>
      <c r="BV71" s="321">
        <v>0</v>
      </c>
      <c r="BW71" s="321">
        <v>0</v>
      </c>
      <c r="BX71" s="321">
        <v>0</v>
      </c>
      <c r="BY71" s="321">
        <v>0</v>
      </c>
      <c r="BZ71" s="321">
        <v>0</v>
      </c>
      <c r="CA71" s="321">
        <v>0</v>
      </c>
      <c r="CB71" s="277">
        <v>0</v>
      </c>
      <c r="CC71" s="382" t="s">
        <v>293</v>
      </c>
      <c r="CD71" s="383">
        <f>HLOOKUP($CC71,$AK$6:$AM$132,ROWS(CD$6:CD71),0)</f>
        <v>37</v>
      </c>
      <c r="CE71" s="234">
        <f t="shared" si="29"/>
        <v>0</v>
      </c>
      <c r="CF71" s="96">
        <f t="shared" si="29"/>
        <v>0</v>
      </c>
      <c r="CG71" s="96">
        <f t="shared" si="29"/>
        <v>0</v>
      </c>
      <c r="CH71" s="96">
        <f t="shared" si="29"/>
        <v>0</v>
      </c>
      <c r="CI71" s="96">
        <f t="shared" si="50"/>
        <v>0</v>
      </c>
      <c r="CJ71" s="96">
        <f t="shared" si="50"/>
        <v>0</v>
      </c>
      <c r="CK71" s="96">
        <f t="shared" si="50"/>
        <v>0</v>
      </c>
      <c r="CL71" s="286">
        <f t="shared" si="50"/>
        <v>0</v>
      </c>
      <c r="CM71" s="305" t="s">
        <v>292</v>
      </c>
      <c r="CN71" s="315">
        <v>0.05</v>
      </c>
      <c r="CO71" s="306"/>
      <c r="CP71" s="307">
        <f>IF($CO71&lt;&gt;"",$CO71,HLOOKUP($CM71,$AY$6:$BA$132,ROWS(CP$6:CP71),0))</f>
        <v>40712.243233229798</v>
      </c>
      <c r="CQ71" s="784">
        <f t="shared" ref="CQ71:CX102" si="78">IFERROR(CE71*$CP71,"")</f>
        <v>0</v>
      </c>
      <c r="CR71" s="784">
        <f t="shared" si="78"/>
        <v>0</v>
      </c>
      <c r="CS71" s="97">
        <f t="shared" si="78"/>
        <v>0</v>
      </c>
      <c r="CT71" s="97">
        <f t="shared" si="78"/>
        <v>0</v>
      </c>
      <c r="CU71" s="97">
        <f t="shared" si="78"/>
        <v>0</v>
      </c>
      <c r="CV71" s="97">
        <f t="shared" si="78"/>
        <v>0</v>
      </c>
      <c r="CW71" s="97">
        <f t="shared" si="78"/>
        <v>0</v>
      </c>
      <c r="CX71" s="98">
        <f t="shared" si="32"/>
        <v>0</v>
      </c>
    </row>
    <row r="72" spans="1:102" x14ac:dyDescent="0.25">
      <c r="A72" s="81" t="s">
        <v>138</v>
      </c>
      <c r="B72" s="82" t="s">
        <v>147</v>
      </c>
      <c r="C72" s="83" t="s">
        <v>362</v>
      </c>
      <c r="D72" s="84">
        <v>0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654">
        <f>'2022-23 Input'!H72</f>
        <v>0</v>
      </c>
      <c r="N72" s="1065">
        <v>0</v>
      </c>
      <c r="O72" s="560">
        <f t="shared" ref="O72:O132" si="79">D72*O$4</f>
        <v>0</v>
      </c>
      <c r="P72" s="561">
        <f t="shared" si="53"/>
        <v>0</v>
      </c>
      <c r="Q72" s="561">
        <f t="shared" si="54"/>
        <v>0</v>
      </c>
      <c r="R72" s="561">
        <f t="shared" si="55"/>
        <v>0</v>
      </c>
      <c r="S72" s="561">
        <f t="shared" si="56"/>
        <v>0</v>
      </c>
      <c r="T72" s="561">
        <f t="shared" si="57"/>
        <v>0</v>
      </c>
      <c r="U72" s="561">
        <f t="shared" si="58"/>
        <v>0</v>
      </c>
      <c r="V72" s="561">
        <f t="shared" si="59"/>
        <v>0</v>
      </c>
      <c r="W72" s="675">
        <f t="shared" si="60"/>
        <v>0</v>
      </c>
      <c r="X72" s="675">
        <f t="shared" si="61"/>
        <v>0</v>
      </c>
      <c r="Y72" s="675">
        <f t="shared" si="61"/>
        <v>0</v>
      </c>
      <c r="Z72" s="86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1094">
        <f>'2022-23 Input'!O72</f>
        <v>0</v>
      </c>
      <c r="AJ72" s="665">
        <v>0</v>
      </c>
      <c r="AK72" s="88">
        <f t="shared" si="62"/>
        <v>0</v>
      </c>
      <c r="AL72" s="89">
        <f t="shared" si="63"/>
        <v>0</v>
      </c>
      <c r="AM72" s="90">
        <f t="shared" si="64"/>
        <v>0</v>
      </c>
      <c r="AN72" s="91" t="str">
        <f t="shared" si="65"/>
        <v/>
      </c>
      <c r="AO72" s="92" t="str">
        <f t="shared" si="66"/>
        <v/>
      </c>
      <c r="AP72" s="92" t="str">
        <f t="shared" si="67"/>
        <v/>
      </c>
      <c r="AQ72" s="92" t="str">
        <f t="shared" si="68"/>
        <v/>
      </c>
      <c r="AR72" s="92" t="str">
        <f t="shared" si="69"/>
        <v/>
      </c>
      <c r="AS72" s="92" t="str">
        <f t="shared" si="70"/>
        <v/>
      </c>
      <c r="AT72" s="92" t="str">
        <f t="shared" si="71"/>
        <v/>
      </c>
      <c r="AU72" s="92" t="str">
        <f t="shared" si="72"/>
        <v/>
      </c>
      <c r="AV72" s="92" t="str">
        <f t="shared" si="73"/>
        <v/>
      </c>
      <c r="AW72" s="92" t="str">
        <f t="shared" si="73"/>
        <v/>
      </c>
      <c r="AX72" s="92" t="str">
        <f t="shared" si="73"/>
        <v/>
      </c>
      <c r="AY72" s="93" t="str">
        <f t="shared" si="74"/>
        <v/>
      </c>
      <c r="AZ72" s="94" t="str">
        <f t="shared" si="75"/>
        <v/>
      </c>
      <c r="BA72" s="95" t="str">
        <f t="shared" si="76"/>
        <v/>
      </c>
      <c r="BB72" s="248" t="s">
        <v>422</v>
      </c>
      <c r="BC72" s="229" t="s">
        <v>433</v>
      </c>
      <c r="BD72" s="249">
        <v>0</v>
      </c>
      <c r="BE72" s="267">
        <f t="shared" ref="BE72:BE132" si="80">IF(BE$6=$BB72,1,0
)</f>
        <v>0</v>
      </c>
      <c r="BF72" s="268">
        <f t="shared" si="77"/>
        <v>0</v>
      </c>
      <c r="BG72" s="268">
        <f t="shared" si="77"/>
        <v>0</v>
      </c>
      <c r="BH72" s="268">
        <f t="shared" si="77"/>
        <v>1</v>
      </c>
      <c r="BI72" s="268">
        <f t="shared" si="77"/>
        <v>2</v>
      </c>
      <c r="BJ72" s="268">
        <f t="shared" si="77"/>
        <v>3</v>
      </c>
      <c r="BK72" s="268">
        <f t="shared" si="77"/>
        <v>4</v>
      </c>
      <c r="BL72" s="269">
        <f t="shared" si="77"/>
        <v>5</v>
      </c>
      <c r="BM72" s="256">
        <f>IF($BC72=Lookup!$A$2,$BD72*ROUNDUP(BE72/10,0)+1,
IF($BC72=Lookup!$A$3,($BD72+1)^BD72,
IF($BC72=Lookup!$A$4,BE72*$BD72+1,"Error")))</f>
        <v>1</v>
      </c>
      <c r="BN72" s="229">
        <f>IF($BC72=Lookup!$A$2,$BD72*ROUNDUP(BF72/10,0)+1,
IF($BC72=Lookup!$A$3,($BD72+1)^BE72,
IF($BC72=Lookup!$A$4,BF72*$BD72+1,"Error")))</f>
        <v>1</v>
      </c>
      <c r="BO72" s="229">
        <f>IF($BC72=Lookup!$A$2,$BD72*ROUNDUP(BG72/10,0)+1,
IF($BC72=Lookup!$A$3,($BD72+1)^BF72,
IF($BC72=Lookup!$A$4,BG72*$BD72+1,"Error")))</f>
        <v>1</v>
      </c>
      <c r="BP72" s="229">
        <f>IF($BC72=Lookup!$A$2,$BD72*ROUNDUP(BH72/10,0)+1,
IF($BC72=Lookup!$A$3,($BD72+1)^BG72,
IF($BC72=Lookup!$A$4,BH72*$BD72+1,"Error")))</f>
        <v>1</v>
      </c>
      <c r="BQ72" s="229">
        <f>IF($BC72=Lookup!$A$2,$BD72*ROUNDUP(BI72/10,0)+1,
IF($BC72=Lookup!$A$3,($BD72+1)^BH72,
IF($BC72=Lookup!$A$4,BI72*$BD72+1,"Error")))</f>
        <v>1</v>
      </c>
      <c r="BR72" s="229">
        <f>IF($BC72=Lookup!$A$2,$BD72*ROUNDUP(BJ72/10,0)+1,
IF($BC72=Lookup!$A$3,($BD72+1)^BI72,
IF($BC72=Lookup!$A$4,BJ72*$BD72+1,"Error")))</f>
        <v>1</v>
      </c>
      <c r="BS72" s="229">
        <f>IF($BC72=Lookup!$A$2,$BD72*ROUNDUP(BK72/10,0)+1,
IF($BC72=Lookup!$A$3,($BD72+1)^BJ72,
IF($BC72=Lookup!$A$4,BK72*$BD72+1,"Error")))</f>
        <v>1</v>
      </c>
      <c r="BT72" s="249">
        <f>IF($BC72=Lookup!$A$2,$BD72*ROUNDUP(BL72/10,0)+1,
IF($BC72=Lookup!$A$3,($BD72+1)^BK72,
IF($BC72=Lookup!$A$4,BL72*$BD72+1,"Error")))</f>
        <v>1</v>
      </c>
      <c r="BU72" s="320">
        <v>0</v>
      </c>
      <c r="BV72" s="321">
        <v>0</v>
      </c>
      <c r="BW72" s="321">
        <v>0</v>
      </c>
      <c r="BX72" s="321">
        <v>0</v>
      </c>
      <c r="BY72" s="321">
        <v>0</v>
      </c>
      <c r="BZ72" s="321">
        <v>0</v>
      </c>
      <c r="CA72" s="321">
        <v>0</v>
      </c>
      <c r="CB72" s="277">
        <v>0</v>
      </c>
      <c r="CC72" s="382" t="s">
        <v>293</v>
      </c>
      <c r="CD72" s="383">
        <f>HLOOKUP($CC72,$AK$6:$AM$132,ROWS(CD$6:CD72),0)</f>
        <v>0</v>
      </c>
      <c r="CE72" s="234">
        <f t="shared" ref="CE72:CK123" si="81">IFERROR(IF(BU72&lt;&gt;"",BU72,BM72*$CD72),"")</f>
        <v>0</v>
      </c>
      <c r="CF72" s="96">
        <f t="shared" si="81"/>
        <v>0</v>
      </c>
      <c r="CG72" s="96">
        <f t="shared" si="81"/>
        <v>0</v>
      </c>
      <c r="CH72" s="96">
        <f t="shared" si="81"/>
        <v>0</v>
      </c>
      <c r="CI72" s="96">
        <f t="shared" si="50"/>
        <v>0</v>
      </c>
      <c r="CJ72" s="96">
        <f t="shared" si="50"/>
        <v>0</v>
      </c>
      <c r="CK72" s="96">
        <f t="shared" si="50"/>
        <v>0</v>
      </c>
      <c r="CL72" s="286">
        <f t="shared" si="50"/>
        <v>0</v>
      </c>
      <c r="CM72" s="305" t="s">
        <v>292</v>
      </c>
      <c r="CN72" s="315">
        <v>0.05</v>
      </c>
      <c r="CO72" s="306"/>
      <c r="CP72" s="307" t="str">
        <f>IF($CO72&lt;&gt;"",$CO72,HLOOKUP($CM72,$AY$6:$BA$132,ROWS(CP$6:CP72),0))</f>
        <v/>
      </c>
      <c r="CQ72" s="784" t="str">
        <f t="shared" si="78"/>
        <v/>
      </c>
      <c r="CR72" s="784" t="str">
        <f t="shared" si="78"/>
        <v/>
      </c>
      <c r="CS72" s="97" t="str">
        <f t="shared" si="78"/>
        <v/>
      </c>
      <c r="CT72" s="97" t="str">
        <f t="shared" si="78"/>
        <v/>
      </c>
      <c r="CU72" s="97" t="str">
        <f t="shared" si="78"/>
        <v/>
      </c>
      <c r="CV72" s="97" t="str">
        <f t="shared" si="78"/>
        <v/>
      </c>
      <c r="CW72" s="97" t="str">
        <f t="shared" si="78"/>
        <v/>
      </c>
      <c r="CX72" s="98" t="str">
        <f t="shared" si="32"/>
        <v/>
      </c>
    </row>
    <row r="73" spans="1:102" x14ac:dyDescent="0.25">
      <c r="A73" s="81" t="s">
        <v>138</v>
      </c>
      <c r="B73" s="82" t="s">
        <v>149</v>
      </c>
      <c r="C73" s="83" t="s">
        <v>363</v>
      </c>
      <c r="D73" s="84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654">
        <f>'2022-23 Input'!H73</f>
        <v>0</v>
      </c>
      <c r="N73" s="1065">
        <v>0</v>
      </c>
      <c r="O73" s="560">
        <f t="shared" si="79"/>
        <v>0</v>
      </c>
      <c r="P73" s="561">
        <f t="shared" si="53"/>
        <v>0</v>
      </c>
      <c r="Q73" s="561">
        <f t="shared" si="54"/>
        <v>0</v>
      </c>
      <c r="R73" s="561">
        <f t="shared" si="55"/>
        <v>0</v>
      </c>
      <c r="S73" s="561">
        <f t="shared" si="56"/>
        <v>0</v>
      </c>
      <c r="T73" s="561">
        <f t="shared" si="57"/>
        <v>0</v>
      </c>
      <c r="U73" s="561">
        <f t="shared" si="58"/>
        <v>0</v>
      </c>
      <c r="V73" s="561">
        <f t="shared" si="59"/>
        <v>0</v>
      </c>
      <c r="W73" s="675">
        <f t="shared" si="60"/>
        <v>0</v>
      </c>
      <c r="X73" s="675">
        <f t="shared" si="61"/>
        <v>0</v>
      </c>
      <c r="Y73" s="675">
        <f t="shared" si="61"/>
        <v>0</v>
      </c>
      <c r="Z73" s="86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1094">
        <f>'2022-23 Input'!O73</f>
        <v>0</v>
      </c>
      <c r="AJ73" s="665">
        <v>0</v>
      </c>
      <c r="AK73" s="88">
        <f t="shared" si="62"/>
        <v>0</v>
      </c>
      <c r="AL73" s="89">
        <f t="shared" si="63"/>
        <v>0</v>
      </c>
      <c r="AM73" s="90">
        <f t="shared" si="64"/>
        <v>0</v>
      </c>
      <c r="AN73" s="91" t="str">
        <f t="shared" si="65"/>
        <v/>
      </c>
      <c r="AO73" s="92" t="str">
        <f t="shared" si="66"/>
        <v/>
      </c>
      <c r="AP73" s="92" t="str">
        <f t="shared" si="67"/>
        <v/>
      </c>
      <c r="AQ73" s="92" t="str">
        <f t="shared" si="68"/>
        <v/>
      </c>
      <c r="AR73" s="92" t="str">
        <f t="shared" si="69"/>
        <v/>
      </c>
      <c r="AS73" s="92" t="str">
        <f t="shared" si="70"/>
        <v/>
      </c>
      <c r="AT73" s="92" t="str">
        <f t="shared" si="71"/>
        <v/>
      </c>
      <c r="AU73" s="92" t="str">
        <f t="shared" si="72"/>
        <v/>
      </c>
      <c r="AV73" s="92" t="str">
        <f t="shared" si="73"/>
        <v/>
      </c>
      <c r="AW73" s="92" t="str">
        <f t="shared" si="73"/>
        <v/>
      </c>
      <c r="AX73" s="92" t="str">
        <f t="shared" si="73"/>
        <v/>
      </c>
      <c r="AY73" s="93" t="str">
        <f t="shared" si="74"/>
        <v/>
      </c>
      <c r="AZ73" s="94" t="str">
        <f t="shared" si="75"/>
        <v/>
      </c>
      <c r="BA73" s="95" t="str">
        <f t="shared" si="76"/>
        <v/>
      </c>
      <c r="BB73" s="248" t="s">
        <v>422</v>
      </c>
      <c r="BC73" s="229" t="s">
        <v>433</v>
      </c>
      <c r="BD73" s="249">
        <v>0</v>
      </c>
      <c r="BE73" s="267">
        <f t="shared" si="80"/>
        <v>0</v>
      </c>
      <c r="BF73" s="268">
        <f t="shared" si="77"/>
        <v>0</v>
      </c>
      <c r="BG73" s="268">
        <f t="shared" si="77"/>
        <v>0</v>
      </c>
      <c r="BH73" s="268">
        <f t="shared" si="77"/>
        <v>1</v>
      </c>
      <c r="BI73" s="268">
        <f t="shared" si="77"/>
        <v>2</v>
      </c>
      <c r="BJ73" s="268">
        <f t="shared" si="77"/>
        <v>3</v>
      </c>
      <c r="BK73" s="268">
        <f t="shared" si="77"/>
        <v>4</v>
      </c>
      <c r="BL73" s="269">
        <f t="shared" si="77"/>
        <v>5</v>
      </c>
      <c r="BM73" s="256">
        <f>IF($BC73=Lookup!$A$2,$BD73*ROUNDUP(BE73/10,0)+1,
IF($BC73=Lookup!$A$3,($BD73+1)^BD73,
IF($BC73=Lookup!$A$4,BE73*$BD73+1,"Error")))</f>
        <v>1</v>
      </c>
      <c r="BN73" s="229">
        <f>IF($BC73=Lookup!$A$2,$BD73*ROUNDUP(BF73/10,0)+1,
IF($BC73=Lookup!$A$3,($BD73+1)^BE73,
IF($BC73=Lookup!$A$4,BF73*$BD73+1,"Error")))</f>
        <v>1</v>
      </c>
      <c r="BO73" s="229">
        <f>IF($BC73=Lookup!$A$2,$BD73*ROUNDUP(BG73/10,0)+1,
IF($BC73=Lookup!$A$3,($BD73+1)^BF73,
IF($BC73=Lookup!$A$4,BG73*$BD73+1,"Error")))</f>
        <v>1</v>
      </c>
      <c r="BP73" s="229">
        <f>IF($BC73=Lookup!$A$2,$BD73*ROUNDUP(BH73/10,0)+1,
IF($BC73=Lookup!$A$3,($BD73+1)^BG73,
IF($BC73=Lookup!$A$4,BH73*$BD73+1,"Error")))</f>
        <v>1</v>
      </c>
      <c r="BQ73" s="229">
        <f>IF($BC73=Lookup!$A$2,$BD73*ROUNDUP(BI73/10,0)+1,
IF($BC73=Lookup!$A$3,($BD73+1)^BH73,
IF($BC73=Lookup!$A$4,BI73*$BD73+1,"Error")))</f>
        <v>1</v>
      </c>
      <c r="BR73" s="229">
        <f>IF($BC73=Lookup!$A$2,$BD73*ROUNDUP(BJ73/10,0)+1,
IF($BC73=Lookup!$A$3,($BD73+1)^BI73,
IF($BC73=Lookup!$A$4,BJ73*$BD73+1,"Error")))</f>
        <v>1</v>
      </c>
      <c r="BS73" s="229">
        <f>IF($BC73=Lookup!$A$2,$BD73*ROUNDUP(BK73/10,0)+1,
IF($BC73=Lookup!$A$3,($BD73+1)^BJ73,
IF($BC73=Lookup!$A$4,BK73*$BD73+1,"Error")))</f>
        <v>1</v>
      </c>
      <c r="BT73" s="249">
        <f>IF($BC73=Lookup!$A$2,$BD73*ROUNDUP(BL73/10,0)+1,
IF($BC73=Lookup!$A$3,($BD73+1)^BK73,
IF($BC73=Lookup!$A$4,BL73*$BD73+1,"Error")))</f>
        <v>1</v>
      </c>
      <c r="BU73" s="320">
        <v>0</v>
      </c>
      <c r="BV73" s="321">
        <v>0</v>
      </c>
      <c r="BW73" s="321">
        <v>0</v>
      </c>
      <c r="BX73" s="321">
        <v>0</v>
      </c>
      <c r="BY73" s="321">
        <v>0</v>
      </c>
      <c r="BZ73" s="321">
        <v>0</v>
      </c>
      <c r="CA73" s="321">
        <v>0</v>
      </c>
      <c r="CB73" s="277">
        <v>0</v>
      </c>
      <c r="CC73" s="382" t="s">
        <v>293</v>
      </c>
      <c r="CD73" s="383">
        <f>HLOOKUP($CC73,$AK$6:$AM$132,ROWS(CD$6:CD73),0)</f>
        <v>0</v>
      </c>
      <c r="CE73" s="234">
        <f t="shared" si="81"/>
        <v>0</v>
      </c>
      <c r="CF73" s="96">
        <f t="shared" si="81"/>
        <v>0</v>
      </c>
      <c r="CG73" s="96">
        <f t="shared" si="81"/>
        <v>0</v>
      </c>
      <c r="CH73" s="96">
        <f t="shared" si="81"/>
        <v>0</v>
      </c>
      <c r="CI73" s="96">
        <f t="shared" si="50"/>
        <v>0</v>
      </c>
      <c r="CJ73" s="96">
        <f t="shared" si="50"/>
        <v>0</v>
      </c>
      <c r="CK73" s="96">
        <f t="shared" si="50"/>
        <v>0</v>
      </c>
      <c r="CL73" s="286">
        <f t="shared" si="50"/>
        <v>0</v>
      </c>
      <c r="CM73" s="305" t="s">
        <v>292</v>
      </c>
      <c r="CN73" s="315">
        <v>0.05</v>
      </c>
      <c r="CO73" s="306"/>
      <c r="CP73" s="307" t="str">
        <f>IF($CO73&lt;&gt;"",$CO73,HLOOKUP($CM73,$AY$6:$BA$132,ROWS(CP$6:CP73),0))</f>
        <v/>
      </c>
      <c r="CQ73" s="784" t="str">
        <f t="shared" si="78"/>
        <v/>
      </c>
      <c r="CR73" s="784" t="str">
        <f t="shared" si="78"/>
        <v/>
      </c>
      <c r="CS73" s="97" t="str">
        <f t="shared" si="78"/>
        <v/>
      </c>
      <c r="CT73" s="97" t="str">
        <f t="shared" si="78"/>
        <v/>
      </c>
      <c r="CU73" s="97" t="str">
        <f t="shared" si="78"/>
        <v/>
      </c>
      <c r="CV73" s="97" t="str">
        <f t="shared" si="78"/>
        <v/>
      </c>
      <c r="CW73" s="97" t="str">
        <f t="shared" si="78"/>
        <v/>
      </c>
      <c r="CX73" s="98" t="str">
        <f t="shared" si="32"/>
        <v/>
      </c>
    </row>
    <row r="74" spans="1:102" x14ac:dyDescent="0.25">
      <c r="A74" s="81" t="s">
        <v>138</v>
      </c>
      <c r="B74" s="82" t="s">
        <v>151</v>
      </c>
      <c r="C74" s="83" t="s">
        <v>364</v>
      </c>
      <c r="D74" s="84">
        <v>0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654">
        <f>'2022-23 Input'!H74</f>
        <v>0</v>
      </c>
      <c r="N74" s="1065">
        <v>0</v>
      </c>
      <c r="O74" s="560">
        <f t="shared" si="79"/>
        <v>0</v>
      </c>
      <c r="P74" s="561">
        <f t="shared" si="53"/>
        <v>0</v>
      </c>
      <c r="Q74" s="561">
        <f t="shared" si="54"/>
        <v>0</v>
      </c>
      <c r="R74" s="561">
        <f t="shared" si="55"/>
        <v>0</v>
      </c>
      <c r="S74" s="561">
        <f t="shared" si="56"/>
        <v>0</v>
      </c>
      <c r="T74" s="561">
        <f t="shared" si="57"/>
        <v>0</v>
      </c>
      <c r="U74" s="561">
        <f t="shared" si="58"/>
        <v>0</v>
      </c>
      <c r="V74" s="561">
        <f t="shared" si="59"/>
        <v>0</v>
      </c>
      <c r="W74" s="675">
        <f t="shared" si="60"/>
        <v>0</v>
      </c>
      <c r="X74" s="675">
        <f t="shared" si="61"/>
        <v>0</v>
      </c>
      <c r="Y74" s="675">
        <f t="shared" si="61"/>
        <v>0</v>
      </c>
      <c r="Z74" s="86">
        <v>0</v>
      </c>
      <c r="AA74" s="87">
        <v>0</v>
      </c>
      <c r="AB74" s="87">
        <v>0</v>
      </c>
      <c r="AC74" s="87">
        <v>0</v>
      </c>
      <c r="AD74" s="87">
        <v>0</v>
      </c>
      <c r="AE74" s="87">
        <v>0</v>
      </c>
      <c r="AF74" s="87">
        <v>0</v>
      </c>
      <c r="AG74" s="87">
        <v>0</v>
      </c>
      <c r="AH74" s="87">
        <v>0</v>
      </c>
      <c r="AI74" s="1094">
        <f>'2022-23 Input'!O74</f>
        <v>0</v>
      </c>
      <c r="AJ74" s="665">
        <v>0</v>
      </c>
      <c r="AK74" s="88">
        <f t="shared" si="62"/>
        <v>0</v>
      </c>
      <c r="AL74" s="89">
        <f t="shared" si="63"/>
        <v>0</v>
      </c>
      <c r="AM74" s="90">
        <f t="shared" si="64"/>
        <v>0</v>
      </c>
      <c r="AN74" s="91" t="str">
        <f t="shared" si="65"/>
        <v/>
      </c>
      <c r="AO74" s="92" t="str">
        <f t="shared" si="66"/>
        <v/>
      </c>
      <c r="AP74" s="92" t="str">
        <f t="shared" si="67"/>
        <v/>
      </c>
      <c r="AQ74" s="92" t="str">
        <f t="shared" si="68"/>
        <v/>
      </c>
      <c r="AR74" s="92" t="str">
        <f t="shared" si="69"/>
        <v/>
      </c>
      <c r="AS74" s="92" t="str">
        <f t="shared" si="70"/>
        <v/>
      </c>
      <c r="AT74" s="92" t="str">
        <f t="shared" si="71"/>
        <v/>
      </c>
      <c r="AU74" s="92" t="str">
        <f t="shared" si="72"/>
        <v/>
      </c>
      <c r="AV74" s="92" t="str">
        <f t="shared" si="73"/>
        <v/>
      </c>
      <c r="AW74" s="92" t="str">
        <f t="shared" si="73"/>
        <v/>
      </c>
      <c r="AX74" s="92" t="str">
        <f t="shared" si="73"/>
        <v/>
      </c>
      <c r="AY74" s="93" t="str">
        <f t="shared" si="74"/>
        <v/>
      </c>
      <c r="AZ74" s="94" t="str">
        <f t="shared" si="75"/>
        <v/>
      </c>
      <c r="BA74" s="95" t="str">
        <f t="shared" si="76"/>
        <v/>
      </c>
      <c r="BB74" s="248" t="s">
        <v>422</v>
      </c>
      <c r="BC74" s="229" t="s">
        <v>433</v>
      </c>
      <c r="BD74" s="249">
        <v>0</v>
      </c>
      <c r="BE74" s="267">
        <f t="shared" si="80"/>
        <v>0</v>
      </c>
      <c r="BF74" s="268">
        <f t="shared" si="77"/>
        <v>0</v>
      </c>
      <c r="BG74" s="268">
        <f t="shared" si="77"/>
        <v>0</v>
      </c>
      <c r="BH74" s="268">
        <f t="shared" si="77"/>
        <v>1</v>
      </c>
      <c r="BI74" s="268">
        <f t="shared" si="77"/>
        <v>2</v>
      </c>
      <c r="BJ74" s="268">
        <f t="shared" si="77"/>
        <v>3</v>
      </c>
      <c r="BK74" s="268">
        <f t="shared" si="77"/>
        <v>4</v>
      </c>
      <c r="BL74" s="269">
        <f t="shared" si="77"/>
        <v>5</v>
      </c>
      <c r="BM74" s="256">
        <f>IF($BC74=Lookup!$A$2,$BD74*ROUNDUP(BE74/10,0)+1,
IF($BC74=Lookup!$A$3,($BD74+1)^BD74,
IF($BC74=Lookup!$A$4,BE74*$BD74+1,"Error")))</f>
        <v>1</v>
      </c>
      <c r="BN74" s="229">
        <f>IF($BC74=Lookup!$A$2,$BD74*ROUNDUP(BF74/10,0)+1,
IF($BC74=Lookup!$A$3,($BD74+1)^BE74,
IF($BC74=Lookup!$A$4,BF74*$BD74+1,"Error")))</f>
        <v>1</v>
      </c>
      <c r="BO74" s="229">
        <f>IF($BC74=Lookup!$A$2,$BD74*ROUNDUP(BG74/10,0)+1,
IF($BC74=Lookup!$A$3,($BD74+1)^BF74,
IF($BC74=Lookup!$A$4,BG74*$BD74+1,"Error")))</f>
        <v>1</v>
      </c>
      <c r="BP74" s="229">
        <f>IF($BC74=Lookup!$A$2,$BD74*ROUNDUP(BH74/10,0)+1,
IF($BC74=Lookup!$A$3,($BD74+1)^BG74,
IF($BC74=Lookup!$A$4,BH74*$BD74+1,"Error")))</f>
        <v>1</v>
      </c>
      <c r="BQ74" s="229">
        <f>IF($BC74=Lookup!$A$2,$BD74*ROUNDUP(BI74/10,0)+1,
IF($BC74=Lookup!$A$3,($BD74+1)^BH74,
IF($BC74=Lookup!$A$4,BI74*$BD74+1,"Error")))</f>
        <v>1</v>
      </c>
      <c r="BR74" s="229">
        <f>IF($BC74=Lookup!$A$2,$BD74*ROUNDUP(BJ74/10,0)+1,
IF($BC74=Lookup!$A$3,($BD74+1)^BI74,
IF($BC74=Lookup!$A$4,BJ74*$BD74+1,"Error")))</f>
        <v>1</v>
      </c>
      <c r="BS74" s="229">
        <f>IF($BC74=Lookup!$A$2,$BD74*ROUNDUP(BK74/10,0)+1,
IF($BC74=Lookup!$A$3,($BD74+1)^BJ74,
IF($BC74=Lookup!$A$4,BK74*$BD74+1,"Error")))</f>
        <v>1</v>
      </c>
      <c r="BT74" s="249">
        <f>IF($BC74=Lookup!$A$2,$BD74*ROUNDUP(BL74/10,0)+1,
IF($BC74=Lookup!$A$3,($BD74+1)^BK74,
IF($BC74=Lookup!$A$4,BL74*$BD74+1,"Error")))</f>
        <v>1</v>
      </c>
      <c r="BU74" s="320">
        <v>0</v>
      </c>
      <c r="BV74" s="321">
        <v>0</v>
      </c>
      <c r="BW74" s="321">
        <v>0</v>
      </c>
      <c r="BX74" s="321">
        <v>0</v>
      </c>
      <c r="BY74" s="321">
        <v>0</v>
      </c>
      <c r="BZ74" s="321">
        <v>0</v>
      </c>
      <c r="CA74" s="321">
        <v>0</v>
      </c>
      <c r="CB74" s="277">
        <v>0</v>
      </c>
      <c r="CC74" s="382" t="s">
        <v>293</v>
      </c>
      <c r="CD74" s="383">
        <f>HLOOKUP($CC74,$AK$6:$AM$132,ROWS(CD$6:CD74),0)</f>
        <v>0</v>
      </c>
      <c r="CE74" s="234">
        <f t="shared" si="81"/>
        <v>0</v>
      </c>
      <c r="CF74" s="96">
        <f t="shared" si="81"/>
        <v>0</v>
      </c>
      <c r="CG74" s="96">
        <f t="shared" si="81"/>
        <v>0</v>
      </c>
      <c r="CH74" s="96">
        <f t="shared" si="81"/>
        <v>0</v>
      </c>
      <c r="CI74" s="96">
        <f t="shared" si="50"/>
        <v>0</v>
      </c>
      <c r="CJ74" s="96">
        <f t="shared" si="50"/>
        <v>0</v>
      </c>
      <c r="CK74" s="96">
        <f t="shared" si="50"/>
        <v>0</v>
      </c>
      <c r="CL74" s="286">
        <f t="shared" si="50"/>
        <v>0</v>
      </c>
      <c r="CM74" s="305" t="s">
        <v>292</v>
      </c>
      <c r="CN74" s="315">
        <v>0.05</v>
      </c>
      <c r="CO74" s="306"/>
      <c r="CP74" s="307" t="str">
        <f>IF($CO74&lt;&gt;"",$CO74,HLOOKUP($CM74,$AY$6:$BA$132,ROWS(CP$6:CP74),0))</f>
        <v/>
      </c>
      <c r="CQ74" s="784" t="str">
        <f t="shared" si="78"/>
        <v/>
      </c>
      <c r="CR74" s="784" t="str">
        <f t="shared" si="78"/>
        <v/>
      </c>
      <c r="CS74" s="97" t="str">
        <f t="shared" si="78"/>
        <v/>
      </c>
      <c r="CT74" s="97" t="str">
        <f t="shared" si="78"/>
        <v/>
      </c>
      <c r="CU74" s="97" t="str">
        <f t="shared" si="78"/>
        <v/>
      </c>
      <c r="CV74" s="97" t="str">
        <f t="shared" si="78"/>
        <v/>
      </c>
      <c r="CW74" s="97" t="str">
        <f t="shared" si="78"/>
        <v/>
      </c>
      <c r="CX74" s="98" t="str">
        <f t="shared" si="32"/>
        <v/>
      </c>
    </row>
    <row r="75" spans="1:102" x14ac:dyDescent="0.25">
      <c r="A75" s="81" t="s">
        <v>138</v>
      </c>
      <c r="B75" s="82" t="s">
        <v>153</v>
      </c>
      <c r="C75" s="83" t="s">
        <v>365</v>
      </c>
      <c r="D75" s="84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654">
        <f>'2022-23 Input'!H75</f>
        <v>0</v>
      </c>
      <c r="N75" s="1065">
        <v>0</v>
      </c>
      <c r="O75" s="560">
        <f t="shared" si="79"/>
        <v>0</v>
      </c>
      <c r="P75" s="561">
        <f t="shared" si="53"/>
        <v>0</v>
      </c>
      <c r="Q75" s="561">
        <f t="shared" si="54"/>
        <v>0</v>
      </c>
      <c r="R75" s="561">
        <f t="shared" si="55"/>
        <v>0</v>
      </c>
      <c r="S75" s="561">
        <f t="shared" si="56"/>
        <v>0</v>
      </c>
      <c r="T75" s="561">
        <f t="shared" si="57"/>
        <v>0</v>
      </c>
      <c r="U75" s="561">
        <f t="shared" si="58"/>
        <v>0</v>
      </c>
      <c r="V75" s="561">
        <f t="shared" si="59"/>
        <v>0</v>
      </c>
      <c r="W75" s="675">
        <f t="shared" si="60"/>
        <v>0</v>
      </c>
      <c r="X75" s="675">
        <f t="shared" si="61"/>
        <v>0</v>
      </c>
      <c r="Y75" s="675">
        <f t="shared" si="61"/>
        <v>0</v>
      </c>
      <c r="Z75" s="86">
        <v>0</v>
      </c>
      <c r="AA75" s="87">
        <v>0</v>
      </c>
      <c r="AB75" s="87">
        <v>0</v>
      </c>
      <c r="AC75" s="87">
        <v>0</v>
      </c>
      <c r="AD75" s="87">
        <v>0</v>
      </c>
      <c r="AE75" s="87">
        <v>0</v>
      </c>
      <c r="AF75" s="87">
        <v>0</v>
      </c>
      <c r="AG75" s="87">
        <v>0</v>
      </c>
      <c r="AH75" s="87">
        <v>0</v>
      </c>
      <c r="AI75" s="1094">
        <f>'2022-23 Input'!O75</f>
        <v>0</v>
      </c>
      <c r="AJ75" s="665">
        <v>0</v>
      </c>
      <c r="AK75" s="88">
        <f t="shared" si="62"/>
        <v>0</v>
      </c>
      <c r="AL75" s="89">
        <f t="shared" si="63"/>
        <v>0</v>
      </c>
      <c r="AM75" s="90">
        <f t="shared" si="64"/>
        <v>0</v>
      </c>
      <c r="AN75" s="91" t="str">
        <f t="shared" si="65"/>
        <v/>
      </c>
      <c r="AO75" s="92" t="str">
        <f t="shared" si="66"/>
        <v/>
      </c>
      <c r="AP75" s="92" t="str">
        <f t="shared" si="67"/>
        <v/>
      </c>
      <c r="AQ75" s="92" t="str">
        <f t="shared" si="68"/>
        <v/>
      </c>
      <c r="AR75" s="92" t="str">
        <f t="shared" si="69"/>
        <v/>
      </c>
      <c r="AS75" s="92" t="str">
        <f t="shared" si="70"/>
        <v/>
      </c>
      <c r="AT75" s="92" t="str">
        <f t="shared" si="71"/>
        <v/>
      </c>
      <c r="AU75" s="92" t="str">
        <f t="shared" si="72"/>
        <v/>
      </c>
      <c r="AV75" s="92" t="str">
        <f t="shared" si="73"/>
        <v/>
      </c>
      <c r="AW75" s="92" t="str">
        <f t="shared" si="73"/>
        <v/>
      </c>
      <c r="AX75" s="92" t="str">
        <f t="shared" si="73"/>
        <v/>
      </c>
      <c r="AY75" s="93" t="str">
        <f t="shared" si="74"/>
        <v/>
      </c>
      <c r="AZ75" s="94" t="str">
        <f t="shared" si="75"/>
        <v/>
      </c>
      <c r="BA75" s="95" t="str">
        <f t="shared" si="76"/>
        <v/>
      </c>
      <c r="BB75" s="248" t="s">
        <v>422</v>
      </c>
      <c r="BC75" s="229" t="s">
        <v>433</v>
      </c>
      <c r="BD75" s="249">
        <v>0</v>
      </c>
      <c r="BE75" s="267">
        <f t="shared" si="80"/>
        <v>0</v>
      </c>
      <c r="BF75" s="268">
        <f t="shared" si="77"/>
        <v>0</v>
      </c>
      <c r="BG75" s="268">
        <f t="shared" si="77"/>
        <v>0</v>
      </c>
      <c r="BH75" s="268">
        <f t="shared" si="77"/>
        <v>1</v>
      </c>
      <c r="BI75" s="268">
        <f t="shared" si="77"/>
        <v>2</v>
      </c>
      <c r="BJ75" s="268">
        <f t="shared" si="77"/>
        <v>3</v>
      </c>
      <c r="BK75" s="268">
        <f t="shared" si="77"/>
        <v>4</v>
      </c>
      <c r="BL75" s="269">
        <f t="shared" si="77"/>
        <v>5</v>
      </c>
      <c r="BM75" s="256">
        <f>IF($BC75=Lookup!$A$2,$BD75*ROUNDUP(BE75/10,0)+1,
IF($BC75=Lookup!$A$3,($BD75+1)^BD75,
IF($BC75=Lookup!$A$4,BE75*$BD75+1,"Error")))</f>
        <v>1</v>
      </c>
      <c r="BN75" s="229">
        <f>IF($BC75=Lookup!$A$2,$BD75*ROUNDUP(BF75/10,0)+1,
IF($BC75=Lookup!$A$3,($BD75+1)^BE75,
IF($BC75=Lookup!$A$4,BF75*$BD75+1,"Error")))</f>
        <v>1</v>
      </c>
      <c r="BO75" s="229">
        <f>IF($BC75=Lookup!$A$2,$BD75*ROUNDUP(BG75/10,0)+1,
IF($BC75=Lookup!$A$3,($BD75+1)^BF75,
IF($BC75=Lookup!$A$4,BG75*$BD75+1,"Error")))</f>
        <v>1</v>
      </c>
      <c r="BP75" s="229">
        <f>IF($BC75=Lookup!$A$2,$BD75*ROUNDUP(BH75/10,0)+1,
IF($BC75=Lookup!$A$3,($BD75+1)^BG75,
IF($BC75=Lookup!$A$4,BH75*$BD75+1,"Error")))</f>
        <v>1</v>
      </c>
      <c r="BQ75" s="229">
        <f>IF($BC75=Lookup!$A$2,$BD75*ROUNDUP(BI75/10,0)+1,
IF($BC75=Lookup!$A$3,($BD75+1)^BH75,
IF($BC75=Lookup!$A$4,BI75*$BD75+1,"Error")))</f>
        <v>1</v>
      </c>
      <c r="BR75" s="229">
        <f>IF($BC75=Lookup!$A$2,$BD75*ROUNDUP(BJ75/10,0)+1,
IF($BC75=Lookup!$A$3,($BD75+1)^BI75,
IF($BC75=Lookup!$A$4,BJ75*$BD75+1,"Error")))</f>
        <v>1</v>
      </c>
      <c r="BS75" s="229">
        <f>IF($BC75=Lookup!$A$2,$BD75*ROUNDUP(BK75/10,0)+1,
IF($BC75=Lookup!$A$3,($BD75+1)^BJ75,
IF($BC75=Lookup!$A$4,BK75*$BD75+1,"Error")))</f>
        <v>1</v>
      </c>
      <c r="BT75" s="249">
        <f>IF($BC75=Lookup!$A$2,$BD75*ROUNDUP(BL75/10,0)+1,
IF($BC75=Lookup!$A$3,($BD75+1)^BK75,
IF($BC75=Lookup!$A$4,BL75*$BD75+1,"Error")))</f>
        <v>1</v>
      </c>
      <c r="BU75" s="320">
        <v>0</v>
      </c>
      <c r="BV75" s="321">
        <v>0</v>
      </c>
      <c r="BW75" s="321">
        <v>0</v>
      </c>
      <c r="BX75" s="321">
        <v>0</v>
      </c>
      <c r="BY75" s="321">
        <v>0</v>
      </c>
      <c r="BZ75" s="321">
        <v>0</v>
      </c>
      <c r="CA75" s="321">
        <v>0</v>
      </c>
      <c r="CB75" s="277">
        <v>0</v>
      </c>
      <c r="CC75" s="382" t="s">
        <v>293</v>
      </c>
      <c r="CD75" s="383">
        <f>HLOOKUP($CC75,$AK$6:$AM$132,ROWS(CD$6:CD75),0)</f>
        <v>0</v>
      </c>
      <c r="CE75" s="234">
        <f t="shared" si="81"/>
        <v>0</v>
      </c>
      <c r="CF75" s="96">
        <f t="shared" si="81"/>
        <v>0</v>
      </c>
      <c r="CG75" s="96">
        <f t="shared" si="81"/>
        <v>0</v>
      </c>
      <c r="CH75" s="96">
        <f t="shared" si="81"/>
        <v>0</v>
      </c>
      <c r="CI75" s="96">
        <f t="shared" si="50"/>
        <v>0</v>
      </c>
      <c r="CJ75" s="96">
        <f t="shared" si="50"/>
        <v>0</v>
      </c>
      <c r="CK75" s="96">
        <f t="shared" si="50"/>
        <v>0</v>
      </c>
      <c r="CL75" s="286">
        <f t="shared" si="50"/>
        <v>0</v>
      </c>
      <c r="CM75" s="305" t="s">
        <v>292</v>
      </c>
      <c r="CN75" s="315">
        <v>0.05</v>
      </c>
      <c r="CO75" s="306"/>
      <c r="CP75" s="307" t="str">
        <f>IF($CO75&lt;&gt;"",$CO75,HLOOKUP($CM75,$AY$6:$BA$132,ROWS(CP$6:CP75),0))</f>
        <v/>
      </c>
      <c r="CQ75" s="784" t="str">
        <f t="shared" si="78"/>
        <v/>
      </c>
      <c r="CR75" s="784" t="str">
        <f t="shared" si="78"/>
        <v/>
      </c>
      <c r="CS75" s="97" t="str">
        <f t="shared" si="78"/>
        <v/>
      </c>
      <c r="CT75" s="97" t="str">
        <f t="shared" si="78"/>
        <v/>
      </c>
      <c r="CU75" s="97" t="str">
        <f t="shared" si="78"/>
        <v/>
      </c>
      <c r="CV75" s="97" t="str">
        <f t="shared" si="78"/>
        <v/>
      </c>
      <c r="CW75" s="97" t="str">
        <f t="shared" si="78"/>
        <v/>
      </c>
      <c r="CX75" s="98" t="str">
        <f t="shared" si="32"/>
        <v/>
      </c>
    </row>
    <row r="76" spans="1:102" x14ac:dyDescent="0.25">
      <c r="A76" s="81" t="s">
        <v>138</v>
      </c>
      <c r="B76" s="82" t="s">
        <v>155</v>
      </c>
      <c r="C76" s="83" t="s">
        <v>366</v>
      </c>
      <c r="D76" s="84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654">
        <f>'2022-23 Input'!H76</f>
        <v>0</v>
      </c>
      <c r="N76" s="1065">
        <v>0</v>
      </c>
      <c r="O76" s="560">
        <f t="shared" si="79"/>
        <v>0</v>
      </c>
      <c r="P76" s="561">
        <f t="shared" si="53"/>
        <v>0</v>
      </c>
      <c r="Q76" s="561">
        <f t="shared" si="54"/>
        <v>0</v>
      </c>
      <c r="R76" s="561">
        <f t="shared" si="55"/>
        <v>0</v>
      </c>
      <c r="S76" s="561">
        <f t="shared" si="56"/>
        <v>0</v>
      </c>
      <c r="T76" s="561">
        <f t="shared" si="57"/>
        <v>0</v>
      </c>
      <c r="U76" s="561">
        <f t="shared" si="58"/>
        <v>0</v>
      </c>
      <c r="V76" s="561">
        <f t="shared" si="59"/>
        <v>0</v>
      </c>
      <c r="W76" s="675">
        <f t="shared" si="60"/>
        <v>0</v>
      </c>
      <c r="X76" s="675">
        <f t="shared" si="61"/>
        <v>0</v>
      </c>
      <c r="Y76" s="675">
        <f t="shared" si="61"/>
        <v>0</v>
      </c>
      <c r="Z76" s="86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1094">
        <f>'2022-23 Input'!O76</f>
        <v>0</v>
      </c>
      <c r="AJ76" s="665">
        <v>0</v>
      </c>
      <c r="AK76" s="88">
        <f t="shared" si="62"/>
        <v>0</v>
      </c>
      <c r="AL76" s="89">
        <f t="shared" si="63"/>
        <v>0</v>
      </c>
      <c r="AM76" s="90">
        <f t="shared" si="64"/>
        <v>0</v>
      </c>
      <c r="AN76" s="91" t="str">
        <f t="shared" si="65"/>
        <v/>
      </c>
      <c r="AO76" s="92" t="str">
        <f t="shared" si="66"/>
        <v/>
      </c>
      <c r="AP76" s="92" t="str">
        <f t="shared" si="67"/>
        <v/>
      </c>
      <c r="AQ76" s="92" t="str">
        <f t="shared" si="68"/>
        <v/>
      </c>
      <c r="AR76" s="92" t="str">
        <f t="shared" si="69"/>
        <v/>
      </c>
      <c r="AS76" s="92" t="str">
        <f t="shared" si="70"/>
        <v/>
      </c>
      <c r="AT76" s="92" t="str">
        <f t="shared" si="71"/>
        <v/>
      </c>
      <c r="AU76" s="92" t="str">
        <f t="shared" si="72"/>
        <v/>
      </c>
      <c r="AV76" s="92" t="str">
        <f t="shared" si="73"/>
        <v/>
      </c>
      <c r="AW76" s="92" t="str">
        <f t="shared" si="73"/>
        <v/>
      </c>
      <c r="AX76" s="92" t="str">
        <f t="shared" si="73"/>
        <v/>
      </c>
      <c r="AY76" s="93" t="str">
        <f t="shared" si="74"/>
        <v/>
      </c>
      <c r="AZ76" s="94" t="str">
        <f t="shared" si="75"/>
        <v/>
      </c>
      <c r="BA76" s="95" t="str">
        <f t="shared" si="76"/>
        <v/>
      </c>
      <c r="BB76" s="248" t="s">
        <v>422</v>
      </c>
      <c r="BC76" s="229" t="s">
        <v>433</v>
      </c>
      <c r="BD76" s="249">
        <v>0</v>
      </c>
      <c r="BE76" s="267">
        <f t="shared" si="80"/>
        <v>0</v>
      </c>
      <c r="BF76" s="268">
        <f t="shared" si="77"/>
        <v>0</v>
      </c>
      <c r="BG76" s="268">
        <f t="shared" si="77"/>
        <v>0</v>
      </c>
      <c r="BH76" s="268">
        <f t="shared" si="77"/>
        <v>1</v>
      </c>
      <c r="BI76" s="268">
        <f t="shared" si="77"/>
        <v>2</v>
      </c>
      <c r="BJ76" s="268">
        <f t="shared" si="77"/>
        <v>3</v>
      </c>
      <c r="BK76" s="268">
        <f t="shared" si="77"/>
        <v>4</v>
      </c>
      <c r="BL76" s="269">
        <f t="shared" si="77"/>
        <v>5</v>
      </c>
      <c r="BM76" s="256">
        <f>IF($BC76=Lookup!$A$2,$BD76*ROUNDUP(BE76/10,0)+1,
IF($BC76=Lookup!$A$3,($BD76+1)^BD76,
IF($BC76=Lookup!$A$4,BE76*$BD76+1,"Error")))</f>
        <v>1</v>
      </c>
      <c r="BN76" s="229">
        <f>IF($BC76=Lookup!$A$2,$BD76*ROUNDUP(BF76/10,0)+1,
IF($BC76=Lookup!$A$3,($BD76+1)^BE76,
IF($BC76=Lookup!$A$4,BF76*$BD76+1,"Error")))</f>
        <v>1</v>
      </c>
      <c r="BO76" s="229">
        <f>IF($BC76=Lookup!$A$2,$BD76*ROUNDUP(BG76/10,0)+1,
IF($BC76=Lookup!$A$3,($BD76+1)^BF76,
IF($BC76=Lookup!$A$4,BG76*$BD76+1,"Error")))</f>
        <v>1</v>
      </c>
      <c r="BP76" s="229">
        <f>IF($BC76=Lookup!$A$2,$BD76*ROUNDUP(BH76/10,0)+1,
IF($BC76=Lookup!$A$3,($BD76+1)^BG76,
IF($BC76=Lookup!$A$4,BH76*$BD76+1,"Error")))</f>
        <v>1</v>
      </c>
      <c r="BQ76" s="229">
        <f>IF($BC76=Lookup!$A$2,$BD76*ROUNDUP(BI76/10,0)+1,
IF($BC76=Lookup!$A$3,($BD76+1)^BH76,
IF($BC76=Lookup!$A$4,BI76*$BD76+1,"Error")))</f>
        <v>1</v>
      </c>
      <c r="BR76" s="229">
        <f>IF($BC76=Lookup!$A$2,$BD76*ROUNDUP(BJ76/10,0)+1,
IF($BC76=Lookup!$A$3,($BD76+1)^BI76,
IF($BC76=Lookup!$A$4,BJ76*$BD76+1,"Error")))</f>
        <v>1</v>
      </c>
      <c r="BS76" s="229">
        <f>IF($BC76=Lookup!$A$2,$BD76*ROUNDUP(BK76/10,0)+1,
IF($BC76=Lookup!$A$3,($BD76+1)^BJ76,
IF($BC76=Lookup!$A$4,BK76*$BD76+1,"Error")))</f>
        <v>1</v>
      </c>
      <c r="BT76" s="249">
        <f>IF($BC76=Lookup!$A$2,$BD76*ROUNDUP(BL76/10,0)+1,
IF($BC76=Lookup!$A$3,($BD76+1)^BK76,
IF($BC76=Lookup!$A$4,BL76*$BD76+1,"Error")))</f>
        <v>1</v>
      </c>
      <c r="BU76" s="320">
        <v>0</v>
      </c>
      <c r="BV76" s="321">
        <v>0</v>
      </c>
      <c r="BW76" s="321">
        <v>0</v>
      </c>
      <c r="BX76" s="321">
        <v>0</v>
      </c>
      <c r="BY76" s="321">
        <v>0</v>
      </c>
      <c r="BZ76" s="321">
        <v>0</v>
      </c>
      <c r="CA76" s="321">
        <v>0</v>
      </c>
      <c r="CB76" s="277">
        <v>0</v>
      </c>
      <c r="CC76" s="382" t="s">
        <v>293</v>
      </c>
      <c r="CD76" s="383">
        <f>HLOOKUP($CC76,$AK$6:$AM$132,ROWS(CD$6:CD76),0)</f>
        <v>0</v>
      </c>
      <c r="CE76" s="234">
        <f t="shared" si="81"/>
        <v>0</v>
      </c>
      <c r="CF76" s="96">
        <f t="shared" si="81"/>
        <v>0</v>
      </c>
      <c r="CG76" s="96">
        <f t="shared" si="81"/>
        <v>0</v>
      </c>
      <c r="CH76" s="96">
        <f t="shared" si="81"/>
        <v>0</v>
      </c>
      <c r="CI76" s="96">
        <f t="shared" si="50"/>
        <v>0</v>
      </c>
      <c r="CJ76" s="96">
        <f t="shared" si="50"/>
        <v>0</v>
      </c>
      <c r="CK76" s="96">
        <f t="shared" si="50"/>
        <v>0</v>
      </c>
      <c r="CL76" s="286">
        <f t="shared" si="50"/>
        <v>0</v>
      </c>
      <c r="CM76" s="305" t="s">
        <v>292</v>
      </c>
      <c r="CN76" s="315">
        <v>0.05</v>
      </c>
      <c r="CO76" s="306"/>
      <c r="CP76" s="307" t="str">
        <f>IF($CO76&lt;&gt;"",$CO76,HLOOKUP($CM76,$AY$6:$BA$132,ROWS(CP$6:CP76),0))</f>
        <v/>
      </c>
      <c r="CQ76" s="784" t="str">
        <f t="shared" si="78"/>
        <v/>
      </c>
      <c r="CR76" s="784" t="str">
        <f t="shared" si="78"/>
        <v/>
      </c>
      <c r="CS76" s="97" t="str">
        <f t="shared" si="78"/>
        <v/>
      </c>
      <c r="CT76" s="97" t="str">
        <f t="shared" si="78"/>
        <v/>
      </c>
      <c r="CU76" s="97" t="str">
        <f t="shared" si="78"/>
        <v/>
      </c>
      <c r="CV76" s="97" t="str">
        <f t="shared" si="78"/>
        <v/>
      </c>
      <c r="CW76" s="97" t="str">
        <f t="shared" si="78"/>
        <v/>
      </c>
      <c r="CX76" s="98" t="str">
        <f t="shared" si="32"/>
        <v/>
      </c>
    </row>
    <row r="77" spans="1:102" x14ac:dyDescent="0.25">
      <c r="A77" s="81" t="s">
        <v>138</v>
      </c>
      <c r="B77" s="82" t="s">
        <v>157</v>
      </c>
      <c r="C77" s="83" t="s">
        <v>367</v>
      </c>
      <c r="D77" s="84">
        <v>0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654">
        <f>'2022-23 Input'!H77</f>
        <v>0</v>
      </c>
      <c r="N77" s="1065">
        <v>0</v>
      </c>
      <c r="O77" s="560">
        <f t="shared" si="79"/>
        <v>0</v>
      </c>
      <c r="P77" s="561">
        <f t="shared" si="53"/>
        <v>0</v>
      </c>
      <c r="Q77" s="561">
        <f t="shared" si="54"/>
        <v>0</v>
      </c>
      <c r="R77" s="561">
        <f t="shared" si="55"/>
        <v>0</v>
      </c>
      <c r="S77" s="561">
        <f t="shared" si="56"/>
        <v>0</v>
      </c>
      <c r="T77" s="561">
        <f t="shared" si="57"/>
        <v>0</v>
      </c>
      <c r="U77" s="561">
        <f t="shared" si="58"/>
        <v>0</v>
      </c>
      <c r="V77" s="561">
        <f t="shared" si="59"/>
        <v>0</v>
      </c>
      <c r="W77" s="675">
        <f t="shared" si="60"/>
        <v>0</v>
      </c>
      <c r="X77" s="675">
        <f t="shared" si="61"/>
        <v>0</v>
      </c>
      <c r="Y77" s="675">
        <f t="shared" si="61"/>
        <v>0</v>
      </c>
      <c r="Z77" s="86">
        <v>0</v>
      </c>
      <c r="AA77" s="87">
        <v>0</v>
      </c>
      <c r="AB77" s="87">
        <v>0</v>
      </c>
      <c r="AC77" s="87">
        <v>0</v>
      </c>
      <c r="AD77" s="87">
        <v>0</v>
      </c>
      <c r="AE77" s="87">
        <v>0</v>
      </c>
      <c r="AF77" s="87">
        <v>0</v>
      </c>
      <c r="AG77" s="87">
        <v>0</v>
      </c>
      <c r="AH77" s="87">
        <v>0</v>
      </c>
      <c r="AI77" s="1094">
        <f>'2022-23 Input'!O77</f>
        <v>0</v>
      </c>
      <c r="AJ77" s="665">
        <v>0</v>
      </c>
      <c r="AK77" s="88">
        <f t="shared" si="62"/>
        <v>0</v>
      </c>
      <c r="AL77" s="89">
        <f t="shared" si="63"/>
        <v>0</v>
      </c>
      <c r="AM77" s="90">
        <f t="shared" si="64"/>
        <v>0</v>
      </c>
      <c r="AN77" s="91" t="str">
        <f t="shared" si="65"/>
        <v/>
      </c>
      <c r="AO77" s="92" t="str">
        <f t="shared" si="66"/>
        <v/>
      </c>
      <c r="AP77" s="92" t="str">
        <f t="shared" si="67"/>
        <v/>
      </c>
      <c r="AQ77" s="92" t="str">
        <f t="shared" si="68"/>
        <v/>
      </c>
      <c r="AR77" s="92" t="str">
        <f t="shared" si="69"/>
        <v/>
      </c>
      <c r="AS77" s="92" t="str">
        <f t="shared" si="70"/>
        <v/>
      </c>
      <c r="AT77" s="92" t="str">
        <f t="shared" si="71"/>
        <v/>
      </c>
      <c r="AU77" s="92" t="str">
        <f t="shared" si="72"/>
        <v/>
      </c>
      <c r="AV77" s="92" t="str">
        <f t="shared" si="73"/>
        <v/>
      </c>
      <c r="AW77" s="92" t="str">
        <f t="shared" si="73"/>
        <v/>
      </c>
      <c r="AX77" s="92" t="str">
        <f t="shared" si="73"/>
        <v/>
      </c>
      <c r="AY77" s="93" t="str">
        <f t="shared" si="74"/>
        <v/>
      </c>
      <c r="AZ77" s="94" t="str">
        <f t="shared" si="75"/>
        <v/>
      </c>
      <c r="BA77" s="95" t="str">
        <f t="shared" si="76"/>
        <v/>
      </c>
      <c r="BB77" s="248" t="s">
        <v>422</v>
      </c>
      <c r="BC77" s="229" t="s">
        <v>433</v>
      </c>
      <c r="BD77" s="249">
        <v>0</v>
      </c>
      <c r="BE77" s="267">
        <f t="shared" si="80"/>
        <v>0</v>
      </c>
      <c r="BF77" s="268">
        <f t="shared" si="77"/>
        <v>0</v>
      </c>
      <c r="BG77" s="268">
        <f t="shared" si="77"/>
        <v>0</v>
      </c>
      <c r="BH77" s="268">
        <f t="shared" si="77"/>
        <v>1</v>
      </c>
      <c r="BI77" s="268">
        <f t="shared" si="77"/>
        <v>2</v>
      </c>
      <c r="BJ77" s="268">
        <f t="shared" si="77"/>
        <v>3</v>
      </c>
      <c r="BK77" s="268">
        <f t="shared" si="77"/>
        <v>4</v>
      </c>
      <c r="BL77" s="269">
        <f t="shared" si="77"/>
        <v>5</v>
      </c>
      <c r="BM77" s="256">
        <f>IF($BC77=Lookup!$A$2,$BD77*ROUNDUP(BE77/10,0)+1,
IF($BC77=Lookup!$A$3,($BD77+1)^BD77,
IF($BC77=Lookup!$A$4,BE77*$BD77+1,"Error")))</f>
        <v>1</v>
      </c>
      <c r="BN77" s="229">
        <f>IF($BC77=Lookup!$A$2,$BD77*ROUNDUP(BF77/10,0)+1,
IF($BC77=Lookup!$A$3,($BD77+1)^BE77,
IF($BC77=Lookup!$A$4,BF77*$BD77+1,"Error")))</f>
        <v>1</v>
      </c>
      <c r="BO77" s="229">
        <f>IF($BC77=Lookup!$A$2,$BD77*ROUNDUP(BG77/10,0)+1,
IF($BC77=Lookup!$A$3,($BD77+1)^BF77,
IF($BC77=Lookup!$A$4,BG77*$BD77+1,"Error")))</f>
        <v>1</v>
      </c>
      <c r="BP77" s="229">
        <f>IF($BC77=Lookup!$A$2,$BD77*ROUNDUP(BH77/10,0)+1,
IF($BC77=Lookup!$A$3,($BD77+1)^BG77,
IF($BC77=Lookup!$A$4,BH77*$BD77+1,"Error")))</f>
        <v>1</v>
      </c>
      <c r="BQ77" s="229">
        <f>IF($BC77=Lookup!$A$2,$BD77*ROUNDUP(BI77/10,0)+1,
IF($BC77=Lookup!$A$3,($BD77+1)^BH77,
IF($BC77=Lookup!$A$4,BI77*$BD77+1,"Error")))</f>
        <v>1</v>
      </c>
      <c r="BR77" s="229">
        <f>IF($BC77=Lookup!$A$2,$BD77*ROUNDUP(BJ77/10,0)+1,
IF($BC77=Lookup!$A$3,($BD77+1)^BI77,
IF($BC77=Lookup!$A$4,BJ77*$BD77+1,"Error")))</f>
        <v>1</v>
      </c>
      <c r="BS77" s="229">
        <f>IF($BC77=Lookup!$A$2,$BD77*ROUNDUP(BK77/10,0)+1,
IF($BC77=Lookup!$A$3,($BD77+1)^BJ77,
IF($BC77=Lookup!$A$4,BK77*$BD77+1,"Error")))</f>
        <v>1</v>
      </c>
      <c r="BT77" s="249">
        <f>IF($BC77=Lookup!$A$2,$BD77*ROUNDUP(BL77/10,0)+1,
IF($BC77=Lookup!$A$3,($BD77+1)^BK77,
IF($BC77=Lookup!$A$4,BL77*$BD77+1,"Error")))</f>
        <v>1</v>
      </c>
      <c r="BU77" s="320">
        <v>0</v>
      </c>
      <c r="BV77" s="321">
        <v>0</v>
      </c>
      <c r="BW77" s="321">
        <v>0</v>
      </c>
      <c r="BX77" s="321">
        <v>0</v>
      </c>
      <c r="BY77" s="321">
        <v>0</v>
      </c>
      <c r="BZ77" s="321">
        <v>0</v>
      </c>
      <c r="CA77" s="321">
        <v>0</v>
      </c>
      <c r="CB77" s="277">
        <v>0</v>
      </c>
      <c r="CC77" s="382" t="s">
        <v>293</v>
      </c>
      <c r="CD77" s="383">
        <f>HLOOKUP($CC77,$AK$6:$AM$132,ROWS(CD$6:CD77),0)</f>
        <v>0</v>
      </c>
      <c r="CE77" s="234">
        <f t="shared" si="81"/>
        <v>0</v>
      </c>
      <c r="CF77" s="96">
        <f t="shared" si="81"/>
        <v>0</v>
      </c>
      <c r="CG77" s="96">
        <f t="shared" si="81"/>
        <v>0</v>
      </c>
      <c r="CH77" s="96">
        <f t="shared" si="81"/>
        <v>0</v>
      </c>
      <c r="CI77" s="96">
        <f t="shared" si="50"/>
        <v>0</v>
      </c>
      <c r="CJ77" s="96">
        <f t="shared" si="50"/>
        <v>0</v>
      </c>
      <c r="CK77" s="96">
        <f t="shared" si="50"/>
        <v>0</v>
      </c>
      <c r="CL77" s="286">
        <f t="shared" si="50"/>
        <v>0</v>
      </c>
      <c r="CM77" s="305" t="s">
        <v>292</v>
      </c>
      <c r="CN77" s="315">
        <v>0.05</v>
      </c>
      <c r="CO77" s="306"/>
      <c r="CP77" s="307" t="str">
        <f>IF($CO77&lt;&gt;"",$CO77,HLOOKUP($CM77,$AY$6:$BA$132,ROWS(CP$6:CP77),0))</f>
        <v/>
      </c>
      <c r="CQ77" s="784" t="str">
        <f t="shared" si="78"/>
        <v/>
      </c>
      <c r="CR77" s="784" t="str">
        <f t="shared" si="78"/>
        <v/>
      </c>
      <c r="CS77" s="97" t="str">
        <f t="shared" si="78"/>
        <v/>
      </c>
      <c r="CT77" s="97" t="str">
        <f t="shared" si="78"/>
        <v/>
      </c>
      <c r="CU77" s="97" t="str">
        <f t="shared" si="78"/>
        <v/>
      </c>
      <c r="CV77" s="97" t="str">
        <f t="shared" si="78"/>
        <v/>
      </c>
      <c r="CW77" s="97" t="str">
        <f t="shared" si="78"/>
        <v/>
      </c>
      <c r="CX77" s="98" t="str">
        <f t="shared" si="32"/>
        <v/>
      </c>
    </row>
    <row r="78" spans="1:102" x14ac:dyDescent="0.25">
      <c r="A78" s="81" t="s">
        <v>138</v>
      </c>
      <c r="B78" s="82" t="s">
        <v>159</v>
      </c>
      <c r="C78" s="83" t="s">
        <v>368</v>
      </c>
      <c r="D78" s="84">
        <v>0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654">
        <f>'2022-23 Input'!H78</f>
        <v>0</v>
      </c>
      <c r="N78" s="1065">
        <v>0</v>
      </c>
      <c r="O78" s="560">
        <f t="shared" si="79"/>
        <v>0</v>
      </c>
      <c r="P78" s="561">
        <f t="shared" si="53"/>
        <v>0</v>
      </c>
      <c r="Q78" s="561">
        <f t="shared" si="54"/>
        <v>0</v>
      </c>
      <c r="R78" s="561">
        <f t="shared" si="55"/>
        <v>0</v>
      </c>
      <c r="S78" s="561">
        <f t="shared" si="56"/>
        <v>0</v>
      </c>
      <c r="T78" s="561">
        <f t="shared" si="57"/>
        <v>0</v>
      </c>
      <c r="U78" s="561">
        <f t="shared" si="58"/>
        <v>0</v>
      </c>
      <c r="V78" s="561">
        <f t="shared" si="59"/>
        <v>0</v>
      </c>
      <c r="W78" s="675">
        <f t="shared" si="60"/>
        <v>0</v>
      </c>
      <c r="X78" s="675">
        <f t="shared" si="61"/>
        <v>0</v>
      </c>
      <c r="Y78" s="675">
        <f t="shared" si="61"/>
        <v>0</v>
      </c>
      <c r="Z78" s="86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87">
        <v>0</v>
      </c>
      <c r="AI78" s="1094">
        <f>'2022-23 Input'!O78</f>
        <v>0</v>
      </c>
      <c r="AJ78" s="665">
        <v>0</v>
      </c>
      <c r="AK78" s="88">
        <f t="shared" si="62"/>
        <v>0</v>
      </c>
      <c r="AL78" s="89">
        <f t="shared" si="63"/>
        <v>0</v>
      </c>
      <c r="AM78" s="90">
        <f t="shared" si="64"/>
        <v>0</v>
      </c>
      <c r="AN78" s="91" t="str">
        <f t="shared" si="65"/>
        <v/>
      </c>
      <c r="AO78" s="92" t="str">
        <f t="shared" si="66"/>
        <v/>
      </c>
      <c r="AP78" s="92" t="str">
        <f t="shared" si="67"/>
        <v/>
      </c>
      <c r="AQ78" s="92" t="str">
        <f t="shared" si="68"/>
        <v/>
      </c>
      <c r="AR78" s="92" t="str">
        <f t="shared" si="69"/>
        <v/>
      </c>
      <c r="AS78" s="92" t="str">
        <f t="shared" si="70"/>
        <v/>
      </c>
      <c r="AT78" s="92" t="str">
        <f t="shared" si="71"/>
        <v/>
      </c>
      <c r="AU78" s="92" t="str">
        <f t="shared" si="72"/>
        <v/>
      </c>
      <c r="AV78" s="92" t="str">
        <f t="shared" si="73"/>
        <v/>
      </c>
      <c r="AW78" s="92" t="str">
        <f t="shared" si="73"/>
        <v/>
      </c>
      <c r="AX78" s="92" t="str">
        <f t="shared" si="73"/>
        <v/>
      </c>
      <c r="AY78" s="93" t="str">
        <f t="shared" si="74"/>
        <v/>
      </c>
      <c r="AZ78" s="94" t="str">
        <f t="shared" si="75"/>
        <v/>
      </c>
      <c r="BA78" s="95" t="str">
        <f t="shared" si="76"/>
        <v/>
      </c>
      <c r="BB78" s="248" t="s">
        <v>422</v>
      </c>
      <c r="BC78" s="229" t="s">
        <v>433</v>
      </c>
      <c r="BD78" s="249">
        <v>0</v>
      </c>
      <c r="BE78" s="267">
        <f t="shared" si="80"/>
        <v>0</v>
      </c>
      <c r="BF78" s="268">
        <f t="shared" si="77"/>
        <v>0</v>
      </c>
      <c r="BG78" s="268">
        <f t="shared" si="77"/>
        <v>0</v>
      </c>
      <c r="BH78" s="268">
        <f t="shared" si="77"/>
        <v>1</v>
      </c>
      <c r="BI78" s="268">
        <f t="shared" si="77"/>
        <v>2</v>
      </c>
      <c r="BJ78" s="268">
        <f t="shared" si="77"/>
        <v>3</v>
      </c>
      <c r="BK78" s="268">
        <f t="shared" si="77"/>
        <v>4</v>
      </c>
      <c r="BL78" s="269">
        <f t="shared" si="77"/>
        <v>5</v>
      </c>
      <c r="BM78" s="256">
        <f>IF($BC78=Lookup!$A$2,$BD78*ROUNDUP(BE78/10,0)+1,
IF($BC78=Lookup!$A$3,($BD78+1)^BD78,
IF($BC78=Lookup!$A$4,BE78*$BD78+1,"Error")))</f>
        <v>1</v>
      </c>
      <c r="BN78" s="229">
        <f>IF($BC78=Lookup!$A$2,$BD78*ROUNDUP(BF78/10,0)+1,
IF($BC78=Lookup!$A$3,($BD78+1)^BE78,
IF($BC78=Lookup!$A$4,BF78*$BD78+1,"Error")))</f>
        <v>1</v>
      </c>
      <c r="BO78" s="229">
        <f>IF($BC78=Lookup!$A$2,$BD78*ROUNDUP(BG78/10,0)+1,
IF($BC78=Lookup!$A$3,($BD78+1)^BF78,
IF($BC78=Lookup!$A$4,BG78*$BD78+1,"Error")))</f>
        <v>1</v>
      </c>
      <c r="BP78" s="229">
        <f>IF($BC78=Lookup!$A$2,$BD78*ROUNDUP(BH78/10,0)+1,
IF($BC78=Lookup!$A$3,($BD78+1)^BG78,
IF($BC78=Lookup!$A$4,BH78*$BD78+1,"Error")))</f>
        <v>1</v>
      </c>
      <c r="BQ78" s="229">
        <f>IF($BC78=Lookup!$A$2,$BD78*ROUNDUP(BI78/10,0)+1,
IF($BC78=Lookup!$A$3,($BD78+1)^BH78,
IF($BC78=Lookup!$A$4,BI78*$BD78+1,"Error")))</f>
        <v>1</v>
      </c>
      <c r="BR78" s="229">
        <f>IF($BC78=Lookup!$A$2,$BD78*ROUNDUP(BJ78/10,0)+1,
IF($BC78=Lookup!$A$3,($BD78+1)^BI78,
IF($BC78=Lookup!$A$4,BJ78*$BD78+1,"Error")))</f>
        <v>1</v>
      </c>
      <c r="BS78" s="229">
        <f>IF($BC78=Lookup!$A$2,$BD78*ROUNDUP(BK78/10,0)+1,
IF($BC78=Lookup!$A$3,($BD78+1)^BJ78,
IF($BC78=Lookup!$A$4,BK78*$BD78+1,"Error")))</f>
        <v>1</v>
      </c>
      <c r="BT78" s="249">
        <f>IF($BC78=Lookup!$A$2,$BD78*ROUNDUP(BL78/10,0)+1,
IF($BC78=Lookup!$A$3,($BD78+1)^BK78,
IF($BC78=Lookup!$A$4,BL78*$BD78+1,"Error")))</f>
        <v>1</v>
      </c>
      <c r="BU78" s="320">
        <v>0</v>
      </c>
      <c r="BV78" s="321">
        <v>0</v>
      </c>
      <c r="BW78" s="321">
        <v>0</v>
      </c>
      <c r="BX78" s="321">
        <v>0</v>
      </c>
      <c r="BY78" s="321">
        <v>0</v>
      </c>
      <c r="BZ78" s="321">
        <v>0</v>
      </c>
      <c r="CA78" s="321">
        <v>0</v>
      </c>
      <c r="CB78" s="277">
        <v>0</v>
      </c>
      <c r="CC78" s="382" t="s">
        <v>293</v>
      </c>
      <c r="CD78" s="383">
        <f>HLOOKUP($CC78,$AK$6:$AM$132,ROWS(CD$6:CD78),0)</f>
        <v>0</v>
      </c>
      <c r="CE78" s="234">
        <f t="shared" si="81"/>
        <v>0</v>
      </c>
      <c r="CF78" s="96">
        <f t="shared" si="81"/>
        <v>0</v>
      </c>
      <c r="CG78" s="96">
        <f t="shared" si="81"/>
        <v>0</v>
      </c>
      <c r="CH78" s="96">
        <f t="shared" si="81"/>
        <v>0</v>
      </c>
      <c r="CI78" s="96">
        <f t="shared" si="50"/>
        <v>0</v>
      </c>
      <c r="CJ78" s="96">
        <f t="shared" si="50"/>
        <v>0</v>
      </c>
      <c r="CK78" s="96">
        <f t="shared" si="50"/>
        <v>0</v>
      </c>
      <c r="CL78" s="286">
        <f t="shared" si="50"/>
        <v>0</v>
      </c>
      <c r="CM78" s="305" t="s">
        <v>292</v>
      </c>
      <c r="CN78" s="315">
        <v>0.05</v>
      </c>
      <c r="CO78" s="306"/>
      <c r="CP78" s="307" t="str">
        <f>IF($CO78&lt;&gt;"",$CO78,HLOOKUP($CM78,$AY$6:$BA$132,ROWS(CP$6:CP78),0))</f>
        <v/>
      </c>
      <c r="CQ78" s="784" t="str">
        <f t="shared" si="78"/>
        <v/>
      </c>
      <c r="CR78" s="784" t="str">
        <f t="shared" si="78"/>
        <v/>
      </c>
      <c r="CS78" s="97" t="str">
        <f t="shared" si="78"/>
        <v/>
      </c>
      <c r="CT78" s="97" t="str">
        <f t="shared" si="78"/>
        <v/>
      </c>
      <c r="CU78" s="97" t="str">
        <f t="shared" si="78"/>
        <v/>
      </c>
      <c r="CV78" s="97" t="str">
        <f t="shared" si="78"/>
        <v/>
      </c>
      <c r="CW78" s="97" t="str">
        <f t="shared" si="78"/>
        <v/>
      </c>
      <c r="CX78" s="98" t="str">
        <f t="shared" si="32"/>
        <v/>
      </c>
    </row>
    <row r="79" spans="1:102" x14ac:dyDescent="0.25">
      <c r="A79" s="81" t="s">
        <v>138</v>
      </c>
      <c r="B79" s="82" t="s">
        <v>161</v>
      </c>
      <c r="C79" s="83" t="s">
        <v>369</v>
      </c>
      <c r="D79" s="84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654">
        <f>'2022-23 Input'!H79</f>
        <v>0</v>
      </c>
      <c r="N79" s="1065">
        <v>0</v>
      </c>
      <c r="O79" s="560">
        <f t="shared" si="79"/>
        <v>0</v>
      </c>
      <c r="P79" s="561">
        <f t="shared" si="53"/>
        <v>0</v>
      </c>
      <c r="Q79" s="561">
        <f t="shared" si="54"/>
        <v>0</v>
      </c>
      <c r="R79" s="561">
        <f t="shared" si="55"/>
        <v>0</v>
      </c>
      <c r="S79" s="561">
        <f t="shared" si="56"/>
        <v>0</v>
      </c>
      <c r="T79" s="561">
        <f t="shared" si="57"/>
        <v>0</v>
      </c>
      <c r="U79" s="561">
        <f t="shared" si="58"/>
        <v>0</v>
      </c>
      <c r="V79" s="561">
        <f t="shared" si="59"/>
        <v>0</v>
      </c>
      <c r="W79" s="675">
        <f t="shared" si="60"/>
        <v>0</v>
      </c>
      <c r="X79" s="675">
        <f t="shared" si="61"/>
        <v>0</v>
      </c>
      <c r="Y79" s="675">
        <f t="shared" si="61"/>
        <v>0</v>
      </c>
      <c r="Z79" s="86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1094">
        <f>'2022-23 Input'!O79</f>
        <v>0</v>
      </c>
      <c r="AJ79" s="665">
        <v>0</v>
      </c>
      <c r="AK79" s="88">
        <f t="shared" si="62"/>
        <v>0</v>
      </c>
      <c r="AL79" s="89">
        <f t="shared" si="63"/>
        <v>0</v>
      </c>
      <c r="AM79" s="90">
        <f t="shared" si="64"/>
        <v>0</v>
      </c>
      <c r="AN79" s="91" t="str">
        <f t="shared" si="65"/>
        <v/>
      </c>
      <c r="AO79" s="92" t="str">
        <f t="shared" si="66"/>
        <v/>
      </c>
      <c r="AP79" s="92" t="str">
        <f t="shared" si="67"/>
        <v/>
      </c>
      <c r="AQ79" s="92" t="str">
        <f t="shared" si="68"/>
        <v/>
      </c>
      <c r="AR79" s="92" t="str">
        <f t="shared" si="69"/>
        <v/>
      </c>
      <c r="AS79" s="92" t="str">
        <f t="shared" si="70"/>
        <v/>
      </c>
      <c r="AT79" s="92" t="str">
        <f t="shared" si="71"/>
        <v/>
      </c>
      <c r="AU79" s="92" t="str">
        <f t="shared" si="72"/>
        <v/>
      </c>
      <c r="AV79" s="92" t="str">
        <f t="shared" si="73"/>
        <v/>
      </c>
      <c r="AW79" s="92" t="str">
        <f t="shared" si="73"/>
        <v/>
      </c>
      <c r="AX79" s="92" t="str">
        <f t="shared" si="73"/>
        <v/>
      </c>
      <c r="AY79" s="93" t="str">
        <f t="shared" si="74"/>
        <v/>
      </c>
      <c r="AZ79" s="94" t="str">
        <f t="shared" si="75"/>
        <v/>
      </c>
      <c r="BA79" s="95" t="str">
        <f t="shared" si="76"/>
        <v/>
      </c>
      <c r="BB79" s="248" t="s">
        <v>422</v>
      </c>
      <c r="BC79" s="229" t="s">
        <v>433</v>
      </c>
      <c r="BD79" s="249">
        <v>0</v>
      </c>
      <c r="BE79" s="267">
        <f t="shared" si="80"/>
        <v>0</v>
      </c>
      <c r="BF79" s="268">
        <f t="shared" si="77"/>
        <v>0</v>
      </c>
      <c r="BG79" s="268">
        <f t="shared" si="77"/>
        <v>0</v>
      </c>
      <c r="BH79" s="268">
        <f t="shared" si="77"/>
        <v>1</v>
      </c>
      <c r="BI79" s="268">
        <f t="shared" si="77"/>
        <v>2</v>
      </c>
      <c r="BJ79" s="268">
        <f t="shared" si="77"/>
        <v>3</v>
      </c>
      <c r="BK79" s="268">
        <f t="shared" si="77"/>
        <v>4</v>
      </c>
      <c r="BL79" s="269">
        <f t="shared" si="77"/>
        <v>5</v>
      </c>
      <c r="BM79" s="256">
        <f>IF($BC79=Lookup!$A$2,$BD79*ROUNDUP(BE79/10,0)+1,
IF($BC79=Lookup!$A$3,($BD79+1)^BD79,
IF($BC79=Lookup!$A$4,BE79*$BD79+1,"Error")))</f>
        <v>1</v>
      </c>
      <c r="BN79" s="229">
        <f>IF($BC79=Lookup!$A$2,$BD79*ROUNDUP(BF79/10,0)+1,
IF($BC79=Lookup!$A$3,($BD79+1)^BE79,
IF($BC79=Lookup!$A$4,BF79*$BD79+1,"Error")))</f>
        <v>1</v>
      </c>
      <c r="BO79" s="229">
        <f>IF($BC79=Lookup!$A$2,$BD79*ROUNDUP(BG79/10,0)+1,
IF($BC79=Lookup!$A$3,($BD79+1)^BF79,
IF($BC79=Lookup!$A$4,BG79*$BD79+1,"Error")))</f>
        <v>1</v>
      </c>
      <c r="BP79" s="229">
        <f>IF($BC79=Lookup!$A$2,$BD79*ROUNDUP(BH79/10,0)+1,
IF($BC79=Lookup!$A$3,($BD79+1)^BG79,
IF($BC79=Lookup!$A$4,BH79*$BD79+1,"Error")))</f>
        <v>1</v>
      </c>
      <c r="BQ79" s="229">
        <f>IF($BC79=Lookup!$A$2,$BD79*ROUNDUP(BI79/10,0)+1,
IF($BC79=Lookup!$A$3,($BD79+1)^BH79,
IF($BC79=Lookup!$A$4,BI79*$BD79+1,"Error")))</f>
        <v>1</v>
      </c>
      <c r="BR79" s="229">
        <f>IF($BC79=Lookup!$A$2,$BD79*ROUNDUP(BJ79/10,0)+1,
IF($BC79=Lookup!$A$3,($BD79+1)^BI79,
IF($BC79=Lookup!$A$4,BJ79*$BD79+1,"Error")))</f>
        <v>1</v>
      </c>
      <c r="BS79" s="229">
        <f>IF($BC79=Lookup!$A$2,$BD79*ROUNDUP(BK79/10,0)+1,
IF($BC79=Lookup!$A$3,($BD79+1)^BJ79,
IF($BC79=Lookup!$A$4,BK79*$BD79+1,"Error")))</f>
        <v>1</v>
      </c>
      <c r="BT79" s="249">
        <f>IF($BC79=Lookup!$A$2,$BD79*ROUNDUP(BL79/10,0)+1,
IF($BC79=Lookup!$A$3,($BD79+1)^BK79,
IF($BC79=Lookup!$A$4,BL79*$BD79+1,"Error")))</f>
        <v>1</v>
      </c>
      <c r="BU79" s="320">
        <v>0</v>
      </c>
      <c r="BV79" s="321">
        <v>0</v>
      </c>
      <c r="BW79" s="321">
        <v>0</v>
      </c>
      <c r="BX79" s="321">
        <v>0</v>
      </c>
      <c r="BY79" s="321">
        <v>0</v>
      </c>
      <c r="BZ79" s="321">
        <v>0</v>
      </c>
      <c r="CA79" s="321">
        <v>0</v>
      </c>
      <c r="CB79" s="277">
        <v>0</v>
      </c>
      <c r="CC79" s="382" t="s">
        <v>293</v>
      </c>
      <c r="CD79" s="383">
        <f>HLOOKUP($CC79,$AK$6:$AM$132,ROWS(CD$6:CD79),0)</f>
        <v>0</v>
      </c>
      <c r="CE79" s="234">
        <f t="shared" si="81"/>
        <v>0</v>
      </c>
      <c r="CF79" s="96">
        <f t="shared" si="81"/>
        <v>0</v>
      </c>
      <c r="CG79" s="96">
        <f t="shared" si="81"/>
        <v>0</v>
      </c>
      <c r="CH79" s="96">
        <f t="shared" si="81"/>
        <v>0</v>
      </c>
      <c r="CI79" s="96">
        <f t="shared" si="50"/>
        <v>0</v>
      </c>
      <c r="CJ79" s="96">
        <f t="shared" si="50"/>
        <v>0</v>
      </c>
      <c r="CK79" s="96">
        <f t="shared" si="50"/>
        <v>0</v>
      </c>
      <c r="CL79" s="286">
        <f t="shared" si="50"/>
        <v>0</v>
      </c>
      <c r="CM79" s="305" t="s">
        <v>292</v>
      </c>
      <c r="CN79" s="315">
        <v>0.05</v>
      </c>
      <c r="CO79" s="306"/>
      <c r="CP79" s="307" t="str">
        <f>IF($CO79&lt;&gt;"",$CO79,HLOOKUP($CM79,$AY$6:$BA$132,ROWS(CP$6:CP79),0))</f>
        <v/>
      </c>
      <c r="CQ79" s="784" t="str">
        <f t="shared" si="78"/>
        <v/>
      </c>
      <c r="CR79" s="784" t="str">
        <f t="shared" si="78"/>
        <v/>
      </c>
      <c r="CS79" s="97" t="str">
        <f t="shared" si="78"/>
        <v/>
      </c>
      <c r="CT79" s="97" t="str">
        <f t="shared" si="78"/>
        <v/>
      </c>
      <c r="CU79" s="97" t="str">
        <f t="shared" si="78"/>
        <v/>
      </c>
      <c r="CV79" s="97" t="str">
        <f t="shared" si="78"/>
        <v/>
      </c>
      <c r="CW79" s="97" t="str">
        <f t="shared" si="78"/>
        <v/>
      </c>
      <c r="CX79" s="98" t="str">
        <f t="shared" si="32"/>
        <v/>
      </c>
    </row>
    <row r="80" spans="1:102" x14ac:dyDescent="0.25">
      <c r="A80" s="81" t="s">
        <v>138</v>
      </c>
      <c r="B80" s="82" t="s">
        <v>163</v>
      </c>
      <c r="C80" s="83" t="s">
        <v>370</v>
      </c>
      <c r="D80" s="84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85">
        <v>0</v>
      </c>
      <c r="L80" s="85">
        <v>0</v>
      </c>
      <c r="M80" s="654">
        <f>'2022-23 Input'!H80</f>
        <v>0</v>
      </c>
      <c r="N80" s="1065">
        <v>0</v>
      </c>
      <c r="O80" s="560">
        <f t="shared" si="79"/>
        <v>0</v>
      </c>
      <c r="P80" s="561">
        <f t="shared" si="53"/>
        <v>0</v>
      </c>
      <c r="Q80" s="561">
        <f t="shared" si="54"/>
        <v>0</v>
      </c>
      <c r="R80" s="561">
        <f t="shared" si="55"/>
        <v>0</v>
      </c>
      <c r="S80" s="561">
        <f t="shared" si="56"/>
        <v>0</v>
      </c>
      <c r="T80" s="561">
        <f t="shared" si="57"/>
        <v>0</v>
      </c>
      <c r="U80" s="561">
        <f t="shared" si="58"/>
        <v>0</v>
      </c>
      <c r="V80" s="561">
        <f t="shared" si="59"/>
        <v>0</v>
      </c>
      <c r="W80" s="675">
        <f t="shared" si="60"/>
        <v>0</v>
      </c>
      <c r="X80" s="675">
        <f t="shared" si="61"/>
        <v>0</v>
      </c>
      <c r="Y80" s="675">
        <f t="shared" si="61"/>
        <v>0</v>
      </c>
      <c r="Z80" s="86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87">
        <v>0</v>
      </c>
      <c r="AI80" s="1094">
        <f>'2022-23 Input'!O80</f>
        <v>0</v>
      </c>
      <c r="AJ80" s="665">
        <v>0</v>
      </c>
      <c r="AK80" s="88">
        <f t="shared" si="62"/>
        <v>0</v>
      </c>
      <c r="AL80" s="89">
        <f t="shared" si="63"/>
        <v>0</v>
      </c>
      <c r="AM80" s="90">
        <f t="shared" si="64"/>
        <v>0</v>
      </c>
      <c r="AN80" s="91" t="str">
        <f t="shared" si="65"/>
        <v/>
      </c>
      <c r="AO80" s="92" t="str">
        <f t="shared" si="66"/>
        <v/>
      </c>
      <c r="AP80" s="92" t="str">
        <f t="shared" si="67"/>
        <v/>
      </c>
      <c r="AQ80" s="92" t="str">
        <f t="shared" si="68"/>
        <v/>
      </c>
      <c r="AR80" s="92" t="str">
        <f t="shared" si="69"/>
        <v/>
      </c>
      <c r="AS80" s="92" t="str">
        <f t="shared" si="70"/>
        <v/>
      </c>
      <c r="AT80" s="92" t="str">
        <f t="shared" si="71"/>
        <v/>
      </c>
      <c r="AU80" s="92" t="str">
        <f t="shared" si="72"/>
        <v/>
      </c>
      <c r="AV80" s="92" t="str">
        <f t="shared" si="73"/>
        <v/>
      </c>
      <c r="AW80" s="92" t="str">
        <f t="shared" si="73"/>
        <v/>
      </c>
      <c r="AX80" s="92" t="str">
        <f t="shared" si="73"/>
        <v/>
      </c>
      <c r="AY80" s="93" t="str">
        <f t="shared" si="74"/>
        <v/>
      </c>
      <c r="AZ80" s="94" t="str">
        <f t="shared" si="75"/>
        <v/>
      </c>
      <c r="BA80" s="95" t="str">
        <f t="shared" si="76"/>
        <v/>
      </c>
      <c r="BB80" s="248" t="s">
        <v>422</v>
      </c>
      <c r="BC80" s="229" t="s">
        <v>433</v>
      </c>
      <c r="BD80" s="249">
        <v>0</v>
      </c>
      <c r="BE80" s="267">
        <f t="shared" si="80"/>
        <v>0</v>
      </c>
      <c r="BF80" s="268">
        <f t="shared" si="77"/>
        <v>0</v>
      </c>
      <c r="BG80" s="268">
        <f t="shared" si="77"/>
        <v>0</v>
      </c>
      <c r="BH80" s="268">
        <f t="shared" si="77"/>
        <v>1</v>
      </c>
      <c r="BI80" s="268">
        <f t="shared" si="77"/>
        <v>2</v>
      </c>
      <c r="BJ80" s="268">
        <f t="shared" si="77"/>
        <v>3</v>
      </c>
      <c r="BK80" s="268">
        <f t="shared" si="77"/>
        <v>4</v>
      </c>
      <c r="BL80" s="269">
        <f t="shared" si="77"/>
        <v>5</v>
      </c>
      <c r="BM80" s="256">
        <f>IF($BC80=Lookup!$A$2,$BD80*ROUNDUP(BE80/10,0)+1,
IF($BC80=Lookup!$A$3,($BD80+1)^BD80,
IF($BC80=Lookup!$A$4,BE80*$BD80+1,"Error")))</f>
        <v>1</v>
      </c>
      <c r="BN80" s="229">
        <f>IF($BC80=Lookup!$A$2,$BD80*ROUNDUP(BF80/10,0)+1,
IF($BC80=Lookup!$A$3,($BD80+1)^BE80,
IF($BC80=Lookup!$A$4,BF80*$BD80+1,"Error")))</f>
        <v>1</v>
      </c>
      <c r="BO80" s="229">
        <f>IF($BC80=Lookup!$A$2,$BD80*ROUNDUP(BG80/10,0)+1,
IF($BC80=Lookup!$A$3,($BD80+1)^BF80,
IF($BC80=Lookup!$A$4,BG80*$BD80+1,"Error")))</f>
        <v>1</v>
      </c>
      <c r="BP80" s="229">
        <f>IF($BC80=Lookup!$A$2,$BD80*ROUNDUP(BH80/10,0)+1,
IF($BC80=Lookup!$A$3,($BD80+1)^BG80,
IF($BC80=Lookup!$A$4,BH80*$BD80+1,"Error")))</f>
        <v>1</v>
      </c>
      <c r="BQ80" s="229">
        <f>IF($BC80=Lookup!$A$2,$BD80*ROUNDUP(BI80/10,0)+1,
IF($BC80=Lookup!$A$3,($BD80+1)^BH80,
IF($BC80=Lookup!$A$4,BI80*$BD80+1,"Error")))</f>
        <v>1</v>
      </c>
      <c r="BR80" s="229">
        <f>IF($BC80=Lookup!$A$2,$BD80*ROUNDUP(BJ80/10,0)+1,
IF($BC80=Lookup!$A$3,($BD80+1)^BI80,
IF($BC80=Lookup!$A$4,BJ80*$BD80+1,"Error")))</f>
        <v>1</v>
      </c>
      <c r="BS80" s="229">
        <f>IF($BC80=Lookup!$A$2,$BD80*ROUNDUP(BK80/10,0)+1,
IF($BC80=Lookup!$A$3,($BD80+1)^BJ80,
IF($BC80=Lookup!$A$4,BK80*$BD80+1,"Error")))</f>
        <v>1</v>
      </c>
      <c r="BT80" s="249">
        <f>IF($BC80=Lookup!$A$2,$BD80*ROUNDUP(BL80/10,0)+1,
IF($BC80=Lookup!$A$3,($BD80+1)^BK80,
IF($BC80=Lookup!$A$4,BL80*$BD80+1,"Error")))</f>
        <v>1</v>
      </c>
      <c r="BU80" s="320">
        <v>0</v>
      </c>
      <c r="BV80" s="321">
        <v>0</v>
      </c>
      <c r="BW80" s="321">
        <v>0</v>
      </c>
      <c r="BX80" s="321">
        <v>0</v>
      </c>
      <c r="BY80" s="321">
        <v>0</v>
      </c>
      <c r="BZ80" s="321">
        <v>0</v>
      </c>
      <c r="CA80" s="321">
        <v>0</v>
      </c>
      <c r="CB80" s="277">
        <v>0</v>
      </c>
      <c r="CC80" s="382" t="s">
        <v>293</v>
      </c>
      <c r="CD80" s="383">
        <f>HLOOKUP($CC80,$AK$6:$AM$132,ROWS(CD$6:CD80),0)</f>
        <v>0</v>
      </c>
      <c r="CE80" s="234">
        <f t="shared" si="81"/>
        <v>0</v>
      </c>
      <c r="CF80" s="96">
        <f t="shared" si="81"/>
        <v>0</v>
      </c>
      <c r="CG80" s="96">
        <f t="shared" si="81"/>
        <v>0</v>
      </c>
      <c r="CH80" s="96">
        <f t="shared" si="81"/>
        <v>0</v>
      </c>
      <c r="CI80" s="96">
        <f t="shared" si="50"/>
        <v>0</v>
      </c>
      <c r="CJ80" s="96">
        <f t="shared" si="50"/>
        <v>0</v>
      </c>
      <c r="CK80" s="96">
        <f t="shared" si="50"/>
        <v>0</v>
      </c>
      <c r="CL80" s="286">
        <f t="shared" si="50"/>
        <v>0</v>
      </c>
      <c r="CM80" s="305" t="s">
        <v>292</v>
      </c>
      <c r="CN80" s="315">
        <v>0.05</v>
      </c>
      <c r="CO80" s="306"/>
      <c r="CP80" s="307" t="str">
        <f>IF($CO80&lt;&gt;"",$CO80,HLOOKUP($CM80,$AY$6:$BA$132,ROWS(CP$6:CP80),0))</f>
        <v/>
      </c>
      <c r="CQ80" s="784" t="str">
        <f t="shared" si="78"/>
        <v/>
      </c>
      <c r="CR80" s="784" t="str">
        <f t="shared" si="78"/>
        <v/>
      </c>
      <c r="CS80" s="97" t="str">
        <f t="shared" si="78"/>
        <v/>
      </c>
      <c r="CT80" s="97" t="str">
        <f t="shared" si="78"/>
        <v/>
      </c>
      <c r="CU80" s="97" t="str">
        <f t="shared" si="78"/>
        <v/>
      </c>
      <c r="CV80" s="97" t="str">
        <f t="shared" si="78"/>
        <v/>
      </c>
      <c r="CW80" s="97" t="str">
        <f t="shared" si="78"/>
        <v/>
      </c>
      <c r="CX80" s="98" t="str">
        <f t="shared" si="32"/>
        <v/>
      </c>
    </row>
    <row r="81" spans="1:102" x14ac:dyDescent="0.25">
      <c r="A81" s="81" t="s">
        <v>138</v>
      </c>
      <c r="B81" s="82" t="s">
        <v>165</v>
      </c>
      <c r="C81" s="83" t="s">
        <v>371</v>
      </c>
      <c r="D81" s="84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85">
        <v>0</v>
      </c>
      <c r="L81" s="85">
        <v>0</v>
      </c>
      <c r="M81" s="654">
        <f>'2022-23 Input'!H81</f>
        <v>0</v>
      </c>
      <c r="N81" s="1065">
        <v>0</v>
      </c>
      <c r="O81" s="560">
        <f t="shared" si="79"/>
        <v>0</v>
      </c>
      <c r="P81" s="561">
        <f t="shared" si="53"/>
        <v>0</v>
      </c>
      <c r="Q81" s="561">
        <f t="shared" si="54"/>
        <v>0</v>
      </c>
      <c r="R81" s="561">
        <f t="shared" si="55"/>
        <v>0</v>
      </c>
      <c r="S81" s="561">
        <f t="shared" si="56"/>
        <v>0</v>
      </c>
      <c r="T81" s="561">
        <f t="shared" si="57"/>
        <v>0</v>
      </c>
      <c r="U81" s="561">
        <f t="shared" si="58"/>
        <v>0</v>
      </c>
      <c r="V81" s="561">
        <f t="shared" si="59"/>
        <v>0</v>
      </c>
      <c r="W81" s="675">
        <f t="shared" si="60"/>
        <v>0</v>
      </c>
      <c r="X81" s="675">
        <f t="shared" si="61"/>
        <v>0</v>
      </c>
      <c r="Y81" s="675">
        <f t="shared" si="61"/>
        <v>0</v>
      </c>
      <c r="Z81" s="86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87">
        <v>0</v>
      </c>
      <c r="AI81" s="1094">
        <f>'2022-23 Input'!O81</f>
        <v>0</v>
      </c>
      <c r="AJ81" s="665">
        <v>0</v>
      </c>
      <c r="AK81" s="88">
        <f t="shared" si="62"/>
        <v>0</v>
      </c>
      <c r="AL81" s="89">
        <f t="shared" si="63"/>
        <v>0</v>
      </c>
      <c r="AM81" s="90">
        <f t="shared" si="64"/>
        <v>0</v>
      </c>
      <c r="AN81" s="91" t="str">
        <f t="shared" si="65"/>
        <v/>
      </c>
      <c r="AO81" s="92" t="str">
        <f t="shared" si="66"/>
        <v/>
      </c>
      <c r="AP81" s="92" t="str">
        <f t="shared" si="67"/>
        <v/>
      </c>
      <c r="AQ81" s="92" t="str">
        <f t="shared" si="68"/>
        <v/>
      </c>
      <c r="AR81" s="92" t="str">
        <f t="shared" si="69"/>
        <v/>
      </c>
      <c r="AS81" s="92" t="str">
        <f t="shared" si="70"/>
        <v/>
      </c>
      <c r="AT81" s="92" t="str">
        <f t="shared" si="71"/>
        <v/>
      </c>
      <c r="AU81" s="92" t="str">
        <f t="shared" si="72"/>
        <v/>
      </c>
      <c r="AV81" s="92" t="str">
        <f t="shared" si="73"/>
        <v/>
      </c>
      <c r="AW81" s="92" t="str">
        <f t="shared" si="73"/>
        <v/>
      </c>
      <c r="AX81" s="92" t="str">
        <f t="shared" si="73"/>
        <v/>
      </c>
      <c r="AY81" s="93" t="str">
        <f t="shared" si="74"/>
        <v/>
      </c>
      <c r="AZ81" s="94" t="str">
        <f t="shared" si="75"/>
        <v/>
      </c>
      <c r="BA81" s="95" t="str">
        <f t="shared" si="76"/>
        <v/>
      </c>
      <c r="BB81" s="248" t="s">
        <v>422</v>
      </c>
      <c r="BC81" s="229" t="s">
        <v>433</v>
      </c>
      <c r="BD81" s="249">
        <v>0</v>
      </c>
      <c r="BE81" s="267">
        <f t="shared" si="80"/>
        <v>0</v>
      </c>
      <c r="BF81" s="268">
        <f t="shared" si="77"/>
        <v>0</v>
      </c>
      <c r="BG81" s="268">
        <f t="shared" si="77"/>
        <v>0</v>
      </c>
      <c r="BH81" s="268">
        <f t="shared" si="77"/>
        <v>1</v>
      </c>
      <c r="BI81" s="268">
        <f t="shared" si="77"/>
        <v>2</v>
      </c>
      <c r="BJ81" s="268">
        <f t="shared" si="77"/>
        <v>3</v>
      </c>
      <c r="BK81" s="268">
        <f t="shared" si="77"/>
        <v>4</v>
      </c>
      <c r="BL81" s="269">
        <f t="shared" si="77"/>
        <v>5</v>
      </c>
      <c r="BM81" s="256">
        <f>IF($BC81=Lookup!$A$2,$BD81*ROUNDUP(BE81/10,0)+1,
IF($BC81=Lookup!$A$3,($BD81+1)^BD81,
IF($BC81=Lookup!$A$4,BE81*$BD81+1,"Error")))</f>
        <v>1</v>
      </c>
      <c r="BN81" s="229">
        <f>IF($BC81=Lookup!$A$2,$BD81*ROUNDUP(BF81/10,0)+1,
IF($BC81=Lookup!$A$3,($BD81+1)^BE81,
IF($BC81=Lookup!$A$4,BF81*$BD81+1,"Error")))</f>
        <v>1</v>
      </c>
      <c r="BO81" s="229">
        <f>IF($BC81=Lookup!$A$2,$BD81*ROUNDUP(BG81/10,0)+1,
IF($BC81=Lookup!$A$3,($BD81+1)^BF81,
IF($BC81=Lookup!$A$4,BG81*$BD81+1,"Error")))</f>
        <v>1</v>
      </c>
      <c r="BP81" s="229">
        <f>IF($BC81=Lookup!$A$2,$BD81*ROUNDUP(BH81/10,0)+1,
IF($BC81=Lookup!$A$3,($BD81+1)^BG81,
IF($BC81=Lookup!$A$4,BH81*$BD81+1,"Error")))</f>
        <v>1</v>
      </c>
      <c r="BQ81" s="229">
        <f>IF($BC81=Lookup!$A$2,$BD81*ROUNDUP(BI81/10,0)+1,
IF($BC81=Lookup!$A$3,($BD81+1)^BH81,
IF($BC81=Lookup!$A$4,BI81*$BD81+1,"Error")))</f>
        <v>1</v>
      </c>
      <c r="BR81" s="229">
        <f>IF($BC81=Lookup!$A$2,$BD81*ROUNDUP(BJ81/10,0)+1,
IF($BC81=Lookup!$A$3,($BD81+1)^BI81,
IF($BC81=Lookup!$A$4,BJ81*$BD81+1,"Error")))</f>
        <v>1</v>
      </c>
      <c r="BS81" s="229">
        <f>IF($BC81=Lookup!$A$2,$BD81*ROUNDUP(BK81/10,0)+1,
IF($BC81=Lookup!$A$3,($BD81+1)^BJ81,
IF($BC81=Lookup!$A$4,BK81*$BD81+1,"Error")))</f>
        <v>1</v>
      </c>
      <c r="BT81" s="249">
        <f>IF($BC81=Lookup!$A$2,$BD81*ROUNDUP(BL81/10,0)+1,
IF($BC81=Lookup!$A$3,($BD81+1)^BK81,
IF($BC81=Lookup!$A$4,BL81*$BD81+1,"Error")))</f>
        <v>1</v>
      </c>
      <c r="BU81" s="320">
        <v>0</v>
      </c>
      <c r="BV81" s="321">
        <v>0</v>
      </c>
      <c r="BW81" s="321">
        <v>0</v>
      </c>
      <c r="BX81" s="321">
        <v>0</v>
      </c>
      <c r="BY81" s="321">
        <v>0</v>
      </c>
      <c r="BZ81" s="321">
        <v>0</v>
      </c>
      <c r="CA81" s="321">
        <v>0</v>
      </c>
      <c r="CB81" s="277">
        <v>0</v>
      </c>
      <c r="CC81" s="382" t="s">
        <v>293</v>
      </c>
      <c r="CD81" s="383">
        <f>HLOOKUP($CC81,$AK$6:$AM$132,ROWS(CD$6:CD81),0)</f>
        <v>0</v>
      </c>
      <c r="CE81" s="234">
        <f t="shared" si="81"/>
        <v>0</v>
      </c>
      <c r="CF81" s="96">
        <f t="shared" si="81"/>
        <v>0</v>
      </c>
      <c r="CG81" s="96">
        <f t="shared" si="81"/>
        <v>0</v>
      </c>
      <c r="CH81" s="96">
        <f t="shared" si="81"/>
        <v>0</v>
      </c>
      <c r="CI81" s="96">
        <f t="shared" si="50"/>
        <v>0</v>
      </c>
      <c r="CJ81" s="96">
        <f t="shared" si="50"/>
        <v>0</v>
      </c>
      <c r="CK81" s="96">
        <f t="shared" si="50"/>
        <v>0</v>
      </c>
      <c r="CL81" s="286">
        <f t="shared" si="50"/>
        <v>0</v>
      </c>
      <c r="CM81" s="305" t="s">
        <v>292</v>
      </c>
      <c r="CN81" s="315">
        <v>0.05</v>
      </c>
      <c r="CO81" s="306"/>
      <c r="CP81" s="307" t="str">
        <f>IF($CO81&lt;&gt;"",$CO81,HLOOKUP($CM81,$AY$6:$BA$132,ROWS(CP$6:CP81),0))</f>
        <v/>
      </c>
      <c r="CQ81" s="784" t="str">
        <f t="shared" si="78"/>
        <v/>
      </c>
      <c r="CR81" s="784" t="str">
        <f t="shared" si="78"/>
        <v/>
      </c>
      <c r="CS81" s="97" t="str">
        <f t="shared" si="78"/>
        <v/>
      </c>
      <c r="CT81" s="97" t="str">
        <f t="shared" si="78"/>
        <v/>
      </c>
      <c r="CU81" s="97" t="str">
        <f t="shared" si="78"/>
        <v/>
      </c>
      <c r="CV81" s="97" t="str">
        <f t="shared" si="78"/>
        <v/>
      </c>
      <c r="CW81" s="97" t="str">
        <f t="shared" si="78"/>
        <v/>
      </c>
      <c r="CX81" s="98" t="str">
        <f t="shared" si="32"/>
        <v/>
      </c>
    </row>
    <row r="82" spans="1:102" x14ac:dyDescent="0.25">
      <c r="A82" s="81" t="s">
        <v>138</v>
      </c>
      <c r="B82" s="82" t="s">
        <v>167</v>
      </c>
      <c r="C82" s="83" t="s">
        <v>372</v>
      </c>
      <c r="D82" s="84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85">
        <v>0</v>
      </c>
      <c r="L82" s="85">
        <v>0</v>
      </c>
      <c r="M82" s="654">
        <f>'2022-23 Input'!H82</f>
        <v>0</v>
      </c>
      <c r="N82" s="1065">
        <v>0</v>
      </c>
      <c r="O82" s="560">
        <f t="shared" si="79"/>
        <v>0</v>
      </c>
      <c r="P82" s="561">
        <f t="shared" si="53"/>
        <v>0</v>
      </c>
      <c r="Q82" s="561">
        <f t="shared" si="54"/>
        <v>0</v>
      </c>
      <c r="R82" s="561">
        <f t="shared" si="55"/>
        <v>0</v>
      </c>
      <c r="S82" s="561">
        <f t="shared" si="56"/>
        <v>0</v>
      </c>
      <c r="T82" s="561">
        <f t="shared" si="57"/>
        <v>0</v>
      </c>
      <c r="U82" s="561">
        <f t="shared" si="58"/>
        <v>0</v>
      </c>
      <c r="V82" s="561">
        <f t="shared" si="59"/>
        <v>0</v>
      </c>
      <c r="W82" s="675">
        <f t="shared" si="60"/>
        <v>0</v>
      </c>
      <c r="X82" s="675">
        <f t="shared" si="61"/>
        <v>0</v>
      </c>
      <c r="Y82" s="675">
        <f t="shared" si="61"/>
        <v>0</v>
      </c>
      <c r="Z82" s="86">
        <v>0</v>
      </c>
      <c r="AA82" s="87">
        <v>0</v>
      </c>
      <c r="AB82" s="87">
        <v>0</v>
      </c>
      <c r="AC82" s="87">
        <v>0</v>
      </c>
      <c r="AD82" s="87">
        <v>0</v>
      </c>
      <c r="AE82" s="87">
        <v>0</v>
      </c>
      <c r="AF82" s="87">
        <v>0</v>
      </c>
      <c r="AG82" s="87">
        <v>0</v>
      </c>
      <c r="AH82" s="87">
        <v>0</v>
      </c>
      <c r="AI82" s="1094">
        <f>'2022-23 Input'!O82</f>
        <v>0</v>
      </c>
      <c r="AJ82" s="665">
        <v>0</v>
      </c>
      <c r="AK82" s="88">
        <f t="shared" si="62"/>
        <v>0</v>
      </c>
      <c r="AL82" s="89">
        <f t="shared" si="63"/>
        <v>0</v>
      </c>
      <c r="AM82" s="90">
        <f t="shared" si="64"/>
        <v>0</v>
      </c>
      <c r="AN82" s="91" t="str">
        <f t="shared" si="65"/>
        <v/>
      </c>
      <c r="AO82" s="92" t="str">
        <f t="shared" si="66"/>
        <v/>
      </c>
      <c r="AP82" s="92" t="str">
        <f t="shared" si="67"/>
        <v/>
      </c>
      <c r="AQ82" s="92" t="str">
        <f t="shared" si="68"/>
        <v/>
      </c>
      <c r="AR82" s="92" t="str">
        <f t="shared" si="69"/>
        <v/>
      </c>
      <c r="AS82" s="92" t="str">
        <f t="shared" si="70"/>
        <v/>
      </c>
      <c r="AT82" s="92" t="str">
        <f t="shared" si="71"/>
        <v/>
      </c>
      <c r="AU82" s="92" t="str">
        <f t="shared" si="72"/>
        <v/>
      </c>
      <c r="AV82" s="92" t="str">
        <f t="shared" si="73"/>
        <v/>
      </c>
      <c r="AW82" s="92" t="str">
        <f t="shared" si="73"/>
        <v/>
      </c>
      <c r="AX82" s="92" t="str">
        <f t="shared" si="73"/>
        <v/>
      </c>
      <c r="AY82" s="93" t="str">
        <f t="shared" si="74"/>
        <v/>
      </c>
      <c r="AZ82" s="94" t="str">
        <f t="shared" si="75"/>
        <v/>
      </c>
      <c r="BA82" s="95" t="str">
        <f t="shared" si="76"/>
        <v/>
      </c>
      <c r="BB82" s="248" t="s">
        <v>422</v>
      </c>
      <c r="BC82" s="229" t="s">
        <v>433</v>
      </c>
      <c r="BD82" s="249">
        <v>0</v>
      </c>
      <c r="BE82" s="267">
        <f t="shared" si="80"/>
        <v>0</v>
      </c>
      <c r="BF82" s="268">
        <f t="shared" si="77"/>
        <v>0</v>
      </c>
      <c r="BG82" s="268">
        <f t="shared" si="77"/>
        <v>0</v>
      </c>
      <c r="BH82" s="268">
        <f t="shared" si="77"/>
        <v>1</v>
      </c>
      <c r="BI82" s="268">
        <f t="shared" si="77"/>
        <v>2</v>
      </c>
      <c r="BJ82" s="268">
        <f t="shared" si="77"/>
        <v>3</v>
      </c>
      <c r="BK82" s="268">
        <f t="shared" si="77"/>
        <v>4</v>
      </c>
      <c r="BL82" s="269">
        <f t="shared" si="77"/>
        <v>5</v>
      </c>
      <c r="BM82" s="256">
        <f>IF($BC82=Lookup!$A$2,$BD82*ROUNDUP(BE82/10,0)+1,
IF($BC82=Lookup!$A$3,($BD82+1)^BD82,
IF($BC82=Lookup!$A$4,BE82*$BD82+1,"Error")))</f>
        <v>1</v>
      </c>
      <c r="BN82" s="229">
        <f>IF($BC82=Lookup!$A$2,$BD82*ROUNDUP(BF82/10,0)+1,
IF($BC82=Lookup!$A$3,($BD82+1)^BE82,
IF($BC82=Lookup!$A$4,BF82*$BD82+1,"Error")))</f>
        <v>1</v>
      </c>
      <c r="BO82" s="229">
        <f>IF($BC82=Lookup!$A$2,$BD82*ROUNDUP(BG82/10,0)+1,
IF($BC82=Lookup!$A$3,($BD82+1)^BF82,
IF($BC82=Lookup!$A$4,BG82*$BD82+1,"Error")))</f>
        <v>1</v>
      </c>
      <c r="BP82" s="229">
        <f>IF($BC82=Lookup!$A$2,$BD82*ROUNDUP(BH82/10,0)+1,
IF($BC82=Lookup!$A$3,($BD82+1)^BG82,
IF($BC82=Lookup!$A$4,BH82*$BD82+1,"Error")))</f>
        <v>1</v>
      </c>
      <c r="BQ82" s="229">
        <f>IF($BC82=Lookup!$A$2,$BD82*ROUNDUP(BI82/10,0)+1,
IF($BC82=Lookup!$A$3,($BD82+1)^BH82,
IF($BC82=Lookup!$A$4,BI82*$BD82+1,"Error")))</f>
        <v>1</v>
      </c>
      <c r="BR82" s="229">
        <f>IF($BC82=Lookup!$A$2,$BD82*ROUNDUP(BJ82/10,0)+1,
IF($BC82=Lookup!$A$3,($BD82+1)^BI82,
IF($BC82=Lookup!$A$4,BJ82*$BD82+1,"Error")))</f>
        <v>1</v>
      </c>
      <c r="BS82" s="229">
        <f>IF($BC82=Lookup!$A$2,$BD82*ROUNDUP(BK82/10,0)+1,
IF($BC82=Lookup!$A$3,($BD82+1)^BJ82,
IF($BC82=Lookup!$A$4,BK82*$BD82+1,"Error")))</f>
        <v>1</v>
      </c>
      <c r="BT82" s="249">
        <f>IF($BC82=Lookup!$A$2,$BD82*ROUNDUP(BL82/10,0)+1,
IF($BC82=Lookup!$A$3,($BD82+1)^BK82,
IF($BC82=Lookup!$A$4,BL82*$BD82+1,"Error")))</f>
        <v>1</v>
      </c>
      <c r="BU82" s="320">
        <v>0</v>
      </c>
      <c r="BV82" s="321">
        <v>0</v>
      </c>
      <c r="BW82" s="321">
        <v>0</v>
      </c>
      <c r="BX82" s="321">
        <v>0</v>
      </c>
      <c r="BY82" s="321">
        <v>0</v>
      </c>
      <c r="BZ82" s="321">
        <v>0</v>
      </c>
      <c r="CA82" s="321">
        <v>0</v>
      </c>
      <c r="CB82" s="277">
        <v>0</v>
      </c>
      <c r="CC82" s="382" t="s">
        <v>293</v>
      </c>
      <c r="CD82" s="383">
        <f>HLOOKUP($CC82,$AK$6:$AM$132,ROWS(CD$6:CD82),0)</f>
        <v>0</v>
      </c>
      <c r="CE82" s="234">
        <f t="shared" si="81"/>
        <v>0</v>
      </c>
      <c r="CF82" s="96">
        <f t="shared" si="81"/>
        <v>0</v>
      </c>
      <c r="CG82" s="96">
        <f t="shared" si="81"/>
        <v>0</v>
      </c>
      <c r="CH82" s="96">
        <f t="shared" si="81"/>
        <v>0</v>
      </c>
      <c r="CI82" s="96">
        <f t="shared" si="50"/>
        <v>0</v>
      </c>
      <c r="CJ82" s="96">
        <f t="shared" si="50"/>
        <v>0</v>
      </c>
      <c r="CK82" s="96">
        <f t="shared" si="50"/>
        <v>0</v>
      </c>
      <c r="CL82" s="286">
        <f t="shared" si="50"/>
        <v>0</v>
      </c>
      <c r="CM82" s="305" t="s">
        <v>292</v>
      </c>
      <c r="CN82" s="315">
        <v>0.05</v>
      </c>
      <c r="CO82" s="306"/>
      <c r="CP82" s="307" t="str">
        <f>IF($CO82&lt;&gt;"",$CO82,HLOOKUP($CM82,$AY$6:$BA$132,ROWS(CP$6:CP82),0))</f>
        <v/>
      </c>
      <c r="CQ82" s="784" t="str">
        <f t="shared" si="78"/>
        <v/>
      </c>
      <c r="CR82" s="784" t="str">
        <f t="shared" si="78"/>
        <v/>
      </c>
      <c r="CS82" s="97" t="str">
        <f t="shared" si="78"/>
        <v/>
      </c>
      <c r="CT82" s="97" t="str">
        <f t="shared" si="78"/>
        <v/>
      </c>
      <c r="CU82" s="97" t="str">
        <f t="shared" si="78"/>
        <v/>
      </c>
      <c r="CV82" s="97" t="str">
        <f t="shared" si="78"/>
        <v/>
      </c>
      <c r="CW82" s="97" t="str">
        <f t="shared" si="78"/>
        <v/>
      </c>
      <c r="CX82" s="98" t="str">
        <f t="shared" si="32"/>
        <v/>
      </c>
    </row>
    <row r="83" spans="1:102" x14ac:dyDescent="0.25">
      <c r="A83" s="81" t="s">
        <v>138</v>
      </c>
      <c r="B83" s="82" t="s">
        <v>169</v>
      </c>
      <c r="C83" s="83" t="s">
        <v>373</v>
      </c>
      <c r="D83" s="84">
        <v>0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654">
        <f>'2022-23 Input'!H83</f>
        <v>0</v>
      </c>
      <c r="N83" s="1065">
        <v>0</v>
      </c>
      <c r="O83" s="560">
        <f t="shared" si="79"/>
        <v>0</v>
      </c>
      <c r="P83" s="561">
        <f t="shared" si="53"/>
        <v>0</v>
      </c>
      <c r="Q83" s="561">
        <f t="shared" si="54"/>
        <v>0</v>
      </c>
      <c r="R83" s="561">
        <f t="shared" si="55"/>
        <v>0</v>
      </c>
      <c r="S83" s="561">
        <f t="shared" si="56"/>
        <v>0</v>
      </c>
      <c r="T83" s="561">
        <f t="shared" si="57"/>
        <v>0</v>
      </c>
      <c r="U83" s="561">
        <f t="shared" si="58"/>
        <v>0</v>
      </c>
      <c r="V83" s="561">
        <f t="shared" si="59"/>
        <v>0</v>
      </c>
      <c r="W83" s="675">
        <f t="shared" si="60"/>
        <v>0</v>
      </c>
      <c r="X83" s="675">
        <f t="shared" si="61"/>
        <v>0</v>
      </c>
      <c r="Y83" s="675">
        <f t="shared" si="61"/>
        <v>0</v>
      </c>
      <c r="Z83" s="86">
        <v>0</v>
      </c>
      <c r="AA83" s="87">
        <v>0</v>
      </c>
      <c r="AB83" s="87">
        <v>0</v>
      </c>
      <c r="AC83" s="87">
        <v>0</v>
      </c>
      <c r="AD83" s="87">
        <v>0</v>
      </c>
      <c r="AE83" s="87">
        <v>0</v>
      </c>
      <c r="AF83" s="87">
        <v>0</v>
      </c>
      <c r="AG83" s="87">
        <v>0</v>
      </c>
      <c r="AH83" s="87">
        <v>0</v>
      </c>
      <c r="AI83" s="1094">
        <f>'2022-23 Input'!O83</f>
        <v>0</v>
      </c>
      <c r="AJ83" s="665">
        <v>0</v>
      </c>
      <c r="AK83" s="88">
        <f t="shared" si="62"/>
        <v>0</v>
      </c>
      <c r="AL83" s="89">
        <f t="shared" si="63"/>
        <v>0</v>
      </c>
      <c r="AM83" s="90">
        <f t="shared" si="64"/>
        <v>0</v>
      </c>
      <c r="AN83" s="91" t="str">
        <f t="shared" si="65"/>
        <v/>
      </c>
      <c r="AO83" s="92" t="str">
        <f t="shared" si="66"/>
        <v/>
      </c>
      <c r="AP83" s="92" t="str">
        <f t="shared" si="67"/>
        <v/>
      </c>
      <c r="AQ83" s="92" t="str">
        <f t="shared" si="68"/>
        <v/>
      </c>
      <c r="AR83" s="92" t="str">
        <f t="shared" si="69"/>
        <v/>
      </c>
      <c r="AS83" s="92" t="str">
        <f t="shared" si="70"/>
        <v/>
      </c>
      <c r="AT83" s="92" t="str">
        <f t="shared" si="71"/>
        <v/>
      </c>
      <c r="AU83" s="92" t="str">
        <f t="shared" si="72"/>
        <v/>
      </c>
      <c r="AV83" s="92" t="str">
        <f t="shared" si="73"/>
        <v/>
      </c>
      <c r="AW83" s="92" t="str">
        <f t="shared" si="73"/>
        <v/>
      </c>
      <c r="AX83" s="92" t="str">
        <f t="shared" si="73"/>
        <v/>
      </c>
      <c r="AY83" s="93" t="str">
        <f t="shared" si="74"/>
        <v/>
      </c>
      <c r="AZ83" s="94" t="str">
        <f t="shared" si="75"/>
        <v/>
      </c>
      <c r="BA83" s="95" t="str">
        <f t="shared" si="76"/>
        <v/>
      </c>
      <c r="BB83" s="248" t="s">
        <v>422</v>
      </c>
      <c r="BC83" s="229" t="s">
        <v>433</v>
      </c>
      <c r="BD83" s="249">
        <v>0</v>
      </c>
      <c r="BE83" s="267">
        <f t="shared" si="80"/>
        <v>0</v>
      </c>
      <c r="BF83" s="268">
        <f t="shared" si="77"/>
        <v>0</v>
      </c>
      <c r="BG83" s="268">
        <f t="shared" si="77"/>
        <v>0</v>
      </c>
      <c r="BH83" s="268">
        <f t="shared" si="77"/>
        <v>1</v>
      </c>
      <c r="BI83" s="268">
        <f t="shared" si="77"/>
        <v>2</v>
      </c>
      <c r="BJ83" s="268">
        <f t="shared" si="77"/>
        <v>3</v>
      </c>
      <c r="BK83" s="268">
        <f t="shared" si="77"/>
        <v>4</v>
      </c>
      <c r="BL83" s="269">
        <f t="shared" si="77"/>
        <v>5</v>
      </c>
      <c r="BM83" s="256">
        <f>IF($BC83=Lookup!$A$2,$BD83*ROUNDUP(BE83/10,0)+1,
IF($BC83=Lookup!$A$3,($BD83+1)^BD83,
IF($BC83=Lookup!$A$4,BE83*$BD83+1,"Error")))</f>
        <v>1</v>
      </c>
      <c r="BN83" s="229">
        <f>IF($BC83=Lookup!$A$2,$BD83*ROUNDUP(BF83/10,0)+1,
IF($BC83=Lookup!$A$3,($BD83+1)^BE83,
IF($BC83=Lookup!$A$4,BF83*$BD83+1,"Error")))</f>
        <v>1</v>
      </c>
      <c r="BO83" s="229">
        <f>IF($BC83=Lookup!$A$2,$BD83*ROUNDUP(BG83/10,0)+1,
IF($BC83=Lookup!$A$3,($BD83+1)^BF83,
IF($BC83=Lookup!$A$4,BG83*$BD83+1,"Error")))</f>
        <v>1</v>
      </c>
      <c r="BP83" s="229">
        <f>IF($BC83=Lookup!$A$2,$BD83*ROUNDUP(BH83/10,0)+1,
IF($BC83=Lookup!$A$3,($BD83+1)^BG83,
IF($BC83=Lookup!$A$4,BH83*$BD83+1,"Error")))</f>
        <v>1</v>
      </c>
      <c r="BQ83" s="229">
        <f>IF($BC83=Lookup!$A$2,$BD83*ROUNDUP(BI83/10,0)+1,
IF($BC83=Lookup!$A$3,($BD83+1)^BH83,
IF($BC83=Lookup!$A$4,BI83*$BD83+1,"Error")))</f>
        <v>1</v>
      </c>
      <c r="BR83" s="229">
        <f>IF($BC83=Lookup!$A$2,$BD83*ROUNDUP(BJ83/10,0)+1,
IF($BC83=Lookup!$A$3,($BD83+1)^BI83,
IF($BC83=Lookup!$A$4,BJ83*$BD83+1,"Error")))</f>
        <v>1</v>
      </c>
      <c r="BS83" s="229">
        <f>IF($BC83=Lookup!$A$2,$BD83*ROUNDUP(BK83/10,0)+1,
IF($BC83=Lookup!$A$3,($BD83+1)^BJ83,
IF($BC83=Lookup!$A$4,BK83*$BD83+1,"Error")))</f>
        <v>1</v>
      </c>
      <c r="BT83" s="249">
        <f>IF($BC83=Lookup!$A$2,$BD83*ROUNDUP(BL83/10,0)+1,
IF($BC83=Lookup!$A$3,($BD83+1)^BK83,
IF($BC83=Lookup!$A$4,BL83*$BD83+1,"Error")))</f>
        <v>1</v>
      </c>
      <c r="BU83" s="320">
        <v>0</v>
      </c>
      <c r="BV83" s="321">
        <v>0</v>
      </c>
      <c r="BW83" s="321">
        <v>0</v>
      </c>
      <c r="BX83" s="321">
        <v>0</v>
      </c>
      <c r="BY83" s="321">
        <v>0</v>
      </c>
      <c r="BZ83" s="321">
        <v>0</v>
      </c>
      <c r="CA83" s="321">
        <v>0</v>
      </c>
      <c r="CB83" s="277">
        <v>0</v>
      </c>
      <c r="CC83" s="382" t="s">
        <v>293</v>
      </c>
      <c r="CD83" s="383">
        <f>HLOOKUP($CC83,$AK$6:$AM$132,ROWS(CD$6:CD83),0)</f>
        <v>0</v>
      </c>
      <c r="CE83" s="234">
        <f t="shared" si="81"/>
        <v>0</v>
      </c>
      <c r="CF83" s="96">
        <f t="shared" si="81"/>
        <v>0</v>
      </c>
      <c r="CG83" s="96">
        <f t="shared" si="81"/>
        <v>0</v>
      </c>
      <c r="CH83" s="96">
        <f t="shared" si="81"/>
        <v>0</v>
      </c>
      <c r="CI83" s="96">
        <f t="shared" si="50"/>
        <v>0</v>
      </c>
      <c r="CJ83" s="96">
        <f t="shared" si="50"/>
        <v>0</v>
      </c>
      <c r="CK83" s="96">
        <f t="shared" si="50"/>
        <v>0</v>
      </c>
      <c r="CL83" s="286">
        <f t="shared" si="50"/>
        <v>0</v>
      </c>
      <c r="CM83" s="305" t="s">
        <v>292</v>
      </c>
      <c r="CN83" s="315">
        <v>0.05</v>
      </c>
      <c r="CO83" s="306"/>
      <c r="CP83" s="307" t="str">
        <f>IF($CO83&lt;&gt;"",$CO83,HLOOKUP($CM83,$AY$6:$BA$132,ROWS(CP$6:CP83),0))</f>
        <v/>
      </c>
      <c r="CQ83" s="784" t="str">
        <f t="shared" si="78"/>
        <v/>
      </c>
      <c r="CR83" s="784" t="str">
        <f t="shared" si="78"/>
        <v/>
      </c>
      <c r="CS83" s="97" t="str">
        <f t="shared" si="78"/>
        <v/>
      </c>
      <c r="CT83" s="97" t="str">
        <f t="shared" si="78"/>
        <v/>
      </c>
      <c r="CU83" s="97" t="str">
        <f t="shared" si="78"/>
        <v/>
      </c>
      <c r="CV83" s="97" t="str">
        <f t="shared" si="78"/>
        <v/>
      </c>
      <c r="CW83" s="97" t="str">
        <f t="shared" si="78"/>
        <v/>
      </c>
      <c r="CX83" s="98" t="str">
        <f t="shared" si="32"/>
        <v/>
      </c>
    </row>
    <row r="84" spans="1:102" x14ac:dyDescent="0.25">
      <c r="A84" s="81" t="s">
        <v>138</v>
      </c>
      <c r="B84" s="82" t="s">
        <v>171</v>
      </c>
      <c r="C84" s="83" t="s">
        <v>374</v>
      </c>
      <c r="D84" s="84">
        <v>0</v>
      </c>
      <c r="E84" s="85">
        <v>0</v>
      </c>
      <c r="F84" s="85">
        <v>0</v>
      </c>
      <c r="G84" s="85">
        <v>0</v>
      </c>
      <c r="H84" s="85">
        <v>0</v>
      </c>
      <c r="I84" s="85">
        <v>0</v>
      </c>
      <c r="J84" s="85">
        <v>0</v>
      </c>
      <c r="K84" s="85">
        <v>0</v>
      </c>
      <c r="L84" s="85">
        <v>0</v>
      </c>
      <c r="M84" s="654">
        <f>'2022-23 Input'!H84</f>
        <v>0</v>
      </c>
      <c r="N84" s="1065">
        <v>0</v>
      </c>
      <c r="O84" s="560">
        <f t="shared" si="79"/>
        <v>0</v>
      </c>
      <c r="P84" s="561">
        <f t="shared" si="53"/>
        <v>0</v>
      </c>
      <c r="Q84" s="561">
        <f t="shared" si="54"/>
        <v>0</v>
      </c>
      <c r="R84" s="561">
        <f t="shared" si="55"/>
        <v>0</v>
      </c>
      <c r="S84" s="561">
        <f t="shared" si="56"/>
        <v>0</v>
      </c>
      <c r="T84" s="561">
        <f t="shared" si="57"/>
        <v>0</v>
      </c>
      <c r="U84" s="561">
        <f t="shared" si="58"/>
        <v>0</v>
      </c>
      <c r="V84" s="561">
        <f t="shared" si="59"/>
        <v>0</v>
      </c>
      <c r="W84" s="675">
        <f t="shared" si="60"/>
        <v>0</v>
      </c>
      <c r="X84" s="675">
        <f t="shared" si="61"/>
        <v>0</v>
      </c>
      <c r="Y84" s="675">
        <f t="shared" si="61"/>
        <v>0</v>
      </c>
      <c r="Z84" s="86">
        <v>0</v>
      </c>
      <c r="AA84" s="87">
        <v>0</v>
      </c>
      <c r="AB84" s="87">
        <v>0</v>
      </c>
      <c r="AC84" s="87">
        <v>0</v>
      </c>
      <c r="AD84" s="87">
        <v>0</v>
      </c>
      <c r="AE84" s="87">
        <v>0</v>
      </c>
      <c r="AF84" s="87">
        <v>0</v>
      </c>
      <c r="AG84" s="87">
        <v>0</v>
      </c>
      <c r="AH84" s="87">
        <v>0</v>
      </c>
      <c r="AI84" s="1094">
        <f>'2022-23 Input'!O84</f>
        <v>0</v>
      </c>
      <c r="AJ84" s="665">
        <v>0</v>
      </c>
      <c r="AK84" s="88">
        <f t="shared" si="62"/>
        <v>0</v>
      </c>
      <c r="AL84" s="89">
        <f t="shared" si="63"/>
        <v>0</v>
      </c>
      <c r="AM84" s="90">
        <f t="shared" si="64"/>
        <v>0</v>
      </c>
      <c r="AN84" s="91" t="str">
        <f t="shared" si="65"/>
        <v/>
      </c>
      <c r="AO84" s="92" t="str">
        <f t="shared" si="66"/>
        <v/>
      </c>
      <c r="AP84" s="92" t="str">
        <f t="shared" si="67"/>
        <v/>
      </c>
      <c r="AQ84" s="92" t="str">
        <f t="shared" si="68"/>
        <v/>
      </c>
      <c r="AR84" s="92" t="str">
        <f t="shared" si="69"/>
        <v/>
      </c>
      <c r="AS84" s="92" t="str">
        <f t="shared" si="70"/>
        <v/>
      </c>
      <c r="AT84" s="92" t="str">
        <f t="shared" si="71"/>
        <v/>
      </c>
      <c r="AU84" s="92" t="str">
        <f t="shared" si="72"/>
        <v/>
      </c>
      <c r="AV84" s="92" t="str">
        <f t="shared" si="73"/>
        <v/>
      </c>
      <c r="AW84" s="92" t="str">
        <f t="shared" si="73"/>
        <v/>
      </c>
      <c r="AX84" s="92" t="str">
        <f t="shared" si="73"/>
        <v/>
      </c>
      <c r="AY84" s="93" t="str">
        <f t="shared" si="74"/>
        <v/>
      </c>
      <c r="AZ84" s="94" t="str">
        <f t="shared" si="75"/>
        <v/>
      </c>
      <c r="BA84" s="95" t="str">
        <f t="shared" si="76"/>
        <v/>
      </c>
      <c r="BB84" s="248" t="s">
        <v>422</v>
      </c>
      <c r="BC84" s="229" t="s">
        <v>433</v>
      </c>
      <c r="BD84" s="249">
        <v>0</v>
      </c>
      <c r="BE84" s="267">
        <f t="shared" si="80"/>
        <v>0</v>
      </c>
      <c r="BF84" s="268">
        <f t="shared" si="77"/>
        <v>0</v>
      </c>
      <c r="BG84" s="268">
        <f t="shared" si="77"/>
        <v>0</v>
      </c>
      <c r="BH84" s="268">
        <f t="shared" si="77"/>
        <v>1</v>
      </c>
      <c r="BI84" s="268">
        <f t="shared" si="77"/>
        <v>2</v>
      </c>
      <c r="BJ84" s="268">
        <f t="shared" si="77"/>
        <v>3</v>
      </c>
      <c r="BK84" s="268">
        <f t="shared" si="77"/>
        <v>4</v>
      </c>
      <c r="BL84" s="269">
        <f t="shared" si="77"/>
        <v>5</v>
      </c>
      <c r="BM84" s="256">
        <f>IF($BC84=Lookup!$A$2,$BD84*ROUNDUP(BE84/10,0)+1,
IF($BC84=Lookup!$A$3,($BD84+1)^BD84,
IF($BC84=Lookup!$A$4,BE84*$BD84+1,"Error")))</f>
        <v>1</v>
      </c>
      <c r="BN84" s="229">
        <f>IF($BC84=Lookup!$A$2,$BD84*ROUNDUP(BF84/10,0)+1,
IF($BC84=Lookup!$A$3,($BD84+1)^BE84,
IF($BC84=Lookup!$A$4,BF84*$BD84+1,"Error")))</f>
        <v>1</v>
      </c>
      <c r="BO84" s="229">
        <f>IF($BC84=Lookup!$A$2,$BD84*ROUNDUP(BG84/10,0)+1,
IF($BC84=Lookup!$A$3,($BD84+1)^BF84,
IF($BC84=Lookup!$A$4,BG84*$BD84+1,"Error")))</f>
        <v>1</v>
      </c>
      <c r="BP84" s="229">
        <f>IF($BC84=Lookup!$A$2,$BD84*ROUNDUP(BH84/10,0)+1,
IF($BC84=Lookup!$A$3,($BD84+1)^BG84,
IF($BC84=Lookup!$A$4,BH84*$BD84+1,"Error")))</f>
        <v>1</v>
      </c>
      <c r="BQ84" s="229">
        <f>IF($BC84=Lookup!$A$2,$BD84*ROUNDUP(BI84/10,0)+1,
IF($BC84=Lookup!$A$3,($BD84+1)^BH84,
IF($BC84=Lookup!$A$4,BI84*$BD84+1,"Error")))</f>
        <v>1</v>
      </c>
      <c r="BR84" s="229">
        <f>IF($BC84=Lookup!$A$2,$BD84*ROUNDUP(BJ84/10,0)+1,
IF($BC84=Lookup!$A$3,($BD84+1)^BI84,
IF($BC84=Lookup!$A$4,BJ84*$BD84+1,"Error")))</f>
        <v>1</v>
      </c>
      <c r="BS84" s="229">
        <f>IF($BC84=Lookup!$A$2,$BD84*ROUNDUP(BK84/10,0)+1,
IF($BC84=Lookup!$A$3,($BD84+1)^BJ84,
IF($BC84=Lookup!$A$4,BK84*$BD84+1,"Error")))</f>
        <v>1</v>
      </c>
      <c r="BT84" s="249">
        <f>IF($BC84=Lookup!$A$2,$BD84*ROUNDUP(BL84/10,0)+1,
IF($BC84=Lookup!$A$3,($BD84+1)^BK84,
IF($BC84=Lookup!$A$4,BL84*$BD84+1,"Error")))</f>
        <v>1</v>
      </c>
      <c r="BU84" s="320">
        <v>0</v>
      </c>
      <c r="BV84" s="321">
        <v>0</v>
      </c>
      <c r="BW84" s="321">
        <v>0</v>
      </c>
      <c r="BX84" s="321">
        <v>0</v>
      </c>
      <c r="BY84" s="321">
        <v>0</v>
      </c>
      <c r="BZ84" s="321">
        <v>0</v>
      </c>
      <c r="CA84" s="321">
        <v>0</v>
      </c>
      <c r="CB84" s="277">
        <v>0</v>
      </c>
      <c r="CC84" s="382" t="s">
        <v>293</v>
      </c>
      <c r="CD84" s="383">
        <f>HLOOKUP($CC84,$AK$6:$AM$132,ROWS(CD$6:CD84),0)</f>
        <v>0</v>
      </c>
      <c r="CE84" s="234">
        <f t="shared" si="81"/>
        <v>0</v>
      </c>
      <c r="CF84" s="96">
        <f t="shared" si="81"/>
        <v>0</v>
      </c>
      <c r="CG84" s="96">
        <f t="shared" si="81"/>
        <v>0</v>
      </c>
      <c r="CH84" s="96">
        <f t="shared" si="81"/>
        <v>0</v>
      </c>
      <c r="CI84" s="96">
        <f t="shared" si="50"/>
        <v>0</v>
      </c>
      <c r="CJ84" s="96">
        <f t="shared" si="50"/>
        <v>0</v>
      </c>
      <c r="CK84" s="96">
        <f t="shared" si="50"/>
        <v>0</v>
      </c>
      <c r="CL84" s="286">
        <f t="shared" si="50"/>
        <v>0</v>
      </c>
      <c r="CM84" s="305" t="s">
        <v>292</v>
      </c>
      <c r="CN84" s="315">
        <v>0.05</v>
      </c>
      <c r="CO84" s="306"/>
      <c r="CP84" s="307" t="str">
        <f>IF($CO84&lt;&gt;"",$CO84,HLOOKUP($CM84,$AY$6:$BA$132,ROWS(CP$6:CP84),0))</f>
        <v/>
      </c>
      <c r="CQ84" s="784" t="str">
        <f t="shared" si="78"/>
        <v/>
      </c>
      <c r="CR84" s="784" t="str">
        <f t="shared" si="78"/>
        <v/>
      </c>
      <c r="CS84" s="97" t="str">
        <f t="shared" si="78"/>
        <v/>
      </c>
      <c r="CT84" s="97" t="str">
        <f t="shared" si="78"/>
        <v/>
      </c>
      <c r="CU84" s="97" t="str">
        <f t="shared" si="78"/>
        <v/>
      </c>
      <c r="CV84" s="97" t="str">
        <f t="shared" si="78"/>
        <v/>
      </c>
      <c r="CW84" s="97" t="str">
        <f t="shared" si="78"/>
        <v/>
      </c>
      <c r="CX84" s="98" t="str">
        <f t="shared" si="32"/>
        <v/>
      </c>
    </row>
    <row r="85" spans="1:102" x14ac:dyDescent="0.25">
      <c r="A85" s="81" t="s">
        <v>138</v>
      </c>
      <c r="B85" s="82" t="s">
        <v>173</v>
      </c>
      <c r="C85" s="83" t="s">
        <v>375</v>
      </c>
      <c r="D85" s="84">
        <v>0</v>
      </c>
      <c r="E85" s="85">
        <v>0</v>
      </c>
      <c r="F85" s="85">
        <v>0</v>
      </c>
      <c r="G85" s="85">
        <v>0</v>
      </c>
      <c r="H85" s="85">
        <v>0</v>
      </c>
      <c r="I85" s="85">
        <v>0</v>
      </c>
      <c r="J85" s="85">
        <v>0</v>
      </c>
      <c r="K85" s="85">
        <v>0</v>
      </c>
      <c r="L85" s="85">
        <v>0</v>
      </c>
      <c r="M85" s="654">
        <f>'2022-23 Input'!H85</f>
        <v>0</v>
      </c>
      <c r="N85" s="1065">
        <v>0</v>
      </c>
      <c r="O85" s="560">
        <f t="shared" si="79"/>
        <v>0</v>
      </c>
      <c r="P85" s="561">
        <f t="shared" si="53"/>
        <v>0</v>
      </c>
      <c r="Q85" s="561">
        <f t="shared" si="54"/>
        <v>0</v>
      </c>
      <c r="R85" s="561">
        <f t="shared" si="55"/>
        <v>0</v>
      </c>
      <c r="S85" s="561">
        <f t="shared" si="56"/>
        <v>0</v>
      </c>
      <c r="T85" s="561">
        <f t="shared" si="57"/>
        <v>0</v>
      </c>
      <c r="U85" s="561">
        <f t="shared" si="58"/>
        <v>0</v>
      </c>
      <c r="V85" s="561">
        <f t="shared" si="59"/>
        <v>0</v>
      </c>
      <c r="W85" s="675">
        <f t="shared" si="60"/>
        <v>0</v>
      </c>
      <c r="X85" s="675">
        <f t="shared" si="61"/>
        <v>0</v>
      </c>
      <c r="Y85" s="675">
        <f t="shared" si="61"/>
        <v>0</v>
      </c>
      <c r="Z85" s="86">
        <v>0</v>
      </c>
      <c r="AA85" s="87">
        <v>0</v>
      </c>
      <c r="AB85" s="87">
        <v>0</v>
      </c>
      <c r="AC85" s="87">
        <v>0</v>
      </c>
      <c r="AD85" s="87">
        <v>0</v>
      </c>
      <c r="AE85" s="87">
        <v>0</v>
      </c>
      <c r="AF85" s="87">
        <v>0</v>
      </c>
      <c r="AG85" s="87">
        <v>0</v>
      </c>
      <c r="AH85" s="87">
        <v>0</v>
      </c>
      <c r="AI85" s="1094">
        <f>'2022-23 Input'!O85</f>
        <v>0</v>
      </c>
      <c r="AJ85" s="665">
        <v>0</v>
      </c>
      <c r="AK85" s="88">
        <f t="shared" si="62"/>
        <v>0</v>
      </c>
      <c r="AL85" s="89">
        <f t="shared" si="63"/>
        <v>0</v>
      </c>
      <c r="AM85" s="90">
        <f t="shared" si="64"/>
        <v>0</v>
      </c>
      <c r="AN85" s="91" t="str">
        <f t="shared" si="65"/>
        <v/>
      </c>
      <c r="AO85" s="92" t="str">
        <f t="shared" si="66"/>
        <v/>
      </c>
      <c r="AP85" s="92" t="str">
        <f t="shared" si="67"/>
        <v/>
      </c>
      <c r="AQ85" s="92" t="str">
        <f t="shared" si="68"/>
        <v/>
      </c>
      <c r="AR85" s="92" t="str">
        <f t="shared" si="69"/>
        <v/>
      </c>
      <c r="AS85" s="92" t="str">
        <f t="shared" si="70"/>
        <v/>
      </c>
      <c r="AT85" s="92" t="str">
        <f t="shared" si="71"/>
        <v/>
      </c>
      <c r="AU85" s="92" t="str">
        <f t="shared" si="72"/>
        <v/>
      </c>
      <c r="AV85" s="92" t="str">
        <f t="shared" si="73"/>
        <v/>
      </c>
      <c r="AW85" s="92" t="str">
        <f t="shared" si="73"/>
        <v/>
      </c>
      <c r="AX85" s="92" t="str">
        <f t="shared" si="73"/>
        <v/>
      </c>
      <c r="AY85" s="93" t="str">
        <f t="shared" si="74"/>
        <v/>
      </c>
      <c r="AZ85" s="94" t="str">
        <f t="shared" si="75"/>
        <v/>
      </c>
      <c r="BA85" s="95" t="str">
        <f t="shared" si="76"/>
        <v/>
      </c>
      <c r="BB85" s="248" t="s">
        <v>422</v>
      </c>
      <c r="BC85" s="229" t="s">
        <v>433</v>
      </c>
      <c r="BD85" s="249">
        <v>0</v>
      </c>
      <c r="BE85" s="267">
        <f t="shared" si="80"/>
        <v>0</v>
      </c>
      <c r="BF85" s="268">
        <f t="shared" si="77"/>
        <v>0</v>
      </c>
      <c r="BG85" s="268">
        <f t="shared" si="77"/>
        <v>0</v>
      </c>
      <c r="BH85" s="268">
        <f t="shared" si="77"/>
        <v>1</v>
      </c>
      <c r="BI85" s="268">
        <f t="shared" si="77"/>
        <v>2</v>
      </c>
      <c r="BJ85" s="268">
        <f t="shared" si="77"/>
        <v>3</v>
      </c>
      <c r="BK85" s="268">
        <f t="shared" si="77"/>
        <v>4</v>
      </c>
      <c r="BL85" s="269">
        <f t="shared" si="77"/>
        <v>5</v>
      </c>
      <c r="BM85" s="256">
        <f>IF($BC85=Lookup!$A$2,$BD85*ROUNDUP(BE85/10,0)+1,
IF($BC85=Lookup!$A$3,($BD85+1)^BD85,
IF($BC85=Lookup!$A$4,BE85*$BD85+1,"Error")))</f>
        <v>1</v>
      </c>
      <c r="BN85" s="229">
        <f>IF($BC85=Lookup!$A$2,$BD85*ROUNDUP(BF85/10,0)+1,
IF($BC85=Lookup!$A$3,($BD85+1)^BE85,
IF($BC85=Lookup!$A$4,BF85*$BD85+1,"Error")))</f>
        <v>1</v>
      </c>
      <c r="BO85" s="229">
        <f>IF($BC85=Lookup!$A$2,$BD85*ROUNDUP(BG85/10,0)+1,
IF($BC85=Lookup!$A$3,($BD85+1)^BF85,
IF($BC85=Lookup!$A$4,BG85*$BD85+1,"Error")))</f>
        <v>1</v>
      </c>
      <c r="BP85" s="229">
        <f>IF($BC85=Lookup!$A$2,$BD85*ROUNDUP(BH85/10,0)+1,
IF($BC85=Lookup!$A$3,($BD85+1)^BG85,
IF($BC85=Lookup!$A$4,BH85*$BD85+1,"Error")))</f>
        <v>1</v>
      </c>
      <c r="BQ85" s="229">
        <f>IF($BC85=Lookup!$A$2,$BD85*ROUNDUP(BI85/10,0)+1,
IF($BC85=Lookup!$A$3,($BD85+1)^BH85,
IF($BC85=Lookup!$A$4,BI85*$BD85+1,"Error")))</f>
        <v>1</v>
      </c>
      <c r="BR85" s="229">
        <f>IF($BC85=Lookup!$A$2,$BD85*ROUNDUP(BJ85/10,0)+1,
IF($BC85=Lookup!$A$3,($BD85+1)^BI85,
IF($BC85=Lookup!$A$4,BJ85*$BD85+1,"Error")))</f>
        <v>1</v>
      </c>
      <c r="BS85" s="229">
        <f>IF($BC85=Lookup!$A$2,$BD85*ROUNDUP(BK85/10,0)+1,
IF($BC85=Lookup!$A$3,($BD85+1)^BJ85,
IF($BC85=Lookup!$A$4,BK85*$BD85+1,"Error")))</f>
        <v>1</v>
      </c>
      <c r="BT85" s="249">
        <f>IF($BC85=Lookup!$A$2,$BD85*ROUNDUP(BL85/10,0)+1,
IF($BC85=Lookup!$A$3,($BD85+1)^BK85,
IF($BC85=Lookup!$A$4,BL85*$BD85+1,"Error")))</f>
        <v>1</v>
      </c>
      <c r="BU85" s="320">
        <v>0</v>
      </c>
      <c r="BV85" s="321">
        <v>0</v>
      </c>
      <c r="BW85" s="321">
        <v>0</v>
      </c>
      <c r="BX85" s="321">
        <v>0</v>
      </c>
      <c r="BY85" s="321">
        <v>0</v>
      </c>
      <c r="BZ85" s="321">
        <v>0</v>
      </c>
      <c r="CA85" s="321">
        <v>0</v>
      </c>
      <c r="CB85" s="277">
        <v>0</v>
      </c>
      <c r="CC85" s="382" t="s">
        <v>293</v>
      </c>
      <c r="CD85" s="383">
        <f>HLOOKUP($CC85,$AK$6:$AM$132,ROWS(CD$6:CD85),0)</f>
        <v>0</v>
      </c>
      <c r="CE85" s="234">
        <f t="shared" si="81"/>
        <v>0</v>
      </c>
      <c r="CF85" s="96">
        <f t="shared" si="81"/>
        <v>0</v>
      </c>
      <c r="CG85" s="96">
        <f t="shared" si="81"/>
        <v>0</v>
      </c>
      <c r="CH85" s="96">
        <f t="shared" si="81"/>
        <v>0</v>
      </c>
      <c r="CI85" s="96">
        <f t="shared" si="50"/>
        <v>0</v>
      </c>
      <c r="CJ85" s="96">
        <f t="shared" si="50"/>
        <v>0</v>
      </c>
      <c r="CK85" s="96">
        <f t="shared" si="50"/>
        <v>0</v>
      </c>
      <c r="CL85" s="286">
        <f t="shared" si="50"/>
        <v>0</v>
      </c>
      <c r="CM85" s="305" t="s">
        <v>292</v>
      </c>
      <c r="CN85" s="315">
        <v>0.05</v>
      </c>
      <c r="CO85" s="306"/>
      <c r="CP85" s="307" t="str">
        <f>IF($CO85&lt;&gt;"",$CO85,HLOOKUP($CM85,$AY$6:$BA$132,ROWS(CP$6:CP85),0))</f>
        <v/>
      </c>
      <c r="CQ85" s="784" t="str">
        <f t="shared" si="78"/>
        <v/>
      </c>
      <c r="CR85" s="784" t="str">
        <f t="shared" si="78"/>
        <v/>
      </c>
      <c r="CS85" s="97" t="str">
        <f t="shared" si="78"/>
        <v/>
      </c>
      <c r="CT85" s="97" t="str">
        <f t="shared" si="78"/>
        <v/>
      </c>
      <c r="CU85" s="97" t="str">
        <f t="shared" si="78"/>
        <v/>
      </c>
      <c r="CV85" s="97" t="str">
        <f t="shared" si="78"/>
        <v/>
      </c>
      <c r="CW85" s="97" t="str">
        <f t="shared" si="78"/>
        <v/>
      </c>
      <c r="CX85" s="98" t="str">
        <f t="shared" si="32"/>
        <v/>
      </c>
    </row>
    <row r="86" spans="1:102" x14ac:dyDescent="0.25">
      <c r="A86" s="81" t="s">
        <v>138</v>
      </c>
      <c r="B86" s="82" t="s">
        <v>175</v>
      </c>
      <c r="C86" s="83" t="s">
        <v>376</v>
      </c>
      <c r="D86" s="84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654">
        <f>'2022-23 Input'!H86</f>
        <v>0</v>
      </c>
      <c r="N86" s="1065">
        <v>0</v>
      </c>
      <c r="O86" s="560">
        <f t="shared" si="79"/>
        <v>0</v>
      </c>
      <c r="P86" s="561">
        <f t="shared" si="53"/>
        <v>0</v>
      </c>
      <c r="Q86" s="561">
        <f t="shared" si="54"/>
        <v>0</v>
      </c>
      <c r="R86" s="561">
        <f t="shared" si="55"/>
        <v>0</v>
      </c>
      <c r="S86" s="561">
        <f t="shared" si="56"/>
        <v>0</v>
      </c>
      <c r="T86" s="561">
        <f t="shared" si="57"/>
        <v>0</v>
      </c>
      <c r="U86" s="561">
        <f t="shared" si="58"/>
        <v>0</v>
      </c>
      <c r="V86" s="561">
        <f t="shared" si="59"/>
        <v>0</v>
      </c>
      <c r="W86" s="675">
        <f t="shared" si="60"/>
        <v>0</v>
      </c>
      <c r="X86" s="675">
        <f t="shared" si="61"/>
        <v>0</v>
      </c>
      <c r="Y86" s="675">
        <f t="shared" si="61"/>
        <v>0</v>
      </c>
      <c r="Z86" s="86">
        <v>0</v>
      </c>
      <c r="AA86" s="87">
        <v>0</v>
      </c>
      <c r="AB86" s="87">
        <v>0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87">
        <v>0</v>
      </c>
      <c r="AI86" s="1094">
        <f>'2022-23 Input'!O86</f>
        <v>0</v>
      </c>
      <c r="AJ86" s="665">
        <v>0</v>
      </c>
      <c r="AK86" s="88">
        <f t="shared" si="62"/>
        <v>0</v>
      </c>
      <c r="AL86" s="89">
        <f t="shared" si="63"/>
        <v>0</v>
      </c>
      <c r="AM86" s="90">
        <f t="shared" si="64"/>
        <v>0</v>
      </c>
      <c r="AN86" s="91" t="str">
        <f t="shared" si="65"/>
        <v/>
      </c>
      <c r="AO86" s="92" t="str">
        <f t="shared" si="66"/>
        <v/>
      </c>
      <c r="AP86" s="92" t="str">
        <f t="shared" si="67"/>
        <v/>
      </c>
      <c r="AQ86" s="92" t="str">
        <f t="shared" si="68"/>
        <v/>
      </c>
      <c r="AR86" s="92" t="str">
        <f t="shared" si="69"/>
        <v/>
      </c>
      <c r="AS86" s="92" t="str">
        <f t="shared" si="70"/>
        <v/>
      </c>
      <c r="AT86" s="92" t="str">
        <f t="shared" si="71"/>
        <v/>
      </c>
      <c r="AU86" s="92" t="str">
        <f t="shared" si="72"/>
        <v/>
      </c>
      <c r="AV86" s="92" t="str">
        <f t="shared" si="73"/>
        <v/>
      </c>
      <c r="AW86" s="92" t="str">
        <f t="shared" si="73"/>
        <v/>
      </c>
      <c r="AX86" s="92" t="str">
        <f t="shared" si="73"/>
        <v/>
      </c>
      <c r="AY86" s="93" t="str">
        <f t="shared" si="74"/>
        <v/>
      </c>
      <c r="AZ86" s="94" t="str">
        <f t="shared" si="75"/>
        <v/>
      </c>
      <c r="BA86" s="95" t="str">
        <f t="shared" si="76"/>
        <v/>
      </c>
      <c r="BB86" s="248" t="s">
        <v>422</v>
      </c>
      <c r="BC86" s="229" t="s">
        <v>433</v>
      </c>
      <c r="BD86" s="249">
        <v>0</v>
      </c>
      <c r="BE86" s="267">
        <f t="shared" si="80"/>
        <v>0</v>
      </c>
      <c r="BF86" s="268">
        <f t="shared" si="77"/>
        <v>0</v>
      </c>
      <c r="BG86" s="268">
        <f t="shared" si="77"/>
        <v>0</v>
      </c>
      <c r="BH86" s="268">
        <f t="shared" si="77"/>
        <v>1</v>
      </c>
      <c r="BI86" s="268">
        <f t="shared" si="77"/>
        <v>2</v>
      </c>
      <c r="BJ86" s="268">
        <f t="shared" si="77"/>
        <v>3</v>
      </c>
      <c r="BK86" s="268">
        <f t="shared" si="77"/>
        <v>4</v>
      </c>
      <c r="BL86" s="269">
        <f t="shared" si="77"/>
        <v>5</v>
      </c>
      <c r="BM86" s="256">
        <f>IF($BC86=Lookup!$A$2,$BD86*ROUNDUP(BE86/10,0)+1,
IF($BC86=Lookup!$A$3,($BD86+1)^BD86,
IF($BC86=Lookup!$A$4,BE86*$BD86+1,"Error")))</f>
        <v>1</v>
      </c>
      <c r="BN86" s="229">
        <f>IF($BC86=Lookup!$A$2,$BD86*ROUNDUP(BF86/10,0)+1,
IF($BC86=Lookup!$A$3,($BD86+1)^BE86,
IF($BC86=Lookup!$A$4,BF86*$BD86+1,"Error")))</f>
        <v>1</v>
      </c>
      <c r="BO86" s="229">
        <f>IF($BC86=Lookup!$A$2,$BD86*ROUNDUP(BG86/10,0)+1,
IF($BC86=Lookup!$A$3,($BD86+1)^BF86,
IF($BC86=Lookup!$A$4,BG86*$BD86+1,"Error")))</f>
        <v>1</v>
      </c>
      <c r="BP86" s="229">
        <f>IF($BC86=Lookup!$A$2,$BD86*ROUNDUP(BH86/10,0)+1,
IF($BC86=Lookup!$A$3,($BD86+1)^BG86,
IF($BC86=Lookup!$A$4,BH86*$BD86+1,"Error")))</f>
        <v>1</v>
      </c>
      <c r="BQ86" s="229">
        <f>IF($BC86=Lookup!$A$2,$BD86*ROUNDUP(BI86/10,0)+1,
IF($BC86=Lookup!$A$3,($BD86+1)^BH86,
IF($BC86=Lookup!$A$4,BI86*$BD86+1,"Error")))</f>
        <v>1</v>
      </c>
      <c r="BR86" s="229">
        <f>IF($BC86=Lookup!$A$2,$BD86*ROUNDUP(BJ86/10,0)+1,
IF($BC86=Lookup!$A$3,($BD86+1)^BI86,
IF($BC86=Lookup!$A$4,BJ86*$BD86+1,"Error")))</f>
        <v>1</v>
      </c>
      <c r="BS86" s="229">
        <f>IF($BC86=Lookup!$A$2,$BD86*ROUNDUP(BK86/10,0)+1,
IF($BC86=Lookup!$A$3,($BD86+1)^BJ86,
IF($BC86=Lookup!$A$4,BK86*$BD86+1,"Error")))</f>
        <v>1</v>
      </c>
      <c r="BT86" s="249">
        <f>IF($BC86=Lookup!$A$2,$BD86*ROUNDUP(BL86/10,0)+1,
IF($BC86=Lookup!$A$3,($BD86+1)^BK86,
IF($BC86=Lookup!$A$4,BL86*$BD86+1,"Error")))</f>
        <v>1</v>
      </c>
      <c r="BU86" s="320">
        <v>0</v>
      </c>
      <c r="BV86" s="321">
        <v>0</v>
      </c>
      <c r="BW86" s="321">
        <v>0</v>
      </c>
      <c r="BX86" s="321">
        <v>0</v>
      </c>
      <c r="BY86" s="321">
        <v>0</v>
      </c>
      <c r="BZ86" s="321">
        <v>0</v>
      </c>
      <c r="CA86" s="321">
        <v>0</v>
      </c>
      <c r="CB86" s="277">
        <v>0</v>
      </c>
      <c r="CC86" s="382" t="s">
        <v>293</v>
      </c>
      <c r="CD86" s="383">
        <f>HLOOKUP($CC86,$AK$6:$AM$132,ROWS(CD$6:CD86),0)</f>
        <v>0</v>
      </c>
      <c r="CE86" s="234">
        <f t="shared" si="81"/>
        <v>0</v>
      </c>
      <c r="CF86" s="96">
        <f t="shared" si="81"/>
        <v>0</v>
      </c>
      <c r="CG86" s="96">
        <f t="shared" si="81"/>
        <v>0</v>
      </c>
      <c r="CH86" s="96">
        <f t="shared" si="81"/>
        <v>0</v>
      </c>
      <c r="CI86" s="96">
        <f t="shared" si="50"/>
        <v>0</v>
      </c>
      <c r="CJ86" s="96">
        <f t="shared" si="50"/>
        <v>0</v>
      </c>
      <c r="CK86" s="96">
        <f t="shared" si="50"/>
        <v>0</v>
      </c>
      <c r="CL86" s="286">
        <f t="shared" si="50"/>
        <v>0</v>
      </c>
      <c r="CM86" s="305" t="s">
        <v>292</v>
      </c>
      <c r="CN86" s="315">
        <v>0.05</v>
      </c>
      <c r="CO86" s="306"/>
      <c r="CP86" s="307" t="str">
        <f>IF($CO86&lt;&gt;"",$CO86,HLOOKUP($CM86,$AY$6:$BA$132,ROWS(CP$6:CP86),0))</f>
        <v/>
      </c>
      <c r="CQ86" s="784" t="str">
        <f t="shared" si="78"/>
        <v/>
      </c>
      <c r="CR86" s="784" t="str">
        <f t="shared" si="78"/>
        <v/>
      </c>
      <c r="CS86" s="97" t="str">
        <f t="shared" si="78"/>
        <v/>
      </c>
      <c r="CT86" s="97" t="str">
        <f t="shared" si="78"/>
        <v/>
      </c>
      <c r="CU86" s="97" t="str">
        <f t="shared" si="78"/>
        <v/>
      </c>
      <c r="CV86" s="97" t="str">
        <f t="shared" si="78"/>
        <v/>
      </c>
      <c r="CW86" s="97" t="str">
        <f t="shared" si="78"/>
        <v/>
      </c>
      <c r="CX86" s="98" t="str">
        <f t="shared" si="32"/>
        <v/>
      </c>
    </row>
    <row r="87" spans="1:102" x14ac:dyDescent="0.25">
      <c r="A87" s="81" t="s">
        <v>138</v>
      </c>
      <c r="B87" s="82" t="s">
        <v>177</v>
      </c>
      <c r="C87" s="83" t="s">
        <v>377</v>
      </c>
      <c r="D87" s="84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654">
        <f>'2022-23 Input'!H87</f>
        <v>0</v>
      </c>
      <c r="N87" s="1065">
        <v>0</v>
      </c>
      <c r="O87" s="560">
        <f t="shared" si="79"/>
        <v>0</v>
      </c>
      <c r="P87" s="561">
        <f t="shared" si="53"/>
        <v>0</v>
      </c>
      <c r="Q87" s="561">
        <f t="shared" si="54"/>
        <v>0</v>
      </c>
      <c r="R87" s="561">
        <f t="shared" si="55"/>
        <v>0</v>
      </c>
      <c r="S87" s="561">
        <f t="shared" si="56"/>
        <v>0</v>
      </c>
      <c r="T87" s="561">
        <f t="shared" si="57"/>
        <v>0</v>
      </c>
      <c r="U87" s="561">
        <f t="shared" si="58"/>
        <v>0</v>
      </c>
      <c r="V87" s="561">
        <f t="shared" si="59"/>
        <v>0</v>
      </c>
      <c r="W87" s="675">
        <f t="shared" si="60"/>
        <v>0</v>
      </c>
      <c r="X87" s="675">
        <f t="shared" si="61"/>
        <v>0</v>
      </c>
      <c r="Y87" s="675">
        <f t="shared" si="61"/>
        <v>0</v>
      </c>
      <c r="Z87" s="86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87">
        <v>0</v>
      </c>
      <c r="AI87" s="1094">
        <f>'2022-23 Input'!O87</f>
        <v>0</v>
      </c>
      <c r="AJ87" s="665">
        <v>0</v>
      </c>
      <c r="AK87" s="88">
        <f t="shared" si="62"/>
        <v>0</v>
      </c>
      <c r="AL87" s="89">
        <f t="shared" si="63"/>
        <v>0</v>
      </c>
      <c r="AM87" s="90">
        <f t="shared" si="64"/>
        <v>0</v>
      </c>
      <c r="AN87" s="91" t="str">
        <f t="shared" si="65"/>
        <v/>
      </c>
      <c r="AO87" s="92" t="str">
        <f t="shared" si="66"/>
        <v/>
      </c>
      <c r="AP87" s="92" t="str">
        <f t="shared" si="67"/>
        <v/>
      </c>
      <c r="AQ87" s="92" t="str">
        <f t="shared" si="68"/>
        <v/>
      </c>
      <c r="AR87" s="92" t="str">
        <f t="shared" si="69"/>
        <v/>
      </c>
      <c r="AS87" s="92" t="str">
        <f t="shared" si="70"/>
        <v/>
      </c>
      <c r="AT87" s="92" t="str">
        <f t="shared" si="71"/>
        <v/>
      </c>
      <c r="AU87" s="92" t="str">
        <f t="shared" si="72"/>
        <v/>
      </c>
      <c r="AV87" s="92" t="str">
        <f t="shared" ref="AV87:AX102" si="82">IFERROR(L87/AH87,"")</f>
        <v/>
      </c>
      <c r="AW87" s="92" t="str">
        <f t="shared" si="82"/>
        <v/>
      </c>
      <c r="AX87" s="92" t="str">
        <f t="shared" si="82"/>
        <v/>
      </c>
      <c r="AY87" s="93" t="str">
        <f t="shared" si="74"/>
        <v/>
      </c>
      <c r="AZ87" s="94" t="str">
        <f t="shared" si="75"/>
        <v/>
      </c>
      <c r="BA87" s="95" t="str">
        <f t="shared" si="76"/>
        <v/>
      </c>
      <c r="BB87" s="248" t="s">
        <v>422</v>
      </c>
      <c r="BC87" s="229" t="s">
        <v>433</v>
      </c>
      <c r="BD87" s="249">
        <v>0</v>
      </c>
      <c r="BE87" s="267">
        <f t="shared" si="80"/>
        <v>0</v>
      </c>
      <c r="BF87" s="268">
        <f t="shared" ref="BF87:BL102" si="83">IF(BF$6=$BB87,1,
IF(BE87&lt;&gt;0,BE87+1,0
))</f>
        <v>0</v>
      </c>
      <c r="BG87" s="268">
        <f t="shared" si="83"/>
        <v>0</v>
      </c>
      <c r="BH87" s="268">
        <f t="shared" si="83"/>
        <v>1</v>
      </c>
      <c r="BI87" s="268">
        <f t="shared" si="83"/>
        <v>2</v>
      </c>
      <c r="BJ87" s="268">
        <f t="shared" si="83"/>
        <v>3</v>
      </c>
      <c r="BK87" s="268">
        <f t="shared" si="83"/>
        <v>4</v>
      </c>
      <c r="BL87" s="269">
        <f t="shared" si="83"/>
        <v>5</v>
      </c>
      <c r="BM87" s="256">
        <f>IF($BC87=Lookup!$A$2,$BD87*ROUNDUP(BE87/10,0)+1,
IF($BC87=Lookup!$A$3,($BD87+1)^BD87,
IF($BC87=Lookup!$A$4,BE87*$BD87+1,"Error")))</f>
        <v>1</v>
      </c>
      <c r="BN87" s="229">
        <f>IF($BC87=Lookup!$A$2,$BD87*ROUNDUP(BF87/10,0)+1,
IF($BC87=Lookup!$A$3,($BD87+1)^BE87,
IF($BC87=Lookup!$A$4,BF87*$BD87+1,"Error")))</f>
        <v>1</v>
      </c>
      <c r="BO87" s="229">
        <f>IF($BC87=Lookup!$A$2,$BD87*ROUNDUP(BG87/10,0)+1,
IF($BC87=Lookup!$A$3,($BD87+1)^BF87,
IF($BC87=Lookup!$A$4,BG87*$BD87+1,"Error")))</f>
        <v>1</v>
      </c>
      <c r="BP87" s="229">
        <f>IF($BC87=Lookup!$A$2,$BD87*ROUNDUP(BH87/10,0)+1,
IF($BC87=Lookup!$A$3,($BD87+1)^BG87,
IF($BC87=Lookup!$A$4,BH87*$BD87+1,"Error")))</f>
        <v>1</v>
      </c>
      <c r="BQ87" s="229">
        <f>IF($BC87=Lookup!$A$2,$BD87*ROUNDUP(BI87/10,0)+1,
IF($BC87=Lookup!$A$3,($BD87+1)^BH87,
IF($BC87=Lookup!$A$4,BI87*$BD87+1,"Error")))</f>
        <v>1</v>
      </c>
      <c r="BR87" s="229">
        <f>IF($BC87=Lookup!$A$2,$BD87*ROUNDUP(BJ87/10,0)+1,
IF($BC87=Lookup!$A$3,($BD87+1)^BI87,
IF($BC87=Lookup!$A$4,BJ87*$BD87+1,"Error")))</f>
        <v>1</v>
      </c>
      <c r="BS87" s="229">
        <f>IF($BC87=Lookup!$A$2,$BD87*ROUNDUP(BK87/10,0)+1,
IF($BC87=Lookup!$A$3,($BD87+1)^BJ87,
IF($BC87=Lookup!$A$4,BK87*$BD87+1,"Error")))</f>
        <v>1</v>
      </c>
      <c r="BT87" s="249">
        <f>IF($BC87=Lookup!$A$2,$BD87*ROUNDUP(BL87/10,0)+1,
IF($BC87=Lookup!$A$3,($BD87+1)^BK87,
IF($BC87=Lookup!$A$4,BL87*$BD87+1,"Error")))</f>
        <v>1</v>
      </c>
      <c r="BU87" s="320">
        <v>0</v>
      </c>
      <c r="BV87" s="321">
        <v>0</v>
      </c>
      <c r="BW87" s="321">
        <v>0</v>
      </c>
      <c r="BX87" s="321">
        <v>0</v>
      </c>
      <c r="BY87" s="321">
        <v>0</v>
      </c>
      <c r="BZ87" s="321">
        <v>0</v>
      </c>
      <c r="CA87" s="321">
        <v>0</v>
      </c>
      <c r="CB87" s="277">
        <v>0</v>
      </c>
      <c r="CC87" s="382" t="s">
        <v>293</v>
      </c>
      <c r="CD87" s="383">
        <f>HLOOKUP($CC87,$AK$6:$AM$132,ROWS(CD$6:CD87),0)</f>
        <v>0</v>
      </c>
      <c r="CE87" s="234">
        <f t="shared" si="81"/>
        <v>0</v>
      </c>
      <c r="CF87" s="96">
        <f t="shared" si="81"/>
        <v>0</v>
      </c>
      <c r="CG87" s="96">
        <f t="shared" si="81"/>
        <v>0</v>
      </c>
      <c r="CH87" s="96">
        <f t="shared" si="81"/>
        <v>0</v>
      </c>
      <c r="CI87" s="96">
        <f t="shared" si="50"/>
        <v>0</v>
      </c>
      <c r="CJ87" s="96">
        <f t="shared" si="50"/>
        <v>0</v>
      </c>
      <c r="CK87" s="96">
        <f t="shared" si="50"/>
        <v>0</v>
      </c>
      <c r="CL87" s="286">
        <f t="shared" si="50"/>
        <v>0</v>
      </c>
      <c r="CM87" s="305" t="s">
        <v>292</v>
      </c>
      <c r="CN87" s="315">
        <v>0.05</v>
      </c>
      <c r="CO87" s="306"/>
      <c r="CP87" s="307" t="str">
        <f>IF($CO87&lt;&gt;"",$CO87,HLOOKUP($CM87,$AY$6:$BA$132,ROWS(CP$6:CP87),0))</f>
        <v/>
      </c>
      <c r="CQ87" s="784" t="str">
        <f t="shared" si="78"/>
        <v/>
      </c>
      <c r="CR87" s="784" t="str">
        <f t="shared" si="78"/>
        <v/>
      </c>
      <c r="CS87" s="97" t="str">
        <f t="shared" si="78"/>
        <v/>
      </c>
      <c r="CT87" s="97" t="str">
        <f t="shared" si="78"/>
        <v/>
      </c>
      <c r="CU87" s="97" t="str">
        <f t="shared" si="78"/>
        <v/>
      </c>
      <c r="CV87" s="97" t="str">
        <f t="shared" si="78"/>
        <v/>
      </c>
      <c r="CW87" s="97" t="str">
        <f t="shared" si="78"/>
        <v/>
      </c>
      <c r="CX87" s="98" t="str">
        <f t="shared" si="32"/>
        <v/>
      </c>
    </row>
    <row r="88" spans="1:102" x14ac:dyDescent="0.25">
      <c r="A88" s="81" t="s">
        <v>138</v>
      </c>
      <c r="B88" s="82" t="s">
        <v>179</v>
      </c>
      <c r="C88" s="83" t="s">
        <v>378</v>
      </c>
      <c r="D88" s="84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654">
        <f>'2022-23 Input'!H88</f>
        <v>0</v>
      </c>
      <c r="N88" s="1065">
        <v>0</v>
      </c>
      <c r="O88" s="560">
        <f t="shared" si="79"/>
        <v>0</v>
      </c>
      <c r="P88" s="561">
        <f t="shared" si="53"/>
        <v>0</v>
      </c>
      <c r="Q88" s="561">
        <f t="shared" si="54"/>
        <v>0</v>
      </c>
      <c r="R88" s="561">
        <f t="shared" si="55"/>
        <v>0</v>
      </c>
      <c r="S88" s="561">
        <f t="shared" si="56"/>
        <v>0</v>
      </c>
      <c r="T88" s="561">
        <f t="shared" si="57"/>
        <v>0</v>
      </c>
      <c r="U88" s="561">
        <f t="shared" si="58"/>
        <v>0</v>
      </c>
      <c r="V88" s="561">
        <f t="shared" si="59"/>
        <v>0</v>
      </c>
      <c r="W88" s="675">
        <f t="shared" si="60"/>
        <v>0</v>
      </c>
      <c r="X88" s="675">
        <f t="shared" si="61"/>
        <v>0</v>
      </c>
      <c r="Y88" s="675">
        <f t="shared" si="61"/>
        <v>0</v>
      </c>
      <c r="Z88" s="86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87">
        <v>0</v>
      </c>
      <c r="AI88" s="1094">
        <f>'2022-23 Input'!O88</f>
        <v>0</v>
      </c>
      <c r="AJ88" s="665">
        <v>0</v>
      </c>
      <c r="AK88" s="88">
        <f t="shared" si="62"/>
        <v>0</v>
      </c>
      <c r="AL88" s="89">
        <f t="shared" si="63"/>
        <v>0</v>
      </c>
      <c r="AM88" s="90">
        <f t="shared" si="64"/>
        <v>0</v>
      </c>
      <c r="AN88" s="91" t="str">
        <f t="shared" si="65"/>
        <v/>
      </c>
      <c r="AO88" s="92" t="str">
        <f t="shared" si="66"/>
        <v/>
      </c>
      <c r="AP88" s="92" t="str">
        <f t="shared" si="67"/>
        <v/>
      </c>
      <c r="AQ88" s="92" t="str">
        <f t="shared" si="68"/>
        <v/>
      </c>
      <c r="AR88" s="92" t="str">
        <f t="shared" si="69"/>
        <v/>
      </c>
      <c r="AS88" s="92" t="str">
        <f t="shared" si="70"/>
        <v/>
      </c>
      <c r="AT88" s="92" t="str">
        <f t="shared" si="71"/>
        <v/>
      </c>
      <c r="AU88" s="92" t="str">
        <f t="shared" si="72"/>
        <v/>
      </c>
      <c r="AV88" s="92" t="str">
        <f t="shared" si="82"/>
        <v/>
      </c>
      <c r="AW88" s="92" t="str">
        <f t="shared" si="82"/>
        <v/>
      </c>
      <c r="AX88" s="92" t="str">
        <f t="shared" si="82"/>
        <v/>
      </c>
      <c r="AY88" s="93" t="str">
        <f t="shared" si="74"/>
        <v/>
      </c>
      <c r="AZ88" s="94" t="str">
        <f t="shared" si="75"/>
        <v/>
      </c>
      <c r="BA88" s="95" t="str">
        <f t="shared" si="76"/>
        <v/>
      </c>
      <c r="BB88" s="248" t="s">
        <v>422</v>
      </c>
      <c r="BC88" s="229" t="s">
        <v>433</v>
      </c>
      <c r="BD88" s="249">
        <v>0</v>
      </c>
      <c r="BE88" s="267">
        <f t="shared" si="80"/>
        <v>0</v>
      </c>
      <c r="BF88" s="268">
        <f t="shared" si="83"/>
        <v>0</v>
      </c>
      <c r="BG88" s="268">
        <f t="shared" si="83"/>
        <v>0</v>
      </c>
      <c r="BH88" s="268">
        <f t="shared" si="83"/>
        <v>1</v>
      </c>
      <c r="BI88" s="268">
        <f t="shared" si="83"/>
        <v>2</v>
      </c>
      <c r="BJ88" s="268">
        <f t="shared" si="83"/>
        <v>3</v>
      </c>
      <c r="BK88" s="268">
        <f t="shared" si="83"/>
        <v>4</v>
      </c>
      <c r="BL88" s="269">
        <f t="shared" si="83"/>
        <v>5</v>
      </c>
      <c r="BM88" s="256">
        <f>IF($BC88=Lookup!$A$2,$BD88*ROUNDUP(BE88/10,0)+1,
IF($BC88=Lookup!$A$3,($BD88+1)^BD88,
IF($BC88=Lookup!$A$4,BE88*$BD88+1,"Error")))</f>
        <v>1</v>
      </c>
      <c r="BN88" s="229">
        <f>IF($BC88=Lookup!$A$2,$BD88*ROUNDUP(BF88/10,0)+1,
IF($BC88=Lookup!$A$3,($BD88+1)^BE88,
IF($BC88=Lookup!$A$4,BF88*$BD88+1,"Error")))</f>
        <v>1</v>
      </c>
      <c r="BO88" s="229">
        <f>IF($BC88=Lookup!$A$2,$BD88*ROUNDUP(BG88/10,0)+1,
IF($BC88=Lookup!$A$3,($BD88+1)^BF88,
IF($BC88=Lookup!$A$4,BG88*$BD88+1,"Error")))</f>
        <v>1</v>
      </c>
      <c r="BP88" s="229">
        <f>IF($BC88=Lookup!$A$2,$BD88*ROUNDUP(BH88/10,0)+1,
IF($BC88=Lookup!$A$3,($BD88+1)^BG88,
IF($BC88=Lookup!$A$4,BH88*$BD88+1,"Error")))</f>
        <v>1</v>
      </c>
      <c r="BQ88" s="229">
        <f>IF($BC88=Lookup!$A$2,$BD88*ROUNDUP(BI88/10,0)+1,
IF($BC88=Lookup!$A$3,($BD88+1)^BH88,
IF($BC88=Lookup!$A$4,BI88*$BD88+1,"Error")))</f>
        <v>1</v>
      </c>
      <c r="BR88" s="229">
        <f>IF($BC88=Lookup!$A$2,$BD88*ROUNDUP(BJ88/10,0)+1,
IF($BC88=Lookup!$A$3,($BD88+1)^BI88,
IF($BC88=Lookup!$A$4,BJ88*$BD88+1,"Error")))</f>
        <v>1</v>
      </c>
      <c r="BS88" s="229">
        <f>IF($BC88=Lookup!$A$2,$BD88*ROUNDUP(BK88/10,0)+1,
IF($BC88=Lookup!$A$3,($BD88+1)^BJ88,
IF($BC88=Lookup!$A$4,BK88*$BD88+1,"Error")))</f>
        <v>1</v>
      </c>
      <c r="BT88" s="249">
        <f>IF($BC88=Lookup!$A$2,$BD88*ROUNDUP(BL88/10,0)+1,
IF($BC88=Lookup!$A$3,($BD88+1)^BK88,
IF($BC88=Lookup!$A$4,BL88*$BD88+1,"Error")))</f>
        <v>1</v>
      </c>
      <c r="BU88" s="320">
        <v>0</v>
      </c>
      <c r="BV88" s="321">
        <v>0</v>
      </c>
      <c r="BW88" s="321">
        <v>0</v>
      </c>
      <c r="BX88" s="321">
        <v>0</v>
      </c>
      <c r="BY88" s="321">
        <v>0</v>
      </c>
      <c r="BZ88" s="321">
        <v>0</v>
      </c>
      <c r="CA88" s="321">
        <v>0</v>
      </c>
      <c r="CB88" s="277">
        <v>0</v>
      </c>
      <c r="CC88" s="382" t="s">
        <v>293</v>
      </c>
      <c r="CD88" s="383">
        <f>HLOOKUP($CC88,$AK$6:$AM$132,ROWS(CD$6:CD88),0)</f>
        <v>0</v>
      </c>
      <c r="CE88" s="234">
        <f t="shared" si="81"/>
        <v>0</v>
      </c>
      <c r="CF88" s="96">
        <f t="shared" si="81"/>
        <v>0</v>
      </c>
      <c r="CG88" s="96">
        <f t="shared" si="81"/>
        <v>0</v>
      </c>
      <c r="CH88" s="96">
        <f t="shared" si="81"/>
        <v>0</v>
      </c>
      <c r="CI88" s="96">
        <f t="shared" si="50"/>
        <v>0</v>
      </c>
      <c r="CJ88" s="96">
        <f t="shared" si="50"/>
        <v>0</v>
      </c>
      <c r="CK88" s="96">
        <f t="shared" si="50"/>
        <v>0</v>
      </c>
      <c r="CL88" s="286">
        <f t="shared" si="50"/>
        <v>0</v>
      </c>
      <c r="CM88" s="305" t="s">
        <v>292</v>
      </c>
      <c r="CN88" s="315">
        <v>0.05</v>
      </c>
      <c r="CO88" s="306"/>
      <c r="CP88" s="307" t="str">
        <f>IF($CO88&lt;&gt;"",$CO88,HLOOKUP($CM88,$AY$6:$BA$132,ROWS(CP$6:CP88),0))</f>
        <v/>
      </c>
      <c r="CQ88" s="784" t="str">
        <f t="shared" si="78"/>
        <v/>
      </c>
      <c r="CR88" s="784" t="str">
        <f t="shared" si="78"/>
        <v/>
      </c>
      <c r="CS88" s="97" t="str">
        <f t="shared" si="78"/>
        <v/>
      </c>
      <c r="CT88" s="97" t="str">
        <f t="shared" si="78"/>
        <v/>
      </c>
      <c r="CU88" s="97" t="str">
        <f t="shared" si="78"/>
        <v/>
      </c>
      <c r="CV88" s="97" t="str">
        <f t="shared" si="78"/>
        <v/>
      </c>
      <c r="CW88" s="97" t="str">
        <f t="shared" si="78"/>
        <v/>
      </c>
      <c r="CX88" s="98" t="str">
        <f t="shared" si="32"/>
        <v/>
      </c>
    </row>
    <row r="89" spans="1:102" x14ac:dyDescent="0.25">
      <c r="A89" s="81" t="s">
        <v>138</v>
      </c>
      <c r="B89" s="82" t="s">
        <v>181</v>
      </c>
      <c r="C89" s="83" t="s">
        <v>379</v>
      </c>
      <c r="D89" s="84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654">
        <f>'2022-23 Input'!H89</f>
        <v>0</v>
      </c>
      <c r="N89" s="1065">
        <v>0</v>
      </c>
      <c r="O89" s="560">
        <f t="shared" si="79"/>
        <v>0</v>
      </c>
      <c r="P89" s="561">
        <f t="shared" si="53"/>
        <v>0</v>
      </c>
      <c r="Q89" s="561">
        <f t="shared" si="54"/>
        <v>0</v>
      </c>
      <c r="R89" s="561">
        <f t="shared" si="55"/>
        <v>0</v>
      </c>
      <c r="S89" s="561">
        <f t="shared" si="56"/>
        <v>0</v>
      </c>
      <c r="T89" s="561">
        <f t="shared" si="57"/>
        <v>0</v>
      </c>
      <c r="U89" s="561">
        <f t="shared" si="58"/>
        <v>0</v>
      </c>
      <c r="V89" s="561">
        <f t="shared" si="59"/>
        <v>0</v>
      </c>
      <c r="W89" s="675">
        <f t="shared" si="60"/>
        <v>0</v>
      </c>
      <c r="X89" s="675">
        <f t="shared" si="61"/>
        <v>0</v>
      </c>
      <c r="Y89" s="675">
        <f t="shared" si="61"/>
        <v>0</v>
      </c>
      <c r="Z89" s="86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0</v>
      </c>
      <c r="AF89" s="87">
        <v>0</v>
      </c>
      <c r="AG89" s="87">
        <v>0</v>
      </c>
      <c r="AH89" s="87">
        <v>0</v>
      </c>
      <c r="AI89" s="1094">
        <f>'2022-23 Input'!O89</f>
        <v>0</v>
      </c>
      <c r="AJ89" s="665">
        <v>0</v>
      </c>
      <c r="AK89" s="88">
        <f t="shared" si="62"/>
        <v>0</v>
      </c>
      <c r="AL89" s="89">
        <f t="shared" si="63"/>
        <v>0</v>
      </c>
      <c r="AM89" s="90">
        <f t="shared" si="64"/>
        <v>0</v>
      </c>
      <c r="AN89" s="91" t="str">
        <f t="shared" si="65"/>
        <v/>
      </c>
      <c r="AO89" s="92" t="str">
        <f t="shared" si="66"/>
        <v/>
      </c>
      <c r="AP89" s="92" t="str">
        <f t="shared" si="67"/>
        <v/>
      </c>
      <c r="AQ89" s="92" t="str">
        <f t="shared" si="68"/>
        <v/>
      </c>
      <c r="AR89" s="92" t="str">
        <f t="shared" si="69"/>
        <v/>
      </c>
      <c r="AS89" s="92" t="str">
        <f t="shared" si="70"/>
        <v/>
      </c>
      <c r="AT89" s="92" t="str">
        <f t="shared" si="71"/>
        <v/>
      </c>
      <c r="AU89" s="92" t="str">
        <f t="shared" si="72"/>
        <v/>
      </c>
      <c r="AV89" s="92" t="str">
        <f t="shared" si="82"/>
        <v/>
      </c>
      <c r="AW89" s="92" t="str">
        <f t="shared" si="82"/>
        <v/>
      </c>
      <c r="AX89" s="92" t="str">
        <f t="shared" si="82"/>
        <v/>
      </c>
      <c r="AY89" s="93" t="str">
        <f t="shared" si="74"/>
        <v/>
      </c>
      <c r="AZ89" s="94" t="str">
        <f t="shared" si="75"/>
        <v/>
      </c>
      <c r="BA89" s="95" t="str">
        <f t="shared" si="76"/>
        <v/>
      </c>
      <c r="BB89" s="248" t="s">
        <v>422</v>
      </c>
      <c r="BC89" s="229" t="s">
        <v>433</v>
      </c>
      <c r="BD89" s="249">
        <v>0</v>
      </c>
      <c r="BE89" s="267">
        <f t="shared" si="80"/>
        <v>0</v>
      </c>
      <c r="BF89" s="268">
        <f t="shared" si="83"/>
        <v>0</v>
      </c>
      <c r="BG89" s="268">
        <f t="shared" si="83"/>
        <v>0</v>
      </c>
      <c r="BH89" s="268">
        <f t="shared" si="83"/>
        <v>1</v>
      </c>
      <c r="BI89" s="268">
        <f t="shared" si="83"/>
        <v>2</v>
      </c>
      <c r="BJ89" s="268">
        <f t="shared" si="83"/>
        <v>3</v>
      </c>
      <c r="BK89" s="268">
        <f t="shared" si="83"/>
        <v>4</v>
      </c>
      <c r="BL89" s="269">
        <f t="shared" si="83"/>
        <v>5</v>
      </c>
      <c r="BM89" s="256">
        <f>IF($BC89=Lookup!$A$2,$BD89*ROUNDUP(BE89/10,0)+1,
IF($BC89=Lookup!$A$3,($BD89+1)^BD89,
IF($BC89=Lookup!$A$4,BE89*$BD89+1,"Error")))</f>
        <v>1</v>
      </c>
      <c r="BN89" s="229">
        <f>IF($BC89=Lookup!$A$2,$BD89*ROUNDUP(BF89/10,0)+1,
IF($BC89=Lookup!$A$3,($BD89+1)^BE89,
IF($BC89=Lookup!$A$4,BF89*$BD89+1,"Error")))</f>
        <v>1</v>
      </c>
      <c r="BO89" s="229">
        <f>IF($BC89=Lookup!$A$2,$BD89*ROUNDUP(BG89/10,0)+1,
IF($BC89=Lookup!$A$3,($BD89+1)^BF89,
IF($BC89=Lookup!$A$4,BG89*$BD89+1,"Error")))</f>
        <v>1</v>
      </c>
      <c r="BP89" s="229">
        <f>IF($BC89=Lookup!$A$2,$BD89*ROUNDUP(BH89/10,0)+1,
IF($BC89=Lookup!$A$3,($BD89+1)^BG89,
IF($BC89=Lookup!$A$4,BH89*$BD89+1,"Error")))</f>
        <v>1</v>
      </c>
      <c r="BQ89" s="229">
        <f>IF($BC89=Lookup!$A$2,$BD89*ROUNDUP(BI89/10,0)+1,
IF($BC89=Lookup!$A$3,($BD89+1)^BH89,
IF($BC89=Lookup!$A$4,BI89*$BD89+1,"Error")))</f>
        <v>1</v>
      </c>
      <c r="BR89" s="229">
        <f>IF($BC89=Lookup!$A$2,$BD89*ROUNDUP(BJ89/10,0)+1,
IF($BC89=Lookup!$A$3,($BD89+1)^BI89,
IF($BC89=Lookup!$A$4,BJ89*$BD89+1,"Error")))</f>
        <v>1</v>
      </c>
      <c r="BS89" s="229">
        <f>IF($BC89=Lookup!$A$2,$BD89*ROUNDUP(BK89/10,0)+1,
IF($BC89=Lookup!$A$3,($BD89+1)^BJ89,
IF($BC89=Lookup!$A$4,BK89*$BD89+1,"Error")))</f>
        <v>1</v>
      </c>
      <c r="BT89" s="249">
        <f>IF($BC89=Lookup!$A$2,$BD89*ROUNDUP(BL89/10,0)+1,
IF($BC89=Lookup!$A$3,($BD89+1)^BK89,
IF($BC89=Lookup!$A$4,BL89*$BD89+1,"Error")))</f>
        <v>1</v>
      </c>
      <c r="BU89" s="320">
        <v>0</v>
      </c>
      <c r="BV89" s="321">
        <v>0</v>
      </c>
      <c r="BW89" s="321">
        <v>0</v>
      </c>
      <c r="BX89" s="321">
        <v>0</v>
      </c>
      <c r="BY89" s="321">
        <v>0</v>
      </c>
      <c r="BZ89" s="321">
        <v>0</v>
      </c>
      <c r="CA89" s="321">
        <v>0</v>
      </c>
      <c r="CB89" s="277">
        <v>0</v>
      </c>
      <c r="CC89" s="382" t="s">
        <v>293</v>
      </c>
      <c r="CD89" s="383">
        <f>HLOOKUP($CC89,$AK$6:$AM$132,ROWS(CD$6:CD89),0)</f>
        <v>0</v>
      </c>
      <c r="CE89" s="234">
        <f t="shared" si="81"/>
        <v>0</v>
      </c>
      <c r="CF89" s="96">
        <f t="shared" si="81"/>
        <v>0</v>
      </c>
      <c r="CG89" s="96">
        <f t="shared" si="81"/>
        <v>0</v>
      </c>
      <c r="CH89" s="96">
        <f t="shared" si="81"/>
        <v>0</v>
      </c>
      <c r="CI89" s="96">
        <f t="shared" si="50"/>
        <v>0</v>
      </c>
      <c r="CJ89" s="96">
        <f t="shared" si="50"/>
        <v>0</v>
      </c>
      <c r="CK89" s="96">
        <f t="shared" si="50"/>
        <v>0</v>
      </c>
      <c r="CL89" s="286">
        <f t="shared" si="50"/>
        <v>0</v>
      </c>
      <c r="CM89" s="305" t="s">
        <v>292</v>
      </c>
      <c r="CN89" s="315">
        <v>0.05</v>
      </c>
      <c r="CO89" s="306"/>
      <c r="CP89" s="307" t="str">
        <f>IF($CO89&lt;&gt;"",$CO89,HLOOKUP($CM89,$AY$6:$BA$132,ROWS(CP$6:CP89),0))</f>
        <v/>
      </c>
      <c r="CQ89" s="784" t="str">
        <f t="shared" si="78"/>
        <v/>
      </c>
      <c r="CR89" s="784" t="str">
        <f t="shared" si="78"/>
        <v/>
      </c>
      <c r="CS89" s="97" t="str">
        <f t="shared" si="78"/>
        <v/>
      </c>
      <c r="CT89" s="97" t="str">
        <f t="shared" si="78"/>
        <v/>
      </c>
      <c r="CU89" s="97" t="str">
        <f t="shared" si="78"/>
        <v/>
      </c>
      <c r="CV89" s="97" t="str">
        <f t="shared" si="78"/>
        <v/>
      </c>
      <c r="CW89" s="97" t="str">
        <f t="shared" si="78"/>
        <v/>
      </c>
      <c r="CX89" s="98" t="str">
        <f t="shared" si="32"/>
        <v/>
      </c>
    </row>
    <row r="90" spans="1:102" x14ac:dyDescent="0.25">
      <c r="A90" s="81" t="s">
        <v>138</v>
      </c>
      <c r="B90" s="82" t="s">
        <v>183</v>
      </c>
      <c r="C90" s="83" t="s">
        <v>380</v>
      </c>
      <c r="D90" s="84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654">
        <f>'2022-23 Input'!H90</f>
        <v>0</v>
      </c>
      <c r="N90" s="1065">
        <v>0</v>
      </c>
      <c r="O90" s="560">
        <f t="shared" si="79"/>
        <v>0</v>
      </c>
      <c r="P90" s="561">
        <f t="shared" si="53"/>
        <v>0</v>
      </c>
      <c r="Q90" s="561">
        <f t="shared" si="54"/>
        <v>0</v>
      </c>
      <c r="R90" s="561">
        <f t="shared" si="55"/>
        <v>0</v>
      </c>
      <c r="S90" s="561">
        <f t="shared" si="56"/>
        <v>0</v>
      </c>
      <c r="T90" s="561">
        <f t="shared" si="57"/>
        <v>0</v>
      </c>
      <c r="U90" s="561">
        <f t="shared" si="58"/>
        <v>0</v>
      </c>
      <c r="V90" s="561">
        <f t="shared" si="59"/>
        <v>0</v>
      </c>
      <c r="W90" s="675">
        <f t="shared" si="60"/>
        <v>0</v>
      </c>
      <c r="X90" s="675">
        <f t="shared" si="61"/>
        <v>0</v>
      </c>
      <c r="Y90" s="675">
        <f t="shared" si="61"/>
        <v>0</v>
      </c>
      <c r="Z90" s="86">
        <v>0</v>
      </c>
      <c r="AA90" s="87">
        <v>0</v>
      </c>
      <c r="AB90" s="87">
        <v>0</v>
      </c>
      <c r="AC90" s="87">
        <v>0</v>
      </c>
      <c r="AD90" s="87">
        <v>0</v>
      </c>
      <c r="AE90" s="87">
        <v>0</v>
      </c>
      <c r="AF90" s="87">
        <v>0</v>
      </c>
      <c r="AG90" s="87">
        <v>0</v>
      </c>
      <c r="AH90" s="87">
        <v>0</v>
      </c>
      <c r="AI90" s="1094">
        <f>'2022-23 Input'!O90</f>
        <v>0</v>
      </c>
      <c r="AJ90" s="665">
        <v>0</v>
      </c>
      <c r="AK90" s="88">
        <f t="shared" si="62"/>
        <v>0</v>
      </c>
      <c r="AL90" s="89">
        <f t="shared" si="63"/>
        <v>0</v>
      </c>
      <c r="AM90" s="90">
        <f t="shared" si="64"/>
        <v>0</v>
      </c>
      <c r="AN90" s="91" t="str">
        <f t="shared" si="65"/>
        <v/>
      </c>
      <c r="AO90" s="92" t="str">
        <f t="shared" si="66"/>
        <v/>
      </c>
      <c r="AP90" s="92" t="str">
        <f t="shared" si="67"/>
        <v/>
      </c>
      <c r="AQ90" s="92" t="str">
        <f t="shared" si="68"/>
        <v/>
      </c>
      <c r="AR90" s="92" t="str">
        <f t="shared" si="69"/>
        <v/>
      </c>
      <c r="AS90" s="92" t="str">
        <f t="shared" si="70"/>
        <v/>
      </c>
      <c r="AT90" s="92" t="str">
        <f t="shared" si="71"/>
        <v/>
      </c>
      <c r="AU90" s="92" t="str">
        <f t="shared" si="72"/>
        <v/>
      </c>
      <c r="AV90" s="92" t="str">
        <f t="shared" si="82"/>
        <v/>
      </c>
      <c r="AW90" s="92" t="str">
        <f t="shared" si="82"/>
        <v/>
      </c>
      <c r="AX90" s="92" t="str">
        <f t="shared" si="82"/>
        <v/>
      </c>
      <c r="AY90" s="93" t="str">
        <f t="shared" si="74"/>
        <v/>
      </c>
      <c r="AZ90" s="94" t="str">
        <f t="shared" si="75"/>
        <v/>
      </c>
      <c r="BA90" s="95" t="str">
        <f t="shared" si="76"/>
        <v/>
      </c>
      <c r="BB90" s="248" t="s">
        <v>422</v>
      </c>
      <c r="BC90" s="229" t="s">
        <v>433</v>
      </c>
      <c r="BD90" s="249">
        <v>0</v>
      </c>
      <c r="BE90" s="267">
        <f t="shared" si="80"/>
        <v>0</v>
      </c>
      <c r="BF90" s="268">
        <f t="shared" si="83"/>
        <v>0</v>
      </c>
      <c r="BG90" s="268">
        <f t="shared" si="83"/>
        <v>0</v>
      </c>
      <c r="BH90" s="268">
        <f t="shared" si="83"/>
        <v>1</v>
      </c>
      <c r="BI90" s="268">
        <f t="shared" si="83"/>
        <v>2</v>
      </c>
      <c r="BJ90" s="268">
        <f t="shared" si="83"/>
        <v>3</v>
      </c>
      <c r="BK90" s="268">
        <f t="shared" si="83"/>
        <v>4</v>
      </c>
      <c r="BL90" s="269">
        <f t="shared" si="83"/>
        <v>5</v>
      </c>
      <c r="BM90" s="256">
        <f>IF($BC90=Lookup!$A$2,$BD90*ROUNDUP(BE90/10,0)+1,
IF($BC90=Lookup!$A$3,($BD90+1)^BD90,
IF($BC90=Lookup!$A$4,BE90*$BD90+1,"Error")))</f>
        <v>1</v>
      </c>
      <c r="BN90" s="229">
        <f>IF($BC90=Lookup!$A$2,$BD90*ROUNDUP(BF90/10,0)+1,
IF($BC90=Lookup!$A$3,($BD90+1)^BE90,
IF($BC90=Lookup!$A$4,BF90*$BD90+1,"Error")))</f>
        <v>1</v>
      </c>
      <c r="BO90" s="229">
        <f>IF($BC90=Lookup!$A$2,$BD90*ROUNDUP(BG90/10,0)+1,
IF($BC90=Lookup!$A$3,($BD90+1)^BF90,
IF($BC90=Lookup!$A$4,BG90*$BD90+1,"Error")))</f>
        <v>1</v>
      </c>
      <c r="BP90" s="229">
        <f>IF($BC90=Lookup!$A$2,$BD90*ROUNDUP(BH90/10,0)+1,
IF($BC90=Lookup!$A$3,($BD90+1)^BG90,
IF($BC90=Lookup!$A$4,BH90*$BD90+1,"Error")))</f>
        <v>1</v>
      </c>
      <c r="BQ90" s="229">
        <f>IF($BC90=Lookup!$A$2,$BD90*ROUNDUP(BI90/10,0)+1,
IF($BC90=Lookup!$A$3,($BD90+1)^BH90,
IF($BC90=Lookup!$A$4,BI90*$BD90+1,"Error")))</f>
        <v>1</v>
      </c>
      <c r="BR90" s="229">
        <f>IF($BC90=Lookup!$A$2,$BD90*ROUNDUP(BJ90/10,0)+1,
IF($BC90=Lookup!$A$3,($BD90+1)^BI90,
IF($BC90=Lookup!$A$4,BJ90*$BD90+1,"Error")))</f>
        <v>1</v>
      </c>
      <c r="BS90" s="229">
        <f>IF($BC90=Lookup!$A$2,$BD90*ROUNDUP(BK90/10,0)+1,
IF($BC90=Lookup!$A$3,($BD90+1)^BJ90,
IF($BC90=Lookup!$A$4,BK90*$BD90+1,"Error")))</f>
        <v>1</v>
      </c>
      <c r="BT90" s="249">
        <f>IF($BC90=Lookup!$A$2,$BD90*ROUNDUP(BL90/10,0)+1,
IF($BC90=Lookup!$A$3,($BD90+1)^BK90,
IF($BC90=Lookup!$A$4,BL90*$BD90+1,"Error")))</f>
        <v>1</v>
      </c>
      <c r="BU90" s="320">
        <v>0</v>
      </c>
      <c r="BV90" s="321">
        <v>0</v>
      </c>
      <c r="BW90" s="321">
        <v>0</v>
      </c>
      <c r="BX90" s="321">
        <v>0</v>
      </c>
      <c r="BY90" s="321">
        <v>0</v>
      </c>
      <c r="BZ90" s="321">
        <v>0</v>
      </c>
      <c r="CA90" s="321">
        <v>0</v>
      </c>
      <c r="CB90" s="277">
        <v>0</v>
      </c>
      <c r="CC90" s="382" t="s">
        <v>293</v>
      </c>
      <c r="CD90" s="383">
        <f>HLOOKUP($CC90,$AK$6:$AM$132,ROWS(CD$6:CD90),0)</f>
        <v>0</v>
      </c>
      <c r="CE90" s="234">
        <f t="shared" si="81"/>
        <v>0</v>
      </c>
      <c r="CF90" s="96">
        <f t="shared" si="81"/>
        <v>0</v>
      </c>
      <c r="CG90" s="96">
        <f t="shared" si="81"/>
        <v>0</v>
      </c>
      <c r="CH90" s="96">
        <f t="shared" si="81"/>
        <v>0</v>
      </c>
      <c r="CI90" s="96">
        <f t="shared" si="50"/>
        <v>0</v>
      </c>
      <c r="CJ90" s="96">
        <f t="shared" si="50"/>
        <v>0</v>
      </c>
      <c r="CK90" s="96">
        <f t="shared" si="50"/>
        <v>0</v>
      </c>
      <c r="CL90" s="286">
        <f t="shared" si="50"/>
        <v>0</v>
      </c>
      <c r="CM90" s="305" t="s">
        <v>292</v>
      </c>
      <c r="CN90" s="315">
        <v>0.05</v>
      </c>
      <c r="CO90" s="306"/>
      <c r="CP90" s="307" t="str">
        <f>IF($CO90&lt;&gt;"",$CO90,HLOOKUP($CM90,$AY$6:$BA$132,ROWS(CP$6:CP90),0))</f>
        <v/>
      </c>
      <c r="CQ90" s="784" t="str">
        <f t="shared" si="78"/>
        <v/>
      </c>
      <c r="CR90" s="784" t="str">
        <f t="shared" si="78"/>
        <v/>
      </c>
      <c r="CS90" s="97" t="str">
        <f t="shared" si="78"/>
        <v/>
      </c>
      <c r="CT90" s="97" t="str">
        <f t="shared" si="78"/>
        <v/>
      </c>
      <c r="CU90" s="97" t="str">
        <f t="shared" si="78"/>
        <v/>
      </c>
      <c r="CV90" s="97" t="str">
        <f t="shared" si="78"/>
        <v/>
      </c>
      <c r="CW90" s="97" t="str">
        <f t="shared" si="78"/>
        <v/>
      </c>
      <c r="CX90" s="98" t="str">
        <f t="shared" si="32"/>
        <v/>
      </c>
    </row>
    <row r="91" spans="1:102" x14ac:dyDescent="0.25">
      <c r="A91" s="81" t="s">
        <v>138</v>
      </c>
      <c r="B91" s="82" t="s">
        <v>185</v>
      </c>
      <c r="C91" s="83" t="s">
        <v>381</v>
      </c>
      <c r="D91" s="84">
        <v>0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654">
        <f>'2022-23 Input'!H91</f>
        <v>0</v>
      </c>
      <c r="N91" s="1065">
        <v>0</v>
      </c>
      <c r="O91" s="560">
        <f t="shared" si="79"/>
        <v>0</v>
      </c>
      <c r="P91" s="561">
        <f t="shared" si="53"/>
        <v>0</v>
      </c>
      <c r="Q91" s="561">
        <f t="shared" si="54"/>
        <v>0</v>
      </c>
      <c r="R91" s="561">
        <f t="shared" si="55"/>
        <v>0</v>
      </c>
      <c r="S91" s="561">
        <f t="shared" si="56"/>
        <v>0</v>
      </c>
      <c r="T91" s="561">
        <f t="shared" si="57"/>
        <v>0</v>
      </c>
      <c r="U91" s="561">
        <f t="shared" si="58"/>
        <v>0</v>
      </c>
      <c r="V91" s="561">
        <f t="shared" si="59"/>
        <v>0</v>
      </c>
      <c r="W91" s="675">
        <f t="shared" si="60"/>
        <v>0</v>
      </c>
      <c r="X91" s="675">
        <f t="shared" si="61"/>
        <v>0</v>
      </c>
      <c r="Y91" s="675">
        <f t="shared" si="61"/>
        <v>0</v>
      </c>
      <c r="Z91" s="86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87">
        <v>0</v>
      </c>
      <c r="AI91" s="1094">
        <f>'2022-23 Input'!O91</f>
        <v>0</v>
      </c>
      <c r="AJ91" s="665">
        <v>0</v>
      </c>
      <c r="AK91" s="88">
        <f t="shared" si="62"/>
        <v>0</v>
      </c>
      <c r="AL91" s="89">
        <f t="shared" si="63"/>
        <v>0</v>
      </c>
      <c r="AM91" s="90">
        <f t="shared" si="64"/>
        <v>0</v>
      </c>
      <c r="AN91" s="91" t="str">
        <f t="shared" si="65"/>
        <v/>
      </c>
      <c r="AO91" s="92" t="str">
        <f t="shared" si="66"/>
        <v/>
      </c>
      <c r="AP91" s="92" t="str">
        <f t="shared" si="67"/>
        <v/>
      </c>
      <c r="AQ91" s="92" t="str">
        <f t="shared" si="68"/>
        <v/>
      </c>
      <c r="AR91" s="92" t="str">
        <f t="shared" si="69"/>
        <v/>
      </c>
      <c r="AS91" s="92" t="str">
        <f t="shared" si="70"/>
        <v/>
      </c>
      <c r="AT91" s="92" t="str">
        <f t="shared" si="71"/>
        <v/>
      </c>
      <c r="AU91" s="92" t="str">
        <f t="shared" si="72"/>
        <v/>
      </c>
      <c r="AV91" s="92" t="str">
        <f t="shared" si="82"/>
        <v/>
      </c>
      <c r="AW91" s="92" t="str">
        <f t="shared" si="82"/>
        <v/>
      </c>
      <c r="AX91" s="92" t="str">
        <f t="shared" si="82"/>
        <v/>
      </c>
      <c r="AY91" s="93" t="str">
        <f t="shared" si="74"/>
        <v/>
      </c>
      <c r="AZ91" s="94" t="str">
        <f t="shared" si="75"/>
        <v/>
      </c>
      <c r="BA91" s="95" t="str">
        <f t="shared" si="76"/>
        <v/>
      </c>
      <c r="BB91" s="248" t="s">
        <v>422</v>
      </c>
      <c r="BC91" s="229" t="s">
        <v>433</v>
      </c>
      <c r="BD91" s="249">
        <v>0</v>
      </c>
      <c r="BE91" s="267">
        <f t="shared" si="80"/>
        <v>0</v>
      </c>
      <c r="BF91" s="268">
        <f t="shared" si="83"/>
        <v>0</v>
      </c>
      <c r="BG91" s="268">
        <f t="shared" si="83"/>
        <v>0</v>
      </c>
      <c r="BH91" s="268">
        <f t="shared" si="83"/>
        <v>1</v>
      </c>
      <c r="BI91" s="268">
        <f t="shared" si="83"/>
        <v>2</v>
      </c>
      <c r="BJ91" s="268">
        <f t="shared" si="83"/>
        <v>3</v>
      </c>
      <c r="BK91" s="268">
        <f t="shared" si="83"/>
        <v>4</v>
      </c>
      <c r="BL91" s="269">
        <f t="shared" si="83"/>
        <v>5</v>
      </c>
      <c r="BM91" s="256">
        <f>IF($BC91=Lookup!$A$2,$BD91*ROUNDUP(BE91/10,0)+1,
IF($BC91=Lookup!$A$3,($BD91+1)^BD91,
IF($BC91=Lookup!$A$4,BE91*$BD91+1,"Error")))</f>
        <v>1</v>
      </c>
      <c r="BN91" s="229">
        <f>IF($BC91=Lookup!$A$2,$BD91*ROUNDUP(BF91/10,0)+1,
IF($BC91=Lookup!$A$3,($BD91+1)^BE91,
IF($BC91=Lookup!$A$4,BF91*$BD91+1,"Error")))</f>
        <v>1</v>
      </c>
      <c r="BO91" s="229">
        <f>IF($BC91=Lookup!$A$2,$BD91*ROUNDUP(BG91/10,0)+1,
IF($BC91=Lookup!$A$3,($BD91+1)^BF91,
IF($BC91=Lookup!$A$4,BG91*$BD91+1,"Error")))</f>
        <v>1</v>
      </c>
      <c r="BP91" s="229">
        <f>IF($BC91=Lookup!$A$2,$BD91*ROUNDUP(BH91/10,0)+1,
IF($BC91=Lookup!$A$3,($BD91+1)^BG91,
IF($BC91=Lookup!$A$4,BH91*$BD91+1,"Error")))</f>
        <v>1</v>
      </c>
      <c r="BQ91" s="229">
        <f>IF($BC91=Lookup!$A$2,$BD91*ROUNDUP(BI91/10,0)+1,
IF($BC91=Lookup!$A$3,($BD91+1)^BH91,
IF($BC91=Lookup!$A$4,BI91*$BD91+1,"Error")))</f>
        <v>1</v>
      </c>
      <c r="BR91" s="229">
        <f>IF($BC91=Lookup!$A$2,$BD91*ROUNDUP(BJ91/10,0)+1,
IF($BC91=Lookup!$A$3,($BD91+1)^BI91,
IF($BC91=Lookup!$A$4,BJ91*$BD91+1,"Error")))</f>
        <v>1</v>
      </c>
      <c r="BS91" s="229">
        <f>IF($BC91=Lookup!$A$2,$BD91*ROUNDUP(BK91/10,0)+1,
IF($BC91=Lookup!$A$3,($BD91+1)^BJ91,
IF($BC91=Lookup!$A$4,BK91*$BD91+1,"Error")))</f>
        <v>1</v>
      </c>
      <c r="BT91" s="249">
        <f>IF($BC91=Lookup!$A$2,$BD91*ROUNDUP(BL91/10,0)+1,
IF($BC91=Lookup!$A$3,($BD91+1)^BK91,
IF($BC91=Lookup!$A$4,BL91*$BD91+1,"Error")))</f>
        <v>1</v>
      </c>
      <c r="BU91" s="320">
        <v>0</v>
      </c>
      <c r="BV91" s="321">
        <v>0</v>
      </c>
      <c r="BW91" s="321">
        <v>0</v>
      </c>
      <c r="BX91" s="321">
        <v>0</v>
      </c>
      <c r="BY91" s="321">
        <v>0</v>
      </c>
      <c r="BZ91" s="321">
        <v>0</v>
      </c>
      <c r="CA91" s="321">
        <v>0</v>
      </c>
      <c r="CB91" s="277">
        <v>0</v>
      </c>
      <c r="CC91" s="382" t="s">
        <v>293</v>
      </c>
      <c r="CD91" s="383">
        <f>HLOOKUP($CC91,$AK$6:$AM$132,ROWS(CD$6:CD91),0)</f>
        <v>0</v>
      </c>
      <c r="CE91" s="234">
        <f t="shared" si="81"/>
        <v>0</v>
      </c>
      <c r="CF91" s="96">
        <f t="shared" si="81"/>
        <v>0</v>
      </c>
      <c r="CG91" s="96">
        <f t="shared" si="81"/>
        <v>0</v>
      </c>
      <c r="CH91" s="96">
        <f t="shared" si="81"/>
        <v>0</v>
      </c>
      <c r="CI91" s="96">
        <f t="shared" si="50"/>
        <v>0</v>
      </c>
      <c r="CJ91" s="96">
        <f t="shared" si="50"/>
        <v>0</v>
      </c>
      <c r="CK91" s="96">
        <f t="shared" si="50"/>
        <v>0</v>
      </c>
      <c r="CL91" s="286">
        <f t="shared" si="50"/>
        <v>0</v>
      </c>
      <c r="CM91" s="305" t="s">
        <v>292</v>
      </c>
      <c r="CN91" s="315">
        <v>0.05</v>
      </c>
      <c r="CO91" s="306"/>
      <c r="CP91" s="307" t="str">
        <f>IF($CO91&lt;&gt;"",$CO91,HLOOKUP($CM91,$AY$6:$BA$132,ROWS(CP$6:CP91),0))</f>
        <v/>
      </c>
      <c r="CQ91" s="784" t="str">
        <f t="shared" si="78"/>
        <v/>
      </c>
      <c r="CR91" s="784" t="str">
        <f t="shared" si="78"/>
        <v/>
      </c>
      <c r="CS91" s="97" t="str">
        <f t="shared" si="78"/>
        <v/>
      </c>
      <c r="CT91" s="97" t="str">
        <f t="shared" si="78"/>
        <v/>
      </c>
      <c r="CU91" s="97" t="str">
        <f t="shared" si="78"/>
        <v/>
      </c>
      <c r="CV91" s="97" t="str">
        <f t="shared" si="78"/>
        <v/>
      </c>
      <c r="CW91" s="97" t="str">
        <f t="shared" si="78"/>
        <v/>
      </c>
      <c r="CX91" s="98" t="str">
        <f t="shared" si="32"/>
        <v/>
      </c>
    </row>
    <row r="92" spans="1:102" x14ac:dyDescent="0.25">
      <c r="A92" s="81" t="s">
        <v>138</v>
      </c>
      <c r="B92" s="82" t="s">
        <v>187</v>
      </c>
      <c r="C92" s="83" t="s">
        <v>382</v>
      </c>
      <c r="D92" s="84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654">
        <f>'2022-23 Input'!H92</f>
        <v>0</v>
      </c>
      <c r="N92" s="1065">
        <v>0</v>
      </c>
      <c r="O92" s="560">
        <f t="shared" si="79"/>
        <v>0</v>
      </c>
      <c r="P92" s="561">
        <f t="shared" si="53"/>
        <v>0</v>
      </c>
      <c r="Q92" s="561">
        <f t="shared" si="54"/>
        <v>0</v>
      </c>
      <c r="R92" s="561">
        <f t="shared" si="55"/>
        <v>0</v>
      </c>
      <c r="S92" s="561">
        <f t="shared" si="56"/>
        <v>0</v>
      </c>
      <c r="T92" s="561">
        <f t="shared" si="57"/>
        <v>0</v>
      </c>
      <c r="U92" s="561">
        <f t="shared" si="58"/>
        <v>0</v>
      </c>
      <c r="V92" s="561">
        <f t="shared" si="59"/>
        <v>0</v>
      </c>
      <c r="W92" s="675">
        <f t="shared" si="60"/>
        <v>0</v>
      </c>
      <c r="X92" s="675">
        <f t="shared" si="61"/>
        <v>0</v>
      </c>
      <c r="Y92" s="675">
        <f t="shared" si="61"/>
        <v>0</v>
      </c>
      <c r="Z92" s="86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1094">
        <f>'2022-23 Input'!O92</f>
        <v>0</v>
      </c>
      <c r="AJ92" s="665">
        <v>0</v>
      </c>
      <c r="AK92" s="88">
        <f t="shared" si="62"/>
        <v>0</v>
      </c>
      <c r="AL92" s="89">
        <f t="shared" si="63"/>
        <v>0</v>
      </c>
      <c r="AM92" s="90">
        <f t="shared" si="64"/>
        <v>0</v>
      </c>
      <c r="AN92" s="91" t="str">
        <f t="shared" si="65"/>
        <v/>
      </c>
      <c r="AO92" s="92" t="str">
        <f t="shared" si="66"/>
        <v/>
      </c>
      <c r="AP92" s="92" t="str">
        <f t="shared" si="67"/>
        <v/>
      </c>
      <c r="AQ92" s="92" t="str">
        <f t="shared" si="68"/>
        <v/>
      </c>
      <c r="AR92" s="92" t="str">
        <f t="shared" si="69"/>
        <v/>
      </c>
      <c r="AS92" s="92" t="str">
        <f t="shared" si="70"/>
        <v/>
      </c>
      <c r="AT92" s="92" t="str">
        <f t="shared" si="71"/>
        <v/>
      </c>
      <c r="AU92" s="92" t="str">
        <f t="shared" si="72"/>
        <v/>
      </c>
      <c r="AV92" s="92" t="str">
        <f t="shared" si="82"/>
        <v/>
      </c>
      <c r="AW92" s="92" t="str">
        <f t="shared" si="82"/>
        <v/>
      </c>
      <c r="AX92" s="92" t="str">
        <f t="shared" si="82"/>
        <v/>
      </c>
      <c r="AY92" s="93" t="str">
        <f t="shared" si="74"/>
        <v/>
      </c>
      <c r="AZ92" s="94" t="str">
        <f t="shared" si="75"/>
        <v/>
      </c>
      <c r="BA92" s="95" t="str">
        <f t="shared" si="76"/>
        <v/>
      </c>
      <c r="BB92" s="248" t="s">
        <v>422</v>
      </c>
      <c r="BC92" s="229" t="s">
        <v>433</v>
      </c>
      <c r="BD92" s="249">
        <v>0</v>
      </c>
      <c r="BE92" s="267">
        <f t="shared" si="80"/>
        <v>0</v>
      </c>
      <c r="BF92" s="268">
        <f t="shared" si="83"/>
        <v>0</v>
      </c>
      <c r="BG92" s="268">
        <f t="shared" si="83"/>
        <v>0</v>
      </c>
      <c r="BH92" s="268">
        <f t="shared" si="83"/>
        <v>1</v>
      </c>
      <c r="BI92" s="268">
        <f t="shared" si="83"/>
        <v>2</v>
      </c>
      <c r="BJ92" s="268">
        <f t="shared" si="83"/>
        <v>3</v>
      </c>
      <c r="BK92" s="268">
        <f t="shared" si="83"/>
        <v>4</v>
      </c>
      <c r="BL92" s="269">
        <f t="shared" si="83"/>
        <v>5</v>
      </c>
      <c r="BM92" s="256">
        <f>IF($BC92=Lookup!$A$2,$BD92*ROUNDUP(BE92/10,0)+1,
IF($BC92=Lookup!$A$3,($BD92+1)^BD92,
IF($BC92=Lookup!$A$4,BE92*$BD92+1,"Error")))</f>
        <v>1</v>
      </c>
      <c r="BN92" s="229">
        <f>IF($BC92=Lookup!$A$2,$BD92*ROUNDUP(BF92/10,0)+1,
IF($BC92=Lookup!$A$3,($BD92+1)^BE92,
IF($BC92=Lookup!$A$4,BF92*$BD92+1,"Error")))</f>
        <v>1</v>
      </c>
      <c r="BO92" s="229">
        <f>IF($BC92=Lookup!$A$2,$BD92*ROUNDUP(BG92/10,0)+1,
IF($BC92=Lookup!$A$3,($BD92+1)^BF92,
IF($BC92=Lookup!$A$4,BG92*$BD92+1,"Error")))</f>
        <v>1</v>
      </c>
      <c r="BP92" s="229">
        <f>IF($BC92=Lookup!$A$2,$BD92*ROUNDUP(BH92/10,0)+1,
IF($BC92=Lookup!$A$3,($BD92+1)^BG92,
IF($BC92=Lookup!$A$4,BH92*$BD92+1,"Error")))</f>
        <v>1</v>
      </c>
      <c r="BQ92" s="229">
        <f>IF($BC92=Lookup!$A$2,$BD92*ROUNDUP(BI92/10,0)+1,
IF($BC92=Lookup!$A$3,($BD92+1)^BH92,
IF($BC92=Lookup!$A$4,BI92*$BD92+1,"Error")))</f>
        <v>1</v>
      </c>
      <c r="BR92" s="229">
        <f>IF($BC92=Lookup!$A$2,$BD92*ROUNDUP(BJ92/10,0)+1,
IF($BC92=Lookup!$A$3,($BD92+1)^BI92,
IF($BC92=Lookup!$A$4,BJ92*$BD92+1,"Error")))</f>
        <v>1</v>
      </c>
      <c r="BS92" s="229">
        <f>IF($BC92=Lookup!$A$2,$BD92*ROUNDUP(BK92/10,0)+1,
IF($BC92=Lookup!$A$3,($BD92+1)^BJ92,
IF($BC92=Lookup!$A$4,BK92*$BD92+1,"Error")))</f>
        <v>1</v>
      </c>
      <c r="BT92" s="249">
        <f>IF($BC92=Lookup!$A$2,$BD92*ROUNDUP(BL92/10,0)+1,
IF($BC92=Lookup!$A$3,($BD92+1)^BK92,
IF($BC92=Lookup!$A$4,BL92*$BD92+1,"Error")))</f>
        <v>1</v>
      </c>
      <c r="BU92" s="320">
        <v>0</v>
      </c>
      <c r="BV92" s="321">
        <v>0</v>
      </c>
      <c r="BW92" s="321">
        <v>0</v>
      </c>
      <c r="BX92" s="321">
        <v>0</v>
      </c>
      <c r="BY92" s="321">
        <v>0</v>
      </c>
      <c r="BZ92" s="321">
        <v>0</v>
      </c>
      <c r="CA92" s="321">
        <v>0</v>
      </c>
      <c r="CB92" s="277">
        <v>0</v>
      </c>
      <c r="CC92" s="382" t="s">
        <v>293</v>
      </c>
      <c r="CD92" s="383">
        <f>HLOOKUP($CC92,$AK$6:$AM$132,ROWS(CD$6:CD92),0)</f>
        <v>0</v>
      </c>
      <c r="CE92" s="234">
        <f t="shared" si="81"/>
        <v>0</v>
      </c>
      <c r="CF92" s="96">
        <f t="shared" si="81"/>
        <v>0</v>
      </c>
      <c r="CG92" s="96">
        <f t="shared" si="81"/>
        <v>0</v>
      </c>
      <c r="CH92" s="96">
        <f t="shared" si="81"/>
        <v>0</v>
      </c>
      <c r="CI92" s="96">
        <f t="shared" si="50"/>
        <v>0</v>
      </c>
      <c r="CJ92" s="96">
        <f t="shared" si="50"/>
        <v>0</v>
      </c>
      <c r="CK92" s="96">
        <f t="shared" si="50"/>
        <v>0</v>
      </c>
      <c r="CL92" s="286">
        <f t="shared" si="50"/>
        <v>0</v>
      </c>
      <c r="CM92" s="305" t="s">
        <v>292</v>
      </c>
      <c r="CN92" s="315">
        <v>0.05</v>
      </c>
      <c r="CO92" s="306"/>
      <c r="CP92" s="307" t="str">
        <f>IF($CO92&lt;&gt;"",$CO92,HLOOKUP($CM92,$AY$6:$BA$132,ROWS(CP$6:CP92),0))</f>
        <v/>
      </c>
      <c r="CQ92" s="784" t="str">
        <f t="shared" si="78"/>
        <v/>
      </c>
      <c r="CR92" s="784" t="str">
        <f t="shared" si="78"/>
        <v/>
      </c>
      <c r="CS92" s="97" t="str">
        <f t="shared" si="78"/>
        <v/>
      </c>
      <c r="CT92" s="97" t="str">
        <f t="shared" si="78"/>
        <v/>
      </c>
      <c r="CU92" s="97" t="str">
        <f t="shared" si="78"/>
        <v/>
      </c>
      <c r="CV92" s="97" t="str">
        <f t="shared" si="78"/>
        <v/>
      </c>
      <c r="CW92" s="97" t="str">
        <f t="shared" si="78"/>
        <v/>
      </c>
      <c r="CX92" s="98" t="str">
        <f t="shared" si="32"/>
        <v/>
      </c>
    </row>
    <row r="93" spans="1:102" x14ac:dyDescent="0.25">
      <c r="A93" s="81" t="s">
        <v>138</v>
      </c>
      <c r="B93" s="82" t="s">
        <v>189</v>
      </c>
      <c r="C93" s="83" t="s">
        <v>383</v>
      </c>
      <c r="D93" s="84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654">
        <f>'2022-23 Input'!H93</f>
        <v>0</v>
      </c>
      <c r="N93" s="1065">
        <v>0</v>
      </c>
      <c r="O93" s="560">
        <f t="shared" si="79"/>
        <v>0</v>
      </c>
      <c r="P93" s="561">
        <f t="shared" si="53"/>
        <v>0</v>
      </c>
      <c r="Q93" s="561">
        <f t="shared" si="54"/>
        <v>0</v>
      </c>
      <c r="R93" s="561">
        <f t="shared" si="55"/>
        <v>0</v>
      </c>
      <c r="S93" s="561">
        <f t="shared" si="56"/>
        <v>0</v>
      </c>
      <c r="T93" s="561">
        <f t="shared" si="57"/>
        <v>0</v>
      </c>
      <c r="U93" s="561">
        <f t="shared" si="58"/>
        <v>0</v>
      </c>
      <c r="V93" s="561">
        <f t="shared" si="59"/>
        <v>0</v>
      </c>
      <c r="W93" s="675">
        <f t="shared" si="60"/>
        <v>0</v>
      </c>
      <c r="X93" s="675">
        <f t="shared" si="61"/>
        <v>0</v>
      </c>
      <c r="Y93" s="675">
        <f t="shared" si="61"/>
        <v>0</v>
      </c>
      <c r="Z93" s="86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87">
        <v>0</v>
      </c>
      <c r="AI93" s="1094">
        <f>'2022-23 Input'!O93</f>
        <v>0</v>
      </c>
      <c r="AJ93" s="665">
        <v>0</v>
      </c>
      <c r="AK93" s="88">
        <f t="shared" si="62"/>
        <v>0</v>
      </c>
      <c r="AL93" s="89">
        <f t="shared" si="63"/>
        <v>0</v>
      </c>
      <c r="AM93" s="90">
        <f t="shared" si="64"/>
        <v>0</v>
      </c>
      <c r="AN93" s="91" t="str">
        <f t="shared" si="65"/>
        <v/>
      </c>
      <c r="AO93" s="92" t="str">
        <f t="shared" si="66"/>
        <v/>
      </c>
      <c r="AP93" s="92" t="str">
        <f t="shared" si="67"/>
        <v/>
      </c>
      <c r="AQ93" s="92" t="str">
        <f t="shared" si="68"/>
        <v/>
      </c>
      <c r="AR93" s="92" t="str">
        <f t="shared" si="69"/>
        <v/>
      </c>
      <c r="AS93" s="92" t="str">
        <f t="shared" si="70"/>
        <v/>
      </c>
      <c r="AT93" s="92" t="str">
        <f t="shared" si="71"/>
        <v/>
      </c>
      <c r="AU93" s="92" t="str">
        <f t="shared" si="72"/>
        <v/>
      </c>
      <c r="AV93" s="92" t="str">
        <f t="shared" si="82"/>
        <v/>
      </c>
      <c r="AW93" s="92" t="str">
        <f t="shared" si="82"/>
        <v/>
      </c>
      <c r="AX93" s="92" t="str">
        <f t="shared" si="82"/>
        <v/>
      </c>
      <c r="AY93" s="93" t="str">
        <f t="shared" si="74"/>
        <v/>
      </c>
      <c r="AZ93" s="94" t="str">
        <f t="shared" si="75"/>
        <v/>
      </c>
      <c r="BA93" s="95" t="str">
        <f t="shared" si="76"/>
        <v/>
      </c>
      <c r="BB93" s="248" t="s">
        <v>422</v>
      </c>
      <c r="BC93" s="229" t="s">
        <v>433</v>
      </c>
      <c r="BD93" s="249">
        <v>0</v>
      </c>
      <c r="BE93" s="267">
        <f t="shared" si="80"/>
        <v>0</v>
      </c>
      <c r="BF93" s="268">
        <f t="shared" si="83"/>
        <v>0</v>
      </c>
      <c r="BG93" s="268">
        <f t="shared" si="83"/>
        <v>0</v>
      </c>
      <c r="BH93" s="268">
        <f t="shared" si="83"/>
        <v>1</v>
      </c>
      <c r="BI93" s="268">
        <f t="shared" si="83"/>
        <v>2</v>
      </c>
      <c r="BJ93" s="268">
        <f t="shared" si="83"/>
        <v>3</v>
      </c>
      <c r="BK93" s="268">
        <f t="shared" si="83"/>
        <v>4</v>
      </c>
      <c r="BL93" s="269">
        <f t="shared" si="83"/>
        <v>5</v>
      </c>
      <c r="BM93" s="256">
        <f>IF($BC93=Lookup!$A$2,$BD93*ROUNDUP(BE93/10,0)+1,
IF($BC93=Lookup!$A$3,($BD93+1)^BD93,
IF($BC93=Lookup!$A$4,BE93*$BD93+1,"Error")))</f>
        <v>1</v>
      </c>
      <c r="BN93" s="229">
        <f>IF($BC93=Lookup!$A$2,$BD93*ROUNDUP(BF93/10,0)+1,
IF($BC93=Lookup!$A$3,($BD93+1)^BE93,
IF($BC93=Lookup!$A$4,BF93*$BD93+1,"Error")))</f>
        <v>1</v>
      </c>
      <c r="BO93" s="229">
        <f>IF($BC93=Lookup!$A$2,$BD93*ROUNDUP(BG93/10,0)+1,
IF($BC93=Lookup!$A$3,($BD93+1)^BF93,
IF($BC93=Lookup!$A$4,BG93*$BD93+1,"Error")))</f>
        <v>1</v>
      </c>
      <c r="BP93" s="229">
        <f>IF($BC93=Lookup!$A$2,$BD93*ROUNDUP(BH93/10,0)+1,
IF($BC93=Lookup!$A$3,($BD93+1)^BG93,
IF($BC93=Lookup!$A$4,BH93*$BD93+1,"Error")))</f>
        <v>1</v>
      </c>
      <c r="BQ93" s="229">
        <f>IF($BC93=Lookup!$A$2,$BD93*ROUNDUP(BI93/10,0)+1,
IF($BC93=Lookup!$A$3,($BD93+1)^BH93,
IF($BC93=Lookup!$A$4,BI93*$BD93+1,"Error")))</f>
        <v>1</v>
      </c>
      <c r="BR93" s="229">
        <f>IF($BC93=Lookup!$A$2,$BD93*ROUNDUP(BJ93/10,0)+1,
IF($BC93=Lookup!$A$3,($BD93+1)^BI93,
IF($BC93=Lookup!$A$4,BJ93*$BD93+1,"Error")))</f>
        <v>1</v>
      </c>
      <c r="BS93" s="229">
        <f>IF($BC93=Lookup!$A$2,$BD93*ROUNDUP(BK93/10,0)+1,
IF($BC93=Lookup!$A$3,($BD93+1)^BJ93,
IF($BC93=Lookup!$A$4,BK93*$BD93+1,"Error")))</f>
        <v>1</v>
      </c>
      <c r="BT93" s="249">
        <f>IF($BC93=Lookup!$A$2,$BD93*ROUNDUP(BL93/10,0)+1,
IF($BC93=Lookup!$A$3,($BD93+1)^BK93,
IF($BC93=Lookup!$A$4,BL93*$BD93+1,"Error")))</f>
        <v>1</v>
      </c>
      <c r="BU93" s="320">
        <v>0</v>
      </c>
      <c r="BV93" s="321">
        <v>0</v>
      </c>
      <c r="BW93" s="321">
        <v>0</v>
      </c>
      <c r="BX93" s="321">
        <v>0</v>
      </c>
      <c r="BY93" s="321">
        <v>0</v>
      </c>
      <c r="BZ93" s="321">
        <v>0</v>
      </c>
      <c r="CA93" s="321">
        <v>0</v>
      </c>
      <c r="CB93" s="277">
        <v>0</v>
      </c>
      <c r="CC93" s="382" t="s">
        <v>293</v>
      </c>
      <c r="CD93" s="383">
        <f>HLOOKUP($CC93,$AK$6:$AM$132,ROWS(CD$6:CD93),0)</f>
        <v>0</v>
      </c>
      <c r="CE93" s="234">
        <f t="shared" si="81"/>
        <v>0</v>
      </c>
      <c r="CF93" s="96">
        <f t="shared" si="81"/>
        <v>0</v>
      </c>
      <c r="CG93" s="96">
        <f t="shared" si="81"/>
        <v>0</v>
      </c>
      <c r="CH93" s="96">
        <f t="shared" si="81"/>
        <v>0</v>
      </c>
      <c r="CI93" s="96">
        <f t="shared" si="50"/>
        <v>0</v>
      </c>
      <c r="CJ93" s="96">
        <f t="shared" si="50"/>
        <v>0</v>
      </c>
      <c r="CK93" s="96">
        <f t="shared" si="50"/>
        <v>0</v>
      </c>
      <c r="CL93" s="286">
        <f t="shared" si="50"/>
        <v>0</v>
      </c>
      <c r="CM93" s="305" t="s">
        <v>292</v>
      </c>
      <c r="CN93" s="315">
        <v>0.05</v>
      </c>
      <c r="CO93" s="306"/>
      <c r="CP93" s="307" t="str">
        <f>IF($CO93&lt;&gt;"",$CO93,HLOOKUP($CM93,$AY$6:$BA$132,ROWS(CP$6:CP93),0))</f>
        <v/>
      </c>
      <c r="CQ93" s="784" t="str">
        <f t="shared" si="78"/>
        <v/>
      </c>
      <c r="CR93" s="784" t="str">
        <f t="shared" si="78"/>
        <v/>
      </c>
      <c r="CS93" s="97" t="str">
        <f t="shared" si="78"/>
        <v/>
      </c>
      <c r="CT93" s="97" t="str">
        <f t="shared" si="78"/>
        <v/>
      </c>
      <c r="CU93" s="97" t="str">
        <f t="shared" si="78"/>
        <v/>
      </c>
      <c r="CV93" s="97" t="str">
        <f t="shared" si="78"/>
        <v/>
      </c>
      <c r="CW93" s="97" t="str">
        <f t="shared" si="78"/>
        <v/>
      </c>
      <c r="CX93" s="98" t="str">
        <f t="shared" si="32"/>
        <v/>
      </c>
    </row>
    <row r="94" spans="1:102" x14ac:dyDescent="0.25">
      <c r="A94" s="81" t="s">
        <v>138</v>
      </c>
      <c r="B94" s="82" t="s">
        <v>191</v>
      </c>
      <c r="C94" s="83" t="s">
        <v>384</v>
      </c>
      <c r="D94" s="84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654">
        <f>'2022-23 Input'!H94</f>
        <v>0</v>
      </c>
      <c r="N94" s="1065">
        <v>0</v>
      </c>
      <c r="O94" s="560">
        <f t="shared" si="79"/>
        <v>0</v>
      </c>
      <c r="P94" s="561">
        <f t="shared" si="53"/>
        <v>0</v>
      </c>
      <c r="Q94" s="561">
        <f t="shared" si="54"/>
        <v>0</v>
      </c>
      <c r="R94" s="561">
        <f t="shared" si="55"/>
        <v>0</v>
      </c>
      <c r="S94" s="561">
        <f t="shared" si="56"/>
        <v>0</v>
      </c>
      <c r="T94" s="561">
        <f t="shared" si="57"/>
        <v>0</v>
      </c>
      <c r="U94" s="561">
        <f t="shared" si="58"/>
        <v>0</v>
      </c>
      <c r="V94" s="561">
        <f t="shared" si="59"/>
        <v>0</v>
      </c>
      <c r="W94" s="675">
        <f t="shared" si="60"/>
        <v>0</v>
      </c>
      <c r="X94" s="675">
        <f t="shared" si="61"/>
        <v>0</v>
      </c>
      <c r="Y94" s="675">
        <f t="shared" si="61"/>
        <v>0</v>
      </c>
      <c r="Z94" s="86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87">
        <v>0</v>
      </c>
      <c r="AI94" s="1094">
        <f>'2022-23 Input'!O94</f>
        <v>0</v>
      </c>
      <c r="AJ94" s="665">
        <v>0</v>
      </c>
      <c r="AK94" s="88">
        <f t="shared" si="62"/>
        <v>0</v>
      </c>
      <c r="AL94" s="89">
        <f t="shared" si="63"/>
        <v>0</v>
      </c>
      <c r="AM94" s="90">
        <f t="shared" si="64"/>
        <v>0</v>
      </c>
      <c r="AN94" s="91" t="str">
        <f t="shared" si="65"/>
        <v/>
      </c>
      <c r="AO94" s="92" t="str">
        <f t="shared" si="66"/>
        <v/>
      </c>
      <c r="AP94" s="92" t="str">
        <f t="shared" si="67"/>
        <v/>
      </c>
      <c r="AQ94" s="92" t="str">
        <f t="shared" si="68"/>
        <v/>
      </c>
      <c r="AR94" s="92" t="str">
        <f t="shared" si="69"/>
        <v/>
      </c>
      <c r="AS94" s="92" t="str">
        <f t="shared" si="70"/>
        <v/>
      </c>
      <c r="AT94" s="92" t="str">
        <f t="shared" si="71"/>
        <v/>
      </c>
      <c r="AU94" s="92" t="str">
        <f t="shared" si="72"/>
        <v/>
      </c>
      <c r="AV94" s="92" t="str">
        <f t="shared" si="82"/>
        <v/>
      </c>
      <c r="AW94" s="92" t="str">
        <f t="shared" si="82"/>
        <v/>
      </c>
      <c r="AX94" s="92" t="str">
        <f t="shared" si="82"/>
        <v/>
      </c>
      <c r="AY94" s="93" t="str">
        <f t="shared" si="74"/>
        <v/>
      </c>
      <c r="AZ94" s="94" t="str">
        <f t="shared" si="75"/>
        <v/>
      </c>
      <c r="BA94" s="95" t="str">
        <f t="shared" si="76"/>
        <v/>
      </c>
      <c r="BB94" s="248" t="s">
        <v>422</v>
      </c>
      <c r="BC94" s="229" t="s">
        <v>433</v>
      </c>
      <c r="BD94" s="249">
        <v>0</v>
      </c>
      <c r="BE94" s="267">
        <f t="shared" si="80"/>
        <v>0</v>
      </c>
      <c r="BF94" s="268">
        <f t="shared" si="83"/>
        <v>0</v>
      </c>
      <c r="BG94" s="268">
        <f t="shared" si="83"/>
        <v>0</v>
      </c>
      <c r="BH94" s="268">
        <f t="shared" si="83"/>
        <v>1</v>
      </c>
      <c r="BI94" s="268">
        <f t="shared" si="83"/>
        <v>2</v>
      </c>
      <c r="BJ94" s="268">
        <f t="shared" si="83"/>
        <v>3</v>
      </c>
      <c r="BK94" s="268">
        <f t="shared" si="83"/>
        <v>4</v>
      </c>
      <c r="BL94" s="269">
        <f t="shared" si="83"/>
        <v>5</v>
      </c>
      <c r="BM94" s="256">
        <f>IF($BC94=Lookup!$A$2,$BD94*ROUNDUP(BE94/10,0)+1,
IF($BC94=Lookup!$A$3,($BD94+1)^BD94,
IF($BC94=Lookup!$A$4,BE94*$BD94+1,"Error")))</f>
        <v>1</v>
      </c>
      <c r="BN94" s="229">
        <f>IF($BC94=Lookup!$A$2,$BD94*ROUNDUP(BF94/10,0)+1,
IF($BC94=Lookup!$A$3,($BD94+1)^BE94,
IF($BC94=Lookup!$A$4,BF94*$BD94+1,"Error")))</f>
        <v>1</v>
      </c>
      <c r="BO94" s="229">
        <f>IF($BC94=Lookup!$A$2,$BD94*ROUNDUP(BG94/10,0)+1,
IF($BC94=Lookup!$A$3,($BD94+1)^BF94,
IF($BC94=Lookup!$A$4,BG94*$BD94+1,"Error")))</f>
        <v>1</v>
      </c>
      <c r="BP94" s="229">
        <f>IF($BC94=Lookup!$A$2,$BD94*ROUNDUP(BH94/10,0)+1,
IF($BC94=Lookup!$A$3,($BD94+1)^BG94,
IF($BC94=Lookup!$A$4,BH94*$BD94+1,"Error")))</f>
        <v>1</v>
      </c>
      <c r="BQ94" s="229">
        <f>IF($BC94=Lookup!$A$2,$BD94*ROUNDUP(BI94/10,0)+1,
IF($BC94=Lookup!$A$3,($BD94+1)^BH94,
IF($BC94=Lookup!$A$4,BI94*$BD94+1,"Error")))</f>
        <v>1</v>
      </c>
      <c r="BR94" s="229">
        <f>IF($BC94=Lookup!$A$2,$BD94*ROUNDUP(BJ94/10,0)+1,
IF($BC94=Lookup!$A$3,($BD94+1)^BI94,
IF($BC94=Lookup!$A$4,BJ94*$BD94+1,"Error")))</f>
        <v>1</v>
      </c>
      <c r="BS94" s="229">
        <f>IF($BC94=Lookup!$A$2,$BD94*ROUNDUP(BK94/10,0)+1,
IF($BC94=Lookup!$A$3,($BD94+1)^BJ94,
IF($BC94=Lookup!$A$4,BK94*$BD94+1,"Error")))</f>
        <v>1</v>
      </c>
      <c r="BT94" s="249">
        <f>IF($BC94=Lookup!$A$2,$BD94*ROUNDUP(BL94/10,0)+1,
IF($BC94=Lookup!$A$3,($BD94+1)^BK94,
IF($BC94=Lookup!$A$4,BL94*$BD94+1,"Error")))</f>
        <v>1</v>
      </c>
      <c r="BU94" s="320">
        <v>0</v>
      </c>
      <c r="BV94" s="321">
        <v>0</v>
      </c>
      <c r="BW94" s="321">
        <v>0</v>
      </c>
      <c r="BX94" s="321">
        <v>0</v>
      </c>
      <c r="BY94" s="321">
        <v>0</v>
      </c>
      <c r="BZ94" s="321">
        <v>0</v>
      </c>
      <c r="CA94" s="321">
        <v>0</v>
      </c>
      <c r="CB94" s="277">
        <v>0</v>
      </c>
      <c r="CC94" s="382" t="s">
        <v>293</v>
      </c>
      <c r="CD94" s="383">
        <f>HLOOKUP($CC94,$AK$6:$AM$132,ROWS(CD$6:CD94),0)</f>
        <v>0</v>
      </c>
      <c r="CE94" s="234">
        <f t="shared" si="81"/>
        <v>0</v>
      </c>
      <c r="CF94" s="96">
        <f t="shared" si="81"/>
        <v>0</v>
      </c>
      <c r="CG94" s="96">
        <f t="shared" si="81"/>
        <v>0</v>
      </c>
      <c r="CH94" s="96">
        <f t="shared" si="81"/>
        <v>0</v>
      </c>
      <c r="CI94" s="96">
        <f t="shared" si="50"/>
        <v>0</v>
      </c>
      <c r="CJ94" s="96">
        <f t="shared" si="50"/>
        <v>0</v>
      </c>
      <c r="CK94" s="96">
        <f t="shared" si="50"/>
        <v>0</v>
      </c>
      <c r="CL94" s="286">
        <f t="shared" si="50"/>
        <v>0</v>
      </c>
      <c r="CM94" s="305" t="s">
        <v>292</v>
      </c>
      <c r="CN94" s="315">
        <v>0.05</v>
      </c>
      <c r="CO94" s="306"/>
      <c r="CP94" s="307" t="str">
        <f>IF($CO94&lt;&gt;"",$CO94,HLOOKUP($CM94,$AY$6:$BA$132,ROWS(CP$6:CP94),0))</f>
        <v/>
      </c>
      <c r="CQ94" s="784" t="str">
        <f t="shared" si="78"/>
        <v/>
      </c>
      <c r="CR94" s="784" t="str">
        <f t="shared" si="78"/>
        <v/>
      </c>
      <c r="CS94" s="97" t="str">
        <f t="shared" si="78"/>
        <v/>
      </c>
      <c r="CT94" s="97" t="str">
        <f t="shared" si="78"/>
        <v/>
      </c>
      <c r="CU94" s="97" t="str">
        <f t="shared" si="78"/>
        <v/>
      </c>
      <c r="CV94" s="97" t="str">
        <f t="shared" si="78"/>
        <v/>
      </c>
      <c r="CW94" s="97" t="str">
        <f t="shared" si="78"/>
        <v/>
      </c>
      <c r="CX94" s="98" t="str">
        <f t="shared" si="32"/>
        <v/>
      </c>
    </row>
    <row r="95" spans="1:102" ht="15.75" thickBot="1" x14ac:dyDescent="0.3">
      <c r="A95" s="100" t="s">
        <v>138</v>
      </c>
      <c r="B95" s="101" t="s">
        <v>385</v>
      </c>
      <c r="C95" s="102" t="s">
        <v>386</v>
      </c>
      <c r="D95" s="103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34759.322245210002</v>
      </c>
      <c r="L95" s="104">
        <v>0</v>
      </c>
      <c r="M95" s="655">
        <f>'2022-23 Input'!H95</f>
        <v>0</v>
      </c>
      <c r="N95" s="1066">
        <v>0</v>
      </c>
      <c r="O95" s="563">
        <f t="shared" si="79"/>
        <v>0</v>
      </c>
      <c r="P95" s="564">
        <f t="shared" si="53"/>
        <v>0</v>
      </c>
      <c r="Q95" s="564">
        <f t="shared" si="54"/>
        <v>0</v>
      </c>
      <c r="R95" s="564">
        <f t="shared" si="55"/>
        <v>0</v>
      </c>
      <c r="S95" s="564">
        <f t="shared" si="56"/>
        <v>0</v>
      </c>
      <c r="T95" s="564">
        <f t="shared" si="57"/>
        <v>0</v>
      </c>
      <c r="U95" s="564">
        <f t="shared" si="58"/>
        <v>0</v>
      </c>
      <c r="V95" s="564">
        <f t="shared" si="59"/>
        <v>41688.898655184115</v>
      </c>
      <c r="W95" s="676">
        <f t="shared" si="60"/>
        <v>0</v>
      </c>
      <c r="X95" s="676">
        <f t="shared" si="61"/>
        <v>0</v>
      </c>
      <c r="Y95" s="676">
        <f t="shared" si="61"/>
        <v>0</v>
      </c>
      <c r="Z95" s="105">
        <v>0</v>
      </c>
      <c r="AA95" s="106">
        <v>0</v>
      </c>
      <c r="AB95" s="106">
        <v>0</v>
      </c>
      <c r="AC95" s="106">
        <v>0</v>
      </c>
      <c r="AD95" s="106">
        <v>0</v>
      </c>
      <c r="AE95" s="106">
        <v>0</v>
      </c>
      <c r="AF95" s="106">
        <v>0</v>
      </c>
      <c r="AG95" s="106">
        <v>1</v>
      </c>
      <c r="AH95" s="106">
        <v>0</v>
      </c>
      <c r="AI95" s="1095">
        <f>'2022-23 Input'!O95</f>
        <v>0</v>
      </c>
      <c r="AJ95" s="666">
        <v>0</v>
      </c>
      <c r="AK95" s="107">
        <f t="shared" si="62"/>
        <v>0.2</v>
      </c>
      <c r="AL95" s="108">
        <f t="shared" si="63"/>
        <v>0.33333333333333331</v>
      </c>
      <c r="AM95" s="109">
        <f t="shared" si="64"/>
        <v>0</v>
      </c>
      <c r="AN95" s="110" t="str">
        <f t="shared" si="65"/>
        <v/>
      </c>
      <c r="AO95" s="111" t="str">
        <f t="shared" si="66"/>
        <v/>
      </c>
      <c r="AP95" s="111" t="str">
        <f t="shared" si="67"/>
        <v/>
      </c>
      <c r="AQ95" s="111" t="str">
        <f t="shared" si="68"/>
        <v/>
      </c>
      <c r="AR95" s="111" t="str">
        <f t="shared" si="69"/>
        <v/>
      </c>
      <c r="AS95" s="111" t="str">
        <f t="shared" si="70"/>
        <v/>
      </c>
      <c r="AT95" s="111" t="str">
        <f t="shared" si="71"/>
        <v/>
      </c>
      <c r="AU95" s="111">
        <f t="shared" si="72"/>
        <v>34759.322245210002</v>
      </c>
      <c r="AV95" s="111" t="str">
        <f t="shared" si="82"/>
        <v/>
      </c>
      <c r="AW95" s="111" t="str">
        <f t="shared" si="82"/>
        <v/>
      </c>
      <c r="AX95" s="111" t="str">
        <f t="shared" si="82"/>
        <v/>
      </c>
      <c r="AY95" s="112">
        <f t="shared" si="74"/>
        <v>34759.322245210002</v>
      </c>
      <c r="AZ95" s="113">
        <f t="shared" si="75"/>
        <v>34759.322245210002</v>
      </c>
      <c r="BA95" s="114" t="str">
        <f t="shared" si="76"/>
        <v/>
      </c>
      <c r="BB95" s="250" t="s">
        <v>422</v>
      </c>
      <c r="BC95" s="230" t="s">
        <v>433</v>
      </c>
      <c r="BD95" s="251">
        <v>0</v>
      </c>
      <c r="BE95" s="270">
        <f t="shared" si="80"/>
        <v>0</v>
      </c>
      <c r="BF95" s="271">
        <f t="shared" si="83"/>
        <v>0</v>
      </c>
      <c r="BG95" s="271">
        <f t="shared" si="83"/>
        <v>0</v>
      </c>
      <c r="BH95" s="271">
        <f t="shared" si="83"/>
        <v>1</v>
      </c>
      <c r="BI95" s="271">
        <f t="shared" si="83"/>
        <v>2</v>
      </c>
      <c r="BJ95" s="271">
        <f t="shared" si="83"/>
        <v>3</v>
      </c>
      <c r="BK95" s="271">
        <f t="shared" si="83"/>
        <v>4</v>
      </c>
      <c r="BL95" s="272">
        <f t="shared" si="83"/>
        <v>5</v>
      </c>
      <c r="BM95" s="257">
        <f>IF($BC95=Lookup!$A$2,$BD95*ROUNDUP(BE95/10,0)+1,
IF($BC95=Lookup!$A$3,($BD95+1)^BD95,
IF($BC95=Lookup!$A$4,BE95*$BD95+1,"Error")))</f>
        <v>1</v>
      </c>
      <c r="BN95" s="230">
        <f>IF($BC95=Lookup!$A$2,$BD95*ROUNDUP(BF95/10,0)+1,
IF($BC95=Lookup!$A$3,($BD95+1)^BE95,
IF($BC95=Lookup!$A$4,BF95*$BD95+1,"Error")))</f>
        <v>1</v>
      </c>
      <c r="BO95" s="230">
        <f>IF($BC95=Lookup!$A$2,$BD95*ROUNDUP(BG95/10,0)+1,
IF($BC95=Lookup!$A$3,($BD95+1)^BF95,
IF($BC95=Lookup!$A$4,BG95*$BD95+1,"Error")))</f>
        <v>1</v>
      </c>
      <c r="BP95" s="230">
        <f>IF($BC95=Lookup!$A$2,$BD95*ROUNDUP(BH95/10,0)+1,
IF($BC95=Lookup!$A$3,($BD95+1)^BG95,
IF($BC95=Lookup!$A$4,BH95*$BD95+1,"Error")))</f>
        <v>1</v>
      </c>
      <c r="BQ95" s="230">
        <f>IF($BC95=Lookup!$A$2,$BD95*ROUNDUP(BI95/10,0)+1,
IF($BC95=Lookup!$A$3,($BD95+1)^BH95,
IF($BC95=Lookup!$A$4,BI95*$BD95+1,"Error")))</f>
        <v>1</v>
      </c>
      <c r="BR95" s="230">
        <f>IF($BC95=Lookup!$A$2,$BD95*ROUNDUP(BJ95/10,0)+1,
IF($BC95=Lookup!$A$3,($BD95+1)^BI95,
IF($BC95=Lookup!$A$4,BJ95*$BD95+1,"Error")))</f>
        <v>1</v>
      </c>
      <c r="BS95" s="230">
        <f>IF($BC95=Lookup!$A$2,$BD95*ROUNDUP(BK95/10,0)+1,
IF($BC95=Lookup!$A$3,($BD95+1)^BJ95,
IF($BC95=Lookup!$A$4,BK95*$BD95+1,"Error")))</f>
        <v>1</v>
      </c>
      <c r="BT95" s="251">
        <f>IF($BC95=Lookup!$A$2,$BD95*ROUNDUP(BL95/10,0)+1,
IF($BC95=Lookup!$A$3,($BD95+1)^BK95,
IF($BC95=Lookup!$A$4,BL95*$BD95+1,"Error")))</f>
        <v>1</v>
      </c>
      <c r="BU95" s="322">
        <v>0</v>
      </c>
      <c r="BV95" s="323">
        <v>0</v>
      </c>
      <c r="BW95" s="323">
        <v>0</v>
      </c>
      <c r="BX95" s="323">
        <v>0</v>
      </c>
      <c r="BY95" s="323">
        <v>0</v>
      </c>
      <c r="BZ95" s="323">
        <v>0</v>
      </c>
      <c r="CA95" s="323">
        <v>0</v>
      </c>
      <c r="CB95" s="278">
        <v>0</v>
      </c>
      <c r="CC95" s="384" t="s">
        <v>293</v>
      </c>
      <c r="CD95" s="385">
        <f>HLOOKUP($CC95,$AK$6:$AM$132,ROWS(CD$6:CD95),0)</f>
        <v>0.33333333333333331</v>
      </c>
      <c r="CE95" s="240">
        <f t="shared" si="81"/>
        <v>0</v>
      </c>
      <c r="CF95" s="141">
        <f t="shared" si="81"/>
        <v>0</v>
      </c>
      <c r="CG95" s="141">
        <f t="shared" si="81"/>
        <v>0</v>
      </c>
      <c r="CH95" s="141">
        <f t="shared" si="81"/>
        <v>0</v>
      </c>
      <c r="CI95" s="141">
        <f t="shared" si="50"/>
        <v>0</v>
      </c>
      <c r="CJ95" s="141">
        <f t="shared" si="50"/>
        <v>0</v>
      </c>
      <c r="CK95" s="141">
        <f t="shared" si="50"/>
        <v>0</v>
      </c>
      <c r="CL95" s="292">
        <f t="shared" si="50"/>
        <v>0</v>
      </c>
      <c r="CM95" s="308" t="s">
        <v>292</v>
      </c>
      <c r="CN95" s="316">
        <v>0.05</v>
      </c>
      <c r="CO95" s="309"/>
      <c r="CP95" s="310">
        <f>IF($CO95&lt;&gt;"",$CO95,HLOOKUP($CM95,$AY$6:$BA$132,ROWS(CP$6:CP95),0))</f>
        <v>34759.322245210002</v>
      </c>
      <c r="CQ95" s="785">
        <f t="shared" si="78"/>
        <v>0</v>
      </c>
      <c r="CR95" s="785">
        <f t="shared" si="78"/>
        <v>0</v>
      </c>
      <c r="CS95" s="117">
        <f t="shared" si="78"/>
        <v>0</v>
      </c>
      <c r="CT95" s="117">
        <f t="shared" si="78"/>
        <v>0</v>
      </c>
      <c r="CU95" s="117">
        <f t="shared" si="78"/>
        <v>0</v>
      </c>
      <c r="CV95" s="117">
        <f t="shared" si="78"/>
        <v>0</v>
      </c>
      <c r="CW95" s="117">
        <f t="shared" si="78"/>
        <v>0</v>
      </c>
      <c r="CX95" s="118">
        <f t="shared" si="32"/>
        <v>0</v>
      </c>
    </row>
    <row r="96" spans="1:102" x14ac:dyDescent="0.25">
      <c r="A96" s="63" t="s">
        <v>196</v>
      </c>
      <c r="B96" s="64" t="s">
        <v>193</v>
      </c>
      <c r="C96" s="65" t="s">
        <v>387</v>
      </c>
      <c r="D96" s="66">
        <v>0</v>
      </c>
      <c r="E96" s="67">
        <v>23516.651281539773</v>
      </c>
      <c r="F96" s="67">
        <v>20951.851995761892</v>
      </c>
      <c r="G96" s="67">
        <v>141352.44591300786</v>
      </c>
      <c r="H96" s="67">
        <v>549352.07473472971</v>
      </c>
      <c r="I96" s="67">
        <v>2081523.9122779716</v>
      </c>
      <c r="J96" s="67">
        <v>3334279.7758709434</v>
      </c>
      <c r="K96" s="67">
        <v>3510723.2848478723</v>
      </c>
      <c r="L96" s="67">
        <v>41014.76730706574</v>
      </c>
      <c r="M96" s="653">
        <f>'2022-23 Input'!H96</f>
        <v>52962.846011315043</v>
      </c>
      <c r="N96" s="1064">
        <v>85988.119041738988</v>
      </c>
      <c r="O96" s="557">
        <f t="shared" si="79"/>
        <v>0</v>
      </c>
      <c r="P96" s="558">
        <f t="shared" si="53"/>
        <v>31169.696809908201</v>
      </c>
      <c r="Q96" s="558">
        <f t="shared" si="54"/>
        <v>27488.950244124051</v>
      </c>
      <c r="R96" s="558">
        <f t="shared" si="55"/>
        <v>181937.10076125665</v>
      </c>
      <c r="S96" s="558">
        <f t="shared" si="56"/>
        <v>692688.35789905302</v>
      </c>
      <c r="T96" s="558">
        <f t="shared" si="57"/>
        <v>2583479.8536009402</v>
      </c>
      <c r="U96" s="558">
        <f t="shared" si="58"/>
        <v>4152805.3621684411</v>
      </c>
      <c r="V96" s="558">
        <f t="shared" si="59"/>
        <v>4210616.829520802</v>
      </c>
      <c r="W96" s="674">
        <f t="shared" si="60"/>
        <v>46343.702575312913</v>
      </c>
      <c r="X96" s="674">
        <f t="shared" si="61"/>
        <v>56323.917267666118</v>
      </c>
      <c r="Y96" s="674">
        <f t="shared" si="61"/>
        <v>88352.661554632912</v>
      </c>
      <c r="Z96" s="68">
        <v>0</v>
      </c>
      <c r="AA96" s="69">
        <v>9</v>
      </c>
      <c r="AB96" s="69">
        <v>1</v>
      </c>
      <c r="AC96" s="69">
        <v>63</v>
      </c>
      <c r="AD96" s="69">
        <v>269</v>
      </c>
      <c r="AE96" s="69">
        <v>5782</v>
      </c>
      <c r="AF96" s="69">
        <v>601</v>
      </c>
      <c r="AG96" s="69">
        <v>644</v>
      </c>
      <c r="AH96" s="69">
        <v>55</v>
      </c>
      <c r="AI96" s="1093">
        <f>'2022-23 Input'!O96</f>
        <v>10</v>
      </c>
      <c r="AJ96" s="664">
        <v>5</v>
      </c>
      <c r="AK96" s="70">
        <f t="shared" si="62"/>
        <v>1418.4</v>
      </c>
      <c r="AL96" s="71">
        <f t="shared" si="63"/>
        <v>236.33333333333334</v>
      </c>
      <c r="AM96" s="72">
        <f t="shared" si="64"/>
        <v>10</v>
      </c>
      <c r="AN96" s="73" t="str">
        <f t="shared" si="65"/>
        <v/>
      </c>
      <c r="AO96" s="74">
        <f t="shared" si="66"/>
        <v>2612.9612535044193</v>
      </c>
      <c r="AP96" s="74">
        <f t="shared" si="67"/>
        <v>20951.851995761892</v>
      </c>
      <c r="AQ96" s="74">
        <f t="shared" si="68"/>
        <v>2243.6896176667915</v>
      </c>
      <c r="AR96" s="74">
        <f t="shared" si="69"/>
        <v>2042.2010213186977</v>
      </c>
      <c r="AS96" s="74">
        <f t="shared" si="70"/>
        <v>360.00067663057274</v>
      </c>
      <c r="AT96" s="74">
        <f t="shared" si="71"/>
        <v>5547.8864823143822</v>
      </c>
      <c r="AU96" s="74">
        <f t="shared" si="72"/>
        <v>5451.4336721240252</v>
      </c>
      <c r="AV96" s="74">
        <f t="shared" si="82"/>
        <v>745.7230419466498</v>
      </c>
      <c r="AW96" s="74">
        <f t="shared" si="82"/>
        <v>5296.2846011315041</v>
      </c>
      <c r="AX96" s="74">
        <f t="shared" si="82"/>
        <v>17197.623808347798</v>
      </c>
      <c r="AY96" s="75">
        <f t="shared" si="74"/>
        <v>1271.9267606197359</v>
      </c>
      <c r="AZ96" s="76">
        <f t="shared" si="75"/>
        <v>5084.2043697690451</v>
      </c>
      <c r="BA96" s="77">
        <f t="shared" si="76"/>
        <v>5296.2846011315041</v>
      </c>
      <c r="BB96" s="246" t="s">
        <v>422</v>
      </c>
      <c r="BC96" s="228" t="s">
        <v>433</v>
      </c>
      <c r="BD96" s="247">
        <v>0</v>
      </c>
      <c r="BE96" s="264">
        <f t="shared" si="80"/>
        <v>0</v>
      </c>
      <c r="BF96" s="265">
        <f t="shared" si="83"/>
        <v>0</v>
      </c>
      <c r="BG96" s="265">
        <f t="shared" si="83"/>
        <v>0</v>
      </c>
      <c r="BH96" s="265">
        <f t="shared" si="83"/>
        <v>1</v>
      </c>
      <c r="BI96" s="265">
        <f t="shared" si="83"/>
        <v>2</v>
      </c>
      <c r="BJ96" s="265">
        <f t="shared" si="83"/>
        <v>3</v>
      </c>
      <c r="BK96" s="265">
        <f t="shared" si="83"/>
        <v>4</v>
      </c>
      <c r="BL96" s="266">
        <f t="shared" si="83"/>
        <v>5</v>
      </c>
      <c r="BM96" s="255">
        <f>IF($BC96=Lookup!$A$2,$BD96*ROUNDUP(BE96/10,0)+1,
IF($BC96=Lookup!$A$3,($BD96+1)^BD96,
IF($BC96=Lookup!$A$4,BE96*$BD96+1,"Error")))</f>
        <v>1</v>
      </c>
      <c r="BN96" s="228">
        <f>IF($BC96=Lookup!$A$2,$BD96*ROUNDUP(BF96/10,0)+1,
IF($BC96=Lookup!$A$3,($BD96+1)^BE96,
IF($BC96=Lookup!$A$4,BF96*$BD96+1,"Error")))</f>
        <v>1</v>
      </c>
      <c r="BO96" s="228">
        <f>IF($BC96=Lookup!$A$2,$BD96*ROUNDUP(BG96/10,0)+1,
IF($BC96=Lookup!$A$3,($BD96+1)^BF96,
IF($BC96=Lookup!$A$4,BG96*$BD96+1,"Error")))</f>
        <v>1</v>
      </c>
      <c r="BP96" s="228">
        <f>IF($BC96=Lookup!$A$2,$BD96*ROUNDUP(BH96/10,0)+1,
IF($BC96=Lookup!$A$3,($BD96+1)^BG96,
IF($BC96=Lookup!$A$4,BH96*$BD96+1,"Error")))</f>
        <v>1</v>
      </c>
      <c r="BQ96" s="228">
        <f>IF($BC96=Lookup!$A$2,$BD96*ROUNDUP(BI96/10,0)+1,
IF($BC96=Lookup!$A$3,($BD96+1)^BH96,
IF($BC96=Lookup!$A$4,BI96*$BD96+1,"Error")))</f>
        <v>1</v>
      </c>
      <c r="BR96" s="228">
        <f>IF($BC96=Lookup!$A$2,$BD96*ROUNDUP(BJ96/10,0)+1,
IF($BC96=Lookup!$A$3,($BD96+1)^BI96,
IF($BC96=Lookup!$A$4,BJ96*$BD96+1,"Error")))</f>
        <v>1</v>
      </c>
      <c r="BS96" s="228">
        <f>IF($BC96=Lookup!$A$2,$BD96*ROUNDUP(BK96/10,0)+1,
IF($BC96=Lookup!$A$3,($BD96+1)^BJ96,
IF($BC96=Lookup!$A$4,BK96*$BD96+1,"Error")))</f>
        <v>1</v>
      </c>
      <c r="BT96" s="247">
        <f>IF($BC96=Lookup!$A$2,$BD96*ROUNDUP(BL96/10,0)+1,
IF($BC96=Lookup!$A$3,($BD96+1)^BK96,
IF($BC96=Lookup!$A$4,BL96*$BD96+1,"Error")))</f>
        <v>1</v>
      </c>
      <c r="BU96" s="318">
        <v>0</v>
      </c>
      <c r="BV96" s="319">
        <v>0</v>
      </c>
      <c r="BW96" s="319">
        <v>0</v>
      </c>
      <c r="BX96" s="319">
        <v>0</v>
      </c>
      <c r="BY96" s="319">
        <v>0</v>
      </c>
      <c r="BZ96" s="319">
        <v>0</v>
      </c>
      <c r="CA96" s="319">
        <v>0</v>
      </c>
      <c r="CB96" s="276">
        <v>0</v>
      </c>
      <c r="CC96" s="380" t="s">
        <v>293</v>
      </c>
      <c r="CD96" s="381">
        <f>HLOOKUP($CC96,$AK$6:$AM$132,ROWS(CD$6:CD96),0)</f>
        <v>236.33333333333334</v>
      </c>
      <c r="CE96" s="233">
        <f t="shared" si="81"/>
        <v>0</v>
      </c>
      <c r="CF96" s="78">
        <f t="shared" si="81"/>
        <v>0</v>
      </c>
      <c r="CG96" s="78">
        <f t="shared" si="81"/>
        <v>0</v>
      </c>
      <c r="CH96" s="78">
        <f t="shared" si="81"/>
        <v>0</v>
      </c>
      <c r="CI96" s="78">
        <f t="shared" si="50"/>
        <v>0</v>
      </c>
      <c r="CJ96" s="78">
        <f t="shared" si="50"/>
        <v>0</v>
      </c>
      <c r="CK96" s="78">
        <f t="shared" si="50"/>
        <v>0</v>
      </c>
      <c r="CL96" s="285">
        <f t="shared" si="50"/>
        <v>0</v>
      </c>
      <c r="CM96" s="302" t="s">
        <v>292</v>
      </c>
      <c r="CN96" s="314">
        <v>0.05</v>
      </c>
      <c r="CO96" s="303"/>
      <c r="CP96" s="304">
        <f>IF($CO96&lt;&gt;"",$CO96,HLOOKUP($CM96,$AY$6:$BA$132,ROWS(CP$6:CP96),0))</f>
        <v>1271.9267606197359</v>
      </c>
      <c r="CQ96" s="783">
        <f t="shared" si="78"/>
        <v>0</v>
      </c>
      <c r="CR96" s="783">
        <f t="shared" si="78"/>
        <v>0</v>
      </c>
      <c r="CS96" s="79">
        <f t="shared" si="78"/>
        <v>0</v>
      </c>
      <c r="CT96" s="79">
        <f t="shared" si="78"/>
        <v>0</v>
      </c>
      <c r="CU96" s="79">
        <f t="shared" si="78"/>
        <v>0</v>
      </c>
      <c r="CV96" s="79">
        <f t="shared" si="78"/>
        <v>0</v>
      </c>
      <c r="CW96" s="79">
        <f t="shared" si="78"/>
        <v>0</v>
      </c>
      <c r="CX96" s="80">
        <f t="shared" si="32"/>
        <v>0</v>
      </c>
    </row>
    <row r="97" spans="1:102" x14ac:dyDescent="0.25">
      <c r="A97" s="81" t="s">
        <v>196</v>
      </c>
      <c r="B97" s="82" t="s">
        <v>197</v>
      </c>
      <c r="C97" s="83" t="s">
        <v>388</v>
      </c>
      <c r="D97" s="84">
        <v>0</v>
      </c>
      <c r="E97" s="85">
        <v>0</v>
      </c>
      <c r="F97" s="85">
        <v>0</v>
      </c>
      <c r="G97" s="85">
        <v>246964.37894829889</v>
      </c>
      <c r="H97" s="85">
        <v>292262.3668428681</v>
      </c>
      <c r="I97" s="85">
        <v>446036.76479135809</v>
      </c>
      <c r="J97" s="85">
        <v>218381.39196059701</v>
      </c>
      <c r="K97" s="85">
        <v>520879.24511609506</v>
      </c>
      <c r="L97" s="85">
        <v>105311.79719431901</v>
      </c>
      <c r="M97" s="654">
        <f>'2022-23 Input'!H97</f>
        <v>0</v>
      </c>
      <c r="N97" s="1065">
        <v>253.15208022499999</v>
      </c>
      <c r="O97" s="560">
        <f t="shared" si="79"/>
        <v>0</v>
      </c>
      <c r="P97" s="561">
        <f t="shared" si="53"/>
        <v>0</v>
      </c>
      <c r="Q97" s="561">
        <f t="shared" si="54"/>
        <v>0</v>
      </c>
      <c r="R97" s="561">
        <f t="shared" si="55"/>
        <v>317871.9887508009</v>
      </c>
      <c r="S97" s="561">
        <f t="shared" si="56"/>
        <v>368519.11237767531</v>
      </c>
      <c r="T97" s="561">
        <f t="shared" si="57"/>
        <v>553597.76988712791</v>
      </c>
      <c r="U97" s="561">
        <f t="shared" si="58"/>
        <v>271991.39739102614</v>
      </c>
      <c r="V97" s="561">
        <f t="shared" si="59"/>
        <v>624721.10094799404</v>
      </c>
      <c r="W97" s="675">
        <f t="shared" si="60"/>
        <v>118994.66770848673</v>
      </c>
      <c r="X97" s="675">
        <f t="shared" si="61"/>
        <v>0</v>
      </c>
      <c r="Y97" s="675">
        <f t="shared" si="61"/>
        <v>260.11337746687815</v>
      </c>
      <c r="Z97" s="86">
        <v>0</v>
      </c>
      <c r="AA97" s="87">
        <v>0</v>
      </c>
      <c r="AB97" s="87">
        <v>0</v>
      </c>
      <c r="AC97" s="87">
        <v>4</v>
      </c>
      <c r="AD97" s="87">
        <v>6</v>
      </c>
      <c r="AE97" s="87">
        <v>11</v>
      </c>
      <c r="AF97" s="87">
        <v>9</v>
      </c>
      <c r="AG97" s="87">
        <v>20</v>
      </c>
      <c r="AH97" s="87">
        <v>4</v>
      </c>
      <c r="AI97" s="1094">
        <f>'2022-23 Input'!O97</f>
        <v>0</v>
      </c>
      <c r="AJ97" s="665">
        <v>0</v>
      </c>
      <c r="AK97" s="88">
        <f t="shared" si="62"/>
        <v>8.8000000000000007</v>
      </c>
      <c r="AL97" s="89">
        <f t="shared" si="63"/>
        <v>8</v>
      </c>
      <c r="AM97" s="90">
        <f t="shared" si="64"/>
        <v>0</v>
      </c>
      <c r="AN97" s="91" t="str">
        <f t="shared" si="65"/>
        <v/>
      </c>
      <c r="AO97" s="92" t="str">
        <f t="shared" si="66"/>
        <v/>
      </c>
      <c r="AP97" s="92" t="str">
        <f t="shared" si="67"/>
        <v/>
      </c>
      <c r="AQ97" s="92">
        <f t="shared" si="68"/>
        <v>61741.094737074724</v>
      </c>
      <c r="AR97" s="92">
        <f t="shared" si="69"/>
        <v>48710.39447381135</v>
      </c>
      <c r="AS97" s="92">
        <f t="shared" si="70"/>
        <v>40548.796799214375</v>
      </c>
      <c r="AT97" s="92">
        <f t="shared" si="71"/>
        <v>24264.599106733003</v>
      </c>
      <c r="AU97" s="92">
        <f t="shared" si="72"/>
        <v>26043.962255804752</v>
      </c>
      <c r="AV97" s="92">
        <f t="shared" si="82"/>
        <v>26327.949298579751</v>
      </c>
      <c r="AW97" s="92" t="str">
        <f t="shared" si="82"/>
        <v/>
      </c>
      <c r="AX97" s="92" t="str">
        <f t="shared" si="82"/>
        <v/>
      </c>
      <c r="AY97" s="93">
        <f t="shared" si="74"/>
        <v>29332.027251417483</v>
      </c>
      <c r="AZ97" s="94">
        <f t="shared" si="75"/>
        <v>26091.293429600584</v>
      </c>
      <c r="BA97" s="95" t="str">
        <f t="shared" si="76"/>
        <v/>
      </c>
      <c r="BB97" s="248" t="s">
        <v>422</v>
      </c>
      <c r="BC97" s="229" t="s">
        <v>433</v>
      </c>
      <c r="BD97" s="249">
        <v>0</v>
      </c>
      <c r="BE97" s="267">
        <f t="shared" si="80"/>
        <v>0</v>
      </c>
      <c r="BF97" s="268">
        <f t="shared" si="83"/>
        <v>0</v>
      </c>
      <c r="BG97" s="268">
        <f t="shared" si="83"/>
        <v>0</v>
      </c>
      <c r="BH97" s="268">
        <f t="shared" si="83"/>
        <v>1</v>
      </c>
      <c r="BI97" s="268">
        <f t="shared" si="83"/>
        <v>2</v>
      </c>
      <c r="BJ97" s="268">
        <f t="shared" si="83"/>
        <v>3</v>
      </c>
      <c r="BK97" s="268">
        <f t="shared" si="83"/>
        <v>4</v>
      </c>
      <c r="BL97" s="269">
        <f t="shared" si="83"/>
        <v>5</v>
      </c>
      <c r="BM97" s="256">
        <f>IF($BC97=Lookup!$A$2,$BD97*ROUNDUP(BE97/10,0)+1,
IF($BC97=Lookup!$A$3,($BD97+1)^BD97,
IF($BC97=Lookup!$A$4,BE97*$BD97+1,"Error")))</f>
        <v>1</v>
      </c>
      <c r="BN97" s="229">
        <f>IF($BC97=Lookup!$A$2,$BD97*ROUNDUP(BF97/10,0)+1,
IF($BC97=Lookup!$A$3,($BD97+1)^BE97,
IF($BC97=Lookup!$A$4,BF97*$BD97+1,"Error")))</f>
        <v>1</v>
      </c>
      <c r="BO97" s="229">
        <f>IF($BC97=Lookup!$A$2,$BD97*ROUNDUP(BG97/10,0)+1,
IF($BC97=Lookup!$A$3,($BD97+1)^BF97,
IF($BC97=Lookup!$A$4,BG97*$BD97+1,"Error")))</f>
        <v>1</v>
      </c>
      <c r="BP97" s="229">
        <f>IF($BC97=Lookup!$A$2,$BD97*ROUNDUP(BH97/10,0)+1,
IF($BC97=Lookup!$A$3,($BD97+1)^BG97,
IF($BC97=Lookup!$A$4,BH97*$BD97+1,"Error")))</f>
        <v>1</v>
      </c>
      <c r="BQ97" s="229">
        <f>IF($BC97=Lookup!$A$2,$BD97*ROUNDUP(BI97/10,0)+1,
IF($BC97=Lookup!$A$3,($BD97+1)^BH97,
IF($BC97=Lookup!$A$4,BI97*$BD97+1,"Error")))</f>
        <v>1</v>
      </c>
      <c r="BR97" s="229">
        <f>IF($BC97=Lookup!$A$2,$BD97*ROUNDUP(BJ97/10,0)+1,
IF($BC97=Lookup!$A$3,($BD97+1)^BI97,
IF($BC97=Lookup!$A$4,BJ97*$BD97+1,"Error")))</f>
        <v>1</v>
      </c>
      <c r="BS97" s="229">
        <f>IF($BC97=Lookup!$A$2,$BD97*ROUNDUP(BK97/10,0)+1,
IF($BC97=Lookup!$A$3,($BD97+1)^BJ97,
IF($BC97=Lookup!$A$4,BK97*$BD97+1,"Error")))</f>
        <v>1</v>
      </c>
      <c r="BT97" s="249">
        <f>IF($BC97=Lookup!$A$2,$BD97*ROUNDUP(BL97/10,0)+1,
IF($BC97=Lookup!$A$3,($BD97+1)^BK97,
IF($BC97=Lookup!$A$4,BL97*$BD97+1,"Error")))</f>
        <v>1</v>
      </c>
      <c r="BU97" s="320">
        <v>0</v>
      </c>
      <c r="BV97" s="321">
        <v>0</v>
      </c>
      <c r="BW97" s="321">
        <v>0</v>
      </c>
      <c r="BX97" s="321">
        <v>0</v>
      </c>
      <c r="BY97" s="321">
        <v>0</v>
      </c>
      <c r="BZ97" s="321">
        <v>0</v>
      </c>
      <c r="CA97" s="321">
        <v>0</v>
      </c>
      <c r="CB97" s="277">
        <v>0</v>
      </c>
      <c r="CC97" s="382" t="s">
        <v>293</v>
      </c>
      <c r="CD97" s="383">
        <f>HLOOKUP($CC97,$AK$6:$AM$132,ROWS(CD$6:CD97),0)</f>
        <v>8</v>
      </c>
      <c r="CE97" s="234">
        <f t="shared" si="81"/>
        <v>0</v>
      </c>
      <c r="CF97" s="96">
        <f t="shared" si="81"/>
        <v>0</v>
      </c>
      <c r="CG97" s="96">
        <f t="shared" si="81"/>
        <v>0</v>
      </c>
      <c r="CH97" s="96">
        <f t="shared" si="81"/>
        <v>0</v>
      </c>
      <c r="CI97" s="96">
        <f t="shared" si="50"/>
        <v>0</v>
      </c>
      <c r="CJ97" s="96">
        <f t="shared" si="50"/>
        <v>0</v>
      </c>
      <c r="CK97" s="96">
        <f t="shared" si="50"/>
        <v>0</v>
      </c>
      <c r="CL97" s="286">
        <f t="shared" si="50"/>
        <v>0</v>
      </c>
      <c r="CM97" s="305" t="s">
        <v>292</v>
      </c>
      <c r="CN97" s="315">
        <v>0.05</v>
      </c>
      <c r="CO97" s="306"/>
      <c r="CP97" s="307">
        <f>IF($CO97&lt;&gt;"",$CO97,HLOOKUP($CM97,$AY$6:$BA$132,ROWS(CP$6:CP97),0))</f>
        <v>29332.027251417483</v>
      </c>
      <c r="CQ97" s="784">
        <f t="shared" si="78"/>
        <v>0</v>
      </c>
      <c r="CR97" s="784">
        <f t="shared" si="78"/>
        <v>0</v>
      </c>
      <c r="CS97" s="97">
        <f t="shared" si="78"/>
        <v>0</v>
      </c>
      <c r="CT97" s="97">
        <f t="shared" si="78"/>
        <v>0</v>
      </c>
      <c r="CU97" s="97">
        <f t="shared" si="78"/>
        <v>0</v>
      </c>
      <c r="CV97" s="97">
        <f t="shared" si="78"/>
        <v>0</v>
      </c>
      <c r="CW97" s="97">
        <f t="shared" si="78"/>
        <v>0</v>
      </c>
      <c r="CX97" s="98">
        <f t="shared" si="32"/>
        <v>0</v>
      </c>
    </row>
    <row r="98" spans="1:102" x14ac:dyDescent="0.25">
      <c r="A98" s="81" t="s">
        <v>196</v>
      </c>
      <c r="B98" s="82" t="s">
        <v>199</v>
      </c>
      <c r="C98" s="83" t="s">
        <v>389</v>
      </c>
      <c r="D98" s="84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654">
        <f>'2022-23 Input'!H98</f>
        <v>0</v>
      </c>
      <c r="N98" s="1065">
        <v>0</v>
      </c>
      <c r="O98" s="560">
        <f t="shared" si="79"/>
        <v>0</v>
      </c>
      <c r="P98" s="561">
        <f t="shared" si="53"/>
        <v>0</v>
      </c>
      <c r="Q98" s="561">
        <f t="shared" si="54"/>
        <v>0</v>
      </c>
      <c r="R98" s="561">
        <f t="shared" si="55"/>
        <v>0</v>
      </c>
      <c r="S98" s="561">
        <f t="shared" si="56"/>
        <v>0</v>
      </c>
      <c r="T98" s="561">
        <f t="shared" si="57"/>
        <v>0</v>
      </c>
      <c r="U98" s="561">
        <f t="shared" si="58"/>
        <v>0</v>
      </c>
      <c r="V98" s="561">
        <f t="shared" si="59"/>
        <v>0</v>
      </c>
      <c r="W98" s="675">
        <f t="shared" si="60"/>
        <v>0</v>
      </c>
      <c r="X98" s="675">
        <f t="shared" si="61"/>
        <v>0</v>
      </c>
      <c r="Y98" s="675">
        <f t="shared" si="61"/>
        <v>0</v>
      </c>
      <c r="Z98" s="86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87">
        <v>0</v>
      </c>
      <c r="AI98" s="1094">
        <f>'2022-23 Input'!O98</f>
        <v>0</v>
      </c>
      <c r="AJ98" s="665">
        <v>0</v>
      </c>
      <c r="AK98" s="88">
        <f t="shared" si="62"/>
        <v>0</v>
      </c>
      <c r="AL98" s="89">
        <f t="shared" si="63"/>
        <v>0</v>
      </c>
      <c r="AM98" s="90">
        <f t="shared" si="64"/>
        <v>0</v>
      </c>
      <c r="AN98" s="91" t="str">
        <f t="shared" si="65"/>
        <v/>
      </c>
      <c r="AO98" s="92" t="str">
        <f t="shared" si="66"/>
        <v/>
      </c>
      <c r="AP98" s="92" t="str">
        <f t="shared" si="67"/>
        <v/>
      </c>
      <c r="AQ98" s="92" t="str">
        <f t="shared" si="68"/>
        <v/>
      </c>
      <c r="AR98" s="92" t="str">
        <f t="shared" si="69"/>
        <v/>
      </c>
      <c r="AS98" s="92" t="str">
        <f t="shared" si="70"/>
        <v/>
      </c>
      <c r="AT98" s="92" t="str">
        <f t="shared" si="71"/>
        <v/>
      </c>
      <c r="AU98" s="92" t="str">
        <f t="shared" si="72"/>
        <v/>
      </c>
      <c r="AV98" s="92" t="str">
        <f t="shared" si="82"/>
        <v/>
      </c>
      <c r="AW98" s="92" t="str">
        <f t="shared" si="82"/>
        <v/>
      </c>
      <c r="AX98" s="92" t="str">
        <f t="shared" si="82"/>
        <v/>
      </c>
      <c r="AY98" s="93" t="str">
        <f t="shared" si="74"/>
        <v/>
      </c>
      <c r="AZ98" s="94" t="str">
        <f t="shared" si="75"/>
        <v/>
      </c>
      <c r="BA98" s="95" t="str">
        <f t="shared" si="76"/>
        <v/>
      </c>
      <c r="BB98" s="248" t="s">
        <v>422</v>
      </c>
      <c r="BC98" s="229" t="s">
        <v>433</v>
      </c>
      <c r="BD98" s="249">
        <v>0</v>
      </c>
      <c r="BE98" s="267">
        <f t="shared" si="80"/>
        <v>0</v>
      </c>
      <c r="BF98" s="268">
        <f t="shared" si="83"/>
        <v>0</v>
      </c>
      <c r="BG98" s="268">
        <f t="shared" si="83"/>
        <v>0</v>
      </c>
      <c r="BH98" s="268">
        <f t="shared" si="83"/>
        <v>1</v>
      </c>
      <c r="BI98" s="268">
        <f t="shared" si="83"/>
        <v>2</v>
      </c>
      <c r="BJ98" s="268">
        <f t="shared" si="83"/>
        <v>3</v>
      </c>
      <c r="BK98" s="268">
        <f t="shared" si="83"/>
        <v>4</v>
      </c>
      <c r="BL98" s="269">
        <f t="shared" si="83"/>
        <v>5</v>
      </c>
      <c r="BM98" s="256">
        <f>IF($BC98=Lookup!$A$2,$BD98*ROUNDUP(BE98/10,0)+1,
IF($BC98=Lookup!$A$3,($BD98+1)^BD98,
IF($BC98=Lookup!$A$4,BE98*$BD98+1,"Error")))</f>
        <v>1</v>
      </c>
      <c r="BN98" s="229">
        <f>IF($BC98=Lookup!$A$2,$BD98*ROUNDUP(BF98/10,0)+1,
IF($BC98=Lookup!$A$3,($BD98+1)^BE98,
IF($BC98=Lookup!$A$4,BF98*$BD98+1,"Error")))</f>
        <v>1</v>
      </c>
      <c r="BO98" s="229">
        <f>IF($BC98=Lookup!$A$2,$BD98*ROUNDUP(BG98/10,0)+1,
IF($BC98=Lookup!$A$3,($BD98+1)^BF98,
IF($BC98=Lookup!$A$4,BG98*$BD98+1,"Error")))</f>
        <v>1</v>
      </c>
      <c r="BP98" s="229">
        <f>IF($BC98=Lookup!$A$2,$BD98*ROUNDUP(BH98/10,0)+1,
IF($BC98=Lookup!$A$3,($BD98+1)^BG98,
IF($BC98=Lookup!$A$4,BH98*$BD98+1,"Error")))</f>
        <v>1</v>
      </c>
      <c r="BQ98" s="229">
        <f>IF($BC98=Lookup!$A$2,$BD98*ROUNDUP(BI98/10,0)+1,
IF($BC98=Lookup!$A$3,($BD98+1)^BH98,
IF($BC98=Lookup!$A$4,BI98*$BD98+1,"Error")))</f>
        <v>1</v>
      </c>
      <c r="BR98" s="229">
        <f>IF($BC98=Lookup!$A$2,$BD98*ROUNDUP(BJ98/10,0)+1,
IF($BC98=Lookup!$A$3,($BD98+1)^BI98,
IF($BC98=Lookup!$A$4,BJ98*$BD98+1,"Error")))</f>
        <v>1</v>
      </c>
      <c r="BS98" s="229">
        <f>IF($BC98=Lookup!$A$2,$BD98*ROUNDUP(BK98/10,0)+1,
IF($BC98=Lookup!$A$3,($BD98+1)^BJ98,
IF($BC98=Lookup!$A$4,BK98*$BD98+1,"Error")))</f>
        <v>1</v>
      </c>
      <c r="BT98" s="249">
        <f>IF($BC98=Lookup!$A$2,$BD98*ROUNDUP(BL98/10,0)+1,
IF($BC98=Lookup!$A$3,($BD98+1)^BK98,
IF($BC98=Lookup!$A$4,BL98*$BD98+1,"Error")))</f>
        <v>1</v>
      </c>
      <c r="BU98" s="320">
        <v>0</v>
      </c>
      <c r="BV98" s="321">
        <v>0</v>
      </c>
      <c r="BW98" s="321">
        <v>0</v>
      </c>
      <c r="BX98" s="321">
        <v>0</v>
      </c>
      <c r="BY98" s="321">
        <v>0</v>
      </c>
      <c r="BZ98" s="321">
        <v>0</v>
      </c>
      <c r="CA98" s="321">
        <v>0</v>
      </c>
      <c r="CB98" s="277">
        <v>0</v>
      </c>
      <c r="CC98" s="382" t="s">
        <v>293</v>
      </c>
      <c r="CD98" s="383">
        <f>HLOOKUP($CC98,$AK$6:$AM$132,ROWS(CD$6:CD98),0)</f>
        <v>0</v>
      </c>
      <c r="CE98" s="234">
        <f t="shared" si="81"/>
        <v>0</v>
      </c>
      <c r="CF98" s="96">
        <f t="shared" si="81"/>
        <v>0</v>
      </c>
      <c r="CG98" s="96">
        <f t="shared" si="81"/>
        <v>0</v>
      </c>
      <c r="CH98" s="96">
        <f t="shared" si="81"/>
        <v>0</v>
      </c>
      <c r="CI98" s="96">
        <f t="shared" si="50"/>
        <v>0</v>
      </c>
      <c r="CJ98" s="96">
        <f t="shared" si="50"/>
        <v>0</v>
      </c>
      <c r="CK98" s="96">
        <f t="shared" si="50"/>
        <v>0</v>
      </c>
      <c r="CL98" s="286">
        <f t="shared" si="50"/>
        <v>0</v>
      </c>
      <c r="CM98" s="305" t="s">
        <v>292</v>
      </c>
      <c r="CN98" s="315">
        <v>0.05</v>
      </c>
      <c r="CO98" s="306"/>
      <c r="CP98" s="307" t="str">
        <f>IF($CO98&lt;&gt;"",$CO98,HLOOKUP($CM98,$AY$6:$BA$132,ROWS(CP$6:CP98),0))</f>
        <v/>
      </c>
      <c r="CQ98" s="784" t="str">
        <f t="shared" si="78"/>
        <v/>
      </c>
      <c r="CR98" s="784" t="str">
        <f t="shared" si="78"/>
        <v/>
      </c>
      <c r="CS98" s="97" t="str">
        <f t="shared" si="78"/>
        <v/>
      </c>
      <c r="CT98" s="97" t="str">
        <f t="shared" si="78"/>
        <v/>
      </c>
      <c r="CU98" s="97" t="str">
        <f t="shared" si="78"/>
        <v/>
      </c>
      <c r="CV98" s="97" t="str">
        <f t="shared" si="78"/>
        <v/>
      </c>
      <c r="CW98" s="97" t="str">
        <f t="shared" si="78"/>
        <v/>
      </c>
      <c r="CX98" s="98" t="str">
        <f t="shared" si="32"/>
        <v/>
      </c>
    </row>
    <row r="99" spans="1:102" x14ac:dyDescent="0.25">
      <c r="A99" s="81" t="s">
        <v>196</v>
      </c>
      <c r="B99" s="82" t="s">
        <v>201</v>
      </c>
      <c r="C99" s="83" t="s">
        <v>390</v>
      </c>
      <c r="D99" s="84">
        <v>0</v>
      </c>
      <c r="E99" s="85">
        <v>10757.203720012414</v>
      </c>
      <c r="F99" s="85">
        <v>0</v>
      </c>
      <c r="G99" s="85">
        <v>55771.82777460818</v>
      </c>
      <c r="H99" s="85">
        <v>180611.75594672197</v>
      </c>
      <c r="I99" s="85">
        <v>226582.54587232514</v>
      </c>
      <c r="J99" s="85">
        <v>368021.56480546313</v>
      </c>
      <c r="K99" s="85">
        <v>281175.29962805088</v>
      </c>
      <c r="L99" s="85">
        <v>60764.423406960006</v>
      </c>
      <c r="M99" s="654">
        <f>'2022-23 Input'!H99</f>
        <v>119633.910047924</v>
      </c>
      <c r="N99" s="1065">
        <v>170015.48210404601</v>
      </c>
      <c r="O99" s="560">
        <f t="shared" si="79"/>
        <v>0</v>
      </c>
      <c r="P99" s="561">
        <f t="shared" si="53"/>
        <v>14257.930453661496</v>
      </c>
      <c r="Q99" s="561">
        <f t="shared" si="54"/>
        <v>0</v>
      </c>
      <c r="R99" s="561">
        <f t="shared" si="55"/>
        <v>71784.853696221558</v>
      </c>
      <c r="S99" s="561">
        <f t="shared" si="56"/>
        <v>227736.75826092248</v>
      </c>
      <c r="T99" s="561">
        <f t="shared" si="57"/>
        <v>281222.54036377888</v>
      </c>
      <c r="U99" s="561">
        <f t="shared" si="58"/>
        <v>458366.4330683038</v>
      </c>
      <c r="V99" s="561">
        <f t="shared" si="59"/>
        <v>337230.0670261248</v>
      </c>
      <c r="W99" s="675">
        <f t="shared" si="60"/>
        <v>68659.376864181482</v>
      </c>
      <c r="X99" s="675">
        <f t="shared" si="61"/>
        <v>127225.98877158365</v>
      </c>
      <c r="Y99" s="675">
        <f t="shared" si="61"/>
        <v>174690.64932208965</v>
      </c>
      <c r="Z99" s="86">
        <v>0</v>
      </c>
      <c r="AA99" s="87">
        <v>3</v>
      </c>
      <c r="AB99" s="87">
        <v>0</v>
      </c>
      <c r="AC99" s="87">
        <v>20</v>
      </c>
      <c r="AD99" s="87">
        <v>36</v>
      </c>
      <c r="AE99" s="87">
        <v>78</v>
      </c>
      <c r="AF99" s="87">
        <v>65</v>
      </c>
      <c r="AG99" s="87">
        <v>81</v>
      </c>
      <c r="AH99" s="87">
        <v>9</v>
      </c>
      <c r="AI99" s="1094">
        <f>'2022-23 Input'!O99</f>
        <v>8</v>
      </c>
      <c r="AJ99" s="665">
        <v>2</v>
      </c>
      <c r="AK99" s="88">
        <f t="shared" si="62"/>
        <v>48.2</v>
      </c>
      <c r="AL99" s="89">
        <f t="shared" si="63"/>
        <v>32.666666666666664</v>
      </c>
      <c r="AM99" s="90">
        <f t="shared" si="64"/>
        <v>8</v>
      </c>
      <c r="AN99" s="91" t="str">
        <f t="shared" si="65"/>
        <v/>
      </c>
      <c r="AO99" s="92">
        <f t="shared" si="66"/>
        <v>3585.7345733374714</v>
      </c>
      <c r="AP99" s="92" t="str">
        <f t="shared" si="67"/>
        <v/>
      </c>
      <c r="AQ99" s="92">
        <f t="shared" si="68"/>
        <v>2788.5913887304091</v>
      </c>
      <c r="AR99" s="92">
        <f t="shared" si="69"/>
        <v>5016.9932207422771</v>
      </c>
      <c r="AS99" s="92">
        <f t="shared" si="70"/>
        <v>2904.9044342605785</v>
      </c>
      <c r="AT99" s="92">
        <f t="shared" si="71"/>
        <v>5661.8702277763559</v>
      </c>
      <c r="AU99" s="92">
        <f t="shared" si="72"/>
        <v>3471.2999954080356</v>
      </c>
      <c r="AV99" s="92">
        <f t="shared" si="82"/>
        <v>6751.6026007733344</v>
      </c>
      <c r="AW99" s="92">
        <f t="shared" si="82"/>
        <v>14954.2387559905</v>
      </c>
      <c r="AX99" s="92">
        <f t="shared" si="82"/>
        <v>85007.741052023004</v>
      </c>
      <c r="AY99" s="93">
        <f t="shared" si="74"/>
        <v>4382.4802645673162</v>
      </c>
      <c r="AZ99" s="94">
        <f t="shared" si="75"/>
        <v>4709.935031458519</v>
      </c>
      <c r="BA99" s="95">
        <f t="shared" si="76"/>
        <v>14954.2387559905</v>
      </c>
      <c r="BB99" s="248" t="s">
        <v>422</v>
      </c>
      <c r="BC99" s="229" t="s">
        <v>433</v>
      </c>
      <c r="BD99" s="249">
        <v>0</v>
      </c>
      <c r="BE99" s="267">
        <f t="shared" si="80"/>
        <v>0</v>
      </c>
      <c r="BF99" s="268">
        <f t="shared" si="83"/>
        <v>0</v>
      </c>
      <c r="BG99" s="268">
        <f t="shared" si="83"/>
        <v>0</v>
      </c>
      <c r="BH99" s="268">
        <f t="shared" si="83"/>
        <v>1</v>
      </c>
      <c r="BI99" s="268">
        <f t="shared" si="83"/>
        <v>2</v>
      </c>
      <c r="BJ99" s="268">
        <f t="shared" si="83"/>
        <v>3</v>
      </c>
      <c r="BK99" s="268">
        <f t="shared" si="83"/>
        <v>4</v>
      </c>
      <c r="BL99" s="269">
        <f t="shared" si="83"/>
        <v>5</v>
      </c>
      <c r="BM99" s="256">
        <f>IF($BC99=Lookup!$A$2,$BD99*ROUNDUP(BE99/10,0)+1,
IF($BC99=Lookup!$A$3,($BD99+1)^BD99,
IF($BC99=Lookup!$A$4,BE99*$BD99+1,"Error")))</f>
        <v>1</v>
      </c>
      <c r="BN99" s="229">
        <f>IF($BC99=Lookup!$A$2,$BD99*ROUNDUP(BF99/10,0)+1,
IF($BC99=Lookup!$A$3,($BD99+1)^BE99,
IF($BC99=Lookup!$A$4,BF99*$BD99+1,"Error")))</f>
        <v>1</v>
      </c>
      <c r="BO99" s="229">
        <f>IF($BC99=Lookup!$A$2,$BD99*ROUNDUP(BG99/10,0)+1,
IF($BC99=Lookup!$A$3,($BD99+1)^BF99,
IF($BC99=Lookup!$A$4,BG99*$BD99+1,"Error")))</f>
        <v>1</v>
      </c>
      <c r="BP99" s="229">
        <f>IF($BC99=Lookup!$A$2,$BD99*ROUNDUP(BH99/10,0)+1,
IF($BC99=Lookup!$A$3,($BD99+1)^BG99,
IF($BC99=Lookup!$A$4,BH99*$BD99+1,"Error")))</f>
        <v>1</v>
      </c>
      <c r="BQ99" s="229">
        <f>IF($BC99=Lookup!$A$2,$BD99*ROUNDUP(BI99/10,0)+1,
IF($BC99=Lookup!$A$3,($BD99+1)^BH99,
IF($BC99=Lookup!$A$4,BI99*$BD99+1,"Error")))</f>
        <v>1</v>
      </c>
      <c r="BR99" s="229">
        <f>IF($BC99=Lookup!$A$2,$BD99*ROUNDUP(BJ99/10,0)+1,
IF($BC99=Lookup!$A$3,($BD99+1)^BI99,
IF($BC99=Lookup!$A$4,BJ99*$BD99+1,"Error")))</f>
        <v>1</v>
      </c>
      <c r="BS99" s="229">
        <f>IF($BC99=Lookup!$A$2,$BD99*ROUNDUP(BK99/10,0)+1,
IF($BC99=Lookup!$A$3,($BD99+1)^BJ99,
IF($BC99=Lookup!$A$4,BK99*$BD99+1,"Error")))</f>
        <v>1</v>
      </c>
      <c r="BT99" s="249">
        <f>IF($BC99=Lookup!$A$2,$BD99*ROUNDUP(BL99/10,0)+1,
IF($BC99=Lookup!$A$3,($BD99+1)^BK99,
IF($BC99=Lookup!$A$4,BL99*$BD99+1,"Error")))</f>
        <v>1</v>
      </c>
      <c r="BU99" s="320">
        <v>0</v>
      </c>
      <c r="BV99" s="321">
        <v>0</v>
      </c>
      <c r="BW99" s="321">
        <v>0</v>
      </c>
      <c r="BX99" s="321">
        <v>0</v>
      </c>
      <c r="BY99" s="321">
        <v>0</v>
      </c>
      <c r="BZ99" s="321">
        <v>0</v>
      </c>
      <c r="CA99" s="321">
        <v>0</v>
      </c>
      <c r="CB99" s="277">
        <v>0</v>
      </c>
      <c r="CC99" s="382" t="s">
        <v>293</v>
      </c>
      <c r="CD99" s="383">
        <f>HLOOKUP($CC99,$AK$6:$AM$132,ROWS(CD$6:CD99),0)</f>
        <v>32.666666666666664</v>
      </c>
      <c r="CE99" s="234">
        <f t="shared" si="81"/>
        <v>0</v>
      </c>
      <c r="CF99" s="96">
        <f t="shared" si="81"/>
        <v>0</v>
      </c>
      <c r="CG99" s="96">
        <f t="shared" si="81"/>
        <v>0</v>
      </c>
      <c r="CH99" s="96">
        <f t="shared" si="81"/>
        <v>0</v>
      </c>
      <c r="CI99" s="96">
        <f t="shared" si="50"/>
        <v>0</v>
      </c>
      <c r="CJ99" s="96">
        <f t="shared" si="50"/>
        <v>0</v>
      </c>
      <c r="CK99" s="96">
        <f t="shared" si="50"/>
        <v>0</v>
      </c>
      <c r="CL99" s="286">
        <f t="shared" si="50"/>
        <v>0</v>
      </c>
      <c r="CM99" s="305" t="s">
        <v>292</v>
      </c>
      <c r="CN99" s="315">
        <v>0.05</v>
      </c>
      <c r="CO99" s="306"/>
      <c r="CP99" s="307">
        <f>IF($CO99&lt;&gt;"",$CO99,HLOOKUP($CM99,$AY$6:$BA$132,ROWS(CP$6:CP99),0))</f>
        <v>4382.4802645673162</v>
      </c>
      <c r="CQ99" s="784">
        <f t="shared" si="78"/>
        <v>0</v>
      </c>
      <c r="CR99" s="784">
        <f t="shared" si="78"/>
        <v>0</v>
      </c>
      <c r="CS99" s="97">
        <f t="shared" si="78"/>
        <v>0</v>
      </c>
      <c r="CT99" s="97">
        <f t="shared" si="78"/>
        <v>0</v>
      </c>
      <c r="CU99" s="97">
        <f t="shared" si="78"/>
        <v>0</v>
      </c>
      <c r="CV99" s="97">
        <f t="shared" si="78"/>
        <v>0</v>
      </c>
      <c r="CW99" s="97">
        <f t="shared" si="78"/>
        <v>0</v>
      </c>
      <c r="CX99" s="98">
        <f t="shared" si="32"/>
        <v>0</v>
      </c>
    </row>
    <row r="100" spans="1:102" x14ac:dyDescent="0.25">
      <c r="A100" s="81" t="s">
        <v>196</v>
      </c>
      <c r="B100" s="82" t="s">
        <v>203</v>
      </c>
      <c r="C100" s="83" t="s">
        <v>391</v>
      </c>
      <c r="D100" s="84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32096.207928963999</v>
      </c>
      <c r="K100" s="85">
        <v>0</v>
      </c>
      <c r="L100" s="85">
        <v>0</v>
      </c>
      <c r="M100" s="654">
        <f>'2022-23 Input'!H100</f>
        <v>0</v>
      </c>
      <c r="N100" s="1065">
        <v>0</v>
      </c>
      <c r="O100" s="560">
        <f t="shared" si="79"/>
        <v>0</v>
      </c>
      <c r="P100" s="561">
        <f t="shared" si="53"/>
        <v>0</v>
      </c>
      <c r="Q100" s="561">
        <f t="shared" si="54"/>
        <v>0</v>
      </c>
      <c r="R100" s="561">
        <f t="shared" si="55"/>
        <v>0</v>
      </c>
      <c r="S100" s="561">
        <f t="shared" si="56"/>
        <v>0</v>
      </c>
      <c r="T100" s="561">
        <f t="shared" si="57"/>
        <v>0</v>
      </c>
      <c r="U100" s="561">
        <f t="shared" si="58"/>
        <v>39975.44098046139</v>
      </c>
      <c r="V100" s="561">
        <f t="shared" si="59"/>
        <v>0</v>
      </c>
      <c r="W100" s="675">
        <f t="shared" si="60"/>
        <v>0</v>
      </c>
      <c r="X100" s="675">
        <f t="shared" si="61"/>
        <v>0</v>
      </c>
      <c r="Y100" s="675">
        <f t="shared" si="61"/>
        <v>0</v>
      </c>
      <c r="Z100" s="86">
        <v>0</v>
      </c>
      <c r="AA100" s="87">
        <v>0</v>
      </c>
      <c r="AB100" s="87">
        <v>0</v>
      </c>
      <c r="AC100" s="87">
        <v>0</v>
      </c>
      <c r="AD100" s="87">
        <v>0</v>
      </c>
      <c r="AE100" s="87">
        <v>0</v>
      </c>
      <c r="AF100" s="87">
        <v>1</v>
      </c>
      <c r="AG100" s="87">
        <v>0</v>
      </c>
      <c r="AH100" s="87">
        <v>0</v>
      </c>
      <c r="AI100" s="1094">
        <f>'2022-23 Input'!O100</f>
        <v>0</v>
      </c>
      <c r="AJ100" s="665">
        <v>0</v>
      </c>
      <c r="AK100" s="88">
        <f t="shared" si="62"/>
        <v>0.2</v>
      </c>
      <c r="AL100" s="89">
        <f t="shared" si="63"/>
        <v>0</v>
      </c>
      <c r="AM100" s="90">
        <f t="shared" si="64"/>
        <v>0</v>
      </c>
      <c r="AN100" s="91" t="str">
        <f t="shared" si="65"/>
        <v/>
      </c>
      <c r="AO100" s="92" t="str">
        <f t="shared" si="66"/>
        <v/>
      </c>
      <c r="AP100" s="92" t="str">
        <f t="shared" si="67"/>
        <v/>
      </c>
      <c r="AQ100" s="92" t="str">
        <f t="shared" si="68"/>
        <v/>
      </c>
      <c r="AR100" s="92" t="str">
        <f t="shared" si="69"/>
        <v/>
      </c>
      <c r="AS100" s="92" t="str">
        <f t="shared" si="70"/>
        <v/>
      </c>
      <c r="AT100" s="92">
        <f t="shared" si="71"/>
        <v>32096.207928963999</v>
      </c>
      <c r="AU100" s="92" t="str">
        <f t="shared" si="72"/>
        <v/>
      </c>
      <c r="AV100" s="92" t="str">
        <f t="shared" si="82"/>
        <v/>
      </c>
      <c r="AW100" s="92" t="str">
        <f t="shared" si="82"/>
        <v/>
      </c>
      <c r="AX100" s="92" t="str">
        <f t="shared" si="82"/>
        <v/>
      </c>
      <c r="AY100" s="93">
        <f t="shared" si="74"/>
        <v>32096.207928963999</v>
      </c>
      <c r="AZ100" s="94" t="str">
        <f t="shared" si="75"/>
        <v/>
      </c>
      <c r="BA100" s="95" t="str">
        <f t="shared" si="76"/>
        <v/>
      </c>
      <c r="BB100" s="248" t="s">
        <v>422</v>
      </c>
      <c r="BC100" s="229" t="s">
        <v>433</v>
      </c>
      <c r="BD100" s="249">
        <v>0</v>
      </c>
      <c r="BE100" s="267">
        <f t="shared" si="80"/>
        <v>0</v>
      </c>
      <c r="BF100" s="268">
        <f t="shared" si="83"/>
        <v>0</v>
      </c>
      <c r="BG100" s="268">
        <f t="shared" si="83"/>
        <v>0</v>
      </c>
      <c r="BH100" s="268">
        <f t="shared" si="83"/>
        <v>1</v>
      </c>
      <c r="BI100" s="268">
        <f t="shared" si="83"/>
        <v>2</v>
      </c>
      <c r="BJ100" s="268">
        <f t="shared" si="83"/>
        <v>3</v>
      </c>
      <c r="BK100" s="268">
        <f t="shared" si="83"/>
        <v>4</v>
      </c>
      <c r="BL100" s="269">
        <f t="shared" si="83"/>
        <v>5</v>
      </c>
      <c r="BM100" s="256">
        <f>IF($BC100=Lookup!$A$2,$BD100*ROUNDUP(BE100/10,0)+1,
IF($BC100=Lookup!$A$3,($BD100+1)^BD100,
IF($BC100=Lookup!$A$4,BE100*$BD100+1,"Error")))</f>
        <v>1</v>
      </c>
      <c r="BN100" s="229">
        <f>IF($BC100=Lookup!$A$2,$BD100*ROUNDUP(BF100/10,0)+1,
IF($BC100=Lookup!$A$3,($BD100+1)^BE100,
IF($BC100=Lookup!$A$4,BF100*$BD100+1,"Error")))</f>
        <v>1</v>
      </c>
      <c r="BO100" s="229">
        <f>IF($BC100=Lookup!$A$2,$BD100*ROUNDUP(BG100/10,0)+1,
IF($BC100=Lookup!$A$3,($BD100+1)^BF100,
IF($BC100=Lookup!$A$4,BG100*$BD100+1,"Error")))</f>
        <v>1</v>
      </c>
      <c r="BP100" s="229">
        <f>IF($BC100=Lookup!$A$2,$BD100*ROUNDUP(BH100/10,0)+1,
IF($BC100=Lookup!$A$3,($BD100+1)^BG100,
IF($BC100=Lookup!$A$4,BH100*$BD100+1,"Error")))</f>
        <v>1</v>
      </c>
      <c r="BQ100" s="229">
        <f>IF($BC100=Lookup!$A$2,$BD100*ROUNDUP(BI100/10,0)+1,
IF($BC100=Lookup!$A$3,($BD100+1)^BH100,
IF($BC100=Lookup!$A$4,BI100*$BD100+1,"Error")))</f>
        <v>1</v>
      </c>
      <c r="BR100" s="229">
        <f>IF($BC100=Lookup!$A$2,$BD100*ROUNDUP(BJ100/10,0)+1,
IF($BC100=Lookup!$A$3,($BD100+1)^BI100,
IF($BC100=Lookup!$A$4,BJ100*$BD100+1,"Error")))</f>
        <v>1</v>
      </c>
      <c r="BS100" s="229">
        <f>IF($BC100=Lookup!$A$2,$BD100*ROUNDUP(BK100/10,0)+1,
IF($BC100=Lookup!$A$3,($BD100+1)^BJ100,
IF($BC100=Lookup!$A$4,BK100*$BD100+1,"Error")))</f>
        <v>1</v>
      </c>
      <c r="BT100" s="249">
        <f>IF($BC100=Lookup!$A$2,$BD100*ROUNDUP(BL100/10,0)+1,
IF($BC100=Lookup!$A$3,($BD100+1)^BK100,
IF($BC100=Lookup!$A$4,BL100*$BD100+1,"Error")))</f>
        <v>1</v>
      </c>
      <c r="BU100" s="320">
        <v>0</v>
      </c>
      <c r="BV100" s="321">
        <v>0</v>
      </c>
      <c r="BW100" s="321">
        <v>0</v>
      </c>
      <c r="BX100" s="321">
        <v>0</v>
      </c>
      <c r="BY100" s="321">
        <v>0</v>
      </c>
      <c r="BZ100" s="321">
        <v>0</v>
      </c>
      <c r="CA100" s="321">
        <v>0</v>
      </c>
      <c r="CB100" s="277">
        <v>0</v>
      </c>
      <c r="CC100" s="382" t="s">
        <v>293</v>
      </c>
      <c r="CD100" s="383">
        <f>HLOOKUP($CC100,$AK$6:$AM$132,ROWS(CD$6:CD100),0)</f>
        <v>0</v>
      </c>
      <c r="CE100" s="234">
        <f t="shared" si="81"/>
        <v>0</v>
      </c>
      <c r="CF100" s="96">
        <f t="shared" si="81"/>
        <v>0</v>
      </c>
      <c r="CG100" s="96">
        <f t="shared" si="81"/>
        <v>0</v>
      </c>
      <c r="CH100" s="96">
        <f t="shared" si="81"/>
        <v>0</v>
      </c>
      <c r="CI100" s="96">
        <f t="shared" si="50"/>
        <v>0</v>
      </c>
      <c r="CJ100" s="96">
        <f t="shared" si="50"/>
        <v>0</v>
      </c>
      <c r="CK100" s="96">
        <f t="shared" si="50"/>
        <v>0</v>
      </c>
      <c r="CL100" s="286">
        <f t="shared" si="50"/>
        <v>0</v>
      </c>
      <c r="CM100" s="305" t="s">
        <v>292</v>
      </c>
      <c r="CN100" s="315">
        <v>0.05</v>
      </c>
      <c r="CO100" s="306"/>
      <c r="CP100" s="307">
        <f>IF($CO100&lt;&gt;"",$CO100,HLOOKUP($CM100,$AY$6:$BA$132,ROWS(CP$6:CP100),0))</f>
        <v>32096.207928963999</v>
      </c>
      <c r="CQ100" s="784">
        <f t="shared" si="78"/>
        <v>0</v>
      </c>
      <c r="CR100" s="784">
        <f t="shared" si="78"/>
        <v>0</v>
      </c>
      <c r="CS100" s="97">
        <f t="shared" si="78"/>
        <v>0</v>
      </c>
      <c r="CT100" s="97">
        <f t="shared" si="78"/>
        <v>0</v>
      </c>
      <c r="CU100" s="97">
        <f t="shared" si="78"/>
        <v>0</v>
      </c>
      <c r="CV100" s="97">
        <f t="shared" si="78"/>
        <v>0</v>
      </c>
      <c r="CW100" s="97">
        <f t="shared" si="78"/>
        <v>0</v>
      </c>
      <c r="CX100" s="98">
        <f t="shared" si="32"/>
        <v>0</v>
      </c>
    </row>
    <row r="101" spans="1:102" x14ac:dyDescent="0.25">
      <c r="A101" s="81" t="s">
        <v>196</v>
      </c>
      <c r="B101" s="82" t="s">
        <v>205</v>
      </c>
      <c r="C101" s="83" t="s">
        <v>206</v>
      </c>
      <c r="D101" s="84">
        <v>0</v>
      </c>
      <c r="E101" s="85">
        <v>0</v>
      </c>
      <c r="F101" s="85">
        <v>0</v>
      </c>
      <c r="G101" s="85">
        <v>10069.57127655088</v>
      </c>
      <c r="H101" s="85">
        <v>0</v>
      </c>
      <c r="I101" s="85">
        <v>0</v>
      </c>
      <c r="J101" s="85">
        <v>17984.593977652999</v>
      </c>
      <c r="K101" s="85">
        <v>5139.6760858589996</v>
      </c>
      <c r="L101" s="85">
        <v>0</v>
      </c>
      <c r="M101" s="654">
        <f>'2022-23 Input'!H101</f>
        <v>0</v>
      </c>
      <c r="N101" s="1065">
        <v>0</v>
      </c>
      <c r="O101" s="560">
        <f t="shared" si="79"/>
        <v>0</v>
      </c>
      <c r="P101" s="561">
        <f t="shared" si="53"/>
        <v>0</v>
      </c>
      <c r="Q101" s="561">
        <f t="shared" si="54"/>
        <v>0</v>
      </c>
      <c r="R101" s="561">
        <f t="shared" si="55"/>
        <v>12960.713853455167</v>
      </c>
      <c r="S101" s="561">
        <f t="shared" si="56"/>
        <v>0</v>
      </c>
      <c r="T101" s="561">
        <f t="shared" si="57"/>
        <v>0</v>
      </c>
      <c r="U101" s="561">
        <f t="shared" si="58"/>
        <v>22399.595513040251</v>
      </c>
      <c r="V101" s="561">
        <f t="shared" si="59"/>
        <v>6164.3156892501338</v>
      </c>
      <c r="W101" s="675">
        <f t="shared" si="60"/>
        <v>0</v>
      </c>
      <c r="X101" s="675">
        <f t="shared" si="61"/>
        <v>0</v>
      </c>
      <c r="Y101" s="675">
        <f t="shared" si="61"/>
        <v>0</v>
      </c>
      <c r="Z101" s="86">
        <v>0</v>
      </c>
      <c r="AA101" s="87">
        <v>0</v>
      </c>
      <c r="AB101" s="87">
        <v>0</v>
      </c>
      <c r="AC101" s="87">
        <v>1</v>
      </c>
      <c r="AD101" s="87">
        <v>0</v>
      </c>
      <c r="AE101" s="87">
        <v>0</v>
      </c>
      <c r="AF101" s="87">
        <v>3</v>
      </c>
      <c r="AG101" s="87">
        <v>1</v>
      </c>
      <c r="AH101" s="87">
        <v>0</v>
      </c>
      <c r="AI101" s="1094">
        <f>'2022-23 Input'!O101</f>
        <v>0</v>
      </c>
      <c r="AJ101" s="665">
        <v>0</v>
      </c>
      <c r="AK101" s="88">
        <f t="shared" si="62"/>
        <v>0.8</v>
      </c>
      <c r="AL101" s="89">
        <f t="shared" si="63"/>
        <v>0.33333333333333331</v>
      </c>
      <c r="AM101" s="90">
        <f t="shared" si="64"/>
        <v>0</v>
      </c>
      <c r="AN101" s="91" t="str">
        <f t="shared" si="65"/>
        <v/>
      </c>
      <c r="AO101" s="92" t="str">
        <f t="shared" si="66"/>
        <v/>
      </c>
      <c r="AP101" s="92" t="str">
        <f t="shared" si="67"/>
        <v/>
      </c>
      <c r="AQ101" s="92">
        <f t="shared" si="68"/>
        <v>10069.57127655088</v>
      </c>
      <c r="AR101" s="92" t="str">
        <f t="shared" si="69"/>
        <v/>
      </c>
      <c r="AS101" s="92" t="str">
        <f t="shared" si="70"/>
        <v/>
      </c>
      <c r="AT101" s="92">
        <f t="shared" si="71"/>
        <v>5994.8646592176665</v>
      </c>
      <c r="AU101" s="92">
        <f t="shared" si="72"/>
        <v>5139.6760858589996</v>
      </c>
      <c r="AV101" s="92" t="str">
        <f t="shared" si="82"/>
        <v/>
      </c>
      <c r="AW101" s="92" t="str">
        <f t="shared" si="82"/>
        <v/>
      </c>
      <c r="AX101" s="92" t="str">
        <f t="shared" si="82"/>
        <v/>
      </c>
      <c r="AY101" s="93">
        <f t="shared" si="74"/>
        <v>5781.0675158779995</v>
      </c>
      <c r="AZ101" s="94">
        <f t="shared" si="75"/>
        <v>5139.6760858589996</v>
      </c>
      <c r="BA101" s="95" t="str">
        <f t="shared" si="76"/>
        <v/>
      </c>
      <c r="BB101" s="248" t="s">
        <v>422</v>
      </c>
      <c r="BC101" s="229" t="s">
        <v>433</v>
      </c>
      <c r="BD101" s="249">
        <v>0</v>
      </c>
      <c r="BE101" s="267">
        <f t="shared" si="80"/>
        <v>0</v>
      </c>
      <c r="BF101" s="268">
        <f t="shared" si="83"/>
        <v>0</v>
      </c>
      <c r="BG101" s="268">
        <f t="shared" si="83"/>
        <v>0</v>
      </c>
      <c r="BH101" s="268">
        <f t="shared" si="83"/>
        <v>1</v>
      </c>
      <c r="BI101" s="268">
        <f t="shared" si="83"/>
        <v>2</v>
      </c>
      <c r="BJ101" s="268">
        <f t="shared" si="83"/>
        <v>3</v>
      </c>
      <c r="BK101" s="268">
        <f t="shared" si="83"/>
        <v>4</v>
      </c>
      <c r="BL101" s="269">
        <f t="shared" si="83"/>
        <v>5</v>
      </c>
      <c r="BM101" s="256">
        <f>IF($BC101=Lookup!$A$2,$BD101*ROUNDUP(BE101/10,0)+1,
IF($BC101=Lookup!$A$3,($BD101+1)^BD101,
IF($BC101=Lookup!$A$4,BE101*$BD101+1,"Error")))</f>
        <v>1</v>
      </c>
      <c r="BN101" s="229">
        <f>IF($BC101=Lookup!$A$2,$BD101*ROUNDUP(BF101/10,0)+1,
IF($BC101=Lookup!$A$3,($BD101+1)^BE101,
IF($BC101=Lookup!$A$4,BF101*$BD101+1,"Error")))</f>
        <v>1</v>
      </c>
      <c r="BO101" s="229">
        <f>IF($BC101=Lookup!$A$2,$BD101*ROUNDUP(BG101/10,0)+1,
IF($BC101=Lookup!$A$3,($BD101+1)^BF101,
IF($BC101=Lookup!$A$4,BG101*$BD101+1,"Error")))</f>
        <v>1</v>
      </c>
      <c r="BP101" s="229">
        <f>IF($BC101=Lookup!$A$2,$BD101*ROUNDUP(BH101/10,0)+1,
IF($BC101=Lookup!$A$3,($BD101+1)^BG101,
IF($BC101=Lookup!$A$4,BH101*$BD101+1,"Error")))</f>
        <v>1</v>
      </c>
      <c r="BQ101" s="229">
        <f>IF($BC101=Lookup!$A$2,$BD101*ROUNDUP(BI101/10,0)+1,
IF($BC101=Lookup!$A$3,($BD101+1)^BH101,
IF($BC101=Lookup!$A$4,BI101*$BD101+1,"Error")))</f>
        <v>1</v>
      </c>
      <c r="BR101" s="229">
        <f>IF($BC101=Lookup!$A$2,$BD101*ROUNDUP(BJ101/10,0)+1,
IF($BC101=Lookup!$A$3,($BD101+1)^BI101,
IF($BC101=Lookup!$A$4,BJ101*$BD101+1,"Error")))</f>
        <v>1</v>
      </c>
      <c r="BS101" s="229">
        <f>IF($BC101=Lookup!$A$2,$BD101*ROUNDUP(BK101/10,0)+1,
IF($BC101=Lookup!$A$3,($BD101+1)^BJ101,
IF($BC101=Lookup!$A$4,BK101*$BD101+1,"Error")))</f>
        <v>1</v>
      </c>
      <c r="BT101" s="249">
        <f>IF($BC101=Lookup!$A$2,$BD101*ROUNDUP(BL101/10,0)+1,
IF($BC101=Lookup!$A$3,($BD101+1)^BK101,
IF($BC101=Lookup!$A$4,BL101*$BD101+1,"Error")))</f>
        <v>1</v>
      </c>
      <c r="BU101" s="320">
        <v>0</v>
      </c>
      <c r="BV101" s="321">
        <v>0</v>
      </c>
      <c r="BW101" s="321">
        <v>0</v>
      </c>
      <c r="BX101" s="321">
        <v>0</v>
      </c>
      <c r="BY101" s="321">
        <v>0</v>
      </c>
      <c r="BZ101" s="321">
        <v>0</v>
      </c>
      <c r="CA101" s="321">
        <v>0</v>
      </c>
      <c r="CB101" s="277">
        <v>0</v>
      </c>
      <c r="CC101" s="382" t="s">
        <v>293</v>
      </c>
      <c r="CD101" s="383">
        <f>HLOOKUP($CC101,$AK$6:$AM$132,ROWS(CD$6:CD101),0)</f>
        <v>0.33333333333333331</v>
      </c>
      <c r="CE101" s="234">
        <f t="shared" si="81"/>
        <v>0</v>
      </c>
      <c r="CF101" s="96">
        <f t="shared" si="81"/>
        <v>0</v>
      </c>
      <c r="CG101" s="96">
        <f t="shared" si="81"/>
        <v>0</v>
      </c>
      <c r="CH101" s="96">
        <f t="shared" si="81"/>
        <v>0</v>
      </c>
      <c r="CI101" s="96">
        <f t="shared" si="50"/>
        <v>0</v>
      </c>
      <c r="CJ101" s="96">
        <f t="shared" si="50"/>
        <v>0</v>
      </c>
      <c r="CK101" s="96">
        <f t="shared" si="50"/>
        <v>0</v>
      </c>
      <c r="CL101" s="286">
        <f t="shared" si="50"/>
        <v>0</v>
      </c>
      <c r="CM101" s="305" t="s">
        <v>292</v>
      </c>
      <c r="CN101" s="315">
        <v>0.05</v>
      </c>
      <c r="CO101" s="306"/>
      <c r="CP101" s="307">
        <f>IF($CO101&lt;&gt;"",$CO101,HLOOKUP($CM101,$AY$6:$BA$132,ROWS(CP$6:CP101),0))</f>
        <v>5781.0675158779995</v>
      </c>
      <c r="CQ101" s="784">
        <f t="shared" si="78"/>
        <v>0</v>
      </c>
      <c r="CR101" s="784">
        <f t="shared" si="78"/>
        <v>0</v>
      </c>
      <c r="CS101" s="97">
        <f t="shared" si="78"/>
        <v>0</v>
      </c>
      <c r="CT101" s="97">
        <f t="shared" si="78"/>
        <v>0</v>
      </c>
      <c r="CU101" s="97">
        <f t="shared" si="78"/>
        <v>0</v>
      </c>
      <c r="CV101" s="97">
        <f t="shared" si="78"/>
        <v>0</v>
      </c>
      <c r="CW101" s="97">
        <f t="shared" si="78"/>
        <v>0</v>
      </c>
      <c r="CX101" s="98">
        <f t="shared" si="32"/>
        <v>0</v>
      </c>
    </row>
    <row r="102" spans="1:102" x14ac:dyDescent="0.25">
      <c r="A102" s="81" t="s">
        <v>196</v>
      </c>
      <c r="B102" s="82" t="s">
        <v>207</v>
      </c>
      <c r="C102" s="83" t="s">
        <v>208</v>
      </c>
      <c r="D102" s="84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654">
        <f>'2022-23 Input'!H102</f>
        <v>0</v>
      </c>
      <c r="N102" s="1065">
        <v>0</v>
      </c>
      <c r="O102" s="560">
        <f t="shared" si="79"/>
        <v>0</v>
      </c>
      <c r="P102" s="561">
        <f t="shared" si="53"/>
        <v>0</v>
      </c>
      <c r="Q102" s="561">
        <f t="shared" si="54"/>
        <v>0</v>
      </c>
      <c r="R102" s="561">
        <f t="shared" si="55"/>
        <v>0</v>
      </c>
      <c r="S102" s="561">
        <f t="shared" si="56"/>
        <v>0</v>
      </c>
      <c r="T102" s="561">
        <f t="shared" si="57"/>
        <v>0</v>
      </c>
      <c r="U102" s="561">
        <f t="shared" si="58"/>
        <v>0</v>
      </c>
      <c r="V102" s="561">
        <f t="shared" si="59"/>
        <v>0</v>
      </c>
      <c r="W102" s="675">
        <f t="shared" si="60"/>
        <v>0</v>
      </c>
      <c r="X102" s="675">
        <f t="shared" si="61"/>
        <v>0</v>
      </c>
      <c r="Y102" s="675">
        <f t="shared" si="61"/>
        <v>0</v>
      </c>
      <c r="Z102" s="86">
        <v>0</v>
      </c>
      <c r="AA102" s="87">
        <v>0</v>
      </c>
      <c r="AB102" s="87">
        <v>0</v>
      </c>
      <c r="AC102" s="87">
        <v>0</v>
      </c>
      <c r="AD102" s="87">
        <v>0</v>
      </c>
      <c r="AE102" s="87">
        <v>0</v>
      </c>
      <c r="AF102" s="87">
        <v>0</v>
      </c>
      <c r="AG102" s="87">
        <v>0</v>
      </c>
      <c r="AH102" s="87">
        <v>0</v>
      </c>
      <c r="AI102" s="1094">
        <f>'2022-23 Input'!O102</f>
        <v>0</v>
      </c>
      <c r="AJ102" s="665">
        <v>0</v>
      </c>
      <c r="AK102" s="88">
        <f t="shared" si="62"/>
        <v>0</v>
      </c>
      <c r="AL102" s="89">
        <f t="shared" si="63"/>
        <v>0</v>
      </c>
      <c r="AM102" s="90">
        <f t="shared" si="64"/>
        <v>0</v>
      </c>
      <c r="AN102" s="91" t="str">
        <f t="shared" si="65"/>
        <v/>
      </c>
      <c r="AO102" s="92" t="str">
        <f t="shared" si="66"/>
        <v/>
      </c>
      <c r="AP102" s="92" t="str">
        <f t="shared" si="67"/>
        <v/>
      </c>
      <c r="AQ102" s="92" t="str">
        <f t="shared" si="68"/>
        <v/>
      </c>
      <c r="AR102" s="92" t="str">
        <f t="shared" si="69"/>
        <v/>
      </c>
      <c r="AS102" s="92" t="str">
        <f t="shared" si="70"/>
        <v/>
      </c>
      <c r="AT102" s="92" t="str">
        <f t="shared" si="71"/>
        <v/>
      </c>
      <c r="AU102" s="92" t="str">
        <f t="shared" si="72"/>
        <v/>
      </c>
      <c r="AV102" s="92" t="str">
        <f t="shared" si="82"/>
        <v/>
      </c>
      <c r="AW102" s="92" t="str">
        <f t="shared" si="82"/>
        <v/>
      </c>
      <c r="AX102" s="92" t="str">
        <f t="shared" si="82"/>
        <v/>
      </c>
      <c r="AY102" s="93" t="str">
        <f t="shared" si="74"/>
        <v/>
      </c>
      <c r="AZ102" s="94" t="str">
        <f t="shared" si="75"/>
        <v/>
      </c>
      <c r="BA102" s="95" t="str">
        <f t="shared" si="76"/>
        <v/>
      </c>
      <c r="BB102" s="248" t="s">
        <v>422</v>
      </c>
      <c r="BC102" s="229" t="s">
        <v>433</v>
      </c>
      <c r="BD102" s="249">
        <v>0</v>
      </c>
      <c r="BE102" s="267">
        <f t="shared" si="80"/>
        <v>0</v>
      </c>
      <c r="BF102" s="268">
        <f t="shared" si="83"/>
        <v>0</v>
      </c>
      <c r="BG102" s="268">
        <f t="shared" si="83"/>
        <v>0</v>
      </c>
      <c r="BH102" s="268">
        <f t="shared" si="83"/>
        <v>1</v>
      </c>
      <c r="BI102" s="268">
        <f t="shared" si="83"/>
        <v>2</v>
      </c>
      <c r="BJ102" s="268">
        <f t="shared" si="83"/>
        <v>3</v>
      </c>
      <c r="BK102" s="268">
        <f t="shared" si="83"/>
        <v>4</v>
      </c>
      <c r="BL102" s="269">
        <f t="shared" si="83"/>
        <v>5</v>
      </c>
      <c r="BM102" s="256">
        <f>IF($BC102=Lookup!$A$2,$BD102*ROUNDUP(BE102/10,0)+1,
IF($BC102=Lookup!$A$3,($BD102+1)^BD102,
IF($BC102=Lookup!$A$4,BE102*$BD102+1,"Error")))</f>
        <v>1</v>
      </c>
      <c r="BN102" s="229">
        <f>IF($BC102=Lookup!$A$2,$BD102*ROUNDUP(BF102/10,0)+1,
IF($BC102=Lookup!$A$3,($BD102+1)^BE102,
IF($BC102=Lookup!$A$4,BF102*$BD102+1,"Error")))</f>
        <v>1</v>
      </c>
      <c r="BO102" s="229">
        <f>IF($BC102=Lookup!$A$2,$BD102*ROUNDUP(BG102/10,0)+1,
IF($BC102=Lookup!$A$3,($BD102+1)^BF102,
IF($BC102=Lookup!$A$4,BG102*$BD102+1,"Error")))</f>
        <v>1</v>
      </c>
      <c r="BP102" s="229">
        <f>IF($BC102=Lookup!$A$2,$BD102*ROUNDUP(BH102/10,0)+1,
IF($BC102=Lookup!$A$3,($BD102+1)^BG102,
IF($BC102=Lookup!$A$4,BH102*$BD102+1,"Error")))</f>
        <v>1</v>
      </c>
      <c r="BQ102" s="229">
        <f>IF($BC102=Lookup!$A$2,$BD102*ROUNDUP(BI102/10,0)+1,
IF($BC102=Lookup!$A$3,($BD102+1)^BH102,
IF($BC102=Lookup!$A$4,BI102*$BD102+1,"Error")))</f>
        <v>1</v>
      </c>
      <c r="BR102" s="229">
        <f>IF($BC102=Lookup!$A$2,$BD102*ROUNDUP(BJ102/10,0)+1,
IF($BC102=Lookup!$A$3,($BD102+1)^BI102,
IF($BC102=Lookup!$A$4,BJ102*$BD102+1,"Error")))</f>
        <v>1</v>
      </c>
      <c r="BS102" s="229">
        <f>IF($BC102=Lookup!$A$2,$BD102*ROUNDUP(BK102/10,0)+1,
IF($BC102=Lookup!$A$3,($BD102+1)^BJ102,
IF($BC102=Lookup!$A$4,BK102*$BD102+1,"Error")))</f>
        <v>1</v>
      </c>
      <c r="BT102" s="249">
        <f>IF($BC102=Lookup!$A$2,$BD102*ROUNDUP(BL102/10,0)+1,
IF($BC102=Lookup!$A$3,($BD102+1)^BK102,
IF($BC102=Lookup!$A$4,BL102*$BD102+1,"Error")))</f>
        <v>1</v>
      </c>
      <c r="BU102" s="320">
        <v>0</v>
      </c>
      <c r="BV102" s="321">
        <v>0</v>
      </c>
      <c r="BW102" s="321">
        <v>0</v>
      </c>
      <c r="BX102" s="321">
        <v>0</v>
      </c>
      <c r="BY102" s="321">
        <v>0</v>
      </c>
      <c r="BZ102" s="321">
        <v>0</v>
      </c>
      <c r="CA102" s="321">
        <v>0</v>
      </c>
      <c r="CB102" s="277">
        <v>0</v>
      </c>
      <c r="CC102" s="382" t="s">
        <v>293</v>
      </c>
      <c r="CD102" s="383">
        <f>HLOOKUP($CC102,$AK$6:$AM$132,ROWS(CD$6:CD102),0)</f>
        <v>0</v>
      </c>
      <c r="CE102" s="234">
        <f t="shared" si="81"/>
        <v>0</v>
      </c>
      <c r="CF102" s="96">
        <f t="shared" si="81"/>
        <v>0</v>
      </c>
      <c r="CG102" s="96">
        <f t="shared" si="81"/>
        <v>0</v>
      </c>
      <c r="CH102" s="96">
        <f t="shared" si="81"/>
        <v>0</v>
      </c>
      <c r="CI102" s="96">
        <f t="shared" si="50"/>
        <v>0</v>
      </c>
      <c r="CJ102" s="96">
        <f t="shared" si="50"/>
        <v>0</v>
      </c>
      <c r="CK102" s="96">
        <f t="shared" si="50"/>
        <v>0</v>
      </c>
      <c r="CL102" s="286">
        <f t="shared" si="50"/>
        <v>0</v>
      </c>
      <c r="CM102" s="305" t="s">
        <v>292</v>
      </c>
      <c r="CN102" s="315">
        <v>0.05</v>
      </c>
      <c r="CO102" s="306"/>
      <c r="CP102" s="307" t="str">
        <f>IF($CO102&lt;&gt;"",$CO102,HLOOKUP($CM102,$AY$6:$BA$132,ROWS(CP$6:CP102),0))</f>
        <v/>
      </c>
      <c r="CQ102" s="784" t="str">
        <f t="shared" si="78"/>
        <v/>
      </c>
      <c r="CR102" s="784" t="str">
        <f t="shared" si="78"/>
        <v/>
      </c>
      <c r="CS102" s="97" t="str">
        <f t="shared" si="78"/>
        <v/>
      </c>
      <c r="CT102" s="97" t="str">
        <f t="shared" si="78"/>
        <v/>
      </c>
      <c r="CU102" s="97" t="str">
        <f t="shared" si="78"/>
        <v/>
      </c>
      <c r="CV102" s="97" t="str">
        <f t="shared" si="78"/>
        <v/>
      </c>
      <c r="CW102" s="97" t="str">
        <f t="shared" si="78"/>
        <v/>
      </c>
      <c r="CX102" s="98" t="str">
        <f t="shared" si="78"/>
        <v/>
      </c>
    </row>
    <row r="103" spans="1:102" x14ac:dyDescent="0.25">
      <c r="A103" s="81" t="s">
        <v>196</v>
      </c>
      <c r="B103" s="82" t="s">
        <v>209</v>
      </c>
      <c r="C103" s="83" t="s">
        <v>210</v>
      </c>
      <c r="D103" s="84">
        <v>0</v>
      </c>
      <c r="E103" s="85">
        <v>0</v>
      </c>
      <c r="F103" s="85">
        <v>0</v>
      </c>
      <c r="G103" s="85">
        <v>0</v>
      </c>
      <c r="H103" s="85">
        <v>0</v>
      </c>
      <c r="I103" s="85">
        <v>0</v>
      </c>
      <c r="J103" s="85">
        <v>0</v>
      </c>
      <c r="K103" s="85">
        <v>0</v>
      </c>
      <c r="L103" s="85">
        <v>0</v>
      </c>
      <c r="M103" s="654">
        <f>'2022-23 Input'!H103</f>
        <v>0</v>
      </c>
      <c r="N103" s="1065">
        <v>0</v>
      </c>
      <c r="O103" s="560">
        <f t="shared" si="79"/>
        <v>0</v>
      </c>
      <c r="P103" s="561">
        <f t="shared" si="53"/>
        <v>0</v>
      </c>
      <c r="Q103" s="561">
        <f t="shared" si="54"/>
        <v>0</v>
      </c>
      <c r="R103" s="561">
        <f t="shared" si="55"/>
        <v>0</v>
      </c>
      <c r="S103" s="561">
        <f t="shared" si="56"/>
        <v>0</v>
      </c>
      <c r="T103" s="561">
        <f t="shared" si="57"/>
        <v>0</v>
      </c>
      <c r="U103" s="561">
        <f t="shared" si="58"/>
        <v>0</v>
      </c>
      <c r="V103" s="561">
        <f t="shared" si="59"/>
        <v>0</v>
      </c>
      <c r="W103" s="675">
        <f t="shared" si="60"/>
        <v>0</v>
      </c>
      <c r="X103" s="675">
        <f t="shared" si="61"/>
        <v>0</v>
      </c>
      <c r="Y103" s="675">
        <f t="shared" si="61"/>
        <v>0</v>
      </c>
      <c r="Z103" s="86">
        <v>0</v>
      </c>
      <c r="AA103" s="87">
        <v>0</v>
      </c>
      <c r="AB103" s="87">
        <v>0</v>
      </c>
      <c r="AC103" s="87">
        <v>0</v>
      </c>
      <c r="AD103" s="87">
        <v>0</v>
      </c>
      <c r="AE103" s="87">
        <v>0</v>
      </c>
      <c r="AF103" s="87">
        <v>0</v>
      </c>
      <c r="AG103" s="87">
        <v>0</v>
      </c>
      <c r="AH103" s="87">
        <v>0</v>
      </c>
      <c r="AI103" s="1094">
        <f>'2022-23 Input'!O103</f>
        <v>0</v>
      </c>
      <c r="AJ103" s="665">
        <v>0</v>
      </c>
      <c r="AK103" s="88">
        <f t="shared" ref="AK103:AK132" si="84">IFERROR(IF($AM$4="N",SUM(AD103:AH103)/5,SUM(AE103:AI103)/5),"")</f>
        <v>0</v>
      </c>
      <c r="AL103" s="89">
        <f t="shared" ref="AL103:AL132" si="85">IFERROR(IF($AM$4="N",SUM(AF103:AH103)/3,SUM(AG103:AI103)/3),"")</f>
        <v>0</v>
      </c>
      <c r="AM103" s="90">
        <f t="shared" ref="AM103:AM132" si="86">IFERROR(IF($AM$4="N",AH103,AI103),"")</f>
        <v>0</v>
      </c>
      <c r="AN103" s="91" t="str">
        <f t="shared" ref="AN103:AN132" si="87">IFERROR(D103/Z103,"")</f>
        <v/>
      </c>
      <c r="AO103" s="92" t="str">
        <f t="shared" ref="AO103:AO132" si="88">IFERROR(E103/AA103,"")</f>
        <v/>
      </c>
      <c r="AP103" s="92" t="str">
        <f t="shared" ref="AP103:AP132" si="89">IFERROR(F103/AB103,"")</f>
        <v/>
      </c>
      <c r="AQ103" s="92" t="str">
        <f t="shared" ref="AQ103:AQ132" si="90">IFERROR(G103/AC103,"")</f>
        <v/>
      </c>
      <c r="AR103" s="92" t="str">
        <f t="shared" ref="AR103:AR132" si="91">IFERROR(H103/AD103,"")</f>
        <v/>
      </c>
      <c r="AS103" s="92" t="str">
        <f t="shared" ref="AS103:AS132" si="92">IFERROR(I103/AE103,"")</f>
        <v/>
      </c>
      <c r="AT103" s="92" t="str">
        <f t="shared" ref="AT103:AT132" si="93">IFERROR(J103/AF103,"")</f>
        <v/>
      </c>
      <c r="AU103" s="92" t="str">
        <f t="shared" ref="AU103:AU132" si="94">IFERROR(K103/AG103,"")</f>
        <v/>
      </c>
      <c r="AV103" s="92" t="str">
        <f t="shared" ref="AV103:AX118" si="95">IFERROR(L103/AH103,"")</f>
        <v/>
      </c>
      <c r="AW103" s="92" t="str">
        <f t="shared" si="95"/>
        <v/>
      </c>
      <c r="AX103" s="92" t="str">
        <f t="shared" si="95"/>
        <v/>
      </c>
      <c r="AY103" s="93" t="str">
        <f t="shared" ref="AY103:AY132" si="96">IFERROR(IF($BA$3="N",
IF($BA$4="N",SUM(H103:L103)/SUM(AD103:AH103),SUM(I103:M103)/SUM(AE103:AI103)),
IF($BA$4="N",SUM(S103:W103)/SUM(AD103:AH103),SUM(T103:X103)/SUM(AE103:AI103))),"")</f>
        <v/>
      </c>
      <c r="AZ103" s="94" t="str">
        <f t="shared" ref="AZ103:AZ132" si="97">IFERROR(IF($BA$3="N",
IF($BA$4="N",SUM(J103:L103)/SUM(AF103:AH103),SUM(K103:M103)/SUM(AG103:AI103)),
IF($BA$4="N",SUM(U103:W103)/SUM(AF103:AH103),SUM(V103:X103)/SUM(AG103:AI103))),"")</f>
        <v/>
      </c>
      <c r="BA103" s="95" t="str">
        <f t="shared" ref="BA103:BA132" si="98">IFERROR(IF($BA$3="N",
IF($BA$4="N",L103/AH103,M103/AI103),
IF($BA$4="N",W103/AH103,X103/AI103)),"")</f>
        <v/>
      </c>
      <c r="BB103" s="248" t="s">
        <v>422</v>
      </c>
      <c r="BC103" s="229" t="s">
        <v>433</v>
      </c>
      <c r="BD103" s="249">
        <v>0</v>
      </c>
      <c r="BE103" s="267">
        <f t="shared" si="80"/>
        <v>0</v>
      </c>
      <c r="BF103" s="268">
        <f t="shared" ref="BF103:BL118" si="99">IF(BF$6=$BB103,1,
IF(BE103&lt;&gt;0,BE103+1,0
))</f>
        <v>0</v>
      </c>
      <c r="BG103" s="268">
        <f t="shared" si="99"/>
        <v>0</v>
      </c>
      <c r="BH103" s="268">
        <f t="shared" si="99"/>
        <v>1</v>
      </c>
      <c r="BI103" s="268">
        <f t="shared" si="99"/>
        <v>2</v>
      </c>
      <c r="BJ103" s="268">
        <f t="shared" si="99"/>
        <v>3</v>
      </c>
      <c r="BK103" s="268">
        <f t="shared" si="99"/>
        <v>4</v>
      </c>
      <c r="BL103" s="269">
        <f t="shared" si="99"/>
        <v>5</v>
      </c>
      <c r="BM103" s="256">
        <f>IF($BC103=Lookup!$A$2,$BD103*ROUNDUP(BE103/10,0)+1,
IF($BC103=Lookup!$A$3,($BD103+1)^BD103,
IF($BC103=Lookup!$A$4,BE103*$BD103+1,"Error")))</f>
        <v>1</v>
      </c>
      <c r="BN103" s="229">
        <f>IF($BC103=Lookup!$A$2,$BD103*ROUNDUP(BF103/10,0)+1,
IF($BC103=Lookup!$A$3,($BD103+1)^BE103,
IF($BC103=Lookup!$A$4,BF103*$BD103+1,"Error")))</f>
        <v>1</v>
      </c>
      <c r="BO103" s="229">
        <f>IF($BC103=Lookup!$A$2,$BD103*ROUNDUP(BG103/10,0)+1,
IF($BC103=Lookup!$A$3,($BD103+1)^BF103,
IF($BC103=Lookup!$A$4,BG103*$BD103+1,"Error")))</f>
        <v>1</v>
      </c>
      <c r="BP103" s="229">
        <f>IF($BC103=Lookup!$A$2,$BD103*ROUNDUP(BH103/10,0)+1,
IF($BC103=Lookup!$A$3,($BD103+1)^BG103,
IF($BC103=Lookup!$A$4,BH103*$BD103+1,"Error")))</f>
        <v>1</v>
      </c>
      <c r="BQ103" s="229">
        <f>IF($BC103=Lookup!$A$2,$BD103*ROUNDUP(BI103/10,0)+1,
IF($BC103=Lookup!$A$3,($BD103+1)^BH103,
IF($BC103=Lookup!$A$4,BI103*$BD103+1,"Error")))</f>
        <v>1</v>
      </c>
      <c r="BR103" s="229">
        <f>IF($BC103=Lookup!$A$2,$BD103*ROUNDUP(BJ103/10,0)+1,
IF($BC103=Lookup!$A$3,($BD103+1)^BI103,
IF($BC103=Lookup!$A$4,BJ103*$BD103+1,"Error")))</f>
        <v>1</v>
      </c>
      <c r="BS103" s="229">
        <f>IF($BC103=Lookup!$A$2,$BD103*ROUNDUP(BK103/10,0)+1,
IF($BC103=Lookup!$A$3,($BD103+1)^BJ103,
IF($BC103=Lookup!$A$4,BK103*$BD103+1,"Error")))</f>
        <v>1</v>
      </c>
      <c r="BT103" s="249">
        <f>IF($BC103=Lookup!$A$2,$BD103*ROUNDUP(BL103/10,0)+1,
IF($BC103=Lookup!$A$3,($BD103+1)^BK103,
IF($BC103=Lookup!$A$4,BL103*$BD103+1,"Error")))</f>
        <v>1</v>
      </c>
      <c r="BU103" s="320">
        <v>0</v>
      </c>
      <c r="BV103" s="321">
        <v>0</v>
      </c>
      <c r="BW103" s="321">
        <v>0</v>
      </c>
      <c r="BX103" s="321">
        <v>0</v>
      </c>
      <c r="BY103" s="321">
        <v>0</v>
      </c>
      <c r="BZ103" s="321">
        <v>0</v>
      </c>
      <c r="CA103" s="321">
        <v>0</v>
      </c>
      <c r="CB103" s="277">
        <v>0</v>
      </c>
      <c r="CC103" s="382" t="s">
        <v>293</v>
      </c>
      <c r="CD103" s="383">
        <f>HLOOKUP($CC103,$AK$6:$AM$132,ROWS(CD$6:CD103),0)</f>
        <v>0</v>
      </c>
      <c r="CE103" s="234">
        <f t="shared" si="81"/>
        <v>0</v>
      </c>
      <c r="CF103" s="96">
        <f t="shared" si="81"/>
        <v>0</v>
      </c>
      <c r="CG103" s="96">
        <f t="shared" si="81"/>
        <v>0</v>
      </c>
      <c r="CH103" s="96">
        <f t="shared" si="81"/>
        <v>0</v>
      </c>
      <c r="CI103" s="96">
        <f t="shared" si="50"/>
        <v>0</v>
      </c>
      <c r="CJ103" s="96">
        <f t="shared" si="50"/>
        <v>0</v>
      </c>
      <c r="CK103" s="96">
        <f t="shared" si="50"/>
        <v>0</v>
      </c>
      <c r="CL103" s="286">
        <f t="shared" si="50"/>
        <v>0</v>
      </c>
      <c r="CM103" s="305" t="s">
        <v>292</v>
      </c>
      <c r="CN103" s="315">
        <v>0.05</v>
      </c>
      <c r="CO103" s="306"/>
      <c r="CP103" s="307" t="str">
        <f>IF($CO103&lt;&gt;"",$CO103,HLOOKUP($CM103,$AY$6:$BA$132,ROWS(CP$6:CP103),0))</f>
        <v/>
      </c>
      <c r="CQ103" s="784" t="str">
        <f t="shared" ref="CQ103:CX132" si="100">IFERROR(CE103*$CP103,"")</f>
        <v/>
      </c>
      <c r="CR103" s="784" t="str">
        <f t="shared" si="100"/>
        <v/>
      </c>
      <c r="CS103" s="97" t="str">
        <f t="shared" si="100"/>
        <v/>
      </c>
      <c r="CT103" s="97" t="str">
        <f t="shared" si="100"/>
        <v/>
      </c>
      <c r="CU103" s="97" t="str">
        <f t="shared" si="100"/>
        <v/>
      </c>
      <c r="CV103" s="97" t="str">
        <f t="shared" si="100"/>
        <v/>
      </c>
      <c r="CW103" s="97" t="str">
        <f t="shared" si="100"/>
        <v/>
      </c>
      <c r="CX103" s="98" t="str">
        <f t="shared" si="100"/>
        <v/>
      </c>
    </row>
    <row r="104" spans="1:102" x14ac:dyDescent="0.25">
      <c r="A104" s="81" t="s">
        <v>196</v>
      </c>
      <c r="B104" s="82" t="s">
        <v>211</v>
      </c>
      <c r="C104" s="83" t="s">
        <v>212</v>
      </c>
      <c r="D104" s="84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654">
        <f>'2022-23 Input'!H104</f>
        <v>0</v>
      </c>
      <c r="N104" s="1065">
        <v>0</v>
      </c>
      <c r="O104" s="560">
        <f t="shared" si="79"/>
        <v>0</v>
      </c>
      <c r="P104" s="561">
        <f t="shared" si="53"/>
        <v>0</v>
      </c>
      <c r="Q104" s="561">
        <f t="shared" si="54"/>
        <v>0</v>
      </c>
      <c r="R104" s="561">
        <f t="shared" si="55"/>
        <v>0</v>
      </c>
      <c r="S104" s="561">
        <f t="shared" si="56"/>
        <v>0</v>
      </c>
      <c r="T104" s="561">
        <f t="shared" si="57"/>
        <v>0</v>
      </c>
      <c r="U104" s="561">
        <f t="shared" si="58"/>
        <v>0</v>
      </c>
      <c r="V104" s="561">
        <f t="shared" si="59"/>
        <v>0</v>
      </c>
      <c r="W104" s="675">
        <f t="shared" si="60"/>
        <v>0</v>
      </c>
      <c r="X104" s="675">
        <f t="shared" si="61"/>
        <v>0</v>
      </c>
      <c r="Y104" s="675">
        <f t="shared" si="61"/>
        <v>0</v>
      </c>
      <c r="Z104" s="86">
        <v>0</v>
      </c>
      <c r="AA104" s="87">
        <v>0</v>
      </c>
      <c r="AB104" s="87">
        <v>0</v>
      </c>
      <c r="AC104" s="87">
        <v>0</v>
      </c>
      <c r="AD104" s="87">
        <v>0</v>
      </c>
      <c r="AE104" s="87">
        <v>0</v>
      </c>
      <c r="AF104" s="87">
        <v>0</v>
      </c>
      <c r="AG104" s="87">
        <v>0</v>
      </c>
      <c r="AH104" s="87">
        <v>0</v>
      </c>
      <c r="AI104" s="1094">
        <f>'2022-23 Input'!O104</f>
        <v>0</v>
      </c>
      <c r="AJ104" s="665">
        <v>0</v>
      </c>
      <c r="AK104" s="88">
        <f t="shared" si="84"/>
        <v>0</v>
      </c>
      <c r="AL104" s="89">
        <f t="shared" si="85"/>
        <v>0</v>
      </c>
      <c r="AM104" s="90">
        <f t="shared" si="86"/>
        <v>0</v>
      </c>
      <c r="AN104" s="91" t="str">
        <f t="shared" si="87"/>
        <v/>
      </c>
      <c r="AO104" s="92" t="str">
        <f t="shared" si="88"/>
        <v/>
      </c>
      <c r="AP104" s="92" t="str">
        <f t="shared" si="89"/>
        <v/>
      </c>
      <c r="AQ104" s="92" t="str">
        <f t="shared" si="90"/>
        <v/>
      </c>
      <c r="AR104" s="92" t="str">
        <f t="shared" si="91"/>
        <v/>
      </c>
      <c r="AS104" s="92" t="str">
        <f t="shared" si="92"/>
        <v/>
      </c>
      <c r="AT104" s="92" t="str">
        <f t="shared" si="93"/>
        <v/>
      </c>
      <c r="AU104" s="92" t="str">
        <f t="shared" si="94"/>
        <v/>
      </c>
      <c r="AV104" s="92" t="str">
        <f t="shared" si="95"/>
        <v/>
      </c>
      <c r="AW104" s="92" t="str">
        <f t="shared" si="95"/>
        <v/>
      </c>
      <c r="AX104" s="92" t="str">
        <f t="shared" si="95"/>
        <v/>
      </c>
      <c r="AY104" s="93" t="str">
        <f t="shared" si="96"/>
        <v/>
      </c>
      <c r="AZ104" s="94" t="str">
        <f t="shared" si="97"/>
        <v/>
      </c>
      <c r="BA104" s="95" t="str">
        <f t="shared" si="98"/>
        <v/>
      </c>
      <c r="BB104" s="248" t="s">
        <v>422</v>
      </c>
      <c r="BC104" s="229" t="s">
        <v>433</v>
      </c>
      <c r="BD104" s="249">
        <v>0</v>
      </c>
      <c r="BE104" s="267">
        <f t="shared" si="80"/>
        <v>0</v>
      </c>
      <c r="BF104" s="268">
        <f t="shared" si="99"/>
        <v>0</v>
      </c>
      <c r="BG104" s="268">
        <f t="shared" si="99"/>
        <v>0</v>
      </c>
      <c r="BH104" s="268">
        <f t="shared" si="99"/>
        <v>1</v>
      </c>
      <c r="BI104" s="268">
        <f t="shared" si="99"/>
        <v>2</v>
      </c>
      <c r="BJ104" s="268">
        <f t="shared" si="99"/>
        <v>3</v>
      </c>
      <c r="BK104" s="268">
        <f t="shared" si="99"/>
        <v>4</v>
      </c>
      <c r="BL104" s="269">
        <f t="shared" si="99"/>
        <v>5</v>
      </c>
      <c r="BM104" s="256">
        <f>IF($BC104=Lookup!$A$2,$BD104*ROUNDUP(BE104/10,0)+1,
IF($BC104=Lookup!$A$3,($BD104+1)^BD104,
IF($BC104=Lookup!$A$4,BE104*$BD104+1,"Error")))</f>
        <v>1</v>
      </c>
      <c r="BN104" s="229">
        <f>IF($BC104=Lookup!$A$2,$BD104*ROUNDUP(BF104/10,0)+1,
IF($BC104=Lookup!$A$3,($BD104+1)^BE104,
IF($BC104=Lookup!$A$4,BF104*$BD104+1,"Error")))</f>
        <v>1</v>
      </c>
      <c r="BO104" s="229">
        <f>IF($BC104=Lookup!$A$2,$BD104*ROUNDUP(BG104/10,0)+1,
IF($BC104=Lookup!$A$3,($BD104+1)^BF104,
IF($BC104=Lookup!$A$4,BG104*$BD104+1,"Error")))</f>
        <v>1</v>
      </c>
      <c r="BP104" s="229">
        <f>IF($BC104=Lookup!$A$2,$BD104*ROUNDUP(BH104/10,0)+1,
IF($BC104=Lookup!$A$3,($BD104+1)^BG104,
IF($BC104=Lookup!$A$4,BH104*$BD104+1,"Error")))</f>
        <v>1</v>
      </c>
      <c r="BQ104" s="229">
        <f>IF($BC104=Lookup!$A$2,$BD104*ROUNDUP(BI104/10,0)+1,
IF($BC104=Lookup!$A$3,($BD104+1)^BH104,
IF($BC104=Lookup!$A$4,BI104*$BD104+1,"Error")))</f>
        <v>1</v>
      </c>
      <c r="BR104" s="229">
        <f>IF($BC104=Lookup!$A$2,$BD104*ROUNDUP(BJ104/10,0)+1,
IF($BC104=Lookup!$A$3,($BD104+1)^BI104,
IF($BC104=Lookup!$A$4,BJ104*$BD104+1,"Error")))</f>
        <v>1</v>
      </c>
      <c r="BS104" s="229">
        <f>IF($BC104=Lookup!$A$2,$BD104*ROUNDUP(BK104/10,0)+1,
IF($BC104=Lookup!$A$3,($BD104+1)^BJ104,
IF($BC104=Lookup!$A$4,BK104*$BD104+1,"Error")))</f>
        <v>1</v>
      </c>
      <c r="BT104" s="249">
        <f>IF($BC104=Lookup!$A$2,$BD104*ROUNDUP(BL104/10,0)+1,
IF($BC104=Lookup!$A$3,($BD104+1)^BK104,
IF($BC104=Lookup!$A$4,BL104*$BD104+1,"Error")))</f>
        <v>1</v>
      </c>
      <c r="BU104" s="320">
        <v>0</v>
      </c>
      <c r="BV104" s="321">
        <v>0</v>
      </c>
      <c r="BW104" s="321">
        <v>0</v>
      </c>
      <c r="BX104" s="321">
        <v>0</v>
      </c>
      <c r="BY104" s="321">
        <v>0</v>
      </c>
      <c r="BZ104" s="321">
        <v>0</v>
      </c>
      <c r="CA104" s="321">
        <v>0</v>
      </c>
      <c r="CB104" s="277">
        <v>0</v>
      </c>
      <c r="CC104" s="382" t="s">
        <v>293</v>
      </c>
      <c r="CD104" s="383">
        <f>HLOOKUP($CC104,$AK$6:$AM$132,ROWS(CD$6:CD104),0)</f>
        <v>0</v>
      </c>
      <c r="CE104" s="234">
        <f t="shared" si="81"/>
        <v>0</v>
      </c>
      <c r="CF104" s="96">
        <f t="shared" si="81"/>
        <v>0</v>
      </c>
      <c r="CG104" s="96">
        <f t="shared" si="81"/>
        <v>0</v>
      </c>
      <c r="CH104" s="96">
        <f t="shared" si="81"/>
        <v>0</v>
      </c>
      <c r="CI104" s="96">
        <f t="shared" si="50"/>
        <v>0</v>
      </c>
      <c r="CJ104" s="96">
        <f t="shared" si="50"/>
        <v>0</v>
      </c>
      <c r="CK104" s="96">
        <f t="shared" si="50"/>
        <v>0</v>
      </c>
      <c r="CL104" s="286">
        <f t="shared" si="50"/>
        <v>0</v>
      </c>
      <c r="CM104" s="305" t="s">
        <v>292</v>
      </c>
      <c r="CN104" s="315">
        <v>0.05</v>
      </c>
      <c r="CO104" s="306"/>
      <c r="CP104" s="307" t="str">
        <f>IF($CO104&lt;&gt;"",$CO104,HLOOKUP($CM104,$AY$6:$BA$132,ROWS(CP$6:CP104),0))</f>
        <v/>
      </c>
      <c r="CQ104" s="784" t="str">
        <f t="shared" si="100"/>
        <v/>
      </c>
      <c r="CR104" s="784" t="str">
        <f t="shared" si="100"/>
        <v/>
      </c>
      <c r="CS104" s="97" t="str">
        <f t="shared" si="100"/>
        <v/>
      </c>
      <c r="CT104" s="97" t="str">
        <f t="shared" si="100"/>
        <v/>
      </c>
      <c r="CU104" s="97" t="str">
        <f t="shared" si="100"/>
        <v/>
      </c>
      <c r="CV104" s="97" t="str">
        <f t="shared" si="100"/>
        <v/>
      </c>
      <c r="CW104" s="97" t="str">
        <f t="shared" si="100"/>
        <v/>
      </c>
      <c r="CX104" s="98" t="str">
        <f t="shared" si="100"/>
        <v/>
      </c>
    </row>
    <row r="105" spans="1:102" x14ac:dyDescent="0.25">
      <c r="A105" s="81" t="s">
        <v>196</v>
      </c>
      <c r="B105" s="82" t="s">
        <v>213</v>
      </c>
      <c r="C105" s="83" t="s">
        <v>214</v>
      </c>
      <c r="D105" s="84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654">
        <f>'2022-23 Input'!H105</f>
        <v>0</v>
      </c>
      <c r="N105" s="1065">
        <v>0</v>
      </c>
      <c r="O105" s="560">
        <f t="shared" si="79"/>
        <v>0</v>
      </c>
      <c r="P105" s="561">
        <f t="shared" si="53"/>
        <v>0</v>
      </c>
      <c r="Q105" s="561">
        <f t="shared" si="54"/>
        <v>0</v>
      </c>
      <c r="R105" s="561">
        <f t="shared" si="55"/>
        <v>0</v>
      </c>
      <c r="S105" s="561">
        <f t="shared" si="56"/>
        <v>0</v>
      </c>
      <c r="T105" s="561">
        <f t="shared" si="57"/>
        <v>0</v>
      </c>
      <c r="U105" s="561">
        <f t="shared" si="58"/>
        <v>0</v>
      </c>
      <c r="V105" s="561">
        <f t="shared" si="59"/>
        <v>0</v>
      </c>
      <c r="W105" s="675">
        <f t="shared" si="60"/>
        <v>0</v>
      </c>
      <c r="X105" s="675">
        <f t="shared" si="61"/>
        <v>0</v>
      </c>
      <c r="Y105" s="675">
        <f t="shared" si="61"/>
        <v>0</v>
      </c>
      <c r="Z105" s="86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87">
        <v>0</v>
      </c>
      <c r="AI105" s="1094">
        <f>'2022-23 Input'!O105</f>
        <v>0</v>
      </c>
      <c r="AJ105" s="665">
        <v>0</v>
      </c>
      <c r="AK105" s="88">
        <f t="shared" si="84"/>
        <v>0</v>
      </c>
      <c r="AL105" s="89">
        <f t="shared" si="85"/>
        <v>0</v>
      </c>
      <c r="AM105" s="90">
        <f t="shared" si="86"/>
        <v>0</v>
      </c>
      <c r="AN105" s="91" t="str">
        <f t="shared" si="87"/>
        <v/>
      </c>
      <c r="AO105" s="92" t="str">
        <f t="shared" si="88"/>
        <v/>
      </c>
      <c r="AP105" s="92" t="str">
        <f t="shared" si="89"/>
        <v/>
      </c>
      <c r="AQ105" s="92" t="str">
        <f t="shared" si="90"/>
        <v/>
      </c>
      <c r="AR105" s="92" t="str">
        <f t="shared" si="91"/>
        <v/>
      </c>
      <c r="AS105" s="92" t="str">
        <f t="shared" si="92"/>
        <v/>
      </c>
      <c r="AT105" s="92" t="str">
        <f t="shared" si="93"/>
        <v/>
      </c>
      <c r="AU105" s="92" t="str">
        <f t="shared" si="94"/>
        <v/>
      </c>
      <c r="AV105" s="92" t="str">
        <f t="shared" si="95"/>
        <v/>
      </c>
      <c r="AW105" s="92" t="str">
        <f t="shared" si="95"/>
        <v/>
      </c>
      <c r="AX105" s="92" t="str">
        <f t="shared" si="95"/>
        <v/>
      </c>
      <c r="AY105" s="93" t="str">
        <f t="shared" si="96"/>
        <v/>
      </c>
      <c r="AZ105" s="94" t="str">
        <f t="shared" si="97"/>
        <v/>
      </c>
      <c r="BA105" s="95" t="str">
        <f t="shared" si="98"/>
        <v/>
      </c>
      <c r="BB105" s="248" t="s">
        <v>422</v>
      </c>
      <c r="BC105" s="229" t="s">
        <v>433</v>
      </c>
      <c r="BD105" s="249">
        <v>0</v>
      </c>
      <c r="BE105" s="267">
        <f t="shared" si="80"/>
        <v>0</v>
      </c>
      <c r="BF105" s="268">
        <f t="shared" si="99"/>
        <v>0</v>
      </c>
      <c r="BG105" s="268">
        <f t="shared" si="99"/>
        <v>0</v>
      </c>
      <c r="BH105" s="268">
        <f t="shared" si="99"/>
        <v>1</v>
      </c>
      <c r="BI105" s="268">
        <f t="shared" si="99"/>
        <v>2</v>
      </c>
      <c r="BJ105" s="268">
        <f t="shared" si="99"/>
        <v>3</v>
      </c>
      <c r="BK105" s="268">
        <f t="shared" si="99"/>
        <v>4</v>
      </c>
      <c r="BL105" s="269">
        <f t="shared" si="99"/>
        <v>5</v>
      </c>
      <c r="BM105" s="256">
        <f>IF($BC105=Lookup!$A$2,$BD105*ROUNDUP(BE105/10,0)+1,
IF($BC105=Lookup!$A$3,($BD105+1)^BD105,
IF($BC105=Lookup!$A$4,BE105*$BD105+1,"Error")))</f>
        <v>1</v>
      </c>
      <c r="BN105" s="229">
        <f>IF($BC105=Lookup!$A$2,$BD105*ROUNDUP(BF105/10,0)+1,
IF($BC105=Lookup!$A$3,($BD105+1)^BE105,
IF($BC105=Lookup!$A$4,BF105*$BD105+1,"Error")))</f>
        <v>1</v>
      </c>
      <c r="BO105" s="229">
        <f>IF($BC105=Lookup!$A$2,$BD105*ROUNDUP(BG105/10,0)+1,
IF($BC105=Lookup!$A$3,($BD105+1)^BF105,
IF($BC105=Lookup!$A$4,BG105*$BD105+1,"Error")))</f>
        <v>1</v>
      </c>
      <c r="BP105" s="229">
        <f>IF($BC105=Lookup!$A$2,$BD105*ROUNDUP(BH105/10,0)+1,
IF($BC105=Lookup!$A$3,($BD105+1)^BG105,
IF($BC105=Lookup!$A$4,BH105*$BD105+1,"Error")))</f>
        <v>1</v>
      </c>
      <c r="BQ105" s="229">
        <f>IF($BC105=Lookup!$A$2,$BD105*ROUNDUP(BI105/10,0)+1,
IF($BC105=Lookup!$A$3,($BD105+1)^BH105,
IF($BC105=Lookup!$A$4,BI105*$BD105+1,"Error")))</f>
        <v>1</v>
      </c>
      <c r="BR105" s="229">
        <f>IF($BC105=Lookup!$A$2,$BD105*ROUNDUP(BJ105/10,0)+1,
IF($BC105=Lookup!$A$3,($BD105+1)^BI105,
IF($BC105=Lookup!$A$4,BJ105*$BD105+1,"Error")))</f>
        <v>1</v>
      </c>
      <c r="BS105" s="229">
        <f>IF($BC105=Lookup!$A$2,$BD105*ROUNDUP(BK105/10,0)+1,
IF($BC105=Lookup!$A$3,($BD105+1)^BJ105,
IF($BC105=Lookup!$A$4,BK105*$BD105+1,"Error")))</f>
        <v>1</v>
      </c>
      <c r="BT105" s="249">
        <f>IF($BC105=Lookup!$A$2,$BD105*ROUNDUP(BL105/10,0)+1,
IF($BC105=Lookup!$A$3,($BD105+1)^BK105,
IF($BC105=Lookup!$A$4,BL105*$BD105+1,"Error")))</f>
        <v>1</v>
      </c>
      <c r="BU105" s="320">
        <v>0</v>
      </c>
      <c r="BV105" s="321">
        <v>0</v>
      </c>
      <c r="BW105" s="321">
        <v>0</v>
      </c>
      <c r="BX105" s="321">
        <v>0</v>
      </c>
      <c r="BY105" s="321">
        <v>0</v>
      </c>
      <c r="BZ105" s="321">
        <v>0</v>
      </c>
      <c r="CA105" s="321">
        <v>0</v>
      </c>
      <c r="CB105" s="277">
        <v>0</v>
      </c>
      <c r="CC105" s="382" t="s">
        <v>293</v>
      </c>
      <c r="CD105" s="383">
        <f>HLOOKUP($CC105,$AK$6:$AM$132,ROWS(CD$6:CD105),0)</f>
        <v>0</v>
      </c>
      <c r="CE105" s="234">
        <f t="shared" si="81"/>
        <v>0</v>
      </c>
      <c r="CF105" s="96">
        <f t="shared" si="81"/>
        <v>0</v>
      </c>
      <c r="CG105" s="96">
        <f t="shared" si="81"/>
        <v>0</v>
      </c>
      <c r="CH105" s="96">
        <f t="shared" si="81"/>
        <v>0</v>
      </c>
      <c r="CI105" s="96">
        <f t="shared" si="50"/>
        <v>0</v>
      </c>
      <c r="CJ105" s="96">
        <f t="shared" si="50"/>
        <v>0</v>
      </c>
      <c r="CK105" s="96">
        <f t="shared" si="50"/>
        <v>0</v>
      </c>
      <c r="CL105" s="286">
        <f t="shared" si="50"/>
        <v>0</v>
      </c>
      <c r="CM105" s="305" t="s">
        <v>292</v>
      </c>
      <c r="CN105" s="315">
        <v>0.05</v>
      </c>
      <c r="CO105" s="306"/>
      <c r="CP105" s="307" t="str">
        <f>IF($CO105&lt;&gt;"",$CO105,HLOOKUP($CM105,$AY$6:$BA$132,ROWS(CP$6:CP105),0))</f>
        <v/>
      </c>
      <c r="CQ105" s="784" t="str">
        <f t="shared" si="100"/>
        <v/>
      </c>
      <c r="CR105" s="784" t="str">
        <f t="shared" si="100"/>
        <v/>
      </c>
      <c r="CS105" s="97" t="str">
        <f t="shared" si="100"/>
        <v/>
      </c>
      <c r="CT105" s="97" t="str">
        <f t="shared" si="100"/>
        <v/>
      </c>
      <c r="CU105" s="97" t="str">
        <f t="shared" si="100"/>
        <v/>
      </c>
      <c r="CV105" s="97" t="str">
        <f t="shared" si="100"/>
        <v/>
      </c>
      <c r="CW105" s="97" t="str">
        <f t="shared" si="100"/>
        <v/>
      </c>
      <c r="CX105" s="98" t="str">
        <f t="shared" si="100"/>
        <v/>
      </c>
    </row>
    <row r="106" spans="1:102" x14ac:dyDescent="0.25">
      <c r="A106" s="81" t="s">
        <v>196</v>
      </c>
      <c r="B106" s="82" t="s">
        <v>215</v>
      </c>
      <c r="C106" s="83" t="s">
        <v>392</v>
      </c>
      <c r="D106" s="84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654">
        <f>'2022-23 Input'!H106</f>
        <v>0</v>
      </c>
      <c r="N106" s="1065">
        <v>0</v>
      </c>
      <c r="O106" s="560">
        <f t="shared" si="79"/>
        <v>0</v>
      </c>
      <c r="P106" s="561">
        <f t="shared" si="53"/>
        <v>0</v>
      </c>
      <c r="Q106" s="561">
        <f t="shared" si="54"/>
        <v>0</v>
      </c>
      <c r="R106" s="561">
        <f t="shared" si="55"/>
        <v>0</v>
      </c>
      <c r="S106" s="561">
        <f t="shared" si="56"/>
        <v>0</v>
      </c>
      <c r="T106" s="561">
        <f t="shared" si="57"/>
        <v>0</v>
      </c>
      <c r="U106" s="561">
        <f t="shared" si="58"/>
        <v>0</v>
      </c>
      <c r="V106" s="561">
        <f t="shared" si="59"/>
        <v>0</v>
      </c>
      <c r="W106" s="675">
        <f t="shared" si="60"/>
        <v>0</v>
      </c>
      <c r="X106" s="675">
        <f t="shared" si="61"/>
        <v>0</v>
      </c>
      <c r="Y106" s="675">
        <f t="shared" si="61"/>
        <v>0</v>
      </c>
      <c r="Z106" s="86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87">
        <v>0</v>
      </c>
      <c r="AI106" s="1094">
        <f>'2022-23 Input'!O106</f>
        <v>0</v>
      </c>
      <c r="AJ106" s="665">
        <v>0</v>
      </c>
      <c r="AK106" s="88">
        <f t="shared" si="84"/>
        <v>0</v>
      </c>
      <c r="AL106" s="89">
        <f t="shared" si="85"/>
        <v>0</v>
      </c>
      <c r="AM106" s="90">
        <f t="shared" si="86"/>
        <v>0</v>
      </c>
      <c r="AN106" s="91" t="str">
        <f t="shared" si="87"/>
        <v/>
      </c>
      <c r="AO106" s="92" t="str">
        <f t="shared" si="88"/>
        <v/>
      </c>
      <c r="AP106" s="92" t="str">
        <f t="shared" si="89"/>
        <v/>
      </c>
      <c r="AQ106" s="92" t="str">
        <f t="shared" si="90"/>
        <v/>
      </c>
      <c r="AR106" s="92" t="str">
        <f t="shared" si="91"/>
        <v/>
      </c>
      <c r="AS106" s="92" t="str">
        <f t="shared" si="92"/>
        <v/>
      </c>
      <c r="AT106" s="92" t="str">
        <f t="shared" si="93"/>
        <v/>
      </c>
      <c r="AU106" s="92" t="str">
        <f t="shared" si="94"/>
        <v/>
      </c>
      <c r="AV106" s="92" t="str">
        <f t="shared" si="95"/>
        <v/>
      </c>
      <c r="AW106" s="92" t="str">
        <f t="shared" si="95"/>
        <v/>
      </c>
      <c r="AX106" s="92" t="str">
        <f t="shared" si="95"/>
        <v/>
      </c>
      <c r="AY106" s="93" t="str">
        <f t="shared" si="96"/>
        <v/>
      </c>
      <c r="AZ106" s="94" t="str">
        <f t="shared" si="97"/>
        <v/>
      </c>
      <c r="BA106" s="95" t="str">
        <f t="shared" si="98"/>
        <v/>
      </c>
      <c r="BB106" s="248" t="s">
        <v>422</v>
      </c>
      <c r="BC106" s="229" t="s">
        <v>433</v>
      </c>
      <c r="BD106" s="249">
        <v>0</v>
      </c>
      <c r="BE106" s="267">
        <f t="shared" si="80"/>
        <v>0</v>
      </c>
      <c r="BF106" s="268">
        <f t="shared" si="99"/>
        <v>0</v>
      </c>
      <c r="BG106" s="268">
        <f t="shared" si="99"/>
        <v>0</v>
      </c>
      <c r="BH106" s="268">
        <f t="shared" si="99"/>
        <v>1</v>
      </c>
      <c r="BI106" s="268">
        <f t="shared" si="99"/>
        <v>2</v>
      </c>
      <c r="BJ106" s="268">
        <f t="shared" si="99"/>
        <v>3</v>
      </c>
      <c r="BK106" s="268">
        <f t="shared" si="99"/>
        <v>4</v>
      </c>
      <c r="BL106" s="269">
        <f t="shared" si="99"/>
        <v>5</v>
      </c>
      <c r="BM106" s="256">
        <f>IF($BC106=Lookup!$A$2,$BD106*ROUNDUP(BE106/10,0)+1,
IF($BC106=Lookup!$A$3,($BD106+1)^BD106,
IF($BC106=Lookup!$A$4,BE106*$BD106+1,"Error")))</f>
        <v>1</v>
      </c>
      <c r="BN106" s="229">
        <f>IF($BC106=Lookup!$A$2,$BD106*ROUNDUP(BF106/10,0)+1,
IF($BC106=Lookup!$A$3,($BD106+1)^BE106,
IF($BC106=Lookup!$A$4,BF106*$BD106+1,"Error")))</f>
        <v>1</v>
      </c>
      <c r="BO106" s="229">
        <f>IF($BC106=Lookup!$A$2,$BD106*ROUNDUP(BG106/10,0)+1,
IF($BC106=Lookup!$A$3,($BD106+1)^BF106,
IF($BC106=Lookup!$A$4,BG106*$BD106+1,"Error")))</f>
        <v>1</v>
      </c>
      <c r="BP106" s="229">
        <f>IF($BC106=Lookup!$A$2,$BD106*ROUNDUP(BH106/10,0)+1,
IF($BC106=Lookup!$A$3,($BD106+1)^BG106,
IF($BC106=Lookup!$A$4,BH106*$BD106+1,"Error")))</f>
        <v>1</v>
      </c>
      <c r="BQ106" s="229">
        <f>IF($BC106=Lookup!$A$2,$BD106*ROUNDUP(BI106/10,0)+1,
IF($BC106=Lookup!$A$3,($BD106+1)^BH106,
IF($BC106=Lookup!$A$4,BI106*$BD106+1,"Error")))</f>
        <v>1</v>
      </c>
      <c r="BR106" s="229">
        <f>IF($BC106=Lookup!$A$2,$BD106*ROUNDUP(BJ106/10,0)+1,
IF($BC106=Lookup!$A$3,($BD106+1)^BI106,
IF($BC106=Lookup!$A$4,BJ106*$BD106+1,"Error")))</f>
        <v>1</v>
      </c>
      <c r="BS106" s="229">
        <f>IF($BC106=Lookup!$A$2,$BD106*ROUNDUP(BK106/10,0)+1,
IF($BC106=Lookup!$A$3,($BD106+1)^BJ106,
IF($BC106=Lookup!$A$4,BK106*$BD106+1,"Error")))</f>
        <v>1</v>
      </c>
      <c r="BT106" s="249">
        <f>IF($BC106=Lookup!$A$2,$BD106*ROUNDUP(BL106/10,0)+1,
IF($BC106=Lookup!$A$3,($BD106+1)^BK106,
IF($BC106=Lookup!$A$4,BL106*$BD106+1,"Error")))</f>
        <v>1</v>
      </c>
      <c r="BU106" s="320">
        <v>0</v>
      </c>
      <c r="BV106" s="321">
        <v>0</v>
      </c>
      <c r="BW106" s="321">
        <v>0</v>
      </c>
      <c r="BX106" s="321">
        <v>0</v>
      </c>
      <c r="BY106" s="321">
        <v>0</v>
      </c>
      <c r="BZ106" s="321">
        <v>0</v>
      </c>
      <c r="CA106" s="321">
        <v>0</v>
      </c>
      <c r="CB106" s="277">
        <v>0</v>
      </c>
      <c r="CC106" s="382" t="s">
        <v>293</v>
      </c>
      <c r="CD106" s="383">
        <f>HLOOKUP($CC106,$AK$6:$AM$132,ROWS(CD$6:CD106),0)</f>
        <v>0</v>
      </c>
      <c r="CE106" s="234">
        <f t="shared" si="81"/>
        <v>0</v>
      </c>
      <c r="CF106" s="96">
        <f t="shared" si="81"/>
        <v>0</v>
      </c>
      <c r="CG106" s="96">
        <f t="shared" si="81"/>
        <v>0</v>
      </c>
      <c r="CH106" s="96">
        <f t="shared" si="81"/>
        <v>0</v>
      </c>
      <c r="CI106" s="96">
        <f t="shared" si="50"/>
        <v>0</v>
      </c>
      <c r="CJ106" s="96">
        <f t="shared" si="50"/>
        <v>0</v>
      </c>
      <c r="CK106" s="96">
        <f t="shared" si="50"/>
        <v>0</v>
      </c>
      <c r="CL106" s="286">
        <f t="shared" ref="CL106:CL132" si="101">IFERROR(IF(CB106&lt;&gt;"",CB106,BT106*$CD106),"")</f>
        <v>0</v>
      </c>
      <c r="CM106" s="305" t="s">
        <v>292</v>
      </c>
      <c r="CN106" s="315">
        <v>0.05</v>
      </c>
      <c r="CO106" s="306"/>
      <c r="CP106" s="307" t="str">
        <f>IF($CO106&lt;&gt;"",$CO106,HLOOKUP($CM106,$AY$6:$BA$132,ROWS(CP$6:CP106),0))</f>
        <v/>
      </c>
      <c r="CQ106" s="784" t="str">
        <f t="shared" si="100"/>
        <v/>
      </c>
      <c r="CR106" s="784" t="str">
        <f t="shared" si="100"/>
        <v/>
      </c>
      <c r="CS106" s="97" t="str">
        <f t="shared" si="100"/>
        <v/>
      </c>
      <c r="CT106" s="97" t="str">
        <f t="shared" si="100"/>
        <v/>
      </c>
      <c r="CU106" s="97" t="str">
        <f t="shared" si="100"/>
        <v/>
      </c>
      <c r="CV106" s="97" t="str">
        <f t="shared" si="100"/>
        <v/>
      </c>
      <c r="CW106" s="97" t="str">
        <f t="shared" si="100"/>
        <v/>
      </c>
      <c r="CX106" s="98" t="str">
        <f t="shared" si="100"/>
        <v/>
      </c>
    </row>
    <row r="107" spans="1:102" x14ac:dyDescent="0.25">
      <c r="A107" s="81" t="s">
        <v>196</v>
      </c>
      <c r="B107" s="82" t="s">
        <v>217</v>
      </c>
      <c r="C107" s="83" t="s">
        <v>218</v>
      </c>
      <c r="D107" s="84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654">
        <f>'2022-23 Input'!H107</f>
        <v>0</v>
      </c>
      <c r="N107" s="1065">
        <v>0</v>
      </c>
      <c r="O107" s="560">
        <f t="shared" si="79"/>
        <v>0</v>
      </c>
      <c r="P107" s="561">
        <f t="shared" si="53"/>
        <v>0</v>
      </c>
      <c r="Q107" s="561">
        <f t="shared" si="54"/>
        <v>0</v>
      </c>
      <c r="R107" s="561">
        <f t="shared" si="55"/>
        <v>0</v>
      </c>
      <c r="S107" s="561">
        <f t="shared" si="56"/>
        <v>0</v>
      </c>
      <c r="T107" s="561">
        <f t="shared" si="57"/>
        <v>0</v>
      </c>
      <c r="U107" s="561">
        <f t="shared" si="58"/>
        <v>0</v>
      </c>
      <c r="V107" s="561">
        <f t="shared" si="59"/>
        <v>0</v>
      </c>
      <c r="W107" s="675">
        <f t="shared" si="60"/>
        <v>0</v>
      </c>
      <c r="X107" s="675">
        <f t="shared" si="61"/>
        <v>0</v>
      </c>
      <c r="Y107" s="675">
        <f t="shared" si="61"/>
        <v>0</v>
      </c>
      <c r="Z107" s="86">
        <v>0</v>
      </c>
      <c r="AA107" s="87">
        <v>0</v>
      </c>
      <c r="AB107" s="87">
        <v>0</v>
      </c>
      <c r="AC107" s="87">
        <v>0</v>
      </c>
      <c r="AD107" s="87">
        <v>0</v>
      </c>
      <c r="AE107" s="87">
        <v>0</v>
      </c>
      <c r="AF107" s="87">
        <v>0</v>
      </c>
      <c r="AG107" s="87">
        <v>0</v>
      </c>
      <c r="AH107" s="87">
        <v>0</v>
      </c>
      <c r="AI107" s="1094">
        <f>'2022-23 Input'!O107</f>
        <v>0</v>
      </c>
      <c r="AJ107" s="665">
        <v>0</v>
      </c>
      <c r="AK107" s="88">
        <f t="shared" si="84"/>
        <v>0</v>
      </c>
      <c r="AL107" s="89">
        <f t="shared" si="85"/>
        <v>0</v>
      </c>
      <c r="AM107" s="90">
        <f t="shared" si="86"/>
        <v>0</v>
      </c>
      <c r="AN107" s="91" t="str">
        <f t="shared" si="87"/>
        <v/>
      </c>
      <c r="AO107" s="92" t="str">
        <f t="shared" si="88"/>
        <v/>
      </c>
      <c r="AP107" s="92" t="str">
        <f t="shared" si="89"/>
        <v/>
      </c>
      <c r="AQ107" s="92" t="str">
        <f t="shared" si="90"/>
        <v/>
      </c>
      <c r="AR107" s="92" t="str">
        <f t="shared" si="91"/>
        <v/>
      </c>
      <c r="AS107" s="92" t="str">
        <f t="shared" si="92"/>
        <v/>
      </c>
      <c r="AT107" s="92" t="str">
        <f t="shared" si="93"/>
        <v/>
      </c>
      <c r="AU107" s="92" t="str">
        <f t="shared" si="94"/>
        <v/>
      </c>
      <c r="AV107" s="92" t="str">
        <f t="shared" si="95"/>
        <v/>
      </c>
      <c r="AW107" s="92" t="str">
        <f t="shared" si="95"/>
        <v/>
      </c>
      <c r="AX107" s="92" t="str">
        <f t="shared" si="95"/>
        <v/>
      </c>
      <c r="AY107" s="93" t="str">
        <f t="shared" si="96"/>
        <v/>
      </c>
      <c r="AZ107" s="94" t="str">
        <f t="shared" si="97"/>
        <v/>
      </c>
      <c r="BA107" s="95" t="str">
        <f t="shared" si="98"/>
        <v/>
      </c>
      <c r="BB107" s="248" t="s">
        <v>422</v>
      </c>
      <c r="BC107" s="229" t="s">
        <v>433</v>
      </c>
      <c r="BD107" s="249">
        <v>0</v>
      </c>
      <c r="BE107" s="267">
        <f t="shared" si="80"/>
        <v>0</v>
      </c>
      <c r="BF107" s="268">
        <f t="shared" si="99"/>
        <v>0</v>
      </c>
      <c r="BG107" s="268">
        <f t="shared" si="99"/>
        <v>0</v>
      </c>
      <c r="BH107" s="268">
        <f t="shared" si="99"/>
        <v>1</v>
      </c>
      <c r="BI107" s="268">
        <f t="shared" si="99"/>
        <v>2</v>
      </c>
      <c r="BJ107" s="268">
        <f t="shared" si="99"/>
        <v>3</v>
      </c>
      <c r="BK107" s="268">
        <f t="shared" si="99"/>
        <v>4</v>
      </c>
      <c r="BL107" s="269">
        <f t="shared" si="99"/>
        <v>5</v>
      </c>
      <c r="BM107" s="256">
        <f>IF($BC107=Lookup!$A$2,$BD107*ROUNDUP(BE107/10,0)+1,
IF($BC107=Lookup!$A$3,($BD107+1)^BD107,
IF($BC107=Lookup!$A$4,BE107*$BD107+1,"Error")))</f>
        <v>1</v>
      </c>
      <c r="BN107" s="229">
        <f>IF($BC107=Lookup!$A$2,$BD107*ROUNDUP(BF107/10,0)+1,
IF($BC107=Lookup!$A$3,($BD107+1)^BE107,
IF($BC107=Lookup!$A$4,BF107*$BD107+1,"Error")))</f>
        <v>1</v>
      </c>
      <c r="BO107" s="229">
        <f>IF($BC107=Lookup!$A$2,$BD107*ROUNDUP(BG107/10,0)+1,
IF($BC107=Lookup!$A$3,($BD107+1)^BF107,
IF($BC107=Lookup!$A$4,BG107*$BD107+1,"Error")))</f>
        <v>1</v>
      </c>
      <c r="BP107" s="229">
        <f>IF($BC107=Lookup!$A$2,$BD107*ROUNDUP(BH107/10,0)+1,
IF($BC107=Lookup!$A$3,($BD107+1)^BG107,
IF($BC107=Lookup!$A$4,BH107*$BD107+1,"Error")))</f>
        <v>1</v>
      </c>
      <c r="BQ107" s="229">
        <f>IF($BC107=Lookup!$A$2,$BD107*ROUNDUP(BI107/10,0)+1,
IF($BC107=Lookup!$A$3,($BD107+1)^BH107,
IF($BC107=Lookup!$A$4,BI107*$BD107+1,"Error")))</f>
        <v>1</v>
      </c>
      <c r="BR107" s="229">
        <f>IF($BC107=Lookup!$A$2,$BD107*ROUNDUP(BJ107/10,0)+1,
IF($BC107=Lookup!$A$3,($BD107+1)^BI107,
IF($BC107=Lookup!$A$4,BJ107*$BD107+1,"Error")))</f>
        <v>1</v>
      </c>
      <c r="BS107" s="229">
        <f>IF($BC107=Lookup!$A$2,$BD107*ROUNDUP(BK107/10,0)+1,
IF($BC107=Lookup!$A$3,($BD107+1)^BJ107,
IF($BC107=Lookup!$A$4,BK107*$BD107+1,"Error")))</f>
        <v>1</v>
      </c>
      <c r="BT107" s="249">
        <f>IF($BC107=Lookup!$A$2,$BD107*ROUNDUP(BL107/10,0)+1,
IF($BC107=Lookup!$A$3,($BD107+1)^BK107,
IF($BC107=Lookup!$A$4,BL107*$BD107+1,"Error")))</f>
        <v>1</v>
      </c>
      <c r="BU107" s="320">
        <v>0</v>
      </c>
      <c r="BV107" s="321">
        <v>0</v>
      </c>
      <c r="BW107" s="321">
        <v>0</v>
      </c>
      <c r="BX107" s="321">
        <v>0</v>
      </c>
      <c r="BY107" s="321">
        <v>0</v>
      </c>
      <c r="BZ107" s="321">
        <v>0</v>
      </c>
      <c r="CA107" s="321">
        <v>0</v>
      </c>
      <c r="CB107" s="277">
        <v>0</v>
      </c>
      <c r="CC107" s="382" t="s">
        <v>293</v>
      </c>
      <c r="CD107" s="383">
        <f>HLOOKUP($CC107,$AK$6:$AM$132,ROWS(CD$6:CD107),0)</f>
        <v>0</v>
      </c>
      <c r="CE107" s="234">
        <f t="shared" si="81"/>
        <v>0</v>
      </c>
      <c r="CF107" s="96">
        <f t="shared" si="81"/>
        <v>0</v>
      </c>
      <c r="CG107" s="96">
        <f t="shared" si="81"/>
        <v>0</v>
      </c>
      <c r="CH107" s="96">
        <f t="shared" si="81"/>
        <v>0</v>
      </c>
      <c r="CI107" s="96">
        <f t="shared" si="81"/>
        <v>0</v>
      </c>
      <c r="CJ107" s="96">
        <f t="shared" si="81"/>
        <v>0</v>
      </c>
      <c r="CK107" s="96">
        <f t="shared" si="81"/>
        <v>0</v>
      </c>
      <c r="CL107" s="286">
        <f t="shared" si="101"/>
        <v>0</v>
      </c>
      <c r="CM107" s="305" t="s">
        <v>292</v>
      </c>
      <c r="CN107" s="315">
        <v>0.05</v>
      </c>
      <c r="CO107" s="306"/>
      <c r="CP107" s="307" t="str">
        <f>IF($CO107&lt;&gt;"",$CO107,HLOOKUP($CM107,$AY$6:$BA$132,ROWS(CP$6:CP107),0))</f>
        <v/>
      </c>
      <c r="CQ107" s="784" t="str">
        <f t="shared" si="100"/>
        <v/>
      </c>
      <c r="CR107" s="784" t="str">
        <f t="shared" si="100"/>
        <v/>
      </c>
      <c r="CS107" s="97" t="str">
        <f t="shared" si="100"/>
        <v/>
      </c>
      <c r="CT107" s="97" t="str">
        <f t="shared" si="100"/>
        <v/>
      </c>
      <c r="CU107" s="97" t="str">
        <f t="shared" si="100"/>
        <v/>
      </c>
      <c r="CV107" s="97" t="str">
        <f t="shared" si="100"/>
        <v/>
      </c>
      <c r="CW107" s="97" t="str">
        <f t="shared" si="100"/>
        <v/>
      </c>
      <c r="CX107" s="98" t="str">
        <f t="shared" si="100"/>
        <v/>
      </c>
    </row>
    <row r="108" spans="1:102" x14ac:dyDescent="0.25">
      <c r="A108" s="81" t="s">
        <v>196</v>
      </c>
      <c r="B108" s="82" t="s">
        <v>219</v>
      </c>
      <c r="C108" s="83" t="s">
        <v>220</v>
      </c>
      <c r="D108" s="84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654">
        <f>'2022-23 Input'!H108</f>
        <v>0</v>
      </c>
      <c r="N108" s="1065">
        <v>0</v>
      </c>
      <c r="O108" s="560">
        <f t="shared" si="79"/>
        <v>0</v>
      </c>
      <c r="P108" s="561">
        <f t="shared" si="53"/>
        <v>0</v>
      </c>
      <c r="Q108" s="561">
        <f t="shared" si="54"/>
        <v>0</v>
      </c>
      <c r="R108" s="561">
        <f t="shared" si="55"/>
        <v>0</v>
      </c>
      <c r="S108" s="561">
        <f t="shared" si="56"/>
        <v>0</v>
      </c>
      <c r="T108" s="561">
        <f t="shared" si="57"/>
        <v>0</v>
      </c>
      <c r="U108" s="561">
        <f t="shared" si="58"/>
        <v>0</v>
      </c>
      <c r="V108" s="561">
        <f t="shared" si="59"/>
        <v>0</v>
      </c>
      <c r="W108" s="675">
        <f t="shared" si="60"/>
        <v>0</v>
      </c>
      <c r="X108" s="675">
        <f t="shared" si="61"/>
        <v>0</v>
      </c>
      <c r="Y108" s="675">
        <f t="shared" si="61"/>
        <v>0</v>
      </c>
      <c r="Z108" s="86">
        <v>0</v>
      </c>
      <c r="AA108" s="87">
        <v>0</v>
      </c>
      <c r="AB108" s="87">
        <v>0</v>
      </c>
      <c r="AC108" s="87">
        <v>0</v>
      </c>
      <c r="AD108" s="87">
        <v>0</v>
      </c>
      <c r="AE108" s="87">
        <v>0</v>
      </c>
      <c r="AF108" s="87">
        <v>0</v>
      </c>
      <c r="AG108" s="87">
        <v>0</v>
      </c>
      <c r="AH108" s="87">
        <v>0</v>
      </c>
      <c r="AI108" s="1094">
        <f>'2022-23 Input'!O108</f>
        <v>0</v>
      </c>
      <c r="AJ108" s="665">
        <v>0</v>
      </c>
      <c r="AK108" s="88">
        <f t="shared" si="84"/>
        <v>0</v>
      </c>
      <c r="AL108" s="89">
        <f t="shared" si="85"/>
        <v>0</v>
      </c>
      <c r="AM108" s="90">
        <f t="shared" si="86"/>
        <v>0</v>
      </c>
      <c r="AN108" s="91" t="str">
        <f t="shared" si="87"/>
        <v/>
      </c>
      <c r="AO108" s="92" t="str">
        <f t="shared" si="88"/>
        <v/>
      </c>
      <c r="AP108" s="92" t="str">
        <f t="shared" si="89"/>
        <v/>
      </c>
      <c r="AQ108" s="92" t="str">
        <f t="shared" si="90"/>
        <v/>
      </c>
      <c r="AR108" s="92" t="str">
        <f t="shared" si="91"/>
        <v/>
      </c>
      <c r="AS108" s="92" t="str">
        <f t="shared" si="92"/>
        <v/>
      </c>
      <c r="AT108" s="92" t="str">
        <f t="shared" si="93"/>
        <v/>
      </c>
      <c r="AU108" s="92" t="str">
        <f t="shared" si="94"/>
        <v/>
      </c>
      <c r="AV108" s="92" t="str">
        <f t="shared" si="95"/>
        <v/>
      </c>
      <c r="AW108" s="92" t="str">
        <f t="shared" si="95"/>
        <v/>
      </c>
      <c r="AX108" s="92" t="str">
        <f t="shared" si="95"/>
        <v/>
      </c>
      <c r="AY108" s="93" t="str">
        <f t="shared" si="96"/>
        <v/>
      </c>
      <c r="AZ108" s="94" t="str">
        <f t="shared" si="97"/>
        <v/>
      </c>
      <c r="BA108" s="95" t="str">
        <f t="shared" si="98"/>
        <v/>
      </c>
      <c r="BB108" s="248" t="s">
        <v>422</v>
      </c>
      <c r="BC108" s="229" t="s">
        <v>433</v>
      </c>
      <c r="BD108" s="249">
        <v>0</v>
      </c>
      <c r="BE108" s="267">
        <f t="shared" si="80"/>
        <v>0</v>
      </c>
      <c r="BF108" s="268">
        <f t="shared" si="99"/>
        <v>0</v>
      </c>
      <c r="BG108" s="268">
        <f t="shared" si="99"/>
        <v>0</v>
      </c>
      <c r="BH108" s="268">
        <f t="shared" si="99"/>
        <v>1</v>
      </c>
      <c r="BI108" s="268">
        <f t="shared" si="99"/>
        <v>2</v>
      </c>
      <c r="BJ108" s="268">
        <f t="shared" si="99"/>
        <v>3</v>
      </c>
      <c r="BK108" s="268">
        <f t="shared" si="99"/>
        <v>4</v>
      </c>
      <c r="BL108" s="269">
        <f t="shared" si="99"/>
        <v>5</v>
      </c>
      <c r="BM108" s="256">
        <f>IF($BC108=Lookup!$A$2,$BD108*ROUNDUP(BE108/10,0)+1,
IF($BC108=Lookup!$A$3,($BD108+1)^BD108,
IF($BC108=Lookup!$A$4,BE108*$BD108+1,"Error")))</f>
        <v>1</v>
      </c>
      <c r="BN108" s="229">
        <f>IF($BC108=Lookup!$A$2,$BD108*ROUNDUP(BF108/10,0)+1,
IF($BC108=Lookup!$A$3,($BD108+1)^BE108,
IF($BC108=Lookup!$A$4,BF108*$BD108+1,"Error")))</f>
        <v>1</v>
      </c>
      <c r="BO108" s="229">
        <f>IF($BC108=Lookup!$A$2,$BD108*ROUNDUP(BG108/10,0)+1,
IF($BC108=Lookup!$A$3,($BD108+1)^BF108,
IF($BC108=Lookup!$A$4,BG108*$BD108+1,"Error")))</f>
        <v>1</v>
      </c>
      <c r="BP108" s="229">
        <f>IF($BC108=Lookup!$A$2,$BD108*ROUNDUP(BH108/10,0)+1,
IF($BC108=Lookup!$A$3,($BD108+1)^BG108,
IF($BC108=Lookup!$A$4,BH108*$BD108+1,"Error")))</f>
        <v>1</v>
      </c>
      <c r="BQ108" s="229">
        <f>IF($BC108=Lookup!$A$2,$BD108*ROUNDUP(BI108/10,0)+1,
IF($BC108=Lookup!$A$3,($BD108+1)^BH108,
IF($BC108=Lookup!$A$4,BI108*$BD108+1,"Error")))</f>
        <v>1</v>
      </c>
      <c r="BR108" s="229">
        <f>IF($BC108=Lookup!$A$2,$BD108*ROUNDUP(BJ108/10,0)+1,
IF($BC108=Lookup!$A$3,($BD108+1)^BI108,
IF($BC108=Lookup!$A$4,BJ108*$BD108+1,"Error")))</f>
        <v>1</v>
      </c>
      <c r="BS108" s="229">
        <f>IF($BC108=Lookup!$A$2,$BD108*ROUNDUP(BK108/10,0)+1,
IF($BC108=Lookup!$A$3,($BD108+1)^BJ108,
IF($BC108=Lookup!$A$4,BK108*$BD108+1,"Error")))</f>
        <v>1</v>
      </c>
      <c r="BT108" s="249">
        <f>IF($BC108=Lookup!$A$2,$BD108*ROUNDUP(BL108/10,0)+1,
IF($BC108=Lookup!$A$3,($BD108+1)^BK108,
IF($BC108=Lookup!$A$4,BL108*$BD108+1,"Error")))</f>
        <v>1</v>
      </c>
      <c r="BU108" s="320">
        <v>0</v>
      </c>
      <c r="BV108" s="321">
        <v>0</v>
      </c>
      <c r="BW108" s="321">
        <v>0</v>
      </c>
      <c r="BX108" s="321">
        <v>0</v>
      </c>
      <c r="BY108" s="321">
        <v>0</v>
      </c>
      <c r="BZ108" s="321">
        <v>0</v>
      </c>
      <c r="CA108" s="321">
        <v>0</v>
      </c>
      <c r="CB108" s="277">
        <v>0</v>
      </c>
      <c r="CC108" s="382" t="s">
        <v>293</v>
      </c>
      <c r="CD108" s="383">
        <f>HLOOKUP($CC108,$AK$6:$AM$132,ROWS(CD$6:CD108),0)</f>
        <v>0</v>
      </c>
      <c r="CE108" s="234">
        <f t="shared" si="81"/>
        <v>0</v>
      </c>
      <c r="CF108" s="96">
        <f t="shared" si="81"/>
        <v>0</v>
      </c>
      <c r="CG108" s="96">
        <f t="shared" si="81"/>
        <v>0</v>
      </c>
      <c r="CH108" s="96">
        <f t="shared" si="81"/>
        <v>0</v>
      </c>
      <c r="CI108" s="96">
        <f t="shared" si="81"/>
        <v>0</v>
      </c>
      <c r="CJ108" s="96">
        <f t="shared" si="81"/>
        <v>0</v>
      </c>
      <c r="CK108" s="96">
        <f t="shared" si="81"/>
        <v>0</v>
      </c>
      <c r="CL108" s="286">
        <f t="shared" si="101"/>
        <v>0</v>
      </c>
      <c r="CM108" s="305" t="s">
        <v>292</v>
      </c>
      <c r="CN108" s="315">
        <v>0.05</v>
      </c>
      <c r="CO108" s="306"/>
      <c r="CP108" s="307" t="str">
        <f>IF($CO108&lt;&gt;"",$CO108,HLOOKUP($CM108,$AY$6:$BA$132,ROWS(CP$6:CP108),0))</f>
        <v/>
      </c>
      <c r="CQ108" s="784" t="str">
        <f t="shared" si="100"/>
        <v/>
      </c>
      <c r="CR108" s="784" t="str">
        <f t="shared" si="100"/>
        <v/>
      </c>
      <c r="CS108" s="97" t="str">
        <f t="shared" si="100"/>
        <v/>
      </c>
      <c r="CT108" s="97" t="str">
        <f t="shared" si="100"/>
        <v/>
      </c>
      <c r="CU108" s="97" t="str">
        <f t="shared" si="100"/>
        <v/>
      </c>
      <c r="CV108" s="97" t="str">
        <f t="shared" si="100"/>
        <v/>
      </c>
      <c r="CW108" s="97" t="str">
        <f t="shared" si="100"/>
        <v/>
      </c>
      <c r="CX108" s="98" t="str">
        <f t="shared" si="100"/>
        <v/>
      </c>
    </row>
    <row r="109" spans="1:102" ht="15.75" thickBot="1" x14ac:dyDescent="0.3">
      <c r="A109" s="100" t="s">
        <v>196</v>
      </c>
      <c r="B109" s="101" t="s">
        <v>393</v>
      </c>
      <c r="C109" s="102" t="s">
        <v>394</v>
      </c>
      <c r="D109" s="103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655">
        <f>'2022-23 Input'!H109</f>
        <v>0</v>
      </c>
      <c r="N109" s="1066">
        <v>0</v>
      </c>
      <c r="O109" s="563">
        <f t="shared" si="79"/>
        <v>0</v>
      </c>
      <c r="P109" s="564">
        <f t="shared" si="53"/>
        <v>0</v>
      </c>
      <c r="Q109" s="564">
        <f t="shared" si="54"/>
        <v>0</v>
      </c>
      <c r="R109" s="564">
        <f t="shared" si="55"/>
        <v>0</v>
      </c>
      <c r="S109" s="564">
        <f t="shared" si="56"/>
        <v>0</v>
      </c>
      <c r="T109" s="564">
        <f t="shared" si="57"/>
        <v>0</v>
      </c>
      <c r="U109" s="564">
        <f t="shared" si="58"/>
        <v>0</v>
      </c>
      <c r="V109" s="564">
        <f t="shared" si="59"/>
        <v>0</v>
      </c>
      <c r="W109" s="676">
        <f t="shared" si="60"/>
        <v>0</v>
      </c>
      <c r="X109" s="676">
        <f t="shared" si="61"/>
        <v>0</v>
      </c>
      <c r="Y109" s="676">
        <f t="shared" si="61"/>
        <v>0</v>
      </c>
      <c r="Z109" s="105">
        <v>0</v>
      </c>
      <c r="AA109" s="106">
        <v>0</v>
      </c>
      <c r="AB109" s="106">
        <v>0</v>
      </c>
      <c r="AC109" s="106">
        <v>0</v>
      </c>
      <c r="AD109" s="106">
        <v>0</v>
      </c>
      <c r="AE109" s="106">
        <v>0</v>
      </c>
      <c r="AF109" s="106">
        <v>0</v>
      </c>
      <c r="AG109" s="106">
        <v>0</v>
      </c>
      <c r="AH109" s="106">
        <v>0</v>
      </c>
      <c r="AI109" s="1095">
        <f>'2022-23 Input'!O109</f>
        <v>0</v>
      </c>
      <c r="AJ109" s="666">
        <v>0</v>
      </c>
      <c r="AK109" s="107">
        <f t="shared" si="84"/>
        <v>0</v>
      </c>
      <c r="AL109" s="108">
        <f t="shared" si="85"/>
        <v>0</v>
      </c>
      <c r="AM109" s="109">
        <f t="shared" si="86"/>
        <v>0</v>
      </c>
      <c r="AN109" s="110" t="str">
        <f t="shared" si="87"/>
        <v/>
      </c>
      <c r="AO109" s="111" t="str">
        <f t="shared" si="88"/>
        <v/>
      </c>
      <c r="AP109" s="111" t="str">
        <f t="shared" si="89"/>
        <v/>
      </c>
      <c r="AQ109" s="111" t="str">
        <f t="shared" si="90"/>
        <v/>
      </c>
      <c r="AR109" s="111" t="str">
        <f t="shared" si="91"/>
        <v/>
      </c>
      <c r="AS109" s="111" t="str">
        <f t="shared" si="92"/>
        <v/>
      </c>
      <c r="AT109" s="111" t="str">
        <f t="shared" si="93"/>
        <v/>
      </c>
      <c r="AU109" s="111" t="str">
        <f t="shared" si="94"/>
        <v/>
      </c>
      <c r="AV109" s="111" t="str">
        <f t="shared" si="95"/>
        <v/>
      </c>
      <c r="AW109" s="111" t="str">
        <f t="shared" si="95"/>
        <v/>
      </c>
      <c r="AX109" s="111" t="str">
        <f t="shared" si="95"/>
        <v/>
      </c>
      <c r="AY109" s="112" t="str">
        <f t="shared" si="96"/>
        <v/>
      </c>
      <c r="AZ109" s="113" t="str">
        <f t="shared" si="97"/>
        <v/>
      </c>
      <c r="BA109" s="114" t="str">
        <f t="shared" si="98"/>
        <v/>
      </c>
      <c r="BB109" s="250" t="s">
        <v>422</v>
      </c>
      <c r="BC109" s="230" t="s">
        <v>433</v>
      </c>
      <c r="BD109" s="251">
        <v>0</v>
      </c>
      <c r="BE109" s="270">
        <f t="shared" si="80"/>
        <v>0</v>
      </c>
      <c r="BF109" s="271">
        <f t="shared" si="99"/>
        <v>0</v>
      </c>
      <c r="BG109" s="271">
        <f t="shared" si="99"/>
        <v>0</v>
      </c>
      <c r="BH109" s="271">
        <f t="shared" si="99"/>
        <v>1</v>
      </c>
      <c r="BI109" s="271">
        <f t="shared" si="99"/>
        <v>2</v>
      </c>
      <c r="BJ109" s="271">
        <f t="shared" si="99"/>
        <v>3</v>
      </c>
      <c r="BK109" s="271">
        <f t="shared" si="99"/>
        <v>4</v>
      </c>
      <c r="BL109" s="272">
        <f t="shared" si="99"/>
        <v>5</v>
      </c>
      <c r="BM109" s="257">
        <f>IF($BC109=Lookup!$A$2,$BD109*ROUNDUP(BE109/10,0)+1,
IF($BC109=Lookup!$A$3,($BD109+1)^BD109,
IF($BC109=Lookup!$A$4,BE109*$BD109+1,"Error")))</f>
        <v>1</v>
      </c>
      <c r="BN109" s="230">
        <f>IF($BC109=Lookup!$A$2,$BD109*ROUNDUP(BF109/10,0)+1,
IF($BC109=Lookup!$A$3,($BD109+1)^BE109,
IF($BC109=Lookup!$A$4,BF109*$BD109+1,"Error")))</f>
        <v>1</v>
      </c>
      <c r="BO109" s="230">
        <f>IF($BC109=Lookup!$A$2,$BD109*ROUNDUP(BG109/10,0)+1,
IF($BC109=Lookup!$A$3,($BD109+1)^BF109,
IF($BC109=Lookup!$A$4,BG109*$BD109+1,"Error")))</f>
        <v>1</v>
      </c>
      <c r="BP109" s="230">
        <f>IF($BC109=Lookup!$A$2,$BD109*ROUNDUP(BH109/10,0)+1,
IF($BC109=Lookup!$A$3,($BD109+1)^BG109,
IF($BC109=Lookup!$A$4,BH109*$BD109+1,"Error")))</f>
        <v>1</v>
      </c>
      <c r="BQ109" s="230">
        <f>IF($BC109=Lookup!$A$2,$BD109*ROUNDUP(BI109/10,0)+1,
IF($BC109=Lookup!$A$3,($BD109+1)^BH109,
IF($BC109=Lookup!$A$4,BI109*$BD109+1,"Error")))</f>
        <v>1</v>
      </c>
      <c r="BR109" s="230">
        <f>IF($BC109=Lookup!$A$2,$BD109*ROUNDUP(BJ109/10,0)+1,
IF($BC109=Lookup!$A$3,($BD109+1)^BI109,
IF($BC109=Lookup!$A$4,BJ109*$BD109+1,"Error")))</f>
        <v>1</v>
      </c>
      <c r="BS109" s="230">
        <f>IF($BC109=Lookup!$A$2,$BD109*ROUNDUP(BK109/10,0)+1,
IF($BC109=Lookup!$A$3,($BD109+1)^BJ109,
IF($BC109=Lookup!$A$4,BK109*$BD109+1,"Error")))</f>
        <v>1</v>
      </c>
      <c r="BT109" s="251">
        <f>IF($BC109=Lookup!$A$2,$BD109*ROUNDUP(BL109/10,0)+1,
IF($BC109=Lookup!$A$3,($BD109+1)^BK109,
IF($BC109=Lookup!$A$4,BL109*$BD109+1,"Error")))</f>
        <v>1</v>
      </c>
      <c r="BU109" s="322">
        <v>0</v>
      </c>
      <c r="BV109" s="323">
        <v>0</v>
      </c>
      <c r="BW109" s="323">
        <v>0</v>
      </c>
      <c r="BX109" s="323">
        <v>0</v>
      </c>
      <c r="BY109" s="323">
        <v>0</v>
      </c>
      <c r="BZ109" s="323">
        <v>0</v>
      </c>
      <c r="CA109" s="323">
        <v>0</v>
      </c>
      <c r="CB109" s="278">
        <v>0</v>
      </c>
      <c r="CC109" s="384" t="s">
        <v>293</v>
      </c>
      <c r="CD109" s="385">
        <f>HLOOKUP($CC109,$AK$6:$AM$132,ROWS(CD$6:CD109),0)</f>
        <v>0</v>
      </c>
      <c r="CE109" s="235">
        <f t="shared" si="81"/>
        <v>0</v>
      </c>
      <c r="CF109" s="115">
        <f t="shared" si="81"/>
        <v>0</v>
      </c>
      <c r="CG109" s="115">
        <f t="shared" si="81"/>
        <v>0</v>
      </c>
      <c r="CH109" s="115">
        <f t="shared" si="81"/>
        <v>0</v>
      </c>
      <c r="CI109" s="115">
        <f t="shared" si="81"/>
        <v>0</v>
      </c>
      <c r="CJ109" s="115">
        <f t="shared" si="81"/>
        <v>0</v>
      </c>
      <c r="CK109" s="115">
        <f t="shared" si="81"/>
        <v>0</v>
      </c>
      <c r="CL109" s="287">
        <f t="shared" si="101"/>
        <v>0</v>
      </c>
      <c r="CM109" s="308" t="s">
        <v>292</v>
      </c>
      <c r="CN109" s="316">
        <v>0.05</v>
      </c>
      <c r="CO109" s="309"/>
      <c r="CP109" s="310" t="str">
        <f>IF($CO109&lt;&gt;"",$CO109,HLOOKUP($CM109,$AY$6:$BA$132,ROWS(CP$6:CP109),0))</f>
        <v/>
      </c>
      <c r="CQ109" s="785" t="str">
        <f t="shared" si="100"/>
        <v/>
      </c>
      <c r="CR109" s="785" t="str">
        <f t="shared" si="100"/>
        <v/>
      </c>
      <c r="CS109" s="117" t="str">
        <f t="shared" si="100"/>
        <v/>
      </c>
      <c r="CT109" s="117" t="str">
        <f t="shared" si="100"/>
        <v/>
      </c>
      <c r="CU109" s="117" t="str">
        <f t="shared" si="100"/>
        <v/>
      </c>
      <c r="CV109" s="117" t="str">
        <f t="shared" si="100"/>
        <v/>
      </c>
      <c r="CW109" s="117" t="str">
        <f t="shared" si="100"/>
        <v/>
      </c>
      <c r="CX109" s="118" t="str">
        <f t="shared" si="100"/>
        <v/>
      </c>
    </row>
    <row r="110" spans="1:102" x14ac:dyDescent="0.25">
      <c r="A110" s="63" t="s">
        <v>224</v>
      </c>
      <c r="B110" s="64" t="s">
        <v>221</v>
      </c>
      <c r="C110" s="65" t="s">
        <v>395</v>
      </c>
      <c r="D110" s="66">
        <v>0</v>
      </c>
      <c r="E110" s="67">
        <v>0</v>
      </c>
      <c r="F110" s="67">
        <v>0</v>
      </c>
      <c r="G110" s="67">
        <v>4350.0499857805671</v>
      </c>
      <c r="H110" s="67">
        <v>119800.97896877503</v>
      </c>
      <c r="I110" s="67">
        <v>174036.9772407081</v>
      </c>
      <c r="J110" s="67">
        <v>117298.47941784299</v>
      </c>
      <c r="K110" s="67">
        <v>97629.16931664999</v>
      </c>
      <c r="L110" s="67">
        <v>689.11694372000011</v>
      </c>
      <c r="M110" s="653">
        <f>'2022-23 Input'!H110</f>
        <v>3325.036353641</v>
      </c>
      <c r="N110" s="1064">
        <v>0</v>
      </c>
      <c r="O110" s="557">
        <f t="shared" si="79"/>
        <v>0</v>
      </c>
      <c r="P110" s="558">
        <f t="shared" si="53"/>
        <v>0</v>
      </c>
      <c r="Q110" s="558">
        <f t="shared" si="54"/>
        <v>0</v>
      </c>
      <c r="R110" s="558">
        <f t="shared" si="55"/>
        <v>5599.0221992092938</v>
      </c>
      <c r="S110" s="558">
        <f t="shared" si="56"/>
        <v>151059.30643231174</v>
      </c>
      <c r="T110" s="558">
        <f t="shared" si="57"/>
        <v>216005.69747523096</v>
      </c>
      <c r="U110" s="558">
        <f t="shared" si="58"/>
        <v>146093.84546123861</v>
      </c>
      <c r="V110" s="558">
        <f t="shared" si="59"/>
        <v>117092.40234085704</v>
      </c>
      <c r="W110" s="674">
        <f t="shared" si="60"/>
        <v>778.65200210136459</v>
      </c>
      <c r="X110" s="674">
        <f t="shared" si="61"/>
        <v>3536.0462399329408</v>
      </c>
      <c r="Y110" s="674">
        <f t="shared" si="61"/>
        <v>0</v>
      </c>
      <c r="Z110" s="68">
        <v>0</v>
      </c>
      <c r="AA110" s="69">
        <v>0</v>
      </c>
      <c r="AB110" s="69">
        <v>0</v>
      </c>
      <c r="AC110" s="69">
        <v>1</v>
      </c>
      <c r="AD110" s="69">
        <v>31</v>
      </c>
      <c r="AE110" s="69">
        <v>63</v>
      </c>
      <c r="AF110" s="69">
        <v>36</v>
      </c>
      <c r="AG110" s="69">
        <v>41</v>
      </c>
      <c r="AH110" s="69">
        <v>1</v>
      </c>
      <c r="AI110" s="1093">
        <f>'2022-23 Input'!O110</f>
        <v>2</v>
      </c>
      <c r="AJ110" s="664">
        <v>0</v>
      </c>
      <c r="AK110" s="70">
        <f t="shared" si="84"/>
        <v>28.6</v>
      </c>
      <c r="AL110" s="71">
        <f t="shared" si="85"/>
        <v>14.666666666666666</v>
      </c>
      <c r="AM110" s="72">
        <f t="shared" si="86"/>
        <v>2</v>
      </c>
      <c r="AN110" s="73" t="str">
        <f t="shared" si="87"/>
        <v/>
      </c>
      <c r="AO110" s="74" t="str">
        <f t="shared" si="88"/>
        <v/>
      </c>
      <c r="AP110" s="74" t="str">
        <f t="shared" si="89"/>
        <v/>
      </c>
      <c r="AQ110" s="74">
        <f t="shared" si="90"/>
        <v>4350.0499857805671</v>
      </c>
      <c r="AR110" s="74">
        <f t="shared" si="91"/>
        <v>3864.5477086701621</v>
      </c>
      <c r="AS110" s="74">
        <f t="shared" si="92"/>
        <v>2762.4917022334621</v>
      </c>
      <c r="AT110" s="74">
        <f t="shared" si="93"/>
        <v>3258.291094940083</v>
      </c>
      <c r="AU110" s="74">
        <f t="shared" si="94"/>
        <v>2381.1992516256096</v>
      </c>
      <c r="AV110" s="74">
        <f t="shared" si="95"/>
        <v>689.11694372000011</v>
      </c>
      <c r="AW110" s="74">
        <f t="shared" si="95"/>
        <v>1662.5181768205</v>
      </c>
      <c r="AX110" s="74" t="str">
        <f t="shared" si="95"/>
        <v/>
      </c>
      <c r="AY110" s="75">
        <f t="shared" si="96"/>
        <v>2748.1033515563786</v>
      </c>
      <c r="AZ110" s="76">
        <f t="shared" si="97"/>
        <v>2310.075513954795</v>
      </c>
      <c r="BA110" s="77">
        <f t="shared" si="98"/>
        <v>1662.5181768205</v>
      </c>
      <c r="BB110" s="246" t="s">
        <v>422</v>
      </c>
      <c r="BC110" s="228" t="s">
        <v>433</v>
      </c>
      <c r="BD110" s="247">
        <v>0</v>
      </c>
      <c r="BE110" s="264">
        <f t="shared" si="80"/>
        <v>0</v>
      </c>
      <c r="BF110" s="265">
        <f t="shared" si="99"/>
        <v>0</v>
      </c>
      <c r="BG110" s="265">
        <f t="shared" si="99"/>
        <v>0</v>
      </c>
      <c r="BH110" s="265">
        <f t="shared" si="99"/>
        <v>1</v>
      </c>
      <c r="BI110" s="265">
        <f t="shared" si="99"/>
        <v>2</v>
      </c>
      <c r="BJ110" s="265">
        <f t="shared" si="99"/>
        <v>3</v>
      </c>
      <c r="BK110" s="265">
        <f t="shared" si="99"/>
        <v>4</v>
      </c>
      <c r="BL110" s="266">
        <f t="shared" si="99"/>
        <v>5</v>
      </c>
      <c r="BM110" s="255">
        <f>IF($BC110=Lookup!$A$2,$BD110*ROUNDUP(BE110/10,0)+1,
IF($BC110=Lookup!$A$3,($BD110+1)^BD110,
IF($BC110=Lookup!$A$4,BE110*$BD110+1,"Error")))</f>
        <v>1</v>
      </c>
      <c r="BN110" s="228">
        <f>IF($BC110=Lookup!$A$2,$BD110*ROUNDUP(BF110/10,0)+1,
IF($BC110=Lookup!$A$3,($BD110+1)^BE110,
IF($BC110=Lookup!$A$4,BF110*$BD110+1,"Error")))</f>
        <v>1</v>
      </c>
      <c r="BO110" s="228">
        <f>IF($BC110=Lookup!$A$2,$BD110*ROUNDUP(BG110/10,0)+1,
IF($BC110=Lookup!$A$3,($BD110+1)^BF110,
IF($BC110=Lookup!$A$4,BG110*$BD110+1,"Error")))</f>
        <v>1</v>
      </c>
      <c r="BP110" s="228">
        <f>IF($BC110=Lookup!$A$2,$BD110*ROUNDUP(BH110/10,0)+1,
IF($BC110=Lookup!$A$3,($BD110+1)^BG110,
IF($BC110=Lookup!$A$4,BH110*$BD110+1,"Error")))</f>
        <v>1</v>
      </c>
      <c r="BQ110" s="228">
        <f>IF($BC110=Lookup!$A$2,$BD110*ROUNDUP(BI110/10,0)+1,
IF($BC110=Lookup!$A$3,($BD110+1)^BH110,
IF($BC110=Lookup!$A$4,BI110*$BD110+1,"Error")))</f>
        <v>1</v>
      </c>
      <c r="BR110" s="228">
        <f>IF($BC110=Lookup!$A$2,$BD110*ROUNDUP(BJ110/10,0)+1,
IF($BC110=Lookup!$A$3,($BD110+1)^BI110,
IF($BC110=Lookup!$A$4,BJ110*$BD110+1,"Error")))</f>
        <v>1</v>
      </c>
      <c r="BS110" s="228">
        <f>IF($BC110=Lookup!$A$2,$BD110*ROUNDUP(BK110/10,0)+1,
IF($BC110=Lookup!$A$3,($BD110+1)^BJ110,
IF($BC110=Lookup!$A$4,BK110*$BD110+1,"Error")))</f>
        <v>1</v>
      </c>
      <c r="BT110" s="247">
        <f>IF($BC110=Lookup!$A$2,$BD110*ROUNDUP(BL110/10,0)+1,
IF($BC110=Lookup!$A$3,($BD110+1)^BK110,
IF($BC110=Lookup!$A$4,BL110*$BD110+1,"Error")))</f>
        <v>1</v>
      </c>
      <c r="BU110" s="318">
        <v>0</v>
      </c>
      <c r="BV110" s="319">
        <v>0</v>
      </c>
      <c r="BW110" s="319">
        <v>0</v>
      </c>
      <c r="BX110" s="319">
        <v>0</v>
      </c>
      <c r="BY110" s="319">
        <v>0</v>
      </c>
      <c r="BZ110" s="319">
        <v>0</v>
      </c>
      <c r="CA110" s="319">
        <v>0</v>
      </c>
      <c r="CB110" s="276">
        <v>0</v>
      </c>
      <c r="CC110" s="380" t="s">
        <v>293</v>
      </c>
      <c r="CD110" s="381">
        <f>HLOOKUP($CC110,$AK$6:$AM$132,ROWS(CD$6:CD110),0)</f>
        <v>14.666666666666666</v>
      </c>
      <c r="CE110" s="233">
        <f t="shared" si="81"/>
        <v>0</v>
      </c>
      <c r="CF110" s="78">
        <f t="shared" si="81"/>
        <v>0</v>
      </c>
      <c r="CG110" s="78">
        <f t="shared" si="81"/>
        <v>0</v>
      </c>
      <c r="CH110" s="78">
        <f t="shared" si="81"/>
        <v>0</v>
      </c>
      <c r="CI110" s="78">
        <f t="shared" si="81"/>
        <v>0</v>
      </c>
      <c r="CJ110" s="78">
        <f t="shared" si="81"/>
        <v>0</v>
      </c>
      <c r="CK110" s="78">
        <f t="shared" si="81"/>
        <v>0</v>
      </c>
      <c r="CL110" s="285">
        <f t="shared" si="101"/>
        <v>0</v>
      </c>
      <c r="CM110" s="302" t="s">
        <v>292</v>
      </c>
      <c r="CN110" s="314">
        <v>0.05</v>
      </c>
      <c r="CO110" s="303"/>
      <c r="CP110" s="304">
        <f>IF($CO110&lt;&gt;"",$CO110,HLOOKUP($CM110,$AY$6:$BA$132,ROWS(CP$6:CP110),0))</f>
        <v>2748.1033515563786</v>
      </c>
      <c r="CQ110" s="783">
        <f t="shared" si="100"/>
        <v>0</v>
      </c>
      <c r="CR110" s="783">
        <f t="shared" si="100"/>
        <v>0</v>
      </c>
      <c r="CS110" s="79">
        <f t="shared" si="100"/>
        <v>0</v>
      </c>
      <c r="CT110" s="79">
        <f t="shared" si="100"/>
        <v>0</v>
      </c>
      <c r="CU110" s="79">
        <f t="shared" si="100"/>
        <v>0</v>
      </c>
      <c r="CV110" s="79">
        <f t="shared" si="100"/>
        <v>0</v>
      </c>
      <c r="CW110" s="79">
        <f t="shared" si="100"/>
        <v>0</v>
      </c>
      <c r="CX110" s="80">
        <f t="shared" si="100"/>
        <v>0</v>
      </c>
    </row>
    <row r="111" spans="1:102" x14ac:dyDescent="0.25">
      <c r="A111" s="81" t="s">
        <v>224</v>
      </c>
      <c r="B111" s="82" t="s">
        <v>225</v>
      </c>
      <c r="C111" s="83" t="s">
        <v>396</v>
      </c>
      <c r="D111" s="84">
        <v>0</v>
      </c>
      <c r="E111" s="85">
        <v>45152.581045807048</v>
      </c>
      <c r="F111" s="85">
        <v>0</v>
      </c>
      <c r="G111" s="85">
        <v>10561.103196852604</v>
      </c>
      <c r="H111" s="85">
        <v>99236.627787532489</v>
      </c>
      <c r="I111" s="85">
        <v>69293.243941371053</v>
      </c>
      <c r="J111" s="85">
        <v>87812.355021984011</v>
      </c>
      <c r="K111" s="85">
        <v>86418.734885055004</v>
      </c>
      <c r="L111" s="85">
        <v>0</v>
      </c>
      <c r="M111" s="654">
        <f>'2022-23 Input'!H111</f>
        <v>2863.0982629739997</v>
      </c>
      <c r="N111" s="1065">
        <v>0</v>
      </c>
      <c r="O111" s="560">
        <f t="shared" si="79"/>
        <v>0</v>
      </c>
      <c r="P111" s="561">
        <f t="shared" si="53"/>
        <v>59846.627163596029</v>
      </c>
      <c r="Q111" s="561">
        <f t="shared" si="54"/>
        <v>0</v>
      </c>
      <c r="R111" s="561">
        <f t="shared" si="55"/>
        <v>13593.372821141833</v>
      </c>
      <c r="S111" s="561">
        <f t="shared" si="56"/>
        <v>125129.32945375424</v>
      </c>
      <c r="T111" s="561">
        <f t="shared" si="57"/>
        <v>86003.1915354144</v>
      </c>
      <c r="U111" s="561">
        <f t="shared" si="58"/>
        <v>109369.2321319016</v>
      </c>
      <c r="V111" s="561">
        <f t="shared" si="59"/>
        <v>103647.06927013662</v>
      </c>
      <c r="W111" s="675">
        <f t="shared" si="60"/>
        <v>0</v>
      </c>
      <c r="X111" s="675">
        <f t="shared" si="61"/>
        <v>3044.7931302349984</v>
      </c>
      <c r="Y111" s="675">
        <f t="shared" si="61"/>
        <v>0</v>
      </c>
      <c r="Z111" s="86">
        <v>0</v>
      </c>
      <c r="AA111" s="87">
        <v>20</v>
      </c>
      <c r="AB111" s="87">
        <v>0</v>
      </c>
      <c r="AC111" s="87">
        <v>5</v>
      </c>
      <c r="AD111" s="87">
        <v>36</v>
      </c>
      <c r="AE111" s="87">
        <v>42</v>
      </c>
      <c r="AF111" s="87">
        <v>13</v>
      </c>
      <c r="AG111" s="87">
        <v>30</v>
      </c>
      <c r="AH111" s="87">
        <v>1</v>
      </c>
      <c r="AI111" s="1094">
        <f>'2022-23 Input'!O111</f>
        <v>1</v>
      </c>
      <c r="AJ111" s="665">
        <v>0</v>
      </c>
      <c r="AK111" s="88">
        <f t="shared" si="84"/>
        <v>17.399999999999999</v>
      </c>
      <c r="AL111" s="89">
        <f t="shared" si="85"/>
        <v>10.666666666666666</v>
      </c>
      <c r="AM111" s="90">
        <f t="shared" si="86"/>
        <v>1</v>
      </c>
      <c r="AN111" s="91" t="str">
        <f t="shared" si="87"/>
        <v/>
      </c>
      <c r="AO111" s="92">
        <f t="shared" si="88"/>
        <v>2257.6290522903523</v>
      </c>
      <c r="AP111" s="92" t="str">
        <f t="shared" si="89"/>
        <v/>
      </c>
      <c r="AQ111" s="92">
        <f t="shared" si="90"/>
        <v>2112.220639370521</v>
      </c>
      <c r="AR111" s="92">
        <f t="shared" si="91"/>
        <v>2756.5729940981246</v>
      </c>
      <c r="AS111" s="92">
        <f t="shared" si="92"/>
        <v>1649.8391414612156</v>
      </c>
      <c r="AT111" s="92">
        <f t="shared" si="93"/>
        <v>6754.7965401526162</v>
      </c>
      <c r="AU111" s="92">
        <f t="shared" si="94"/>
        <v>2880.6244961685002</v>
      </c>
      <c r="AV111" s="92">
        <f t="shared" si="95"/>
        <v>0</v>
      </c>
      <c r="AW111" s="92">
        <f t="shared" si="95"/>
        <v>2863.0982629739997</v>
      </c>
      <c r="AX111" s="92" t="str">
        <f t="shared" si="95"/>
        <v/>
      </c>
      <c r="AY111" s="93">
        <f t="shared" si="96"/>
        <v>2832.0394495561386</v>
      </c>
      <c r="AZ111" s="94">
        <f t="shared" si="97"/>
        <v>2790.0572858759065</v>
      </c>
      <c r="BA111" s="95">
        <f t="shared" si="98"/>
        <v>2863.0982629739997</v>
      </c>
      <c r="BB111" s="248" t="s">
        <v>422</v>
      </c>
      <c r="BC111" s="229" t="s">
        <v>433</v>
      </c>
      <c r="BD111" s="249">
        <v>0</v>
      </c>
      <c r="BE111" s="267">
        <f t="shared" si="80"/>
        <v>0</v>
      </c>
      <c r="BF111" s="268">
        <f t="shared" si="99"/>
        <v>0</v>
      </c>
      <c r="BG111" s="268">
        <f t="shared" si="99"/>
        <v>0</v>
      </c>
      <c r="BH111" s="268">
        <f t="shared" si="99"/>
        <v>1</v>
      </c>
      <c r="BI111" s="268">
        <f t="shared" si="99"/>
        <v>2</v>
      </c>
      <c r="BJ111" s="268">
        <f t="shared" si="99"/>
        <v>3</v>
      </c>
      <c r="BK111" s="268">
        <f t="shared" si="99"/>
        <v>4</v>
      </c>
      <c r="BL111" s="269">
        <f t="shared" si="99"/>
        <v>5</v>
      </c>
      <c r="BM111" s="256">
        <f>IF($BC111=Lookup!$A$2,$BD111*ROUNDUP(BE111/10,0)+1,
IF($BC111=Lookup!$A$3,($BD111+1)^BD111,
IF($BC111=Lookup!$A$4,BE111*$BD111+1,"Error")))</f>
        <v>1</v>
      </c>
      <c r="BN111" s="229">
        <f>IF($BC111=Lookup!$A$2,$BD111*ROUNDUP(BF111/10,0)+1,
IF($BC111=Lookup!$A$3,($BD111+1)^BE111,
IF($BC111=Lookup!$A$4,BF111*$BD111+1,"Error")))</f>
        <v>1</v>
      </c>
      <c r="BO111" s="229">
        <f>IF($BC111=Lookup!$A$2,$BD111*ROUNDUP(BG111/10,0)+1,
IF($BC111=Lookup!$A$3,($BD111+1)^BF111,
IF($BC111=Lookup!$A$4,BG111*$BD111+1,"Error")))</f>
        <v>1</v>
      </c>
      <c r="BP111" s="229">
        <f>IF($BC111=Lookup!$A$2,$BD111*ROUNDUP(BH111/10,0)+1,
IF($BC111=Lookup!$A$3,($BD111+1)^BG111,
IF($BC111=Lookup!$A$4,BH111*$BD111+1,"Error")))</f>
        <v>1</v>
      </c>
      <c r="BQ111" s="229">
        <f>IF($BC111=Lookup!$A$2,$BD111*ROUNDUP(BI111/10,0)+1,
IF($BC111=Lookup!$A$3,($BD111+1)^BH111,
IF($BC111=Lookup!$A$4,BI111*$BD111+1,"Error")))</f>
        <v>1</v>
      </c>
      <c r="BR111" s="229">
        <f>IF($BC111=Lookup!$A$2,$BD111*ROUNDUP(BJ111/10,0)+1,
IF($BC111=Lookup!$A$3,($BD111+1)^BI111,
IF($BC111=Lookup!$A$4,BJ111*$BD111+1,"Error")))</f>
        <v>1</v>
      </c>
      <c r="BS111" s="229">
        <f>IF($BC111=Lookup!$A$2,$BD111*ROUNDUP(BK111/10,0)+1,
IF($BC111=Lookup!$A$3,($BD111+1)^BJ111,
IF($BC111=Lookup!$A$4,BK111*$BD111+1,"Error")))</f>
        <v>1</v>
      </c>
      <c r="BT111" s="249">
        <f>IF($BC111=Lookup!$A$2,$BD111*ROUNDUP(BL111/10,0)+1,
IF($BC111=Lookup!$A$3,($BD111+1)^BK111,
IF($BC111=Lookup!$A$4,BL111*$BD111+1,"Error")))</f>
        <v>1</v>
      </c>
      <c r="BU111" s="320">
        <v>0</v>
      </c>
      <c r="BV111" s="321">
        <v>0</v>
      </c>
      <c r="BW111" s="321">
        <v>0</v>
      </c>
      <c r="BX111" s="321">
        <v>0</v>
      </c>
      <c r="BY111" s="321">
        <v>0</v>
      </c>
      <c r="BZ111" s="321">
        <v>0</v>
      </c>
      <c r="CA111" s="321">
        <v>0</v>
      </c>
      <c r="CB111" s="277">
        <v>0</v>
      </c>
      <c r="CC111" s="382" t="s">
        <v>293</v>
      </c>
      <c r="CD111" s="383">
        <f>HLOOKUP($CC111,$AK$6:$AM$132,ROWS(CD$6:CD111),0)</f>
        <v>10.666666666666666</v>
      </c>
      <c r="CE111" s="234">
        <f t="shared" si="81"/>
        <v>0</v>
      </c>
      <c r="CF111" s="96">
        <f t="shared" si="81"/>
        <v>0</v>
      </c>
      <c r="CG111" s="96">
        <f t="shared" si="81"/>
        <v>0</v>
      </c>
      <c r="CH111" s="96">
        <f t="shared" si="81"/>
        <v>0</v>
      </c>
      <c r="CI111" s="96">
        <f t="shared" si="81"/>
        <v>0</v>
      </c>
      <c r="CJ111" s="96">
        <f t="shared" si="81"/>
        <v>0</v>
      </c>
      <c r="CK111" s="96">
        <f t="shared" si="81"/>
        <v>0</v>
      </c>
      <c r="CL111" s="286">
        <f t="shared" si="101"/>
        <v>0</v>
      </c>
      <c r="CM111" s="305" t="s">
        <v>292</v>
      </c>
      <c r="CN111" s="315">
        <v>0.05</v>
      </c>
      <c r="CO111" s="306"/>
      <c r="CP111" s="307">
        <f>IF($CO111&lt;&gt;"",$CO111,HLOOKUP($CM111,$AY$6:$BA$132,ROWS(CP$6:CP111),0))</f>
        <v>2832.0394495561386</v>
      </c>
      <c r="CQ111" s="784">
        <f t="shared" si="100"/>
        <v>0</v>
      </c>
      <c r="CR111" s="784">
        <f t="shared" si="100"/>
        <v>0</v>
      </c>
      <c r="CS111" s="97">
        <f t="shared" si="100"/>
        <v>0</v>
      </c>
      <c r="CT111" s="97">
        <f t="shared" si="100"/>
        <v>0</v>
      </c>
      <c r="CU111" s="97">
        <f t="shared" si="100"/>
        <v>0</v>
      </c>
      <c r="CV111" s="97">
        <f t="shared" si="100"/>
        <v>0</v>
      </c>
      <c r="CW111" s="97">
        <f t="shared" si="100"/>
        <v>0</v>
      </c>
      <c r="CX111" s="98">
        <f t="shared" si="100"/>
        <v>0</v>
      </c>
    </row>
    <row r="112" spans="1:102" x14ac:dyDescent="0.25">
      <c r="A112" s="81" t="s">
        <v>224</v>
      </c>
      <c r="B112" s="82" t="s">
        <v>227</v>
      </c>
      <c r="C112" s="83" t="s">
        <v>228</v>
      </c>
      <c r="D112" s="84">
        <v>0</v>
      </c>
      <c r="E112" s="85">
        <v>0</v>
      </c>
      <c r="F112" s="85">
        <v>0</v>
      </c>
      <c r="G112" s="85">
        <v>6539.492046910681</v>
      </c>
      <c r="H112" s="85">
        <v>75783.632764308073</v>
      </c>
      <c r="I112" s="85">
        <v>133059.18002959507</v>
      </c>
      <c r="J112" s="85">
        <v>117206.24121131095</v>
      </c>
      <c r="K112" s="85">
        <v>117569.30669980498</v>
      </c>
      <c r="L112" s="85">
        <v>0</v>
      </c>
      <c r="M112" s="654">
        <f>'2022-23 Input'!H112</f>
        <v>4593.0179888359999</v>
      </c>
      <c r="N112" s="1065">
        <v>0</v>
      </c>
      <c r="O112" s="560">
        <f t="shared" si="79"/>
        <v>0</v>
      </c>
      <c r="P112" s="561">
        <f t="shared" si="53"/>
        <v>0</v>
      </c>
      <c r="Q112" s="561">
        <f t="shared" si="54"/>
        <v>0</v>
      </c>
      <c r="R112" s="561">
        <f t="shared" si="55"/>
        <v>8417.0897488285809</v>
      </c>
      <c r="S112" s="561">
        <f t="shared" si="56"/>
        <v>95557.007153348546</v>
      </c>
      <c r="T112" s="561">
        <f t="shared" si="57"/>
        <v>165146.1743559415</v>
      </c>
      <c r="U112" s="561">
        <f t="shared" si="58"/>
        <v>145978.96388427707</v>
      </c>
      <c r="V112" s="561">
        <f t="shared" si="59"/>
        <v>141007.78137709101</v>
      </c>
      <c r="W112" s="675">
        <f t="shared" si="60"/>
        <v>0</v>
      </c>
      <c r="X112" s="675">
        <f t="shared" si="61"/>
        <v>4884.4951639651845</v>
      </c>
      <c r="Y112" s="675">
        <f t="shared" si="61"/>
        <v>0</v>
      </c>
      <c r="Z112" s="86">
        <v>0</v>
      </c>
      <c r="AA112" s="87">
        <v>0</v>
      </c>
      <c r="AB112" s="87">
        <v>0</v>
      </c>
      <c r="AC112" s="87">
        <v>2</v>
      </c>
      <c r="AD112" s="87">
        <v>24</v>
      </c>
      <c r="AE112" s="87">
        <v>47</v>
      </c>
      <c r="AF112" s="87">
        <v>32</v>
      </c>
      <c r="AG112" s="87">
        <v>61</v>
      </c>
      <c r="AH112" s="87">
        <v>8</v>
      </c>
      <c r="AI112" s="1094">
        <f>'2022-23 Input'!O112</f>
        <v>2</v>
      </c>
      <c r="AJ112" s="665">
        <v>0</v>
      </c>
      <c r="AK112" s="88">
        <f t="shared" si="84"/>
        <v>30</v>
      </c>
      <c r="AL112" s="89">
        <f t="shared" si="85"/>
        <v>23.666666666666668</v>
      </c>
      <c r="AM112" s="90">
        <f t="shared" si="86"/>
        <v>2</v>
      </c>
      <c r="AN112" s="91" t="str">
        <f t="shared" si="87"/>
        <v/>
      </c>
      <c r="AO112" s="92" t="str">
        <f t="shared" si="88"/>
        <v/>
      </c>
      <c r="AP112" s="92" t="str">
        <f t="shared" si="89"/>
        <v/>
      </c>
      <c r="AQ112" s="92">
        <f t="shared" si="90"/>
        <v>3269.7460234553405</v>
      </c>
      <c r="AR112" s="92">
        <f t="shared" si="91"/>
        <v>3157.651365179503</v>
      </c>
      <c r="AS112" s="92">
        <f t="shared" si="92"/>
        <v>2831.0463836084059</v>
      </c>
      <c r="AT112" s="92">
        <f t="shared" si="93"/>
        <v>3662.6950378534671</v>
      </c>
      <c r="AU112" s="92">
        <f t="shared" si="94"/>
        <v>1927.3656836033604</v>
      </c>
      <c r="AV112" s="92">
        <f t="shared" si="95"/>
        <v>0</v>
      </c>
      <c r="AW112" s="92">
        <f t="shared" si="95"/>
        <v>2296.5089944179999</v>
      </c>
      <c r="AX112" s="92" t="str">
        <f t="shared" si="95"/>
        <v/>
      </c>
      <c r="AY112" s="93">
        <f t="shared" si="96"/>
        <v>2482.8516395303132</v>
      </c>
      <c r="AZ112" s="94">
        <f t="shared" si="97"/>
        <v>1720.5961223752249</v>
      </c>
      <c r="BA112" s="95">
        <f t="shared" si="98"/>
        <v>2296.5089944179999</v>
      </c>
      <c r="BB112" s="248" t="s">
        <v>422</v>
      </c>
      <c r="BC112" s="229" t="s">
        <v>433</v>
      </c>
      <c r="BD112" s="249">
        <v>0</v>
      </c>
      <c r="BE112" s="267">
        <f t="shared" si="80"/>
        <v>0</v>
      </c>
      <c r="BF112" s="268">
        <f t="shared" si="99"/>
        <v>0</v>
      </c>
      <c r="BG112" s="268">
        <f t="shared" si="99"/>
        <v>0</v>
      </c>
      <c r="BH112" s="268">
        <f t="shared" si="99"/>
        <v>1</v>
      </c>
      <c r="BI112" s="268">
        <f t="shared" si="99"/>
        <v>2</v>
      </c>
      <c r="BJ112" s="268">
        <f t="shared" si="99"/>
        <v>3</v>
      </c>
      <c r="BK112" s="268">
        <f t="shared" si="99"/>
        <v>4</v>
      </c>
      <c r="BL112" s="269">
        <f t="shared" si="99"/>
        <v>5</v>
      </c>
      <c r="BM112" s="256">
        <f>IF($BC112=Lookup!$A$2,$BD112*ROUNDUP(BE112/10,0)+1,
IF($BC112=Lookup!$A$3,($BD112+1)^BD112,
IF($BC112=Lookup!$A$4,BE112*$BD112+1,"Error")))</f>
        <v>1</v>
      </c>
      <c r="BN112" s="229">
        <f>IF($BC112=Lookup!$A$2,$BD112*ROUNDUP(BF112/10,0)+1,
IF($BC112=Lookup!$A$3,($BD112+1)^BE112,
IF($BC112=Lookup!$A$4,BF112*$BD112+1,"Error")))</f>
        <v>1</v>
      </c>
      <c r="BO112" s="229">
        <f>IF($BC112=Lookup!$A$2,$BD112*ROUNDUP(BG112/10,0)+1,
IF($BC112=Lookup!$A$3,($BD112+1)^BF112,
IF($BC112=Lookup!$A$4,BG112*$BD112+1,"Error")))</f>
        <v>1</v>
      </c>
      <c r="BP112" s="229">
        <f>IF($BC112=Lookup!$A$2,$BD112*ROUNDUP(BH112/10,0)+1,
IF($BC112=Lookup!$A$3,($BD112+1)^BG112,
IF($BC112=Lookup!$A$4,BH112*$BD112+1,"Error")))</f>
        <v>1</v>
      </c>
      <c r="BQ112" s="229">
        <f>IF($BC112=Lookup!$A$2,$BD112*ROUNDUP(BI112/10,0)+1,
IF($BC112=Lookup!$A$3,($BD112+1)^BH112,
IF($BC112=Lookup!$A$4,BI112*$BD112+1,"Error")))</f>
        <v>1</v>
      </c>
      <c r="BR112" s="229">
        <f>IF($BC112=Lookup!$A$2,$BD112*ROUNDUP(BJ112/10,0)+1,
IF($BC112=Lookup!$A$3,($BD112+1)^BI112,
IF($BC112=Lookup!$A$4,BJ112*$BD112+1,"Error")))</f>
        <v>1</v>
      </c>
      <c r="BS112" s="229">
        <f>IF($BC112=Lookup!$A$2,$BD112*ROUNDUP(BK112/10,0)+1,
IF($BC112=Lookup!$A$3,($BD112+1)^BJ112,
IF($BC112=Lookup!$A$4,BK112*$BD112+1,"Error")))</f>
        <v>1</v>
      </c>
      <c r="BT112" s="249">
        <f>IF($BC112=Lookup!$A$2,$BD112*ROUNDUP(BL112/10,0)+1,
IF($BC112=Lookup!$A$3,($BD112+1)^BK112,
IF($BC112=Lookup!$A$4,BL112*$BD112+1,"Error")))</f>
        <v>1</v>
      </c>
      <c r="BU112" s="320">
        <v>0</v>
      </c>
      <c r="BV112" s="321">
        <v>0</v>
      </c>
      <c r="BW112" s="321">
        <v>0</v>
      </c>
      <c r="BX112" s="321">
        <v>0</v>
      </c>
      <c r="BY112" s="321">
        <v>0</v>
      </c>
      <c r="BZ112" s="321">
        <v>0</v>
      </c>
      <c r="CA112" s="321">
        <v>0</v>
      </c>
      <c r="CB112" s="277">
        <v>0</v>
      </c>
      <c r="CC112" s="382" t="s">
        <v>293</v>
      </c>
      <c r="CD112" s="383">
        <f>HLOOKUP($CC112,$AK$6:$AM$132,ROWS(CD$6:CD112),0)</f>
        <v>23.666666666666668</v>
      </c>
      <c r="CE112" s="234">
        <f t="shared" si="81"/>
        <v>0</v>
      </c>
      <c r="CF112" s="96">
        <f t="shared" si="81"/>
        <v>0</v>
      </c>
      <c r="CG112" s="96">
        <f t="shared" si="81"/>
        <v>0</v>
      </c>
      <c r="CH112" s="96">
        <f t="shared" si="81"/>
        <v>0</v>
      </c>
      <c r="CI112" s="96">
        <f t="shared" si="81"/>
        <v>0</v>
      </c>
      <c r="CJ112" s="96">
        <f t="shared" si="81"/>
        <v>0</v>
      </c>
      <c r="CK112" s="96">
        <f t="shared" si="81"/>
        <v>0</v>
      </c>
      <c r="CL112" s="286">
        <f t="shared" si="101"/>
        <v>0</v>
      </c>
      <c r="CM112" s="305" t="s">
        <v>292</v>
      </c>
      <c r="CN112" s="315">
        <v>0.05</v>
      </c>
      <c r="CO112" s="306"/>
      <c r="CP112" s="307">
        <f>IF($CO112&lt;&gt;"",$CO112,HLOOKUP($CM112,$AY$6:$BA$132,ROWS(CP$6:CP112),0))</f>
        <v>2482.8516395303132</v>
      </c>
      <c r="CQ112" s="784">
        <f t="shared" si="100"/>
        <v>0</v>
      </c>
      <c r="CR112" s="784">
        <f t="shared" si="100"/>
        <v>0</v>
      </c>
      <c r="CS112" s="97">
        <f t="shared" si="100"/>
        <v>0</v>
      </c>
      <c r="CT112" s="97">
        <f t="shared" si="100"/>
        <v>0</v>
      </c>
      <c r="CU112" s="97">
        <f t="shared" si="100"/>
        <v>0</v>
      </c>
      <c r="CV112" s="97">
        <f t="shared" si="100"/>
        <v>0</v>
      </c>
      <c r="CW112" s="97">
        <f t="shared" si="100"/>
        <v>0</v>
      </c>
      <c r="CX112" s="98">
        <f t="shared" si="100"/>
        <v>0</v>
      </c>
    </row>
    <row r="113" spans="1:102" x14ac:dyDescent="0.25">
      <c r="A113" s="81" t="s">
        <v>224</v>
      </c>
      <c r="B113" s="82" t="s">
        <v>229</v>
      </c>
      <c r="C113" s="83" t="s">
        <v>230</v>
      </c>
      <c r="D113" s="84">
        <v>0</v>
      </c>
      <c r="E113" s="85">
        <v>0</v>
      </c>
      <c r="F113" s="85">
        <v>0</v>
      </c>
      <c r="G113" s="85">
        <v>7160.1768701942228</v>
      </c>
      <c r="H113" s="85">
        <v>61787.235213939835</v>
      </c>
      <c r="I113" s="85">
        <v>24564.367185878986</v>
      </c>
      <c r="J113" s="85">
        <v>73426.940376836021</v>
      </c>
      <c r="K113" s="85">
        <v>115601.27151556293</v>
      </c>
      <c r="L113" s="85">
        <v>3326.3092896290004</v>
      </c>
      <c r="M113" s="654">
        <f>'2022-23 Input'!H113</f>
        <v>1885.8558512019999</v>
      </c>
      <c r="N113" s="1065">
        <v>0</v>
      </c>
      <c r="O113" s="560">
        <f t="shared" si="79"/>
        <v>0</v>
      </c>
      <c r="P113" s="561">
        <f t="shared" si="53"/>
        <v>0</v>
      </c>
      <c r="Q113" s="561">
        <f t="shared" si="54"/>
        <v>0</v>
      </c>
      <c r="R113" s="561">
        <f t="shared" si="55"/>
        <v>9215.9835812297424</v>
      </c>
      <c r="S113" s="561">
        <f t="shared" si="56"/>
        <v>77908.686374095138</v>
      </c>
      <c r="T113" s="561">
        <f t="shared" si="57"/>
        <v>30488.022437236152</v>
      </c>
      <c r="U113" s="561">
        <f t="shared" si="58"/>
        <v>91452.37119308539</v>
      </c>
      <c r="V113" s="561">
        <f t="shared" si="59"/>
        <v>138647.4010806366</v>
      </c>
      <c r="W113" s="675">
        <f t="shared" si="60"/>
        <v>3758.4874549686951</v>
      </c>
      <c r="X113" s="675">
        <f t="shared" si="61"/>
        <v>2005.5340099954751</v>
      </c>
      <c r="Y113" s="675">
        <f t="shared" si="61"/>
        <v>0</v>
      </c>
      <c r="Z113" s="86">
        <v>0</v>
      </c>
      <c r="AA113" s="87">
        <v>0</v>
      </c>
      <c r="AB113" s="87">
        <v>0</v>
      </c>
      <c r="AC113" s="87">
        <v>6</v>
      </c>
      <c r="AD113" s="87">
        <v>37</v>
      </c>
      <c r="AE113" s="87">
        <v>27</v>
      </c>
      <c r="AF113" s="87">
        <v>88</v>
      </c>
      <c r="AG113" s="87">
        <v>166</v>
      </c>
      <c r="AH113" s="87">
        <v>19</v>
      </c>
      <c r="AI113" s="1094">
        <f>'2022-23 Input'!O113</f>
        <v>10</v>
      </c>
      <c r="AJ113" s="665">
        <v>0</v>
      </c>
      <c r="AK113" s="88">
        <f t="shared" si="84"/>
        <v>62</v>
      </c>
      <c r="AL113" s="89">
        <f t="shared" si="85"/>
        <v>65</v>
      </c>
      <c r="AM113" s="90">
        <f t="shared" si="86"/>
        <v>10</v>
      </c>
      <c r="AN113" s="91" t="str">
        <f t="shared" si="87"/>
        <v/>
      </c>
      <c r="AO113" s="92" t="str">
        <f t="shared" si="88"/>
        <v/>
      </c>
      <c r="AP113" s="92" t="str">
        <f t="shared" si="89"/>
        <v/>
      </c>
      <c r="AQ113" s="92">
        <f t="shared" si="90"/>
        <v>1193.3628116990371</v>
      </c>
      <c r="AR113" s="92">
        <f t="shared" si="91"/>
        <v>1669.925276052428</v>
      </c>
      <c r="AS113" s="92">
        <f t="shared" si="92"/>
        <v>909.79137725477722</v>
      </c>
      <c r="AT113" s="92">
        <f t="shared" si="93"/>
        <v>834.39704973677294</v>
      </c>
      <c r="AU113" s="92">
        <f t="shared" si="94"/>
        <v>696.39320190098147</v>
      </c>
      <c r="AV113" s="92">
        <f t="shared" si="95"/>
        <v>175.06890998047371</v>
      </c>
      <c r="AW113" s="92">
        <f t="shared" si="95"/>
        <v>188.58558512019999</v>
      </c>
      <c r="AX113" s="92" t="str">
        <f t="shared" si="95"/>
        <v/>
      </c>
      <c r="AY113" s="93">
        <f t="shared" si="96"/>
        <v>705.8217555455127</v>
      </c>
      <c r="AZ113" s="94">
        <f t="shared" si="97"/>
        <v>619.5560854174048</v>
      </c>
      <c r="BA113" s="95">
        <f t="shared" si="98"/>
        <v>188.58558512019999</v>
      </c>
      <c r="BB113" s="248" t="s">
        <v>422</v>
      </c>
      <c r="BC113" s="229" t="s">
        <v>433</v>
      </c>
      <c r="BD113" s="249">
        <v>0</v>
      </c>
      <c r="BE113" s="267">
        <f t="shared" si="80"/>
        <v>0</v>
      </c>
      <c r="BF113" s="268">
        <f t="shared" si="99"/>
        <v>0</v>
      </c>
      <c r="BG113" s="268">
        <f t="shared" si="99"/>
        <v>0</v>
      </c>
      <c r="BH113" s="268">
        <f t="shared" si="99"/>
        <v>1</v>
      </c>
      <c r="BI113" s="268">
        <f t="shared" si="99"/>
        <v>2</v>
      </c>
      <c r="BJ113" s="268">
        <f t="shared" si="99"/>
        <v>3</v>
      </c>
      <c r="BK113" s="268">
        <f t="shared" si="99"/>
        <v>4</v>
      </c>
      <c r="BL113" s="269">
        <f t="shared" si="99"/>
        <v>5</v>
      </c>
      <c r="BM113" s="256">
        <f>IF($BC113=Lookup!$A$2,$BD113*ROUNDUP(BE113/10,0)+1,
IF($BC113=Lookup!$A$3,($BD113+1)^BD113,
IF($BC113=Lookup!$A$4,BE113*$BD113+1,"Error")))</f>
        <v>1</v>
      </c>
      <c r="BN113" s="229">
        <f>IF($BC113=Lookup!$A$2,$BD113*ROUNDUP(BF113/10,0)+1,
IF($BC113=Lookup!$A$3,($BD113+1)^BE113,
IF($BC113=Lookup!$A$4,BF113*$BD113+1,"Error")))</f>
        <v>1</v>
      </c>
      <c r="BO113" s="229">
        <f>IF($BC113=Lookup!$A$2,$BD113*ROUNDUP(BG113/10,0)+1,
IF($BC113=Lookup!$A$3,($BD113+1)^BF113,
IF($BC113=Lookup!$A$4,BG113*$BD113+1,"Error")))</f>
        <v>1</v>
      </c>
      <c r="BP113" s="229">
        <f>IF($BC113=Lookup!$A$2,$BD113*ROUNDUP(BH113/10,0)+1,
IF($BC113=Lookup!$A$3,($BD113+1)^BG113,
IF($BC113=Lookup!$A$4,BH113*$BD113+1,"Error")))</f>
        <v>1</v>
      </c>
      <c r="BQ113" s="229">
        <f>IF($BC113=Lookup!$A$2,$BD113*ROUNDUP(BI113/10,0)+1,
IF($BC113=Lookup!$A$3,($BD113+1)^BH113,
IF($BC113=Lookup!$A$4,BI113*$BD113+1,"Error")))</f>
        <v>1</v>
      </c>
      <c r="BR113" s="229">
        <f>IF($BC113=Lookup!$A$2,$BD113*ROUNDUP(BJ113/10,0)+1,
IF($BC113=Lookup!$A$3,($BD113+1)^BI113,
IF($BC113=Lookup!$A$4,BJ113*$BD113+1,"Error")))</f>
        <v>1</v>
      </c>
      <c r="BS113" s="229">
        <f>IF($BC113=Lookup!$A$2,$BD113*ROUNDUP(BK113/10,0)+1,
IF($BC113=Lookup!$A$3,($BD113+1)^BJ113,
IF($BC113=Lookup!$A$4,BK113*$BD113+1,"Error")))</f>
        <v>1</v>
      </c>
      <c r="BT113" s="249">
        <f>IF($BC113=Lookup!$A$2,$BD113*ROUNDUP(BL113/10,0)+1,
IF($BC113=Lookup!$A$3,($BD113+1)^BK113,
IF($BC113=Lookup!$A$4,BL113*$BD113+1,"Error")))</f>
        <v>1</v>
      </c>
      <c r="BU113" s="320">
        <v>0</v>
      </c>
      <c r="BV113" s="321">
        <v>0</v>
      </c>
      <c r="BW113" s="321">
        <v>0</v>
      </c>
      <c r="BX113" s="321">
        <v>0</v>
      </c>
      <c r="BY113" s="321">
        <v>0</v>
      </c>
      <c r="BZ113" s="321">
        <v>0</v>
      </c>
      <c r="CA113" s="321">
        <v>0</v>
      </c>
      <c r="CB113" s="277">
        <v>0</v>
      </c>
      <c r="CC113" s="382" t="s">
        <v>293</v>
      </c>
      <c r="CD113" s="383">
        <f>HLOOKUP($CC113,$AK$6:$AM$132,ROWS(CD$6:CD113),0)</f>
        <v>65</v>
      </c>
      <c r="CE113" s="234">
        <f t="shared" si="81"/>
        <v>0</v>
      </c>
      <c r="CF113" s="96">
        <f t="shared" si="81"/>
        <v>0</v>
      </c>
      <c r="CG113" s="96">
        <f t="shared" si="81"/>
        <v>0</v>
      </c>
      <c r="CH113" s="96">
        <f t="shared" si="81"/>
        <v>0</v>
      </c>
      <c r="CI113" s="96">
        <f t="shared" si="81"/>
        <v>0</v>
      </c>
      <c r="CJ113" s="96">
        <f t="shared" si="81"/>
        <v>0</v>
      </c>
      <c r="CK113" s="96">
        <f t="shared" si="81"/>
        <v>0</v>
      </c>
      <c r="CL113" s="286">
        <f t="shared" si="101"/>
        <v>0</v>
      </c>
      <c r="CM113" s="305" t="s">
        <v>292</v>
      </c>
      <c r="CN113" s="315">
        <v>0.05</v>
      </c>
      <c r="CO113" s="306"/>
      <c r="CP113" s="307">
        <f>IF($CO113&lt;&gt;"",$CO113,HLOOKUP($CM113,$AY$6:$BA$132,ROWS(CP$6:CP113),0))</f>
        <v>705.8217555455127</v>
      </c>
      <c r="CQ113" s="784">
        <f t="shared" si="100"/>
        <v>0</v>
      </c>
      <c r="CR113" s="784">
        <f t="shared" si="100"/>
        <v>0</v>
      </c>
      <c r="CS113" s="97">
        <f t="shared" si="100"/>
        <v>0</v>
      </c>
      <c r="CT113" s="97">
        <f t="shared" si="100"/>
        <v>0</v>
      </c>
      <c r="CU113" s="97">
        <f t="shared" si="100"/>
        <v>0</v>
      </c>
      <c r="CV113" s="97">
        <f t="shared" si="100"/>
        <v>0</v>
      </c>
      <c r="CW113" s="97">
        <f t="shared" si="100"/>
        <v>0</v>
      </c>
      <c r="CX113" s="98">
        <f t="shared" si="100"/>
        <v>0</v>
      </c>
    </row>
    <row r="114" spans="1:102" x14ac:dyDescent="0.25">
      <c r="A114" s="81" t="s">
        <v>224</v>
      </c>
      <c r="B114" s="82" t="s">
        <v>231</v>
      </c>
      <c r="C114" s="83" t="s">
        <v>232</v>
      </c>
      <c r="D114" s="84">
        <v>0</v>
      </c>
      <c r="E114" s="85">
        <v>0</v>
      </c>
      <c r="F114" s="85">
        <v>0</v>
      </c>
      <c r="G114" s="85">
        <v>0</v>
      </c>
      <c r="H114" s="85">
        <v>5336.9613120234681</v>
      </c>
      <c r="I114" s="85">
        <v>2398.8834298679981</v>
      </c>
      <c r="J114" s="85">
        <v>6182.3803382259994</v>
      </c>
      <c r="K114" s="85">
        <v>1318.5410799869999</v>
      </c>
      <c r="L114" s="85">
        <v>-7.92</v>
      </c>
      <c r="M114" s="654">
        <f>'2022-23 Input'!H114</f>
        <v>84.10517917</v>
      </c>
      <c r="N114" s="1065">
        <v>0</v>
      </c>
      <c r="O114" s="560">
        <f t="shared" si="79"/>
        <v>0</v>
      </c>
      <c r="P114" s="561">
        <f t="shared" si="53"/>
        <v>0</v>
      </c>
      <c r="Q114" s="561">
        <f t="shared" si="54"/>
        <v>0</v>
      </c>
      <c r="R114" s="561">
        <f t="shared" si="55"/>
        <v>0</v>
      </c>
      <c r="S114" s="561">
        <f t="shared" si="56"/>
        <v>6729.4748439449168</v>
      </c>
      <c r="T114" s="561">
        <f t="shared" si="57"/>
        <v>2977.3700775883626</v>
      </c>
      <c r="U114" s="561">
        <f t="shared" si="58"/>
        <v>7700.0803607859625</v>
      </c>
      <c r="V114" s="561">
        <f t="shared" si="59"/>
        <v>1581.403833725497</v>
      </c>
      <c r="W114" s="675">
        <f t="shared" si="60"/>
        <v>-8.94902369306498</v>
      </c>
      <c r="X114" s="675">
        <f t="shared" si="61"/>
        <v>89.442571729269787</v>
      </c>
      <c r="Y114" s="675">
        <f t="shared" si="61"/>
        <v>0</v>
      </c>
      <c r="Z114" s="86">
        <v>0</v>
      </c>
      <c r="AA114" s="87">
        <v>0</v>
      </c>
      <c r="AB114" s="87">
        <v>0</v>
      </c>
      <c r="AC114" s="87">
        <v>0</v>
      </c>
      <c r="AD114" s="87">
        <v>25</v>
      </c>
      <c r="AE114" s="87">
        <v>15</v>
      </c>
      <c r="AF114" s="87">
        <v>26</v>
      </c>
      <c r="AG114" s="87">
        <v>11</v>
      </c>
      <c r="AH114" s="87">
        <v>0</v>
      </c>
      <c r="AI114" s="1094">
        <f>'2022-23 Input'!O114</f>
        <v>1</v>
      </c>
      <c r="AJ114" s="665">
        <v>0</v>
      </c>
      <c r="AK114" s="88">
        <f t="shared" si="84"/>
        <v>10.6</v>
      </c>
      <c r="AL114" s="89">
        <f t="shared" si="85"/>
        <v>4</v>
      </c>
      <c r="AM114" s="90">
        <f t="shared" si="86"/>
        <v>1</v>
      </c>
      <c r="AN114" s="91" t="str">
        <f t="shared" si="87"/>
        <v/>
      </c>
      <c r="AO114" s="92" t="str">
        <f t="shared" si="88"/>
        <v/>
      </c>
      <c r="AP114" s="92" t="str">
        <f t="shared" si="89"/>
        <v/>
      </c>
      <c r="AQ114" s="92" t="str">
        <f t="shared" si="90"/>
        <v/>
      </c>
      <c r="AR114" s="92">
        <f t="shared" si="91"/>
        <v>213.47845248093873</v>
      </c>
      <c r="AS114" s="92">
        <f t="shared" si="92"/>
        <v>159.92556199119988</v>
      </c>
      <c r="AT114" s="92">
        <f t="shared" si="93"/>
        <v>237.78385916253845</v>
      </c>
      <c r="AU114" s="92">
        <f t="shared" si="94"/>
        <v>119.86737090790908</v>
      </c>
      <c r="AV114" s="92" t="str">
        <f t="shared" si="95"/>
        <v/>
      </c>
      <c r="AW114" s="92">
        <f t="shared" si="95"/>
        <v>84.10517917</v>
      </c>
      <c r="AX114" s="92" t="str">
        <f t="shared" si="95"/>
        <v/>
      </c>
      <c r="AY114" s="93">
        <f t="shared" si="96"/>
        <v>188.2262269292641</v>
      </c>
      <c r="AZ114" s="94">
        <f t="shared" si="97"/>
        <v>116.22718826308331</v>
      </c>
      <c r="BA114" s="95">
        <f t="shared" si="98"/>
        <v>84.10517917</v>
      </c>
      <c r="BB114" s="248" t="s">
        <v>422</v>
      </c>
      <c r="BC114" s="229" t="s">
        <v>433</v>
      </c>
      <c r="BD114" s="249">
        <v>0</v>
      </c>
      <c r="BE114" s="267">
        <f t="shared" si="80"/>
        <v>0</v>
      </c>
      <c r="BF114" s="268">
        <f t="shared" si="99"/>
        <v>0</v>
      </c>
      <c r="BG114" s="268">
        <f t="shared" si="99"/>
        <v>0</v>
      </c>
      <c r="BH114" s="268">
        <f t="shared" si="99"/>
        <v>1</v>
      </c>
      <c r="BI114" s="268">
        <f t="shared" si="99"/>
        <v>2</v>
      </c>
      <c r="BJ114" s="268">
        <f t="shared" si="99"/>
        <v>3</v>
      </c>
      <c r="BK114" s="268">
        <f t="shared" si="99"/>
        <v>4</v>
      </c>
      <c r="BL114" s="269">
        <f t="shared" si="99"/>
        <v>5</v>
      </c>
      <c r="BM114" s="256">
        <f>IF($BC114=Lookup!$A$2,$BD114*ROUNDUP(BE114/10,0)+1,
IF($BC114=Lookup!$A$3,($BD114+1)^BD114,
IF($BC114=Lookup!$A$4,BE114*$BD114+1,"Error")))</f>
        <v>1</v>
      </c>
      <c r="BN114" s="229">
        <f>IF($BC114=Lookup!$A$2,$BD114*ROUNDUP(BF114/10,0)+1,
IF($BC114=Lookup!$A$3,($BD114+1)^BE114,
IF($BC114=Lookup!$A$4,BF114*$BD114+1,"Error")))</f>
        <v>1</v>
      </c>
      <c r="BO114" s="229">
        <f>IF($BC114=Lookup!$A$2,$BD114*ROUNDUP(BG114/10,0)+1,
IF($BC114=Lookup!$A$3,($BD114+1)^BF114,
IF($BC114=Lookup!$A$4,BG114*$BD114+1,"Error")))</f>
        <v>1</v>
      </c>
      <c r="BP114" s="229">
        <f>IF($BC114=Lookup!$A$2,$BD114*ROUNDUP(BH114/10,0)+1,
IF($BC114=Lookup!$A$3,($BD114+1)^BG114,
IF($BC114=Lookup!$A$4,BH114*$BD114+1,"Error")))</f>
        <v>1</v>
      </c>
      <c r="BQ114" s="229">
        <f>IF($BC114=Lookup!$A$2,$BD114*ROUNDUP(BI114/10,0)+1,
IF($BC114=Lookup!$A$3,($BD114+1)^BH114,
IF($BC114=Lookup!$A$4,BI114*$BD114+1,"Error")))</f>
        <v>1</v>
      </c>
      <c r="BR114" s="229">
        <f>IF($BC114=Lookup!$A$2,$BD114*ROUNDUP(BJ114/10,0)+1,
IF($BC114=Lookup!$A$3,($BD114+1)^BI114,
IF($BC114=Lookup!$A$4,BJ114*$BD114+1,"Error")))</f>
        <v>1</v>
      </c>
      <c r="BS114" s="229">
        <f>IF($BC114=Lookup!$A$2,$BD114*ROUNDUP(BK114/10,0)+1,
IF($BC114=Lookup!$A$3,($BD114+1)^BJ114,
IF($BC114=Lookup!$A$4,BK114*$BD114+1,"Error")))</f>
        <v>1</v>
      </c>
      <c r="BT114" s="249">
        <f>IF($BC114=Lookup!$A$2,$BD114*ROUNDUP(BL114/10,0)+1,
IF($BC114=Lookup!$A$3,($BD114+1)^BK114,
IF($BC114=Lookup!$A$4,BL114*$BD114+1,"Error")))</f>
        <v>1</v>
      </c>
      <c r="BU114" s="320">
        <v>0</v>
      </c>
      <c r="BV114" s="321">
        <v>0</v>
      </c>
      <c r="BW114" s="321">
        <v>0</v>
      </c>
      <c r="BX114" s="321">
        <v>0</v>
      </c>
      <c r="BY114" s="321">
        <v>0</v>
      </c>
      <c r="BZ114" s="321">
        <v>0</v>
      </c>
      <c r="CA114" s="321">
        <v>0</v>
      </c>
      <c r="CB114" s="277">
        <v>0</v>
      </c>
      <c r="CC114" s="382" t="s">
        <v>293</v>
      </c>
      <c r="CD114" s="383">
        <f>HLOOKUP($CC114,$AK$6:$AM$132,ROWS(CD$6:CD114),0)</f>
        <v>4</v>
      </c>
      <c r="CE114" s="234">
        <f t="shared" si="81"/>
        <v>0</v>
      </c>
      <c r="CF114" s="96">
        <f t="shared" si="81"/>
        <v>0</v>
      </c>
      <c r="CG114" s="96">
        <f t="shared" si="81"/>
        <v>0</v>
      </c>
      <c r="CH114" s="96">
        <f t="shared" si="81"/>
        <v>0</v>
      </c>
      <c r="CI114" s="96">
        <f t="shared" si="81"/>
        <v>0</v>
      </c>
      <c r="CJ114" s="96">
        <f t="shared" si="81"/>
        <v>0</v>
      </c>
      <c r="CK114" s="96">
        <f t="shared" si="81"/>
        <v>0</v>
      </c>
      <c r="CL114" s="286">
        <f t="shared" si="101"/>
        <v>0</v>
      </c>
      <c r="CM114" s="305" t="s">
        <v>292</v>
      </c>
      <c r="CN114" s="315">
        <v>0.05</v>
      </c>
      <c r="CO114" s="306"/>
      <c r="CP114" s="307">
        <f>IF($CO114&lt;&gt;"",$CO114,HLOOKUP($CM114,$AY$6:$BA$132,ROWS(CP$6:CP114),0))</f>
        <v>188.2262269292641</v>
      </c>
      <c r="CQ114" s="784">
        <f t="shared" si="100"/>
        <v>0</v>
      </c>
      <c r="CR114" s="784">
        <f t="shared" si="100"/>
        <v>0</v>
      </c>
      <c r="CS114" s="97">
        <f t="shared" si="100"/>
        <v>0</v>
      </c>
      <c r="CT114" s="97">
        <f t="shared" si="100"/>
        <v>0</v>
      </c>
      <c r="CU114" s="97">
        <f t="shared" si="100"/>
        <v>0</v>
      </c>
      <c r="CV114" s="97">
        <f t="shared" si="100"/>
        <v>0</v>
      </c>
      <c r="CW114" s="97">
        <f t="shared" si="100"/>
        <v>0</v>
      </c>
      <c r="CX114" s="98">
        <f t="shared" si="100"/>
        <v>0</v>
      </c>
    </row>
    <row r="115" spans="1:102" x14ac:dyDescent="0.25">
      <c r="A115" s="81" t="s">
        <v>224</v>
      </c>
      <c r="B115" s="82" t="s">
        <v>233</v>
      </c>
      <c r="C115" s="83" t="s">
        <v>234</v>
      </c>
      <c r="D115" s="84">
        <v>0</v>
      </c>
      <c r="E115" s="85">
        <v>1032.8406350785008</v>
      </c>
      <c r="F115" s="85">
        <v>0</v>
      </c>
      <c r="G115" s="85">
        <v>43.101026925327027</v>
      </c>
      <c r="H115" s="85">
        <v>630.04289728147228</v>
      </c>
      <c r="I115" s="85">
        <v>989.74479878</v>
      </c>
      <c r="J115" s="85">
        <v>871.26018858300017</v>
      </c>
      <c r="K115" s="85">
        <v>352.87143979400003</v>
      </c>
      <c r="L115" s="85">
        <v>106.90245245599999</v>
      </c>
      <c r="M115" s="654">
        <f>'2022-23 Input'!H115</f>
        <v>0</v>
      </c>
      <c r="N115" s="1065">
        <v>0</v>
      </c>
      <c r="O115" s="560">
        <f t="shared" si="79"/>
        <v>0</v>
      </c>
      <c r="P115" s="561">
        <f t="shared" si="53"/>
        <v>1368.958916086033</v>
      </c>
      <c r="Q115" s="561">
        <f t="shared" si="54"/>
        <v>0</v>
      </c>
      <c r="R115" s="561">
        <f t="shared" si="55"/>
        <v>55.476053689603923</v>
      </c>
      <c r="S115" s="561">
        <f t="shared" si="56"/>
        <v>794.43293289572853</v>
      </c>
      <c r="T115" s="561">
        <f t="shared" si="57"/>
        <v>1228.4200689561812</v>
      </c>
      <c r="U115" s="561">
        <f t="shared" si="58"/>
        <v>1085.1440869404162</v>
      </c>
      <c r="V115" s="561">
        <f t="shared" si="59"/>
        <v>423.2194629142457</v>
      </c>
      <c r="W115" s="675">
        <f t="shared" si="60"/>
        <v>120.79199240852228</v>
      </c>
      <c r="X115" s="675">
        <f t="shared" si="61"/>
        <v>0</v>
      </c>
      <c r="Y115" s="675">
        <f t="shared" si="61"/>
        <v>0</v>
      </c>
      <c r="Z115" s="86">
        <v>0</v>
      </c>
      <c r="AA115" s="87">
        <v>20</v>
      </c>
      <c r="AB115" s="87">
        <v>0</v>
      </c>
      <c r="AC115" s="87">
        <v>1</v>
      </c>
      <c r="AD115" s="87">
        <v>9</v>
      </c>
      <c r="AE115" s="87">
        <v>-1</v>
      </c>
      <c r="AF115" s="87">
        <v>31</v>
      </c>
      <c r="AG115" s="87">
        <v>0</v>
      </c>
      <c r="AH115" s="87">
        <v>11</v>
      </c>
      <c r="AI115" s="1094">
        <f>'2022-23 Input'!O115</f>
        <v>0</v>
      </c>
      <c r="AJ115" s="665">
        <v>0</v>
      </c>
      <c r="AK115" s="88">
        <f t="shared" si="84"/>
        <v>8.1999999999999993</v>
      </c>
      <c r="AL115" s="89">
        <f t="shared" si="85"/>
        <v>3.6666666666666665</v>
      </c>
      <c r="AM115" s="90">
        <f t="shared" si="86"/>
        <v>0</v>
      </c>
      <c r="AN115" s="91" t="str">
        <f t="shared" si="87"/>
        <v/>
      </c>
      <c r="AO115" s="92">
        <f t="shared" si="88"/>
        <v>51.642031753925039</v>
      </c>
      <c r="AP115" s="92" t="str">
        <f t="shared" si="89"/>
        <v/>
      </c>
      <c r="AQ115" s="92">
        <f t="shared" si="90"/>
        <v>43.101026925327027</v>
      </c>
      <c r="AR115" s="92">
        <f t="shared" si="91"/>
        <v>70.004766364608031</v>
      </c>
      <c r="AS115" s="92">
        <f t="shared" si="92"/>
        <v>-989.74479878</v>
      </c>
      <c r="AT115" s="92">
        <f t="shared" si="93"/>
        <v>28.105167373645166</v>
      </c>
      <c r="AU115" s="92" t="str">
        <f t="shared" si="94"/>
        <v/>
      </c>
      <c r="AV115" s="92">
        <f t="shared" si="95"/>
        <v>9.7184047687272717</v>
      </c>
      <c r="AW115" s="92" t="str">
        <f t="shared" si="95"/>
        <v/>
      </c>
      <c r="AX115" s="92" t="str">
        <f t="shared" si="95"/>
        <v/>
      </c>
      <c r="AY115" s="93">
        <f t="shared" si="96"/>
        <v>56.60436291739024</v>
      </c>
      <c r="AZ115" s="94">
        <f t="shared" si="97"/>
        <v>41.797626568181819</v>
      </c>
      <c r="BA115" s="95" t="str">
        <f t="shared" si="98"/>
        <v/>
      </c>
      <c r="BB115" s="248" t="s">
        <v>422</v>
      </c>
      <c r="BC115" s="229" t="s">
        <v>433</v>
      </c>
      <c r="BD115" s="249">
        <v>0</v>
      </c>
      <c r="BE115" s="267">
        <f t="shared" si="80"/>
        <v>0</v>
      </c>
      <c r="BF115" s="268">
        <f t="shared" si="99"/>
        <v>0</v>
      </c>
      <c r="BG115" s="268">
        <f t="shared" si="99"/>
        <v>0</v>
      </c>
      <c r="BH115" s="268">
        <f t="shared" si="99"/>
        <v>1</v>
      </c>
      <c r="BI115" s="268">
        <f t="shared" si="99"/>
        <v>2</v>
      </c>
      <c r="BJ115" s="268">
        <f t="shared" si="99"/>
        <v>3</v>
      </c>
      <c r="BK115" s="268">
        <f t="shared" si="99"/>
        <v>4</v>
      </c>
      <c r="BL115" s="269">
        <f t="shared" si="99"/>
        <v>5</v>
      </c>
      <c r="BM115" s="256">
        <f>IF($BC115=Lookup!$A$2,$BD115*ROUNDUP(BE115/10,0)+1,
IF($BC115=Lookup!$A$3,($BD115+1)^BD115,
IF($BC115=Lookup!$A$4,BE115*$BD115+1,"Error")))</f>
        <v>1</v>
      </c>
      <c r="BN115" s="229">
        <f>IF($BC115=Lookup!$A$2,$BD115*ROUNDUP(BF115/10,0)+1,
IF($BC115=Lookup!$A$3,($BD115+1)^BE115,
IF($BC115=Lookup!$A$4,BF115*$BD115+1,"Error")))</f>
        <v>1</v>
      </c>
      <c r="BO115" s="229">
        <f>IF($BC115=Lookup!$A$2,$BD115*ROUNDUP(BG115/10,0)+1,
IF($BC115=Lookup!$A$3,($BD115+1)^BF115,
IF($BC115=Lookup!$A$4,BG115*$BD115+1,"Error")))</f>
        <v>1</v>
      </c>
      <c r="BP115" s="229">
        <f>IF($BC115=Lookup!$A$2,$BD115*ROUNDUP(BH115/10,0)+1,
IF($BC115=Lookup!$A$3,($BD115+1)^BG115,
IF($BC115=Lookup!$A$4,BH115*$BD115+1,"Error")))</f>
        <v>1</v>
      </c>
      <c r="BQ115" s="229">
        <f>IF($BC115=Lookup!$A$2,$BD115*ROUNDUP(BI115/10,0)+1,
IF($BC115=Lookup!$A$3,($BD115+1)^BH115,
IF($BC115=Lookup!$A$4,BI115*$BD115+1,"Error")))</f>
        <v>1</v>
      </c>
      <c r="BR115" s="229">
        <f>IF($BC115=Lookup!$A$2,$BD115*ROUNDUP(BJ115/10,0)+1,
IF($BC115=Lookup!$A$3,($BD115+1)^BI115,
IF($BC115=Lookup!$A$4,BJ115*$BD115+1,"Error")))</f>
        <v>1</v>
      </c>
      <c r="BS115" s="229">
        <f>IF($BC115=Lookup!$A$2,$BD115*ROUNDUP(BK115/10,0)+1,
IF($BC115=Lookup!$A$3,($BD115+1)^BJ115,
IF($BC115=Lookup!$A$4,BK115*$BD115+1,"Error")))</f>
        <v>1</v>
      </c>
      <c r="BT115" s="249">
        <f>IF($BC115=Lookup!$A$2,$BD115*ROUNDUP(BL115/10,0)+1,
IF($BC115=Lookup!$A$3,($BD115+1)^BK115,
IF($BC115=Lookup!$A$4,BL115*$BD115+1,"Error")))</f>
        <v>1</v>
      </c>
      <c r="BU115" s="320">
        <v>0</v>
      </c>
      <c r="BV115" s="321">
        <v>0</v>
      </c>
      <c r="BW115" s="321">
        <v>0</v>
      </c>
      <c r="BX115" s="321">
        <v>0</v>
      </c>
      <c r="BY115" s="321">
        <v>0</v>
      </c>
      <c r="BZ115" s="321">
        <v>0</v>
      </c>
      <c r="CA115" s="321">
        <v>0</v>
      </c>
      <c r="CB115" s="277">
        <v>0</v>
      </c>
      <c r="CC115" s="382" t="s">
        <v>293</v>
      </c>
      <c r="CD115" s="383">
        <f>HLOOKUP($CC115,$AK$6:$AM$132,ROWS(CD$6:CD115),0)</f>
        <v>3.6666666666666665</v>
      </c>
      <c r="CE115" s="234">
        <f t="shared" si="81"/>
        <v>0</v>
      </c>
      <c r="CF115" s="96">
        <f t="shared" si="81"/>
        <v>0</v>
      </c>
      <c r="CG115" s="96">
        <f t="shared" si="81"/>
        <v>0</v>
      </c>
      <c r="CH115" s="96">
        <f t="shared" si="81"/>
        <v>0</v>
      </c>
      <c r="CI115" s="96">
        <f t="shared" si="81"/>
        <v>0</v>
      </c>
      <c r="CJ115" s="96">
        <f t="shared" si="81"/>
        <v>0</v>
      </c>
      <c r="CK115" s="96">
        <f t="shared" si="81"/>
        <v>0</v>
      </c>
      <c r="CL115" s="286">
        <f t="shared" si="101"/>
        <v>0</v>
      </c>
      <c r="CM115" s="305" t="s">
        <v>292</v>
      </c>
      <c r="CN115" s="315">
        <v>0.05</v>
      </c>
      <c r="CO115" s="306"/>
      <c r="CP115" s="307">
        <f>IF($CO115&lt;&gt;"",$CO115,HLOOKUP($CM115,$AY$6:$BA$132,ROWS(CP$6:CP115),0))</f>
        <v>56.60436291739024</v>
      </c>
      <c r="CQ115" s="784">
        <f t="shared" si="100"/>
        <v>0</v>
      </c>
      <c r="CR115" s="784">
        <f t="shared" si="100"/>
        <v>0</v>
      </c>
      <c r="CS115" s="97">
        <f t="shared" si="100"/>
        <v>0</v>
      </c>
      <c r="CT115" s="97">
        <f t="shared" si="100"/>
        <v>0</v>
      </c>
      <c r="CU115" s="97">
        <f t="shared" si="100"/>
        <v>0</v>
      </c>
      <c r="CV115" s="97">
        <f t="shared" si="100"/>
        <v>0</v>
      </c>
      <c r="CW115" s="97">
        <f t="shared" si="100"/>
        <v>0</v>
      </c>
      <c r="CX115" s="98">
        <f t="shared" si="100"/>
        <v>0</v>
      </c>
    </row>
    <row r="116" spans="1:102" x14ac:dyDescent="0.25">
      <c r="A116" s="81" t="s">
        <v>224</v>
      </c>
      <c r="B116" s="82" t="s">
        <v>235</v>
      </c>
      <c r="C116" s="83" t="s">
        <v>236</v>
      </c>
      <c r="D116" s="84">
        <v>0</v>
      </c>
      <c r="E116" s="85">
        <v>0</v>
      </c>
      <c r="F116" s="85">
        <v>0</v>
      </c>
      <c r="G116" s="85">
        <v>0</v>
      </c>
      <c r="H116" s="85">
        <v>0</v>
      </c>
      <c r="I116" s="85">
        <v>-582.64</v>
      </c>
      <c r="J116" s="85">
        <v>10497.439887480001</v>
      </c>
      <c r="K116" s="85">
        <v>15859.417439941</v>
      </c>
      <c r="L116" s="85">
        <v>0</v>
      </c>
      <c r="M116" s="654">
        <f>'2022-23 Input'!H116</f>
        <v>0</v>
      </c>
      <c r="N116" s="1065">
        <v>0</v>
      </c>
      <c r="O116" s="560">
        <f t="shared" si="79"/>
        <v>0</v>
      </c>
      <c r="P116" s="561">
        <f t="shared" si="53"/>
        <v>0</v>
      </c>
      <c r="Q116" s="561">
        <f t="shared" si="54"/>
        <v>0</v>
      </c>
      <c r="R116" s="561">
        <f t="shared" si="55"/>
        <v>0</v>
      </c>
      <c r="S116" s="561">
        <f t="shared" si="56"/>
        <v>0</v>
      </c>
      <c r="T116" s="561">
        <f t="shared" si="57"/>
        <v>-723.14264228401453</v>
      </c>
      <c r="U116" s="561">
        <f t="shared" si="58"/>
        <v>13074.435135660064</v>
      </c>
      <c r="V116" s="561">
        <f t="shared" si="59"/>
        <v>19021.131704461557</v>
      </c>
      <c r="W116" s="675">
        <f t="shared" si="60"/>
        <v>0</v>
      </c>
      <c r="X116" s="675">
        <f t="shared" si="61"/>
        <v>0</v>
      </c>
      <c r="Y116" s="675">
        <f t="shared" si="61"/>
        <v>0</v>
      </c>
      <c r="Z116" s="86">
        <v>0</v>
      </c>
      <c r="AA116" s="87">
        <v>0</v>
      </c>
      <c r="AB116" s="87">
        <v>0</v>
      </c>
      <c r="AC116" s="87">
        <v>0</v>
      </c>
      <c r="AD116" s="87">
        <v>0</v>
      </c>
      <c r="AE116" s="87">
        <v>-1</v>
      </c>
      <c r="AF116" s="87">
        <v>3</v>
      </c>
      <c r="AG116" s="87">
        <v>2</v>
      </c>
      <c r="AH116" s="87">
        <v>0</v>
      </c>
      <c r="AI116" s="1094">
        <f>'2022-23 Input'!O116</f>
        <v>0</v>
      </c>
      <c r="AJ116" s="665">
        <v>0</v>
      </c>
      <c r="AK116" s="88">
        <f t="shared" si="84"/>
        <v>0.8</v>
      </c>
      <c r="AL116" s="89">
        <f t="shared" si="85"/>
        <v>0.66666666666666663</v>
      </c>
      <c r="AM116" s="90">
        <f t="shared" si="86"/>
        <v>0</v>
      </c>
      <c r="AN116" s="91" t="str">
        <f t="shared" si="87"/>
        <v/>
      </c>
      <c r="AO116" s="92" t="str">
        <f t="shared" si="88"/>
        <v/>
      </c>
      <c r="AP116" s="92" t="str">
        <f t="shared" si="89"/>
        <v/>
      </c>
      <c r="AQ116" s="92" t="str">
        <f t="shared" si="90"/>
        <v/>
      </c>
      <c r="AR116" s="92" t="str">
        <f t="shared" si="91"/>
        <v/>
      </c>
      <c r="AS116" s="92">
        <f t="shared" si="92"/>
        <v>582.64</v>
      </c>
      <c r="AT116" s="92">
        <f t="shared" si="93"/>
        <v>3499.1466291600004</v>
      </c>
      <c r="AU116" s="92">
        <f t="shared" si="94"/>
        <v>7929.7087199705002</v>
      </c>
      <c r="AV116" s="92" t="str">
        <f t="shared" si="95"/>
        <v/>
      </c>
      <c r="AW116" s="92" t="str">
        <f t="shared" si="95"/>
        <v/>
      </c>
      <c r="AX116" s="92" t="str">
        <f t="shared" si="95"/>
        <v/>
      </c>
      <c r="AY116" s="93">
        <f t="shared" si="96"/>
        <v>6443.55433185525</v>
      </c>
      <c r="AZ116" s="94">
        <f t="shared" si="97"/>
        <v>7929.7087199705002</v>
      </c>
      <c r="BA116" s="95" t="str">
        <f t="shared" si="98"/>
        <v/>
      </c>
      <c r="BB116" s="248" t="s">
        <v>422</v>
      </c>
      <c r="BC116" s="229" t="s">
        <v>433</v>
      </c>
      <c r="BD116" s="249">
        <v>0</v>
      </c>
      <c r="BE116" s="267">
        <f t="shared" si="80"/>
        <v>0</v>
      </c>
      <c r="BF116" s="268">
        <f t="shared" si="99"/>
        <v>0</v>
      </c>
      <c r="BG116" s="268">
        <f t="shared" si="99"/>
        <v>0</v>
      </c>
      <c r="BH116" s="268">
        <f t="shared" si="99"/>
        <v>1</v>
      </c>
      <c r="BI116" s="268">
        <f t="shared" si="99"/>
        <v>2</v>
      </c>
      <c r="BJ116" s="268">
        <f t="shared" si="99"/>
        <v>3</v>
      </c>
      <c r="BK116" s="268">
        <f t="shared" si="99"/>
        <v>4</v>
      </c>
      <c r="BL116" s="269">
        <f t="shared" si="99"/>
        <v>5</v>
      </c>
      <c r="BM116" s="256">
        <f>IF($BC116=Lookup!$A$2,$BD116*ROUNDUP(BE116/10,0)+1,
IF($BC116=Lookup!$A$3,($BD116+1)^BD116,
IF($BC116=Lookup!$A$4,BE116*$BD116+1,"Error")))</f>
        <v>1</v>
      </c>
      <c r="BN116" s="229">
        <f>IF($BC116=Lookup!$A$2,$BD116*ROUNDUP(BF116/10,0)+1,
IF($BC116=Lookup!$A$3,($BD116+1)^BE116,
IF($BC116=Lookup!$A$4,BF116*$BD116+1,"Error")))</f>
        <v>1</v>
      </c>
      <c r="BO116" s="229">
        <f>IF($BC116=Lookup!$A$2,$BD116*ROUNDUP(BG116/10,0)+1,
IF($BC116=Lookup!$A$3,($BD116+1)^BF116,
IF($BC116=Lookup!$A$4,BG116*$BD116+1,"Error")))</f>
        <v>1</v>
      </c>
      <c r="BP116" s="229">
        <f>IF($BC116=Lookup!$A$2,$BD116*ROUNDUP(BH116/10,0)+1,
IF($BC116=Lookup!$A$3,($BD116+1)^BG116,
IF($BC116=Lookup!$A$4,BH116*$BD116+1,"Error")))</f>
        <v>1</v>
      </c>
      <c r="BQ116" s="229">
        <f>IF($BC116=Lookup!$A$2,$BD116*ROUNDUP(BI116/10,0)+1,
IF($BC116=Lookup!$A$3,($BD116+1)^BH116,
IF($BC116=Lookup!$A$4,BI116*$BD116+1,"Error")))</f>
        <v>1</v>
      </c>
      <c r="BR116" s="229">
        <f>IF($BC116=Lookup!$A$2,$BD116*ROUNDUP(BJ116/10,0)+1,
IF($BC116=Lookup!$A$3,($BD116+1)^BI116,
IF($BC116=Lookup!$A$4,BJ116*$BD116+1,"Error")))</f>
        <v>1</v>
      </c>
      <c r="BS116" s="229">
        <f>IF($BC116=Lookup!$A$2,$BD116*ROUNDUP(BK116/10,0)+1,
IF($BC116=Lookup!$A$3,($BD116+1)^BJ116,
IF($BC116=Lookup!$A$4,BK116*$BD116+1,"Error")))</f>
        <v>1</v>
      </c>
      <c r="BT116" s="249">
        <f>IF($BC116=Lookup!$A$2,$BD116*ROUNDUP(BL116/10,0)+1,
IF($BC116=Lookup!$A$3,($BD116+1)^BK116,
IF($BC116=Lookup!$A$4,BL116*$BD116+1,"Error")))</f>
        <v>1</v>
      </c>
      <c r="BU116" s="320">
        <v>0</v>
      </c>
      <c r="BV116" s="321">
        <v>0</v>
      </c>
      <c r="BW116" s="321">
        <v>0</v>
      </c>
      <c r="BX116" s="321">
        <v>0</v>
      </c>
      <c r="BY116" s="321">
        <v>0</v>
      </c>
      <c r="BZ116" s="321">
        <v>0</v>
      </c>
      <c r="CA116" s="321">
        <v>0</v>
      </c>
      <c r="CB116" s="277">
        <v>0</v>
      </c>
      <c r="CC116" s="382" t="s">
        <v>293</v>
      </c>
      <c r="CD116" s="383">
        <f>HLOOKUP($CC116,$AK$6:$AM$132,ROWS(CD$6:CD116),0)</f>
        <v>0.66666666666666663</v>
      </c>
      <c r="CE116" s="234">
        <f t="shared" si="81"/>
        <v>0</v>
      </c>
      <c r="CF116" s="96">
        <f t="shared" si="81"/>
        <v>0</v>
      </c>
      <c r="CG116" s="96">
        <f t="shared" si="81"/>
        <v>0</v>
      </c>
      <c r="CH116" s="96">
        <f t="shared" si="81"/>
        <v>0</v>
      </c>
      <c r="CI116" s="96">
        <f t="shared" si="81"/>
        <v>0</v>
      </c>
      <c r="CJ116" s="96">
        <f t="shared" si="81"/>
        <v>0</v>
      </c>
      <c r="CK116" s="96">
        <f t="shared" si="81"/>
        <v>0</v>
      </c>
      <c r="CL116" s="286">
        <f t="shared" si="101"/>
        <v>0</v>
      </c>
      <c r="CM116" s="305" t="s">
        <v>292</v>
      </c>
      <c r="CN116" s="315">
        <v>0.05</v>
      </c>
      <c r="CO116" s="306"/>
      <c r="CP116" s="307">
        <f>IF($CO116&lt;&gt;"",$CO116,HLOOKUP($CM116,$AY$6:$BA$132,ROWS(CP$6:CP116),0))</f>
        <v>6443.55433185525</v>
      </c>
      <c r="CQ116" s="784">
        <f t="shared" si="100"/>
        <v>0</v>
      </c>
      <c r="CR116" s="784">
        <f t="shared" si="100"/>
        <v>0</v>
      </c>
      <c r="CS116" s="97">
        <f t="shared" si="100"/>
        <v>0</v>
      </c>
      <c r="CT116" s="97">
        <f t="shared" si="100"/>
        <v>0</v>
      </c>
      <c r="CU116" s="97">
        <f t="shared" si="100"/>
        <v>0</v>
      </c>
      <c r="CV116" s="97">
        <f t="shared" si="100"/>
        <v>0</v>
      </c>
      <c r="CW116" s="97">
        <f t="shared" si="100"/>
        <v>0</v>
      </c>
      <c r="CX116" s="98">
        <f t="shared" si="100"/>
        <v>0</v>
      </c>
    </row>
    <row r="117" spans="1:102" x14ac:dyDescent="0.25">
      <c r="A117" s="81" t="s">
        <v>224</v>
      </c>
      <c r="B117" s="82" t="s">
        <v>237</v>
      </c>
      <c r="C117" s="83" t="s">
        <v>238</v>
      </c>
      <c r="D117" s="84">
        <v>0</v>
      </c>
      <c r="E117" s="85">
        <v>0</v>
      </c>
      <c r="F117" s="85">
        <v>0</v>
      </c>
      <c r="G117" s="85">
        <v>0</v>
      </c>
      <c r="H117" s="85">
        <v>3345.7497068909797</v>
      </c>
      <c r="I117" s="85">
        <v>0</v>
      </c>
      <c r="J117" s="85">
        <v>5839.2432224949998</v>
      </c>
      <c r="K117" s="85">
        <v>20593.552100867</v>
      </c>
      <c r="L117" s="85">
        <v>0</v>
      </c>
      <c r="M117" s="654">
        <f>'2022-23 Input'!H117</f>
        <v>8087.6713945250003</v>
      </c>
      <c r="N117" s="1065">
        <v>0</v>
      </c>
      <c r="O117" s="560">
        <f t="shared" si="79"/>
        <v>0</v>
      </c>
      <c r="P117" s="561">
        <f t="shared" si="53"/>
        <v>0</v>
      </c>
      <c r="Q117" s="561">
        <f t="shared" si="54"/>
        <v>0</v>
      </c>
      <c r="R117" s="561">
        <f t="shared" si="55"/>
        <v>0</v>
      </c>
      <c r="S117" s="561">
        <f t="shared" si="56"/>
        <v>4218.7186997093831</v>
      </c>
      <c r="T117" s="561">
        <f t="shared" si="57"/>
        <v>0</v>
      </c>
      <c r="U117" s="561">
        <f t="shared" si="58"/>
        <v>7272.7072097748151</v>
      </c>
      <c r="V117" s="561">
        <f t="shared" si="59"/>
        <v>24699.057721173107</v>
      </c>
      <c r="W117" s="675">
        <f t="shared" si="60"/>
        <v>0</v>
      </c>
      <c r="X117" s="675">
        <f t="shared" si="61"/>
        <v>8600.9225111501037</v>
      </c>
      <c r="Y117" s="675">
        <f t="shared" si="61"/>
        <v>0</v>
      </c>
      <c r="Z117" s="86">
        <v>0</v>
      </c>
      <c r="AA117" s="87">
        <v>0</v>
      </c>
      <c r="AB117" s="87">
        <v>0</v>
      </c>
      <c r="AC117" s="87">
        <v>0</v>
      </c>
      <c r="AD117" s="87">
        <v>1</v>
      </c>
      <c r="AE117" s="87">
        <v>0</v>
      </c>
      <c r="AF117" s="87">
        <v>1</v>
      </c>
      <c r="AG117" s="87">
        <v>2</v>
      </c>
      <c r="AH117" s="87">
        <v>0</v>
      </c>
      <c r="AI117" s="1094">
        <f>'2022-23 Input'!O117</f>
        <v>1</v>
      </c>
      <c r="AJ117" s="665">
        <v>0</v>
      </c>
      <c r="AK117" s="88">
        <f t="shared" si="84"/>
        <v>0.8</v>
      </c>
      <c r="AL117" s="89">
        <f t="shared" si="85"/>
        <v>1</v>
      </c>
      <c r="AM117" s="90">
        <f t="shared" si="86"/>
        <v>1</v>
      </c>
      <c r="AN117" s="91" t="str">
        <f t="shared" si="87"/>
        <v/>
      </c>
      <c r="AO117" s="92" t="str">
        <f t="shared" si="88"/>
        <v/>
      </c>
      <c r="AP117" s="92" t="str">
        <f t="shared" si="89"/>
        <v/>
      </c>
      <c r="AQ117" s="92" t="str">
        <f t="shared" si="90"/>
        <v/>
      </c>
      <c r="AR117" s="92">
        <f t="shared" si="91"/>
        <v>3345.7497068909797</v>
      </c>
      <c r="AS117" s="92" t="str">
        <f t="shared" si="92"/>
        <v/>
      </c>
      <c r="AT117" s="92">
        <f t="shared" si="93"/>
        <v>5839.2432224949998</v>
      </c>
      <c r="AU117" s="92">
        <f t="shared" si="94"/>
        <v>10296.7760504335</v>
      </c>
      <c r="AV117" s="92" t="str">
        <f t="shared" si="95"/>
        <v/>
      </c>
      <c r="AW117" s="92">
        <f t="shared" si="95"/>
        <v>8087.6713945250003</v>
      </c>
      <c r="AX117" s="92" t="str">
        <f t="shared" si="95"/>
        <v/>
      </c>
      <c r="AY117" s="93">
        <f t="shared" si="96"/>
        <v>8630.1166794717501</v>
      </c>
      <c r="AZ117" s="94">
        <f t="shared" si="97"/>
        <v>9560.4078317973344</v>
      </c>
      <c r="BA117" s="95">
        <f t="shared" si="98"/>
        <v>8087.6713945250003</v>
      </c>
      <c r="BB117" s="248" t="s">
        <v>422</v>
      </c>
      <c r="BC117" s="229" t="s">
        <v>433</v>
      </c>
      <c r="BD117" s="249">
        <v>0</v>
      </c>
      <c r="BE117" s="267">
        <f t="shared" si="80"/>
        <v>0</v>
      </c>
      <c r="BF117" s="268">
        <f t="shared" si="99"/>
        <v>0</v>
      </c>
      <c r="BG117" s="268">
        <f t="shared" si="99"/>
        <v>0</v>
      </c>
      <c r="BH117" s="268">
        <f t="shared" si="99"/>
        <v>1</v>
      </c>
      <c r="BI117" s="268">
        <f t="shared" si="99"/>
        <v>2</v>
      </c>
      <c r="BJ117" s="268">
        <f t="shared" si="99"/>
        <v>3</v>
      </c>
      <c r="BK117" s="268">
        <f t="shared" si="99"/>
        <v>4</v>
      </c>
      <c r="BL117" s="269">
        <f t="shared" si="99"/>
        <v>5</v>
      </c>
      <c r="BM117" s="256">
        <f>IF($BC117=Lookup!$A$2,$BD117*ROUNDUP(BE117/10,0)+1,
IF($BC117=Lookup!$A$3,($BD117+1)^BD117,
IF($BC117=Lookup!$A$4,BE117*$BD117+1,"Error")))</f>
        <v>1</v>
      </c>
      <c r="BN117" s="229">
        <f>IF($BC117=Lookup!$A$2,$BD117*ROUNDUP(BF117/10,0)+1,
IF($BC117=Lookup!$A$3,($BD117+1)^BE117,
IF($BC117=Lookup!$A$4,BF117*$BD117+1,"Error")))</f>
        <v>1</v>
      </c>
      <c r="BO117" s="229">
        <f>IF($BC117=Lookup!$A$2,$BD117*ROUNDUP(BG117/10,0)+1,
IF($BC117=Lookup!$A$3,($BD117+1)^BF117,
IF($BC117=Lookup!$A$4,BG117*$BD117+1,"Error")))</f>
        <v>1</v>
      </c>
      <c r="BP117" s="229">
        <f>IF($BC117=Lookup!$A$2,$BD117*ROUNDUP(BH117/10,0)+1,
IF($BC117=Lookup!$A$3,($BD117+1)^BG117,
IF($BC117=Lookup!$A$4,BH117*$BD117+1,"Error")))</f>
        <v>1</v>
      </c>
      <c r="BQ117" s="229">
        <f>IF($BC117=Lookup!$A$2,$BD117*ROUNDUP(BI117/10,0)+1,
IF($BC117=Lookup!$A$3,($BD117+1)^BH117,
IF($BC117=Lookup!$A$4,BI117*$BD117+1,"Error")))</f>
        <v>1</v>
      </c>
      <c r="BR117" s="229">
        <f>IF($BC117=Lookup!$A$2,$BD117*ROUNDUP(BJ117/10,0)+1,
IF($BC117=Lookup!$A$3,($BD117+1)^BI117,
IF($BC117=Lookup!$A$4,BJ117*$BD117+1,"Error")))</f>
        <v>1</v>
      </c>
      <c r="BS117" s="229">
        <f>IF($BC117=Lookup!$A$2,$BD117*ROUNDUP(BK117/10,0)+1,
IF($BC117=Lookup!$A$3,($BD117+1)^BJ117,
IF($BC117=Lookup!$A$4,BK117*$BD117+1,"Error")))</f>
        <v>1</v>
      </c>
      <c r="BT117" s="249">
        <f>IF($BC117=Lookup!$A$2,$BD117*ROUNDUP(BL117/10,0)+1,
IF($BC117=Lookup!$A$3,($BD117+1)^BK117,
IF($BC117=Lookup!$A$4,BL117*$BD117+1,"Error")))</f>
        <v>1</v>
      </c>
      <c r="BU117" s="320">
        <v>0</v>
      </c>
      <c r="BV117" s="321">
        <v>0</v>
      </c>
      <c r="BW117" s="321">
        <v>0</v>
      </c>
      <c r="BX117" s="321">
        <v>0</v>
      </c>
      <c r="BY117" s="321">
        <v>0</v>
      </c>
      <c r="BZ117" s="321">
        <v>0</v>
      </c>
      <c r="CA117" s="321">
        <v>0</v>
      </c>
      <c r="CB117" s="277">
        <v>0</v>
      </c>
      <c r="CC117" s="382" t="s">
        <v>293</v>
      </c>
      <c r="CD117" s="383">
        <f>HLOOKUP($CC117,$AK$6:$AM$132,ROWS(CD$6:CD117),0)</f>
        <v>1</v>
      </c>
      <c r="CE117" s="234">
        <f t="shared" si="81"/>
        <v>0</v>
      </c>
      <c r="CF117" s="96">
        <f t="shared" si="81"/>
        <v>0</v>
      </c>
      <c r="CG117" s="96">
        <f t="shared" si="81"/>
        <v>0</v>
      </c>
      <c r="CH117" s="96">
        <f t="shared" si="81"/>
        <v>0</v>
      </c>
      <c r="CI117" s="96">
        <f t="shared" si="81"/>
        <v>0</v>
      </c>
      <c r="CJ117" s="96">
        <f t="shared" si="81"/>
        <v>0</v>
      </c>
      <c r="CK117" s="96">
        <f t="shared" si="81"/>
        <v>0</v>
      </c>
      <c r="CL117" s="286">
        <f t="shared" si="101"/>
        <v>0</v>
      </c>
      <c r="CM117" s="305" t="s">
        <v>292</v>
      </c>
      <c r="CN117" s="315">
        <v>0.05</v>
      </c>
      <c r="CO117" s="306"/>
      <c r="CP117" s="307">
        <f>IF($CO117&lt;&gt;"",$CO117,HLOOKUP($CM117,$AY$6:$BA$132,ROWS(CP$6:CP117),0))</f>
        <v>8630.1166794717501</v>
      </c>
      <c r="CQ117" s="784">
        <f t="shared" si="100"/>
        <v>0</v>
      </c>
      <c r="CR117" s="784">
        <f t="shared" si="100"/>
        <v>0</v>
      </c>
      <c r="CS117" s="97">
        <f t="shared" si="100"/>
        <v>0</v>
      </c>
      <c r="CT117" s="97">
        <f t="shared" si="100"/>
        <v>0</v>
      </c>
      <c r="CU117" s="97">
        <f t="shared" si="100"/>
        <v>0</v>
      </c>
      <c r="CV117" s="97">
        <f t="shared" si="100"/>
        <v>0</v>
      </c>
      <c r="CW117" s="97">
        <f t="shared" si="100"/>
        <v>0</v>
      </c>
      <c r="CX117" s="98">
        <f t="shared" si="100"/>
        <v>0</v>
      </c>
    </row>
    <row r="118" spans="1:102" ht="15.75" thickBot="1" x14ac:dyDescent="0.3">
      <c r="A118" s="100" t="s">
        <v>224</v>
      </c>
      <c r="B118" s="101" t="s">
        <v>397</v>
      </c>
      <c r="C118" s="102" t="s">
        <v>398</v>
      </c>
      <c r="D118" s="103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655">
        <f>'2022-23 Input'!H118</f>
        <v>0</v>
      </c>
      <c r="N118" s="1066">
        <v>0</v>
      </c>
      <c r="O118" s="563">
        <f t="shared" si="79"/>
        <v>0</v>
      </c>
      <c r="P118" s="564">
        <f t="shared" si="53"/>
        <v>0</v>
      </c>
      <c r="Q118" s="564">
        <f t="shared" si="54"/>
        <v>0</v>
      </c>
      <c r="R118" s="564">
        <f t="shared" si="55"/>
        <v>0</v>
      </c>
      <c r="S118" s="564">
        <f t="shared" si="56"/>
        <v>0</v>
      </c>
      <c r="T118" s="564">
        <f t="shared" si="57"/>
        <v>0</v>
      </c>
      <c r="U118" s="564">
        <f t="shared" si="58"/>
        <v>0</v>
      </c>
      <c r="V118" s="564">
        <f t="shared" si="59"/>
        <v>0</v>
      </c>
      <c r="W118" s="676">
        <f t="shared" si="60"/>
        <v>0</v>
      </c>
      <c r="X118" s="676">
        <f t="shared" si="61"/>
        <v>0</v>
      </c>
      <c r="Y118" s="676">
        <f t="shared" si="61"/>
        <v>0</v>
      </c>
      <c r="Z118" s="105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0</v>
      </c>
      <c r="AF118" s="106">
        <v>0</v>
      </c>
      <c r="AG118" s="106">
        <v>0</v>
      </c>
      <c r="AH118" s="106">
        <v>0</v>
      </c>
      <c r="AI118" s="1095">
        <f>'2022-23 Input'!O118</f>
        <v>0</v>
      </c>
      <c r="AJ118" s="666">
        <v>0</v>
      </c>
      <c r="AK118" s="107">
        <f t="shared" si="84"/>
        <v>0</v>
      </c>
      <c r="AL118" s="108">
        <f t="shared" si="85"/>
        <v>0</v>
      </c>
      <c r="AM118" s="109">
        <f t="shared" si="86"/>
        <v>0</v>
      </c>
      <c r="AN118" s="110" t="str">
        <f t="shared" si="87"/>
        <v/>
      </c>
      <c r="AO118" s="111" t="str">
        <f t="shared" si="88"/>
        <v/>
      </c>
      <c r="AP118" s="111" t="str">
        <f t="shared" si="89"/>
        <v/>
      </c>
      <c r="AQ118" s="111" t="str">
        <f t="shared" si="90"/>
        <v/>
      </c>
      <c r="AR118" s="111" t="str">
        <f t="shared" si="91"/>
        <v/>
      </c>
      <c r="AS118" s="111" t="str">
        <f t="shared" si="92"/>
        <v/>
      </c>
      <c r="AT118" s="111" t="str">
        <f t="shared" si="93"/>
        <v/>
      </c>
      <c r="AU118" s="111" t="str">
        <f t="shared" si="94"/>
        <v/>
      </c>
      <c r="AV118" s="111" t="str">
        <f t="shared" si="95"/>
        <v/>
      </c>
      <c r="AW118" s="111" t="str">
        <f t="shared" si="95"/>
        <v/>
      </c>
      <c r="AX118" s="111" t="str">
        <f t="shared" si="95"/>
        <v/>
      </c>
      <c r="AY118" s="112" t="str">
        <f t="shared" si="96"/>
        <v/>
      </c>
      <c r="AZ118" s="113" t="str">
        <f t="shared" si="97"/>
        <v/>
      </c>
      <c r="BA118" s="114" t="str">
        <f t="shared" si="98"/>
        <v/>
      </c>
      <c r="BB118" s="250" t="s">
        <v>422</v>
      </c>
      <c r="BC118" s="230" t="s">
        <v>433</v>
      </c>
      <c r="BD118" s="251">
        <v>0</v>
      </c>
      <c r="BE118" s="270">
        <f t="shared" si="80"/>
        <v>0</v>
      </c>
      <c r="BF118" s="271">
        <f t="shared" si="99"/>
        <v>0</v>
      </c>
      <c r="BG118" s="271">
        <f t="shared" si="99"/>
        <v>0</v>
      </c>
      <c r="BH118" s="271">
        <f t="shared" si="99"/>
        <v>1</v>
      </c>
      <c r="BI118" s="271">
        <f t="shared" si="99"/>
        <v>2</v>
      </c>
      <c r="BJ118" s="271">
        <f t="shared" si="99"/>
        <v>3</v>
      </c>
      <c r="BK118" s="271">
        <f t="shared" si="99"/>
        <v>4</v>
      </c>
      <c r="BL118" s="272">
        <f t="shared" si="99"/>
        <v>5</v>
      </c>
      <c r="BM118" s="257">
        <f>IF($BC118=Lookup!$A$2,$BD118*ROUNDUP(BE118/10,0)+1,
IF($BC118=Lookup!$A$3,($BD118+1)^BD118,
IF($BC118=Lookup!$A$4,BE118*$BD118+1,"Error")))</f>
        <v>1</v>
      </c>
      <c r="BN118" s="230">
        <f>IF($BC118=Lookup!$A$2,$BD118*ROUNDUP(BF118/10,0)+1,
IF($BC118=Lookup!$A$3,($BD118+1)^BE118,
IF($BC118=Lookup!$A$4,BF118*$BD118+1,"Error")))</f>
        <v>1</v>
      </c>
      <c r="BO118" s="230">
        <f>IF($BC118=Lookup!$A$2,$BD118*ROUNDUP(BG118/10,0)+1,
IF($BC118=Lookup!$A$3,($BD118+1)^BF118,
IF($BC118=Lookup!$A$4,BG118*$BD118+1,"Error")))</f>
        <v>1</v>
      </c>
      <c r="BP118" s="230">
        <f>IF($BC118=Lookup!$A$2,$BD118*ROUNDUP(BH118/10,0)+1,
IF($BC118=Lookup!$A$3,($BD118+1)^BG118,
IF($BC118=Lookup!$A$4,BH118*$BD118+1,"Error")))</f>
        <v>1</v>
      </c>
      <c r="BQ118" s="230">
        <f>IF($BC118=Lookup!$A$2,$BD118*ROUNDUP(BI118/10,0)+1,
IF($BC118=Lookup!$A$3,($BD118+1)^BH118,
IF($BC118=Lookup!$A$4,BI118*$BD118+1,"Error")))</f>
        <v>1</v>
      </c>
      <c r="BR118" s="230">
        <f>IF($BC118=Lookup!$A$2,$BD118*ROUNDUP(BJ118/10,0)+1,
IF($BC118=Lookup!$A$3,($BD118+1)^BI118,
IF($BC118=Lookup!$A$4,BJ118*$BD118+1,"Error")))</f>
        <v>1</v>
      </c>
      <c r="BS118" s="230">
        <f>IF($BC118=Lookup!$A$2,$BD118*ROUNDUP(BK118/10,0)+1,
IF($BC118=Lookup!$A$3,($BD118+1)^BJ118,
IF($BC118=Lookup!$A$4,BK118*$BD118+1,"Error")))</f>
        <v>1</v>
      </c>
      <c r="BT118" s="251">
        <f>IF($BC118=Lookup!$A$2,$BD118*ROUNDUP(BL118/10,0)+1,
IF($BC118=Lookup!$A$3,($BD118+1)^BK118,
IF($BC118=Lookup!$A$4,BL118*$BD118+1,"Error")))</f>
        <v>1</v>
      </c>
      <c r="BU118" s="322">
        <v>0</v>
      </c>
      <c r="BV118" s="323">
        <v>0</v>
      </c>
      <c r="BW118" s="323">
        <v>0</v>
      </c>
      <c r="BX118" s="323">
        <v>0</v>
      </c>
      <c r="BY118" s="323">
        <v>0</v>
      </c>
      <c r="BZ118" s="323">
        <v>0</v>
      </c>
      <c r="CA118" s="323">
        <v>0</v>
      </c>
      <c r="CB118" s="278">
        <v>0</v>
      </c>
      <c r="CC118" s="384" t="s">
        <v>293</v>
      </c>
      <c r="CD118" s="385">
        <f>HLOOKUP($CC118,$AK$6:$AM$132,ROWS(CD$6:CD118),0)</f>
        <v>0</v>
      </c>
      <c r="CE118" s="235">
        <f t="shared" si="81"/>
        <v>0</v>
      </c>
      <c r="CF118" s="115">
        <f t="shared" si="81"/>
        <v>0</v>
      </c>
      <c r="CG118" s="115">
        <f t="shared" si="81"/>
        <v>0</v>
      </c>
      <c r="CH118" s="115">
        <f t="shared" si="81"/>
        <v>0</v>
      </c>
      <c r="CI118" s="115">
        <f t="shared" si="81"/>
        <v>0</v>
      </c>
      <c r="CJ118" s="115">
        <f t="shared" si="81"/>
        <v>0</v>
      </c>
      <c r="CK118" s="115">
        <f t="shared" si="81"/>
        <v>0</v>
      </c>
      <c r="CL118" s="287">
        <f t="shared" si="101"/>
        <v>0</v>
      </c>
      <c r="CM118" s="308" t="s">
        <v>292</v>
      </c>
      <c r="CN118" s="316">
        <v>0.05</v>
      </c>
      <c r="CO118" s="309"/>
      <c r="CP118" s="310" t="str">
        <f>IF($CO118&lt;&gt;"",$CO118,HLOOKUP($CM118,$AY$6:$BA$132,ROWS(CP$6:CP118),0))</f>
        <v/>
      </c>
      <c r="CQ118" s="785" t="str">
        <f t="shared" si="100"/>
        <v/>
      </c>
      <c r="CR118" s="785" t="str">
        <f t="shared" si="100"/>
        <v/>
      </c>
      <c r="CS118" s="117" t="str">
        <f t="shared" si="100"/>
        <v/>
      </c>
      <c r="CT118" s="117" t="str">
        <f t="shared" si="100"/>
        <v/>
      </c>
      <c r="CU118" s="117" t="str">
        <f t="shared" si="100"/>
        <v/>
      </c>
      <c r="CV118" s="117" t="str">
        <f t="shared" si="100"/>
        <v/>
      </c>
      <c r="CW118" s="117" t="str">
        <f t="shared" si="100"/>
        <v/>
      </c>
      <c r="CX118" s="118" t="str">
        <f t="shared" si="100"/>
        <v/>
      </c>
    </row>
    <row r="119" spans="1:102" x14ac:dyDescent="0.25">
      <c r="A119" s="63" t="s">
        <v>242</v>
      </c>
      <c r="B119" s="64" t="s">
        <v>239</v>
      </c>
      <c r="C119" s="65" t="s">
        <v>241</v>
      </c>
      <c r="D119" s="66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53">
        <f>'2022-23 Input'!H119</f>
        <v>0</v>
      </c>
      <c r="N119" s="1064">
        <v>0</v>
      </c>
      <c r="O119" s="557">
        <f t="shared" si="79"/>
        <v>0</v>
      </c>
      <c r="P119" s="558">
        <f t="shared" si="53"/>
        <v>0</v>
      </c>
      <c r="Q119" s="558">
        <f t="shared" si="54"/>
        <v>0</v>
      </c>
      <c r="R119" s="558">
        <f t="shared" si="55"/>
        <v>0</v>
      </c>
      <c r="S119" s="558">
        <f t="shared" si="56"/>
        <v>0</v>
      </c>
      <c r="T119" s="558">
        <f t="shared" si="57"/>
        <v>0</v>
      </c>
      <c r="U119" s="558">
        <f t="shared" si="58"/>
        <v>0</v>
      </c>
      <c r="V119" s="558">
        <f t="shared" si="59"/>
        <v>0</v>
      </c>
      <c r="W119" s="674">
        <f t="shared" si="60"/>
        <v>0</v>
      </c>
      <c r="X119" s="674">
        <f t="shared" si="61"/>
        <v>0</v>
      </c>
      <c r="Y119" s="674">
        <f t="shared" si="61"/>
        <v>0</v>
      </c>
      <c r="Z119" s="68">
        <v>0</v>
      </c>
      <c r="AA119" s="69">
        <v>0</v>
      </c>
      <c r="AB119" s="69">
        <v>0</v>
      </c>
      <c r="AC119" s="69">
        <v>0</v>
      </c>
      <c r="AD119" s="69">
        <v>0</v>
      </c>
      <c r="AE119" s="69">
        <v>0</v>
      </c>
      <c r="AF119" s="69">
        <v>0</v>
      </c>
      <c r="AG119" s="69">
        <v>0</v>
      </c>
      <c r="AH119" s="69">
        <v>0</v>
      </c>
      <c r="AI119" s="1093">
        <f>'2022-23 Input'!O119</f>
        <v>0</v>
      </c>
      <c r="AJ119" s="664">
        <v>0</v>
      </c>
      <c r="AK119" s="70">
        <f t="shared" si="84"/>
        <v>0</v>
      </c>
      <c r="AL119" s="71">
        <f t="shared" si="85"/>
        <v>0</v>
      </c>
      <c r="AM119" s="72">
        <f t="shared" si="86"/>
        <v>0</v>
      </c>
      <c r="AN119" s="73" t="str">
        <f t="shared" si="87"/>
        <v/>
      </c>
      <c r="AO119" s="74" t="str">
        <f t="shared" si="88"/>
        <v/>
      </c>
      <c r="AP119" s="74" t="str">
        <f t="shared" si="89"/>
        <v/>
      </c>
      <c r="AQ119" s="74" t="str">
        <f t="shared" si="90"/>
        <v/>
      </c>
      <c r="AR119" s="74" t="str">
        <f t="shared" si="91"/>
        <v/>
      </c>
      <c r="AS119" s="74" t="str">
        <f t="shared" si="92"/>
        <v/>
      </c>
      <c r="AT119" s="74" t="str">
        <f t="shared" si="93"/>
        <v/>
      </c>
      <c r="AU119" s="74" t="str">
        <f t="shared" si="94"/>
        <v/>
      </c>
      <c r="AV119" s="74" t="str">
        <f t="shared" ref="AV119:AX132" si="102">IFERROR(L119/AH119,"")</f>
        <v/>
      </c>
      <c r="AW119" s="74" t="str">
        <f t="shared" si="102"/>
        <v/>
      </c>
      <c r="AX119" s="74" t="str">
        <f t="shared" si="102"/>
        <v/>
      </c>
      <c r="AY119" s="75" t="str">
        <f t="shared" si="96"/>
        <v/>
      </c>
      <c r="AZ119" s="76" t="str">
        <f t="shared" si="97"/>
        <v/>
      </c>
      <c r="BA119" s="77" t="str">
        <f t="shared" si="98"/>
        <v/>
      </c>
      <c r="BB119" s="252" t="s">
        <v>422</v>
      </c>
      <c r="BC119" s="231" t="s">
        <v>433</v>
      </c>
      <c r="BD119" s="253">
        <v>0</v>
      </c>
      <c r="BE119" s="273">
        <f t="shared" si="80"/>
        <v>0</v>
      </c>
      <c r="BF119" s="274">
        <f t="shared" ref="BF119:BL132" si="103">IF(BF$6=$BB119,1,
IF(BE119&lt;&gt;0,BE119+1,0
))</f>
        <v>0</v>
      </c>
      <c r="BG119" s="274">
        <f t="shared" si="103"/>
        <v>0</v>
      </c>
      <c r="BH119" s="274">
        <f t="shared" si="103"/>
        <v>1</v>
      </c>
      <c r="BI119" s="274">
        <f t="shared" si="103"/>
        <v>2</v>
      </c>
      <c r="BJ119" s="274">
        <f t="shared" si="103"/>
        <v>3</v>
      </c>
      <c r="BK119" s="274">
        <f t="shared" si="103"/>
        <v>4</v>
      </c>
      <c r="BL119" s="275">
        <f t="shared" si="103"/>
        <v>5</v>
      </c>
      <c r="BM119" s="258">
        <f>IF($BC119=Lookup!$A$2,$BD119*ROUNDUP(BE119/10,0)+1,
IF($BC119=Lookup!$A$3,($BD119+1)^BD119,
IF($BC119=Lookup!$A$4,BE119*$BD119+1,"Error")))</f>
        <v>1</v>
      </c>
      <c r="BN119" s="231">
        <f>IF($BC119=Lookup!$A$2,$BD119*ROUNDUP(BF119/10,0)+1,
IF($BC119=Lookup!$A$3,($BD119+1)^BE119,
IF($BC119=Lookup!$A$4,BF119*$BD119+1,"Error")))</f>
        <v>1</v>
      </c>
      <c r="BO119" s="231">
        <f>IF($BC119=Lookup!$A$2,$BD119*ROUNDUP(BG119/10,0)+1,
IF($BC119=Lookup!$A$3,($BD119+1)^BF119,
IF($BC119=Lookup!$A$4,BG119*$BD119+1,"Error")))</f>
        <v>1</v>
      </c>
      <c r="BP119" s="231">
        <f>IF($BC119=Lookup!$A$2,$BD119*ROUNDUP(BH119/10,0)+1,
IF($BC119=Lookup!$A$3,($BD119+1)^BG119,
IF($BC119=Lookup!$A$4,BH119*$BD119+1,"Error")))</f>
        <v>1</v>
      </c>
      <c r="BQ119" s="231">
        <f>IF($BC119=Lookup!$A$2,$BD119*ROUNDUP(BI119/10,0)+1,
IF($BC119=Lookup!$A$3,($BD119+1)^BH119,
IF($BC119=Lookup!$A$4,BI119*$BD119+1,"Error")))</f>
        <v>1</v>
      </c>
      <c r="BR119" s="231">
        <f>IF($BC119=Lookup!$A$2,$BD119*ROUNDUP(BJ119/10,0)+1,
IF($BC119=Lookup!$A$3,($BD119+1)^BI119,
IF($BC119=Lookup!$A$4,BJ119*$BD119+1,"Error")))</f>
        <v>1</v>
      </c>
      <c r="BS119" s="231">
        <f>IF($BC119=Lookup!$A$2,$BD119*ROUNDUP(BK119/10,0)+1,
IF($BC119=Lookup!$A$3,($BD119+1)^BJ119,
IF($BC119=Lookup!$A$4,BK119*$BD119+1,"Error")))</f>
        <v>1</v>
      </c>
      <c r="BT119" s="253">
        <f>IF($BC119=Lookup!$A$2,$BD119*ROUNDUP(BL119/10,0)+1,
IF($BC119=Lookup!$A$3,($BD119+1)^BK119,
IF($BC119=Lookup!$A$4,BL119*$BD119+1,"Error")))</f>
        <v>1</v>
      </c>
      <c r="BU119" s="324">
        <v>0</v>
      </c>
      <c r="BV119" s="325">
        <v>0</v>
      </c>
      <c r="BW119" s="325">
        <v>0</v>
      </c>
      <c r="BX119" s="325">
        <v>0</v>
      </c>
      <c r="BY119" s="325">
        <v>0</v>
      </c>
      <c r="BZ119" s="325">
        <v>0</v>
      </c>
      <c r="CA119" s="325">
        <v>0</v>
      </c>
      <c r="CB119" s="279">
        <v>0</v>
      </c>
      <c r="CC119" s="386" t="s">
        <v>293</v>
      </c>
      <c r="CD119" s="387">
        <f>HLOOKUP($CC119,$AK$6:$AM$132,ROWS(CD$6:CD119),0)</f>
        <v>0</v>
      </c>
      <c r="CE119" s="241">
        <f t="shared" si="81"/>
        <v>0</v>
      </c>
      <c r="CF119" s="144">
        <f t="shared" si="81"/>
        <v>0</v>
      </c>
      <c r="CG119" s="144">
        <f t="shared" si="81"/>
        <v>0</v>
      </c>
      <c r="CH119" s="144">
        <f t="shared" si="81"/>
        <v>0</v>
      </c>
      <c r="CI119" s="144">
        <f t="shared" si="81"/>
        <v>0</v>
      </c>
      <c r="CJ119" s="144">
        <f t="shared" si="81"/>
        <v>0</v>
      </c>
      <c r="CK119" s="144">
        <f t="shared" si="81"/>
        <v>0</v>
      </c>
      <c r="CL119" s="293">
        <f t="shared" si="101"/>
        <v>0</v>
      </c>
      <c r="CM119" s="302" t="s">
        <v>292</v>
      </c>
      <c r="CN119" s="314">
        <v>0.05</v>
      </c>
      <c r="CO119" s="303"/>
      <c r="CP119" s="304" t="str">
        <f>IF($CO119&lt;&gt;"",$CO119,HLOOKUP($CM119,$AY$6:$BA$132,ROWS(CP$6:CP119),0))</f>
        <v/>
      </c>
      <c r="CQ119" s="783" t="str">
        <f t="shared" si="100"/>
        <v/>
      </c>
      <c r="CR119" s="783" t="str">
        <f t="shared" si="100"/>
        <v/>
      </c>
      <c r="CS119" s="79" t="str">
        <f t="shared" si="100"/>
        <v/>
      </c>
      <c r="CT119" s="79" t="str">
        <f t="shared" si="100"/>
        <v/>
      </c>
      <c r="CU119" s="79" t="str">
        <f t="shared" si="100"/>
        <v/>
      </c>
      <c r="CV119" s="79" t="str">
        <f t="shared" si="100"/>
        <v/>
      </c>
      <c r="CW119" s="79" t="str">
        <f t="shared" si="100"/>
        <v/>
      </c>
      <c r="CX119" s="80" t="str">
        <f t="shared" si="100"/>
        <v/>
      </c>
    </row>
    <row r="120" spans="1:102" x14ac:dyDescent="0.25">
      <c r="A120" s="81" t="s">
        <v>242</v>
      </c>
      <c r="B120" s="82" t="s">
        <v>243</v>
      </c>
      <c r="C120" s="83" t="s">
        <v>244</v>
      </c>
      <c r="D120" s="84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85">
        <v>0</v>
      </c>
      <c r="K120" s="85">
        <v>0</v>
      </c>
      <c r="L120" s="85">
        <v>0</v>
      </c>
      <c r="M120" s="654">
        <f>'2022-23 Input'!H120</f>
        <v>0</v>
      </c>
      <c r="N120" s="1065">
        <v>0</v>
      </c>
      <c r="O120" s="560">
        <f t="shared" si="79"/>
        <v>0</v>
      </c>
      <c r="P120" s="561">
        <f t="shared" si="53"/>
        <v>0</v>
      </c>
      <c r="Q120" s="561">
        <f t="shared" si="54"/>
        <v>0</v>
      </c>
      <c r="R120" s="561">
        <f t="shared" si="55"/>
        <v>0</v>
      </c>
      <c r="S120" s="561">
        <f t="shared" si="56"/>
        <v>0</v>
      </c>
      <c r="T120" s="561">
        <f t="shared" si="57"/>
        <v>0</v>
      </c>
      <c r="U120" s="561">
        <f t="shared" si="58"/>
        <v>0</v>
      </c>
      <c r="V120" s="561">
        <f t="shared" si="59"/>
        <v>0</v>
      </c>
      <c r="W120" s="675">
        <f t="shared" si="60"/>
        <v>0</v>
      </c>
      <c r="X120" s="675">
        <f t="shared" si="61"/>
        <v>0</v>
      </c>
      <c r="Y120" s="675">
        <f t="shared" si="61"/>
        <v>0</v>
      </c>
      <c r="Z120" s="86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87">
        <v>0</v>
      </c>
      <c r="AI120" s="1094">
        <f>'2022-23 Input'!O120</f>
        <v>0</v>
      </c>
      <c r="AJ120" s="665">
        <v>0</v>
      </c>
      <c r="AK120" s="88">
        <f t="shared" si="84"/>
        <v>0</v>
      </c>
      <c r="AL120" s="89">
        <f t="shared" si="85"/>
        <v>0</v>
      </c>
      <c r="AM120" s="90">
        <f t="shared" si="86"/>
        <v>0</v>
      </c>
      <c r="AN120" s="91" t="str">
        <f t="shared" si="87"/>
        <v/>
      </c>
      <c r="AO120" s="92" t="str">
        <f t="shared" si="88"/>
        <v/>
      </c>
      <c r="AP120" s="92" t="str">
        <f t="shared" si="89"/>
        <v/>
      </c>
      <c r="AQ120" s="92" t="str">
        <f t="shared" si="90"/>
        <v/>
      </c>
      <c r="AR120" s="92" t="str">
        <f t="shared" si="91"/>
        <v/>
      </c>
      <c r="AS120" s="92" t="str">
        <f t="shared" si="92"/>
        <v/>
      </c>
      <c r="AT120" s="92" t="str">
        <f t="shared" si="93"/>
        <v/>
      </c>
      <c r="AU120" s="92" t="str">
        <f t="shared" si="94"/>
        <v/>
      </c>
      <c r="AV120" s="92" t="str">
        <f t="shared" si="102"/>
        <v/>
      </c>
      <c r="AW120" s="92" t="str">
        <f t="shared" si="102"/>
        <v/>
      </c>
      <c r="AX120" s="92" t="str">
        <f t="shared" si="102"/>
        <v/>
      </c>
      <c r="AY120" s="93" t="str">
        <f t="shared" si="96"/>
        <v/>
      </c>
      <c r="AZ120" s="94" t="str">
        <f t="shared" si="97"/>
        <v/>
      </c>
      <c r="BA120" s="95" t="str">
        <f t="shared" si="98"/>
        <v/>
      </c>
      <c r="BB120" s="248" t="s">
        <v>422</v>
      </c>
      <c r="BC120" s="229" t="s">
        <v>433</v>
      </c>
      <c r="BD120" s="249">
        <v>0</v>
      </c>
      <c r="BE120" s="267">
        <f t="shared" si="80"/>
        <v>0</v>
      </c>
      <c r="BF120" s="268">
        <f t="shared" si="103"/>
        <v>0</v>
      </c>
      <c r="BG120" s="268">
        <f t="shared" si="103"/>
        <v>0</v>
      </c>
      <c r="BH120" s="268">
        <f t="shared" si="103"/>
        <v>1</v>
      </c>
      <c r="BI120" s="268">
        <f t="shared" si="103"/>
        <v>2</v>
      </c>
      <c r="BJ120" s="268">
        <f t="shared" si="103"/>
        <v>3</v>
      </c>
      <c r="BK120" s="268">
        <f t="shared" si="103"/>
        <v>4</v>
      </c>
      <c r="BL120" s="269">
        <f t="shared" si="103"/>
        <v>5</v>
      </c>
      <c r="BM120" s="256">
        <f>IF($BC120=Lookup!$A$2,$BD120*ROUNDUP(BE120/10,0)+1,
IF($BC120=Lookup!$A$3,($BD120+1)^BD120,
IF($BC120=Lookup!$A$4,BE120*$BD120+1,"Error")))</f>
        <v>1</v>
      </c>
      <c r="BN120" s="229">
        <f>IF($BC120=Lookup!$A$2,$BD120*ROUNDUP(BF120/10,0)+1,
IF($BC120=Lookup!$A$3,($BD120+1)^BE120,
IF($BC120=Lookup!$A$4,BF120*$BD120+1,"Error")))</f>
        <v>1</v>
      </c>
      <c r="BO120" s="229">
        <f>IF($BC120=Lookup!$A$2,$BD120*ROUNDUP(BG120/10,0)+1,
IF($BC120=Lookup!$A$3,($BD120+1)^BF120,
IF($BC120=Lookup!$A$4,BG120*$BD120+1,"Error")))</f>
        <v>1</v>
      </c>
      <c r="BP120" s="229">
        <f>IF($BC120=Lookup!$A$2,$BD120*ROUNDUP(BH120/10,0)+1,
IF($BC120=Lookup!$A$3,($BD120+1)^BG120,
IF($BC120=Lookup!$A$4,BH120*$BD120+1,"Error")))</f>
        <v>1</v>
      </c>
      <c r="BQ120" s="229">
        <f>IF($BC120=Lookup!$A$2,$BD120*ROUNDUP(BI120/10,0)+1,
IF($BC120=Lookup!$A$3,($BD120+1)^BH120,
IF($BC120=Lookup!$A$4,BI120*$BD120+1,"Error")))</f>
        <v>1</v>
      </c>
      <c r="BR120" s="229">
        <f>IF($BC120=Lookup!$A$2,$BD120*ROUNDUP(BJ120/10,0)+1,
IF($BC120=Lookup!$A$3,($BD120+1)^BI120,
IF($BC120=Lookup!$A$4,BJ120*$BD120+1,"Error")))</f>
        <v>1</v>
      </c>
      <c r="BS120" s="229">
        <f>IF($BC120=Lookup!$A$2,$BD120*ROUNDUP(BK120/10,0)+1,
IF($BC120=Lookup!$A$3,($BD120+1)^BJ120,
IF($BC120=Lookup!$A$4,BK120*$BD120+1,"Error")))</f>
        <v>1</v>
      </c>
      <c r="BT120" s="249">
        <f>IF($BC120=Lookup!$A$2,$BD120*ROUNDUP(BL120/10,0)+1,
IF($BC120=Lookup!$A$3,($BD120+1)^BK120,
IF($BC120=Lookup!$A$4,BL120*$BD120+1,"Error")))</f>
        <v>1</v>
      </c>
      <c r="BU120" s="320">
        <v>0</v>
      </c>
      <c r="BV120" s="321">
        <v>0</v>
      </c>
      <c r="BW120" s="321">
        <v>0</v>
      </c>
      <c r="BX120" s="321">
        <v>0</v>
      </c>
      <c r="BY120" s="321">
        <v>0</v>
      </c>
      <c r="BZ120" s="321">
        <v>0</v>
      </c>
      <c r="CA120" s="321">
        <v>0</v>
      </c>
      <c r="CB120" s="277">
        <v>0</v>
      </c>
      <c r="CC120" s="382" t="s">
        <v>293</v>
      </c>
      <c r="CD120" s="383">
        <f>HLOOKUP($CC120,$AK$6:$AM$132,ROWS(CD$6:CD120),0)</f>
        <v>0</v>
      </c>
      <c r="CE120" s="234">
        <f t="shared" si="81"/>
        <v>0</v>
      </c>
      <c r="CF120" s="96">
        <f t="shared" si="81"/>
        <v>0</v>
      </c>
      <c r="CG120" s="96">
        <f t="shared" si="81"/>
        <v>0</v>
      </c>
      <c r="CH120" s="96">
        <f t="shared" si="81"/>
        <v>0</v>
      </c>
      <c r="CI120" s="96">
        <f t="shared" si="81"/>
        <v>0</v>
      </c>
      <c r="CJ120" s="96">
        <f t="shared" si="81"/>
        <v>0</v>
      </c>
      <c r="CK120" s="96">
        <f t="shared" si="81"/>
        <v>0</v>
      </c>
      <c r="CL120" s="286">
        <f t="shared" si="101"/>
        <v>0</v>
      </c>
      <c r="CM120" s="305" t="s">
        <v>292</v>
      </c>
      <c r="CN120" s="315">
        <v>0.05</v>
      </c>
      <c r="CO120" s="306"/>
      <c r="CP120" s="307" t="str">
        <f>IF($CO120&lt;&gt;"",$CO120,HLOOKUP($CM120,$AY$6:$BA$132,ROWS(CP$6:CP120),0))</f>
        <v/>
      </c>
      <c r="CQ120" s="784" t="str">
        <f t="shared" si="100"/>
        <v/>
      </c>
      <c r="CR120" s="784" t="str">
        <f t="shared" si="100"/>
        <v/>
      </c>
      <c r="CS120" s="97" t="str">
        <f t="shared" si="100"/>
        <v/>
      </c>
      <c r="CT120" s="97" t="str">
        <f t="shared" si="100"/>
        <v/>
      </c>
      <c r="CU120" s="97" t="str">
        <f t="shared" si="100"/>
        <v/>
      </c>
      <c r="CV120" s="97" t="str">
        <f t="shared" si="100"/>
        <v/>
      </c>
      <c r="CW120" s="97" t="str">
        <f t="shared" si="100"/>
        <v/>
      </c>
      <c r="CX120" s="98" t="str">
        <f t="shared" si="100"/>
        <v/>
      </c>
    </row>
    <row r="121" spans="1:102" x14ac:dyDescent="0.25">
      <c r="A121" s="81" t="s">
        <v>242</v>
      </c>
      <c r="B121" s="82" t="s">
        <v>245</v>
      </c>
      <c r="C121" s="83" t="s">
        <v>246</v>
      </c>
      <c r="D121" s="84">
        <v>0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  <c r="K121" s="85">
        <v>0</v>
      </c>
      <c r="L121" s="85">
        <v>0</v>
      </c>
      <c r="M121" s="654">
        <f>'2022-23 Input'!H121</f>
        <v>0</v>
      </c>
      <c r="N121" s="1065">
        <v>0</v>
      </c>
      <c r="O121" s="560">
        <f t="shared" si="79"/>
        <v>0</v>
      </c>
      <c r="P121" s="561">
        <f t="shared" si="53"/>
        <v>0</v>
      </c>
      <c r="Q121" s="561">
        <f t="shared" si="54"/>
        <v>0</v>
      </c>
      <c r="R121" s="561">
        <f t="shared" si="55"/>
        <v>0</v>
      </c>
      <c r="S121" s="561">
        <f t="shared" si="56"/>
        <v>0</v>
      </c>
      <c r="T121" s="561">
        <f t="shared" si="57"/>
        <v>0</v>
      </c>
      <c r="U121" s="561">
        <f t="shared" si="58"/>
        <v>0</v>
      </c>
      <c r="V121" s="561">
        <f t="shared" si="59"/>
        <v>0</v>
      </c>
      <c r="W121" s="675">
        <f t="shared" si="60"/>
        <v>0</v>
      </c>
      <c r="X121" s="675">
        <f t="shared" si="61"/>
        <v>0</v>
      </c>
      <c r="Y121" s="675">
        <f t="shared" si="61"/>
        <v>0</v>
      </c>
      <c r="Z121" s="86">
        <v>0</v>
      </c>
      <c r="AA121" s="87">
        <v>0</v>
      </c>
      <c r="AB121" s="87">
        <v>0</v>
      </c>
      <c r="AC121" s="87">
        <v>0</v>
      </c>
      <c r="AD121" s="87">
        <v>0</v>
      </c>
      <c r="AE121" s="87">
        <v>0</v>
      </c>
      <c r="AF121" s="87">
        <v>0</v>
      </c>
      <c r="AG121" s="87">
        <v>0</v>
      </c>
      <c r="AH121" s="87">
        <v>0</v>
      </c>
      <c r="AI121" s="1094">
        <f>'2022-23 Input'!O121</f>
        <v>0</v>
      </c>
      <c r="AJ121" s="665">
        <v>0</v>
      </c>
      <c r="AK121" s="88">
        <f t="shared" si="84"/>
        <v>0</v>
      </c>
      <c r="AL121" s="89">
        <f t="shared" si="85"/>
        <v>0</v>
      </c>
      <c r="AM121" s="90">
        <f t="shared" si="86"/>
        <v>0</v>
      </c>
      <c r="AN121" s="91" t="str">
        <f t="shared" si="87"/>
        <v/>
      </c>
      <c r="AO121" s="92" t="str">
        <f t="shared" si="88"/>
        <v/>
      </c>
      <c r="AP121" s="92" t="str">
        <f t="shared" si="89"/>
        <v/>
      </c>
      <c r="AQ121" s="92" t="str">
        <f t="shared" si="90"/>
        <v/>
      </c>
      <c r="AR121" s="92" t="str">
        <f t="shared" si="91"/>
        <v/>
      </c>
      <c r="AS121" s="92" t="str">
        <f t="shared" si="92"/>
        <v/>
      </c>
      <c r="AT121" s="92" t="str">
        <f t="shared" si="93"/>
        <v/>
      </c>
      <c r="AU121" s="92" t="str">
        <f t="shared" si="94"/>
        <v/>
      </c>
      <c r="AV121" s="92" t="str">
        <f t="shared" si="102"/>
        <v/>
      </c>
      <c r="AW121" s="92" t="str">
        <f t="shared" si="102"/>
        <v/>
      </c>
      <c r="AX121" s="92" t="str">
        <f t="shared" si="102"/>
        <v/>
      </c>
      <c r="AY121" s="93" t="str">
        <f t="shared" si="96"/>
        <v/>
      </c>
      <c r="AZ121" s="94" t="str">
        <f t="shared" si="97"/>
        <v/>
      </c>
      <c r="BA121" s="95" t="str">
        <f t="shared" si="98"/>
        <v/>
      </c>
      <c r="BB121" s="248" t="s">
        <v>422</v>
      </c>
      <c r="BC121" s="229" t="s">
        <v>433</v>
      </c>
      <c r="BD121" s="249">
        <v>0</v>
      </c>
      <c r="BE121" s="267">
        <f t="shared" si="80"/>
        <v>0</v>
      </c>
      <c r="BF121" s="268">
        <f t="shared" si="103"/>
        <v>0</v>
      </c>
      <c r="BG121" s="268">
        <f t="shared" si="103"/>
        <v>0</v>
      </c>
      <c r="BH121" s="268">
        <f t="shared" si="103"/>
        <v>1</v>
      </c>
      <c r="BI121" s="268">
        <f t="shared" si="103"/>
        <v>2</v>
      </c>
      <c r="BJ121" s="268">
        <f t="shared" si="103"/>
        <v>3</v>
      </c>
      <c r="BK121" s="268">
        <f t="shared" si="103"/>
        <v>4</v>
      </c>
      <c r="BL121" s="269">
        <f t="shared" si="103"/>
        <v>5</v>
      </c>
      <c r="BM121" s="256">
        <f>IF($BC121=Lookup!$A$2,$BD121*ROUNDUP(BE121/10,0)+1,
IF($BC121=Lookup!$A$3,($BD121+1)^BD121,
IF($BC121=Lookup!$A$4,BE121*$BD121+1,"Error")))</f>
        <v>1</v>
      </c>
      <c r="BN121" s="229">
        <f>IF($BC121=Lookup!$A$2,$BD121*ROUNDUP(BF121/10,0)+1,
IF($BC121=Lookup!$A$3,($BD121+1)^BE121,
IF($BC121=Lookup!$A$4,BF121*$BD121+1,"Error")))</f>
        <v>1</v>
      </c>
      <c r="BO121" s="229">
        <f>IF($BC121=Lookup!$A$2,$BD121*ROUNDUP(BG121/10,0)+1,
IF($BC121=Lookup!$A$3,($BD121+1)^BF121,
IF($BC121=Lookup!$A$4,BG121*$BD121+1,"Error")))</f>
        <v>1</v>
      </c>
      <c r="BP121" s="229">
        <f>IF($BC121=Lookup!$A$2,$BD121*ROUNDUP(BH121/10,0)+1,
IF($BC121=Lookup!$A$3,($BD121+1)^BG121,
IF($BC121=Lookup!$A$4,BH121*$BD121+1,"Error")))</f>
        <v>1</v>
      </c>
      <c r="BQ121" s="229">
        <f>IF($BC121=Lookup!$A$2,$BD121*ROUNDUP(BI121/10,0)+1,
IF($BC121=Lookup!$A$3,($BD121+1)^BH121,
IF($BC121=Lookup!$A$4,BI121*$BD121+1,"Error")))</f>
        <v>1</v>
      </c>
      <c r="BR121" s="229">
        <f>IF($BC121=Lookup!$A$2,$BD121*ROUNDUP(BJ121/10,0)+1,
IF($BC121=Lookup!$A$3,($BD121+1)^BI121,
IF($BC121=Lookup!$A$4,BJ121*$BD121+1,"Error")))</f>
        <v>1</v>
      </c>
      <c r="BS121" s="229">
        <f>IF($BC121=Lookup!$A$2,$BD121*ROUNDUP(BK121/10,0)+1,
IF($BC121=Lookup!$A$3,($BD121+1)^BJ121,
IF($BC121=Lookup!$A$4,BK121*$BD121+1,"Error")))</f>
        <v>1</v>
      </c>
      <c r="BT121" s="249">
        <f>IF($BC121=Lookup!$A$2,$BD121*ROUNDUP(BL121/10,0)+1,
IF($BC121=Lookup!$A$3,($BD121+1)^BK121,
IF($BC121=Lookup!$A$4,BL121*$BD121+1,"Error")))</f>
        <v>1</v>
      </c>
      <c r="BU121" s="320">
        <v>0</v>
      </c>
      <c r="BV121" s="321">
        <v>0</v>
      </c>
      <c r="BW121" s="321">
        <v>0</v>
      </c>
      <c r="BX121" s="321">
        <v>0</v>
      </c>
      <c r="BY121" s="321">
        <v>0</v>
      </c>
      <c r="BZ121" s="321">
        <v>0</v>
      </c>
      <c r="CA121" s="321">
        <v>0</v>
      </c>
      <c r="CB121" s="277">
        <v>0</v>
      </c>
      <c r="CC121" s="382" t="s">
        <v>293</v>
      </c>
      <c r="CD121" s="383">
        <f>HLOOKUP($CC121,$AK$6:$AM$132,ROWS(CD$6:CD121),0)</f>
        <v>0</v>
      </c>
      <c r="CE121" s="234">
        <f t="shared" si="81"/>
        <v>0</v>
      </c>
      <c r="CF121" s="96">
        <f t="shared" si="81"/>
        <v>0</v>
      </c>
      <c r="CG121" s="96">
        <f t="shared" si="81"/>
        <v>0</v>
      </c>
      <c r="CH121" s="96">
        <f t="shared" si="81"/>
        <v>0</v>
      </c>
      <c r="CI121" s="96">
        <f t="shared" si="81"/>
        <v>0</v>
      </c>
      <c r="CJ121" s="96">
        <f t="shared" si="81"/>
        <v>0</v>
      </c>
      <c r="CK121" s="96">
        <f t="shared" si="81"/>
        <v>0</v>
      </c>
      <c r="CL121" s="286">
        <f t="shared" si="101"/>
        <v>0</v>
      </c>
      <c r="CM121" s="305" t="s">
        <v>292</v>
      </c>
      <c r="CN121" s="315">
        <v>0.05</v>
      </c>
      <c r="CO121" s="306"/>
      <c r="CP121" s="307" t="str">
        <f>IF($CO121&lt;&gt;"",$CO121,HLOOKUP($CM121,$AY$6:$BA$132,ROWS(CP$6:CP121),0))</f>
        <v/>
      </c>
      <c r="CQ121" s="784" t="str">
        <f t="shared" si="100"/>
        <v/>
      </c>
      <c r="CR121" s="784" t="str">
        <f t="shared" si="100"/>
        <v/>
      </c>
      <c r="CS121" s="97" t="str">
        <f t="shared" si="100"/>
        <v/>
      </c>
      <c r="CT121" s="97" t="str">
        <f t="shared" si="100"/>
        <v/>
      </c>
      <c r="CU121" s="97" t="str">
        <f t="shared" si="100"/>
        <v/>
      </c>
      <c r="CV121" s="97" t="str">
        <f t="shared" si="100"/>
        <v/>
      </c>
      <c r="CW121" s="97" t="str">
        <f t="shared" si="100"/>
        <v/>
      </c>
      <c r="CX121" s="98" t="str">
        <f t="shared" si="100"/>
        <v/>
      </c>
    </row>
    <row r="122" spans="1:102" x14ac:dyDescent="0.25">
      <c r="A122" s="81" t="s">
        <v>242</v>
      </c>
      <c r="B122" s="82" t="s">
        <v>247</v>
      </c>
      <c r="C122" s="83" t="s">
        <v>248</v>
      </c>
      <c r="D122" s="84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654">
        <f>'2022-23 Input'!H122</f>
        <v>0</v>
      </c>
      <c r="N122" s="1065">
        <v>0</v>
      </c>
      <c r="O122" s="560">
        <f t="shared" si="79"/>
        <v>0</v>
      </c>
      <c r="P122" s="561">
        <f t="shared" si="53"/>
        <v>0</v>
      </c>
      <c r="Q122" s="561">
        <f t="shared" si="54"/>
        <v>0</v>
      </c>
      <c r="R122" s="561">
        <f t="shared" si="55"/>
        <v>0</v>
      </c>
      <c r="S122" s="561">
        <f t="shared" si="56"/>
        <v>0</v>
      </c>
      <c r="T122" s="561">
        <f t="shared" si="57"/>
        <v>0</v>
      </c>
      <c r="U122" s="561">
        <f t="shared" si="58"/>
        <v>0</v>
      </c>
      <c r="V122" s="561">
        <f t="shared" si="59"/>
        <v>0</v>
      </c>
      <c r="W122" s="675">
        <f t="shared" si="60"/>
        <v>0</v>
      </c>
      <c r="X122" s="675">
        <f t="shared" si="61"/>
        <v>0</v>
      </c>
      <c r="Y122" s="675">
        <f t="shared" si="61"/>
        <v>0</v>
      </c>
      <c r="Z122" s="86">
        <v>0</v>
      </c>
      <c r="AA122" s="87">
        <v>0</v>
      </c>
      <c r="AB122" s="87">
        <v>0</v>
      </c>
      <c r="AC122" s="87">
        <v>0</v>
      </c>
      <c r="AD122" s="87">
        <v>0</v>
      </c>
      <c r="AE122" s="87">
        <v>0</v>
      </c>
      <c r="AF122" s="87">
        <v>0</v>
      </c>
      <c r="AG122" s="87">
        <v>0</v>
      </c>
      <c r="AH122" s="87">
        <v>0</v>
      </c>
      <c r="AI122" s="1094">
        <f>'2022-23 Input'!O122</f>
        <v>0</v>
      </c>
      <c r="AJ122" s="665">
        <v>0</v>
      </c>
      <c r="AK122" s="88">
        <f t="shared" si="84"/>
        <v>0</v>
      </c>
      <c r="AL122" s="89">
        <f t="shared" si="85"/>
        <v>0</v>
      </c>
      <c r="AM122" s="90">
        <f t="shared" si="86"/>
        <v>0</v>
      </c>
      <c r="AN122" s="91" t="str">
        <f t="shared" si="87"/>
        <v/>
      </c>
      <c r="AO122" s="92" t="str">
        <f t="shared" si="88"/>
        <v/>
      </c>
      <c r="AP122" s="92" t="str">
        <f t="shared" si="89"/>
        <v/>
      </c>
      <c r="AQ122" s="92" t="str">
        <f t="shared" si="90"/>
        <v/>
      </c>
      <c r="AR122" s="92" t="str">
        <f t="shared" si="91"/>
        <v/>
      </c>
      <c r="AS122" s="92" t="str">
        <f t="shared" si="92"/>
        <v/>
      </c>
      <c r="AT122" s="92" t="str">
        <f t="shared" si="93"/>
        <v/>
      </c>
      <c r="AU122" s="92" t="str">
        <f t="shared" si="94"/>
        <v/>
      </c>
      <c r="AV122" s="92" t="str">
        <f t="shared" si="102"/>
        <v/>
      </c>
      <c r="AW122" s="92" t="str">
        <f t="shared" si="102"/>
        <v/>
      </c>
      <c r="AX122" s="92" t="str">
        <f t="shared" si="102"/>
        <v/>
      </c>
      <c r="AY122" s="93" t="str">
        <f t="shared" si="96"/>
        <v/>
      </c>
      <c r="AZ122" s="94" t="str">
        <f t="shared" si="97"/>
        <v/>
      </c>
      <c r="BA122" s="95" t="str">
        <f t="shared" si="98"/>
        <v/>
      </c>
      <c r="BB122" s="248" t="s">
        <v>422</v>
      </c>
      <c r="BC122" s="229" t="s">
        <v>433</v>
      </c>
      <c r="BD122" s="249">
        <v>0</v>
      </c>
      <c r="BE122" s="267">
        <f t="shared" si="80"/>
        <v>0</v>
      </c>
      <c r="BF122" s="268">
        <f t="shared" si="103"/>
        <v>0</v>
      </c>
      <c r="BG122" s="268">
        <f t="shared" si="103"/>
        <v>0</v>
      </c>
      <c r="BH122" s="268">
        <f t="shared" si="103"/>
        <v>1</v>
      </c>
      <c r="BI122" s="268">
        <f t="shared" si="103"/>
        <v>2</v>
      </c>
      <c r="BJ122" s="268">
        <f t="shared" si="103"/>
        <v>3</v>
      </c>
      <c r="BK122" s="268">
        <f t="shared" si="103"/>
        <v>4</v>
      </c>
      <c r="BL122" s="269">
        <f t="shared" si="103"/>
        <v>5</v>
      </c>
      <c r="BM122" s="256">
        <f>IF($BC122=Lookup!$A$2,$BD122*ROUNDUP(BE122/10,0)+1,
IF($BC122=Lookup!$A$3,($BD122+1)^BD122,
IF($BC122=Lookup!$A$4,BE122*$BD122+1,"Error")))</f>
        <v>1</v>
      </c>
      <c r="BN122" s="229">
        <f>IF($BC122=Lookup!$A$2,$BD122*ROUNDUP(BF122/10,0)+1,
IF($BC122=Lookup!$A$3,($BD122+1)^BE122,
IF($BC122=Lookup!$A$4,BF122*$BD122+1,"Error")))</f>
        <v>1</v>
      </c>
      <c r="BO122" s="229">
        <f>IF($BC122=Lookup!$A$2,$BD122*ROUNDUP(BG122/10,0)+1,
IF($BC122=Lookup!$A$3,($BD122+1)^BF122,
IF($BC122=Lookup!$A$4,BG122*$BD122+1,"Error")))</f>
        <v>1</v>
      </c>
      <c r="BP122" s="229">
        <f>IF($BC122=Lookup!$A$2,$BD122*ROUNDUP(BH122/10,0)+1,
IF($BC122=Lookup!$A$3,($BD122+1)^BG122,
IF($BC122=Lookup!$A$4,BH122*$BD122+1,"Error")))</f>
        <v>1</v>
      </c>
      <c r="BQ122" s="229">
        <f>IF($BC122=Lookup!$A$2,$BD122*ROUNDUP(BI122/10,0)+1,
IF($BC122=Lookup!$A$3,($BD122+1)^BH122,
IF($BC122=Lookup!$A$4,BI122*$BD122+1,"Error")))</f>
        <v>1</v>
      </c>
      <c r="BR122" s="229">
        <f>IF($BC122=Lookup!$A$2,$BD122*ROUNDUP(BJ122/10,0)+1,
IF($BC122=Lookup!$A$3,($BD122+1)^BI122,
IF($BC122=Lookup!$A$4,BJ122*$BD122+1,"Error")))</f>
        <v>1</v>
      </c>
      <c r="BS122" s="229">
        <f>IF($BC122=Lookup!$A$2,$BD122*ROUNDUP(BK122/10,0)+1,
IF($BC122=Lookup!$A$3,($BD122+1)^BJ122,
IF($BC122=Lookup!$A$4,BK122*$BD122+1,"Error")))</f>
        <v>1</v>
      </c>
      <c r="BT122" s="249">
        <f>IF($BC122=Lookup!$A$2,$BD122*ROUNDUP(BL122/10,0)+1,
IF($BC122=Lookup!$A$3,($BD122+1)^BK122,
IF($BC122=Lookup!$A$4,BL122*$BD122+1,"Error")))</f>
        <v>1</v>
      </c>
      <c r="BU122" s="320">
        <v>0</v>
      </c>
      <c r="BV122" s="321">
        <v>0</v>
      </c>
      <c r="BW122" s="321">
        <v>0</v>
      </c>
      <c r="BX122" s="321">
        <v>0</v>
      </c>
      <c r="BY122" s="321">
        <v>0</v>
      </c>
      <c r="BZ122" s="321">
        <v>0</v>
      </c>
      <c r="CA122" s="321">
        <v>0</v>
      </c>
      <c r="CB122" s="277">
        <v>0</v>
      </c>
      <c r="CC122" s="382" t="s">
        <v>293</v>
      </c>
      <c r="CD122" s="383">
        <f>HLOOKUP($CC122,$AK$6:$AM$132,ROWS(CD$6:CD122),0)</f>
        <v>0</v>
      </c>
      <c r="CE122" s="234">
        <f t="shared" si="81"/>
        <v>0</v>
      </c>
      <c r="CF122" s="96">
        <f t="shared" si="81"/>
        <v>0</v>
      </c>
      <c r="CG122" s="96">
        <f t="shared" si="81"/>
        <v>0</v>
      </c>
      <c r="CH122" s="96">
        <f t="shared" si="81"/>
        <v>0</v>
      </c>
      <c r="CI122" s="96">
        <f t="shared" si="81"/>
        <v>0</v>
      </c>
      <c r="CJ122" s="96">
        <f t="shared" si="81"/>
        <v>0</v>
      </c>
      <c r="CK122" s="96">
        <f t="shared" si="81"/>
        <v>0</v>
      </c>
      <c r="CL122" s="286">
        <f t="shared" si="101"/>
        <v>0</v>
      </c>
      <c r="CM122" s="305" t="s">
        <v>292</v>
      </c>
      <c r="CN122" s="315">
        <v>0.05</v>
      </c>
      <c r="CO122" s="306"/>
      <c r="CP122" s="307" t="str">
        <f>IF($CO122&lt;&gt;"",$CO122,HLOOKUP($CM122,$AY$6:$BA$132,ROWS(CP$6:CP122),0))</f>
        <v/>
      </c>
      <c r="CQ122" s="784" t="str">
        <f t="shared" si="100"/>
        <v/>
      </c>
      <c r="CR122" s="784" t="str">
        <f t="shared" si="100"/>
        <v/>
      </c>
      <c r="CS122" s="97" t="str">
        <f t="shared" si="100"/>
        <v/>
      </c>
      <c r="CT122" s="97" t="str">
        <f t="shared" si="100"/>
        <v/>
      </c>
      <c r="CU122" s="97" t="str">
        <f t="shared" si="100"/>
        <v/>
      </c>
      <c r="CV122" s="97" t="str">
        <f t="shared" si="100"/>
        <v/>
      </c>
      <c r="CW122" s="97" t="str">
        <f t="shared" si="100"/>
        <v/>
      </c>
      <c r="CX122" s="98" t="str">
        <f t="shared" si="100"/>
        <v/>
      </c>
    </row>
    <row r="123" spans="1:102" x14ac:dyDescent="0.25">
      <c r="A123" s="81" t="s">
        <v>242</v>
      </c>
      <c r="B123" s="82" t="s">
        <v>249</v>
      </c>
      <c r="C123" s="83" t="s">
        <v>250</v>
      </c>
      <c r="D123" s="84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654">
        <f>'2022-23 Input'!H123</f>
        <v>0</v>
      </c>
      <c r="N123" s="1065">
        <v>0</v>
      </c>
      <c r="O123" s="560">
        <f t="shared" si="79"/>
        <v>0</v>
      </c>
      <c r="P123" s="561">
        <f t="shared" si="53"/>
        <v>0</v>
      </c>
      <c r="Q123" s="561">
        <f t="shared" si="54"/>
        <v>0</v>
      </c>
      <c r="R123" s="561">
        <f t="shared" si="55"/>
        <v>0</v>
      </c>
      <c r="S123" s="561">
        <f t="shared" si="56"/>
        <v>0</v>
      </c>
      <c r="T123" s="561">
        <f t="shared" si="57"/>
        <v>0</v>
      </c>
      <c r="U123" s="561">
        <f t="shared" si="58"/>
        <v>0</v>
      </c>
      <c r="V123" s="561">
        <f t="shared" si="59"/>
        <v>0</v>
      </c>
      <c r="W123" s="675">
        <f t="shared" si="60"/>
        <v>0</v>
      </c>
      <c r="X123" s="675">
        <f t="shared" si="61"/>
        <v>0</v>
      </c>
      <c r="Y123" s="675">
        <f t="shared" si="61"/>
        <v>0</v>
      </c>
      <c r="Z123" s="86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87">
        <v>0</v>
      </c>
      <c r="AI123" s="1094">
        <f>'2022-23 Input'!O123</f>
        <v>0</v>
      </c>
      <c r="AJ123" s="665">
        <v>0</v>
      </c>
      <c r="AK123" s="88">
        <f t="shared" si="84"/>
        <v>0</v>
      </c>
      <c r="AL123" s="89">
        <f t="shared" si="85"/>
        <v>0</v>
      </c>
      <c r="AM123" s="90">
        <f t="shared" si="86"/>
        <v>0</v>
      </c>
      <c r="AN123" s="91" t="str">
        <f t="shared" si="87"/>
        <v/>
      </c>
      <c r="AO123" s="92" t="str">
        <f t="shared" si="88"/>
        <v/>
      </c>
      <c r="AP123" s="92" t="str">
        <f t="shared" si="89"/>
        <v/>
      </c>
      <c r="AQ123" s="92" t="str">
        <f t="shared" si="90"/>
        <v/>
      </c>
      <c r="AR123" s="92" t="str">
        <f t="shared" si="91"/>
        <v/>
      </c>
      <c r="AS123" s="92" t="str">
        <f t="shared" si="92"/>
        <v/>
      </c>
      <c r="AT123" s="92" t="str">
        <f t="shared" si="93"/>
        <v/>
      </c>
      <c r="AU123" s="92" t="str">
        <f t="shared" si="94"/>
        <v/>
      </c>
      <c r="AV123" s="92" t="str">
        <f t="shared" si="102"/>
        <v/>
      </c>
      <c r="AW123" s="92" t="str">
        <f t="shared" si="102"/>
        <v/>
      </c>
      <c r="AX123" s="92" t="str">
        <f t="shared" si="102"/>
        <v/>
      </c>
      <c r="AY123" s="93" t="str">
        <f t="shared" si="96"/>
        <v/>
      </c>
      <c r="AZ123" s="94" t="str">
        <f t="shared" si="97"/>
        <v/>
      </c>
      <c r="BA123" s="95" t="str">
        <f t="shared" si="98"/>
        <v/>
      </c>
      <c r="BB123" s="248" t="s">
        <v>422</v>
      </c>
      <c r="BC123" s="229" t="s">
        <v>433</v>
      </c>
      <c r="BD123" s="249">
        <v>0</v>
      </c>
      <c r="BE123" s="267">
        <f t="shared" si="80"/>
        <v>0</v>
      </c>
      <c r="BF123" s="268">
        <f t="shared" si="103"/>
        <v>0</v>
      </c>
      <c r="BG123" s="268">
        <f t="shared" si="103"/>
        <v>0</v>
      </c>
      <c r="BH123" s="268">
        <f t="shared" si="103"/>
        <v>1</v>
      </c>
      <c r="BI123" s="268">
        <f t="shared" si="103"/>
        <v>2</v>
      </c>
      <c r="BJ123" s="268">
        <f t="shared" si="103"/>
        <v>3</v>
      </c>
      <c r="BK123" s="268">
        <f t="shared" si="103"/>
        <v>4</v>
      </c>
      <c r="BL123" s="269">
        <f t="shared" si="103"/>
        <v>5</v>
      </c>
      <c r="BM123" s="256">
        <f>IF($BC123=Lookup!$A$2,$BD123*ROUNDUP(BE123/10,0)+1,
IF($BC123=Lookup!$A$3,($BD123+1)^BD123,
IF($BC123=Lookup!$A$4,BE123*$BD123+1,"Error")))</f>
        <v>1</v>
      </c>
      <c r="BN123" s="229">
        <f>IF($BC123=Lookup!$A$2,$BD123*ROUNDUP(BF123/10,0)+1,
IF($BC123=Lookup!$A$3,($BD123+1)^BE123,
IF($BC123=Lookup!$A$4,BF123*$BD123+1,"Error")))</f>
        <v>1</v>
      </c>
      <c r="BO123" s="229">
        <f>IF($BC123=Lookup!$A$2,$BD123*ROUNDUP(BG123/10,0)+1,
IF($BC123=Lookup!$A$3,($BD123+1)^BF123,
IF($BC123=Lookup!$A$4,BG123*$BD123+1,"Error")))</f>
        <v>1</v>
      </c>
      <c r="BP123" s="229">
        <f>IF($BC123=Lookup!$A$2,$BD123*ROUNDUP(BH123/10,0)+1,
IF($BC123=Lookup!$A$3,($BD123+1)^BG123,
IF($BC123=Lookup!$A$4,BH123*$BD123+1,"Error")))</f>
        <v>1</v>
      </c>
      <c r="BQ123" s="229">
        <f>IF($BC123=Lookup!$A$2,$BD123*ROUNDUP(BI123/10,0)+1,
IF($BC123=Lookup!$A$3,($BD123+1)^BH123,
IF($BC123=Lookup!$A$4,BI123*$BD123+1,"Error")))</f>
        <v>1</v>
      </c>
      <c r="BR123" s="229">
        <f>IF($BC123=Lookup!$A$2,$BD123*ROUNDUP(BJ123/10,0)+1,
IF($BC123=Lookup!$A$3,($BD123+1)^BI123,
IF($BC123=Lookup!$A$4,BJ123*$BD123+1,"Error")))</f>
        <v>1</v>
      </c>
      <c r="BS123" s="229">
        <f>IF($BC123=Lookup!$A$2,$BD123*ROUNDUP(BK123/10,0)+1,
IF($BC123=Lookup!$A$3,($BD123+1)^BJ123,
IF($BC123=Lookup!$A$4,BK123*$BD123+1,"Error")))</f>
        <v>1</v>
      </c>
      <c r="BT123" s="249">
        <f>IF($BC123=Lookup!$A$2,$BD123*ROUNDUP(BL123/10,0)+1,
IF($BC123=Lookup!$A$3,($BD123+1)^BK123,
IF($BC123=Lookup!$A$4,BL123*$BD123+1,"Error")))</f>
        <v>1</v>
      </c>
      <c r="BU123" s="320">
        <v>0</v>
      </c>
      <c r="BV123" s="321">
        <v>0</v>
      </c>
      <c r="BW123" s="321">
        <v>0</v>
      </c>
      <c r="BX123" s="321">
        <v>0</v>
      </c>
      <c r="BY123" s="321">
        <v>0</v>
      </c>
      <c r="BZ123" s="321">
        <v>0</v>
      </c>
      <c r="CA123" s="321">
        <v>0</v>
      </c>
      <c r="CB123" s="277">
        <v>0</v>
      </c>
      <c r="CC123" s="382" t="s">
        <v>293</v>
      </c>
      <c r="CD123" s="383">
        <f>HLOOKUP($CC123,$AK$6:$AM$132,ROWS(CD$6:CD123),0)</f>
        <v>0</v>
      </c>
      <c r="CE123" s="234">
        <f t="shared" si="81"/>
        <v>0</v>
      </c>
      <c r="CF123" s="96">
        <f t="shared" si="81"/>
        <v>0</v>
      </c>
      <c r="CG123" s="96">
        <f t="shared" si="81"/>
        <v>0</v>
      </c>
      <c r="CH123" s="96">
        <f t="shared" ref="CH123:CK132" si="104">IFERROR(IF(BX123&lt;&gt;"",BX123,BP123*$CD123),"")</f>
        <v>0</v>
      </c>
      <c r="CI123" s="96">
        <f t="shared" si="104"/>
        <v>0</v>
      </c>
      <c r="CJ123" s="96">
        <f t="shared" si="104"/>
        <v>0</v>
      </c>
      <c r="CK123" s="96">
        <f t="shared" si="104"/>
        <v>0</v>
      </c>
      <c r="CL123" s="286">
        <f t="shared" si="101"/>
        <v>0</v>
      </c>
      <c r="CM123" s="305" t="s">
        <v>292</v>
      </c>
      <c r="CN123" s="315">
        <v>0.05</v>
      </c>
      <c r="CO123" s="306"/>
      <c r="CP123" s="307" t="str">
        <f>IF($CO123&lt;&gt;"",$CO123,HLOOKUP($CM123,$AY$6:$BA$132,ROWS(CP$6:CP123),0))</f>
        <v/>
      </c>
      <c r="CQ123" s="784" t="str">
        <f t="shared" si="100"/>
        <v/>
      </c>
      <c r="CR123" s="784" t="str">
        <f t="shared" si="100"/>
        <v/>
      </c>
      <c r="CS123" s="97" t="str">
        <f t="shared" si="100"/>
        <v/>
      </c>
      <c r="CT123" s="97" t="str">
        <f t="shared" si="100"/>
        <v/>
      </c>
      <c r="CU123" s="97" t="str">
        <f t="shared" si="100"/>
        <v/>
      </c>
      <c r="CV123" s="97" t="str">
        <f t="shared" si="100"/>
        <v/>
      </c>
      <c r="CW123" s="97" t="str">
        <f t="shared" si="100"/>
        <v/>
      </c>
      <c r="CX123" s="98" t="str">
        <f t="shared" si="100"/>
        <v/>
      </c>
    </row>
    <row r="124" spans="1:102" x14ac:dyDescent="0.25">
      <c r="A124" s="81" t="s">
        <v>242</v>
      </c>
      <c r="B124" s="82" t="s">
        <v>251</v>
      </c>
      <c r="C124" s="83" t="s">
        <v>252</v>
      </c>
      <c r="D124" s="84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11345.448002603001</v>
      </c>
      <c r="K124" s="85">
        <v>0</v>
      </c>
      <c r="L124" s="85">
        <v>0</v>
      </c>
      <c r="M124" s="654">
        <f>'2022-23 Input'!H124</f>
        <v>0</v>
      </c>
      <c r="N124" s="1065">
        <v>0</v>
      </c>
      <c r="O124" s="560">
        <f t="shared" si="79"/>
        <v>0</v>
      </c>
      <c r="P124" s="561">
        <f t="shared" si="53"/>
        <v>0</v>
      </c>
      <c r="Q124" s="561">
        <f t="shared" si="54"/>
        <v>0</v>
      </c>
      <c r="R124" s="561">
        <f t="shared" si="55"/>
        <v>0</v>
      </c>
      <c r="S124" s="561">
        <f t="shared" si="56"/>
        <v>0</v>
      </c>
      <c r="T124" s="561">
        <f t="shared" si="57"/>
        <v>0</v>
      </c>
      <c r="U124" s="561">
        <f t="shared" si="58"/>
        <v>14130.61904473988</v>
      </c>
      <c r="V124" s="561">
        <f t="shared" si="59"/>
        <v>0</v>
      </c>
      <c r="W124" s="675">
        <f t="shared" si="60"/>
        <v>0</v>
      </c>
      <c r="X124" s="675">
        <f t="shared" si="61"/>
        <v>0</v>
      </c>
      <c r="Y124" s="675">
        <f t="shared" si="61"/>
        <v>0</v>
      </c>
      <c r="Z124" s="86">
        <v>0</v>
      </c>
      <c r="AA124" s="87">
        <v>0</v>
      </c>
      <c r="AB124" s="87">
        <v>0</v>
      </c>
      <c r="AC124" s="87">
        <v>0</v>
      </c>
      <c r="AD124" s="87">
        <v>0</v>
      </c>
      <c r="AE124" s="87">
        <v>0</v>
      </c>
      <c r="AF124" s="87">
        <v>410</v>
      </c>
      <c r="AG124" s="87">
        <v>0</v>
      </c>
      <c r="AH124" s="87">
        <v>0</v>
      </c>
      <c r="AI124" s="1094">
        <f>'2022-23 Input'!O124</f>
        <v>0</v>
      </c>
      <c r="AJ124" s="665">
        <v>0</v>
      </c>
      <c r="AK124" s="88">
        <f t="shared" si="84"/>
        <v>82</v>
      </c>
      <c r="AL124" s="89">
        <f t="shared" si="85"/>
        <v>0</v>
      </c>
      <c r="AM124" s="90">
        <f t="shared" si="86"/>
        <v>0</v>
      </c>
      <c r="AN124" s="91" t="str">
        <f t="shared" si="87"/>
        <v/>
      </c>
      <c r="AO124" s="92" t="str">
        <f t="shared" si="88"/>
        <v/>
      </c>
      <c r="AP124" s="92" t="str">
        <f t="shared" si="89"/>
        <v/>
      </c>
      <c r="AQ124" s="92" t="str">
        <f t="shared" si="90"/>
        <v/>
      </c>
      <c r="AR124" s="92" t="str">
        <f t="shared" si="91"/>
        <v/>
      </c>
      <c r="AS124" s="92" t="str">
        <f t="shared" si="92"/>
        <v/>
      </c>
      <c r="AT124" s="92">
        <f t="shared" si="93"/>
        <v>27.671824396592687</v>
      </c>
      <c r="AU124" s="92" t="str">
        <f t="shared" si="94"/>
        <v/>
      </c>
      <c r="AV124" s="92" t="str">
        <f t="shared" si="102"/>
        <v/>
      </c>
      <c r="AW124" s="92" t="str">
        <f t="shared" si="102"/>
        <v/>
      </c>
      <c r="AX124" s="92" t="str">
        <f t="shared" si="102"/>
        <v/>
      </c>
      <c r="AY124" s="93">
        <f t="shared" si="96"/>
        <v>27.671824396592687</v>
      </c>
      <c r="AZ124" s="94" t="str">
        <f t="shared" si="97"/>
        <v/>
      </c>
      <c r="BA124" s="95" t="str">
        <f t="shared" si="98"/>
        <v/>
      </c>
      <c r="BB124" s="248" t="s">
        <v>422</v>
      </c>
      <c r="BC124" s="229" t="s">
        <v>433</v>
      </c>
      <c r="BD124" s="249">
        <v>0</v>
      </c>
      <c r="BE124" s="267">
        <f t="shared" si="80"/>
        <v>0</v>
      </c>
      <c r="BF124" s="268">
        <f t="shared" si="103"/>
        <v>0</v>
      </c>
      <c r="BG124" s="268">
        <f t="shared" si="103"/>
        <v>0</v>
      </c>
      <c r="BH124" s="268">
        <f t="shared" si="103"/>
        <v>1</v>
      </c>
      <c r="BI124" s="268">
        <f t="shared" si="103"/>
        <v>2</v>
      </c>
      <c r="BJ124" s="268">
        <f t="shared" si="103"/>
        <v>3</v>
      </c>
      <c r="BK124" s="268">
        <f t="shared" si="103"/>
        <v>4</v>
      </c>
      <c r="BL124" s="269">
        <f t="shared" si="103"/>
        <v>5</v>
      </c>
      <c r="BM124" s="256">
        <f>IF($BC124=Lookup!$A$2,$BD124*ROUNDUP(BE124/10,0)+1,
IF($BC124=Lookup!$A$3,($BD124+1)^BD124,
IF($BC124=Lookup!$A$4,BE124*$BD124+1,"Error")))</f>
        <v>1</v>
      </c>
      <c r="BN124" s="229">
        <f>IF($BC124=Lookup!$A$2,$BD124*ROUNDUP(BF124/10,0)+1,
IF($BC124=Lookup!$A$3,($BD124+1)^BE124,
IF($BC124=Lookup!$A$4,BF124*$BD124+1,"Error")))</f>
        <v>1</v>
      </c>
      <c r="BO124" s="229">
        <f>IF($BC124=Lookup!$A$2,$BD124*ROUNDUP(BG124/10,0)+1,
IF($BC124=Lookup!$A$3,($BD124+1)^BF124,
IF($BC124=Lookup!$A$4,BG124*$BD124+1,"Error")))</f>
        <v>1</v>
      </c>
      <c r="BP124" s="229">
        <f>IF($BC124=Lookup!$A$2,$BD124*ROUNDUP(BH124/10,0)+1,
IF($BC124=Lookup!$A$3,($BD124+1)^BG124,
IF($BC124=Lookup!$A$4,BH124*$BD124+1,"Error")))</f>
        <v>1</v>
      </c>
      <c r="BQ124" s="229">
        <f>IF($BC124=Lookup!$A$2,$BD124*ROUNDUP(BI124/10,0)+1,
IF($BC124=Lookup!$A$3,($BD124+1)^BH124,
IF($BC124=Lookup!$A$4,BI124*$BD124+1,"Error")))</f>
        <v>1</v>
      </c>
      <c r="BR124" s="229">
        <f>IF($BC124=Lookup!$A$2,$BD124*ROUNDUP(BJ124/10,0)+1,
IF($BC124=Lookup!$A$3,($BD124+1)^BI124,
IF($BC124=Lookup!$A$4,BJ124*$BD124+1,"Error")))</f>
        <v>1</v>
      </c>
      <c r="BS124" s="229">
        <f>IF($BC124=Lookup!$A$2,$BD124*ROUNDUP(BK124/10,0)+1,
IF($BC124=Lookup!$A$3,($BD124+1)^BJ124,
IF($BC124=Lookup!$A$4,BK124*$BD124+1,"Error")))</f>
        <v>1</v>
      </c>
      <c r="BT124" s="249">
        <f>IF($BC124=Lookup!$A$2,$BD124*ROUNDUP(BL124/10,0)+1,
IF($BC124=Lookup!$A$3,($BD124+1)^BK124,
IF($BC124=Lookup!$A$4,BL124*$BD124+1,"Error")))</f>
        <v>1</v>
      </c>
      <c r="BU124" s="320">
        <v>0</v>
      </c>
      <c r="BV124" s="321">
        <v>0</v>
      </c>
      <c r="BW124" s="321">
        <v>0</v>
      </c>
      <c r="BX124" s="321">
        <v>0</v>
      </c>
      <c r="BY124" s="321">
        <v>0</v>
      </c>
      <c r="BZ124" s="321">
        <v>0</v>
      </c>
      <c r="CA124" s="321">
        <v>0</v>
      </c>
      <c r="CB124" s="277">
        <v>0</v>
      </c>
      <c r="CC124" s="382" t="s">
        <v>293</v>
      </c>
      <c r="CD124" s="383">
        <f>HLOOKUP($CC124,$AK$6:$AM$132,ROWS(CD$6:CD124),0)</f>
        <v>0</v>
      </c>
      <c r="CE124" s="234">
        <f t="shared" ref="CE124:CG132" si="105">IFERROR(IF(BU124&lt;&gt;"",BU124,BM124*$CD124),"")</f>
        <v>0</v>
      </c>
      <c r="CF124" s="96">
        <f t="shared" si="105"/>
        <v>0</v>
      </c>
      <c r="CG124" s="96">
        <f t="shared" si="105"/>
        <v>0</v>
      </c>
      <c r="CH124" s="96">
        <f t="shared" si="104"/>
        <v>0</v>
      </c>
      <c r="CI124" s="96">
        <f t="shared" si="104"/>
        <v>0</v>
      </c>
      <c r="CJ124" s="96">
        <f t="shared" si="104"/>
        <v>0</v>
      </c>
      <c r="CK124" s="96">
        <f t="shared" si="104"/>
        <v>0</v>
      </c>
      <c r="CL124" s="286">
        <f t="shared" si="101"/>
        <v>0</v>
      </c>
      <c r="CM124" s="305" t="s">
        <v>292</v>
      </c>
      <c r="CN124" s="315">
        <v>0.05</v>
      </c>
      <c r="CO124" s="306"/>
      <c r="CP124" s="307">
        <f>IF($CO124&lt;&gt;"",$CO124,HLOOKUP($CM124,$AY$6:$BA$132,ROWS(CP$6:CP124),0))</f>
        <v>27.671824396592687</v>
      </c>
      <c r="CQ124" s="784">
        <f t="shared" si="100"/>
        <v>0</v>
      </c>
      <c r="CR124" s="784">
        <f t="shared" si="100"/>
        <v>0</v>
      </c>
      <c r="CS124" s="97">
        <f t="shared" si="100"/>
        <v>0</v>
      </c>
      <c r="CT124" s="97">
        <f t="shared" si="100"/>
        <v>0</v>
      </c>
      <c r="CU124" s="97">
        <f t="shared" si="100"/>
        <v>0</v>
      </c>
      <c r="CV124" s="97">
        <f t="shared" si="100"/>
        <v>0</v>
      </c>
      <c r="CW124" s="97">
        <f t="shared" si="100"/>
        <v>0</v>
      </c>
      <c r="CX124" s="98">
        <f t="shared" si="100"/>
        <v>0</v>
      </c>
    </row>
    <row r="125" spans="1:102" x14ac:dyDescent="0.25">
      <c r="A125" s="81" t="s">
        <v>242</v>
      </c>
      <c r="B125" s="82" t="s">
        <v>253</v>
      </c>
      <c r="C125" s="83" t="s">
        <v>254</v>
      </c>
      <c r="D125" s="84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654">
        <f>'2022-23 Input'!H125</f>
        <v>0</v>
      </c>
      <c r="N125" s="1065">
        <v>0</v>
      </c>
      <c r="O125" s="560">
        <f t="shared" si="79"/>
        <v>0</v>
      </c>
      <c r="P125" s="561">
        <f t="shared" si="53"/>
        <v>0</v>
      </c>
      <c r="Q125" s="561">
        <f t="shared" si="54"/>
        <v>0</v>
      </c>
      <c r="R125" s="561">
        <f t="shared" si="55"/>
        <v>0</v>
      </c>
      <c r="S125" s="561">
        <f t="shared" si="56"/>
        <v>0</v>
      </c>
      <c r="T125" s="561">
        <f t="shared" si="57"/>
        <v>0</v>
      </c>
      <c r="U125" s="561">
        <f t="shared" si="58"/>
        <v>0</v>
      </c>
      <c r="V125" s="561">
        <f t="shared" si="59"/>
        <v>0</v>
      </c>
      <c r="W125" s="675">
        <f t="shared" si="60"/>
        <v>0</v>
      </c>
      <c r="X125" s="675">
        <f t="shared" si="61"/>
        <v>0</v>
      </c>
      <c r="Y125" s="675">
        <f t="shared" si="61"/>
        <v>0</v>
      </c>
      <c r="Z125" s="86">
        <v>0</v>
      </c>
      <c r="AA125" s="87">
        <v>0</v>
      </c>
      <c r="AB125" s="87">
        <v>0</v>
      </c>
      <c r="AC125" s="87">
        <v>0</v>
      </c>
      <c r="AD125" s="87">
        <v>0</v>
      </c>
      <c r="AE125" s="87">
        <v>0</v>
      </c>
      <c r="AF125" s="87">
        <v>0</v>
      </c>
      <c r="AG125" s="87">
        <v>0</v>
      </c>
      <c r="AH125" s="87">
        <v>0</v>
      </c>
      <c r="AI125" s="1094">
        <f>'2022-23 Input'!O125</f>
        <v>0</v>
      </c>
      <c r="AJ125" s="665">
        <v>0</v>
      </c>
      <c r="AK125" s="88">
        <f t="shared" si="84"/>
        <v>0</v>
      </c>
      <c r="AL125" s="89">
        <f t="shared" si="85"/>
        <v>0</v>
      </c>
      <c r="AM125" s="90">
        <f t="shared" si="86"/>
        <v>0</v>
      </c>
      <c r="AN125" s="91" t="str">
        <f t="shared" si="87"/>
        <v/>
      </c>
      <c r="AO125" s="92" t="str">
        <f t="shared" si="88"/>
        <v/>
      </c>
      <c r="AP125" s="92" t="str">
        <f t="shared" si="89"/>
        <v/>
      </c>
      <c r="AQ125" s="92" t="str">
        <f t="shared" si="90"/>
        <v/>
      </c>
      <c r="AR125" s="92" t="str">
        <f t="shared" si="91"/>
        <v/>
      </c>
      <c r="AS125" s="92" t="str">
        <f t="shared" si="92"/>
        <v/>
      </c>
      <c r="AT125" s="92" t="str">
        <f t="shared" si="93"/>
        <v/>
      </c>
      <c r="AU125" s="92" t="str">
        <f t="shared" si="94"/>
        <v/>
      </c>
      <c r="AV125" s="92" t="str">
        <f t="shared" si="102"/>
        <v/>
      </c>
      <c r="AW125" s="92" t="str">
        <f t="shared" si="102"/>
        <v/>
      </c>
      <c r="AX125" s="92" t="str">
        <f t="shared" si="102"/>
        <v/>
      </c>
      <c r="AY125" s="93" t="str">
        <f t="shared" si="96"/>
        <v/>
      </c>
      <c r="AZ125" s="94" t="str">
        <f t="shared" si="97"/>
        <v/>
      </c>
      <c r="BA125" s="95" t="str">
        <f t="shared" si="98"/>
        <v/>
      </c>
      <c r="BB125" s="248" t="s">
        <v>422</v>
      </c>
      <c r="BC125" s="229" t="s">
        <v>433</v>
      </c>
      <c r="BD125" s="249">
        <v>0</v>
      </c>
      <c r="BE125" s="267">
        <f t="shared" si="80"/>
        <v>0</v>
      </c>
      <c r="BF125" s="268">
        <f t="shared" si="103"/>
        <v>0</v>
      </c>
      <c r="BG125" s="268">
        <f t="shared" si="103"/>
        <v>0</v>
      </c>
      <c r="BH125" s="268">
        <f t="shared" si="103"/>
        <v>1</v>
      </c>
      <c r="BI125" s="268">
        <f t="shared" si="103"/>
        <v>2</v>
      </c>
      <c r="BJ125" s="268">
        <f t="shared" si="103"/>
        <v>3</v>
      </c>
      <c r="BK125" s="268">
        <f t="shared" si="103"/>
        <v>4</v>
      </c>
      <c r="BL125" s="269">
        <f t="shared" si="103"/>
        <v>5</v>
      </c>
      <c r="BM125" s="256">
        <f>IF($BC125=Lookup!$A$2,$BD125*ROUNDUP(BE125/10,0)+1,
IF($BC125=Lookup!$A$3,($BD125+1)^BD125,
IF($BC125=Lookup!$A$4,BE125*$BD125+1,"Error")))</f>
        <v>1</v>
      </c>
      <c r="BN125" s="229">
        <f>IF($BC125=Lookup!$A$2,$BD125*ROUNDUP(BF125/10,0)+1,
IF($BC125=Lookup!$A$3,($BD125+1)^BE125,
IF($BC125=Lookup!$A$4,BF125*$BD125+1,"Error")))</f>
        <v>1</v>
      </c>
      <c r="BO125" s="229">
        <f>IF($BC125=Lookup!$A$2,$BD125*ROUNDUP(BG125/10,0)+1,
IF($BC125=Lookup!$A$3,($BD125+1)^BF125,
IF($BC125=Lookup!$A$4,BG125*$BD125+1,"Error")))</f>
        <v>1</v>
      </c>
      <c r="BP125" s="229">
        <f>IF($BC125=Lookup!$A$2,$BD125*ROUNDUP(BH125/10,0)+1,
IF($BC125=Lookup!$A$3,($BD125+1)^BG125,
IF($BC125=Lookup!$A$4,BH125*$BD125+1,"Error")))</f>
        <v>1</v>
      </c>
      <c r="BQ125" s="229">
        <f>IF($BC125=Lookup!$A$2,$BD125*ROUNDUP(BI125/10,0)+1,
IF($BC125=Lookup!$A$3,($BD125+1)^BH125,
IF($BC125=Lookup!$A$4,BI125*$BD125+1,"Error")))</f>
        <v>1</v>
      </c>
      <c r="BR125" s="229">
        <f>IF($BC125=Lookup!$A$2,$BD125*ROUNDUP(BJ125/10,0)+1,
IF($BC125=Lookup!$A$3,($BD125+1)^BI125,
IF($BC125=Lookup!$A$4,BJ125*$BD125+1,"Error")))</f>
        <v>1</v>
      </c>
      <c r="BS125" s="229">
        <f>IF($BC125=Lookup!$A$2,$BD125*ROUNDUP(BK125/10,0)+1,
IF($BC125=Lookup!$A$3,($BD125+1)^BJ125,
IF($BC125=Lookup!$A$4,BK125*$BD125+1,"Error")))</f>
        <v>1</v>
      </c>
      <c r="BT125" s="249">
        <f>IF($BC125=Lookup!$A$2,$BD125*ROUNDUP(BL125/10,0)+1,
IF($BC125=Lookup!$A$3,($BD125+1)^BK125,
IF($BC125=Lookup!$A$4,BL125*$BD125+1,"Error")))</f>
        <v>1</v>
      </c>
      <c r="BU125" s="320">
        <v>0</v>
      </c>
      <c r="BV125" s="321">
        <v>0</v>
      </c>
      <c r="BW125" s="321">
        <v>0</v>
      </c>
      <c r="BX125" s="321">
        <v>0</v>
      </c>
      <c r="BY125" s="321">
        <v>0</v>
      </c>
      <c r="BZ125" s="321">
        <v>0</v>
      </c>
      <c r="CA125" s="321">
        <v>0</v>
      </c>
      <c r="CB125" s="277">
        <v>0</v>
      </c>
      <c r="CC125" s="382" t="s">
        <v>293</v>
      </c>
      <c r="CD125" s="383">
        <f>HLOOKUP($CC125,$AK$6:$AM$132,ROWS(CD$6:CD125),0)</f>
        <v>0</v>
      </c>
      <c r="CE125" s="234">
        <f t="shared" si="105"/>
        <v>0</v>
      </c>
      <c r="CF125" s="96">
        <f t="shared" si="105"/>
        <v>0</v>
      </c>
      <c r="CG125" s="96">
        <f t="shared" si="105"/>
        <v>0</v>
      </c>
      <c r="CH125" s="96">
        <f t="shared" si="104"/>
        <v>0</v>
      </c>
      <c r="CI125" s="96">
        <f t="shared" si="104"/>
        <v>0</v>
      </c>
      <c r="CJ125" s="96">
        <f t="shared" si="104"/>
        <v>0</v>
      </c>
      <c r="CK125" s="96">
        <f t="shared" si="104"/>
        <v>0</v>
      </c>
      <c r="CL125" s="286">
        <f t="shared" si="101"/>
        <v>0</v>
      </c>
      <c r="CM125" s="305" t="s">
        <v>292</v>
      </c>
      <c r="CN125" s="315">
        <v>0.05</v>
      </c>
      <c r="CO125" s="306"/>
      <c r="CP125" s="307" t="str">
        <f>IF($CO125&lt;&gt;"",$CO125,HLOOKUP($CM125,$AY$6:$BA$132,ROWS(CP$6:CP125),0))</f>
        <v/>
      </c>
      <c r="CQ125" s="784" t="str">
        <f t="shared" si="100"/>
        <v/>
      </c>
      <c r="CR125" s="784" t="str">
        <f t="shared" si="100"/>
        <v/>
      </c>
      <c r="CS125" s="97" t="str">
        <f t="shared" si="100"/>
        <v/>
      </c>
      <c r="CT125" s="97" t="str">
        <f t="shared" si="100"/>
        <v/>
      </c>
      <c r="CU125" s="97" t="str">
        <f t="shared" si="100"/>
        <v/>
      </c>
      <c r="CV125" s="97" t="str">
        <f t="shared" si="100"/>
        <v/>
      </c>
      <c r="CW125" s="97" t="str">
        <f t="shared" si="100"/>
        <v/>
      </c>
      <c r="CX125" s="98" t="str">
        <f t="shared" si="100"/>
        <v/>
      </c>
    </row>
    <row r="126" spans="1:102" ht="15.75" thickBot="1" x14ac:dyDescent="0.3">
      <c r="A126" s="81" t="s">
        <v>242</v>
      </c>
      <c r="B126" s="82" t="s">
        <v>399</v>
      </c>
      <c r="C126" s="102" t="s">
        <v>400</v>
      </c>
      <c r="D126" s="103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655">
        <f>'2022-23 Input'!H126</f>
        <v>0</v>
      </c>
      <c r="N126" s="1066">
        <v>0</v>
      </c>
      <c r="O126" s="563">
        <f t="shared" si="79"/>
        <v>0</v>
      </c>
      <c r="P126" s="564">
        <f t="shared" si="53"/>
        <v>0</v>
      </c>
      <c r="Q126" s="564">
        <f t="shared" si="54"/>
        <v>0</v>
      </c>
      <c r="R126" s="564">
        <f t="shared" si="55"/>
        <v>0</v>
      </c>
      <c r="S126" s="564">
        <f t="shared" si="56"/>
        <v>0</v>
      </c>
      <c r="T126" s="564">
        <f t="shared" si="57"/>
        <v>0</v>
      </c>
      <c r="U126" s="564">
        <f t="shared" si="58"/>
        <v>0</v>
      </c>
      <c r="V126" s="564">
        <f t="shared" si="59"/>
        <v>0</v>
      </c>
      <c r="W126" s="676">
        <f t="shared" si="60"/>
        <v>0</v>
      </c>
      <c r="X126" s="676">
        <f t="shared" si="61"/>
        <v>0</v>
      </c>
      <c r="Y126" s="676">
        <f t="shared" si="61"/>
        <v>0</v>
      </c>
      <c r="Z126" s="105">
        <v>0</v>
      </c>
      <c r="AA126" s="106">
        <v>0</v>
      </c>
      <c r="AB126" s="106">
        <v>0</v>
      </c>
      <c r="AC126" s="106">
        <v>0</v>
      </c>
      <c r="AD126" s="106">
        <v>0</v>
      </c>
      <c r="AE126" s="106">
        <v>0</v>
      </c>
      <c r="AF126" s="106">
        <v>0</v>
      </c>
      <c r="AG126" s="106">
        <v>0</v>
      </c>
      <c r="AH126" s="106">
        <v>0</v>
      </c>
      <c r="AI126" s="1095">
        <f>'2022-23 Input'!O126</f>
        <v>0</v>
      </c>
      <c r="AJ126" s="666">
        <v>0</v>
      </c>
      <c r="AK126" s="107">
        <f t="shared" si="84"/>
        <v>0</v>
      </c>
      <c r="AL126" s="108">
        <f t="shared" si="85"/>
        <v>0</v>
      </c>
      <c r="AM126" s="109">
        <f t="shared" si="86"/>
        <v>0</v>
      </c>
      <c r="AN126" s="110" t="str">
        <f t="shared" si="87"/>
        <v/>
      </c>
      <c r="AO126" s="111" t="str">
        <f t="shared" si="88"/>
        <v/>
      </c>
      <c r="AP126" s="111" t="str">
        <f t="shared" si="89"/>
        <v/>
      </c>
      <c r="AQ126" s="111" t="str">
        <f t="shared" si="90"/>
        <v/>
      </c>
      <c r="AR126" s="111" t="str">
        <f t="shared" si="91"/>
        <v/>
      </c>
      <c r="AS126" s="111" t="str">
        <f t="shared" si="92"/>
        <v/>
      </c>
      <c r="AT126" s="111" t="str">
        <f t="shared" si="93"/>
        <v/>
      </c>
      <c r="AU126" s="111" t="str">
        <f t="shared" si="94"/>
        <v/>
      </c>
      <c r="AV126" s="111" t="str">
        <f t="shared" si="102"/>
        <v/>
      </c>
      <c r="AW126" s="111" t="str">
        <f t="shared" si="102"/>
        <v/>
      </c>
      <c r="AX126" s="111" t="str">
        <f t="shared" si="102"/>
        <v/>
      </c>
      <c r="AY126" s="112" t="str">
        <f t="shared" si="96"/>
        <v/>
      </c>
      <c r="AZ126" s="113" t="str">
        <f t="shared" si="97"/>
        <v/>
      </c>
      <c r="BA126" s="114" t="str">
        <f t="shared" si="98"/>
        <v/>
      </c>
      <c r="BB126" s="250" t="s">
        <v>422</v>
      </c>
      <c r="BC126" s="230" t="s">
        <v>433</v>
      </c>
      <c r="BD126" s="251">
        <v>0</v>
      </c>
      <c r="BE126" s="270">
        <f t="shared" si="80"/>
        <v>0</v>
      </c>
      <c r="BF126" s="271">
        <f t="shared" si="103"/>
        <v>0</v>
      </c>
      <c r="BG126" s="271">
        <f t="shared" si="103"/>
        <v>0</v>
      </c>
      <c r="BH126" s="271">
        <f t="shared" si="103"/>
        <v>1</v>
      </c>
      <c r="BI126" s="271">
        <f t="shared" si="103"/>
        <v>2</v>
      </c>
      <c r="BJ126" s="271">
        <f t="shared" si="103"/>
        <v>3</v>
      </c>
      <c r="BK126" s="271">
        <f t="shared" si="103"/>
        <v>4</v>
      </c>
      <c r="BL126" s="272">
        <f t="shared" si="103"/>
        <v>5</v>
      </c>
      <c r="BM126" s="257">
        <f>IF($BC126=Lookup!$A$2,$BD126*ROUNDUP(BE126/10,0)+1,
IF($BC126=Lookup!$A$3,($BD126+1)^BD126,
IF($BC126=Lookup!$A$4,BE126*$BD126+1,"Error")))</f>
        <v>1</v>
      </c>
      <c r="BN126" s="230">
        <f>IF($BC126=Lookup!$A$2,$BD126*ROUNDUP(BF126/10,0)+1,
IF($BC126=Lookup!$A$3,($BD126+1)^BE126,
IF($BC126=Lookup!$A$4,BF126*$BD126+1,"Error")))</f>
        <v>1</v>
      </c>
      <c r="BO126" s="230">
        <f>IF($BC126=Lookup!$A$2,$BD126*ROUNDUP(BG126/10,0)+1,
IF($BC126=Lookup!$A$3,($BD126+1)^BF126,
IF($BC126=Lookup!$A$4,BG126*$BD126+1,"Error")))</f>
        <v>1</v>
      </c>
      <c r="BP126" s="230">
        <f>IF($BC126=Lookup!$A$2,$BD126*ROUNDUP(BH126/10,0)+1,
IF($BC126=Lookup!$A$3,($BD126+1)^BG126,
IF($BC126=Lookup!$A$4,BH126*$BD126+1,"Error")))</f>
        <v>1</v>
      </c>
      <c r="BQ126" s="230">
        <f>IF($BC126=Lookup!$A$2,$BD126*ROUNDUP(BI126/10,0)+1,
IF($BC126=Lookup!$A$3,($BD126+1)^BH126,
IF($BC126=Lookup!$A$4,BI126*$BD126+1,"Error")))</f>
        <v>1</v>
      </c>
      <c r="BR126" s="230">
        <f>IF($BC126=Lookup!$A$2,$BD126*ROUNDUP(BJ126/10,0)+1,
IF($BC126=Lookup!$A$3,($BD126+1)^BI126,
IF($BC126=Lookup!$A$4,BJ126*$BD126+1,"Error")))</f>
        <v>1</v>
      </c>
      <c r="BS126" s="230">
        <f>IF($BC126=Lookup!$A$2,$BD126*ROUNDUP(BK126/10,0)+1,
IF($BC126=Lookup!$A$3,($BD126+1)^BJ126,
IF($BC126=Lookup!$A$4,BK126*$BD126+1,"Error")))</f>
        <v>1</v>
      </c>
      <c r="BT126" s="251">
        <f>IF($BC126=Lookup!$A$2,$BD126*ROUNDUP(BL126/10,0)+1,
IF($BC126=Lookup!$A$3,($BD126+1)^BK126,
IF($BC126=Lookup!$A$4,BL126*$BD126+1,"Error")))</f>
        <v>1</v>
      </c>
      <c r="BU126" s="322">
        <v>0</v>
      </c>
      <c r="BV126" s="323">
        <v>0</v>
      </c>
      <c r="BW126" s="323">
        <v>0</v>
      </c>
      <c r="BX126" s="323">
        <v>0</v>
      </c>
      <c r="BY126" s="323">
        <v>0</v>
      </c>
      <c r="BZ126" s="323">
        <v>0</v>
      </c>
      <c r="CA126" s="323">
        <v>0</v>
      </c>
      <c r="CB126" s="278">
        <v>0</v>
      </c>
      <c r="CC126" s="384" t="s">
        <v>293</v>
      </c>
      <c r="CD126" s="385">
        <f>HLOOKUP($CC126,$AK$6:$AM$132,ROWS(CD$6:CD126),0)</f>
        <v>0</v>
      </c>
      <c r="CE126" s="235">
        <f t="shared" si="105"/>
        <v>0</v>
      </c>
      <c r="CF126" s="115">
        <f t="shared" si="105"/>
        <v>0</v>
      </c>
      <c r="CG126" s="115">
        <f t="shared" si="105"/>
        <v>0</v>
      </c>
      <c r="CH126" s="115">
        <f t="shared" si="104"/>
        <v>0</v>
      </c>
      <c r="CI126" s="115">
        <f t="shared" si="104"/>
        <v>0</v>
      </c>
      <c r="CJ126" s="115">
        <f t="shared" si="104"/>
        <v>0</v>
      </c>
      <c r="CK126" s="115">
        <f t="shared" si="104"/>
        <v>0</v>
      </c>
      <c r="CL126" s="287">
        <f t="shared" si="101"/>
        <v>0</v>
      </c>
      <c r="CM126" s="308" t="s">
        <v>292</v>
      </c>
      <c r="CN126" s="316">
        <v>0.05</v>
      </c>
      <c r="CO126" s="309"/>
      <c r="CP126" s="310" t="str">
        <f>IF($CO126&lt;&gt;"",$CO126,HLOOKUP($CM126,$AY$6:$BA$132,ROWS(CP$6:CP126),0))</f>
        <v/>
      </c>
      <c r="CQ126" s="785" t="str">
        <f t="shared" si="100"/>
        <v/>
      </c>
      <c r="CR126" s="785" t="str">
        <f t="shared" si="100"/>
        <v/>
      </c>
      <c r="CS126" s="117" t="str">
        <f t="shared" si="100"/>
        <v/>
      </c>
      <c r="CT126" s="117" t="str">
        <f t="shared" si="100"/>
        <v/>
      </c>
      <c r="CU126" s="117" t="str">
        <f t="shared" si="100"/>
        <v/>
      </c>
      <c r="CV126" s="117" t="str">
        <f t="shared" si="100"/>
        <v/>
      </c>
      <c r="CW126" s="117" t="str">
        <f t="shared" si="100"/>
        <v/>
      </c>
      <c r="CX126" s="118" t="str">
        <f t="shared" si="100"/>
        <v/>
      </c>
    </row>
    <row r="127" spans="1:102" x14ac:dyDescent="0.25">
      <c r="A127" s="81" t="s">
        <v>258</v>
      </c>
      <c r="B127" s="82" t="s">
        <v>255</v>
      </c>
      <c r="C127" s="145" t="s">
        <v>401</v>
      </c>
      <c r="D127" s="146">
        <v>0</v>
      </c>
      <c r="E127" s="147">
        <v>0</v>
      </c>
      <c r="F127" s="147">
        <v>0</v>
      </c>
      <c r="G127" s="147">
        <v>0</v>
      </c>
      <c r="H127" s="147">
        <v>0</v>
      </c>
      <c r="I127" s="147">
        <v>0</v>
      </c>
      <c r="J127" s="147">
        <v>0</v>
      </c>
      <c r="K127" s="147">
        <v>0</v>
      </c>
      <c r="L127" s="147">
        <v>0</v>
      </c>
      <c r="M127" s="656">
        <f>'2022-23 Input'!H127</f>
        <v>0</v>
      </c>
      <c r="N127" s="1067">
        <v>0</v>
      </c>
      <c r="O127" s="566">
        <f t="shared" si="79"/>
        <v>0</v>
      </c>
      <c r="P127" s="567">
        <f t="shared" si="53"/>
        <v>0</v>
      </c>
      <c r="Q127" s="567">
        <f t="shared" si="54"/>
        <v>0</v>
      </c>
      <c r="R127" s="567">
        <f t="shared" si="55"/>
        <v>0</v>
      </c>
      <c r="S127" s="567">
        <f t="shared" si="56"/>
        <v>0</v>
      </c>
      <c r="T127" s="567">
        <f t="shared" si="57"/>
        <v>0</v>
      </c>
      <c r="U127" s="567">
        <f t="shared" si="58"/>
        <v>0</v>
      </c>
      <c r="V127" s="567">
        <f t="shared" si="59"/>
        <v>0</v>
      </c>
      <c r="W127" s="677">
        <f t="shared" si="60"/>
        <v>0</v>
      </c>
      <c r="X127" s="677">
        <f t="shared" si="61"/>
        <v>0</v>
      </c>
      <c r="Y127" s="677">
        <f t="shared" si="61"/>
        <v>0</v>
      </c>
      <c r="Z127" s="148">
        <v>0</v>
      </c>
      <c r="AA127" s="149">
        <v>0</v>
      </c>
      <c r="AB127" s="149">
        <v>0</v>
      </c>
      <c r="AC127" s="149">
        <v>0</v>
      </c>
      <c r="AD127" s="149">
        <v>0</v>
      </c>
      <c r="AE127" s="149">
        <v>0</v>
      </c>
      <c r="AF127" s="149">
        <v>0</v>
      </c>
      <c r="AG127" s="149">
        <v>0</v>
      </c>
      <c r="AH127" s="149">
        <v>0</v>
      </c>
      <c r="AI127" s="1099">
        <f>'2022-23 Input'!O127</f>
        <v>0</v>
      </c>
      <c r="AJ127" s="670">
        <v>0</v>
      </c>
      <c r="AK127" s="150">
        <f t="shared" si="84"/>
        <v>0</v>
      </c>
      <c r="AL127" s="151">
        <f t="shared" si="85"/>
        <v>0</v>
      </c>
      <c r="AM127" s="152">
        <f t="shared" si="86"/>
        <v>0</v>
      </c>
      <c r="AN127" s="153" t="str">
        <f t="shared" si="87"/>
        <v/>
      </c>
      <c r="AO127" s="154" t="str">
        <f t="shared" si="88"/>
        <v/>
      </c>
      <c r="AP127" s="154" t="str">
        <f t="shared" si="89"/>
        <v/>
      </c>
      <c r="AQ127" s="154" t="str">
        <f t="shared" si="90"/>
        <v/>
      </c>
      <c r="AR127" s="154" t="str">
        <f t="shared" si="91"/>
        <v/>
      </c>
      <c r="AS127" s="154" t="str">
        <f t="shared" si="92"/>
        <v/>
      </c>
      <c r="AT127" s="154" t="str">
        <f t="shared" si="93"/>
        <v/>
      </c>
      <c r="AU127" s="154" t="str">
        <f t="shared" si="94"/>
        <v/>
      </c>
      <c r="AV127" s="154" t="str">
        <f t="shared" si="102"/>
        <v/>
      </c>
      <c r="AW127" s="154" t="str">
        <f t="shared" si="102"/>
        <v/>
      </c>
      <c r="AX127" s="154" t="str">
        <f t="shared" si="102"/>
        <v/>
      </c>
      <c r="AY127" s="155" t="str">
        <f t="shared" si="96"/>
        <v/>
      </c>
      <c r="AZ127" s="156" t="str">
        <f t="shared" si="97"/>
        <v/>
      </c>
      <c r="BA127" s="157" t="str">
        <f t="shared" si="98"/>
        <v/>
      </c>
      <c r="BB127" s="246" t="s">
        <v>422</v>
      </c>
      <c r="BC127" s="228" t="s">
        <v>433</v>
      </c>
      <c r="BD127" s="247">
        <v>0</v>
      </c>
      <c r="BE127" s="264">
        <f t="shared" si="80"/>
        <v>0</v>
      </c>
      <c r="BF127" s="265">
        <f t="shared" si="103"/>
        <v>0</v>
      </c>
      <c r="BG127" s="265">
        <f t="shared" si="103"/>
        <v>0</v>
      </c>
      <c r="BH127" s="265">
        <f t="shared" si="103"/>
        <v>1</v>
      </c>
      <c r="BI127" s="265">
        <f t="shared" si="103"/>
        <v>2</v>
      </c>
      <c r="BJ127" s="265">
        <f t="shared" si="103"/>
        <v>3</v>
      </c>
      <c r="BK127" s="265">
        <f t="shared" si="103"/>
        <v>4</v>
      </c>
      <c r="BL127" s="266">
        <f t="shared" si="103"/>
        <v>5</v>
      </c>
      <c r="BM127" s="255">
        <f>IF($BC127=Lookup!$A$2,$BD127*ROUNDUP(BE127/10,0)+1,
IF($BC127=Lookup!$A$3,($BD127+1)^BD127,
IF($BC127=Lookup!$A$4,BE127*$BD127+1,"Error")))</f>
        <v>1</v>
      </c>
      <c r="BN127" s="228">
        <f>IF($BC127=Lookup!$A$2,$BD127*ROUNDUP(BF127/10,0)+1,
IF($BC127=Lookup!$A$3,($BD127+1)^BE127,
IF($BC127=Lookup!$A$4,BF127*$BD127+1,"Error")))</f>
        <v>1</v>
      </c>
      <c r="BO127" s="228">
        <f>IF($BC127=Lookup!$A$2,$BD127*ROUNDUP(BG127/10,0)+1,
IF($BC127=Lookup!$A$3,($BD127+1)^BF127,
IF($BC127=Lookup!$A$4,BG127*$BD127+1,"Error")))</f>
        <v>1</v>
      </c>
      <c r="BP127" s="228">
        <f>IF($BC127=Lookup!$A$2,$BD127*ROUNDUP(BH127/10,0)+1,
IF($BC127=Lookup!$A$3,($BD127+1)^BG127,
IF($BC127=Lookup!$A$4,BH127*$BD127+1,"Error")))</f>
        <v>1</v>
      </c>
      <c r="BQ127" s="228">
        <f>IF($BC127=Lookup!$A$2,$BD127*ROUNDUP(BI127/10,0)+1,
IF($BC127=Lookup!$A$3,($BD127+1)^BH127,
IF($BC127=Lookup!$A$4,BI127*$BD127+1,"Error")))</f>
        <v>1</v>
      </c>
      <c r="BR127" s="228">
        <f>IF($BC127=Lookup!$A$2,$BD127*ROUNDUP(BJ127/10,0)+1,
IF($BC127=Lookup!$A$3,($BD127+1)^BI127,
IF($BC127=Lookup!$A$4,BJ127*$BD127+1,"Error")))</f>
        <v>1</v>
      </c>
      <c r="BS127" s="228">
        <f>IF($BC127=Lookup!$A$2,$BD127*ROUNDUP(BK127/10,0)+1,
IF($BC127=Lookup!$A$3,($BD127+1)^BJ127,
IF($BC127=Lookup!$A$4,BK127*$BD127+1,"Error")))</f>
        <v>1</v>
      </c>
      <c r="BT127" s="247">
        <f>IF($BC127=Lookup!$A$2,$BD127*ROUNDUP(BL127/10,0)+1,
IF($BC127=Lookup!$A$3,($BD127+1)^BK127,
IF($BC127=Lookup!$A$4,BL127*$BD127+1,"Error")))</f>
        <v>1</v>
      </c>
      <c r="BU127" s="318">
        <v>0</v>
      </c>
      <c r="BV127" s="319">
        <v>0</v>
      </c>
      <c r="BW127" s="319">
        <v>0</v>
      </c>
      <c r="BX127" s="319">
        <v>0</v>
      </c>
      <c r="BY127" s="319">
        <v>0</v>
      </c>
      <c r="BZ127" s="319">
        <v>0</v>
      </c>
      <c r="CA127" s="319">
        <v>0</v>
      </c>
      <c r="CB127" s="276">
        <v>0</v>
      </c>
      <c r="CC127" s="380" t="s">
        <v>293</v>
      </c>
      <c r="CD127" s="381">
        <f>HLOOKUP($CC127,$AK$6:$AM$132,ROWS(CD$6:CD127),0)</f>
        <v>0</v>
      </c>
      <c r="CE127" s="233">
        <f t="shared" si="105"/>
        <v>0</v>
      </c>
      <c r="CF127" s="78">
        <f t="shared" si="105"/>
        <v>0</v>
      </c>
      <c r="CG127" s="78">
        <f t="shared" si="105"/>
        <v>0</v>
      </c>
      <c r="CH127" s="78">
        <f t="shared" si="104"/>
        <v>0</v>
      </c>
      <c r="CI127" s="78">
        <f t="shared" si="104"/>
        <v>0</v>
      </c>
      <c r="CJ127" s="78">
        <f t="shared" si="104"/>
        <v>0</v>
      </c>
      <c r="CK127" s="78">
        <f t="shared" si="104"/>
        <v>0</v>
      </c>
      <c r="CL127" s="285">
        <f t="shared" si="101"/>
        <v>0</v>
      </c>
      <c r="CM127" s="311" t="s">
        <v>292</v>
      </c>
      <c r="CN127" s="317">
        <v>0.05</v>
      </c>
      <c r="CO127" s="312"/>
      <c r="CP127" s="313" t="str">
        <f>IF($CO127&lt;&gt;"",$CO127,HLOOKUP($CM127,$AY$6:$BA$132,ROWS(CP$6:CP127),0))</f>
        <v/>
      </c>
      <c r="CQ127" s="783" t="str">
        <f t="shared" si="100"/>
        <v/>
      </c>
      <c r="CR127" s="783" t="str">
        <f t="shared" si="100"/>
        <v/>
      </c>
      <c r="CS127" s="79" t="str">
        <f t="shared" si="100"/>
        <v/>
      </c>
      <c r="CT127" s="79" t="str">
        <f t="shared" si="100"/>
        <v/>
      </c>
      <c r="CU127" s="79" t="str">
        <f t="shared" si="100"/>
        <v/>
      </c>
      <c r="CV127" s="79" t="str">
        <f t="shared" si="100"/>
        <v/>
      </c>
      <c r="CW127" s="79" t="str">
        <f t="shared" si="100"/>
        <v/>
      </c>
      <c r="CX127" s="80" t="str">
        <f t="shared" si="100"/>
        <v/>
      </c>
    </row>
    <row r="128" spans="1:102" x14ac:dyDescent="0.25">
      <c r="A128" s="81" t="s">
        <v>258</v>
      </c>
      <c r="B128" s="82" t="s">
        <v>259</v>
      </c>
      <c r="C128" s="83" t="s">
        <v>257</v>
      </c>
      <c r="D128" s="84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654">
        <f>'2022-23 Input'!H128</f>
        <v>0</v>
      </c>
      <c r="N128" s="1065">
        <v>0</v>
      </c>
      <c r="O128" s="560">
        <f t="shared" si="79"/>
        <v>0</v>
      </c>
      <c r="P128" s="561">
        <f t="shared" si="53"/>
        <v>0</v>
      </c>
      <c r="Q128" s="561">
        <f t="shared" si="54"/>
        <v>0</v>
      </c>
      <c r="R128" s="561">
        <f t="shared" si="55"/>
        <v>0</v>
      </c>
      <c r="S128" s="561">
        <f t="shared" si="56"/>
        <v>0</v>
      </c>
      <c r="T128" s="561">
        <f t="shared" si="57"/>
        <v>0</v>
      </c>
      <c r="U128" s="561">
        <f t="shared" si="58"/>
        <v>0</v>
      </c>
      <c r="V128" s="561">
        <f t="shared" si="59"/>
        <v>0</v>
      </c>
      <c r="W128" s="675">
        <f t="shared" si="60"/>
        <v>0</v>
      </c>
      <c r="X128" s="675">
        <f t="shared" si="61"/>
        <v>0</v>
      </c>
      <c r="Y128" s="675">
        <f t="shared" si="61"/>
        <v>0</v>
      </c>
      <c r="Z128" s="86">
        <v>0</v>
      </c>
      <c r="AA128" s="87">
        <v>0</v>
      </c>
      <c r="AB128" s="87">
        <v>0</v>
      </c>
      <c r="AC128" s="87">
        <v>0</v>
      </c>
      <c r="AD128" s="87">
        <v>0</v>
      </c>
      <c r="AE128" s="87">
        <v>0</v>
      </c>
      <c r="AF128" s="87">
        <v>0</v>
      </c>
      <c r="AG128" s="87">
        <v>0</v>
      </c>
      <c r="AH128" s="87">
        <v>0</v>
      </c>
      <c r="AI128" s="1094">
        <f>'2022-23 Input'!O128</f>
        <v>0</v>
      </c>
      <c r="AJ128" s="665">
        <v>0</v>
      </c>
      <c r="AK128" s="88">
        <f t="shared" si="84"/>
        <v>0</v>
      </c>
      <c r="AL128" s="89">
        <f t="shared" si="85"/>
        <v>0</v>
      </c>
      <c r="AM128" s="90">
        <f t="shared" si="86"/>
        <v>0</v>
      </c>
      <c r="AN128" s="91" t="str">
        <f t="shared" si="87"/>
        <v/>
      </c>
      <c r="AO128" s="92" t="str">
        <f t="shared" si="88"/>
        <v/>
      </c>
      <c r="AP128" s="92" t="str">
        <f t="shared" si="89"/>
        <v/>
      </c>
      <c r="AQ128" s="92" t="str">
        <f t="shared" si="90"/>
        <v/>
      </c>
      <c r="AR128" s="92" t="str">
        <f t="shared" si="91"/>
        <v/>
      </c>
      <c r="AS128" s="92" t="str">
        <f t="shared" si="92"/>
        <v/>
      </c>
      <c r="AT128" s="92" t="str">
        <f t="shared" si="93"/>
        <v/>
      </c>
      <c r="AU128" s="92" t="str">
        <f t="shared" si="94"/>
        <v/>
      </c>
      <c r="AV128" s="92" t="str">
        <f t="shared" si="102"/>
        <v/>
      </c>
      <c r="AW128" s="92" t="str">
        <f t="shared" si="102"/>
        <v/>
      </c>
      <c r="AX128" s="92" t="str">
        <f t="shared" si="102"/>
        <v/>
      </c>
      <c r="AY128" s="93" t="str">
        <f t="shared" si="96"/>
        <v/>
      </c>
      <c r="AZ128" s="94" t="str">
        <f t="shared" si="97"/>
        <v/>
      </c>
      <c r="BA128" s="95" t="str">
        <f t="shared" si="98"/>
        <v/>
      </c>
      <c r="BB128" s="248" t="s">
        <v>422</v>
      </c>
      <c r="BC128" s="229" t="s">
        <v>433</v>
      </c>
      <c r="BD128" s="249">
        <v>0</v>
      </c>
      <c r="BE128" s="267">
        <f t="shared" si="80"/>
        <v>0</v>
      </c>
      <c r="BF128" s="268">
        <f t="shared" si="103"/>
        <v>0</v>
      </c>
      <c r="BG128" s="268">
        <f t="shared" si="103"/>
        <v>0</v>
      </c>
      <c r="BH128" s="268">
        <f t="shared" si="103"/>
        <v>1</v>
      </c>
      <c r="BI128" s="268">
        <f t="shared" si="103"/>
        <v>2</v>
      </c>
      <c r="BJ128" s="268">
        <f t="shared" si="103"/>
        <v>3</v>
      </c>
      <c r="BK128" s="268">
        <f t="shared" si="103"/>
        <v>4</v>
      </c>
      <c r="BL128" s="269">
        <f t="shared" si="103"/>
        <v>5</v>
      </c>
      <c r="BM128" s="256">
        <f>IF($BC128=Lookup!$A$2,$BD128*ROUNDUP(BE128/10,0)+1,
IF($BC128=Lookup!$A$3,($BD128+1)^BD128,
IF($BC128=Lookup!$A$4,BE128*$BD128+1,"Error")))</f>
        <v>1</v>
      </c>
      <c r="BN128" s="229">
        <f>IF($BC128=Lookup!$A$2,$BD128*ROUNDUP(BF128/10,0)+1,
IF($BC128=Lookup!$A$3,($BD128+1)^BE128,
IF($BC128=Lookup!$A$4,BF128*$BD128+1,"Error")))</f>
        <v>1</v>
      </c>
      <c r="BO128" s="229">
        <f>IF($BC128=Lookup!$A$2,$BD128*ROUNDUP(BG128/10,0)+1,
IF($BC128=Lookup!$A$3,($BD128+1)^BF128,
IF($BC128=Lookup!$A$4,BG128*$BD128+1,"Error")))</f>
        <v>1</v>
      </c>
      <c r="BP128" s="229">
        <f>IF($BC128=Lookup!$A$2,$BD128*ROUNDUP(BH128/10,0)+1,
IF($BC128=Lookup!$A$3,($BD128+1)^BG128,
IF($BC128=Lookup!$A$4,BH128*$BD128+1,"Error")))</f>
        <v>1</v>
      </c>
      <c r="BQ128" s="229">
        <f>IF($BC128=Lookup!$A$2,$BD128*ROUNDUP(BI128/10,0)+1,
IF($BC128=Lookup!$A$3,($BD128+1)^BH128,
IF($BC128=Lookup!$A$4,BI128*$BD128+1,"Error")))</f>
        <v>1</v>
      </c>
      <c r="BR128" s="229">
        <f>IF($BC128=Lookup!$A$2,$BD128*ROUNDUP(BJ128/10,0)+1,
IF($BC128=Lookup!$A$3,($BD128+1)^BI128,
IF($BC128=Lookup!$A$4,BJ128*$BD128+1,"Error")))</f>
        <v>1</v>
      </c>
      <c r="BS128" s="229">
        <f>IF($BC128=Lookup!$A$2,$BD128*ROUNDUP(BK128/10,0)+1,
IF($BC128=Lookup!$A$3,($BD128+1)^BJ128,
IF($BC128=Lookup!$A$4,BK128*$BD128+1,"Error")))</f>
        <v>1</v>
      </c>
      <c r="BT128" s="249">
        <f>IF($BC128=Lookup!$A$2,$BD128*ROUNDUP(BL128/10,0)+1,
IF($BC128=Lookup!$A$3,($BD128+1)^BK128,
IF($BC128=Lookup!$A$4,BL128*$BD128+1,"Error")))</f>
        <v>1</v>
      </c>
      <c r="BU128" s="320">
        <v>0</v>
      </c>
      <c r="BV128" s="321">
        <v>0</v>
      </c>
      <c r="BW128" s="321">
        <v>0</v>
      </c>
      <c r="BX128" s="321">
        <v>0</v>
      </c>
      <c r="BY128" s="321">
        <v>0</v>
      </c>
      <c r="BZ128" s="321">
        <v>0</v>
      </c>
      <c r="CA128" s="321">
        <v>0</v>
      </c>
      <c r="CB128" s="277">
        <v>0</v>
      </c>
      <c r="CC128" s="382" t="s">
        <v>293</v>
      </c>
      <c r="CD128" s="383">
        <f>HLOOKUP($CC128,$AK$6:$AM$132,ROWS(CD$6:CD128),0)</f>
        <v>0</v>
      </c>
      <c r="CE128" s="234">
        <f t="shared" si="105"/>
        <v>0</v>
      </c>
      <c r="CF128" s="96">
        <f t="shared" si="105"/>
        <v>0</v>
      </c>
      <c r="CG128" s="96">
        <f t="shared" si="105"/>
        <v>0</v>
      </c>
      <c r="CH128" s="96">
        <f t="shared" si="104"/>
        <v>0</v>
      </c>
      <c r="CI128" s="96">
        <f t="shared" si="104"/>
        <v>0</v>
      </c>
      <c r="CJ128" s="96">
        <f t="shared" si="104"/>
        <v>0</v>
      </c>
      <c r="CK128" s="96">
        <f t="shared" si="104"/>
        <v>0</v>
      </c>
      <c r="CL128" s="286">
        <f t="shared" si="101"/>
        <v>0</v>
      </c>
      <c r="CM128" s="305" t="s">
        <v>292</v>
      </c>
      <c r="CN128" s="315">
        <v>0.05</v>
      </c>
      <c r="CO128" s="306"/>
      <c r="CP128" s="307" t="str">
        <f>IF($CO128&lt;&gt;"",$CO128,HLOOKUP($CM128,$AY$6:$BA$132,ROWS(CP$6:CP128),0))</f>
        <v/>
      </c>
      <c r="CQ128" s="784" t="str">
        <f t="shared" si="100"/>
        <v/>
      </c>
      <c r="CR128" s="784" t="str">
        <f t="shared" si="100"/>
        <v/>
      </c>
      <c r="CS128" s="97" t="str">
        <f t="shared" si="100"/>
        <v/>
      </c>
      <c r="CT128" s="97" t="str">
        <f t="shared" si="100"/>
        <v/>
      </c>
      <c r="CU128" s="97" t="str">
        <f t="shared" si="100"/>
        <v/>
      </c>
      <c r="CV128" s="97" t="str">
        <f t="shared" si="100"/>
        <v/>
      </c>
      <c r="CW128" s="97" t="str">
        <f t="shared" si="100"/>
        <v/>
      </c>
      <c r="CX128" s="98" t="str">
        <f t="shared" si="100"/>
        <v/>
      </c>
    </row>
    <row r="129" spans="1:102" x14ac:dyDescent="0.25">
      <c r="A129" s="81" t="s">
        <v>258</v>
      </c>
      <c r="B129" s="82" t="s">
        <v>261</v>
      </c>
      <c r="C129" s="83" t="s">
        <v>402</v>
      </c>
      <c r="D129" s="84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654">
        <f>'2022-23 Input'!H129</f>
        <v>0</v>
      </c>
      <c r="N129" s="1065">
        <v>0</v>
      </c>
      <c r="O129" s="560">
        <f t="shared" si="79"/>
        <v>0</v>
      </c>
      <c r="P129" s="561">
        <f t="shared" si="53"/>
        <v>0</v>
      </c>
      <c r="Q129" s="561">
        <f t="shared" si="54"/>
        <v>0</v>
      </c>
      <c r="R129" s="561">
        <f t="shared" si="55"/>
        <v>0</v>
      </c>
      <c r="S129" s="561">
        <f t="shared" si="56"/>
        <v>0</v>
      </c>
      <c r="T129" s="561">
        <f t="shared" si="57"/>
        <v>0</v>
      </c>
      <c r="U129" s="561">
        <f t="shared" si="58"/>
        <v>0</v>
      </c>
      <c r="V129" s="561">
        <f t="shared" si="59"/>
        <v>0</v>
      </c>
      <c r="W129" s="675">
        <f t="shared" si="60"/>
        <v>0</v>
      </c>
      <c r="X129" s="675">
        <f t="shared" si="61"/>
        <v>0</v>
      </c>
      <c r="Y129" s="675">
        <f t="shared" si="61"/>
        <v>0</v>
      </c>
      <c r="Z129" s="86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87">
        <v>0</v>
      </c>
      <c r="AI129" s="1094">
        <f>'2022-23 Input'!O129</f>
        <v>0</v>
      </c>
      <c r="AJ129" s="665">
        <v>0</v>
      </c>
      <c r="AK129" s="88">
        <f t="shared" si="84"/>
        <v>0</v>
      </c>
      <c r="AL129" s="89">
        <f t="shared" si="85"/>
        <v>0</v>
      </c>
      <c r="AM129" s="90">
        <f t="shared" si="86"/>
        <v>0</v>
      </c>
      <c r="AN129" s="91" t="str">
        <f t="shared" si="87"/>
        <v/>
      </c>
      <c r="AO129" s="92" t="str">
        <f t="shared" si="88"/>
        <v/>
      </c>
      <c r="AP129" s="92" t="str">
        <f t="shared" si="89"/>
        <v/>
      </c>
      <c r="AQ129" s="92" t="str">
        <f t="shared" si="90"/>
        <v/>
      </c>
      <c r="AR129" s="92" t="str">
        <f t="shared" si="91"/>
        <v/>
      </c>
      <c r="AS129" s="92" t="str">
        <f t="shared" si="92"/>
        <v/>
      </c>
      <c r="AT129" s="92" t="str">
        <f t="shared" si="93"/>
        <v/>
      </c>
      <c r="AU129" s="92" t="str">
        <f t="shared" si="94"/>
        <v/>
      </c>
      <c r="AV129" s="92" t="str">
        <f t="shared" si="102"/>
        <v/>
      </c>
      <c r="AW129" s="92" t="str">
        <f t="shared" si="102"/>
        <v/>
      </c>
      <c r="AX129" s="92" t="str">
        <f t="shared" si="102"/>
        <v/>
      </c>
      <c r="AY129" s="93" t="str">
        <f t="shared" si="96"/>
        <v/>
      </c>
      <c r="AZ129" s="94" t="str">
        <f t="shared" si="97"/>
        <v/>
      </c>
      <c r="BA129" s="95" t="str">
        <f t="shared" si="98"/>
        <v/>
      </c>
      <c r="BB129" s="248" t="s">
        <v>422</v>
      </c>
      <c r="BC129" s="229" t="s">
        <v>433</v>
      </c>
      <c r="BD129" s="249">
        <v>0</v>
      </c>
      <c r="BE129" s="267">
        <f t="shared" si="80"/>
        <v>0</v>
      </c>
      <c r="BF129" s="268">
        <f t="shared" si="103"/>
        <v>0</v>
      </c>
      <c r="BG129" s="268">
        <f t="shared" si="103"/>
        <v>0</v>
      </c>
      <c r="BH129" s="268">
        <f t="shared" si="103"/>
        <v>1</v>
      </c>
      <c r="BI129" s="268">
        <f t="shared" si="103"/>
        <v>2</v>
      </c>
      <c r="BJ129" s="268">
        <f t="shared" si="103"/>
        <v>3</v>
      </c>
      <c r="BK129" s="268">
        <f t="shared" si="103"/>
        <v>4</v>
      </c>
      <c r="BL129" s="269">
        <f t="shared" si="103"/>
        <v>5</v>
      </c>
      <c r="BM129" s="256">
        <f>IF($BC129=Lookup!$A$2,$BD129*ROUNDUP(BE129/10,0)+1,
IF($BC129=Lookup!$A$3,($BD129+1)^BD129,
IF($BC129=Lookup!$A$4,BE129*$BD129+1,"Error")))</f>
        <v>1</v>
      </c>
      <c r="BN129" s="229">
        <f>IF($BC129=Lookup!$A$2,$BD129*ROUNDUP(BF129/10,0)+1,
IF($BC129=Lookup!$A$3,($BD129+1)^BE129,
IF($BC129=Lookup!$A$4,BF129*$BD129+1,"Error")))</f>
        <v>1</v>
      </c>
      <c r="BO129" s="229">
        <f>IF($BC129=Lookup!$A$2,$BD129*ROUNDUP(BG129/10,0)+1,
IF($BC129=Lookup!$A$3,($BD129+1)^BF129,
IF($BC129=Lookup!$A$4,BG129*$BD129+1,"Error")))</f>
        <v>1</v>
      </c>
      <c r="BP129" s="229">
        <f>IF($BC129=Lookup!$A$2,$BD129*ROUNDUP(BH129/10,0)+1,
IF($BC129=Lookup!$A$3,($BD129+1)^BG129,
IF($BC129=Lookup!$A$4,BH129*$BD129+1,"Error")))</f>
        <v>1</v>
      </c>
      <c r="BQ129" s="229">
        <f>IF($BC129=Lookup!$A$2,$BD129*ROUNDUP(BI129/10,0)+1,
IF($BC129=Lookup!$A$3,($BD129+1)^BH129,
IF($BC129=Lookup!$A$4,BI129*$BD129+1,"Error")))</f>
        <v>1</v>
      </c>
      <c r="BR129" s="229">
        <f>IF($BC129=Lookup!$A$2,$BD129*ROUNDUP(BJ129/10,0)+1,
IF($BC129=Lookup!$A$3,($BD129+1)^BI129,
IF($BC129=Lookup!$A$4,BJ129*$BD129+1,"Error")))</f>
        <v>1</v>
      </c>
      <c r="BS129" s="229">
        <f>IF($BC129=Lookup!$A$2,$BD129*ROUNDUP(BK129/10,0)+1,
IF($BC129=Lookup!$A$3,($BD129+1)^BJ129,
IF($BC129=Lookup!$A$4,BK129*$BD129+1,"Error")))</f>
        <v>1</v>
      </c>
      <c r="BT129" s="249">
        <f>IF($BC129=Lookup!$A$2,$BD129*ROUNDUP(BL129/10,0)+1,
IF($BC129=Lookup!$A$3,($BD129+1)^BK129,
IF($BC129=Lookup!$A$4,BL129*$BD129+1,"Error")))</f>
        <v>1</v>
      </c>
      <c r="BU129" s="320">
        <v>0</v>
      </c>
      <c r="BV129" s="321">
        <v>0</v>
      </c>
      <c r="BW129" s="321">
        <v>0</v>
      </c>
      <c r="BX129" s="321">
        <v>0</v>
      </c>
      <c r="BY129" s="321">
        <v>0</v>
      </c>
      <c r="BZ129" s="321">
        <v>0</v>
      </c>
      <c r="CA129" s="321">
        <v>0</v>
      </c>
      <c r="CB129" s="277">
        <v>0</v>
      </c>
      <c r="CC129" s="382" t="s">
        <v>293</v>
      </c>
      <c r="CD129" s="383">
        <f>HLOOKUP($CC129,$AK$6:$AM$132,ROWS(CD$6:CD129),0)</f>
        <v>0</v>
      </c>
      <c r="CE129" s="234">
        <f t="shared" si="105"/>
        <v>0</v>
      </c>
      <c r="CF129" s="96">
        <f t="shared" si="105"/>
        <v>0</v>
      </c>
      <c r="CG129" s="96">
        <f t="shared" si="105"/>
        <v>0</v>
      </c>
      <c r="CH129" s="96">
        <f t="shared" si="104"/>
        <v>0</v>
      </c>
      <c r="CI129" s="96">
        <f t="shared" si="104"/>
        <v>0</v>
      </c>
      <c r="CJ129" s="96">
        <f t="shared" si="104"/>
        <v>0</v>
      </c>
      <c r="CK129" s="96">
        <f t="shared" si="104"/>
        <v>0</v>
      </c>
      <c r="CL129" s="286">
        <f t="shared" si="101"/>
        <v>0</v>
      </c>
      <c r="CM129" s="305" t="s">
        <v>292</v>
      </c>
      <c r="CN129" s="315">
        <v>0.05</v>
      </c>
      <c r="CO129" s="306"/>
      <c r="CP129" s="307" t="str">
        <f>IF($CO129&lt;&gt;"",$CO129,HLOOKUP($CM129,$AY$6:$BA$132,ROWS(CP$6:CP129),0))</f>
        <v/>
      </c>
      <c r="CQ129" s="784" t="str">
        <f t="shared" si="100"/>
        <v/>
      </c>
      <c r="CR129" s="784" t="str">
        <f t="shared" si="100"/>
        <v/>
      </c>
      <c r="CS129" s="97" t="str">
        <f t="shared" si="100"/>
        <v/>
      </c>
      <c r="CT129" s="97" t="str">
        <f t="shared" si="100"/>
        <v/>
      </c>
      <c r="CU129" s="97" t="str">
        <f t="shared" si="100"/>
        <v/>
      </c>
      <c r="CV129" s="97" t="str">
        <f t="shared" si="100"/>
        <v/>
      </c>
      <c r="CW129" s="97" t="str">
        <f t="shared" si="100"/>
        <v/>
      </c>
      <c r="CX129" s="98" t="str">
        <f t="shared" si="100"/>
        <v/>
      </c>
    </row>
    <row r="130" spans="1:102" x14ac:dyDescent="0.25">
      <c r="A130" s="81" t="s">
        <v>258</v>
      </c>
      <c r="B130" s="82" t="s">
        <v>263</v>
      </c>
      <c r="C130" s="83" t="s">
        <v>403</v>
      </c>
      <c r="D130" s="84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654">
        <f>'2022-23 Input'!H130</f>
        <v>0</v>
      </c>
      <c r="N130" s="1065">
        <v>0</v>
      </c>
      <c r="O130" s="560">
        <f t="shared" si="79"/>
        <v>0</v>
      </c>
      <c r="P130" s="561">
        <f t="shared" si="53"/>
        <v>0</v>
      </c>
      <c r="Q130" s="561">
        <f t="shared" si="54"/>
        <v>0</v>
      </c>
      <c r="R130" s="561">
        <f t="shared" si="55"/>
        <v>0</v>
      </c>
      <c r="S130" s="561">
        <f t="shared" si="56"/>
        <v>0</v>
      </c>
      <c r="T130" s="561">
        <f t="shared" si="57"/>
        <v>0</v>
      </c>
      <c r="U130" s="561">
        <f t="shared" si="58"/>
        <v>0</v>
      </c>
      <c r="V130" s="561">
        <f t="shared" si="59"/>
        <v>0</v>
      </c>
      <c r="W130" s="675">
        <f t="shared" si="60"/>
        <v>0</v>
      </c>
      <c r="X130" s="675">
        <f t="shared" si="61"/>
        <v>0</v>
      </c>
      <c r="Y130" s="675">
        <f t="shared" si="61"/>
        <v>0</v>
      </c>
      <c r="Z130" s="86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87">
        <v>0</v>
      </c>
      <c r="AI130" s="1094">
        <f>'2022-23 Input'!O130</f>
        <v>0</v>
      </c>
      <c r="AJ130" s="665">
        <v>0</v>
      </c>
      <c r="AK130" s="88">
        <f t="shared" si="84"/>
        <v>0</v>
      </c>
      <c r="AL130" s="89">
        <f t="shared" si="85"/>
        <v>0</v>
      </c>
      <c r="AM130" s="90">
        <f t="shared" si="86"/>
        <v>0</v>
      </c>
      <c r="AN130" s="91" t="str">
        <f t="shared" si="87"/>
        <v/>
      </c>
      <c r="AO130" s="92" t="str">
        <f t="shared" si="88"/>
        <v/>
      </c>
      <c r="AP130" s="92" t="str">
        <f t="shared" si="89"/>
        <v/>
      </c>
      <c r="AQ130" s="92" t="str">
        <f t="shared" si="90"/>
        <v/>
      </c>
      <c r="AR130" s="92" t="str">
        <f t="shared" si="91"/>
        <v/>
      </c>
      <c r="AS130" s="92" t="str">
        <f t="shared" si="92"/>
        <v/>
      </c>
      <c r="AT130" s="92" t="str">
        <f t="shared" si="93"/>
        <v/>
      </c>
      <c r="AU130" s="92" t="str">
        <f t="shared" si="94"/>
        <v/>
      </c>
      <c r="AV130" s="92" t="str">
        <f t="shared" si="102"/>
        <v/>
      </c>
      <c r="AW130" s="92" t="str">
        <f t="shared" si="102"/>
        <v/>
      </c>
      <c r="AX130" s="92" t="str">
        <f t="shared" si="102"/>
        <v/>
      </c>
      <c r="AY130" s="93" t="str">
        <f t="shared" si="96"/>
        <v/>
      </c>
      <c r="AZ130" s="94" t="str">
        <f t="shared" si="97"/>
        <v/>
      </c>
      <c r="BA130" s="95" t="str">
        <f t="shared" si="98"/>
        <v/>
      </c>
      <c r="BB130" s="248" t="s">
        <v>422</v>
      </c>
      <c r="BC130" s="229" t="s">
        <v>433</v>
      </c>
      <c r="BD130" s="249">
        <v>0</v>
      </c>
      <c r="BE130" s="267">
        <f t="shared" si="80"/>
        <v>0</v>
      </c>
      <c r="BF130" s="268">
        <f t="shared" si="103"/>
        <v>0</v>
      </c>
      <c r="BG130" s="268">
        <f t="shared" si="103"/>
        <v>0</v>
      </c>
      <c r="BH130" s="268">
        <f t="shared" si="103"/>
        <v>1</v>
      </c>
      <c r="BI130" s="268">
        <f t="shared" si="103"/>
        <v>2</v>
      </c>
      <c r="BJ130" s="268">
        <f t="shared" si="103"/>
        <v>3</v>
      </c>
      <c r="BK130" s="268">
        <f t="shared" si="103"/>
        <v>4</v>
      </c>
      <c r="BL130" s="269">
        <f t="shared" si="103"/>
        <v>5</v>
      </c>
      <c r="BM130" s="256">
        <f>IF($BC130=Lookup!$A$2,$BD130*ROUNDUP(BE130/10,0)+1,
IF($BC130=Lookup!$A$3,($BD130+1)^BD130,
IF($BC130=Lookup!$A$4,BE130*$BD130+1,"Error")))</f>
        <v>1</v>
      </c>
      <c r="BN130" s="229">
        <f>IF($BC130=Lookup!$A$2,$BD130*ROUNDUP(BF130/10,0)+1,
IF($BC130=Lookup!$A$3,($BD130+1)^BE130,
IF($BC130=Lookup!$A$4,BF130*$BD130+1,"Error")))</f>
        <v>1</v>
      </c>
      <c r="BO130" s="229">
        <f>IF($BC130=Lookup!$A$2,$BD130*ROUNDUP(BG130/10,0)+1,
IF($BC130=Lookup!$A$3,($BD130+1)^BF130,
IF($BC130=Lookup!$A$4,BG130*$BD130+1,"Error")))</f>
        <v>1</v>
      </c>
      <c r="BP130" s="229">
        <f>IF($BC130=Lookup!$A$2,$BD130*ROUNDUP(BH130/10,0)+1,
IF($BC130=Lookup!$A$3,($BD130+1)^BG130,
IF($BC130=Lookup!$A$4,BH130*$BD130+1,"Error")))</f>
        <v>1</v>
      </c>
      <c r="BQ130" s="229">
        <f>IF($BC130=Lookup!$A$2,$BD130*ROUNDUP(BI130/10,0)+1,
IF($BC130=Lookup!$A$3,($BD130+1)^BH130,
IF($BC130=Lookup!$A$4,BI130*$BD130+1,"Error")))</f>
        <v>1</v>
      </c>
      <c r="BR130" s="229">
        <f>IF($BC130=Lookup!$A$2,$BD130*ROUNDUP(BJ130/10,0)+1,
IF($BC130=Lookup!$A$3,($BD130+1)^BI130,
IF($BC130=Lookup!$A$4,BJ130*$BD130+1,"Error")))</f>
        <v>1</v>
      </c>
      <c r="BS130" s="229">
        <f>IF($BC130=Lookup!$A$2,$BD130*ROUNDUP(BK130/10,0)+1,
IF($BC130=Lookup!$A$3,($BD130+1)^BJ130,
IF($BC130=Lookup!$A$4,BK130*$BD130+1,"Error")))</f>
        <v>1</v>
      </c>
      <c r="BT130" s="249">
        <f>IF($BC130=Lookup!$A$2,$BD130*ROUNDUP(BL130/10,0)+1,
IF($BC130=Lookup!$A$3,($BD130+1)^BK130,
IF($BC130=Lookup!$A$4,BL130*$BD130+1,"Error")))</f>
        <v>1</v>
      </c>
      <c r="BU130" s="320">
        <v>0</v>
      </c>
      <c r="BV130" s="321">
        <v>0</v>
      </c>
      <c r="BW130" s="321">
        <v>0</v>
      </c>
      <c r="BX130" s="321">
        <v>0</v>
      </c>
      <c r="BY130" s="321">
        <v>0</v>
      </c>
      <c r="BZ130" s="321">
        <v>0</v>
      </c>
      <c r="CA130" s="321">
        <v>0</v>
      </c>
      <c r="CB130" s="277">
        <v>0</v>
      </c>
      <c r="CC130" s="382" t="s">
        <v>293</v>
      </c>
      <c r="CD130" s="383">
        <f>HLOOKUP($CC130,$AK$6:$AM$132,ROWS(CD$6:CD130),0)</f>
        <v>0</v>
      </c>
      <c r="CE130" s="234">
        <f t="shared" si="105"/>
        <v>0</v>
      </c>
      <c r="CF130" s="96">
        <f t="shared" si="105"/>
        <v>0</v>
      </c>
      <c r="CG130" s="96">
        <f t="shared" si="105"/>
        <v>0</v>
      </c>
      <c r="CH130" s="96">
        <f t="shared" si="104"/>
        <v>0</v>
      </c>
      <c r="CI130" s="96">
        <f t="shared" si="104"/>
        <v>0</v>
      </c>
      <c r="CJ130" s="96">
        <f t="shared" si="104"/>
        <v>0</v>
      </c>
      <c r="CK130" s="96">
        <f t="shared" si="104"/>
        <v>0</v>
      </c>
      <c r="CL130" s="286">
        <f t="shared" si="101"/>
        <v>0</v>
      </c>
      <c r="CM130" s="305" t="s">
        <v>292</v>
      </c>
      <c r="CN130" s="315">
        <v>0.05</v>
      </c>
      <c r="CO130" s="306"/>
      <c r="CP130" s="307" t="str">
        <f>IF($CO130&lt;&gt;"",$CO130,HLOOKUP($CM130,$AY$6:$BA$132,ROWS(CP$6:CP130),0))</f>
        <v/>
      </c>
      <c r="CQ130" s="784" t="str">
        <f t="shared" si="100"/>
        <v/>
      </c>
      <c r="CR130" s="784" t="str">
        <f t="shared" si="100"/>
        <v/>
      </c>
      <c r="CS130" s="97" t="str">
        <f t="shared" si="100"/>
        <v/>
      </c>
      <c r="CT130" s="97" t="str">
        <f t="shared" si="100"/>
        <v/>
      </c>
      <c r="CU130" s="97" t="str">
        <f t="shared" si="100"/>
        <v/>
      </c>
      <c r="CV130" s="97" t="str">
        <f t="shared" si="100"/>
        <v/>
      </c>
      <c r="CW130" s="97" t="str">
        <f t="shared" si="100"/>
        <v/>
      </c>
      <c r="CX130" s="98" t="str">
        <f t="shared" si="100"/>
        <v/>
      </c>
    </row>
    <row r="131" spans="1:102" x14ac:dyDescent="0.25">
      <c r="A131" s="81" t="s">
        <v>258</v>
      </c>
      <c r="B131" s="82" t="s">
        <v>404</v>
      </c>
      <c r="C131" s="83" t="s">
        <v>405</v>
      </c>
      <c r="D131" s="84">
        <v>0</v>
      </c>
      <c r="E131" s="85">
        <v>0</v>
      </c>
      <c r="F131" s="85">
        <v>0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654">
        <f>'2022-23 Input'!H131</f>
        <v>0</v>
      </c>
      <c r="N131" s="1065">
        <v>0</v>
      </c>
      <c r="O131" s="560">
        <f t="shared" si="79"/>
        <v>0</v>
      </c>
      <c r="P131" s="561">
        <f t="shared" si="53"/>
        <v>0</v>
      </c>
      <c r="Q131" s="561">
        <f t="shared" si="54"/>
        <v>0</v>
      </c>
      <c r="R131" s="561">
        <f t="shared" si="55"/>
        <v>0</v>
      </c>
      <c r="S131" s="561">
        <f t="shared" si="56"/>
        <v>0</v>
      </c>
      <c r="T131" s="561">
        <f t="shared" si="57"/>
        <v>0</v>
      </c>
      <c r="U131" s="561">
        <f t="shared" si="58"/>
        <v>0</v>
      </c>
      <c r="V131" s="561">
        <f t="shared" si="59"/>
        <v>0</v>
      </c>
      <c r="W131" s="675">
        <f t="shared" si="60"/>
        <v>0</v>
      </c>
      <c r="X131" s="675">
        <f t="shared" si="61"/>
        <v>0</v>
      </c>
      <c r="Y131" s="675">
        <f t="shared" si="61"/>
        <v>0</v>
      </c>
      <c r="Z131" s="86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  <c r="AG131" s="87">
        <v>0</v>
      </c>
      <c r="AH131" s="87">
        <v>0</v>
      </c>
      <c r="AI131" s="1094">
        <f>'2022-23 Input'!O131</f>
        <v>0</v>
      </c>
      <c r="AJ131" s="665">
        <v>0</v>
      </c>
      <c r="AK131" s="88">
        <f t="shared" si="84"/>
        <v>0</v>
      </c>
      <c r="AL131" s="89">
        <f t="shared" si="85"/>
        <v>0</v>
      </c>
      <c r="AM131" s="90">
        <f t="shared" si="86"/>
        <v>0</v>
      </c>
      <c r="AN131" s="91" t="str">
        <f t="shared" si="87"/>
        <v/>
      </c>
      <c r="AO131" s="92" t="str">
        <f t="shared" si="88"/>
        <v/>
      </c>
      <c r="AP131" s="92" t="str">
        <f t="shared" si="89"/>
        <v/>
      </c>
      <c r="AQ131" s="92" t="str">
        <f t="shared" si="90"/>
        <v/>
      </c>
      <c r="AR131" s="92" t="str">
        <f t="shared" si="91"/>
        <v/>
      </c>
      <c r="AS131" s="92" t="str">
        <f t="shared" si="92"/>
        <v/>
      </c>
      <c r="AT131" s="92" t="str">
        <f t="shared" si="93"/>
        <v/>
      </c>
      <c r="AU131" s="92" t="str">
        <f t="shared" si="94"/>
        <v/>
      </c>
      <c r="AV131" s="92" t="str">
        <f t="shared" si="102"/>
        <v/>
      </c>
      <c r="AW131" s="92" t="str">
        <f t="shared" si="102"/>
        <v/>
      </c>
      <c r="AX131" s="92" t="str">
        <f t="shared" si="102"/>
        <v/>
      </c>
      <c r="AY131" s="93" t="str">
        <f t="shared" si="96"/>
        <v/>
      </c>
      <c r="AZ131" s="94" t="str">
        <f t="shared" si="97"/>
        <v/>
      </c>
      <c r="BA131" s="95" t="str">
        <f t="shared" si="98"/>
        <v/>
      </c>
      <c r="BB131" s="248" t="s">
        <v>422</v>
      </c>
      <c r="BC131" s="229" t="s">
        <v>433</v>
      </c>
      <c r="BD131" s="249">
        <v>0</v>
      </c>
      <c r="BE131" s="267">
        <f t="shared" si="80"/>
        <v>0</v>
      </c>
      <c r="BF131" s="268">
        <f t="shared" si="103"/>
        <v>0</v>
      </c>
      <c r="BG131" s="268">
        <f t="shared" si="103"/>
        <v>0</v>
      </c>
      <c r="BH131" s="268">
        <f t="shared" si="103"/>
        <v>1</v>
      </c>
      <c r="BI131" s="268">
        <f t="shared" si="103"/>
        <v>2</v>
      </c>
      <c r="BJ131" s="268">
        <f t="shared" si="103"/>
        <v>3</v>
      </c>
      <c r="BK131" s="268">
        <f t="shared" si="103"/>
        <v>4</v>
      </c>
      <c r="BL131" s="269">
        <f t="shared" si="103"/>
        <v>5</v>
      </c>
      <c r="BM131" s="256">
        <f>IF($BC131=Lookup!$A$2,$BD131*ROUNDUP(BE131/10,0)+1,
IF($BC131=Lookup!$A$3,($BD131+1)^BD131,
IF($BC131=Lookup!$A$4,BE131*$BD131+1,"Error")))</f>
        <v>1</v>
      </c>
      <c r="BN131" s="229">
        <f>IF($BC131=Lookup!$A$2,$BD131*ROUNDUP(BF131/10,0)+1,
IF($BC131=Lookup!$A$3,($BD131+1)^BE131,
IF($BC131=Lookup!$A$4,BF131*$BD131+1,"Error")))</f>
        <v>1</v>
      </c>
      <c r="BO131" s="229">
        <f>IF($BC131=Lookup!$A$2,$BD131*ROUNDUP(BG131/10,0)+1,
IF($BC131=Lookup!$A$3,($BD131+1)^BF131,
IF($BC131=Lookup!$A$4,BG131*$BD131+1,"Error")))</f>
        <v>1</v>
      </c>
      <c r="BP131" s="229">
        <f>IF($BC131=Lookup!$A$2,$BD131*ROUNDUP(BH131/10,0)+1,
IF($BC131=Lookup!$A$3,($BD131+1)^BG131,
IF($BC131=Lookup!$A$4,BH131*$BD131+1,"Error")))</f>
        <v>1</v>
      </c>
      <c r="BQ131" s="229">
        <f>IF($BC131=Lookup!$A$2,$BD131*ROUNDUP(BI131/10,0)+1,
IF($BC131=Lookup!$A$3,($BD131+1)^BH131,
IF($BC131=Lookup!$A$4,BI131*$BD131+1,"Error")))</f>
        <v>1</v>
      </c>
      <c r="BR131" s="229">
        <f>IF($BC131=Lookup!$A$2,$BD131*ROUNDUP(BJ131/10,0)+1,
IF($BC131=Lookup!$A$3,($BD131+1)^BI131,
IF($BC131=Lookup!$A$4,BJ131*$BD131+1,"Error")))</f>
        <v>1</v>
      </c>
      <c r="BS131" s="229">
        <f>IF($BC131=Lookup!$A$2,$BD131*ROUNDUP(BK131/10,0)+1,
IF($BC131=Lookup!$A$3,($BD131+1)^BJ131,
IF($BC131=Lookup!$A$4,BK131*$BD131+1,"Error")))</f>
        <v>1</v>
      </c>
      <c r="BT131" s="249">
        <f>IF($BC131=Lookup!$A$2,$BD131*ROUNDUP(BL131/10,0)+1,
IF($BC131=Lookup!$A$3,($BD131+1)^BK131,
IF($BC131=Lookup!$A$4,BL131*$BD131+1,"Error")))</f>
        <v>1</v>
      </c>
      <c r="BU131" s="320">
        <v>0</v>
      </c>
      <c r="BV131" s="321">
        <v>0</v>
      </c>
      <c r="BW131" s="321">
        <v>0</v>
      </c>
      <c r="BX131" s="321">
        <v>0</v>
      </c>
      <c r="BY131" s="321">
        <v>0</v>
      </c>
      <c r="BZ131" s="321">
        <v>0</v>
      </c>
      <c r="CA131" s="321">
        <v>0</v>
      </c>
      <c r="CB131" s="277">
        <v>0</v>
      </c>
      <c r="CC131" s="382" t="s">
        <v>293</v>
      </c>
      <c r="CD131" s="383">
        <f>HLOOKUP($CC131,$AK$6:$AM$132,ROWS(CD$6:CD131),0)</f>
        <v>0</v>
      </c>
      <c r="CE131" s="234">
        <f t="shared" si="105"/>
        <v>0</v>
      </c>
      <c r="CF131" s="96">
        <f t="shared" si="105"/>
        <v>0</v>
      </c>
      <c r="CG131" s="96">
        <f t="shared" si="105"/>
        <v>0</v>
      </c>
      <c r="CH131" s="96">
        <f t="shared" si="104"/>
        <v>0</v>
      </c>
      <c r="CI131" s="96">
        <f t="shared" si="104"/>
        <v>0</v>
      </c>
      <c r="CJ131" s="96">
        <f t="shared" si="104"/>
        <v>0</v>
      </c>
      <c r="CK131" s="96">
        <f t="shared" si="104"/>
        <v>0</v>
      </c>
      <c r="CL131" s="286">
        <f t="shared" si="101"/>
        <v>0</v>
      </c>
      <c r="CM131" s="305" t="s">
        <v>292</v>
      </c>
      <c r="CN131" s="315">
        <v>0.05</v>
      </c>
      <c r="CO131" s="306"/>
      <c r="CP131" s="307" t="str">
        <f>IF($CO131&lt;&gt;"",$CO131,HLOOKUP($CM131,$AY$6:$BA$132,ROWS(CP$6:CP131),0))</f>
        <v/>
      </c>
      <c r="CQ131" s="784" t="str">
        <f t="shared" si="100"/>
        <v/>
      </c>
      <c r="CR131" s="784" t="str">
        <f t="shared" si="100"/>
        <v/>
      </c>
      <c r="CS131" s="97" t="str">
        <f t="shared" si="100"/>
        <v/>
      </c>
      <c r="CT131" s="97" t="str">
        <f t="shared" si="100"/>
        <v/>
      </c>
      <c r="CU131" s="97" t="str">
        <f t="shared" si="100"/>
        <v/>
      </c>
      <c r="CV131" s="97" t="str">
        <f t="shared" si="100"/>
        <v/>
      </c>
      <c r="CW131" s="97" t="str">
        <f t="shared" si="100"/>
        <v/>
      </c>
      <c r="CX131" s="98" t="str">
        <f t="shared" si="100"/>
        <v/>
      </c>
    </row>
    <row r="132" spans="1:102" ht="15.75" thickBot="1" x14ac:dyDescent="0.3">
      <c r="A132" s="100" t="s">
        <v>258</v>
      </c>
      <c r="B132" s="101" t="s">
        <v>265</v>
      </c>
      <c r="C132" s="159" t="s">
        <v>406</v>
      </c>
      <c r="D132" s="103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50522.650000000009</v>
      </c>
      <c r="J132" s="104">
        <v>0</v>
      </c>
      <c r="K132" s="104">
        <v>0</v>
      </c>
      <c r="L132" s="104">
        <v>-67624.800000000003</v>
      </c>
      <c r="M132" s="655">
        <f>'2022-23 Input'!H132</f>
        <v>0</v>
      </c>
      <c r="N132" s="1066">
        <v>0</v>
      </c>
      <c r="O132" s="563">
        <f t="shared" si="79"/>
        <v>0</v>
      </c>
      <c r="P132" s="564">
        <f t="shared" si="53"/>
        <v>0</v>
      </c>
      <c r="Q132" s="564">
        <f t="shared" si="54"/>
        <v>0</v>
      </c>
      <c r="R132" s="564">
        <f t="shared" si="55"/>
        <v>0</v>
      </c>
      <c r="S132" s="564">
        <f t="shared" si="56"/>
        <v>0</v>
      </c>
      <c r="T132" s="564">
        <f t="shared" si="57"/>
        <v>62706.100879085665</v>
      </c>
      <c r="U132" s="564">
        <f t="shared" si="58"/>
        <v>0</v>
      </c>
      <c r="V132" s="564">
        <f t="shared" si="59"/>
        <v>0</v>
      </c>
      <c r="W132" s="676">
        <f t="shared" si="60"/>
        <v>-76411.10321196726</v>
      </c>
      <c r="X132" s="676">
        <f t="shared" si="61"/>
        <v>0</v>
      </c>
      <c r="Y132" s="676">
        <f t="shared" si="61"/>
        <v>0</v>
      </c>
      <c r="Z132" s="105">
        <v>0</v>
      </c>
      <c r="AA132" s="106">
        <v>0</v>
      </c>
      <c r="AB132" s="106">
        <v>0</v>
      </c>
      <c r="AC132" s="106">
        <v>0</v>
      </c>
      <c r="AD132" s="106">
        <v>0</v>
      </c>
      <c r="AE132" s="106">
        <v>47</v>
      </c>
      <c r="AF132" s="106">
        <v>25</v>
      </c>
      <c r="AG132" s="106">
        <v>0</v>
      </c>
      <c r="AH132" s="106">
        <v>10</v>
      </c>
      <c r="AI132" s="1095">
        <f>'2022-23 Input'!O132</f>
        <v>0</v>
      </c>
      <c r="AJ132" s="666">
        <v>0</v>
      </c>
      <c r="AK132" s="107">
        <f t="shared" si="84"/>
        <v>16.399999999999999</v>
      </c>
      <c r="AL132" s="108">
        <f t="shared" si="85"/>
        <v>3.3333333333333335</v>
      </c>
      <c r="AM132" s="109">
        <f t="shared" si="86"/>
        <v>0</v>
      </c>
      <c r="AN132" s="110" t="str">
        <f t="shared" si="87"/>
        <v/>
      </c>
      <c r="AO132" s="111" t="str">
        <f t="shared" si="88"/>
        <v/>
      </c>
      <c r="AP132" s="111" t="str">
        <f t="shared" si="89"/>
        <v/>
      </c>
      <c r="AQ132" s="111" t="str">
        <f t="shared" si="90"/>
        <v/>
      </c>
      <c r="AR132" s="111" t="str">
        <f t="shared" si="91"/>
        <v/>
      </c>
      <c r="AS132" s="111">
        <f t="shared" si="92"/>
        <v>1074.9500000000003</v>
      </c>
      <c r="AT132" s="111">
        <f t="shared" si="93"/>
        <v>0</v>
      </c>
      <c r="AU132" s="111" t="str">
        <f t="shared" si="94"/>
        <v/>
      </c>
      <c r="AV132" s="111">
        <f t="shared" si="102"/>
        <v>-6762.4800000000005</v>
      </c>
      <c r="AW132" s="111" t="str">
        <f t="shared" si="102"/>
        <v/>
      </c>
      <c r="AX132" s="111" t="str">
        <f t="shared" si="102"/>
        <v/>
      </c>
      <c r="AY132" s="112">
        <f t="shared" si="96"/>
        <v>-208.56280487804872</v>
      </c>
      <c r="AZ132" s="113">
        <f t="shared" si="97"/>
        <v>-6762.4800000000005</v>
      </c>
      <c r="BA132" s="114" t="str">
        <f t="shared" si="98"/>
        <v/>
      </c>
      <c r="BB132" s="250" t="s">
        <v>422</v>
      </c>
      <c r="BC132" s="230" t="s">
        <v>433</v>
      </c>
      <c r="BD132" s="251">
        <v>0</v>
      </c>
      <c r="BE132" s="270">
        <f t="shared" si="80"/>
        <v>0</v>
      </c>
      <c r="BF132" s="271">
        <f t="shared" si="103"/>
        <v>0</v>
      </c>
      <c r="BG132" s="271">
        <f t="shared" si="103"/>
        <v>0</v>
      </c>
      <c r="BH132" s="271">
        <f t="shared" si="103"/>
        <v>1</v>
      </c>
      <c r="BI132" s="271">
        <f t="shared" si="103"/>
        <v>2</v>
      </c>
      <c r="BJ132" s="271">
        <f t="shared" si="103"/>
        <v>3</v>
      </c>
      <c r="BK132" s="271">
        <f t="shared" si="103"/>
        <v>4</v>
      </c>
      <c r="BL132" s="272">
        <f t="shared" si="103"/>
        <v>5</v>
      </c>
      <c r="BM132" s="257">
        <f>IF($BC132=Lookup!$A$2,$BD132*ROUNDUP(BE132/10,0)+1,
IF($BC132=Lookup!$A$3,($BD132+1)^BD132,
IF($BC132=Lookup!$A$4,BE132*$BD132+1,"Error")))</f>
        <v>1</v>
      </c>
      <c r="BN132" s="230">
        <f>IF($BC132=Lookup!$A$2,$BD132*ROUNDUP(BF132/10,0)+1,
IF($BC132=Lookup!$A$3,($BD132+1)^BE132,
IF($BC132=Lookup!$A$4,BF132*$BD132+1,"Error")))</f>
        <v>1</v>
      </c>
      <c r="BO132" s="230">
        <f>IF($BC132=Lookup!$A$2,$BD132*ROUNDUP(BG132/10,0)+1,
IF($BC132=Lookup!$A$3,($BD132+1)^BF132,
IF($BC132=Lookup!$A$4,BG132*$BD132+1,"Error")))</f>
        <v>1</v>
      </c>
      <c r="BP132" s="230">
        <f>IF($BC132=Lookup!$A$2,$BD132*ROUNDUP(BH132/10,0)+1,
IF($BC132=Lookup!$A$3,($BD132+1)^BG132,
IF($BC132=Lookup!$A$4,BH132*$BD132+1,"Error")))</f>
        <v>1</v>
      </c>
      <c r="BQ132" s="230">
        <f>IF($BC132=Lookup!$A$2,$BD132*ROUNDUP(BI132/10,0)+1,
IF($BC132=Lookup!$A$3,($BD132+1)^BH132,
IF($BC132=Lookup!$A$4,BI132*$BD132+1,"Error")))</f>
        <v>1</v>
      </c>
      <c r="BR132" s="230">
        <f>IF($BC132=Lookup!$A$2,$BD132*ROUNDUP(BJ132/10,0)+1,
IF($BC132=Lookup!$A$3,($BD132+1)^BI132,
IF($BC132=Lookup!$A$4,BJ132*$BD132+1,"Error")))</f>
        <v>1</v>
      </c>
      <c r="BS132" s="230">
        <f>IF($BC132=Lookup!$A$2,$BD132*ROUNDUP(BK132/10,0)+1,
IF($BC132=Lookup!$A$3,($BD132+1)^BJ132,
IF($BC132=Lookup!$A$4,BK132*$BD132+1,"Error")))</f>
        <v>1</v>
      </c>
      <c r="BT132" s="251">
        <f>IF($BC132=Lookup!$A$2,$BD132*ROUNDUP(BL132/10,0)+1,
IF($BC132=Lookup!$A$3,($BD132+1)^BK132,
IF($BC132=Lookup!$A$4,BL132*$BD132+1,"Error")))</f>
        <v>1</v>
      </c>
      <c r="BU132" s="322">
        <v>0</v>
      </c>
      <c r="BV132" s="323">
        <v>0</v>
      </c>
      <c r="BW132" s="323">
        <v>0</v>
      </c>
      <c r="BX132" s="323">
        <v>0</v>
      </c>
      <c r="BY132" s="323">
        <v>0</v>
      </c>
      <c r="BZ132" s="323">
        <v>0</v>
      </c>
      <c r="CA132" s="323">
        <v>0</v>
      </c>
      <c r="CB132" s="278">
        <v>0</v>
      </c>
      <c r="CC132" s="384" t="s">
        <v>293</v>
      </c>
      <c r="CD132" s="385">
        <f>HLOOKUP($CC132,$AK$6:$AM$132,ROWS(CD$6:CD132),0)</f>
        <v>3.3333333333333335</v>
      </c>
      <c r="CE132" s="235">
        <f t="shared" si="105"/>
        <v>0</v>
      </c>
      <c r="CF132" s="115">
        <f t="shared" si="105"/>
        <v>0</v>
      </c>
      <c r="CG132" s="115">
        <f t="shared" si="105"/>
        <v>0</v>
      </c>
      <c r="CH132" s="115">
        <f t="shared" si="104"/>
        <v>0</v>
      </c>
      <c r="CI132" s="115">
        <f t="shared" si="104"/>
        <v>0</v>
      </c>
      <c r="CJ132" s="115">
        <f t="shared" si="104"/>
        <v>0</v>
      </c>
      <c r="CK132" s="115">
        <f t="shared" si="104"/>
        <v>0</v>
      </c>
      <c r="CL132" s="287">
        <f t="shared" si="101"/>
        <v>0</v>
      </c>
      <c r="CM132" s="308" t="s">
        <v>292</v>
      </c>
      <c r="CN132" s="316">
        <v>0.05</v>
      </c>
      <c r="CO132" s="309"/>
      <c r="CP132" s="310">
        <f>IF($CO132&lt;&gt;"",$CO132,HLOOKUP($CM132,$AY$6:$BA$132,ROWS(CP$6:CP132),0))</f>
        <v>-208.56280487804872</v>
      </c>
      <c r="CQ132" s="785">
        <f t="shared" si="100"/>
        <v>0</v>
      </c>
      <c r="CR132" s="785">
        <f t="shared" si="100"/>
        <v>0</v>
      </c>
      <c r="CS132" s="117">
        <f t="shared" si="100"/>
        <v>0</v>
      </c>
      <c r="CT132" s="117">
        <f t="shared" si="100"/>
        <v>0</v>
      </c>
      <c r="CU132" s="117">
        <f t="shared" si="100"/>
        <v>0</v>
      </c>
      <c r="CV132" s="117">
        <f t="shared" si="100"/>
        <v>0</v>
      </c>
      <c r="CW132" s="117">
        <f t="shared" si="100"/>
        <v>0</v>
      </c>
      <c r="CX132" s="118">
        <f t="shared" si="100"/>
        <v>0</v>
      </c>
    </row>
    <row r="133" spans="1:102" ht="15.75" thickBot="1" x14ac:dyDescent="0.3">
      <c r="A133" s="19"/>
      <c r="B133" s="19"/>
      <c r="C133" s="160" t="s">
        <v>407</v>
      </c>
      <c r="D133" s="161">
        <f>SUM(D7:D132)</f>
        <v>0</v>
      </c>
      <c r="E133" s="162">
        <f t="shared" ref="E133:X133" si="106">SUM(E7:E132)</f>
        <v>965540.65999999992</v>
      </c>
      <c r="F133" s="162">
        <f t="shared" si="106"/>
        <v>2283587.9</v>
      </c>
      <c r="G133" s="162">
        <f t="shared" si="106"/>
        <v>9050738.9899999984</v>
      </c>
      <c r="H133" s="162">
        <f t="shared" si="106"/>
        <v>21456046.320000008</v>
      </c>
      <c r="I133" s="162">
        <f t="shared" si="106"/>
        <v>29735741.263828039</v>
      </c>
      <c r="J133" s="162">
        <f t="shared" si="106"/>
        <v>54055352.543942146</v>
      </c>
      <c r="K133" s="162">
        <f t="shared" si="106"/>
        <v>56951645.055611379</v>
      </c>
      <c r="L133" s="162">
        <f t="shared" si="106"/>
        <v>1568057.8720080608</v>
      </c>
      <c r="M133" s="162">
        <f t="shared" si="106"/>
        <v>1301353.0840208398</v>
      </c>
      <c r="N133" s="162">
        <f t="shared" si="106"/>
        <v>1454870.1205951055</v>
      </c>
      <c r="O133" s="569">
        <f t="shared" si="106"/>
        <v>0</v>
      </c>
      <c r="P133" s="570">
        <f t="shared" si="106"/>
        <v>1279757.4480114551</v>
      </c>
      <c r="Q133" s="570">
        <f t="shared" si="106"/>
        <v>2996080.4502571626</v>
      </c>
      <c r="R133" s="570">
        <f t="shared" si="106"/>
        <v>11649357.752188217</v>
      </c>
      <c r="S133" s="570">
        <f t="shared" si="106"/>
        <v>27054332.141338557</v>
      </c>
      <c r="T133" s="570">
        <f t="shared" si="106"/>
        <v>36906464.554095879</v>
      </c>
      <c r="U133" s="570">
        <f t="shared" si="106"/>
        <v>67325291.513592899</v>
      </c>
      <c r="V133" s="570">
        <f t="shared" si="106"/>
        <v>68305456.079385549</v>
      </c>
      <c r="W133" s="1106">
        <f t="shared" si="106"/>
        <v>1771791.2940274233</v>
      </c>
      <c r="X133" s="1106">
        <f t="shared" si="106"/>
        <v>1383938.1559056065</v>
      </c>
      <c r="Y133" s="678">
        <f t="shared" ref="Y133" si="107">SUM(Y7:Y132)</f>
        <v>1494876.8365138054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82"/>
      <c r="AJ133" s="282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282"/>
      <c r="CM133" s="282"/>
      <c r="CN133" s="282"/>
      <c r="CO133" s="282"/>
      <c r="CP133" s="19"/>
      <c r="CQ133" s="787">
        <f t="shared" ref="CQ133:CX133" si="108">SUM(CQ7:CQ132)</f>
        <v>0</v>
      </c>
      <c r="CR133" s="1110">
        <f t="shared" si="108"/>
        <v>0</v>
      </c>
      <c r="CS133" s="163">
        <f t="shared" si="108"/>
        <v>0</v>
      </c>
      <c r="CT133" s="163">
        <f t="shared" si="108"/>
        <v>0</v>
      </c>
      <c r="CU133" s="163">
        <f t="shared" si="108"/>
        <v>0</v>
      </c>
      <c r="CV133" s="163">
        <f t="shared" si="108"/>
        <v>0</v>
      </c>
      <c r="CW133" s="163">
        <f t="shared" si="108"/>
        <v>0</v>
      </c>
      <c r="CX133" s="164">
        <f t="shared" si="108"/>
        <v>0</v>
      </c>
    </row>
    <row r="134" spans="1:102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82"/>
      <c r="N134" s="282"/>
      <c r="O134" s="19"/>
      <c r="P134" s="19"/>
      <c r="Q134" s="19"/>
      <c r="R134" s="19"/>
      <c r="S134" s="19"/>
      <c r="T134" s="19"/>
      <c r="U134" s="19"/>
      <c r="V134" s="19"/>
      <c r="W134" s="19"/>
      <c r="X134" s="282"/>
      <c r="Y134" s="282"/>
      <c r="Z134" s="19"/>
      <c r="AA134" s="19"/>
      <c r="AB134" s="19"/>
      <c r="AC134" s="19"/>
      <c r="AD134" s="19"/>
      <c r="AE134" s="19"/>
      <c r="AF134" s="19"/>
      <c r="AG134" s="19"/>
      <c r="AH134" s="19"/>
      <c r="AI134" s="282"/>
      <c r="AJ134" s="282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/>
      <c r="AX134" s="282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282"/>
      <c r="CM134" s="282"/>
      <c r="CN134" s="282"/>
      <c r="CO134" s="282"/>
      <c r="CP134" s="19"/>
      <c r="CQ134" s="780"/>
      <c r="CR134" s="780"/>
      <c r="CS134" s="19"/>
      <c r="CT134" s="19"/>
      <c r="CU134" s="19"/>
      <c r="CV134" s="19"/>
      <c r="CW134" s="19"/>
      <c r="CX134" s="19"/>
    </row>
    <row r="135" spans="1:102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82"/>
      <c r="N135" s="282"/>
      <c r="O135" s="19"/>
      <c r="P135" s="19"/>
      <c r="Q135" s="19"/>
      <c r="R135" s="19"/>
      <c r="S135" s="19"/>
      <c r="T135" s="19"/>
      <c r="U135" s="19"/>
      <c r="V135" s="19"/>
      <c r="W135" s="19"/>
      <c r="X135" s="282"/>
      <c r="Y135" s="282"/>
      <c r="Z135" s="165" t="e">
        <f t="shared" ref="Z135:AF135" si="109">Z136/(Z136+Z137)</f>
        <v>#DIV/0!</v>
      </c>
      <c r="AA135" s="165">
        <f t="shared" si="109"/>
        <v>0</v>
      </c>
      <c r="AB135" s="165">
        <f t="shared" si="109"/>
        <v>0</v>
      </c>
      <c r="AC135" s="165">
        <f t="shared" si="109"/>
        <v>0</v>
      </c>
      <c r="AD135" s="165">
        <f t="shared" si="109"/>
        <v>0</v>
      </c>
      <c r="AE135" s="165">
        <f t="shared" si="109"/>
        <v>0</v>
      </c>
      <c r="AF135" s="165">
        <f t="shared" si="109"/>
        <v>0</v>
      </c>
      <c r="AG135" s="165"/>
      <c r="AH135" s="165"/>
      <c r="AI135" s="294"/>
      <c r="AJ135" s="294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282"/>
      <c r="AX135" s="282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65"/>
      <c r="CF135" s="165"/>
      <c r="CG135" s="165"/>
      <c r="CH135" s="165"/>
      <c r="CI135" s="165"/>
      <c r="CJ135" s="165"/>
      <c r="CK135" s="165"/>
      <c r="CL135" s="294"/>
      <c r="CM135" s="294"/>
      <c r="CN135" s="294"/>
      <c r="CO135" s="294"/>
      <c r="CP135" s="19"/>
      <c r="CQ135" s="780"/>
      <c r="CR135" s="780"/>
      <c r="CS135" s="19"/>
      <c r="CT135" s="19"/>
      <c r="CU135" s="19"/>
      <c r="CV135" s="19"/>
      <c r="CW135" s="19"/>
      <c r="CX135" s="19"/>
    </row>
    <row r="136" spans="1:102" x14ac:dyDescent="0.25">
      <c r="A136" s="63" t="s">
        <v>296</v>
      </c>
      <c r="B136" s="166"/>
      <c r="C136" s="64" t="s">
        <v>409</v>
      </c>
      <c r="D136" s="167">
        <f>SUMIF($A$7:$A$132,$A136,D$7:D$132)</f>
        <v>0</v>
      </c>
      <c r="E136" s="168">
        <f t="shared" ref="E136:AF146" si="110">SUMIF($A$7:$A$132,$A136,E$7:E$132)</f>
        <v>0</v>
      </c>
      <c r="F136" s="168">
        <f t="shared" si="110"/>
        <v>0</v>
      </c>
      <c r="G136" s="168">
        <f t="shared" si="110"/>
        <v>0</v>
      </c>
      <c r="H136" s="168">
        <f t="shared" si="110"/>
        <v>0</v>
      </c>
      <c r="I136" s="168">
        <f t="shared" si="110"/>
        <v>0</v>
      </c>
      <c r="J136" s="168">
        <f t="shared" si="110"/>
        <v>0</v>
      </c>
      <c r="K136" s="168">
        <f t="shared" si="110"/>
        <v>0</v>
      </c>
      <c r="L136" s="168">
        <f t="shared" si="110"/>
        <v>0</v>
      </c>
      <c r="M136" s="658">
        <f t="shared" si="110"/>
        <v>0</v>
      </c>
      <c r="N136" s="658">
        <f t="shared" ref="N136:N146" si="111">SUMIF($A$7:$A$132,$A136,N$7:N$132)</f>
        <v>0</v>
      </c>
      <c r="O136" s="578">
        <f>SUMIF($A$7:$A$132,$A136,O$7:O$132)</f>
        <v>0</v>
      </c>
      <c r="P136" s="575">
        <f t="shared" si="110"/>
        <v>0</v>
      </c>
      <c r="Q136" s="575">
        <f t="shared" si="110"/>
        <v>0</v>
      </c>
      <c r="R136" s="575">
        <f t="shared" si="110"/>
        <v>0</v>
      </c>
      <c r="S136" s="575">
        <f t="shared" si="110"/>
        <v>0</v>
      </c>
      <c r="T136" s="575">
        <f t="shared" si="110"/>
        <v>0</v>
      </c>
      <c r="U136" s="575">
        <f t="shared" si="110"/>
        <v>0</v>
      </c>
      <c r="V136" s="575">
        <f t="shared" si="110"/>
        <v>0</v>
      </c>
      <c r="W136" s="575">
        <f t="shared" si="110"/>
        <v>0</v>
      </c>
      <c r="X136" s="679">
        <f t="shared" si="110"/>
        <v>0</v>
      </c>
      <c r="Y136" s="679">
        <f t="shared" ref="Y136:Y143" si="112">SUMIF($A$7:$A$132,$A136,Y$7:Y$132)</f>
        <v>0</v>
      </c>
      <c r="Z136" s="169">
        <f t="shared" si="110"/>
        <v>0</v>
      </c>
      <c r="AA136" s="170">
        <f t="shared" si="110"/>
        <v>0</v>
      </c>
      <c r="AB136" s="170">
        <f t="shared" si="110"/>
        <v>0</v>
      </c>
      <c r="AC136" s="170">
        <f t="shared" si="110"/>
        <v>0</v>
      </c>
      <c r="AD136" s="170">
        <f t="shared" si="110"/>
        <v>0</v>
      </c>
      <c r="AE136" s="170">
        <f t="shared" si="110"/>
        <v>0</v>
      </c>
      <c r="AF136" s="170">
        <f t="shared" si="110"/>
        <v>0</v>
      </c>
      <c r="AG136" s="170">
        <f t="shared" ref="AG136:AJ146" si="113">SUMIF($A$7:$A$132,$A136,AG$7:AG$132)</f>
        <v>0</v>
      </c>
      <c r="AH136" s="170">
        <f t="shared" si="113"/>
        <v>0</v>
      </c>
      <c r="AI136" s="170">
        <f t="shared" si="113"/>
        <v>0</v>
      </c>
      <c r="AJ136" s="613">
        <f t="shared" si="113"/>
        <v>0</v>
      </c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282"/>
      <c r="AX136" s="282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420">
        <f t="shared" ref="CE136:CL146" si="114">SUMIF($A$7:$A$132,$A136,CE$7:CE$132)</f>
        <v>0</v>
      </c>
      <c r="CF136" s="144">
        <f t="shared" si="114"/>
        <v>0</v>
      </c>
      <c r="CG136" s="144">
        <f t="shared" si="114"/>
        <v>0</v>
      </c>
      <c r="CH136" s="144">
        <f t="shared" si="114"/>
        <v>0</v>
      </c>
      <c r="CI136" s="144">
        <f t="shared" si="114"/>
        <v>0</v>
      </c>
      <c r="CJ136" s="144">
        <f t="shared" si="114"/>
        <v>0</v>
      </c>
      <c r="CK136" s="144">
        <f t="shared" si="114"/>
        <v>0</v>
      </c>
      <c r="CL136" s="293">
        <f t="shared" si="114"/>
        <v>0</v>
      </c>
      <c r="CM136" s="294"/>
      <c r="CN136" s="294"/>
      <c r="CO136" s="294"/>
      <c r="CP136" s="19"/>
      <c r="CQ136" s="788">
        <f t="shared" ref="CQ136:CX146" si="115">SUMIF($A$7:$A$132,$A136,CQ$7:CQ$132)</f>
        <v>0</v>
      </c>
      <c r="CR136" s="783">
        <f t="shared" si="115"/>
        <v>0</v>
      </c>
      <c r="CS136" s="79">
        <f t="shared" si="115"/>
        <v>0</v>
      </c>
      <c r="CT136" s="79">
        <f t="shared" si="115"/>
        <v>0</v>
      </c>
      <c r="CU136" s="79">
        <f t="shared" si="115"/>
        <v>0</v>
      </c>
      <c r="CV136" s="79">
        <f t="shared" si="115"/>
        <v>0</v>
      </c>
      <c r="CW136" s="79">
        <f t="shared" si="115"/>
        <v>0</v>
      </c>
      <c r="CX136" s="80">
        <f t="shared" si="115"/>
        <v>0</v>
      </c>
    </row>
    <row r="137" spans="1:102" x14ac:dyDescent="0.25">
      <c r="A137" s="81" t="s">
        <v>27</v>
      </c>
      <c r="B137" s="171"/>
      <c r="C137" s="82" t="s">
        <v>410</v>
      </c>
      <c r="D137" s="172">
        <f t="shared" ref="D137:D146" si="116">SUMIF($A$7:$A$132,$A137,D$7:D$132)</f>
        <v>0</v>
      </c>
      <c r="E137" s="173">
        <f t="shared" si="110"/>
        <v>454222.49590125144</v>
      </c>
      <c r="F137" s="173">
        <f t="shared" si="110"/>
        <v>1521450.7863263341</v>
      </c>
      <c r="G137" s="173">
        <f t="shared" si="110"/>
        <v>4868676.0826387601</v>
      </c>
      <c r="H137" s="173">
        <f t="shared" si="110"/>
        <v>10508700.504840963</v>
      </c>
      <c r="I137" s="173">
        <f t="shared" si="110"/>
        <v>15453595.618087035</v>
      </c>
      <c r="J137" s="173">
        <f t="shared" si="110"/>
        <v>25100383.853777602</v>
      </c>
      <c r="K137" s="173">
        <f t="shared" si="110"/>
        <v>26457034.529242922</v>
      </c>
      <c r="L137" s="173">
        <f t="shared" si="110"/>
        <v>376123.43489901774</v>
      </c>
      <c r="M137" s="659">
        <f t="shared" si="110"/>
        <v>490456.76164994697</v>
      </c>
      <c r="N137" s="659">
        <f t="shared" si="111"/>
        <v>348027.16830539401</v>
      </c>
      <c r="O137" s="580">
        <f t="shared" si="110"/>
        <v>0</v>
      </c>
      <c r="P137" s="576">
        <f t="shared" si="110"/>
        <v>602040.54191149166</v>
      </c>
      <c r="Q137" s="576">
        <f t="shared" si="110"/>
        <v>1996152.1765554622</v>
      </c>
      <c r="R137" s="576">
        <f t="shared" si="110"/>
        <v>6266554.5353641016</v>
      </c>
      <c r="S137" s="576">
        <f t="shared" si="110"/>
        <v>13250618.011893792</v>
      </c>
      <c r="T137" s="576">
        <f t="shared" si="110"/>
        <v>19180203.844659012</v>
      </c>
      <c r="U137" s="576">
        <f t="shared" si="110"/>
        <v>31262226.227919389</v>
      </c>
      <c r="V137" s="576">
        <f t="shared" si="110"/>
        <v>31731476.909286071</v>
      </c>
      <c r="W137" s="576">
        <f t="shared" si="110"/>
        <v>424992.11242781486</v>
      </c>
      <c r="X137" s="680">
        <f t="shared" si="110"/>
        <v>521581.60195238248</v>
      </c>
      <c r="Y137" s="680">
        <f t="shared" si="112"/>
        <v>357597.38619445777</v>
      </c>
      <c r="Z137" s="174">
        <f t="shared" si="110"/>
        <v>0</v>
      </c>
      <c r="AA137" s="175">
        <f t="shared" si="110"/>
        <v>62</v>
      </c>
      <c r="AB137" s="175">
        <f t="shared" si="110"/>
        <v>22</v>
      </c>
      <c r="AC137" s="175">
        <f t="shared" si="110"/>
        <v>592</v>
      </c>
      <c r="AD137" s="175">
        <f t="shared" si="110"/>
        <v>1145</v>
      </c>
      <c r="AE137" s="175">
        <f t="shared" si="110"/>
        <v>2391</v>
      </c>
      <c r="AF137" s="175">
        <f t="shared" si="110"/>
        <v>2486</v>
      </c>
      <c r="AG137" s="175">
        <f t="shared" si="113"/>
        <v>3996</v>
      </c>
      <c r="AH137" s="175">
        <f t="shared" si="113"/>
        <v>479</v>
      </c>
      <c r="AI137" s="175">
        <f t="shared" si="113"/>
        <v>112</v>
      </c>
      <c r="AJ137" s="614">
        <f t="shared" si="113"/>
        <v>41</v>
      </c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282"/>
      <c r="AX137" s="282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421">
        <f t="shared" si="114"/>
        <v>0</v>
      </c>
      <c r="CF137" s="96">
        <f t="shared" si="114"/>
        <v>0</v>
      </c>
      <c r="CG137" s="96">
        <f t="shared" si="114"/>
        <v>0</v>
      </c>
      <c r="CH137" s="96">
        <f t="shared" si="114"/>
        <v>0</v>
      </c>
      <c r="CI137" s="96">
        <f t="shared" si="114"/>
        <v>0</v>
      </c>
      <c r="CJ137" s="96">
        <f t="shared" si="114"/>
        <v>0</v>
      </c>
      <c r="CK137" s="96">
        <f t="shared" si="114"/>
        <v>0</v>
      </c>
      <c r="CL137" s="286">
        <f t="shared" si="114"/>
        <v>0</v>
      </c>
      <c r="CM137" s="294"/>
      <c r="CN137" s="294"/>
      <c r="CO137" s="294"/>
      <c r="CP137" s="19"/>
      <c r="CQ137" s="789">
        <f t="shared" si="115"/>
        <v>0</v>
      </c>
      <c r="CR137" s="784">
        <f t="shared" si="115"/>
        <v>0</v>
      </c>
      <c r="CS137" s="97">
        <f t="shared" si="115"/>
        <v>0</v>
      </c>
      <c r="CT137" s="97">
        <f t="shared" si="115"/>
        <v>0</v>
      </c>
      <c r="CU137" s="97">
        <f t="shared" si="115"/>
        <v>0</v>
      </c>
      <c r="CV137" s="97">
        <f t="shared" si="115"/>
        <v>0</v>
      </c>
      <c r="CW137" s="97">
        <f t="shared" si="115"/>
        <v>0</v>
      </c>
      <c r="CX137" s="98">
        <f t="shared" si="115"/>
        <v>0</v>
      </c>
    </row>
    <row r="138" spans="1:102" x14ac:dyDescent="0.25">
      <c r="A138" s="81" t="s">
        <v>68</v>
      </c>
      <c r="B138" s="171"/>
      <c r="C138" s="82" t="s">
        <v>411</v>
      </c>
      <c r="D138" s="172">
        <f t="shared" si="116"/>
        <v>0</v>
      </c>
      <c r="E138" s="173">
        <f t="shared" si="110"/>
        <v>262305.04478847003</v>
      </c>
      <c r="F138" s="173">
        <f t="shared" si="110"/>
        <v>157300.85790213832</v>
      </c>
      <c r="G138" s="173">
        <f t="shared" si="110"/>
        <v>1408287.6092697545</v>
      </c>
      <c r="H138" s="173">
        <f t="shared" si="110"/>
        <v>2966188.7802339396</v>
      </c>
      <c r="I138" s="173">
        <f t="shared" si="110"/>
        <v>2535547.37436829</v>
      </c>
      <c r="J138" s="173">
        <f t="shared" si="110"/>
        <v>11775508.103799626</v>
      </c>
      <c r="K138" s="173">
        <f t="shared" si="110"/>
        <v>11852107.117826628</v>
      </c>
      <c r="L138" s="173">
        <f t="shared" si="110"/>
        <v>391297.88727000862</v>
      </c>
      <c r="M138" s="659">
        <f t="shared" si="110"/>
        <v>160322.59134414498</v>
      </c>
      <c r="N138" s="659">
        <f t="shared" si="111"/>
        <v>318463.24417736504</v>
      </c>
      <c r="O138" s="580">
        <f t="shared" si="110"/>
        <v>0</v>
      </c>
      <c r="P138" s="576">
        <f t="shared" si="110"/>
        <v>347667.21757633996</v>
      </c>
      <c r="Q138" s="576">
        <f t="shared" si="110"/>
        <v>206379.62969118753</v>
      </c>
      <c r="R138" s="576">
        <f t="shared" si="110"/>
        <v>1812630.5704411031</v>
      </c>
      <c r="S138" s="576">
        <f t="shared" si="110"/>
        <v>3740123.1922005322</v>
      </c>
      <c r="T138" s="576">
        <f t="shared" si="110"/>
        <v>3146990.2992190383</v>
      </c>
      <c r="U138" s="576">
        <f t="shared" si="110"/>
        <v>14666253.728796212</v>
      </c>
      <c r="V138" s="576">
        <f t="shared" si="110"/>
        <v>14214928.846995858</v>
      </c>
      <c r="W138" s="576">
        <f t="shared" si="110"/>
        <v>442138.13942242134</v>
      </c>
      <c r="X138" s="680">
        <f t="shared" si="110"/>
        <v>170496.81146432893</v>
      </c>
      <c r="Y138" s="680">
        <f t="shared" si="112"/>
        <v>327220.4991102934</v>
      </c>
      <c r="Z138" s="174">
        <f t="shared" si="110"/>
        <v>0</v>
      </c>
      <c r="AA138" s="175">
        <f t="shared" si="110"/>
        <v>137</v>
      </c>
      <c r="AB138" s="175">
        <f t="shared" si="110"/>
        <v>11</v>
      </c>
      <c r="AC138" s="175">
        <f t="shared" si="110"/>
        <v>779</v>
      </c>
      <c r="AD138" s="175">
        <f t="shared" si="110"/>
        <v>1717</v>
      </c>
      <c r="AE138" s="175">
        <f t="shared" si="110"/>
        <v>1100</v>
      </c>
      <c r="AF138" s="175">
        <f t="shared" si="110"/>
        <v>3403</v>
      </c>
      <c r="AG138" s="175">
        <f t="shared" si="113"/>
        <v>5156</v>
      </c>
      <c r="AH138" s="175">
        <f t="shared" si="113"/>
        <v>690</v>
      </c>
      <c r="AI138" s="175">
        <f t="shared" si="113"/>
        <v>98</v>
      </c>
      <c r="AJ138" s="614">
        <f t="shared" si="113"/>
        <v>77</v>
      </c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282"/>
      <c r="AX138" s="282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421">
        <f t="shared" si="114"/>
        <v>0</v>
      </c>
      <c r="CF138" s="96">
        <f t="shared" si="114"/>
        <v>0</v>
      </c>
      <c r="CG138" s="96">
        <f t="shared" si="114"/>
        <v>0</v>
      </c>
      <c r="CH138" s="96">
        <f t="shared" si="114"/>
        <v>0</v>
      </c>
      <c r="CI138" s="96">
        <f t="shared" si="114"/>
        <v>0</v>
      </c>
      <c r="CJ138" s="96">
        <f t="shared" si="114"/>
        <v>0</v>
      </c>
      <c r="CK138" s="96">
        <f t="shared" si="114"/>
        <v>0</v>
      </c>
      <c r="CL138" s="286">
        <f t="shared" si="114"/>
        <v>0</v>
      </c>
      <c r="CM138" s="294"/>
      <c r="CN138" s="294"/>
      <c r="CO138" s="294"/>
      <c r="CP138" s="19"/>
      <c r="CQ138" s="789">
        <f t="shared" si="115"/>
        <v>0</v>
      </c>
      <c r="CR138" s="784">
        <f t="shared" si="115"/>
        <v>0</v>
      </c>
      <c r="CS138" s="97">
        <f t="shared" si="115"/>
        <v>0</v>
      </c>
      <c r="CT138" s="97">
        <f t="shared" si="115"/>
        <v>0</v>
      </c>
      <c r="CU138" s="97">
        <f t="shared" si="115"/>
        <v>0</v>
      </c>
      <c r="CV138" s="97">
        <f t="shared" si="115"/>
        <v>0</v>
      </c>
      <c r="CW138" s="97">
        <f t="shared" si="115"/>
        <v>0</v>
      </c>
      <c r="CX138" s="98">
        <f t="shared" si="115"/>
        <v>0</v>
      </c>
    </row>
    <row r="139" spans="1:102" x14ac:dyDescent="0.25">
      <c r="A139" s="81" t="s">
        <v>81</v>
      </c>
      <c r="B139" s="171"/>
      <c r="C139" s="82" t="s">
        <v>270</v>
      </c>
      <c r="D139" s="172">
        <f t="shared" si="116"/>
        <v>0</v>
      </c>
      <c r="E139" s="173">
        <f t="shared" si="110"/>
        <v>106300.71148174442</v>
      </c>
      <c r="F139" s="173">
        <f t="shared" si="110"/>
        <v>473863.51881589927</v>
      </c>
      <c r="G139" s="173">
        <f t="shared" si="110"/>
        <v>529058.94821882853</v>
      </c>
      <c r="H139" s="173">
        <f t="shared" si="110"/>
        <v>2462088.1563478364</v>
      </c>
      <c r="I139" s="173">
        <f t="shared" si="110"/>
        <v>3803950.0964362719</v>
      </c>
      <c r="J139" s="173">
        <f t="shared" si="110"/>
        <v>5019409.3909594305</v>
      </c>
      <c r="K139" s="173">
        <f t="shared" si="110"/>
        <v>5290146.9257168854</v>
      </c>
      <c r="L139" s="173">
        <f t="shared" si="110"/>
        <v>691479.29114197253</v>
      </c>
      <c r="M139" s="659">
        <f t="shared" si="110"/>
        <v>445576.088437161</v>
      </c>
      <c r="N139" s="659">
        <f t="shared" si="111"/>
        <v>348997.59497799905</v>
      </c>
      <c r="O139" s="580">
        <f t="shared" si="110"/>
        <v>0</v>
      </c>
      <c r="P139" s="576">
        <f t="shared" si="110"/>
        <v>140894.25011648837</v>
      </c>
      <c r="Q139" s="576">
        <f t="shared" si="110"/>
        <v>621711.66032819799</v>
      </c>
      <c r="R139" s="576">
        <f t="shared" si="110"/>
        <v>680960.63388936105</v>
      </c>
      <c r="S139" s="576">
        <f t="shared" si="110"/>
        <v>3104493.2393252896</v>
      </c>
      <c r="T139" s="576">
        <f t="shared" si="110"/>
        <v>4721266.1744017871</v>
      </c>
      <c r="U139" s="576">
        <f t="shared" si="110"/>
        <v>6251614.0320738833</v>
      </c>
      <c r="V139" s="576">
        <f t="shared" si="110"/>
        <v>6344784.213611545</v>
      </c>
      <c r="W139" s="576">
        <f t="shared" si="110"/>
        <v>781321.28278955666</v>
      </c>
      <c r="X139" s="680">
        <f t="shared" si="110"/>
        <v>473852.75965387642</v>
      </c>
      <c r="Y139" s="680">
        <f t="shared" si="112"/>
        <v>358594.49812484719</v>
      </c>
      <c r="Z139" s="174">
        <f t="shared" si="110"/>
        <v>0</v>
      </c>
      <c r="AA139" s="175">
        <f t="shared" si="110"/>
        <v>0</v>
      </c>
      <c r="AB139" s="175">
        <f t="shared" si="110"/>
        <v>0</v>
      </c>
      <c r="AC139" s="175">
        <f t="shared" si="110"/>
        <v>11</v>
      </c>
      <c r="AD139" s="175">
        <f t="shared" si="110"/>
        <v>36</v>
      </c>
      <c r="AE139" s="175">
        <f t="shared" si="110"/>
        <v>60.99292046999998</v>
      </c>
      <c r="AF139" s="175">
        <f t="shared" si="110"/>
        <v>102.86216667999997</v>
      </c>
      <c r="AG139" s="175">
        <f t="shared" si="113"/>
        <v>150.31333333333313</v>
      </c>
      <c r="AH139" s="175">
        <f t="shared" si="113"/>
        <v>29.306332940000001</v>
      </c>
      <c r="AI139" s="175">
        <f t="shared" si="113"/>
        <v>18.574999780666666</v>
      </c>
      <c r="AJ139" s="614">
        <f t="shared" si="113"/>
        <v>10.19999981</v>
      </c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282"/>
      <c r="AX139" s="282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421">
        <f t="shared" si="114"/>
        <v>0</v>
      </c>
      <c r="CF139" s="96">
        <f t="shared" si="114"/>
        <v>0</v>
      </c>
      <c r="CG139" s="96">
        <f t="shared" si="114"/>
        <v>0</v>
      </c>
      <c r="CH139" s="96">
        <f t="shared" si="114"/>
        <v>0</v>
      </c>
      <c r="CI139" s="96">
        <f t="shared" si="114"/>
        <v>0</v>
      </c>
      <c r="CJ139" s="96">
        <f t="shared" si="114"/>
        <v>0</v>
      </c>
      <c r="CK139" s="96">
        <f t="shared" si="114"/>
        <v>0</v>
      </c>
      <c r="CL139" s="286">
        <f t="shared" si="114"/>
        <v>0</v>
      </c>
      <c r="CM139" s="294"/>
      <c r="CN139" s="294"/>
      <c r="CO139" s="294"/>
      <c r="CP139" s="19"/>
      <c r="CQ139" s="789">
        <f t="shared" si="115"/>
        <v>0</v>
      </c>
      <c r="CR139" s="784">
        <f t="shared" si="115"/>
        <v>0</v>
      </c>
      <c r="CS139" s="97">
        <f t="shared" si="115"/>
        <v>0</v>
      </c>
      <c r="CT139" s="97">
        <f t="shared" si="115"/>
        <v>0</v>
      </c>
      <c r="CU139" s="97">
        <f t="shared" si="115"/>
        <v>0</v>
      </c>
      <c r="CV139" s="97">
        <f t="shared" si="115"/>
        <v>0</v>
      </c>
      <c r="CW139" s="97">
        <f t="shared" si="115"/>
        <v>0</v>
      </c>
      <c r="CX139" s="98">
        <f t="shared" si="115"/>
        <v>0</v>
      </c>
    </row>
    <row r="140" spans="1:102" x14ac:dyDescent="0.25">
      <c r="A140" s="81" t="s">
        <v>94</v>
      </c>
      <c r="B140" s="171"/>
      <c r="C140" s="82" t="s">
        <v>412</v>
      </c>
      <c r="D140" s="172">
        <f t="shared" si="116"/>
        <v>0</v>
      </c>
      <c r="E140" s="173">
        <f t="shared" si="110"/>
        <v>0</v>
      </c>
      <c r="F140" s="173">
        <f t="shared" si="110"/>
        <v>0</v>
      </c>
      <c r="G140" s="173">
        <f t="shared" si="110"/>
        <v>66051.197429607433</v>
      </c>
      <c r="H140" s="173">
        <f t="shared" si="110"/>
        <v>173108.345582835</v>
      </c>
      <c r="I140" s="173">
        <f t="shared" si="110"/>
        <v>391051.50541306793</v>
      </c>
      <c r="J140" s="173">
        <f t="shared" si="110"/>
        <v>562210.84177873109</v>
      </c>
      <c r="K140" s="173">
        <f t="shared" si="110"/>
        <v>474671.5158494119</v>
      </c>
      <c r="L140" s="173">
        <f t="shared" si="110"/>
        <v>10166.002593247</v>
      </c>
      <c r="M140" s="659">
        <f t="shared" si="110"/>
        <v>0</v>
      </c>
      <c r="N140" s="659">
        <f t="shared" si="111"/>
        <v>77.892947763000009</v>
      </c>
      <c r="O140" s="580">
        <f t="shared" si="110"/>
        <v>0</v>
      </c>
      <c r="P140" s="576">
        <f t="shared" si="110"/>
        <v>0</v>
      </c>
      <c r="Q140" s="576">
        <f t="shared" si="110"/>
        <v>0</v>
      </c>
      <c r="R140" s="576">
        <f t="shared" si="110"/>
        <v>85015.602556660626</v>
      </c>
      <c r="S140" s="576">
        <f t="shared" si="110"/>
        <v>218275.56708199889</v>
      </c>
      <c r="T140" s="576">
        <f t="shared" si="110"/>
        <v>485352.90898933739</v>
      </c>
      <c r="U140" s="576">
        <f t="shared" si="110"/>
        <v>700226.84218155919</v>
      </c>
      <c r="V140" s="576">
        <f t="shared" si="110"/>
        <v>569301.45470473624</v>
      </c>
      <c r="W140" s="576">
        <f t="shared" si="110"/>
        <v>11486.843190748412</v>
      </c>
      <c r="X140" s="680">
        <f t="shared" si="110"/>
        <v>0</v>
      </c>
      <c r="Y140" s="680">
        <f t="shared" si="112"/>
        <v>80.034885375925782</v>
      </c>
      <c r="Z140" s="174">
        <f t="shared" si="110"/>
        <v>0</v>
      </c>
      <c r="AA140" s="175">
        <f t="shared" si="110"/>
        <v>0</v>
      </c>
      <c r="AB140" s="175">
        <f t="shared" si="110"/>
        <v>0</v>
      </c>
      <c r="AC140" s="175">
        <f t="shared" si="110"/>
        <v>0</v>
      </c>
      <c r="AD140" s="175">
        <f t="shared" si="110"/>
        <v>0</v>
      </c>
      <c r="AE140" s="175">
        <f t="shared" si="110"/>
        <v>1.984200035</v>
      </c>
      <c r="AF140" s="175">
        <f t="shared" si="110"/>
        <v>2.0620000039999997</v>
      </c>
      <c r="AG140" s="175">
        <f t="shared" si="113"/>
        <v>2.2086666666666632</v>
      </c>
      <c r="AH140" s="175">
        <f t="shared" si="113"/>
        <v>0.95500001300000004</v>
      </c>
      <c r="AI140" s="175">
        <f t="shared" si="113"/>
        <v>0</v>
      </c>
      <c r="AJ140" s="614">
        <f t="shared" si="113"/>
        <v>0</v>
      </c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282"/>
      <c r="AX140" s="282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421">
        <f t="shared" si="114"/>
        <v>0</v>
      </c>
      <c r="CF140" s="96">
        <f t="shared" si="114"/>
        <v>0</v>
      </c>
      <c r="CG140" s="96">
        <f t="shared" si="114"/>
        <v>0</v>
      </c>
      <c r="CH140" s="96">
        <f t="shared" si="114"/>
        <v>0</v>
      </c>
      <c r="CI140" s="96">
        <f t="shared" si="114"/>
        <v>0</v>
      </c>
      <c r="CJ140" s="96">
        <f t="shared" si="114"/>
        <v>0</v>
      </c>
      <c r="CK140" s="96">
        <f t="shared" si="114"/>
        <v>0</v>
      </c>
      <c r="CL140" s="286">
        <f t="shared" si="114"/>
        <v>0</v>
      </c>
      <c r="CM140" s="294"/>
      <c r="CN140" s="294"/>
      <c r="CO140" s="294"/>
      <c r="CP140" s="19"/>
      <c r="CQ140" s="789">
        <f t="shared" si="115"/>
        <v>0</v>
      </c>
      <c r="CR140" s="784">
        <f t="shared" si="115"/>
        <v>0</v>
      </c>
      <c r="CS140" s="97">
        <f t="shared" si="115"/>
        <v>0</v>
      </c>
      <c r="CT140" s="97">
        <f t="shared" si="115"/>
        <v>0</v>
      </c>
      <c r="CU140" s="97">
        <f t="shared" si="115"/>
        <v>0</v>
      </c>
      <c r="CV140" s="97">
        <f t="shared" si="115"/>
        <v>0</v>
      </c>
      <c r="CW140" s="97">
        <f t="shared" si="115"/>
        <v>0</v>
      </c>
      <c r="CX140" s="98">
        <f t="shared" si="115"/>
        <v>0</v>
      </c>
    </row>
    <row r="141" spans="1:102" x14ac:dyDescent="0.25">
      <c r="A141" s="81" t="s">
        <v>106</v>
      </c>
      <c r="B141" s="171"/>
      <c r="C141" s="82" t="s">
        <v>272</v>
      </c>
      <c r="D141" s="172">
        <f t="shared" si="116"/>
        <v>0</v>
      </c>
      <c r="E141" s="173">
        <f t="shared" si="110"/>
        <v>62253.131146096202</v>
      </c>
      <c r="F141" s="173">
        <f t="shared" si="110"/>
        <v>110020.88495986642</v>
      </c>
      <c r="G141" s="173">
        <f t="shared" si="110"/>
        <v>507216.03859092592</v>
      </c>
      <c r="H141" s="173">
        <f t="shared" si="110"/>
        <v>798462.86308292602</v>
      </c>
      <c r="I141" s="173">
        <f t="shared" si="110"/>
        <v>609499.22300557583</v>
      </c>
      <c r="J141" s="173">
        <f t="shared" si="110"/>
        <v>1287833.511429661</v>
      </c>
      <c r="K141" s="173">
        <f t="shared" si="110"/>
        <v>1662250.2159603448</v>
      </c>
      <c r="L141" s="173">
        <f t="shared" si="110"/>
        <v>-116905.89266779201</v>
      </c>
      <c r="M141" s="659">
        <f t="shared" si="110"/>
        <v>0</v>
      </c>
      <c r="N141" s="659">
        <f t="shared" si="111"/>
        <v>73823.293062990022</v>
      </c>
      <c r="O141" s="580">
        <f t="shared" si="110"/>
        <v>0</v>
      </c>
      <c r="P141" s="576">
        <f t="shared" si="110"/>
        <v>82512.225063883394</v>
      </c>
      <c r="Q141" s="576">
        <f t="shared" si="110"/>
        <v>144348.03343819088</v>
      </c>
      <c r="R141" s="576">
        <f t="shared" si="110"/>
        <v>652846.2590426997</v>
      </c>
      <c r="S141" s="576">
        <f t="shared" si="110"/>
        <v>1006796.8337779769</v>
      </c>
      <c r="T141" s="576">
        <f t="shared" si="110"/>
        <v>756478.92110789835</v>
      </c>
      <c r="U141" s="576">
        <f t="shared" si="110"/>
        <v>1603981.1507564124</v>
      </c>
      <c r="V141" s="576">
        <f t="shared" si="110"/>
        <v>1993634.4070194932</v>
      </c>
      <c r="W141" s="576">
        <f t="shared" si="110"/>
        <v>-132095.15193724522</v>
      </c>
      <c r="X141" s="680">
        <f t="shared" si="110"/>
        <v>0</v>
      </c>
      <c r="Y141" s="680">
        <f t="shared" si="112"/>
        <v>75853.32136032416</v>
      </c>
      <c r="Z141" s="174">
        <f t="shared" si="110"/>
        <v>0</v>
      </c>
      <c r="AA141" s="175">
        <f t="shared" si="110"/>
        <v>29</v>
      </c>
      <c r="AB141" s="175">
        <f t="shared" si="110"/>
        <v>8</v>
      </c>
      <c r="AC141" s="175">
        <f t="shared" si="110"/>
        <v>389</v>
      </c>
      <c r="AD141" s="175">
        <f t="shared" si="110"/>
        <v>586</v>
      </c>
      <c r="AE141" s="175">
        <f t="shared" si="110"/>
        <v>672.41998742100009</v>
      </c>
      <c r="AF141" s="175">
        <f t="shared" si="110"/>
        <v>1561.8048485960003</v>
      </c>
      <c r="AG141" s="175">
        <f t="shared" si="113"/>
        <v>230.15152803999919</v>
      </c>
      <c r="AH141" s="175">
        <f t="shared" si="113"/>
        <v>290.03999109199998</v>
      </c>
      <c r="AI141" s="175">
        <f t="shared" si="113"/>
        <v>0</v>
      </c>
      <c r="AJ141" s="614">
        <f t="shared" si="113"/>
        <v>63.393939494999998</v>
      </c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282"/>
      <c r="AX141" s="282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421">
        <f t="shared" si="114"/>
        <v>0</v>
      </c>
      <c r="CF141" s="96">
        <f t="shared" si="114"/>
        <v>0</v>
      </c>
      <c r="CG141" s="96">
        <f t="shared" si="114"/>
        <v>0</v>
      </c>
      <c r="CH141" s="96">
        <f t="shared" si="114"/>
        <v>0</v>
      </c>
      <c r="CI141" s="96">
        <f t="shared" si="114"/>
        <v>0</v>
      </c>
      <c r="CJ141" s="96">
        <f t="shared" si="114"/>
        <v>0</v>
      </c>
      <c r="CK141" s="96">
        <f t="shared" si="114"/>
        <v>0</v>
      </c>
      <c r="CL141" s="286">
        <f t="shared" si="114"/>
        <v>0</v>
      </c>
      <c r="CM141" s="294"/>
      <c r="CN141" s="294"/>
      <c r="CO141" s="294"/>
      <c r="CP141" s="19"/>
      <c r="CQ141" s="789">
        <f t="shared" si="115"/>
        <v>0</v>
      </c>
      <c r="CR141" s="784">
        <f t="shared" si="115"/>
        <v>0</v>
      </c>
      <c r="CS141" s="97">
        <f t="shared" si="115"/>
        <v>0</v>
      </c>
      <c r="CT141" s="97">
        <f t="shared" si="115"/>
        <v>0</v>
      </c>
      <c r="CU141" s="97">
        <f t="shared" si="115"/>
        <v>0</v>
      </c>
      <c r="CV141" s="97">
        <f t="shared" si="115"/>
        <v>0</v>
      </c>
      <c r="CW141" s="97">
        <f t="shared" si="115"/>
        <v>0</v>
      </c>
      <c r="CX141" s="98">
        <f t="shared" si="115"/>
        <v>0</v>
      </c>
    </row>
    <row r="142" spans="1:102" x14ac:dyDescent="0.25">
      <c r="A142" s="81" t="s">
        <v>138</v>
      </c>
      <c r="B142" s="171"/>
      <c r="C142" s="82" t="s">
        <v>413</v>
      </c>
      <c r="D142" s="172">
        <f t="shared" si="116"/>
        <v>0</v>
      </c>
      <c r="E142" s="173">
        <f t="shared" si="110"/>
        <v>0</v>
      </c>
      <c r="F142" s="173">
        <f t="shared" si="110"/>
        <v>0</v>
      </c>
      <c r="G142" s="173">
        <f t="shared" si="110"/>
        <v>1188636.9668129911</v>
      </c>
      <c r="H142" s="173">
        <f t="shared" si="110"/>
        <v>3159350.2437364343</v>
      </c>
      <c r="I142" s="173">
        <f t="shared" si="110"/>
        <v>3733671.8169499575</v>
      </c>
      <c r="J142" s="173">
        <f t="shared" si="110"/>
        <v>5908763.519986121</v>
      </c>
      <c r="K142" s="173">
        <f t="shared" si="110"/>
        <v>6442174.3808596618</v>
      </c>
      <c r="L142" s="173">
        <f t="shared" si="110"/>
        <v>72316.552177457488</v>
      </c>
      <c r="M142" s="659">
        <f t="shared" si="110"/>
        <v>11562.101499999999</v>
      </c>
      <c r="N142" s="659">
        <f t="shared" si="111"/>
        <v>109224.173897584</v>
      </c>
      <c r="O142" s="580">
        <f t="shared" si="110"/>
        <v>0</v>
      </c>
      <c r="P142" s="576">
        <f t="shared" si="110"/>
        <v>0</v>
      </c>
      <c r="Q142" s="576">
        <f t="shared" si="110"/>
        <v>0</v>
      </c>
      <c r="R142" s="576">
        <f t="shared" si="110"/>
        <v>1529914.5494284562</v>
      </c>
      <c r="S142" s="576">
        <f t="shared" si="110"/>
        <v>3983684.1126312604</v>
      </c>
      <c r="T142" s="576">
        <f t="shared" si="110"/>
        <v>4634040.407679785</v>
      </c>
      <c r="U142" s="576">
        <f t="shared" si="110"/>
        <v>7359293.9042357672</v>
      </c>
      <c r="V142" s="576">
        <f t="shared" si="110"/>
        <v>7726478.4677926721</v>
      </c>
      <c r="W142" s="576">
        <f t="shared" si="110"/>
        <v>81712.441772327875</v>
      </c>
      <c r="X142" s="680">
        <f t="shared" si="110"/>
        <v>12295.843168760801</v>
      </c>
      <c r="Y142" s="680">
        <f t="shared" si="112"/>
        <v>112227.67258431761</v>
      </c>
      <c r="Z142" s="174">
        <f t="shared" si="110"/>
        <v>0</v>
      </c>
      <c r="AA142" s="175">
        <f t="shared" si="110"/>
        <v>0</v>
      </c>
      <c r="AB142" s="175">
        <f t="shared" si="110"/>
        <v>0</v>
      </c>
      <c r="AC142" s="175">
        <f t="shared" si="110"/>
        <v>26</v>
      </c>
      <c r="AD142" s="175">
        <f t="shared" si="110"/>
        <v>67</v>
      </c>
      <c r="AE142" s="175">
        <f t="shared" si="110"/>
        <v>95</v>
      </c>
      <c r="AF142" s="175">
        <f t="shared" si="110"/>
        <v>184</v>
      </c>
      <c r="AG142" s="175">
        <f t="shared" si="113"/>
        <v>313</v>
      </c>
      <c r="AH142" s="175">
        <f t="shared" si="113"/>
        <v>27</v>
      </c>
      <c r="AI142" s="175">
        <f t="shared" si="113"/>
        <v>2</v>
      </c>
      <c r="AJ142" s="614">
        <f t="shared" si="113"/>
        <v>0</v>
      </c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282"/>
      <c r="AX142" s="282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421">
        <f t="shared" si="114"/>
        <v>0</v>
      </c>
      <c r="CF142" s="96">
        <f t="shared" si="114"/>
        <v>0</v>
      </c>
      <c r="CG142" s="96">
        <f t="shared" si="114"/>
        <v>0</v>
      </c>
      <c r="CH142" s="96">
        <f t="shared" si="114"/>
        <v>0</v>
      </c>
      <c r="CI142" s="96">
        <f t="shared" si="114"/>
        <v>0</v>
      </c>
      <c r="CJ142" s="96">
        <f t="shared" si="114"/>
        <v>0</v>
      </c>
      <c r="CK142" s="96">
        <f t="shared" si="114"/>
        <v>0</v>
      </c>
      <c r="CL142" s="286">
        <f t="shared" si="114"/>
        <v>0</v>
      </c>
      <c r="CM142" s="294"/>
      <c r="CN142" s="294"/>
      <c r="CO142" s="294"/>
      <c r="CP142" s="19"/>
      <c r="CQ142" s="789">
        <f t="shared" si="115"/>
        <v>0</v>
      </c>
      <c r="CR142" s="784">
        <f t="shared" si="115"/>
        <v>0</v>
      </c>
      <c r="CS142" s="97">
        <f t="shared" si="115"/>
        <v>0</v>
      </c>
      <c r="CT142" s="97">
        <f t="shared" si="115"/>
        <v>0</v>
      </c>
      <c r="CU142" s="97">
        <f t="shared" si="115"/>
        <v>0</v>
      </c>
      <c r="CV142" s="97">
        <f t="shared" si="115"/>
        <v>0</v>
      </c>
      <c r="CW142" s="97">
        <f t="shared" si="115"/>
        <v>0</v>
      </c>
      <c r="CX142" s="98">
        <f t="shared" si="115"/>
        <v>0</v>
      </c>
    </row>
    <row r="143" spans="1:102" x14ac:dyDescent="0.25">
      <c r="A143" s="81" t="s">
        <v>196</v>
      </c>
      <c r="B143" s="171"/>
      <c r="C143" s="82" t="s">
        <v>274</v>
      </c>
      <c r="D143" s="172">
        <f t="shared" si="116"/>
        <v>0</v>
      </c>
      <c r="E143" s="173">
        <f t="shared" si="110"/>
        <v>34273.855001552191</v>
      </c>
      <c r="F143" s="173">
        <f t="shared" si="110"/>
        <v>20951.851995761892</v>
      </c>
      <c r="G143" s="173">
        <f t="shared" si="110"/>
        <v>454158.22391246579</v>
      </c>
      <c r="H143" s="173">
        <f t="shared" si="110"/>
        <v>1022226.1975243198</v>
      </c>
      <c r="I143" s="173">
        <f t="shared" si="110"/>
        <v>2754143.2229416547</v>
      </c>
      <c r="J143" s="173">
        <f t="shared" si="110"/>
        <v>3970763.5345436204</v>
      </c>
      <c r="K143" s="173">
        <f t="shared" si="110"/>
        <v>4317917.505677877</v>
      </c>
      <c r="L143" s="173">
        <f t="shared" si="110"/>
        <v>207090.98790834474</v>
      </c>
      <c r="M143" s="659">
        <f t="shared" si="110"/>
        <v>172596.75605923904</v>
      </c>
      <c r="N143" s="659">
        <f t="shared" si="111"/>
        <v>256256.75322601001</v>
      </c>
      <c r="O143" s="580">
        <f t="shared" si="110"/>
        <v>0</v>
      </c>
      <c r="P143" s="576">
        <f t="shared" si="110"/>
        <v>45427.627263569695</v>
      </c>
      <c r="Q143" s="576">
        <f t="shared" si="110"/>
        <v>27488.950244124051</v>
      </c>
      <c r="R143" s="576">
        <f t="shared" si="110"/>
        <v>584554.65706173424</v>
      </c>
      <c r="S143" s="576">
        <f t="shared" si="110"/>
        <v>1288944.2285376508</v>
      </c>
      <c r="T143" s="576">
        <f t="shared" si="110"/>
        <v>3418300.1638518469</v>
      </c>
      <c r="U143" s="576">
        <f t="shared" si="110"/>
        <v>4945538.2291212725</v>
      </c>
      <c r="V143" s="576">
        <f t="shared" si="110"/>
        <v>5178732.313184171</v>
      </c>
      <c r="W143" s="576">
        <f t="shared" si="110"/>
        <v>233997.74714798114</v>
      </c>
      <c r="X143" s="680">
        <f t="shared" si="110"/>
        <v>183549.90603924976</v>
      </c>
      <c r="Y143" s="680">
        <f t="shared" si="112"/>
        <v>263303.42425418948</v>
      </c>
      <c r="Z143" s="174">
        <f t="shared" si="110"/>
        <v>0</v>
      </c>
      <c r="AA143" s="175">
        <f t="shared" si="110"/>
        <v>12</v>
      </c>
      <c r="AB143" s="175">
        <f t="shared" si="110"/>
        <v>1</v>
      </c>
      <c r="AC143" s="175">
        <f t="shared" si="110"/>
        <v>88</v>
      </c>
      <c r="AD143" s="175">
        <f t="shared" si="110"/>
        <v>311</v>
      </c>
      <c r="AE143" s="175">
        <f t="shared" si="110"/>
        <v>5871</v>
      </c>
      <c r="AF143" s="175">
        <f t="shared" si="110"/>
        <v>679</v>
      </c>
      <c r="AG143" s="175">
        <f t="shared" si="113"/>
        <v>746</v>
      </c>
      <c r="AH143" s="175">
        <f t="shared" si="113"/>
        <v>68</v>
      </c>
      <c r="AI143" s="175">
        <f t="shared" si="113"/>
        <v>18</v>
      </c>
      <c r="AJ143" s="614">
        <f t="shared" si="113"/>
        <v>7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282"/>
      <c r="AX143" s="282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421">
        <f t="shared" si="114"/>
        <v>0</v>
      </c>
      <c r="CF143" s="96">
        <f t="shared" si="114"/>
        <v>0</v>
      </c>
      <c r="CG143" s="96">
        <f t="shared" si="114"/>
        <v>0</v>
      </c>
      <c r="CH143" s="96">
        <f t="shared" si="114"/>
        <v>0</v>
      </c>
      <c r="CI143" s="96">
        <f t="shared" si="114"/>
        <v>0</v>
      </c>
      <c r="CJ143" s="96">
        <f t="shared" si="114"/>
        <v>0</v>
      </c>
      <c r="CK143" s="96">
        <f t="shared" si="114"/>
        <v>0</v>
      </c>
      <c r="CL143" s="286">
        <f t="shared" si="114"/>
        <v>0</v>
      </c>
      <c r="CM143" s="294"/>
      <c r="CN143" s="294"/>
      <c r="CO143" s="294"/>
      <c r="CP143" s="19"/>
      <c r="CQ143" s="789">
        <f t="shared" si="115"/>
        <v>0</v>
      </c>
      <c r="CR143" s="784">
        <f t="shared" si="115"/>
        <v>0</v>
      </c>
      <c r="CS143" s="97">
        <f t="shared" si="115"/>
        <v>0</v>
      </c>
      <c r="CT143" s="97">
        <f t="shared" si="115"/>
        <v>0</v>
      </c>
      <c r="CU143" s="97">
        <f t="shared" si="115"/>
        <v>0</v>
      </c>
      <c r="CV143" s="97">
        <f t="shared" si="115"/>
        <v>0</v>
      </c>
      <c r="CW143" s="97">
        <f t="shared" si="115"/>
        <v>0</v>
      </c>
      <c r="CX143" s="98">
        <f t="shared" si="115"/>
        <v>0</v>
      </c>
    </row>
    <row r="144" spans="1:102" x14ac:dyDescent="0.25">
      <c r="A144" s="81" t="s">
        <v>224</v>
      </c>
      <c r="B144" s="171"/>
      <c r="C144" s="82" t="s">
        <v>414</v>
      </c>
      <c r="D144" s="172">
        <f t="shared" si="116"/>
        <v>0</v>
      </c>
      <c r="E144" s="173">
        <f t="shared" si="110"/>
        <v>46185.421680885549</v>
      </c>
      <c r="F144" s="173">
        <f t="shared" si="110"/>
        <v>0</v>
      </c>
      <c r="G144" s="173">
        <f t="shared" si="110"/>
        <v>28653.923126663401</v>
      </c>
      <c r="H144" s="173">
        <f t="shared" si="110"/>
        <v>365921.22865075135</v>
      </c>
      <c r="I144" s="173">
        <f t="shared" si="110"/>
        <v>403759.75662620115</v>
      </c>
      <c r="J144" s="173">
        <f t="shared" si="110"/>
        <v>419134.33966475795</v>
      </c>
      <c r="K144" s="173">
        <f t="shared" si="110"/>
        <v>455342.8644776619</v>
      </c>
      <c r="L144" s="173">
        <f t="shared" si="110"/>
        <v>4114.4086858050005</v>
      </c>
      <c r="M144" s="659">
        <f t="shared" si="110"/>
        <v>20838.785030347997</v>
      </c>
      <c r="N144" s="659">
        <f t="shared" si="111"/>
        <v>0</v>
      </c>
      <c r="O144" s="580">
        <f t="shared" ref="O144:Y146" si="117">SUMIF($A$7:$A$132,$A144,O$7:O$132)</f>
        <v>0</v>
      </c>
      <c r="P144" s="576">
        <f t="shared" si="117"/>
        <v>61215.586079682063</v>
      </c>
      <c r="Q144" s="576">
        <f t="shared" si="117"/>
        <v>0</v>
      </c>
      <c r="R144" s="576">
        <f t="shared" si="117"/>
        <v>36880.944404099057</v>
      </c>
      <c r="S144" s="576">
        <f t="shared" si="117"/>
        <v>461396.9558900597</v>
      </c>
      <c r="T144" s="576">
        <f t="shared" si="117"/>
        <v>501125.73330808349</v>
      </c>
      <c r="U144" s="576">
        <f t="shared" si="117"/>
        <v>522026.77946366387</v>
      </c>
      <c r="V144" s="576">
        <f t="shared" si="117"/>
        <v>546119.46679099568</v>
      </c>
      <c r="W144" s="576">
        <f t="shared" si="117"/>
        <v>4648.9824257855171</v>
      </c>
      <c r="X144" s="680">
        <f t="shared" si="117"/>
        <v>22161.233627007976</v>
      </c>
      <c r="Y144" s="680">
        <f t="shared" si="117"/>
        <v>0</v>
      </c>
      <c r="Z144" s="174">
        <f t="shared" si="110"/>
        <v>0</v>
      </c>
      <c r="AA144" s="175">
        <f t="shared" si="110"/>
        <v>40</v>
      </c>
      <c r="AB144" s="175">
        <f t="shared" si="110"/>
        <v>0</v>
      </c>
      <c r="AC144" s="175">
        <f t="shared" si="110"/>
        <v>15</v>
      </c>
      <c r="AD144" s="175">
        <f t="shared" si="110"/>
        <v>163</v>
      </c>
      <c r="AE144" s="175">
        <f t="shared" si="110"/>
        <v>192</v>
      </c>
      <c r="AF144" s="175">
        <f t="shared" si="110"/>
        <v>230</v>
      </c>
      <c r="AG144" s="175">
        <f t="shared" si="113"/>
        <v>313</v>
      </c>
      <c r="AH144" s="175">
        <f t="shared" si="113"/>
        <v>40</v>
      </c>
      <c r="AI144" s="175">
        <f t="shared" si="113"/>
        <v>17</v>
      </c>
      <c r="AJ144" s="614">
        <f t="shared" si="113"/>
        <v>0</v>
      </c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282"/>
      <c r="AX144" s="282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421">
        <f t="shared" si="114"/>
        <v>0</v>
      </c>
      <c r="CF144" s="96">
        <f t="shared" si="114"/>
        <v>0</v>
      </c>
      <c r="CG144" s="96">
        <f t="shared" si="114"/>
        <v>0</v>
      </c>
      <c r="CH144" s="96">
        <f t="shared" si="114"/>
        <v>0</v>
      </c>
      <c r="CI144" s="96">
        <f t="shared" si="114"/>
        <v>0</v>
      </c>
      <c r="CJ144" s="96">
        <f t="shared" si="114"/>
        <v>0</v>
      </c>
      <c r="CK144" s="96">
        <f t="shared" si="114"/>
        <v>0</v>
      </c>
      <c r="CL144" s="286">
        <f t="shared" si="114"/>
        <v>0</v>
      </c>
      <c r="CM144" s="294"/>
      <c r="CN144" s="294"/>
      <c r="CO144" s="294"/>
      <c r="CP144" s="19"/>
      <c r="CQ144" s="789">
        <f t="shared" si="115"/>
        <v>0</v>
      </c>
      <c r="CR144" s="784">
        <f t="shared" si="115"/>
        <v>0</v>
      </c>
      <c r="CS144" s="97">
        <f t="shared" si="115"/>
        <v>0</v>
      </c>
      <c r="CT144" s="97">
        <f t="shared" si="115"/>
        <v>0</v>
      </c>
      <c r="CU144" s="97">
        <f t="shared" si="115"/>
        <v>0</v>
      </c>
      <c r="CV144" s="97">
        <f t="shared" si="115"/>
        <v>0</v>
      </c>
      <c r="CW144" s="97">
        <f t="shared" si="115"/>
        <v>0</v>
      </c>
      <c r="CX144" s="98">
        <f t="shared" si="115"/>
        <v>0</v>
      </c>
    </row>
    <row r="145" spans="1:102" x14ac:dyDescent="0.25">
      <c r="A145" s="81" t="s">
        <v>242</v>
      </c>
      <c r="B145" s="171"/>
      <c r="C145" s="82" t="s">
        <v>415</v>
      </c>
      <c r="D145" s="172">
        <f t="shared" si="116"/>
        <v>0</v>
      </c>
      <c r="E145" s="173">
        <f t="shared" si="110"/>
        <v>0</v>
      </c>
      <c r="F145" s="173">
        <f t="shared" si="110"/>
        <v>0</v>
      </c>
      <c r="G145" s="173">
        <f t="shared" si="110"/>
        <v>0</v>
      </c>
      <c r="H145" s="173">
        <f t="shared" si="110"/>
        <v>0</v>
      </c>
      <c r="I145" s="173">
        <f t="shared" si="110"/>
        <v>0</v>
      </c>
      <c r="J145" s="173">
        <f t="shared" si="110"/>
        <v>11345.448002603001</v>
      </c>
      <c r="K145" s="173">
        <f t="shared" si="110"/>
        <v>0</v>
      </c>
      <c r="L145" s="173">
        <f t="shared" si="110"/>
        <v>0</v>
      </c>
      <c r="M145" s="659">
        <f t="shared" si="110"/>
        <v>0</v>
      </c>
      <c r="N145" s="659">
        <f t="shared" si="111"/>
        <v>0</v>
      </c>
      <c r="O145" s="580">
        <f t="shared" si="117"/>
        <v>0</v>
      </c>
      <c r="P145" s="576">
        <f t="shared" si="117"/>
        <v>0</v>
      </c>
      <c r="Q145" s="576">
        <f t="shared" si="117"/>
        <v>0</v>
      </c>
      <c r="R145" s="576">
        <f t="shared" si="117"/>
        <v>0</v>
      </c>
      <c r="S145" s="576">
        <f t="shared" si="117"/>
        <v>0</v>
      </c>
      <c r="T145" s="576">
        <f t="shared" si="117"/>
        <v>0</v>
      </c>
      <c r="U145" s="576">
        <f t="shared" si="117"/>
        <v>14130.61904473988</v>
      </c>
      <c r="V145" s="576">
        <f t="shared" si="117"/>
        <v>0</v>
      </c>
      <c r="W145" s="576">
        <f t="shared" si="117"/>
        <v>0</v>
      </c>
      <c r="X145" s="680">
        <f t="shared" si="117"/>
        <v>0</v>
      </c>
      <c r="Y145" s="680">
        <f t="shared" si="117"/>
        <v>0</v>
      </c>
      <c r="Z145" s="174">
        <f t="shared" si="110"/>
        <v>0</v>
      </c>
      <c r="AA145" s="175">
        <f t="shared" si="110"/>
        <v>0</v>
      </c>
      <c r="AB145" s="175">
        <f t="shared" si="110"/>
        <v>0</v>
      </c>
      <c r="AC145" s="175">
        <f t="shared" si="110"/>
        <v>0</v>
      </c>
      <c r="AD145" s="175">
        <f t="shared" si="110"/>
        <v>0</v>
      </c>
      <c r="AE145" s="175">
        <f t="shared" si="110"/>
        <v>0</v>
      </c>
      <c r="AF145" s="175">
        <f t="shared" si="110"/>
        <v>410</v>
      </c>
      <c r="AG145" s="175">
        <f t="shared" si="113"/>
        <v>0</v>
      </c>
      <c r="AH145" s="175">
        <f t="shared" si="113"/>
        <v>0</v>
      </c>
      <c r="AI145" s="175">
        <f t="shared" si="113"/>
        <v>0</v>
      </c>
      <c r="AJ145" s="614">
        <f t="shared" si="113"/>
        <v>0</v>
      </c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282"/>
      <c r="AX145" s="282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421">
        <f t="shared" si="114"/>
        <v>0</v>
      </c>
      <c r="CF145" s="96">
        <f t="shared" si="114"/>
        <v>0</v>
      </c>
      <c r="CG145" s="96">
        <f t="shared" si="114"/>
        <v>0</v>
      </c>
      <c r="CH145" s="96">
        <f t="shared" si="114"/>
        <v>0</v>
      </c>
      <c r="CI145" s="96">
        <f t="shared" si="114"/>
        <v>0</v>
      </c>
      <c r="CJ145" s="96">
        <f t="shared" si="114"/>
        <v>0</v>
      </c>
      <c r="CK145" s="96">
        <f t="shared" si="114"/>
        <v>0</v>
      </c>
      <c r="CL145" s="286">
        <f t="shared" si="114"/>
        <v>0</v>
      </c>
      <c r="CM145" s="294"/>
      <c r="CN145" s="294"/>
      <c r="CO145" s="294"/>
      <c r="CP145" s="19"/>
      <c r="CQ145" s="789">
        <f t="shared" si="115"/>
        <v>0</v>
      </c>
      <c r="CR145" s="784">
        <f t="shared" si="115"/>
        <v>0</v>
      </c>
      <c r="CS145" s="97">
        <f t="shared" si="115"/>
        <v>0</v>
      </c>
      <c r="CT145" s="97">
        <f t="shared" si="115"/>
        <v>0</v>
      </c>
      <c r="CU145" s="97">
        <f t="shared" si="115"/>
        <v>0</v>
      </c>
      <c r="CV145" s="97">
        <f t="shared" si="115"/>
        <v>0</v>
      </c>
      <c r="CW145" s="97">
        <f t="shared" si="115"/>
        <v>0</v>
      </c>
      <c r="CX145" s="98">
        <f t="shared" si="115"/>
        <v>0</v>
      </c>
    </row>
    <row r="146" spans="1:102" ht="15.75" thickBot="1" x14ac:dyDescent="0.3">
      <c r="A146" s="100" t="s">
        <v>258</v>
      </c>
      <c r="B146" s="176"/>
      <c r="C146" s="101" t="s">
        <v>64</v>
      </c>
      <c r="D146" s="177">
        <f t="shared" si="116"/>
        <v>0</v>
      </c>
      <c r="E146" s="178">
        <f t="shared" si="110"/>
        <v>0</v>
      </c>
      <c r="F146" s="178">
        <f t="shared" si="110"/>
        <v>0</v>
      </c>
      <c r="G146" s="178">
        <f t="shared" si="110"/>
        <v>0</v>
      </c>
      <c r="H146" s="178">
        <f t="shared" si="110"/>
        <v>0</v>
      </c>
      <c r="I146" s="178">
        <f t="shared" si="110"/>
        <v>50522.650000000009</v>
      </c>
      <c r="J146" s="178">
        <f t="shared" si="110"/>
        <v>0</v>
      </c>
      <c r="K146" s="178">
        <f t="shared" si="110"/>
        <v>0</v>
      </c>
      <c r="L146" s="178">
        <f t="shared" si="110"/>
        <v>-67624.800000000003</v>
      </c>
      <c r="M146" s="660">
        <f t="shared" si="110"/>
        <v>0</v>
      </c>
      <c r="N146" s="660">
        <f t="shared" si="111"/>
        <v>0</v>
      </c>
      <c r="O146" s="582">
        <f t="shared" si="117"/>
        <v>0</v>
      </c>
      <c r="P146" s="577">
        <f t="shared" si="117"/>
        <v>0</v>
      </c>
      <c r="Q146" s="577">
        <f t="shared" si="117"/>
        <v>0</v>
      </c>
      <c r="R146" s="577">
        <f t="shared" si="117"/>
        <v>0</v>
      </c>
      <c r="S146" s="577">
        <f t="shared" si="117"/>
        <v>0</v>
      </c>
      <c r="T146" s="577">
        <f t="shared" si="117"/>
        <v>62706.100879085665</v>
      </c>
      <c r="U146" s="577">
        <f t="shared" si="117"/>
        <v>0</v>
      </c>
      <c r="V146" s="577">
        <f t="shared" si="117"/>
        <v>0</v>
      </c>
      <c r="W146" s="577">
        <f t="shared" si="117"/>
        <v>-76411.10321196726</v>
      </c>
      <c r="X146" s="681">
        <f t="shared" si="117"/>
        <v>0</v>
      </c>
      <c r="Y146" s="681">
        <f t="shared" si="117"/>
        <v>0</v>
      </c>
      <c r="Z146" s="179">
        <f t="shared" si="110"/>
        <v>0</v>
      </c>
      <c r="AA146" s="180">
        <f t="shared" si="110"/>
        <v>0</v>
      </c>
      <c r="AB146" s="180">
        <f t="shared" si="110"/>
        <v>0</v>
      </c>
      <c r="AC146" s="180">
        <f t="shared" si="110"/>
        <v>0</v>
      </c>
      <c r="AD146" s="180">
        <f t="shared" si="110"/>
        <v>0</v>
      </c>
      <c r="AE146" s="180">
        <f t="shared" si="110"/>
        <v>47</v>
      </c>
      <c r="AF146" s="180">
        <f t="shared" si="110"/>
        <v>25</v>
      </c>
      <c r="AG146" s="180">
        <f t="shared" si="113"/>
        <v>0</v>
      </c>
      <c r="AH146" s="180">
        <f t="shared" si="113"/>
        <v>10</v>
      </c>
      <c r="AI146" s="180">
        <f t="shared" si="113"/>
        <v>0</v>
      </c>
      <c r="AJ146" s="615">
        <f t="shared" si="113"/>
        <v>0</v>
      </c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282"/>
      <c r="AX146" s="282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422">
        <f t="shared" si="114"/>
        <v>0</v>
      </c>
      <c r="CF146" s="115">
        <f t="shared" si="114"/>
        <v>0</v>
      </c>
      <c r="CG146" s="115">
        <f t="shared" si="114"/>
        <v>0</v>
      </c>
      <c r="CH146" s="115">
        <f t="shared" si="114"/>
        <v>0</v>
      </c>
      <c r="CI146" s="115">
        <f t="shared" si="114"/>
        <v>0</v>
      </c>
      <c r="CJ146" s="115">
        <f t="shared" si="114"/>
        <v>0</v>
      </c>
      <c r="CK146" s="115">
        <f t="shared" si="114"/>
        <v>0</v>
      </c>
      <c r="CL146" s="287">
        <f t="shared" si="114"/>
        <v>0</v>
      </c>
      <c r="CM146" s="294"/>
      <c r="CN146" s="294"/>
      <c r="CO146" s="294"/>
      <c r="CP146" s="19"/>
      <c r="CQ146" s="790">
        <f t="shared" si="115"/>
        <v>0</v>
      </c>
      <c r="CR146" s="1111">
        <f t="shared" si="115"/>
        <v>0</v>
      </c>
      <c r="CS146" s="181">
        <f t="shared" si="115"/>
        <v>0</v>
      </c>
      <c r="CT146" s="181">
        <f t="shared" si="115"/>
        <v>0</v>
      </c>
      <c r="CU146" s="181">
        <f t="shared" si="115"/>
        <v>0</v>
      </c>
      <c r="CV146" s="181">
        <f t="shared" si="115"/>
        <v>0</v>
      </c>
      <c r="CW146" s="181">
        <f t="shared" si="115"/>
        <v>0</v>
      </c>
      <c r="CX146" s="182">
        <f t="shared" si="115"/>
        <v>0</v>
      </c>
    </row>
    <row r="147" spans="1:102" ht="15.75" thickBot="1" x14ac:dyDescent="0.3">
      <c r="D147" s="183">
        <f>SUM(D136:D146)</f>
        <v>0</v>
      </c>
      <c r="E147" s="184">
        <f t="shared" ref="E147:M147" si="118">SUM(E136:E146)</f>
        <v>965540.6599999998</v>
      </c>
      <c r="F147" s="184">
        <f t="shared" si="118"/>
        <v>2283587.9</v>
      </c>
      <c r="G147" s="184">
        <f t="shared" si="118"/>
        <v>9050738.9899999965</v>
      </c>
      <c r="H147" s="184">
        <f t="shared" si="118"/>
        <v>21456046.320000008</v>
      </c>
      <c r="I147" s="184">
        <f t="shared" si="118"/>
        <v>29735741.26382805</v>
      </c>
      <c r="J147" s="184">
        <f t="shared" si="118"/>
        <v>54055352.543942153</v>
      </c>
      <c r="K147" s="184">
        <f t="shared" si="118"/>
        <v>56951645.055611402</v>
      </c>
      <c r="L147" s="184">
        <f t="shared" si="118"/>
        <v>1568057.872008061</v>
      </c>
      <c r="M147" s="661">
        <f t="shared" si="118"/>
        <v>1301353.0840208402</v>
      </c>
      <c r="N147" s="661">
        <f t="shared" ref="N147" si="119">SUM(N136:N146)</f>
        <v>1454870.120595105</v>
      </c>
      <c r="O147" s="183">
        <f>SUM(O136:O146)</f>
        <v>0</v>
      </c>
      <c r="P147" s="184">
        <f t="shared" ref="P147:X147" si="120">SUM(P136:P146)</f>
        <v>1279757.4480114551</v>
      </c>
      <c r="Q147" s="184">
        <f t="shared" si="120"/>
        <v>2996080.4502571626</v>
      </c>
      <c r="R147" s="184">
        <f t="shared" si="120"/>
        <v>11649357.752188213</v>
      </c>
      <c r="S147" s="184">
        <f t="shared" si="120"/>
        <v>27054332.141338557</v>
      </c>
      <c r="T147" s="184">
        <f t="shared" si="120"/>
        <v>36906464.554095879</v>
      </c>
      <c r="U147" s="184">
        <f t="shared" si="120"/>
        <v>67325291.513592899</v>
      </c>
      <c r="V147" s="184">
        <f t="shared" si="120"/>
        <v>68305456.079385534</v>
      </c>
      <c r="W147" s="184">
        <f t="shared" si="120"/>
        <v>1771791.2940274235</v>
      </c>
      <c r="X147" s="661">
        <f t="shared" si="120"/>
        <v>1383938.1559056065</v>
      </c>
      <c r="Y147" s="661">
        <f t="shared" ref="Y147" si="121">SUM(Y136:Y146)</f>
        <v>1494876.8365138054</v>
      </c>
      <c r="CE147" s="19"/>
      <c r="CF147" s="19"/>
      <c r="CG147" s="19"/>
      <c r="CH147" s="19"/>
      <c r="CI147" s="19"/>
      <c r="CJ147" s="19"/>
      <c r="CK147" s="19"/>
      <c r="CL147" s="282"/>
      <c r="CM147" s="294"/>
      <c r="CN147" s="294"/>
      <c r="CO147" s="294"/>
      <c r="CP147" s="19"/>
      <c r="CQ147" s="791">
        <f>SUM(CQ136:CQ146)</f>
        <v>0</v>
      </c>
      <c r="CR147" s="1112">
        <f t="shared" ref="CR147:CX147" si="122">SUM(CR136:CR146)</f>
        <v>0</v>
      </c>
      <c r="CS147" s="184">
        <f t="shared" si="122"/>
        <v>0</v>
      </c>
      <c r="CT147" s="184">
        <f t="shared" si="122"/>
        <v>0</v>
      </c>
      <c r="CU147" s="184">
        <f t="shared" si="122"/>
        <v>0</v>
      </c>
      <c r="CV147" s="184">
        <f t="shared" si="122"/>
        <v>0</v>
      </c>
      <c r="CW147" s="184">
        <f t="shared" si="122"/>
        <v>0</v>
      </c>
      <c r="CX147" s="185">
        <f t="shared" si="122"/>
        <v>0</v>
      </c>
    </row>
  </sheetData>
  <autoFilter ref="A6:CZ6" xr:uid="{11D9572E-FF65-4B2E-8488-A30246A39F7D}"/>
  <phoneticPr fontId="17" type="noConversion"/>
  <dataValidations disablePrompts="1" count="1">
    <dataValidation type="list" allowBlank="1" showInputMessage="1" showErrorMessage="1" sqref="CC7:CC132 CM7:CM132" xr:uid="{92295429-A2A8-4279-9C46-E625143EDC73}">
      <formula1>$AY$6:$BA$6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B3634D1-BD16-4D8A-84E8-607905C5244D}">
          <x14:formula1>
            <xm:f>Lookup!$B$2:$B$9</xm:f>
          </x14:formula1>
          <xm:sqref>BB7:BB132</xm:sqref>
        </x14:dataValidation>
        <x14:dataValidation type="list" allowBlank="1" showInputMessage="1" showErrorMessage="1" xr:uid="{23813B08-0638-47E9-B00B-CF31961E2184}">
          <x14:formula1>
            <xm:f>Lookup!$A$2:$A$4</xm:f>
          </x14:formula1>
          <xm:sqref>BC7:BC132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A1398-A7E5-40FC-9459-B3C158757EED}">
  <sheetPr codeName="Sheet12"/>
  <dimension ref="A1:DH147"/>
  <sheetViews>
    <sheetView zoomScaleNormal="100" workbookViewId="0">
      <pane xSplit="3" ySplit="7" topLeftCell="BF8" activePane="bottomRight" state="frozen"/>
      <selection activeCell="BM1" sqref="BM1:BO1048576"/>
      <selection pane="topRight" activeCell="BM1" sqref="BM1:BO1048576"/>
      <selection pane="bottomLeft" activeCell="BM1" sqref="BM1:BO1048576"/>
      <selection pane="bottomRight" activeCell="BF1" sqref="BF1:BL1048576"/>
    </sheetView>
  </sheetViews>
  <sheetFormatPr defaultRowHeight="15" x14ac:dyDescent="0.25"/>
  <cols>
    <col min="1" max="1" width="5.7109375" bestFit="1" customWidth="1"/>
    <col min="3" max="3" width="37" customWidth="1"/>
    <col min="13" max="14" width="9.140625" style="280"/>
    <col min="24" max="25" width="9.140625" style="280"/>
    <col min="35" max="36" width="9.140625" style="280"/>
    <col min="49" max="50" width="9.140625" style="280"/>
    <col min="55" max="55" width="9.140625" customWidth="1"/>
    <col min="57" max="57" width="9.140625" customWidth="1"/>
    <col min="58" max="64" width="9.140625" hidden="1" customWidth="1"/>
    <col min="81" max="81" width="9.140625" hidden="1" customWidth="1"/>
    <col min="82" max="82" width="0" hidden="1" customWidth="1"/>
    <col min="90" max="90" width="9.140625" style="280" customWidth="1"/>
    <col min="91" max="93" width="9.140625" style="280" hidden="1" customWidth="1"/>
    <col min="94" max="94" width="0" hidden="1" customWidth="1"/>
    <col min="95" max="96" width="13.7109375" style="778" hidden="1" customWidth="1"/>
    <col min="97" max="97" width="13.7109375" hidden="1" customWidth="1"/>
    <col min="98" max="102" width="13.7109375" customWidth="1"/>
    <col min="103" max="103" width="31.5703125" customWidth="1"/>
    <col min="104" max="104" width="22.5703125" bestFit="1" customWidth="1"/>
    <col min="105" max="105" width="10.42578125" bestFit="1" customWidth="1"/>
    <col min="106" max="109" width="9.7109375" bestFit="1" customWidth="1"/>
  </cols>
  <sheetData>
    <row r="1" spans="1:104" ht="15.75" thickBot="1" x14ac:dyDescent="0.3">
      <c r="A1" t="s">
        <v>489</v>
      </c>
      <c r="N1" s="280">
        <f>'Defect P2'!N1</f>
        <v>1.0233248425996433</v>
      </c>
      <c r="AT1" t="s">
        <v>279</v>
      </c>
      <c r="AW1" s="701"/>
      <c r="AX1" s="701"/>
      <c r="CP1" s="280"/>
      <c r="CS1" s="280"/>
      <c r="CT1" s="280"/>
      <c r="CU1" s="280"/>
      <c r="CV1" s="280"/>
      <c r="CW1" s="280"/>
      <c r="CX1" s="280"/>
    </row>
    <row r="2" spans="1:104" ht="15.75" thickBot="1" x14ac:dyDescent="0.3">
      <c r="O2" s="593" t="s">
        <v>583</v>
      </c>
      <c r="P2" s="594" t="str">
        <f>'Defect P1'!P2</f>
        <v>2024/25</v>
      </c>
      <c r="Q2" s="584"/>
      <c r="R2" s="584"/>
      <c r="S2" s="584"/>
      <c r="T2" s="584"/>
      <c r="U2" s="584"/>
      <c r="V2" s="584"/>
      <c r="W2" s="1100"/>
      <c r="X2" s="1100"/>
      <c r="Y2" s="1101"/>
      <c r="CJ2">
        <v>1</v>
      </c>
      <c r="CP2" s="280"/>
      <c r="CS2" s="280"/>
      <c r="CT2" s="280"/>
      <c r="CU2" s="280"/>
      <c r="CV2" s="280"/>
      <c r="CW2" s="280"/>
      <c r="CX2" s="280"/>
    </row>
    <row r="3" spans="1:104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388"/>
      <c r="N3" s="388"/>
      <c r="O3" s="586" t="s">
        <v>678</v>
      </c>
      <c r="P3" s="587"/>
      <c r="Q3" s="587"/>
      <c r="R3" s="587"/>
      <c r="S3" s="587"/>
      <c r="T3" s="587"/>
      <c r="U3" s="587"/>
      <c r="V3" s="587"/>
      <c r="W3" s="1102"/>
      <c r="X3" s="1102"/>
      <c r="Y3" s="1103"/>
      <c r="AY3" s="607" t="str">
        <f>"Escalated to "&amp;P2</f>
        <v>Escalated to 2024/25</v>
      </c>
      <c r="AZ3" s="604"/>
      <c r="BA3" s="605" t="str">
        <f>'Defect P1'!BA3</f>
        <v>N</v>
      </c>
      <c r="CE3" s="19"/>
      <c r="CF3" s="19"/>
      <c r="CG3" s="19"/>
      <c r="CH3" s="19"/>
      <c r="CI3" s="19"/>
      <c r="CJ3" s="19"/>
      <c r="CK3" s="19"/>
      <c r="CL3" s="281"/>
      <c r="CM3" s="281"/>
      <c r="CN3" s="281"/>
      <c r="CO3" s="281"/>
      <c r="CP3" s="281"/>
      <c r="CQ3" s="779"/>
      <c r="CR3" s="779"/>
      <c r="CS3" s="281"/>
      <c r="CT3" s="281"/>
      <c r="CU3" s="281"/>
      <c r="CV3" s="281"/>
      <c r="CW3" s="281"/>
      <c r="CX3" s="281"/>
    </row>
    <row r="4" spans="1:104" ht="24" thickBot="1" x14ac:dyDescent="0.4">
      <c r="O4" s="589">
        <f>VLOOKUP(O$6,'Financial Escalation'!$C$31:$W$52,VLOOKUP($P$2,Lookup!$D$2:$E$19,2,0),0)</f>
        <v>1.3454563192065767</v>
      </c>
      <c r="P4" s="590">
        <f>VLOOKUP(P$6,'Financial Escalation'!$C$31:$W$52,VLOOKUP($P$2,Lookup!$D$2:$E$19,2,0),0)</f>
        <v>1.3254309228276884</v>
      </c>
      <c r="Q4" s="590">
        <f>VLOOKUP(Q$6,'Financial Escalation'!$C$31:$W$52,VLOOKUP($P$2,Lookup!$D$2:$E$19,2,0),0)</f>
        <v>1.3120057477345903</v>
      </c>
      <c r="R4" s="590">
        <f>VLOOKUP(R$6,'Financial Escalation'!$C$31:$W$52,VLOOKUP($P$2,Lookup!$D$2:$E$19,2,0),0)</f>
        <v>1.2871167498100859</v>
      </c>
      <c r="S4" s="590">
        <f>VLOOKUP(S$6,'Financial Escalation'!$C$31:$W$52,VLOOKUP($P$2,Lookup!$D$2:$E$19,2,0),0)</f>
        <v>1.2609187982652788</v>
      </c>
      <c r="T4" s="590">
        <f>VLOOKUP(T$6,'Financial Escalation'!$C$31:$W$52,VLOOKUP($P$2,Lookup!$D$2:$E$19,2,0),0)</f>
        <v>1.2411482944597256</v>
      </c>
      <c r="U4" s="590">
        <f>VLOOKUP(U$6,'Financial Escalation'!$C$31:$W$52,VLOOKUP($P$2,Lookup!$D$2:$E$19,2,0),0)</f>
        <v>1.2454879738109834</v>
      </c>
      <c r="V4" s="590">
        <f>VLOOKUP(V$6,'Financial Escalation'!$C$31:$W$52,VLOOKUP($P$2,Lookup!$D$2:$E$19,2,0),0)</f>
        <v>1.199358789595762</v>
      </c>
      <c r="W4" s="1104">
        <f>VLOOKUP(W$6,'Financial Escalation'!$C$31:$W$52,VLOOKUP($P$2,Lookup!$D$2:$E$19,2,0),0)</f>
        <v>1.129927233972851</v>
      </c>
      <c r="X4" s="1104">
        <f>VLOOKUP(X$6,'Financial Escalation'!$C$31:$W$52,VLOOKUP($P$2,Lookup!$D$2:$E$19,2,0),0)</f>
        <v>1.0634609260920951</v>
      </c>
      <c r="Y4" s="1105">
        <f>VLOOKUP(Y$6,'Financial Escalation'!$C$31:$W$52,VLOOKUP($P$2,Lookup!$D$2:$E$19,2,0),0)</f>
        <v>1.027498479316034</v>
      </c>
      <c r="AK4" s="220" t="s">
        <v>427</v>
      </c>
      <c r="AL4" s="221"/>
      <c r="AM4" s="222" t="s">
        <v>428</v>
      </c>
      <c r="AY4" s="595" t="s">
        <v>427</v>
      </c>
      <c r="AZ4" s="596"/>
      <c r="BA4" s="601" t="s">
        <v>428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282"/>
      <c r="CM4" s="282"/>
      <c r="CN4" s="282"/>
      <c r="CO4" s="282"/>
      <c r="CP4" s="282"/>
      <c r="CQ4" s="780"/>
      <c r="CR4" s="780"/>
      <c r="CS4" s="282"/>
      <c r="CT4" s="901" t="s">
        <v>816</v>
      </c>
      <c r="CU4" s="282"/>
      <c r="CV4" s="282"/>
      <c r="CW4" s="282"/>
      <c r="CX4" s="282"/>
    </row>
    <row r="5" spans="1:104" s="186" customFormat="1" ht="15.75" thickBot="1" x14ac:dyDescent="0.3">
      <c r="A5" s="27" t="s">
        <v>281</v>
      </c>
      <c r="B5" s="27" t="s">
        <v>282</v>
      </c>
      <c r="C5" s="28" t="s">
        <v>489</v>
      </c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35"/>
      <c r="N5" s="335"/>
      <c r="O5" s="552" t="s">
        <v>582</v>
      </c>
      <c r="P5" s="553"/>
      <c r="Q5" s="553"/>
      <c r="R5" s="553"/>
      <c r="S5" s="553"/>
      <c r="T5" s="553"/>
      <c r="U5" s="553"/>
      <c r="V5" s="553"/>
      <c r="W5" s="554"/>
      <c r="X5" s="554"/>
      <c r="Y5" s="554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662"/>
      <c r="AJ5" s="662"/>
      <c r="AK5" s="33" t="s">
        <v>586</v>
      </c>
      <c r="AL5" s="34"/>
      <c r="AM5" s="35"/>
      <c r="AN5" s="36" t="s">
        <v>287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259" t="s">
        <v>679</v>
      </c>
      <c r="BC5" s="260"/>
      <c r="BD5" s="260"/>
      <c r="BE5" s="242" t="s">
        <v>439</v>
      </c>
      <c r="BF5" s="226"/>
      <c r="BG5" s="226"/>
      <c r="BH5" s="226"/>
      <c r="BI5" s="226"/>
      <c r="BJ5" s="226"/>
      <c r="BK5" s="226"/>
      <c r="BL5" s="243"/>
      <c r="BM5" s="226" t="s">
        <v>440</v>
      </c>
      <c r="BN5" s="226"/>
      <c r="BO5" s="226"/>
      <c r="BP5" s="226"/>
      <c r="BQ5" s="226"/>
      <c r="BR5" s="226"/>
      <c r="BS5" s="226"/>
      <c r="BT5" s="243"/>
      <c r="BU5" s="242" t="s">
        <v>430</v>
      </c>
      <c r="BV5" s="226"/>
      <c r="BW5" s="226"/>
      <c r="BX5" s="260"/>
      <c r="BY5" s="260"/>
      <c r="BZ5" s="260"/>
      <c r="CA5" s="260"/>
      <c r="CB5" s="619"/>
      <c r="CC5" s="376" t="s">
        <v>442</v>
      </c>
      <c r="CD5" s="377"/>
      <c r="CE5" s="189" t="s">
        <v>441</v>
      </c>
      <c r="CF5" s="189"/>
      <c r="CG5" s="189"/>
      <c r="CH5" s="801"/>
      <c r="CI5" s="801"/>
      <c r="CJ5" s="891" t="s">
        <v>510</v>
      </c>
      <c r="CK5" s="801"/>
      <c r="CL5" s="802"/>
      <c r="CM5" s="412" t="s">
        <v>484</v>
      </c>
      <c r="CN5" s="296"/>
      <c r="CO5" s="296"/>
      <c r="CP5" s="297"/>
      <c r="CQ5" s="781"/>
      <c r="CR5" s="781"/>
      <c r="CS5" s="191"/>
      <c r="CT5" s="766"/>
      <c r="CU5" s="766"/>
      <c r="CV5" s="892" t="s">
        <v>685</v>
      </c>
      <c r="CW5" s="766"/>
      <c r="CX5" s="767"/>
      <c r="CY5" s="389" t="s">
        <v>464</v>
      </c>
    </row>
    <row r="6" spans="1:104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657" t="s">
        <v>14</v>
      </c>
      <c r="N6" s="1063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673" t="s">
        <v>13</v>
      </c>
      <c r="X6" s="673" t="s">
        <v>14</v>
      </c>
      <c r="Y6" s="1085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1092" t="s">
        <v>14</v>
      </c>
      <c r="AJ6" s="663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261" t="s">
        <v>431</v>
      </c>
      <c r="BC6" s="262" t="s">
        <v>438</v>
      </c>
      <c r="BD6" s="263" t="s">
        <v>432</v>
      </c>
      <c r="BE6" s="254" t="s">
        <v>14</v>
      </c>
      <c r="BF6" s="227" t="s">
        <v>15</v>
      </c>
      <c r="BG6" s="227" t="s">
        <v>280</v>
      </c>
      <c r="BH6" s="227" t="s">
        <v>422</v>
      </c>
      <c r="BI6" s="227" t="s">
        <v>423</v>
      </c>
      <c r="BJ6" s="227" t="s">
        <v>424</v>
      </c>
      <c r="BK6" s="227" t="s">
        <v>425</v>
      </c>
      <c r="BL6" s="245" t="s">
        <v>426</v>
      </c>
      <c r="BM6" s="254" t="s">
        <v>14</v>
      </c>
      <c r="BN6" s="227" t="s">
        <v>15</v>
      </c>
      <c r="BO6" s="227" t="s">
        <v>280</v>
      </c>
      <c r="BP6" s="227" t="s">
        <v>422</v>
      </c>
      <c r="BQ6" s="227" t="s">
        <v>423</v>
      </c>
      <c r="BR6" s="227" t="s">
        <v>424</v>
      </c>
      <c r="BS6" s="227" t="s">
        <v>425</v>
      </c>
      <c r="BT6" s="245" t="s">
        <v>426</v>
      </c>
      <c r="BU6" s="244" t="s">
        <v>14</v>
      </c>
      <c r="BV6" s="227" t="s">
        <v>15</v>
      </c>
      <c r="BW6" s="227" t="s">
        <v>280</v>
      </c>
      <c r="BX6" s="261" t="s">
        <v>422</v>
      </c>
      <c r="BY6" s="262" t="s">
        <v>423</v>
      </c>
      <c r="BZ6" s="262" t="s">
        <v>424</v>
      </c>
      <c r="CA6" s="262" t="s">
        <v>425</v>
      </c>
      <c r="CB6" s="263" t="s">
        <v>426</v>
      </c>
      <c r="CC6" s="378"/>
      <c r="CD6" s="379"/>
      <c r="CE6" s="232" t="s">
        <v>14</v>
      </c>
      <c r="CF6" s="59" t="s">
        <v>15</v>
      </c>
      <c r="CG6" s="796" t="s">
        <v>280</v>
      </c>
      <c r="CH6" s="803" t="s">
        <v>422</v>
      </c>
      <c r="CI6" s="804" t="s">
        <v>423</v>
      </c>
      <c r="CJ6" s="804" t="s">
        <v>424</v>
      </c>
      <c r="CK6" s="804" t="s">
        <v>425</v>
      </c>
      <c r="CL6" s="805" t="s">
        <v>426</v>
      </c>
      <c r="CM6" s="298" t="s">
        <v>444</v>
      </c>
      <c r="CN6" s="301" t="s">
        <v>445</v>
      </c>
      <c r="CO6" s="299" t="s">
        <v>443</v>
      </c>
      <c r="CP6" s="300" t="s">
        <v>295</v>
      </c>
      <c r="CQ6" s="782" t="s">
        <v>14</v>
      </c>
      <c r="CR6" s="1109" t="s">
        <v>15</v>
      </c>
      <c r="CS6" s="764" t="s">
        <v>280</v>
      </c>
      <c r="CT6" s="768" t="s">
        <v>422</v>
      </c>
      <c r="CU6" s="769" t="s">
        <v>423</v>
      </c>
      <c r="CV6" s="769" t="s">
        <v>424</v>
      </c>
      <c r="CW6" s="769" t="s">
        <v>425</v>
      </c>
      <c r="CX6" s="770" t="s">
        <v>426</v>
      </c>
      <c r="CY6" s="390"/>
    </row>
    <row r="7" spans="1:104" hidden="1" x14ac:dyDescent="0.25">
      <c r="A7" s="63" t="s">
        <v>296</v>
      </c>
      <c r="B7" s="64" t="s">
        <v>22</v>
      </c>
      <c r="C7" s="65" t="s">
        <v>24</v>
      </c>
      <c r="D7" s="66"/>
      <c r="E7" s="67"/>
      <c r="F7" s="67"/>
      <c r="G7" s="67"/>
      <c r="H7" s="67"/>
      <c r="I7" s="67"/>
      <c r="J7" s="67"/>
      <c r="K7" s="67"/>
      <c r="L7" s="67"/>
      <c r="M7" s="653"/>
      <c r="N7" s="1064"/>
      <c r="O7" s="557">
        <f>D7*O$4</f>
        <v>0</v>
      </c>
      <c r="P7" s="558">
        <f t="shared" ref="P7:P70" si="0">E7*P$4</f>
        <v>0</v>
      </c>
      <c r="Q7" s="558">
        <f t="shared" ref="Q7:Q70" si="1">F7*Q$4</f>
        <v>0</v>
      </c>
      <c r="R7" s="558">
        <f t="shared" ref="R7:R70" si="2">G7*R$4</f>
        <v>0</v>
      </c>
      <c r="S7" s="558">
        <f t="shared" ref="S7:S70" si="3">H7*S$4</f>
        <v>0</v>
      </c>
      <c r="T7" s="558">
        <f t="shared" ref="T7:T70" si="4">I7*T$4</f>
        <v>0</v>
      </c>
      <c r="U7" s="558">
        <f t="shared" ref="U7:U70" si="5">J7*U$4</f>
        <v>0</v>
      </c>
      <c r="V7" s="558">
        <f t="shared" ref="V7:V70" si="6">K7*V$4</f>
        <v>0</v>
      </c>
      <c r="W7" s="674">
        <f t="shared" ref="W7:W70" si="7">L7*W$4</f>
        <v>0</v>
      </c>
      <c r="X7" s="674">
        <f t="shared" ref="X7:Y70" si="8">M7*X$4</f>
        <v>0</v>
      </c>
      <c r="Y7" s="674">
        <f t="shared" si="8"/>
        <v>0</v>
      </c>
      <c r="Z7" s="68"/>
      <c r="AA7" s="69"/>
      <c r="AB7" s="69"/>
      <c r="AC7" s="69"/>
      <c r="AD7" s="69"/>
      <c r="AE7" s="69"/>
      <c r="AF7" s="69"/>
      <c r="AG7" s="69"/>
      <c r="AH7" s="69"/>
      <c r="AI7" s="1093"/>
      <c r="AJ7" s="664"/>
      <c r="AK7" s="70">
        <f t="shared" ref="AK7:AK38" si="9">IFERROR(IF($AM$4="N",SUM(AD7:AH7)/5,SUM(AE7:AI7)/5),"")</f>
        <v>0</v>
      </c>
      <c r="AL7" s="71" t="str" cm="1">
        <f t="array" aca="1" ref="AL7" ca="1">IFERROR(IF($AM$4="N",SSUM(AF7:AH7)/3,SUM(AG7:AI7)/3),"")</f>
        <v/>
      </c>
      <c r="AM7" s="72">
        <f t="shared" ref="AM7:AM38" si="10">IFERROR(IF($AM$4="N",AH7,AI7),"")</f>
        <v>0</v>
      </c>
      <c r="AN7" s="73" t="str">
        <f t="shared" ref="AN7:AN38" si="11">IFERROR(D7/Z7,"")</f>
        <v/>
      </c>
      <c r="AO7" s="74" t="str">
        <f t="shared" ref="AO7:AO38" si="12">IFERROR(E7/AA7,"")</f>
        <v/>
      </c>
      <c r="AP7" s="74" t="str">
        <f t="shared" ref="AP7:AP38" si="13">IFERROR(F7/AB7,"")</f>
        <v/>
      </c>
      <c r="AQ7" s="74" t="str">
        <f t="shared" ref="AQ7:AQ38" si="14">IFERROR(G7/AC7,"")</f>
        <v/>
      </c>
      <c r="AR7" s="74" t="str">
        <f t="shared" ref="AR7:AR38" si="15">IFERROR(H7/AD7,"")</f>
        <v/>
      </c>
      <c r="AS7" s="74" t="str">
        <f t="shared" ref="AS7:AS38" si="16">IFERROR(I7/AE7,"")</f>
        <v/>
      </c>
      <c r="AT7" s="74" t="str">
        <f t="shared" ref="AT7:AT38" si="17">IFERROR(J7/AF7,"")</f>
        <v/>
      </c>
      <c r="AU7" s="74" t="str">
        <f t="shared" ref="AU7:AU38" si="18">IFERROR(K7/AG7,"")</f>
        <v/>
      </c>
      <c r="AV7" s="74" t="str">
        <f t="shared" ref="AV7:AX22" si="19">IFERROR(L7/AH7,"")</f>
        <v/>
      </c>
      <c r="AW7" s="74" t="str">
        <f t="shared" si="19"/>
        <v/>
      </c>
      <c r="AX7" s="74" t="str">
        <f t="shared" si="19"/>
        <v/>
      </c>
      <c r="AY7" s="75" t="str">
        <f t="shared" ref="AY7:AY38" si="20">IFERROR(IF($BA$3="N",
IF($BA$4="N",SUM(H7:L7)/SUM(AD7:AH7),SUM(I7:M7)/SUM(AE7:AI7)),
IF($BA$4="N",SUM(S7:W7)/SUM(AD7:AH7),SUM(T7:X7)/SUM(AE7:AI7))),"")</f>
        <v/>
      </c>
      <c r="AZ7" s="76" t="str">
        <f t="shared" ref="AZ7:AZ38" si="21">IFERROR(IF($BA$3="N",
IF($BA$4="N",SUM(J7:L7)/SUM(AF7:AH7),SUM(K7:M7)/SUM(AG7:AI7)),
IF($BA$4="N",SUM(U7:W7)/SUM(AF7:AH7),SUM(V7:X7)/SUM(AG7:AI7))),"")</f>
        <v/>
      </c>
      <c r="BA7" s="77" t="str">
        <f t="shared" ref="BA7:BA38" si="22">IFERROR(IF($BA$3="N",
IF($BA$4="N",L7/AH7,M7/AI7),
IF($BA$4="N",W7/AH7,X7/AI7)),"")</f>
        <v/>
      </c>
      <c r="BB7" s="246" t="s">
        <v>422</v>
      </c>
      <c r="BC7" s="228" t="s">
        <v>434</v>
      </c>
      <c r="BD7" s="247">
        <v>0</v>
      </c>
      <c r="BE7" s="264">
        <f>IF(BE$6=$BB7,1,0
)</f>
        <v>0</v>
      </c>
      <c r="BF7" s="265">
        <f t="shared" ref="BF7:BL22" si="23">IF(BF$6=$BB7,1,
IF(BE7&lt;&gt;0,BE7+1,0
))</f>
        <v>0</v>
      </c>
      <c r="BG7" s="265">
        <f t="shared" si="23"/>
        <v>0</v>
      </c>
      <c r="BH7" s="265">
        <f t="shared" si="23"/>
        <v>1</v>
      </c>
      <c r="BI7" s="265">
        <f t="shared" si="23"/>
        <v>2</v>
      </c>
      <c r="BJ7" s="265">
        <f t="shared" si="23"/>
        <v>3</v>
      </c>
      <c r="BK7" s="265">
        <f t="shared" si="23"/>
        <v>4</v>
      </c>
      <c r="BL7" s="266">
        <f t="shared" si="23"/>
        <v>5</v>
      </c>
      <c r="BM7" s="255">
        <f>IF($BC7=Lookup!$A$2,$BD7*ROUNDUP(BE7/10,0)+1,
IF($BC7=Lookup!$A$3,($BD7+1)^BD7,
IF($BC7=Lookup!$A$4,BE7*$BD7+1,"Error")))</f>
        <v>1</v>
      </c>
      <c r="BN7" s="228">
        <f>IF($BC7=Lookup!$A$2,$BD7*ROUNDUP(BF7/10,0)+1,
IF($BC7=Lookup!$A$3,($BD7+1)^BE7,
IF($BC7=Lookup!$A$4,BF7*$BD7+1,"Error")))</f>
        <v>1</v>
      </c>
      <c r="BO7" s="228">
        <f>IF($BC7=Lookup!$A$2,$BD7*ROUNDUP(BG7/10,0)+1,
IF($BC7=Lookup!$A$3,($BD7+1)^BF7,
IF($BC7=Lookup!$A$4,BG7*$BD7+1,"Error")))</f>
        <v>1</v>
      </c>
      <c r="BP7" s="228">
        <f>IF($BC7=Lookup!$A$2,$BD7*ROUNDUP(BH7/10,0)+1,
IF($BC7=Lookup!$A$3,($BD7+1)^BG7,
IF($BC7=Lookup!$A$4,BH7*$BD7+1,"Error")))</f>
        <v>1</v>
      </c>
      <c r="BQ7" s="228">
        <f>IF($BC7=Lookup!$A$2,$BD7*ROUNDUP(BI7/10,0)+1,
IF($BC7=Lookup!$A$3,($BD7+1)^BH7,
IF($BC7=Lookup!$A$4,BI7*$BD7+1,"Error")))</f>
        <v>1</v>
      </c>
      <c r="BR7" s="228">
        <f>IF($BC7=Lookup!$A$2,$BD7*ROUNDUP(BJ7/10,0)+1,
IF($BC7=Lookup!$A$3,($BD7+1)^BI7,
IF($BC7=Lookup!$A$4,BJ7*$BD7+1,"Error")))</f>
        <v>1</v>
      </c>
      <c r="BS7" s="228">
        <f>IF($BC7=Lookup!$A$2,$BD7*ROUNDUP(BK7/10,0)+1,
IF($BC7=Lookup!$A$3,($BD7+1)^BJ7,
IF($BC7=Lookup!$A$4,BK7*$BD7+1,"Error")))</f>
        <v>1</v>
      </c>
      <c r="BT7" s="247">
        <f>IF($BC7=Lookup!$A$2,$BD7*ROUNDUP(BL7/10,0)+1,
IF($BC7=Lookup!$A$3,($BD7+1)^BK7,
IF($BC7=Lookup!$A$4,BL7*$BD7+1,"Error")))</f>
        <v>1</v>
      </c>
      <c r="BU7" s="318">
        <v>0</v>
      </c>
      <c r="BV7" s="319">
        <v>0</v>
      </c>
      <c r="BW7" s="319">
        <v>0</v>
      </c>
      <c r="BX7" s="318">
        <v>0</v>
      </c>
      <c r="BY7" s="319">
        <v>0</v>
      </c>
      <c r="BZ7" s="319">
        <v>0</v>
      </c>
      <c r="CA7" s="319">
        <v>0</v>
      </c>
      <c r="CB7" s="276">
        <v>0</v>
      </c>
      <c r="CC7" s="380" t="s">
        <v>292</v>
      </c>
      <c r="CD7" s="381">
        <f>HLOOKUP($CC7,$AK$6:$AM$132,ROWS(CD$6:CD7),0)</f>
        <v>0</v>
      </c>
      <c r="CE7" s="233">
        <f>IFERROR(IF(BU7&lt;&gt;"",BU7,BM7*$CD7),"")</f>
        <v>0</v>
      </c>
      <c r="CF7" s="78">
        <f t="shared" ref="CF7:CL43" si="24">IFERROR(IF(BV7&lt;&gt;"",BV7,BN7*$CD7),"")</f>
        <v>0</v>
      </c>
      <c r="CG7" s="797">
        <f t="shared" si="24"/>
        <v>0</v>
      </c>
      <c r="CH7" s="806">
        <f t="shared" si="24"/>
        <v>0</v>
      </c>
      <c r="CI7" s="78">
        <f t="shared" si="24"/>
        <v>0</v>
      </c>
      <c r="CJ7" s="78">
        <f t="shared" si="24"/>
        <v>0</v>
      </c>
      <c r="CK7" s="78">
        <f t="shared" si="24"/>
        <v>0</v>
      </c>
      <c r="CL7" s="285">
        <f t="shared" si="24"/>
        <v>0</v>
      </c>
      <c r="CM7" s="302" t="s">
        <v>293</v>
      </c>
      <c r="CN7" s="314">
        <v>0.05</v>
      </c>
      <c r="CO7" s="303"/>
      <c r="CP7" s="304" t="str">
        <f>IF($CO7&lt;&gt;"",$CO7,HLOOKUP($CM7,$AY$6:$BA$132,ROWS(CP$6:CP7),0))</f>
        <v/>
      </c>
      <c r="CQ7" s="783">
        <v>0</v>
      </c>
      <c r="CR7" s="783">
        <v>0</v>
      </c>
      <c r="CS7" s="523">
        <v>0</v>
      </c>
      <c r="CT7" s="415">
        <v>0</v>
      </c>
      <c r="CU7" s="79">
        <v>0</v>
      </c>
      <c r="CV7" s="79">
        <v>0</v>
      </c>
      <c r="CW7" s="79">
        <v>0</v>
      </c>
      <c r="CX7" s="80">
        <v>0</v>
      </c>
      <c r="CY7" s="391"/>
      <c r="CZ7" s="187"/>
    </row>
    <row r="8" spans="1:104" x14ac:dyDescent="0.25">
      <c r="A8" s="81" t="s">
        <v>27</v>
      </c>
      <c r="B8" s="82" t="s">
        <v>25</v>
      </c>
      <c r="C8" s="83" t="s">
        <v>297</v>
      </c>
      <c r="D8" s="84"/>
      <c r="E8" s="85"/>
      <c r="F8" s="85"/>
      <c r="G8" s="85"/>
      <c r="H8" s="85"/>
      <c r="I8" s="85"/>
      <c r="J8" s="85"/>
      <c r="K8" s="85"/>
      <c r="L8" s="85"/>
      <c r="M8" s="654"/>
      <c r="N8" s="1065"/>
      <c r="O8" s="560">
        <f t="shared" ref="O8:O71" si="25">D8*O$4</f>
        <v>0</v>
      </c>
      <c r="P8" s="561">
        <f t="shared" si="0"/>
        <v>0</v>
      </c>
      <c r="Q8" s="561">
        <f t="shared" si="1"/>
        <v>0</v>
      </c>
      <c r="R8" s="561">
        <f t="shared" si="2"/>
        <v>0</v>
      </c>
      <c r="S8" s="561">
        <f t="shared" si="3"/>
        <v>0</v>
      </c>
      <c r="T8" s="561">
        <f t="shared" si="4"/>
        <v>0</v>
      </c>
      <c r="U8" s="561">
        <f t="shared" si="5"/>
        <v>0</v>
      </c>
      <c r="V8" s="561">
        <f t="shared" si="6"/>
        <v>0</v>
      </c>
      <c r="W8" s="675">
        <f t="shared" si="7"/>
        <v>0</v>
      </c>
      <c r="X8" s="675">
        <f t="shared" si="8"/>
        <v>0</v>
      </c>
      <c r="Y8" s="675">
        <f t="shared" si="8"/>
        <v>0</v>
      </c>
      <c r="Z8" s="86"/>
      <c r="AA8" s="87"/>
      <c r="AB8" s="87"/>
      <c r="AC8" s="87"/>
      <c r="AD8" s="87"/>
      <c r="AE8" s="87"/>
      <c r="AF8" s="87"/>
      <c r="AG8" s="87"/>
      <c r="AH8" s="87"/>
      <c r="AI8" s="1094"/>
      <c r="AJ8" s="665"/>
      <c r="AK8" s="88">
        <f t="shared" si="9"/>
        <v>0</v>
      </c>
      <c r="AL8" s="89" t="str" cm="1">
        <f t="array" aca="1" ref="AL8" ca="1">IFERROR(IF($AM$4="N",SSUM(AF8:AH8)/3,SUM(AG8:AI8)/3),"")</f>
        <v/>
      </c>
      <c r="AM8" s="90">
        <f t="shared" si="10"/>
        <v>0</v>
      </c>
      <c r="AN8" s="91" t="str">
        <f t="shared" si="11"/>
        <v/>
      </c>
      <c r="AO8" s="92" t="str">
        <f t="shared" si="12"/>
        <v/>
      </c>
      <c r="AP8" s="92" t="str">
        <f t="shared" si="13"/>
        <v/>
      </c>
      <c r="AQ8" s="92" t="str">
        <f t="shared" si="14"/>
        <v/>
      </c>
      <c r="AR8" s="92" t="str">
        <f t="shared" si="15"/>
        <v/>
      </c>
      <c r="AS8" s="92" t="str">
        <f t="shared" si="16"/>
        <v/>
      </c>
      <c r="AT8" s="92" t="str">
        <f t="shared" si="17"/>
        <v/>
      </c>
      <c r="AU8" s="92" t="str">
        <f t="shared" si="18"/>
        <v/>
      </c>
      <c r="AV8" s="92" t="str">
        <f t="shared" si="19"/>
        <v/>
      </c>
      <c r="AW8" s="92" t="str">
        <f t="shared" si="19"/>
        <v/>
      </c>
      <c r="AX8" s="92" t="str">
        <f t="shared" si="19"/>
        <v/>
      </c>
      <c r="AY8" s="93" t="str">
        <f t="shared" si="20"/>
        <v/>
      </c>
      <c r="AZ8" s="94" t="str">
        <f t="shared" si="21"/>
        <v/>
      </c>
      <c r="BA8" s="95" t="str">
        <f t="shared" si="22"/>
        <v/>
      </c>
      <c r="BB8" s="248" t="s">
        <v>422</v>
      </c>
      <c r="BC8" s="229" t="s">
        <v>433</v>
      </c>
      <c r="BD8" s="249">
        <v>0</v>
      </c>
      <c r="BE8" s="267">
        <f t="shared" ref="BE8:BE71" si="26">IF(BE$6=$BB8,1,0
)</f>
        <v>0</v>
      </c>
      <c r="BF8" s="268">
        <f t="shared" si="23"/>
        <v>0</v>
      </c>
      <c r="BG8" s="268">
        <f t="shared" si="23"/>
        <v>0</v>
      </c>
      <c r="BH8" s="268">
        <f t="shared" si="23"/>
        <v>1</v>
      </c>
      <c r="BI8" s="268">
        <f t="shared" si="23"/>
        <v>2</v>
      </c>
      <c r="BJ8" s="268">
        <f t="shared" si="23"/>
        <v>3</v>
      </c>
      <c r="BK8" s="268">
        <f t="shared" si="23"/>
        <v>4</v>
      </c>
      <c r="BL8" s="269">
        <f t="shared" si="23"/>
        <v>5</v>
      </c>
      <c r="BM8" s="256">
        <f>IF($BC8=Lookup!$A$2,$BD8*ROUNDUP(BE8/10,0)+1,
IF($BC8=Lookup!$A$3,($BD8+1)^BD8,
IF($BC8=Lookup!$A$4,BE8*$BD8+1,"Error")))</f>
        <v>1</v>
      </c>
      <c r="BN8" s="229">
        <f>IF($BC8=Lookup!$A$2,$BD8*ROUNDUP(BF8/10,0)+1,
IF($BC8=Lookup!$A$3,($BD8+1)^BE8,
IF($BC8=Lookup!$A$4,BF8*$BD8+1,"Error")))</f>
        <v>1</v>
      </c>
      <c r="BO8" s="229">
        <f>IF($BC8=Lookup!$A$2,$BD8*ROUNDUP(BG8/10,0)+1,
IF($BC8=Lookup!$A$3,($BD8+1)^BF8,
IF($BC8=Lookup!$A$4,BG8*$BD8+1,"Error")))</f>
        <v>1</v>
      </c>
      <c r="BP8" s="229">
        <f>IF($BC8=Lookup!$A$2,$BD8*ROUNDUP(BH8/10,0)+1,
IF($BC8=Lookup!$A$3,($BD8+1)^BG8,
IF($BC8=Lookup!$A$4,BH8*$BD8+1,"Error")))</f>
        <v>1</v>
      </c>
      <c r="BQ8" s="229">
        <f>IF($BC8=Lookup!$A$2,$BD8*ROUNDUP(BI8/10,0)+1,
IF($BC8=Lookup!$A$3,($BD8+1)^BH8,
IF($BC8=Lookup!$A$4,BI8*$BD8+1,"Error")))</f>
        <v>1</v>
      </c>
      <c r="BR8" s="229">
        <f>IF($BC8=Lookup!$A$2,$BD8*ROUNDUP(BJ8/10,0)+1,
IF($BC8=Lookup!$A$3,($BD8+1)^BI8,
IF($BC8=Lookup!$A$4,BJ8*$BD8+1,"Error")))</f>
        <v>1</v>
      </c>
      <c r="BS8" s="229">
        <f>IF($BC8=Lookup!$A$2,$BD8*ROUNDUP(BK8/10,0)+1,
IF($BC8=Lookup!$A$3,($BD8+1)^BJ8,
IF($BC8=Lookup!$A$4,BK8*$BD8+1,"Error")))</f>
        <v>1</v>
      </c>
      <c r="BT8" s="249">
        <f>IF($BC8=Lookup!$A$2,$BD8*ROUNDUP(BL8/10,0)+1,
IF($BC8=Lookup!$A$3,($BD8+1)^BK8,
IF($BC8=Lookup!$A$4,BL8*$BD8+1,"Error")))</f>
        <v>1</v>
      </c>
      <c r="BU8" s="320">
        <v>0</v>
      </c>
      <c r="BV8" s="321">
        <v>0</v>
      </c>
      <c r="BW8" s="321">
        <v>0</v>
      </c>
      <c r="BX8" s="320">
        <v>0</v>
      </c>
      <c r="BY8" s="321">
        <v>0</v>
      </c>
      <c r="BZ8" s="321">
        <v>0</v>
      </c>
      <c r="CA8" s="321">
        <v>0</v>
      </c>
      <c r="CB8" s="277">
        <v>0</v>
      </c>
      <c r="CC8" s="382" t="s">
        <v>292</v>
      </c>
      <c r="CD8" s="383">
        <f>HLOOKUP($CC8,$AK$6:$AM$132,ROWS(CD$6:CD8),0)</f>
        <v>0</v>
      </c>
      <c r="CE8" s="234">
        <f t="shared" ref="CE8:CH71" si="27">IFERROR(IF(BU8&lt;&gt;"",BU8,BM8*$CD8),"")</f>
        <v>0</v>
      </c>
      <c r="CF8" s="96">
        <f t="shared" si="24"/>
        <v>0</v>
      </c>
      <c r="CG8" s="521">
        <f t="shared" si="24"/>
        <v>0</v>
      </c>
      <c r="CH8" s="421">
        <f t="shared" si="24"/>
        <v>0</v>
      </c>
      <c r="CI8" s="96">
        <f t="shared" si="24"/>
        <v>0</v>
      </c>
      <c r="CJ8" s="96">
        <f t="shared" si="24"/>
        <v>0</v>
      </c>
      <c r="CK8" s="96">
        <f t="shared" si="24"/>
        <v>0</v>
      </c>
      <c r="CL8" s="286">
        <f t="shared" si="24"/>
        <v>0</v>
      </c>
      <c r="CM8" s="305" t="s">
        <v>293</v>
      </c>
      <c r="CN8" s="315">
        <v>0.05</v>
      </c>
      <c r="CO8" s="306"/>
      <c r="CP8" s="307" t="str">
        <f>IF($CO8&lt;&gt;"",$CO8,HLOOKUP($CM8,$AY$6:$BA$132,ROWS(CP$6:CP8),0))</f>
        <v/>
      </c>
      <c r="CQ8" s="784">
        <v>0</v>
      </c>
      <c r="CR8" s="784">
        <v>0</v>
      </c>
      <c r="CS8" s="524">
        <v>0</v>
      </c>
      <c r="CT8" s="416">
        <v>0</v>
      </c>
      <c r="CU8" s="97">
        <v>0</v>
      </c>
      <c r="CV8" s="97">
        <v>0</v>
      </c>
      <c r="CW8" s="97">
        <v>0</v>
      </c>
      <c r="CX8" s="98">
        <v>0</v>
      </c>
      <c r="CY8" s="392"/>
      <c r="CZ8" s="187"/>
    </row>
    <row r="9" spans="1:104" x14ac:dyDescent="0.25">
      <c r="A9" s="81" t="s">
        <v>27</v>
      </c>
      <c r="B9" s="82" t="s">
        <v>28</v>
      </c>
      <c r="C9" s="83" t="s">
        <v>29</v>
      </c>
      <c r="D9" s="84"/>
      <c r="E9" s="85"/>
      <c r="F9" s="85"/>
      <c r="G9" s="85"/>
      <c r="H9" s="85"/>
      <c r="I9" s="85"/>
      <c r="J9" s="85"/>
      <c r="K9" s="85"/>
      <c r="L9" s="85"/>
      <c r="M9" s="654"/>
      <c r="N9" s="1065"/>
      <c r="O9" s="560">
        <f t="shared" si="25"/>
        <v>0</v>
      </c>
      <c r="P9" s="561">
        <f t="shared" si="0"/>
        <v>0</v>
      </c>
      <c r="Q9" s="561">
        <f t="shared" si="1"/>
        <v>0</v>
      </c>
      <c r="R9" s="561">
        <f t="shared" si="2"/>
        <v>0</v>
      </c>
      <c r="S9" s="561">
        <f t="shared" si="3"/>
        <v>0</v>
      </c>
      <c r="T9" s="561">
        <f t="shared" si="4"/>
        <v>0</v>
      </c>
      <c r="U9" s="561">
        <f t="shared" si="5"/>
        <v>0</v>
      </c>
      <c r="V9" s="561">
        <f t="shared" si="6"/>
        <v>0</v>
      </c>
      <c r="W9" s="675">
        <f t="shared" si="7"/>
        <v>0</v>
      </c>
      <c r="X9" s="675">
        <f t="shared" si="8"/>
        <v>0</v>
      </c>
      <c r="Y9" s="675">
        <f t="shared" si="8"/>
        <v>0</v>
      </c>
      <c r="Z9" s="86"/>
      <c r="AA9" s="87"/>
      <c r="AB9" s="87"/>
      <c r="AC9" s="87"/>
      <c r="AD9" s="87"/>
      <c r="AE9" s="87"/>
      <c r="AF9" s="87"/>
      <c r="AG9" s="87"/>
      <c r="AH9" s="87"/>
      <c r="AI9" s="1094"/>
      <c r="AJ9" s="665"/>
      <c r="AK9" s="88">
        <f t="shared" si="9"/>
        <v>0</v>
      </c>
      <c r="AL9" s="89" t="str" cm="1">
        <f t="array" aca="1" ref="AL9" ca="1">IFERROR(IF($AM$4="N",SSUM(AF9:AH9)/3,SUM(AG9:AI9)/3),"")</f>
        <v/>
      </c>
      <c r="AM9" s="90">
        <f t="shared" si="10"/>
        <v>0</v>
      </c>
      <c r="AN9" s="91" t="str">
        <f t="shared" si="11"/>
        <v/>
      </c>
      <c r="AO9" s="92" t="str">
        <f t="shared" si="12"/>
        <v/>
      </c>
      <c r="AP9" s="92" t="str">
        <f t="shared" si="13"/>
        <v/>
      </c>
      <c r="AQ9" s="92" t="str">
        <f t="shared" si="14"/>
        <v/>
      </c>
      <c r="AR9" s="92" t="str">
        <f t="shared" si="15"/>
        <v/>
      </c>
      <c r="AS9" s="92" t="str">
        <f t="shared" si="16"/>
        <v/>
      </c>
      <c r="AT9" s="92" t="str">
        <f t="shared" si="17"/>
        <v/>
      </c>
      <c r="AU9" s="92" t="str">
        <f t="shared" si="18"/>
        <v/>
      </c>
      <c r="AV9" s="92" t="str">
        <f t="shared" si="19"/>
        <v/>
      </c>
      <c r="AW9" s="92" t="str">
        <f t="shared" si="19"/>
        <v/>
      </c>
      <c r="AX9" s="92" t="str">
        <f t="shared" si="19"/>
        <v/>
      </c>
      <c r="AY9" s="93" t="str">
        <f t="shared" si="20"/>
        <v/>
      </c>
      <c r="AZ9" s="94" t="str">
        <f t="shared" si="21"/>
        <v/>
      </c>
      <c r="BA9" s="95" t="str">
        <f t="shared" si="22"/>
        <v/>
      </c>
      <c r="BB9" s="248" t="s">
        <v>422</v>
      </c>
      <c r="BC9" s="229" t="s">
        <v>435</v>
      </c>
      <c r="BD9" s="249">
        <v>0</v>
      </c>
      <c r="BE9" s="267">
        <f t="shared" si="26"/>
        <v>0</v>
      </c>
      <c r="BF9" s="268">
        <f t="shared" si="23"/>
        <v>0</v>
      </c>
      <c r="BG9" s="268">
        <f t="shared" si="23"/>
        <v>0</v>
      </c>
      <c r="BH9" s="268">
        <f t="shared" si="23"/>
        <v>1</v>
      </c>
      <c r="BI9" s="268">
        <f t="shared" si="23"/>
        <v>2</v>
      </c>
      <c r="BJ9" s="268">
        <f t="shared" si="23"/>
        <v>3</v>
      </c>
      <c r="BK9" s="268">
        <f t="shared" si="23"/>
        <v>4</v>
      </c>
      <c r="BL9" s="269">
        <f t="shared" si="23"/>
        <v>5</v>
      </c>
      <c r="BM9" s="256">
        <f>IF($BC9=Lookup!$A$2,$BD9*ROUNDUP(BE9/10,0)+1,
IF($BC9=Lookup!$A$3,($BD9+1)^BD9,
IF($BC9=Lookup!$A$4,BE9*$BD9+1,"Error")))</f>
        <v>1</v>
      </c>
      <c r="BN9" s="229">
        <f>IF($BC9=Lookup!$A$2,$BD9*ROUNDUP(BF9/10,0)+1,
IF($BC9=Lookup!$A$3,($BD9+1)^BE9,
IF($BC9=Lookup!$A$4,BF9*$BD9+1,"Error")))</f>
        <v>1</v>
      </c>
      <c r="BO9" s="229">
        <f>IF($BC9=Lookup!$A$2,$BD9*ROUNDUP(BG9/10,0)+1,
IF($BC9=Lookup!$A$3,($BD9+1)^BF9,
IF($BC9=Lookup!$A$4,BG9*$BD9+1,"Error")))</f>
        <v>1</v>
      </c>
      <c r="BP9" s="229">
        <f>IF($BC9=Lookup!$A$2,$BD9*ROUNDUP(BH9/10,0)+1,
IF($BC9=Lookup!$A$3,($BD9+1)^BG9,
IF($BC9=Lookup!$A$4,BH9*$BD9+1,"Error")))</f>
        <v>1</v>
      </c>
      <c r="BQ9" s="229">
        <f>IF($BC9=Lookup!$A$2,$BD9*ROUNDUP(BI9/10,0)+1,
IF($BC9=Lookup!$A$3,($BD9+1)^BH9,
IF($BC9=Lookup!$A$4,BI9*$BD9+1,"Error")))</f>
        <v>1</v>
      </c>
      <c r="BR9" s="229">
        <f>IF($BC9=Lookup!$A$2,$BD9*ROUNDUP(BJ9/10,0)+1,
IF($BC9=Lookup!$A$3,($BD9+1)^BI9,
IF($BC9=Lookup!$A$4,BJ9*$BD9+1,"Error")))</f>
        <v>1</v>
      </c>
      <c r="BS9" s="229">
        <f>IF($BC9=Lookup!$A$2,$BD9*ROUNDUP(BK9/10,0)+1,
IF($BC9=Lookup!$A$3,($BD9+1)^BJ9,
IF($BC9=Lookup!$A$4,BK9*$BD9+1,"Error")))</f>
        <v>1</v>
      </c>
      <c r="BT9" s="249">
        <f>IF($BC9=Lookup!$A$2,$BD9*ROUNDUP(BL9/10,0)+1,
IF($BC9=Lookup!$A$3,($BD9+1)^BK9,
IF($BC9=Lookup!$A$4,BL9*$BD9+1,"Error")))</f>
        <v>1</v>
      </c>
      <c r="BU9" s="320">
        <v>0</v>
      </c>
      <c r="BV9" s="321">
        <v>0</v>
      </c>
      <c r="BW9" s="321">
        <v>0</v>
      </c>
      <c r="BX9" s="320">
        <v>0</v>
      </c>
      <c r="BY9" s="321">
        <v>0</v>
      </c>
      <c r="BZ9" s="321">
        <v>0</v>
      </c>
      <c r="CA9" s="321">
        <v>0</v>
      </c>
      <c r="CB9" s="277">
        <v>0</v>
      </c>
      <c r="CC9" s="382" t="s">
        <v>292</v>
      </c>
      <c r="CD9" s="383">
        <f>HLOOKUP($CC9,$AK$6:$AM$132,ROWS(CD$6:CD9),0)</f>
        <v>0</v>
      </c>
      <c r="CE9" s="234">
        <f t="shared" si="27"/>
        <v>0</v>
      </c>
      <c r="CF9" s="96">
        <f t="shared" si="24"/>
        <v>0</v>
      </c>
      <c r="CG9" s="521">
        <f t="shared" si="24"/>
        <v>0</v>
      </c>
      <c r="CH9" s="421">
        <f t="shared" si="24"/>
        <v>0</v>
      </c>
      <c r="CI9" s="96">
        <f t="shared" si="24"/>
        <v>0</v>
      </c>
      <c r="CJ9" s="96">
        <f t="shared" si="24"/>
        <v>0</v>
      </c>
      <c r="CK9" s="96">
        <f t="shared" si="24"/>
        <v>0</v>
      </c>
      <c r="CL9" s="286">
        <f t="shared" si="24"/>
        <v>0</v>
      </c>
      <c r="CM9" s="305" t="s">
        <v>293</v>
      </c>
      <c r="CN9" s="315">
        <v>0.05</v>
      </c>
      <c r="CO9" s="306"/>
      <c r="CP9" s="307" t="str">
        <f>IF($CO9&lt;&gt;"",$CO9,HLOOKUP($CM9,$AY$6:$BA$132,ROWS(CP$6:CP9),0))</f>
        <v/>
      </c>
      <c r="CQ9" s="784">
        <v>0</v>
      </c>
      <c r="CR9" s="784">
        <v>0</v>
      </c>
      <c r="CS9" s="524">
        <v>0</v>
      </c>
      <c r="CT9" s="416">
        <v>0</v>
      </c>
      <c r="CU9" s="97">
        <v>0</v>
      </c>
      <c r="CV9" s="97">
        <v>0</v>
      </c>
      <c r="CW9" s="97">
        <v>0</v>
      </c>
      <c r="CX9" s="98">
        <v>0</v>
      </c>
      <c r="CY9" s="392"/>
    </row>
    <row r="10" spans="1:104" x14ac:dyDescent="0.25">
      <c r="A10" s="81" t="s">
        <v>27</v>
      </c>
      <c r="B10" s="82" t="s">
        <v>30</v>
      </c>
      <c r="C10" s="83" t="s">
        <v>298</v>
      </c>
      <c r="D10" s="84"/>
      <c r="E10" s="85"/>
      <c r="F10" s="85"/>
      <c r="G10" s="85"/>
      <c r="H10" s="85"/>
      <c r="I10" s="85"/>
      <c r="J10" s="85"/>
      <c r="K10" s="85"/>
      <c r="L10" s="85"/>
      <c r="M10" s="654"/>
      <c r="N10" s="1065"/>
      <c r="O10" s="560">
        <f t="shared" si="25"/>
        <v>0</v>
      </c>
      <c r="P10" s="561">
        <f t="shared" si="0"/>
        <v>0</v>
      </c>
      <c r="Q10" s="561">
        <f t="shared" si="1"/>
        <v>0</v>
      </c>
      <c r="R10" s="561">
        <f t="shared" si="2"/>
        <v>0</v>
      </c>
      <c r="S10" s="561">
        <f t="shared" si="3"/>
        <v>0</v>
      </c>
      <c r="T10" s="561">
        <f t="shared" si="4"/>
        <v>0</v>
      </c>
      <c r="U10" s="561">
        <f t="shared" si="5"/>
        <v>0</v>
      </c>
      <c r="V10" s="561">
        <f t="shared" si="6"/>
        <v>0</v>
      </c>
      <c r="W10" s="675">
        <f t="shared" si="7"/>
        <v>0</v>
      </c>
      <c r="X10" s="675">
        <f t="shared" si="8"/>
        <v>0</v>
      </c>
      <c r="Y10" s="675">
        <f t="shared" si="8"/>
        <v>0</v>
      </c>
      <c r="Z10" s="86"/>
      <c r="AA10" s="87"/>
      <c r="AB10" s="87"/>
      <c r="AC10" s="87"/>
      <c r="AD10" s="87"/>
      <c r="AE10" s="87"/>
      <c r="AF10" s="87"/>
      <c r="AG10" s="87"/>
      <c r="AH10" s="87"/>
      <c r="AI10" s="1094"/>
      <c r="AJ10" s="665"/>
      <c r="AK10" s="88">
        <f t="shared" si="9"/>
        <v>0</v>
      </c>
      <c r="AL10" s="89" t="str" cm="1">
        <f t="array" aca="1" ref="AL10" ca="1">IFERROR(IF($AM$4="N",SSUM(AF10:AH10)/3,SUM(AG10:AI10)/3),"")</f>
        <v/>
      </c>
      <c r="AM10" s="90">
        <f t="shared" si="10"/>
        <v>0</v>
      </c>
      <c r="AN10" s="91" t="str">
        <f t="shared" si="11"/>
        <v/>
      </c>
      <c r="AO10" s="92" t="str">
        <f t="shared" si="12"/>
        <v/>
      </c>
      <c r="AP10" s="92" t="str">
        <f t="shared" si="13"/>
        <v/>
      </c>
      <c r="AQ10" s="92" t="str">
        <f t="shared" si="14"/>
        <v/>
      </c>
      <c r="AR10" s="92" t="str">
        <f t="shared" si="15"/>
        <v/>
      </c>
      <c r="AS10" s="92" t="str">
        <f t="shared" si="16"/>
        <v/>
      </c>
      <c r="AT10" s="92" t="str">
        <f t="shared" si="17"/>
        <v/>
      </c>
      <c r="AU10" s="92" t="str">
        <f t="shared" si="18"/>
        <v/>
      </c>
      <c r="AV10" s="92" t="str">
        <f t="shared" si="19"/>
        <v/>
      </c>
      <c r="AW10" s="92" t="str">
        <f t="shared" si="19"/>
        <v/>
      </c>
      <c r="AX10" s="92" t="str">
        <f t="shared" si="19"/>
        <v/>
      </c>
      <c r="AY10" s="93" t="str">
        <f t="shared" si="20"/>
        <v/>
      </c>
      <c r="AZ10" s="94" t="str">
        <f t="shared" si="21"/>
        <v/>
      </c>
      <c r="BA10" s="95" t="str">
        <f t="shared" si="22"/>
        <v/>
      </c>
      <c r="BB10" s="248" t="s">
        <v>422</v>
      </c>
      <c r="BC10" s="229" t="s">
        <v>433</v>
      </c>
      <c r="BD10" s="249">
        <v>0</v>
      </c>
      <c r="BE10" s="267">
        <f t="shared" si="26"/>
        <v>0</v>
      </c>
      <c r="BF10" s="268">
        <f t="shared" si="23"/>
        <v>0</v>
      </c>
      <c r="BG10" s="268">
        <f t="shared" si="23"/>
        <v>0</v>
      </c>
      <c r="BH10" s="268">
        <f t="shared" si="23"/>
        <v>1</v>
      </c>
      <c r="BI10" s="268">
        <f t="shared" si="23"/>
        <v>2</v>
      </c>
      <c r="BJ10" s="268">
        <f t="shared" si="23"/>
        <v>3</v>
      </c>
      <c r="BK10" s="268">
        <f t="shared" si="23"/>
        <v>4</v>
      </c>
      <c r="BL10" s="269">
        <f t="shared" si="23"/>
        <v>5</v>
      </c>
      <c r="BM10" s="256">
        <f>IF($BC10=Lookup!$A$2,$BD10*ROUNDUP(BE10/10,0)+1,
IF($BC10=Lookup!$A$3,($BD10+1)^BD10,
IF($BC10=Lookup!$A$4,BE10*$BD10+1,"Error")))</f>
        <v>1</v>
      </c>
      <c r="BN10" s="229">
        <f>IF($BC10=Lookup!$A$2,$BD10*ROUNDUP(BF10/10,0)+1,
IF($BC10=Lookup!$A$3,($BD10+1)^BE10,
IF($BC10=Lookup!$A$4,BF10*$BD10+1,"Error")))</f>
        <v>1</v>
      </c>
      <c r="BO10" s="229">
        <f>IF($BC10=Lookup!$A$2,$BD10*ROUNDUP(BG10/10,0)+1,
IF($BC10=Lookup!$A$3,($BD10+1)^BF10,
IF($BC10=Lookup!$A$4,BG10*$BD10+1,"Error")))</f>
        <v>1</v>
      </c>
      <c r="BP10" s="229">
        <f>IF($BC10=Lookup!$A$2,$BD10*ROUNDUP(BH10/10,0)+1,
IF($BC10=Lookup!$A$3,($BD10+1)^BG10,
IF($BC10=Lookup!$A$4,BH10*$BD10+1,"Error")))</f>
        <v>1</v>
      </c>
      <c r="BQ10" s="229">
        <f>IF($BC10=Lookup!$A$2,$BD10*ROUNDUP(BI10/10,0)+1,
IF($BC10=Lookup!$A$3,($BD10+1)^BH10,
IF($BC10=Lookup!$A$4,BI10*$BD10+1,"Error")))</f>
        <v>1</v>
      </c>
      <c r="BR10" s="229">
        <f>IF($BC10=Lookup!$A$2,$BD10*ROUNDUP(BJ10/10,0)+1,
IF($BC10=Lookup!$A$3,($BD10+1)^BI10,
IF($BC10=Lookup!$A$4,BJ10*$BD10+1,"Error")))</f>
        <v>1</v>
      </c>
      <c r="BS10" s="229">
        <f>IF($BC10=Lookup!$A$2,$BD10*ROUNDUP(BK10/10,0)+1,
IF($BC10=Lookup!$A$3,($BD10+1)^BJ10,
IF($BC10=Lookup!$A$4,BK10*$BD10+1,"Error")))</f>
        <v>1</v>
      </c>
      <c r="BT10" s="249">
        <f>IF($BC10=Lookup!$A$2,$BD10*ROUNDUP(BL10/10,0)+1,
IF($BC10=Lookup!$A$3,($BD10+1)^BK10,
IF($BC10=Lookup!$A$4,BL10*$BD10+1,"Error")))</f>
        <v>1</v>
      </c>
      <c r="BU10" s="320">
        <v>0</v>
      </c>
      <c r="BV10" s="321">
        <v>0</v>
      </c>
      <c r="BW10" s="321">
        <v>0</v>
      </c>
      <c r="BX10" s="320">
        <v>0</v>
      </c>
      <c r="BY10" s="321">
        <v>0</v>
      </c>
      <c r="BZ10" s="321">
        <v>0</v>
      </c>
      <c r="CA10" s="321">
        <v>0</v>
      </c>
      <c r="CB10" s="277">
        <v>0</v>
      </c>
      <c r="CC10" s="382" t="s">
        <v>292</v>
      </c>
      <c r="CD10" s="383">
        <f>HLOOKUP($CC10,$AK$6:$AM$132,ROWS(CD$6:CD10),0)</f>
        <v>0</v>
      </c>
      <c r="CE10" s="234">
        <f t="shared" si="27"/>
        <v>0</v>
      </c>
      <c r="CF10" s="96">
        <f t="shared" si="24"/>
        <v>0</v>
      </c>
      <c r="CG10" s="521">
        <f t="shared" si="24"/>
        <v>0</v>
      </c>
      <c r="CH10" s="421">
        <f t="shared" si="24"/>
        <v>0</v>
      </c>
      <c r="CI10" s="96">
        <f t="shared" si="24"/>
        <v>0</v>
      </c>
      <c r="CJ10" s="96">
        <f t="shared" si="24"/>
        <v>0</v>
      </c>
      <c r="CK10" s="96">
        <f t="shared" si="24"/>
        <v>0</v>
      </c>
      <c r="CL10" s="286">
        <f t="shared" si="24"/>
        <v>0</v>
      </c>
      <c r="CM10" s="305" t="s">
        <v>293</v>
      </c>
      <c r="CN10" s="315">
        <v>0.05</v>
      </c>
      <c r="CO10" s="306"/>
      <c r="CP10" s="307" t="str">
        <f>IF($CO10&lt;&gt;"",$CO10,HLOOKUP($CM10,$AY$6:$BA$132,ROWS(CP$6:CP10),0))</f>
        <v/>
      </c>
      <c r="CQ10" s="784">
        <v>0</v>
      </c>
      <c r="CR10" s="784">
        <v>0</v>
      </c>
      <c r="CS10" s="524">
        <v>0</v>
      </c>
      <c r="CT10" s="416">
        <v>0</v>
      </c>
      <c r="CU10" s="97">
        <v>0</v>
      </c>
      <c r="CV10" s="97">
        <v>0</v>
      </c>
      <c r="CW10" s="97">
        <v>0</v>
      </c>
      <c r="CX10" s="98">
        <v>0</v>
      </c>
      <c r="CY10" s="392"/>
    </row>
    <row r="11" spans="1:104" x14ac:dyDescent="0.25">
      <c r="A11" s="81" t="s">
        <v>27</v>
      </c>
      <c r="B11" s="82" t="s">
        <v>32</v>
      </c>
      <c r="C11" s="83" t="s">
        <v>33</v>
      </c>
      <c r="D11" s="84"/>
      <c r="E11" s="85"/>
      <c r="F11" s="85"/>
      <c r="G11" s="85"/>
      <c r="H11" s="85"/>
      <c r="I11" s="85"/>
      <c r="J11" s="85"/>
      <c r="K11" s="85"/>
      <c r="L11" s="85"/>
      <c r="M11" s="654"/>
      <c r="N11" s="1065"/>
      <c r="O11" s="560">
        <f t="shared" si="25"/>
        <v>0</v>
      </c>
      <c r="P11" s="561">
        <f t="shared" si="0"/>
        <v>0</v>
      </c>
      <c r="Q11" s="561">
        <f t="shared" si="1"/>
        <v>0</v>
      </c>
      <c r="R11" s="561">
        <f t="shared" si="2"/>
        <v>0</v>
      </c>
      <c r="S11" s="561">
        <f t="shared" si="3"/>
        <v>0</v>
      </c>
      <c r="T11" s="561">
        <f t="shared" si="4"/>
        <v>0</v>
      </c>
      <c r="U11" s="561">
        <f t="shared" si="5"/>
        <v>0</v>
      </c>
      <c r="V11" s="561">
        <f t="shared" si="6"/>
        <v>0</v>
      </c>
      <c r="W11" s="675">
        <f t="shared" si="7"/>
        <v>0</v>
      </c>
      <c r="X11" s="675">
        <f t="shared" si="8"/>
        <v>0</v>
      </c>
      <c r="Y11" s="675">
        <f t="shared" si="8"/>
        <v>0</v>
      </c>
      <c r="Z11" s="86"/>
      <c r="AA11" s="87"/>
      <c r="AB11" s="87"/>
      <c r="AC11" s="87"/>
      <c r="AD11" s="87"/>
      <c r="AE11" s="87"/>
      <c r="AF11" s="87"/>
      <c r="AG11" s="87"/>
      <c r="AH11" s="87"/>
      <c r="AI11" s="1094"/>
      <c r="AJ11" s="665"/>
      <c r="AK11" s="88">
        <f t="shared" si="9"/>
        <v>0</v>
      </c>
      <c r="AL11" s="89" t="str" cm="1">
        <f t="array" aca="1" ref="AL11" ca="1">IFERROR(IF($AM$4="N",SSUM(AF11:AH11)/3,SUM(AG11:AI11)/3),"")</f>
        <v/>
      </c>
      <c r="AM11" s="90">
        <f t="shared" si="10"/>
        <v>0</v>
      </c>
      <c r="AN11" s="91" t="str">
        <f t="shared" si="11"/>
        <v/>
      </c>
      <c r="AO11" s="92" t="str">
        <f t="shared" si="12"/>
        <v/>
      </c>
      <c r="AP11" s="92" t="str">
        <f t="shared" si="13"/>
        <v/>
      </c>
      <c r="AQ11" s="92" t="str">
        <f t="shared" si="14"/>
        <v/>
      </c>
      <c r="AR11" s="92" t="str">
        <f t="shared" si="15"/>
        <v/>
      </c>
      <c r="AS11" s="92" t="str">
        <f t="shared" si="16"/>
        <v/>
      </c>
      <c r="AT11" s="92" t="str">
        <f t="shared" si="17"/>
        <v/>
      </c>
      <c r="AU11" s="92" t="str">
        <f t="shared" si="18"/>
        <v/>
      </c>
      <c r="AV11" s="92" t="str">
        <f t="shared" si="19"/>
        <v/>
      </c>
      <c r="AW11" s="92" t="str">
        <f t="shared" si="19"/>
        <v/>
      </c>
      <c r="AX11" s="92" t="str">
        <f t="shared" si="19"/>
        <v/>
      </c>
      <c r="AY11" s="93" t="str">
        <f t="shared" si="20"/>
        <v/>
      </c>
      <c r="AZ11" s="94" t="str">
        <f t="shared" si="21"/>
        <v/>
      </c>
      <c r="BA11" s="95" t="str">
        <f t="shared" si="22"/>
        <v/>
      </c>
      <c r="BB11" s="248" t="s">
        <v>422</v>
      </c>
      <c r="BC11" s="229" t="s">
        <v>433</v>
      </c>
      <c r="BD11" s="249">
        <v>0</v>
      </c>
      <c r="BE11" s="267">
        <f t="shared" si="26"/>
        <v>0</v>
      </c>
      <c r="BF11" s="268">
        <f t="shared" si="23"/>
        <v>0</v>
      </c>
      <c r="BG11" s="268">
        <f t="shared" si="23"/>
        <v>0</v>
      </c>
      <c r="BH11" s="268">
        <f t="shared" si="23"/>
        <v>1</v>
      </c>
      <c r="BI11" s="268">
        <f t="shared" si="23"/>
        <v>2</v>
      </c>
      <c r="BJ11" s="268">
        <f t="shared" si="23"/>
        <v>3</v>
      </c>
      <c r="BK11" s="268">
        <f t="shared" si="23"/>
        <v>4</v>
      </c>
      <c r="BL11" s="269">
        <f t="shared" si="23"/>
        <v>5</v>
      </c>
      <c r="BM11" s="256">
        <f>IF($BC11=Lookup!$A$2,$BD11*ROUNDUP(BE11/10,0)+1,
IF($BC11=Lookup!$A$3,($BD11+1)^BD11,
IF($BC11=Lookup!$A$4,BE11*$BD11+1,"Error")))</f>
        <v>1</v>
      </c>
      <c r="BN11" s="229">
        <f>IF($BC11=Lookup!$A$2,$BD11*ROUNDUP(BF11/10,0)+1,
IF($BC11=Lookup!$A$3,($BD11+1)^BE11,
IF($BC11=Lookup!$A$4,BF11*$BD11+1,"Error")))</f>
        <v>1</v>
      </c>
      <c r="BO11" s="229">
        <f>IF($BC11=Lookup!$A$2,$BD11*ROUNDUP(BG11/10,0)+1,
IF($BC11=Lookup!$A$3,($BD11+1)^BF11,
IF($BC11=Lookup!$A$4,BG11*$BD11+1,"Error")))</f>
        <v>1</v>
      </c>
      <c r="BP11" s="229">
        <f>IF($BC11=Lookup!$A$2,$BD11*ROUNDUP(BH11/10,0)+1,
IF($BC11=Lookup!$A$3,($BD11+1)^BG11,
IF($BC11=Lookup!$A$4,BH11*$BD11+1,"Error")))</f>
        <v>1</v>
      </c>
      <c r="BQ11" s="229">
        <f>IF($BC11=Lookup!$A$2,$BD11*ROUNDUP(BI11/10,0)+1,
IF($BC11=Lookup!$A$3,($BD11+1)^BH11,
IF($BC11=Lookup!$A$4,BI11*$BD11+1,"Error")))</f>
        <v>1</v>
      </c>
      <c r="BR11" s="229">
        <f>IF($BC11=Lookup!$A$2,$BD11*ROUNDUP(BJ11/10,0)+1,
IF($BC11=Lookup!$A$3,($BD11+1)^BI11,
IF($BC11=Lookup!$A$4,BJ11*$BD11+1,"Error")))</f>
        <v>1</v>
      </c>
      <c r="BS11" s="229">
        <f>IF($BC11=Lookup!$A$2,$BD11*ROUNDUP(BK11/10,0)+1,
IF($BC11=Lookup!$A$3,($BD11+1)^BJ11,
IF($BC11=Lookup!$A$4,BK11*$BD11+1,"Error")))</f>
        <v>1</v>
      </c>
      <c r="BT11" s="249">
        <f>IF($BC11=Lookup!$A$2,$BD11*ROUNDUP(BL11/10,0)+1,
IF($BC11=Lookup!$A$3,($BD11+1)^BK11,
IF($BC11=Lookup!$A$4,BL11*$BD11+1,"Error")))</f>
        <v>1</v>
      </c>
      <c r="BU11" s="320">
        <v>0</v>
      </c>
      <c r="BV11" s="321">
        <v>0</v>
      </c>
      <c r="BW11" s="321">
        <v>0</v>
      </c>
      <c r="BX11" s="320">
        <v>0</v>
      </c>
      <c r="BY11" s="321">
        <v>0</v>
      </c>
      <c r="BZ11" s="321">
        <v>0</v>
      </c>
      <c r="CA11" s="321">
        <v>0</v>
      </c>
      <c r="CB11" s="277">
        <v>0</v>
      </c>
      <c r="CC11" s="382" t="s">
        <v>292</v>
      </c>
      <c r="CD11" s="383">
        <f>HLOOKUP($CC11,$AK$6:$AM$132,ROWS(CD$6:CD11),0)</f>
        <v>0</v>
      </c>
      <c r="CE11" s="234">
        <f t="shared" si="27"/>
        <v>0</v>
      </c>
      <c r="CF11" s="96">
        <f t="shared" si="24"/>
        <v>0</v>
      </c>
      <c r="CG11" s="521">
        <f t="shared" si="24"/>
        <v>0</v>
      </c>
      <c r="CH11" s="421">
        <f t="shared" si="24"/>
        <v>0</v>
      </c>
      <c r="CI11" s="96">
        <f t="shared" si="24"/>
        <v>0</v>
      </c>
      <c r="CJ11" s="96">
        <f t="shared" si="24"/>
        <v>0</v>
      </c>
      <c r="CK11" s="96">
        <f t="shared" si="24"/>
        <v>0</v>
      </c>
      <c r="CL11" s="286">
        <f t="shared" si="24"/>
        <v>0</v>
      </c>
      <c r="CM11" s="305" t="s">
        <v>293</v>
      </c>
      <c r="CN11" s="315">
        <v>0.05</v>
      </c>
      <c r="CO11" s="306"/>
      <c r="CP11" s="307" t="str">
        <f>IF($CO11&lt;&gt;"",$CO11,HLOOKUP($CM11,$AY$6:$BA$132,ROWS(CP$6:CP11),0))</f>
        <v/>
      </c>
      <c r="CQ11" s="784">
        <v>0</v>
      </c>
      <c r="CR11" s="784">
        <v>0</v>
      </c>
      <c r="CS11" s="524">
        <v>0</v>
      </c>
      <c r="CT11" s="416">
        <v>0</v>
      </c>
      <c r="CU11" s="97">
        <v>0</v>
      </c>
      <c r="CV11" s="97">
        <v>0</v>
      </c>
      <c r="CW11" s="97">
        <v>0</v>
      </c>
      <c r="CX11" s="98">
        <v>0</v>
      </c>
      <c r="CY11" s="392"/>
    </row>
    <row r="12" spans="1:104" x14ac:dyDescent="0.25">
      <c r="A12" s="81" t="s">
        <v>27</v>
      </c>
      <c r="B12" s="82" t="s">
        <v>34</v>
      </c>
      <c r="C12" s="83" t="s">
        <v>35</v>
      </c>
      <c r="D12" s="84"/>
      <c r="E12" s="85"/>
      <c r="F12" s="85"/>
      <c r="G12" s="85"/>
      <c r="H12" s="85"/>
      <c r="I12" s="85"/>
      <c r="J12" s="85"/>
      <c r="K12" s="85"/>
      <c r="L12" s="85"/>
      <c r="M12" s="654"/>
      <c r="N12" s="1065"/>
      <c r="O12" s="560">
        <f t="shared" si="25"/>
        <v>0</v>
      </c>
      <c r="P12" s="561">
        <f t="shared" si="0"/>
        <v>0</v>
      </c>
      <c r="Q12" s="561">
        <f t="shared" si="1"/>
        <v>0</v>
      </c>
      <c r="R12" s="561">
        <f t="shared" si="2"/>
        <v>0</v>
      </c>
      <c r="S12" s="561">
        <f t="shared" si="3"/>
        <v>0</v>
      </c>
      <c r="T12" s="561">
        <f t="shared" si="4"/>
        <v>0</v>
      </c>
      <c r="U12" s="561">
        <f t="shared" si="5"/>
        <v>0</v>
      </c>
      <c r="V12" s="561">
        <f t="shared" si="6"/>
        <v>0</v>
      </c>
      <c r="W12" s="675">
        <f t="shared" si="7"/>
        <v>0</v>
      </c>
      <c r="X12" s="675">
        <f t="shared" si="8"/>
        <v>0</v>
      </c>
      <c r="Y12" s="675">
        <f t="shared" si="8"/>
        <v>0</v>
      </c>
      <c r="Z12" s="86"/>
      <c r="AA12" s="87"/>
      <c r="AB12" s="87"/>
      <c r="AC12" s="87"/>
      <c r="AD12" s="87"/>
      <c r="AE12" s="87"/>
      <c r="AF12" s="87"/>
      <c r="AG12" s="87"/>
      <c r="AH12" s="87"/>
      <c r="AI12" s="1094"/>
      <c r="AJ12" s="665"/>
      <c r="AK12" s="88">
        <f t="shared" si="9"/>
        <v>0</v>
      </c>
      <c r="AL12" s="89" t="str" cm="1">
        <f t="array" aca="1" ref="AL12" ca="1">IFERROR(IF($AM$4="N",SSUM(AF12:AH12)/3,SUM(AG12:AI12)/3),"")</f>
        <v/>
      </c>
      <c r="AM12" s="90">
        <f t="shared" si="10"/>
        <v>0</v>
      </c>
      <c r="AN12" s="91" t="str">
        <f t="shared" si="11"/>
        <v/>
      </c>
      <c r="AO12" s="92" t="str">
        <f t="shared" si="12"/>
        <v/>
      </c>
      <c r="AP12" s="92" t="str">
        <f t="shared" si="13"/>
        <v/>
      </c>
      <c r="AQ12" s="92" t="str">
        <f t="shared" si="14"/>
        <v/>
      </c>
      <c r="AR12" s="92" t="str">
        <f t="shared" si="15"/>
        <v/>
      </c>
      <c r="AS12" s="92" t="str">
        <f t="shared" si="16"/>
        <v/>
      </c>
      <c r="AT12" s="92" t="str">
        <f t="shared" si="17"/>
        <v/>
      </c>
      <c r="AU12" s="92" t="str">
        <f t="shared" si="18"/>
        <v/>
      </c>
      <c r="AV12" s="92" t="str">
        <f t="shared" si="19"/>
        <v/>
      </c>
      <c r="AW12" s="92" t="str">
        <f t="shared" si="19"/>
        <v/>
      </c>
      <c r="AX12" s="92" t="str">
        <f t="shared" si="19"/>
        <v/>
      </c>
      <c r="AY12" s="93" t="str">
        <f t="shared" si="20"/>
        <v/>
      </c>
      <c r="AZ12" s="94" t="str">
        <f t="shared" si="21"/>
        <v/>
      </c>
      <c r="BA12" s="95" t="str">
        <f t="shared" si="22"/>
        <v/>
      </c>
      <c r="BB12" s="248" t="s">
        <v>422</v>
      </c>
      <c r="BC12" s="229" t="s">
        <v>433</v>
      </c>
      <c r="BD12" s="249">
        <v>0</v>
      </c>
      <c r="BE12" s="267">
        <f t="shared" si="26"/>
        <v>0</v>
      </c>
      <c r="BF12" s="268">
        <f t="shared" si="23"/>
        <v>0</v>
      </c>
      <c r="BG12" s="268">
        <f t="shared" si="23"/>
        <v>0</v>
      </c>
      <c r="BH12" s="268">
        <f t="shared" si="23"/>
        <v>1</v>
      </c>
      <c r="BI12" s="268">
        <f t="shared" si="23"/>
        <v>2</v>
      </c>
      <c r="BJ12" s="268">
        <f t="shared" si="23"/>
        <v>3</v>
      </c>
      <c r="BK12" s="268">
        <f t="shared" si="23"/>
        <v>4</v>
      </c>
      <c r="BL12" s="269">
        <f t="shared" si="23"/>
        <v>5</v>
      </c>
      <c r="BM12" s="256">
        <f>IF($BC12=Lookup!$A$2,$BD12*ROUNDUP(BE12/10,0)+1,
IF($BC12=Lookup!$A$3,($BD12+1)^BD12,
IF($BC12=Lookup!$A$4,BE12*$BD12+1,"Error")))</f>
        <v>1</v>
      </c>
      <c r="BN12" s="229">
        <f>IF($BC12=Lookup!$A$2,$BD12*ROUNDUP(BF12/10,0)+1,
IF($BC12=Lookup!$A$3,($BD12+1)^BE12,
IF($BC12=Lookup!$A$4,BF12*$BD12+1,"Error")))</f>
        <v>1</v>
      </c>
      <c r="BO12" s="229">
        <f>IF($BC12=Lookup!$A$2,$BD12*ROUNDUP(BG12/10,0)+1,
IF($BC12=Lookup!$A$3,($BD12+1)^BF12,
IF($BC12=Lookup!$A$4,BG12*$BD12+1,"Error")))</f>
        <v>1</v>
      </c>
      <c r="BP12" s="229">
        <f>IF($BC12=Lookup!$A$2,$BD12*ROUNDUP(BH12/10,0)+1,
IF($BC12=Lookup!$A$3,($BD12+1)^BG12,
IF($BC12=Lookup!$A$4,BH12*$BD12+1,"Error")))</f>
        <v>1</v>
      </c>
      <c r="BQ12" s="229">
        <f>IF($BC12=Lookup!$A$2,$BD12*ROUNDUP(BI12/10,0)+1,
IF($BC12=Lookup!$A$3,($BD12+1)^BH12,
IF($BC12=Lookup!$A$4,BI12*$BD12+1,"Error")))</f>
        <v>1</v>
      </c>
      <c r="BR12" s="229">
        <f>IF($BC12=Lookup!$A$2,$BD12*ROUNDUP(BJ12/10,0)+1,
IF($BC12=Lookup!$A$3,($BD12+1)^BI12,
IF($BC12=Lookup!$A$4,BJ12*$BD12+1,"Error")))</f>
        <v>1</v>
      </c>
      <c r="BS12" s="229">
        <f>IF($BC12=Lookup!$A$2,$BD12*ROUNDUP(BK12/10,0)+1,
IF($BC12=Lookup!$A$3,($BD12+1)^BJ12,
IF($BC12=Lookup!$A$4,BK12*$BD12+1,"Error")))</f>
        <v>1</v>
      </c>
      <c r="BT12" s="249">
        <f>IF($BC12=Lookup!$A$2,$BD12*ROUNDUP(BL12/10,0)+1,
IF($BC12=Lookup!$A$3,($BD12+1)^BK12,
IF($BC12=Lookup!$A$4,BL12*$BD12+1,"Error")))</f>
        <v>1</v>
      </c>
      <c r="BU12" s="320">
        <v>0</v>
      </c>
      <c r="BV12" s="321">
        <v>0</v>
      </c>
      <c r="BW12" s="321">
        <v>0</v>
      </c>
      <c r="BX12" s="320">
        <v>0</v>
      </c>
      <c r="BY12" s="321">
        <v>0</v>
      </c>
      <c r="BZ12" s="321">
        <v>0</v>
      </c>
      <c r="CA12" s="321">
        <v>0</v>
      </c>
      <c r="CB12" s="277">
        <v>0</v>
      </c>
      <c r="CC12" s="382" t="s">
        <v>292</v>
      </c>
      <c r="CD12" s="383">
        <f>HLOOKUP($CC12,$AK$6:$AM$132,ROWS(CD$6:CD12),0)</f>
        <v>0</v>
      </c>
      <c r="CE12" s="234">
        <f t="shared" si="27"/>
        <v>0</v>
      </c>
      <c r="CF12" s="96">
        <f t="shared" si="24"/>
        <v>0</v>
      </c>
      <c r="CG12" s="521">
        <f t="shared" si="24"/>
        <v>0</v>
      </c>
      <c r="CH12" s="421">
        <f t="shared" si="24"/>
        <v>0</v>
      </c>
      <c r="CI12" s="96">
        <f t="shared" si="24"/>
        <v>0</v>
      </c>
      <c r="CJ12" s="96">
        <f t="shared" si="24"/>
        <v>0</v>
      </c>
      <c r="CK12" s="96">
        <f t="shared" si="24"/>
        <v>0</v>
      </c>
      <c r="CL12" s="286">
        <f t="shared" si="24"/>
        <v>0</v>
      </c>
      <c r="CM12" s="305" t="s">
        <v>293</v>
      </c>
      <c r="CN12" s="315">
        <v>0.05</v>
      </c>
      <c r="CO12" s="306"/>
      <c r="CP12" s="307" t="str">
        <f>IF($CO12&lt;&gt;"",$CO12,HLOOKUP($CM12,$AY$6:$BA$132,ROWS(CP$6:CP12),0))</f>
        <v/>
      </c>
      <c r="CQ12" s="784">
        <v>0</v>
      </c>
      <c r="CR12" s="784">
        <v>0</v>
      </c>
      <c r="CS12" s="524">
        <v>0</v>
      </c>
      <c r="CT12" s="416">
        <v>0</v>
      </c>
      <c r="CU12" s="97">
        <v>0</v>
      </c>
      <c r="CV12" s="97">
        <v>0</v>
      </c>
      <c r="CW12" s="97">
        <v>0</v>
      </c>
      <c r="CX12" s="98">
        <v>0</v>
      </c>
      <c r="CY12" s="392"/>
    </row>
    <row r="13" spans="1:104" x14ac:dyDescent="0.25">
      <c r="A13" s="81" t="s">
        <v>27</v>
      </c>
      <c r="B13" s="82" t="s">
        <v>36</v>
      </c>
      <c r="C13" s="83" t="s">
        <v>37</v>
      </c>
      <c r="D13" s="84"/>
      <c r="E13" s="85"/>
      <c r="F13" s="85"/>
      <c r="G13" s="85"/>
      <c r="H13" s="85"/>
      <c r="I13" s="85"/>
      <c r="J13" s="85"/>
      <c r="K13" s="85"/>
      <c r="L13" s="85"/>
      <c r="M13" s="654"/>
      <c r="N13" s="1065"/>
      <c r="O13" s="560">
        <f t="shared" si="25"/>
        <v>0</v>
      </c>
      <c r="P13" s="561">
        <f t="shared" si="0"/>
        <v>0</v>
      </c>
      <c r="Q13" s="561">
        <f t="shared" si="1"/>
        <v>0</v>
      </c>
      <c r="R13" s="561">
        <f t="shared" si="2"/>
        <v>0</v>
      </c>
      <c r="S13" s="561">
        <f t="shared" si="3"/>
        <v>0</v>
      </c>
      <c r="T13" s="561">
        <f t="shared" si="4"/>
        <v>0</v>
      </c>
      <c r="U13" s="561">
        <f t="shared" si="5"/>
        <v>0</v>
      </c>
      <c r="V13" s="561">
        <f t="shared" si="6"/>
        <v>0</v>
      </c>
      <c r="W13" s="675">
        <f t="shared" si="7"/>
        <v>0</v>
      </c>
      <c r="X13" s="675">
        <f t="shared" si="8"/>
        <v>0</v>
      </c>
      <c r="Y13" s="675">
        <f t="shared" si="8"/>
        <v>0</v>
      </c>
      <c r="Z13" s="86"/>
      <c r="AA13" s="87"/>
      <c r="AB13" s="87"/>
      <c r="AC13" s="87"/>
      <c r="AD13" s="87"/>
      <c r="AE13" s="87"/>
      <c r="AF13" s="87"/>
      <c r="AG13" s="87"/>
      <c r="AH13" s="87"/>
      <c r="AI13" s="1094"/>
      <c r="AJ13" s="665"/>
      <c r="AK13" s="88">
        <f t="shared" si="9"/>
        <v>0</v>
      </c>
      <c r="AL13" s="89" t="str" cm="1">
        <f t="array" aca="1" ref="AL13" ca="1">IFERROR(IF($AM$4="N",SSUM(AF13:AH13)/3,SUM(AG13:AI13)/3),"")</f>
        <v/>
      </c>
      <c r="AM13" s="90">
        <f t="shared" si="10"/>
        <v>0</v>
      </c>
      <c r="AN13" s="91" t="str">
        <f t="shared" si="11"/>
        <v/>
      </c>
      <c r="AO13" s="92" t="str">
        <f t="shared" si="12"/>
        <v/>
      </c>
      <c r="AP13" s="92" t="str">
        <f t="shared" si="13"/>
        <v/>
      </c>
      <c r="AQ13" s="92" t="str">
        <f t="shared" si="14"/>
        <v/>
      </c>
      <c r="AR13" s="92" t="str">
        <f t="shared" si="15"/>
        <v/>
      </c>
      <c r="AS13" s="92" t="str">
        <f t="shared" si="16"/>
        <v/>
      </c>
      <c r="AT13" s="92" t="str">
        <f t="shared" si="17"/>
        <v/>
      </c>
      <c r="AU13" s="92" t="str">
        <f t="shared" si="18"/>
        <v/>
      </c>
      <c r="AV13" s="92" t="str">
        <f t="shared" si="19"/>
        <v/>
      </c>
      <c r="AW13" s="92" t="str">
        <f t="shared" si="19"/>
        <v/>
      </c>
      <c r="AX13" s="92" t="str">
        <f t="shared" si="19"/>
        <v/>
      </c>
      <c r="AY13" s="93" t="str">
        <f t="shared" si="20"/>
        <v/>
      </c>
      <c r="AZ13" s="94" t="str">
        <f t="shared" si="21"/>
        <v/>
      </c>
      <c r="BA13" s="95" t="str">
        <f t="shared" si="22"/>
        <v/>
      </c>
      <c r="BB13" s="248" t="s">
        <v>422</v>
      </c>
      <c r="BC13" s="229" t="s">
        <v>433</v>
      </c>
      <c r="BD13" s="249">
        <v>0</v>
      </c>
      <c r="BE13" s="267">
        <f t="shared" si="26"/>
        <v>0</v>
      </c>
      <c r="BF13" s="268">
        <f t="shared" si="23"/>
        <v>0</v>
      </c>
      <c r="BG13" s="268">
        <f t="shared" si="23"/>
        <v>0</v>
      </c>
      <c r="BH13" s="268">
        <f t="shared" si="23"/>
        <v>1</v>
      </c>
      <c r="BI13" s="268">
        <f t="shared" si="23"/>
        <v>2</v>
      </c>
      <c r="BJ13" s="268">
        <f t="shared" si="23"/>
        <v>3</v>
      </c>
      <c r="BK13" s="268">
        <f t="shared" si="23"/>
        <v>4</v>
      </c>
      <c r="BL13" s="269">
        <f t="shared" si="23"/>
        <v>5</v>
      </c>
      <c r="BM13" s="256">
        <f>IF($BC13=Lookup!$A$2,$BD13*ROUNDUP(BE13/10,0)+1,
IF($BC13=Lookup!$A$3,($BD13+1)^BD13,
IF($BC13=Lookup!$A$4,BE13*$BD13+1,"Error")))</f>
        <v>1</v>
      </c>
      <c r="BN13" s="229">
        <f>IF($BC13=Lookup!$A$2,$BD13*ROUNDUP(BF13/10,0)+1,
IF($BC13=Lookup!$A$3,($BD13+1)^BE13,
IF($BC13=Lookup!$A$4,BF13*$BD13+1,"Error")))</f>
        <v>1</v>
      </c>
      <c r="BO13" s="229">
        <f>IF($BC13=Lookup!$A$2,$BD13*ROUNDUP(BG13/10,0)+1,
IF($BC13=Lookup!$A$3,($BD13+1)^BF13,
IF($BC13=Lookup!$A$4,BG13*$BD13+1,"Error")))</f>
        <v>1</v>
      </c>
      <c r="BP13" s="229">
        <f>IF($BC13=Lookup!$A$2,$BD13*ROUNDUP(BH13/10,0)+1,
IF($BC13=Lookup!$A$3,($BD13+1)^BG13,
IF($BC13=Lookup!$A$4,BH13*$BD13+1,"Error")))</f>
        <v>1</v>
      </c>
      <c r="BQ13" s="229">
        <f>IF($BC13=Lookup!$A$2,$BD13*ROUNDUP(BI13/10,0)+1,
IF($BC13=Lookup!$A$3,($BD13+1)^BH13,
IF($BC13=Lookup!$A$4,BI13*$BD13+1,"Error")))</f>
        <v>1</v>
      </c>
      <c r="BR13" s="229">
        <f>IF($BC13=Lookup!$A$2,$BD13*ROUNDUP(BJ13/10,0)+1,
IF($BC13=Lookup!$A$3,($BD13+1)^BI13,
IF($BC13=Lookup!$A$4,BJ13*$BD13+1,"Error")))</f>
        <v>1</v>
      </c>
      <c r="BS13" s="229">
        <f>IF($BC13=Lookup!$A$2,$BD13*ROUNDUP(BK13/10,0)+1,
IF($BC13=Lookup!$A$3,($BD13+1)^BJ13,
IF($BC13=Lookup!$A$4,BK13*$BD13+1,"Error")))</f>
        <v>1</v>
      </c>
      <c r="BT13" s="249">
        <f>IF($BC13=Lookup!$A$2,$BD13*ROUNDUP(BL13/10,0)+1,
IF($BC13=Lookup!$A$3,($BD13+1)^BK13,
IF($BC13=Lookup!$A$4,BL13*$BD13+1,"Error")))</f>
        <v>1</v>
      </c>
      <c r="BU13" s="320">
        <v>0</v>
      </c>
      <c r="BV13" s="321">
        <v>0</v>
      </c>
      <c r="BW13" s="321">
        <v>0</v>
      </c>
      <c r="BX13" s="320">
        <v>0</v>
      </c>
      <c r="BY13" s="321">
        <v>0</v>
      </c>
      <c r="BZ13" s="321">
        <v>0</v>
      </c>
      <c r="CA13" s="321">
        <v>0</v>
      </c>
      <c r="CB13" s="277">
        <v>0</v>
      </c>
      <c r="CC13" s="382" t="s">
        <v>292</v>
      </c>
      <c r="CD13" s="383">
        <f>HLOOKUP($CC13,$AK$6:$AM$132,ROWS(CD$6:CD13),0)</f>
        <v>0</v>
      </c>
      <c r="CE13" s="234">
        <f t="shared" si="27"/>
        <v>0</v>
      </c>
      <c r="CF13" s="96">
        <f t="shared" si="24"/>
        <v>0</v>
      </c>
      <c r="CG13" s="521">
        <f t="shared" si="24"/>
        <v>0</v>
      </c>
      <c r="CH13" s="421">
        <f t="shared" si="24"/>
        <v>0</v>
      </c>
      <c r="CI13" s="96">
        <f t="shared" si="24"/>
        <v>0</v>
      </c>
      <c r="CJ13" s="96">
        <f t="shared" si="24"/>
        <v>0</v>
      </c>
      <c r="CK13" s="96">
        <f t="shared" si="24"/>
        <v>0</v>
      </c>
      <c r="CL13" s="286">
        <f t="shared" si="24"/>
        <v>0</v>
      </c>
      <c r="CM13" s="305" t="s">
        <v>293</v>
      </c>
      <c r="CN13" s="315">
        <v>0.05</v>
      </c>
      <c r="CO13" s="306"/>
      <c r="CP13" s="307" t="str">
        <f>IF($CO13&lt;&gt;"",$CO13,HLOOKUP($CM13,$AY$6:$BA$132,ROWS(CP$6:CP13),0))</f>
        <v/>
      </c>
      <c r="CQ13" s="784">
        <v>0</v>
      </c>
      <c r="CR13" s="784">
        <v>0</v>
      </c>
      <c r="CS13" s="524">
        <v>0</v>
      </c>
      <c r="CT13" s="416">
        <v>0</v>
      </c>
      <c r="CU13" s="97">
        <v>0</v>
      </c>
      <c r="CV13" s="97">
        <v>0</v>
      </c>
      <c r="CW13" s="97">
        <v>0</v>
      </c>
      <c r="CX13" s="98">
        <v>0</v>
      </c>
      <c r="CY13" s="392"/>
    </row>
    <row r="14" spans="1:104" x14ac:dyDescent="0.25">
      <c r="A14" s="81" t="s">
        <v>27</v>
      </c>
      <c r="B14" s="82" t="s">
        <v>39</v>
      </c>
      <c r="C14" s="83" t="s">
        <v>299</v>
      </c>
      <c r="D14" s="84"/>
      <c r="E14" s="85"/>
      <c r="F14" s="85"/>
      <c r="G14" s="85"/>
      <c r="H14" s="85"/>
      <c r="I14" s="85"/>
      <c r="J14" s="85"/>
      <c r="K14" s="85"/>
      <c r="L14" s="85"/>
      <c r="M14" s="654"/>
      <c r="N14" s="1065"/>
      <c r="O14" s="560">
        <f t="shared" si="25"/>
        <v>0</v>
      </c>
      <c r="P14" s="561">
        <f t="shared" si="0"/>
        <v>0</v>
      </c>
      <c r="Q14" s="561">
        <f t="shared" si="1"/>
        <v>0</v>
      </c>
      <c r="R14" s="561">
        <f t="shared" si="2"/>
        <v>0</v>
      </c>
      <c r="S14" s="561">
        <f t="shared" si="3"/>
        <v>0</v>
      </c>
      <c r="T14" s="561">
        <f t="shared" si="4"/>
        <v>0</v>
      </c>
      <c r="U14" s="561">
        <f t="shared" si="5"/>
        <v>0</v>
      </c>
      <c r="V14" s="561">
        <f t="shared" si="6"/>
        <v>0</v>
      </c>
      <c r="W14" s="675">
        <f t="shared" si="7"/>
        <v>0</v>
      </c>
      <c r="X14" s="675">
        <f t="shared" si="8"/>
        <v>0</v>
      </c>
      <c r="Y14" s="675">
        <f t="shared" si="8"/>
        <v>0</v>
      </c>
      <c r="Z14" s="86"/>
      <c r="AA14" s="87"/>
      <c r="AB14" s="87"/>
      <c r="AC14" s="87"/>
      <c r="AD14" s="87"/>
      <c r="AE14" s="87"/>
      <c r="AF14" s="87"/>
      <c r="AG14" s="87"/>
      <c r="AH14" s="87"/>
      <c r="AI14" s="1094"/>
      <c r="AJ14" s="665"/>
      <c r="AK14" s="88">
        <f t="shared" si="9"/>
        <v>0</v>
      </c>
      <c r="AL14" s="89" t="str" cm="1">
        <f t="array" aca="1" ref="AL14" ca="1">IFERROR(IF($AM$4="N",SSUM(AF14:AH14)/3,SUM(AG14:AI14)/3),"")</f>
        <v/>
      </c>
      <c r="AM14" s="90">
        <f t="shared" si="10"/>
        <v>0</v>
      </c>
      <c r="AN14" s="91" t="str">
        <f t="shared" si="11"/>
        <v/>
      </c>
      <c r="AO14" s="92" t="str">
        <f t="shared" si="12"/>
        <v/>
      </c>
      <c r="AP14" s="92" t="str">
        <f t="shared" si="13"/>
        <v/>
      </c>
      <c r="AQ14" s="92" t="str">
        <f t="shared" si="14"/>
        <v/>
      </c>
      <c r="AR14" s="92" t="str">
        <f t="shared" si="15"/>
        <v/>
      </c>
      <c r="AS14" s="92" t="str">
        <f t="shared" si="16"/>
        <v/>
      </c>
      <c r="AT14" s="92" t="str">
        <f t="shared" si="17"/>
        <v/>
      </c>
      <c r="AU14" s="92" t="str">
        <f t="shared" si="18"/>
        <v/>
      </c>
      <c r="AV14" s="92" t="str">
        <f t="shared" si="19"/>
        <v/>
      </c>
      <c r="AW14" s="92" t="str">
        <f t="shared" si="19"/>
        <v/>
      </c>
      <c r="AX14" s="92" t="str">
        <f t="shared" si="19"/>
        <v/>
      </c>
      <c r="AY14" s="93" t="str">
        <f t="shared" si="20"/>
        <v/>
      </c>
      <c r="AZ14" s="94" t="str">
        <f t="shared" si="21"/>
        <v/>
      </c>
      <c r="BA14" s="95" t="str">
        <f t="shared" si="22"/>
        <v/>
      </c>
      <c r="BB14" s="248" t="s">
        <v>422</v>
      </c>
      <c r="BC14" s="229" t="s">
        <v>433</v>
      </c>
      <c r="BD14" s="249">
        <v>0</v>
      </c>
      <c r="BE14" s="267">
        <f t="shared" si="26"/>
        <v>0</v>
      </c>
      <c r="BF14" s="268">
        <f t="shared" si="23"/>
        <v>0</v>
      </c>
      <c r="BG14" s="268">
        <f t="shared" si="23"/>
        <v>0</v>
      </c>
      <c r="BH14" s="268">
        <f t="shared" si="23"/>
        <v>1</v>
      </c>
      <c r="BI14" s="268">
        <f t="shared" si="23"/>
        <v>2</v>
      </c>
      <c r="BJ14" s="268">
        <f t="shared" si="23"/>
        <v>3</v>
      </c>
      <c r="BK14" s="268">
        <f t="shared" si="23"/>
        <v>4</v>
      </c>
      <c r="BL14" s="269">
        <f t="shared" si="23"/>
        <v>5</v>
      </c>
      <c r="BM14" s="256">
        <f>IF($BC14=Lookup!$A$2,$BD14*ROUNDUP(BE14/10,0)+1,
IF($BC14=Lookup!$A$3,($BD14+1)^BD14,
IF($BC14=Lookup!$A$4,BE14*$BD14+1,"Error")))</f>
        <v>1</v>
      </c>
      <c r="BN14" s="229">
        <f>IF($BC14=Lookup!$A$2,$BD14*ROUNDUP(BF14/10,0)+1,
IF($BC14=Lookup!$A$3,($BD14+1)^BE14,
IF($BC14=Lookup!$A$4,BF14*$BD14+1,"Error")))</f>
        <v>1</v>
      </c>
      <c r="BO14" s="229">
        <f>IF($BC14=Lookup!$A$2,$BD14*ROUNDUP(BG14/10,0)+1,
IF($BC14=Lookup!$A$3,($BD14+1)^BF14,
IF($BC14=Lookup!$A$4,BG14*$BD14+1,"Error")))</f>
        <v>1</v>
      </c>
      <c r="BP14" s="229">
        <f>IF($BC14=Lookup!$A$2,$BD14*ROUNDUP(BH14/10,0)+1,
IF($BC14=Lookup!$A$3,($BD14+1)^BG14,
IF($BC14=Lookup!$A$4,BH14*$BD14+1,"Error")))</f>
        <v>1</v>
      </c>
      <c r="BQ14" s="229">
        <f>IF($BC14=Lookup!$A$2,$BD14*ROUNDUP(BI14/10,0)+1,
IF($BC14=Lookup!$A$3,($BD14+1)^BH14,
IF($BC14=Lookup!$A$4,BI14*$BD14+1,"Error")))</f>
        <v>1</v>
      </c>
      <c r="BR14" s="229">
        <f>IF($BC14=Lookup!$A$2,$BD14*ROUNDUP(BJ14/10,0)+1,
IF($BC14=Lookup!$A$3,($BD14+1)^BI14,
IF($BC14=Lookup!$A$4,BJ14*$BD14+1,"Error")))</f>
        <v>1</v>
      </c>
      <c r="BS14" s="229">
        <f>IF($BC14=Lookup!$A$2,$BD14*ROUNDUP(BK14/10,0)+1,
IF($BC14=Lookup!$A$3,($BD14+1)^BJ14,
IF($BC14=Lookup!$A$4,BK14*$BD14+1,"Error")))</f>
        <v>1</v>
      </c>
      <c r="BT14" s="249">
        <f>IF($BC14=Lookup!$A$2,$BD14*ROUNDUP(BL14/10,0)+1,
IF($BC14=Lookup!$A$3,($BD14+1)^BK14,
IF($BC14=Lookup!$A$4,BL14*$BD14+1,"Error")))</f>
        <v>1</v>
      </c>
      <c r="BU14" s="320">
        <v>0</v>
      </c>
      <c r="BV14" s="321">
        <v>0</v>
      </c>
      <c r="BW14" s="321">
        <v>0</v>
      </c>
      <c r="BX14" s="320">
        <v>0</v>
      </c>
      <c r="BY14" s="321">
        <v>0</v>
      </c>
      <c r="BZ14" s="321">
        <v>0</v>
      </c>
      <c r="CA14" s="321">
        <v>0</v>
      </c>
      <c r="CB14" s="277">
        <v>0</v>
      </c>
      <c r="CC14" s="382" t="s">
        <v>292</v>
      </c>
      <c r="CD14" s="383">
        <f>HLOOKUP($CC14,$AK$6:$AM$132,ROWS(CD$6:CD14),0)</f>
        <v>0</v>
      </c>
      <c r="CE14" s="234">
        <f t="shared" si="27"/>
        <v>0</v>
      </c>
      <c r="CF14" s="96">
        <f t="shared" si="24"/>
        <v>0</v>
      </c>
      <c r="CG14" s="521">
        <f t="shared" si="24"/>
        <v>0</v>
      </c>
      <c r="CH14" s="421">
        <f t="shared" si="24"/>
        <v>0</v>
      </c>
      <c r="CI14" s="96">
        <f t="shared" si="24"/>
        <v>0</v>
      </c>
      <c r="CJ14" s="96">
        <f t="shared" si="24"/>
        <v>0</v>
      </c>
      <c r="CK14" s="96">
        <f t="shared" si="24"/>
        <v>0</v>
      </c>
      <c r="CL14" s="286">
        <f t="shared" si="24"/>
        <v>0</v>
      </c>
      <c r="CM14" s="305" t="s">
        <v>293</v>
      </c>
      <c r="CN14" s="315">
        <v>0.05</v>
      </c>
      <c r="CO14" s="306"/>
      <c r="CP14" s="307" t="str">
        <f>IF($CO14&lt;&gt;"",$CO14,HLOOKUP($CM14,$AY$6:$BA$132,ROWS(CP$6:CP14),0))</f>
        <v/>
      </c>
      <c r="CQ14" s="784">
        <v>0</v>
      </c>
      <c r="CR14" s="784">
        <v>0</v>
      </c>
      <c r="CS14" s="524">
        <v>0</v>
      </c>
      <c r="CT14" s="416">
        <v>0</v>
      </c>
      <c r="CU14" s="97">
        <v>0</v>
      </c>
      <c r="CV14" s="97">
        <v>0</v>
      </c>
      <c r="CW14" s="97">
        <v>0</v>
      </c>
      <c r="CX14" s="98">
        <v>0</v>
      </c>
      <c r="CY14" s="392"/>
    </row>
    <row r="15" spans="1:104" x14ac:dyDescent="0.25">
      <c r="A15" s="81" t="s">
        <v>27</v>
      </c>
      <c r="B15" s="82" t="s">
        <v>41</v>
      </c>
      <c r="C15" s="83" t="s">
        <v>42</v>
      </c>
      <c r="D15" s="84"/>
      <c r="E15" s="85"/>
      <c r="F15" s="85"/>
      <c r="G15" s="85"/>
      <c r="H15" s="85"/>
      <c r="I15" s="85"/>
      <c r="J15" s="85"/>
      <c r="K15" s="85"/>
      <c r="L15" s="85"/>
      <c r="M15" s="654"/>
      <c r="N15" s="1065"/>
      <c r="O15" s="560">
        <f t="shared" si="25"/>
        <v>0</v>
      </c>
      <c r="P15" s="561">
        <f t="shared" si="0"/>
        <v>0</v>
      </c>
      <c r="Q15" s="561">
        <f t="shared" si="1"/>
        <v>0</v>
      </c>
      <c r="R15" s="561">
        <f t="shared" si="2"/>
        <v>0</v>
      </c>
      <c r="S15" s="561">
        <f t="shared" si="3"/>
        <v>0</v>
      </c>
      <c r="T15" s="561">
        <f t="shared" si="4"/>
        <v>0</v>
      </c>
      <c r="U15" s="561">
        <f t="shared" si="5"/>
        <v>0</v>
      </c>
      <c r="V15" s="561">
        <f t="shared" si="6"/>
        <v>0</v>
      </c>
      <c r="W15" s="675">
        <f t="shared" si="7"/>
        <v>0</v>
      </c>
      <c r="X15" s="675">
        <f t="shared" si="8"/>
        <v>0</v>
      </c>
      <c r="Y15" s="675">
        <f t="shared" si="8"/>
        <v>0</v>
      </c>
      <c r="Z15" s="86"/>
      <c r="AA15" s="87"/>
      <c r="AB15" s="87"/>
      <c r="AC15" s="87"/>
      <c r="AD15" s="87"/>
      <c r="AE15" s="87"/>
      <c r="AF15" s="87"/>
      <c r="AG15" s="87"/>
      <c r="AH15" s="87"/>
      <c r="AI15" s="1094"/>
      <c r="AJ15" s="665"/>
      <c r="AK15" s="88">
        <f t="shared" si="9"/>
        <v>0</v>
      </c>
      <c r="AL15" s="89" t="str" cm="1">
        <f t="array" aca="1" ref="AL15" ca="1">IFERROR(IF($AM$4="N",SSUM(AF15:AH15)/3,SUM(AG15:AI15)/3),"")</f>
        <v/>
      </c>
      <c r="AM15" s="90">
        <f t="shared" si="10"/>
        <v>0</v>
      </c>
      <c r="AN15" s="91" t="str">
        <f t="shared" si="11"/>
        <v/>
      </c>
      <c r="AO15" s="92" t="str">
        <f t="shared" si="12"/>
        <v/>
      </c>
      <c r="AP15" s="92" t="str">
        <f t="shared" si="13"/>
        <v/>
      </c>
      <c r="AQ15" s="92" t="str">
        <f t="shared" si="14"/>
        <v/>
      </c>
      <c r="AR15" s="92" t="str">
        <f t="shared" si="15"/>
        <v/>
      </c>
      <c r="AS15" s="92" t="str">
        <f t="shared" si="16"/>
        <v/>
      </c>
      <c r="AT15" s="92" t="str">
        <f t="shared" si="17"/>
        <v/>
      </c>
      <c r="AU15" s="92" t="str">
        <f t="shared" si="18"/>
        <v/>
      </c>
      <c r="AV15" s="92" t="str">
        <f t="shared" si="19"/>
        <v/>
      </c>
      <c r="AW15" s="92" t="str">
        <f t="shared" si="19"/>
        <v/>
      </c>
      <c r="AX15" s="92" t="str">
        <f t="shared" si="19"/>
        <v/>
      </c>
      <c r="AY15" s="93" t="str">
        <f t="shared" si="20"/>
        <v/>
      </c>
      <c r="AZ15" s="94" t="str">
        <f t="shared" si="21"/>
        <v/>
      </c>
      <c r="BA15" s="95" t="str">
        <f t="shared" si="22"/>
        <v/>
      </c>
      <c r="BB15" s="248" t="s">
        <v>422</v>
      </c>
      <c r="BC15" s="229" t="s">
        <v>433</v>
      </c>
      <c r="BD15" s="249">
        <v>0</v>
      </c>
      <c r="BE15" s="267">
        <f t="shared" si="26"/>
        <v>0</v>
      </c>
      <c r="BF15" s="268">
        <f t="shared" si="23"/>
        <v>0</v>
      </c>
      <c r="BG15" s="268">
        <f t="shared" si="23"/>
        <v>0</v>
      </c>
      <c r="BH15" s="268">
        <f t="shared" si="23"/>
        <v>1</v>
      </c>
      <c r="BI15" s="268">
        <f t="shared" si="23"/>
        <v>2</v>
      </c>
      <c r="BJ15" s="268">
        <f t="shared" si="23"/>
        <v>3</v>
      </c>
      <c r="BK15" s="268">
        <f t="shared" si="23"/>
        <v>4</v>
      </c>
      <c r="BL15" s="269">
        <f t="shared" si="23"/>
        <v>5</v>
      </c>
      <c r="BM15" s="256">
        <f>IF($BC15=Lookup!$A$2,$BD15*ROUNDUP(BE15/10,0)+1,
IF($BC15=Lookup!$A$3,($BD15+1)^BD15,
IF($BC15=Lookup!$A$4,BE15*$BD15+1,"Error")))</f>
        <v>1</v>
      </c>
      <c r="BN15" s="229">
        <f>IF($BC15=Lookup!$A$2,$BD15*ROUNDUP(BF15/10,0)+1,
IF($BC15=Lookup!$A$3,($BD15+1)^BE15,
IF($BC15=Lookup!$A$4,BF15*$BD15+1,"Error")))</f>
        <v>1</v>
      </c>
      <c r="BO15" s="229">
        <f>IF($BC15=Lookup!$A$2,$BD15*ROUNDUP(BG15/10,0)+1,
IF($BC15=Lookup!$A$3,($BD15+1)^BF15,
IF($BC15=Lookup!$A$4,BG15*$BD15+1,"Error")))</f>
        <v>1</v>
      </c>
      <c r="BP15" s="229">
        <f>IF($BC15=Lookup!$A$2,$BD15*ROUNDUP(BH15/10,0)+1,
IF($BC15=Lookup!$A$3,($BD15+1)^BG15,
IF($BC15=Lookup!$A$4,BH15*$BD15+1,"Error")))</f>
        <v>1</v>
      </c>
      <c r="BQ15" s="229">
        <f>IF($BC15=Lookup!$A$2,$BD15*ROUNDUP(BI15/10,0)+1,
IF($BC15=Lookup!$A$3,($BD15+1)^BH15,
IF($BC15=Lookup!$A$4,BI15*$BD15+1,"Error")))</f>
        <v>1</v>
      </c>
      <c r="BR15" s="229">
        <f>IF($BC15=Lookup!$A$2,$BD15*ROUNDUP(BJ15/10,0)+1,
IF($BC15=Lookup!$A$3,($BD15+1)^BI15,
IF($BC15=Lookup!$A$4,BJ15*$BD15+1,"Error")))</f>
        <v>1</v>
      </c>
      <c r="BS15" s="229">
        <f>IF($BC15=Lookup!$A$2,$BD15*ROUNDUP(BK15/10,0)+1,
IF($BC15=Lookup!$A$3,($BD15+1)^BJ15,
IF($BC15=Lookup!$A$4,BK15*$BD15+1,"Error")))</f>
        <v>1</v>
      </c>
      <c r="BT15" s="249">
        <f>IF($BC15=Lookup!$A$2,$BD15*ROUNDUP(BL15/10,0)+1,
IF($BC15=Lookup!$A$3,($BD15+1)^BK15,
IF($BC15=Lookup!$A$4,BL15*$BD15+1,"Error")))</f>
        <v>1</v>
      </c>
      <c r="BU15" s="320">
        <v>0</v>
      </c>
      <c r="BV15" s="321">
        <v>0</v>
      </c>
      <c r="BW15" s="321">
        <v>0</v>
      </c>
      <c r="BX15" s="320">
        <v>0</v>
      </c>
      <c r="BY15" s="321">
        <v>0</v>
      </c>
      <c r="BZ15" s="321">
        <v>0</v>
      </c>
      <c r="CA15" s="321">
        <v>0</v>
      </c>
      <c r="CB15" s="277">
        <v>0</v>
      </c>
      <c r="CC15" s="382" t="s">
        <v>292</v>
      </c>
      <c r="CD15" s="383">
        <f>HLOOKUP($CC15,$AK$6:$AM$132,ROWS(CD$6:CD15),0)</f>
        <v>0</v>
      </c>
      <c r="CE15" s="234">
        <f t="shared" si="27"/>
        <v>0</v>
      </c>
      <c r="CF15" s="96">
        <f t="shared" si="24"/>
        <v>0</v>
      </c>
      <c r="CG15" s="521">
        <f t="shared" si="24"/>
        <v>0</v>
      </c>
      <c r="CH15" s="421">
        <f t="shared" si="24"/>
        <v>0</v>
      </c>
      <c r="CI15" s="96">
        <f t="shared" si="24"/>
        <v>0</v>
      </c>
      <c r="CJ15" s="96">
        <f t="shared" si="24"/>
        <v>0</v>
      </c>
      <c r="CK15" s="96">
        <f t="shared" si="24"/>
        <v>0</v>
      </c>
      <c r="CL15" s="286">
        <f t="shared" si="24"/>
        <v>0</v>
      </c>
      <c r="CM15" s="305" t="s">
        <v>293</v>
      </c>
      <c r="CN15" s="315">
        <v>0.05</v>
      </c>
      <c r="CO15" s="306"/>
      <c r="CP15" s="307" t="str">
        <f>IF($CO15&lt;&gt;"",$CO15,HLOOKUP($CM15,$AY$6:$BA$132,ROWS(CP$6:CP15),0))</f>
        <v/>
      </c>
      <c r="CQ15" s="784">
        <v>0</v>
      </c>
      <c r="CR15" s="784">
        <v>0</v>
      </c>
      <c r="CS15" s="524">
        <v>0</v>
      </c>
      <c r="CT15" s="416">
        <v>0</v>
      </c>
      <c r="CU15" s="97">
        <v>0</v>
      </c>
      <c r="CV15" s="97">
        <v>0</v>
      </c>
      <c r="CW15" s="97">
        <v>0</v>
      </c>
      <c r="CX15" s="98">
        <v>0</v>
      </c>
      <c r="CY15" s="392"/>
    </row>
    <row r="16" spans="1:104" x14ac:dyDescent="0.25">
      <c r="A16" s="81" t="s">
        <v>27</v>
      </c>
      <c r="B16" s="82" t="s">
        <v>43</v>
      </c>
      <c r="C16" s="83" t="s">
        <v>300</v>
      </c>
      <c r="D16" s="84"/>
      <c r="E16" s="85"/>
      <c r="F16" s="85"/>
      <c r="G16" s="85"/>
      <c r="H16" s="85"/>
      <c r="I16" s="85"/>
      <c r="J16" s="85"/>
      <c r="K16" s="85"/>
      <c r="L16" s="85"/>
      <c r="M16" s="654"/>
      <c r="N16" s="1065"/>
      <c r="O16" s="560">
        <f t="shared" si="25"/>
        <v>0</v>
      </c>
      <c r="P16" s="561">
        <f t="shared" si="0"/>
        <v>0</v>
      </c>
      <c r="Q16" s="561">
        <f t="shared" si="1"/>
        <v>0</v>
      </c>
      <c r="R16" s="561">
        <f t="shared" si="2"/>
        <v>0</v>
      </c>
      <c r="S16" s="561">
        <f t="shared" si="3"/>
        <v>0</v>
      </c>
      <c r="T16" s="561">
        <f t="shared" si="4"/>
        <v>0</v>
      </c>
      <c r="U16" s="561">
        <f t="shared" si="5"/>
        <v>0</v>
      </c>
      <c r="V16" s="561">
        <f t="shared" si="6"/>
        <v>0</v>
      </c>
      <c r="W16" s="675">
        <f t="shared" si="7"/>
        <v>0</v>
      </c>
      <c r="X16" s="675">
        <f t="shared" si="8"/>
        <v>0</v>
      </c>
      <c r="Y16" s="675">
        <f t="shared" si="8"/>
        <v>0</v>
      </c>
      <c r="Z16" s="86"/>
      <c r="AA16" s="87"/>
      <c r="AB16" s="87"/>
      <c r="AC16" s="87"/>
      <c r="AD16" s="87"/>
      <c r="AE16" s="87"/>
      <c r="AF16" s="87"/>
      <c r="AG16" s="87"/>
      <c r="AH16" s="87"/>
      <c r="AI16" s="1094"/>
      <c r="AJ16" s="665"/>
      <c r="AK16" s="88">
        <f t="shared" si="9"/>
        <v>0</v>
      </c>
      <c r="AL16" s="89" t="str" cm="1">
        <f t="array" aca="1" ref="AL16" ca="1">IFERROR(IF($AM$4="N",SSUM(AF16:AH16)/3,SUM(AG16:AI16)/3),"")</f>
        <v/>
      </c>
      <c r="AM16" s="90">
        <f t="shared" si="10"/>
        <v>0</v>
      </c>
      <c r="AN16" s="91" t="str">
        <f t="shared" si="11"/>
        <v/>
      </c>
      <c r="AO16" s="92" t="str">
        <f t="shared" si="12"/>
        <v/>
      </c>
      <c r="AP16" s="92" t="str">
        <f t="shared" si="13"/>
        <v/>
      </c>
      <c r="AQ16" s="92" t="str">
        <f t="shared" si="14"/>
        <v/>
      </c>
      <c r="AR16" s="92" t="str">
        <f t="shared" si="15"/>
        <v/>
      </c>
      <c r="AS16" s="92" t="str">
        <f t="shared" si="16"/>
        <v/>
      </c>
      <c r="AT16" s="92" t="str">
        <f t="shared" si="17"/>
        <v/>
      </c>
      <c r="AU16" s="92" t="str">
        <f t="shared" si="18"/>
        <v/>
      </c>
      <c r="AV16" s="92" t="str">
        <f t="shared" si="19"/>
        <v/>
      </c>
      <c r="AW16" s="92" t="str">
        <f t="shared" si="19"/>
        <v/>
      </c>
      <c r="AX16" s="92" t="str">
        <f t="shared" si="19"/>
        <v/>
      </c>
      <c r="AY16" s="93" t="str">
        <f t="shared" si="20"/>
        <v/>
      </c>
      <c r="AZ16" s="94" t="str">
        <f t="shared" si="21"/>
        <v/>
      </c>
      <c r="BA16" s="95" t="str">
        <f t="shared" si="22"/>
        <v/>
      </c>
      <c r="BB16" s="248" t="s">
        <v>422</v>
      </c>
      <c r="BC16" s="229" t="s">
        <v>433</v>
      </c>
      <c r="BD16" s="249">
        <v>0</v>
      </c>
      <c r="BE16" s="267">
        <f t="shared" si="26"/>
        <v>0</v>
      </c>
      <c r="BF16" s="268">
        <f t="shared" si="23"/>
        <v>0</v>
      </c>
      <c r="BG16" s="268">
        <f t="shared" si="23"/>
        <v>0</v>
      </c>
      <c r="BH16" s="268">
        <f t="shared" si="23"/>
        <v>1</v>
      </c>
      <c r="BI16" s="268">
        <f t="shared" si="23"/>
        <v>2</v>
      </c>
      <c r="BJ16" s="268">
        <f t="shared" si="23"/>
        <v>3</v>
      </c>
      <c r="BK16" s="268">
        <f t="shared" si="23"/>
        <v>4</v>
      </c>
      <c r="BL16" s="269">
        <f t="shared" si="23"/>
        <v>5</v>
      </c>
      <c r="BM16" s="256">
        <f>IF($BC16=Lookup!$A$2,$BD16*ROUNDUP(BE16/10,0)+1,
IF($BC16=Lookup!$A$3,($BD16+1)^BD16,
IF($BC16=Lookup!$A$4,BE16*$BD16+1,"Error")))</f>
        <v>1</v>
      </c>
      <c r="BN16" s="229">
        <f>IF($BC16=Lookup!$A$2,$BD16*ROUNDUP(BF16/10,0)+1,
IF($BC16=Lookup!$A$3,($BD16+1)^BE16,
IF($BC16=Lookup!$A$4,BF16*$BD16+1,"Error")))</f>
        <v>1</v>
      </c>
      <c r="BO16" s="229">
        <f>IF($BC16=Lookup!$A$2,$BD16*ROUNDUP(BG16/10,0)+1,
IF($BC16=Lookup!$A$3,($BD16+1)^BF16,
IF($BC16=Lookup!$A$4,BG16*$BD16+1,"Error")))</f>
        <v>1</v>
      </c>
      <c r="BP16" s="229">
        <f>IF($BC16=Lookup!$A$2,$BD16*ROUNDUP(BH16/10,0)+1,
IF($BC16=Lookup!$A$3,($BD16+1)^BG16,
IF($BC16=Lookup!$A$4,BH16*$BD16+1,"Error")))</f>
        <v>1</v>
      </c>
      <c r="BQ16" s="229">
        <f>IF($BC16=Lookup!$A$2,$BD16*ROUNDUP(BI16/10,0)+1,
IF($BC16=Lookup!$A$3,($BD16+1)^BH16,
IF($BC16=Lookup!$A$4,BI16*$BD16+1,"Error")))</f>
        <v>1</v>
      </c>
      <c r="BR16" s="229">
        <f>IF($BC16=Lookup!$A$2,$BD16*ROUNDUP(BJ16/10,0)+1,
IF($BC16=Lookup!$A$3,($BD16+1)^BI16,
IF($BC16=Lookup!$A$4,BJ16*$BD16+1,"Error")))</f>
        <v>1</v>
      </c>
      <c r="BS16" s="229">
        <f>IF($BC16=Lookup!$A$2,$BD16*ROUNDUP(BK16/10,0)+1,
IF($BC16=Lookup!$A$3,($BD16+1)^BJ16,
IF($BC16=Lookup!$A$4,BK16*$BD16+1,"Error")))</f>
        <v>1</v>
      </c>
      <c r="BT16" s="249">
        <f>IF($BC16=Lookup!$A$2,$BD16*ROUNDUP(BL16/10,0)+1,
IF($BC16=Lookup!$A$3,($BD16+1)^BK16,
IF($BC16=Lookup!$A$4,BL16*$BD16+1,"Error")))</f>
        <v>1</v>
      </c>
      <c r="BU16" s="320">
        <v>0</v>
      </c>
      <c r="BV16" s="321">
        <v>0</v>
      </c>
      <c r="BW16" s="321">
        <v>0</v>
      </c>
      <c r="BX16" s="320">
        <v>0</v>
      </c>
      <c r="BY16" s="321">
        <v>0</v>
      </c>
      <c r="BZ16" s="321">
        <v>0</v>
      </c>
      <c r="CA16" s="321">
        <v>0</v>
      </c>
      <c r="CB16" s="277">
        <v>0</v>
      </c>
      <c r="CC16" s="382" t="s">
        <v>292</v>
      </c>
      <c r="CD16" s="383">
        <f>HLOOKUP($CC16,$AK$6:$AM$132,ROWS(CD$6:CD16),0)</f>
        <v>0</v>
      </c>
      <c r="CE16" s="234">
        <f t="shared" si="27"/>
        <v>0</v>
      </c>
      <c r="CF16" s="96">
        <f t="shared" si="24"/>
        <v>0</v>
      </c>
      <c r="CG16" s="521">
        <f t="shared" si="24"/>
        <v>0</v>
      </c>
      <c r="CH16" s="421">
        <f t="shared" si="24"/>
        <v>0</v>
      </c>
      <c r="CI16" s="96">
        <f t="shared" si="24"/>
        <v>0</v>
      </c>
      <c r="CJ16" s="96">
        <f t="shared" si="24"/>
        <v>0</v>
      </c>
      <c r="CK16" s="96">
        <f t="shared" si="24"/>
        <v>0</v>
      </c>
      <c r="CL16" s="286">
        <f t="shared" si="24"/>
        <v>0</v>
      </c>
      <c r="CM16" s="305" t="s">
        <v>293</v>
      </c>
      <c r="CN16" s="315">
        <v>0.05</v>
      </c>
      <c r="CO16" s="306"/>
      <c r="CP16" s="307" t="str">
        <f>IF($CO16&lt;&gt;"",$CO16,HLOOKUP($CM16,$AY$6:$BA$132,ROWS(CP$6:CP16),0))</f>
        <v/>
      </c>
      <c r="CQ16" s="784">
        <v>0</v>
      </c>
      <c r="CR16" s="784">
        <v>0</v>
      </c>
      <c r="CS16" s="524">
        <v>0</v>
      </c>
      <c r="CT16" s="416">
        <v>0</v>
      </c>
      <c r="CU16" s="97">
        <v>0</v>
      </c>
      <c r="CV16" s="97">
        <v>0</v>
      </c>
      <c r="CW16" s="97">
        <v>0</v>
      </c>
      <c r="CX16" s="98">
        <v>0</v>
      </c>
      <c r="CY16" s="392"/>
    </row>
    <row r="17" spans="1:103" x14ac:dyDescent="0.25">
      <c r="A17" s="81" t="s">
        <v>27</v>
      </c>
      <c r="B17" s="82" t="s">
        <v>45</v>
      </c>
      <c r="C17" s="83" t="s">
        <v>46</v>
      </c>
      <c r="D17" s="84"/>
      <c r="E17" s="85"/>
      <c r="F17" s="85"/>
      <c r="G17" s="85"/>
      <c r="H17" s="85"/>
      <c r="I17" s="85"/>
      <c r="J17" s="85"/>
      <c r="K17" s="85"/>
      <c r="L17" s="85"/>
      <c r="M17" s="654"/>
      <c r="N17" s="1065"/>
      <c r="O17" s="560">
        <f t="shared" si="25"/>
        <v>0</v>
      </c>
      <c r="P17" s="561">
        <f t="shared" si="0"/>
        <v>0</v>
      </c>
      <c r="Q17" s="561">
        <f t="shared" si="1"/>
        <v>0</v>
      </c>
      <c r="R17" s="561">
        <f t="shared" si="2"/>
        <v>0</v>
      </c>
      <c r="S17" s="561">
        <f t="shared" si="3"/>
        <v>0</v>
      </c>
      <c r="T17" s="561">
        <f t="shared" si="4"/>
        <v>0</v>
      </c>
      <c r="U17" s="561">
        <f t="shared" si="5"/>
        <v>0</v>
      </c>
      <c r="V17" s="561">
        <f t="shared" si="6"/>
        <v>0</v>
      </c>
      <c r="W17" s="675">
        <f t="shared" si="7"/>
        <v>0</v>
      </c>
      <c r="X17" s="675">
        <f t="shared" si="8"/>
        <v>0</v>
      </c>
      <c r="Y17" s="675">
        <f t="shared" si="8"/>
        <v>0</v>
      </c>
      <c r="Z17" s="86"/>
      <c r="AA17" s="87"/>
      <c r="AB17" s="87"/>
      <c r="AC17" s="87"/>
      <c r="AD17" s="87"/>
      <c r="AE17" s="87"/>
      <c r="AF17" s="87"/>
      <c r="AG17" s="87"/>
      <c r="AH17" s="87"/>
      <c r="AI17" s="1094"/>
      <c r="AJ17" s="665"/>
      <c r="AK17" s="88">
        <f t="shared" si="9"/>
        <v>0</v>
      </c>
      <c r="AL17" s="89" t="str" cm="1">
        <f t="array" aca="1" ref="AL17" ca="1">IFERROR(IF($AM$4="N",SSUM(AF17:AH17)/3,SUM(AG17:AI17)/3),"")</f>
        <v/>
      </c>
      <c r="AM17" s="90">
        <f t="shared" si="10"/>
        <v>0</v>
      </c>
      <c r="AN17" s="91" t="str">
        <f t="shared" si="11"/>
        <v/>
      </c>
      <c r="AO17" s="92" t="str">
        <f t="shared" si="12"/>
        <v/>
      </c>
      <c r="AP17" s="92" t="str">
        <f t="shared" si="13"/>
        <v/>
      </c>
      <c r="AQ17" s="92" t="str">
        <f t="shared" si="14"/>
        <v/>
      </c>
      <c r="AR17" s="92" t="str">
        <f t="shared" si="15"/>
        <v/>
      </c>
      <c r="AS17" s="92" t="str">
        <f t="shared" si="16"/>
        <v/>
      </c>
      <c r="AT17" s="92" t="str">
        <f t="shared" si="17"/>
        <v/>
      </c>
      <c r="AU17" s="92" t="str">
        <f t="shared" si="18"/>
        <v/>
      </c>
      <c r="AV17" s="92" t="str">
        <f t="shared" si="19"/>
        <v/>
      </c>
      <c r="AW17" s="92" t="str">
        <f t="shared" si="19"/>
        <v/>
      </c>
      <c r="AX17" s="92" t="str">
        <f t="shared" si="19"/>
        <v/>
      </c>
      <c r="AY17" s="93" t="str">
        <f t="shared" si="20"/>
        <v/>
      </c>
      <c r="AZ17" s="94" t="str">
        <f t="shared" si="21"/>
        <v/>
      </c>
      <c r="BA17" s="95" t="str">
        <f t="shared" si="22"/>
        <v/>
      </c>
      <c r="BB17" s="248" t="s">
        <v>422</v>
      </c>
      <c r="BC17" s="229" t="s">
        <v>433</v>
      </c>
      <c r="BD17" s="249">
        <v>0</v>
      </c>
      <c r="BE17" s="267">
        <f t="shared" si="26"/>
        <v>0</v>
      </c>
      <c r="BF17" s="268">
        <f t="shared" si="23"/>
        <v>0</v>
      </c>
      <c r="BG17" s="268">
        <f t="shared" si="23"/>
        <v>0</v>
      </c>
      <c r="BH17" s="268">
        <f t="shared" si="23"/>
        <v>1</v>
      </c>
      <c r="BI17" s="268">
        <f t="shared" si="23"/>
        <v>2</v>
      </c>
      <c r="BJ17" s="268">
        <f t="shared" si="23"/>
        <v>3</v>
      </c>
      <c r="BK17" s="268">
        <f t="shared" si="23"/>
        <v>4</v>
      </c>
      <c r="BL17" s="269">
        <f t="shared" si="23"/>
        <v>5</v>
      </c>
      <c r="BM17" s="256">
        <f>IF($BC17=Lookup!$A$2,$BD17*ROUNDUP(BE17/10,0)+1,
IF($BC17=Lookup!$A$3,($BD17+1)^BD17,
IF($BC17=Lookup!$A$4,BE17*$BD17+1,"Error")))</f>
        <v>1</v>
      </c>
      <c r="BN17" s="229">
        <f>IF($BC17=Lookup!$A$2,$BD17*ROUNDUP(BF17/10,0)+1,
IF($BC17=Lookup!$A$3,($BD17+1)^BE17,
IF($BC17=Lookup!$A$4,BF17*$BD17+1,"Error")))</f>
        <v>1</v>
      </c>
      <c r="BO17" s="229">
        <f>IF($BC17=Lookup!$A$2,$BD17*ROUNDUP(BG17/10,0)+1,
IF($BC17=Lookup!$A$3,($BD17+1)^BF17,
IF($BC17=Lookup!$A$4,BG17*$BD17+1,"Error")))</f>
        <v>1</v>
      </c>
      <c r="BP17" s="229">
        <f>IF($BC17=Lookup!$A$2,$BD17*ROUNDUP(BH17/10,0)+1,
IF($BC17=Lookup!$A$3,($BD17+1)^BG17,
IF($BC17=Lookup!$A$4,BH17*$BD17+1,"Error")))</f>
        <v>1</v>
      </c>
      <c r="BQ17" s="229">
        <f>IF($BC17=Lookup!$A$2,$BD17*ROUNDUP(BI17/10,0)+1,
IF($BC17=Lookup!$A$3,($BD17+1)^BH17,
IF($BC17=Lookup!$A$4,BI17*$BD17+1,"Error")))</f>
        <v>1</v>
      </c>
      <c r="BR17" s="229">
        <f>IF($BC17=Lookup!$A$2,$BD17*ROUNDUP(BJ17/10,0)+1,
IF($BC17=Lookup!$A$3,($BD17+1)^BI17,
IF($BC17=Lookup!$A$4,BJ17*$BD17+1,"Error")))</f>
        <v>1</v>
      </c>
      <c r="BS17" s="229">
        <f>IF($BC17=Lookup!$A$2,$BD17*ROUNDUP(BK17/10,0)+1,
IF($BC17=Lookup!$A$3,($BD17+1)^BJ17,
IF($BC17=Lookup!$A$4,BK17*$BD17+1,"Error")))</f>
        <v>1</v>
      </c>
      <c r="BT17" s="249">
        <f>IF($BC17=Lookup!$A$2,$BD17*ROUNDUP(BL17/10,0)+1,
IF($BC17=Lookup!$A$3,($BD17+1)^BK17,
IF($BC17=Lookup!$A$4,BL17*$BD17+1,"Error")))</f>
        <v>1</v>
      </c>
      <c r="BU17" s="320">
        <v>0</v>
      </c>
      <c r="BV17" s="321">
        <v>0</v>
      </c>
      <c r="BW17" s="321">
        <v>0</v>
      </c>
      <c r="BX17" s="320">
        <v>0</v>
      </c>
      <c r="BY17" s="321">
        <v>0</v>
      </c>
      <c r="BZ17" s="321">
        <v>0</v>
      </c>
      <c r="CA17" s="321">
        <v>0</v>
      </c>
      <c r="CB17" s="277">
        <v>0</v>
      </c>
      <c r="CC17" s="382" t="s">
        <v>292</v>
      </c>
      <c r="CD17" s="383">
        <f>HLOOKUP($CC17,$AK$6:$AM$132,ROWS(CD$6:CD17),0)</f>
        <v>0</v>
      </c>
      <c r="CE17" s="234">
        <f t="shared" si="27"/>
        <v>0</v>
      </c>
      <c r="CF17" s="96">
        <f t="shared" si="24"/>
        <v>0</v>
      </c>
      <c r="CG17" s="521">
        <f t="shared" si="24"/>
        <v>0</v>
      </c>
      <c r="CH17" s="421">
        <f t="shared" si="24"/>
        <v>0</v>
      </c>
      <c r="CI17" s="96">
        <f t="shared" si="24"/>
        <v>0</v>
      </c>
      <c r="CJ17" s="96">
        <f t="shared" si="24"/>
        <v>0</v>
      </c>
      <c r="CK17" s="96">
        <f t="shared" si="24"/>
        <v>0</v>
      </c>
      <c r="CL17" s="286">
        <f t="shared" si="24"/>
        <v>0</v>
      </c>
      <c r="CM17" s="305" t="s">
        <v>293</v>
      </c>
      <c r="CN17" s="315">
        <v>0.05</v>
      </c>
      <c r="CO17" s="306"/>
      <c r="CP17" s="307" t="str">
        <f>IF($CO17&lt;&gt;"",$CO17,HLOOKUP($CM17,$AY$6:$BA$132,ROWS(CP$6:CP17),0))</f>
        <v/>
      </c>
      <c r="CQ17" s="784">
        <v>0</v>
      </c>
      <c r="CR17" s="784">
        <v>0</v>
      </c>
      <c r="CS17" s="524">
        <v>0</v>
      </c>
      <c r="CT17" s="416">
        <v>0</v>
      </c>
      <c r="CU17" s="97">
        <v>0</v>
      </c>
      <c r="CV17" s="97">
        <v>0</v>
      </c>
      <c r="CW17" s="97">
        <v>0</v>
      </c>
      <c r="CX17" s="98">
        <v>0</v>
      </c>
      <c r="CY17" s="392"/>
    </row>
    <row r="18" spans="1:103" x14ac:dyDescent="0.25">
      <c r="A18" s="81" t="s">
        <v>27</v>
      </c>
      <c r="B18" s="82" t="s">
        <v>47</v>
      </c>
      <c r="C18" s="83" t="s">
        <v>48</v>
      </c>
      <c r="D18" s="84"/>
      <c r="E18" s="85"/>
      <c r="F18" s="85"/>
      <c r="G18" s="85"/>
      <c r="H18" s="85"/>
      <c r="I18" s="85"/>
      <c r="J18" s="85"/>
      <c r="K18" s="85"/>
      <c r="L18" s="85"/>
      <c r="M18" s="654"/>
      <c r="N18" s="1065"/>
      <c r="O18" s="560">
        <f t="shared" si="25"/>
        <v>0</v>
      </c>
      <c r="P18" s="561">
        <f t="shared" si="0"/>
        <v>0</v>
      </c>
      <c r="Q18" s="561">
        <f t="shared" si="1"/>
        <v>0</v>
      </c>
      <c r="R18" s="561">
        <f t="shared" si="2"/>
        <v>0</v>
      </c>
      <c r="S18" s="561">
        <f t="shared" si="3"/>
        <v>0</v>
      </c>
      <c r="T18" s="561">
        <f t="shared" si="4"/>
        <v>0</v>
      </c>
      <c r="U18" s="561">
        <f t="shared" si="5"/>
        <v>0</v>
      </c>
      <c r="V18" s="561">
        <f t="shared" si="6"/>
        <v>0</v>
      </c>
      <c r="W18" s="675">
        <f t="shared" si="7"/>
        <v>0</v>
      </c>
      <c r="X18" s="675">
        <f t="shared" si="8"/>
        <v>0</v>
      </c>
      <c r="Y18" s="675">
        <f t="shared" si="8"/>
        <v>0</v>
      </c>
      <c r="Z18" s="86"/>
      <c r="AA18" s="87"/>
      <c r="AB18" s="87"/>
      <c r="AC18" s="87"/>
      <c r="AD18" s="87"/>
      <c r="AE18" s="87"/>
      <c r="AF18" s="87"/>
      <c r="AG18" s="87"/>
      <c r="AH18" s="87"/>
      <c r="AI18" s="1094"/>
      <c r="AJ18" s="665"/>
      <c r="AK18" s="88">
        <f t="shared" si="9"/>
        <v>0</v>
      </c>
      <c r="AL18" s="89" t="str" cm="1">
        <f t="array" aca="1" ref="AL18" ca="1">IFERROR(IF($AM$4="N",SSUM(AF18:AH18)/3,SUM(AG18:AI18)/3),"")</f>
        <v/>
      </c>
      <c r="AM18" s="90">
        <f t="shared" si="10"/>
        <v>0</v>
      </c>
      <c r="AN18" s="91" t="str">
        <f t="shared" si="11"/>
        <v/>
      </c>
      <c r="AO18" s="92" t="str">
        <f t="shared" si="12"/>
        <v/>
      </c>
      <c r="AP18" s="92" t="str">
        <f t="shared" si="13"/>
        <v/>
      </c>
      <c r="AQ18" s="92" t="str">
        <f t="shared" si="14"/>
        <v/>
      </c>
      <c r="AR18" s="92" t="str">
        <f t="shared" si="15"/>
        <v/>
      </c>
      <c r="AS18" s="92" t="str">
        <f t="shared" si="16"/>
        <v/>
      </c>
      <c r="AT18" s="92" t="str">
        <f t="shared" si="17"/>
        <v/>
      </c>
      <c r="AU18" s="92" t="str">
        <f t="shared" si="18"/>
        <v/>
      </c>
      <c r="AV18" s="92" t="str">
        <f t="shared" si="19"/>
        <v/>
      </c>
      <c r="AW18" s="92" t="str">
        <f t="shared" si="19"/>
        <v/>
      </c>
      <c r="AX18" s="92" t="str">
        <f t="shared" si="19"/>
        <v/>
      </c>
      <c r="AY18" s="93" t="str">
        <f t="shared" si="20"/>
        <v/>
      </c>
      <c r="AZ18" s="94" t="str">
        <f t="shared" si="21"/>
        <v/>
      </c>
      <c r="BA18" s="95" t="str">
        <f t="shared" si="22"/>
        <v/>
      </c>
      <c r="BB18" s="248" t="s">
        <v>422</v>
      </c>
      <c r="BC18" s="229" t="s">
        <v>433</v>
      </c>
      <c r="BD18" s="249">
        <v>0</v>
      </c>
      <c r="BE18" s="267">
        <f t="shared" si="26"/>
        <v>0</v>
      </c>
      <c r="BF18" s="268">
        <f t="shared" si="23"/>
        <v>0</v>
      </c>
      <c r="BG18" s="268">
        <f t="shared" si="23"/>
        <v>0</v>
      </c>
      <c r="BH18" s="268">
        <f t="shared" si="23"/>
        <v>1</v>
      </c>
      <c r="BI18" s="268">
        <f t="shared" si="23"/>
        <v>2</v>
      </c>
      <c r="BJ18" s="268">
        <f t="shared" si="23"/>
        <v>3</v>
      </c>
      <c r="BK18" s="268">
        <f t="shared" si="23"/>
        <v>4</v>
      </c>
      <c r="BL18" s="269">
        <f t="shared" si="23"/>
        <v>5</v>
      </c>
      <c r="BM18" s="256">
        <f>IF($BC18=Lookup!$A$2,$BD18*ROUNDUP(BE18/10,0)+1,
IF($BC18=Lookup!$A$3,($BD18+1)^BD18,
IF($BC18=Lookup!$A$4,BE18*$BD18+1,"Error")))</f>
        <v>1</v>
      </c>
      <c r="BN18" s="229">
        <f>IF($BC18=Lookup!$A$2,$BD18*ROUNDUP(BF18/10,0)+1,
IF($BC18=Lookup!$A$3,($BD18+1)^BE18,
IF($BC18=Lookup!$A$4,BF18*$BD18+1,"Error")))</f>
        <v>1</v>
      </c>
      <c r="BO18" s="229">
        <f>IF($BC18=Lookup!$A$2,$BD18*ROUNDUP(BG18/10,0)+1,
IF($BC18=Lookup!$A$3,($BD18+1)^BF18,
IF($BC18=Lookup!$A$4,BG18*$BD18+1,"Error")))</f>
        <v>1</v>
      </c>
      <c r="BP18" s="229">
        <f>IF($BC18=Lookup!$A$2,$BD18*ROUNDUP(BH18/10,0)+1,
IF($BC18=Lookup!$A$3,($BD18+1)^BG18,
IF($BC18=Lookup!$A$4,BH18*$BD18+1,"Error")))</f>
        <v>1</v>
      </c>
      <c r="BQ18" s="229">
        <f>IF($BC18=Lookup!$A$2,$BD18*ROUNDUP(BI18/10,0)+1,
IF($BC18=Lookup!$A$3,($BD18+1)^BH18,
IF($BC18=Lookup!$A$4,BI18*$BD18+1,"Error")))</f>
        <v>1</v>
      </c>
      <c r="BR18" s="229">
        <f>IF($BC18=Lookup!$A$2,$BD18*ROUNDUP(BJ18/10,0)+1,
IF($BC18=Lookup!$A$3,($BD18+1)^BI18,
IF($BC18=Lookup!$A$4,BJ18*$BD18+1,"Error")))</f>
        <v>1</v>
      </c>
      <c r="BS18" s="229">
        <f>IF($BC18=Lookup!$A$2,$BD18*ROUNDUP(BK18/10,0)+1,
IF($BC18=Lookup!$A$3,($BD18+1)^BJ18,
IF($BC18=Lookup!$A$4,BK18*$BD18+1,"Error")))</f>
        <v>1</v>
      </c>
      <c r="BT18" s="249">
        <f>IF($BC18=Lookup!$A$2,$BD18*ROUNDUP(BL18/10,0)+1,
IF($BC18=Lookup!$A$3,($BD18+1)^BK18,
IF($BC18=Lookup!$A$4,BL18*$BD18+1,"Error")))</f>
        <v>1</v>
      </c>
      <c r="BU18" s="320">
        <v>0</v>
      </c>
      <c r="BV18" s="321">
        <v>0</v>
      </c>
      <c r="BW18" s="321">
        <v>0</v>
      </c>
      <c r="BX18" s="320">
        <v>0</v>
      </c>
      <c r="BY18" s="321">
        <v>0</v>
      </c>
      <c r="BZ18" s="321">
        <v>0</v>
      </c>
      <c r="CA18" s="321">
        <v>0</v>
      </c>
      <c r="CB18" s="277">
        <v>0</v>
      </c>
      <c r="CC18" s="382" t="s">
        <v>292</v>
      </c>
      <c r="CD18" s="383">
        <f>HLOOKUP($CC18,$AK$6:$AM$132,ROWS(CD$6:CD18),0)</f>
        <v>0</v>
      </c>
      <c r="CE18" s="234">
        <f t="shared" si="27"/>
        <v>0</v>
      </c>
      <c r="CF18" s="96">
        <f t="shared" si="24"/>
        <v>0</v>
      </c>
      <c r="CG18" s="521">
        <f t="shared" si="24"/>
        <v>0</v>
      </c>
      <c r="CH18" s="421">
        <f t="shared" si="24"/>
        <v>0</v>
      </c>
      <c r="CI18" s="96">
        <f t="shared" si="24"/>
        <v>0</v>
      </c>
      <c r="CJ18" s="96">
        <f t="shared" si="24"/>
        <v>0</v>
      </c>
      <c r="CK18" s="96">
        <f t="shared" si="24"/>
        <v>0</v>
      </c>
      <c r="CL18" s="286">
        <f t="shared" si="24"/>
        <v>0</v>
      </c>
      <c r="CM18" s="305" t="s">
        <v>293</v>
      </c>
      <c r="CN18" s="315">
        <v>0.05</v>
      </c>
      <c r="CO18" s="306"/>
      <c r="CP18" s="307" t="str">
        <f>IF($CO18&lt;&gt;"",$CO18,HLOOKUP($CM18,$AY$6:$BA$132,ROWS(CP$6:CP18),0))</f>
        <v/>
      </c>
      <c r="CQ18" s="784">
        <v>0</v>
      </c>
      <c r="CR18" s="784">
        <v>0</v>
      </c>
      <c r="CS18" s="524">
        <v>0</v>
      </c>
      <c r="CT18" s="416">
        <v>0</v>
      </c>
      <c r="CU18" s="97">
        <v>0</v>
      </c>
      <c r="CV18" s="97">
        <v>0</v>
      </c>
      <c r="CW18" s="97">
        <v>0</v>
      </c>
      <c r="CX18" s="98">
        <v>0</v>
      </c>
      <c r="CY18" s="392"/>
    </row>
    <row r="19" spans="1:103" x14ac:dyDescent="0.25">
      <c r="A19" s="81" t="s">
        <v>27</v>
      </c>
      <c r="B19" s="82" t="s">
        <v>49</v>
      </c>
      <c r="C19" s="83" t="s">
        <v>50</v>
      </c>
      <c r="D19" s="84"/>
      <c r="E19" s="85"/>
      <c r="F19" s="85"/>
      <c r="G19" s="85"/>
      <c r="H19" s="85"/>
      <c r="I19" s="85"/>
      <c r="J19" s="85"/>
      <c r="K19" s="85"/>
      <c r="L19" s="85"/>
      <c r="M19" s="654"/>
      <c r="N19" s="1065"/>
      <c r="O19" s="560">
        <f t="shared" si="25"/>
        <v>0</v>
      </c>
      <c r="P19" s="561">
        <f t="shared" si="0"/>
        <v>0</v>
      </c>
      <c r="Q19" s="561">
        <f t="shared" si="1"/>
        <v>0</v>
      </c>
      <c r="R19" s="561">
        <f t="shared" si="2"/>
        <v>0</v>
      </c>
      <c r="S19" s="561">
        <f t="shared" si="3"/>
        <v>0</v>
      </c>
      <c r="T19" s="561">
        <f t="shared" si="4"/>
        <v>0</v>
      </c>
      <c r="U19" s="561">
        <f t="shared" si="5"/>
        <v>0</v>
      </c>
      <c r="V19" s="561">
        <f t="shared" si="6"/>
        <v>0</v>
      </c>
      <c r="W19" s="675">
        <f t="shared" si="7"/>
        <v>0</v>
      </c>
      <c r="X19" s="675">
        <f t="shared" si="8"/>
        <v>0</v>
      </c>
      <c r="Y19" s="675">
        <f t="shared" si="8"/>
        <v>0</v>
      </c>
      <c r="Z19" s="86"/>
      <c r="AA19" s="87"/>
      <c r="AB19" s="87"/>
      <c r="AC19" s="87"/>
      <c r="AD19" s="87"/>
      <c r="AE19" s="87"/>
      <c r="AF19" s="87"/>
      <c r="AG19" s="87"/>
      <c r="AH19" s="87"/>
      <c r="AI19" s="1094"/>
      <c r="AJ19" s="665"/>
      <c r="AK19" s="88">
        <f t="shared" si="9"/>
        <v>0</v>
      </c>
      <c r="AL19" s="89" t="str" cm="1">
        <f t="array" aca="1" ref="AL19" ca="1">IFERROR(IF($AM$4="N",SSUM(AF19:AH19)/3,SUM(AG19:AI19)/3),"")</f>
        <v/>
      </c>
      <c r="AM19" s="90">
        <f t="shared" si="10"/>
        <v>0</v>
      </c>
      <c r="AN19" s="91" t="str">
        <f t="shared" si="11"/>
        <v/>
      </c>
      <c r="AO19" s="92" t="str">
        <f t="shared" si="12"/>
        <v/>
      </c>
      <c r="AP19" s="92" t="str">
        <f t="shared" si="13"/>
        <v/>
      </c>
      <c r="AQ19" s="92" t="str">
        <f t="shared" si="14"/>
        <v/>
      </c>
      <c r="AR19" s="92" t="str">
        <f t="shared" si="15"/>
        <v/>
      </c>
      <c r="AS19" s="92" t="str">
        <f t="shared" si="16"/>
        <v/>
      </c>
      <c r="AT19" s="92" t="str">
        <f t="shared" si="17"/>
        <v/>
      </c>
      <c r="AU19" s="92" t="str">
        <f t="shared" si="18"/>
        <v/>
      </c>
      <c r="AV19" s="92" t="str">
        <f t="shared" si="19"/>
        <v/>
      </c>
      <c r="AW19" s="92" t="str">
        <f t="shared" si="19"/>
        <v/>
      </c>
      <c r="AX19" s="92" t="str">
        <f t="shared" si="19"/>
        <v/>
      </c>
      <c r="AY19" s="93" t="str">
        <f t="shared" si="20"/>
        <v/>
      </c>
      <c r="AZ19" s="94" t="str">
        <f t="shared" si="21"/>
        <v/>
      </c>
      <c r="BA19" s="95" t="str">
        <f t="shared" si="22"/>
        <v/>
      </c>
      <c r="BB19" s="248" t="s">
        <v>422</v>
      </c>
      <c r="BC19" s="229" t="s">
        <v>433</v>
      </c>
      <c r="BD19" s="249">
        <v>0</v>
      </c>
      <c r="BE19" s="267">
        <f t="shared" si="26"/>
        <v>0</v>
      </c>
      <c r="BF19" s="268">
        <f t="shared" si="23"/>
        <v>0</v>
      </c>
      <c r="BG19" s="268">
        <f t="shared" si="23"/>
        <v>0</v>
      </c>
      <c r="BH19" s="268">
        <f t="shared" si="23"/>
        <v>1</v>
      </c>
      <c r="BI19" s="268">
        <f t="shared" si="23"/>
        <v>2</v>
      </c>
      <c r="BJ19" s="268">
        <f t="shared" si="23"/>
        <v>3</v>
      </c>
      <c r="BK19" s="268">
        <f t="shared" si="23"/>
        <v>4</v>
      </c>
      <c r="BL19" s="269">
        <f t="shared" si="23"/>
        <v>5</v>
      </c>
      <c r="BM19" s="256">
        <f>IF($BC19=Lookup!$A$2,$BD19*ROUNDUP(BE19/10,0)+1,
IF($BC19=Lookup!$A$3,($BD19+1)^BD19,
IF($BC19=Lookup!$A$4,BE19*$BD19+1,"Error")))</f>
        <v>1</v>
      </c>
      <c r="BN19" s="229">
        <f>IF($BC19=Lookup!$A$2,$BD19*ROUNDUP(BF19/10,0)+1,
IF($BC19=Lookup!$A$3,($BD19+1)^BE19,
IF($BC19=Lookup!$A$4,BF19*$BD19+1,"Error")))</f>
        <v>1</v>
      </c>
      <c r="BO19" s="229">
        <f>IF($BC19=Lookup!$A$2,$BD19*ROUNDUP(BG19/10,0)+1,
IF($BC19=Lookup!$A$3,($BD19+1)^BF19,
IF($BC19=Lookup!$A$4,BG19*$BD19+1,"Error")))</f>
        <v>1</v>
      </c>
      <c r="BP19" s="229">
        <f>IF($BC19=Lookup!$A$2,$BD19*ROUNDUP(BH19/10,0)+1,
IF($BC19=Lookup!$A$3,($BD19+1)^BG19,
IF($BC19=Lookup!$A$4,BH19*$BD19+1,"Error")))</f>
        <v>1</v>
      </c>
      <c r="BQ19" s="229">
        <f>IF($BC19=Lookup!$A$2,$BD19*ROUNDUP(BI19/10,0)+1,
IF($BC19=Lookup!$A$3,($BD19+1)^BH19,
IF($BC19=Lookup!$A$4,BI19*$BD19+1,"Error")))</f>
        <v>1</v>
      </c>
      <c r="BR19" s="229">
        <f>IF($BC19=Lookup!$A$2,$BD19*ROUNDUP(BJ19/10,0)+1,
IF($BC19=Lookup!$A$3,($BD19+1)^BI19,
IF($BC19=Lookup!$A$4,BJ19*$BD19+1,"Error")))</f>
        <v>1</v>
      </c>
      <c r="BS19" s="229">
        <f>IF($BC19=Lookup!$A$2,$BD19*ROUNDUP(BK19/10,0)+1,
IF($BC19=Lookup!$A$3,($BD19+1)^BJ19,
IF($BC19=Lookup!$A$4,BK19*$BD19+1,"Error")))</f>
        <v>1</v>
      </c>
      <c r="BT19" s="249">
        <f>IF($BC19=Lookup!$A$2,$BD19*ROUNDUP(BL19/10,0)+1,
IF($BC19=Lookup!$A$3,($BD19+1)^BK19,
IF($BC19=Lookup!$A$4,BL19*$BD19+1,"Error")))</f>
        <v>1</v>
      </c>
      <c r="BU19" s="320">
        <v>0</v>
      </c>
      <c r="BV19" s="321">
        <v>0</v>
      </c>
      <c r="BW19" s="321">
        <v>0</v>
      </c>
      <c r="BX19" s="320">
        <v>0</v>
      </c>
      <c r="BY19" s="321">
        <v>0</v>
      </c>
      <c r="BZ19" s="321">
        <v>0</v>
      </c>
      <c r="CA19" s="321">
        <v>0</v>
      </c>
      <c r="CB19" s="277">
        <v>0</v>
      </c>
      <c r="CC19" s="382" t="s">
        <v>292</v>
      </c>
      <c r="CD19" s="383">
        <f>HLOOKUP($CC19,$AK$6:$AM$132,ROWS(CD$6:CD19),0)</f>
        <v>0</v>
      </c>
      <c r="CE19" s="234">
        <f t="shared" si="27"/>
        <v>0</v>
      </c>
      <c r="CF19" s="96">
        <f t="shared" si="24"/>
        <v>0</v>
      </c>
      <c r="CG19" s="521">
        <f t="shared" si="24"/>
        <v>0</v>
      </c>
      <c r="CH19" s="421">
        <f t="shared" si="24"/>
        <v>0</v>
      </c>
      <c r="CI19" s="96">
        <f t="shared" si="24"/>
        <v>0</v>
      </c>
      <c r="CJ19" s="96">
        <f t="shared" si="24"/>
        <v>0</v>
      </c>
      <c r="CK19" s="96">
        <f t="shared" si="24"/>
        <v>0</v>
      </c>
      <c r="CL19" s="286">
        <f t="shared" si="24"/>
        <v>0</v>
      </c>
      <c r="CM19" s="305" t="s">
        <v>293</v>
      </c>
      <c r="CN19" s="315">
        <v>0.05</v>
      </c>
      <c r="CO19" s="306"/>
      <c r="CP19" s="307" t="str">
        <f>IF($CO19&lt;&gt;"",$CO19,HLOOKUP($CM19,$AY$6:$BA$132,ROWS(CP$6:CP19),0))</f>
        <v/>
      </c>
      <c r="CQ19" s="784">
        <v>0</v>
      </c>
      <c r="CR19" s="784">
        <v>0</v>
      </c>
      <c r="CS19" s="524">
        <v>0</v>
      </c>
      <c r="CT19" s="416">
        <v>0</v>
      </c>
      <c r="CU19" s="97">
        <v>0</v>
      </c>
      <c r="CV19" s="97">
        <v>0</v>
      </c>
      <c r="CW19" s="97">
        <v>0</v>
      </c>
      <c r="CX19" s="98">
        <v>0</v>
      </c>
      <c r="CY19" s="392"/>
    </row>
    <row r="20" spans="1:103" x14ac:dyDescent="0.25">
      <c r="A20" s="81" t="s">
        <v>27</v>
      </c>
      <c r="B20" s="82" t="s">
        <v>51</v>
      </c>
      <c r="C20" s="83" t="s">
        <v>301</v>
      </c>
      <c r="D20" s="84"/>
      <c r="E20" s="85"/>
      <c r="F20" s="85"/>
      <c r="G20" s="85"/>
      <c r="H20" s="85"/>
      <c r="I20" s="85"/>
      <c r="J20" s="85"/>
      <c r="K20" s="85"/>
      <c r="L20" s="85"/>
      <c r="M20" s="654"/>
      <c r="N20" s="1065"/>
      <c r="O20" s="560">
        <f t="shared" si="25"/>
        <v>0</v>
      </c>
      <c r="P20" s="561">
        <f t="shared" si="0"/>
        <v>0</v>
      </c>
      <c r="Q20" s="561">
        <f t="shared" si="1"/>
        <v>0</v>
      </c>
      <c r="R20" s="561">
        <f t="shared" si="2"/>
        <v>0</v>
      </c>
      <c r="S20" s="561">
        <f t="shared" si="3"/>
        <v>0</v>
      </c>
      <c r="T20" s="561">
        <f t="shared" si="4"/>
        <v>0</v>
      </c>
      <c r="U20" s="561">
        <f t="shared" si="5"/>
        <v>0</v>
      </c>
      <c r="V20" s="561">
        <f t="shared" si="6"/>
        <v>0</v>
      </c>
      <c r="W20" s="675">
        <f t="shared" si="7"/>
        <v>0</v>
      </c>
      <c r="X20" s="675">
        <f t="shared" si="8"/>
        <v>0</v>
      </c>
      <c r="Y20" s="675">
        <f t="shared" si="8"/>
        <v>0</v>
      </c>
      <c r="Z20" s="86"/>
      <c r="AA20" s="87"/>
      <c r="AB20" s="87"/>
      <c r="AC20" s="87"/>
      <c r="AD20" s="87"/>
      <c r="AE20" s="87"/>
      <c r="AF20" s="87"/>
      <c r="AG20" s="87"/>
      <c r="AH20" s="87"/>
      <c r="AI20" s="1094"/>
      <c r="AJ20" s="665"/>
      <c r="AK20" s="88">
        <f t="shared" si="9"/>
        <v>0</v>
      </c>
      <c r="AL20" s="89" t="str" cm="1">
        <f t="array" aca="1" ref="AL20" ca="1">IFERROR(IF($AM$4="N",SSUM(AF20:AH20)/3,SUM(AG20:AI20)/3),"")</f>
        <v/>
      </c>
      <c r="AM20" s="90">
        <f t="shared" si="10"/>
        <v>0</v>
      </c>
      <c r="AN20" s="91" t="str">
        <f t="shared" si="11"/>
        <v/>
      </c>
      <c r="AO20" s="92" t="str">
        <f t="shared" si="12"/>
        <v/>
      </c>
      <c r="AP20" s="92" t="str">
        <f t="shared" si="13"/>
        <v/>
      </c>
      <c r="AQ20" s="92" t="str">
        <f t="shared" si="14"/>
        <v/>
      </c>
      <c r="AR20" s="92" t="str">
        <f t="shared" si="15"/>
        <v/>
      </c>
      <c r="AS20" s="92" t="str">
        <f t="shared" si="16"/>
        <v/>
      </c>
      <c r="AT20" s="92" t="str">
        <f t="shared" si="17"/>
        <v/>
      </c>
      <c r="AU20" s="92" t="str">
        <f t="shared" si="18"/>
        <v/>
      </c>
      <c r="AV20" s="92" t="str">
        <f t="shared" si="19"/>
        <v/>
      </c>
      <c r="AW20" s="92" t="str">
        <f t="shared" si="19"/>
        <v/>
      </c>
      <c r="AX20" s="92" t="str">
        <f t="shared" si="19"/>
        <v/>
      </c>
      <c r="AY20" s="93" t="str">
        <f t="shared" si="20"/>
        <v/>
      </c>
      <c r="AZ20" s="94" t="str">
        <f t="shared" si="21"/>
        <v/>
      </c>
      <c r="BA20" s="95" t="str">
        <f t="shared" si="22"/>
        <v/>
      </c>
      <c r="BB20" s="248" t="s">
        <v>422</v>
      </c>
      <c r="BC20" s="229" t="s">
        <v>433</v>
      </c>
      <c r="BD20" s="249">
        <v>0</v>
      </c>
      <c r="BE20" s="267">
        <f t="shared" si="26"/>
        <v>0</v>
      </c>
      <c r="BF20" s="268">
        <f t="shared" si="23"/>
        <v>0</v>
      </c>
      <c r="BG20" s="268">
        <f t="shared" si="23"/>
        <v>0</v>
      </c>
      <c r="BH20" s="268">
        <f t="shared" si="23"/>
        <v>1</v>
      </c>
      <c r="BI20" s="268">
        <f t="shared" si="23"/>
        <v>2</v>
      </c>
      <c r="BJ20" s="268">
        <f t="shared" si="23"/>
        <v>3</v>
      </c>
      <c r="BK20" s="268">
        <f t="shared" si="23"/>
        <v>4</v>
      </c>
      <c r="BL20" s="269">
        <f t="shared" si="23"/>
        <v>5</v>
      </c>
      <c r="BM20" s="256">
        <f>IF($BC20=Lookup!$A$2,$BD20*ROUNDUP(BE20/10,0)+1,
IF($BC20=Lookup!$A$3,($BD20+1)^BD20,
IF($BC20=Lookup!$A$4,BE20*$BD20+1,"Error")))</f>
        <v>1</v>
      </c>
      <c r="BN20" s="229">
        <f>IF($BC20=Lookup!$A$2,$BD20*ROUNDUP(BF20/10,0)+1,
IF($BC20=Lookup!$A$3,($BD20+1)^BE20,
IF($BC20=Lookup!$A$4,BF20*$BD20+1,"Error")))</f>
        <v>1</v>
      </c>
      <c r="BO20" s="229">
        <f>IF($BC20=Lookup!$A$2,$BD20*ROUNDUP(BG20/10,0)+1,
IF($BC20=Lookup!$A$3,($BD20+1)^BF20,
IF($BC20=Lookup!$A$4,BG20*$BD20+1,"Error")))</f>
        <v>1</v>
      </c>
      <c r="BP20" s="229">
        <f>IF($BC20=Lookup!$A$2,$BD20*ROUNDUP(BH20/10,0)+1,
IF($BC20=Lookup!$A$3,($BD20+1)^BG20,
IF($BC20=Lookup!$A$4,BH20*$BD20+1,"Error")))</f>
        <v>1</v>
      </c>
      <c r="BQ20" s="229">
        <f>IF($BC20=Lookup!$A$2,$BD20*ROUNDUP(BI20/10,0)+1,
IF($BC20=Lookup!$A$3,($BD20+1)^BH20,
IF($BC20=Lookup!$A$4,BI20*$BD20+1,"Error")))</f>
        <v>1</v>
      </c>
      <c r="BR20" s="229">
        <f>IF($BC20=Lookup!$A$2,$BD20*ROUNDUP(BJ20/10,0)+1,
IF($BC20=Lookup!$A$3,($BD20+1)^BI20,
IF($BC20=Lookup!$A$4,BJ20*$BD20+1,"Error")))</f>
        <v>1</v>
      </c>
      <c r="BS20" s="229">
        <f>IF($BC20=Lookup!$A$2,$BD20*ROUNDUP(BK20/10,0)+1,
IF($BC20=Lookup!$A$3,($BD20+1)^BJ20,
IF($BC20=Lookup!$A$4,BK20*$BD20+1,"Error")))</f>
        <v>1</v>
      </c>
      <c r="BT20" s="249">
        <f>IF($BC20=Lookup!$A$2,$BD20*ROUNDUP(BL20/10,0)+1,
IF($BC20=Lookup!$A$3,($BD20+1)^BK20,
IF($BC20=Lookup!$A$4,BL20*$BD20+1,"Error")))</f>
        <v>1</v>
      </c>
      <c r="BU20" s="320">
        <v>0</v>
      </c>
      <c r="BV20" s="321">
        <v>0</v>
      </c>
      <c r="BW20" s="321">
        <v>0</v>
      </c>
      <c r="BX20" s="320">
        <v>0</v>
      </c>
      <c r="BY20" s="321">
        <v>0</v>
      </c>
      <c r="BZ20" s="321">
        <v>0</v>
      </c>
      <c r="CA20" s="321">
        <v>0</v>
      </c>
      <c r="CB20" s="277">
        <v>0</v>
      </c>
      <c r="CC20" s="382" t="s">
        <v>292</v>
      </c>
      <c r="CD20" s="383">
        <f>HLOOKUP($CC20,$AK$6:$AM$132,ROWS(CD$6:CD20),0)</f>
        <v>0</v>
      </c>
      <c r="CE20" s="234">
        <f t="shared" si="27"/>
        <v>0</v>
      </c>
      <c r="CF20" s="96">
        <f t="shared" si="24"/>
        <v>0</v>
      </c>
      <c r="CG20" s="521">
        <f t="shared" si="24"/>
        <v>0</v>
      </c>
      <c r="CH20" s="421">
        <f t="shared" si="24"/>
        <v>0</v>
      </c>
      <c r="CI20" s="96">
        <f t="shared" si="24"/>
        <v>0</v>
      </c>
      <c r="CJ20" s="96">
        <f t="shared" si="24"/>
        <v>0</v>
      </c>
      <c r="CK20" s="96">
        <f t="shared" si="24"/>
        <v>0</v>
      </c>
      <c r="CL20" s="286">
        <f t="shared" si="24"/>
        <v>0</v>
      </c>
      <c r="CM20" s="305" t="s">
        <v>293</v>
      </c>
      <c r="CN20" s="315">
        <v>0.05</v>
      </c>
      <c r="CO20" s="306"/>
      <c r="CP20" s="307" t="str">
        <f>IF($CO20&lt;&gt;"",$CO20,HLOOKUP($CM20,$AY$6:$BA$132,ROWS(CP$6:CP20),0))</f>
        <v/>
      </c>
      <c r="CQ20" s="784">
        <v>0</v>
      </c>
      <c r="CR20" s="784">
        <v>0</v>
      </c>
      <c r="CS20" s="524">
        <v>0</v>
      </c>
      <c r="CT20" s="416">
        <v>0</v>
      </c>
      <c r="CU20" s="97">
        <v>0</v>
      </c>
      <c r="CV20" s="97">
        <v>0</v>
      </c>
      <c r="CW20" s="97">
        <v>0</v>
      </c>
      <c r="CX20" s="98">
        <v>0</v>
      </c>
      <c r="CY20" s="392"/>
    </row>
    <row r="21" spans="1:103" x14ac:dyDescent="0.25">
      <c r="A21" s="81" t="s">
        <v>27</v>
      </c>
      <c r="B21" s="82" t="s">
        <v>53</v>
      </c>
      <c r="C21" s="83" t="s">
        <v>54</v>
      </c>
      <c r="D21" s="84"/>
      <c r="E21" s="85"/>
      <c r="F21" s="85"/>
      <c r="G21" s="85"/>
      <c r="H21" s="85"/>
      <c r="I21" s="85"/>
      <c r="J21" s="85"/>
      <c r="K21" s="85"/>
      <c r="L21" s="85"/>
      <c r="M21" s="654"/>
      <c r="N21" s="1065"/>
      <c r="O21" s="560">
        <f t="shared" si="25"/>
        <v>0</v>
      </c>
      <c r="P21" s="561">
        <f t="shared" si="0"/>
        <v>0</v>
      </c>
      <c r="Q21" s="561">
        <f t="shared" si="1"/>
        <v>0</v>
      </c>
      <c r="R21" s="561">
        <f t="shared" si="2"/>
        <v>0</v>
      </c>
      <c r="S21" s="561">
        <f t="shared" si="3"/>
        <v>0</v>
      </c>
      <c r="T21" s="561">
        <f t="shared" si="4"/>
        <v>0</v>
      </c>
      <c r="U21" s="561">
        <f t="shared" si="5"/>
        <v>0</v>
      </c>
      <c r="V21" s="561">
        <f t="shared" si="6"/>
        <v>0</v>
      </c>
      <c r="W21" s="675">
        <f t="shared" si="7"/>
        <v>0</v>
      </c>
      <c r="X21" s="675">
        <f t="shared" si="8"/>
        <v>0</v>
      </c>
      <c r="Y21" s="675">
        <f t="shared" si="8"/>
        <v>0</v>
      </c>
      <c r="Z21" s="86"/>
      <c r="AA21" s="87"/>
      <c r="AB21" s="87"/>
      <c r="AC21" s="87"/>
      <c r="AD21" s="87"/>
      <c r="AE21" s="87"/>
      <c r="AF21" s="87"/>
      <c r="AG21" s="87"/>
      <c r="AH21" s="87"/>
      <c r="AI21" s="1094"/>
      <c r="AJ21" s="665"/>
      <c r="AK21" s="88">
        <f t="shared" si="9"/>
        <v>0</v>
      </c>
      <c r="AL21" s="89" t="str" cm="1">
        <f t="array" aca="1" ref="AL21" ca="1">IFERROR(IF($AM$4="N",SSUM(AF21:AH21)/3,SUM(AG21:AI21)/3),"")</f>
        <v/>
      </c>
      <c r="AM21" s="90">
        <f t="shared" si="10"/>
        <v>0</v>
      </c>
      <c r="AN21" s="91" t="str">
        <f t="shared" si="11"/>
        <v/>
      </c>
      <c r="AO21" s="92" t="str">
        <f t="shared" si="12"/>
        <v/>
      </c>
      <c r="AP21" s="92" t="str">
        <f t="shared" si="13"/>
        <v/>
      </c>
      <c r="AQ21" s="92" t="str">
        <f t="shared" si="14"/>
        <v/>
      </c>
      <c r="AR21" s="92" t="str">
        <f t="shared" si="15"/>
        <v/>
      </c>
      <c r="AS21" s="92" t="str">
        <f t="shared" si="16"/>
        <v/>
      </c>
      <c r="AT21" s="92" t="str">
        <f t="shared" si="17"/>
        <v/>
      </c>
      <c r="AU21" s="92" t="str">
        <f t="shared" si="18"/>
        <v/>
      </c>
      <c r="AV21" s="92" t="str">
        <f t="shared" si="19"/>
        <v/>
      </c>
      <c r="AW21" s="92" t="str">
        <f t="shared" si="19"/>
        <v/>
      </c>
      <c r="AX21" s="92" t="str">
        <f t="shared" si="19"/>
        <v/>
      </c>
      <c r="AY21" s="93" t="str">
        <f t="shared" si="20"/>
        <v/>
      </c>
      <c r="AZ21" s="94" t="str">
        <f t="shared" si="21"/>
        <v/>
      </c>
      <c r="BA21" s="95" t="str">
        <f t="shared" si="22"/>
        <v/>
      </c>
      <c r="BB21" s="248" t="s">
        <v>422</v>
      </c>
      <c r="BC21" s="229" t="s">
        <v>433</v>
      </c>
      <c r="BD21" s="249">
        <v>0</v>
      </c>
      <c r="BE21" s="267">
        <f t="shared" si="26"/>
        <v>0</v>
      </c>
      <c r="BF21" s="268">
        <f t="shared" si="23"/>
        <v>0</v>
      </c>
      <c r="BG21" s="268">
        <f t="shared" si="23"/>
        <v>0</v>
      </c>
      <c r="BH21" s="268">
        <f t="shared" si="23"/>
        <v>1</v>
      </c>
      <c r="BI21" s="268">
        <f t="shared" si="23"/>
        <v>2</v>
      </c>
      <c r="BJ21" s="268">
        <f t="shared" si="23"/>
        <v>3</v>
      </c>
      <c r="BK21" s="268">
        <f t="shared" si="23"/>
        <v>4</v>
      </c>
      <c r="BL21" s="269">
        <f t="shared" si="23"/>
        <v>5</v>
      </c>
      <c r="BM21" s="256">
        <f>IF($BC21=Lookup!$A$2,$BD21*ROUNDUP(BE21/10,0)+1,
IF($BC21=Lookup!$A$3,($BD21+1)^BD21,
IF($BC21=Lookup!$A$4,BE21*$BD21+1,"Error")))</f>
        <v>1</v>
      </c>
      <c r="BN21" s="229">
        <f>IF($BC21=Lookup!$A$2,$BD21*ROUNDUP(BF21/10,0)+1,
IF($BC21=Lookup!$A$3,($BD21+1)^BE21,
IF($BC21=Lookup!$A$4,BF21*$BD21+1,"Error")))</f>
        <v>1</v>
      </c>
      <c r="BO21" s="229">
        <f>IF($BC21=Lookup!$A$2,$BD21*ROUNDUP(BG21/10,0)+1,
IF($BC21=Lookup!$A$3,($BD21+1)^BF21,
IF($BC21=Lookup!$A$4,BG21*$BD21+1,"Error")))</f>
        <v>1</v>
      </c>
      <c r="BP21" s="229">
        <f>IF($BC21=Lookup!$A$2,$BD21*ROUNDUP(BH21/10,0)+1,
IF($BC21=Lookup!$A$3,($BD21+1)^BG21,
IF($BC21=Lookup!$A$4,BH21*$BD21+1,"Error")))</f>
        <v>1</v>
      </c>
      <c r="BQ21" s="229">
        <f>IF($BC21=Lookup!$A$2,$BD21*ROUNDUP(BI21/10,0)+1,
IF($BC21=Lookup!$A$3,($BD21+1)^BH21,
IF($BC21=Lookup!$A$4,BI21*$BD21+1,"Error")))</f>
        <v>1</v>
      </c>
      <c r="BR21" s="229">
        <f>IF($BC21=Lookup!$A$2,$BD21*ROUNDUP(BJ21/10,0)+1,
IF($BC21=Lookup!$A$3,($BD21+1)^BI21,
IF($BC21=Lookup!$A$4,BJ21*$BD21+1,"Error")))</f>
        <v>1</v>
      </c>
      <c r="BS21" s="229">
        <f>IF($BC21=Lookup!$A$2,$BD21*ROUNDUP(BK21/10,0)+1,
IF($BC21=Lookup!$A$3,($BD21+1)^BJ21,
IF($BC21=Lookup!$A$4,BK21*$BD21+1,"Error")))</f>
        <v>1</v>
      </c>
      <c r="BT21" s="249">
        <f>IF($BC21=Lookup!$A$2,$BD21*ROUNDUP(BL21/10,0)+1,
IF($BC21=Lookup!$A$3,($BD21+1)^BK21,
IF($BC21=Lookup!$A$4,BL21*$BD21+1,"Error")))</f>
        <v>1</v>
      </c>
      <c r="BU21" s="320">
        <v>0</v>
      </c>
      <c r="BV21" s="321">
        <v>0</v>
      </c>
      <c r="BW21" s="321">
        <v>0</v>
      </c>
      <c r="BX21" s="320">
        <v>0</v>
      </c>
      <c r="BY21" s="321">
        <v>0</v>
      </c>
      <c r="BZ21" s="321">
        <v>0</v>
      </c>
      <c r="CA21" s="321">
        <v>0</v>
      </c>
      <c r="CB21" s="277">
        <v>0</v>
      </c>
      <c r="CC21" s="382" t="s">
        <v>292</v>
      </c>
      <c r="CD21" s="383">
        <f>HLOOKUP($CC21,$AK$6:$AM$132,ROWS(CD$6:CD21),0)</f>
        <v>0</v>
      </c>
      <c r="CE21" s="234">
        <f t="shared" si="27"/>
        <v>0</v>
      </c>
      <c r="CF21" s="96">
        <f t="shared" si="24"/>
        <v>0</v>
      </c>
      <c r="CG21" s="521">
        <f t="shared" si="24"/>
        <v>0</v>
      </c>
      <c r="CH21" s="421">
        <f t="shared" si="24"/>
        <v>0</v>
      </c>
      <c r="CI21" s="96">
        <f t="shared" si="24"/>
        <v>0</v>
      </c>
      <c r="CJ21" s="96">
        <f t="shared" si="24"/>
        <v>0</v>
      </c>
      <c r="CK21" s="96">
        <f t="shared" si="24"/>
        <v>0</v>
      </c>
      <c r="CL21" s="286">
        <f t="shared" si="24"/>
        <v>0</v>
      </c>
      <c r="CM21" s="305" t="s">
        <v>293</v>
      </c>
      <c r="CN21" s="315">
        <v>0.05</v>
      </c>
      <c r="CO21" s="306"/>
      <c r="CP21" s="307" t="str">
        <f>IF($CO21&lt;&gt;"",$CO21,HLOOKUP($CM21,$AY$6:$BA$132,ROWS(CP$6:CP21),0))</f>
        <v/>
      </c>
      <c r="CQ21" s="784">
        <v>0</v>
      </c>
      <c r="CR21" s="784">
        <v>0</v>
      </c>
      <c r="CS21" s="524">
        <v>0</v>
      </c>
      <c r="CT21" s="416">
        <v>0</v>
      </c>
      <c r="CU21" s="97">
        <v>0</v>
      </c>
      <c r="CV21" s="97">
        <v>0</v>
      </c>
      <c r="CW21" s="97">
        <v>0</v>
      </c>
      <c r="CX21" s="98">
        <v>0</v>
      </c>
      <c r="CY21" s="392"/>
    </row>
    <row r="22" spans="1:103" x14ac:dyDescent="0.25">
      <c r="A22" s="81" t="s">
        <v>27</v>
      </c>
      <c r="B22" s="82" t="s">
        <v>55</v>
      </c>
      <c r="C22" s="83" t="s">
        <v>302</v>
      </c>
      <c r="D22" s="84"/>
      <c r="E22" s="85"/>
      <c r="F22" s="85"/>
      <c r="G22" s="85"/>
      <c r="H22" s="85"/>
      <c r="I22" s="85"/>
      <c r="J22" s="85"/>
      <c r="K22" s="85"/>
      <c r="L22" s="85"/>
      <c r="M22" s="654"/>
      <c r="N22" s="1065"/>
      <c r="O22" s="560">
        <f t="shared" si="25"/>
        <v>0</v>
      </c>
      <c r="P22" s="561">
        <f t="shared" si="0"/>
        <v>0</v>
      </c>
      <c r="Q22" s="561">
        <f t="shared" si="1"/>
        <v>0</v>
      </c>
      <c r="R22" s="561">
        <f t="shared" si="2"/>
        <v>0</v>
      </c>
      <c r="S22" s="561">
        <f t="shared" si="3"/>
        <v>0</v>
      </c>
      <c r="T22" s="561">
        <f t="shared" si="4"/>
        <v>0</v>
      </c>
      <c r="U22" s="561">
        <f t="shared" si="5"/>
        <v>0</v>
      </c>
      <c r="V22" s="561">
        <f t="shared" si="6"/>
        <v>0</v>
      </c>
      <c r="W22" s="675">
        <f t="shared" si="7"/>
        <v>0</v>
      </c>
      <c r="X22" s="675">
        <f t="shared" si="8"/>
        <v>0</v>
      </c>
      <c r="Y22" s="675">
        <f t="shared" si="8"/>
        <v>0</v>
      </c>
      <c r="Z22" s="86"/>
      <c r="AA22" s="87"/>
      <c r="AB22" s="87"/>
      <c r="AC22" s="87"/>
      <c r="AD22" s="87"/>
      <c r="AE22" s="87"/>
      <c r="AF22" s="87"/>
      <c r="AG22" s="87"/>
      <c r="AH22" s="87"/>
      <c r="AI22" s="1094"/>
      <c r="AJ22" s="665"/>
      <c r="AK22" s="88">
        <f t="shared" si="9"/>
        <v>0</v>
      </c>
      <c r="AL22" s="89" t="str" cm="1">
        <f t="array" aca="1" ref="AL22" ca="1">IFERROR(IF($AM$4="N",SSUM(AF22:AH22)/3,SUM(AG22:AI22)/3),"")</f>
        <v/>
      </c>
      <c r="AM22" s="90">
        <f t="shared" si="10"/>
        <v>0</v>
      </c>
      <c r="AN22" s="91" t="str">
        <f t="shared" si="11"/>
        <v/>
      </c>
      <c r="AO22" s="92" t="str">
        <f t="shared" si="12"/>
        <v/>
      </c>
      <c r="AP22" s="92" t="str">
        <f t="shared" si="13"/>
        <v/>
      </c>
      <c r="AQ22" s="92" t="str">
        <f t="shared" si="14"/>
        <v/>
      </c>
      <c r="AR22" s="92" t="str">
        <f t="shared" si="15"/>
        <v/>
      </c>
      <c r="AS22" s="92" t="str">
        <f t="shared" si="16"/>
        <v/>
      </c>
      <c r="AT22" s="92" t="str">
        <f t="shared" si="17"/>
        <v/>
      </c>
      <c r="AU22" s="92" t="str">
        <f t="shared" si="18"/>
        <v/>
      </c>
      <c r="AV22" s="92" t="str">
        <f t="shared" si="19"/>
        <v/>
      </c>
      <c r="AW22" s="92" t="str">
        <f t="shared" si="19"/>
        <v/>
      </c>
      <c r="AX22" s="92" t="str">
        <f t="shared" si="19"/>
        <v/>
      </c>
      <c r="AY22" s="93" t="str">
        <f t="shared" si="20"/>
        <v/>
      </c>
      <c r="AZ22" s="94" t="str">
        <f t="shared" si="21"/>
        <v/>
      </c>
      <c r="BA22" s="95" t="str">
        <f t="shared" si="22"/>
        <v/>
      </c>
      <c r="BB22" s="248" t="s">
        <v>422</v>
      </c>
      <c r="BC22" s="229" t="s">
        <v>433</v>
      </c>
      <c r="BD22" s="249">
        <v>0</v>
      </c>
      <c r="BE22" s="267">
        <f t="shared" si="26"/>
        <v>0</v>
      </c>
      <c r="BF22" s="268">
        <f t="shared" si="23"/>
        <v>0</v>
      </c>
      <c r="BG22" s="268">
        <f t="shared" si="23"/>
        <v>0</v>
      </c>
      <c r="BH22" s="268">
        <f t="shared" si="23"/>
        <v>1</v>
      </c>
      <c r="BI22" s="268">
        <f t="shared" si="23"/>
        <v>2</v>
      </c>
      <c r="BJ22" s="268">
        <f t="shared" si="23"/>
        <v>3</v>
      </c>
      <c r="BK22" s="268">
        <f t="shared" si="23"/>
        <v>4</v>
      </c>
      <c r="BL22" s="269">
        <f t="shared" si="23"/>
        <v>5</v>
      </c>
      <c r="BM22" s="256">
        <f>IF($BC22=Lookup!$A$2,$BD22*ROUNDUP(BE22/10,0)+1,
IF($BC22=Lookup!$A$3,($BD22+1)^BD22,
IF($BC22=Lookup!$A$4,BE22*$BD22+1,"Error")))</f>
        <v>1</v>
      </c>
      <c r="BN22" s="229">
        <f>IF($BC22=Lookup!$A$2,$BD22*ROUNDUP(BF22/10,0)+1,
IF($BC22=Lookup!$A$3,($BD22+1)^BE22,
IF($BC22=Lookup!$A$4,BF22*$BD22+1,"Error")))</f>
        <v>1</v>
      </c>
      <c r="BO22" s="229">
        <f>IF($BC22=Lookup!$A$2,$BD22*ROUNDUP(BG22/10,0)+1,
IF($BC22=Lookup!$A$3,($BD22+1)^BF22,
IF($BC22=Lookup!$A$4,BG22*$BD22+1,"Error")))</f>
        <v>1</v>
      </c>
      <c r="BP22" s="229">
        <f>IF($BC22=Lookup!$A$2,$BD22*ROUNDUP(BH22/10,0)+1,
IF($BC22=Lookup!$A$3,($BD22+1)^BG22,
IF($BC22=Lookup!$A$4,BH22*$BD22+1,"Error")))</f>
        <v>1</v>
      </c>
      <c r="BQ22" s="229">
        <f>IF($BC22=Lookup!$A$2,$BD22*ROUNDUP(BI22/10,0)+1,
IF($BC22=Lookup!$A$3,($BD22+1)^BH22,
IF($BC22=Lookup!$A$4,BI22*$BD22+1,"Error")))</f>
        <v>1</v>
      </c>
      <c r="BR22" s="229">
        <f>IF($BC22=Lookup!$A$2,$BD22*ROUNDUP(BJ22/10,0)+1,
IF($BC22=Lookup!$A$3,($BD22+1)^BI22,
IF($BC22=Lookup!$A$4,BJ22*$BD22+1,"Error")))</f>
        <v>1</v>
      </c>
      <c r="BS22" s="229">
        <f>IF($BC22=Lookup!$A$2,$BD22*ROUNDUP(BK22/10,0)+1,
IF($BC22=Lookup!$A$3,($BD22+1)^BJ22,
IF($BC22=Lookup!$A$4,BK22*$BD22+1,"Error")))</f>
        <v>1</v>
      </c>
      <c r="BT22" s="249">
        <f>IF($BC22=Lookup!$A$2,$BD22*ROUNDUP(BL22/10,0)+1,
IF($BC22=Lookup!$A$3,($BD22+1)^BK22,
IF($BC22=Lookup!$A$4,BL22*$BD22+1,"Error")))</f>
        <v>1</v>
      </c>
      <c r="BU22" s="320">
        <v>0</v>
      </c>
      <c r="BV22" s="321">
        <v>0</v>
      </c>
      <c r="BW22" s="321">
        <v>0</v>
      </c>
      <c r="BX22" s="320">
        <v>0</v>
      </c>
      <c r="BY22" s="321">
        <v>0</v>
      </c>
      <c r="BZ22" s="321">
        <v>0</v>
      </c>
      <c r="CA22" s="321">
        <v>0</v>
      </c>
      <c r="CB22" s="277">
        <v>0</v>
      </c>
      <c r="CC22" s="382" t="s">
        <v>292</v>
      </c>
      <c r="CD22" s="383">
        <f>HLOOKUP($CC22,$AK$6:$AM$132,ROWS(CD$6:CD22),0)</f>
        <v>0</v>
      </c>
      <c r="CE22" s="234">
        <f t="shared" si="27"/>
        <v>0</v>
      </c>
      <c r="CF22" s="96">
        <f t="shared" si="24"/>
        <v>0</v>
      </c>
      <c r="CG22" s="521">
        <f t="shared" si="24"/>
        <v>0</v>
      </c>
      <c r="CH22" s="421">
        <f t="shared" si="24"/>
        <v>0</v>
      </c>
      <c r="CI22" s="96">
        <f t="shared" si="24"/>
        <v>0</v>
      </c>
      <c r="CJ22" s="96">
        <f t="shared" si="24"/>
        <v>0</v>
      </c>
      <c r="CK22" s="96">
        <f t="shared" si="24"/>
        <v>0</v>
      </c>
      <c r="CL22" s="286">
        <f t="shared" si="24"/>
        <v>0</v>
      </c>
      <c r="CM22" s="305" t="s">
        <v>293</v>
      </c>
      <c r="CN22" s="315">
        <v>0.05</v>
      </c>
      <c r="CO22" s="306"/>
      <c r="CP22" s="307" t="str">
        <f>IF($CO22&lt;&gt;"",$CO22,HLOOKUP($CM22,$AY$6:$BA$132,ROWS(CP$6:CP22),0))</f>
        <v/>
      </c>
      <c r="CQ22" s="784">
        <v>0</v>
      </c>
      <c r="CR22" s="784">
        <v>0</v>
      </c>
      <c r="CS22" s="524">
        <v>0</v>
      </c>
      <c r="CT22" s="416">
        <v>0</v>
      </c>
      <c r="CU22" s="97">
        <v>0</v>
      </c>
      <c r="CV22" s="97">
        <v>0</v>
      </c>
      <c r="CW22" s="97">
        <v>0</v>
      </c>
      <c r="CX22" s="98">
        <v>0</v>
      </c>
      <c r="CY22" s="392"/>
    </row>
    <row r="23" spans="1:103" x14ac:dyDescent="0.25">
      <c r="A23" s="81" t="s">
        <v>27</v>
      </c>
      <c r="B23" s="82" t="s">
        <v>57</v>
      </c>
      <c r="C23" s="83" t="s">
        <v>58</v>
      </c>
      <c r="D23" s="84"/>
      <c r="E23" s="85"/>
      <c r="F23" s="85"/>
      <c r="G23" s="85"/>
      <c r="H23" s="85"/>
      <c r="I23" s="85"/>
      <c r="J23" s="85"/>
      <c r="K23" s="85"/>
      <c r="L23" s="85"/>
      <c r="M23" s="654"/>
      <c r="N23" s="1065"/>
      <c r="O23" s="560">
        <f t="shared" si="25"/>
        <v>0</v>
      </c>
      <c r="P23" s="561">
        <f t="shared" si="0"/>
        <v>0</v>
      </c>
      <c r="Q23" s="561">
        <f t="shared" si="1"/>
        <v>0</v>
      </c>
      <c r="R23" s="561">
        <f t="shared" si="2"/>
        <v>0</v>
      </c>
      <c r="S23" s="561">
        <f t="shared" si="3"/>
        <v>0</v>
      </c>
      <c r="T23" s="561">
        <f t="shared" si="4"/>
        <v>0</v>
      </c>
      <c r="U23" s="561">
        <f t="shared" si="5"/>
        <v>0</v>
      </c>
      <c r="V23" s="561">
        <f t="shared" si="6"/>
        <v>0</v>
      </c>
      <c r="W23" s="675">
        <f t="shared" si="7"/>
        <v>0</v>
      </c>
      <c r="X23" s="675">
        <f t="shared" si="8"/>
        <v>0</v>
      </c>
      <c r="Y23" s="675">
        <f t="shared" si="8"/>
        <v>0</v>
      </c>
      <c r="Z23" s="86"/>
      <c r="AA23" s="87"/>
      <c r="AB23" s="87"/>
      <c r="AC23" s="87"/>
      <c r="AD23" s="87"/>
      <c r="AE23" s="87"/>
      <c r="AF23" s="87"/>
      <c r="AG23" s="87"/>
      <c r="AH23" s="87"/>
      <c r="AI23" s="1094"/>
      <c r="AJ23" s="665"/>
      <c r="AK23" s="88">
        <f t="shared" si="9"/>
        <v>0</v>
      </c>
      <c r="AL23" s="89" t="str" cm="1">
        <f t="array" aca="1" ref="AL23" ca="1">IFERROR(IF($AM$4="N",SSUM(AF23:AH23)/3,SUM(AG23:AI23)/3),"")</f>
        <v/>
      </c>
      <c r="AM23" s="90">
        <f t="shared" si="10"/>
        <v>0</v>
      </c>
      <c r="AN23" s="91" t="str">
        <f t="shared" si="11"/>
        <v/>
      </c>
      <c r="AO23" s="92" t="str">
        <f t="shared" si="12"/>
        <v/>
      </c>
      <c r="AP23" s="92" t="str">
        <f t="shared" si="13"/>
        <v/>
      </c>
      <c r="AQ23" s="92" t="str">
        <f t="shared" si="14"/>
        <v/>
      </c>
      <c r="AR23" s="92" t="str">
        <f t="shared" si="15"/>
        <v/>
      </c>
      <c r="AS23" s="92" t="str">
        <f t="shared" si="16"/>
        <v/>
      </c>
      <c r="AT23" s="92" t="str">
        <f t="shared" si="17"/>
        <v/>
      </c>
      <c r="AU23" s="92" t="str">
        <f t="shared" si="18"/>
        <v/>
      </c>
      <c r="AV23" s="92" t="str">
        <f t="shared" ref="AV23:AX38" si="28">IFERROR(L23/AH23,"")</f>
        <v/>
      </c>
      <c r="AW23" s="92" t="str">
        <f t="shared" si="28"/>
        <v/>
      </c>
      <c r="AX23" s="92" t="str">
        <f t="shared" si="28"/>
        <v/>
      </c>
      <c r="AY23" s="93" t="str">
        <f t="shared" si="20"/>
        <v/>
      </c>
      <c r="AZ23" s="94" t="str">
        <f t="shared" si="21"/>
        <v/>
      </c>
      <c r="BA23" s="95" t="str">
        <f t="shared" si="22"/>
        <v/>
      </c>
      <c r="BB23" s="248" t="s">
        <v>422</v>
      </c>
      <c r="BC23" s="229" t="s">
        <v>433</v>
      </c>
      <c r="BD23" s="249">
        <v>0</v>
      </c>
      <c r="BE23" s="267">
        <f t="shared" si="26"/>
        <v>0</v>
      </c>
      <c r="BF23" s="268">
        <f t="shared" ref="BF23:BL38" si="29">IF(BF$6=$BB23,1,
IF(BE23&lt;&gt;0,BE23+1,0
))</f>
        <v>0</v>
      </c>
      <c r="BG23" s="268">
        <f t="shared" si="29"/>
        <v>0</v>
      </c>
      <c r="BH23" s="268">
        <f t="shared" si="29"/>
        <v>1</v>
      </c>
      <c r="BI23" s="268">
        <f t="shared" si="29"/>
        <v>2</v>
      </c>
      <c r="BJ23" s="268">
        <f t="shared" si="29"/>
        <v>3</v>
      </c>
      <c r="BK23" s="268">
        <f t="shared" si="29"/>
        <v>4</v>
      </c>
      <c r="BL23" s="269">
        <f t="shared" si="29"/>
        <v>5</v>
      </c>
      <c r="BM23" s="256">
        <f>IF($BC23=Lookup!$A$2,$BD23*ROUNDUP(BE23/10,0)+1,
IF($BC23=Lookup!$A$3,($BD23+1)^BD23,
IF($BC23=Lookup!$A$4,BE23*$BD23+1,"Error")))</f>
        <v>1</v>
      </c>
      <c r="BN23" s="229">
        <f>IF($BC23=Lookup!$A$2,$BD23*ROUNDUP(BF23/10,0)+1,
IF($BC23=Lookup!$A$3,($BD23+1)^BE23,
IF($BC23=Lookup!$A$4,BF23*$BD23+1,"Error")))</f>
        <v>1</v>
      </c>
      <c r="BO23" s="229">
        <f>IF($BC23=Lookup!$A$2,$BD23*ROUNDUP(BG23/10,0)+1,
IF($BC23=Lookup!$A$3,($BD23+1)^BF23,
IF($BC23=Lookup!$A$4,BG23*$BD23+1,"Error")))</f>
        <v>1</v>
      </c>
      <c r="BP23" s="229">
        <f>IF($BC23=Lookup!$A$2,$BD23*ROUNDUP(BH23/10,0)+1,
IF($BC23=Lookup!$A$3,($BD23+1)^BG23,
IF($BC23=Lookup!$A$4,BH23*$BD23+1,"Error")))</f>
        <v>1</v>
      </c>
      <c r="BQ23" s="229">
        <f>IF($BC23=Lookup!$A$2,$BD23*ROUNDUP(BI23/10,0)+1,
IF($BC23=Lookup!$A$3,($BD23+1)^BH23,
IF($BC23=Lookup!$A$4,BI23*$BD23+1,"Error")))</f>
        <v>1</v>
      </c>
      <c r="BR23" s="229">
        <f>IF($BC23=Lookup!$A$2,$BD23*ROUNDUP(BJ23/10,0)+1,
IF($BC23=Lookup!$A$3,($BD23+1)^BI23,
IF($BC23=Lookup!$A$4,BJ23*$BD23+1,"Error")))</f>
        <v>1</v>
      </c>
      <c r="BS23" s="229">
        <f>IF($BC23=Lookup!$A$2,$BD23*ROUNDUP(BK23/10,0)+1,
IF($BC23=Lookup!$A$3,($BD23+1)^BJ23,
IF($BC23=Lookup!$A$4,BK23*$BD23+1,"Error")))</f>
        <v>1</v>
      </c>
      <c r="BT23" s="249">
        <f>IF($BC23=Lookup!$A$2,$BD23*ROUNDUP(BL23/10,0)+1,
IF($BC23=Lookup!$A$3,($BD23+1)^BK23,
IF($BC23=Lookup!$A$4,BL23*$BD23+1,"Error")))</f>
        <v>1</v>
      </c>
      <c r="BU23" s="320">
        <v>0</v>
      </c>
      <c r="BV23" s="321">
        <v>0</v>
      </c>
      <c r="BW23" s="321">
        <v>0</v>
      </c>
      <c r="BX23" s="320">
        <v>0</v>
      </c>
      <c r="BY23" s="321">
        <v>0</v>
      </c>
      <c r="BZ23" s="321">
        <v>0</v>
      </c>
      <c r="CA23" s="321">
        <v>0</v>
      </c>
      <c r="CB23" s="277">
        <v>0</v>
      </c>
      <c r="CC23" s="382" t="s">
        <v>292</v>
      </c>
      <c r="CD23" s="383">
        <f>HLOOKUP($CC23,$AK$6:$AM$132,ROWS(CD$6:CD23),0)</f>
        <v>0</v>
      </c>
      <c r="CE23" s="234">
        <f t="shared" si="27"/>
        <v>0</v>
      </c>
      <c r="CF23" s="96">
        <f t="shared" si="24"/>
        <v>0</v>
      </c>
      <c r="CG23" s="521">
        <f t="shared" si="24"/>
        <v>0</v>
      </c>
      <c r="CH23" s="421">
        <f t="shared" si="24"/>
        <v>0</v>
      </c>
      <c r="CI23" s="96">
        <f t="shared" si="24"/>
        <v>0</v>
      </c>
      <c r="CJ23" s="96">
        <f t="shared" si="24"/>
        <v>0</v>
      </c>
      <c r="CK23" s="96">
        <f t="shared" si="24"/>
        <v>0</v>
      </c>
      <c r="CL23" s="286">
        <f t="shared" si="24"/>
        <v>0</v>
      </c>
      <c r="CM23" s="305" t="s">
        <v>293</v>
      </c>
      <c r="CN23" s="315">
        <v>0.05</v>
      </c>
      <c r="CO23" s="306"/>
      <c r="CP23" s="307" t="str">
        <f>IF($CO23&lt;&gt;"",$CO23,HLOOKUP($CM23,$AY$6:$BA$132,ROWS(CP$6:CP23),0))</f>
        <v/>
      </c>
      <c r="CQ23" s="784">
        <v>0</v>
      </c>
      <c r="CR23" s="784">
        <v>0</v>
      </c>
      <c r="CS23" s="524">
        <v>0</v>
      </c>
      <c r="CT23" s="416">
        <v>0</v>
      </c>
      <c r="CU23" s="97">
        <v>0</v>
      </c>
      <c r="CV23" s="97">
        <v>0</v>
      </c>
      <c r="CW23" s="97">
        <v>0</v>
      </c>
      <c r="CX23" s="98">
        <v>0</v>
      </c>
      <c r="CY23" s="392"/>
    </row>
    <row r="24" spans="1:103" x14ac:dyDescent="0.25">
      <c r="A24" s="81" t="s">
        <v>27</v>
      </c>
      <c r="B24" s="82" t="s">
        <v>59</v>
      </c>
      <c r="C24" s="83" t="s">
        <v>60</v>
      </c>
      <c r="D24" s="84"/>
      <c r="E24" s="85"/>
      <c r="F24" s="85"/>
      <c r="G24" s="85"/>
      <c r="H24" s="85"/>
      <c r="I24" s="85"/>
      <c r="J24" s="85"/>
      <c r="K24" s="85"/>
      <c r="L24" s="85"/>
      <c r="M24" s="654"/>
      <c r="N24" s="1065"/>
      <c r="O24" s="560">
        <f t="shared" si="25"/>
        <v>0</v>
      </c>
      <c r="P24" s="561">
        <f t="shared" si="0"/>
        <v>0</v>
      </c>
      <c r="Q24" s="561">
        <f t="shared" si="1"/>
        <v>0</v>
      </c>
      <c r="R24" s="561">
        <f t="shared" si="2"/>
        <v>0</v>
      </c>
      <c r="S24" s="561">
        <f t="shared" si="3"/>
        <v>0</v>
      </c>
      <c r="T24" s="561">
        <f t="shared" si="4"/>
        <v>0</v>
      </c>
      <c r="U24" s="561">
        <f t="shared" si="5"/>
        <v>0</v>
      </c>
      <c r="V24" s="561">
        <f t="shared" si="6"/>
        <v>0</v>
      </c>
      <c r="W24" s="675">
        <f t="shared" si="7"/>
        <v>0</v>
      </c>
      <c r="X24" s="675">
        <f t="shared" si="8"/>
        <v>0</v>
      </c>
      <c r="Y24" s="675">
        <f t="shared" si="8"/>
        <v>0</v>
      </c>
      <c r="Z24" s="86"/>
      <c r="AA24" s="87"/>
      <c r="AB24" s="87"/>
      <c r="AC24" s="87"/>
      <c r="AD24" s="87"/>
      <c r="AE24" s="87"/>
      <c r="AF24" s="87"/>
      <c r="AG24" s="87"/>
      <c r="AH24" s="87"/>
      <c r="AI24" s="1094"/>
      <c r="AJ24" s="665"/>
      <c r="AK24" s="88">
        <f t="shared" si="9"/>
        <v>0</v>
      </c>
      <c r="AL24" s="89" t="str" cm="1">
        <f t="array" aca="1" ref="AL24" ca="1">IFERROR(IF($AM$4="N",SSUM(AF24:AH24)/3,SUM(AG24:AI24)/3),"")</f>
        <v/>
      </c>
      <c r="AM24" s="90">
        <f t="shared" si="10"/>
        <v>0</v>
      </c>
      <c r="AN24" s="91" t="str">
        <f t="shared" si="11"/>
        <v/>
      </c>
      <c r="AO24" s="92" t="str">
        <f t="shared" si="12"/>
        <v/>
      </c>
      <c r="AP24" s="92" t="str">
        <f t="shared" si="13"/>
        <v/>
      </c>
      <c r="AQ24" s="92" t="str">
        <f t="shared" si="14"/>
        <v/>
      </c>
      <c r="AR24" s="92" t="str">
        <f t="shared" si="15"/>
        <v/>
      </c>
      <c r="AS24" s="92" t="str">
        <f t="shared" si="16"/>
        <v/>
      </c>
      <c r="AT24" s="92" t="str">
        <f t="shared" si="17"/>
        <v/>
      </c>
      <c r="AU24" s="92" t="str">
        <f t="shared" si="18"/>
        <v/>
      </c>
      <c r="AV24" s="92" t="str">
        <f t="shared" si="28"/>
        <v/>
      </c>
      <c r="AW24" s="92" t="str">
        <f t="shared" si="28"/>
        <v/>
      </c>
      <c r="AX24" s="92" t="str">
        <f t="shared" si="28"/>
        <v/>
      </c>
      <c r="AY24" s="93" t="str">
        <f t="shared" si="20"/>
        <v/>
      </c>
      <c r="AZ24" s="94" t="str">
        <f t="shared" si="21"/>
        <v/>
      </c>
      <c r="BA24" s="95" t="str">
        <f t="shared" si="22"/>
        <v/>
      </c>
      <c r="BB24" s="248" t="s">
        <v>422</v>
      </c>
      <c r="BC24" s="229" t="s">
        <v>433</v>
      </c>
      <c r="BD24" s="249">
        <v>0</v>
      </c>
      <c r="BE24" s="267">
        <f t="shared" si="26"/>
        <v>0</v>
      </c>
      <c r="BF24" s="268">
        <f t="shared" si="29"/>
        <v>0</v>
      </c>
      <c r="BG24" s="268">
        <f t="shared" si="29"/>
        <v>0</v>
      </c>
      <c r="BH24" s="268">
        <f t="shared" si="29"/>
        <v>1</v>
      </c>
      <c r="BI24" s="268">
        <f t="shared" si="29"/>
        <v>2</v>
      </c>
      <c r="BJ24" s="268">
        <f t="shared" si="29"/>
        <v>3</v>
      </c>
      <c r="BK24" s="268">
        <f t="shared" si="29"/>
        <v>4</v>
      </c>
      <c r="BL24" s="269">
        <f t="shared" si="29"/>
        <v>5</v>
      </c>
      <c r="BM24" s="256">
        <f>IF($BC24=Lookup!$A$2,$BD24*ROUNDUP(BE24/10,0)+1,
IF($BC24=Lookup!$A$3,($BD24+1)^BD24,
IF($BC24=Lookup!$A$4,BE24*$BD24+1,"Error")))</f>
        <v>1</v>
      </c>
      <c r="BN24" s="229">
        <f>IF($BC24=Lookup!$A$2,$BD24*ROUNDUP(BF24/10,0)+1,
IF($BC24=Lookup!$A$3,($BD24+1)^BE24,
IF($BC24=Lookup!$A$4,BF24*$BD24+1,"Error")))</f>
        <v>1</v>
      </c>
      <c r="BO24" s="229">
        <f>IF($BC24=Lookup!$A$2,$BD24*ROUNDUP(BG24/10,0)+1,
IF($BC24=Lookup!$A$3,($BD24+1)^BF24,
IF($BC24=Lookup!$A$4,BG24*$BD24+1,"Error")))</f>
        <v>1</v>
      </c>
      <c r="BP24" s="229">
        <f>IF($BC24=Lookup!$A$2,$BD24*ROUNDUP(BH24/10,0)+1,
IF($BC24=Lookup!$A$3,($BD24+1)^BG24,
IF($BC24=Lookup!$A$4,BH24*$BD24+1,"Error")))</f>
        <v>1</v>
      </c>
      <c r="BQ24" s="229">
        <f>IF($BC24=Lookup!$A$2,$BD24*ROUNDUP(BI24/10,0)+1,
IF($BC24=Lookup!$A$3,($BD24+1)^BH24,
IF($BC24=Lookup!$A$4,BI24*$BD24+1,"Error")))</f>
        <v>1</v>
      </c>
      <c r="BR24" s="229">
        <f>IF($BC24=Lookup!$A$2,$BD24*ROUNDUP(BJ24/10,0)+1,
IF($BC24=Lookup!$A$3,($BD24+1)^BI24,
IF($BC24=Lookup!$A$4,BJ24*$BD24+1,"Error")))</f>
        <v>1</v>
      </c>
      <c r="BS24" s="229">
        <f>IF($BC24=Lookup!$A$2,$BD24*ROUNDUP(BK24/10,0)+1,
IF($BC24=Lookup!$A$3,($BD24+1)^BJ24,
IF($BC24=Lookup!$A$4,BK24*$BD24+1,"Error")))</f>
        <v>1</v>
      </c>
      <c r="BT24" s="249">
        <f>IF($BC24=Lookup!$A$2,$BD24*ROUNDUP(BL24/10,0)+1,
IF($BC24=Lookup!$A$3,($BD24+1)^BK24,
IF($BC24=Lookup!$A$4,BL24*$BD24+1,"Error")))</f>
        <v>1</v>
      </c>
      <c r="BU24" s="320">
        <v>0</v>
      </c>
      <c r="BV24" s="321">
        <v>0</v>
      </c>
      <c r="BW24" s="321">
        <v>0</v>
      </c>
      <c r="BX24" s="320">
        <v>0</v>
      </c>
      <c r="BY24" s="321">
        <v>0</v>
      </c>
      <c r="BZ24" s="321">
        <v>0</v>
      </c>
      <c r="CA24" s="321">
        <v>0</v>
      </c>
      <c r="CB24" s="277">
        <v>0</v>
      </c>
      <c r="CC24" s="382" t="s">
        <v>292</v>
      </c>
      <c r="CD24" s="383">
        <f>HLOOKUP($CC24,$AK$6:$AM$132,ROWS(CD$6:CD24),0)</f>
        <v>0</v>
      </c>
      <c r="CE24" s="234">
        <f t="shared" si="27"/>
        <v>0</v>
      </c>
      <c r="CF24" s="96">
        <f t="shared" si="24"/>
        <v>0</v>
      </c>
      <c r="CG24" s="521">
        <f t="shared" si="24"/>
        <v>0</v>
      </c>
      <c r="CH24" s="421">
        <f t="shared" si="24"/>
        <v>0</v>
      </c>
      <c r="CI24" s="96">
        <f t="shared" si="24"/>
        <v>0</v>
      </c>
      <c r="CJ24" s="96">
        <f t="shared" si="24"/>
        <v>0</v>
      </c>
      <c r="CK24" s="96">
        <f t="shared" si="24"/>
        <v>0</v>
      </c>
      <c r="CL24" s="286">
        <f t="shared" si="24"/>
        <v>0</v>
      </c>
      <c r="CM24" s="305" t="s">
        <v>293</v>
      </c>
      <c r="CN24" s="315">
        <v>0.05</v>
      </c>
      <c r="CO24" s="306"/>
      <c r="CP24" s="307" t="str">
        <f>IF($CO24&lt;&gt;"",$CO24,HLOOKUP($CM24,$AY$6:$BA$132,ROWS(CP$6:CP24),0))</f>
        <v/>
      </c>
      <c r="CQ24" s="784">
        <v>0</v>
      </c>
      <c r="CR24" s="784">
        <v>0</v>
      </c>
      <c r="CS24" s="524">
        <v>0</v>
      </c>
      <c r="CT24" s="416">
        <v>0</v>
      </c>
      <c r="CU24" s="97">
        <v>0</v>
      </c>
      <c r="CV24" s="97">
        <v>0</v>
      </c>
      <c r="CW24" s="97">
        <v>0</v>
      </c>
      <c r="CX24" s="98">
        <v>0</v>
      </c>
      <c r="CY24" s="392"/>
    </row>
    <row r="25" spans="1:103" x14ac:dyDescent="0.25">
      <c r="A25" s="81" t="s">
        <v>27</v>
      </c>
      <c r="B25" s="82" t="s">
        <v>61</v>
      </c>
      <c r="C25" s="83" t="s">
        <v>62</v>
      </c>
      <c r="D25" s="84"/>
      <c r="E25" s="85"/>
      <c r="F25" s="85"/>
      <c r="G25" s="85"/>
      <c r="H25" s="85"/>
      <c r="I25" s="85"/>
      <c r="J25" s="85"/>
      <c r="K25" s="85"/>
      <c r="L25" s="85"/>
      <c r="M25" s="654"/>
      <c r="N25" s="1065"/>
      <c r="O25" s="560">
        <f t="shared" si="25"/>
        <v>0</v>
      </c>
      <c r="P25" s="561">
        <f t="shared" si="0"/>
        <v>0</v>
      </c>
      <c r="Q25" s="561">
        <f t="shared" si="1"/>
        <v>0</v>
      </c>
      <c r="R25" s="561">
        <f t="shared" si="2"/>
        <v>0</v>
      </c>
      <c r="S25" s="561">
        <f t="shared" si="3"/>
        <v>0</v>
      </c>
      <c r="T25" s="561">
        <f t="shared" si="4"/>
        <v>0</v>
      </c>
      <c r="U25" s="561">
        <f t="shared" si="5"/>
        <v>0</v>
      </c>
      <c r="V25" s="561">
        <f t="shared" si="6"/>
        <v>0</v>
      </c>
      <c r="W25" s="675">
        <f t="shared" si="7"/>
        <v>0</v>
      </c>
      <c r="X25" s="675">
        <f t="shared" si="8"/>
        <v>0</v>
      </c>
      <c r="Y25" s="675">
        <f t="shared" si="8"/>
        <v>0</v>
      </c>
      <c r="Z25" s="86"/>
      <c r="AA25" s="87"/>
      <c r="AB25" s="87"/>
      <c r="AC25" s="87"/>
      <c r="AD25" s="87"/>
      <c r="AE25" s="87"/>
      <c r="AF25" s="87"/>
      <c r="AG25" s="87"/>
      <c r="AH25" s="87"/>
      <c r="AI25" s="1094"/>
      <c r="AJ25" s="665"/>
      <c r="AK25" s="88">
        <f t="shared" si="9"/>
        <v>0</v>
      </c>
      <c r="AL25" s="89" t="str" cm="1">
        <f t="array" aca="1" ref="AL25" ca="1">IFERROR(IF($AM$4="N",SSUM(AF25:AH25)/3,SUM(AG25:AI25)/3),"")</f>
        <v/>
      </c>
      <c r="AM25" s="90">
        <f t="shared" si="10"/>
        <v>0</v>
      </c>
      <c r="AN25" s="91" t="str">
        <f t="shared" si="11"/>
        <v/>
      </c>
      <c r="AO25" s="92" t="str">
        <f t="shared" si="12"/>
        <v/>
      </c>
      <c r="AP25" s="92" t="str">
        <f t="shared" si="13"/>
        <v/>
      </c>
      <c r="AQ25" s="92" t="str">
        <f t="shared" si="14"/>
        <v/>
      </c>
      <c r="AR25" s="92" t="str">
        <f t="shared" si="15"/>
        <v/>
      </c>
      <c r="AS25" s="92" t="str">
        <f t="shared" si="16"/>
        <v/>
      </c>
      <c r="AT25" s="92" t="str">
        <f t="shared" si="17"/>
        <v/>
      </c>
      <c r="AU25" s="92" t="str">
        <f t="shared" si="18"/>
        <v/>
      </c>
      <c r="AV25" s="92" t="str">
        <f t="shared" si="28"/>
        <v/>
      </c>
      <c r="AW25" s="92" t="str">
        <f t="shared" si="28"/>
        <v/>
      </c>
      <c r="AX25" s="92" t="str">
        <f t="shared" si="28"/>
        <v/>
      </c>
      <c r="AY25" s="93" t="str">
        <f t="shared" si="20"/>
        <v/>
      </c>
      <c r="AZ25" s="94" t="str">
        <f t="shared" si="21"/>
        <v/>
      </c>
      <c r="BA25" s="95" t="str">
        <f t="shared" si="22"/>
        <v/>
      </c>
      <c r="BB25" s="248" t="s">
        <v>422</v>
      </c>
      <c r="BC25" s="229" t="s">
        <v>433</v>
      </c>
      <c r="BD25" s="249">
        <v>0</v>
      </c>
      <c r="BE25" s="267">
        <f t="shared" si="26"/>
        <v>0</v>
      </c>
      <c r="BF25" s="268">
        <f t="shared" si="29"/>
        <v>0</v>
      </c>
      <c r="BG25" s="268">
        <f t="shared" si="29"/>
        <v>0</v>
      </c>
      <c r="BH25" s="268">
        <f t="shared" si="29"/>
        <v>1</v>
      </c>
      <c r="BI25" s="268">
        <f t="shared" si="29"/>
        <v>2</v>
      </c>
      <c r="BJ25" s="268">
        <f t="shared" si="29"/>
        <v>3</v>
      </c>
      <c r="BK25" s="268">
        <f t="shared" si="29"/>
        <v>4</v>
      </c>
      <c r="BL25" s="269">
        <f t="shared" si="29"/>
        <v>5</v>
      </c>
      <c r="BM25" s="256">
        <f>IF($BC25=Lookup!$A$2,$BD25*ROUNDUP(BE25/10,0)+1,
IF($BC25=Lookup!$A$3,($BD25+1)^BD25,
IF($BC25=Lookup!$A$4,BE25*$BD25+1,"Error")))</f>
        <v>1</v>
      </c>
      <c r="BN25" s="229">
        <f>IF($BC25=Lookup!$A$2,$BD25*ROUNDUP(BF25/10,0)+1,
IF($BC25=Lookup!$A$3,($BD25+1)^BE25,
IF($BC25=Lookup!$A$4,BF25*$BD25+1,"Error")))</f>
        <v>1</v>
      </c>
      <c r="BO25" s="229">
        <f>IF($BC25=Lookup!$A$2,$BD25*ROUNDUP(BG25/10,0)+1,
IF($BC25=Lookup!$A$3,($BD25+1)^BF25,
IF($BC25=Lookup!$A$4,BG25*$BD25+1,"Error")))</f>
        <v>1</v>
      </c>
      <c r="BP25" s="229">
        <f>IF($BC25=Lookup!$A$2,$BD25*ROUNDUP(BH25/10,0)+1,
IF($BC25=Lookup!$A$3,($BD25+1)^BG25,
IF($BC25=Lookup!$A$4,BH25*$BD25+1,"Error")))</f>
        <v>1</v>
      </c>
      <c r="BQ25" s="229">
        <f>IF($BC25=Lookup!$A$2,$BD25*ROUNDUP(BI25/10,0)+1,
IF($BC25=Lookup!$A$3,($BD25+1)^BH25,
IF($BC25=Lookup!$A$4,BI25*$BD25+1,"Error")))</f>
        <v>1</v>
      </c>
      <c r="BR25" s="229">
        <f>IF($BC25=Lookup!$A$2,$BD25*ROUNDUP(BJ25/10,0)+1,
IF($BC25=Lookup!$A$3,($BD25+1)^BI25,
IF($BC25=Lookup!$A$4,BJ25*$BD25+1,"Error")))</f>
        <v>1</v>
      </c>
      <c r="BS25" s="229">
        <f>IF($BC25=Lookup!$A$2,$BD25*ROUNDUP(BK25/10,0)+1,
IF($BC25=Lookup!$A$3,($BD25+1)^BJ25,
IF($BC25=Lookup!$A$4,BK25*$BD25+1,"Error")))</f>
        <v>1</v>
      </c>
      <c r="BT25" s="249">
        <f>IF($BC25=Lookup!$A$2,$BD25*ROUNDUP(BL25/10,0)+1,
IF($BC25=Lookup!$A$3,($BD25+1)^BK25,
IF($BC25=Lookup!$A$4,BL25*$BD25+1,"Error")))</f>
        <v>1</v>
      </c>
      <c r="BU25" s="320">
        <v>0</v>
      </c>
      <c r="BV25" s="321">
        <v>0</v>
      </c>
      <c r="BW25" s="321">
        <v>0</v>
      </c>
      <c r="BX25" s="320">
        <v>0</v>
      </c>
      <c r="BY25" s="321">
        <v>0</v>
      </c>
      <c r="BZ25" s="321">
        <v>0</v>
      </c>
      <c r="CA25" s="321">
        <v>0</v>
      </c>
      <c r="CB25" s="277">
        <v>0</v>
      </c>
      <c r="CC25" s="382" t="s">
        <v>292</v>
      </c>
      <c r="CD25" s="383">
        <f>HLOOKUP($CC25,$AK$6:$AM$132,ROWS(CD$6:CD25),0)</f>
        <v>0</v>
      </c>
      <c r="CE25" s="234">
        <f t="shared" si="27"/>
        <v>0</v>
      </c>
      <c r="CF25" s="96">
        <f t="shared" si="24"/>
        <v>0</v>
      </c>
      <c r="CG25" s="521">
        <f t="shared" si="24"/>
        <v>0</v>
      </c>
      <c r="CH25" s="421">
        <f t="shared" si="24"/>
        <v>0</v>
      </c>
      <c r="CI25" s="96">
        <f t="shared" si="24"/>
        <v>0</v>
      </c>
      <c r="CJ25" s="96">
        <f t="shared" si="24"/>
        <v>0</v>
      </c>
      <c r="CK25" s="96">
        <f t="shared" si="24"/>
        <v>0</v>
      </c>
      <c r="CL25" s="286">
        <f t="shared" si="24"/>
        <v>0</v>
      </c>
      <c r="CM25" s="305" t="s">
        <v>293</v>
      </c>
      <c r="CN25" s="315">
        <v>0.05</v>
      </c>
      <c r="CO25" s="306"/>
      <c r="CP25" s="307" t="str">
        <f>IF($CO25&lt;&gt;"",$CO25,HLOOKUP($CM25,$AY$6:$BA$132,ROWS(CP$6:CP25),0))</f>
        <v/>
      </c>
      <c r="CQ25" s="784">
        <v>0</v>
      </c>
      <c r="CR25" s="784">
        <v>0</v>
      </c>
      <c r="CS25" s="524">
        <v>0</v>
      </c>
      <c r="CT25" s="416">
        <v>0</v>
      </c>
      <c r="CU25" s="97">
        <v>0</v>
      </c>
      <c r="CV25" s="97">
        <v>0</v>
      </c>
      <c r="CW25" s="97">
        <v>0</v>
      </c>
      <c r="CX25" s="98">
        <v>0</v>
      </c>
      <c r="CY25" s="392"/>
    </row>
    <row r="26" spans="1:103" ht="15.75" thickBot="1" x14ac:dyDescent="0.3">
      <c r="A26" s="100" t="s">
        <v>27</v>
      </c>
      <c r="B26" s="101" t="s">
        <v>303</v>
      </c>
      <c r="C26" s="102" t="s">
        <v>304</v>
      </c>
      <c r="D26" s="103"/>
      <c r="E26" s="104"/>
      <c r="F26" s="104"/>
      <c r="G26" s="104"/>
      <c r="H26" s="104"/>
      <c r="I26" s="104"/>
      <c r="J26" s="104"/>
      <c r="K26" s="104"/>
      <c r="L26" s="104"/>
      <c r="M26" s="655"/>
      <c r="N26" s="1066"/>
      <c r="O26" s="563">
        <f t="shared" si="25"/>
        <v>0</v>
      </c>
      <c r="P26" s="564">
        <f t="shared" si="0"/>
        <v>0</v>
      </c>
      <c r="Q26" s="564">
        <f t="shared" si="1"/>
        <v>0</v>
      </c>
      <c r="R26" s="564">
        <f t="shared" si="2"/>
        <v>0</v>
      </c>
      <c r="S26" s="564">
        <f t="shared" si="3"/>
        <v>0</v>
      </c>
      <c r="T26" s="564">
        <f t="shared" si="4"/>
        <v>0</v>
      </c>
      <c r="U26" s="564">
        <f t="shared" si="5"/>
        <v>0</v>
      </c>
      <c r="V26" s="564">
        <f t="shared" si="6"/>
        <v>0</v>
      </c>
      <c r="W26" s="676">
        <f t="shared" si="7"/>
        <v>0</v>
      </c>
      <c r="X26" s="676">
        <f t="shared" si="8"/>
        <v>0</v>
      </c>
      <c r="Y26" s="676">
        <f t="shared" si="8"/>
        <v>0</v>
      </c>
      <c r="Z26" s="105"/>
      <c r="AA26" s="106"/>
      <c r="AB26" s="106"/>
      <c r="AC26" s="106"/>
      <c r="AD26" s="106"/>
      <c r="AE26" s="106"/>
      <c r="AF26" s="106"/>
      <c r="AG26" s="106"/>
      <c r="AH26" s="106"/>
      <c r="AI26" s="1095"/>
      <c r="AJ26" s="666"/>
      <c r="AK26" s="107">
        <f t="shared" si="9"/>
        <v>0</v>
      </c>
      <c r="AL26" s="108" t="str" cm="1">
        <f t="array" aca="1" ref="AL26" ca="1">IFERROR(IF($AM$4="N",SSUM(AF26:AH26)/3,SUM(AG26:AI26)/3),"")</f>
        <v/>
      </c>
      <c r="AM26" s="109">
        <f t="shared" si="10"/>
        <v>0</v>
      </c>
      <c r="AN26" s="110" t="str">
        <f t="shared" si="11"/>
        <v/>
      </c>
      <c r="AO26" s="111" t="str">
        <f t="shared" si="12"/>
        <v/>
      </c>
      <c r="AP26" s="111" t="str">
        <f t="shared" si="13"/>
        <v/>
      </c>
      <c r="AQ26" s="111" t="str">
        <f t="shared" si="14"/>
        <v/>
      </c>
      <c r="AR26" s="111" t="str">
        <f t="shared" si="15"/>
        <v/>
      </c>
      <c r="AS26" s="111" t="str">
        <f t="shared" si="16"/>
        <v/>
      </c>
      <c r="AT26" s="111" t="str">
        <f t="shared" si="17"/>
        <v/>
      </c>
      <c r="AU26" s="111" t="str">
        <f t="shared" si="18"/>
        <v/>
      </c>
      <c r="AV26" s="111" t="str">
        <f t="shared" si="28"/>
        <v/>
      </c>
      <c r="AW26" s="111" t="str">
        <f t="shared" si="28"/>
        <v/>
      </c>
      <c r="AX26" s="111" t="str">
        <f t="shared" si="28"/>
        <v/>
      </c>
      <c r="AY26" s="112" t="str">
        <f t="shared" si="20"/>
        <v/>
      </c>
      <c r="AZ26" s="113" t="str">
        <f t="shared" si="21"/>
        <v/>
      </c>
      <c r="BA26" s="114" t="str">
        <f t="shared" si="22"/>
        <v/>
      </c>
      <c r="BB26" s="250" t="s">
        <v>422</v>
      </c>
      <c r="BC26" s="230" t="s">
        <v>433</v>
      </c>
      <c r="BD26" s="251">
        <v>0</v>
      </c>
      <c r="BE26" s="270">
        <f t="shared" si="26"/>
        <v>0</v>
      </c>
      <c r="BF26" s="271">
        <f t="shared" si="29"/>
        <v>0</v>
      </c>
      <c r="BG26" s="271">
        <f t="shared" si="29"/>
        <v>0</v>
      </c>
      <c r="BH26" s="271">
        <f t="shared" si="29"/>
        <v>1</v>
      </c>
      <c r="BI26" s="271">
        <f t="shared" si="29"/>
        <v>2</v>
      </c>
      <c r="BJ26" s="271">
        <f t="shared" si="29"/>
        <v>3</v>
      </c>
      <c r="BK26" s="271">
        <f t="shared" si="29"/>
        <v>4</v>
      </c>
      <c r="BL26" s="272">
        <f t="shared" si="29"/>
        <v>5</v>
      </c>
      <c r="BM26" s="257">
        <f>IF($BC26=Lookup!$A$2,$BD26*ROUNDUP(BE26/10,0)+1,
IF($BC26=Lookup!$A$3,($BD26+1)^BD26,
IF($BC26=Lookup!$A$4,BE26*$BD26+1,"Error")))</f>
        <v>1</v>
      </c>
      <c r="BN26" s="230">
        <f>IF($BC26=Lookup!$A$2,$BD26*ROUNDUP(BF26/10,0)+1,
IF($BC26=Lookup!$A$3,($BD26+1)^BE26,
IF($BC26=Lookup!$A$4,BF26*$BD26+1,"Error")))</f>
        <v>1</v>
      </c>
      <c r="BO26" s="230">
        <f>IF($BC26=Lookup!$A$2,$BD26*ROUNDUP(BG26/10,0)+1,
IF($BC26=Lookup!$A$3,($BD26+1)^BF26,
IF($BC26=Lookup!$A$4,BG26*$BD26+1,"Error")))</f>
        <v>1</v>
      </c>
      <c r="BP26" s="230">
        <f>IF($BC26=Lookup!$A$2,$BD26*ROUNDUP(BH26/10,0)+1,
IF($BC26=Lookup!$A$3,($BD26+1)^BG26,
IF($BC26=Lookup!$A$4,BH26*$BD26+1,"Error")))</f>
        <v>1</v>
      </c>
      <c r="BQ26" s="230">
        <f>IF($BC26=Lookup!$A$2,$BD26*ROUNDUP(BI26/10,0)+1,
IF($BC26=Lookup!$A$3,($BD26+1)^BH26,
IF($BC26=Lookup!$A$4,BI26*$BD26+1,"Error")))</f>
        <v>1</v>
      </c>
      <c r="BR26" s="230">
        <f>IF($BC26=Lookup!$A$2,$BD26*ROUNDUP(BJ26/10,0)+1,
IF($BC26=Lookup!$A$3,($BD26+1)^BI26,
IF($BC26=Lookup!$A$4,BJ26*$BD26+1,"Error")))</f>
        <v>1</v>
      </c>
      <c r="BS26" s="230">
        <f>IF($BC26=Lookup!$A$2,$BD26*ROUNDUP(BK26/10,0)+1,
IF($BC26=Lookup!$A$3,($BD26+1)^BJ26,
IF($BC26=Lookup!$A$4,BK26*$BD26+1,"Error")))</f>
        <v>1</v>
      </c>
      <c r="BT26" s="251">
        <f>IF($BC26=Lookup!$A$2,$BD26*ROUNDUP(BL26/10,0)+1,
IF($BC26=Lookup!$A$3,($BD26+1)^BK26,
IF($BC26=Lookup!$A$4,BL26*$BD26+1,"Error")))</f>
        <v>1</v>
      </c>
      <c r="BU26" s="322">
        <v>0</v>
      </c>
      <c r="BV26" s="323">
        <v>0</v>
      </c>
      <c r="BW26" s="323">
        <v>0</v>
      </c>
      <c r="BX26" s="322">
        <v>0</v>
      </c>
      <c r="BY26" s="323">
        <v>0</v>
      </c>
      <c r="BZ26" s="323">
        <v>0</v>
      </c>
      <c r="CA26" s="323">
        <v>0</v>
      </c>
      <c r="CB26" s="278">
        <v>0</v>
      </c>
      <c r="CC26" s="384" t="s">
        <v>292</v>
      </c>
      <c r="CD26" s="385">
        <f>HLOOKUP($CC26,$AK$6:$AM$132,ROWS(CD$6:CD26),0)</f>
        <v>0</v>
      </c>
      <c r="CE26" s="235">
        <f t="shared" si="27"/>
        <v>0</v>
      </c>
      <c r="CF26" s="115">
        <f t="shared" si="24"/>
        <v>0</v>
      </c>
      <c r="CG26" s="522">
        <f t="shared" si="24"/>
        <v>0</v>
      </c>
      <c r="CH26" s="422">
        <f t="shared" si="24"/>
        <v>0</v>
      </c>
      <c r="CI26" s="115">
        <f t="shared" si="24"/>
        <v>0</v>
      </c>
      <c r="CJ26" s="115">
        <f t="shared" si="24"/>
        <v>0</v>
      </c>
      <c r="CK26" s="115">
        <f t="shared" si="24"/>
        <v>0</v>
      </c>
      <c r="CL26" s="287">
        <f t="shared" si="24"/>
        <v>0</v>
      </c>
      <c r="CM26" s="308" t="s">
        <v>293</v>
      </c>
      <c r="CN26" s="316">
        <v>0.05</v>
      </c>
      <c r="CO26" s="309"/>
      <c r="CP26" s="310" t="str">
        <f>IF($CO26&lt;&gt;"",$CO26,HLOOKUP($CM26,$AY$6:$BA$132,ROWS(CP$6:CP26),0))</f>
        <v/>
      </c>
      <c r="CQ26" s="785">
        <v>0</v>
      </c>
      <c r="CR26" s="785">
        <v>0</v>
      </c>
      <c r="CS26" s="638">
        <v>0</v>
      </c>
      <c r="CT26" s="467">
        <v>0</v>
      </c>
      <c r="CU26" s="117">
        <v>0</v>
      </c>
      <c r="CV26" s="117">
        <v>0</v>
      </c>
      <c r="CW26" s="117">
        <v>0</v>
      </c>
      <c r="CX26" s="118">
        <v>0</v>
      </c>
      <c r="CY26" s="393"/>
    </row>
    <row r="27" spans="1:103" x14ac:dyDescent="0.25">
      <c r="A27" s="63" t="s">
        <v>68</v>
      </c>
      <c r="B27" s="64" t="s">
        <v>65</v>
      </c>
      <c r="C27" s="65" t="s">
        <v>305</v>
      </c>
      <c r="D27" s="66"/>
      <c r="E27" s="67"/>
      <c r="F27" s="67"/>
      <c r="G27" s="67"/>
      <c r="H27" s="67"/>
      <c r="I27" s="67"/>
      <c r="J27" s="67"/>
      <c r="K27" s="67"/>
      <c r="L27" s="67"/>
      <c r="M27" s="653"/>
      <c r="N27" s="1064"/>
      <c r="O27" s="557">
        <f t="shared" si="25"/>
        <v>0</v>
      </c>
      <c r="P27" s="558">
        <f t="shared" si="0"/>
        <v>0</v>
      </c>
      <c r="Q27" s="558">
        <f t="shared" si="1"/>
        <v>0</v>
      </c>
      <c r="R27" s="558">
        <f t="shared" si="2"/>
        <v>0</v>
      </c>
      <c r="S27" s="558">
        <f t="shared" si="3"/>
        <v>0</v>
      </c>
      <c r="T27" s="558">
        <f t="shared" si="4"/>
        <v>0</v>
      </c>
      <c r="U27" s="558">
        <f t="shared" si="5"/>
        <v>0</v>
      </c>
      <c r="V27" s="558">
        <f t="shared" si="6"/>
        <v>0</v>
      </c>
      <c r="W27" s="674">
        <f t="shared" si="7"/>
        <v>0</v>
      </c>
      <c r="X27" s="674">
        <f t="shared" si="8"/>
        <v>0</v>
      </c>
      <c r="Y27" s="674">
        <f t="shared" si="8"/>
        <v>0</v>
      </c>
      <c r="Z27" s="68"/>
      <c r="AA27" s="69"/>
      <c r="AB27" s="69"/>
      <c r="AC27" s="69"/>
      <c r="AD27" s="69"/>
      <c r="AE27" s="69"/>
      <c r="AF27" s="69"/>
      <c r="AG27" s="69"/>
      <c r="AH27" s="69"/>
      <c r="AI27" s="1093"/>
      <c r="AJ27" s="664"/>
      <c r="AK27" s="70">
        <f t="shared" si="9"/>
        <v>0</v>
      </c>
      <c r="AL27" s="71" t="str" cm="1">
        <f t="array" aca="1" ref="AL27" ca="1">IFERROR(IF($AM$4="N",SSUM(AF27:AH27)/3,SUM(AG27:AI27)/3),"")</f>
        <v/>
      </c>
      <c r="AM27" s="72">
        <f t="shared" si="10"/>
        <v>0</v>
      </c>
      <c r="AN27" s="73" t="str">
        <f t="shared" si="11"/>
        <v/>
      </c>
      <c r="AO27" s="74" t="str">
        <f t="shared" si="12"/>
        <v/>
      </c>
      <c r="AP27" s="74" t="str">
        <f t="shared" si="13"/>
        <v/>
      </c>
      <c r="AQ27" s="74" t="str">
        <f t="shared" si="14"/>
        <v/>
      </c>
      <c r="AR27" s="74" t="str">
        <f t="shared" si="15"/>
        <v/>
      </c>
      <c r="AS27" s="74" t="str">
        <f t="shared" si="16"/>
        <v/>
      </c>
      <c r="AT27" s="74" t="str">
        <f t="shared" si="17"/>
        <v/>
      </c>
      <c r="AU27" s="74" t="str">
        <f t="shared" si="18"/>
        <v/>
      </c>
      <c r="AV27" s="74" t="str">
        <f t="shared" si="28"/>
        <v/>
      </c>
      <c r="AW27" s="74" t="str">
        <f t="shared" si="28"/>
        <v/>
      </c>
      <c r="AX27" s="74" t="str">
        <f t="shared" si="28"/>
        <v/>
      </c>
      <c r="AY27" s="75" t="str">
        <f t="shared" si="20"/>
        <v/>
      </c>
      <c r="AZ27" s="76" t="str">
        <f t="shared" si="21"/>
        <v/>
      </c>
      <c r="BA27" s="77" t="str">
        <f t="shared" si="22"/>
        <v/>
      </c>
      <c r="BB27" s="246" t="s">
        <v>422</v>
      </c>
      <c r="BC27" s="228" t="s">
        <v>433</v>
      </c>
      <c r="BD27" s="247">
        <v>0</v>
      </c>
      <c r="BE27" s="264">
        <f t="shared" si="26"/>
        <v>0</v>
      </c>
      <c r="BF27" s="265">
        <f t="shared" si="29"/>
        <v>0</v>
      </c>
      <c r="BG27" s="265">
        <f t="shared" si="29"/>
        <v>0</v>
      </c>
      <c r="BH27" s="265">
        <f t="shared" si="29"/>
        <v>1</v>
      </c>
      <c r="BI27" s="265">
        <f t="shared" si="29"/>
        <v>2</v>
      </c>
      <c r="BJ27" s="265">
        <f t="shared" si="29"/>
        <v>3</v>
      </c>
      <c r="BK27" s="265">
        <f t="shared" si="29"/>
        <v>4</v>
      </c>
      <c r="BL27" s="266">
        <f t="shared" si="29"/>
        <v>5</v>
      </c>
      <c r="BM27" s="255">
        <f>IF($BC27=Lookup!$A$2,$BD27*ROUNDUP(BE27/10,0)+1,
IF($BC27=Lookup!$A$3,($BD27+1)^BD27,
IF($BC27=Lookup!$A$4,BE27*$BD27+1,"Error")))</f>
        <v>1</v>
      </c>
      <c r="BN27" s="228">
        <f>IF($BC27=Lookup!$A$2,$BD27*ROUNDUP(BF27/10,0)+1,
IF($BC27=Lookup!$A$3,($BD27+1)^BE27,
IF($BC27=Lookup!$A$4,BF27*$BD27+1,"Error")))</f>
        <v>1</v>
      </c>
      <c r="BO27" s="228">
        <f>IF($BC27=Lookup!$A$2,$BD27*ROUNDUP(BG27/10,0)+1,
IF($BC27=Lookup!$A$3,($BD27+1)^BF27,
IF($BC27=Lookup!$A$4,BG27*$BD27+1,"Error")))</f>
        <v>1</v>
      </c>
      <c r="BP27" s="228">
        <f>IF($BC27=Lookup!$A$2,$BD27*ROUNDUP(BH27/10,0)+1,
IF($BC27=Lookup!$A$3,($BD27+1)^BG27,
IF($BC27=Lookup!$A$4,BH27*$BD27+1,"Error")))</f>
        <v>1</v>
      </c>
      <c r="BQ27" s="228">
        <f>IF($BC27=Lookup!$A$2,$BD27*ROUNDUP(BI27/10,0)+1,
IF($BC27=Lookup!$A$3,($BD27+1)^BH27,
IF($BC27=Lookup!$A$4,BI27*$BD27+1,"Error")))</f>
        <v>1</v>
      </c>
      <c r="BR27" s="228">
        <f>IF($BC27=Lookup!$A$2,$BD27*ROUNDUP(BJ27/10,0)+1,
IF($BC27=Lookup!$A$3,($BD27+1)^BI27,
IF($BC27=Lookup!$A$4,BJ27*$BD27+1,"Error")))</f>
        <v>1</v>
      </c>
      <c r="BS27" s="228">
        <f>IF($BC27=Lookup!$A$2,$BD27*ROUNDUP(BK27/10,0)+1,
IF($BC27=Lookup!$A$3,($BD27+1)^BJ27,
IF($BC27=Lookup!$A$4,BK27*$BD27+1,"Error")))</f>
        <v>1</v>
      </c>
      <c r="BT27" s="247">
        <f>IF($BC27=Lookup!$A$2,$BD27*ROUNDUP(BL27/10,0)+1,
IF($BC27=Lookup!$A$3,($BD27+1)^BK27,
IF($BC27=Lookup!$A$4,BL27*$BD27+1,"Error")))</f>
        <v>1</v>
      </c>
      <c r="BU27" s="318">
        <v>0</v>
      </c>
      <c r="BV27" s="319">
        <v>0</v>
      </c>
      <c r="BW27" s="319">
        <v>0</v>
      </c>
      <c r="BX27" s="318">
        <v>0</v>
      </c>
      <c r="BY27" s="319">
        <v>0</v>
      </c>
      <c r="BZ27" s="319">
        <v>0</v>
      </c>
      <c r="CA27" s="319">
        <v>0</v>
      </c>
      <c r="CB27" s="276">
        <v>0</v>
      </c>
      <c r="CC27" s="380" t="s">
        <v>292</v>
      </c>
      <c r="CD27" s="381">
        <f>HLOOKUP($CC27,$AK$6:$AM$132,ROWS(CD$6:CD27),0)</f>
        <v>0</v>
      </c>
      <c r="CE27" s="233">
        <f t="shared" si="27"/>
        <v>0</v>
      </c>
      <c r="CF27" s="78">
        <f t="shared" si="24"/>
        <v>0</v>
      </c>
      <c r="CG27" s="797">
        <f t="shared" si="24"/>
        <v>0</v>
      </c>
      <c r="CH27" s="806">
        <f t="shared" si="24"/>
        <v>0</v>
      </c>
      <c r="CI27" s="78">
        <f t="shared" si="24"/>
        <v>0</v>
      </c>
      <c r="CJ27" s="78">
        <f t="shared" si="24"/>
        <v>0</v>
      </c>
      <c r="CK27" s="78">
        <f t="shared" si="24"/>
        <v>0</v>
      </c>
      <c r="CL27" s="285">
        <f t="shared" si="24"/>
        <v>0</v>
      </c>
      <c r="CM27" s="302" t="s">
        <v>293</v>
      </c>
      <c r="CN27" s="314">
        <v>0.05</v>
      </c>
      <c r="CO27" s="303"/>
      <c r="CP27" s="304" t="str">
        <f>IF($CO27&lt;&gt;"",$CO27,HLOOKUP($CM27,$AY$6:$BA$132,ROWS(CP$6:CP27),0))</f>
        <v/>
      </c>
      <c r="CQ27" s="783">
        <v>0</v>
      </c>
      <c r="CR27" s="783">
        <v>0</v>
      </c>
      <c r="CS27" s="523">
        <v>0</v>
      </c>
      <c r="CT27" s="415">
        <v>0</v>
      </c>
      <c r="CU27" s="79">
        <v>0</v>
      </c>
      <c r="CV27" s="79">
        <v>0</v>
      </c>
      <c r="CW27" s="79">
        <v>0</v>
      </c>
      <c r="CX27" s="80">
        <v>0</v>
      </c>
      <c r="CY27" s="391"/>
    </row>
    <row r="28" spans="1:103" x14ac:dyDescent="0.25">
      <c r="A28" s="81" t="s">
        <v>68</v>
      </c>
      <c r="B28" s="82" t="s">
        <v>69</v>
      </c>
      <c r="C28" s="83" t="s">
        <v>70</v>
      </c>
      <c r="D28" s="84"/>
      <c r="E28" s="85"/>
      <c r="F28" s="85"/>
      <c r="G28" s="85"/>
      <c r="H28" s="85"/>
      <c r="I28" s="85"/>
      <c r="J28" s="85"/>
      <c r="K28" s="85"/>
      <c r="L28" s="85"/>
      <c r="M28" s="654"/>
      <c r="N28" s="1065"/>
      <c r="O28" s="560">
        <f t="shared" si="25"/>
        <v>0</v>
      </c>
      <c r="P28" s="561">
        <f t="shared" si="0"/>
        <v>0</v>
      </c>
      <c r="Q28" s="561">
        <f t="shared" si="1"/>
        <v>0</v>
      </c>
      <c r="R28" s="561">
        <f t="shared" si="2"/>
        <v>0</v>
      </c>
      <c r="S28" s="561">
        <f t="shared" si="3"/>
        <v>0</v>
      </c>
      <c r="T28" s="561">
        <f t="shared" si="4"/>
        <v>0</v>
      </c>
      <c r="U28" s="561">
        <f t="shared" si="5"/>
        <v>0</v>
      </c>
      <c r="V28" s="561">
        <f t="shared" si="6"/>
        <v>0</v>
      </c>
      <c r="W28" s="675">
        <f t="shared" si="7"/>
        <v>0</v>
      </c>
      <c r="X28" s="675">
        <f t="shared" si="8"/>
        <v>0</v>
      </c>
      <c r="Y28" s="675">
        <f t="shared" si="8"/>
        <v>0</v>
      </c>
      <c r="Z28" s="86"/>
      <c r="AA28" s="87"/>
      <c r="AB28" s="87"/>
      <c r="AC28" s="87"/>
      <c r="AD28" s="87"/>
      <c r="AE28" s="87"/>
      <c r="AF28" s="87"/>
      <c r="AG28" s="87"/>
      <c r="AH28" s="87"/>
      <c r="AI28" s="1094"/>
      <c r="AJ28" s="665"/>
      <c r="AK28" s="88">
        <f t="shared" si="9"/>
        <v>0</v>
      </c>
      <c r="AL28" s="89" t="str" cm="1">
        <f t="array" aca="1" ref="AL28" ca="1">IFERROR(IF($AM$4="N",SSUM(AF28:AH28)/3,SUM(AG28:AI28)/3),"")</f>
        <v/>
      </c>
      <c r="AM28" s="90">
        <f t="shared" si="10"/>
        <v>0</v>
      </c>
      <c r="AN28" s="91" t="str">
        <f t="shared" si="11"/>
        <v/>
      </c>
      <c r="AO28" s="92" t="str">
        <f t="shared" si="12"/>
        <v/>
      </c>
      <c r="AP28" s="92" t="str">
        <f t="shared" si="13"/>
        <v/>
      </c>
      <c r="AQ28" s="92" t="str">
        <f t="shared" si="14"/>
        <v/>
      </c>
      <c r="AR28" s="92" t="str">
        <f t="shared" si="15"/>
        <v/>
      </c>
      <c r="AS28" s="92" t="str">
        <f t="shared" si="16"/>
        <v/>
      </c>
      <c r="AT28" s="92" t="str">
        <f t="shared" si="17"/>
        <v/>
      </c>
      <c r="AU28" s="92" t="str">
        <f t="shared" si="18"/>
        <v/>
      </c>
      <c r="AV28" s="92" t="str">
        <f t="shared" si="28"/>
        <v/>
      </c>
      <c r="AW28" s="92" t="str">
        <f t="shared" si="28"/>
        <v/>
      </c>
      <c r="AX28" s="92" t="str">
        <f t="shared" si="28"/>
        <v/>
      </c>
      <c r="AY28" s="93" t="str">
        <f t="shared" si="20"/>
        <v/>
      </c>
      <c r="AZ28" s="94" t="str">
        <f t="shared" si="21"/>
        <v/>
      </c>
      <c r="BA28" s="95" t="str">
        <f t="shared" si="22"/>
        <v/>
      </c>
      <c r="BB28" s="248" t="s">
        <v>422</v>
      </c>
      <c r="BC28" s="229" t="s">
        <v>433</v>
      </c>
      <c r="BD28" s="249">
        <v>0</v>
      </c>
      <c r="BE28" s="267">
        <f t="shared" si="26"/>
        <v>0</v>
      </c>
      <c r="BF28" s="268">
        <f t="shared" si="29"/>
        <v>0</v>
      </c>
      <c r="BG28" s="268">
        <f t="shared" si="29"/>
        <v>0</v>
      </c>
      <c r="BH28" s="268">
        <f t="shared" si="29"/>
        <v>1</v>
      </c>
      <c r="BI28" s="268">
        <f t="shared" si="29"/>
        <v>2</v>
      </c>
      <c r="BJ28" s="268">
        <f t="shared" si="29"/>
        <v>3</v>
      </c>
      <c r="BK28" s="268">
        <f t="shared" si="29"/>
        <v>4</v>
      </c>
      <c r="BL28" s="269">
        <f t="shared" si="29"/>
        <v>5</v>
      </c>
      <c r="BM28" s="256">
        <f>IF($BC28=Lookup!$A$2,$BD28*ROUNDUP(BE28/10,0)+1,
IF($BC28=Lookup!$A$3,($BD28+1)^BD28,
IF($BC28=Lookup!$A$4,BE28*$BD28+1,"Error")))</f>
        <v>1</v>
      </c>
      <c r="BN28" s="229">
        <f>IF($BC28=Lookup!$A$2,$BD28*ROUNDUP(BF28/10,0)+1,
IF($BC28=Lookup!$A$3,($BD28+1)^BE28,
IF($BC28=Lookup!$A$4,BF28*$BD28+1,"Error")))</f>
        <v>1</v>
      </c>
      <c r="BO28" s="229">
        <f>IF($BC28=Lookup!$A$2,$BD28*ROUNDUP(BG28/10,0)+1,
IF($BC28=Lookup!$A$3,($BD28+1)^BF28,
IF($BC28=Lookup!$A$4,BG28*$BD28+1,"Error")))</f>
        <v>1</v>
      </c>
      <c r="BP28" s="229">
        <f>IF($BC28=Lookup!$A$2,$BD28*ROUNDUP(BH28/10,0)+1,
IF($BC28=Lookup!$A$3,($BD28+1)^BG28,
IF($BC28=Lookup!$A$4,BH28*$BD28+1,"Error")))</f>
        <v>1</v>
      </c>
      <c r="BQ28" s="229">
        <f>IF($BC28=Lookup!$A$2,$BD28*ROUNDUP(BI28/10,0)+1,
IF($BC28=Lookup!$A$3,($BD28+1)^BH28,
IF($BC28=Lookup!$A$4,BI28*$BD28+1,"Error")))</f>
        <v>1</v>
      </c>
      <c r="BR28" s="229">
        <f>IF($BC28=Lookup!$A$2,$BD28*ROUNDUP(BJ28/10,0)+1,
IF($BC28=Lookup!$A$3,($BD28+1)^BI28,
IF($BC28=Lookup!$A$4,BJ28*$BD28+1,"Error")))</f>
        <v>1</v>
      </c>
      <c r="BS28" s="229">
        <f>IF($BC28=Lookup!$A$2,$BD28*ROUNDUP(BK28/10,0)+1,
IF($BC28=Lookup!$A$3,($BD28+1)^BJ28,
IF($BC28=Lookup!$A$4,BK28*$BD28+1,"Error")))</f>
        <v>1</v>
      </c>
      <c r="BT28" s="249">
        <f>IF($BC28=Lookup!$A$2,$BD28*ROUNDUP(BL28/10,0)+1,
IF($BC28=Lookup!$A$3,($BD28+1)^BK28,
IF($BC28=Lookup!$A$4,BL28*$BD28+1,"Error")))</f>
        <v>1</v>
      </c>
      <c r="BU28" s="320">
        <v>0</v>
      </c>
      <c r="BV28" s="321">
        <v>0</v>
      </c>
      <c r="BW28" s="321">
        <v>0</v>
      </c>
      <c r="BX28" s="320">
        <v>0</v>
      </c>
      <c r="BY28" s="321">
        <v>0</v>
      </c>
      <c r="BZ28" s="321">
        <v>0</v>
      </c>
      <c r="CA28" s="321">
        <v>0</v>
      </c>
      <c r="CB28" s="277">
        <v>0</v>
      </c>
      <c r="CC28" s="382" t="s">
        <v>292</v>
      </c>
      <c r="CD28" s="383">
        <f>HLOOKUP($CC28,$AK$6:$AM$132,ROWS(CD$6:CD28),0)</f>
        <v>0</v>
      </c>
      <c r="CE28" s="234">
        <f t="shared" si="27"/>
        <v>0</v>
      </c>
      <c r="CF28" s="96">
        <f t="shared" si="24"/>
        <v>0</v>
      </c>
      <c r="CG28" s="521">
        <f t="shared" si="24"/>
        <v>0</v>
      </c>
      <c r="CH28" s="421">
        <f t="shared" si="24"/>
        <v>0</v>
      </c>
      <c r="CI28" s="96">
        <f t="shared" si="24"/>
        <v>0</v>
      </c>
      <c r="CJ28" s="96">
        <f t="shared" si="24"/>
        <v>0</v>
      </c>
      <c r="CK28" s="96">
        <f t="shared" si="24"/>
        <v>0</v>
      </c>
      <c r="CL28" s="286">
        <f t="shared" si="24"/>
        <v>0</v>
      </c>
      <c r="CM28" s="305" t="s">
        <v>293</v>
      </c>
      <c r="CN28" s="315">
        <v>0.05</v>
      </c>
      <c r="CO28" s="306"/>
      <c r="CP28" s="307" t="str">
        <f>IF($CO28&lt;&gt;"",$CO28,HLOOKUP($CM28,$AY$6:$BA$132,ROWS(CP$6:CP28),0))</f>
        <v/>
      </c>
      <c r="CQ28" s="784">
        <v>0</v>
      </c>
      <c r="CR28" s="784">
        <v>0</v>
      </c>
      <c r="CS28" s="524">
        <v>0</v>
      </c>
      <c r="CT28" s="416">
        <v>0</v>
      </c>
      <c r="CU28" s="97">
        <v>0</v>
      </c>
      <c r="CV28" s="97">
        <v>0</v>
      </c>
      <c r="CW28" s="97">
        <v>0</v>
      </c>
      <c r="CX28" s="98">
        <v>0</v>
      </c>
      <c r="CY28" s="392"/>
    </row>
    <row r="29" spans="1:103" x14ac:dyDescent="0.25">
      <c r="A29" s="81" t="s">
        <v>68</v>
      </c>
      <c r="B29" s="82" t="s">
        <v>71</v>
      </c>
      <c r="C29" s="83" t="s">
        <v>306</v>
      </c>
      <c r="D29" s="84"/>
      <c r="E29" s="85"/>
      <c r="F29" s="85"/>
      <c r="G29" s="85"/>
      <c r="H29" s="85"/>
      <c r="I29" s="85"/>
      <c r="J29" s="85"/>
      <c r="K29" s="85"/>
      <c r="L29" s="85"/>
      <c r="M29" s="654"/>
      <c r="N29" s="1065"/>
      <c r="O29" s="560">
        <f t="shared" si="25"/>
        <v>0</v>
      </c>
      <c r="P29" s="561">
        <f t="shared" si="0"/>
        <v>0</v>
      </c>
      <c r="Q29" s="561">
        <f t="shared" si="1"/>
        <v>0</v>
      </c>
      <c r="R29" s="561">
        <f t="shared" si="2"/>
        <v>0</v>
      </c>
      <c r="S29" s="561">
        <f t="shared" si="3"/>
        <v>0</v>
      </c>
      <c r="T29" s="561">
        <f t="shared" si="4"/>
        <v>0</v>
      </c>
      <c r="U29" s="561">
        <f t="shared" si="5"/>
        <v>0</v>
      </c>
      <c r="V29" s="561">
        <f t="shared" si="6"/>
        <v>0</v>
      </c>
      <c r="W29" s="675">
        <f t="shared" si="7"/>
        <v>0</v>
      </c>
      <c r="X29" s="675">
        <f t="shared" si="8"/>
        <v>0</v>
      </c>
      <c r="Y29" s="675">
        <f t="shared" si="8"/>
        <v>0</v>
      </c>
      <c r="Z29" s="86"/>
      <c r="AA29" s="87"/>
      <c r="AB29" s="87"/>
      <c r="AC29" s="87"/>
      <c r="AD29" s="87"/>
      <c r="AE29" s="87"/>
      <c r="AF29" s="87"/>
      <c r="AG29" s="87"/>
      <c r="AH29" s="87"/>
      <c r="AI29" s="1094"/>
      <c r="AJ29" s="665"/>
      <c r="AK29" s="88">
        <f t="shared" si="9"/>
        <v>0</v>
      </c>
      <c r="AL29" s="89" t="str" cm="1">
        <f t="array" aca="1" ref="AL29" ca="1">IFERROR(IF($AM$4="N",SSUM(AF29:AH29)/3,SUM(AG29:AI29)/3),"")</f>
        <v/>
      </c>
      <c r="AM29" s="90">
        <f t="shared" si="10"/>
        <v>0</v>
      </c>
      <c r="AN29" s="91" t="str">
        <f t="shared" si="11"/>
        <v/>
      </c>
      <c r="AO29" s="92" t="str">
        <f t="shared" si="12"/>
        <v/>
      </c>
      <c r="AP29" s="92" t="str">
        <f t="shared" si="13"/>
        <v/>
      </c>
      <c r="AQ29" s="92" t="str">
        <f t="shared" si="14"/>
        <v/>
      </c>
      <c r="AR29" s="92" t="str">
        <f t="shared" si="15"/>
        <v/>
      </c>
      <c r="AS29" s="92" t="str">
        <f t="shared" si="16"/>
        <v/>
      </c>
      <c r="AT29" s="92" t="str">
        <f t="shared" si="17"/>
        <v/>
      </c>
      <c r="AU29" s="92" t="str">
        <f t="shared" si="18"/>
        <v/>
      </c>
      <c r="AV29" s="92" t="str">
        <f t="shared" si="28"/>
        <v/>
      </c>
      <c r="AW29" s="92" t="str">
        <f t="shared" si="28"/>
        <v/>
      </c>
      <c r="AX29" s="92" t="str">
        <f t="shared" si="28"/>
        <v/>
      </c>
      <c r="AY29" s="93" t="str">
        <f t="shared" si="20"/>
        <v/>
      </c>
      <c r="AZ29" s="94" t="str">
        <f t="shared" si="21"/>
        <v/>
      </c>
      <c r="BA29" s="95" t="str">
        <f t="shared" si="22"/>
        <v/>
      </c>
      <c r="BB29" s="248" t="s">
        <v>422</v>
      </c>
      <c r="BC29" s="229" t="s">
        <v>433</v>
      </c>
      <c r="BD29" s="249">
        <v>0</v>
      </c>
      <c r="BE29" s="267">
        <f t="shared" si="26"/>
        <v>0</v>
      </c>
      <c r="BF29" s="268">
        <f t="shared" si="29"/>
        <v>0</v>
      </c>
      <c r="BG29" s="268">
        <f t="shared" si="29"/>
        <v>0</v>
      </c>
      <c r="BH29" s="268">
        <f t="shared" si="29"/>
        <v>1</v>
      </c>
      <c r="BI29" s="268">
        <f t="shared" si="29"/>
        <v>2</v>
      </c>
      <c r="BJ29" s="268">
        <f t="shared" si="29"/>
        <v>3</v>
      </c>
      <c r="BK29" s="268">
        <f t="shared" si="29"/>
        <v>4</v>
      </c>
      <c r="BL29" s="269">
        <f t="shared" si="29"/>
        <v>5</v>
      </c>
      <c r="BM29" s="256">
        <f>IF($BC29=Lookup!$A$2,$BD29*ROUNDUP(BE29/10,0)+1,
IF($BC29=Lookup!$A$3,($BD29+1)^BD29,
IF($BC29=Lookup!$A$4,BE29*$BD29+1,"Error")))</f>
        <v>1</v>
      </c>
      <c r="BN29" s="229">
        <f>IF($BC29=Lookup!$A$2,$BD29*ROUNDUP(BF29/10,0)+1,
IF($BC29=Lookup!$A$3,($BD29+1)^BE29,
IF($BC29=Lookup!$A$4,BF29*$BD29+1,"Error")))</f>
        <v>1</v>
      </c>
      <c r="BO29" s="229">
        <f>IF($BC29=Lookup!$A$2,$BD29*ROUNDUP(BG29/10,0)+1,
IF($BC29=Lookup!$A$3,($BD29+1)^BF29,
IF($BC29=Lookup!$A$4,BG29*$BD29+1,"Error")))</f>
        <v>1</v>
      </c>
      <c r="BP29" s="229">
        <f>IF($BC29=Lookup!$A$2,$BD29*ROUNDUP(BH29/10,0)+1,
IF($BC29=Lookup!$A$3,($BD29+1)^BG29,
IF($BC29=Lookup!$A$4,BH29*$BD29+1,"Error")))</f>
        <v>1</v>
      </c>
      <c r="BQ29" s="229">
        <f>IF($BC29=Lookup!$A$2,$BD29*ROUNDUP(BI29/10,0)+1,
IF($BC29=Lookup!$A$3,($BD29+1)^BH29,
IF($BC29=Lookup!$A$4,BI29*$BD29+1,"Error")))</f>
        <v>1</v>
      </c>
      <c r="BR29" s="229">
        <f>IF($BC29=Lookup!$A$2,$BD29*ROUNDUP(BJ29/10,0)+1,
IF($BC29=Lookup!$A$3,($BD29+1)^BI29,
IF($BC29=Lookup!$A$4,BJ29*$BD29+1,"Error")))</f>
        <v>1</v>
      </c>
      <c r="BS29" s="229">
        <f>IF($BC29=Lookup!$A$2,$BD29*ROUNDUP(BK29/10,0)+1,
IF($BC29=Lookup!$A$3,($BD29+1)^BJ29,
IF($BC29=Lookup!$A$4,BK29*$BD29+1,"Error")))</f>
        <v>1</v>
      </c>
      <c r="BT29" s="249">
        <f>IF($BC29=Lookup!$A$2,$BD29*ROUNDUP(BL29/10,0)+1,
IF($BC29=Lookup!$A$3,($BD29+1)^BK29,
IF($BC29=Lookup!$A$4,BL29*$BD29+1,"Error")))</f>
        <v>1</v>
      </c>
      <c r="BU29" s="320">
        <v>0</v>
      </c>
      <c r="BV29" s="321">
        <v>0</v>
      </c>
      <c r="BW29" s="321">
        <v>0</v>
      </c>
      <c r="BX29" s="320">
        <v>0</v>
      </c>
      <c r="BY29" s="321">
        <v>0</v>
      </c>
      <c r="BZ29" s="321">
        <v>0</v>
      </c>
      <c r="CA29" s="321">
        <v>0</v>
      </c>
      <c r="CB29" s="277">
        <v>0</v>
      </c>
      <c r="CC29" s="382" t="s">
        <v>292</v>
      </c>
      <c r="CD29" s="383">
        <f>HLOOKUP($CC29,$AK$6:$AM$132,ROWS(CD$6:CD29),0)</f>
        <v>0</v>
      </c>
      <c r="CE29" s="234">
        <f t="shared" si="27"/>
        <v>0</v>
      </c>
      <c r="CF29" s="96">
        <f t="shared" si="24"/>
        <v>0</v>
      </c>
      <c r="CG29" s="521">
        <f t="shared" si="24"/>
        <v>0</v>
      </c>
      <c r="CH29" s="421">
        <f t="shared" si="24"/>
        <v>0</v>
      </c>
      <c r="CI29" s="96">
        <f t="shared" si="24"/>
        <v>0</v>
      </c>
      <c r="CJ29" s="96">
        <f t="shared" si="24"/>
        <v>0</v>
      </c>
      <c r="CK29" s="96">
        <f t="shared" si="24"/>
        <v>0</v>
      </c>
      <c r="CL29" s="286">
        <f t="shared" si="24"/>
        <v>0</v>
      </c>
      <c r="CM29" s="305" t="s">
        <v>293</v>
      </c>
      <c r="CN29" s="315">
        <v>0.05</v>
      </c>
      <c r="CO29" s="306"/>
      <c r="CP29" s="307" t="str">
        <f>IF($CO29&lt;&gt;"",$CO29,HLOOKUP($CM29,$AY$6:$BA$132,ROWS(CP$6:CP29),0))</f>
        <v/>
      </c>
      <c r="CQ29" s="784">
        <v>0</v>
      </c>
      <c r="CR29" s="784">
        <v>0</v>
      </c>
      <c r="CS29" s="524">
        <v>0</v>
      </c>
      <c r="CT29" s="416">
        <v>0</v>
      </c>
      <c r="CU29" s="97">
        <v>0</v>
      </c>
      <c r="CV29" s="97">
        <v>0</v>
      </c>
      <c r="CW29" s="97">
        <v>0</v>
      </c>
      <c r="CX29" s="98">
        <v>0</v>
      </c>
      <c r="CY29" s="392"/>
    </row>
    <row r="30" spans="1:103" x14ac:dyDescent="0.25">
      <c r="A30" s="81" t="s">
        <v>68</v>
      </c>
      <c r="B30" s="82" t="s">
        <v>73</v>
      </c>
      <c r="C30" s="83" t="s">
        <v>307</v>
      </c>
      <c r="D30" s="84"/>
      <c r="E30" s="85"/>
      <c r="F30" s="85"/>
      <c r="G30" s="85"/>
      <c r="H30" s="85"/>
      <c r="I30" s="85"/>
      <c r="J30" s="85"/>
      <c r="K30" s="85"/>
      <c r="L30" s="85"/>
      <c r="M30" s="654"/>
      <c r="N30" s="1065"/>
      <c r="O30" s="560">
        <f t="shared" si="25"/>
        <v>0</v>
      </c>
      <c r="P30" s="561">
        <f t="shared" si="0"/>
        <v>0</v>
      </c>
      <c r="Q30" s="561">
        <f t="shared" si="1"/>
        <v>0</v>
      </c>
      <c r="R30" s="561">
        <f t="shared" si="2"/>
        <v>0</v>
      </c>
      <c r="S30" s="561">
        <f t="shared" si="3"/>
        <v>0</v>
      </c>
      <c r="T30" s="561">
        <f t="shared" si="4"/>
        <v>0</v>
      </c>
      <c r="U30" s="561">
        <f t="shared" si="5"/>
        <v>0</v>
      </c>
      <c r="V30" s="561">
        <f t="shared" si="6"/>
        <v>0</v>
      </c>
      <c r="W30" s="675">
        <f t="shared" si="7"/>
        <v>0</v>
      </c>
      <c r="X30" s="675">
        <f t="shared" si="8"/>
        <v>0</v>
      </c>
      <c r="Y30" s="675">
        <f t="shared" si="8"/>
        <v>0</v>
      </c>
      <c r="Z30" s="86"/>
      <c r="AA30" s="87"/>
      <c r="AB30" s="87"/>
      <c r="AC30" s="87"/>
      <c r="AD30" s="87"/>
      <c r="AE30" s="87"/>
      <c r="AF30" s="87"/>
      <c r="AG30" s="87"/>
      <c r="AH30" s="87"/>
      <c r="AI30" s="1094"/>
      <c r="AJ30" s="665"/>
      <c r="AK30" s="88">
        <f t="shared" si="9"/>
        <v>0</v>
      </c>
      <c r="AL30" s="89" t="str" cm="1">
        <f t="array" aca="1" ref="AL30" ca="1">IFERROR(IF($AM$4="N",SSUM(AF30:AH30)/3,SUM(AG30:AI30)/3),"")</f>
        <v/>
      </c>
      <c r="AM30" s="90">
        <f t="shared" si="10"/>
        <v>0</v>
      </c>
      <c r="AN30" s="91" t="str">
        <f t="shared" si="11"/>
        <v/>
      </c>
      <c r="AO30" s="92" t="str">
        <f t="shared" si="12"/>
        <v/>
      </c>
      <c r="AP30" s="92" t="str">
        <f t="shared" si="13"/>
        <v/>
      </c>
      <c r="AQ30" s="92" t="str">
        <f t="shared" si="14"/>
        <v/>
      </c>
      <c r="AR30" s="92" t="str">
        <f t="shared" si="15"/>
        <v/>
      </c>
      <c r="AS30" s="92" t="str">
        <f t="shared" si="16"/>
        <v/>
      </c>
      <c r="AT30" s="92" t="str">
        <f t="shared" si="17"/>
        <v/>
      </c>
      <c r="AU30" s="92" t="str">
        <f t="shared" si="18"/>
        <v/>
      </c>
      <c r="AV30" s="92" t="str">
        <f t="shared" si="28"/>
        <v/>
      </c>
      <c r="AW30" s="92" t="str">
        <f t="shared" si="28"/>
        <v/>
      </c>
      <c r="AX30" s="92" t="str">
        <f t="shared" si="28"/>
        <v/>
      </c>
      <c r="AY30" s="93" t="str">
        <f t="shared" si="20"/>
        <v/>
      </c>
      <c r="AZ30" s="94" t="str">
        <f t="shared" si="21"/>
        <v/>
      </c>
      <c r="BA30" s="95" t="str">
        <f t="shared" si="22"/>
        <v/>
      </c>
      <c r="BB30" s="248" t="s">
        <v>422</v>
      </c>
      <c r="BC30" s="229" t="s">
        <v>433</v>
      </c>
      <c r="BD30" s="249">
        <v>0</v>
      </c>
      <c r="BE30" s="267">
        <f t="shared" si="26"/>
        <v>0</v>
      </c>
      <c r="BF30" s="268">
        <f t="shared" si="29"/>
        <v>0</v>
      </c>
      <c r="BG30" s="268">
        <f t="shared" si="29"/>
        <v>0</v>
      </c>
      <c r="BH30" s="268">
        <f t="shared" si="29"/>
        <v>1</v>
      </c>
      <c r="BI30" s="268">
        <f t="shared" si="29"/>
        <v>2</v>
      </c>
      <c r="BJ30" s="268">
        <f t="shared" si="29"/>
        <v>3</v>
      </c>
      <c r="BK30" s="268">
        <f t="shared" si="29"/>
        <v>4</v>
      </c>
      <c r="BL30" s="269">
        <f t="shared" si="29"/>
        <v>5</v>
      </c>
      <c r="BM30" s="256">
        <f>IF($BC30=Lookup!$A$2,$BD30*ROUNDUP(BE30/10,0)+1,
IF($BC30=Lookup!$A$3,($BD30+1)^BD30,
IF($BC30=Lookup!$A$4,BE30*$BD30+1,"Error")))</f>
        <v>1</v>
      </c>
      <c r="BN30" s="229">
        <f>IF($BC30=Lookup!$A$2,$BD30*ROUNDUP(BF30/10,0)+1,
IF($BC30=Lookup!$A$3,($BD30+1)^BE30,
IF($BC30=Lookup!$A$4,BF30*$BD30+1,"Error")))</f>
        <v>1</v>
      </c>
      <c r="BO30" s="229">
        <f>IF($BC30=Lookup!$A$2,$BD30*ROUNDUP(BG30/10,0)+1,
IF($BC30=Lookup!$A$3,($BD30+1)^BF30,
IF($BC30=Lookup!$A$4,BG30*$BD30+1,"Error")))</f>
        <v>1</v>
      </c>
      <c r="BP30" s="229">
        <f>IF($BC30=Lookup!$A$2,$BD30*ROUNDUP(BH30/10,0)+1,
IF($BC30=Lookup!$A$3,($BD30+1)^BG30,
IF($BC30=Lookup!$A$4,BH30*$BD30+1,"Error")))</f>
        <v>1</v>
      </c>
      <c r="BQ30" s="229">
        <f>IF($BC30=Lookup!$A$2,$BD30*ROUNDUP(BI30/10,0)+1,
IF($BC30=Lookup!$A$3,($BD30+1)^BH30,
IF($BC30=Lookup!$A$4,BI30*$BD30+1,"Error")))</f>
        <v>1</v>
      </c>
      <c r="BR30" s="229">
        <f>IF($BC30=Lookup!$A$2,$BD30*ROUNDUP(BJ30/10,0)+1,
IF($BC30=Lookup!$A$3,($BD30+1)^BI30,
IF($BC30=Lookup!$A$4,BJ30*$BD30+1,"Error")))</f>
        <v>1</v>
      </c>
      <c r="BS30" s="229">
        <f>IF($BC30=Lookup!$A$2,$BD30*ROUNDUP(BK30/10,0)+1,
IF($BC30=Lookup!$A$3,($BD30+1)^BJ30,
IF($BC30=Lookup!$A$4,BK30*$BD30+1,"Error")))</f>
        <v>1</v>
      </c>
      <c r="BT30" s="249">
        <f>IF($BC30=Lookup!$A$2,$BD30*ROUNDUP(BL30/10,0)+1,
IF($BC30=Lookup!$A$3,($BD30+1)^BK30,
IF($BC30=Lookup!$A$4,BL30*$BD30+1,"Error")))</f>
        <v>1</v>
      </c>
      <c r="BU30" s="320">
        <v>0</v>
      </c>
      <c r="BV30" s="321">
        <v>0</v>
      </c>
      <c r="BW30" s="321">
        <v>0</v>
      </c>
      <c r="BX30" s="320">
        <v>0</v>
      </c>
      <c r="BY30" s="321">
        <v>0</v>
      </c>
      <c r="BZ30" s="321">
        <v>0</v>
      </c>
      <c r="CA30" s="321">
        <v>0</v>
      </c>
      <c r="CB30" s="277">
        <v>0</v>
      </c>
      <c r="CC30" s="382" t="s">
        <v>292</v>
      </c>
      <c r="CD30" s="383">
        <f>HLOOKUP($CC30,$AK$6:$AM$132,ROWS(CD$6:CD30),0)</f>
        <v>0</v>
      </c>
      <c r="CE30" s="234">
        <f t="shared" si="27"/>
        <v>0</v>
      </c>
      <c r="CF30" s="96">
        <f t="shared" si="24"/>
        <v>0</v>
      </c>
      <c r="CG30" s="521">
        <f t="shared" si="24"/>
        <v>0</v>
      </c>
      <c r="CH30" s="421">
        <f t="shared" si="24"/>
        <v>0</v>
      </c>
      <c r="CI30" s="96">
        <f t="shared" si="24"/>
        <v>0</v>
      </c>
      <c r="CJ30" s="96">
        <f t="shared" si="24"/>
        <v>0</v>
      </c>
      <c r="CK30" s="96">
        <f t="shared" si="24"/>
        <v>0</v>
      </c>
      <c r="CL30" s="286">
        <f t="shared" si="24"/>
        <v>0</v>
      </c>
      <c r="CM30" s="305" t="s">
        <v>293</v>
      </c>
      <c r="CN30" s="315">
        <v>0.05</v>
      </c>
      <c r="CO30" s="306"/>
      <c r="CP30" s="307" t="str">
        <f>IF($CO30&lt;&gt;"",$CO30,HLOOKUP($CM30,$AY$6:$BA$132,ROWS(CP$6:CP30),0))</f>
        <v/>
      </c>
      <c r="CQ30" s="784">
        <v>0</v>
      </c>
      <c r="CR30" s="784">
        <v>0</v>
      </c>
      <c r="CS30" s="524">
        <v>0</v>
      </c>
      <c r="CT30" s="416">
        <v>0</v>
      </c>
      <c r="CU30" s="97">
        <v>0</v>
      </c>
      <c r="CV30" s="97">
        <v>0</v>
      </c>
      <c r="CW30" s="97">
        <v>0</v>
      </c>
      <c r="CX30" s="98">
        <v>0</v>
      </c>
      <c r="CY30" s="392"/>
    </row>
    <row r="31" spans="1:103" x14ac:dyDescent="0.25">
      <c r="A31" s="81" t="s">
        <v>68</v>
      </c>
      <c r="B31" s="82" t="s">
        <v>75</v>
      </c>
      <c r="C31" s="83" t="s">
        <v>76</v>
      </c>
      <c r="D31" s="84"/>
      <c r="E31" s="85"/>
      <c r="F31" s="85"/>
      <c r="G31" s="85"/>
      <c r="H31" s="85"/>
      <c r="I31" s="85"/>
      <c r="J31" s="85"/>
      <c r="K31" s="85"/>
      <c r="L31" s="85"/>
      <c r="M31" s="654"/>
      <c r="N31" s="1065"/>
      <c r="O31" s="560">
        <f t="shared" si="25"/>
        <v>0</v>
      </c>
      <c r="P31" s="561">
        <f t="shared" si="0"/>
        <v>0</v>
      </c>
      <c r="Q31" s="561">
        <f t="shared" si="1"/>
        <v>0</v>
      </c>
      <c r="R31" s="561">
        <f t="shared" si="2"/>
        <v>0</v>
      </c>
      <c r="S31" s="561">
        <f t="shared" si="3"/>
        <v>0</v>
      </c>
      <c r="T31" s="561">
        <f t="shared" si="4"/>
        <v>0</v>
      </c>
      <c r="U31" s="561">
        <f t="shared" si="5"/>
        <v>0</v>
      </c>
      <c r="V31" s="561">
        <f t="shared" si="6"/>
        <v>0</v>
      </c>
      <c r="W31" s="675">
        <f t="shared" si="7"/>
        <v>0</v>
      </c>
      <c r="X31" s="675">
        <f t="shared" si="8"/>
        <v>0</v>
      </c>
      <c r="Y31" s="675">
        <f t="shared" si="8"/>
        <v>0</v>
      </c>
      <c r="Z31" s="86"/>
      <c r="AA31" s="87"/>
      <c r="AB31" s="87"/>
      <c r="AC31" s="87"/>
      <c r="AD31" s="87"/>
      <c r="AE31" s="87"/>
      <c r="AF31" s="87"/>
      <c r="AG31" s="87"/>
      <c r="AH31" s="87"/>
      <c r="AI31" s="1094"/>
      <c r="AJ31" s="665"/>
      <c r="AK31" s="88">
        <f t="shared" si="9"/>
        <v>0</v>
      </c>
      <c r="AL31" s="89" t="str" cm="1">
        <f t="array" aca="1" ref="AL31" ca="1">IFERROR(IF($AM$4="N",SSUM(AF31:AH31)/3,SUM(AG31:AI31)/3),"")</f>
        <v/>
      </c>
      <c r="AM31" s="90">
        <f t="shared" si="10"/>
        <v>0</v>
      </c>
      <c r="AN31" s="91" t="str">
        <f t="shared" si="11"/>
        <v/>
      </c>
      <c r="AO31" s="92" t="str">
        <f t="shared" si="12"/>
        <v/>
      </c>
      <c r="AP31" s="92" t="str">
        <f t="shared" si="13"/>
        <v/>
      </c>
      <c r="AQ31" s="92" t="str">
        <f t="shared" si="14"/>
        <v/>
      </c>
      <c r="AR31" s="92" t="str">
        <f t="shared" si="15"/>
        <v/>
      </c>
      <c r="AS31" s="92" t="str">
        <f t="shared" si="16"/>
        <v/>
      </c>
      <c r="AT31" s="92" t="str">
        <f t="shared" si="17"/>
        <v/>
      </c>
      <c r="AU31" s="92" t="str">
        <f t="shared" si="18"/>
        <v/>
      </c>
      <c r="AV31" s="92" t="str">
        <f t="shared" si="28"/>
        <v/>
      </c>
      <c r="AW31" s="92" t="str">
        <f t="shared" si="28"/>
        <v/>
      </c>
      <c r="AX31" s="92" t="str">
        <f t="shared" si="28"/>
        <v/>
      </c>
      <c r="AY31" s="93" t="str">
        <f t="shared" si="20"/>
        <v/>
      </c>
      <c r="AZ31" s="94" t="str">
        <f t="shared" si="21"/>
        <v/>
      </c>
      <c r="BA31" s="95" t="str">
        <f t="shared" si="22"/>
        <v/>
      </c>
      <c r="BB31" s="248" t="s">
        <v>422</v>
      </c>
      <c r="BC31" s="229" t="s">
        <v>433</v>
      </c>
      <c r="BD31" s="249">
        <v>0</v>
      </c>
      <c r="BE31" s="267">
        <f t="shared" si="26"/>
        <v>0</v>
      </c>
      <c r="BF31" s="268">
        <f t="shared" si="29"/>
        <v>0</v>
      </c>
      <c r="BG31" s="268">
        <f t="shared" si="29"/>
        <v>0</v>
      </c>
      <c r="BH31" s="268">
        <f t="shared" si="29"/>
        <v>1</v>
      </c>
      <c r="BI31" s="268">
        <f t="shared" si="29"/>
        <v>2</v>
      </c>
      <c r="BJ31" s="268">
        <f t="shared" si="29"/>
        <v>3</v>
      </c>
      <c r="BK31" s="268">
        <f t="shared" si="29"/>
        <v>4</v>
      </c>
      <c r="BL31" s="269">
        <f t="shared" si="29"/>
        <v>5</v>
      </c>
      <c r="BM31" s="256">
        <f>IF($BC31=Lookup!$A$2,$BD31*ROUNDUP(BE31/10,0)+1,
IF($BC31=Lookup!$A$3,($BD31+1)^BD31,
IF($BC31=Lookup!$A$4,BE31*$BD31+1,"Error")))</f>
        <v>1</v>
      </c>
      <c r="BN31" s="229">
        <f>IF($BC31=Lookup!$A$2,$BD31*ROUNDUP(BF31/10,0)+1,
IF($BC31=Lookup!$A$3,($BD31+1)^BE31,
IF($BC31=Lookup!$A$4,BF31*$BD31+1,"Error")))</f>
        <v>1</v>
      </c>
      <c r="BO31" s="229">
        <f>IF($BC31=Lookup!$A$2,$BD31*ROUNDUP(BG31/10,0)+1,
IF($BC31=Lookup!$A$3,($BD31+1)^BF31,
IF($BC31=Lookup!$A$4,BG31*$BD31+1,"Error")))</f>
        <v>1</v>
      </c>
      <c r="BP31" s="229">
        <f>IF($BC31=Lookup!$A$2,$BD31*ROUNDUP(BH31/10,0)+1,
IF($BC31=Lookup!$A$3,($BD31+1)^BG31,
IF($BC31=Lookup!$A$4,BH31*$BD31+1,"Error")))</f>
        <v>1</v>
      </c>
      <c r="BQ31" s="229">
        <f>IF($BC31=Lookup!$A$2,$BD31*ROUNDUP(BI31/10,0)+1,
IF($BC31=Lookup!$A$3,($BD31+1)^BH31,
IF($BC31=Lookup!$A$4,BI31*$BD31+1,"Error")))</f>
        <v>1</v>
      </c>
      <c r="BR31" s="229">
        <f>IF($BC31=Lookup!$A$2,$BD31*ROUNDUP(BJ31/10,0)+1,
IF($BC31=Lookup!$A$3,($BD31+1)^BI31,
IF($BC31=Lookup!$A$4,BJ31*$BD31+1,"Error")))</f>
        <v>1</v>
      </c>
      <c r="BS31" s="229">
        <f>IF($BC31=Lookup!$A$2,$BD31*ROUNDUP(BK31/10,0)+1,
IF($BC31=Lookup!$A$3,($BD31+1)^BJ31,
IF($BC31=Lookup!$A$4,BK31*$BD31+1,"Error")))</f>
        <v>1</v>
      </c>
      <c r="BT31" s="249">
        <f>IF($BC31=Lookup!$A$2,$BD31*ROUNDUP(BL31/10,0)+1,
IF($BC31=Lookup!$A$3,($BD31+1)^BK31,
IF($BC31=Lookup!$A$4,BL31*$BD31+1,"Error")))</f>
        <v>1</v>
      </c>
      <c r="BU31" s="320">
        <v>0</v>
      </c>
      <c r="BV31" s="321">
        <v>0</v>
      </c>
      <c r="BW31" s="321">
        <v>0</v>
      </c>
      <c r="BX31" s="320">
        <v>0</v>
      </c>
      <c r="BY31" s="321">
        <v>0</v>
      </c>
      <c r="BZ31" s="321">
        <v>0</v>
      </c>
      <c r="CA31" s="321">
        <v>0</v>
      </c>
      <c r="CB31" s="277">
        <v>0</v>
      </c>
      <c r="CC31" s="382" t="s">
        <v>292</v>
      </c>
      <c r="CD31" s="383">
        <f>HLOOKUP($CC31,$AK$6:$AM$132,ROWS(CD$6:CD31),0)</f>
        <v>0</v>
      </c>
      <c r="CE31" s="234">
        <f t="shared" si="27"/>
        <v>0</v>
      </c>
      <c r="CF31" s="96">
        <f t="shared" si="24"/>
        <v>0</v>
      </c>
      <c r="CG31" s="521">
        <f t="shared" si="24"/>
        <v>0</v>
      </c>
      <c r="CH31" s="421">
        <f t="shared" si="24"/>
        <v>0</v>
      </c>
      <c r="CI31" s="96">
        <f t="shared" si="24"/>
        <v>0</v>
      </c>
      <c r="CJ31" s="96">
        <f t="shared" si="24"/>
        <v>0</v>
      </c>
      <c r="CK31" s="96">
        <f t="shared" si="24"/>
        <v>0</v>
      </c>
      <c r="CL31" s="286">
        <f t="shared" si="24"/>
        <v>0</v>
      </c>
      <c r="CM31" s="305" t="s">
        <v>293</v>
      </c>
      <c r="CN31" s="315">
        <v>0.05</v>
      </c>
      <c r="CO31" s="306"/>
      <c r="CP31" s="307" t="str">
        <f>IF($CO31&lt;&gt;"",$CO31,HLOOKUP($CM31,$AY$6:$BA$132,ROWS(CP$6:CP31),0))</f>
        <v/>
      </c>
      <c r="CQ31" s="784">
        <v>0</v>
      </c>
      <c r="CR31" s="784">
        <v>0</v>
      </c>
      <c r="CS31" s="524">
        <v>0</v>
      </c>
      <c r="CT31" s="416">
        <v>0</v>
      </c>
      <c r="CU31" s="97">
        <v>0</v>
      </c>
      <c r="CV31" s="97">
        <v>0</v>
      </c>
      <c r="CW31" s="97">
        <v>0</v>
      </c>
      <c r="CX31" s="98">
        <v>0</v>
      </c>
      <c r="CY31" s="392"/>
    </row>
    <row r="32" spans="1:103" x14ac:dyDescent="0.25">
      <c r="A32" s="81" t="s">
        <v>68</v>
      </c>
      <c r="B32" s="82" t="s">
        <v>77</v>
      </c>
      <c r="C32" s="83" t="s">
        <v>78</v>
      </c>
      <c r="D32" s="84"/>
      <c r="E32" s="85"/>
      <c r="F32" s="85"/>
      <c r="G32" s="85"/>
      <c r="H32" s="85"/>
      <c r="I32" s="85"/>
      <c r="J32" s="85"/>
      <c r="K32" s="85"/>
      <c r="L32" s="85"/>
      <c r="M32" s="654"/>
      <c r="N32" s="1065"/>
      <c r="O32" s="560">
        <f t="shared" si="25"/>
        <v>0</v>
      </c>
      <c r="P32" s="561">
        <f t="shared" si="0"/>
        <v>0</v>
      </c>
      <c r="Q32" s="561">
        <f t="shared" si="1"/>
        <v>0</v>
      </c>
      <c r="R32" s="561">
        <f t="shared" si="2"/>
        <v>0</v>
      </c>
      <c r="S32" s="561">
        <f t="shared" si="3"/>
        <v>0</v>
      </c>
      <c r="T32" s="561">
        <f t="shared" si="4"/>
        <v>0</v>
      </c>
      <c r="U32" s="561">
        <f t="shared" si="5"/>
        <v>0</v>
      </c>
      <c r="V32" s="561">
        <f t="shared" si="6"/>
        <v>0</v>
      </c>
      <c r="W32" s="675">
        <f t="shared" si="7"/>
        <v>0</v>
      </c>
      <c r="X32" s="675">
        <f t="shared" si="8"/>
        <v>0</v>
      </c>
      <c r="Y32" s="675">
        <f t="shared" si="8"/>
        <v>0</v>
      </c>
      <c r="Z32" s="86"/>
      <c r="AA32" s="87"/>
      <c r="AB32" s="87"/>
      <c r="AC32" s="87"/>
      <c r="AD32" s="87"/>
      <c r="AE32" s="87"/>
      <c r="AF32" s="87"/>
      <c r="AG32" s="87"/>
      <c r="AH32" s="87"/>
      <c r="AI32" s="1094"/>
      <c r="AJ32" s="665"/>
      <c r="AK32" s="88">
        <f t="shared" si="9"/>
        <v>0</v>
      </c>
      <c r="AL32" s="89" t="str" cm="1">
        <f t="array" aca="1" ref="AL32" ca="1">IFERROR(IF($AM$4="N",SSUM(AF32:AH32)/3,SUM(AG32:AI32)/3),"")</f>
        <v/>
      </c>
      <c r="AM32" s="90">
        <f t="shared" si="10"/>
        <v>0</v>
      </c>
      <c r="AN32" s="91" t="str">
        <f t="shared" si="11"/>
        <v/>
      </c>
      <c r="AO32" s="92" t="str">
        <f t="shared" si="12"/>
        <v/>
      </c>
      <c r="AP32" s="92" t="str">
        <f t="shared" si="13"/>
        <v/>
      </c>
      <c r="AQ32" s="92" t="str">
        <f t="shared" si="14"/>
        <v/>
      </c>
      <c r="AR32" s="92" t="str">
        <f t="shared" si="15"/>
        <v/>
      </c>
      <c r="AS32" s="92" t="str">
        <f t="shared" si="16"/>
        <v/>
      </c>
      <c r="AT32" s="92" t="str">
        <f t="shared" si="17"/>
        <v/>
      </c>
      <c r="AU32" s="92" t="str">
        <f t="shared" si="18"/>
        <v/>
      </c>
      <c r="AV32" s="92" t="str">
        <f t="shared" si="28"/>
        <v/>
      </c>
      <c r="AW32" s="92" t="str">
        <f t="shared" si="28"/>
        <v/>
      </c>
      <c r="AX32" s="92" t="str">
        <f t="shared" si="28"/>
        <v/>
      </c>
      <c r="AY32" s="93" t="str">
        <f t="shared" si="20"/>
        <v/>
      </c>
      <c r="AZ32" s="94" t="str">
        <f t="shared" si="21"/>
        <v/>
      </c>
      <c r="BA32" s="95" t="str">
        <f t="shared" si="22"/>
        <v/>
      </c>
      <c r="BB32" s="248" t="s">
        <v>422</v>
      </c>
      <c r="BC32" s="229" t="s">
        <v>433</v>
      </c>
      <c r="BD32" s="249">
        <v>0</v>
      </c>
      <c r="BE32" s="267">
        <f t="shared" si="26"/>
        <v>0</v>
      </c>
      <c r="BF32" s="268">
        <f t="shared" si="29"/>
        <v>0</v>
      </c>
      <c r="BG32" s="268">
        <f t="shared" si="29"/>
        <v>0</v>
      </c>
      <c r="BH32" s="268">
        <f t="shared" si="29"/>
        <v>1</v>
      </c>
      <c r="BI32" s="268">
        <f t="shared" si="29"/>
        <v>2</v>
      </c>
      <c r="BJ32" s="268">
        <f t="shared" si="29"/>
        <v>3</v>
      </c>
      <c r="BK32" s="268">
        <f t="shared" si="29"/>
        <v>4</v>
      </c>
      <c r="BL32" s="269">
        <f t="shared" si="29"/>
        <v>5</v>
      </c>
      <c r="BM32" s="256">
        <f>IF($BC32=Lookup!$A$2,$BD32*ROUNDUP(BE32/10,0)+1,
IF($BC32=Lookup!$A$3,($BD32+1)^BD32,
IF($BC32=Lookup!$A$4,BE32*$BD32+1,"Error")))</f>
        <v>1</v>
      </c>
      <c r="BN32" s="229">
        <f>IF($BC32=Lookup!$A$2,$BD32*ROUNDUP(BF32/10,0)+1,
IF($BC32=Lookup!$A$3,($BD32+1)^BE32,
IF($BC32=Lookup!$A$4,BF32*$BD32+1,"Error")))</f>
        <v>1</v>
      </c>
      <c r="BO32" s="229">
        <f>IF($BC32=Lookup!$A$2,$BD32*ROUNDUP(BG32/10,0)+1,
IF($BC32=Lookup!$A$3,($BD32+1)^BF32,
IF($BC32=Lookup!$A$4,BG32*$BD32+1,"Error")))</f>
        <v>1</v>
      </c>
      <c r="BP32" s="229">
        <f>IF($BC32=Lookup!$A$2,$BD32*ROUNDUP(BH32/10,0)+1,
IF($BC32=Lookup!$A$3,($BD32+1)^BG32,
IF($BC32=Lookup!$A$4,BH32*$BD32+1,"Error")))</f>
        <v>1</v>
      </c>
      <c r="BQ32" s="229">
        <f>IF($BC32=Lookup!$A$2,$BD32*ROUNDUP(BI32/10,0)+1,
IF($BC32=Lookup!$A$3,($BD32+1)^BH32,
IF($BC32=Lookup!$A$4,BI32*$BD32+1,"Error")))</f>
        <v>1</v>
      </c>
      <c r="BR32" s="229">
        <f>IF($BC32=Lookup!$A$2,$BD32*ROUNDUP(BJ32/10,0)+1,
IF($BC32=Lookup!$A$3,($BD32+1)^BI32,
IF($BC32=Lookup!$A$4,BJ32*$BD32+1,"Error")))</f>
        <v>1</v>
      </c>
      <c r="BS32" s="229">
        <f>IF($BC32=Lookup!$A$2,$BD32*ROUNDUP(BK32/10,0)+1,
IF($BC32=Lookup!$A$3,($BD32+1)^BJ32,
IF($BC32=Lookup!$A$4,BK32*$BD32+1,"Error")))</f>
        <v>1</v>
      </c>
      <c r="BT32" s="249">
        <f>IF($BC32=Lookup!$A$2,$BD32*ROUNDUP(BL32/10,0)+1,
IF($BC32=Lookup!$A$3,($BD32+1)^BK32,
IF($BC32=Lookup!$A$4,BL32*$BD32+1,"Error")))</f>
        <v>1</v>
      </c>
      <c r="BU32" s="320">
        <v>0</v>
      </c>
      <c r="BV32" s="321">
        <v>0</v>
      </c>
      <c r="BW32" s="321">
        <v>0</v>
      </c>
      <c r="BX32" s="320">
        <v>0</v>
      </c>
      <c r="BY32" s="321">
        <v>0</v>
      </c>
      <c r="BZ32" s="321">
        <v>0</v>
      </c>
      <c r="CA32" s="321">
        <v>0</v>
      </c>
      <c r="CB32" s="277">
        <v>0</v>
      </c>
      <c r="CC32" s="382" t="s">
        <v>292</v>
      </c>
      <c r="CD32" s="383">
        <f>HLOOKUP($CC32,$AK$6:$AM$132,ROWS(CD$6:CD32),0)</f>
        <v>0</v>
      </c>
      <c r="CE32" s="234">
        <f t="shared" si="27"/>
        <v>0</v>
      </c>
      <c r="CF32" s="96">
        <f t="shared" si="24"/>
        <v>0</v>
      </c>
      <c r="CG32" s="521">
        <f t="shared" si="24"/>
        <v>0</v>
      </c>
      <c r="CH32" s="421">
        <f t="shared" si="24"/>
        <v>0</v>
      </c>
      <c r="CI32" s="96">
        <f t="shared" si="24"/>
        <v>0</v>
      </c>
      <c r="CJ32" s="96">
        <f t="shared" si="24"/>
        <v>0</v>
      </c>
      <c r="CK32" s="96">
        <f t="shared" si="24"/>
        <v>0</v>
      </c>
      <c r="CL32" s="286">
        <f t="shared" si="24"/>
        <v>0</v>
      </c>
      <c r="CM32" s="305" t="s">
        <v>293</v>
      </c>
      <c r="CN32" s="315">
        <v>0.05</v>
      </c>
      <c r="CO32" s="306"/>
      <c r="CP32" s="307" t="str">
        <f>IF($CO32&lt;&gt;"",$CO32,HLOOKUP($CM32,$AY$6:$BA$132,ROWS(CP$6:CP32),0))</f>
        <v/>
      </c>
      <c r="CQ32" s="784">
        <v>0</v>
      </c>
      <c r="CR32" s="784">
        <v>0</v>
      </c>
      <c r="CS32" s="524">
        <v>0</v>
      </c>
      <c r="CT32" s="416">
        <v>0</v>
      </c>
      <c r="CU32" s="97">
        <v>0</v>
      </c>
      <c r="CV32" s="97">
        <v>0</v>
      </c>
      <c r="CW32" s="97">
        <v>0</v>
      </c>
      <c r="CX32" s="98">
        <v>0</v>
      </c>
      <c r="CY32" s="392"/>
    </row>
    <row r="33" spans="1:110" ht="15.75" thickBot="1" x14ac:dyDescent="0.3">
      <c r="A33" s="100" t="s">
        <v>68</v>
      </c>
      <c r="B33" s="101" t="s">
        <v>308</v>
      </c>
      <c r="C33" s="102" t="s">
        <v>309</v>
      </c>
      <c r="D33" s="103"/>
      <c r="E33" s="104"/>
      <c r="F33" s="104"/>
      <c r="G33" s="104"/>
      <c r="H33" s="104"/>
      <c r="I33" s="104"/>
      <c r="J33" s="104"/>
      <c r="K33" s="104"/>
      <c r="L33" s="104"/>
      <c r="M33" s="655"/>
      <c r="N33" s="1066"/>
      <c r="O33" s="563">
        <f t="shared" si="25"/>
        <v>0</v>
      </c>
      <c r="P33" s="564">
        <f t="shared" si="0"/>
        <v>0</v>
      </c>
      <c r="Q33" s="564">
        <f t="shared" si="1"/>
        <v>0</v>
      </c>
      <c r="R33" s="564">
        <f t="shared" si="2"/>
        <v>0</v>
      </c>
      <c r="S33" s="564">
        <f t="shared" si="3"/>
        <v>0</v>
      </c>
      <c r="T33" s="564">
        <f t="shared" si="4"/>
        <v>0</v>
      </c>
      <c r="U33" s="564">
        <f t="shared" si="5"/>
        <v>0</v>
      </c>
      <c r="V33" s="564">
        <f t="shared" si="6"/>
        <v>0</v>
      </c>
      <c r="W33" s="676">
        <f t="shared" si="7"/>
        <v>0</v>
      </c>
      <c r="X33" s="676">
        <f t="shared" si="8"/>
        <v>0</v>
      </c>
      <c r="Y33" s="676">
        <f t="shared" si="8"/>
        <v>0</v>
      </c>
      <c r="Z33" s="105"/>
      <c r="AA33" s="106"/>
      <c r="AB33" s="106"/>
      <c r="AC33" s="106"/>
      <c r="AD33" s="106"/>
      <c r="AE33" s="106"/>
      <c r="AF33" s="106"/>
      <c r="AG33" s="106"/>
      <c r="AH33" s="106"/>
      <c r="AI33" s="1095"/>
      <c r="AJ33" s="666"/>
      <c r="AK33" s="107">
        <f t="shared" si="9"/>
        <v>0</v>
      </c>
      <c r="AL33" s="108" t="str" cm="1">
        <f t="array" aca="1" ref="AL33" ca="1">IFERROR(IF($AM$4="N",SSUM(AF33:AH33)/3,SUM(AG33:AI33)/3),"")</f>
        <v/>
      </c>
      <c r="AM33" s="109">
        <f t="shared" si="10"/>
        <v>0</v>
      </c>
      <c r="AN33" s="110" t="str">
        <f t="shared" si="11"/>
        <v/>
      </c>
      <c r="AO33" s="111" t="str">
        <f t="shared" si="12"/>
        <v/>
      </c>
      <c r="AP33" s="111" t="str">
        <f t="shared" si="13"/>
        <v/>
      </c>
      <c r="AQ33" s="111" t="str">
        <f t="shared" si="14"/>
        <v/>
      </c>
      <c r="AR33" s="111" t="str">
        <f t="shared" si="15"/>
        <v/>
      </c>
      <c r="AS33" s="111" t="str">
        <f t="shared" si="16"/>
        <v/>
      </c>
      <c r="AT33" s="111" t="str">
        <f t="shared" si="17"/>
        <v/>
      </c>
      <c r="AU33" s="111" t="str">
        <f t="shared" si="18"/>
        <v/>
      </c>
      <c r="AV33" s="111" t="str">
        <f t="shared" si="28"/>
        <v/>
      </c>
      <c r="AW33" s="111" t="str">
        <f t="shared" si="28"/>
        <v/>
      </c>
      <c r="AX33" s="111" t="str">
        <f t="shared" si="28"/>
        <v/>
      </c>
      <c r="AY33" s="112" t="str">
        <f t="shared" si="20"/>
        <v/>
      </c>
      <c r="AZ33" s="113" t="str">
        <f t="shared" si="21"/>
        <v/>
      </c>
      <c r="BA33" s="114" t="str">
        <f t="shared" si="22"/>
        <v/>
      </c>
      <c r="BB33" s="250" t="s">
        <v>422</v>
      </c>
      <c r="BC33" s="230" t="s">
        <v>433</v>
      </c>
      <c r="BD33" s="251">
        <v>0</v>
      </c>
      <c r="BE33" s="270">
        <f t="shared" si="26"/>
        <v>0</v>
      </c>
      <c r="BF33" s="271">
        <f t="shared" si="29"/>
        <v>0</v>
      </c>
      <c r="BG33" s="271">
        <f t="shared" si="29"/>
        <v>0</v>
      </c>
      <c r="BH33" s="271">
        <f t="shared" si="29"/>
        <v>1</v>
      </c>
      <c r="BI33" s="271">
        <f t="shared" si="29"/>
        <v>2</v>
      </c>
      <c r="BJ33" s="271">
        <f t="shared" si="29"/>
        <v>3</v>
      </c>
      <c r="BK33" s="271">
        <f t="shared" si="29"/>
        <v>4</v>
      </c>
      <c r="BL33" s="272">
        <f t="shared" si="29"/>
        <v>5</v>
      </c>
      <c r="BM33" s="257">
        <f>IF($BC33=Lookup!$A$2,$BD33*ROUNDUP(BE33/10,0)+1,
IF($BC33=Lookup!$A$3,($BD33+1)^BD33,
IF($BC33=Lookup!$A$4,BE33*$BD33+1,"Error")))</f>
        <v>1</v>
      </c>
      <c r="BN33" s="230">
        <f>IF($BC33=Lookup!$A$2,$BD33*ROUNDUP(BF33/10,0)+1,
IF($BC33=Lookup!$A$3,($BD33+1)^BE33,
IF($BC33=Lookup!$A$4,BF33*$BD33+1,"Error")))</f>
        <v>1</v>
      </c>
      <c r="BO33" s="230">
        <f>IF($BC33=Lookup!$A$2,$BD33*ROUNDUP(BG33/10,0)+1,
IF($BC33=Lookup!$A$3,($BD33+1)^BF33,
IF($BC33=Lookup!$A$4,BG33*$BD33+1,"Error")))</f>
        <v>1</v>
      </c>
      <c r="BP33" s="230">
        <f>IF($BC33=Lookup!$A$2,$BD33*ROUNDUP(BH33/10,0)+1,
IF($BC33=Lookup!$A$3,($BD33+1)^BG33,
IF($BC33=Lookup!$A$4,BH33*$BD33+1,"Error")))</f>
        <v>1</v>
      </c>
      <c r="BQ33" s="230">
        <f>IF($BC33=Lookup!$A$2,$BD33*ROUNDUP(BI33/10,0)+1,
IF($BC33=Lookup!$A$3,($BD33+1)^BH33,
IF($BC33=Lookup!$A$4,BI33*$BD33+1,"Error")))</f>
        <v>1</v>
      </c>
      <c r="BR33" s="230">
        <f>IF($BC33=Lookup!$A$2,$BD33*ROUNDUP(BJ33/10,0)+1,
IF($BC33=Lookup!$A$3,($BD33+1)^BI33,
IF($BC33=Lookup!$A$4,BJ33*$BD33+1,"Error")))</f>
        <v>1</v>
      </c>
      <c r="BS33" s="230">
        <f>IF($BC33=Lookup!$A$2,$BD33*ROUNDUP(BK33/10,0)+1,
IF($BC33=Lookup!$A$3,($BD33+1)^BJ33,
IF($BC33=Lookup!$A$4,BK33*$BD33+1,"Error")))</f>
        <v>1</v>
      </c>
      <c r="BT33" s="251">
        <f>IF($BC33=Lookup!$A$2,$BD33*ROUNDUP(BL33/10,0)+1,
IF($BC33=Lookup!$A$3,($BD33+1)^BK33,
IF($BC33=Lookup!$A$4,BL33*$BD33+1,"Error")))</f>
        <v>1</v>
      </c>
      <c r="BU33" s="322">
        <v>0</v>
      </c>
      <c r="BV33" s="323">
        <v>0</v>
      </c>
      <c r="BW33" s="323">
        <v>0</v>
      </c>
      <c r="BX33" s="322">
        <v>0</v>
      </c>
      <c r="BY33" s="323">
        <v>0</v>
      </c>
      <c r="BZ33" s="323">
        <v>0</v>
      </c>
      <c r="CA33" s="323">
        <v>0</v>
      </c>
      <c r="CB33" s="278">
        <v>0</v>
      </c>
      <c r="CC33" s="384" t="s">
        <v>292</v>
      </c>
      <c r="CD33" s="385">
        <f>HLOOKUP($CC33,$AK$6:$AM$132,ROWS(CD$6:CD33),0)</f>
        <v>0</v>
      </c>
      <c r="CE33" s="235">
        <f t="shared" si="27"/>
        <v>0</v>
      </c>
      <c r="CF33" s="115">
        <f t="shared" si="24"/>
        <v>0</v>
      </c>
      <c r="CG33" s="522">
        <f t="shared" si="24"/>
        <v>0</v>
      </c>
      <c r="CH33" s="422">
        <f t="shared" si="24"/>
        <v>0</v>
      </c>
      <c r="CI33" s="115">
        <f t="shared" si="24"/>
        <v>0</v>
      </c>
      <c r="CJ33" s="115">
        <f t="shared" si="24"/>
        <v>0</v>
      </c>
      <c r="CK33" s="115">
        <f t="shared" si="24"/>
        <v>0</v>
      </c>
      <c r="CL33" s="287">
        <f t="shared" si="24"/>
        <v>0</v>
      </c>
      <c r="CM33" s="308" t="s">
        <v>293</v>
      </c>
      <c r="CN33" s="316">
        <v>0.05</v>
      </c>
      <c r="CO33" s="309"/>
      <c r="CP33" s="310" t="str">
        <f>IF($CO33&lt;&gt;"",$CO33,HLOOKUP($CM33,$AY$6:$BA$132,ROWS(CP$6:CP33),0))</f>
        <v/>
      </c>
      <c r="CQ33" s="785">
        <v>0</v>
      </c>
      <c r="CR33" s="785">
        <v>0</v>
      </c>
      <c r="CS33" s="638">
        <v>0</v>
      </c>
      <c r="CT33" s="467">
        <v>0</v>
      </c>
      <c r="CU33" s="117">
        <v>0</v>
      </c>
      <c r="CV33" s="117">
        <v>0</v>
      </c>
      <c r="CW33" s="117">
        <v>0</v>
      </c>
      <c r="CX33" s="118">
        <v>0</v>
      </c>
      <c r="CY33" s="393"/>
    </row>
    <row r="34" spans="1:110" x14ac:dyDescent="0.25">
      <c r="A34" s="63" t="s">
        <v>81</v>
      </c>
      <c r="B34" s="334" t="s">
        <v>79</v>
      </c>
      <c r="C34" s="65" t="s">
        <v>305</v>
      </c>
      <c r="D34" s="66"/>
      <c r="E34" s="67"/>
      <c r="F34" s="67"/>
      <c r="G34" s="67"/>
      <c r="H34" s="67"/>
      <c r="I34" s="67"/>
      <c r="J34" s="67"/>
      <c r="K34" s="67"/>
      <c r="L34" s="67"/>
      <c r="M34" s="653"/>
      <c r="N34" s="1064"/>
      <c r="O34" s="557">
        <f t="shared" si="25"/>
        <v>0</v>
      </c>
      <c r="P34" s="558">
        <f t="shared" si="0"/>
        <v>0</v>
      </c>
      <c r="Q34" s="558">
        <f t="shared" si="1"/>
        <v>0</v>
      </c>
      <c r="R34" s="558">
        <f t="shared" si="2"/>
        <v>0</v>
      </c>
      <c r="S34" s="558">
        <f t="shared" si="3"/>
        <v>0</v>
      </c>
      <c r="T34" s="558">
        <f t="shared" si="4"/>
        <v>0</v>
      </c>
      <c r="U34" s="558">
        <f t="shared" si="5"/>
        <v>0</v>
      </c>
      <c r="V34" s="558">
        <f t="shared" si="6"/>
        <v>0</v>
      </c>
      <c r="W34" s="674">
        <f t="shared" si="7"/>
        <v>0</v>
      </c>
      <c r="X34" s="674">
        <f t="shared" si="8"/>
        <v>0</v>
      </c>
      <c r="Y34" s="674">
        <f t="shared" si="8"/>
        <v>0</v>
      </c>
      <c r="Z34" s="119"/>
      <c r="AA34" s="120"/>
      <c r="AB34" s="120"/>
      <c r="AC34" s="120"/>
      <c r="AD34" s="120"/>
      <c r="AE34" s="120"/>
      <c r="AF34" s="120"/>
      <c r="AG34" s="120"/>
      <c r="AH34" s="120"/>
      <c r="AI34" s="1096"/>
      <c r="AJ34" s="667"/>
      <c r="AK34" s="121">
        <f t="shared" si="9"/>
        <v>0</v>
      </c>
      <c r="AL34" s="122" t="str" cm="1">
        <f t="array" aca="1" ref="AL34" ca="1">IFERROR(IF($AM$4="N",SSUM(AF34:AH34)/3,SUM(AG34:AI34)/3),"")</f>
        <v/>
      </c>
      <c r="AM34" s="123">
        <f t="shared" si="10"/>
        <v>0</v>
      </c>
      <c r="AN34" s="73" t="str">
        <f t="shared" si="11"/>
        <v/>
      </c>
      <c r="AO34" s="74" t="str">
        <f t="shared" si="12"/>
        <v/>
      </c>
      <c r="AP34" s="74" t="str">
        <f t="shared" si="13"/>
        <v/>
      </c>
      <c r="AQ34" s="74" t="str">
        <f t="shared" si="14"/>
        <v/>
      </c>
      <c r="AR34" s="74" t="str">
        <f t="shared" si="15"/>
        <v/>
      </c>
      <c r="AS34" s="74" t="str">
        <f t="shared" si="16"/>
        <v/>
      </c>
      <c r="AT34" s="74" t="str">
        <f t="shared" si="17"/>
        <v/>
      </c>
      <c r="AU34" s="74" t="str">
        <f t="shared" si="18"/>
        <v/>
      </c>
      <c r="AV34" s="74" t="str">
        <f t="shared" si="28"/>
        <v/>
      </c>
      <c r="AW34" s="74" t="str">
        <f t="shared" si="28"/>
        <v/>
      </c>
      <c r="AX34" s="74" t="str">
        <f t="shared" si="28"/>
        <v/>
      </c>
      <c r="AY34" s="75" t="str">
        <f t="shared" si="20"/>
        <v/>
      </c>
      <c r="AZ34" s="76" t="str">
        <f t="shared" si="21"/>
        <v/>
      </c>
      <c r="BA34" s="77" t="str">
        <f t="shared" si="22"/>
        <v/>
      </c>
      <c r="BB34" s="246" t="s">
        <v>422</v>
      </c>
      <c r="BC34" s="228" t="s">
        <v>433</v>
      </c>
      <c r="BD34" s="247">
        <v>0</v>
      </c>
      <c r="BE34" s="264">
        <f t="shared" si="26"/>
        <v>0</v>
      </c>
      <c r="BF34" s="265">
        <f t="shared" si="29"/>
        <v>0</v>
      </c>
      <c r="BG34" s="265">
        <f t="shared" si="29"/>
        <v>0</v>
      </c>
      <c r="BH34" s="265">
        <f t="shared" si="29"/>
        <v>1</v>
      </c>
      <c r="BI34" s="265">
        <f t="shared" si="29"/>
        <v>2</v>
      </c>
      <c r="BJ34" s="265">
        <f t="shared" si="29"/>
        <v>3</v>
      </c>
      <c r="BK34" s="265">
        <f t="shared" si="29"/>
        <v>4</v>
      </c>
      <c r="BL34" s="266">
        <f t="shared" si="29"/>
        <v>5</v>
      </c>
      <c r="BM34" s="255">
        <f>IF($BC34=Lookup!$A$2,$BD34*ROUNDUP(BE34/10,0)+1,
IF($BC34=Lookup!$A$3,($BD34+1)^BD34,
IF($BC34=Lookup!$A$4,BE34*$BD34+1,"Error")))</f>
        <v>1</v>
      </c>
      <c r="BN34" s="228">
        <f>IF($BC34=Lookup!$A$2,$BD34*ROUNDUP(BF34/10,0)+1,
IF($BC34=Lookup!$A$3,($BD34+1)^BE34,
IF($BC34=Lookup!$A$4,BF34*$BD34+1,"Error")))</f>
        <v>1</v>
      </c>
      <c r="BO34" s="228">
        <f>IF($BC34=Lookup!$A$2,$BD34*ROUNDUP(BG34/10,0)+1,
IF($BC34=Lookup!$A$3,($BD34+1)^BF34,
IF($BC34=Lookup!$A$4,BG34*$BD34+1,"Error")))</f>
        <v>1</v>
      </c>
      <c r="BP34" s="228">
        <f>IF($BC34=Lookup!$A$2,$BD34*ROUNDUP(BH34/10,0)+1,
IF($BC34=Lookup!$A$3,($BD34+1)^BG34,
IF($BC34=Lookup!$A$4,BH34*$BD34+1,"Error")))</f>
        <v>1</v>
      </c>
      <c r="BQ34" s="228">
        <f>IF($BC34=Lookup!$A$2,$BD34*ROUNDUP(BI34/10,0)+1,
IF($BC34=Lookup!$A$3,($BD34+1)^BH34,
IF($BC34=Lookup!$A$4,BI34*$BD34+1,"Error")))</f>
        <v>1</v>
      </c>
      <c r="BR34" s="228">
        <f>IF($BC34=Lookup!$A$2,$BD34*ROUNDUP(BJ34/10,0)+1,
IF($BC34=Lookup!$A$3,($BD34+1)^BI34,
IF($BC34=Lookup!$A$4,BJ34*$BD34+1,"Error")))</f>
        <v>1</v>
      </c>
      <c r="BS34" s="228">
        <f>IF($BC34=Lookup!$A$2,$BD34*ROUNDUP(BK34/10,0)+1,
IF($BC34=Lookup!$A$3,($BD34+1)^BJ34,
IF($BC34=Lookup!$A$4,BK34*$BD34+1,"Error")))</f>
        <v>1</v>
      </c>
      <c r="BT34" s="247">
        <f>IF($BC34=Lookup!$A$2,$BD34*ROUNDUP(BL34/10,0)+1,
IF($BC34=Lookup!$A$3,($BD34+1)^BK34,
IF($BC34=Lookup!$A$4,BL34*$BD34+1,"Error")))</f>
        <v>1</v>
      </c>
      <c r="BU34" s="396">
        <v>0</v>
      </c>
      <c r="BV34" s="354">
        <v>0</v>
      </c>
      <c r="BW34" s="354">
        <v>0</v>
      </c>
      <c r="BX34" s="396">
        <v>0</v>
      </c>
      <c r="BY34" s="354">
        <v>0</v>
      </c>
      <c r="BZ34" s="354">
        <v>0</v>
      </c>
      <c r="CA34" s="354">
        <v>0</v>
      </c>
      <c r="CB34" s="397">
        <v>0</v>
      </c>
      <c r="CC34" s="380" t="s">
        <v>292</v>
      </c>
      <c r="CD34" s="381">
        <f>HLOOKUP($CC34,$AK$6:$AM$132,ROWS(CD$6:CD34),0)</f>
        <v>0</v>
      </c>
      <c r="CE34" s="359">
        <f t="shared" si="27"/>
        <v>0</v>
      </c>
      <c r="CF34" s="360">
        <f t="shared" si="24"/>
        <v>0</v>
      </c>
      <c r="CG34" s="798">
        <f t="shared" si="24"/>
        <v>0</v>
      </c>
      <c r="CH34" s="807">
        <f t="shared" si="24"/>
        <v>0</v>
      </c>
      <c r="CI34" s="360">
        <f t="shared" si="24"/>
        <v>0</v>
      </c>
      <c r="CJ34" s="360">
        <f t="shared" si="24"/>
        <v>0</v>
      </c>
      <c r="CK34" s="360">
        <f t="shared" si="24"/>
        <v>0</v>
      </c>
      <c r="CL34" s="361">
        <f t="shared" si="24"/>
        <v>0</v>
      </c>
      <c r="CM34" s="302" t="s">
        <v>293</v>
      </c>
      <c r="CN34" s="314">
        <v>0.05</v>
      </c>
      <c r="CO34" s="303"/>
      <c r="CP34" s="304" t="str">
        <f>IF($CO34&lt;&gt;"",$CO34,HLOOKUP($CM34,$AY$6:$BA$132,ROWS(CP$6:CP34),0))</f>
        <v/>
      </c>
      <c r="CQ34" s="783">
        <v>0</v>
      </c>
      <c r="CR34" s="783">
        <v>0</v>
      </c>
      <c r="CS34" s="523">
        <v>0</v>
      </c>
      <c r="CT34" s="415">
        <v>0</v>
      </c>
      <c r="CU34" s="79">
        <v>0</v>
      </c>
      <c r="CV34" s="79">
        <v>0</v>
      </c>
      <c r="CW34" s="79">
        <v>0</v>
      </c>
      <c r="CX34" s="80">
        <v>0</v>
      </c>
      <c r="CY34" s="391"/>
    </row>
    <row r="35" spans="1:110" x14ac:dyDescent="0.25">
      <c r="A35" s="81" t="s">
        <v>81</v>
      </c>
      <c r="B35" s="82" t="s">
        <v>82</v>
      </c>
      <c r="C35" s="83" t="s">
        <v>70</v>
      </c>
      <c r="D35" s="84"/>
      <c r="E35" s="85"/>
      <c r="F35" s="85"/>
      <c r="G35" s="85"/>
      <c r="H35" s="85"/>
      <c r="I35" s="85"/>
      <c r="J35" s="85"/>
      <c r="K35" s="85"/>
      <c r="L35" s="85"/>
      <c r="M35" s="654"/>
      <c r="N35" s="1065"/>
      <c r="O35" s="560">
        <f t="shared" si="25"/>
        <v>0</v>
      </c>
      <c r="P35" s="561">
        <f t="shared" si="0"/>
        <v>0</v>
      </c>
      <c r="Q35" s="561">
        <f t="shared" si="1"/>
        <v>0</v>
      </c>
      <c r="R35" s="561">
        <f t="shared" si="2"/>
        <v>0</v>
      </c>
      <c r="S35" s="561">
        <f t="shared" si="3"/>
        <v>0</v>
      </c>
      <c r="T35" s="561">
        <f t="shared" si="4"/>
        <v>0</v>
      </c>
      <c r="U35" s="561">
        <f t="shared" si="5"/>
        <v>0</v>
      </c>
      <c r="V35" s="561">
        <f t="shared" si="6"/>
        <v>0</v>
      </c>
      <c r="W35" s="675">
        <f t="shared" si="7"/>
        <v>0</v>
      </c>
      <c r="X35" s="675">
        <f t="shared" si="8"/>
        <v>0</v>
      </c>
      <c r="Y35" s="675">
        <f t="shared" si="8"/>
        <v>0</v>
      </c>
      <c r="Z35" s="125"/>
      <c r="AA35" s="126"/>
      <c r="AB35" s="126"/>
      <c r="AC35" s="126"/>
      <c r="AD35" s="126"/>
      <c r="AE35" s="126"/>
      <c r="AF35" s="126"/>
      <c r="AG35" s="126"/>
      <c r="AH35" s="126"/>
      <c r="AI35" s="1097"/>
      <c r="AJ35" s="668"/>
      <c r="AK35" s="127">
        <f t="shared" si="9"/>
        <v>0</v>
      </c>
      <c r="AL35" s="128" t="str" cm="1">
        <f t="array" aca="1" ref="AL35" ca="1">IFERROR(IF($AM$4="N",SSUM(AF35:AH35)/3,SUM(AG35:AI35)/3),"")</f>
        <v/>
      </c>
      <c r="AM35" s="129">
        <f t="shared" si="10"/>
        <v>0</v>
      </c>
      <c r="AN35" s="91" t="str">
        <f t="shared" si="11"/>
        <v/>
      </c>
      <c r="AO35" s="92" t="str">
        <f t="shared" si="12"/>
        <v/>
      </c>
      <c r="AP35" s="92" t="str">
        <f t="shared" si="13"/>
        <v/>
      </c>
      <c r="AQ35" s="92" t="str">
        <f t="shared" si="14"/>
        <v/>
      </c>
      <c r="AR35" s="92" t="str">
        <f t="shared" si="15"/>
        <v/>
      </c>
      <c r="AS35" s="92" t="str">
        <f t="shared" si="16"/>
        <v/>
      </c>
      <c r="AT35" s="92" t="str">
        <f t="shared" si="17"/>
        <v/>
      </c>
      <c r="AU35" s="92" t="str">
        <f t="shared" si="18"/>
        <v/>
      </c>
      <c r="AV35" s="92" t="str">
        <f t="shared" si="28"/>
        <v/>
      </c>
      <c r="AW35" s="92" t="str">
        <f t="shared" si="28"/>
        <v/>
      </c>
      <c r="AX35" s="92" t="str">
        <f t="shared" si="28"/>
        <v/>
      </c>
      <c r="AY35" s="93" t="str">
        <f t="shared" si="20"/>
        <v/>
      </c>
      <c r="AZ35" s="94" t="str">
        <f t="shared" si="21"/>
        <v/>
      </c>
      <c r="BA35" s="95" t="str">
        <f t="shared" si="22"/>
        <v/>
      </c>
      <c r="BB35" s="248" t="s">
        <v>422</v>
      </c>
      <c r="BC35" s="229" t="s">
        <v>433</v>
      </c>
      <c r="BD35" s="249">
        <v>0</v>
      </c>
      <c r="BE35" s="267">
        <f t="shared" si="26"/>
        <v>0</v>
      </c>
      <c r="BF35" s="268">
        <f t="shared" si="29"/>
        <v>0</v>
      </c>
      <c r="BG35" s="268">
        <f t="shared" si="29"/>
        <v>0</v>
      </c>
      <c r="BH35" s="268">
        <f t="shared" si="29"/>
        <v>1</v>
      </c>
      <c r="BI35" s="268">
        <f t="shared" si="29"/>
        <v>2</v>
      </c>
      <c r="BJ35" s="268">
        <f t="shared" si="29"/>
        <v>3</v>
      </c>
      <c r="BK35" s="268">
        <f t="shared" si="29"/>
        <v>4</v>
      </c>
      <c r="BL35" s="269">
        <f t="shared" si="29"/>
        <v>5</v>
      </c>
      <c r="BM35" s="256">
        <f>IF($BC35=Lookup!$A$2,$BD35*ROUNDUP(BE35/10,0)+1,
IF($BC35=Lookup!$A$3,($BD35+1)^BD35,
IF($BC35=Lookup!$A$4,BE35*$BD35+1,"Error")))</f>
        <v>1</v>
      </c>
      <c r="BN35" s="229">
        <f>IF($BC35=Lookup!$A$2,$BD35*ROUNDUP(BF35/10,0)+1,
IF($BC35=Lookup!$A$3,($BD35+1)^BE35,
IF($BC35=Lookup!$A$4,BF35*$BD35+1,"Error")))</f>
        <v>1</v>
      </c>
      <c r="BO35" s="229">
        <f>IF($BC35=Lookup!$A$2,$BD35*ROUNDUP(BG35/10,0)+1,
IF($BC35=Lookup!$A$3,($BD35+1)^BF35,
IF($BC35=Lookup!$A$4,BG35*$BD35+1,"Error")))</f>
        <v>1</v>
      </c>
      <c r="BP35" s="229">
        <f>IF($BC35=Lookup!$A$2,$BD35*ROUNDUP(BH35/10,0)+1,
IF($BC35=Lookup!$A$3,($BD35+1)^BG35,
IF($BC35=Lookup!$A$4,BH35*$BD35+1,"Error")))</f>
        <v>1</v>
      </c>
      <c r="BQ35" s="229">
        <f>IF($BC35=Lookup!$A$2,$BD35*ROUNDUP(BI35/10,0)+1,
IF($BC35=Lookup!$A$3,($BD35+1)^BH35,
IF($BC35=Lookup!$A$4,BI35*$BD35+1,"Error")))</f>
        <v>1</v>
      </c>
      <c r="BR35" s="229">
        <f>IF($BC35=Lookup!$A$2,$BD35*ROUNDUP(BJ35/10,0)+1,
IF($BC35=Lookup!$A$3,($BD35+1)^BI35,
IF($BC35=Lookup!$A$4,BJ35*$BD35+1,"Error")))</f>
        <v>1</v>
      </c>
      <c r="BS35" s="229">
        <f>IF($BC35=Lookup!$A$2,$BD35*ROUNDUP(BK35/10,0)+1,
IF($BC35=Lookup!$A$3,($BD35+1)^BJ35,
IF($BC35=Lookup!$A$4,BK35*$BD35+1,"Error")))</f>
        <v>1</v>
      </c>
      <c r="BT35" s="249">
        <f>IF($BC35=Lookup!$A$2,$BD35*ROUNDUP(BL35/10,0)+1,
IF($BC35=Lookup!$A$3,($BD35+1)^BK35,
IF($BC35=Lookup!$A$4,BL35*$BD35+1,"Error")))</f>
        <v>1</v>
      </c>
      <c r="BU35" s="398">
        <v>0</v>
      </c>
      <c r="BV35" s="356">
        <v>0</v>
      </c>
      <c r="BW35" s="356">
        <v>0</v>
      </c>
      <c r="BX35" s="398">
        <v>0</v>
      </c>
      <c r="BY35" s="356">
        <v>0</v>
      </c>
      <c r="BZ35" s="356">
        <v>0</v>
      </c>
      <c r="CA35" s="356">
        <v>0</v>
      </c>
      <c r="CB35" s="399">
        <v>0</v>
      </c>
      <c r="CC35" s="382" t="s">
        <v>292</v>
      </c>
      <c r="CD35" s="383">
        <f>HLOOKUP($CC35,$AK$6:$AM$132,ROWS(CD$6:CD35),0)</f>
        <v>0</v>
      </c>
      <c r="CE35" s="362">
        <f t="shared" si="27"/>
        <v>0</v>
      </c>
      <c r="CF35" s="363">
        <f t="shared" si="24"/>
        <v>0</v>
      </c>
      <c r="CG35" s="799">
        <f t="shared" si="24"/>
        <v>0</v>
      </c>
      <c r="CH35" s="808">
        <f t="shared" si="24"/>
        <v>0</v>
      </c>
      <c r="CI35" s="363">
        <f t="shared" si="24"/>
        <v>0</v>
      </c>
      <c r="CJ35" s="363">
        <f t="shared" si="24"/>
        <v>0</v>
      </c>
      <c r="CK35" s="363">
        <f t="shared" si="24"/>
        <v>0</v>
      </c>
      <c r="CL35" s="364">
        <f t="shared" si="24"/>
        <v>0</v>
      </c>
      <c r="CM35" s="305" t="s">
        <v>293</v>
      </c>
      <c r="CN35" s="315">
        <v>0.05</v>
      </c>
      <c r="CO35" s="306"/>
      <c r="CP35" s="307" t="str">
        <f>IF($CO35&lt;&gt;"",$CO35,HLOOKUP($CM35,$AY$6:$BA$132,ROWS(CP$6:CP35),0))</f>
        <v/>
      </c>
      <c r="CQ35" s="784">
        <v>0</v>
      </c>
      <c r="CR35" s="784">
        <v>0</v>
      </c>
      <c r="CS35" s="524">
        <v>0</v>
      </c>
      <c r="CT35" s="416">
        <v>0</v>
      </c>
      <c r="CU35" s="97">
        <v>0</v>
      </c>
      <c r="CV35" s="97">
        <v>0</v>
      </c>
      <c r="CW35" s="97">
        <v>0</v>
      </c>
      <c r="CX35" s="98">
        <v>0</v>
      </c>
      <c r="CY35" s="392"/>
    </row>
    <row r="36" spans="1:110" x14ac:dyDescent="0.25">
      <c r="A36" s="81" t="s">
        <v>81</v>
      </c>
      <c r="B36" s="82" t="s">
        <v>83</v>
      </c>
      <c r="C36" s="83" t="s">
        <v>312</v>
      </c>
      <c r="D36" s="84"/>
      <c r="E36" s="85"/>
      <c r="F36" s="85"/>
      <c r="G36" s="85"/>
      <c r="H36" s="85"/>
      <c r="I36" s="85"/>
      <c r="J36" s="85"/>
      <c r="K36" s="85"/>
      <c r="L36" s="85"/>
      <c r="M36" s="654"/>
      <c r="N36" s="1065"/>
      <c r="O36" s="560">
        <f t="shared" si="25"/>
        <v>0</v>
      </c>
      <c r="P36" s="561">
        <f t="shared" si="0"/>
        <v>0</v>
      </c>
      <c r="Q36" s="561">
        <f t="shared" si="1"/>
        <v>0</v>
      </c>
      <c r="R36" s="561">
        <f t="shared" si="2"/>
        <v>0</v>
      </c>
      <c r="S36" s="561">
        <f t="shared" si="3"/>
        <v>0</v>
      </c>
      <c r="T36" s="561">
        <f t="shared" si="4"/>
        <v>0</v>
      </c>
      <c r="U36" s="561">
        <f t="shared" si="5"/>
        <v>0</v>
      </c>
      <c r="V36" s="561">
        <f t="shared" si="6"/>
        <v>0</v>
      </c>
      <c r="W36" s="675">
        <f t="shared" si="7"/>
        <v>0</v>
      </c>
      <c r="X36" s="675">
        <f t="shared" si="8"/>
        <v>0</v>
      </c>
      <c r="Y36" s="675">
        <f t="shared" si="8"/>
        <v>0</v>
      </c>
      <c r="Z36" s="125"/>
      <c r="AA36" s="126"/>
      <c r="AB36" s="126"/>
      <c r="AC36" s="126"/>
      <c r="AD36" s="126"/>
      <c r="AE36" s="126"/>
      <c r="AF36" s="126"/>
      <c r="AG36" s="126"/>
      <c r="AH36" s="126"/>
      <c r="AI36" s="1097"/>
      <c r="AJ36" s="668"/>
      <c r="AK36" s="127">
        <f t="shared" si="9"/>
        <v>0</v>
      </c>
      <c r="AL36" s="128" t="str" cm="1">
        <f t="array" aca="1" ref="AL36" ca="1">IFERROR(IF($AM$4="N",SSUM(AF36:AH36)/3,SUM(AG36:AI36)/3),"")</f>
        <v/>
      </c>
      <c r="AM36" s="129">
        <f t="shared" si="10"/>
        <v>0</v>
      </c>
      <c r="AN36" s="91" t="str">
        <f t="shared" si="11"/>
        <v/>
      </c>
      <c r="AO36" s="92" t="str">
        <f t="shared" si="12"/>
        <v/>
      </c>
      <c r="AP36" s="92" t="str">
        <f t="shared" si="13"/>
        <v/>
      </c>
      <c r="AQ36" s="92" t="str">
        <f t="shared" si="14"/>
        <v/>
      </c>
      <c r="AR36" s="92" t="str">
        <f t="shared" si="15"/>
        <v/>
      </c>
      <c r="AS36" s="92" t="str">
        <f t="shared" si="16"/>
        <v/>
      </c>
      <c r="AT36" s="92" t="str">
        <f t="shared" si="17"/>
        <v/>
      </c>
      <c r="AU36" s="92" t="str">
        <f t="shared" si="18"/>
        <v/>
      </c>
      <c r="AV36" s="92" t="str">
        <f t="shared" si="28"/>
        <v/>
      </c>
      <c r="AW36" s="92" t="str">
        <f t="shared" si="28"/>
        <v/>
      </c>
      <c r="AX36" s="92" t="str">
        <f t="shared" si="28"/>
        <v/>
      </c>
      <c r="AY36" s="93" t="str">
        <f t="shared" si="20"/>
        <v/>
      </c>
      <c r="AZ36" s="94" t="str">
        <f t="shared" si="21"/>
        <v/>
      </c>
      <c r="BA36" s="95" t="str">
        <f t="shared" si="22"/>
        <v/>
      </c>
      <c r="BB36" s="248" t="s">
        <v>422</v>
      </c>
      <c r="BC36" s="229" t="s">
        <v>433</v>
      </c>
      <c r="BD36" s="249">
        <v>0</v>
      </c>
      <c r="BE36" s="267">
        <f t="shared" si="26"/>
        <v>0</v>
      </c>
      <c r="BF36" s="268">
        <f t="shared" si="29"/>
        <v>0</v>
      </c>
      <c r="BG36" s="268">
        <f t="shared" si="29"/>
        <v>0</v>
      </c>
      <c r="BH36" s="268">
        <f t="shared" si="29"/>
        <v>1</v>
      </c>
      <c r="BI36" s="268">
        <f t="shared" si="29"/>
        <v>2</v>
      </c>
      <c r="BJ36" s="268">
        <f t="shared" si="29"/>
        <v>3</v>
      </c>
      <c r="BK36" s="268">
        <f t="shared" si="29"/>
        <v>4</v>
      </c>
      <c r="BL36" s="269">
        <f t="shared" si="29"/>
        <v>5</v>
      </c>
      <c r="BM36" s="256">
        <f>IF($BC36=Lookup!$A$2,$BD36*ROUNDUP(BE36/10,0)+1,
IF($BC36=Lookup!$A$3,($BD36+1)^BD36,
IF($BC36=Lookup!$A$4,BE36*$BD36+1,"Error")))</f>
        <v>1</v>
      </c>
      <c r="BN36" s="229">
        <f>IF($BC36=Lookup!$A$2,$BD36*ROUNDUP(BF36/10,0)+1,
IF($BC36=Lookup!$A$3,($BD36+1)^BE36,
IF($BC36=Lookup!$A$4,BF36*$BD36+1,"Error")))</f>
        <v>1</v>
      </c>
      <c r="BO36" s="229">
        <f>IF($BC36=Lookup!$A$2,$BD36*ROUNDUP(BG36/10,0)+1,
IF($BC36=Lookup!$A$3,($BD36+1)^BF36,
IF($BC36=Lookup!$A$4,BG36*$BD36+1,"Error")))</f>
        <v>1</v>
      </c>
      <c r="BP36" s="229">
        <f>IF($BC36=Lookup!$A$2,$BD36*ROUNDUP(BH36/10,0)+1,
IF($BC36=Lookup!$A$3,($BD36+1)^BG36,
IF($BC36=Lookup!$A$4,BH36*$BD36+1,"Error")))</f>
        <v>1</v>
      </c>
      <c r="BQ36" s="229">
        <f>IF($BC36=Lookup!$A$2,$BD36*ROUNDUP(BI36/10,0)+1,
IF($BC36=Lookup!$A$3,($BD36+1)^BH36,
IF($BC36=Lookup!$A$4,BI36*$BD36+1,"Error")))</f>
        <v>1</v>
      </c>
      <c r="BR36" s="229">
        <f>IF($BC36=Lookup!$A$2,$BD36*ROUNDUP(BJ36/10,0)+1,
IF($BC36=Lookup!$A$3,($BD36+1)^BI36,
IF($BC36=Lookup!$A$4,BJ36*$BD36+1,"Error")))</f>
        <v>1</v>
      </c>
      <c r="BS36" s="229">
        <f>IF($BC36=Lookup!$A$2,$BD36*ROUNDUP(BK36/10,0)+1,
IF($BC36=Lookup!$A$3,($BD36+1)^BJ36,
IF($BC36=Lookup!$A$4,BK36*$BD36+1,"Error")))</f>
        <v>1</v>
      </c>
      <c r="BT36" s="249">
        <f>IF($BC36=Lookup!$A$2,$BD36*ROUNDUP(BL36/10,0)+1,
IF($BC36=Lookup!$A$3,($BD36+1)^BK36,
IF($BC36=Lookup!$A$4,BL36*$BD36+1,"Error")))</f>
        <v>1</v>
      </c>
      <c r="BU36" s="398">
        <v>0</v>
      </c>
      <c r="BV36" s="356">
        <v>0</v>
      </c>
      <c r="BW36" s="356">
        <v>0</v>
      </c>
      <c r="BX36" s="398">
        <v>0</v>
      </c>
      <c r="BY36" s="356">
        <v>0</v>
      </c>
      <c r="BZ36" s="356">
        <v>0</v>
      </c>
      <c r="CA36" s="356">
        <v>0</v>
      </c>
      <c r="CB36" s="399">
        <v>0</v>
      </c>
      <c r="CC36" s="382" t="s">
        <v>292</v>
      </c>
      <c r="CD36" s="383">
        <f>HLOOKUP($CC36,$AK$6:$AM$132,ROWS(CD$6:CD36),0)</f>
        <v>0</v>
      </c>
      <c r="CE36" s="362">
        <f t="shared" si="27"/>
        <v>0</v>
      </c>
      <c r="CF36" s="363">
        <f t="shared" si="24"/>
        <v>0</v>
      </c>
      <c r="CG36" s="799">
        <f t="shared" si="24"/>
        <v>0</v>
      </c>
      <c r="CH36" s="808">
        <f t="shared" si="24"/>
        <v>0</v>
      </c>
      <c r="CI36" s="363">
        <f t="shared" si="24"/>
        <v>0</v>
      </c>
      <c r="CJ36" s="363">
        <f t="shared" si="24"/>
        <v>0</v>
      </c>
      <c r="CK36" s="363">
        <f t="shared" si="24"/>
        <v>0</v>
      </c>
      <c r="CL36" s="364">
        <f t="shared" si="24"/>
        <v>0</v>
      </c>
      <c r="CM36" s="305" t="s">
        <v>293</v>
      </c>
      <c r="CN36" s="315">
        <v>0.05</v>
      </c>
      <c r="CO36" s="306"/>
      <c r="CP36" s="307" t="str">
        <f>IF($CO36&lt;&gt;"",$CO36,HLOOKUP($CM36,$AY$6:$BA$132,ROWS(CP$6:CP36),0))</f>
        <v/>
      </c>
      <c r="CQ36" s="784">
        <v>0</v>
      </c>
      <c r="CR36" s="784">
        <v>0</v>
      </c>
      <c r="CS36" s="524">
        <v>0</v>
      </c>
      <c r="CT36" s="416">
        <v>0</v>
      </c>
      <c r="CU36" s="97">
        <v>0</v>
      </c>
      <c r="CV36" s="97">
        <v>0</v>
      </c>
      <c r="CW36" s="97">
        <v>0</v>
      </c>
      <c r="CX36" s="98">
        <v>0</v>
      </c>
      <c r="CY36" s="392"/>
    </row>
    <row r="37" spans="1:110" x14ac:dyDescent="0.25">
      <c r="A37" s="81" t="s">
        <v>81</v>
      </c>
      <c r="B37" s="82" t="s">
        <v>85</v>
      </c>
      <c r="C37" s="83" t="s">
        <v>314</v>
      </c>
      <c r="D37" s="84"/>
      <c r="E37" s="85"/>
      <c r="F37" s="85"/>
      <c r="G37" s="85"/>
      <c r="H37" s="85"/>
      <c r="I37" s="85"/>
      <c r="J37" s="85"/>
      <c r="K37" s="85"/>
      <c r="L37" s="85"/>
      <c r="M37" s="654"/>
      <c r="N37" s="1065"/>
      <c r="O37" s="560">
        <f t="shared" si="25"/>
        <v>0</v>
      </c>
      <c r="P37" s="561">
        <f t="shared" si="0"/>
        <v>0</v>
      </c>
      <c r="Q37" s="561">
        <f t="shared" si="1"/>
        <v>0</v>
      </c>
      <c r="R37" s="561">
        <f t="shared" si="2"/>
        <v>0</v>
      </c>
      <c r="S37" s="561">
        <f t="shared" si="3"/>
        <v>0</v>
      </c>
      <c r="T37" s="561">
        <f t="shared" si="4"/>
        <v>0</v>
      </c>
      <c r="U37" s="561">
        <f t="shared" si="5"/>
        <v>0</v>
      </c>
      <c r="V37" s="561">
        <f t="shared" si="6"/>
        <v>0</v>
      </c>
      <c r="W37" s="675">
        <f t="shared" si="7"/>
        <v>0</v>
      </c>
      <c r="X37" s="675">
        <f t="shared" si="8"/>
        <v>0</v>
      </c>
      <c r="Y37" s="675">
        <f t="shared" si="8"/>
        <v>0</v>
      </c>
      <c r="Z37" s="125"/>
      <c r="AA37" s="126"/>
      <c r="AB37" s="126"/>
      <c r="AC37" s="126"/>
      <c r="AD37" s="126"/>
      <c r="AE37" s="126"/>
      <c r="AF37" s="126"/>
      <c r="AG37" s="126"/>
      <c r="AH37" s="126"/>
      <c r="AI37" s="1097"/>
      <c r="AJ37" s="668"/>
      <c r="AK37" s="127">
        <f t="shared" si="9"/>
        <v>0</v>
      </c>
      <c r="AL37" s="128" t="str" cm="1">
        <f t="array" aca="1" ref="AL37" ca="1">IFERROR(IF($AM$4="N",SSUM(AF37:AH37)/3,SUM(AG37:AI37)/3),"")</f>
        <v/>
      </c>
      <c r="AM37" s="129">
        <f t="shared" si="10"/>
        <v>0</v>
      </c>
      <c r="AN37" s="91" t="str">
        <f t="shared" si="11"/>
        <v/>
      </c>
      <c r="AO37" s="92" t="str">
        <f t="shared" si="12"/>
        <v/>
      </c>
      <c r="AP37" s="92" t="str">
        <f t="shared" si="13"/>
        <v/>
      </c>
      <c r="AQ37" s="92" t="str">
        <f t="shared" si="14"/>
        <v/>
      </c>
      <c r="AR37" s="92" t="str">
        <f t="shared" si="15"/>
        <v/>
      </c>
      <c r="AS37" s="92" t="str">
        <f t="shared" si="16"/>
        <v/>
      </c>
      <c r="AT37" s="92" t="str">
        <f t="shared" si="17"/>
        <v/>
      </c>
      <c r="AU37" s="92" t="str">
        <f t="shared" si="18"/>
        <v/>
      </c>
      <c r="AV37" s="92" t="str">
        <f t="shared" si="28"/>
        <v/>
      </c>
      <c r="AW37" s="92" t="str">
        <f t="shared" si="28"/>
        <v/>
      </c>
      <c r="AX37" s="92" t="str">
        <f t="shared" si="28"/>
        <v/>
      </c>
      <c r="AY37" s="93" t="str">
        <f t="shared" si="20"/>
        <v/>
      </c>
      <c r="AZ37" s="94" t="str">
        <f t="shared" si="21"/>
        <v/>
      </c>
      <c r="BA37" s="95" t="str">
        <f t="shared" si="22"/>
        <v/>
      </c>
      <c r="BB37" s="248" t="s">
        <v>422</v>
      </c>
      <c r="BC37" s="229" t="s">
        <v>433</v>
      </c>
      <c r="BD37" s="249">
        <v>0</v>
      </c>
      <c r="BE37" s="267">
        <f t="shared" si="26"/>
        <v>0</v>
      </c>
      <c r="BF37" s="268">
        <f t="shared" si="29"/>
        <v>0</v>
      </c>
      <c r="BG37" s="268">
        <f t="shared" si="29"/>
        <v>0</v>
      </c>
      <c r="BH37" s="268">
        <f t="shared" si="29"/>
        <v>1</v>
      </c>
      <c r="BI37" s="268">
        <f t="shared" si="29"/>
        <v>2</v>
      </c>
      <c r="BJ37" s="268">
        <f t="shared" si="29"/>
        <v>3</v>
      </c>
      <c r="BK37" s="268">
        <f t="shared" si="29"/>
        <v>4</v>
      </c>
      <c r="BL37" s="269">
        <f t="shared" si="29"/>
        <v>5</v>
      </c>
      <c r="BM37" s="256">
        <f>IF($BC37=Lookup!$A$2,$BD37*ROUNDUP(BE37/10,0)+1,
IF($BC37=Lookup!$A$3,($BD37+1)^BD37,
IF($BC37=Lookup!$A$4,BE37*$BD37+1,"Error")))</f>
        <v>1</v>
      </c>
      <c r="BN37" s="229">
        <f>IF($BC37=Lookup!$A$2,$BD37*ROUNDUP(BF37/10,0)+1,
IF($BC37=Lookup!$A$3,($BD37+1)^BE37,
IF($BC37=Lookup!$A$4,BF37*$BD37+1,"Error")))</f>
        <v>1</v>
      </c>
      <c r="BO37" s="229">
        <f>IF($BC37=Lookup!$A$2,$BD37*ROUNDUP(BG37/10,0)+1,
IF($BC37=Lookup!$A$3,($BD37+1)^BF37,
IF($BC37=Lookup!$A$4,BG37*$BD37+1,"Error")))</f>
        <v>1</v>
      </c>
      <c r="BP37" s="229">
        <f>IF($BC37=Lookup!$A$2,$BD37*ROUNDUP(BH37/10,0)+1,
IF($BC37=Lookup!$A$3,($BD37+1)^BG37,
IF($BC37=Lookup!$A$4,BH37*$BD37+1,"Error")))</f>
        <v>1</v>
      </c>
      <c r="BQ37" s="229">
        <f>IF($BC37=Lookup!$A$2,$BD37*ROUNDUP(BI37/10,0)+1,
IF($BC37=Lookup!$A$3,($BD37+1)^BH37,
IF($BC37=Lookup!$A$4,BI37*$BD37+1,"Error")))</f>
        <v>1</v>
      </c>
      <c r="BR37" s="229">
        <f>IF($BC37=Lookup!$A$2,$BD37*ROUNDUP(BJ37/10,0)+1,
IF($BC37=Lookup!$A$3,($BD37+1)^BI37,
IF($BC37=Lookup!$A$4,BJ37*$BD37+1,"Error")))</f>
        <v>1</v>
      </c>
      <c r="BS37" s="229">
        <f>IF($BC37=Lookup!$A$2,$BD37*ROUNDUP(BK37/10,0)+1,
IF($BC37=Lookup!$A$3,($BD37+1)^BJ37,
IF($BC37=Lookup!$A$4,BK37*$BD37+1,"Error")))</f>
        <v>1</v>
      </c>
      <c r="BT37" s="249">
        <f>IF($BC37=Lookup!$A$2,$BD37*ROUNDUP(BL37/10,0)+1,
IF($BC37=Lookup!$A$3,($BD37+1)^BK37,
IF($BC37=Lookup!$A$4,BL37*$BD37+1,"Error")))</f>
        <v>1</v>
      </c>
      <c r="BU37" s="398">
        <v>0</v>
      </c>
      <c r="BV37" s="356">
        <v>0</v>
      </c>
      <c r="BW37" s="356">
        <v>0</v>
      </c>
      <c r="BX37" s="398">
        <v>0</v>
      </c>
      <c r="BY37" s="356">
        <v>0</v>
      </c>
      <c r="BZ37" s="356">
        <v>0</v>
      </c>
      <c r="CA37" s="356">
        <v>0</v>
      </c>
      <c r="CB37" s="399">
        <v>0</v>
      </c>
      <c r="CC37" s="382" t="s">
        <v>292</v>
      </c>
      <c r="CD37" s="383">
        <f>HLOOKUP($CC37,$AK$6:$AM$132,ROWS(CD$6:CD37),0)</f>
        <v>0</v>
      </c>
      <c r="CE37" s="362">
        <f t="shared" si="27"/>
        <v>0</v>
      </c>
      <c r="CF37" s="363">
        <f t="shared" si="24"/>
        <v>0</v>
      </c>
      <c r="CG37" s="799">
        <f t="shared" si="24"/>
        <v>0</v>
      </c>
      <c r="CH37" s="808">
        <f t="shared" si="24"/>
        <v>0</v>
      </c>
      <c r="CI37" s="363">
        <f t="shared" si="24"/>
        <v>0</v>
      </c>
      <c r="CJ37" s="363">
        <f t="shared" si="24"/>
        <v>0</v>
      </c>
      <c r="CK37" s="363">
        <f t="shared" si="24"/>
        <v>0</v>
      </c>
      <c r="CL37" s="364">
        <f t="shared" si="24"/>
        <v>0</v>
      </c>
      <c r="CM37" s="305" t="s">
        <v>293</v>
      </c>
      <c r="CN37" s="315">
        <v>0.05</v>
      </c>
      <c r="CO37" s="306"/>
      <c r="CP37" s="307" t="str">
        <f>IF($CO37&lt;&gt;"",$CO37,HLOOKUP($CM37,$AY$6:$BA$132,ROWS(CP$6:CP37),0))</f>
        <v/>
      </c>
      <c r="CQ37" s="784">
        <v>0</v>
      </c>
      <c r="CR37" s="784">
        <v>0</v>
      </c>
      <c r="CS37" s="524">
        <v>0</v>
      </c>
      <c r="CT37" s="416">
        <v>0</v>
      </c>
      <c r="CU37" s="97">
        <v>0</v>
      </c>
      <c r="CV37" s="97">
        <v>0</v>
      </c>
      <c r="CW37" s="97">
        <v>0</v>
      </c>
      <c r="CX37" s="98">
        <v>0</v>
      </c>
      <c r="CY37" s="392"/>
    </row>
    <row r="38" spans="1:110" x14ac:dyDescent="0.25">
      <c r="A38" s="81" t="s">
        <v>81</v>
      </c>
      <c r="B38" s="82" t="s">
        <v>87</v>
      </c>
      <c r="C38" s="83" t="s">
        <v>315</v>
      </c>
      <c r="D38" s="84"/>
      <c r="E38" s="85"/>
      <c r="F38" s="85"/>
      <c r="G38" s="85"/>
      <c r="H38" s="85"/>
      <c r="I38" s="85"/>
      <c r="J38" s="85"/>
      <c r="K38" s="85"/>
      <c r="L38" s="85"/>
      <c r="M38" s="654"/>
      <c r="N38" s="1065"/>
      <c r="O38" s="560">
        <f t="shared" si="25"/>
        <v>0</v>
      </c>
      <c r="P38" s="561">
        <f t="shared" si="0"/>
        <v>0</v>
      </c>
      <c r="Q38" s="561">
        <f t="shared" si="1"/>
        <v>0</v>
      </c>
      <c r="R38" s="561">
        <f t="shared" si="2"/>
        <v>0</v>
      </c>
      <c r="S38" s="561">
        <f t="shared" si="3"/>
        <v>0</v>
      </c>
      <c r="T38" s="561">
        <f t="shared" si="4"/>
        <v>0</v>
      </c>
      <c r="U38" s="561">
        <f t="shared" si="5"/>
        <v>0</v>
      </c>
      <c r="V38" s="561">
        <f t="shared" si="6"/>
        <v>0</v>
      </c>
      <c r="W38" s="675">
        <f t="shared" si="7"/>
        <v>0</v>
      </c>
      <c r="X38" s="675">
        <f t="shared" si="8"/>
        <v>0</v>
      </c>
      <c r="Y38" s="675">
        <f t="shared" si="8"/>
        <v>0</v>
      </c>
      <c r="Z38" s="125"/>
      <c r="AA38" s="126"/>
      <c r="AB38" s="126"/>
      <c r="AC38" s="126"/>
      <c r="AD38" s="126"/>
      <c r="AE38" s="126"/>
      <c r="AF38" s="126"/>
      <c r="AG38" s="126"/>
      <c r="AH38" s="126"/>
      <c r="AI38" s="1097"/>
      <c r="AJ38" s="668"/>
      <c r="AK38" s="127">
        <f t="shared" si="9"/>
        <v>0</v>
      </c>
      <c r="AL38" s="128" t="str" cm="1">
        <f t="array" aca="1" ref="AL38" ca="1">IFERROR(IF($AM$4="N",SSUM(AF38:AH38)/3,SUM(AG38:AI38)/3),"")</f>
        <v/>
      </c>
      <c r="AM38" s="129">
        <f t="shared" si="10"/>
        <v>0</v>
      </c>
      <c r="AN38" s="91" t="str">
        <f t="shared" si="11"/>
        <v/>
      </c>
      <c r="AO38" s="92" t="str">
        <f t="shared" si="12"/>
        <v/>
      </c>
      <c r="AP38" s="92" t="str">
        <f t="shared" si="13"/>
        <v/>
      </c>
      <c r="AQ38" s="92" t="str">
        <f t="shared" si="14"/>
        <v/>
      </c>
      <c r="AR38" s="92" t="str">
        <f t="shared" si="15"/>
        <v/>
      </c>
      <c r="AS38" s="92" t="str">
        <f t="shared" si="16"/>
        <v/>
      </c>
      <c r="AT38" s="92" t="str">
        <f t="shared" si="17"/>
        <v/>
      </c>
      <c r="AU38" s="92" t="str">
        <f t="shared" si="18"/>
        <v/>
      </c>
      <c r="AV38" s="92" t="str">
        <f t="shared" si="28"/>
        <v/>
      </c>
      <c r="AW38" s="92" t="str">
        <f t="shared" si="28"/>
        <v/>
      </c>
      <c r="AX38" s="92" t="str">
        <f t="shared" si="28"/>
        <v/>
      </c>
      <c r="AY38" s="93" t="str">
        <f t="shared" si="20"/>
        <v/>
      </c>
      <c r="AZ38" s="94" t="str">
        <f t="shared" si="21"/>
        <v/>
      </c>
      <c r="BA38" s="95" t="str">
        <f t="shared" si="22"/>
        <v/>
      </c>
      <c r="BB38" s="248" t="s">
        <v>422</v>
      </c>
      <c r="BC38" s="229" t="s">
        <v>433</v>
      </c>
      <c r="BD38" s="249">
        <v>0</v>
      </c>
      <c r="BE38" s="267">
        <f t="shared" si="26"/>
        <v>0</v>
      </c>
      <c r="BF38" s="268">
        <f t="shared" si="29"/>
        <v>0</v>
      </c>
      <c r="BG38" s="268">
        <f t="shared" si="29"/>
        <v>0</v>
      </c>
      <c r="BH38" s="268">
        <f t="shared" si="29"/>
        <v>1</v>
      </c>
      <c r="BI38" s="268">
        <f t="shared" si="29"/>
        <v>2</v>
      </c>
      <c r="BJ38" s="268">
        <f t="shared" si="29"/>
        <v>3</v>
      </c>
      <c r="BK38" s="268">
        <f t="shared" si="29"/>
        <v>4</v>
      </c>
      <c r="BL38" s="269">
        <f t="shared" si="29"/>
        <v>5</v>
      </c>
      <c r="BM38" s="256">
        <f>IF($BC38=Lookup!$A$2,$BD38*ROUNDUP(BE38/10,0)+1,
IF($BC38=Lookup!$A$3,($BD38+1)^BD38,
IF($BC38=Lookup!$A$4,BE38*$BD38+1,"Error")))</f>
        <v>1</v>
      </c>
      <c r="BN38" s="229">
        <f>IF($BC38=Lookup!$A$2,$BD38*ROUNDUP(BF38/10,0)+1,
IF($BC38=Lookup!$A$3,($BD38+1)^BE38,
IF($BC38=Lookup!$A$4,BF38*$BD38+1,"Error")))</f>
        <v>1</v>
      </c>
      <c r="BO38" s="229">
        <f>IF($BC38=Lookup!$A$2,$BD38*ROUNDUP(BG38/10,0)+1,
IF($BC38=Lookup!$A$3,($BD38+1)^BF38,
IF($BC38=Lookup!$A$4,BG38*$BD38+1,"Error")))</f>
        <v>1</v>
      </c>
      <c r="BP38" s="229">
        <f>IF($BC38=Lookup!$A$2,$BD38*ROUNDUP(BH38/10,0)+1,
IF($BC38=Lookup!$A$3,($BD38+1)^BG38,
IF($BC38=Lookup!$A$4,BH38*$BD38+1,"Error")))</f>
        <v>1</v>
      </c>
      <c r="BQ38" s="229">
        <f>IF($BC38=Lookup!$A$2,$BD38*ROUNDUP(BI38/10,0)+1,
IF($BC38=Lookup!$A$3,($BD38+1)^BH38,
IF($BC38=Lookup!$A$4,BI38*$BD38+1,"Error")))</f>
        <v>1</v>
      </c>
      <c r="BR38" s="229">
        <f>IF($BC38=Lookup!$A$2,$BD38*ROUNDUP(BJ38/10,0)+1,
IF($BC38=Lookup!$A$3,($BD38+1)^BI38,
IF($BC38=Lookup!$A$4,BJ38*$BD38+1,"Error")))</f>
        <v>1</v>
      </c>
      <c r="BS38" s="229">
        <f>IF($BC38=Lookup!$A$2,$BD38*ROUNDUP(BK38/10,0)+1,
IF($BC38=Lookup!$A$3,($BD38+1)^BJ38,
IF($BC38=Lookup!$A$4,BK38*$BD38+1,"Error")))</f>
        <v>1</v>
      </c>
      <c r="BT38" s="249">
        <f>IF($BC38=Lookup!$A$2,$BD38*ROUNDUP(BL38/10,0)+1,
IF($BC38=Lookup!$A$3,($BD38+1)^BK38,
IF($BC38=Lookup!$A$4,BL38*$BD38+1,"Error")))</f>
        <v>1</v>
      </c>
      <c r="BU38" s="398">
        <v>0</v>
      </c>
      <c r="BV38" s="356">
        <v>0</v>
      </c>
      <c r="BW38" s="356">
        <v>0</v>
      </c>
      <c r="BX38" s="398">
        <v>0</v>
      </c>
      <c r="BY38" s="356">
        <v>0</v>
      </c>
      <c r="BZ38" s="356">
        <v>0</v>
      </c>
      <c r="CA38" s="356">
        <v>0</v>
      </c>
      <c r="CB38" s="399">
        <v>0</v>
      </c>
      <c r="CC38" s="382" t="s">
        <v>292</v>
      </c>
      <c r="CD38" s="383">
        <f>HLOOKUP($CC38,$AK$6:$AM$132,ROWS(CD$6:CD38),0)</f>
        <v>0</v>
      </c>
      <c r="CE38" s="362">
        <f t="shared" si="27"/>
        <v>0</v>
      </c>
      <c r="CF38" s="363">
        <f t="shared" si="24"/>
        <v>0</v>
      </c>
      <c r="CG38" s="799">
        <f t="shared" si="24"/>
        <v>0</v>
      </c>
      <c r="CH38" s="808">
        <f t="shared" si="24"/>
        <v>0</v>
      </c>
      <c r="CI38" s="363">
        <f t="shared" si="24"/>
        <v>0</v>
      </c>
      <c r="CJ38" s="363">
        <f t="shared" si="24"/>
        <v>0</v>
      </c>
      <c r="CK38" s="363">
        <f t="shared" si="24"/>
        <v>0</v>
      </c>
      <c r="CL38" s="364">
        <f t="shared" si="24"/>
        <v>0</v>
      </c>
      <c r="CM38" s="305" t="s">
        <v>293</v>
      </c>
      <c r="CN38" s="315">
        <v>0.05</v>
      </c>
      <c r="CO38" s="306"/>
      <c r="CP38" s="307" t="str">
        <f>IF($CO38&lt;&gt;"",$CO38,HLOOKUP($CM38,$AY$6:$BA$132,ROWS(CP$6:CP38),0))</f>
        <v/>
      </c>
      <c r="CQ38" s="784">
        <v>0</v>
      </c>
      <c r="CR38" s="784">
        <v>0</v>
      </c>
      <c r="CS38" s="524">
        <v>0</v>
      </c>
      <c r="CT38" s="416">
        <v>0</v>
      </c>
      <c r="CU38" s="97">
        <v>0</v>
      </c>
      <c r="CV38" s="97">
        <v>0</v>
      </c>
      <c r="CW38" s="97">
        <v>0</v>
      </c>
      <c r="CX38" s="98">
        <v>0</v>
      </c>
      <c r="CY38" s="392"/>
    </row>
    <row r="39" spans="1:110" x14ac:dyDescent="0.25">
      <c r="A39" s="81" t="s">
        <v>81</v>
      </c>
      <c r="B39" s="82" t="s">
        <v>89</v>
      </c>
      <c r="C39" s="83" t="s">
        <v>74</v>
      </c>
      <c r="D39" s="84"/>
      <c r="E39" s="85"/>
      <c r="F39" s="85"/>
      <c r="G39" s="85"/>
      <c r="H39" s="85"/>
      <c r="I39" s="85"/>
      <c r="J39" s="85"/>
      <c r="K39" s="85"/>
      <c r="L39" s="85"/>
      <c r="M39" s="654"/>
      <c r="N39" s="1065"/>
      <c r="O39" s="560">
        <f t="shared" si="25"/>
        <v>0</v>
      </c>
      <c r="P39" s="561">
        <f t="shared" si="0"/>
        <v>0</v>
      </c>
      <c r="Q39" s="561">
        <f t="shared" si="1"/>
        <v>0</v>
      </c>
      <c r="R39" s="561">
        <f t="shared" si="2"/>
        <v>0</v>
      </c>
      <c r="S39" s="561">
        <f t="shared" si="3"/>
        <v>0</v>
      </c>
      <c r="T39" s="561">
        <f t="shared" si="4"/>
        <v>0</v>
      </c>
      <c r="U39" s="561">
        <f t="shared" si="5"/>
        <v>0</v>
      </c>
      <c r="V39" s="561">
        <f t="shared" si="6"/>
        <v>0</v>
      </c>
      <c r="W39" s="675">
        <f t="shared" si="7"/>
        <v>0</v>
      </c>
      <c r="X39" s="675">
        <f t="shared" si="8"/>
        <v>0</v>
      </c>
      <c r="Y39" s="675">
        <f t="shared" si="8"/>
        <v>0</v>
      </c>
      <c r="Z39" s="125"/>
      <c r="AA39" s="126"/>
      <c r="AB39" s="126"/>
      <c r="AC39" s="126"/>
      <c r="AD39" s="126"/>
      <c r="AE39" s="126"/>
      <c r="AF39" s="126"/>
      <c r="AG39" s="126"/>
      <c r="AH39" s="126"/>
      <c r="AI39" s="1097"/>
      <c r="AJ39" s="668"/>
      <c r="AK39" s="127">
        <f t="shared" ref="AK39:AK70" si="30">IFERROR(IF($AM$4="N",SUM(AD39:AH39)/5,SUM(AE39:AI39)/5),"")</f>
        <v>0</v>
      </c>
      <c r="AL39" s="128" t="str" cm="1">
        <f t="array" aca="1" ref="AL39" ca="1">IFERROR(IF($AM$4="N",SSUM(AF39:AH39)/3,SUM(AG39:AI39)/3),"")</f>
        <v/>
      </c>
      <c r="AM39" s="129">
        <f t="shared" ref="AM39:AM70" si="31">IFERROR(IF($AM$4="N",AH39,AI39),"")</f>
        <v>0</v>
      </c>
      <c r="AN39" s="91" t="str">
        <f t="shared" ref="AN39:AN70" si="32">IFERROR(D39/Z39,"")</f>
        <v/>
      </c>
      <c r="AO39" s="92" t="str">
        <f t="shared" ref="AO39:AO70" si="33">IFERROR(E39/AA39,"")</f>
        <v/>
      </c>
      <c r="AP39" s="92" t="str">
        <f t="shared" ref="AP39:AP70" si="34">IFERROR(F39/AB39,"")</f>
        <v/>
      </c>
      <c r="AQ39" s="92" t="str">
        <f t="shared" ref="AQ39:AQ70" si="35">IFERROR(G39/AC39,"")</f>
        <v/>
      </c>
      <c r="AR39" s="92" t="str">
        <f t="shared" ref="AR39:AR70" si="36">IFERROR(H39/AD39,"")</f>
        <v/>
      </c>
      <c r="AS39" s="92" t="str">
        <f t="shared" ref="AS39:AS70" si="37">IFERROR(I39/AE39,"")</f>
        <v/>
      </c>
      <c r="AT39" s="92" t="str">
        <f t="shared" ref="AT39:AT70" si="38">IFERROR(J39/AF39,"")</f>
        <v/>
      </c>
      <c r="AU39" s="92" t="str">
        <f t="shared" ref="AU39:AU70" si="39">IFERROR(K39/AG39,"")</f>
        <v/>
      </c>
      <c r="AV39" s="92" t="str">
        <f t="shared" ref="AV39:AX54" si="40">IFERROR(L39/AH39,"")</f>
        <v/>
      </c>
      <c r="AW39" s="92" t="str">
        <f t="shared" si="40"/>
        <v/>
      </c>
      <c r="AX39" s="92" t="str">
        <f t="shared" si="40"/>
        <v/>
      </c>
      <c r="AY39" s="93" t="str">
        <f t="shared" ref="AY39:AY70" si="41">IFERROR(IF($BA$3="N",
IF($BA$4="N",SUM(H39:L39)/SUM(AD39:AH39),SUM(I39:M39)/SUM(AE39:AI39)),
IF($BA$4="N",SUM(S39:W39)/SUM(AD39:AH39),SUM(T39:X39)/SUM(AE39:AI39))),"")</f>
        <v/>
      </c>
      <c r="AZ39" s="94" t="str">
        <f t="shared" ref="AZ39:AZ70" si="42">IFERROR(IF($BA$3="N",
IF($BA$4="N",SUM(J39:L39)/SUM(AF39:AH39),SUM(K39:M39)/SUM(AG39:AI39)),
IF($BA$4="N",SUM(U39:W39)/SUM(AF39:AH39),SUM(V39:X39)/SUM(AG39:AI39))),"")</f>
        <v/>
      </c>
      <c r="BA39" s="95" t="str">
        <f t="shared" ref="BA39:BA70" si="43">IFERROR(IF($BA$3="N",
IF($BA$4="N",L39/AH39,M39/AI39),
IF($BA$4="N",W39/AH39,X39/AI39)),"")</f>
        <v/>
      </c>
      <c r="BB39" s="248" t="s">
        <v>422</v>
      </c>
      <c r="BC39" s="229" t="s">
        <v>433</v>
      </c>
      <c r="BD39" s="249">
        <v>0</v>
      </c>
      <c r="BE39" s="267">
        <f t="shared" si="26"/>
        <v>0</v>
      </c>
      <c r="BF39" s="268">
        <f t="shared" ref="BF39:BL54" si="44">IF(BF$6=$BB39,1,
IF(BE39&lt;&gt;0,BE39+1,0
))</f>
        <v>0</v>
      </c>
      <c r="BG39" s="268">
        <f t="shared" si="44"/>
        <v>0</v>
      </c>
      <c r="BH39" s="268">
        <f t="shared" si="44"/>
        <v>1</v>
      </c>
      <c r="BI39" s="268">
        <f t="shared" si="44"/>
        <v>2</v>
      </c>
      <c r="BJ39" s="268">
        <f t="shared" si="44"/>
        <v>3</v>
      </c>
      <c r="BK39" s="268">
        <f t="shared" si="44"/>
        <v>4</v>
      </c>
      <c r="BL39" s="269">
        <f t="shared" si="44"/>
        <v>5</v>
      </c>
      <c r="BM39" s="256">
        <f>IF($BC39=Lookup!$A$2,$BD39*ROUNDUP(BE39/10,0)+1,
IF($BC39=Lookup!$A$3,($BD39+1)^BD39,
IF($BC39=Lookup!$A$4,BE39*$BD39+1,"Error")))</f>
        <v>1</v>
      </c>
      <c r="BN39" s="229">
        <f>IF($BC39=Lookup!$A$2,$BD39*ROUNDUP(BF39/10,0)+1,
IF($BC39=Lookup!$A$3,($BD39+1)^BE39,
IF($BC39=Lookup!$A$4,BF39*$BD39+1,"Error")))</f>
        <v>1</v>
      </c>
      <c r="BO39" s="229">
        <f>IF($BC39=Lookup!$A$2,$BD39*ROUNDUP(BG39/10,0)+1,
IF($BC39=Lookup!$A$3,($BD39+1)^BF39,
IF($BC39=Lookup!$A$4,BG39*$BD39+1,"Error")))</f>
        <v>1</v>
      </c>
      <c r="BP39" s="229">
        <f>IF($BC39=Lookup!$A$2,$BD39*ROUNDUP(BH39/10,0)+1,
IF($BC39=Lookup!$A$3,($BD39+1)^BG39,
IF($BC39=Lookup!$A$4,BH39*$BD39+1,"Error")))</f>
        <v>1</v>
      </c>
      <c r="BQ39" s="229">
        <f>IF($BC39=Lookup!$A$2,$BD39*ROUNDUP(BI39/10,0)+1,
IF($BC39=Lookup!$A$3,($BD39+1)^BH39,
IF($BC39=Lookup!$A$4,BI39*$BD39+1,"Error")))</f>
        <v>1</v>
      </c>
      <c r="BR39" s="229">
        <f>IF($BC39=Lookup!$A$2,$BD39*ROUNDUP(BJ39/10,0)+1,
IF($BC39=Lookup!$A$3,($BD39+1)^BI39,
IF($BC39=Lookup!$A$4,BJ39*$BD39+1,"Error")))</f>
        <v>1</v>
      </c>
      <c r="BS39" s="229">
        <f>IF($BC39=Lookup!$A$2,$BD39*ROUNDUP(BK39/10,0)+1,
IF($BC39=Lookup!$A$3,($BD39+1)^BJ39,
IF($BC39=Lookup!$A$4,BK39*$BD39+1,"Error")))</f>
        <v>1</v>
      </c>
      <c r="BT39" s="249">
        <f>IF($BC39=Lookup!$A$2,$BD39*ROUNDUP(BL39/10,0)+1,
IF($BC39=Lookup!$A$3,($BD39+1)^BK39,
IF($BC39=Lookup!$A$4,BL39*$BD39+1,"Error")))</f>
        <v>1</v>
      </c>
      <c r="BU39" s="398">
        <v>0</v>
      </c>
      <c r="BV39" s="356">
        <v>3</v>
      </c>
      <c r="BW39" s="356">
        <v>1</v>
      </c>
      <c r="BX39" s="398">
        <v>0</v>
      </c>
      <c r="BY39" s="356">
        <v>0</v>
      </c>
      <c r="BZ39" s="356">
        <v>0</v>
      </c>
      <c r="CA39" s="356">
        <v>0</v>
      </c>
      <c r="CB39" s="399">
        <v>0</v>
      </c>
      <c r="CC39" s="382" t="s">
        <v>292</v>
      </c>
      <c r="CD39" s="383">
        <f>HLOOKUP($CC39,$AK$6:$AM$132,ROWS(CD$6:CD39),0)</f>
        <v>0</v>
      </c>
      <c r="CE39" s="362">
        <f t="shared" si="27"/>
        <v>0</v>
      </c>
      <c r="CF39" s="363">
        <f t="shared" si="24"/>
        <v>3</v>
      </c>
      <c r="CG39" s="799">
        <f t="shared" si="24"/>
        <v>1</v>
      </c>
      <c r="CH39" s="808">
        <f t="shared" si="24"/>
        <v>0</v>
      </c>
      <c r="CI39" s="363">
        <f t="shared" si="24"/>
        <v>0</v>
      </c>
      <c r="CJ39" s="363">
        <f t="shared" si="24"/>
        <v>0</v>
      </c>
      <c r="CK39" s="363">
        <f t="shared" si="24"/>
        <v>0</v>
      </c>
      <c r="CL39" s="364">
        <f t="shared" si="24"/>
        <v>0</v>
      </c>
      <c r="CM39" s="305" t="s">
        <v>293</v>
      </c>
      <c r="CN39" s="315">
        <v>0.05</v>
      </c>
      <c r="CO39" s="306"/>
      <c r="CP39" s="307" t="str">
        <f>IF($CO39&lt;&gt;"",$CO39,HLOOKUP($CM39,$AY$6:$BA$132,ROWS(CP$6:CP39),0))</f>
        <v/>
      </c>
      <c r="CQ39" s="784">
        <v>0</v>
      </c>
      <c r="CR39" s="784">
        <v>5531512.7435086835</v>
      </c>
      <c r="CS39" s="524">
        <v>1867381.6209614845</v>
      </c>
      <c r="CT39" s="416">
        <v>0</v>
      </c>
      <c r="CU39" s="97">
        <v>0</v>
      </c>
      <c r="CV39" s="97">
        <v>0</v>
      </c>
      <c r="CW39" s="97">
        <v>0</v>
      </c>
      <c r="CX39" s="98">
        <v>0</v>
      </c>
      <c r="CY39" s="392"/>
    </row>
    <row r="40" spans="1:110" x14ac:dyDescent="0.25">
      <c r="A40" s="81" t="s">
        <v>81</v>
      </c>
      <c r="B40" s="82" t="s">
        <v>90</v>
      </c>
      <c r="C40" s="83" t="s">
        <v>76</v>
      </c>
      <c r="D40" s="84"/>
      <c r="E40" s="85"/>
      <c r="F40" s="85"/>
      <c r="G40" s="85"/>
      <c r="H40" s="85"/>
      <c r="I40" s="85"/>
      <c r="J40" s="85"/>
      <c r="K40" s="85"/>
      <c r="L40" s="85"/>
      <c r="M40" s="654"/>
      <c r="N40" s="1065"/>
      <c r="O40" s="560">
        <f t="shared" si="25"/>
        <v>0</v>
      </c>
      <c r="P40" s="561">
        <f t="shared" si="0"/>
        <v>0</v>
      </c>
      <c r="Q40" s="561">
        <f t="shared" si="1"/>
        <v>0</v>
      </c>
      <c r="R40" s="561">
        <f t="shared" si="2"/>
        <v>0</v>
      </c>
      <c r="S40" s="561">
        <f t="shared" si="3"/>
        <v>0</v>
      </c>
      <c r="T40" s="561">
        <f t="shared" si="4"/>
        <v>0</v>
      </c>
      <c r="U40" s="561">
        <f t="shared" si="5"/>
        <v>0</v>
      </c>
      <c r="V40" s="561">
        <f t="shared" si="6"/>
        <v>0</v>
      </c>
      <c r="W40" s="675">
        <f t="shared" si="7"/>
        <v>0</v>
      </c>
      <c r="X40" s="675">
        <f t="shared" si="8"/>
        <v>0</v>
      </c>
      <c r="Y40" s="675">
        <f t="shared" si="8"/>
        <v>0</v>
      </c>
      <c r="Z40" s="125"/>
      <c r="AA40" s="126"/>
      <c r="AB40" s="126"/>
      <c r="AC40" s="126"/>
      <c r="AD40" s="126"/>
      <c r="AE40" s="126"/>
      <c r="AF40" s="126"/>
      <c r="AG40" s="126"/>
      <c r="AH40" s="126"/>
      <c r="AI40" s="1097"/>
      <c r="AJ40" s="668"/>
      <c r="AK40" s="127">
        <f t="shared" si="30"/>
        <v>0</v>
      </c>
      <c r="AL40" s="128" t="str" cm="1">
        <f t="array" aca="1" ref="AL40" ca="1">IFERROR(IF($AM$4="N",SSUM(AF40:AH40)/3,SUM(AG40:AI40)/3),"")</f>
        <v/>
      </c>
      <c r="AM40" s="129">
        <f t="shared" si="31"/>
        <v>0</v>
      </c>
      <c r="AN40" s="91" t="str">
        <f t="shared" si="32"/>
        <v/>
      </c>
      <c r="AO40" s="92" t="str">
        <f t="shared" si="33"/>
        <v/>
      </c>
      <c r="AP40" s="92" t="str">
        <f t="shared" si="34"/>
        <v/>
      </c>
      <c r="AQ40" s="92" t="str">
        <f t="shared" si="35"/>
        <v/>
      </c>
      <c r="AR40" s="92" t="str">
        <f t="shared" si="36"/>
        <v/>
      </c>
      <c r="AS40" s="92" t="str">
        <f t="shared" si="37"/>
        <v/>
      </c>
      <c r="AT40" s="92" t="str">
        <f t="shared" si="38"/>
        <v/>
      </c>
      <c r="AU40" s="92" t="str">
        <f t="shared" si="39"/>
        <v/>
      </c>
      <c r="AV40" s="92" t="str">
        <f t="shared" si="40"/>
        <v/>
      </c>
      <c r="AW40" s="92" t="str">
        <f t="shared" si="40"/>
        <v/>
      </c>
      <c r="AX40" s="92" t="str">
        <f t="shared" si="40"/>
        <v/>
      </c>
      <c r="AY40" s="93" t="str">
        <f t="shared" si="41"/>
        <v/>
      </c>
      <c r="AZ40" s="94" t="str">
        <f t="shared" si="42"/>
        <v/>
      </c>
      <c r="BA40" s="95" t="str">
        <f t="shared" si="43"/>
        <v/>
      </c>
      <c r="BB40" s="248" t="s">
        <v>422</v>
      </c>
      <c r="BC40" s="229" t="s">
        <v>433</v>
      </c>
      <c r="BD40" s="249">
        <v>0</v>
      </c>
      <c r="BE40" s="267">
        <f t="shared" si="26"/>
        <v>0</v>
      </c>
      <c r="BF40" s="268">
        <f t="shared" si="44"/>
        <v>0</v>
      </c>
      <c r="BG40" s="268">
        <f t="shared" si="44"/>
        <v>0</v>
      </c>
      <c r="BH40" s="268">
        <f t="shared" si="44"/>
        <v>1</v>
      </c>
      <c r="BI40" s="268">
        <f t="shared" si="44"/>
        <v>2</v>
      </c>
      <c r="BJ40" s="268">
        <f t="shared" si="44"/>
        <v>3</v>
      </c>
      <c r="BK40" s="268">
        <f t="shared" si="44"/>
        <v>4</v>
      </c>
      <c r="BL40" s="269">
        <f t="shared" si="44"/>
        <v>5</v>
      </c>
      <c r="BM40" s="256">
        <f>IF($BC40=Lookup!$A$2,$BD40*ROUNDUP(BE40/10,0)+1,
IF($BC40=Lookup!$A$3,($BD40+1)^BD40,
IF($BC40=Lookup!$A$4,BE40*$BD40+1,"Error")))</f>
        <v>1</v>
      </c>
      <c r="BN40" s="229">
        <f>IF($BC40=Lookup!$A$2,$BD40*ROUNDUP(BF40/10,0)+1,
IF($BC40=Lookup!$A$3,($BD40+1)^BE40,
IF($BC40=Lookup!$A$4,BF40*$BD40+1,"Error")))</f>
        <v>1</v>
      </c>
      <c r="BO40" s="229">
        <f>IF($BC40=Lookup!$A$2,$BD40*ROUNDUP(BG40/10,0)+1,
IF($BC40=Lookup!$A$3,($BD40+1)^BF40,
IF($BC40=Lookup!$A$4,BG40*$BD40+1,"Error")))</f>
        <v>1</v>
      </c>
      <c r="BP40" s="229">
        <f>IF($BC40=Lookup!$A$2,$BD40*ROUNDUP(BH40/10,0)+1,
IF($BC40=Lookup!$A$3,($BD40+1)^BG40,
IF($BC40=Lookup!$A$4,BH40*$BD40+1,"Error")))</f>
        <v>1</v>
      </c>
      <c r="BQ40" s="229">
        <f>IF($BC40=Lookup!$A$2,$BD40*ROUNDUP(BI40/10,0)+1,
IF($BC40=Lookup!$A$3,($BD40+1)^BH40,
IF($BC40=Lookup!$A$4,BI40*$BD40+1,"Error")))</f>
        <v>1</v>
      </c>
      <c r="BR40" s="229">
        <f>IF($BC40=Lookup!$A$2,$BD40*ROUNDUP(BJ40/10,0)+1,
IF($BC40=Lookup!$A$3,($BD40+1)^BI40,
IF($BC40=Lookup!$A$4,BJ40*$BD40+1,"Error")))</f>
        <v>1</v>
      </c>
      <c r="BS40" s="229">
        <f>IF($BC40=Lookup!$A$2,$BD40*ROUNDUP(BK40/10,0)+1,
IF($BC40=Lookup!$A$3,($BD40+1)^BJ40,
IF($BC40=Lookup!$A$4,BK40*$BD40+1,"Error")))</f>
        <v>1</v>
      </c>
      <c r="BT40" s="249">
        <f>IF($BC40=Lookup!$A$2,$BD40*ROUNDUP(BL40/10,0)+1,
IF($BC40=Lookup!$A$3,($BD40+1)^BK40,
IF($BC40=Lookup!$A$4,BL40*$BD40+1,"Error")))</f>
        <v>1</v>
      </c>
      <c r="BU40" s="398">
        <v>0</v>
      </c>
      <c r="BV40" s="356">
        <v>0</v>
      </c>
      <c r="BW40" s="356">
        <v>0</v>
      </c>
      <c r="BX40" s="398">
        <v>0</v>
      </c>
      <c r="BY40" s="356">
        <v>0</v>
      </c>
      <c r="BZ40" s="356">
        <v>0</v>
      </c>
      <c r="CA40" s="356">
        <v>0</v>
      </c>
      <c r="CB40" s="399">
        <v>0</v>
      </c>
      <c r="CC40" s="382" t="s">
        <v>292</v>
      </c>
      <c r="CD40" s="383">
        <f>HLOOKUP($CC40,$AK$6:$AM$132,ROWS(CD$6:CD40),0)</f>
        <v>0</v>
      </c>
      <c r="CE40" s="362">
        <f t="shared" si="27"/>
        <v>0</v>
      </c>
      <c r="CF40" s="363">
        <f t="shared" si="24"/>
        <v>0</v>
      </c>
      <c r="CG40" s="799">
        <f t="shared" si="24"/>
        <v>0</v>
      </c>
      <c r="CH40" s="808">
        <f t="shared" si="24"/>
        <v>0</v>
      </c>
      <c r="CI40" s="363">
        <f t="shared" si="24"/>
        <v>0</v>
      </c>
      <c r="CJ40" s="363">
        <f t="shared" si="24"/>
        <v>0</v>
      </c>
      <c r="CK40" s="363">
        <f t="shared" si="24"/>
        <v>0</v>
      </c>
      <c r="CL40" s="364">
        <f t="shared" si="24"/>
        <v>0</v>
      </c>
      <c r="CM40" s="305" t="s">
        <v>293</v>
      </c>
      <c r="CN40" s="315">
        <v>0.05</v>
      </c>
      <c r="CO40" s="306"/>
      <c r="CP40" s="307" t="str">
        <f>IF($CO40&lt;&gt;"",$CO40,HLOOKUP($CM40,$AY$6:$BA$132,ROWS(CP$6:CP40),0))</f>
        <v/>
      </c>
      <c r="CQ40" s="784">
        <v>0</v>
      </c>
      <c r="CR40" s="784">
        <v>0</v>
      </c>
      <c r="CS40" s="524">
        <v>0</v>
      </c>
      <c r="CT40" s="416">
        <v>0</v>
      </c>
      <c r="CU40" s="97">
        <v>0</v>
      </c>
      <c r="CV40" s="97">
        <v>0</v>
      </c>
      <c r="CW40" s="97">
        <v>0</v>
      </c>
      <c r="CX40" s="98">
        <v>0</v>
      </c>
      <c r="CY40" s="392"/>
    </row>
    <row r="41" spans="1:110" x14ac:dyDescent="0.25">
      <c r="A41" s="81" t="s">
        <v>81</v>
      </c>
      <c r="B41" s="82" t="s">
        <v>91</v>
      </c>
      <c r="C41" s="83" t="s">
        <v>78</v>
      </c>
      <c r="D41" s="84"/>
      <c r="E41" s="85"/>
      <c r="F41" s="85"/>
      <c r="G41" s="85"/>
      <c r="H41" s="85"/>
      <c r="I41" s="85"/>
      <c r="J41" s="85"/>
      <c r="K41" s="85"/>
      <c r="L41" s="85"/>
      <c r="M41" s="654"/>
      <c r="N41" s="1065"/>
      <c r="O41" s="560">
        <f t="shared" si="25"/>
        <v>0</v>
      </c>
      <c r="P41" s="561">
        <f t="shared" si="0"/>
        <v>0</v>
      </c>
      <c r="Q41" s="561">
        <f t="shared" si="1"/>
        <v>0</v>
      </c>
      <c r="R41" s="561">
        <f t="shared" si="2"/>
        <v>0</v>
      </c>
      <c r="S41" s="561">
        <f t="shared" si="3"/>
        <v>0</v>
      </c>
      <c r="T41" s="561">
        <f t="shared" si="4"/>
        <v>0</v>
      </c>
      <c r="U41" s="561">
        <f t="shared" si="5"/>
        <v>0</v>
      </c>
      <c r="V41" s="561">
        <f t="shared" si="6"/>
        <v>0</v>
      </c>
      <c r="W41" s="675">
        <f t="shared" si="7"/>
        <v>0</v>
      </c>
      <c r="X41" s="675">
        <f t="shared" si="8"/>
        <v>0</v>
      </c>
      <c r="Y41" s="675">
        <f t="shared" si="8"/>
        <v>0</v>
      </c>
      <c r="Z41" s="125"/>
      <c r="AA41" s="126"/>
      <c r="AB41" s="126"/>
      <c r="AC41" s="126"/>
      <c r="AD41" s="126"/>
      <c r="AE41" s="126"/>
      <c r="AF41" s="126"/>
      <c r="AG41" s="126"/>
      <c r="AH41" s="126"/>
      <c r="AI41" s="1097"/>
      <c r="AJ41" s="668"/>
      <c r="AK41" s="127">
        <f t="shared" si="30"/>
        <v>0</v>
      </c>
      <c r="AL41" s="128" t="str" cm="1">
        <f t="array" aca="1" ref="AL41" ca="1">IFERROR(IF($AM$4="N",SSUM(AF41:AH41)/3,SUM(AG41:AI41)/3),"")</f>
        <v/>
      </c>
      <c r="AM41" s="129">
        <f t="shared" si="31"/>
        <v>0</v>
      </c>
      <c r="AN41" s="91" t="str">
        <f t="shared" si="32"/>
        <v/>
      </c>
      <c r="AO41" s="92" t="str">
        <f t="shared" si="33"/>
        <v/>
      </c>
      <c r="AP41" s="92" t="str">
        <f t="shared" si="34"/>
        <v/>
      </c>
      <c r="AQ41" s="92" t="str">
        <f t="shared" si="35"/>
        <v/>
      </c>
      <c r="AR41" s="92" t="str">
        <f t="shared" si="36"/>
        <v/>
      </c>
      <c r="AS41" s="92" t="str">
        <f t="shared" si="37"/>
        <v/>
      </c>
      <c r="AT41" s="92" t="str">
        <f t="shared" si="38"/>
        <v/>
      </c>
      <c r="AU41" s="92" t="str">
        <f t="shared" si="39"/>
        <v/>
      </c>
      <c r="AV41" s="92" t="str">
        <f t="shared" si="40"/>
        <v/>
      </c>
      <c r="AW41" s="92" t="str">
        <f t="shared" si="40"/>
        <v/>
      </c>
      <c r="AX41" s="92" t="str">
        <f t="shared" si="40"/>
        <v/>
      </c>
      <c r="AY41" s="93" t="str">
        <f t="shared" si="41"/>
        <v/>
      </c>
      <c r="AZ41" s="94" t="str">
        <f t="shared" si="42"/>
        <v/>
      </c>
      <c r="BA41" s="95" t="str">
        <f t="shared" si="43"/>
        <v/>
      </c>
      <c r="BB41" s="248" t="s">
        <v>422</v>
      </c>
      <c r="BC41" s="229" t="s">
        <v>433</v>
      </c>
      <c r="BD41" s="249">
        <v>0</v>
      </c>
      <c r="BE41" s="267">
        <f t="shared" si="26"/>
        <v>0</v>
      </c>
      <c r="BF41" s="268">
        <f t="shared" si="44"/>
        <v>0</v>
      </c>
      <c r="BG41" s="268">
        <f t="shared" si="44"/>
        <v>0</v>
      </c>
      <c r="BH41" s="268">
        <f t="shared" si="44"/>
        <v>1</v>
      </c>
      <c r="BI41" s="268">
        <f t="shared" si="44"/>
        <v>2</v>
      </c>
      <c r="BJ41" s="268">
        <f t="shared" si="44"/>
        <v>3</v>
      </c>
      <c r="BK41" s="268">
        <f t="shared" si="44"/>
        <v>4</v>
      </c>
      <c r="BL41" s="269">
        <f t="shared" si="44"/>
        <v>5</v>
      </c>
      <c r="BM41" s="256">
        <f>IF($BC41=Lookup!$A$2,$BD41*ROUNDUP(BE41/10,0)+1,
IF($BC41=Lookup!$A$3,($BD41+1)^BD41,
IF($BC41=Lookup!$A$4,BE41*$BD41+1,"Error")))</f>
        <v>1</v>
      </c>
      <c r="BN41" s="229">
        <f>IF($BC41=Lookup!$A$2,$BD41*ROUNDUP(BF41/10,0)+1,
IF($BC41=Lookup!$A$3,($BD41+1)^BE41,
IF($BC41=Lookup!$A$4,BF41*$BD41+1,"Error")))</f>
        <v>1</v>
      </c>
      <c r="BO41" s="229">
        <f>IF($BC41=Lookup!$A$2,$BD41*ROUNDUP(BG41/10,0)+1,
IF($BC41=Lookup!$A$3,($BD41+1)^BF41,
IF($BC41=Lookup!$A$4,BG41*$BD41+1,"Error")))</f>
        <v>1</v>
      </c>
      <c r="BP41" s="229">
        <f>IF($BC41=Lookup!$A$2,$BD41*ROUNDUP(BH41/10,0)+1,
IF($BC41=Lookup!$A$3,($BD41+1)^BG41,
IF($BC41=Lookup!$A$4,BH41*$BD41+1,"Error")))</f>
        <v>1</v>
      </c>
      <c r="BQ41" s="229">
        <f>IF($BC41=Lookup!$A$2,$BD41*ROUNDUP(BI41/10,0)+1,
IF($BC41=Lookup!$A$3,($BD41+1)^BH41,
IF($BC41=Lookup!$A$4,BI41*$BD41+1,"Error")))</f>
        <v>1</v>
      </c>
      <c r="BR41" s="229">
        <f>IF($BC41=Lookup!$A$2,$BD41*ROUNDUP(BJ41/10,0)+1,
IF($BC41=Lookup!$A$3,($BD41+1)^BI41,
IF($BC41=Lookup!$A$4,BJ41*$BD41+1,"Error")))</f>
        <v>1</v>
      </c>
      <c r="BS41" s="229">
        <f>IF($BC41=Lookup!$A$2,$BD41*ROUNDUP(BK41/10,0)+1,
IF($BC41=Lookup!$A$3,($BD41+1)^BJ41,
IF($BC41=Lookup!$A$4,BK41*$BD41+1,"Error")))</f>
        <v>1</v>
      </c>
      <c r="BT41" s="249">
        <f>IF($BC41=Lookup!$A$2,$BD41*ROUNDUP(BL41/10,0)+1,
IF($BC41=Lookup!$A$3,($BD41+1)^BK41,
IF($BC41=Lookup!$A$4,BL41*$BD41+1,"Error")))</f>
        <v>1</v>
      </c>
      <c r="BU41" s="398">
        <v>0</v>
      </c>
      <c r="BV41" s="356">
        <v>0</v>
      </c>
      <c r="BW41" s="356">
        <v>0</v>
      </c>
      <c r="BX41" s="398">
        <v>0</v>
      </c>
      <c r="BY41" s="356">
        <v>0</v>
      </c>
      <c r="BZ41" s="356">
        <v>0</v>
      </c>
      <c r="CA41" s="356">
        <v>0</v>
      </c>
      <c r="CB41" s="399">
        <v>0</v>
      </c>
      <c r="CC41" s="382" t="s">
        <v>292</v>
      </c>
      <c r="CD41" s="383">
        <f>HLOOKUP($CC41,$AK$6:$AM$132,ROWS(CD$6:CD41),0)</f>
        <v>0</v>
      </c>
      <c r="CE41" s="362">
        <f t="shared" si="27"/>
        <v>0</v>
      </c>
      <c r="CF41" s="363">
        <f t="shared" si="24"/>
        <v>0</v>
      </c>
      <c r="CG41" s="799">
        <f t="shared" si="24"/>
        <v>0</v>
      </c>
      <c r="CH41" s="808">
        <f t="shared" si="24"/>
        <v>0</v>
      </c>
      <c r="CI41" s="363">
        <f t="shared" si="24"/>
        <v>0</v>
      </c>
      <c r="CJ41" s="363">
        <f t="shared" si="24"/>
        <v>0</v>
      </c>
      <c r="CK41" s="363">
        <f t="shared" si="24"/>
        <v>0</v>
      </c>
      <c r="CL41" s="364">
        <f t="shared" si="24"/>
        <v>0</v>
      </c>
      <c r="CM41" s="305" t="s">
        <v>293</v>
      </c>
      <c r="CN41" s="315">
        <v>0.05</v>
      </c>
      <c r="CO41" s="306"/>
      <c r="CP41" s="307" t="str">
        <f>IF($CO41&lt;&gt;"",$CO41,HLOOKUP($CM41,$AY$6:$BA$132,ROWS(CP$6:CP41),0))</f>
        <v/>
      </c>
      <c r="CQ41" s="784">
        <v>0</v>
      </c>
      <c r="CR41" s="784">
        <v>0</v>
      </c>
      <c r="CS41" s="524">
        <v>0</v>
      </c>
      <c r="CT41" s="416">
        <v>0</v>
      </c>
      <c r="CU41" s="97">
        <v>0</v>
      </c>
      <c r="CV41" s="97">
        <v>0</v>
      </c>
      <c r="CW41" s="97">
        <v>0</v>
      </c>
      <c r="CX41" s="98">
        <v>0</v>
      </c>
      <c r="CY41" s="392"/>
    </row>
    <row r="42" spans="1:110" ht="15.75" thickBot="1" x14ac:dyDescent="0.3">
      <c r="A42" s="100" t="s">
        <v>81</v>
      </c>
      <c r="B42" s="101" t="s">
        <v>460</v>
      </c>
      <c r="C42" s="102" t="s">
        <v>320</v>
      </c>
      <c r="D42" s="103"/>
      <c r="E42" s="104"/>
      <c r="F42" s="104"/>
      <c r="G42" s="104"/>
      <c r="H42" s="104"/>
      <c r="I42" s="104"/>
      <c r="J42" s="104"/>
      <c r="K42" s="104"/>
      <c r="L42" s="104"/>
      <c r="M42" s="655"/>
      <c r="N42" s="1066"/>
      <c r="O42" s="563">
        <f t="shared" si="25"/>
        <v>0</v>
      </c>
      <c r="P42" s="564">
        <f t="shared" si="0"/>
        <v>0</v>
      </c>
      <c r="Q42" s="564">
        <f t="shared" si="1"/>
        <v>0</v>
      </c>
      <c r="R42" s="564">
        <f t="shared" si="2"/>
        <v>0</v>
      </c>
      <c r="S42" s="564">
        <f t="shared" si="3"/>
        <v>0</v>
      </c>
      <c r="T42" s="564">
        <f t="shared" si="4"/>
        <v>0</v>
      </c>
      <c r="U42" s="564">
        <f t="shared" si="5"/>
        <v>0</v>
      </c>
      <c r="V42" s="564">
        <f t="shared" si="6"/>
        <v>0</v>
      </c>
      <c r="W42" s="676">
        <f t="shared" si="7"/>
        <v>0</v>
      </c>
      <c r="X42" s="676">
        <f t="shared" si="8"/>
        <v>0</v>
      </c>
      <c r="Y42" s="676">
        <f t="shared" si="8"/>
        <v>0</v>
      </c>
      <c r="Z42" s="131"/>
      <c r="AA42" s="132"/>
      <c r="AB42" s="132"/>
      <c r="AC42" s="132"/>
      <c r="AD42" s="132"/>
      <c r="AE42" s="132"/>
      <c r="AF42" s="132"/>
      <c r="AG42" s="132"/>
      <c r="AH42" s="132"/>
      <c r="AI42" s="1098"/>
      <c r="AJ42" s="669"/>
      <c r="AK42" s="133">
        <f t="shared" si="30"/>
        <v>0</v>
      </c>
      <c r="AL42" s="134" t="str" cm="1">
        <f t="array" aca="1" ref="AL42" ca="1">IFERROR(IF($AM$4="N",SSUM(AF42:AH42)/3,SUM(AG42:AI42)/3),"")</f>
        <v/>
      </c>
      <c r="AM42" s="135">
        <f t="shared" si="31"/>
        <v>0</v>
      </c>
      <c r="AN42" s="110" t="str">
        <f t="shared" si="32"/>
        <v/>
      </c>
      <c r="AO42" s="111" t="str">
        <f t="shared" si="33"/>
        <v/>
      </c>
      <c r="AP42" s="111" t="str">
        <f t="shared" si="34"/>
        <v/>
      </c>
      <c r="AQ42" s="111" t="str">
        <f t="shared" si="35"/>
        <v/>
      </c>
      <c r="AR42" s="111" t="str">
        <f t="shared" si="36"/>
        <v/>
      </c>
      <c r="AS42" s="111" t="str">
        <f t="shared" si="37"/>
        <v/>
      </c>
      <c r="AT42" s="111" t="str">
        <f t="shared" si="38"/>
        <v/>
      </c>
      <c r="AU42" s="111" t="str">
        <f t="shared" si="39"/>
        <v/>
      </c>
      <c r="AV42" s="111" t="str">
        <f t="shared" si="40"/>
        <v/>
      </c>
      <c r="AW42" s="111" t="str">
        <f t="shared" si="40"/>
        <v/>
      </c>
      <c r="AX42" s="111" t="str">
        <f t="shared" si="40"/>
        <v/>
      </c>
      <c r="AY42" s="112" t="str">
        <f t="shared" si="41"/>
        <v/>
      </c>
      <c r="AZ42" s="113" t="str">
        <f t="shared" si="42"/>
        <v/>
      </c>
      <c r="BA42" s="114" t="str">
        <f t="shared" si="43"/>
        <v/>
      </c>
      <c r="BB42" s="250" t="s">
        <v>422</v>
      </c>
      <c r="BC42" s="230" t="s">
        <v>433</v>
      </c>
      <c r="BD42" s="251">
        <v>0</v>
      </c>
      <c r="BE42" s="270">
        <f t="shared" si="26"/>
        <v>0</v>
      </c>
      <c r="BF42" s="271">
        <f t="shared" si="44"/>
        <v>0</v>
      </c>
      <c r="BG42" s="271">
        <f t="shared" si="44"/>
        <v>0</v>
      </c>
      <c r="BH42" s="271">
        <f t="shared" si="44"/>
        <v>1</v>
      </c>
      <c r="BI42" s="271">
        <f t="shared" si="44"/>
        <v>2</v>
      </c>
      <c r="BJ42" s="271">
        <f t="shared" si="44"/>
        <v>3</v>
      </c>
      <c r="BK42" s="271">
        <f t="shared" si="44"/>
        <v>4</v>
      </c>
      <c r="BL42" s="272">
        <f t="shared" si="44"/>
        <v>5</v>
      </c>
      <c r="BM42" s="257">
        <f>IF($BC42=Lookup!$A$2,$BD42*ROUNDUP(BE42/10,0)+1,
IF($BC42=Lookup!$A$3,($BD42+1)^BD42,
IF($BC42=Lookup!$A$4,BE42*$BD42+1,"Error")))</f>
        <v>1</v>
      </c>
      <c r="BN42" s="230">
        <f>IF($BC42=Lookup!$A$2,$BD42*ROUNDUP(BF42/10,0)+1,
IF($BC42=Lookup!$A$3,($BD42+1)^BE42,
IF($BC42=Lookup!$A$4,BF42*$BD42+1,"Error")))</f>
        <v>1</v>
      </c>
      <c r="BO42" s="230">
        <f>IF($BC42=Lookup!$A$2,$BD42*ROUNDUP(BG42/10,0)+1,
IF($BC42=Lookup!$A$3,($BD42+1)^BF42,
IF($BC42=Lookup!$A$4,BG42*$BD42+1,"Error")))</f>
        <v>1</v>
      </c>
      <c r="BP42" s="230">
        <f>IF($BC42=Lookup!$A$2,$BD42*ROUNDUP(BH42/10,0)+1,
IF($BC42=Lookup!$A$3,($BD42+1)^BG42,
IF($BC42=Lookup!$A$4,BH42*$BD42+1,"Error")))</f>
        <v>1</v>
      </c>
      <c r="BQ42" s="230">
        <f>IF($BC42=Lookup!$A$2,$BD42*ROUNDUP(BI42/10,0)+1,
IF($BC42=Lookup!$A$3,($BD42+1)^BH42,
IF($BC42=Lookup!$A$4,BI42*$BD42+1,"Error")))</f>
        <v>1</v>
      </c>
      <c r="BR42" s="230">
        <f>IF($BC42=Lookup!$A$2,$BD42*ROUNDUP(BJ42/10,0)+1,
IF($BC42=Lookup!$A$3,($BD42+1)^BI42,
IF($BC42=Lookup!$A$4,BJ42*$BD42+1,"Error")))</f>
        <v>1</v>
      </c>
      <c r="BS42" s="230">
        <f>IF($BC42=Lookup!$A$2,$BD42*ROUNDUP(BK42/10,0)+1,
IF($BC42=Lookup!$A$3,($BD42+1)^BJ42,
IF($BC42=Lookup!$A$4,BK42*$BD42+1,"Error")))</f>
        <v>1</v>
      </c>
      <c r="BT42" s="251">
        <f>IF($BC42=Lookup!$A$2,$BD42*ROUNDUP(BL42/10,0)+1,
IF($BC42=Lookup!$A$3,($BD42+1)^BK42,
IF($BC42=Lookup!$A$4,BL42*$BD42+1,"Error")))</f>
        <v>1</v>
      </c>
      <c r="BU42" s="400">
        <v>0</v>
      </c>
      <c r="BV42" s="358">
        <v>0</v>
      </c>
      <c r="BW42" s="358">
        <v>0</v>
      </c>
      <c r="BX42" s="400">
        <v>0</v>
      </c>
      <c r="BY42" s="358">
        <v>0</v>
      </c>
      <c r="BZ42" s="358">
        <v>0</v>
      </c>
      <c r="CA42" s="358">
        <v>0</v>
      </c>
      <c r="CB42" s="401">
        <v>0</v>
      </c>
      <c r="CC42" s="384" t="s">
        <v>292</v>
      </c>
      <c r="CD42" s="385">
        <f>HLOOKUP($CC42,$AK$6:$AM$132,ROWS(CD$6:CD42),0)</f>
        <v>0</v>
      </c>
      <c r="CE42" s="365">
        <f t="shared" si="27"/>
        <v>0</v>
      </c>
      <c r="CF42" s="366">
        <f t="shared" si="24"/>
        <v>0</v>
      </c>
      <c r="CG42" s="800">
        <f t="shared" si="24"/>
        <v>0</v>
      </c>
      <c r="CH42" s="809">
        <f t="shared" si="24"/>
        <v>0</v>
      </c>
      <c r="CI42" s="366">
        <f t="shared" si="24"/>
        <v>0</v>
      </c>
      <c r="CJ42" s="366">
        <f t="shared" si="24"/>
        <v>0</v>
      </c>
      <c r="CK42" s="366">
        <f t="shared" si="24"/>
        <v>0</v>
      </c>
      <c r="CL42" s="367">
        <f t="shared" si="24"/>
        <v>0</v>
      </c>
      <c r="CM42" s="308" t="s">
        <v>293</v>
      </c>
      <c r="CN42" s="316">
        <v>0.05</v>
      </c>
      <c r="CO42" s="309"/>
      <c r="CP42" s="310" t="str">
        <f>IF($CO42&lt;&gt;"",$CO42,HLOOKUP($CM42,$AY$6:$BA$132,ROWS(CP$6:CP42),0))</f>
        <v/>
      </c>
      <c r="CQ42" s="785">
        <v>0</v>
      </c>
      <c r="CR42" s="785">
        <v>0</v>
      </c>
      <c r="CS42" s="638">
        <v>0</v>
      </c>
      <c r="CT42" s="467">
        <v>0</v>
      </c>
      <c r="CU42" s="117">
        <v>0</v>
      </c>
      <c r="CV42" s="117">
        <v>0</v>
      </c>
      <c r="CW42" s="117">
        <v>0</v>
      </c>
      <c r="CX42" s="118">
        <v>0</v>
      </c>
      <c r="CY42" s="393"/>
    </row>
    <row r="43" spans="1:110" x14ac:dyDescent="0.25">
      <c r="A43" s="63" t="s">
        <v>94</v>
      </c>
      <c r="B43" s="334" t="s">
        <v>92</v>
      </c>
      <c r="C43" s="65" t="s">
        <v>305</v>
      </c>
      <c r="D43" s="66"/>
      <c r="E43" s="67"/>
      <c r="F43" s="67"/>
      <c r="G43" s="67"/>
      <c r="H43" s="67"/>
      <c r="I43" s="67"/>
      <c r="J43" s="67"/>
      <c r="K43" s="67"/>
      <c r="L43" s="67"/>
      <c r="M43" s="653"/>
      <c r="N43" s="1064"/>
      <c r="O43" s="557">
        <f t="shared" si="25"/>
        <v>0</v>
      </c>
      <c r="P43" s="558">
        <f t="shared" si="0"/>
        <v>0</v>
      </c>
      <c r="Q43" s="558">
        <f t="shared" si="1"/>
        <v>0</v>
      </c>
      <c r="R43" s="558">
        <f t="shared" si="2"/>
        <v>0</v>
      </c>
      <c r="S43" s="558">
        <f t="shared" si="3"/>
        <v>0</v>
      </c>
      <c r="T43" s="558">
        <f t="shared" si="4"/>
        <v>0</v>
      </c>
      <c r="U43" s="558">
        <f t="shared" si="5"/>
        <v>0</v>
      </c>
      <c r="V43" s="558">
        <f t="shared" si="6"/>
        <v>0</v>
      </c>
      <c r="W43" s="674">
        <f t="shared" si="7"/>
        <v>0</v>
      </c>
      <c r="X43" s="674">
        <f t="shared" si="8"/>
        <v>0</v>
      </c>
      <c r="Y43" s="674">
        <f t="shared" si="8"/>
        <v>0</v>
      </c>
      <c r="Z43" s="119"/>
      <c r="AA43" s="120"/>
      <c r="AB43" s="120"/>
      <c r="AC43" s="120"/>
      <c r="AD43" s="120"/>
      <c r="AE43" s="120"/>
      <c r="AF43" s="120"/>
      <c r="AG43" s="120"/>
      <c r="AH43" s="120"/>
      <c r="AI43" s="1096"/>
      <c r="AJ43" s="667"/>
      <c r="AK43" s="121">
        <f t="shared" si="30"/>
        <v>0</v>
      </c>
      <c r="AL43" s="122" t="str" cm="1">
        <f t="array" aca="1" ref="AL43" ca="1">IFERROR(IF($AM$4="N",SSUM(AF43:AH43)/3,SUM(AG43:AI43)/3),"")</f>
        <v/>
      </c>
      <c r="AM43" s="123">
        <f t="shared" si="31"/>
        <v>0</v>
      </c>
      <c r="AN43" s="73" t="str">
        <f t="shared" si="32"/>
        <v/>
      </c>
      <c r="AO43" s="74" t="str">
        <f t="shared" si="33"/>
        <v/>
      </c>
      <c r="AP43" s="74" t="str">
        <f t="shared" si="34"/>
        <v/>
      </c>
      <c r="AQ43" s="74" t="str">
        <f t="shared" si="35"/>
        <v/>
      </c>
      <c r="AR43" s="74" t="str">
        <f t="shared" si="36"/>
        <v/>
      </c>
      <c r="AS43" s="74" t="str">
        <f t="shared" si="37"/>
        <v/>
      </c>
      <c r="AT43" s="74" t="str">
        <f t="shared" si="38"/>
        <v/>
      </c>
      <c r="AU43" s="74" t="str">
        <f t="shared" si="39"/>
        <v/>
      </c>
      <c r="AV43" s="74" t="str">
        <f t="shared" si="40"/>
        <v/>
      </c>
      <c r="AW43" s="74" t="str">
        <f t="shared" si="40"/>
        <v/>
      </c>
      <c r="AX43" s="74" t="str">
        <f t="shared" si="40"/>
        <v/>
      </c>
      <c r="AY43" s="75" t="str">
        <f t="shared" si="41"/>
        <v/>
      </c>
      <c r="AZ43" s="76" t="str">
        <f t="shared" si="42"/>
        <v/>
      </c>
      <c r="BA43" s="77" t="str">
        <f t="shared" si="43"/>
        <v/>
      </c>
      <c r="BB43" s="246" t="s">
        <v>422</v>
      </c>
      <c r="BC43" s="228" t="s">
        <v>433</v>
      </c>
      <c r="BD43" s="247">
        <v>0</v>
      </c>
      <c r="BE43" s="264">
        <f t="shared" si="26"/>
        <v>0</v>
      </c>
      <c r="BF43" s="265">
        <f t="shared" si="44"/>
        <v>0</v>
      </c>
      <c r="BG43" s="265">
        <f t="shared" si="44"/>
        <v>0</v>
      </c>
      <c r="BH43" s="265">
        <f t="shared" si="44"/>
        <v>1</v>
      </c>
      <c r="BI43" s="265">
        <f t="shared" si="44"/>
        <v>2</v>
      </c>
      <c r="BJ43" s="265">
        <f t="shared" si="44"/>
        <v>3</v>
      </c>
      <c r="BK43" s="265">
        <f t="shared" si="44"/>
        <v>4</v>
      </c>
      <c r="BL43" s="266">
        <f t="shared" si="44"/>
        <v>5</v>
      </c>
      <c r="BM43" s="255">
        <f>IF($BC43=Lookup!$A$2,$BD43*ROUNDUP(BE43/10,0)+1,
IF($BC43=Lookup!$A$3,($BD43+1)^BD43,
IF($BC43=Lookup!$A$4,BE43*$BD43+1,"Error")))</f>
        <v>1</v>
      </c>
      <c r="BN43" s="228">
        <f>IF($BC43=Lookup!$A$2,$BD43*ROUNDUP(BF43/10,0)+1,
IF($BC43=Lookup!$A$3,($BD43+1)^BE43,
IF($BC43=Lookup!$A$4,BF43*$BD43+1,"Error")))</f>
        <v>1</v>
      </c>
      <c r="BO43" s="228">
        <f>IF($BC43=Lookup!$A$2,$BD43*ROUNDUP(BG43/10,0)+1,
IF($BC43=Lookup!$A$3,($BD43+1)^BF43,
IF($BC43=Lookup!$A$4,BG43*$BD43+1,"Error")))</f>
        <v>1</v>
      </c>
      <c r="BP43" s="228">
        <f>IF($BC43=Lookup!$A$2,$BD43*ROUNDUP(BH43/10,0)+1,
IF($BC43=Lookup!$A$3,($BD43+1)^BG43,
IF($BC43=Lookup!$A$4,BH43*$BD43+1,"Error")))</f>
        <v>1</v>
      </c>
      <c r="BQ43" s="228">
        <f>IF($BC43=Lookup!$A$2,$BD43*ROUNDUP(BI43/10,0)+1,
IF($BC43=Lookup!$A$3,($BD43+1)^BH43,
IF($BC43=Lookup!$A$4,BI43*$BD43+1,"Error")))</f>
        <v>1</v>
      </c>
      <c r="BR43" s="228">
        <f>IF($BC43=Lookup!$A$2,$BD43*ROUNDUP(BJ43/10,0)+1,
IF($BC43=Lookup!$A$3,($BD43+1)^BI43,
IF($BC43=Lookup!$A$4,BJ43*$BD43+1,"Error")))</f>
        <v>1</v>
      </c>
      <c r="BS43" s="228">
        <f>IF($BC43=Lookup!$A$2,$BD43*ROUNDUP(BK43/10,0)+1,
IF($BC43=Lookup!$A$3,($BD43+1)^BJ43,
IF($BC43=Lookup!$A$4,BK43*$BD43+1,"Error")))</f>
        <v>1</v>
      </c>
      <c r="BT43" s="247">
        <f>IF($BC43=Lookup!$A$2,$BD43*ROUNDUP(BL43/10,0)+1,
IF($BC43=Lookup!$A$3,($BD43+1)^BK43,
IF($BC43=Lookup!$A$4,BL43*$BD43+1,"Error")))</f>
        <v>1</v>
      </c>
      <c r="BU43" s="396">
        <v>0</v>
      </c>
      <c r="BV43" s="354">
        <v>0</v>
      </c>
      <c r="BW43" s="354">
        <v>0</v>
      </c>
      <c r="BX43" s="396">
        <v>0</v>
      </c>
      <c r="BY43" s="354">
        <v>0</v>
      </c>
      <c r="BZ43" s="354">
        <v>0</v>
      </c>
      <c r="CA43" s="354">
        <v>0</v>
      </c>
      <c r="CB43" s="397">
        <v>0</v>
      </c>
      <c r="CC43" s="380" t="s">
        <v>292</v>
      </c>
      <c r="CD43" s="381">
        <f>HLOOKUP($CC43,$AK$6:$AM$132,ROWS(CD$6:CD43),0)</f>
        <v>0</v>
      </c>
      <c r="CE43" s="359">
        <f t="shared" si="27"/>
        <v>0</v>
      </c>
      <c r="CF43" s="360">
        <f t="shared" si="24"/>
        <v>0</v>
      </c>
      <c r="CG43" s="798">
        <f t="shared" si="24"/>
        <v>0</v>
      </c>
      <c r="CH43" s="807">
        <f t="shared" si="24"/>
        <v>0</v>
      </c>
      <c r="CI43" s="360">
        <f t="shared" ref="CI43:CL106" si="45">IFERROR(IF(BY43&lt;&gt;"",BY43,BQ43*$CD43),"")</f>
        <v>0</v>
      </c>
      <c r="CJ43" s="360">
        <f t="shared" si="45"/>
        <v>0</v>
      </c>
      <c r="CK43" s="360">
        <f t="shared" si="45"/>
        <v>0</v>
      </c>
      <c r="CL43" s="361">
        <f t="shared" si="45"/>
        <v>0</v>
      </c>
      <c r="CM43" s="302" t="s">
        <v>293</v>
      </c>
      <c r="CN43" s="314">
        <v>0.05</v>
      </c>
      <c r="CO43" s="303"/>
      <c r="CP43" s="304" t="str">
        <f>IF($CO43&lt;&gt;"",$CO43,HLOOKUP($CM43,$AY$6:$BA$132,ROWS(CP$6:CP43),0))</f>
        <v/>
      </c>
      <c r="CQ43" s="783">
        <v>0</v>
      </c>
      <c r="CR43" s="783">
        <v>0</v>
      </c>
      <c r="CS43" s="523">
        <v>0</v>
      </c>
      <c r="CT43" s="415">
        <v>0</v>
      </c>
      <c r="CU43" s="79">
        <v>0</v>
      </c>
      <c r="CV43" s="79">
        <v>0</v>
      </c>
      <c r="CW43" s="79">
        <v>0</v>
      </c>
      <c r="CX43" s="80">
        <v>0</v>
      </c>
      <c r="CY43" s="391"/>
      <c r="CZ43" s="1" t="s">
        <v>675</v>
      </c>
      <c r="DA43" t="s">
        <v>685</v>
      </c>
      <c r="DB43" t="s">
        <v>685</v>
      </c>
      <c r="DC43" t="s">
        <v>685</v>
      </c>
      <c r="DD43" t="s">
        <v>685</v>
      </c>
      <c r="DE43" t="s">
        <v>685</v>
      </c>
      <c r="DF43" t="s">
        <v>514</v>
      </c>
    </row>
    <row r="44" spans="1:110" x14ac:dyDescent="0.25">
      <c r="A44" s="81" t="s">
        <v>94</v>
      </c>
      <c r="B44" s="82" t="s">
        <v>95</v>
      </c>
      <c r="C44" s="83" t="s">
        <v>70</v>
      </c>
      <c r="D44" s="84"/>
      <c r="E44" s="85"/>
      <c r="F44" s="85"/>
      <c r="G44" s="85"/>
      <c r="H44" s="85"/>
      <c r="I44" s="85"/>
      <c r="J44" s="85"/>
      <c r="K44" s="85"/>
      <c r="L44" s="85"/>
      <c r="M44" s="654"/>
      <c r="N44" s="1065"/>
      <c r="O44" s="560">
        <f t="shared" si="25"/>
        <v>0</v>
      </c>
      <c r="P44" s="561">
        <f t="shared" si="0"/>
        <v>0</v>
      </c>
      <c r="Q44" s="561">
        <f t="shared" si="1"/>
        <v>0</v>
      </c>
      <c r="R44" s="561">
        <f t="shared" si="2"/>
        <v>0</v>
      </c>
      <c r="S44" s="561">
        <f t="shared" si="3"/>
        <v>0</v>
      </c>
      <c r="T44" s="561">
        <f t="shared" si="4"/>
        <v>0</v>
      </c>
      <c r="U44" s="561">
        <f t="shared" si="5"/>
        <v>0</v>
      </c>
      <c r="V44" s="561">
        <f t="shared" si="6"/>
        <v>0</v>
      </c>
      <c r="W44" s="675">
        <f t="shared" si="7"/>
        <v>0</v>
      </c>
      <c r="X44" s="675">
        <f t="shared" si="8"/>
        <v>0</v>
      </c>
      <c r="Y44" s="675">
        <f t="shared" si="8"/>
        <v>0</v>
      </c>
      <c r="Z44" s="125"/>
      <c r="AA44" s="126"/>
      <c r="AB44" s="126"/>
      <c r="AC44" s="126"/>
      <c r="AD44" s="126"/>
      <c r="AE44" s="126"/>
      <c r="AF44" s="126"/>
      <c r="AG44" s="126"/>
      <c r="AH44" s="126"/>
      <c r="AI44" s="1097"/>
      <c r="AJ44" s="668"/>
      <c r="AK44" s="127">
        <f t="shared" si="30"/>
        <v>0</v>
      </c>
      <c r="AL44" s="128" t="str" cm="1">
        <f t="array" aca="1" ref="AL44" ca="1">IFERROR(IF($AM$4="N",SSUM(AF44:AH44)/3,SUM(AG44:AI44)/3),"")</f>
        <v/>
      </c>
      <c r="AM44" s="129">
        <f t="shared" si="31"/>
        <v>0</v>
      </c>
      <c r="AN44" s="91" t="str">
        <f t="shared" si="32"/>
        <v/>
      </c>
      <c r="AO44" s="92" t="str">
        <f t="shared" si="33"/>
        <v/>
      </c>
      <c r="AP44" s="92" t="str">
        <f t="shared" si="34"/>
        <v/>
      </c>
      <c r="AQ44" s="92" t="str">
        <f t="shared" si="35"/>
        <v/>
      </c>
      <c r="AR44" s="92" t="str">
        <f t="shared" si="36"/>
        <v/>
      </c>
      <c r="AS44" s="92" t="str">
        <f t="shared" si="37"/>
        <v/>
      </c>
      <c r="AT44" s="92" t="str">
        <f t="shared" si="38"/>
        <v/>
      </c>
      <c r="AU44" s="92" t="str">
        <f t="shared" si="39"/>
        <v/>
      </c>
      <c r="AV44" s="92" t="str">
        <f t="shared" si="40"/>
        <v/>
      </c>
      <c r="AW44" s="92" t="str">
        <f t="shared" si="40"/>
        <v/>
      </c>
      <c r="AX44" s="92" t="str">
        <f t="shared" si="40"/>
        <v/>
      </c>
      <c r="AY44" s="93" t="str">
        <f t="shared" si="41"/>
        <v/>
      </c>
      <c r="AZ44" s="94" t="str">
        <f t="shared" si="42"/>
        <v/>
      </c>
      <c r="BA44" s="95" t="str">
        <f t="shared" si="43"/>
        <v/>
      </c>
      <c r="BB44" s="248" t="s">
        <v>422</v>
      </c>
      <c r="BC44" s="229" t="s">
        <v>433</v>
      </c>
      <c r="BD44" s="249">
        <v>0</v>
      </c>
      <c r="BE44" s="267">
        <f t="shared" si="26"/>
        <v>0</v>
      </c>
      <c r="BF44" s="268">
        <f t="shared" si="44"/>
        <v>0</v>
      </c>
      <c r="BG44" s="268">
        <f t="shared" si="44"/>
        <v>0</v>
      </c>
      <c r="BH44" s="268">
        <f t="shared" si="44"/>
        <v>1</v>
      </c>
      <c r="BI44" s="268">
        <f t="shared" si="44"/>
        <v>2</v>
      </c>
      <c r="BJ44" s="268">
        <f t="shared" si="44"/>
        <v>3</v>
      </c>
      <c r="BK44" s="268">
        <f t="shared" si="44"/>
        <v>4</v>
      </c>
      <c r="BL44" s="269">
        <f t="shared" si="44"/>
        <v>5</v>
      </c>
      <c r="BM44" s="256">
        <f>IF($BC44=Lookup!$A$2,$BD44*ROUNDUP(BE44/10,0)+1,
IF($BC44=Lookup!$A$3,($BD44+1)^BD44,
IF($BC44=Lookup!$A$4,BE44*$BD44+1,"Error")))</f>
        <v>1</v>
      </c>
      <c r="BN44" s="229">
        <f>IF($BC44=Lookup!$A$2,$BD44*ROUNDUP(BF44/10,0)+1,
IF($BC44=Lookup!$A$3,($BD44+1)^BE44,
IF($BC44=Lookup!$A$4,BF44*$BD44+1,"Error")))</f>
        <v>1</v>
      </c>
      <c r="BO44" s="229">
        <f>IF($BC44=Lookup!$A$2,$BD44*ROUNDUP(BG44/10,0)+1,
IF($BC44=Lookup!$A$3,($BD44+1)^BF44,
IF($BC44=Lookup!$A$4,BG44*$BD44+1,"Error")))</f>
        <v>1</v>
      </c>
      <c r="BP44" s="229">
        <f>IF($BC44=Lookup!$A$2,$BD44*ROUNDUP(BH44/10,0)+1,
IF($BC44=Lookup!$A$3,($BD44+1)^BG44,
IF($BC44=Lookup!$A$4,BH44*$BD44+1,"Error")))</f>
        <v>1</v>
      </c>
      <c r="BQ44" s="229">
        <f>IF($BC44=Lookup!$A$2,$BD44*ROUNDUP(BI44/10,0)+1,
IF($BC44=Lookup!$A$3,($BD44+1)^BH44,
IF($BC44=Lookup!$A$4,BI44*$BD44+1,"Error")))</f>
        <v>1</v>
      </c>
      <c r="BR44" s="229">
        <f>IF($BC44=Lookup!$A$2,$BD44*ROUNDUP(BJ44/10,0)+1,
IF($BC44=Lookup!$A$3,($BD44+1)^BI44,
IF($BC44=Lookup!$A$4,BJ44*$BD44+1,"Error")))</f>
        <v>1</v>
      </c>
      <c r="BS44" s="229">
        <f>IF($BC44=Lookup!$A$2,$BD44*ROUNDUP(BK44/10,0)+1,
IF($BC44=Lookup!$A$3,($BD44+1)^BJ44,
IF($BC44=Lookup!$A$4,BK44*$BD44+1,"Error")))</f>
        <v>1</v>
      </c>
      <c r="BT44" s="249">
        <f>IF($BC44=Lookup!$A$2,$BD44*ROUNDUP(BL44/10,0)+1,
IF($BC44=Lookup!$A$3,($BD44+1)^BK44,
IF($BC44=Lookup!$A$4,BL44*$BD44+1,"Error")))</f>
        <v>1</v>
      </c>
      <c r="BU44" s="398">
        <v>0</v>
      </c>
      <c r="BV44" s="356">
        <v>0.4</v>
      </c>
      <c r="BW44" s="356">
        <v>1E-3</v>
      </c>
      <c r="BX44" s="398">
        <v>0</v>
      </c>
      <c r="BY44" s="356">
        <v>4.5250000000000004</v>
      </c>
      <c r="BZ44" s="356">
        <v>0</v>
      </c>
      <c r="CA44" s="356">
        <v>0</v>
      </c>
      <c r="CB44" s="399">
        <v>6.5010000000000003</v>
      </c>
      <c r="CC44" s="382" t="s">
        <v>292</v>
      </c>
      <c r="CD44" s="383">
        <f>HLOOKUP($CC44,$AK$6:$AM$132,ROWS(CD$6:CD44),0)</f>
        <v>0</v>
      </c>
      <c r="CE44" s="362">
        <f t="shared" si="27"/>
        <v>0</v>
      </c>
      <c r="CF44" s="363">
        <f t="shared" si="27"/>
        <v>0.4</v>
      </c>
      <c r="CG44" s="799">
        <f t="shared" si="27"/>
        <v>1E-3</v>
      </c>
      <c r="CH44" s="808">
        <f t="shared" si="27"/>
        <v>0</v>
      </c>
      <c r="CI44" s="363">
        <f t="shared" si="45"/>
        <v>4.5250000000000004</v>
      </c>
      <c r="CJ44" s="363">
        <f t="shared" si="45"/>
        <v>0</v>
      </c>
      <c r="CK44" s="363">
        <f t="shared" si="45"/>
        <v>0</v>
      </c>
      <c r="CL44" s="364">
        <f t="shared" si="45"/>
        <v>6.5010000000000003</v>
      </c>
      <c r="CM44" s="305" t="s">
        <v>293</v>
      </c>
      <c r="CN44" s="315">
        <v>0.05</v>
      </c>
      <c r="CO44" s="306"/>
      <c r="CP44" s="307" t="str">
        <f>IF($CO44&lt;&gt;"",$CO44,HLOOKUP($CM44,$AY$6:$BA$132,ROWS(CP$6:CP44),0))</f>
        <v/>
      </c>
      <c r="CQ44" s="784">
        <v>124561.606971363</v>
      </c>
      <c r="CR44" s="784">
        <v>3343616.1159552601</v>
      </c>
      <c r="CS44" s="524">
        <v>2410474.8475520182</v>
      </c>
      <c r="CT44" s="416">
        <v>882217.95681072911</v>
      </c>
      <c r="CU44" s="97">
        <v>533987.85153828911</v>
      </c>
      <c r="CV44" s="97">
        <v>687794.8931065558</v>
      </c>
      <c r="CW44" s="97">
        <v>883827.84170370863</v>
      </c>
      <c r="CX44" s="98">
        <v>1562821.7597254948</v>
      </c>
      <c r="CY44" s="392"/>
      <c r="CZ44" s="1" t="s">
        <v>643</v>
      </c>
      <c r="DA44">
        <f>ROUND(SUM('Defect (Total)'!BN43:BN50)/1000000,1)</f>
        <v>6.5</v>
      </c>
      <c r="DB44">
        <f>ROUND(SUM('Defect (Total)'!BO43:BO50)/1000000,1)</f>
        <v>6.8</v>
      </c>
      <c r="DC44">
        <f>ROUND(SUM('Defect (Total)'!BP43:BP50)/1000000,1)</f>
        <v>6.8</v>
      </c>
      <c r="DD44">
        <f>ROUND(SUM('Defect (Total)'!BQ43:BQ50)/1000000,1)</f>
        <v>7.1</v>
      </c>
      <c r="DE44">
        <f>ROUND(SUM('Defect (Total)'!BR43:BR50)/1000000,1)</f>
        <v>7.1</v>
      </c>
      <c r="DF44">
        <f>SUM(DA44:DE44)</f>
        <v>34.300000000000004</v>
      </c>
    </row>
    <row r="45" spans="1:110" x14ac:dyDescent="0.25">
      <c r="A45" s="81" t="s">
        <v>94</v>
      </c>
      <c r="B45" s="82" t="s">
        <v>96</v>
      </c>
      <c r="C45" s="83" t="s">
        <v>72</v>
      </c>
      <c r="D45" s="84"/>
      <c r="E45" s="85"/>
      <c r="F45" s="85"/>
      <c r="G45" s="85"/>
      <c r="H45" s="85"/>
      <c r="I45" s="85"/>
      <c r="J45" s="85"/>
      <c r="K45" s="85"/>
      <c r="L45" s="85"/>
      <c r="M45" s="654"/>
      <c r="N45" s="1065"/>
      <c r="O45" s="560">
        <f t="shared" si="25"/>
        <v>0</v>
      </c>
      <c r="P45" s="561">
        <f t="shared" si="0"/>
        <v>0</v>
      </c>
      <c r="Q45" s="561">
        <f t="shared" si="1"/>
        <v>0</v>
      </c>
      <c r="R45" s="561">
        <f t="shared" si="2"/>
        <v>0</v>
      </c>
      <c r="S45" s="561">
        <f t="shared" si="3"/>
        <v>0</v>
      </c>
      <c r="T45" s="561">
        <f t="shared" si="4"/>
        <v>0</v>
      </c>
      <c r="U45" s="561">
        <f t="shared" si="5"/>
        <v>0</v>
      </c>
      <c r="V45" s="561">
        <f t="shared" si="6"/>
        <v>0</v>
      </c>
      <c r="W45" s="675">
        <f t="shared" si="7"/>
        <v>0</v>
      </c>
      <c r="X45" s="675">
        <f t="shared" si="8"/>
        <v>0</v>
      </c>
      <c r="Y45" s="675">
        <f t="shared" si="8"/>
        <v>0</v>
      </c>
      <c r="Z45" s="125"/>
      <c r="AA45" s="126"/>
      <c r="AB45" s="126"/>
      <c r="AC45" s="126"/>
      <c r="AD45" s="126"/>
      <c r="AE45" s="126"/>
      <c r="AF45" s="126"/>
      <c r="AG45" s="126"/>
      <c r="AH45" s="126"/>
      <c r="AI45" s="1097"/>
      <c r="AJ45" s="668"/>
      <c r="AK45" s="127">
        <f t="shared" si="30"/>
        <v>0</v>
      </c>
      <c r="AL45" s="128" t="str" cm="1">
        <f t="array" aca="1" ref="AL45" ca="1">IFERROR(IF($AM$4="N",SSUM(AF45:AH45)/3,SUM(AG45:AI45)/3),"")</f>
        <v/>
      </c>
      <c r="AM45" s="129">
        <f t="shared" si="31"/>
        <v>0</v>
      </c>
      <c r="AN45" s="91" t="str">
        <f t="shared" si="32"/>
        <v/>
      </c>
      <c r="AO45" s="92" t="str">
        <f t="shared" si="33"/>
        <v/>
      </c>
      <c r="AP45" s="92" t="str">
        <f t="shared" si="34"/>
        <v/>
      </c>
      <c r="AQ45" s="92" t="str">
        <f t="shared" si="35"/>
        <v/>
      </c>
      <c r="AR45" s="92" t="str">
        <f t="shared" si="36"/>
        <v/>
      </c>
      <c r="AS45" s="92" t="str">
        <f t="shared" si="37"/>
        <v/>
      </c>
      <c r="AT45" s="92" t="str">
        <f t="shared" si="38"/>
        <v/>
      </c>
      <c r="AU45" s="92" t="str">
        <f t="shared" si="39"/>
        <v/>
      </c>
      <c r="AV45" s="92" t="str">
        <f t="shared" si="40"/>
        <v/>
      </c>
      <c r="AW45" s="92" t="str">
        <f t="shared" si="40"/>
        <v/>
      </c>
      <c r="AX45" s="92" t="str">
        <f t="shared" si="40"/>
        <v/>
      </c>
      <c r="AY45" s="93" t="str">
        <f t="shared" si="41"/>
        <v/>
      </c>
      <c r="AZ45" s="94" t="str">
        <f t="shared" si="42"/>
        <v/>
      </c>
      <c r="BA45" s="95" t="str">
        <f t="shared" si="43"/>
        <v/>
      </c>
      <c r="BB45" s="248" t="s">
        <v>422</v>
      </c>
      <c r="BC45" s="229" t="s">
        <v>433</v>
      </c>
      <c r="BD45" s="249">
        <v>0</v>
      </c>
      <c r="BE45" s="267">
        <f t="shared" si="26"/>
        <v>0</v>
      </c>
      <c r="BF45" s="268">
        <f t="shared" si="44"/>
        <v>0</v>
      </c>
      <c r="BG45" s="268">
        <f t="shared" si="44"/>
        <v>0</v>
      </c>
      <c r="BH45" s="268">
        <f t="shared" si="44"/>
        <v>1</v>
      </c>
      <c r="BI45" s="268">
        <f t="shared" si="44"/>
        <v>2</v>
      </c>
      <c r="BJ45" s="268">
        <f t="shared" si="44"/>
        <v>3</v>
      </c>
      <c r="BK45" s="268">
        <f t="shared" si="44"/>
        <v>4</v>
      </c>
      <c r="BL45" s="269">
        <f t="shared" si="44"/>
        <v>5</v>
      </c>
      <c r="BM45" s="256">
        <f>IF($BC45=Lookup!$A$2,$BD45*ROUNDUP(BE45/10,0)+1,
IF($BC45=Lookup!$A$3,($BD45+1)^BD45,
IF($BC45=Lookup!$A$4,BE45*$BD45+1,"Error")))</f>
        <v>1</v>
      </c>
      <c r="BN45" s="229">
        <f>IF($BC45=Lookup!$A$2,$BD45*ROUNDUP(BF45/10,0)+1,
IF($BC45=Lookup!$A$3,($BD45+1)^BE45,
IF($BC45=Lookup!$A$4,BF45*$BD45+1,"Error")))</f>
        <v>1</v>
      </c>
      <c r="BO45" s="229">
        <f>IF($BC45=Lookup!$A$2,$BD45*ROUNDUP(BG45/10,0)+1,
IF($BC45=Lookup!$A$3,($BD45+1)^BF45,
IF($BC45=Lookup!$A$4,BG45*$BD45+1,"Error")))</f>
        <v>1</v>
      </c>
      <c r="BP45" s="229">
        <f>IF($BC45=Lookup!$A$2,$BD45*ROUNDUP(BH45/10,0)+1,
IF($BC45=Lookup!$A$3,($BD45+1)^BG45,
IF($BC45=Lookup!$A$4,BH45*$BD45+1,"Error")))</f>
        <v>1</v>
      </c>
      <c r="BQ45" s="229">
        <f>IF($BC45=Lookup!$A$2,$BD45*ROUNDUP(BI45/10,0)+1,
IF($BC45=Lookup!$A$3,($BD45+1)^BH45,
IF($BC45=Lookup!$A$4,BI45*$BD45+1,"Error")))</f>
        <v>1</v>
      </c>
      <c r="BR45" s="229">
        <f>IF($BC45=Lookup!$A$2,$BD45*ROUNDUP(BJ45/10,0)+1,
IF($BC45=Lookup!$A$3,($BD45+1)^BI45,
IF($BC45=Lookup!$A$4,BJ45*$BD45+1,"Error")))</f>
        <v>1</v>
      </c>
      <c r="BS45" s="229">
        <f>IF($BC45=Lookup!$A$2,$BD45*ROUNDUP(BK45/10,0)+1,
IF($BC45=Lookup!$A$3,($BD45+1)^BJ45,
IF($BC45=Lookup!$A$4,BK45*$BD45+1,"Error")))</f>
        <v>1</v>
      </c>
      <c r="BT45" s="249">
        <f>IF($BC45=Lookup!$A$2,$BD45*ROUNDUP(BL45/10,0)+1,
IF($BC45=Lookup!$A$3,($BD45+1)^BK45,
IF($BC45=Lookup!$A$4,BL45*$BD45+1,"Error")))</f>
        <v>1</v>
      </c>
      <c r="BU45" s="398">
        <v>0</v>
      </c>
      <c r="BV45" s="356">
        <v>0</v>
      </c>
      <c r="BW45" s="356">
        <v>0</v>
      </c>
      <c r="BX45" s="398">
        <v>0</v>
      </c>
      <c r="BY45" s="356">
        <v>0</v>
      </c>
      <c r="BZ45" s="356">
        <v>0</v>
      </c>
      <c r="CA45" s="356">
        <v>0</v>
      </c>
      <c r="CB45" s="399">
        <v>0</v>
      </c>
      <c r="CC45" s="382" t="s">
        <v>292</v>
      </c>
      <c r="CD45" s="383">
        <f>HLOOKUP($CC45,$AK$6:$AM$132,ROWS(CD$6:CD45),0)</f>
        <v>0</v>
      </c>
      <c r="CE45" s="362">
        <f t="shared" si="27"/>
        <v>0</v>
      </c>
      <c r="CF45" s="363">
        <f t="shared" si="27"/>
        <v>0</v>
      </c>
      <c r="CG45" s="799">
        <f t="shared" si="27"/>
        <v>0</v>
      </c>
      <c r="CH45" s="808">
        <f t="shared" si="27"/>
        <v>0</v>
      </c>
      <c r="CI45" s="363">
        <f t="shared" si="45"/>
        <v>0</v>
      </c>
      <c r="CJ45" s="363">
        <f t="shared" si="45"/>
        <v>0</v>
      </c>
      <c r="CK45" s="363">
        <f t="shared" si="45"/>
        <v>0</v>
      </c>
      <c r="CL45" s="364">
        <f t="shared" si="45"/>
        <v>0</v>
      </c>
      <c r="CM45" s="305" t="s">
        <v>293</v>
      </c>
      <c r="CN45" s="315">
        <v>0.05</v>
      </c>
      <c r="CO45" s="306"/>
      <c r="CP45" s="307" t="str">
        <f>IF($CO45&lt;&gt;"",$CO45,HLOOKUP($CM45,$AY$6:$BA$132,ROWS(CP$6:CP45),0))</f>
        <v/>
      </c>
      <c r="CQ45" s="784">
        <v>0</v>
      </c>
      <c r="CR45" s="784">
        <v>0</v>
      </c>
      <c r="CS45" s="524">
        <v>0</v>
      </c>
      <c r="CT45" s="416">
        <v>0</v>
      </c>
      <c r="CU45" s="97">
        <v>0</v>
      </c>
      <c r="CV45" s="97">
        <v>0</v>
      </c>
      <c r="CW45" s="97">
        <v>0</v>
      </c>
      <c r="CX45" s="98">
        <v>0</v>
      </c>
      <c r="CY45" s="392"/>
      <c r="CZ45" s="1" t="s">
        <v>676</v>
      </c>
      <c r="DA45">
        <f>ROUND(SUM(CT43:CT50)/1000000,1)</f>
        <v>0.9</v>
      </c>
      <c r="DB45">
        <f>ROUND(SUM(CU43:CU50)/1000000,1)</f>
        <v>0.5</v>
      </c>
      <c r="DC45">
        <f>ROUND(SUM(CV43:CV50)/1000000,1)</f>
        <v>0.7</v>
      </c>
      <c r="DD45">
        <f>ROUND(SUM(CW43:CW50)/1000000,1)</f>
        <v>0.9</v>
      </c>
      <c r="DE45">
        <f>ROUND(SUM(CX43:CX50)/1000000,1)</f>
        <v>1.6</v>
      </c>
      <c r="DF45">
        <f>SUM(DA45:DE45)</f>
        <v>4.5999999999999996</v>
      </c>
    </row>
    <row r="46" spans="1:110" x14ac:dyDescent="0.25">
      <c r="A46" s="81" t="s">
        <v>94</v>
      </c>
      <c r="B46" s="82" t="s">
        <v>97</v>
      </c>
      <c r="C46" s="83" t="s">
        <v>98</v>
      </c>
      <c r="D46" s="84"/>
      <c r="E46" s="85"/>
      <c r="F46" s="85"/>
      <c r="G46" s="85"/>
      <c r="H46" s="85"/>
      <c r="I46" s="85"/>
      <c r="J46" s="85"/>
      <c r="K46" s="85"/>
      <c r="L46" s="85"/>
      <c r="M46" s="654"/>
      <c r="N46" s="1065"/>
      <c r="O46" s="560">
        <f t="shared" si="25"/>
        <v>0</v>
      </c>
      <c r="P46" s="561">
        <f t="shared" si="0"/>
        <v>0</v>
      </c>
      <c r="Q46" s="561">
        <f t="shared" si="1"/>
        <v>0</v>
      </c>
      <c r="R46" s="561">
        <f t="shared" si="2"/>
        <v>0</v>
      </c>
      <c r="S46" s="561">
        <f t="shared" si="3"/>
        <v>0</v>
      </c>
      <c r="T46" s="561">
        <f t="shared" si="4"/>
        <v>0</v>
      </c>
      <c r="U46" s="561">
        <f t="shared" si="5"/>
        <v>0</v>
      </c>
      <c r="V46" s="561">
        <f t="shared" si="6"/>
        <v>0</v>
      </c>
      <c r="W46" s="675">
        <f t="shared" si="7"/>
        <v>0</v>
      </c>
      <c r="X46" s="675">
        <f t="shared" si="8"/>
        <v>0</v>
      </c>
      <c r="Y46" s="675">
        <f t="shared" si="8"/>
        <v>0</v>
      </c>
      <c r="Z46" s="125"/>
      <c r="AA46" s="126"/>
      <c r="AB46" s="126"/>
      <c r="AC46" s="126"/>
      <c r="AD46" s="126"/>
      <c r="AE46" s="126"/>
      <c r="AF46" s="126"/>
      <c r="AG46" s="126"/>
      <c r="AH46" s="126"/>
      <c r="AI46" s="1097"/>
      <c r="AJ46" s="668"/>
      <c r="AK46" s="127">
        <f t="shared" si="30"/>
        <v>0</v>
      </c>
      <c r="AL46" s="128" t="str" cm="1">
        <f t="array" aca="1" ref="AL46" ca="1">IFERROR(IF($AM$4="N",SSUM(AF46:AH46)/3,SUM(AG46:AI46)/3),"")</f>
        <v/>
      </c>
      <c r="AM46" s="129">
        <f t="shared" si="31"/>
        <v>0</v>
      </c>
      <c r="AN46" s="91" t="str">
        <f t="shared" si="32"/>
        <v/>
      </c>
      <c r="AO46" s="92" t="str">
        <f t="shared" si="33"/>
        <v/>
      </c>
      <c r="AP46" s="92" t="str">
        <f t="shared" si="34"/>
        <v/>
      </c>
      <c r="AQ46" s="92" t="str">
        <f t="shared" si="35"/>
        <v/>
      </c>
      <c r="AR46" s="92" t="str">
        <f t="shared" si="36"/>
        <v/>
      </c>
      <c r="AS46" s="92" t="str">
        <f t="shared" si="37"/>
        <v/>
      </c>
      <c r="AT46" s="92" t="str">
        <f t="shared" si="38"/>
        <v/>
      </c>
      <c r="AU46" s="92" t="str">
        <f t="shared" si="39"/>
        <v/>
      </c>
      <c r="AV46" s="92" t="str">
        <f t="shared" si="40"/>
        <v/>
      </c>
      <c r="AW46" s="92" t="str">
        <f t="shared" si="40"/>
        <v/>
      </c>
      <c r="AX46" s="92" t="str">
        <f t="shared" si="40"/>
        <v/>
      </c>
      <c r="AY46" s="93" t="str">
        <f t="shared" si="41"/>
        <v/>
      </c>
      <c r="AZ46" s="94" t="str">
        <f t="shared" si="42"/>
        <v/>
      </c>
      <c r="BA46" s="95" t="str">
        <f t="shared" si="43"/>
        <v/>
      </c>
      <c r="BB46" s="248" t="s">
        <v>422</v>
      </c>
      <c r="BC46" s="229" t="s">
        <v>433</v>
      </c>
      <c r="BD46" s="249">
        <v>0</v>
      </c>
      <c r="BE46" s="267">
        <f t="shared" si="26"/>
        <v>0</v>
      </c>
      <c r="BF46" s="268">
        <f t="shared" si="44"/>
        <v>0</v>
      </c>
      <c r="BG46" s="268">
        <f t="shared" si="44"/>
        <v>0</v>
      </c>
      <c r="BH46" s="268">
        <f t="shared" si="44"/>
        <v>1</v>
      </c>
      <c r="BI46" s="268">
        <f t="shared" si="44"/>
        <v>2</v>
      </c>
      <c r="BJ46" s="268">
        <f t="shared" si="44"/>
        <v>3</v>
      </c>
      <c r="BK46" s="268">
        <f t="shared" si="44"/>
        <v>4</v>
      </c>
      <c r="BL46" s="269">
        <f t="shared" si="44"/>
        <v>5</v>
      </c>
      <c r="BM46" s="256">
        <f>IF($BC46=Lookup!$A$2,$BD46*ROUNDUP(BE46/10,0)+1,
IF($BC46=Lookup!$A$3,($BD46+1)^BD46,
IF($BC46=Lookup!$A$4,BE46*$BD46+1,"Error")))</f>
        <v>1</v>
      </c>
      <c r="BN46" s="229">
        <f>IF($BC46=Lookup!$A$2,$BD46*ROUNDUP(BF46/10,0)+1,
IF($BC46=Lookup!$A$3,($BD46+1)^BE46,
IF($BC46=Lookup!$A$4,BF46*$BD46+1,"Error")))</f>
        <v>1</v>
      </c>
      <c r="BO46" s="229">
        <f>IF($BC46=Lookup!$A$2,$BD46*ROUNDUP(BG46/10,0)+1,
IF($BC46=Lookup!$A$3,($BD46+1)^BF46,
IF($BC46=Lookup!$A$4,BG46*$BD46+1,"Error")))</f>
        <v>1</v>
      </c>
      <c r="BP46" s="229">
        <f>IF($BC46=Lookup!$A$2,$BD46*ROUNDUP(BH46/10,0)+1,
IF($BC46=Lookup!$A$3,($BD46+1)^BG46,
IF($BC46=Lookup!$A$4,BH46*$BD46+1,"Error")))</f>
        <v>1</v>
      </c>
      <c r="BQ46" s="229">
        <f>IF($BC46=Lookup!$A$2,$BD46*ROUNDUP(BI46/10,0)+1,
IF($BC46=Lookup!$A$3,($BD46+1)^BH46,
IF($BC46=Lookup!$A$4,BI46*$BD46+1,"Error")))</f>
        <v>1</v>
      </c>
      <c r="BR46" s="229">
        <f>IF($BC46=Lookup!$A$2,$BD46*ROUNDUP(BJ46/10,0)+1,
IF($BC46=Lookup!$A$3,($BD46+1)^BI46,
IF($BC46=Lookup!$A$4,BJ46*$BD46+1,"Error")))</f>
        <v>1</v>
      </c>
      <c r="BS46" s="229">
        <f>IF($BC46=Lookup!$A$2,$BD46*ROUNDUP(BK46/10,0)+1,
IF($BC46=Lookup!$A$3,($BD46+1)^BJ46,
IF($BC46=Lookup!$A$4,BK46*$BD46+1,"Error")))</f>
        <v>1</v>
      </c>
      <c r="BT46" s="249">
        <f>IF($BC46=Lookup!$A$2,$BD46*ROUNDUP(BL46/10,0)+1,
IF($BC46=Lookup!$A$3,($BD46+1)^BK46,
IF($BC46=Lookup!$A$4,BL46*$BD46+1,"Error")))</f>
        <v>1</v>
      </c>
      <c r="BU46" s="398">
        <v>0</v>
      </c>
      <c r="BV46" s="356">
        <v>0</v>
      </c>
      <c r="BW46" s="356">
        <v>0</v>
      </c>
      <c r="BX46" s="398">
        <v>0</v>
      </c>
      <c r="BY46" s="356">
        <v>0</v>
      </c>
      <c r="BZ46" s="356">
        <v>0</v>
      </c>
      <c r="CA46" s="356">
        <v>0</v>
      </c>
      <c r="CB46" s="399">
        <v>0.2</v>
      </c>
      <c r="CC46" s="382" t="s">
        <v>292</v>
      </c>
      <c r="CD46" s="383">
        <f>HLOOKUP($CC46,$AK$6:$AM$132,ROWS(CD$6:CD46),0)</f>
        <v>0</v>
      </c>
      <c r="CE46" s="362">
        <f t="shared" si="27"/>
        <v>0</v>
      </c>
      <c r="CF46" s="363">
        <f t="shared" si="27"/>
        <v>0</v>
      </c>
      <c r="CG46" s="799">
        <f t="shared" si="27"/>
        <v>0</v>
      </c>
      <c r="CH46" s="808">
        <f t="shared" si="27"/>
        <v>0</v>
      </c>
      <c r="CI46" s="363">
        <f t="shared" si="45"/>
        <v>0</v>
      </c>
      <c r="CJ46" s="363">
        <f t="shared" si="45"/>
        <v>0</v>
      </c>
      <c r="CK46" s="363">
        <f t="shared" si="45"/>
        <v>0</v>
      </c>
      <c r="CL46" s="364">
        <f t="shared" si="45"/>
        <v>0.2</v>
      </c>
      <c r="CM46" s="305" t="s">
        <v>293</v>
      </c>
      <c r="CN46" s="315">
        <v>0.05</v>
      </c>
      <c r="CO46" s="306"/>
      <c r="CP46" s="307" t="str">
        <f>IF($CO46&lt;&gt;"",$CO46,HLOOKUP($CM46,$AY$6:$BA$132,ROWS(CP$6:CP46),0))</f>
        <v/>
      </c>
      <c r="CQ46" s="784">
        <v>0</v>
      </c>
      <c r="CR46" s="784">
        <v>0</v>
      </c>
      <c r="CS46" s="524">
        <v>0</v>
      </c>
      <c r="CT46" s="416">
        <v>0</v>
      </c>
      <c r="CU46" s="97">
        <v>0</v>
      </c>
      <c r="CV46" s="97">
        <v>4385.1251381691236</v>
      </c>
      <c r="CW46" s="97">
        <v>12738.066064035187</v>
      </c>
      <c r="CX46" s="98">
        <v>67392.265123909383</v>
      </c>
      <c r="CY46" s="392"/>
      <c r="CZ46" s="1" t="s">
        <v>671</v>
      </c>
      <c r="DA46" s="750">
        <f t="shared" ref="DA46:DF46" si="46">SUM(DA44:DA45)</f>
        <v>7.4</v>
      </c>
      <c r="DB46" s="750">
        <f t="shared" si="46"/>
        <v>7.3</v>
      </c>
      <c r="DC46" s="750">
        <f t="shared" si="46"/>
        <v>7.5</v>
      </c>
      <c r="DD46" s="750">
        <f t="shared" si="46"/>
        <v>8</v>
      </c>
      <c r="DE46" s="750">
        <f t="shared" si="46"/>
        <v>8.6999999999999993</v>
      </c>
      <c r="DF46" s="750">
        <f t="shared" si="46"/>
        <v>38.900000000000006</v>
      </c>
    </row>
    <row r="47" spans="1:110" x14ac:dyDescent="0.25">
      <c r="A47" s="81" t="s">
        <v>94</v>
      </c>
      <c r="B47" s="82" t="s">
        <v>99</v>
      </c>
      <c r="C47" s="83" t="s">
        <v>100</v>
      </c>
      <c r="D47" s="84"/>
      <c r="E47" s="85"/>
      <c r="F47" s="85"/>
      <c r="G47" s="85"/>
      <c r="H47" s="85"/>
      <c r="I47" s="85"/>
      <c r="J47" s="85"/>
      <c r="K47" s="85"/>
      <c r="L47" s="85"/>
      <c r="M47" s="654"/>
      <c r="N47" s="1065"/>
      <c r="O47" s="560">
        <f t="shared" si="25"/>
        <v>0</v>
      </c>
      <c r="P47" s="561">
        <f t="shared" si="0"/>
        <v>0</v>
      </c>
      <c r="Q47" s="561">
        <f t="shared" si="1"/>
        <v>0</v>
      </c>
      <c r="R47" s="561">
        <f t="shared" si="2"/>
        <v>0</v>
      </c>
      <c r="S47" s="561">
        <f t="shared" si="3"/>
        <v>0</v>
      </c>
      <c r="T47" s="561">
        <f t="shared" si="4"/>
        <v>0</v>
      </c>
      <c r="U47" s="561">
        <f t="shared" si="5"/>
        <v>0</v>
      </c>
      <c r="V47" s="561">
        <f t="shared" si="6"/>
        <v>0</v>
      </c>
      <c r="W47" s="675">
        <f t="shared" si="7"/>
        <v>0</v>
      </c>
      <c r="X47" s="675">
        <f t="shared" si="8"/>
        <v>0</v>
      </c>
      <c r="Y47" s="675">
        <f t="shared" si="8"/>
        <v>0</v>
      </c>
      <c r="Z47" s="125"/>
      <c r="AA47" s="126"/>
      <c r="AB47" s="126"/>
      <c r="AC47" s="126"/>
      <c r="AD47" s="126"/>
      <c r="AE47" s="126"/>
      <c r="AF47" s="126"/>
      <c r="AG47" s="126"/>
      <c r="AH47" s="126"/>
      <c r="AI47" s="1097"/>
      <c r="AJ47" s="668"/>
      <c r="AK47" s="127">
        <f t="shared" si="30"/>
        <v>0</v>
      </c>
      <c r="AL47" s="128" t="str" cm="1">
        <f t="array" aca="1" ref="AL47" ca="1">IFERROR(IF($AM$4="N",SSUM(AF47:AH47)/3,SUM(AG47:AI47)/3),"")</f>
        <v/>
      </c>
      <c r="AM47" s="129">
        <f t="shared" si="31"/>
        <v>0</v>
      </c>
      <c r="AN47" s="91" t="str">
        <f t="shared" si="32"/>
        <v/>
      </c>
      <c r="AO47" s="92" t="str">
        <f t="shared" si="33"/>
        <v/>
      </c>
      <c r="AP47" s="92" t="str">
        <f t="shared" si="34"/>
        <v/>
      </c>
      <c r="AQ47" s="92" t="str">
        <f t="shared" si="35"/>
        <v/>
      </c>
      <c r="AR47" s="92" t="str">
        <f t="shared" si="36"/>
        <v/>
      </c>
      <c r="AS47" s="92" t="str">
        <f t="shared" si="37"/>
        <v/>
      </c>
      <c r="AT47" s="92" t="str">
        <f t="shared" si="38"/>
        <v/>
      </c>
      <c r="AU47" s="92" t="str">
        <f t="shared" si="39"/>
        <v/>
      </c>
      <c r="AV47" s="92" t="str">
        <f t="shared" si="40"/>
        <v/>
      </c>
      <c r="AW47" s="92" t="str">
        <f t="shared" si="40"/>
        <v/>
      </c>
      <c r="AX47" s="92" t="str">
        <f t="shared" si="40"/>
        <v/>
      </c>
      <c r="AY47" s="93" t="str">
        <f t="shared" si="41"/>
        <v/>
      </c>
      <c r="AZ47" s="94" t="str">
        <f t="shared" si="42"/>
        <v/>
      </c>
      <c r="BA47" s="95" t="str">
        <f t="shared" si="43"/>
        <v/>
      </c>
      <c r="BB47" s="248" t="s">
        <v>422</v>
      </c>
      <c r="BC47" s="229" t="s">
        <v>433</v>
      </c>
      <c r="BD47" s="249">
        <v>0</v>
      </c>
      <c r="BE47" s="267">
        <f t="shared" si="26"/>
        <v>0</v>
      </c>
      <c r="BF47" s="268">
        <f t="shared" si="44"/>
        <v>0</v>
      </c>
      <c r="BG47" s="268">
        <f t="shared" si="44"/>
        <v>0</v>
      </c>
      <c r="BH47" s="268">
        <f t="shared" si="44"/>
        <v>1</v>
      </c>
      <c r="BI47" s="268">
        <f t="shared" si="44"/>
        <v>2</v>
      </c>
      <c r="BJ47" s="268">
        <f t="shared" si="44"/>
        <v>3</v>
      </c>
      <c r="BK47" s="268">
        <f t="shared" si="44"/>
        <v>4</v>
      </c>
      <c r="BL47" s="269">
        <f t="shared" si="44"/>
        <v>5</v>
      </c>
      <c r="BM47" s="256">
        <f>IF($BC47=Lookup!$A$2,$BD47*ROUNDUP(BE47/10,0)+1,
IF($BC47=Lookup!$A$3,($BD47+1)^BD47,
IF($BC47=Lookup!$A$4,BE47*$BD47+1,"Error")))</f>
        <v>1</v>
      </c>
      <c r="BN47" s="229">
        <f>IF($BC47=Lookup!$A$2,$BD47*ROUNDUP(BF47/10,0)+1,
IF($BC47=Lookup!$A$3,($BD47+1)^BE47,
IF($BC47=Lookup!$A$4,BF47*$BD47+1,"Error")))</f>
        <v>1</v>
      </c>
      <c r="BO47" s="229">
        <f>IF($BC47=Lookup!$A$2,$BD47*ROUNDUP(BG47/10,0)+1,
IF($BC47=Lookup!$A$3,($BD47+1)^BF47,
IF($BC47=Lookup!$A$4,BG47*$BD47+1,"Error")))</f>
        <v>1</v>
      </c>
      <c r="BP47" s="229">
        <f>IF($BC47=Lookup!$A$2,$BD47*ROUNDUP(BH47/10,0)+1,
IF($BC47=Lookup!$A$3,($BD47+1)^BG47,
IF($BC47=Lookup!$A$4,BH47*$BD47+1,"Error")))</f>
        <v>1</v>
      </c>
      <c r="BQ47" s="229">
        <f>IF($BC47=Lookup!$A$2,$BD47*ROUNDUP(BI47/10,0)+1,
IF($BC47=Lookup!$A$3,($BD47+1)^BH47,
IF($BC47=Lookup!$A$4,BI47*$BD47+1,"Error")))</f>
        <v>1</v>
      </c>
      <c r="BR47" s="229">
        <f>IF($BC47=Lookup!$A$2,$BD47*ROUNDUP(BJ47/10,0)+1,
IF($BC47=Lookup!$A$3,($BD47+1)^BI47,
IF($BC47=Lookup!$A$4,BJ47*$BD47+1,"Error")))</f>
        <v>1</v>
      </c>
      <c r="BS47" s="229">
        <f>IF($BC47=Lookup!$A$2,$BD47*ROUNDUP(BK47/10,0)+1,
IF($BC47=Lookup!$A$3,($BD47+1)^BJ47,
IF($BC47=Lookup!$A$4,BK47*$BD47+1,"Error")))</f>
        <v>1</v>
      </c>
      <c r="BT47" s="249">
        <f>IF($BC47=Lookup!$A$2,$BD47*ROUNDUP(BL47/10,0)+1,
IF($BC47=Lookup!$A$3,($BD47+1)^BK47,
IF($BC47=Lookup!$A$4,BL47*$BD47+1,"Error")))</f>
        <v>1</v>
      </c>
      <c r="BU47" s="398">
        <v>0</v>
      </c>
      <c r="BV47" s="356">
        <v>0</v>
      </c>
      <c r="BW47" s="356">
        <v>0</v>
      </c>
      <c r="BX47" s="398">
        <v>0</v>
      </c>
      <c r="BY47" s="356">
        <v>0</v>
      </c>
      <c r="BZ47" s="356">
        <v>0</v>
      </c>
      <c r="CA47" s="356">
        <v>0</v>
      </c>
      <c r="CB47" s="399">
        <v>0</v>
      </c>
      <c r="CC47" s="382" t="s">
        <v>292</v>
      </c>
      <c r="CD47" s="383">
        <f>HLOOKUP($CC47,$AK$6:$AM$132,ROWS(CD$6:CD47),0)</f>
        <v>0</v>
      </c>
      <c r="CE47" s="362">
        <f t="shared" si="27"/>
        <v>0</v>
      </c>
      <c r="CF47" s="363">
        <f t="shared" si="27"/>
        <v>0</v>
      </c>
      <c r="CG47" s="799">
        <f t="shared" si="27"/>
        <v>0</v>
      </c>
      <c r="CH47" s="808">
        <f t="shared" si="27"/>
        <v>0</v>
      </c>
      <c r="CI47" s="363">
        <f t="shared" si="45"/>
        <v>0</v>
      </c>
      <c r="CJ47" s="363">
        <f t="shared" si="45"/>
        <v>0</v>
      </c>
      <c r="CK47" s="363">
        <f t="shared" si="45"/>
        <v>0</v>
      </c>
      <c r="CL47" s="364">
        <f t="shared" si="45"/>
        <v>0</v>
      </c>
      <c r="CM47" s="305" t="s">
        <v>293</v>
      </c>
      <c r="CN47" s="315">
        <v>0.05</v>
      </c>
      <c r="CO47" s="306"/>
      <c r="CP47" s="307" t="str">
        <f>IF($CO47&lt;&gt;"",$CO47,HLOOKUP($CM47,$AY$6:$BA$132,ROWS(CP$6:CP47),0))</f>
        <v/>
      </c>
      <c r="CQ47" s="784">
        <v>0</v>
      </c>
      <c r="CR47" s="784">
        <v>0</v>
      </c>
      <c r="CS47" s="524">
        <v>0</v>
      </c>
      <c r="CT47" s="416">
        <v>0</v>
      </c>
      <c r="CU47" s="97">
        <v>0</v>
      </c>
      <c r="CV47" s="97">
        <v>0</v>
      </c>
      <c r="CW47" s="97">
        <v>0</v>
      </c>
      <c r="CX47" s="98">
        <v>0</v>
      </c>
      <c r="CY47" s="392"/>
      <c r="DA47" t="s">
        <v>510</v>
      </c>
      <c r="DB47" t="s">
        <v>510</v>
      </c>
      <c r="DC47" t="s">
        <v>510</v>
      </c>
      <c r="DD47" t="s">
        <v>510</v>
      </c>
      <c r="DE47" t="s">
        <v>510</v>
      </c>
      <c r="DF47" t="s">
        <v>514</v>
      </c>
    </row>
    <row r="48" spans="1:110" x14ac:dyDescent="0.25">
      <c r="A48" s="81" t="s">
        <v>94</v>
      </c>
      <c r="B48" s="82" t="s">
        <v>101</v>
      </c>
      <c r="C48" s="83" t="s">
        <v>76</v>
      </c>
      <c r="D48" s="84"/>
      <c r="E48" s="85"/>
      <c r="F48" s="85"/>
      <c r="G48" s="85"/>
      <c r="H48" s="85"/>
      <c r="I48" s="85"/>
      <c r="J48" s="85"/>
      <c r="K48" s="85"/>
      <c r="L48" s="85"/>
      <c r="M48" s="654"/>
      <c r="N48" s="1065"/>
      <c r="O48" s="560">
        <f t="shared" si="25"/>
        <v>0</v>
      </c>
      <c r="P48" s="561">
        <f t="shared" si="0"/>
        <v>0</v>
      </c>
      <c r="Q48" s="561">
        <f t="shared" si="1"/>
        <v>0</v>
      </c>
      <c r="R48" s="561">
        <f t="shared" si="2"/>
        <v>0</v>
      </c>
      <c r="S48" s="561">
        <f t="shared" si="3"/>
        <v>0</v>
      </c>
      <c r="T48" s="561">
        <f t="shared" si="4"/>
        <v>0</v>
      </c>
      <c r="U48" s="561">
        <f t="shared" si="5"/>
        <v>0</v>
      </c>
      <c r="V48" s="561">
        <f t="shared" si="6"/>
        <v>0</v>
      </c>
      <c r="W48" s="675">
        <f t="shared" si="7"/>
        <v>0</v>
      </c>
      <c r="X48" s="675">
        <f t="shared" si="8"/>
        <v>0</v>
      </c>
      <c r="Y48" s="675">
        <f t="shared" si="8"/>
        <v>0</v>
      </c>
      <c r="Z48" s="125"/>
      <c r="AA48" s="126"/>
      <c r="AB48" s="126"/>
      <c r="AC48" s="126"/>
      <c r="AD48" s="126"/>
      <c r="AE48" s="126"/>
      <c r="AF48" s="126"/>
      <c r="AG48" s="126"/>
      <c r="AH48" s="126"/>
      <c r="AI48" s="1097"/>
      <c r="AJ48" s="668"/>
      <c r="AK48" s="127">
        <f t="shared" si="30"/>
        <v>0</v>
      </c>
      <c r="AL48" s="128" t="str" cm="1">
        <f t="array" aca="1" ref="AL48" ca="1">IFERROR(IF($AM$4="N",SSUM(AF48:AH48)/3,SUM(AG48:AI48)/3),"")</f>
        <v/>
      </c>
      <c r="AM48" s="129">
        <f t="shared" si="31"/>
        <v>0</v>
      </c>
      <c r="AN48" s="91" t="str">
        <f t="shared" si="32"/>
        <v/>
      </c>
      <c r="AO48" s="92" t="str">
        <f t="shared" si="33"/>
        <v/>
      </c>
      <c r="AP48" s="92" t="str">
        <f t="shared" si="34"/>
        <v/>
      </c>
      <c r="AQ48" s="92" t="str">
        <f t="shared" si="35"/>
        <v/>
      </c>
      <c r="AR48" s="92" t="str">
        <f t="shared" si="36"/>
        <v/>
      </c>
      <c r="AS48" s="92" t="str">
        <f t="shared" si="37"/>
        <v/>
      </c>
      <c r="AT48" s="92" t="str">
        <f t="shared" si="38"/>
        <v/>
      </c>
      <c r="AU48" s="92" t="str">
        <f t="shared" si="39"/>
        <v/>
      </c>
      <c r="AV48" s="92" t="str">
        <f t="shared" si="40"/>
        <v/>
      </c>
      <c r="AW48" s="92" t="str">
        <f t="shared" si="40"/>
        <v/>
      </c>
      <c r="AX48" s="92" t="str">
        <f t="shared" si="40"/>
        <v/>
      </c>
      <c r="AY48" s="93" t="str">
        <f t="shared" si="41"/>
        <v/>
      </c>
      <c r="AZ48" s="94" t="str">
        <f t="shared" si="42"/>
        <v/>
      </c>
      <c r="BA48" s="95" t="str">
        <f t="shared" si="43"/>
        <v/>
      </c>
      <c r="BB48" s="248" t="s">
        <v>422</v>
      </c>
      <c r="BC48" s="229" t="s">
        <v>433</v>
      </c>
      <c r="BD48" s="249">
        <v>0</v>
      </c>
      <c r="BE48" s="267">
        <f t="shared" si="26"/>
        <v>0</v>
      </c>
      <c r="BF48" s="268">
        <f t="shared" si="44"/>
        <v>0</v>
      </c>
      <c r="BG48" s="268">
        <f t="shared" si="44"/>
        <v>0</v>
      </c>
      <c r="BH48" s="268">
        <f t="shared" si="44"/>
        <v>1</v>
      </c>
      <c r="BI48" s="268">
        <f t="shared" si="44"/>
        <v>2</v>
      </c>
      <c r="BJ48" s="268">
        <f t="shared" si="44"/>
        <v>3</v>
      </c>
      <c r="BK48" s="268">
        <f t="shared" si="44"/>
        <v>4</v>
      </c>
      <c r="BL48" s="269">
        <f t="shared" si="44"/>
        <v>5</v>
      </c>
      <c r="BM48" s="256">
        <f>IF($BC48=Lookup!$A$2,$BD48*ROUNDUP(BE48/10,0)+1,
IF($BC48=Lookup!$A$3,($BD48+1)^BD48,
IF($BC48=Lookup!$A$4,BE48*$BD48+1,"Error")))</f>
        <v>1</v>
      </c>
      <c r="BN48" s="229">
        <f>IF($BC48=Lookup!$A$2,$BD48*ROUNDUP(BF48/10,0)+1,
IF($BC48=Lookup!$A$3,($BD48+1)^BE48,
IF($BC48=Lookup!$A$4,BF48*$BD48+1,"Error")))</f>
        <v>1</v>
      </c>
      <c r="BO48" s="229">
        <f>IF($BC48=Lookup!$A$2,$BD48*ROUNDUP(BG48/10,0)+1,
IF($BC48=Lookup!$A$3,($BD48+1)^BF48,
IF($BC48=Lookup!$A$4,BG48*$BD48+1,"Error")))</f>
        <v>1</v>
      </c>
      <c r="BP48" s="229">
        <f>IF($BC48=Lookup!$A$2,$BD48*ROUNDUP(BH48/10,0)+1,
IF($BC48=Lookup!$A$3,($BD48+1)^BG48,
IF($BC48=Lookup!$A$4,BH48*$BD48+1,"Error")))</f>
        <v>1</v>
      </c>
      <c r="BQ48" s="229">
        <f>IF($BC48=Lookup!$A$2,$BD48*ROUNDUP(BI48/10,0)+1,
IF($BC48=Lookup!$A$3,($BD48+1)^BH48,
IF($BC48=Lookup!$A$4,BI48*$BD48+1,"Error")))</f>
        <v>1</v>
      </c>
      <c r="BR48" s="229">
        <f>IF($BC48=Lookup!$A$2,$BD48*ROUNDUP(BJ48/10,0)+1,
IF($BC48=Lookup!$A$3,($BD48+1)^BI48,
IF($BC48=Lookup!$A$4,BJ48*$BD48+1,"Error")))</f>
        <v>1</v>
      </c>
      <c r="BS48" s="229">
        <f>IF($BC48=Lookup!$A$2,$BD48*ROUNDUP(BK48/10,0)+1,
IF($BC48=Lookup!$A$3,($BD48+1)^BJ48,
IF($BC48=Lookup!$A$4,BK48*$BD48+1,"Error")))</f>
        <v>1</v>
      </c>
      <c r="BT48" s="249">
        <f>IF($BC48=Lookup!$A$2,$BD48*ROUNDUP(BL48/10,0)+1,
IF($BC48=Lookup!$A$3,($BD48+1)^BK48,
IF($BC48=Lookup!$A$4,BL48*$BD48+1,"Error")))</f>
        <v>1</v>
      </c>
      <c r="BU48" s="398">
        <v>0</v>
      </c>
      <c r="BV48" s="356">
        <v>0</v>
      </c>
      <c r="BW48" s="356">
        <v>0</v>
      </c>
      <c r="BX48" s="398">
        <v>0</v>
      </c>
      <c r="BY48" s="356">
        <v>0</v>
      </c>
      <c r="BZ48" s="356">
        <v>0</v>
      </c>
      <c r="CA48" s="356">
        <v>0</v>
      </c>
      <c r="CB48" s="399">
        <v>0</v>
      </c>
      <c r="CC48" s="382" t="s">
        <v>292</v>
      </c>
      <c r="CD48" s="383">
        <f>HLOOKUP($CC48,$AK$6:$AM$132,ROWS(CD$6:CD48),0)</f>
        <v>0</v>
      </c>
      <c r="CE48" s="362">
        <f t="shared" si="27"/>
        <v>0</v>
      </c>
      <c r="CF48" s="363">
        <f t="shared" si="27"/>
        <v>0</v>
      </c>
      <c r="CG48" s="799">
        <f t="shared" si="27"/>
        <v>0</v>
      </c>
      <c r="CH48" s="808">
        <f t="shared" si="27"/>
        <v>0</v>
      </c>
      <c r="CI48" s="363">
        <f t="shared" si="45"/>
        <v>0</v>
      </c>
      <c r="CJ48" s="363">
        <f t="shared" si="45"/>
        <v>0</v>
      </c>
      <c r="CK48" s="363">
        <f t="shared" si="45"/>
        <v>0</v>
      </c>
      <c r="CL48" s="364">
        <f t="shared" si="45"/>
        <v>0</v>
      </c>
      <c r="CM48" s="305" t="s">
        <v>293</v>
      </c>
      <c r="CN48" s="315">
        <v>0.05</v>
      </c>
      <c r="CO48" s="306"/>
      <c r="CP48" s="307" t="str">
        <f>IF($CO48&lt;&gt;"",$CO48,HLOOKUP($CM48,$AY$6:$BA$132,ROWS(CP$6:CP48),0))</f>
        <v/>
      </c>
      <c r="CQ48" s="784">
        <v>0</v>
      </c>
      <c r="CR48" s="784">
        <v>0</v>
      </c>
      <c r="CS48" s="524">
        <v>0</v>
      </c>
      <c r="CT48" s="416">
        <v>0</v>
      </c>
      <c r="CU48" s="97">
        <v>0</v>
      </c>
      <c r="CV48" s="97">
        <v>0</v>
      </c>
      <c r="CW48" s="97">
        <v>0</v>
      </c>
      <c r="CX48" s="98">
        <v>0</v>
      </c>
      <c r="CY48" s="392"/>
      <c r="CZ48" s="1" t="s">
        <v>643</v>
      </c>
      <c r="DA48" s="792">
        <f>'Defect (Total)'!BE43</f>
        <v>17.710135995866665</v>
      </c>
      <c r="DB48" s="792">
        <f>'Defect (Total)'!BF43</f>
        <v>18.710135995866665</v>
      </c>
      <c r="DC48" s="792">
        <f>'Defect (Total)'!BG43</f>
        <v>18.710135995866665</v>
      </c>
      <c r="DD48" s="792">
        <f>'Defect (Total)'!BH43</f>
        <v>19.710135995866665</v>
      </c>
      <c r="DE48" s="792">
        <f>'Defect (Total)'!BI43</f>
        <v>19.710135995866665</v>
      </c>
      <c r="DF48" s="792">
        <f>SUM(DA48:DE48)</f>
        <v>94.550679979333324</v>
      </c>
    </row>
    <row r="49" spans="1:110" x14ac:dyDescent="0.25">
      <c r="A49" s="81" t="s">
        <v>94</v>
      </c>
      <c r="B49" s="82" t="s">
        <v>102</v>
      </c>
      <c r="C49" s="83" t="s">
        <v>323</v>
      </c>
      <c r="D49" s="84"/>
      <c r="E49" s="85"/>
      <c r="F49" s="85"/>
      <c r="G49" s="85"/>
      <c r="H49" s="85"/>
      <c r="I49" s="85"/>
      <c r="J49" s="85"/>
      <c r="K49" s="85"/>
      <c r="L49" s="85"/>
      <c r="M49" s="654"/>
      <c r="N49" s="1065"/>
      <c r="O49" s="560">
        <f t="shared" si="25"/>
        <v>0</v>
      </c>
      <c r="P49" s="561">
        <f t="shared" si="0"/>
        <v>0</v>
      </c>
      <c r="Q49" s="561">
        <f t="shared" si="1"/>
        <v>0</v>
      </c>
      <c r="R49" s="561">
        <f t="shared" si="2"/>
        <v>0</v>
      </c>
      <c r="S49" s="561">
        <f t="shared" si="3"/>
        <v>0</v>
      </c>
      <c r="T49" s="561">
        <f t="shared" si="4"/>
        <v>0</v>
      </c>
      <c r="U49" s="561">
        <f t="shared" si="5"/>
        <v>0</v>
      </c>
      <c r="V49" s="561">
        <f t="shared" si="6"/>
        <v>0</v>
      </c>
      <c r="W49" s="675">
        <f t="shared" si="7"/>
        <v>0</v>
      </c>
      <c r="X49" s="675">
        <f t="shared" si="8"/>
        <v>0</v>
      </c>
      <c r="Y49" s="675">
        <f t="shared" si="8"/>
        <v>0</v>
      </c>
      <c r="Z49" s="125"/>
      <c r="AA49" s="126"/>
      <c r="AB49" s="126"/>
      <c r="AC49" s="126"/>
      <c r="AD49" s="126"/>
      <c r="AE49" s="126"/>
      <c r="AF49" s="126"/>
      <c r="AG49" s="126"/>
      <c r="AH49" s="126"/>
      <c r="AI49" s="1097"/>
      <c r="AJ49" s="668"/>
      <c r="AK49" s="127">
        <f t="shared" si="30"/>
        <v>0</v>
      </c>
      <c r="AL49" s="128" t="str" cm="1">
        <f t="array" aca="1" ref="AL49" ca="1">IFERROR(IF($AM$4="N",SSUM(AF49:AH49)/3,SUM(AG49:AI49)/3),"")</f>
        <v/>
      </c>
      <c r="AM49" s="129">
        <f t="shared" si="31"/>
        <v>0</v>
      </c>
      <c r="AN49" s="91" t="str">
        <f t="shared" si="32"/>
        <v/>
      </c>
      <c r="AO49" s="92" t="str">
        <f t="shared" si="33"/>
        <v/>
      </c>
      <c r="AP49" s="92" t="str">
        <f t="shared" si="34"/>
        <v/>
      </c>
      <c r="AQ49" s="92" t="str">
        <f t="shared" si="35"/>
        <v/>
      </c>
      <c r="AR49" s="92" t="str">
        <f t="shared" si="36"/>
        <v/>
      </c>
      <c r="AS49" s="92" t="str">
        <f t="shared" si="37"/>
        <v/>
      </c>
      <c r="AT49" s="92" t="str">
        <f t="shared" si="38"/>
        <v/>
      </c>
      <c r="AU49" s="92" t="str">
        <f t="shared" si="39"/>
        <v/>
      </c>
      <c r="AV49" s="92" t="str">
        <f t="shared" si="40"/>
        <v/>
      </c>
      <c r="AW49" s="92" t="str">
        <f t="shared" si="40"/>
        <v/>
      </c>
      <c r="AX49" s="92" t="str">
        <f t="shared" si="40"/>
        <v/>
      </c>
      <c r="AY49" s="93" t="str">
        <f t="shared" si="41"/>
        <v/>
      </c>
      <c r="AZ49" s="94" t="str">
        <f t="shared" si="42"/>
        <v/>
      </c>
      <c r="BA49" s="95" t="str">
        <f t="shared" si="43"/>
        <v/>
      </c>
      <c r="BB49" s="248" t="s">
        <v>422</v>
      </c>
      <c r="BC49" s="229" t="s">
        <v>433</v>
      </c>
      <c r="BD49" s="249">
        <v>0</v>
      </c>
      <c r="BE49" s="267">
        <f t="shared" si="26"/>
        <v>0</v>
      </c>
      <c r="BF49" s="268">
        <f t="shared" si="44"/>
        <v>0</v>
      </c>
      <c r="BG49" s="268">
        <f t="shared" si="44"/>
        <v>0</v>
      </c>
      <c r="BH49" s="268">
        <f t="shared" si="44"/>
        <v>1</v>
      </c>
      <c r="BI49" s="268">
        <f t="shared" si="44"/>
        <v>2</v>
      </c>
      <c r="BJ49" s="268">
        <f t="shared" si="44"/>
        <v>3</v>
      </c>
      <c r="BK49" s="268">
        <f t="shared" si="44"/>
        <v>4</v>
      </c>
      <c r="BL49" s="269">
        <f t="shared" si="44"/>
        <v>5</v>
      </c>
      <c r="BM49" s="256">
        <f>IF($BC49=Lookup!$A$2,$BD49*ROUNDUP(BE49/10,0)+1,
IF($BC49=Lookup!$A$3,($BD49+1)^BD49,
IF($BC49=Lookup!$A$4,BE49*$BD49+1,"Error")))</f>
        <v>1</v>
      </c>
      <c r="BN49" s="229">
        <f>IF($BC49=Lookup!$A$2,$BD49*ROUNDUP(BF49/10,0)+1,
IF($BC49=Lookup!$A$3,($BD49+1)^BE49,
IF($BC49=Lookup!$A$4,BF49*$BD49+1,"Error")))</f>
        <v>1</v>
      </c>
      <c r="BO49" s="229">
        <f>IF($BC49=Lookup!$A$2,$BD49*ROUNDUP(BG49/10,0)+1,
IF($BC49=Lookup!$A$3,($BD49+1)^BF49,
IF($BC49=Lookup!$A$4,BG49*$BD49+1,"Error")))</f>
        <v>1</v>
      </c>
      <c r="BP49" s="229">
        <f>IF($BC49=Lookup!$A$2,$BD49*ROUNDUP(BH49/10,0)+1,
IF($BC49=Lookup!$A$3,($BD49+1)^BG49,
IF($BC49=Lookup!$A$4,BH49*$BD49+1,"Error")))</f>
        <v>1</v>
      </c>
      <c r="BQ49" s="229">
        <f>IF($BC49=Lookup!$A$2,$BD49*ROUNDUP(BI49/10,0)+1,
IF($BC49=Lookup!$A$3,($BD49+1)^BH49,
IF($BC49=Lookup!$A$4,BI49*$BD49+1,"Error")))</f>
        <v>1</v>
      </c>
      <c r="BR49" s="229">
        <f>IF($BC49=Lookup!$A$2,$BD49*ROUNDUP(BJ49/10,0)+1,
IF($BC49=Lookup!$A$3,($BD49+1)^BI49,
IF($BC49=Lookup!$A$4,BJ49*$BD49+1,"Error")))</f>
        <v>1</v>
      </c>
      <c r="BS49" s="229">
        <f>IF($BC49=Lookup!$A$2,$BD49*ROUNDUP(BK49/10,0)+1,
IF($BC49=Lookup!$A$3,($BD49+1)^BJ49,
IF($BC49=Lookup!$A$4,BK49*$BD49+1,"Error")))</f>
        <v>1</v>
      </c>
      <c r="BT49" s="249">
        <f>IF($BC49=Lookup!$A$2,$BD49*ROUNDUP(BL49/10,0)+1,
IF($BC49=Lookup!$A$3,($BD49+1)^BK49,
IF($BC49=Lookup!$A$4,BL49*$BD49+1,"Error")))</f>
        <v>1</v>
      </c>
      <c r="BU49" s="398">
        <v>0</v>
      </c>
      <c r="BV49" s="356">
        <v>0</v>
      </c>
      <c r="BW49" s="356">
        <v>0</v>
      </c>
      <c r="BX49" s="398">
        <v>0</v>
      </c>
      <c r="BY49" s="356">
        <v>0</v>
      </c>
      <c r="BZ49" s="356">
        <v>0</v>
      </c>
      <c r="CA49" s="356">
        <v>0</v>
      </c>
      <c r="CB49" s="399">
        <v>0</v>
      </c>
      <c r="CC49" s="382" t="s">
        <v>292</v>
      </c>
      <c r="CD49" s="383">
        <f>HLOOKUP($CC49,$AK$6:$AM$132,ROWS(CD$6:CD49),0)</f>
        <v>0</v>
      </c>
      <c r="CE49" s="362">
        <f t="shared" si="27"/>
        <v>0</v>
      </c>
      <c r="CF49" s="363">
        <f t="shared" si="27"/>
        <v>0</v>
      </c>
      <c r="CG49" s="799">
        <f t="shared" si="27"/>
        <v>0</v>
      </c>
      <c r="CH49" s="808">
        <f t="shared" si="27"/>
        <v>0</v>
      </c>
      <c r="CI49" s="363">
        <f t="shared" si="45"/>
        <v>0</v>
      </c>
      <c r="CJ49" s="363">
        <f t="shared" si="45"/>
        <v>0</v>
      </c>
      <c r="CK49" s="363">
        <f t="shared" si="45"/>
        <v>0</v>
      </c>
      <c r="CL49" s="364">
        <f t="shared" si="45"/>
        <v>0</v>
      </c>
      <c r="CM49" s="305" t="s">
        <v>293</v>
      </c>
      <c r="CN49" s="315">
        <v>0.05</v>
      </c>
      <c r="CO49" s="306"/>
      <c r="CP49" s="307" t="str">
        <f>IF($CO49&lt;&gt;"",$CO49,HLOOKUP($CM49,$AY$6:$BA$132,ROWS(CP$6:CP49),0))</f>
        <v/>
      </c>
      <c r="CQ49" s="784">
        <v>0</v>
      </c>
      <c r="CR49" s="784">
        <v>0</v>
      </c>
      <c r="CS49" s="524">
        <v>0</v>
      </c>
      <c r="CT49" s="416">
        <v>0</v>
      </c>
      <c r="CU49" s="97">
        <v>0</v>
      </c>
      <c r="CV49" s="97">
        <v>0</v>
      </c>
      <c r="CW49" s="97">
        <v>0</v>
      </c>
      <c r="CX49" s="98">
        <v>0</v>
      </c>
      <c r="CY49" s="392"/>
      <c r="CZ49" s="1" t="s">
        <v>676</v>
      </c>
      <c r="DA49" s="792">
        <f>SUM(CH43:CH50)</f>
        <v>0</v>
      </c>
      <c r="DB49" s="792">
        <f t="shared" ref="DB49:DE49" si="47">SUM(CI43:CI50)</f>
        <v>4.5250000000000004</v>
      </c>
      <c r="DC49" s="792">
        <f t="shared" si="47"/>
        <v>0</v>
      </c>
      <c r="DD49" s="792">
        <f t="shared" si="47"/>
        <v>0</v>
      </c>
      <c r="DE49" s="792">
        <f t="shared" si="47"/>
        <v>6.7010000000000005</v>
      </c>
      <c r="DF49" s="792">
        <f>SUM(DA49:DE49)</f>
        <v>11.226000000000001</v>
      </c>
    </row>
    <row r="50" spans="1:110" ht="15.75" thickBot="1" x14ac:dyDescent="0.3">
      <c r="A50" s="138" t="s">
        <v>94</v>
      </c>
      <c r="B50" s="139" t="s">
        <v>461</v>
      </c>
      <c r="C50" s="102" t="s">
        <v>325</v>
      </c>
      <c r="D50" s="103"/>
      <c r="E50" s="104"/>
      <c r="F50" s="104"/>
      <c r="G50" s="104"/>
      <c r="H50" s="104"/>
      <c r="I50" s="104"/>
      <c r="J50" s="104"/>
      <c r="K50" s="104"/>
      <c r="L50" s="104"/>
      <c r="M50" s="655"/>
      <c r="N50" s="1066"/>
      <c r="O50" s="563">
        <f t="shared" si="25"/>
        <v>0</v>
      </c>
      <c r="P50" s="564">
        <f t="shared" si="0"/>
        <v>0</v>
      </c>
      <c r="Q50" s="564">
        <f t="shared" si="1"/>
        <v>0</v>
      </c>
      <c r="R50" s="564">
        <f t="shared" si="2"/>
        <v>0</v>
      </c>
      <c r="S50" s="564">
        <f t="shared" si="3"/>
        <v>0</v>
      </c>
      <c r="T50" s="564">
        <f t="shared" si="4"/>
        <v>0</v>
      </c>
      <c r="U50" s="564">
        <f t="shared" si="5"/>
        <v>0</v>
      </c>
      <c r="V50" s="564">
        <f t="shared" si="6"/>
        <v>0</v>
      </c>
      <c r="W50" s="676">
        <f t="shared" si="7"/>
        <v>0</v>
      </c>
      <c r="X50" s="676">
        <f t="shared" si="8"/>
        <v>0</v>
      </c>
      <c r="Y50" s="676">
        <f t="shared" si="8"/>
        <v>0</v>
      </c>
      <c r="Z50" s="131"/>
      <c r="AA50" s="132"/>
      <c r="AB50" s="132"/>
      <c r="AC50" s="132"/>
      <c r="AD50" s="132"/>
      <c r="AE50" s="132"/>
      <c r="AF50" s="132"/>
      <c r="AG50" s="132"/>
      <c r="AH50" s="132"/>
      <c r="AI50" s="1098"/>
      <c r="AJ50" s="669"/>
      <c r="AK50" s="133">
        <f t="shared" si="30"/>
        <v>0</v>
      </c>
      <c r="AL50" s="134" t="str" cm="1">
        <f t="array" aca="1" ref="AL50" ca="1">IFERROR(IF($AM$4="N",SSUM(AF50:AH50)/3,SUM(AG50:AI50)/3),"")</f>
        <v/>
      </c>
      <c r="AM50" s="135">
        <f t="shared" si="31"/>
        <v>0</v>
      </c>
      <c r="AN50" s="110" t="str">
        <f t="shared" si="32"/>
        <v/>
      </c>
      <c r="AO50" s="111" t="str">
        <f t="shared" si="33"/>
        <v/>
      </c>
      <c r="AP50" s="111" t="str">
        <f t="shared" si="34"/>
        <v/>
      </c>
      <c r="AQ50" s="111" t="str">
        <f t="shared" si="35"/>
        <v/>
      </c>
      <c r="AR50" s="111" t="str">
        <f t="shared" si="36"/>
        <v/>
      </c>
      <c r="AS50" s="111" t="str">
        <f t="shared" si="37"/>
        <v/>
      </c>
      <c r="AT50" s="111" t="str">
        <f t="shared" si="38"/>
        <v/>
      </c>
      <c r="AU50" s="111" t="str">
        <f t="shared" si="39"/>
        <v/>
      </c>
      <c r="AV50" s="111" t="str">
        <f t="shared" si="40"/>
        <v/>
      </c>
      <c r="AW50" s="111" t="str">
        <f t="shared" si="40"/>
        <v/>
      </c>
      <c r="AX50" s="111" t="str">
        <f t="shared" si="40"/>
        <v/>
      </c>
      <c r="AY50" s="112" t="str">
        <f t="shared" si="41"/>
        <v/>
      </c>
      <c r="AZ50" s="113" t="str">
        <f t="shared" si="42"/>
        <v/>
      </c>
      <c r="BA50" s="114" t="str">
        <f t="shared" si="43"/>
        <v/>
      </c>
      <c r="BB50" s="250" t="s">
        <v>422</v>
      </c>
      <c r="BC50" s="230" t="s">
        <v>433</v>
      </c>
      <c r="BD50" s="251">
        <v>0</v>
      </c>
      <c r="BE50" s="270">
        <f t="shared" si="26"/>
        <v>0</v>
      </c>
      <c r="BF50" s="271">
        <f t="shared" si="44"/>
        <v>0</v>
      </c>
      <c r="BG50" s="271">
        <f t="shared" si="44"/>
        <v>0</v>
      </c>
      <c r="BH50" s="271">
        <f t="shared" si="44"/>
        <v>1</v>
      </c>
      <c r="BI50" s="271">
        <f t="shared" si="44"/>
        <v>2</v>
      </c>
      <c r="BJ50" s="271">
        <f t="shared" si="44"/>
        <v>3</v>
      </c>
      <c r="BK50" s="271">
        <f t="shared" si="44"/>
        <v>4</v>
      </c>
      <c r="BL50" s="272">
        <f t="shared" si="44"/>
        <v>5</v>
      </c>
      <c r="BM50" s="257">
        <f>IF($BC50=Lookup!$A$2,$BD50*ROUNDUP(BE50/10,0)+1,
IF($BC50=Lookup!$A$3,($BD50+1)^BD50,
IF($BC50=Lookup!$A$4,BE50*$BD50+1,"Error")))</f>
        <v>1</v>
      </c>
      <c r="BN50" s="230">
        <f>IF($BC50=Lookup!$A$2,$BD50*ROUNDUP(BF50/10,0)+1,
IF($BC50=Lookup!$A$3,($BD50+1)^BE50,
IF($BC50=Lookup!$A$4,BF50*$BD50+1,"Error")))</f>
        <v>1</v>
      </c>
      <c r="BO50" s="230">
        <f>IF($BC50=Lookup!$A$2,$BD50*ROUNDUP(BG50/10,0)+1,
IF($BC50=Lookup!$A$3,($BD50+1)^BF50,
IF($BC50=Lookup!$A$4,BG50*$BD50+1,"Error")))</f>
        <v>1</v>
      </c>
      <c r="BP50" s="230">
        <f>IF($BC50=Lookup!$A$2,$BD50*ROUNDUP(BH50/10,0)+1,
IF($BC50=Lookup!$A$3,($BD50+1)^BG50,
IF($BC50=Lookup!$A$4,BH50*$BD50+1,"Error")))</f>
        <v>1</v>
      </c>
      <c r="BQ50" s="230">
        <f>IF($BC50=Lookup!$A$2,$BD50*ROUNDUP(BI50/10,0)+1,
IF($BC50=Lookup!$A$3,($BD50+1)^BH50,
IF($BC50=Lookup!$A$4,BI50*$BD50+1,"Error")))</f>
        <v>1</v>
      </c>
      <c r="BR50" s="230">
        <f>IF($BC50=Lookup!$A$2,$BD50*ROUNDUP(BJ50/10,0)+1,
IF($BC50=Lookup!$A$3,($BD50+1)^BI50,
IF($BC50=Lookup!$A$4,BJ50*$BD50+1,"Error")))</f>
        <v>1</v>
      </c>
      <c r="BS50" s="230">
        <f>IF($BC50=Lookup!$A$2,$BD50*ROUNDUP(BK50/10,0)+1,
IF($BC50=Lookup!$A$3,($BD50+1)^BJ50,
IF($BC50=Lookup!$A$4,BK50*$BD50+1,"Error")))</f>
        <v>1</v>
      </c>
      <c r="BT50" s="251">
        <f>IF($BC50=Lookup!$A$2,$BD50*ROUNDUP(BL50/10,0)+1,
IF($BC50=Lookup!$A$3,($BD50+1)^BK50,
IF($BC50=Lookup!$A$4,BL50*$BD50+1,"Error")))</f>
        <v>1</v>
      </c>
      <c r="BU50" s="400">
        <v>0</v>
      </c>
      <c r="BV50" s="358">
        <v>0</v>
      </c>
      <c r="BW50" s="358">
        <v>0</v>
      </c>
      <c r="BX50" s="400">
        <v>0</v>
      </c>
      <c r="BY50" s="358">
        <v>0</v>
      </c>
      <c r="BZ50" s="358">
        <v>0</v>
      </c>
      <c r="CA50" s="358">
        <v>0</v>
      </c>
      <c r="CB50" s="401">
        <v>0</v>
      </c>
      <c r="CC50" s="384" t="s">
        <v>292</v>
      </c>
      <c r="CD50" s="385">
        <f>HLOOKUP($CC50,$AK$6:$AM$132,ROWS(CD$6:CD50),0)</f>
        <v>0</v>
      </c>
      <c r="CE50" s="365">
        <f t="shared" si="27"/>
        <v>0</v>
      </c>
      <c r="CF50" s="366">
        <f t="shared" si="27"/>
        <v>0</v>
      </c>
      <c r="CG50" s="800">
        <f t="shared" si="27"/>
        <v>0</v>
      </c>
      <c r="CH50" s="809">
        <f t="shared" si="27"/>
        <v>0</v>
      </c>
      <c r="CI50" s="366">
        <f t="shared" si="45"/>
        <v>0</v>
      </c>
      <c r="CJ50" s="366">
        <f t="shared" si="45"/>
        <v>0</v>
      </c>
      <c r="CK50" s="366">
        <f t="shared" si="45"/>
        <v>0</v>
      </c>
      <c r="CL50" s="367">
        <f t="shared" si="45"/>
        <v>0</v>
      </c>
      <c r="CM50" s="308" t="s">
        <v>293</v>
      </c>
      <c r="CN50" s="316">
        <v>0.05</v>
      </c>
      <c r="CO50" s="309"/>
      <c r="CP50" s="310" t="str">
        <f>IF($CO50&lt;&gt;"",$CO50,HLOOKUP($CM50,$AY$6:$BA$132,ROWS(CP$6:CP50),0))</f>
        <v/>
      </c>
      <c r="CQ50" s="785">
        <v>0</v>
      </c>
      <c r="CR50" s="785">
        <v>0</v>
      </c>
      <c r="CS50" s="638">
        <v>0</v>
      </c>
      <c r="CT50" s="467">
        <v>0</v>
      </c>
      <c r="CU50" s="117">
        <v>0</v>
      </c>
      <c r="CV50" s="117">
        <v>0</v>
      </c>
      <c r="CW50" s="117">
        <v>0</v>
      </c>
      <c r="CX50" s="118">
        <v>0</v>
      </c>
      <c r="CY50" s="393"/>
      <c r="CZ50" s="1" t="s">
        <v>671</v>
      </c>
      <c r="DA50" s="793">
        <f t="shared" ref="DA50:DE50" si="48">SUM(DA48:DA49)</f>
        <v>17.710135995866665</v>
      </c>
      <c r="DB50" s="793">
        <f t="shared" si="48"/>
        <v>23.235135995866663</v>
      </c>
      <c r="DC50" s="793">
        <f t="shared" si="48"/>
        <v>18.710135995866665</v>
      </c>
      <c r="DD50" s="793">
        <f t="shared" si="48"/>
        <v>19.710135995866665</v>
      </c>
      <c r="DE50" s="793">
        <f t="shared" si="48"/>
        <v>26.411135995866665</v>
      </c>
      <c r="DF50" s="793">
        <f>SUM(DF48:DF49)</f>
        <v>105.77667997933332</v>
      </c>
    </row>
    <row r="51" spans="1:110" x14ac:dyDescent="0.25">
      <c r="A51" s="63" t="s">
        <v>106</v>
      </c>
      <c r="B51" s="64" t="s">
        <v>103</v>
      </c>
      <c r="C51" s="65" t="s">
        <v>326</v>
      </c>
      <c r="D51" s="66"/>
      <c r="E51" s="67"/>
      <c r="F51" s="67"/>
      <c r="G51" s="67"/>
      <c r="H51" s="67"/>
      <c r="I51" s="67"/>
      <c r="J51" s="67"/>
      <c r="K51" s="67"/>
      <c r="L51" s="67"/>
      <c r="M51" s="653"/>
      <c r="N51" s="1064"/>
      <c r="O51" s="557">
        <f t="shared" si="25"/>
        <v>0</v>
      </c>
      <c r="P51" s="558">
        <f t="shared" si="0"/>
        <v>0</v>
      </c>
      <c r="Q51" s="558">
        <f t="shared" si="1"/>
        <v>0</v>
      </c>
      <c r="R51" s="558">
        <f t="shared" si="2"/>
        <v>0</v>
      </c>
      <c r="S51" s="558">
        <f t="shared" si="3"/>
        <v>0</v>
      </c>
      <c r="T51" s="558">
        <f t="shared" si="4"/>
        <v>0</v>
      </c>
      <c r="U51" s="558">
        <f t="shared" si="5"/>
        <v>0</v>
      </c>
      <c r="V51" s="558">
        <f t="shared" si="6"/>
        <v>0</v>
      </c>
      <c r="W51" s="674">
        <f t="shared" si="7"/>
        <v>0</v>
      </c>
      <c r="X51" s="674">
        <f t="shared" si="8"/>
        <v>0</v>
      </c>
      <c r="Y51" s="674">
        <f t="shared" si="8"/>
        <v>0</v>
      </c>
      <c r="Z51" s="68"/>
      <c r="AA51" s="69"/>
      <c r="AB51" s="69"/>
      <c r="AC51" s="69"/>
      <c r="AD51" s="69"/>
      <c r="AE51" s="69"/>
      <c r="AF51" s="69"/>
      <c r="AG51" s="69"/>
      <c r="AH51" s="69"/>
      <c r="AI51" s="1093"/>
      <c r="AJ51" s="664"/>
      <c r="AK51" s="121">
        <f t="shared" si="30"/>
        <v>0</v>
      </c>
      <c r="AL51" s="122" t="str" cm="1">
        <f t="array" aca="1" ref="AL51" ca="1">IFERROR(IF($AM$4="N",SSUM(AF51:AH51)/3,SUM(AG51:AI51)/3),"")</f>
        <v/>
      </c>
      <c r="AM51" s="123">
        <f t="shared" si="31"/>
        <v>0</v>
      </c>
      <c r="AN51" s="73" t="str">
        <f t="shared" si="32"/>
        <v/>
      </c>
      <c r="AO51" s="74" t="str">
        <f t="shared" si="33"/>
        <v/>
      </c>
      <c r="AP51" s="74" t="str">
        <f t="shared" si="34"/>
        <v/>
      </c>
      <c r="AQ51" s="74" t="str">
        <f t="shared" si="35"/>
        <v/>
      </c>
      <c r="AR51" s="74" t="str">
        <f t="shared" si="36"/>
        <v/>
      </c>
      <c r="AS51" s="74" t="str">
        <f t="shared" si="37"/>
        <v/>
      </c>
      <c r="AT51" s="74" t="str">
        <f t="shared" si="38"/>
        <v/>
      </c>
      <c r="AU51" s="74" t="str">
        <f t="shared" si="39"/>
        <v/>
      </c>
      <c r="AV51" s="74" t="str">
        <f t="shared" si="40"/>
        <v/>
      </c>
      <c r="AW51" s="74" t="str">
        <f t="shared" si="40"/>
        <v/>
      </c>
      <c r="AX51" s="74" t="str">
        <f t="shared" si="40"/>
        <v/>
      </c>
      <c r="AY51" s="75" t="str">
        <f t="shared" si="41"/>
        <v/>
      </c>
      <c r="AZ51" s="76" t="str">
        <f t="shared" si="42"/>
        <v/>
      </c>
      <c r="BA51" s="77" t="str">
        <f t="shared" si="43"/>
        <v/>
      </c>
      <c r="BB51" s="246" t="s">
        <v>422</v>
      </c>
      <c r="BC51" s="228" t="s">
        <v>433</v>
      </c>
      <c r="BD51" s="247">
        <v>0</v>
      </c>
      <c r="BE51" s="264">
        <f t="shared" si="26"/>
        <v>0</v>
      </c>
      <c r="BF51" s="265">
        <f t="shared" si="44"/>
        <v>0</v>
      </c>
      <c r="BG51" s="265">
        <f t="shared" si="44"/>
        <v>0</v>
      </c>
      <c r="BH51" s="265">
        <f t="shared" si="44"/>
        <v>1</v>
      </c>
      <c r="BI51" s="265">
        <f t="shared" si="44"/>
        <v>2</v>
      </c>
      <c r="BJ51" s="265">
        <f t="shared" si="44"/>
        <v>3</v>
      </c>
      <c r="BK51" s="265">
        <f t="shared" si="44"/>
        <v>4</v>
      </c>
      <c r="BL51" s="266">
        <f t="shared" si="44"/>
        <v>5</v>
      </c>
      <c r="BM51" s="255">
        <f>IF($BC51=Lookup!$A$2,$BD51*ROUNDUP(BE51/10,0)+1,
IF($BC51=Lookup!$A$3,($BD51+1)^BD51,
IF($BC51=Lookup!$A$4,BE51*$BD51+1,"Error")))</f>
        <v>1</v>
      </c>
      <c r="BN51" s="228">
        <f>IF($BC51=Lookup!$A$2,$BD51*ROUNDUP(BF51/10,0)+1,
IF($BC51=Lookup!$A$3,($BD51+1)^BE51,
IF($BC51=Lookup!$A$4,BF51*$BD51+1,"Error")))</f>
        <v>1</v>
      </c>
      <c r="BO51" s="228">
        <f>IF($BC51=Lookup!$A$2,$BD51*ROUNDUP(BG51/10,0)+1,
IF($BC51=Lookup!$A$3,($BD51+1)^BF51,
IF($BC51=Lookup!$A$4,BG51*$BD51+1,"Error")))</f>
        <v>1</v>
      </c>
      <c r="BP51" s="228">
        <f>IF($BC51=Lookup!$A$2,$BD51*ROUNDUP(BH51/10,0)+1,
IF($BC51=Lookup!$A$3,($BD51+1)^BG51,
IF($BC51=Lookup!$A$4,BH51*$BD51+1,"Error")))</f>
        <v>1</v>
      </c>
      <c r="BQ51" s="228">
        <f>IF($BC51=Lookup!$A$2,$BD51*ROUNDUP(BI51/10,0)+1,
IF($BC51=Lookup!$A$3,($BD51+1)^BH51,
IF($BC51=Lookup!$A$4,BI51*$BD51+1,"Error")))</f>
        <v>1</v>
      </c>
      <c r="BR51" s="228">
        <f>IF($BC51=Lookup!$A$2,$BD51*ROUNDUP(BJ51/10,0)+1,
IF($BC51=Lookup!$A$3,($BD51+1)^BI51,
IF($BC51=Lookup!$A$4,BJ51*$BD51+1,"Error")))</f>
        <v>1</v>
      </c>
      <c r="BS51" s="228">
        <f>IF($BC51=Lookup!$A$2,$BD51*ROUNDUP(BK51/10,0)+1,
IF($BC51=Lookup!$A$3,($BD51+1)^BJ51,
IF($BC51=Lookup!$A$4,BK51*$BD51+1,"Error")))</f>
        <v>1</v>
      </c>
      <c r="BT51" s="247">
        <f>IF($BC51=Lookup!$A$2,$BD51*ROUNDUP(BL51/10,0)+1,
IF($BC51=Lookup!$A$3,($BD51+1)^BK51,
IF($BC51=Lookup!$A$4,BL51*$BD51+1,"Error")))</f>
        <v>1</v>
      </c>
      <c r="BU51" s="318">
        <v>0</v>
      </c>
      <c r="BV51" s="319">
        <v>0</v>
      </c>
      <c r="BW51" s="319">
        <v>0</v>
      </c>
      <c r="BX51" s="318">
        <v>0</v>
      </c>
      <c r="BY51" s="319">
        <v>0</v>
      </c>
      <c r="BZ51" s="319">
        <v>0</v>
      </c>
      <c r="CA51" s="319">
        <v>0</v>
      </c>
      <c r="CB51" s="276">
        <v>0</v>
      </c>
      <c r="CC51" s="380" t="s">
        <v>292</v>
      </c>
      <c r="CD51" s="381">
        <f>HLOOKUP($CC51,$AK$6:$AM$132,ROWS(CD$6:CD51),0)</f>
        <v>0</v>
      </c>
      <c r="CE51" s="233">
        <f t="shared" si="27"/>
        <v>0</v>
      </c>
      <c r="CF51" s="78">
        <f t="shared" si="27"/>
        <v>0</v>
      </c>
      <c r="CG51" s="797">
        <f t="shared" si="27"/>
        <v>0</v>
      </c>
      <c r="CH51" s="806">
        <f t="shared" si="27"/>
        <v>0</v>
      </c>
      <c r="CI51" s="78">
        <f t="shared" si="45"/>
        <v>0</v>
      </c>
      <c r="CJ51" s="78">
        <f t="shared" si="45"/>
        <v>0</v>
      </c>
      <c r="CK51" s="78">
        <f t="shared" si="45"/>
        <v>0</v>
      </c>
      <c r="CL51" s="285">
        <f t="shared" si="45"/>
        <v>0</v>
      </c>
      <c r="CM51" s="302" t="s">
        <v>293</v>
      </c>
      <c r="CN51" s="314">
        <v>0.05</v>
      </c>
      <c r="CO51" s="303"/>
      <c r="CP51" s="304" t="str">
        <f>IF($CO51&lt;&gt;"",$CO51,HLOOKUP($CM51,$AY$6:$BA$132,ROWS(CP$6:CP51),0))</f>
        <v/>
      </c>
      <c r="CQ51" s="783">
        <v>0</v>
      </c>
      <c r="CR51" s="783">
        <v>0</v>
      </c>
      <c r="CS51" s="523">
        <v>0</v>
      </c>
      <c r="CT51" s="415">
        <v>0</v>
      </c>
      <c r="CU51" s="79">
        <v>0</v>
      </c>
      <c r="CV51" s="79">
        <v>0</v>
      </c>
      <c r="CW51" s="79">
        <v>0</v>
      </c>
      <c r="CX51" s="80">
        <v>0</v>
      </c>
      <c r="CY51" s="391"/>
    </row>
    <row r="52" spans="1:110" x14ac:dyDescent="0.25">
      <c r="A52" s="81" t="s">
        <v>106</v>
      </c>
      <c r="B52" s="82" t="s">
        <v>107</v>
      </c>
      <c r="C52" s="83" t="s">
        <v>328</v>
      </c>
      <c r="D52" s="84"/>
      <c r="E52" s="85"/>
      <c r="F52" s="85"/>
      <c r="G52" s="85"/>
      <c r="H52" s="85"/>
      <c r="I52" s="85"/>
      <c r="J52" s="85"/>
      <c r="K52" s="85"/>
      <c r="L52" s="85"/>
      <c r="M52" s="654"/>
      <c r="N52" s="1065"/>
      <c r="O52" s="560">
        <f t="shared" si="25"/>
        <v>0</v>
      </c>
      <c r="P52" s="561">
        <f t="shared" si="0"/>
        <v>0</v>
      </c>
      <c r="Q52" s="561">
        <f t="shared" si="1"/>
        <v>0</v>
      </c>
      <c r="R52" s="561">
        <f t="shared" si="2"/>
        <v>0</v>
      </c>
      <c r="S52" s="561">
        <f t="shared" si="3"/>
        <v>0</v>
      </c>
      <c r="T52" s="561">
        <f t="shared" si="4"/>
        <v>0</v>
      </c>
      <c r="U52" s="561">
        <f t="shared" si="5"/>
        <v>0</v>
      </c>
      <c r="V52" s="561">
        <f t="shared" si="6"/>
        <v>0</v>
      </c>
      <c r="W52" s="675">
        <f t="shared" si="7"/>
        <v>0</v>
      </c>
      <c r="X52" s="675">
        <f t="shared" si="8"/>
        <v>0</v>
      </c>
      <c r="Y52" s="675">
        <f t="shared" si="8"/>
        <v>0</v>
      </c>
      <c r="Z52" s="86"/>
      <c r="AA52" s="87"/>
      <c r="AB52" s="87"/>
      <c r="AC52" s="87"/>
      <c r="AD52" s="87"/>
      <c r="AE52" s="87"/>
      <c r="AF52" s="87"/>
      <c r="AG52" s="87"/>
      <c r="AH52" s="87"/>
      <c r="AI52" s="1094"/>
      <c r="AJ52" s="665"/>
      <c r="AK52" s="127">
        <f t="shared" si="30"/>
        <v>0</v>
      </c>
      <c r="AL52" s="128" t="str" cm="1">
        <f t="array" aca="1" ref="AL52" ca="1">IFERROR(IF($AM$4="N",SSUM(AF52:AH52)/3,SUM(AG52:AI52)/3),"")</f>
        <v/>
      </c>
      <c r="AM52" s="129">
        <f t="shared" si="31"/>
        <v>0</v>
      </c>
      <c r="AN52" s="91" t="str">
        <f t="shared" si="32"/>
        <v/>
      </c>
      <c r="AO52" s="92" t="str">
        <f t="shared" si="33"/>
        <v/>
      </c>
      <c r="AP52" s="92" t="str">
        <f t="shared" si="34"/>
        <v/>
      </c>
      <c r="AQ52" s="92" t="str">
        <f t="shared" si="35"/>
        <v/>
      </c>
      <c r="AR52" s="92" t="str">
        <f t="shared" si="36"/>
        <v/>
      </c>
      <c r="AS52" s="92" t="str">
        <f t="shared" si="37"/>
        <v/>
      </c>
      <c r="AT52" s="92" t="str">
        <f t="shared" si="38"/>
        <v/>
      </c>
      <c r="AU52" s="92" t="str">
        <f t="shared" si="39"/>
        <v/>
      </c>
      <c r="AV52" s="92" t="str">
        <f t="shared" si="40"/>
        <v/>
      </c>
      <c r="AW52" s="92" t="str">
        <f t="shared" si="40"/>
        <v/>
      </c>
      <c r="AX52" s="92" t="str">
        <f t="shared" si="40"/>
        <v/>
      </c>
      <c r="AY52" s="93" t="str">
        <f t="shared" si="41"/>
        <v/>
      </c>
      <c r="AZ52" s="94" t="str">
        <f t="shared" si="42"/>
        <v/>
      </c>
      <c r="BA52" s="95" t="str">
        <f t="shared" si="43"/>
        <v/>
      </c>
      <c r="BB52" s="248" t="s">
        <v>422</v>
      </c>
      <c r="BC52" s="229" t="s">
        <v>433</v>
      </c>
      <c r="BD52" s="249">
        <v>0</v>
      </c>
      <c r="BE52" s="267">
        <f t="shared" si="26"/>
        <v>0</v>
      </c>
      <c r="BF52" s="268">
        <f t="shared" si="44"/>
        <v>0</v>
      </c>
      <c r="BG52" s="268">
        <f t="shared" si="44"/>
        <v>0</v>
      </c>
      <c r="BH52" s="268">
        <f t="shared" si="44"/>
        <v>1</v>
      </c>
      <c r="BI52" s="268">
        <f t="shared" si="44"/>
        <v>2</v>
      </c>
      <c r="BJ52" s="268">
        <f t="shared" si="44"/>
        <v>3</v>
      </c>
      <c r="BK52" s="268">
        <f t="shared" si="44"/>
        <v>4</v>
      </c>
      <c r="BL52" s="269">
        <f t="shared" si="44"/>
        <v>5</v>
      </c>
      <c r="BM52" s="256">
        <f>IF($BC52=Lookup!$A$2,$BD52*ROUNDUP(BE52/10,0)+1,
IF($BC52=Lookup!$A$3,($BD52+1)^BD52,
IF($BC52=Lookup!$A$4,BE52*$BD52+1,"Error")))</f>
        <v>1</v>
      </c>
      <c r="BN52" s="229">
        <f>IF($BC52=Lookup!$A$2,$BD52*ROUNDUP(BF52/10,0)+1,
IF($BC52=Lookup!$A$3,($BD52+1)^BE52,
IF($BC52=Lookup!$A$4,BF52*$BD52+1,"Error")))</f>
        <v>1</v>
      </c>
      <c r="BO52" s="229">
        <f>IF($BC52=Lookup!$A$2,$BD52*ROUNDUP(BG52/10,0)+1,
IF($BC52=Lookup!$A$3,($BD52+1)^BF52,
IF($BC52=Lookup!$A$4,BG52*$BD52+1,"Error")))</f>
        <v>1</v>
      </c>
      <c r="BP52" s="229">
        <f>IF($BC52=Lookup!$A$2,$BD52*ROUNDUP(BH52/10,0)+1,
IF($BC52=Lookup!$A$3,($BD52+1)^BG52,
IF($BC52=Lookup!$A$4,BH52*$BD52+1,"Error")))</f>
        <v>1</v>
      </c>
      <c r="BQ52" s="229">
        <f>IF($BC52=Lookup!$A$2,$BD52*ROUNDUP(BI52/10,0)+1,
IF($BC52=Lookup!$A$3,($BD52+1)^BH52,
IF($BC52=Lookup!$A$4,BI52*$BD52+1,"Error")))</f>
        <v>1</v>
      </c>
      <c r="BR52" s="229">
        <f>IF($BC52=Lookup!$A$2,$BD52*ROUNDUP(BJ52/10,0)+1,
IF($BC52=Lookup!$A$3,($BD52+1)^BI52,
IF($BC52=Lookup!$A$4,BJ52*$BD52+1,"Error")))</f>
        <v>1</v>
      </c>
      <c r="BS52" s="229">
        <f>IF($BC52=Lookup!$A$2,$BD52*ROUNDUP(BK52/10,0)+1,
IF($BC52=Lookup!$A$3,($BD52+1)^BJ52,
IF($BC52=Lookup!$A$4,BK52*$BD52+1,"Error")))</f>
        <v>1</v>
      </c>
      <c r="BT52" s="249">
        <f>IF($BC52=Lookup!$A$2,$BD52*ROUNDUP(BL52/10,0)+1,
IF($BC52=Lookup!$A$3,($BD52+1)^BK52,
IF($BC52=Lookup!$A$4,BL52*$BD52+1,"Error")))</f>
        <v>1</v>
      </c>
      <c r="BU52" s="320">
        <v>0</v>
      </c>
      <c r="BV52" s="321">
        <v>0</v>
      </c>
      <c r="BW52" s="321">
        <v>0</v>
      </c>
      <c r="BX52" s="320">
        <v>0</v>
      </c>
      <c r="BY52" s="321">
        <v>0</v>
      </c>
      <c r="BZ52" s="321">
        <v>0</v>
      </c>
      <c r="CA52" s="321">
        <v>0</v>
      </c>
      <c r="CB52" s="277">
        <v>0</v>
      </c>
      <c r="CC52" s="382" t="s">
        <v>292</v>
      </c>
      <c r="CD52" s="383">
        <f>HLOOKUP($CC52,$AK$6:$AM$132,ROWS(CD$6:CD52),0)</f>
        <v>0</v>
      </c>
      <c r="CE52" s="234">
        <f t="shared" si="27"/>
        <v>0</v>
      </c>
      <c r="CF52" s="96">
        <f t="shared" si="27"/>
        <v>0</v>
      </c>
      <c r="CG52" s="521">
        <f t="shared" si="27"/>
        <v>0</v>
      </c>
      <c r="CH52" s="421">
        <f t="shared" si="27"/>
        <v>0</v>
      </c>
      <c r="CI52" s="96">
        <f t="shared" si="45"/>
        <v>0</v>
      </c>
      <c r="CJ52" s="96">
        <f t="shared" si="45"/>
        <v>0</v>
      </c>
      <c r="CK52" s="96">
        <f t="shared" si="45"/>
        <v>0</v>
      </c>
      <c r="CL52" s="286">
        <f t="shared" si="45"/>
        <v>0</v>
      </c>
      <c r="CM52" s="305" t="s">
        <v>293</v>
      </c>
      <c r="CN52" s="315">
        <v>0.05</v>
      </c>
      <c r="CO52" s="306"/>
      <c r="CP52" s="307" t="str">
        <f>IF($CO52&lt;&gt;"",$CO52,HLOOKUP($CM52,$AY$6:$BA$132,ROWS(CP$6:CP52),0))</f>
        <v/>
      </c>
      <c r="CQ52" s="784">
        <v>0</v>
      </c>
      <c r="CR52" s="784">
        <v>0</v>
      </c>
      <c r="CS52" s="524">
        <v>0</v>
      </c>
      <c r="CT52" s="416">
        <v>0</v>
      </c>
      <c r="CU52" s="97">
        <v>0</v>
      </c>
      <c r="CV52" s="97">
        <v>0</v>
      </c>
      <c r="CW52" s="97">
        <v>0</v>
      </c>
      <c r="CX52" s="98">
        <v>0</v>
      </c>
      <c r="CY52" s="392"/>
    </row>
    <row r="53" spans="1:110" x14ac:dyDescent="0.25">
      <c r="A53" s="81" t="s">
        <v>106</v>
      </c>
      <c r="B53" s="82" t="s">
        <v>109</v>
      </c>
      <c r="C53" s="83" t="s">
        <v>329</v>
      </c>
      <c r="D53" s="84"/>
      <c r="E53" s="85"/>
      <c r="F53" s="85"/>
      <c r="G53" s="85"/>
      <c r="H53" s="85"/>
      <c r="I53" s="85"/>
      <c r="J53" s="85"/>
      <c r="K53" s="85"/>
      <c r="L53" s="85"/>
      <c r="M53" s="654"/>
      <c r="N53" s="1065"/>
      <c r="O53" s="560">
        <f t="shared" si="25"/>
        <v>0</v>
      </c>
      <c r="P53" s="561">
        <f t="shared" si="0"/>
        <v>0</v>
      </c>
      <c r="Q53" s="561">
        <f t="shared" si="1"/>
        <v>0</v>
      </c>
      <c r="R53" s="561">
        <f t="shared" si="2"/>
        <v>0</v>
      </c>
      <c r="S53" s="561">
        <f t="shared" si="3"/>
        <v>0</v>
      </c>
      <c r="T53" s="561">
        <f t="shared" si="4"/>
        <v>0</v>
      </c>
      <c r="U53" s="561">
        <f t="shared" si="5"/>
        <v>0</v>
      </c>
      <c r="V53" s="561">
        <f t="shared" si="6"/>
        <v>0</v>
      </c>
      <c r="W53" s="675">
        <f t="shared" si="7"/>
        <v>0</v>
      </c>
      <c r="X53" s="675">
        <f t="shared" si="8"/>
        <v>0</v>
      </c>
      <c r="Y53" s="675">
        <f t="shared" si="8"/>
        <v>0</v>
      </c>
      <c r="Z53" s="86"/>
      <c r="AA53" s="87"/>
      <c r="AB53" s="87"/>
      <c r="AC53" s="87"/>
      <c r="AD53" s="87"/>
      <c r="AE53" s="87"/>
      <c r="AF53" s="87"/>
      <c r="AG53" s="87"/>
      <c r="AH53" s="87"/>
      <c r="AI53" s="1094"/>
      <c r="AJ53" s="665"/>
      <c r="AK53" s="127">
        <f t="shared" si="30"/>
        <v>0</v>
      </c>
      <c r="AL53" s="128" t="str" cm="1">
        <f t="array" aca="1" ref="AL53" ca="1">IFERROR(IF($AM$4="N",SSUM(AF53:AH53)/3,SUM(AG53:AI53)/3),"")</f>
        <v/>
      </c>
      <c r="AM53" s="129">
        <f t="shared" si="31"/>
        <v>0</v>
      </c>
      <c r="AN53" s="91" t="str">
        <f t="shared" si="32"/>
        <v/>
      </c>
      <c r="AO53" s="92" t="str">
        <f t="shared" si="33"/>
        <v/>
      </c>
      <c r="AP53" s="92" t="str">
        <f t="shared" si="34"/>
        <v/>
      </c>
      <c r="AQ53" s="92" t="str">
        <f t="shared" si="35"/>
        <v/>
      </c>
      <c r="AR53" s="92" t="str">
        <f t="shared" si="36"/>
        <v/>
      </c>
      <c r="AS53" s="92" t="str">
        <f t="shared" si="37"/>
        <v/>
      </c>
      <c r="AT53" s="92" t="str">
        <f t="shared" si="38"/>
        <v/>
      </c>
      <c r="AU53" s="92" t="str">
        <f t="shared" si="39"/>
        <v/>
      </c>
      <c r="AV53" s="92" t="str">
        <f t="shared" si="40"/>
        <v/>
      </c>
      <c r="AW53" s="92" t="str">
        <f t="shared" si="40"/>
        <v/>
      </c>
      <c r="AX53" s="92" t="str">
        <f t="shared" si="40"/>
        <v/>
      </c>
      <c r="AY53" s="93" t="str">
        <f t="shared" si="41"/>
        <v/>
      </c>
      <c r="AZ53" s="94" t="str">
        <f t="shared" si="42"/>
        <v/>
      </c>
      <c r="BA53" s="95" t="str">
        <f t="shared" si="43"/>
        <v/>
      </c>
      <c r="BB53" s="248" t="s">
        <v>422</v>
      </c>
      <c r="BC53" s="229" t="s">
        <v>433</v>
      </c>
      <c r="BD53" s="249">
        <v>0</v>
      </c>
      <c r="BE53" s="267">
        <f t="shared" si="26"/>
        <v>0</v>
      </c>
      <c r="BF53" s="268">
        <f t="shared" si="44"/>
        <v>0</v>
      </c>
      <c r="BG53" s="268">
        <f t="shared" si="44"/>
        <v>0</v>
      </c>
      <c r="BH53" s="268">
        <f t="shared" si="44"/>
        <v>1</v>
      </c>
      <c r="BI53" s="268">
        <f t="shared" si="44"/>
        <v>2</v>
      </c>
      <c r="BJ53" s="268">
        <f t="shared" si="44"/>
        <v>3</v>
      </c>
      <c r="BK53" s="268">
        <f t="shared" si="44"/>
        <v>4</v>
      </c>
      <c r="BL53" s="269">
        <f t="shared" si="44"/>
        <v>5</v>
      </c>
      <c r="BM53" s="256">
        <f>IF($BC53=Lookup!$A$2,$BD53*ROUNDUP(BE53/10,0)+1,
IF($BC53=Lookup!$A$3,($BD53+1)^BD53,
IF($BC53=Lookup!$A$4,BE53*$BD53+1,"Error")))</f>
        <v>1</v>
      </c>
      <c r="BN53" s="229">
        <f>IF($BC53=Lookup!$A$2,$BD53*ROUNDUP(BF53/10,0)+1,
IF($BC53=Lookup!$A$3,($BD53+1)^BE53,
IF($BC53=Lookup!$A$4,BF53*$BD53+1,"Error")))</f>
        <v>1</v>
      </c>
      <c r="BO53" s="229">
        <f>IF($BC53=Lookup!$A$2,$BD53*ROUNDUP(BG53/10,0)+1,
IF($BC53=Lookup!$A$3,($BD53+1)^BF53,
IF($BC53=Lookup!$A$4,BG53*$BD53+1,"Error")))</f>
        <v>1</v>
      </c>
      <c r="BP53" s="229">
        <f>IF($BC53=Lookup!$A$2,$BD53*ROUNDUP(BH53/10,0)+1,
IF($BC53=Lookup!$A$3,($BD53+1)^BG53,
IF($BC53=Lookup!$A$4,BH53*$BD53+1,"Error")))</f>
        <v>1</v>
      </c>
      <c r="BQ53" s="229">
        <f>IF($BC53=Lookup!$A$2,$BD53*ROUNDUP(BI53/10,0)+1,
IF($BC53=Lookup!$A$3,($BD53+1)^BH53,
IF($BC53=Lookup!$A$4,BI53*$BD53+1,"Error")))</f>
        <v>1</v>
      </c>
      <c r="BR53" s="229">
        <f>IF($BC53=Lookup!$A$2,$BD53*ROUNDUP(BJ53/10,0)+1,
IF($BC53=Lookup!$A$3,($BD53+1)^BI53,
IF($BC53=Lookup!$A$4,BJ53*$BD53+1,"Error")))</f>
        <v>1</v>
      </c>
      <c r="BS53" s="229">
        <f>IF($BC53=Lookup!$A$2,$BD53*ROUNDUP(BK53/10,0)+1,
IF($BC53=Lookup!$A$3,($BD53+1)^BJ53,
IF($BC53=Lookup!$A$4,BK53*$BD53+1,"Error")))</f>
        <v>1</v>
      </c>
      <c r="BT53" s="249">
        <f>IF($BC53=Lookup!$A$2,$BD53*ROUNDUP(BL53/10,0)+1,
IF($BC53=Lookup!$A$3,($BD53+1)^BK53,
IF($BC53=Lookup!$A$4,BL53*$BD53+1,"Error")))</f>
        <v>1</v>
      </c>
      <c r="BU53" s="320">
        <v>0</v>
      </c>
      <c r="BV53" s="321">
        <v>0</v>
      </c>
      <c r="BW53" s="321">
        <v>0</v>
      </c>
      <c r="BX53" s="320">
        <v>0</v>
      </c>
      <c r="BY53" s="321">
        <v>0</v>
      </c>
      <c r="BZ53" s="321">
        <v>0</v>
      </c>
      <c r="CA53" s="321">
        <v>0</v>
      </c>
      <c r="CB53" s="277">
        <v>0</v>
      </c>
      <c r="CC53" s="382" t="s">
        <v>292</v>
      </c>
      <c r="CD53" s="383">
        <f>HLOOKUP($CC53,$AK$6:$AM$132,ROWS(CD$6:CD53),0)</f>
        <v>0</v>
      </c>
      <c r="CE53" s="234">
        <f t="shared" si="27"/>
        <v>0</v>
      </c>
      <c r="CF53" s="96">
        <f t="shared" si="27"/>
        <v>0</v>
      </c>
      <c r="CG53" s="521">
        <f t="shared" si="27"/>
        <v>0</v>
      </c>
      <c r="CH53" s="421">
        <f t="shared" si="27"/>
        <v>0</v>
      </c>
      <c r="CI53" s="96">
        <f t="shared" si="45"/>
        <v>0</v>
      </c>
      <c r="CJ53" s="96">
        <f t="shared" si="45"/>
        <v>0</v>
      </c>
      <c r="CK53" s="96">
        <f t="shared" si="45"/>
        <v>0</v>
      </c>
      <c r="CL53" s="286">
        <f t="shared" si="45"/>
        <v>0</v>
      </c>
      <c r="CM53" s="305" t="s">
        <v>293</v>
      </c>
      <c r="CN53" s="315">
        <v>0.05</v>
      </c>
      <c r="CO53" s="306"/>
      <c r="CP53" s="307" t="str">
        <f>IF($CO53&lt;&gt;"",$CO53,HLOOKUP($CM53,$AY$6:$BA$132,ROWS(CP$6:CP53),0))</f>
        <v/>
      </c>
      <c r="CQ53" s="784">
        <v>0</v>
      </c>
      <c r="CR53" s="784">
        <v>0</v>
      </c>
      <c r="CS53" s="524">
        <v>0</v>
      </c>
      <c r="CT53" s="416">
        <v>0</v>
      </c>
      <c r="CU53" s="97">
        <v>0</v>
      </c>
      <c r="CV53" s="97">
        <v>0</v>
      </c>
      <c r="CW53" s="97">
        <v>0</v>
      </c>
      <c r="CX53" s="98">
        <v>0</v>
      </c>
      <c r="CY53" s="392"/>
    </row>
    <row r="54" spans="1:110" x14ac:dyDescent="0.25">
      <c r="A54" s="81" t="s">
        <v>106</v>
      </c>
      <c r="B54" s="82" t="s">
        <v>111</v>
      </c>
      <c r="C54" s="83" t="s">
        <v>331</v>
      </c>
      <c r="D54" s="84"/>
      <c r="E54" s="85"/>
      <c r="F54" s="85"/>
      <c r="G54" s="85"/>
      <c r="H54" s="85"/>
      <c r="I54" s="85"/>
      <c r="J54" s="85"/>
      <c r="K54" s="85"/>
      <c r="L54" s="85"/>
      <c r="M54" s="654"/>
      <c r="N54" s="1065"/>
      <c r="O54" s="560">
        <f t="shared" si="25"/>
        <v>0</v>
      </c>
      <c r="P54" s="561">
        <f t="shared" si="0"/>
        <v>0</v>
      </c>
      <c r="Q54" s="561">
        <f t="shared" si="1"/>
        <v>0</v>
      </c>
      <c r="R54" s="561">
        <f t="shared" si="2"/>
        <v>0</v>
      </c>
      <c r="S54" s="561">
        <f t="shared" si="3"/>
        <v>0</v>
      </c>
      <c r="T54" s="561">
        <f t="shared" si="4"/>
        <v>0</v>
      </c>
      <c r="U54" s="561">
        <f t="shared" si="5"/>
        <v>0</v>
      </c>
      <c r="V54" s="561">
        <f t="shared" si="6"/>
        <v>0</v>
      </c>
      <c r="W54" s="675">
        <f t="shared" si="7"/>
        <v>0</v>
      </c>
      <c r="X54" s="675">
        <f t="shared" si="8"/>
        <v>0</v>
      </c>
      <c r="Y54" s="675">
        <f t="shared" si="8"/>
        <v>0</v>
      </c>
      <c r="Z54" s="86"/>
      <c r="AA54" s="87"/>
      <c r="AB54" s="87"/>
      <c r="AC54" s="87"/>
      <c r="AD54" s="87"/>
      <c r="AE54" s="87"/>
      <c r="AF54" s="87"/>
      <c r="AG54" s="87"/>
      <c r="AH54" s="87"/>
      <c r="AI54" s="1094"/>
      <c r="AJ54" s="665"/>
      <c r="AK54" s="127">
        <f t="shared" si="30"/>
        <v>0</v>
      </c>
      <c r="AL54" s="128" t="str" cm="1">
        <f t="array" aca="1" ref="AL54" ca="1">IFERROR(IF($AM$4="N",SSUM(AF54:AH54)/3,SUM(AG54:AI54)/3),"")</f>
        <v/>
      </c>
      <c r="AM54" s="129">
        <f t="shared" si="31"/>
        <v>0</v>
      </c>
      <c r="AN54" s="91" t="str">
        <f t="shared" si="32"/>
        <v/>
      </c>
      <c r="AO54" s="92" t="str">
        <f t="shared" si="33"/>
        <v/>
      </c>
      <c r="AP54" s="92" t="str">
        <f t="shared" si="34"/>
        <v/>
      </c>
      <c r="AQ54" s="92" t="str">
        <f t="shared" si="35"/>
        <v/>
      </c>
      <c r="AR54" s="92" t="str">
        <f t="shared" si="36"/>
        <v/>
      </c>
      <c r="AS54" s="92" t="str">
        <f t="shared" si="37"/>
        <v/>
      </c>
      <c r="AT54" s="92" t="str">
        <f t="shared" si="38"/>
        <v/>
      </c>
      <c r="AU54" s="92" t="str">
        <f t="shared" si="39"/>
        <v/>
      </c>
      <c r="AV54" s="92" t="str">
        <f t="shared" si="40"/>
        <v/>
      </c>
      <c r="AW54" s="92" t="str">
        <f t="shared" si="40"/>
        <v/>
      </c>
      <c r="AX54" s="92" t="str">
        <f t="shared" si="40"/>
        <v/>
      </c>
      <c r="AY54" s="93" t="str">
        <f t="shared" si="41"/>
        <v/>
      </c>
      <c r="AZ54" s="94" t="str">
        <f t="shared" si="42"/>
        <v/>
      </c>
      <c r="BA54" s="95" t="str">
        <f t="shared" si="43"/>
        <v/>
      </c>
      <c r="BB54" s="248" t="s">
        <v>422</v>
      </c>
      <c r="BC54" s="229" t="s">
        <v>433</v>
      </c>
      <c r="BD54" s="249">
        <v>0</v>
      </c>
      <c r="BE54" s="267">
        <f t="shared" si="26"/>
        <v>0</v>
      </c>
      <c r="BF54" s="268">
        <f t="shared" si="44"/>
        <v>0</v>
      </c>
      <c r="BG54" s="268">
        <f t="shared" si="44"/>
        <v>0</v>
      </c>
      <c r="BH54" s="268">
        <f t="shared" si="44"/>
        <v>1</v>
      </c>
      <c r="BI54" s="268">
        <f t="shared" si="44"/>
        <v>2</v>
      </c>
      <c r="BJ54" s="268">
        <f t="shared" si="44"/>
        <v>3</v>
      </c>
      <c r="BK54" s="268">
        <f t="shared" si="44"/>
        <v>4</v>
      </c>
      <c r="BL54" s="269">
        <f t="shared" si="44"/>
        <v>5</v>
      </c>
      <c r="BM54" s="256">
        <f>IF($BC54=Lookup!$A$2,$BD54*ROUNDUP(BE54/10,0)+1,
IF($BC54=Lookup!$A$3,($BD54+1)^BD54,
IF($BC54=Lookup!$A$4,BE54*$BD54+1,"Error")))</f>
        <v>1</v>
      </c>
      <c r="BN54" s="229">
        <f>IF($BC54=Lookup!$A$2,$BD54*ROUNDUP(BF54/10,0)+1,
IF($BC54=Lookup!$A$3,($BD54+1)^BE54,
IF($BC54=Lookup!$A$4,BF54*$BD54+1,"Error")))</f>
        <v>1</v>
      </c>
      <c r="BO54" s="229">
        <f>IF($BC54=Lookup!$A$2,$BD54*ROUNDUP(BG54/10,0)+1,
IF($BC54=Lookup!$A$3,($BD54+1)^BF54,
IF($BC54=Lookup!$A$4,BG54*$BD54+1,"Error")))</f>
        <v>1</v>
      </c>
      <c r="BP54" s="229">
        <f>IF($BC54=Lookup!$A$2,$BD54*ROUNDUP(BH54/10,0)+1,
IF($BC54=Lookup!$A$3,($BD54+1)^BG54,
IF($BC54=Lookup!$A$4,BH54*$BD54+1,"Error")))</f>
        <v>1</v>
      </c>
      <c r="BQ54" s="229">
        <f>IF($BC54=Lookup!$A$2,$BD54*ROUNDUP(BI54/10,0)+1,
IF($BC54=Lookup!$A$3,($BD54+1)^BH54,
IF($BC54=Lookup!$A$4,BI54*$BD54+1,"Error")))</f>
        <v>1</v>
      </c>
      <c r="BR54" s="229">
        <f>IF($BC54=Lookup!$A$2,$BD54*ROUNDUP(BJ54/10,0)+1,
IF($BC54=Lookup!$A$3,($BD54+1)^BI54,
IF($BC54=Lookup!$A$4,BJ54*$BD54+1,"Error")))</f>
        <v>1</v>
      </c>
      <c r="BS54" s="229">
        <f>IF($BC54=Lookup!$A$2,$BD54*ROUNDUP(BK54/10,0)+1,
IF($BC54=Lookup!$A$3,($BD54+1)^BJ54,
IF($BC54=Lookup!$A$4,BK54*$BD54+1,"Error")))</f>
        <v>1</v>
      </c>
      <c r="BT54" s="249">
        <f>IF($BC54=Lookup!$A$2,$BD54*ROUNDUP(BL54/10,0)+1,
IF($BC54=Lookup!$A$3,($BD54+1)^BK54,
IF($BC54=Lookup!$A$4,BL54*$BD54+1,"Error")))</f>
        <v>1</v>
      </c>
      <c r="BU54" s="320">
        <v>0</v>
      </c>
      <c r="BV54" s="321">
        <v>0</v>
      </c>
      <c r="BW54" s="321">
        <v>0</v>
      </c>
      <c r="BX54" s="320">
        <v>0</v>
      </c>
      <c r="BY54" s="321">
        <v>0</v>
      </c>
      <c r="BZ54" s="321">
        <v>0</v>
      </c>
      <c r="CA54" s="321">
        <v>0</v>
      </c>
      <c r="CB54" s="277">
        <v>0</v>
      </c>
      <c r="CC54" s="382" t="s">
        <v>292</v>
      </c>
      <c r="CD54" s="383">
        <f>HLOOKUP($CC54,$AK$6:$AM$132,ROWS(CD$6:CD54),0)</f>
        <v>0</v>
      </c>
      <c r="CE54" s="234">
        <f t="shared" si="27"/>
        <v>0</v>
      </c>
      <c r="CF54" s="96">
        <f t="shared" si="27"/>
        <v>0</v>
      </c>
      <c r="CG54" s="521">
        <f t="shared" si="27"/>
        <v>0</v>
      </c>
      <c r="CH54" s="421">
        <f t="shared" si="27"/>
        <v>0</v>
      </c>
      <c r="CI54" s="96">
        <f t="shared" si="45"/>
        <v>0</v>
      </c>
      <c r="CJ54" s="96">
        <f t="shared" si="45"/>
        <v>0</v>
      </c>
      <c r="CK54" s="96">
        <f t="shared" si="45"/>
        <v>0</v>
      </c>
      <c r="CL54" s="286">
        <f t="shared" si="45"/>
        <v>0</v>
      </c>
      <c r="CM54" s="305" t="s">
        <v>293</v>
      </c>
      <c r="CN54" s="315">
        <v>0.05</v>
      </c>
      <c r="CO54" s="306"/>
      <c r="CP54" s="307" t="str">
        <f>IF($CO54&lt;&gt;"",$CO54,HLOOKUP($CM54,$AY$6:$BA$132,ROWS(CP$6:CP54),0))</f>
        <v/>
      </c>
      <c r="CQ54" s="784">
        <v>0</v>
      </c>
      <c r="CR54" s="784">
        <v>0</v>
      </c>
      <c r="CS54" s="524">
        <v>0</v>
      </c>
      <c r="CT54" s="416">
        <v>0</v>
      </c>
      <c r="CU54" s="97">
        <v>0</v>
      </c>
      <c r="CV54" s="97">
        <v>0</v>
      </c>
      <c r="CW54" s="97">
        <v>0</v>
      </c>
      <c r="CX54" s="98">
        <v>0</v>
      </c>
      <c r="CY54" s="392"/>
    </row>
    <row r="55" spans="1:110" x14ac:dyDescent="0.25">
      <c r="A55" s="81" t="s">
        <v>106</v>
      </c>
      <c r="B55" s="82" t="s">
        <v>113</v>
      </c>
      <c r="C55" s="83" t="s">
        <v>333</v>
      </c>
      <c r="D55" s="84"/>
      <c r="E55" s="85"/>
      <c r="F55" s="85"/>
      <c r="G55" s="85"/>
      <c r="H55" s="85"/>
      <c r="I55" s="85"/>
      <c r="J55" s="85"/>
      <c r="K55" s="85"/>
      <c r="L55" s="85"/>
      <c r="M55" s="654"/>
      <c r="N55" s="1065"/>
      <c r="O55" s="560">
        <f t="shared" si="25"/>
        <v>0</v>
      </c>
      <c r="P55" s="561">
        <f t="shared" si="0"/>
        <v>0</v>
      </c>
      <c r="Q55" s="561">
        <f t="shared" si="1"/>
        <v>0</v>
      </c>
      <c r="R55" s="561">
        <f t="shared" si="2"/>
        <v>0</v>
      </c>
      <c r="S55" s="561">
        <f t="shared" si="3"/>
        <v>0</v>
      </c>
      <c r="T55" s="561">
        <f t="shared" si="4"/>
        <v>0</v>
      </c>
      <c r="U55" s="561">
        <f t="shared" si="5"/>
        <v>0</v>
      </c>
      <c r="V55" s="561">
        <f t="shared" si="6"/>
        <v>0</v>
      </c>
      <c r="W55" s="675">
        <f t="shared" si="7"/>
        <v>0</v>
      </c>
      <c r="X55" s="675">
        <f t="shared" si="8"/>
        <v>0</v>
      </c>
      <c r="Y55" s="675">
        <f t="shared" si="8"/>
        <v>0</v>
      </c>
      <c r="Z55" s="86"/>
      <c r="AA55" s="87"/>
      <c r="AB55" s="87"/>
      <c r="AC55" s="87"/>
      <c r="AD55" s="87"/>
      <c r="AE55" s="87"/>
      <c r="AF55" s="87"/>
      <c r="AG55" s="87"/>
      <c r="AH55" s="87"/>
      <c r="AI55" s="1094"/>
      <c r="AJ55" s="665"/>
      <c r="AK55" s="127">
        <f t="shared" si="30"/>
        <v>0</v>
      </c>
      <c r="AL55" s="128" t="str" cm="1">
        <f t="array" aca="1" ref="AL55" ca="1">IFERROR(IF($AM$4="N",SSUM(AF55:AH55)/3,SUM(AG55:AI55)/3),"")</f>
        <v/>
      </c>
      <c r="AM55" s="129">
        <f t="shared" si="31"/>
        <v>0</v>
      </c>
      <c r="AN55" s="91" t="str">
        <f t="shared" si="32"/>
        <v/>
      </c>
      <c r="AO55" s="92" t="str">
        <f t="shared" si="33"/>
        <v/>
      </c>
      <c r="AP55" s="92" t="str">
        <f t="shared" si="34"/>
        <v/>
      </c>
      <c r="AQ55" s="92" t="str">
        <f t="shared" si="35"/>
        <v/>
      </c>
      <c r="AR55" s="92" t="str">
        <f t="shared" si="36"/>
        <v/>
      </c>
      <c r="AS55" s="92" t="str">
        <f t="shared" si="37"/>
        <v/>
      </c>
      <c r="AT55" s="92" t="str">
        <f t="shared" si="38"/>
        <v/>
      </c>
      <c r="AU55" s="92" t="str">
        <f t="shared" si="39"/>
        <v/>
      </c>
      <c r="AV55" s="92" t="str">
        <f t="shared" ref="AV55:AX70" si="49">IFERROR(L55/AH55,"")</f>
        <v/>
      </c>
      <c r="AW55" s="92" t="str">
        <f t="shared" si="49"/>
        <v/>
      </c>
      <c r="AX55" s="92" t="str">
        <f t="shared" si="49"/>
        <v/>
      </c>
      <c r="AY55" s="93" t="str">
        <f t="shared" si="41"/>
        <v/>
      </c>
      <c r="AZ55" s="94" t="str">
        <f t="shared" si="42"/>
        <v/>
      </c>
      <c r="BA55" s="95" t="str">
        <f t="shared" si="43"/>
        <v/>
      </c>
      <c r="BB55" s="248" t="s">
        <v>422</v>
      </c>
      <c r="BC55" s="229" t="s">
        <v>433</v>
      </c>
      <c r="BD55" s="249">
        <v>0</v>
      </c>
      <c r="BE55" s="267">
        <f t="shared" si="26"/>
        <v>0</v>
      </c>
      <c r="BF55" s="268">
        <f t="shared" ref="BF55:BL70" si="50">IF(BF$6=$BB55,1,
IF(BE55&lt;&gt;0,BE55+1,0
))</f>
        <v>0</v>
      </c>
      <c r="BG55" s="268">
        <f t="shared" si="50"/>
        <v>0</v>
      </c>
      <c r="BH55" s="268">
        <f t="shared" si="50"/>
        <v>1</v>
      </c>
      <c r="BI55" s="268">
        <f t="shared" si="50"/>
        <v>2</v>
      </c>
      <c r="BJ55" s="268">
        <f t="shared" si="50"/>
        <v>3</v>
      </c>
      <c r="BK55" s="268">
        <f t="shared" si="50"/>
        <v>4</v>
      </c>
      <c r="BL55" s="269">
        <f t="shared" si="50"/>
        <v>5</v>
      </c>
      <c r="BM55" s="256">
        <f>IF($BC55=Lookup!$A$2,$BD55*ROUNDUP(BE55/10,0)+1,
IF($BC55=Lookup!$A$3,($BD55+1)^BD55,
IF($BC55=Lookup!$A$4,BE55*$BD55+1,"Error")))</f>
        <v>1</v>
      </c>
      <c r="BN55" s="229">
        <f>IF($BC55=Lookup!$A$2,$BD55*ROUNDUP(BF55/10,0)+1,
IF($BC55=Lookup!$A$3,($BD55+1)^BE55,
IF($BC55=Lookup!$A$4,BF55*$BD55+1,"Error")))</f>
        <v>1</v>
      </c>
      <c r="BO55" s="229">
        <f>IF($BC55=Lookup!$A$2,$BD55*ROUNDUP(BG55/10,0)+1,
IF($BC55=Lookup!$A$3,($BD55+1)^BF55,
IF($BC55=Lookup!$A$4,BG55*$BD55+1,"Error")))</f>
        <v>1</v>
      </c>
      <c r="BP55" s="229">
        <f>IF($BC55=Lookup!$A$2,$BD55*ROUNDUP(BH55/10,0)+1,
IF($BC55=Lookup!$A$3,($BD55+1)^BG55,
IF($BC55=Lookup!$A$4,BH55*$BD55+1,"Error")))</f>
        <v>1</v>
      </c>
      <c r="BQ55" s="229">
        <f>IF($BC55=Lookup!$A$2,$BD55*ROUNDUP(BI55/10,0)+1,
IF($BC55=Lookup!$A$3,($BD55+1)^BH55,
IF($BC55=Lookup!$A$4,BI55*$BD55+1,"Error")))</f>
        <v>1</v>
      </c>
      <c r="BR55" s="229">
        <f>IF($BC55=Lookup!$A$2,$BD55*ROUNDUP(BJ55/10,0)+1,
IF($BC55=Lookup!$A$3,($BD55+1)^BI55,
IF($BC55=Lookup!$A$4,BJ55*$BD55+1,"Error")))</f>
        <v>1</v>
      </c>
      <c r="BS55" s="229">
        <f>IF($BC55=Lookup!$A$2,$BD55*ROUNDUP(BK55/10,0)+1,
IF($BC55=Lookup!$A$3,($BD55+1)^BJ55,
IF($BC55=Lookup!$A$4,BK55*$BD55+1,"Error")))</f>
        <v>1</v>
      </c>
      <c r="BT55" s="249">
        <f>IF($BC55=Lookup!$A$2,$BD55*ROUNDUP(BL55/10,0)+1,
IF($BC55=Lookup!$A$3,($BD55+1)^BK55,
IF($BC55=Lookup!$A$4,BL55*$BD55+1,"Error")))</f>
        <v>1</v>
      </c>
      <c r="BU55" s="320">
        <v>0</v>
      </c>
      <c r="BV55" s="321">
        <v>0</v>
      </c>
      <c r="BW55" s="321">
        <v>0</v>
      </c>
      <c r="BX55" s="320">
        <v>0</v>
      </c>
      <c r="BY55" s="321">
        <v>0</v>
      </c>
      <c r="BZ55" s="321">
        <v>0</v>
      </c>
      <c r="CA55" s="321">
        <v>0</v>
      </c>
      <c r="CB55" s="277">
        <v>0</v>
      </c>
      <c r="CC55" s="382" t="s">
        <v>292</v>
      </c>
      <c r="CD55" s="383">
        <f>HLOOKUP($CC55,$AK$6:$AM$132,ROWS(CD$6:CD55),0)</f>
        <v>0</v>
      </c>
      <c r="CE55" s="234">
        <f t="shared" si="27"/>
        <v>0</v>
      </c>
      <c r="CF55" s="96">
        <f t="shared" si="27"/>
        <v>0</v>
      </c>
      <c r="CG55" s="521">
        <f t="shared" si="27"/>
        <v>0</v>
      </c>
      <c r="CH55" s="421">
        <f t="shared" si="27"/>
        <v>0</v>
      </c>
      <c r="CI55" s="96">
        <f t="shared" si="45"/>
        <v>0</v>
      </c>
      <c r="CJ55" s="96">
        <f t="shared" si="45"/>
        <v>0</v>
      </c>
      <c r="CK55" s="96">
        <f t="shared" si="45"/>
        <v>0</v>
      </c>
      <c r="CL55" s="286">
        <f t="shared" si="45"/>
        <v>0</v>
      </c>
      <c r="CM55" s="305" t="s">
        <v>293</v>
      </c>
      <c r="CN55" s="315">
        <v>0.05</v>
      </c>
      <c r="CO55" s="306"/>
      <c r="CP55" s="307" t="str">
        <f>IF($CO55&lt;&gt;"",$CO55,HLOOKUP($CM55,$AY$6:$BA$132,ROWS(CP$6:CP55),0))</f>
        <v/>
      </c>
      <c r="CQ55" s="784">
        <v>0</v>
      </c>
      <c r="CR55" s="784">
        <v>0</v>
      </c>
      <c r="CS55" s="524">
        <v>0</v>
      </c>
      <c r="CT55" s="416">
        <v>0</v>
      </c>
      <c r="CU55" s="97">
        <v>0</v>
      </c>
      <c r="CV55" s="97">
        <v>0</v>
      </c>
      <c r="CW55" s="97">
        <v>0</v>
      </c>
      <c r="CX55" s="98">
        <v>0</v>
      </c>
      <c r="CY55" s="392"/>
    </row>
    <row r="56" spans="1:110" x14ac:dyDescent="0.25">
      <c r="A56" s="81" t="s">
        <v>106</v>
      </c>
      <c r="B56" s="82" t="s">
        <v>115</v>
      </c>
      <c r="C56" s="83" t="s">
        <v>335</v>
      </c>
      <c r="D56" s="84"/>
      <c r="E56" s="85"/>
      <c r="F56" s="85"/>
      <c r="G56" s="85"/>
      <c r="H56" s="85"/>
      <c r="I56" s="85"/>
      <c r="J56" s="85"/>
      <c r="K56" s="85"/>
      <c r="L56" s="85"/>
      <c r="M56" s="654"/>
      <c r="N56" s="1065"/>
      <c r="O56" s="560">
        <f t="shared" si="25"/>
        <v>0</v>
      </c>
      <c r="P56" s="561">
        <f t="shared" si="0"/>
        <v>0</v>
      </c>
      <c r="Q56" s="561">
        <f t="shared" si="1"/>
        <v>0</v>
      </c>
      <c r="R56" s="561">
        <f t="shared" si="2"/>
        <v>0</v>
      </c>
      <c r="S56" s="561">
        <f t="shared" si="3"/>
        <v>0</v>
      </c>
      <c r="T56" s="561">
        <f t="shared" si="4"/>
        <v>0</v>
      </c>
      <c r="U56" s="561">
        <f t="shared" si="5"/>
        <v>0</v>
      </c>
      <c r="V56" s="561">
        <f t="shared" si="6"/>
        <v>0</v>
      </c>
      <c r="W56" s="675">
        <f t="shared" si="7"/>
        <v>0</v>
      </c>
      <c r="X56" s="675">
        <f t="shared" si="8"/>
        <v>0</v>
      </c>
      <c r="Y56" s="675">
        <f t="shared" si="8"/>
        <v>0</v>
      </c>
      <c r="Z56" s="86"/>
      <c r="AA56" s="87"/>
      <c r="AB56" s="87"/>
      <c r="AC56" s="87"/>
      <c r="AD56" s="87"/>
      <c r="AE56" s="87"/>
      <c r="AF56" s="87"/>
      <c r="AG56" s="87"/>
      <c r="AH56" s="87"/>
      <c r="AI56" s="1094"/>
      <c r="AJ56" s="665"/>
      <c r="AK56" s="127">
        <f t="shared" si="30"/>
        <v>0</v>
      </c>
      <c r="AL56" s="128" t="str" cm="1">
        <f t="array" aca="1" ref="AL56" ca="1">IFERROR(IF($AM$4="N",SSUM(AF56:AH56)/3,SUM(AG56:AI56)/3),"")</f>
        <v/>
      </c>
      <c r="AM56" s="129">
        <f t="shared" si="31"/>
        <v>0</v>
      </c>
      <c r="AN56" s="91" t="str">
        <f t="shared" si="32"/>
        <v/>
      </c>
      <c r="AO56" s="92" t="str">
        <f t="shared" si="33"/>
        <v/>
      </c>
      <c r="AP56" s="92" t="str">
        <f t="shared" si="34"/>
        <v/>
      </c>
      <c r="AQ56" s="92" t="str">
        <f t="shared" si="35"/>
        <v/>
      </c>
      <c r="AR56" s="92" t="str">
        <f t="shared" si="36"/>
        <v/>
      </c>
      <c r="AS56" s="92" t="str">
        <f t="shared" si="37"/>
        <v/>
      </c>
      <c r="AT56" s="92" t="str">
        <f t="shared" si="38"/>
        <v/>
      </c>
      <c r="AU56" s="92" t="str">
        <f t="shared" si="39"/>
        <v/>
      </c>
      <c r="AV56" s="92" t="str">
        <f t="shared" si="49"/>
        <v/>
      </c>
      <c r="AW56" s="92" t="str">
        <f t="shared" si="49"/>
        <v/>
      </c>
      <c r="AX56" s="92" t="str">
        <f t="shared" si="49"/>
        <v/>
      </c>
      <c r="AY56" s="93" t="str">
        <f t="shared" si="41"/>
        <v/>
      </c>
      <c r="AZ56" s="94" t="str">
        <f t="shared" si="42"/>
        <v/>
      </c>
      <c r="BA56" s="95" t="str">
        <f t="shared" si="43"/>
        <v/>
      </c>
      <c r="BB56" s="248" t="s">
        <v>422</v>
      </c>
      <c r="BC56" s="229" t="s">
        <v>433</v>
      </c>
      <c r="BD56" s="249">
        <v>0</v>
      </c>
      <c r="BE56" s="267">
        <f t="shared" si="26"/>
        <v>0</v>
      </c>
      <c r="BF56" s="268">
        <f t="shared" si="50"/>
        <v>0</v>
      </c>
      <c r="BG56" s="268">
        <f t="shared" si="50"/>
        <v>0</v>
      </c>
      <c r="BH56" s="268">
        <f t="shared" si="50"/>
        <v>1</v>
      </c>
      <c r="BI56" s="268">
        <f t="shared" si="50"/>
        <v>2</v>
      </c>
      <c r="BJ56" s="268">
        <f t="shared" si="50"/>
        <v>3</v>
      </c>
      <c r="BK56" s="268">
        <f t="shared" si="50"/>
        <v>4</v>
      </c>
      <c r="BL56" s="269">
        <f t="shared" si="50"/>
        <v>5</v>
      </c>
      <c r="BM56" s="256">
        <f>IF($BC56=Lookup!$A$2,$BD56*ROUNDUP(BE56/10,0)+1,
IF($BC56=Lookup!$A$3,($BD56+1)^BD56,
IF($BC56=Lookup!$A$4,BE56*$BD56+1,"Error")))</f>
        <v>1</v>
      </c>
      <c r="BN56" s="229">
        <f>IF($BC56=Lookup!$A$2,$BD56*ROUNDUP(BF56/10,0)+1,
IF($BC56=Lookup!$A$3,($BD56+1)^BE56,
IF($BC56=Lookup!$A$4,BF56*$BD56+1,"Error")))</f>
        <v>1</v>
      </c>
      <c r="BO56" s="229">
        <f>IF($BC56=Lookup!$A$2,$BD56*ROUNDUP(BG56/10,0)+1,
IF($BC56=Lookup!$A$3,($BD56+1)^BF56,
IF($BC56=Lookup!$A$4,BG56*$BD56+1,"Error")))</f>
        <v>1</v>
      </c>
      <c r="BP56" s="229">
        <f>IF($BC56=Lookup!$A$2,$BD56*ROUNDUP(BH56/10,0)+1,
IF($BC56=Lookup!$A$3,($BD56+1)^BG56,
IF($BC56=Lookup!$A$4,BH56*$BD56+1,"Error")))</f>
        <v>1</v>
      </c>
      <c r="BQ56" s="229">
        <f>IF($BC56=Lookup!$A$2,$BD56*ROUNDUP(BI56/10,0)+1,
IF($BC56=Lookup!$A$3,($BD56+1)^BH56,
IF($BC56=Lookup!$A$4,BI56*$BD56+1,"Error")))</f>
        <v>1</v>
      </c>
      <c r="BR56" s="229">
        <f>IF($BC56=Lookup!$A$2,$BD56*ROUNDUP(BJ56/10,0)+1,
IF($BC56=Lookup!$A$3,($BD56+1)^BI56,
IF($BC56=Lookup!$A$4,BJ56*$BD56+1,"Error")))</f>
        <v>1</v>
      </c>
      <c r="BS56" s="229">
        <f>IF($BC56=Lookup!$A$2,$BD56*ROUNDUP(BK56/10,0)+1,
IF($BC56=Lookup!$A$3,($BD56+1)^BJ56,
IF($BC56=Lookup!$A$4,BK56*$BD56+1,"Error")))</f>
        <v>1</v>
      </c>
      <c r="BT56" s="249">
        <f>IF($BC56=Lookup!$A$2,$BD56*ROUNDUP(BL56/10,0)+1,
IF($BC56=Lookup!$A$3,($BD56+1)^BK56,
IF($BC56=Lookup!$A$4,BL56*$BD56+1,"Error")))</f>
        <v>1</v>
      </c>
      <c r="BU56" s="320">
        <v>0</v>
      </c>
      <c r="BV56" s="321">
        <v>0</v>
      </c>
      <c r="BW56" s="321">
        <v>0</v>
      </c>
      <c r="BX56" s="320">
        <v>0</v>
      </c>
      <c r="BY56" s="321">
        <v>0</v>
      </c>
      <c r="BZ56" s="321">
        <v>0</v>
      </c>
      <c r="CA56" s="321">
        <v>0</v>
      </c>
      <c r="CB56" s="277">
        <v>0</v>
      </c>
      <c r="CC56" s="382" t="s">
        <v>292</v>
      </c>
      <c r="CD56" s="383">
        <f>HLOOKUP($CC56,$AK$6:$AM$132,ROWS(CD$6:CD56),0)</f>
        <v>0</v>
      </c>
      <c r="CE56" s="234">
        <f t="shared" si="27"/>
        <v>0</v>
      </c>
      <c r="CF56" s="96">
        <f t="shared" si="27"/>
        <v>0</v>
      </c>
      <c r="CG56" s="521">
        <f t="shared" si="27"/>
        <v>0</v>
      </c>
      <c r="CH56" s="421">
        <f t="shared" si="27"/>
        <v>0</v>
      </c>
      <c r="CI56" s="96">
        <f t="shared" si="45"/>
        <v>0</v>
      </c>
      <c r="CJ56" s="96">
        <f t="shared" si="45"/>
        <v>0</v>
      </c>
      <c r="CK56" s="96">
        <f t="shared" si="45"/>
        <v>0</v>
      </c>
      <c r="CL56" s="286">
        <f t="shared" si="45"/>
        <v>0</v>
      </c>
      <c r="CM56" s="305" t="s">
        <v>293</v>
      </c>
      <c r="CN56" s="315">
        <v>0.05</v>
      </c>
      <c r="CO56" s="306"/>
      <c r="CP56" s="307" t="str">
        <f>IF($CO56&lt;&gt;"",$CO56,HLOOKUP($CM56,$AY$6:$BA$132,ROWS(CP$6:CP56),0))</f>
        <v/>
      </c>
      <c r="CQ56" s="784">
        <v>0</v>
      </c>
      <c r="CR56" s="784">
        <v>0</v>
      </c>
      <c r="CS56" s="524">
        <v>0</v>
      </c>
      <c r="CT56" s="416">
        <v>0</v>
      </c>
      <c r="CU56" s="97">
        <v>0</v>
      </c>
      <c r="CV56" s="97">
        <v>0</v>
      </c>
      <c r="CW56" s="97">
        <v>0</v>
      </c>
      <c r="CX56" s="98">
        <v>0</v>
      </c>
      <c r="CY56" s="392"/>
    </row>
    <row r="57" spans="1:110" x14ac:dyDescent="0.25">
      <c r="A57" s="81" t="s">
        <v>106</v>
      </c>
      <c r="B57" s="82" t="s">
        <v>117</v>
      </c>
      <c r="C57" s="83" t="s">
        <v>337</v>
      </c>
      <c r="D57" s="84"/>
      <c r="E57" s="85"/>
      <c r="F57" s="85"/>
      <c r="G57" s="85"/>
      <c r="H57" s="85"/>
      <c r="I57" s="85"/>
      <c r="J57" s="85"/>
      <c r="K57" s="85"/>
      <c r="L57" s="85"/>
      <c r="M57" s="654"/>
      <c r="N57" s="1065"/>
      <c r="O57" s="560">
        <f t="shared" si="25"/>
        <v>0</v>
      </c>
      <c r="P57" s="561">
        <f t="shared" si="0"/>
        <v>0</v>
      </c>
      <c r="Q57" s="561">
        <f t="shared" si="1"/>
        <v>0</v>
      </c>
      <c r="R57" s="561">
        <f t="shared" si="2"/>
        <v>0</v>
      </c>
      <c r="S57" s="561">
        <f t="shared" si="3"/>
        <v>0</v>
      </c>
      <c r="T57" s="561">
        <f t="shared" si="4"/>
        <v>0</v>
      </c>
      <c r="U57" s="561">
        <f t="shared" si="5"/>
        <v>0</v>
      </c>
      <c r="V57" s="561">
        <f t="shared" si="6"/>
        <v>0</v>
      </c>
      <c r="W57" s="675">
        <f t="shared" si="7"/>
        <v>0</v>
      </c>
      <c r="X57" s="675">
        <f t="shared" si="8"/>
        <v>0</v>
      </c>
      <c r="Y57" s="675">
        <f t="shared" si="8"/>
        <v>0</v>
      </c>
      <c r="Z57" s="86"/>
      <c r="AA57" s="87"/>
      <c r="AB57" s="87"/>
      <c r="AC57" s="87"/>
      <c r="AD57" s="87"/>
      <c r="AE57" s="87"/>
      <c r="AF57" s="87"/>
      <c r="AG57" s="87"/>
      <c r="AH57" s="87"/>
      <c r="AI57" s="1094"/>
      <c r="AJ57" s="665"/>
      <c r="AK57" s="127">
        <f t="shared" si="30"/>
        <v>0</v>
      </c>
      <c r="AL57" s="128" t="str" cm="1">
        <f t="array" aca="1" ref="AL57" ca="1">IFERROR(IF($AM$4="N",SSUM(AF57:AH57)/3,SUM(AG57:AI57)/3),"")</f>
        <v/>
      </c>
      <c r="AM57" s="129">
        <f t="shared" si="31"/>
        <v>0</v>
      </c>
      <c r="AN57" s="91" t="str">
        <f t="shared" si="32"/>
        <v/>
      </c>
      <c r="AO57" s="92" t="str">
        <f t="shared" si="33"/>
        <v/>
      </c>
      <c r="AP57" s="92" t="str">
        <f t="shared" si="34"/>
        <v/>
      </c>
      <c r="AQ57" s="92" t="str">
        <f t="shared" si="35"/>
        <v/>
      </c>
      <c r="AR57" s="92" t="str">
        <f t="shared" si="36"/>
        <v/>
      </c>
      <c r="AS57" s="92" t="str">
        <f t="shared" si="37"/>
        <v/>
      </c>
      <c r="AT57" s="92" t="str">
        <f t="shared" si="38"/>
        <v/>
      </c>
      <c r="AU57" s="92" t="str">
        <f t="shared" si="39"/>
        <v/>
      </c>
      <c r="AV57" s="92" t="str">
        <f t="shared" si="49"/>
        <v/>
      </c>
      <c r="AW57" s="92" t="str">
        <f t="shared" si="49"/>
        <v/>
      </c>
      <c r="AX57" s="92" t="str">
        <f t="shared" si="49"/>
        <v/>
      </c>
      <c r="AY57" s="93" t="str">
        <f t="shared" si="41"/>
        <v/>
      </c>
      <c r="AZ57" s="94" t="str">
        <f t="shared" si="42"/>
        <v/>
      </c>
      <c r="BA57" s="95" t="str">
        <f t="shared" si="43"/>
        <v/>
      </c>
      <c r="BB57" s="248" t="s">
        <v>422</v>
      </c>
      <c r="BC57" s="229" t="s">
        <v>433</v>
      </c>
      <c r="BD57" s="249">
        <v>0</v>
      </c>
      <c r="BE57" s="267">
        <f t="shared" si="26"/>
        <v>0</v>
      </c>
      <c r="BF57" s="268">
        <f t="shared" si="50"/>
        <v>0</v>
      </c>
      <c r="BG57" s="268">
        <f t="shared" si="50"/>
        <v>0</v>
      </c>
      <c r="BH57" s="268">
        <f t="shared" si="50"/>
        <v>1</v>
      </c>
      <c r="BI57" s="268">
        <f t="shared" si="50"/>
        <v>2</v>
      </c>
      <c r="BJ57" s="268">
        <f t="shared" si="50"/>
        <v>3</v>
      </c>
      <c r="BK57" s="268">
        <f t="shared" si="50"/>
        <v>4</v>
      </c>
      <c r="BL57" s="269">
        <f t="shared" si="50"/>
        <v>5</v>
      </c>
      <c r="BM57" s="256">
        <f>IF($BC57=Lookup!$A$2,$BD57*ROUNDUP(BE57/10,0)+1,
IF($BC57=Lookup!$A$3,($BD57+1)^BD57,
IF($BC57=Lookup!$A$4,BE57*$BD57+1,"Error")))</f>
        <v>1</v>
      </c>
      <c r="BN57" s="229">
        <f>IF($BC57=Lookup!$A$2,$BD57*ROUNDUP(BF57/10,0)+1,
IF($BC57=Lookup!$A$3,($BD57+1)^BE57,
IF($BC57=Lookup!$A$4,BF57*$BD57+1,"Error")))</f>
        <v>1</v>
      </c>
      <c r="BO57" s="229">
        <f>IF($BC57=Lookup!$A$2,$BD57*ROUNDUP(BG57/10,0)+1,
IF($BC57=Lookup!$A$3,($BD57+1)^BF57,
IF($BC57=Lookup!$A$4,BG57*$BD57+1,"Error")))</f>
        <v>1</v>
      </c>
      <c r="BP57" s="229">
        <f>IF($BC57=Lookup!$A$2,$BD57*ROUNDUP(BH57/10,0)+1,
IF($BC57=Lookup!$A$3,($BD57+1)^BG57,
IF($BC57=Lookup!$A$4,BH57*$BD57+1,"Error")))</f>
        <v>1</v>
      </c>
      <c r="BQ57" s="229">
        <f>IF($BC57=Lookup!$A$2,$BD57*ROUNDUP(BI57/10,0)+1,
IF($BC57=Lookup!$A$3,($BD57+1)^BH57,
IF($BC57=Lookup!$A$4,BI57*$BD57+1,"Error")))</f>
        <v>1</v>
      </c>
      <c r="BR57" s="229">
        <f>IF($BC57=Lookup!$A$2,$BD57*ROUNDUP(BJ57/10,0)+1,
IF($BC57=Lookup!$A$3,($BD57+1)^BI57,
IF($BC57=Lookup!$A$4,BJ57*$BD57+1,"Error")))</f>
        <v>1</v>
      </c>
      <c r="BS57" s="229">
        <f>IF($BC57=Lookup!$A$2,$BD57*ROUNDUP(BK57/10,0)+1,
IF($BC57=Lookup!$A$3,($BD57+1)^BJ57,
IF($BC57=Lookup!$A$4,BK57*$BD57+1,"Error")))</f>
        <v>1</v>
      </c>
      <c r="BT57" s="249">
        <f>IF($BC57=Lookup!$A$2,$BD57*ROUNDUP(BL57/10,0)+1,
IF($BC57=Lookup!$A$3,($BD57+1)^BK57,
IF($BC57=Lookup!$A$4,BL57*$BD57+1,"Error")))</f>
        <v>1</v>
      </c>
      <c r="BU57" s="320">
        <v>0</v>
      </c>
      <c r="BV57" s="321">
        <v>0</v>
      </c>
      <c r="BW57" s="321">
        <v>0</v>
      </c>
      <c r="BX57" s="320">
        <v>0</v>
      </c>
      <c r="BY57" s="321">
        <v>0</v>
      </c>
      <c r="BZ57" s="321">
        <v>0</v>
      </c>
      <c r="CA57" s="321">
        <v>0</v>
      </c>
      <c r="CB57" s="277">
        <v>0</v>
      </c>
      <c r="CC57" s="382" t="s">
        <v>292</v>
      </c>
      <c r="CD57" s="383">
        <f>HLOOKUP($CC57,$AK$6:$AM$132,ROWS(CD$6:CD57),0)</f>
        <v>0</v>
      </c>
      <c r="CE57" s="234">
        <f t="shared" si="27"/>
        <v>0</v>
      </c>
      <c r="CF57" s="96">
        <f t="shared" si="27"/>
        <v>0</v>
      </c>
      <c r="CG57" s="521">
        <f t="shared" si="27"/>
        <v>0</v>
      </c>
      <c r="CH57" s="421">
        <f t="shared" si="27"/>
        <v>0</v>
      </c>
      <c r="CI57" s="96">
        <f t="shared" si="45"/>
        <v>0</v>
      </c>
      <c r="CJ57" s="96">
        <f t="shared" si="45"/>
        <v>0</v>
      </c>
      <c r="CK57" s="96">
        <f t="shared" si="45"/>
        <v>0</v>
      </c>
      <c r="CL57" s="286">
        <f t="shared" si="45"/>
        <v>0</v>
      </c>
      <c r="CM57" s="305" t="s">
        <v>293</v>
      </c>
      <c r="CN57" s="315">
        <v>0.05</v>
      </c>
      <c r="CO57" s="306"/>
      <c r="CP57" s="307" t="str">
        <f>IF($CO57&lt;&gt;"",$CO57,HLOOKUP($CM57,$AY$6:$BA$132,ROWS(CP$6:CP57),0))</f>
        <v/>
      </c>
      <c r="CQ57" s="784">
        <v>0</v>
      </c>
      <c r="CR57" s="784">
        <v>0</v>
      </c>
      <c r="CS57" s="524">
        <v>0</v>
      </c>
      <c r="CT57" s="416">
        <v>0</v>
      </c>
      <c r="CU57" s="97">
        <v>0</v>
      </c>
      <c r="CV57" s="97">
        <v>0</v>
      </c>
      <c r="CW57" s="97">
        <v>0</v>
      </c>
      <c r="CX57" s="98">
        <v>0</v>
      </c>
      <c r="CY57" s="392"/>
    </row>
    <row r="58" spans="1:110" x14ac:dyDescent="0.25">
      <c r="A58" s="81" t="s">
        <v>106</v>
      </c>
      <c r="B58" s="82" t="s">
        <v>119</v>
      </c>
      <c r="C58" s="83" t="s">
        <v>339</v>
      </c>
      <c r="D58" s="84"/>
      <c r="E58" s="85"/>
      <c r="F58" s="85"/>
      <c r="G58" s="85"/>
      <c r="H58" s="85"/>
      <c r="I58" s="85"/>
      <c r="J58" s="85"/>
      <c r="K58" s="85"/>
      <c r="L58" s="85"/>
      <c r="M58" s="654"/>
      <c r="N58" s="1065"/>
      <c r="O58" s="560">
        <f t="shared" si="25"/>
        <v>0</v>
      </c>
      <c r="P58" s="561">
        <f t="shared" si="0"/>
        <v>0</v>
      </c>
      <c r="Q58" s="561">
        <f t="shared" si="1"/>
        <v>0</v>
      </c>
      <c r="R58" s="561">
        <f t="shared" si="2"/>
        <v>0</v>
      </c>
      <c r="S58" s="561">
        <f t="shared" si="3"/>
        <v>0</v>
      </c>
      <c r="T58" s="561">
        <f t="shared" si="4"/>
        <v>0</v>
      </c>
      <c r="U58" s="561">
        <f t="shared" si="5"/>
        <v>0</v>
      </c>
      <c r="V58" s="561">
        <f t="shared" si="6"/>
        <v>0</v>
      </c>
      <c r="W58" s="675">
        <f t="shared" si="7"/>
        <v>0</v>
      </c>
      <c r="X58" s="675">
        <f t="shared" si="8"/>
        <v>0</v>
      </c>
      <c r="Y58" s="675">
        <f t="shared" si="8"/>
        <v>0</v>
      </c>
      <c r="Z58" s="86"/>
      <c r="AA58" s="87"/>
      <c r="AB58" s="87"/>
      <c r="AC58" s="87"/>
      <c r="AD58" s="87"/>
      <c r="AE58" s="87"/>
      <c r="AF58" s="87"/>
      <c r="AG58" s="87"/>
      <c r="AH58" s="87"/>
      <c r="AI58" s="1094"/>
      <c r="AJ58" s="665"/>
      <c r="AK58" s="127">
        <f t="shared" si="30"/>
        <v>0</v>
      </c>
      <c r="AL58" s="128" t="str" cm="1">
        <f t="array" aca="1" ref="AL58" ca="1">IFERROR(IF($AM$4="N",SSUM(AF58:AH58)/3,SUM(AG58:AI58)/3),"")</f>
        <v/>
      </c>
      <c r="AM58" s="129">
        <f t="shared" si="31"/>
        <v>0</v>
      </c>
      <c r="AN58" s="91" t="str">
        <f t="shared" si="32"/>
        <v/>
      </c>
      <c r="AO58" s="92" t="str">
        <f t="shared" si="33"/>
        <v/>
      </c>
      <c r="AP58" s="92" t="str">
        <f t="shared" si="34"/>
        <v/>
      </c>
      <c r="AQ58" s="92" t="str">
        <f t="shared" si="35"/>
        <v/>
      </c>
      <c r="AR58" s="92" t="str">
        <f t="shared" si="36"/>
        <v/>
      </c>
      <c r="AS58" s="92" t="str">
        <f t="shared" si="37"/>
        <v/>
      </c>
      <c r="AT58" s="92" t="str">
        <f t="shared" si="38"/>
        <v/>
      </c>
      <c r="AU58" s="92" t="str">
        <f t="shared" si="39"/>
        <v/>
      </c>
      <c r="AV58" s="92" t="str">
        <f t="shared" si="49"/>
        <v/>
      </c>
      <c r="AW58" s="92" t="str">
        <f t="shared" si="49"/>
        <v/>
      </c>
      <c r="AX58" s="92" t="str">
        <f t="shared" si="49"/>
        <v/>
      </c>
      <c r="AY58" s="93" t="str">
        <f t="shared" si="41"/>
        <v/>
      </c>
      <c r="AZ58" s="94" t="str">
        <f t="shared" si="42"/>
        <v/>
      </c>
      <c r="BA58" s="95" t="str">
        <f t="shared" si="43"/>
        <v/>
      </c>
      <c r="BB58" s="248" t="s">
        <v>422</v>
      </c>
      <c r="BC58" s="229" t="s">
        <v>433</v>
      </c>
      <c r="BD58" s="249">
        <v>0</v>
      </c>
      <c r="BE58" s="267">
        <f t="shared" si="26"/>
        <v>0</v>
      </c>
      <c r="BF58" s="268">
        <f t="shared" si="50"/>
        <v>0</v>
      </c>
      <c r="BG58" s="268">
        <f t="shared" si="50"/>
        <v>0</v>
      </c>
      <c r="BH58" s="268">
        <f t="shared" si="50"/>
        <v>1</v>
      </c>
      <c r="BI58" s="268">
        <f t="shared" si="50"/>
        <v>2</v>
      </c>
      <c r="BJ58" s="268">
        <f t="shared" si="50"/>
        <v>3</v>
      </c>
      <c r="BK58" s="268">
        <f t="shared" si="50"/>
        <v>4</v>
      </c>
      <c r="BL58" s="269">
        <f t="shared" si="50"/>
        <v>5</v>
      </c>
      <c r="BM58" s="256">
        <f>IF($BC58=Lookup!$A$2,$BD58*ROUNDUP(BE58/10,0)+1,
IF($BC58=Lookup!$A$3,($BD58+1)^BD58,
IF($BC58=Lookup!$A$4,BE58*$BD58+1,"Error")))</f>
        <v>1</v>
      </c>
      <c r="BN58" s="229">
        <f>IF($BC58=Lookup!$A$2,$BD58*ROUNDUP(BF58/10,0)+1,
IF($BC58=Lookup!$A$3,($BD58+1)^BE58,
IF($BC58=Lookup!$A$4,BF58*$BD58+1,"Error")))</f>
        <v>1</v>
      </c>
      <c r="BO58" s="229">
        <f>IF($BC58=Lookup!$A$2,$BD58*ROUNDUP(BG58/10,0)+1,
IF($BC58=Lookup!$A$3,($BD58+1)^BF58,
IF($BC58=Lookup!$A$4,BG58*$BD58+1,"Error")))</f>
        <v>1</v>
      </c>
      <c r="BP58" s="229">
        <f>IF($BC58=Lookup!$A$2,$BD58*ROUNDUP(BH58/10,0)+1,
IF($BC58=Lookup!$A$3,($BD58+1)^BG58,
IF($BC58=Lookup!$A$4,BH58*$BD58+1,"Error")))</f>
        <v>1</v>
      </c>
      <c r="BQ58" s="229">
        <f>IF($BC58=Lookup!$A$2,$BD58*ROUNDUP(BI58/10,0)+1,
IF($BC58=Lookup!$A$3,($BD58+1)^BH58,
IF($BC58=Lookup!$A$4,BI58*$BD58+1,"Error")))</f>
        <v>1</v>
      </c>
      <c r="BR58" s="229">
        <f>IF($BC58=Lookup!$A$2,$BD58*ROUNDUP(BJ58/10,0)+1,
IF($BC58=Lookup!$A$3,($BD58+1)^BI58,
IF($BC58=Lookup!$A$4,BJ58*$BD58+1,"Error")))</f>
        <v>1</v>
      </c>
      <c r="BS58" s="229">
        <f>IF($BC58=Lookup!$A$2,$BD58*ROUNDUP(BK58/10,0)+1,
IF($BC58=Lookup!$A$3,($BD58+1)^BJ58,
IF($BC58=Lookup!$A$4,BK58*$BD58+1,"Error")))</f>
        <v>1</v>
      </c>
      <c r="BT58" s="249">
        <f>IF($BC58=Lookup!$A$2,$BD58*ROUNDUP(BL58/10,0)+1,
IF($BC58=Lookup!$A$3,($BD58+1)^BK58,
IF($BC58=Lookup!$A$4,BL58*$BD58+1,"Error")))</f>
        <v>1</v>
      </c>
      <c r="BU58" s="320">
        <v>0</v>
      </c>
      <c r="BV58" s="321">
        <v>0</v>
      </c>
      <c r="BW58" s="321">
        <v>0</v>
      </c>
      <c r="BX58" s="320">
        <v>0</v>
      </c>
      <c r="BY58" s="321">
        <v>0</v>
      </c>
      <c r="BZ58" s="321">
        <v>0</v>
      </c>
      <c r="CA58" s="321">
        <v>0</v>
      </c>
      <c r="CB58" s="277">
        <v>0</v>
      </c>
      <c r="CC58" s="382" t="s">
        <v>292</v>
      </c>
      <c r="CD58" s="383">
        <f>HLOOKUP($CC58,$AK$6:$AM$132,ROWS(CD$6:CD58),0)</f>
        <v>0</v>
      </c>
      <c r="CE58" s="234">
        <f t="shared" si="27"/>
        <v>0</v>
      </c>
      <c r="CF58" s="96">
        <f t="shared" si="27"/>
        <v>0</v>
      </c>
      <c r="CG58" s="521">
        <f t="shared" si="27"/>
        <v>0</v>
      </c>
      <c r="CH58" s="421">
        <f t="shared" si="27"/>
        <v>0</v>
      </c>
      <c r="CI58" s="96">
        <f t="shared" si="45"/>
        <v>0</v>
      </c>
      <c r="CJ58" s="96">
        <f t="shared" si="45"/>
        <v>0</v>
      </c>
      <c r="CK58" s="96">
        <f t="shared" si="45"/>
        <v>0</v>
      </c>
      <c r="CL58" s="286">
        <f t="shared" si="45"/>
        <v>0</v>
      </c>
      <c r="CM58" s="305" t="s">
        <v>293</v>
      </c>
      <c r="CN58" s="315">
        <v>0.05</v>
      </c>
      <c r="CO58" s="306"/>
      <c r="CP58" s="307" t="str">
        <f>IF($CO58&lt;&gt;"",$CO58,HLOOKUP($CM58,$AY$6:$BA$132,ROWS(CP$6:CP58),0))</f>
        <v/>
      </c>
      <c r="CQ58" s="784">
        <v>0</v>
      </c>
      <c r="CR58" s="784">
        <v>0</v>
      </c>
      <c r="CS58" s="524">
        <v>0</v>
      </c>
      <c r="CT58" s="416">
        <v>0</v>
      </c>
      <c r="CU58" s="97">
        <v>0</v>
      </c>
      <c r="CV58" s="97">
        <v>0</v>
      </c>
      <c r="CW58" s="97">
        <v>0</v>
      </c>
      <c r="CX58" s="98">
        <v>0</v>
      </c>
      <c r="CY58" s="392"/>
    </row>
    <row r="59" spans="1:110" x14ac:dyDescent="0.25">
      <c r="A59" s="81" t="s">
        <v>106</v>
      </c>
      <c r="B59" s="82" t="s">
        <v>121</v>
      </c>
      <c r="C59" s="83" t="s">
        <v>341</v>
      </c>
      <c r="D59" s="84"/>
      <c r="E59" s="85"/>
      <c r="F59" s="85"/>
      <c r="G59" s="85"/>
      <c r="H59" s="85"/>
      <c r="I59" s="85"/>
      <c r="J59" s="85"/>
      <c r="K59" s="85"/>
      <c r="L59" s="85"/>
      <c r="M59" s="654"/>
      <c r="N59" s="1065"/>
      <c r="O59" s="560">
        <f t="shared" si="25"/>
        <v>0</v>
      </c>
      <c r="P59" s="561">
        <f t="shared" si="0"/>
        <v>0</v>
      </c>
      <c r="Q59" s="561">
        <f t="shared" si="1"/>
        <v>0</v>
      </c>
      <c r="R59" s="561">
        <f t="shared" si="2"/>
        <v>0</v>
      </c>
      <c r="S59" s="561">
        <f t="shared" si="3"/>
        <v>0</v>
      </c>
      <c r="T59" s="561">
        <f t="shared" si="4"/>
        <v>0</v>
      </c>
      <c r="U59" s="561">
        <f t="shared" si="5"/>
        <v>0</v>
      </c>
      <c r="V59" s="561">
        <f t="shared" si="6"/>
        <v>0</v>
      </c>
      <c r="W59" s="675">
        <f t="shared" si="7"/>
        <v>0</v>
      </c>
      <c r="X59" s="675">
        <f t="shared" si="8"/>
        <v>0</v>
      </c>
      <c r="Y59" s="675">
        <f t="shared" si="8"/>
        <v>0</v>
      </c>
      <c r="Z59" s="86"/>
      <c r="AA59" s="87"/>
      <c r="AB59" s="87"/>
      <c r="AC59" s="87"/>
      <c r="AD59" s="87"/>
      <c r="AE59" s="87"/>
      <c r="AF59" s="87"/>
      <c r="AG59" s="87"/>
      <c r="AH59" s="87"/>
      <c r="AI59" s="1094"/>
      <c r="AJ59" s="665"/>
      <c r="AK59" s="127">
        <f t="shared" si="30"/>
        <v>0</v>
      </c>
      <c r="AL59" s="128" t="str" cm="1">
        <f t="array" aca="1" ref="AL59" ca="1">IFERROR(IF($AM$4="N",SSUM(AF59:AH59)/3,SUM(AG59:AI59)/3),"")</f>
        <v/>
      </c>
      <c r="AM59" s="129">
        <f t="shared" si="31"/>
        <v>0</v>
      </c>
      <c r="AN59" s="91" t="str">
        <f t="shared" si="32"/>
        <v/>
      </c>
      <c r="AO59" s="92" t="str">
        <f t="shared" si="33"/>
        <v/>
      </c>
      <c r="AP59" s="92" t="str">
        <f t="shared" si="34"/>
        <v/>
      </c>
      <c r="AQ59" s="92" t="str">
        <f t="shared" si="35"/>
        <v/>
      </c>
      <c r="AR59" s="92" t="str">
        <f t="shared" si="36"/>
        <v/>
      </c>
      <c r="AS59" s="92" t="str">
        <f t="shared" si="37"/>
        <v/>
      </c>
      <c r="AT59" s="92" t="str">
        <f t="shared" si="38"/>
        <v/>
      </c>
      <c r="AU59" s="92" t="str">
        <f t="shared" si="39"/>
        <v/>
      </c>
      <c r="AV59" s="92" t="str">
        <f t="shared" si="49"/>
        <v/>
      </c>
      <c r="AW59" s="92" t="str">
        <f t="shared" si="49"/>
        <v/>
      </c>
      <c r="AX59" s="92" t="str">
        <f t="shared" si="49"/>
        <v/>
      </c>
      <c r="AY59" s="93" t="str">
        <f t="shared" si="41"/>
        <v/>
      </c>
      <c r="AZ59" s="94" t="str">
        <f t="shared" si="42"/>
        <v/>
      </c>
      <c r="BA59" s="95" t="str">
        <f t="shared" si="43"/>
        <v/>
      </c>
      <c r="BB59" s="248" t="s">
        <v>422</v>
      </c>
      <c r="BC59" s="229" t="s">
        <v>433</v>
      </c>
      <c r="BD59" s="249">
        <v>0</v>
      </c>
      <c r="BE59" s="267">
        <f t="shared" si="26"/>
        <v>0</v>
      </c>
      <c r="BF59" s="268">
        <f t="shared" si="50"/>
        <v>0</v>
      </c>
      <c r="BG59" s="268">
        <f t="shared" si="50"/>
        <v>0</v>
      </c>
      <c r="BH59" s="268">
        <f t="shared" si="50"/>
        <v>1</v>
      </c>
      <c r="BI59" s="268">
        <f t="shared" si="50"/>
        <v>2</v>
      </c>
      <c r="BJ59" s="268">
        <f t="shared" si="50"/>
        <v>3</v>
      </c>
      <c r="BK59" s="268">
        <f t="shared" si="50"/>
        <v>4</v>
      </c>
      <c r="BL59" s="269">
        <f t="shared" si="50"/>
        <v>5</v>
      </c>
      <c r="BM59" s="256">
        <f>IF($BC59=Lookup!$A$2,$BD59*ROUNDUP(BE59/10,0)+1,
IF($BC59=Lookup!$A$3,($BD59+1)^BD59,
IF($BC59=Lookup!$A$4,BE59*$BD59+1,"Error")))</f>
        <v>1</v>
      </c>
      <c r="BN59" s="229">
        <f>IF($BC59=Lookup!$A$2,$BD59*ROUNDUP(BF59/10,0)+1,
IF($BC59=Lookup!$A$3,($BD59+1)^BE59,
IF($BC59=Lookup!$A$4,BF59*$BD59+1,"Error")))</f>
        <v>1</v>
      </c>
      <c r="BO59" s="229">
        <f>IF($BC59=Lookup!$A$2,$BD59*ROUNDUP(BG59/10,0)+1,
IF($BC59=Lookup!$A$3,($BD59+1)^BF59,
IF($BC59=Lookup!$A$4,BG59*$BD59+1,"Error")))</f>
        <v>1</v>
      </c>
      <c r="BP59" s="229">
        <f>IF($BC59=Lookup!$A$2,$BD59*ROUNDUP(BH59/10,0)+1,
IF($BC59=Lookup!$A$3,($BD59+1)^BG59,
IF($BC59=Lookup!$A$4,BH59*$BD59+1,"Error")))</f>
        <v>1</v>
      </c>
      <c r="BQ59" s="229">
        <f>IF($BC59=Lookup!$A$2,$BD59*ROUNDUP(BI59/10,0)+1,
IF($BC59=Lookup!$A$3,($BD59+1)^BH59,
IF($BC59=Lookup!$A$4,BI59*$BD59+1,"Error")))</f>
        <v>1</v>
      </c>
      <c r="BR59" s="229">
        <f>IF($BC59=Lookup!$A$2,$BD59*ROUNDUP(BJ59/10,0)+1,
IF($BC59=Lookup!$A$3,($BD59+1)^BI59,
IF($BC59=Lookup!$A$4,BJ59*$BD59+1,"Error")))</f>
        <v>1</v>
      </c>
      <c r="BS59" s="229">
        <f>IF($BC59=Lookup!$A$2,$BD59*ROUNDUP(BK59/10,0)+1,
IF($BC59=Lookup!$A$3,($BD59+1)^BJ59,
IF($BC59=Lookup!$A$4,BK59*$BD59+1,"Error")))</f>
        <v>1</v>
      </c>
      <c r="BT59" s="249">
        <f>IF($BC59=Lookup!$A$2,$BD59*ROUNDUP(BL59/10,0)+1,
IF($BC59=Lookup!$A$3,($BD59+1)^BK59,
IF($BC59=Lookup!$A$4,BL59*$BD59+1,"Error")))</f>
        <v>1</v>
      </c>
      <c r="BU59" s="320">
        <v>0</v>
      </c>
      <c r="BV59" s="321">
        <v>0</v>
      </c>
      <c r="BW59" s="321">
        <v>0</v>
      </c>
      <c r="BX59" s="320">
        <v>0</v>
      </c>
      <c r="BY59" s="321">
        <v>0</v>
      </c>
      <c r="BZ59" s="321">
        <v>0</v>
      </c>
      <c r="CA59" s="321">
        <v>0</v>
      </c>
      <c r="CB59" s="277">
        <v>0</v>
      </c>
      <c r="CC59" s="382" t="s">
        <v>292</v>
      </c>
      <c r="CD59" s="383">
        <f>HLOOKUP($CC59,$AK$6:$AM$132,ROWS(CD$6:CD59),0)</f>
        <v>0</v>
      </c>
      <c r="CE59" s="234">
        <f t="shared" si="27"/>
        <v>0</v>
      </c>
      <c r="CF59" s="96">
        <f t="shared" si="27"/>
        <v>0</v>
      </c>
      <c r="CG59" s="521">
        <f t="shared" si="27"/>
        <v>0</v>
      </c>
      <c r="CH59" s="421">
        <f t="shared" si="27"/>
        <v>0</v>
      </c>
      <c r="CI59" s="96">
        <f t="shared" si="45"/>
        <v>0</v>
      </c>
      <c r="CJ59" s="96">
        <f t="shared" si="45"/>
        <v>0</v>
      </c>
      <c r="CK59" s="96">
        <f t="shared" si="45"/>
        <v>0</v>
      </c>
      <c r="CL59" s="286">
        <f t="shared" si="45"/>
        <v>0</v>
      </c>
      <c r="CM59" s="305" t="s">
        <v>293</v>
      </c>
      <c r="CN59" s="315">
        <v>0.05</v>
      </c>
      <c r="CO59" s="306"/>
      <c r="CP59" s="307" t="str">
        <f>IF($CO59&lt;&gt;"",$CO59,HLOOKUP($CM59,$AY$6:$BA$132,ROWS(CP$6:CP59),0))</f>
        <v/>
      </c>
      <c r="CQ59" s="784">
        <v>0</v>
      </c>
      <c r="CR59" s="784">
        <v>0</v>
      </c>
      <c r="CS59" s="524">
        <v>0</v>
      </c>
      <c r="CT59" s="416">
        <v>0</v>
      </c>
      <c r="CU59" s="97">
        <v>0</v>
      </c>
      <c r="CV59" s="97">
        <v>0</v>
      </c>
      <c r="CW59" s="97">
        <v>0</v>
      </c>
      <c r="CX59" s="98">
        <v>0</v>
      </c>
      <c r="CY59" s="392"/>
    </row>
    <row r="60" spans="1:110" x14ac:dyDescent="0.25">
      <c r="A60" s="81" t="s">
        <v>106</v>
      </c>
      <c r="B60" s="82" t="s">
        <v>123</v>
      </c>
      <c r="C60" s="83" t="s">
        <v>343</v>
      </c>
      <c r="D60" s="84"/>
      <c r="E60" s="85"/>
      <c r="F60" s="85"/>
      <c r="G60" s="85"/>
      <c r="H60" s="85"/>
      <c r="I60" s="85"/>
      <c r="J60" s="85"/>
      <c r="K60" s="85"/>
      <c r="L60" s="85"/>
      <c r="M60" s="654"/>
      <c r="N60" s="1065"/>
      <c r="O60" s="560">
        <f t="shared" si="25"/>
        <v>0</v>
      </c>
      <c r="P60" s="561">
        <f t="shared" si="0"/>
        <v>0</v>
      </c>
      <c r="Q60" s="561">
        <f t="shared" si="1"/>
        <v>0</v>
      </c>
      <c r="R60" s="561">
        <f t="shared" si="2"/>
        <v>0</v>
      </c>
      <c r="S60" s="561">
        <f t="shared" si="3"/>
        <v>0</v>
      </c>
      <c r="T60" s="561">
        <f t="shared" si="4"/>
        <v>0</v>
      </c>
      <c r="U60" s="561">
        <f t="shared" si="5"/>
        <v>0</v>
      </c>
      <c r="V60" s="561">
        <f t="shared" si="6"/>
        <v>0</v>
      </c>
      <c r="W60" s="675">
        <f t="shared" si="7"/>
        <v>0</v>
      </c>
      <c r="X60" s="675">
        <f t="shared" si="8"/>
        <v>0</v>
      </c>
      <c r="Y60" s="675">
        <f t="shared" si="8"/>
        <v>0</v>
      </c>
      <c r="Z60" s="86"/>
      <c r="AA60" s="87"/>
      <c r="AB60" s="87"/>
      <c r="AC60" s="87"/>
      <c r="AD60" s="87"/>
      <c r="AE60" s="87"/>
      <c r="AF60" s="87"/>
      <c r="AG60" s="87"/>
      <c r="AH60" s="87"/>
      <c r="AI60" s="1094"/>
      <c r="AJ60" s="665"/>
      <c r="AK60" s="127">
        <f t="shared" si="30"/>
        <v>0</v>
      </c>
      <c r="AL60" s="128" t="str" cm="1">
        <f t="array" aca="1" ref="AL60" ca="1">IFERROR(IF($AM$4="N",SSUM(AF60:AH60)/3,SUM(AG60:AI60)/3),"")</f>
        <v/>
      </c>
      <c r="AM60" s="129">
        <f t="shared" si="31"/>
        <v>0</v>
      </c>
      <c r="AN60" s="91" t="str">
        <f t="shared" si="32"/>
        <v/>
      </c>
      <c r="AO60" s="92" t="str">
        <f t="shared" si="33"/>
        <v/>
      </c>
      <c r="AP60" s="92" t="str">
        <f t="shared" si="34"/>
        <v/>
      </c>
      <c r="AQ60" s="92" t="str">
        <f t="shared" si="35"/>
        <v/>
      </c>
      <c r="AR60" s="92" t="str">
        <f t="shared" si="36"/>
        <v/>
      </c>
      <c r="AS60" s="92" t="str">
        <f t="shared" si="37"/>
        <v/>
      </c>
      <c r="AT60" s="92" t="str">
        <f t="shared" si="38"/>
        <v/>
      </c>
      <c r="AU60" s="92" t="str">
        <f t="shared" si="39"/>
        <v/>
      </c>
      <c r="AV60" s="92" t="str">
        <f t="shared" si="49"/>
        <v/>
      </c>
      <c r="AW60" s="92" t="str">
        <f t="shared" si="49"/>
        <v/>
      </c>
      <c r="AX60" s="92" t="str">
        <f t="shared" si="49"/>
        <v/>
      </c>
      <c r="AY60" s="93" t="str">
        <f t="shared" si="41"/>
        <v/>
      </c>
      <c r="AZ60" s="94" t="str">
        <f t="shared" si="42"/>
        <v/>
      </c>
      <c r="BA60" s="95" t="str">
        <f t="shared" si="43"/>
        <v/>
      </c>
      <c r="BB60" s="248" t="s">
        <v>422</v>
      </c>
      <c r="BC60" s="229" t="s">
        <v>433</v>
      </c>
      <c r="BD60" s="249">
        <v>0</v>
      </c>
      <c r="BE60" s="267">
        <f t="shared" si="26"/>
        <v>0</v>
      </c>
      <c r="BF60" s="268">
        <f t="shared" si="50"/>
        <v>0</v>
      </c>
      <c r="BG60" s="268">
        <f t="shared" si="50"/>
        <v>0</v>
      </c>
      <c r="BH60" s="268">
        <f t="shared" si="50"/>
        <v>1</v>
      </c>
      <c r="BI60" s="268">
        <f t="shared" si="50"/>
        <v>2</v>
      </c>
      <c r="BJ60" s="268">
        <f t="shared" si="50"/>
        <v>3</v>
      </c>
      <c r="BK60" s="268">
        <f t="shared" si="50"/>
        <v>4</v>
      </c>
      <c r="BL60" s="269">
        <f t="shared" si="50"/>
        <v>5</v>
      </c>
      <c r="BM60" s="256">
        <f>IF($BC60=Lookup!$A$2,$BD60*ROUNDUP(BE60/10,0)+1,
IF($BC60=Lookup!$A$3,($BD60+1)^BD60,
IF($BC60=Lookup!$A$4,BE60*$BD60+1,"Error")))</f>
        <v>1</v>
      </c>
      <c r="BN60" s="229">
        <f>IF($BC60=Lookup!$A$2,$BD60*ROUNDUP(BF60/10,0)+1,
IF($BC60=Lookup!$A$3,($BD60+1)^BE60,
IF($BC60=Lookup!$A$4,BF60*$BD60+1,"Error")))</f>
        <v>1</v>
      </c>
      <c r="BO60" s="229">
        <f>IF($BC60=Lookup!$A$2,$BD60*ROUNDUP(BG60/10,0)+1,
IF($BC60=Lookup!$A$3,($BD60+1)^BF60,
IF($BC60=Lookup!$A$4,BG60*$BD60+1,"Error")))</f>
        <v>1</v>
      </c>
      <c r="BP60" s="229">
        <f>IF($BC60=Lookup!$A$2,$BD60*ROUNDUP(BH60/10,0)+1,
IF($BC60=Lookup!$A$3,($BD60+1)^BG60,
IF($BC60=Lookup!$A$4,BH60*$BD60+1,"Error")))</f>
        <v>1</v>
      </c>
      <c r="BQ60" s="229">
        <f>IF($BC60=Lookup!$A$2,$BD60*ROUNDUP(BI60/10,0)+1,
IF($BC60=Lookup!$A$3,($BD60+1)^BH60,
IF($BC60=Lookup!$A$4,BI60*$BD60+1,"Error")))</f>
        <v>1</v>
      </c>
      <c r="BR60" s="229">
        <f>IF($BC60=Lookup!$A$2,$BD60*ROUNDUP(BJ60/10,0)+1,
IF($BC60=Lookup!$A$3,($BD60+1)^BI60,
IF($BC60=Lookup!$A$4,BJ60*$BD60+1,"Error")))</f>
        <v>1</v>
      </c>
      <c r="BS60" s="229">
        <f>IF($BC60=Lookup!$A$2,$BD60*ROUNDUP(BK60/10,0)+1,
IF($BC60=Lookup!$A$3,($BD60+1)^BJ60,
IF($BC60=Lookup!$A$4,BK60*$BD60+1,"Error")))</f>
        <v>1</v>
      </c>
      <c r="BT60" s="249">
        <f>IF($BC60=Lookup!$A$2,$BD60*ROUNDUP(BL60/10,0)+1,
IF($BC60=Lookup!$A$3,($BD60+1)^BK60,
IF($BC60=Lookup!$A$4,BL60*$BD60+1,"Error")))</f>
        <v>1</v>
      </c>
      <c r="BU60" s="320">
        <v>0</v>
      </c>
      <c r="BV60" s="321">
        <v>0</v>
      </c>
      <c r="BW60" s="321">
        <v>0</v>
      </c>
      <c r="BX60" s="320">
        <v>0</v>
      </c>
      <c r="BY60" s="321">
        <v>0</v>
      </c>
      <c r="BZ60" s="321">
        <v>0</v>
      </c>
      <c r="CA60" s="321">
        <v>0</v>
      </c>
      <c r="CB60" s="277">
        <v>0</v>
      </c>
      <c r="CC60" s="382" t="s">
        <v>292</v>
      </c>
      <c r="CD60" s="383">
        <f>HLOOKUP($CC60,$AK$6:$AM$132,ROWS(CD$6:CD60),0)</f>
        <v>0</v>
      </c>
      <c r="CE60" s="234">
        <f t="shared" si="27"/>
        <v>0</v>
      </c>
      <c r="CF60" s="96">
        <f t="shared" si="27"/>
        <v>0</v>
      </c>
      <c r="CG60" s="521">
        <f t="shared" si="27"/>
        <v>0</v>
      </c>
      <c r="CH60" s="421">
        <f t="shared" si="27"/>
        <v>0</v>
      </c>
      <c r="CI60" s="96">
        <f t="shared" si="45"/>
        <v>0</v>
      </c>
      <c r="CJ60" s="96">
        <f t="shared" si="45"/>
        <v>0</v>
      </c>
      <c r="CK60" s="96">
        <f t="shared" si="45"/>
        <v>0</v>
      </c>
      <c r="CL60" s="286">
        <f t="shared" si="45"/>
        <v>0</v>
      </c>
      <c r="CM60" s="305" t="s">
        <v>293</v>
      </c>
      <c r="CN60" s="315">
        <v>0.05</v>
      </c>
      <c r="CO60" s="306"/>
      <c r="CP60" s="307" t="str">
        <f>IF($CO60&lt;&gt;"",$CO60,HLOOKUP($CM60,$AY$6:$BA$132,ROWS(CP$6:CP60),0))</f>
        <v/>
      </c>
      <c r="CQ60" s="784">
        <v>0</v>
      </c>
      <c r="CR60" s="784">
        <v>0</v>
      </c>
      <c r="CS60" s="524">
        <v>0</v>
      </c>
      <c r="CT60" s="416">
        <v>0</v>
      </c>
      <c r="CU60" s="97">
        <v>0</v>
      </c>
      <c r="CV60" s="97">
        <v>0</v>
      </c>
      <c r="CW60" s="97">
        <v>0</v>
      </c>
      <c r="CX60" s="98">
        <v>0</v>
      </c>
      <c r="CY60" s="392"/>
    </row>
    <row r="61" spans="1:110" x14ac:dyDescent="0.25">
      <c r="A61" s="81" t="s">
        <v>106</v>
      </c>
      <c r="B61" s="82" t="s">
        <v>125</v>
      </c>
      <c r="C61" s="83" t="s">
        <v>345</v>
      </c>
      <c r="D61" s="84"/>
      <c r="E61" s="85"/>
      <c r="F61" s="85"/>
      <c r="G61" s="85"/>
      <c r="H61" s="85"/>
      <c r="I61" s="85"/>
      <c r="J61" s="85"/>
      <c r="K61" s="85"/>
      <c r="L61" s="85"/>
      <c r="M61" s="654"/>
      <c r="N61" s="1065"/>
      <c r="O61" s="560">
        <f t="shared" si="25"/>
        <v>0</v>
      </c>
      <c r="P61" s="561">
        <f t="shared" si="0"/>
        <v>0</v>
      </c>
      <c r="Q61" s="561">
        <f t="shared" si="1"/>
        <v>0</v>
      </c>
      <c r="R61" s="561">
        <f t="shared" si="2"/>
        <v>0</v>
      </c>
      <c r="S61" s="561">
        <f t="shared" si="3"/>
        <v>0</v>
      </c>
      <c r="T61" s="561">
        <f t="shared" si="4"/>
        <v>0</v>
      </c>
      <c r="U61" s="561">
        <f t="shared" si="5"/>
        <v>0</v>
      </c>
      <c r="V61" s="561">
        <f t="shared" si="6"/>
        <v>0</v>
      </c>
      <c r="W61" s="675">
        <f t="shared" si="7"/>
        <v>0</v>
      </c>
      <c r="X61" s="675">
        <f t="shared" si="8"/>
        <v>0</v>
      </c>
      <c r="Y61" s="675">
        <f t="shared" si="8"/>
        <v>0</v>
      </c>
      <c r="Z61" s="86"/>
      <c r="AA61" s="87"/>
      <c r="AB61" s="87"/>
      <c r="AC61" s="87"/>
      <c r="AD61" s="87"/>
      <c r="AE61" s="87"/>
      <c r="AF61" s="87"/>
      <c r="AG61" s="87"/>
      <c r="AH61" s="87"/>
      <c r="AI61" s="1094"/>
      <c r="AJ61" s="665"/>
      <c r="AK61" s="127">
        <f t="shared" si="30"/>
        <v>0</v>
      </c>
      <c r="AL61" s="128" t="str" cm="1">
        <f t="array" aca="1" ref="AL61" ca="1">IFERROR(IF($AM$4="N",SSUM(AF61:AH61)/3,SUM(AG61:AI61)/3),"")</f>
        <v/>
      </c>
      <c r="AM61" s="129">
        <f t="shared" si="31"/>
        <v>0</v>
      </c>
      <c r="AN61" s="91" t="str">
        <f t="shared" si="32"/>
        <v/>
      </c>
      <c r="AO61" s="92" t="str">
        <f t="shared" si="33"/>
        <v/>
      </c>
      <c r="AP61" s="92" t="str">
        <f t="shared" si="34"/>
        <v/>
      </c>
      <c r="AQ61" s="92" t="str">
        <f t="shared" si="35"/>
        <v/>
      </c>
      <c r="AR61" s="92" t="str">
        <f t="shared" si="36"/>
        <v/>
      </c>
      <c r="AS61" s="92" t="str">
        <f t="shared" si="37"/>
        <v/>
      </c>
      <c r="AT61" s="92" t="str">
        <f t="shared" si="38"/>
        <v/>
      </c>
      <c r="AU61" s="92" t="str">
        <f t="shared" si="39"/>
        <v/>
      </c>
      <c r="AV61" s="92" t="str">
        <f t="shared" si="49"/>
        <v/>
      </c>
      <c r="AW61" s="92" t="str">
        <f t="shared" si="49"/>
        <v/>
      </c>
      <c r="AX61" s="92" t="str">
        <f t="shared" si="49"/>
        <v/>
      </c>
      <c r="AY61" s="93" t="str">
        <f t="shared" si="41"/>
        <v/>
      </c>
      <c r="AZ61" s="94" t="str">
        <f t="shared" si="42"/>
        <v/>
      </c>
      <c r="BA61" s="95" t="str">
        <f t="shared" si="43"/>
        <v/>
      </c>
      <c r="BB61" s="248" t="s">
        <v>422</v>
      </c>
      <c r="BC61" s="229" t="s">
        <v>433</v>
      </c>
      <c r="BD61" s="249">
        <v>0</v>
      </c>
      <c r="BE61" s="267">
        <f t="shared" si="26"/>
        <v>0</v>
      </c>
      <c r="BF61" s="268">
        <f t="shared" si="50"/>
        <v>0</v>
      </c>
      <c r="BG61" s="268">
        <f t="shared" si="50"/>
        <v>0</v>
      </c>
      <c r="BH61" s="268">
        <f t="shared" si="50"/>
        <v>1</v>
      </c>
      <c r="BI61" s="268">
        <f t="shared" si="50"/>
        <v>2</v>
      </c>
      <c r="BJ61" s="268">
        <f t="shared" si="50"/>
        <v>3</v>
      </c>
      <c r="BK61" s="268">
        <f t="shared" si="50"/>
        <v>4</v>
      </c>
      <c r="BL61" s="269">
        <f t="shared" si="50"/>
        <v>5</v>
      </c>
      <c r="BM61" s="256">
        <f>IF($BC61=Lookup!$A$2,$BD61*ROUNDUP(BE61/10,0)+1,
IF($BC61=Lookup!$A$3,($BD61+1)^BD61,
IF($BC61=Lookup!$A$4,BE61*$BD61+1,"Error")))</f>
        <v>1</v>
      </c>
      <c r="BN61" s="229">
        <f>IF($BC61=Lookup!$A$2,$BD61*ROUNDUP(BF61/10,0)+1,
IF($BC61=Lookup!$A$3,($BD61+1)^BE61,
IF($BC61=Lookup!$A$4,BF61*$BD61+1,"Error")))</f>
        <v>1</v>
      </c>
      <c r="BO61" s="229">
        <f>IF($BC61=Lookup!$A$2,$BD61*ROUNDUP(BG61/10,0)+1,
IF($BC61=Lookup!$A$3,($BD61+1)^BF61,
IF($BC61=Lookup!$A$4,BG61*$BD61+1,"Error")))</f>
        <v>1</v>
      </c>
      <c r="BP61" s="229">
        <f>IF($BC61=Lookup!$A$2,$BD61*ROUNDUP(BH61/10,0)+1,
IF($BC61=Lookup!$A$3,($BD61+1)^BG61,
IF($BC61=Lookup!$A$4,BH61*$BD61+1,"Error")))</f>
        <v>1</v>
      </c>
      <c r="BQ61" s="229">
        <f>IF($BC61=Lookup!$A$2,$BD61*ROUNDUP(BI61/10,0)+1,
IF($BC61=Lookup!$A$3,($BD61+1)^BH61,
IF($BC61=Lookup!$A$4,BI61*$BD61+1,"Error")))</f>
        <v>1</v>
      </c>
      <c r="BR61" s="229">
        <f>IF($BC61=Lookup!$A$2,$BD61*ROUNDUP(BJ61/10,0)+1,
IF($BC61=Lookup!$A$3,($BD61+1)^BI61,
IF($BC61=Lookup!$A$4,BJ61*$BD61+1,"Error")))</f>
        <v>1</v>
      </c>
      <c r="BS61" s="229">
        <f>IF($BC61=Lookup!$A$2,$BD61*ROUNDUP(BK61/10,0)+1,
IF($BC61=Lookup!$A$3,($BD61+1)^BJ61,
IF($BC61=Lookup!$A$4,BK61*$BD61+1,"Error")))</f>
        <v>1</v>
      </c>
      <c r="BT61" s="249">
        <f>IF($BC61=Lookup!$A$2,$BD61*ROUNDUP(BL61/10,0)+1,
IF($BC61=Lookup!$A$3,($BD61+1)^BK61,
IF($BC61=Lookup!$A$4,BL61*$BD61+1,"Error")))</f>
        <v>1</v>
      </c>
      <c r="BU61" s="320">
        <v>0</v>
      </c>
      <c r="BV61" s="321">
        <v>0</v>
      </c>
      <c r="BW61" s="321">
        <v>0</v>
      </c>
      <c r="BX61" s="320">
        <v>0</v>
      </c>
      <c r="BY61" s="321">
        <v>0</v>
      </c>
      <c r="BZ61" s="321">
        <v>0</v>
      </c>
      <c r="CA61" s="321">
        <v>0</v>
      </c>
      <c r="CB61" s="277">
        <v>0</v>
      </c>
      <c r="CC61" s="382" t="s">
        <v>292</v>
      </c>
      <c r="CD61" s="383">
        <f>HLOOKUP($CC61,$AK$6:$AM$132,ROWS(CD$6:CD61),0)</f>
        <v>0</v>
      </c>
      <c r="CE61" s="234">
        <f t="shared" si="27"/>
        <v>0</v>
      </c>
      <c r="CF61" s="96">
        <f t="shared" si="27"/>
        <v>0</v>
      </c>
      <c r="CG61" s="521">
        <f t="shared" si="27"/>
        <v>0</v>
      </c>
      <c r="CH61" s="421">
        <f t="shared" si="27"/>
        <v>0</v>
      </c>
      <c r="CI61" s="96">
        <f t="shared" si="45"/>
        <v>0</v>
      </c>
      <c r="CJ61" s="96">
        <f t="shared" si="45"/>
        <v>0</v>
      </c>
      <c r="CK61" s="96">
        <f t="shared" si="45"/>
        <v>0</v>
      </c>
      <c r="CL61" s="286">
        <f t="shared" si="45"/>
        <v>0</v>
      </c>
      <c r="CM61" s="305" t="s">
        <v>293</v>
      </c>
      <c r="CN61" s="315">
        <v>0.05</v>
      </c>
      <c r="CO61" s="306"/>
      <c r="CP61" s="307" t="str">
        <f>IF($CO61&lt;&gt;"",$CO61,HLOOKUP($CM61,$AY$6:$BA$132,ROWS(CP$6:CP61),0))</f>
        <v/>
      </c>
      <c r="CQ61" s="784">
        <v>0</v>
      </c>
      <c r="CR61" s="784">
        <v>0</v>
      </c>
      <c r="CS61" s="524">
        <v>0</v>
      </c>
      <c r="CT61" s="416">
        <v>0</v>
      </c>
      <c r="CU61" s="97">
        <v>0</v>
      </c>
      <c r="CV61" s="97">
        <v>0</v>
      </c>
      <c r="CW61" s="97">
        <v>0</v>
      </c>
      <c r="CX61" s="98">
        <v>0</v>
      </c>
      <c r="CY61" s="392"/>
    </row>
    <row r="62" spans="1:110" x14ac:dyDescent="0.25">
      <c r="A62" s="81" t="s">
        <v>106</v>
      </c>
      <c r="B62" s="82" t="s">
        <v>127</v>
      </c>
      <c r="C62" s="83" t="s">
        <v>347</v>
      </c>
      <c r="D62" s="84"/>
      <c r="E62" s="85"/>
      <c r="F62" s="85"/>
      <c r="G62" s="85"/>
      <c r="H62" s="85"/>
      <c r="I62" s="85"/>
      <c r="J62" s="85"/>
      <c r="K62" s="85"/>
      <c r="L62" s="85"/>
      <c r="M62" s="654"/>
      <c r="N62" s="1065"/>
      <c r="O62" s="560">
        <f t="shared" si="25"/>
        <v>0</v>
      </c>
      <c r="P62" s="561">
        <f t="shared" si="0"/>
        <v>0</v>
      </c>
      <c r="Q62" s="561">
        <f t="shared" si="1"/>
        <v>0</v>
      </c>
      <c r="R62" s="561">
        <f t="shared" si="2"/>
        <v>0</v>
      </c>
      <c r="S62" s="561">
        <f t="shared" si="3"/>
        <v>0</v>
      </c>
      <c r="T62" s="561">
        <f t="shared" si="4"/>
        <v>0</v>
      </c>
      <c r="U62" s="561">
        <f t="shared" si="5"/>
        <v>0</v>
      </c>
      <c r="V62" s="561">
        <f t="shared" si="6"/>
        <v>0</v>
      </c>
      <c r="W62" s="675">
        <f t="shared" si="7"/>
        <v>0</v>
      </c>
      <c r="X62" s="675">
        <f t="shared" si="8"/>
        <v>0</v>
      </c>
      <c r="Y62" s="675">
        <f t="shared" si="8"/>
        <v>0</v>
      </c>
      <c r="Z62" s="86"/>
      <c r="AA62" s="87"/>
      <c r="AB62" s="87"/>
      <c r="AC62" s="87"/>
      <c r="AD62" s="87"/>
      <c r="AE62" s="87"/>
      <c r="AF62" s="87"/>
      <c r="AG62" s="87"/>
      <c r="AH62" s="87"/>
      <c r="AI62" s="1094"/>
      <c r="AJ62" s="665"/>
      <c r="AK62" s="127">
        <f t="shared" si="30"/>
        <v>0</v>
      </c>
      <c r="AL62" s="128" t="str" cm="1">
        <f t="array" aca="1" ref="AL62" ca="1">IFERROR(IF($AM$4="N",SSUM(AF62:AH62)/3,SUM(AG62:AI62)/3),"")</f>
        <v/>
      </c>
      <c r="AM62" s="129">
        <f t="shared" si="31"/>
        <v>0</v>
      </c>
      <c r="AN62" s="91" t="str">
        <f t="shared" si="32"/>
        <v/>
      </c>
      <c r="AO62" s="92" t="str">
        <f t="shared" si="33"/>
        <v/>
      </c>
      <c r="AP62" s="92" t="str">
        <f t="shared" si="34"/>
        <v/>
      </c>
      <c r="AQ62" s="92" t="str">
        <f t="shared" si="35"/>
        <v/>
      </c>
      <c r="AR62" s="92" t="str">
        <f t="shared" si="36"/>
        <v/>
      </c>
      <c r="AS62" s="92" t="str">
        <f t="shared" si="37"/>
        <v/>
      </c>
      <c r="AT62" s="92" t="str">
        <f t="shared" si="38"/>
        <v/>
      </c>
      <c r="AU62" s="92" t="str">
        <f t="shared" si="39"/>
        <v/>
      </c>
      <c r="AV62" s="92" t="str">
        <f t="shared" si="49"/>
        <v/>
      </c>
      <c r="AW62" s="92" t="str">
        <f t="shared" si="49"/>
        <v/>
      </c>
      <c r="AX62" s="92" t="str">
        <f t="shared" si="49"/>
        <v/>
      </c>
      <c r="AY62" s="93" t="str">
        <f t="shared" si="41"/>
        <v/>
      </c>
      <c r="AZ62" s="94" t="str">
        <f t="shared" si="42"/>
        <v/>
      </c>
      <c r="BA62" s="95" t="str">
        <f t="shared" si="43"/>
        <v/>
      </c>
      <c r="BB62" s="248" t="s">
        <v>422</v>
      </c>
      <c r="BC62" s="229" t="s">
        <v>433</v>
      </c>
      <c r="BD62" s="249">
        <v>0</v>
      </c>
      <c r="BE62" s="267">
        <f t="shared" si="26"/>
        <v>0</v>
      </c>
      <c r="BF62" s="268">
        <f t="shared" si="50"/>
        <v>0</v>
      </c>
      <c r="BG62" s="268">
        <f t="shared" si="50"/>
        <v>0</v>
      </c>
      <c r="BH62" s="268">
        <f t="shared" si="50"/>
        <v>1</v>
      </c>
      <c r="BI62" s="268">
        <f t="shared" si="50"/>
        <v>2</v>
      </c>
      <c r="BJ62" s="268">
        <f t="shared" si="50"/>
        <v>3</v>
      </c>
      <c r="BK62" s="268">
        <f t="shared" si="50"/>
        <v>4</v>
      </c>
      <c r="BL62" s="269">
        <f t="shared" si="50"/>
        <v>5</v>
      </c>
      <c r="BM62" s="256">
        <f>IF($BC62=Lookup!$A$2,$BD62*ROUNDUP(BE62/10,0)+1,
IF($BC62=Lookup!$A$3,($BD62+1)^BD62,
IF($BC62=Lookup!$A$4,BE62*$BD62+1,"Error")))</f>
        <v>1</v>
      </c>
      <c r="BN62" s="229">
        <f>IF($BC62=Lookup!$A$2,$BD62*ROUNDUP(BF62/10,0)+1,
IF($BC62=Lookup!$A$3,($BD62+1)^BE62,
IF($BC62=Lookup!$A$4,BF62*$BD62+1,"Error")))</f>
        <v>1</v>
      </c>
      <c r="BO62" s="229">
        <f>IF($BC62=Lookup!$A$2,$BD62*ROUNDUP(BG62/10,0)+1,
IF($BC62=Lookup!$A$3,($BD62+1)^BF62,
IF($BC62=Lookup!$A$4,BG62*$BD62+1,"Error")))</f>
        <v>1</v>
      </c>
      <c r="BP62" s="229">
        <f>IF($BC62=Lookup!$A$2,$BD62*ROUNDUP(BH62/10,0)+1,
IF($BC62=Lookup!$A$3,($BD62+1)^BG62,
IF($BC62=Lookup!$A$4,BH62*$BD62+1,"Error")))</f>
        <v>1</v>
      </c>
      <c r="BQ62" s="229">
        <f>IF($BC62=Lookup!$A$2,$BD62*ROUNDUP(BI62/10,0)+1,
IF($BC62=Lookup!$A$3,($BD62+1)^BH62,
IF($BC62=Lookup!$A$4,BI62*$BD62+1,"Error")))</f>
        <v>1</v>
      </c>
      <c r="BR62" s="229">
        <f>IF($BC62=Lookup!$A$2,$BD62*ROUNDUP(BJ62/10,0)+1,
IF($BC62=Lookup!$A$3,($BD62+1)^BI62,
IF($BC62=Lookup!$A$4,BJ62*$BD62+1,"Error")))</f>
        <v>1</v>
      </c>
      <c r="BS62" s="229">
        <f>IF($BC62=Lookup!$A$2,$BD62*ROUNDUP(BK62/10,0)+1,
IF($BC62=Lookup!$A$3,($BD62+1)^BJ62,
IF($BC62=Lookup!$A$4,BK62*$BD62+1,"Error")))</f>
        <v>1</v>
      </c>
      <c r="BT62" s="249">
        <f>IF($BC62=Lookup!$A$2,$BD62*ROUNDUP(BL62/10,0)+1,
IF($BC62=Lookup!$A$3,($BD62+1)^BK62,
IF($BC62=Lookup!$A$4,BL62*$BD62+1,"Error")))</f>
        <v>1</v>
      </c>
      <c r="BU62" s="320">
        <v>0</v>
      </c>
      <c r="BV62" s="321">
        <v>0</v>
      </c>
      <c r="BW62" s="321">
        <v>0</v>
      </c>
      <c r="BX62" s="320">
        <v>0</v>
      </c>
      <c r="BY62" s="321">
        <v>0</v>
      </c>
      <c r="BZ62" s="321">
        <v>0</v>
      </c>
      <c r="CA62" s="321">
        <v>0</v>
      </c>
      <c r="CB62" s="277">
        <v>0</v>
      </c>
      <c r="CC62" s="382" t="s">
        <v>292</v>
      </c>
      <c r="CD62" s="383">
        <f>HLOOKUP($CC62,$AK$6:$AM$132,ROWS(CD$6:CD62),0)</f>
        <v>0</v>
      </c>
      <c r="CE62" s="234">
        <f t="shared" si="27"/>
        <v>0</v>
      </c>
      <c r="CF62" s="96">
        <f t="shared" si="27"/>
        <v>0</v>
      </c>
      <c r="CG62" s="521">
        <f t="shared" si="27"/>
        <v>0</v>
      </c>
      <c r="CH62" s="421">
        <f t="shared" si="27"/>
        <v>0</v>
      </c>
      <c r="CI62" s="96">
        <f t="shared" si="45"/>
        <v>0</v>
      </c>
      <c r="CJ62" s="96">
        <f t="shared" si="45"/>
        <v>0</v>
      </c>
      <c r="CK62" s="96">
        <f t="shared" si="45"/>
        <v>0</v>
      </c>
      <c r="CL62" s="286">
        <f t="shared" si="45"/>
        <v>0</v>
      </c>
      <c r="CM62" s="305" t="s">
        <v>293</v>
      </c>
      <c r="CN62" s="315">
        <v>0.05</v>
      </c>
      <c r="CO62" s="306"/>
      <c r="CP62" s="307" t="str">
        <f>IF($CO62&lt;&gt;"",$CO62,HLOOKUP($CM62,$AY$6:$BA$132,ROWS(CP$6:CP62),0))</f>
        <v/>
      </c>
      <c r="CQ62" s="784">
        <v>0</v>
      </c>
      <c r="CR62" s="784">
        <v>0</v>
      </c>
      <c r="CS62" s="524">
        <v>0</v>
      </c>
      <c r="CT62" s="416">
        <v>0</v>
      </c>
      <c r="CU62" s="97">
        <v>0</v>
      </c>
      <c r="CV62" s="97">
        <v>0</v>
      </c>
      <c r="CW62" s="97">
        <v>0</v>
      </c>
      <c r="CX62" s="98">
        <v>0</v>
      </c>
      <c r="CY62" s="392"/>
    </row>
    <row r="63" spans="1:110" x14ac:dyDescent="0.25">
      <c r="A63" s="81" t="s">
        <v>106</v>
      </c>
      <c r="B63" s="82" t="s">
        <v>129</v>
      </c>
      <c r="C63" s="83" t="s">
        <v>349</v>
      </c>
      <c r="D63" s="84"/>
      <c r="E63" s="85"/>
      <c r="F63" s="85"/>
      <c r="G63" s="85"/>
      <c r="H63" s="85"/>
      <c r="I63" s="85"/>
      <c r="J63" s="85"/>
      <c r="K63" s="85"/>
      <c r="L63" s="85"/>
      <c r="M63" s="654"/>
      <c r="N63" s="1065"/>
      <c r="O63" s="560">
        <f t="shared" si="25"/>
        <v>0</v>
      </c>
      <c r="P63" s="561">
        <f t="shared" si="0"/>
        <v>0</v>
      </c>
      <c r="Q63" s="561">
        <f t="shared" si="1"/>
        <v>0</v>
      </c>
      <c r="R63" s="561">
        <f t="shared" si="2"/>
        <v>0</v>
      </c>
      <c r="S63" s="561">
        <f t="shared" si="3"/>
        <v>0</v>
      </c>
      <c r="T63" s="561">
        <f t="shared" si="4"/>
        <v>0</v>
      </c>
      <c r="U63" s="561">
        <f t="shared" si="5"/>
        <v>0</v>
      </c>
      <c r="V63" s="561">
        <f t="shared" si="6"/>
        <v>0</v>
      </c>
      <c r="W63" s="675">
        <f t="shared" si="7"/>
        <v>0</v>
      </c>
      <c r="X63" s="675">
        <f t="shared" si="8"/>
        <v>0</v>
      </c>
      <c r="Y63" s="675">
        <f t="shared" si="8"/>
        <v>0</v>
      </c>
      <c r="Z63" s="86"/>
      <c r="AA63" s="87"/>
      <c r="AB63" s="87"/>
      <c r="AC63" s="87"/>
      <c r="AD63" s="87"/>
      <c r="AE63" s="87"/>
      <c r="AF63" s="87"/>
      <c r="AG63" s="87"/>
      <c r="AH63" s="87"/>
      <c r="AI63" s="1094"/>
      <c r="AJ63" s="665"/>
      <c r="AK63" s="127">
        <f t="shared" si="30"/>
        <v>0</v>
      </c>
      <c r="AL63" s="128" t="str" cm="1">
        <f t="array" aca="1" ref="AL63" ca="1">IFERROR(IF($AM$4="N",SSUM(AF63:AH63)/3,SUM(AG63:AI63)/3),"")</f>
        <v/>
      </c>
      <c r="AM63" s="129">
        <f t="shared" si="31"/>
        <v>0</v>
      </c>
      <c r="AN63" s="91" t="str">
        <f t="shared" si="32"/>
        <v/>
      </c>
      <c r="AO63" s="92" t="str">
        <f t="shared" si="33"/>
        <v/>
      </c>
      <c r="AP63" s="92" t="str">
        <f t="shared" si="34"/>
        <v/>
      </c>
      <c r="AQ63" s="92" t="str">
        <f t="shared" si="35"/>
        <v/>
      </c>
      <c r="AR63" s="92" t="str">
        <f t="shared" si="36"/>
        <v/>
      </c>
      <c r="AS63" s="92" t="str">
        <f t="shared" si="37"/>
        <v/>
      </c>
      <c r="AT63" s="92" t="str">
        <f t="shared" si="38"/>
        <v/>
      </c>
      <c r="AU63" s="92" t="str">
        <f t="shared" si="39"/>
        <v/>
      </c>
      <c r="AV63" s="92" t="str">
        <f t="shared" si="49"/>
        <v/>
      </c>
      <c r="AW63" s="92" t="str">
        <f t="shared" si="49"/>
        <v/>
      </c>
      <c r="AX63" s="92" t="str">
        <f t="shared" si="49"/>
        <v/>
      </c>
      <c r="AY63" s="93" t="str">
        <f t="shared" si="41"/>
        <v/>
      </c>
      <c r="AZ63" s="94" t="str">
        <f t="shared" si="42"/>
        <v/>
      </c>
      <c r="BA63" s="95" t="str">
        <f t="shared" si="43"/>
        <v/>
      </c>
      <c r="BB63" s="248" t="s">
        <v>422</v>
      </c>
      <c r="BC63" s="229" t="s">
        <v>433</v>
      </c>
      <c r="BD63" s="249">
        <v>0</v>
      </c>
      <c r="BE63" s="267">
        <f t="shared" si="26"/>
        <v>0</v>
      </c>
      <c r="BF63" s="268">
        <f t="shared" si="50"/>
        <v>0</v>
      </c>
      <c r="BG63" s="268">
        <f t="shared" si="50"/>
        <v>0</v>
      </c>
      <c r="BH63" s="268">
        <f t="shared" si="50"/>
        <v>1</v>
      </c>
      <c r="BI63" s="268">
        <f t="shared" si="50"/>
        <v>2</v>
      </c>
      <c r="BJ63" s="268">
        <f t="shared" si="50"/>
        <v>3</v>
      </c>
      <c r="BK63" s="268">
        <f t="shared" si="50"/>
        <v>4</v>
      </c>
      <c r="BL63" s="269">
        <f t="shared" si="50"/>
        <v>5</v>
      </c>
      <c r="BM63" s="256">
        <f>IF($BC63=Lookup!$A$2,$BD63*ROUNDUP(BE63/10,0)+1,
IF($BC63=Lookup!$A$3,($BD63+1)^BD63,
IF($BC63=Lookup!$A$4,BE63*$BD63+1,"Error")))</f>
        <v>1</v>
      </c>
      <c r="BN63" s="229">
        <f>IF($BC63=Lookup!$A$2,$BD63*ROUNDUP(BF63/10,0)+1,
IF($BC63=Lookup!$A$3,($BD63+1)^BE63,
IF($BC63=Lookup!$A$4,BF63*$BD63+1,"Error")))</f>
        <v>1</v>
      </c>
      <c r="BO63" s="229">
        <f>IF($BC63=Lookup!$A$2,$BD63*ROUNDUP(BG63/10,0)+1,
IF($BC63=Lookup!$A$3,($BD63+1)^BF63,
IF($BC63=Lookup!$A$4,BG63*$BD63+1,"Error")))</f>
        <v>1</v>
      </c>
      <c r="BP63" s="229">
        <f>IF($BC63=Lookup!$A$2,$BD63*ROUNDUP(BH63/10,0)+1,
IF($BC63=Lookup!$A$3,($BD63+1)^BG63,
IF($BC63=Lookup!$A$4,BH63*$BD63+1,"Error")))</f>
        <v>1</v>
      </c>
      <c r="BQ63" s="229">
        <f>IF($BC63=Lookup!$A$2,$BD63*ROUNDUP(BI63/10,0)+1,
IF($BC63=Lookup!$A$3,($BD63+1)^BH63,
IF($BC63=Lookup!$A$4,BI63*$BD63+1,"Error")))</f>
        <v>1</v>
      </c>
      <c r="BR63" s="229">
        <f>IF($BC63=Lookup!$A$2,$BD63*ROUNDUP(BJ63/10,0)+1,
IF($BC63=Lookup!$A$3,($BD63+1)^BI63,
IF($BC63=Lookup!$A$4,BJ63*$BD63+1,"Error")))</f>
        <v>1</v>
      </c>
      <c r="BS63" s="229">
        <f>IF($BC63=Lookup!$A$2,$BD63*ROUNDUP(BK63/10,0)+1,
IF($BC63=Lookup!$A$3,($BD63+1)^BJ63,
IF($BC63=Lookup!$A$4,BK63*$BD63+1,"Error")))</f>
        <v>1</v>
      </c>
      <c r="BT63" s="249">
        <f>IF($BC63=Lookup!$A$2,$BD63*ROUNDUP(BL63/10,0)+1,
IF($BC63=Lookup!$A$3,($BD63+1)^BK63,
IF($BC63=Lookup!$A$4,BL63*$BD63+1,"Error")))</f>
        <v>1</v>
      </c>
      <c r="BU63" s="320">
        <v>0</v>
      </c>
      <c r="BV63" s="321">
        <v>0</v>
      </c>
      <c r="BW63" s="321">
        <v>0</v>
      </c>
      <c r="BX63" s="320">
        <v>0</v>
      </c>
      <c r="BY63" s="321">
        <v>0</v>
      </c>
      <c r="BZ63" s="321">
        <v>0</v>
      </c>
      <c r="CA63" s="321">
        <v>0</v>
      </c>
      <c r="CB63" s="277">
        <v>0</v>
      </c>
      <c r="CC63" s="382" t="s">
        <v>292</v>
      </c>
      <c r="CD63" s="383">
        <f>HLOOKUP($CC63,$AK$6:$AM$132,ROWS(CD$6:CD63),0)</f>
        <v>0</v>
      </c>
      <c r="CE63" s="234">
        <f t="shared" si="27"/>
        <v>0</v>
      </c>
      <c r="CF63" s="96">
        <f t="shared" si="27"/>
        <v>0</v>
      </c>
      <c r="CG63" s="521">
        <f t="shared" si="27"/>
        <v>0</v>
      </c>
      <c r="CH63" s="421">
        <f t="shared" si="27"/>
        <v>0</v>
      </c>
      <c r="CI63" s="96">
        <f t="shared" si="45"/>
        <v>0</v>
      </c>
      <c r="CJ63" s="96">
        <f t="shared" si="45"/>
        <v>0</v>
      </c>
      <c r="CK63" s="96">
        <f t="shared" si="45"/>
        <v>0</v>
      </c>
      <c r="CL63" s="286">
        <f t="shared" si="45"/>
        <v>0</v>
      </c>
      <c r="CM63" s="305" t="s">
        <v>293</v>
      </c>
      <c r="CN63" s="315">
        <v>0.05</v>
      </c>
      <c r="CO63" s="306"/>
      <c r="CP63" s="307" t="str">
        <f>IF($CO63&lt;&gt;"",$CO63,HLOOKUP($CM63,$AY$6:$BA$132,ROWS(CP$6:CP63),0))</f>
        <v/>
      </c>
      <c r="CQ63" s="784">
        <v>0</v>
      </c>
      <c r="CR63" s="784">
        <v>0</v>
      </c>
      <c r="CS63" s="524">
        <v>0</v>
      </c>
      <c r="CT63" s="416">
        <v>0</v>
      </c>
      <c r="CU63" s="97">
        <v>0</v>
      </c>
      <c r="CV63" s="97">
        <v>0</v>
      </c>
      <c r="CW63" s="97">
        <v>0</v>
      </c>
      <c r="CX63" s="98">
        <v>0</v>
      </c>
      <c r="CY63" s="392"/>
    </row>
    <row r="64" spans="1:110" x14ac:dyDescent="0.25">
      <c r="A64" s="81" t="s">
        <v>106</v>
      </c>
      <c r="B64" s="82" t="s">
        <v>131</v>
      </c>
      <c r="C64" s="83" t="s">
        <v>351</v>
      </c>
      <c r="D64" s="84"/>
      <c r="E64" s="85"/>
      <c r="F64" s="85"/>
      <c r="G64" s="85"/>
      <c r="H64" s="85"/>
      <c r="I64" s="85"/>
      <c r="J64" s="85"/>
      <c r="K64" s="85"/>
      <c r="L64" s="85"/>
      <c r="M64" s="654"/>
      <c r="N64" s="1065"/>
      <c r="O64" s="560">
        <f t="shared" si="25"/>
        <v>0</v>
      </c>
      <c r="P64" s="561">
        <f t="shared" si="0"/>
        <v>0</v>
      </c>
      <c r="Q64" s="561">
        <f t="shared" si="1"/>
        <v>0</v>
      </c>
      <c r="R64" s="561">
        <f t="shared" si="2"/>
        <v>0</v>
      </c>
      <c r="S64" s="561">
        <f t="shared" si="3"/>
        <v>0</v>
      </c>
      <c r="T64" s="561">
        <f t="shared" si="4"/>
        <v>0</v>
      </c>
      <c r="U64" s="561">
        <f t="shared" si="5"/>
        <v>0</v>
      </c>
      <c r="V64" s="561">
        <f t="shared" si="6"/>
        <v>0</v>
      </c>
      <c r="W64" s="675">
        <f t="shared" si="7"/>
        <v>0</v>
      </c>
      <c r="X64" s="675">
        <f t="shared" si="8"/>
        <v>0</v>
      </c>
      <c r="Y64" s="675">
        <f t="shared" si="8"/>
        <v>0</v>
      </c>
      <c r="Z64" s="86"/>
      <c r="AA64" s="87"/>
      <c r="AB64" s="87"/>
      <c r="AC64" s="87"/>
      <c r="AD64" s="87"/>
      <c r="AE64" s="87"/>
      <c r="AF64" s="87"/>
      <c r="AG64" s="87"/>
      <c r="AH64" s="87"/>
      <c r="AI64" s="1094"/>
      <c r="AJ64" s="665"/>
      <c r="AK64" s="127">
        <f t="shared" si="30"/>
        <v>0</v>
      </c>
      <c r="AL64" s="128" t="str" cm="1">
        <f t="array" aca="1" ref="AL64" ca="1">IFERROR(IF($AM$4="N",SSUM(AF64:AH64)/3,SUM(AG64:AI64)/3),"")</f>
        <v/>
      </c>
      <c r="AM64" s="129">
        <f t="shared" si="31"/>
        <v>0</v>
      </c>
      <c r="AN64" s="91" t="str">
        <f t="shared" si="32"/>
        <v/>
      </c>
      <c r="AO64" s="92" t="str">
        <f t="shared" si="33"/>
        <v/>
      </c>
      <c r="AP64" s="92" t="str">
        <f t="shared" si="34"/>
        <v/>
      </c>
      <c r="AQ64" s="92" t="str">
        <f t="shared" si="35"/>
        <v/>
      </c>
      <c r="AR64" s="92" t="str">
        <f t="shared" si="36"/>
        <v/>
      </c>
      <c r="AS64" s="92" t="str">
        <f t="shared" si="37"/>
        <v/>
      </c>
      <c r="AT64" s="92" t="str">
        <f t="shared" si="38"/>
        <v/>
      </c>
      <c r="AU64" s="92" t="str">
        <f t="shared" si="39"/>
        <v/>
      </c>
      <c r="AV64" s="92" t="str">
        <f t="shared" si="49"/>
        <v/>
      </c>
      <c r="AW64" s="92" t="str">
        <f t="shared" si="49"/>
        <v/>
      </c>
      <c r="AX64" s="92" t="str">
        <f t="shared" si="49"/>
        <v/>
      </c>
      <c r="AY64" s="93" t="str">
        <f t="shared" si="41"/>
        <v/>
      </c>
      <c r="AZ64" s="94" t="str">
        <f t="shared" si="42"/>
        <v/>
      </c>
      <c r="BA64" s="95" t="str">
        <f t="shared" si="43"/>
        <v/>
      </c>
      <c r="BB64" s="248" t="s">
        <v>422</v>
      </c>
      <c r="BC64" s="229" t="s">
        <v>433</v>
      </c>
      <c r="BD64" s="249">
        <v>0</v>
      </c>
      <c r="BE64" s="267">
        <f t="shared" si="26"/>
        <v>0</v>
      </c>
      <c r="BF64" s="268">
        <f t="shared" si="50"/>
        <v>0</v>
      </c>
      <c r="BG64" s="268">
        <f t="shared" si="50"/>
        <v>0</v>
      </c>
      <c r="BH64" s="268">
        <f t="shared" si="50"/>
        <v>1</v>
      </c>
      <c r="BI64" s="268">
        <f t="shared" si="50"/>
        <v>2</v>
      </c>
      <c r="BJ64" s="268">
        <f t="shared" si="50"/>
        <v>3</v>
      </c>
      <c r="BK64" s="268">
        <f t="shared" si="50"/>
        <v>4</v>
      </c>
      <c r="BL64" s="269">
        <f t="shared" si="50"/>
        <v>5</v>
      </c>
      <c r="BM64" s="256">
        <f>IF($BC64=Lookup!$A$2,$BD64*ROUNDUP(BE64/10,0)+1,
IF($BC64=Lookup!$A$3,($BD64+1)^BD64,
IF($BC64=Lookup!$A$4,BE64*$BD64+1,"Error")))</f>
        <v>1</v>
      </c>
      <c r="BN64" s="229">
        <f>IF($BC64=Lookup!$A$2,$BD64*ROUNDUP(BF64/10,0)+1,
IF($BC64=Lookup!$A$3,($BD64+1)^BE64,
IF($BC64=Lookup!$A$4,BF64*$BD64+1,"Error")))</f>
        <v>1</v>
      </c>
      <c r="BO64" s="229">
        <f>IF($BC64=Lookup!$A$2,$BD64*ROUNDUP(BG64/10,0)+1,
IF($BC64=Lookup!$A$3,($BD64+1)^BF64,
IF($BC64=Lookup!$A$4,BG64*$BD64+1,"Error")))</f>
        <v>1</v>
      </c>
      <c r="BP64" s="229">
        <f>IF($BC64=Lookup!$A$2,$BD64*ROUNDUP(BH64/10,0)+1,
IF($BC64=Lookup!$A$3,($BD64+1)^BG64,
IF($BC64=Lookup!$A$4,BH64*$BD64+1,"Error")))</f>
        <v>1</v>
      </c>
      <c r="BQ64" s="229">
        <f>IF($BC64=Lookup!$A$2,$BD64*ROUNDUP(BI64/10,0)+1,
IF($BC64=Lookup!$A$3,($BD64+1)^BH64,
IF($BC64=Lookup!$A$4,BI64*$BD64+1,"Error")))</f>
        <v>1</v>
      </c>
      <c r="BR64" s="229">
        <f>IF($BC64=Lookup!$A$2,$BD64*ROUNDUP(BJ64/10,0)+1,
IF($BC64=Lookup!$A$3,($BD64+1)^BI64,
IF($BC64=Lookup!$A$4,BJ64*$BD64+1,"Error")))</f>
        <v>1</v>
      </c>
      <c r="BS64" s="229">
        <f>IF($BC64=Lookup!$A$2,$BD64*ROUNDUP(BK64/10,0)+1,
IF($BC64=Lookup!$A$3,($BD64+1)^BJ64,
IF($BC64=Lookup!$A$4,BK64*$BD64+1,"Error")))</f>
        <v>1</v>
      </c>
      <c r="BT64" s="249">
        <f>IF($BC64=Lookup!$A$2,$BD64*ROUNDUP(BL64/10,0)+1,
IF($BC64=Lookup!$A$3,($BD64+1)^BK64,
IF($BC64=Lookup!$A$4,BL64*$BD64+1,"Error")))</f>
        <v>1</v>
      </c>
      <c r="BU64" s="320">
        <v>0</v>
      </c>
      <c r="BV64" s="321">
        <v>0</v>
      </c>
      <c r="BW64" s="321">
        <v>0</v>
      </c>
      <c r="BX64" s="320">
        <v>0</v>
      </c>
      <c r="BY64" s="321">
        <v>0</v>
      </c>
      <c r="BZ64" s="321">
        <v>0</v>
      </c>
      <c r="CA64" s="321">
        <v>0</v>
      </c>
      <c r="CB64" s="277">
        <v>0</v>
      </c>
      <c r="CC64" s="382" t="s">
        <v>292</v>
      </c>
      <c r="CD64" s="383">
        <f>HLOOKUP($CC64,$AK$6:$AM$132,ROWS(CD$6:CD64),0)</f>
        <v>0</v>
      </c>
      <c r="CE64" s="234">
        <f t="shared" si="27"/>
        <v>0</v>
      </c>
      <c r="CF64" s="96">
        <f t="shared" si="27"/>
        <v>0</v>
      </c>
      <c r="CG64" s="521">
        <f t="shared" si="27"/>
        <v>0</v>
      </c>
      <c r="CH64" s="421">
        <f t="shared" si="27"/>
        <v>0</v>
      </c>
      <c r="CI64" s="96">
        <f t="shared" si="45"/>
        <v>0</v>
      </c>
      <c r="CJ64" s="96">
        <f t="shared" si="45"/>
        <v>0</v>
      </c>
      <c r="CK64" s="96">
        <f t="shared" si="45"/>
        <v>0</v>
      </c>
      <c r="CL64" s="286">
        <f t="shared" si="45"/>
        <v>0</v>
      </c>
      <c r="CM64" s="305" t="s">
        <v>293</v>
      </c>
      <c r="CN64" s="315">
        <v>0.05</v>
      </c>
      <c r="CO64" s="306"/>
      <c r="CP64" s="307" t="str">
        <f>IF($CO64&lt;&gt;"",$CO64,HLOOKUP($CM64,$AY$6:$BA$132,ROWS(CP$6:CP64),0))</f>
        <v/>
      </c>
      <c r="CQ64" s="784">
        <v>0</v>
      </c>
      <c r="CR64" s="784">
        <v>0</v>
      </c>
      <c r="CS64" s="524">
        <v>0</v>
      </c>
      <c r="CT64" s="416">
        <v>0</v>
      </c>
      <c r="CU64" s="97">
        <v>0</v>
      </c>
      <c r="CV64" s="97">
        <v>0</v>
      </c>
      <c r="CW64" s="97">
        <v>0</v>
      </c>
      <c r="CX64" s="98">
        <v>0</v>
      </c>
      <c r="CY64" s="392"/>
    </row>
    <row r="65" spans="1:103" x14ac:dyDescent="0.25">
      <c r="A65" s="81" t="s">
        <v>106</v>
      </c>
      <c r="B65" s="82" t="s">
        <v>133</v>
      </c>
      <c r="C65" s="83" t="s">
        <v>353</v>
      </c>
      <c r="D65" s="84"/>
      <c r="E65" s="85"/>
      <c r="F65" s="85"/>
      <c r="G65" s="85"/>
      <c r="H65" s="85"/>
      <c r="I65" s="85"/>
      <c r="J65" s="85"/>
      <c r="K65" s="85"/>
      <c r="L65" s="85"/>
      <c r="M65" s="654"/>
      <c r="N65" s="1065"/>
      <c r="O65" s="560">
        <f t="shared" si="25"/>
        <v>0</v>
      </c>
      <c r="P65" s="561">
        <f t="shared" si="0"/>
        <v>0</v>
      </c>
      <c r="Q65" s="561">
        <f t="shared" si="1"/>
        <v>0</v>
      </c>
      <c r="R65" s="561">
        <f t="shared" si="2"/>
        <v>0</v>
      </c>
      <c r="S65" s="561">
        <f t="shared" si="3"/>
        <v>0</v>
      </c>
      <c r="T65" s="561">
        <f t="shared" si="4"/>
        <v>0</v>
      </c>
      <c r="U65" s="561">
        <f t="shared" si="5"/>
        <v>0</v>
      </c>
      <c r="V65" s="561">
        <f t="shared" si="6"/>
        <v>0</v>
      </c>
      <c r="W65" s="675">
        <f t="shared" si="7"/>
        <v>0</v>
      </c>
      <c r="X65" s="675">
        <f t="shared" si="8"/>
        <v>0</v>
      </c>
      <c r="Y65" s="675">
        <f t="shared" si="8"/>
        <v>0</v>
      </c>
      <c r="Z65" s="86"/>
      <c r="AA65" s="87"/>
      <c r="AB65" s="87"/>
      <c r="AC65" s="87"/>
      <c r="AD65" s="87"/>
      <c r="AE65" s="87"/>
      <c r="AF65" s="87"/>
      <c r="AG65" s="87"/>
      <c r="AH65" s="87"/>
      <c r="AI65" s="1094"/>
      <c r="AJ65" s="665"/>
      <c r="AK65" s="127">
        <f t="shared" si="30"/>
        <v>0</v>
      </c>
      <c r="AL65" s="128" t="str" cm="1">
        <f t="array" aca="1" ref="AL65" ca="1">IFERROR(IF($AM$4="N",SSUM(AF65:AH65)/3,SUM(AG65:AI65)/3),"")</f>
        <v/>
      </c>
      <c r="AM65" s="129">
        <f t="shared" si="31"/>
        <v>0</v>
      </c>
      <c r="AN65" s="91" t="str">
        <f t="shared" si="32"/>
        <v/>
      </c>
      <c r="AO65" s="92" t="str">
        <f t="shared" si="33"/>
        <v/>
      </c>
      <c r="AP65" s="92" t="str">
        <f t="shared" si="34"/>
        <v/>
      </c>
      <c r="AQ65" s="92" t="str">
        <f t="shared" si="35"/>
        <v/>
      </c>
      <c r="AR65" s="92" t="str">
        <f t="shared" si="36"/>
        <v/>
      </c>
      <c r="AS65" s="92" t="str">
        <f t="shared" si="37"/>
        <v/>
      </c>
      <c r="AT65" s="92" t="str">
        <f t="shared" si="38"/>
        <v/>
      </c>
      <c r="AU65" s="92" t="str">
        <f t="shared" si="39"/>
        <v/>
      </c>
      <c r="AV65" s="92" t="str">
        <f t="shared" si="49"/>
        <v/>
      </c>
      <c r="AW65" s="92" t="str">
        <f t="shared" si="49"/>
        <v/>
      </c>
      <c r="AX65" s="92" t="str">
        <f t="shared" si="49"/>
        <v/>
      </c>
      <c r="AY65" s="93" t="str">
        <f t="shared" si="41"/>
        <v/>
      </c>
      <c r="AZ65" s="94" t="str">
        <f t="shared" si="42"/>
        <v/>
      </c>
      <c r="BA65" s="95" t="str">
        <f t="shared" si="43"/>
        <v/>
      </c>
      <c r="BB65" s="248" t="s">
        <v>422</v>
      </c>
      <c r="BC65" s="229" t="s">
        <v>433</v>
      </c>
      <c r="BD65" s="249">
        <v>0</v>
      </c>
      <c r="BE65" s="267">
        <f t="shared" si="26"/>
        <v>0</v>
      </c>
      <c r="BF65" s="268">
        <f t="shared" si="50"/>
        <v>0</v>
      </c>
      <c r="BG65" s="268">
        <f t="shared" si="50"/>
        <v>0</v>
      </c>
      <c r="BH65" s="268">
        <f t="shared" si="50"/>
        <v>1</v>
      </c>
      <c r="BI65" s="268">
        <f t="shared" si="50"/>
        <v>2</v>
      </c>
      <c r="BJ65" s="268">
        <f t="shared" si="50"/>
        <v>3</v>
      </c>
      <c r="BK65" s="268">
        <f t="shared" si="50"/>
        <v>4</v>
      </c>
      <c r="BL65" s="269">
        <f t="shared" si="50"/>
        <v>5</v>
      </c>
      <c r="BM65" s="256">
        <f>IF($BC65=Lookup!$A$2,$BD65*ROUNDUP(BE65/10,0)+1,
IF($BC65=Lookup!$A$3,($BD65+1)^BD65,
IF($BC65=Lookup!$A$4,BE65*$BD65+1,"Error")))</f>
        <v>1</v>
      </c>
      <c r="BN65" s="229">
        <f>IF($BC65=Lookup!$A$2,$BD65*ROUNDUP(BF65/10,0)+1,
IF($BC65=Lookup!$A$3,($BD65+1)^BE65,
IF($BC65=Lookup!$A$4,BF65*$BD65+1,"Error")))</f>
        <v>1</v>
      </c>
      <c r="BO65" s="229">
        <f>IF($BC65=Lookup!$A$2,$BD65*ROUNDUP(BG65/10,0)+1,
IF($BC65=Lookup!$A$3,($BD65+1)^BF65,
IF($BC65=Lookup!$A$4,BG65*$BD65+1,"Error")))</f>
        <v>1</v>
      </c>
      <c r="BP65" s="229">
        <f>IF($BC65=Lookup!$A$2,$BD65*ROUNDUP(BH65/10,0)+1,
IF($BC65=Lookup!$A$3,($BD65+1)^BG65,
IF($BC65=Lookup!$A$4,BH65*$BD65+1,"Error")))</f>
        <v>1</v>
      </c>
      <c r="BQ65" s="229">
        <f>IF($BC65=Lookup!$A$2,$BD65*ROUNDUP(BI65/10,0)+1,
IF($BC65=Lookup!$A$3,($BD65+1)^BH65,
IF($BC65=Lookup!$A$4,BI65*$BD65+1,"Error")))</f>
        <v>1</v>
      </c>
      <c r="BR65" s="229">
        <f>IF($BC65=Lookup!$A$2,$BD65*ROUNDUP(BJ65/10,0)+1,
IF($BC65=Lookup!$A$3,($BD65+1)^BI65,
IF($BC65=Lookup!$A$4,BJ65*$BD65+1,"Error")))</f>
        <v>1</v>
      </c>
      <c r="BS65" s="229">
        <f>IF($BC65=Lookup!$A$2,$BD65*ROUNDUP(BK65/10,0)+1,
IF($BC65=Lookup!$A$3,($BD65+1)^BJ65,
IF($BC65=Lookup!$A$4,BK65*$BD65+1,"Error")))</f>
        <v>1</v>
      </c>
      <c r="BT65" s="249">
        <f>IF($BC65=Lookup!$A$2,$BD65*ROUNDUP(BL65/10,0)+1,
IF($BC65=Lookup!$A$3,($BD65+1)^BK65,
IF($BC65=Lookup!$A$4,BL65*$BD65+1,"Error")))</f>
        <v>1</v>
      </c>
      <c r="BU65" s="320">
        <v>0</v>
      </c>
      <c r="BV65" s="321">
        <v>0</v>
      </c>
      <c r="BW65" s="321">
        <v>0</v>
      </c>
      <c r="BX65" s="320">
        <v>0</v>
      </c>
      <c r="BY65" s="321">
        <v>0</v>
      </c>
      <c r="BZ65" s="321">
        <v>0</v>
      </c>
      <c r="CA65" s="321">
        <v>0</v>
      </c>
      <c r="CB65" s="277">
        <v>0</v>
      </c>
      <c r="CC65" s="382" t="s">
        <v>292</v>
      </c>
      <c r="CD65" s="383">
        <f>HLOOKUP($CC65,$AK$6:$AM$132,ROWS(CD$6:CD65),0)</f>
        <v>0</v>
      </c>
      <c r="CE65" s="234">
        <f t="shared" si="27"/>
        <v>0</v>
      </c>
      <c r="CF65" s="96">
        <f t="shared" si="27"/>
        <v>0</v>
      </c>
      <c r="CG65" s="521">
        <f t="shared" si="27"/>
        <v>0</v>
      </c>
      <c r="CH65" s="421">
        <f t="shared" si="27"/>
        <v>0</v>
      </c>
      <c r="CI65" s="96">
        <f t="shared" si="45"/>
        <v>0</v>
      </c>
      <c r="CJ65" s="96">
        <f t="shared" si="45"/>
        <v>0</v>
      </c>
      <c r="CK65" s="96">
        <f t="shared" si="45"/>
        <v>0</v>
      </c>
      <c r="CL65" s="286">
        <f t="shared" si="45"/>
        <v>0</v>
      </c>
      <c r="CM65" s="305" t="s">
        <v>293</v>
      </c>
      <c r="CN65" s="315">
        <v>0.05</v>
      </c>
      <c r="CO65" s="306"/>
      <c r="CP65" s="307" t="str">
        <f>IF($CO65&lt;&gt;"",$CO65,HLOOKUP($CM65,$AY$6:$BA$132,ROWS(CP$6:CP65),0))</f>
        <v/>
      </c>
      <c r="CQ65" s="784">
        <v>0</v>
      </c>
      <c r="CR65" s="784">
        <v>0</v>
      </c>
      <c r="CS65" s="524">
        <v>0</v>
      </c>
      <c r="CT65" s="416">
        <v>0</v>
      </c>
      <c r="CU65" s="97">
        <v>0</v>
      </c>
      <c r="CV65" s="97">
        <v>0</v>
      </c>
      <c r="CW65" s="97">
        <v>0</v>
      </c>
      <c r="CX65" s="98">
        <v>0</v>
      </c>
      <c r="CY65" s="392"/>
    </row>
    <row r="66" spans="1:103" ht="15.75" thickBot="1" x14ac:dyDescent="0.3">
      <c r="A66" s="100" t="s">
        <v>106</v>
      </c>
      <c r="B66" s="101" t="s">
        <v>827</v>
      </c>
      <c r="C66" s="102" t="s">
        <v>355</v>
      </c>
      <c r="D66" s="103"/>
      <c r="E66" s="104"/>
      <c r="F66" s="104"/>
      <c r="G66" s="104"/>
      <c r="H66" s="104"/>
      <c r="I66" s="104"/>
      <c r="J66" s="104"/>
      <c r="K66" s="104"/>
      <c r="L66" s="104"/>
      <c r="M66" s="655"/>
      <c r="N66" s="1066"/>
      <c r="O66" s="563">
        <f t="shared" si="25"/>
        <v>0</v>
      </c>
      <c r="P66" s="564">
        <f t="shared" si="0"/>
        <v>0</v>
      </c>
      <c r="Q66" s="564">
        <f t="shared" si="1"/>
        <v>0</v>
      </c>
      <c r="R66" s="564">
        <f t="shared" si="2"/>
        <v>0</v>
      </c>
      <c r="S66" s="564">
        <f t="shared" si="3"/>
        <v>0</v>
      </c>
      <c r="T66" s="564">
        <f t="shared" si="4"/>
        <v>0</v>
      </c>
      <c r="U66" s="564">
        <f t="shared" si="5"/>
        <v>0</v>
      </c>
      <c r="V66" s="564">
        <f t="shared" si="6"/>
        <v>0</v>
      </c>
      <c r="W66" s="676">
        <f t="shared" si="7"/>
        <v>0</v>
      </c>
      <c r="X66" s="676">
        <f t="shared" si="8"/>
        <v>0</v>
      </c>
      <c r="Y66" s="676">
        <f t="shared" si="8"/>
        <v>0</v>
      </c>
      <c r="Z66" s="105"/>
      <c r="AA66" s="106"/>
      <c r="AB66" s="106"/>
      <c r="AC66" s="106"/>
      <c r="AD66" s="106"/>
      <c r="AE66" s="106"/>
      <c r="AF66" s="106"/>
      <c r="AG66" s="106"/>
      <c r="AH66" s="106"/>
      <c r="AI66" s="1095"/>
      <c r="AJ66" s="666"/>
      <c r="AK66" s="133">
        <f t="shared" si="30"/>
        <v>0</v>
      </c>
      <c r="AL66" s="134" t="str" cm="1">
        <f t="array" aca="1" ref="AL66" ca="1">IFERROR(IF($AM$4="N",SSUM(AF66:AH66)/3,SUM(AG66:AI66)/3),"")</f>
        <v/>
      </c>
      <c r="AM66" s="135">
        <f t="shared" si="31"/>
        <v>0</v>
      </c>
      <c r="AN66" s="110" t="str">
        <f t="shared" si="32"/>
        <v/>
      </c>
      <c r="AO66" s="111" t="str">
        <f t="shared" si="33"/>
        <v/>
      </c>
      <c r="AP66" s="111" t="str">
        <f t="shared" si="34"/>
        <v/>
      </c>
      <c r="AQ66" s="111" t="str">
        <f t="shared" si="35"/>
        <v/>
      </c>
      <c r="AR66" s="111" t="str">
        <f t="shared" si="36"/>
        <v/>
      </c>
      <c r="AS66" s="111" t="str">
        <f t="shared" si="37"/>
        <v/>
      </c>
      <c r="AT66" s="111" t="str">
        <f t="shared" si="38"/>
        <v/>
      </c>
      <c r="AU66" s="111" t="str">
        <f t="shared" si="39"/>
        <v/>
      </c>
      <c r="AV66" s="111" t="str">
        <f t="shared" si="49"/>
        <v/>
      </c>
      <c r="AW66" s="111" t="str">
        <f t="shared" si="49"/>
        <v/>
      </c>
      <c r="AX66" s="111" t="str">
        <f t="shared" si="49"/>
        <v/>
      </c>
      <c r="AY66" s="112" t="str">
        <f t="shared" si="41"/>
        <v/>
      </c>
      <c r="AZ66" s="113" t="str">
        <f t="shared" si="42"/>
        <v/>
      </c>
      <c r="BA66" s="114" t="str">
        <f t="shared" si="43"/>
        <v/>
      </c>
      <c r="BB66" s="250" t="s">
        <v>422</v>
      </c>
      <c r="BC66" s="230" t="s">
        <v>433</v>
      </c>
      <c r="BD66" s="251">
        <v>0</v>
      </c>
      <c r="BE66" s="270">
        <f t="shared" si="26"/>
        <v>0</v>
      </c>
      <c r="BF66" s="271">
        <f t="shared" si="50"/>
        <v>0</v>
      </c>
      <c r="BG66" s="271">
        <f t="shared" si="50"/>
        <v>0</v>
      </c>
      <c r="BH66" s="271">
        <f t="shared" si="50"/>
        <v>1</v>
      </c>
      <c r="BI66" s="271">
        <f t="shared" si="50"/>
        <v>2</v>
      </c>
      <c r="BJ66" s="271">
        <f t="shared" si="50"/>
        <v>3</v>
      </c>
      <c r="BK66" s="271">
        <f t="shared" si="50"/>
        <v>4</v>
      </c>
      <c r="BL66" s="272">
        <f t="shared" si="50"/>
        <v>5</v>
      </c>
      <c r="BM66" s="257">
        <f>IF($BC66=Lookup!$A$2,$BD66*ROUNDUP(BE66/10,0)+1,
IF($BC66=Lookup!$A$3,($BD66+1)^BD66,
IF($BC66=Lookup!$A$4,BE66*$BD66+1,"Error")))</f>
        <v>1</v>
      </c>
      <c r="BN66" s="230">
        <f>IF($BC66=Lookup!$A$2,$BD66*ROUNDUP(BF66/10,0)+1,
IF($BC66=Lookup!$A$3,($BD66+1)^BE66,
IF($BC66=Lookup!$A$4,BF66*$BD66+1,"Error")))</f>
        <v>1</v>
      </c>
      <c r="BO66" s="230">
        <f>IF($BC66=Lookup!$A$2,$BD66*ROUNDUP(BG66/10,0)+1,
IF($BC66=Lookup!$A$3,($BD66+1)^BF66,
IF($BC66=Lookup!$A$4,BG66*$BD66+1,"Error")))</f>
        <v>1</v>
      </c>
      <c r="BP66" s="230">
        <f>IF($BC66=Lookup!$A$2,$BD66*ROUNDUP(BH66/10,0)+1,
IF($BC66=Lookup!$A$3,($BD66+1)^BG66,
IF($BC66=Lookup!$A$4,BH66*$BD66+1,"Error")))</f>
        <v>1</v>
      </c>
      <c r="BQ66" s="230">
        <f>IF($BC66=Lookup!$A$2,$BD66*ROUNDUP(BI66/10,0)+1,
IF($BC66=Lookup!$A$3,($BD66+1)^BH66,
IF($BC66=Lookup!$A$4,BI66*$BD66+1,"Error")))</f>
        <v>1</v>
      </c>
      <c r="BR66" s="230">
        <f>IF($BC66=Lookup!$A$2,$BD66*ROUNDUP(BJ66/10,0)+1,
IF($BC66=Lookup!$A$3,($BD66+1)^BI66,
IF($BC66=Lookup!$A$4,BJ66*$BD66+1,"Error")))</f>
        <v>1</v>
      </c>
      <c r="BS66" s="230">
        <f>IF($BC66=Lookup!$A$2,$BD66*ROUNDUP(BK66/10,0)+1,
IF($BC66=Lookup!$A$3,($BD66+1)^BJ66,
IF($BC66=Lookup!$A$4,BK66*$BD66+1,"Error")))</f>
        <v>1</v>
      </c>
      <c r="BT66" s="251">
        <f>IF($BC66=Lookup!$A$2,$BD66*ROUNDUP(BL66/10,0)+1,
IF($BC66=Lookup!$A$3,($BD66+1)^BK66,
IF($BC66=Lookup!$A$4,BL66*$BD66+1,"Error")))</f>
        <v>1</v>
      </c>
      <c r="BU66" s="322">
        <v>0</v>
      </c>
      <c r="BV66" s="323">
        <v>0</v>
      </c>
      <c r="BW66" s="323">
        <v>0</v>
      </c>
      <c r="BX66" s="322">
        <v>0</v>
      </c>
      <c r="BY66" s="323">
        <v>0</v>
      </c>
      <c r="BZ66" s="323">
        <v>0</v>
      </c>
      <c r="CA66" s="323">
        <v>0</v>
      </c>
      <c r="CB66" s="278">
        <v>0</v>
      </c>
      <c r="CC66" s="384" t="s">
        <v>292</v>
      </c>
      <c r="CD66" s="385">
        <f>HLOOKUP($CC66,$AK$6:$AM$132,ROWS(CD$6:CD66),0)</f>
        <v>0</v>
      </c>
      <c r="CE66" s="235">
        <f t="shared" si="27"/>
        <v>0</v>
      </c>
      <c r="CF66" s="115">
        <f t="shared" si="27"/>
        <v>0</v>
      </c>
      <c r="CG66" s="522">
        <f t="shared" si="27"/>
        <v>0</v>
      </c>
      <c r="CH66" s="422">
        <f t="shared" si="27"/>
        <v>0</v>
      </c>
      <c r="CI66" s="115">
        <f t="shared" si="45"/>
        <v>0</v>
      </c>
      <c r="CJ66" s="115">
        <f t="shared" si="45"/>
        <v>0</v>
      </c>
      <c r="CK66" s="115">
        <f t="shared" si="45"/>
        <v>0</v>
      </c>
      <c r="CL66" s="287">
        <f t="shared" si="45"/>
        <v>0</v>
      </c>
      <c r="CM66" s="308" t="s">
        <v>293</v>
      </c>
      <c r="CN66" s="316">
        <v>0.05</v>
      </c>
      <c r="CO66" s="309"/>
      <c r="CP66" s="310" t="str">
        <f>IF($CO66&lt;&gt;"",$CO66,HLOOKUP($CM66,$AY$6:$BA$132,ROWS(CP$6:CP66),0))</f>
        <v/>
      </c>
      <c r="CQ66" s="785">
        <v>0</v>
      </c>
      <c r="CR66" s="785">
        <v>0</v>
      </c>
      <c r="CS66" s="638">
        <v>0</v>
      </c>
      <c r="CT66" s="467">
        <v>0</v>
      </c>
      <c r="CU66" s="117">
        <v>0</v>
      </c>
      <c r="CV66" s="117">
        <v>0</v>
      </c>
      <c r="CW66" s="117">
        <v>0</v>
      </c>
      <c r="CX66" s="118">
        <v>0</v>
      </c>
      <c r="CY66" s="393"/>
    </row>
    <row r="67" spans="1:103" x14ac:dyDescent="0.25">
      <c r="A67" s="142" t="s">
        <v>138</v>
      </c>
      <c r="B67" s="143" t="s">
        <v>135</v>
      </c>
      <c r="C67" s="65" t="s">
        <v>356</v>
      </c>
      <c r="D67" s="66"/>
      <c r="E67" s="67"/>
      <c r="F67" s="67"/>
      <c r="G67" s="67"/>
      <c r="H67" s="67"/>
      <c r="I67" s="67"/>
      <c r="J67" s="67"/>
      <c r="K67" s="67"/>
      <c r="L67" s="67"/>
      <c r="M67" s="653"/>
      <c r="N67" s="1064"/>
      <c r="O67" s="557">
        <f t="shared" si="25"/>
        <v>0</v>
      </c>
      <c r="P67" s="558">
        <f t="shared" si="0"/>
        <v>0</v>
      </c>
      <c r="Q67" s="558">
        <f t="shared" si="1"/>
        <v>0</v>
      </c>
      <c r="R67" s="558">
        <f t="shared" si="2"/>
        <v>0</v>
      </c>
      <c r="S67" s="558">
        <f t="shared" si="3"/>
        <v>0</v>
      </c>
      <c r="T67" s="558">
        <f t="shared" si="4"/>
        <v>0</v>
      </c>
      <c r="U67" s="558">
        <f t="shared" si="5"/>
        <v>0</v>
      </c>
      <c r="V67" s="558">
        <f t="shared" si="6"/>
        <v>0</v>
      </c>
      <c r="W67" s="674">
        <f t="shared" si="7"/>
        <v>0</v>
      </c>
      <c r="X67" s="674">
        <f t="shared" si="8"/>
        <v>0</v>
      </c>
      <c r="Y67" s="674">
        <f t="shared" si="8"/>
        <v>0</v>
      </c>
      <c r="Z67" s="68"/>
      <c r="AA67" s="69"/>
      <c r="AB67" s="69"/>
      <c r="AC67" s="69"/>
      <c r="AD67" s="69"/>
      <c r="AE67" s="69"/>
      <c r="AF67" s="69"/>
      <c r="AG67" s="69"/>
      <c r="AH67" s="69"/>
      <c r="AI67" s="1093"/>
      <c r="AJ67" s="664"/>
      <c r="AK67" s="70">
        <f t="shared" si="30"/>
        <v>0</v>
      </c>
      <c r="AL67" s="71" t="str" cm="1">
        <f t="array" aca="1" ref="AL67" ca="1">IFERROR(IF($AM$4="N",SSUM(AF67:AH67)/3,SUM(AG67:AI67)/3),"")</f>
        <v/>
      </c>
      <c r="AM67" s="72">
        <f t="shared" si="31"/>
        <v>0</v>
      </c>
      <c r="AN67" s="73" t="str">
        <f t="shared" si="32"/>
        <v/>
      </c>
      <c r="AO67" s="74" t="str">
        <f t="shared" si="33"/>
        <v/>
      </c>
      <c r="AP67" s="74" t="str">
        <f t="shared" si="34"/>
        <v/>
      </c>
      <c r="AQ67" s="74" t="str">
        <f t="shared" si="35"/>
        <v/>
      </c>
      <c r="AR67" s="74" t="str">
        <f t="shared" si="36"/>
        <v/>
      </c>
      <c r="AS67" s="74" t="str">
        <f t="shared" si="37"/>
        <v/>
      </c>
      <c r="AT67" s="74" t="str">
        <f t="shared" si="38"/>
        <v/>
      </c>
      <c r="AU67" s="74" t="str">
        <f t="shared" si="39"/>
        <v/>
      </c>
      <c r="AV67" s="74" t="str">
        <f t="shared" si="49"/>
        <v/>
      </c>
      <c r="AW67" s="74" t="str">
        <f t="shared" si="49"/>
        <v/>
      </c>
      <c r="AX67" s="74" t="str">
        <f t="shared" si="49"/>
        <v/>
      </c>
      <c r="AY67" s="75" t="str">
        <f t="shared" si="41"/>
        <v/>
      </c>
      <c r="AZ67" s="76" t="str">
        <f t="shared" si="42"/>
        <v/>
      </c>
      <c r="BA67" s="77" t="str">
        <f t="shared" si="43"/>
        <v/>
      </c>
      <c r="BB67" s="246" t="s">
        <v>422</v>
      </c>
      <c r="BC67" s="228" t="s">
        <v>433</v>
      </c>
      <c r="BD67" s="247">
        <v>0</v>
      </c>
      <c r="BE67" s="264">
        <f t="shared" si="26"/>
        <v>0</v>
      </c>
      <c r="BF67" s="265">
        <f t="shared" si="50"/>
        <v>0</v>
      </c>
      <c r="BG67" s="265">
        <f t="shared" si="50"/>
        <v>0</v>
      </c>
      <c r="BH67" s="265">
        <f t="shared" si="50"/>
        <v>1</v>
      </c>
      <c r="BI67" s="265">
        <f t="shared" si="50"/>
        <v>2</v>
      </c>
      <c r="BJ67" s="265">
        <f t="shared" si="50"/>
        <v>3</v>
      </c>
      <c r="BK67" s="265">
        <f t="shared" si="50"/>
        <v>4</v>
      </c>
      <c r="BL67" s="266">
        <f t="shared" si="50"/>
        <v>5</v>
      </c>
      <c r="BM67" s="255">
        <f>IF($BC67=Lookup!$A$2,$BD67*ROUNDUP(BE67/10,0)+1,
IF($BC67=Lookup!$A$3,($BD67+1)^BD67,
IF($BC67=Lookup!$A$4,BE67*$BD67+1,"Error")))</f>
        <v>1</v>
      </c>
      <c r="BN67" s="228">
        <f>IF($BC67=Lookup!$A$2,$BD67*ROUNDUP(BF67/10,0)+1,
IF($BC67=Lookup!$A$3,($BD67+1)^BE67,
IF($BC67=Lookup!$A$4,BF67*$BD67+1,"Error")))</f>
        <v>1</v>
      </c>
      <c r="BO67" s="228">
        <f>IF($BC67=Lookup!$A$2,$BD67*ROUNDUP(BG67/10,0)+1,
IF($BC67=Lookup!$A$3,($BD67+1)^BF67,
IF($BC67=Lookup!$A$4,BG67*$BD67+1,"Error")))</f>
        <v>1</v>
      </c>
      <c r="BP67" s="228">
        <f>IF($BC67=Lookup!$A$2,$BD67*ROUNDUP(BH67/10,0)+1,
IF($BC67=Lookup!$A$3,($BD67+1)^BG67,
IF($BC67=Lookup!$A$4,BH67*$BD67+1,"Error")))</f>
        <v>1</v>
      </c>
      <c r="BQ67" s="228">
        <f>IF($BC67=Lookup!$A$2,$BD67*ROUNDUP(BI67/10,0)+1,
IF($BC67=Lookup!$A$3,($BD67+1)^BH67,
IF($BC67=Lookup!$A$4,BI67*$BD67+1,"Error")))</f>
        <v>1</v>
      </c>
      <c r="BR67" s="228">
        <f>IF($BC67=Lookup!$A$2,$BD67*ROUNDUP(BJ67/10,0)+1,
IF($BC67=Lookup!$A$3,($BD67+1)^BI67,
IF($BC67=Lookup!$A$4,BJ67*$BD67+1,"Error")))</f>
        <v>1</v>
      </c>
      <c r="BS67" s="228">
        <f>IF($BC67=Lookup!$A$2,$BD67*ROUNDUP(BK67/10,0)+1,
IF($BC67=Lookup!$A$3,($BD67+1)^BJ67,
IF($BC67=Lookup!$A$4,BK67*$BD67+1,"Error")))</f>
        <v>1</v>
      </c>
      <c r="BT67" s="247">
        <f>IF($BC67=Lookup!$A$2,$BD67*ROUNDUP(BL67/10,0)+1,
IF($BC67=Lookup!$A$3,($BD67+1)^BK67,
IF($BC67=Lookup!$A$4,BL67*$BD67+1,"Error")))</f>
        <v>1</v>
      </c>
      <c r="BU67" s="318">
        <v>0</v>
      </c>
      <c r="BV67" s="319">
        <v>0</v>
      </c>
      <c r="BW67" s="319">
        <v>0</v>
      </c>
      <c r="BX67" s="318">
        <v>0</v>
      </c>
      <c r="BY67" s="319">
        <v>0</v>
      </c>
      <c r="BZ67" s="319">
        <v>0</v>
      </c>
      <c r="CA67" s="319">
        <v>0</v>
      </c>
      <c r="CB67" s="276">
        <v>0</v>
      </c>
      <c r="CC67" s="380" t="s">
        <v>292</v>
      </c>
      <c r="CD67" s="381">
        <f>HLOOKUP($CC67,$AK$6:$AM$132,ROWS(CD$6:CD67),0)</f>
        <v>0</v>
      </c>
      <c r="CE67" s="233">
        <f t="shared" si="27"/>
        <v>0</v>
      </c>
      <c r="CF67" s="78">
        <f t="shared" si="27"/>
        <v>0</v>
      </c>
      <c r="CG67" s="797">
        <f t="shared" si="27"/>
        <v>0</v>
      </c>
      <c r="CH67" s="806">
        <f t="shared" si="27"/>
        <v>0</v>
      </c>
      <c r="CI67" s="78">
        <f t="shared" si="45"/>
        <v>0</v>
      </c>
      <c r="CJ67" s="78">
        <f t="shared" si="45"/>
        <v>0</v>
      </c>
      <c r="CK67" s="78">
        <f t="shared" si="45"/>
        <v>0</v>
      </c>
      <c r="CL67" s="285">
        <f t="shared" si="45"/>
        <v>0</v>
      </c>
      <c r="CM67" s="302" t="s">
        <v>293</v>
      </c>
      <c r="CN67" s="314">
        <v>0.05</v>
      </c>
      <c r="CO67" s="303"/>
      <c r="CP67" s="304" t="str">
        <f>IF($CO67&lt;&gt;"",$CO67,HLOOKUP($CM67,$AY$6:$BA$132,ROWS(CP$6:CP67),0))</f>
        <v/>
      </c>
      <c r="CQ67" s="783">
        <v>0</v>
      </c>
      <c r="CR67" s="783">
        <v>0</v>
      </c>
      <c r="CS67" s="523">
        <v>0</v>
      </c>
      <c r="CT67" s="415">
        <v>0</v>
      </c>
      <c r="CU67" s="79">
        <v>0</v>
      </c>
      <c r="CV67" s="79">
        <v>0</v>
      </c>
      <c r="CW67" s="79">
        <v>0</v>
      </c>
      <c r="CX67" s="80">
        <v>0</v>
      </c>
      <c r="CY67" s="391"/>
    </row>
    <row r="68" spans="1:103" x14ac:dyDescent="0.25">
      <c r="A68" s="81" t="s">
        <v>138</v>
      </c>
      <c r="B68" s="82" t="s">
        <v>139</v>
      </c>
      <c r="C68" s="83" t="s">
        <v>357</v>
      </c>
      <c r="D68" s="84"/>
      <c r="E68" s="85"/>
      <c r="F68" s="85"/>
      <c r="G68" s="85"/>
      <c r="H68" s="85"/>
      <c r="I68" s="85"/>
      <c r="J68" s="85"/>
      <c r="K68" s="85"/>
      <c r="L68" s="85"/>
      <c r="M68" s="654"/>
      <c r="N68" s="1065"/>
      <c r="O68" s="560">
        <f t="shared" si="25"/>
        <v>0</v>
      </c>
      <c r="P68" s="561">
        <f t="shared" si="0"/>
        <v>0</v>
      </c>
      <c r="Q68" s="561">
        <f t="shared" si="1"/>
        <v>0</v>
      </c>
      <c r="R68" s="561">
        <f t="shared" si="2"/>
        <v>0</v>
      </c>
      <c r="S68" s="561">
        <f t="shared" si="3"/>
        <v>0</v>
      </c>
      <c r="T68" s="561">
        <f t="shared" si="4"/>
        <v>0</v>
      </c>
      <c r="U68" s="561">
        <f t="shared" si="5"/>
        <v>0</v>
      </c>
      <c r="V68" s="561">
        <f t="shared" si="6"/>
        <v>0</v>
      </c>
      <c r="W68" s="675">
        <f t="shared" si="7"/>
        <v>0</v>
      </c>
      <c r="X68" s="675">
        <f t="shared" si="8"/>
        <v>0</v>
      </c>
      <c r="Y68" s="675">
        <f t="shared" si="8"/>
        <v>0</v>
      </c>
      <c r="Z68" s="86"/>
      <c r="AA68" s="87"/>
      <c r="AB68" s="87"/>
      <c r="AC68" s="87"/>
      <c r="AD68" s="87"/>
      <c r="AE68" s="87"/>
      <c r="AF68" s="87"/>
      <c r="AG68" s="87"/>
      <c r="AH68" s="87"/>
      <c r="AI68" s="1094"/>
      <c r="AJ68" s="665"/>
      <c r="AK68" s="88">
        <f t="shared" si="30"/>
        <v>0</v>
      </c>
      <c r="AL68" s="89" t="str" cm="1">
        <f t="array" aca="1" ref="AL68" ca="1">IFERROR(IF($AM$4="N",SSUM(AF68:AH68)/3,SUM(AG68:AI68)/3),"")</f>
        <v/>
      </c>
      <c r="AM68" s="90">
        <f t="shared" si="31"/>
        <v>0</v>
      </c>
      <c r="AN68" s="91" t="str">
        <f t="shared" si="32"/>
        <v/>
      </c>
      <c r="AO68" s="92" t="str">
        <f t="shared" si="33"/>
        <v/>
      </c>
      <c r="AP68" s="92" t="str">
        <f t="shared" si="34"/>
        <v/>
      </c>
      <c r="AQ68" s="92" t="str">
        <f t="shared" si="35"/>
        <v/>
      </c>
      <c r="AR68" s="92" t="str">
        <f t="shared" si="36"/>
        <v/>
      </c>
      <c r="AS68" s="92" t="str">
        <f t="shared" si="37"/>
        <v/>
      </c>
      <c r="AT68" s="92" t="str">
        <f t="shared" si="38"/>
        <v/>
      </c>
      <c r="AU68" s="92" t="str">
        <f t="shared" si="39"/>
        <v/>
      </c>
      <c r="AV68" s="92" t="str">
        <f t="shared" si="49"/>
        <v/>
      </c>
      <c r="AW68" s="92" t="str">
        <f t="shared" si="49"/>
        <v/>
      </c>
      <c r="AX68" s="92" t="str">
        <f t="shared" si="49"/>
        <v/>
      </c>
      <c r="AY68" s="93" t="str">
        <f t="shared" si="41"/>
        <v/>
      </c>
      <c r="AZ68" s="94" t="str">
        <f t="shared" si="42"/>
        <v/>
      </c>
      <c r="BA68" s="95" t="str">
        <f t="shared" si="43"/>
        <v/>
      </c>
      <c r="BB68" s="248" t="s">
        <v>422</v>
      </c>
      <c r="BC68" s="229" t="s">
        <v>433</v>
      </c>
      <c r="BD68" s="249">
        <v>0</v>
      </c>
      <c r="BE68" s="267">
        <f t="shared" si="26"/>
        <v>0</v>
      </c>
      <c r="BF68" s="268">
        <f t="shared" si="50"/>
        <v>0</v>
      </c>
      <c r="BG68" s="268">
        <f t="shared" si="50"/>
        <v>0</v>
      </c>
      <c r="BH68" s="268">
        <f t="shared" si="50"/>
        <v>1</v>
      </c>
      <c r="BI68" s="268">
        <f t="shared" si="50"/>
        <v>2</v>
      </c>
      <c r="BJ68" s="268">
        <f t="shared" si="50"/>
        <v>3</v>
      </c>
      <c r="BK68" s="268">
        <f t="shared" si="50"/>
        <v>4</v>
      </c>
      <c r="BL68" s="269">
        <f t="shared" si="50"/>
        <v>5</v>
      </c>
      <c r="BM68" s="256">
        <f>IF($BC68=Lookup!$A$2,$BD68*ROUNDUP(BE68/10,0)+1,
IF($BC68=Lookup!$A$3,($BD68+1)^BD68,
IF($BC68=Lookup!$A$4,BE68*$BD68+1,"Error")))</f>
        <v>1</v>
      </c>
      <c r="BN68" s="229">
        <f>IF($BC68=Lookup!$A$2,$BD68*ROUNDUP(BF68/10,0)+1,
IF($BC68=Lookup!$A$3,($BD68+1)^BE68,
IF($BC68=Lookup!$A$4,BF68*$BD68+1,"Error")))</f>
        <v>1</v>
      </c>
      <c r="BO68" s="229">
        <f>IF($BC68=Lookup!$A$2,$BD68*ROUNDUP(BG68/10,0)+1,
IF($BC68=Lookup!$A$3,($BD68+1)^BF68,
IF($BC68=Lookup!$A$4,BG68*$BD68+1,"Error")))</f>
        <v>1</v>
      </c>
      <c r="BP68" s="229">
        <f>IF($BC68=Lookup!$A$2,$BD68*ROUNDUP(BH68/10,0)+1,
IF($BC68=Lookup!$A$3,($BD68+1)^BG68,
IF($BC68=Lookup!$A$4,BH68*$BD68+1,"Error")))</f>
        <v>1</v>
      </c>
      <c r="BQ68" s="229">
        <f>IF($BC68=Lookup!$A$2,$BD68*ROUNDUP(BI68/10,0)+1,
IF($BC68=Lookup!$A$3,($BD68+1)^BH68,
IF($BC68=Lookup!$A$4,BI68*$BD68+1,"Error")))</f>
        <v>1</v>
      </c>
      <c r="BR68" s="229">
        <f>IF($BC68=Lookup!$A$2,$BD68*ROUNDUP(BJ68/10,0)+1,
IF($BC68=Lookup!$A$3,($BD68+1)^BI68,
IF($BC68=Lookup!$A$4,BJ68*$BD68+1,"Error")))</f>
        <v>1</v>
      </c>
      <c r="BS68" s="229">
        <f>IF($BC68=Lookup!$A$2,$BD68*ROUNDUP(BK68/10,0)+1,
IF($BC68=Lookup!$A$3,($BD68+1)^BJ68,
IF($BC68=Lookup!$A$4,BK68*$BD68+1,"Error")))</f>
        <v>1</v>
      </c>
      <c r="BT68" s="249">
        <f>IF($BC68=Lookup!$A$2,$BD68*ROUNDUP(BL68/10,0)+1,
IF($BC68=Lookup!$A$3,($BD68+1)^BK68,
IF($BC68=Lookup!$A$4,BL68*$BD68+1,"Error")))</f>
        <v>1</v>
      </c>
      <c r="BU68" s="320">
        <v>0</v>
      </c>
      <c r="BV68" s="321">
        <v>0</v>
      </c>
      <c r="BW68" s="321">
        <v>0</v>
      </c>
      <c r="BX68" s="320">
        <v>0</v>
      </c>
      <c r="BY68" s="321">
        <v>0</v>
      </c>
      <c r="BZ68" s="321">
        <v>0</v>
      </c>
      <c r="CA68" s="321">
        <v>0</v>
      </c>
      <c r="CB68" s="277">
        <v>0</v>
      </c>
      <c r="CC68" s="382" t="s">
        <v>292</v>
      </c>
      <c r="CD68" s="383">
        <f>HLOOKUP($CC68,$AK$6:$AM$132,ROWS(CD$6:CD68),0)</f>
        <v>0</v>
      </c>
      <c r="CE68" s="234">
        <f t="shared" si="27"/>
        <v>0</v>
      </c>
      <c r="CF68" s="96">
        <f t="shared" si="27"/>
        <v>0</v>
      </c>
      <c r="CG68" s="521">
        <f t="shared" si="27"/>
        <v>0</v>
      </c>
      <c r="CH68" s="421">
        <f t="shared" si="27"/>
        <v>0</v>
      </c>
      <c r="CI68" s="96">
        <f t="shared" si="45"/>
        <v>0</v>
      </c>
      <c r="CJ68" s="96">
        <f t="shared" si="45"/>
        <v>0</v>
      </c>
      <c r="CK68" s="96">
        <f t="shared" si="45"/>
        <v>0</v>
      </c>
      <c r="CL68" s="286">
        <f t="shared" si="45"/>
        <v>0</v>
      </c>
      <c r="CM68" s="305" t="s">
        <v>293</v>
      </c>
      <c r="CN68" s="315">
        <v>0.05</v>
      </c>
      <c r="CO68" s="306"/>
      <c r="CP68" s="307" t="str">
        <f>IF($CO68&lt;&gt;"",$CO68,HLOOKUP($CM68,$AY$6:$BA$132,ROWS(CP$6:CP68),0))</f>
        <v/>
      </c>
      <c r="CQ68" s="784">
        <v>0</v>
      </c>
      <c r="CR68" s="784">
        <v>0</v>
      </c>
      <c r="CS68" s="524">
        <v>0</v>
      </c>
      <c r="CT68" s="416">
        <v>0</v>
      </c>
      <c r="CU68" s="97">
        <v>0</v>
      </c>
      <c r="CV68" s="97">
        <v>0</v>
      </c>
      <c r="CW68" s="97">
        <v>0</v>
      </c>
      <c r="CX68" s="98">
        <v>0</v>
      </c>
      <c r="CY68" s="392"/>
    </row>
    <row r="69" spans="1:103" x14ac:dyDescent="0.25">
      <c r="A69" s="81" t="s">
        <v>138</v>
      </c>
      <c r="B69" s="82" t="s">
        <v>141</v>
      </c>
      <c r="C69" s="83" t="s">
        <v>358</v>
      </c>
      <c r="D69" s="84"/>
      <c r="E69" s="85"/>
      <c r="F69" s="85"/>
      <c r="G69" s="85"/>
      <c r="H69" s="85"/>
      <c r="I69" s="85"/>
      <c r="J69" s="85"/>
      <c r="K69" s="85"/>
      <c r="L69" s="85"/>
      <c r="M69" s="654"/>
      <c r="N69" s="1065"/>
      <c r="O69" s="560">
        <f t="shared" si="25"/>
        <v>0</v>
      </c>
      <c r="P69" s="561">
        <f t="shared" si="0"/>
        <v>0</v>
      </c>
      <c r="Q69" s="561">
        <f t="shared" si="1"/>
        <v>0</v>
      </c>
      <c r="R69" s="561">
        <f t="shared" si="2"/>
        <v>0</v>
      </c>
      <c r="S69" s="561">
        <f t="shared" si="3"/>
        <v>0</v>
      </c>
      <c r="T69" s="561">
        <f t="shared" si="4"/>
        <v>0</v>
      </c>
      <c r="U69" s="561">
        <f t="shared" si="5"/>
        <v>0</v>
      </c>
      <c r="V69" s="561">
        <f t="shared" si="6"/>
        <v>0</v>
      </c>
      <c r="W69" s="675">
        <f t="shared" si="7"/>
        <v>0</v>
      </c>
      <c r="X69" s="675">
        <f t="shared" si="8"/>
        <v>0</v>
      </c>
      <c r="Y69" s="675">
        <f t="shared" si="8"/>
        <v>0</v>
      </c>
      <c r="Z69" s="86"/>
      <c r="AA69" s="87"/>
      <c r="AB69" s="87"/>
      <c r="AC69" s="87"/>
      <c r="AD69" s="87"/>
      <c r="AE69" s="87"/>
      <c r="AF69" s="87"/>
      <c r="AG69" s="87"/>
      <c r="AH69" s="87"/>
      <c r="AI69" s="1094"/>
      <c r="AJ69" s="665"/>
      <c r="AK69" s="88">
        <f t="shared" si="30"/>
        <v>0</v>
      </c>
      <c r="AL69" s="89" t="str" cm="1">
        <f t="array" aca="1" ref="AL69" ca="1">IFERROR(IF($AM$4="N",SSUM(AF69:AH69)/3,SUM(AG69:AI69)/3),"")</f>
        <v/>
      </c>
      <c r="AM69" s="90">
        <f t="shared" si="31"/>
        <v>0</v>
      </c>
      <c r="AN69" s="91" t="str">
        <f t="shared" si="32"/>
        <v/>
      </c>
      <c r="AO69" s="92" t="str">
        <f t="shared" si="33"/>
        <v/>
      </c>
      <c r="AP69" s="92" t="str">
        <f t="shared" si="34"/>
        <v/>
      </c>
      <c r="AQ69" s="92" t="str">
        <f t="shared" si="35"/>
        <v/>
      </c>
      <c r="AR69" s="92" t="str">
        <f t="shared" si="36"/>
        <v/>
      </c>
      <c r="AS69" s="92" t="str">
        <f t="shared" si="37"/>
        <v/>
      </c>
      <c r="AT69" s="92" t="str">
        <f t="shared" si="38"/>
        <v/>
      </c>
      <c r="AU69" s="92" t="str">
        <f t="shared" si="39"/>
        <v/>
      </c>
      <c r="AV69" s="92" t="str">
        <f t="shared" si="49"/>
        <v/>
      </c>
      <c r="AW69" s="92" t="str">
        <f t="shared" si="49"/>
        <v/>
      </c>
      <c r="AX69" s="92" t="str">
        <f t="shared" si="49"/>
        <v/>
      </c>
      <c r="AY69" s="93" t="str">
        <f t="shared" si="41"/>
        <v/>
      </c>
      <c r="AZ69" s="94" t="str">
        <f t="shared" si="42"/>
        <v/>
      </c>
      <c r="BA69" s="95" t="str">
        <f t="shared" si="43"/>
        <v/>
      </c>
      <c r="BB69" s="248" t="s">
        <v>422</v>
      </c>
      <c r="BC69" s="229" t="s">
        <v>433</v>
      </c>
      <c r="BD69" s="249">
        <v>0</v>
      </c>
      <c r="BE69" s="267">
        <f t="shared" si="26"/>
        <v>0</v>
      </c>
      <c r="BF69" s="268">
        <f t="shared" si="50"/>
        <v>0</v>
      </c>
      <c r="BG69" s="268">
        <f t="shared" si="50"/>
        <v>0</v>
      </c>
      <c r="BH69" s="268">
        <f t="shared" si="50"/>
        <v>1</v>
      </c>
      <c r="BI69" s="268">
        <f t="shared" si="50"/>
        <v>2</v>
      </c>
      <c r="BJ69" s="268">
        <f t="shared" si="50"/>
        <v>3</v>
      </c>
      <c r="BK69" s="268">
        <f t="shared" si="50"/>
        <v>4</v>
      </c>
      <c r="BL69" s="269">
        <f t="shared" si="50"/>
        <v>5</v>
      </c>
      <c r="BM69" s="256">
        <f>IF($BC69=Lookup!$A$2,$BD69*ROUNDUP(BE69/10,0)+1,
IF($BC69=Lookup!$A$3,($BD69+1)^BD69,
IF($BC69=Lookup!$A$4,BE69*$BD69+1,"Error")))</f>
        <v>1</v>
      </c>
      <c r="BN69" s="229">
        <f>IF($BC69=Lookup!$A$2,$BD69*ROUNDUP(BF69/10,0)+1,
IF($BC69=Lookup!$A$3,($BD69+1)^BE69,
IF($BC69=Lookup!$A$4,BF69*$BD69+1,"Error")))</f>
        <v>1</v>
      </c>
      <c r="BO69" s="229">
        <f>IF($BC69=Lookup!$A$2,$BD69*ROUNDUP(BG69/10,0)+1,
IF($BC69=Lookup!$A$3,($BD69+1)^BF69,
IF($BC69=Lookup!$A$4,BG69*$BD69+1,"Error")))</f>
        <v>1</v>
      </c>
      <c r="BP69" s="229">
        <f>IF($BC69=Lookup!$A$2,$BD69*ROUNDUP(BH69/10,0)+1,
IF($BC69=Lookup!$A$3,($BD69+1)^BG69,
IF($BC69=Lookup!$A$4,BH69*$BD69+1,"Error")))</f>
        <v>1</v>
      </c>
      <c r="BQ69" s="229">
        <f>IF($BC69=Lookup!$A$2,$BD69*ROUNDUP(BI69/10,0)+1,
IF($BC69=Lookup!$A$3,($BD69+1)^BH69,
IF($BC69=Lookup!$A$4,BI69*$BD69+1,"Error")))</f>
        <v>1</v>
      </c>
      <c r="BR69" s="229">
        <f>IF($BC69=Lookup!$A$2,$BD69*ROUNDUP(BJ69/10,0)+1,
IF($BC69=Lookup!$A$3,($BD69+1)^BI69,
IF($BC69=Lookup!$A$4,BJ69*$BD69+1,"Error")))</f>
        <v>1</v>
      </c>
      <c r="BS69" s="229">
        <f>IF($BC69=Lookup!$A$2,$BD69*ROUNDUP(BK69/10,0)+1,
IF($BC69=Lookup!$A$3,($BD69+1)^BJ69,
IF($BC69=Lookup!$A$4,BK69*$BD69+1,"Error")))</f>
        <v>1</v>
      </c>
      <c r="BT69" s="249">
        <f>IF($BC69=Lookup!$A$2,$BD69*ROUNDUP(BL69/10,0)+1,
IF($BC69=Lookup!$A$3,($BD69+1)^BK69,
IF($BC69=Lookup!$A$4,BL69*$BD69+1,"Error")))</f>
        <v>1</v>
      </c>
      <c r="BU69" s="320">
        <v>0</v>
      </c>
      <c r="BV69" s="321">
        <v>0</v>
      </c>
      <c r="BW69" s="321">
        <v>0</v>
      </c>
      <c r="BX69" s="320">
        <v>0</v>
      </c>
      <c r="BY69" s="321">
        <v>0</v>
      </c>
      <c r="BZ69" s="321">
        <v>0</v>
      </c>
      <c r="CA69" s="321">
        <v>0</v>
      </c>
      <c r="CB69" s="277">
        <v>0</v>
      </c>
      <c r="CC69" s="382" t="s">
        <v>292</v>
      </c>
      <c r="CD69" s="383">
        <f>HLOOKUP($CC69,$AK$6:$AM$132,ROWS(CD$6:CD69),0)</f>
        <v>0</v>
      </c>
      <c r="CE69" s="234">
        <f t="shared" si="27"/>
        <v>0</v>
      </c>
      <c r="CF69" s="96">
        <f t="shared" si="27"/>
        <v>0</v>
      </c>
      <c r="CG69" s="521">
        <f t="shared" si="27"/>
        <v>0</v>
      </c>
      <c r="CH69" s="421">
        <f t="shared" si="27"/>
        <v>0</v>
      </c>
      <c r="CI69" s="96">
        <f t="shared" si="45"/>
        <v>0</v>
      </c>
      <c r="CJ69" s="96">
        <f t="shared" si="45"/>
        <v>0</v>
      </c>
      <c r="CK69" s="96">
        <f t="shared" si="45"/>
        <v>0</v>
      </c>
      <c r="CL69" s="286">
        <f t="shared" si="45"/>
        <v>0</v>
      </c>
      <c r="CM69" s="305" t="s">
        <v>293</v>
      </c>
      <c r="CN69" s="315">
        <v>0.05</v>
      </c>
      <c r="CO69" s="306"/>
      <c r="CP69" s="307" t="str">
        <f>IF($CO69&lt;&gt;"",$CO69,HLOOKUP($CM69,$AY$6:$BA$132,ROWS(CP$6:CP69),0))</f>
        <v/>
      </c>
      <c r="CQ69" s="784">
        <v>0</v>
      </c>
      <c r="CR69" s="784">
        <v>0</v>
      </c>
      <c r="CS69" s="524">
        <v>0</v>
      </c>
      <c r="CT69" s="416">
        <v>0</v>
      </c>
      <c r="CU69" s="97">
        <v>0</v>
      </c>
      <c r="CV69" s="97">
        <v>0</v>
      </c>
      <c r="CW69" s="97">
        <v>0</v>
      </c>
      <c r="CX69" s="98">
        <v>0</v>
      </c>
      <c r="CY69" s="392"/>
    </row>
    <row r="70" spans="1:103" x14ac:dyDescent="0.25">
      <c r="A70" s="81" t="s">
        <v>138</v>
      </c>
      <c r="B70" s="82" t="s">
        <v>143</v>
      </c>
      <c r="C70" s="83" t="s">
        <v>359</v>
      </c>
      <c r="D70" s="84"/>
      <c r="E70" s="85"/>
      <c r="F70" s="85"/>
      <c r="G70" s="85"/>
      <c r="H70" s="85"/>
      <c r="I70" s="85"/>
      <c r="J70" s="85"/>
      <c r="K70" s="85"/>
      <c r="L70" s="85"/>
      <c r="M70" s="654"/>
      <c r="N70" s="1065"/>
      <c r="O70" s="560">
        <f t="shared" si="25"/>
        <v>0</v>
      </c>
      <c r="P70" s="561">
        <f t="shared" si="0"/>
        <v>0</v>
      </c>
      <c r="Q70" s="561">
        <f t="shared" si="1"/>
        <v>0</v>
      </c>
      <c r="R70" s="561">
        <f t="shared" si="2"/>
        <v>0</v>
      </c>
      <c r="S70" s="561">
        <f t="shared" si="3"/>
        <v>0</v>
      </c>
      <c r="T70" s="561">
        <f t="shared" si="4"/>
        <v>0</v>
      </c>
      <c r="U70" s="561">
        <f t="shared" si="5"/>
        <v>0</v>
      </c>
      <c r="V70" s="561">
        <f t="shared" si="6"/>
        <v>0</v>
      </c>
      <c r="W70" s="675">
        <f t="shared" si="7"/>
        <v>0</v>
      </c>
      <c r="X70" s="675">
        <f t="shared" si="8"/>
        <v>0</v>
      </c>
      <c r="Y70" s="675">
        <f t="shared" si="8"/>
        <v>0</v>
      </c>
      <c r="Z70" s="86"/>
      <c r="AA70" s="87"/>
      <c r="AB70" s="87"/>
      <c r="AC70" s="87"/>
      <c r="AD70" s="87"/>
      <c r="AE70" s="87"/>
      <c r="AF70" s="87"/>
      <c r="AG70" s="87"/>
      <c r="AH70" s="87"/>
      <c r="AI70" s="1094"/>
      <c r="AJ70" s="665"/>
      <c r="AK70" s="88">
        <f t="shared" si="30"/>
        <v>0</v>
      </c>
      <c r="AL70" s="89" t="str" cm="1">
        <f t="array" aca="1" ref="AL70" ca="1">IFERROR(IF($AM$4="N",SSUM(AF70:AH70)/3,SUM(AG70:AI70)/3),"")</f>
        <v/>
      </c>
      <c r="AM70" s="90">
        <f t="shared" si="31"/>
        <v>0</v>
      </c>
      <c r="AN70" s="91" t="str">
        <f t="shared" si="32"/>
        <v/>
      </c>
      <c r="AO70" s="92" t="str">
        <f t="shared" si="33"/>
        <v/>
      </c>
      <c r="AP70" s="92" t="str">
        <f t="shared" si="34"/>
        <v/>
      </c>
      <c r="AQ70" s="92" t="str">
        <f t="shared" si="35"/>
        <v/>
      </c>
      <c r="AR70" s="92" t="str">
        <f t="shared" si="36"/>
        <v/>
      </c>
      <c r="AS70" s="92" t="str">
        <f t="shared" si="37"/>
        <v/>
      </c>
      <c r="AT70" s="92" t="str">
        <f t="shared" si="38"/>
        <v/>
      </c>
      <c r="AU70" s="92" t="str">
        <f t="shared" si="39"/>
        <v/>
      </c>
      <c r="AV70" s="92" t="str">
        <f t="shared" si="49"/>
        <v/>
      </c>
      <c r="AW70" s="92" t="str">
        <f t="shared" si="49"/>
        <v/>
      </c>
      <c r="AX70" s="92" t="str">
        <f t="shared" si="49"/>
        <v/>
      </c>
      <c r="AY70" s="93" t="str">
        <f t="shared" si="41"/>
        <v/>
      </c>
      <c r="AZ70" s="94" t="str">
        <f t="shared" si="42"/>
        <v/>
      </c>
      <c r="BA70" s="95" t="str">
        <f t="shared" si="43"/>
        <v/>
      </c>
      <c r="BB70" s="248" t="s">
        <v>422</v>
      </c>
      <c r="BC70" s="229" t="s">
        <v>433</v>
      </c>
      <c r="BD70" s="249">
        <v>0</v>
      </c>
      <c r="BE70" s="267">
        <f t="shared" si="26"/>
        <v>0</v>
      </c>
      <c r="BF70" s="268">
        <f t="shared" si="50"/>
        <v>0</v>
      </c>
      <c r="BG70" s="268">
        <f t="shared" si="50"/>
        <v>0</v>
      </c>
      <c r="BH70" s="268">
        <f t="shared" si="50"/>
        <v>1</v>
      </c>
      <c r="BI70" s="268">
        <f t="shared" si="50"/>
        <v>2</v>
      </c>
      <c r="BJ70" s="268">
        <f t="shared" si="50"/>
        <v>3</v>
      </c>
      <c r="BK70" s="268">
        <f t="shared" si="50"/>
        <v>4</v>
      </c>
      <c r="BL70" s="269">
        <f t="shared" si="50"/>
        <v>5</v>
      </c>
      <c r="BM70" s="256">
        <f>IF($BC70=Lookup!$A$2,$BD70*ROUNDUP(BE70/10,0)+1,
IF($BC70=Lookup!$A$3,($BD70+1)^BD70,
IF($BC70=Lookup!$A$4,BE70*$BD70+1,"Error")))</f>
        <v>1</v>
      </c>
      <c r="BN70" s="229">
        <f>IF($BC70=Lookup!$A$2,$BD70*ROUNDUP(BF70/10,0)+1,
IF($BC70=Lookup!$A$3,($BD70+1)^BE70,
IF($BC70=Lookup!$A$4,BF70*$BD70+1,"Error")))</f>
        <v>1</v>
      </c>
      <c r="BO70" s="229">
        <f>IF($BC70=Lookup!$A$2,$BD70*ROUNDUP(BG70/10,0)+1,
IF($BC70=Lookup!$A$3,($BD70+1)^BF70,
IF($BC70=Lookup!$A$4,BG70*$BD70+1,"Error")))</f>
        <v>1</v>
      </c>
      <c r="BP70" s="229">
        <f>IF($BC70=Lookup!$A$2,$BD70*ROUNDUP(BH70/10,0)+1,
IF($BC70=Lookup!$A$3,($BD70+1)^BG70,
IF($BC70=Lookup!$A$4,BH70*$BD70+1,"Error")))</f>
        <v>1</v>
      </c>
      <c r="BQ70" s="229">
        <f>IF($BC70=Lookup!$A$2,$BD70*ROUNDUP(BI70/10,0)+1,
IF($BC70=Lookup!$A$3,($BD70+1)^BH70,
IF($BC70=Lookup!$A$4,BI70*$BD70+1,"Error")))</f>
        <v>1</v>
      </c>
      <c r="BR70" s="229">
        <f>IF($BC70=Lookup!$A$2,$BD70*ROUNDUP(BJ70/10,0)+1,
IF($BC70=Lookup!$A$3,($BD70+1)^BI70,
IF($BC70=Lookup!$A$4,BJ70*$BD70+1,"Error")))</f>
        <v>1</v>
      </c>
      <c r="BS70" s="229">
        <f>IF($BC70=Lookup!$A$2,$BD70*ROUNDUP(BK70/10,0)+1,
IF($BC70=Lookup!$A$3,($BD70+1)^BJ70,
IF($BC70=Lookup!$A$4,BK70*$BD70+1,"Error")))</f>
        <v>1</v>
      </c>
      <c r="BT70" s="249">
        <f>IF($BC70=Lookup!$A$2,$BD70*ROUNDUP(BL70/10,0)+1,
IF($BC70=Lookup!$A$3,($BD70+1)^BK70,
IF($BC70=Lookup!$A$4,BL70*$BD70+1,"Error")))</f>
        <v>1</v>
      </c>
      <c r="BU70" s="320">
        <v>0</v>
      </c>
      <c r="BV70" s="321">
        <v>0</v>
      </c>
      <c r="BW70" s="321">
        <v>0</v>
      </c>
      <c r="BX70" s="320">
        <v>0</v>
      </c>
      <c r="BY70" s="321">
        <v>0</v>
      </c>
      <c r="BZ70" s="321">
        <v>0</v>
      </c>
      <c r="CA70" s="321">
        <v>0</v>
      </c>
      <c r="CB70" s="277">
        <v>0</v>
      </c>
      <c r="CC70" s="382" t="s">
        <v>292</v>
      </c>
      <c r="CD70" s="383">
        <f>HLOOKUP($CC70,$AK$6:$AM$132,ROWS(CD$6:CD70),0)</f>
        <v>0</v>
      </c>
      <c r="CE70" s="234">
        <f t="shared" si="27"/>
        <v>0</v>
      </c>
      <c r="CF70" s="96">
        <f t="shared" si="27"/>
        <v>0</v>
      </c>
      <c r="CG70" s="521">
        <f t="shared" si="27"/>
        <v>0</v>
      </c>
      <c r="CH70" s="421">
        <f t="shared" si="27"/>
        <v>0</v>
      </c>
      <c r="CI70" s="96">
        <f t="shared" si="45"/>
        <v>0</v>
      </c>
      <c r="CJ70" s="96">
        <f t="shared" si="45"/>
        <v>0</v>
      </c>
      <c r="CK70" s="96">
        <f t="shared" si="45"/>
        <v>0</v>
      </c>
      <c r="CL70" s="286">
        <f t="shared" si="45"/>
        <v>0</v>
      </c>
      <c r="CM70" s="305" t="s">
        <v>293</v>
      </c>
      <c r="CN70" s="315">
        <v>0.05</v>
      </c>
      <c r="CO70" s="306"/>
      <c r="CP70" s="307" t="str">
        <f>IF($CO70&lt;&gt;"",$CO70,HLOOKUP($CM70,$AY$6:$BA$132,ROWS(CP$6:CP70),0))</f>
        <v/>
      </c>
      <c r="CQ70" s="784">
        <v>0</v>
      </c>
      <c r="CR70" s="784">
        <v>0</v>
      </c>
      <c r="CS70" s="524">
        <v>0</v>
      </c>
      <c r="CT70" s="416">
        <v>0</v>
      </c>
      <c r="CU70" s="97">
        <v>0</v>
      </c>
      <c r="CV70" s="97">
        <v>0</v>
      </c>
      <c r="CW70" s="97">
        <v>0</v>
      </c>
      <c r="CX70" s="98">
        <v>0</v>
      </c>
      <c r="CY70" s="392"/>
    </row>
    <row r="71" spans="1:103" x14ac:dyDescent="0.25">
      <c r="A71" s="81" t="s">
        <v>138</v>
      </c>
      <c r="B71" s="82" t="s">
        <v>145</v>
      </c>
      <c r="C71" s="83" t="s">
        <v>360</v>
      </c>
      <c r="D71" s="84"/>
      <c r="E71" s="85"/>
      <c r="F71" s="85"/>
      <c r="G71" s="85"/>
      <c r="H71" s="85"/>
      <c r="I71" s="85"/>
      <c r="J71" s="85"/>
      <c r="K71" s="85"/>
      <c r="L71" s="85"/>
      <c r="M71" s="654"/>
      <c r="N71" s="1065"/>
      <c r="O71" s="560">
        <f t="shared" si="25"/>
        <v>0</v>
      </c>
      <c r="P71" s="561">
        <f t="shared" ref="P71:P132" si="51">E71*P$4</f>
        <v>0</v>
      </c>
      <c r="Q71" s="561">
        <f t="shared" ref="Q71:Q132" si="52">F71*Q$4</f>
        <v>0</v>
      </c>
      <c r="R71" s="561">
        <f t="shared" ref="R71:R132" si="53">G71*R$4</f>
        <v>0</v>
      </c>
      <c r="S71" s="561">
        <f t="shared" ref="S71:S132" si="54">H71*S$4</f>
        <v>0</v>
      </c>
      <c r="T71" s="561">
        <f t="shared" ref="T71:T132" si="55">I71*T$4</f>
        <v>0</v>
      </c>
      <c r="U71" s="561">
        <f t="shared" ref="U71:U132" si="56">J71*U$4</f>
        <v>0</v>
      </c>
      <c r="V71" s="561">
        <f t="shared" ref="V71:V132" si="57">K71*V$4</f>
        <v>0</v>
      </c>
      <c r="W71" s="675">
        <f t="shared" ref="W71:W132" si="58">L71*W$4</f>
        <v>0</v>
      </c>
      <c r="X71" s="675">
        <f t="shared" ref="X71:Y132" si="59">M71*X$4</f>
        <v>0</v>
      </c>
      <c r="Y71" s="675">
        <f t="shared" si="59"/>
        <v>0</v>
      </c>
      <c r="Z71" s="86"/>
      <c r="AA71" s="87"/>
      <c r="AB71" s="87"/>
      <c r="AC71" s="87"/>
      <c r="AD71" s="87"/>
      <c r="AE71" s="87"/>
      <c r="AF71" s="87"/>
      <c r="AG71" s="87"/>
      <c r="AH71" s="87"/>
      <c r="AI71" s="1094"/>
      <c r="AJ71" s="665"/>
      <c r="AK71" s="88">
        <f t="shared" ref="AK71:AK102" si="60">IFERROR(IF($AM$4="N",SUM(AD71:AH71)/5,SUM(AE71:AI71)/5),"")</f>
        <v>0</v>
      </c>
      <c r="AL71" s="89" t="str" cm="1">
        <f t="array" aca="1" ref="AL71" ca="1">IFERROR(IF($AM$4="N",SSUM(AF71:AH71)/3,SUM(AG71:AI71)/3),"")</f>
        <v/>
      </c>
      <c r="AM71" s="90">
        <f t="shared" ref="AM71:AM102" si="61">IFERROR(IF($AM$4="N",AH71,AI71),"")</f>
        <v>0</v>
      </c>
      <c r="AN71" s="91" t="str">
        <f t="shared" ref="AN71:AN102" si="62">IFERROR(D71/Z71,"")</f>
        <v/>
      </c>
      <c r="AO71" s="92" t="str">
        <f t="shared" ref="AO71:AO102" si="63">IFERROR(E71/AA71,"")</f>
        <v/>
      </c>
      <c r="AP71" s="92" t="str">
        <f t="shared" ref="AP71:AP102" si="64">IFERROR(F71/AB71,"")</f>
        <v/>
      </c>
      <c r="AQ71" s="92" t="str">
        <f t="shared" ref="AQ71:AQ102" si="65">IFERROR(G71/AC71,"")</f>
        <v/>
      </c>
      <c r="AR71" s="92" t="str">
        <f t="shared" ref="AR71:AR102" si="66">IFERROR(H71/AD71,"")</f>
        <v/>
      </c>
      <c r="AS71" s="92" t="str">
        <f t="shared" ref="AS71:AS102" si="67">IFERROR(I71/AE71,"")</f>
        <v/>
      </c>
      <c r="AT71" s="92" t="str">
        <f t="shared" ref="AT71:AT102" si="68">IFERROR(J71/AF71,"")</f>
        <v/>
      </c>
      <c r="AU71" s="92" t="str">
        <f t="shared" ref="AU71:AU102" si="69">IFERROR(K71/AG71,"")</f>
        <v/>
      </c>
      <c r="AV71" s="92" t="str">
        <f t="shared" ref="AV71:AX86" si="70">IFERROR(L71/AH71,"")</f>
        <v/>
      </c>
      <c r="AW71" s="92" t="str">
        <f t="shared" si="70"/>
        <v/>
      </c>
      <c r="AX71" s="92" t="str">
        <f t="shared" si="70"/>
        <v/>
      </c>
      <c r="AY71" s="93" t="str">
        <f t="shared" ref="AY71:AY102" si="71">IFERROR(IF($BA$3="N",
IF($BA$4="N",SUM(H71:L71)/SUM(AD71:AH71),SUM(I71:M71)/SUM(AE71:AI71)),
IF($BA$4="N",SUM(S71:W71)/SUM(AD71:AH71),SUM(T71:X71)/SUM(AE71:AI71))),"")</f>
        <v/>
      </c>
      <c r="AZ71" s="94" t="str">
        <f t="shared" ref="AZ71:AZ102" si="72">IFERROR(IF($BA$3="N",
IF($BA$4="N",SUM(J71:L71)/SUM(AF71:AH71),SUM(K71:M71)/SUM(AG71:AI71)),
IF($BA$4="N",SUM(U71:W71)/SUM(AF71:AH71),SUM(V71:X71)/SUM(AG71:AI71))),"")</f>
        <v/>
      </c>
      <c r="BA71" s="95" t="str">
        <f t="shared" ref="BA71:BA102" si="73">IFERROR(IF($BA$3="N",
IF($BA$4="N",L71/AH71,M71/AI71),
IF($BA$4="N",W71/AH71,X71/AI71)),"")</f>
        <v/>
      </c>
      <c r="BB71" s="248" t="s">
        <v>422</v>
      </c>
      <c r="BC71" s="229" t="s">
        <v>433</v>
      </c>
      <c r="BD71" s="249">
        <v>0</v>
      </c>
      <c r="BE71" s="267">
        <f t="shared" si="26"/>
        <v>0</v>
      </c>
      <c r="BF71" s="268">
        <f t="shared" ref="BF71:BL86" si="74">IF(BF$6=$BB71,1,
IF(BE71&lt;&gt;0,BE71+1,0
))</f>
        <v>0</v>
      </c>
      <c r="BG71" s="268">
        <f t="shared" si="74"/>
        <v>0</v>
      </c>
      <c r="BH71" s="268">
        <f t="shared" si="74"/>
        <v>1</v>
      </c>
      <c r="BI71" s="268">
        <f t="shared" si="74"/>
        <v>2</v>
      </c>
      <c r="BJ71" s="268">
        <f t="shared" si="74"/>
        <v>3</v>
      </c>
      <c r="BK71" s="268">
        <f t="shared" si="74"/>
        <v>4</v>
      </c>
      <c r="BL71" s="269">
        <f t="shared" si="74"/>
        <v>5</v>
      </c>
      <c r="BM71" s="256">
        <f>IF($BC71=Lookup!$A$2,$BD71*ROUNDUP(BE71/10,0)+1,
IF($BC71=Lookup!$A$3,($BD71+1)^BD71,
IF($BC71=Lookup!$A$4,BE71*$BD71+1,"Error")))</f>
        <v>1</v>
      </c>
      <c r="BN71" s="229">
        <f>IF($BC71=Lookup!$A$2,$BD71*ROUNDUP(BF71/10,0)+1,
IF($BC71=Lookup!$A$3,($BD71+1)^BE71,
IF($BC71=Lookup!$A$4,BF71*$BD71+1,"Error")))</f>
        <v>1</v>
      </c>
      <c r="BO71" s="229">
        <f>IF($BC71=Lookup!$A$2,$BD71*ROUNDUP(BG71/10,0)+1,
IF($BC71=Lookup!$A$3,($BD71+1)^BF71,
IF($BC71=Lookup!$A$4,BG71*$BD71+1,"Error")))</f>
        <v>1</v>
      </c>
      <c r="BP71" s="229">
        <f>IF($BC71=Lookup!$A$2,$BD71*ROUNDUP(BH71/10,0)+1,
IF($BC71=Lookup!$A$3,($BD71+1)^BG71,
IF($BC71=Lookup!$A$4,BH71*$BD71+1,"Error")))</f>
        <v>1</v>
      </c>
      <c r="BQ71" s="229">
        <f>IF($BC71=Lookup!$A$2,$BD71*ROUNDUP(BI71/10,0)+1,
IF($BC71=Lookup!$A$3,($BD71+1)^BH71,
IF($BC71=Lookup!$A$4,BI71*$BD71+1,"Error")))</f>
        <v>1</v>
      </c>
      <c r="BR71" s="229">
        <f>IF($BC71=Lookup!$A$2,$BD71*ROUNDUP(BJ71/10,0)+1,
IF($BC71=Lookup!$A$3,($BD71+1)^BI71,
IF($BC71=Lookup!$A$4,BJ71*$BD71+1,"Error")))</f>
        <v>1</v>
      </c>
      <c r="BS71" s="229">
        <f>IF($BC71=Lookup!$A$2,$BD71*ROUNDUP(BK71/10,0)+1,
IF($BC71=Lookup!$A$3,($BD71+1)^BJ71,
IF($BC71=Lookup!$A$4,BK71*$BD71+1,"Error")))</f>
        <v>1</v>
      </c>
      <c r="BT71" s="249">
        <f>IF($BC71=Lookup!$A$2,$BD71*ROUNDUP(BL71/10,0)+1,
IF($BC71=Lookup!$A$3,($BD71+1)^BK71,
IF($BC71=Lookup!$A$4,BL71*$BD71+1,"Error")))</f>
        <v>1</v>
      </c>
      <c r="BU71" s="320">
        <v>0</v>
      </c>
      <c r="BV71" s="321">
        <v>0</v>
      </c>
      <c r="BW71" s="321">
        <v>0</v>
      </c>
      <c r="BX71" s="320">
        <v>0</v>
      </c>
      <c r="BY71" s="321">
        <v>0</v>
      </c>
      <c r="BZ71" s="321">
        <v>0</v>
      </c>
      <c r="CA71" s="321">
        <v>0</v>
      </c>
      <c r="CB71" s="277">
        <v>0</v>
      </c>
      <c r="CC71" s="382" t="s">
        <v>292</v>
      </c>
      <c r="CD71" s="383">
        <f>HLOOKUP($CC71,$AK$6:$AM$132,ROWS(CD$6:CD71),0)</f>
        <v>0</v>
      </c>
      <c r="CE71" s="234">
        <f t="shared" si="27"/>
        <v>0</v>
      </c>
      <c r="CF71" s="96">
        <f t="shared" si="27"/>
        <v>0</v>
      </c>
      <c r="CG71" s="521">
        <f t="shared" si="27"/>
        <v>0</v>
      </c>
      <c r="CH71" s="421">
        <f t="shared" si="27"/>
        <v>0</v>
      </c>
      <c r="CI71" s="96">
        <f t="shared" si="45"/>
        <v>0</v>
      </c>
      <c r="CJ71" s="96">
        <f t="shared" si="45"/>
        <v>0</v>
      </c>
      <c r="CK71" s="96">
        <f t="shared" si="45"/>
        <v>0</v>
      </c>
      <c r="CL71" s="286">
        <f t="shared" si="45"/>
        <v>0</v>
      </c>
      <c r="CM71" s="305" t="s">
        <v>293</v>
      </c>
      <c r="CN71" s="315">
        <v>0.05</v>
      </c>
      <c r="CO71" s="306"/>
      <c r="CP71" s="307" t="str">
        <f>IF($CO71&lt;&gt;"",$CO71,HLOOKUP($CM71,$AY$6:$BA$132,ROWS(CP$6:CP71),0))</f>
        <v/>
      </c>
      <c r="CQ71" s="784">
        <v>0</v>
      </c>
      <c r="CR71" s="784">
        <v>0</v>
      </c>
      <c r="CS71" s="524">
        <v>0</v>
      </c>
      <c r="CT71" s="416">
        <v>0</v>
      </c>
      <c r="CU71" s="97">
        <v>0</v>
      </c>
      <c r="CV71" s="97">
        <v>0</v>
      </c>
      <c r="CW71" s="97">
        <v>0</v>
      </c>
      <c r="CX71" s="98">
        <v>0</v>
      </c>
      <c r="CY71" s="392"/>
    </row>
    <row r="72" spans="1:103" x14ac:dyDescent="0.25">
      <c r="A72" s="81" t="s">
        <v>138</v>
      </c>
      <c r="B72" s="82" t="s">
        <v>147</v>
      </c>
      <c r="C72" s="83" t="s">
        <v>362</v>
      </c>
      <c r="D72" s="84"/>
      <c r="E72" s="85"/>
      <c r="F72" s="85"/>
      <c r="G72" s="85"/>
      <c r="H72" s="85"/>
      <c r="I72" s="85"/>
      <c r="J72" s="85"/>
      <c r="K72" s="85"/>
      <c r="L72" s="85"/>
      <c r="M72" s="654"/>
      <c r="N72" s="1065"/>
      <c r="O72" s="560">
        <f t="shared" ref="O72:O132" si="75">D72*O$4</f>
        <v>0</v>
      </c>
      <c r="P72" s="561">
        <f t="shared" si="51"/>
        <v>0</v>
      </c>
      <c r="Q72" s="561">
        <f t="shared" si="52"/>
        <v>0</v>
      </c>
      <c r="R72" s="561">
        <f t="shared" si="53"/>
        <v>0</v>
      </c>
      <c r="S72" s="561">
        <f t="shared" si="54"/>
        <v>0</v>
      </c>
      <c r="T72" s="561">
        <f t="shared" si="55"/>
        <v>0</v>
      </c>
      <c r="U72" s="561">
        <f t="shared" si="56"/>
        <v>0</v>
      </c>
      <c r="V72" s="561">
        <f t="shared" si="57"/>
        <v>0</v>
      </c>
      <c r="W72" s="675">
        <f t="shared" si="58"/>
        <v>0</v>
      </c>
      <c r="X72" s="675">
        <f t="shared" si="59"/>
        <v>0</v>
      </c>
      <c r="Y72" s="675">
        <f t="shared" si="59"/>
        <v>0</v>
      </c>
      <c r="Z72" s="86"/>
      <c r="AA72" s="87"/>
      <c r="AB72" s="87"/>
      <c r="AC72" s="87"/>
      <c r="AD72" s="87"/>
      <c r="AE72" s="87"/>
      <c r="AF72" s="87"/>
      <c r="AG72" s="87"/>
      <c r="AH72" s="87"/>
      <c r="AI72" s="1094"/>
      <c r="AJ72" s="665"/>
      <c r="AK72" s="88">
        <f t="shared" si="60"/>
        <v>0</v>
      </c>
      <c r="AL72" s="89" t="str" cm="1">
        <f t="array" aca="1" ref="AL72" ca="1">IFERROR(IF($AM$4="N",SSUM(AF72:AH72)/3,SUM(AG72:AI72)/3),"")</f>
        <v/>
      </c>
      <c r="AM72" s="90">
        <f t="shared" si="61"/>
        <v>0</v>
      </c>
      <c r="AN72" s="91" t="str">
        <f t="shared" si="62"/>
        <v/>
      </c>
      <c r="AO72" s="92" t="str">
        <f t="shared" si="63"/>
        <v/>
      </c>
      <c r="AP72" s="92" t="str">
        <f t="shared" si="64"/>
        <v/>
      </c>
      <c r="AQ72" s="92" t="str">
        <f t="shared" si="65"/>
        <v/>
      </c>
      <c r="AR72" s="92" t="str">
        <f t="shared" si="66"/>
        <v/>
      </c>
      <c r="AS72" s="92" t="str">
        <f t="shared" si="67"/>
        <v/>
      </c>
      <c r="AT72" s="92" t="str">
        <f t="shared" si="68"/>
        <v/>
      </c>
      <c r="AU72" s="92" t="str">
        <f t="shared" si="69"/>
        <v/>
      </c>
      <c r="AV72" s="92" t="str">
        <f t="shared" si="70"/>
        <v/>
      </c>
      <c r="AW72" s="92" t="str">
        <f t="shared" si="70"/>
        <v/>
      </c>
      <c r="AX72" s="92" t="str">
        <f t="shared" si="70"/>
        <v/>
      </c>
      <c r="AY72" s="93" t="str">
        <f t="shared" si="71"/>
        <v/>
      </c>
      <c r="AZ72" s="94" t="str">
        <f t="shared" si="72"/>
        <v/>
      </c>
      <c r="BA72" s="95" t="str">
        <f t="shared" si="73"/>
        <v/>
      </c>
      <c r="BB72" s="248" t="s">
        <v>422</v>
      </c>
      <c r="BC72" s="229" t="s">
        <v>433</v>
      </c>
      <c r="BD72" s="249">
        <v>0</v>
      </c>
      <c r="BE72" s="267">
        <f t="shared" ref="BE72:BE132" si="76">IF(BE$6=$BB72,1,0
)</f>
        <v>0</v>
      </c>
      <c r="BF72" s="268">
        <f t="shared" si="74"/>
        <v>0</v>
      </c>
      <c r="BG72" s="268">
        <f t="shared" si="74"/>
        <v>0</v>
      </c>
      <c r="BH72" s="268">
        <f t="shared" si="74"/>
        <v>1</v>
      </c>
      <c r="BI72" s="268">
        <f t="shared" si="74"/>
        <v>2</v>
      </c>
      <c r="BJ72" s="268">
        <f t="shared" si="74"/>
        <v>3</v>
      </c>
      <c r="BK72" s="268">
        <f t="shared" si="74"/>
        <v>4</v>
      </c>
      <c r="BL72" s="269">
        <f t="shared" si="74"/>
        <v>5</v>
      </c>
      <c r="BM72" s="256">
        <f>IF($BC72=Lookup!$A$2,$BD72*ROUNDUP(BE72/10,0)+1,
IF($BC72=Lookup!$A$3,($BD72+1)^BD72,
IF($BC72=Lookup!$A$4,BE72*$BD72+1,"Error")))</f>
        <v>1</v>
      </c>
      <c r="BN72" s="229">
        <f>IF($BC72=Lookup!$A$2,$BD72*ROUNDUP(BF72/10,0)+1,
IF($BC72=Lookup!$A$3,($BD72+1)^BE72,
IF($BC72=Lookup!$A$4,BF72*$BD72+1,"Error")))</f>
        <v>1</v>
      </c>
      <c r="BO72" s="229">
        <f>IF($BC72=Lookup!$A$2,$BD72*ROUNDUP(BG72/10,0)+1,
IF($BC72=Lookup!$A$3,($BD72+1)^BF72,
IF($BC72=Lookup!$A$4,BG72*$BD72+1,"Error")))</f>
        <v>1</v>
      </c>
      <c r="BP72" s="229">
        <f>IF($BC72=Lookup!$A$2,$BD72*ROUNDUP(BH72/10,0)+1,
IF($BC72=Lookup!$A$3,($BD72+1)^BG72,
IF($BC72=Lookup!$A$4,BH72*$BD72+1,"Error")))</f>
        <v>1</v>
      </c>
      <c r="BQ72" s="229">
        <f>IF($BC72=Lookup!$A$2,$BD72*ROUNDUP(BI72/10,0)+1,
IF($BC72=Lookup!$A$3,($BD72+1)^BH72,
IF($BC72=Lookup!$A$4,BI72*$BD72+1,"Error")))</f>
        <v>1</v>
      </c>
      <c r="BR72" s="229">
        <f>IF($BC72=Lookup!$A$2,$BD72*ROUNDUP(BJ72/10,0)+1,
IF($BC72=Lookup!$A$3,($BD72+1)^BI72,
IF($BC72=Lookup!$A$4,BJ72*$BD72+1,"Error")))</f>
        <v>1</v>
      </c>
      <c r="BS72" s="229">
        <f>IF($BC72=Lookup!$A$2,$BD72*ROUNDUP(BK72/10,0)+1,
IF($BC72=Lookup!$A$3,($BD72+1)^BJ72,
IF($BC72=Lookup!$A$4,BK72*$BD72+1,"Error")))</f>
        <v>1</v>
      </c>
      <c r="BT72" s="249">
        <f>IF($BC72=Lookup!$A$2,$BD72*ROUNDUP(BL72/10,0)+1,
IF($BC72=Lookup!$A$3,($BD72+1)^BK72,
IF($BC72=Lookup!$A$4,BL72*$BD72+1,"Error")))</f>
        <v>1</v>
      </c>
      <c r="BU72" s="320">
        <v>0</v>
      </c>
      <c r="BV72" s="321">
        <v>0</v>
      </c>
      <c r="BW72" s="321">
        <v>0</v>
      </c>
      <c r="BX72" s="320">
        <v>0</v>
      </c>
      <c r="BY72" s="321">
        <v>0</v>
      </c>
      <c r="BZ72" s="321">
        <v>0</v>
      </c>
      <c r="CA72" s="321">
        <v>0</v>
      </c>
      <c r="CB72" s="277">
        <v>0</v>
      </c>
      <c r="CC72" s="382" t="s">
        <v>292</v>
      </c>
      <c r="CD72" s="383">
        <f>HLOOKUP($CC72,$AK$6:$AM$132,ROWS(CD$6:CD72),0)</f>
        <v>0</v>
      </c>
      <c r="CE72" s="234">
        <f t="shared" ref="CE72:CK123" si="77">IFERROR(IF(BU72&lt;&gt;"",BU72,BM72*$CD72),"")</f>
        <v>0</v>
      </c>
      <c r="CF72" s="96">
        <f t="shared" si="77"/>
        <v>0</v>
      </c>
      <c r="CG72" s="521">
        <f t="shared" si="77"/>
        <v>0</v>
      </c>
      <c r="CH72" s="421">
        <f t="shared" si="77"/>
        <v>0</v>
      </c>
      <c r="CI72" s="96">
        <f t="shared" si="45"/>
        <v>0</v>
      </c>
      <c r="CJ72" s="96">
        <f t="shared" si="45"/>
        <v>0</v>
      </c>
      <c r="CK72" s="96">
        <f t="shared" si="45"/>
        <v>0</v>
      </c>
      <c r="CL72" s="286">
        <f t="shared" si="45"/>
        <v>0</v>
      </c>
      <c r="CM72" s="305" t="s">
        <v>293</v>
      </c>
      <c r="CN72" s="315">
        <v>0.05</v>
      </c>
      <c r="CO72" s="306"/>
      <c r="CP72" s="307" t="str">
        <f>IF($CO72&lt;&gt;"",$CO72,HLOOKUP($CM72,$AY$6:$BA$132,ROWS(CP$6:CP72),0))</f>
        <v/>
      </c>
      <c r="CQ72" s="784">
        <v>0</v>
      </c>
      <c r="CR72" s="784">
        <v>0</v>
      </c>
      <c r="CS72" s="524">
        <v>0</v>
      </c>
      <c r="CT72" s="416">
        <v>0</v>
      </c>
      <c r="CU72" s="97">
        <v>0</v>
      </c>
      <c r="CV72" s="97">
        <v>0</v>
      </c>
      <c r="CW72" s="97">
        <v>0</v>
      </c>
      <c r="CX72" s="98">
        <v>0</v>
      </c>
      <c r="CY72" s="392"/>
    </row>
    <row r="73" spans="1:103" x14ac:dyDescent="0.25">
      <c r="A73" s="81" t="s">
        <v>138</v>
      </c>
      <c r="B73" s="82" t="s">
        <v>149</v>
      </c>
      <c r="C73" s="83" t="s">
        <v>363</v>
      </c>
      <c r="D73" s="84"/>
      <c r="E73" s="85"/>
      <c r="F73" s="85"/>
      <c r="G73" s="85"/>
      <c r="H73" s="85"/>
      <c r="I73" s="85"/>
      <c r="J73" s="85"/>
      <c r="K73" s="85"/>
      <c r="L73" s="85"/>
      <c r="M73" s="654"/>
      <c r="N73" s="1065"/>
      <c r="O73" s="560">
        <f t="shared" si="75"/>
        <v>0</v>
      </c>
      <c r="P73" s="561">
        <f t="shared" si="51"/>
        <v>0</v>
      </c>
      <c r="Q73" s="561">
        <f t="shared" si="52"/>
        <v>0</v>
      </c>
      <c r="R73" s="561">
        <f t="shared" si="53"/>
        <v>0</v>
      </c>
      <c r="S73" s="561">
        <f t="shared" si="54"/>
        <v>0</v>
      </c>
      <c r="T73" s="561">
        <f t="shared" si="55"/>
        <v>0</v>
      </c>
      <c r="U73" s="561">
        <f t="shared" si="56"/>
        <v>0</v>
      </c>
      <c r="V73" s="561">
        <f t="shared" si="57"/>
        <v>0</v>
      </c>
      <c r="W73" s="675">
        <f t="shared" si="58"/>
        <v>0</v>
      </c>
      <c r="X73" s="675">
        <f t="shared" si="59"/>
        <v>0</v>
      </c>
      <c r="Y73" s="675">
        <f t="shared" si="59"/>
        <v>0</v>
      </c>
      <c r="Z73" s="86"/>
      <c r="AA73" s="87"/>
      <c r="AB73" s="87"/>
      <c r="AC73" s="87"/>
      <c r="AD73" s="87"/>
      <c r="AE73" s="87"/>
      <c r="AF73" s="87"/>
      <c r="AG73" s="87"/>
      <c r="AH73" s="87"/>
      <c r="AI73" s="1094"/>
      <c r="AJ73" s="665"/>
      <c r="AK73" s="88">
        <f t="shared" si="60"/>
        <v>0</v>
      </c>
      <c r="AL73" s="89" t="str" cm="1">
        <f t="array" aca="1" ref="AL73" ca="1">IFERROR(IF($AM$4="N",SSUM(AF73:AH73)/3,SUM(AG73:AI73)/3),"")</f>
        <v/>
      </c>
      <c r="AM73" s="90">
        <f t="shared" si="61"/>
        <v>0</v>
      </c>
      <c r="AN73" s="91" t="str">
        <f t="shared" si="62"/>
        <v/>
      </c>
      <c r="AO73" s="92" t="str">
        <f t="shared" si="63"/>
        <v/>
      </c>
      <c r="AP73" s="92" t="str">
        <f t="shared" si="64"/>
        <v/>
      </c>
      <c r="AQ73" s="92" t="str">
        <f t="shared" si="65"/>
        <v/>
      </c>
      <c r="AR73" s="92" t="str">
        <f t="shared" si="66"/>
        <v/>
      </c>
      <c r="AS73" s="92" t="str">
        <f t="shared" si="67"/>
        <v/>
      </c>
      <c r="AT73" s="92" t="str">
        <f t="shared" si="68"/>
        <v/>
      </c>
      <c r="AU73" s="92" t="str">
        <f t="shared" si="69"/>
        <v/>
      </c>
      <c r="AV73" s="92" t="str">
        <f t="shared" si="70"/>
        <v/>
      </c>
      <c r="AW73" s="92" t="str">
        <f t="shared" si="70"/>
        <v/>
      </c>
      <c r="AX73" s="92" t="str">
        <f t="shared" si="70"/>
        <v/>
      </c>
      <c r="AY73" s="93" t="str">
        <f t="shared" si="71"/>
        <v/>
      </c>
      <c r="AZ73" s="94" t="str">
        <f t="shared" si="72"/>
        <v/>
      </c>
      <c r="BA73" s="95" t="str">
        <f t="shared" si="73"/>
        <v/>
      </c>
      <c r="BB73" s="248" t="s">
        <v>422</v>
      </c>
      <c r="BC73" s="229" t="s">
        <v>433</v>
      </c>
      <c r="BD73" s="249">
        <v>0</v>
      </c>
      <c r="BE73" s="267">
        <f t="shared" si="76"/>
        <v>0</v>
      </c>
      <c r="BF73" s="268">
        <f t="shared" si="74"/>
        <v>0</v>
      </c>
      <c r="BG73" s="268">
        <f t="shared" si="74"/>
        <v>0</v>
      </c>
      <c r="BH73" s="268">
        <f t="shared" si="74"/>
        <v>1</v>
      </c>
      <c r="BI73" s="268">
        <f t="shared" si="74"/>
        <v>2</v>
      </c>
      <c r="BJ73" s="268">
        <f t="shared" si="74"/>
        <v>3</v>
      </c>
      <c r="BK73" s="268">
        <f t="shared" si="74"/>
        <v>4</v>
      </c>
      <c r="BL73" s="269">
        <f t="shared" si="74"/>
        <v>5</v>
      </c>
      <c r="BM73" s="256">
        <f>IF($BC73=Lookup!$A$2,$BD73*ROUNDUP(BE73/10,0)+1,
IF($BC73=Lookup!$A$3,($BD73+1)^BD73,
IF($BC73=Lookup!$A$4,BE73*$BD73+1,"Error")))</f>
        <v>1</v>
      </c>
      <c r="BN73" s="229">
        <f>IF($BC73=Lookup!$A$2,$BD73*ROUNDUP(BF73/10,0)+1,
IF($BC73=Lookup!$A$3,($BD73+1)^BE73,
IF($BC73=Lookup!$A$4,BF73*$BD73+1,"Error")))</f>
        <v>1</v>
      </c>
      <c r="BO73" s="229">
        <f>IF($BC73=Lookup!$A$2,$BD73*ROUNDUP(BG73/10,0)+1,
IF($BC73=Lookup!$A$3,($BD73+1)^BF73,
IF($BC73=Lookup!$A$4,BG73*$BD73+1,"Error")))</f>
        <v>1</v>
      </c>
      <c r="BP73" s="229">
        <f>IF($BC73=Lookup!$A$2,$BD73*ROUNDUP(BH73/10,0)+1,
IF($BC73=Lookup!$A$3,($BD73+1)^BG73,
IF($BC73=Lookup!$A$4,BH73*$BD73+1,"Error")))</f>
        <v>1</v>
      </c>
      <c r="BQ73" s="229">
        <f>IF($BC73=Lookup!$A$2,$BD73*ROUNDUP(BI73/10,0)+1,
IF($BC73=Lookup!$A$3,($BD73+1)^BH73,
IF($BC73=Lookup!$A$4,BI73*$BD73+1,"Error")))</f>
        <v>1</v>
      </c>
      <c r="BR73" s="229">
        <f>IF($BC73=Lookup!$A$2,$BD73*ROUNDUP(BJ73/10,0)+1,
IF($BC73=Lookup!$A$3,($BD73+1)^BI73,
IF($BC73=Lookup!$A$4,BJ73*$BD73+1,"Error")))</f>
        <v>1</v>
      </c>
      <c r="BS73" s="229">
        <f>IF($BC73=Lookup!$A$2,$BD73*ROUNDUP(BK73/10,0)+1,
IF($BC73=Lookup!$A$3,($BD73+1)^BJ73,
IF($BC73=Lookup!$A$4,BK73*$BD73+1,"Error")))</f>
        <v>1</v>
      </c>
      <c r="BT73" s="249">
        <f>IF($BC73=Lookup!$A$2,$BD73*ROUNDUP(BL73/10,0)+1,
IF($BC73=Lookup!$A$3,($BD73+1)^BK73,
IF($BC73=Lookup!$A$4,BL73*$BD73+1,"Error")))</f>
        <v>1</v>
      </c>
      <c r="BU73" s="320">
        <v>0</v>
      </c>
      <c r="BV73" s="321">
        <v>0</v>
      </c>
      <c r="BW73" s="321">
        <v>0</v>
      </c>
      <c r="BX73" s="320">
        <v>0</v>
      </c>
      <c r="BY73" s="321">
        <v>0</v>
      </c>
      <c r="BZ73" s="321">
        <v>0</v>
      </c>
      <c r="CA73" s="321">
        <v>0</v>
      </c>
      <c r="CB73" s="277">
        <v>0</v>
      </c>
      <c r="CC73" s="382" t="s">
        <v>292</v>
      </c>
      <c r="CD73" s="383">
        <f>HLOOKUP($CC73,$AK$6:$AM$132,ROWS(CD$6:CD73),0)</f>
        <v>0</v>
      </c>
      <c r="CE73" s="234">
        <f t="shared" si="77"/>
        <v>0</v>
      </c>
      <c r="CF73" s="96">
        <f t="shared" si="77"/>
        <v>0</v>
      </c>
      <c r="CG73" s="521">
        <f t="shared" si="77"/>
        <v>0</v>
      </c>
      <c r="CH73" s="421">
        <f t="shared" si="77"/>
        <v>0</v>
      </c>
      <c r="CI73" s="96">
        <f t="shared" si="45"/>
        <v>0</v>
      </c>
      <c r="CJ73" s="96">
        <f t="shared" si="45"/>
        <v>0</v>
      </c>
      <c r="CK73" s="96">
        <f t="shared" si="45"/>
        <v>0</v>
      </c>
      <c r="CL73" s="286">
        <f t="shared" si="45"/>
        <v>0</v>
      </c>
      <c r="CM73" s="305" t="s">
        <v>293</v>
      </c>
      <c r="CN73" s="315">
        <v>0.05</v>
      </c>
      <c r="CO73" s="306"/>
      <c r="CP73" s="307" t="str">
        <f>IF($CO73&lt;&gt;"",$CO73,HLOOKUP($CM73,$AY$6:$BA$132,ROWS(CP$6:CP73),0))</f>
        <v/>
      </c>
      <c r="CQ73" s="784">
        <v>0</v>
      </c>
      <c r="CR73" s="784">
        <v>0</v>
      </c>
      <c r="CS73" s="524">
        <v>0</v>
      </c>
      <c r="CT73" s="416">
        <v>0</v>
      </c>
      <c r="CU73" s="97">
        <v>0</v>
      </c>
      <c r="CV73" s="97">
        <v>0</v>
      </c>
      <c r="CW73" s="97">
        <v>0</v>
      </c>
      <c r="CX73" s="98">
        <v>0</v>
      </c>
      <c r="CY73" s="392"/>
    </row>
    <row r="74" spans="1:103" x14ac:dyDescent="0.25">
      <c r="A74" s="81" t="s">
        <v>138</v>
      </c>
      <c r="B74" s="82" t="s">
        <v>151</v>
      </c>
      <c r="C74" s="83" t="s">
        <v>364</v>
      </c>
      <c r="D74" s="84"/>
      <c r="E74" s="85"/>
      <c r="F74" s="85"/>
      <c r="G74" s="85"/>
      <c r="H74" s="85"/>
      <c r="I74" s="85"/>
      <c r="J74" s="85"/>
      <c r="K74" s="85"/>
      <c r="L74" s="85"/>
      <c r="M74" s="654"/>
      <c r="N74" s="1065"/>
      <c r="O74" s="560">
        <f t="shared" si="75"/>
        <v>0</v>
      </c>
      <c r="P74" s="561">
        <f t="shared" si="51"/>
        <v>0</v>
      </c>
      <c r="Q74" s="561">
        <f t="shared" si="52"/>
        <v>0</v>
      </c>
      <c r="R74" s="561">
        <f t="shared" si="53"/>
        <v>0</v>
      </c>
      <c r="S74" s="561">
        <f t="shared" si="54"/>
        <v>0</v>
      </c>
      <c r="T74" s="561">
        <f t="shared" si="55"/>
        <v>0</v>
      </c>
      <c r="U74" s="561">
        <f t="shared" si="56"/>
        <v>0</v>
      </c>
      <c r="V74" s="561">
        <f t="shared" si="57"/>
        <v>0</v>
      </c>
      <c r="W74" s="675">
        <f t="shared" si="58"/>
        <v>0</v>
      </c>
      <c r="X74" s="675">
        <f t="shared" si="59"/>
        <v>0</v>
      </c>
      <c r="Y74" s="675">
        <f t="shared" si="59"/>
        <v>0</v>
      </c>
      <c r="Z74" s="86"/>
      <c r="AA74" s="87"/>
      <c r="AB74" s="87"/>
      <c r="AC74" s="87"/>
      <c r="AD74" s="87"/>
      <c r="AE74" s="87"/>
      <c r="AF74" s="87"/>
      <c r="AG74" s="87"/>
      <c r="AH74" s="87"/>
      <c r="AI74" s="1094"/>
      <c r="AJ74" s="665"/>
      <c r="AK74" s="88">
        <f t="shared" si="60"/>
        <v>0</v>
      </c>
      <c r="AL74" s="89" t="str" cm="1">
        <f t="array" aca="1" ref="AL74" ca="1">IFERROR(IF($AM$4="N",SSUM(AF74:AH74)/3,SUM(AG74:AI74)/3),"")</f>
        <v/>
      </c>
      <c r="AM74" s="90">
        <f t="shared" si="61"/>
        <v>0</v>
      </c>
      <c r="AN74" s="91" t="str">
        <f t="shared" si="62"/>
        <v/>
      </c>
      <c r="AO74" s="92" t="str">
        <f t="shared" si="63"/>
        <v/>
      </c>
      <c r="AP74" s="92" t="str">
        <f t="shared" si="64"/>
        <v/>
      </c>
      <c r="AQ74" s="92" t="str">
        <f t="shared" si="65"/>
        <v/>
      </c>
      <c r="AR74" s="92" t="str">
        <f t="shared" si="66"/>
        <v/>
      </c>
      <c r="AS74" s="92" t="str">
        <f t="shared" si="67"/>
        <v/>
      </c>
      <c r="AT74" s="92" t="str">
        <f t="shared" si="68"/>
        <v/>
      </c>
      <c r="AU74" s="92" t="str">
        <f t="shared" si="69"/>
        <v/>
      </c>
      <c r="AV74" s="92" t="str">
        <f t="shared" si="70"/>
        <v/>
      </c>
      <c r="AW74" s="92" t="str">
        <f t="shared" si="70"/>
        <v/>
      </c>
      <c r="AX74" s="92" t="str">
        <f t="shared" si="70"/>
        <v/>
      </c>
      <c r="AY74" s="93" t="str">
        <f t="shared" si="71"/>
        <v/>
      </c>
      <c r="AZ74" s="94" t="str">
        <f t="shared" si="72"/>
        <v/>
      </c>
      <c r="BA74" s="95" t="str">
        <f t="shared" si="73"/>
        <v/>
      </c>
      <c r="BB74" s="248" t="s">
        <v>422</v>
      </c>
      <c r="BC74" s="229" t="s">
        <v>433</v>
      </c>
      <c r="BD74" s="249">
        <v>0</v>
      </c>
      <c r="BE74" s="267">
        <f t="shared" si="76"/>
        <v>0</v>
      </c>
      <c r="BF74" s="268">
        <f t="shared" si="74"/>
        <v>0</v>
      </c>
      <c r="BG74" s="268">
        <f t="shared" si="74"/>
        <v>0</v>
      </c>
      <c r="BH74" s="268">
        <f t="shared" si="74"/>
        <v>1</v>
      </c>
      <c r="BI74" s="268">
        <f t="shared" si="74"/>
        <v>2</v>
      </c>
      <c r="BJ74" s="268">
        <f t="shared" si="74"/>
        <v>3</v>
      </c>
      <c r="BK74" s="268">
        <f t="shared" si="74"/>
        <v>4</v>
      </c>
      <c r="BL74" s="269">
        <f t="shared" si="74"/>
        <v>5</v>
      </c>
      <c r="BM74" s="256">
        <f>IF($BC74=Lookup!$A$2,$BD74*ROUNDUP(BE74/10,0)+1,
IF($BC74=Lookup!$A$3,($BD74+1)^BD74,
IF($BC74=Lookup!$A$4,BE74*$BD74+1,"Error")))</f>
        <v>1</v>
      </c>
      <c r="BN74" s="229">
        <f>IF($BC74=Lookup!$A$2,$BD74*ROUNDUP(BF74/10,0)+1,
IF($BC74=Lookup!$A$3,($BD74+1)^BE74,
IF($BC74=Lookup!$A$4,BF74*$BD74+1,"Error")))</f>
        <v>1</v>
      </c>
      <c r="BO74" s="229">
        <f>IF($BC74=Lookup!$A$2,$BD74*ROUNDUP(BG74/10,0)+1,
IF($BC74=Lookup!$A$3,($BD74+1)^BF74,
IF($BC74=Lookup!$A$4,BG74*$BD74+1,"Error")))</f>
        <v>1</v>
      </c>
      <c r="BP74" s="229">
        <f>IF($BC74=Lookup!$A$2,$BD74*ROUNDUP(BH74/10,0)+1,
IF($BC74=Lookup!$A$3,($BD74+1)^BG74,
IF($BC74=Lookup!$A$4,BH74*$BD74+1,"Error")))</f>
        <v>1</v>
      </c>
      <c r="BQ74" s="229">
        <f>IF($BC74=Lookup!$A$2,$BD74*ROUNDUP(BI74/10,0)+1,
IF($BC74=Lookup!$A$3,($BD74+1)^BH74,
IF($BC74=Lookup!$A$4,BI74*$BD74+1,"Error")))</f>
        <v>1</v>
      </c>
      <c r="BR74" s="229">
        <f>IF($BC74=Lookup!$A$2,$BD74*ROUNDUP(BJ74/10,0)+1,
IF($BC74=Lookup!$A$3,($BD74+1)^BI74,
IF($BC74=Lookup!$A$4,BJ74*$BD74+1,"Error")))</f>
        <v>1</v>
      </c>
      <c r="BS74" s="229">
        <f>IF($BC74=Lookup!$A$2,$BD74*ROUNDUP(BK74/10,0)+1,
IF($BC74=Lookup!$A$3,($BD74+1)^BJ74,
IF($BC74=Lookup!$A$4,BK74*$BD74+1,"Error")))</f>
        <v>1</v>
      </c>
      <c r="BT74" s="249">
        <f>IF($BC74=Lookup!$A$2,$BD74*ROUNDUP(BL74/10,0)+1,
IF($BC74=Lookup!$A$3,($BD74+1)^BK74,
IF($BC74=Lookup!$A$4,BL74*$BD74+1,"Error")))</f>
        <v>1</v>
      </c>
      <c r="BU74" s="320">
        <v>0</v>
      </c>
      <c r="BV74" s="321">
        <v>0</v>
      </c>
      <c r="BW74" s="321">
        <v>0</v>
      </c>
      <c r="BX74" s="320">
        <v>0</v>
      </c>
      <c r="BY74" s="321">
        <v>0</v>
      </c>
      <c r="BZ74" s="321">
        <v>0</v>
      </c>
      <c r="CA74" s="321">
        <v>0</v>
      </c>
      <c r="CB74" s="277">
        <v>0</v>
      </c>
      <c r="CC74" s="382" t="s">
        <v>292</v>
      </c>
      <c r="CD74" s="383">
        <f>HLOOKUP($CC74,$AK$6:$AM$132,ROWS(CD$6:CD74),0)</f>
        <v>0</v>
      </c>
      <c r="CE74" s="234">
        <f t="shared" si="77"/>
        <v>0</v>
      </c>
      <c r="CF74" s="96">
        <f t="shared" si="77"/>
        <v>0</v>
      </c>
      <c r="CG74" s="521">
        <f t="shared" si="77"/>
        <v>0</v>
      </c>
      <c r="CH74" s="421">
        <f t="shared" si="77"/>
        <v>0</v>
      </c>
      <c r="CI74" s="96">
        <f t="shared" si="45"/>
        <v>0</v>
      </c>
      <c r="CJ74" s="96">
        <f t="shared" si="45"/>
        <v>0</v>
      </c>
      <c r="CK74" s="96">
        <f t="shared" si="45"/>
        <v>0</v>
      </c>
      <c r="CL74" s="286">
        <f t="shared" si="45"/>
        <v>0</v>
      </c>
      <c r="CM74" s="305" t="s">
        <v>293</v>
      </c>
      <c r="CN74" s="315">
        <v>0.05</v>
      </c>
      <c r="CO74" s="306"/>
      <c r="CP74" s="307" t="str">
        <f>IF($CO74&lt;&gt;"",$CO74,HLOOKUP($CM74,$AY$6:$BA$132,ROWS(CP$6:CP74),0))</f>
        <v/>
      </c>
      <c r="CQ74" s="784">
        <v>0</v>
      </c>
      <c r="CR74" s="784">
        <v>0</v>
      </c>
      <c r="CS74" s="524">
        <v>0</v>
      </c>
      <c r="CT74" s="416">
        <v>0</v>
      </c>
      <c r="CU74" s="97">
        <v>0</v>
      </c>
      <c r="CV74" s="97">
        <v>0</v>
      </c>
      <c r="CW74" s="97">
        <v>0</v>
      </c>
      <c r="CX74" s="98">
        <v>0</v>
      </c>
      <c r="CY74" s="392"/>
    </row>
    <row r="75" spans="1:103" x14ac:dyDescent="0.25">
      <c r="A75" s="81" t="s">
        <v>138</v>
      </c>
      <c r="B75" s="82" t="s">
        <v>153</v>
      </c>
      <c r="C75" s="83" t="s">
        <v>365</v>
      </c>
      <c r="D75" s="84"/>
      <c r="E75" s="85"/>
      <c r="F75" s="85"/>
      <c r="G75" s="85"/>
      <c r="H75" s="85"/>
      <c r="I75" s="85"/>
      <c r="J75" s="85"/>
      <c r="K75" s="85"/>
      <c r="L75" s="85"/>
      <c r="M75" s="654"/>
      <c r="N75" s="1065"/>
      <c r="O75" s="560">
        <f t="shared" si="75"/>
        <v>0</v>
      </c>
      <c r="P75" s="561">
        <f t="shared" si="51"/>
        <v>0</v>
      </c>
      <c r="Q75" s="561">
        <f t="shared" si="52"/>
        <v>0</v>
      </c>
      <c r="R75" s="561">
        <f t="shared" si="53"/>
        <v>0</v>
      </c>
      <c r="S75" s="561">
        <f t="shared" si="54"/>
        <v>0</v>
      </c>
      <c r="T75" s="561">
        <f t="shared" si="55"/>
        <v>0</v>
      </c>
      <c r="U75" s="561">
        <f t="shared" si="56"/>
        <v>0</v>
      </c>
      <c r="V75" s="561">
        <f t="shared" si="57"/>
        <v>0</v>
      </c>
      <c r="W75" s="675">
        <f t="shared" si="58"/>
        <v>0</v>
      </c>
      <c r="X75" s="675">
        <f t="shared" si="59"/>
        <v>0</v>
      </c>
      <c r="Y75" s="675">
        <f t="shared" si="59"/>
        <v>0</v>
      </c>
      <c r="Z75" s="86"/>
      <c r="AA75" s="87"/>
      <c r="AB75" s="87"/>
      <c r="AC75" s="87"/>
      <c r="AD75" s="87"/>
      <c r="AE75" s="87"/>
      <c r="AF75" s="87"/>
      <c r="AG75" s="87"/>
      <c r="AH75" s="87"/>
      <c r="AI75" s="1094"/>
      <c r="AJ75" s="665"/>
      <c r="AK75" s="88">
        <f t="shared" si="60"/>
        <v>0</v>
      </c>
      <c r="AL75" s="89" t="str" cm="1">
        <f t="array" aca="1" ref="AL75" ca="1">IFERROR(IF($AM$4="N",SSUM(AF75:AH75)/3,SUM(AG75:AI75)/3),"")</f>
        <v/>
      </c>
      <c r="AM75" s="90">
        <f t="shared" si="61"/>
        <v>0</v>
      </c>
      <c r="AN75" s="91" t="str">
        <f t="shared" si="62"/>
        <v/>
      </c>
      <c r="AO75" s="92" t="str">
        <f t="shared" si="63"/>
        <v/>
      </c>
      <c r="AP75" s="92" t="str">
        <f t="shared" si="64"/>
        <v/>
      </c>
      <c r="AQ75" s="92" t="str">
        <f t="shared" si="65"/>
        <v/>
      </c>
      <c r="AR75" s="92" t="str">
        <f t="shared" si="66"/>
        <v/>
      </c>
      <c r="AS75" s="92" t="str">
        <f t="shared" si="67"/>
        <v/>
      </c>
      <c r="AT75" s="92" t="str">
        <f t="shared" si="68"/>
        <v/>
      </c>
      <c r="AU75" s="92" t="str">
        <f t="shared" si="69"/>
        <v/>
      </c>
      <c r="AV75" s="92" t="str">
        <f t="shared" si="70"/>
        <v/>
      </c>
      <c r="AW75" s="92" t="str">
        <f t="shared" si="70"/>
        <v/>
      </c>
      <c r="AX75" s="92" t="str">
        <f t="shared" si="70"/>
        <v/>
      </c>
      <c r="AY75" s="93" t="str">
        <f t="shared" si="71"/>
        <v/>
      </c>
      <c r="AZ75" s="94" t="str">
        <f t="shared" si="72"/>
        <v/>
      </c>
      <c r="BA75" s="95" t="str">
        <f t="shared" si="73"/>
        <v/>
      </c>
      <c r="BB75" s="248" t="s">
        <v>422</v>
      </c>
      <c r="BC75" s="229" t="s">
        <v>433</v>
      </c>
      <c r="BD75" s="249">
        <v>0</v>
      </c>
      <c r="BE75" s="267">
        <f t="shared" si="76"/>
        <v>0</v>
      </c>
      <c r="BF75" s="268">
        <f t="shared" si="74"/>
        <v>0</v>
      </c>
      <c r="BG75" s="268">
        <f t="shared" si="74"/>
        <v>0</v>
      </c>
      <c r="BH75" s="268">
        <f t="shared" si="74"/>
        <v>1</v>
      </c>
      <c r="BI75" s="268">
        <f t="shared" si="74"/>
        <v>2</v>
      </c>
      <c r="BJ75" s="268">
        <f t="shared" si="74"/>
        <v>3</v>
      </c>
      <c r="BK75" s="268">
        <f t="shared" si="74"/>
        <v>4</v>
      </c>
      <c r="BL75" s="269">
        <f t="shared" si="74"/>
        <v>5</v>
      </c>
      <c r="BM75" s="256">
        <f>IF($BC75=Lookup!$A$2,$BD75*ROUNDUP(BE75/10,0)+1,
IF($BC75=Lookup!$A$3,($BD75+1)^BD75,
IF($BC75=Lookup!$A$4,BE75*$BD75+1,"Error")))</f>
        <v>1</v>
      </c>
      <c r="BN75" s="229">
        <f>IF($BC75=Lookup!$A$2,$BD75*ROUNDUP(BF75/10,0)+1,
IF($BC75=Lookup!$A$3,($BD75+1)^BE75,
IF($BC75=Lookup!$A$4,BF75*$BD75+1,"Error")))</f>
        <v>1</v>
      </c>
      <c r="BO75" s="229">
        <f>IF($BC75=Lookup!$A$2,$BD75*ROUNDUP(BG75/10,0)+1,
IF($BC75=Lookup!$A$3,($BD75+1)^BF75,
IF($BC75=Lookup!$A$4,BG75*$BD75+1,"Error")))</f>
        <v>1</v>
      </c>
      <c r="BP75" s="229">
        <f>IF($BC75=Lookup!$A$2,$BD75*ROUNDUP(BH75/10,0)+1,
IF($BC75=Lookup!$A$3,($BD75+1)^BG75,
IF($BC75=Lookup!$A$4,BH75*$BD75+1,"Error")))</f>
        <v>1</v>
      </c>
      <c r="BQ75" s="229">
        <f>IF($BC75=Lookup!$A$2,$BD75*ROUNDUP(BI75/10,0)+1,
IF($BC75=Lookup!$A$3,($BD75+1)^BH75,
IF($BC75=Lookup!$A$4,BI75*$BD75+1,"Error")))</f>
        <v>1</v>
      </c>
      <c r="BR75" s="229">
        <f>IF($BC75=Lookup!$A$2,$BD75*ROUNDUP(BJ75/10,0)+1,
IF($BC75=Lookup!$A$3,($BD75+1)^BI75,
IF($BC75=Lookup!$A$4,BJ75*$BD75+1,"Error")))</f>
        <v>1</v>
      </c>
      <c r="BS75" s="229">
        <f>IF($BC75=Lookup!$A$2,$BD75*ROUNDUP(BK75/10,0)+1,
IF($BC75=Lookup!$A$3,($BD75+1)^BJ75,
IF($BC75=Lookup!$A$4,BK75*$BD75+1,"Error")))</f>
        <v>1</v>
      </c>
      <c r="BT75" s="249">
        <f>IF($BC75=Lookup!$A$2,$BD75*ROUNDUP(BL75/10,0)+1,
IF($BC75=Lookup!$A$3,($BD75+1)^BK75,
IF($BC75=Lookup!$A$4,BL75*$BD75+1,"Error")))</f>
        <v>1</v>
      </c>
      <c r="BU75" s="320">
        <v>0</v>
      </c>
      <c r="BV75" s="321">
        <v>0</v>
      </c>
      <c r="BW75" s="321">
        <v>0</v>
      </c>
      <c r="BX75" s="320">
        <v>0</v>
      </c>
      <c r="BY75" s="321">
        <v>0</v>
      </c>
      <c r="BZ75" s="321">
        <v>0</v>
      </c>
      <c r="CA75" s="321">
        <v>0</v>
      </c>
      <c r="CB75" s="277">
        <v>0</v>
      </c>
      <c r="CC75" s="382" t="s">
        <v>292</v>
      </c>
      <c r="CD75" s="383">
        <f>HLOOKUP($CC75,$AK$6:$AM$132,ROWS(CD$6:CD75),0)</f>
        <v>0</v>
      </c>
      <c r="CE75" s="234">
        <f t="shared" si="77"/>
        <v>0</v>
      </c>
      <c r="CF75" s="96">
        <f t="shared" si="77"/>
        <v>0</v>
      </c>
      <c r="CG75" s="521">
        <f t="shared" si="77"/>
        <v>0</v>
      </c>
      <c r="CH75" s="421">
        <f t="shared" si="77"/>
        <v>0</v>
      </c>
      <c r="CI75" s="96">
        <f t="shared" si="45"/>
        <v>0</v>
      </c>
      <c r="CJ75" s="96">
        <f t="shared" si="45"/>
        <v>0</v>
      </c>
      <c r="CK75" s="96">
        <f t="shared" si="45"/>
        <v>0</v>
      </c>
      <c r="CL75" s="286">
        <f t="shared" si="45"/>
        <v>0</v>
      </c>
      <c r="CM75" s="305" t="s">
        <v>293</v>
      </c>
      <c r="CN75" s="315">
        <v>0.05</v>
      </c>
      <c r="CO75" s="306"/>
      <c r="CP75" s="307" t="str">
        <f>IF($CO75&lt;&gt;"",$CO75,HLOOKUP($CM75,$AY$6:$BA$132,ROWS(CP$6:CP75),0))</f>
        <v/>
      </c>
      <c r="CQ75" s="784">
        <v>0</v>
      </c>
      <c r="CR75" s="784">
        <v>0</v>
      </c>
      <c r="CS75" s="524">
        <v>0</v>
      </c>
      <c r="CT75" s="416">
        <v>0</v>
      </c>
      <c r="CU75" s="97">
        <v>0</v>
      </c>
      <c r="CV75" s="97">
        <v>0</v>
      </c>
      <c r="CW75" s="97">
        <v>0</v>
      </c>
      <c r="CX75" s="98">
        <v>0</v>
      </c>
      <c r="CY75" s="392"/>
    </row>
    <row r="76" spans="1:103" x14ac:dyDescent="0.25">
      <c r="A76" s="81" t="s">
        <v>138</v>
      </c>
      <c r="B76" s="82" t="s">
        <v>155</v>
      </c>
      <c r="C76" s="83" t="s">
        <v>366</v>
      </c>
      <c r="D76" s="84"/>
      <c r="E76" s="85"/>
      <c r="F76" s="85"/>
      <c r="G76" s="85"/>
      <c r="H76" s="85"/>
      <c r="I76" s="85"/>
      <c r="J76" s="85"/>
      <c r="K76" s="85"/>
      <c r="L76" s="85"/>
      <c r="M76" s="654"/>
      <c r="N76" s="1065"/>
      <c r="O76" s="560">
        <f t="shared" si="75"/>
        <v>0</v>
      </c>
      <c r="P76" s="561">
        <f t="shared" si="51"/>
        <v>0</v>
      </c>
      <c r="Q76" s="561">
        <f t="shared" si="52"/>
        <v>0</v>
      </c>
      <c r="R76" s="561">
        <f t="shared" si="53"/>
        <v>0</v>
      </c>
      <c r="S76" s="561">
        <f t="shared" si="54"/>
        <v>0</v>
      </c>
      <c r="T76" s="561">
        <f t="shared" si="55"/>
        <v>0</v>
      </c>
      <c r="U76" s="561">
        <f t="shared" si="56"/>
        <v>0</v>
      </c>
      <c r="V76" s="561">
        <f t="shared" si="57"/>
        <v>0</v>
      </c>
      <c r="W76" s="675">
        <f t="shared" si="58"/>
        <v>0</v>
      </c>
      <c r="X76" s="675">
        <f t="shared" si="59"/>
        <v>0</v>
      </c>
      <c r="Y76" s="675">
        <f t="shared" si="59"/>
        <v>0</v>
      </c>
      <c r="Z76" s="86"/>
      <c r="AA76" s="87"/>
      <c r="AB76" s="87"/>
      <c r="AC76" s="87"/>
      <c r="AD76" s="87"/>
      <c r="AE76" s="87"/>
      <c r="AF76" s="87"/>
      <c r="AG76" s="87"/>
      <c r="AH76" s="87"/>
      <c r="AI76" s="1094"/>
      <c r="AJ76" s="665"/>
      <c r="AK76" s="88">
        <f t="shared" si="60"/>
        <v>0</v>
      </c>
      <c r="AL76" s="89" t="str" cm="1">
        <f t="array" aca="1" ref="AL76" ca="1">IFERROR(IF($AM$4="N",SSUM(AF76:AH76)/3,SUM(AG76:AI76)/3),"")</f>
        <v/>
      </c>
      <c r="AM76" s="90">
        <f t="shared" si="61"/>
        <v>0</v>
      </c>
      <c r="AN76" s="91" t="str">
        <f t="shared" si="62"/>
        <v/>
      </c>
      <c r="AO76" s="92" t="str">
        <f t="shared" si="63"/>
        <v/>
      </c>
      <c r="AP76" s="92" t="str">
        <f t="shared" si="64"/>
        <v/>
      </c>
      <c r="AQ76" s="92" t="str">
        <f t="shared" si="65"/>
        <v/>
      </c>
      <c r="AR76" s="92" t="str">
        <f t="shared" si="66"/>
        <v/>
      </c>
      <c r="AS76" s="92" t="str">
        <f t="shared" si="67"/>
        <v/>
      </c>
      <c r="AT76" s="92" t="str">
        <f t="shared" si="68"/>
        <v/>
      </c>
      <c r="AU76" s="92" t="str">
        <f t="shared" si="69"/>
        <v/>
      </c>
      <c r="AV76" s="92" t="str">
        <f t="shared" si="70"/>
        <v/>
      </c>
      <c r="AW76" s="92" t="str">
        <f t="shared" si="70"/>
        <v/>
      </c>
      <c r="AX76" s="92" t="str">
        <f t="shared" si="70"/>
        <v/>
      </c>
      <c r="AY76" s="93" t="str">
        <f t="shared" si="71"/>
        <v/>
      </c>
      <c r="AZ76" s="94" t="str">
        <f t="shared" si="72"/>
        <v/>
      </c>
      <c r="BA76" s="95" t="str">
        <f t="shared" si="73"/>
        <v/>
      </c>
      <c r="BB76" s="248" t="s">
        <v>422</v>
      </c>
      <c r="BC76" s="229" t="s">
        <v>433</v>
      </c>
      <c r="BD76" s="249">
        <v>0</v>
      </c>
      <c r="BE76" s="267">
        <f t="shared" si="76"/>
        <v>0</v>
      </c>
      <c r="BF76" s="268">
        <f t="shared" si="74"/>
        <v>0</v>
      </c>
      <c r="BG76" s="268">
        <f t="shared" si="74"/>
        <v>0</v>
      </c>
      <c r="BH76" s="268">
        <f t="shared" si="74"/>
        <v>1</v>
      </c>
      <c r="BI76" s="268">
        <f t="shared" si="74"/>
        <v>2</v>
      </c>
      <c r="BJ76" s="268">
        <f t="shared" si="74"/>
        <v>3</v>
      </c>
      <c r="BK76" s="268">
        <f t="shared" si="74"/>
        <v>4</v>
      </c>
      <c r="BL76" s="269">
        <f t="shared" si="74"/>
        <v>5</v>
      </c>
      <c r="BM76" s="256">
        <f>IF($BC76=Lookup!$A$2,$BD76*ROUNDUP(BE76/10,0)+1,
IF($BC76=Lookup!$A$3,($BD76+1)^BD76,
IF($BC76=Lookup!$A$4,BE76*$BD76+1,"Error")))</f>
        <v>1</v>
      </c>
      <c r="BN76" s="229">
        <f>IF($BC76=Lookup!$A$2,$BD76*ROUNDUP(BF76/10,0)+1,
IF($BC76=Lookup!$A$3,($BD76+1)^BE76,
IF($BC76=Lookup!$A$4,BF76*$BD76+1,"Error")))</f>
        <v>1</v>
      </c>
      <c r="BO76" s="229">
        <f>IF($BC76=Lookup!$A$2,$BD76*ROUNDUP(BG76/10,0)+1,
IF($BC76=Lookup!$A$3,($BD76+1)^BF76,
IF($BC76=Lookup!$A$4,BG76*$BD76+1,"Error")))</f>
        <v>1</v>
      </c>
      <c r="BP76" s="229">
        <f>IF($BC76=Lookup!$A$2,$BD76*ROUNDUP(BH76/10,0)+1,
IF($BC76=Lookup!$A$3,($BD76+1)^BG76,
IF($BC76=Lookup!$A$4,BH76*$BD76+1,"Error")))</f>
        <v>1</v>
      </c>
      <c r="BQ76" s="229">
        <f>IF($BC76=Lookup!$A$2,$BD76*ROUNDUP(BI76/10,0)+1,
IF($BC76=Lookup!$A$3,($BD76+1)^BH76,
IF($BC76=Lookup!$A$4,BI76*$BD76+1,"Error")))</f>
        <v>1</v>
      </c>
      <c r="BR76" s="229">
        <f>IF($BC76=Lookup!$A$2,$BD76*ROUNDUP(BJ76/10,0)+1,
IF($BC76=Lookup!$A$3,($BD76+1)^BI76,
IF($BC76=Lookup!$A$4,BJ76*$BD76+1,"Error")))</f>
        <v>1</v>
      </c>
      <c r="BS76" s="229">
        <f>IF($BC76=Lookup!$A$2,$BD76*ROUNDUP(BK76/10,0)+1,
IF($BC76=Lookup!$A$3,($BD76+1)^BJ76,
IF($BC76=Lookup!$A$4,BK76*$BD76+1,"Error")))</f>
        <v>1</v>
      </c>
      <c r="BT76" s="249">
        <f>IF($BC76=Lookup!$A$2,$BD76*ROUNDUP(BL76/10,0)+1,
IF($BC76=Lookup!$A$3,($BD76+1)^BK76,
IF($BC76=Lookup!$A$4,BL76*$BD76+1,"Error")))</f>
        <v>1</v>
      </c>
      <c r="BU76" s="320">
        <v>0</v>
      </c>
      <c r="BV76" s="321">
        <v>0</v>
      </c>
      <c r="BW76" s="321">
        <v>0</v>
      </c>
      <c r="BX76" s="320">
        <v>0</v>
      </c>
      <c r="BY76" s="321">
        <v>0</v>
      </c>
      <c r="BZ76" s="321">
        <v>0</v>
      </c>
      <c r="CA76" s="321">
        <v>0</v>
      </c>
      <c r="CB76" s="277">
        <v>0</v>
      </c>
      <c r="CC76" s="382" t="s">
        <v>292</v>
      </c>
      <c r="CD76" s="383">
        <f>HLOOKUP($CC76,$AK$6:$AM$132,ROWS(CD$6:CD76),0)</f>
        <v>0</v>
      </c>
      <c r="CE76" s="234">
        <f t="shared" si="77"/>
        <v>0</v>
      </c>
      <c r="CF76" s="96">
        <f t="shared" si="77"/>
        <v>0</v>
      </c>
      <c r="CG76" s="521">
        <f t="shared" si="77"/>
        <v>0</v>
      </c>
      <c r="CH76" s="421">
        <f t="shared" si="77"/>
        <v>0</v>
      </c>
      <c r="CI76" s="96">
        <f t="shared" si="45"/>
        <v>0</v>
      </c>
      <c r="CJ76" s="96">
        <f t="shared" si="45"/>
        <v>0</v>
      </c>
      <c r="CK76" s="96">
        <f t="shared" si="45"/>
        <v>0</v>
      </c>
      <c r="CL76" s="286">
        <f t="shared" si="45"/>
        <v>0</v>
      </c>
      <c r="CM76" s="305" t="s">
        <v>293</v>
      </c>
      <c r="CN76" s="315">
        <v>0.05</v>
      </c>
      <c r="CO76" s="306"/>
      <c r="CP76" s="307" t="str">
        <f>IF($CO76&lt;&gt;"",$CO76,HLOOKUP($CM76,$AY$6:$BA$132,ROWS(CP$6:CP76),0))</f>
        <v/>
      </c>
      <c r="CQ76" s="784">
        <v>0</v>
      </c>
      <c r="CR76" s="784">
        <v>0</v>
      </c>
      <c r="CS76" s="524">
        <v>0</v>
      </c>
      <c r="CT76" s="416">
        <v>0</v>
      </c>
      <c r="CU76" s="97">
        <v>0</v>
      </c>
      <c r="CV76" s="97">
        <v>0</v>
      </c>
      <c r="CW76" s="97">
        <v>0</v>
      </c>
      <c r="CX76" s="98">
        <v>0</v>
      </c>
      <c r="CY76" s="392"/>
    </row>
    <row r="77" spans="1:103" x14ac:dyDescent="0.25">
      <c r="A77" s="81" t="s">
        <v>138</v>
      </c>
      <c r="B77" s="82" t="s">
        <v>157</v>
      </c>
      <c r="C77" s="83" t="s">
        <v>367</v>
      </c>
      <c r="D77" s="84"/>
      <c r="E77" s="85"/>
      <c r="F77" s="85"/>
      <c r="G77" s="85"/>
      <c r="H77" s="85"/>
      <c r="I77" s="85"/>
      <c r="J77" s="85"/>
      <c r="K77" s="85"/>
      <c r="L77" s="85"/>
      <c r="M77" s="654"/>
      <c r="N77" s="1065"/>
      <c r="O77" s="560">
        <f t="shared" si="75"/>
        <v>0</v>
      </c>
      <c r="P77" s="561">
        <f t="shared" si="51"/>
        <v>0</v>
      </c>
      <c r="Q77" s="561">
        <f t="shared" si="52"/>
        <v>0</v>
      </c>
      <c r="R77" s="561">
        <f t="shared" si="53"/>
        <v>0</v>
      </c>
      <c r="S77" s="561">
        <f t="shared" si="54"/>
        <v>0</v>
      </c>
      <c r="T77" s="561">
        <f t="shared" si="55"/>
        <v>0</v>
      </c>
      <c r="U77" s="561">
        <f t="shared" si="56"/>
        <v>0</v>
      </c>
      <c r="V77" s="561">
        <f t="shared" si="57"/>
        <v>0</v>
      </c>
      <c r="W77" s="675">
        <f t="shared" si="58"/>
        <v>0</v>
      </c>
      <c r="X77" s="675">
        <f t="shared" si="59"/>
        <v>0</v>
      </c>
      <c r="Y77" s="675">
        <f t="shared" si="59"/>
        <v>0</v>
      </c>
      <c r="Z77" s="86"/>
      <c r="AA77" s="87"/>
      <c r="AB77" s="87"/>
      <c r="AC77" s="87"/>
      <c r="AD77" s="87"/>
      <c r="AE77" s="87"/>
      <c r="AF77" s="87"/>
      <c r="AG77" s="87"/>
      <c r="AH77" s="87"/>
      <c r="AI77" s="1094"/>
      <c r="AJ77" s="665"/>
      <c r="AK77" s="88">
        <f t="shared" si="60"/>
        <v>0</v>
      </c>
      <c r="AL77" s="89" t="str" cm="1">
        <f t="array" aca="1" ref="AL77" ca="1">IFERROR(IF($AM$4="N",SSUM(AF77:AH77)/3,SUM(AG77:AI77)/3),"")</f>
        <v/>
      </c>
      <c r="AM77" s="90">
        <f t="shared" si="61"/>
        <v>0</v>
      </c>
      <c r="AN77" s="91" t="str">
        <f t="shared" si="62"/>
        <v/>
      </c>
      <c r="AO77" s="92" t="str">
        <f t="shared" si="63"/>
        <v/>
      </c>
      <c r="AP77" s="92" t="str">
        <f t="shared" si="64"/>
        <v/>
      </c>
      <c r="AQ77" s="92" t="str">
        <f t="shared" si="65"/>
        <v/>
      </c>
      <c r="AR77" s="92" t="str">
        <f t="shared" si="66"/>
        <v/>
      </c>
      <c r="AS77" s="92" t="str">
        <f t="shared" si="67"/>
        <v/>
      </c>
      <c r="AT77" s="92" t="str">
        <f t="shared" si="68"/>
        <v/>
      </c>
      <c r="AU77" s="92" t="str">
        <f t="shared" si="69"/>
        <v/>
      </c>
      <c r="AV77" s="92" t="str">
        <f t="shared" si="70"/>
        <v/>
      </c>
      <c r="AW77" s="92" t="str">
        <f t="shared" si="70"/>
        <v/>
      </c>
      <c r="AX77" s="92" t="str">
        <f t="shared" si="70"/>
        <v/>
      </c>
      <c r="AY77" s="93" t="str">
        <f t="shared" si="71"/>
        <v/>
      </c>
      <c r="AZ77" s="94" t="str">
        <f t="shared" si="72"/>
        <v/>
      </c>
      <c r="BA77" s="95" t="str">
        <f t="shared" si="73"/>
        <v/>
      </c>
      <c r="BB77" s="248" t="s">
        <v>422</v>
      </c>
      <c r="BC77" s="229" t="s">
        <v>433</v>
      </c>
      <c r="BD77" s="249">
        <v>0</v>
      </c>
      <c r="BE77" s="267">
        <f t="shared" si="76"/>
        <v>0</v>
      </c>
      <c r="BF77" s="268">
        <f t="shared" si="74"/>
        <v>0</v>
      </c>
      <c r="BG77" s="268">
        <f t="shared" si="74"/>
        <v>0</v>
      </c>
      <c r="BH77" s="268">
        <f t="shared" si="74"/>
        <v>1</v>
      </c>
      <c r="BI77" s="268">
        <f t="shared" si="74"/>
        <v>2</v>
      </c>
      <c r="BJ77" s="268">
        <f t="shared" si="74"/>
        <v>3</v>
      </c>
      <c r="BK77" s="268">
        <f t="shared" si="74"/>
        <v>4</v>
      </c>
      <c r="BL77" s="269">
        <f t="shared" si="74"/>
        <v>5</v>
      </c>
      <c r="BM77" s="256">
        <f>IF($BC77=Lookup!$A$2,$BD77*ROUNDUP(BE77/10,0)+1,
IF($BC77=Lookup!$A$3,($BD77+1)^BD77,
IF($BC77=Lookup!$A$4,BE77*$BD77+1,"Error")))</f>
        <v>1</v>
      </c>
      <c r="BN77" s="229">
        <f>IF($BC77=Lookup!$A$2,$BD77*ROUNDUP(BF77/10,0)+1,
IF($BC77=Lookup!$A$3,($BD77+1)^BE77,
IF($BC77=Lookup!$A$4,BF77*$BD77+1,"Error")))</f>
        <v>1</v>
      </c>
      <c r="BO77" s="229">
        <f>IF($BC77=Lookup!$A$2,$BD77*ROUNDUP(BG77/10,0)+1,
IF($BC77=Lookup!$A$3,($BD77+1)^BF77,
IF($BC77=Lookup!$A$4,BG77*$BD77+1,"Error")))</f>
        <v>1</v>
      </c>
      <c r="BP77" s="229">
        <f>IF($BC77=Lookup!$A$2,$BD77*ROUNDUP(BH77/10,0)+1,
IF($BC77=Lookup!$A$3,($BD77+1)^BG77,
IF($BC77=Lookup!$A$4,BH77*$BD77+1,"Error")))</f>
        <v>1</v>
      </c>
      <c r="BQ77" s="229">
        <f>IF($BC77=Lookup!$A$2,$BD77*ROUNDUP(BI77/10,0)+1,
IF($BC77=Lookup!$A$3,($BD77+1)^BH77,
IF($BC77=Lookup!$A$4,BI77*$BD77+1,"Error")))</f>
        <v>1</v>
      </c>
      <c r="BR77" s="229">
        <f>IF($BC77=Lookup!$A$2,$BD77*ROUNDUP(BJ77/10,0)+1,
IF($BC77=Lookup!$A$3,($BD77+1)^BI77,
IF($BC77=Lookup!$A$4,BJ77*$BD77+1,"Error")))</f>
        <v>1</v>
      </c>
      <c r="BS77" s="229">
        <f>IF($BC77=Lookup!$A$2,$BD77*ROUNDUP(BK77/10,0)+1,
IF($BC77=Lookup!$A$3,($BD77+1)^BJ77,
IF($BC77=Lookup!$A$4,BK77*$BD77+1,"Error")))</f>
        <v>1</v>
      </c>
      <c r="BT77" s="249">
        <f>IF($BC77=Lookup!$A$2,$BD77*ROUNDUP(BL77/10,0)+1,
IF($BC77=Lookup!$A$3,($BD77+1)^BK77,
IF($BC77=Lookup!$A$4,BL77*$BD77+1,"Error")))</f>
        <v>1</v>
      </c>
      <c r="BU77" s="320">
        <v>0</v>
      </c>
      <c r="BV77" s="321">
        <v>1</v>
      </c>
      <c r="BW77" s="321">
        <v>0</v>
      </c>
      <c r="BX77" s="320">
        <v>0</v>
      </c>
      <c r="BY77" s="321">
        <v>0</v>
      </c>
      <c r="BZ77" s="321">
        <v>0</v>
      </c>
      <c r="CA77" s="321">
        <v>0</v>
      </c>
      <c r="CB77" s="277">
        <v>0</v>
      </c>
      <c r="CC77" s="382" t="s">
        <v>292</v>
      </c>
      <c r="CD77" s="383">
        <f>HLOOKUP($CC77,$AK$6:$AM$132,ROWS(CD$6:CD77),0)</f>
        <v>0</v>
      </c>
      <c r="CE77" s="234">
        <f t="shared" si="77"/>
        <v>0</v>
      </c>
      <c r="CF77" s="96">
        <f t="shared" si="77"/>
        <v>1</v>
      </c>
      <c r="CG77" s="521">
        <f t="shared" si="77"/>
        <v>0</v>
      </c>
      <c r="CH77" s="421">
        <f t="shared" si="77"/>
        <v>0</v>
      </c>
      <c r="CI77" s="96">
        <f t="shared" si="45"/>
        <v>0</v>
      </c>
      <c r="CJ77" s="96">
        <f t="shared" si="45"/>
        <v>0</v>
      </c>
      <c r="CK77" s="96">
        <f t="shared" si="45"/>
        <v>0</v>
      </c>
      <c r="CL77" s="286">
        <f t="shared" si="45"/>
        <v>0</v>
      </c>
      <c r="CM77" s="305" t="s">
        <v>293</v>
      </c>
      <c r="CN77" s="315">
        <v>0.05</v>
      </c>
      <c r="CO77" s="306"/>
      <c r="CP77" s="307" t="str">
        <f>IF($CO77&lt;&gt;"",$CO77,HLOOKUP($CM77,$AY$6:$BA$132,ROWS(CP$6:CP77),0))</f>
        <v/>
      </c>
      <c r="CQ77" s="784">
        <v>0</v>
      </c>
      <c r="CR77" s="784">
        <v>91533.187394212538</v>
      </c>
      <c r="CS77" s="524">
        <v>0</v>
      </c>
      <c r="CT77" s="416">
        <v>0</v>
      </c>
      <c r="CU77" s="97">
        <v>0</v>
      </c>
      <c r="CV77" s="97">
        <v>0</v>
      </c>
      <c r="CW77" s="97">
        <v>0</v>
      </c>
      <c r="CX77" s="98">
        <v>0</v>
      </c>
      <c r="CY77" s="392"/>
    </row>
    <row r="78" spans="1:103" x14ac:dyDescent="0.25">
      <c r="A78" s="81" t="s">
        <v>138</v>
      </c>
      <c r="B78" s="82" t="s">
        <v>159</v>
      </c>
      <c r="C78" s="83" t="s">
        <v>368</v>
      </c>
      <c r="D78" s="84"/>
      <c r="E78" s="85"/>
      <c r="F78" s="85"/>
      <c r="G78" s="85"/>
      <c r="H78" s="85"/>
      <c r="I78" s="85"/>
      <c r="J78" s="85"/>
      <c r="K78" s="85"/>
      <c r="L78" s="85"/>
      <c r="M78" s="654"/>
      <c r="N78" s="1065"/>
      <c r="O78" s="560">
        <f t="shared" si="75"/>
        <v>0</v>
      </c>
      <c r="P78" s="561">
        <f t="shared" si="51"/>
        <v>0</v>
      </c>
      <c r="Q78" s="561">
        <f t="shared" si="52"/>
        <v>0</v>
      </c>
      <c r="R78" s="561">
        <f t="shared" si="53"/>
        <v>0</v>
      </c>
      <c r="S78" s="561">
        <f t="shared" si="54"/>
        <v>0</v>
      </c>
      <c r="T78" s="561">
        <f t="shared" si="55"/>
        <v>0</v>
      </c>
      <c r="U78" s="561">
        <f t="shared" si="56"/>
        <v>0</v>
      </c>
      <c r="V78" s="561">
        <f t="shared" si="57"/>
        <v>0</v>
      </c>
      <c r="W78" s="675">
        <f t="shared" si="58"/>
        <v>0</v>
      </c>
      <c r="X78" s="675">
        <f t="shared" si="59"/>
        <v>0</v>
      </c>
      <c r="Y78" s="675">
        <f t="shared" si="59"/>
        <v>0</v>
      </c>
      <c r="Z78" s="86"/>
      <c r="AA78" s="87"/>
      <c r="AB78" s="87"/>
      <c r="AC78" s="87"/>
      <c r="AD78" s="87"/>
      <c r="AE78" s="87"/>
      <c r="AF78" s="87"/>
      <c r="AG78" s="87"/>
      <c r="AH78" s="87"/>
      <c r="AI78" s="1094"/>
      <c r="AJ78" s="665"/>
      <c r="AK78" s="88">
        <f t="shared" si="60"/>
        <v>0</v>
      </c>
      <c r="AL78" s="89" t="str" cm="1">
        <f t="array" aca="1" ref="AL78" ca="1">IFERROR(IF($AM$4="N",SSUM(AF78:AH78)/3,SUM(AG78:AI78)/3),"")</f>
        <v/>
      </c>
      <c r="AM78" s="90">
        <f t="shared" si="61"/>
        <v>0</v>
      </c>
      <c r="AN78" s="91" t="str">
        <f t="shared" si="62"/>
        <v/>
      </c>
      <c r="AO78" s="92" t="str">
        <f t="shared" si="63"/>
        <v/>
      </c>
      <c r="AP78" s="92" t="str">
        <f t="shared" si="64"/>
        <v/>
      </c>
      <c r="AQ78" s="92" t="str">
        <f t="shared" si="65"/>
        <v/>
      </c>
      <c r="AR78" s="92" t="str">
        <f t="shared" si="66"/>
        <v/>
      </c>
      <c r="AS78" s="92" t="str">
        <f t="shared" si="67"/>
        <v/>
      </c>
      <c r="AT78" s="92" t="str">
        <f t="shared" si="68"/>
        <v/>
      </c>
      <c r="AU78" s="92" t="str">
        <f t="shared" si="69"/>
        <v/>
      </c>
      <c r="AV78" s="92" t="str">
        <f t="shared" si="70"/>
        <v/>
      </c>
      <c r="AW78" s="92" t="str">
        <f t="shared" si="70"/>
        <v/>
      </c>
      <c r="AX78" s="92" t="str">
        <f t="shared" si="70"/>
        <v/>
      </c>
      <c r="AY78" s="93" t="str">
        <f t="shared" si="71"/>
        <v/>
      </c>
      <c r="AZ78" s="94" t="str">
        <f t="shared" si="72"/>
        <v/>
      </c>
      <c r="BA78" s="95" t="str">
        <f t="shared" si="73"/>
        <v/>
      </c>
      <c r="BB78" s="248" t="s">
        <v>422</v>
      </c>
      <c r="BC78" s="229" t="s">
        <v>433</v>
      </c>
      <c r="BD78" s="249">
        <v>0</v>
      </c>
      <c r="BE78" s="267">
        <f t="shared" si="76"/>
        <v>0</v>
      </c>
      <c r="BF78" s="268">
        <f t="shared" si="74"/>
        <v>0</v>
      </c>
      <c r="BG78" s="268">
        <f t="shared" si="74"/>
        <v>0</v>
      </c>
      <c r="BH78" s="268">
        <f t="shared" si="74"/>
        <v>1</v>
      </c>
      <c r="BI78" s="268">
        <f t="shared" si="74"/>
        <v>2</v>
      </c>
      <c r="BJ78" s="268">
        <f t="shared" si="74"/>
        <v>3</v>
      </c>
      <c r="BK78" s="268">
        <f t="shared" si="74"/>
        <v>4</v>
      </c>
      <c r="BL78" s="269">
        <f t="shared" si="74"/>
        <v>5</v>
      </c>
      <c r="BM78" s="256">
        <f>IF($BC78=Lookup!$A$2,$BD78*ROUNDUP(BE78/10,0)+1,
IF($BC78=Lookup!$A$3,($BD78+1)^BD78,
IF($BC78=Lookup!$A$4,BE78*$BD78+1,"Error")))</f>
        <v>1</v>
      </c>
      <c r="BN78" s="229">
        <f>IF($BC78=Lookup!$A$2,$BD78*ROUNDUP(BF78/10,0)+1,
IF($BC78=Lookup!$A$3,($BD78+1)^BE78,
IF($BC78=Lookup!$A$4,BF78*$BD78+1,"Error")))</f>
        <v>1</v>
      </c>
      <c r="BO78" s="229">
        <f>IF($BC78=Lookup!$A$2,$BD78*ROUNDUP(BG78/10,0)+1,
IF($BC78=Lookup!$A$3,($BD78+1)^BF78,
IF($BC78=Lookup!$A$4,BG78*$BD78+1,"Error")))</f>
        <v>1</v>
      </c>
      <c r="BP78" s="229">
        <f>IF($BC78=Lookup!$A$2,$BD78*ROUNDUP(BH78/10,0)+1,
IF($BC78=Lookup!$A$3,($BD78+1)^BG78,
IF($BC78=Lookup!$A$4,BH78*$BD78+1,"Error")))</f>
        <v>1</v>
      </c>
      <c r="BQ78" s="229">
        <f>IF($BC78=Lookup!$A$2,$BD78*ROUNDUP(BI78/10,0)+1,
IF($BC78=Lookup!$A$3,($BD78+1)^BH78,
IF($BC78=Lookup!$A$4,BI78*$BD78+1,"Error")))</f>
        <v>1</v>
      </c>
      <c r="BR78" s="229">
        <f>IF($BC78=Lookup!$A$2,$BD78*ROUNDUP(BJ78/10,0)+1,
IF($BC78=Lookup!$A$3,($BD78+1)^BI78,
IF($BC78=Lookup!$A$4,BJ78*$BD78+1,"Error")))</f>
        <v>1</v>
      </c>
      <c r="BS78" s="229">
        <f>IF($BC78=Lookup!$A$2,$BD78*ROUNDUP(BK78/10,0)+1,
IF($BC78=Lookup!$A$3,($BD78+1)^BJ78,
IF($BC78=Lookup!$A$4,BK78*$BD78+1,"Error")))</f>
        <v>1</v>
      </c>
      <c r="BT78" s="249">
        <f>IF($BC78=Lookup!$A$2,$BD78*ROUNDUP(BL78/10,0)+1,
IF($BC78=Lookup!$A$3,($BD78+1)^BK78,
IF($BC78=Lookup!$A$4,BL78*$BD78+1,"Error")))</f>
        <v>1</v>
      </c>
      <c r="BU78" s="320">
        <v>0</v>
      </c>
      <c r="BV78" s="321">
        <v>0</v>
      </c>
      <c r="BW78" s="321">
        <v>0</v>
      </c>
      <c r="BX78" s="320">
        <v>0</v>
      </c>
      <c r="BY78" s="321">
        <v>0</v>
      </c>
      <c r="BZ78" s="321">
        <v>0</v>
      </c>
      <c r="CA78" s="321">
        <v>0</v>
      </c>
      <c r="CB78" s="277">
        <v>0</v>
      </c>
      <c r="CC78" s="382" t="s">
        <v>292</v>
      </c>
      <c r="CD78" s="383">
        <f>HLOOKUP($CC78,$AK$6:$AM$132,ROWS(CD$6:CD78),0)</f>
        <v>0</v>
      </c>
      <c r="CE78" s="234">
        <f t="shared" si="77"/>
        <v>0</v>
      </c>
      <c r="CF78" s="96">
        <f t="shared" si="77"/>
        <v>0</v>
      </c>
      <c r="CG78" s="521">
        <f t="shared" si="77"/>
        <v>0</v>
      </c>
      <c r="CH78" s="421">
        <f t="shared" si="77"/>
        <v>0</v>
      </c>
      <c r="CI78" s="96">
        <f t="shared" si="45"/>
        <v>0</v>
      </c>
      <c r="CJ78" s="96">
        <f t="shared" si="45"/>
        <v>0</v>
      </c>
      <c r="CK78" s="96">
        <f t="shared" si="45"/>
        <v>0</v>
      </c>
      <c r="CL78" s="286">
        <f t="shared" si="45"/>
        <v>0</v>
      </c>
      <c r="CM78" s="305" t="s">
        <v>293</v>
      </c>
      <c r="CN78" s="315">
        <v>0.05</v>
      </c>
      <c r="CO78" s="306"/>
      <c r="CP78" s="307" t="str">
        <f>IF($CO78&lt;&gt;"",$CO78,HLOOKUP($CM78,$AY$6:$BA$132,ROWS(CP$6:CP78),0))</f>
        <v/>
      </c>
      <c r="CQ78" s="784">
        <v>0</v>
      </c>
      <c r="CR78" s="784">
        <v>0</v>
      </c>
      <c r="CS78" s="524">
        <v>0</v>
      </c>
      <c r="CT78" s="416">
        <v>0</v>
      </c>
      <c r="CU78" s="97">
        <v>0</v>
      </c>
      <c r="CV78" s="97">
        <v>0</v>
      </c>
      <c r="CW78" s="97">
        <v>0</v>
      </c>
      <c r="CX78" s="98">
        <v>0</v>
      </c>
      <c r="CY78" s="392"/>
    </row>
    <row r="79" spans="1:103" x14ac:dyDescent="0.25">
      <c r="A79" s="81" t="s">
        <v>138</v>
      </c>
      <c r="B79" s="82" t="s">
        <v>161</v>
      </c>
      <c r="C79" s="83" t="s">
        <v>369</v>
      </c>
      <c r="D79" s="84"/>
      <c r="E79" s="85"/>
      <c r="F79" s="85"/>
      <c r="G79" s="85"/>
      <c r="H79" s="85"/>
      <c r="I79" s="85"/>
      <c r="J79" s="85"/>
      <c r="K79" s="85"/>
      <c r="L79" s="85"/>
      <c r="M79" s="654"/>
      <c r="N79" s="1065"/>
      <c r="O79" s="560">
        <f t="shared" si="75"/>
        <v>0</v>
      </c>
      <c r="P79" s="561">
        <f t="shared" si="51"/>
        <v>0</v>
      </c>
      <c r="Q79" s="561">
        <f t="shared" si="52"/>
        <v>0</v>
      </c>
      <c r="R79" s="561">
        <f t="shared" si="53"/>
        <v>0</v>
      </c>
      <c r="S79" s="561">
        <f t="shared" si="54"/>
        <v>0</v>
      </c>
      <c r="T79" s="561">
        <f t="shared" si="55"/>
        <v>0</v>
      </c>
      <c r="U79" s="561">
        <f t="shared" si="56"/>
        <v>0</v>
      </c>
      <c r="V79" s="561">
        <f t="shared" si="57"/>
        <v>0</v>
      </c>
      <c r="W79" s="675">
        <f t="shared" si="58"/>
        <v>0</v>
      </c>
      <c r="X79" s="675">
        <f t="shared" si="59"/>
        <v>0</v>
      </c>
      <c r="Y79" s="675">
        <f t="shared" si="59"/>
        <v>0</v>
      </c>
      <c r="Z79" s="86"/>
      <c r="AA79" s="87"/>
      <c r="AB79" s="87"/>
      <c r="AC79" s="87"/>
      <c r="AD79" s="87"/>
      <c r="AE79" s="87"/>
      <c r="AF79" s="87"/>
      <c r="AG79" s="87"/>
      <c r="AH79" s="87"/>
      <c r="AI79" s="1094"/>
      <c r="AJ79" s="665"/>
      <c r="AK79" s="88">
        <f t="shared" si="60"/>
        <v>0</v>
      </c>
      <c r="AL79" s="89" t="str" cm="1">
        <f t="array" aca="1" ref="AL79" ca="1">IFERROR(IF($AM$4="N",SSUM(AF79:AH79)/3,SUM(AG79:AI79)/3),"")</f>
        <v/>
      </c>
      <c r="AM79" s="90">
        <f t="shared" si="61"/>
        <v>0</v>
      </c>
      <c r="AN79" s="91" t="str">
        <f t="shared" si="62"/>
        <v/>
      </c>
      <c r="AO79" s="92" t="str">
        <f t="shared" si="63"/>
        <v/>
      </c>
      <c r="AP79" s="92" t="str">
        <f t="shared" si="64"/>
        <v/>
      </c>
      <c r="AQ79" s="92" t="str">
        <f t="shared" si="65"/>
        <v/>
      </c>
      <c r="AR79" s="92" t="str">
        <f t="shared" si="66"/>
        <v/>
      </c>
      <c r="AS79" s="92" t="str">
        <f t="shared" si="67"/>
        <v/>
      </c>
      <c r="AT79" s="92" t="str">
        <f t="shared" si="68"/>
        <v/>
      </c>
      <c r="AU79" s="92" t="str">
        <f t="shared" si="69"/>
        <v/>
      </c>
      <c r="AV79" s="92" t="str">
        <f t="shared" si="70"/>
        <v/>
      </c>
      <c r="AW79" s="92" t="str">
        <f t="shared" si="70"/>
        <v/>
      </c>
      <c r="AX79" s="92" t="str">
        <f t="shared" si="70"/>
        <v/>
      </c>
      <c r="AY79" s="93" t="str">
        <f t="shared" si="71"/>
        <v/>
      </c>
      <c r="AZ79" s="94" t="str">
        <f t="shared" si="72"/>
        <v/>
      </c>
      <c r="BA79" s="95" t="str">
        <f t="shared" si="73"/>
        <v/>
      </c>
      <c r="BB79" s="248" t="s">
        <v>422</v>
      </c>
      <c r="BC79" s="229" t="s">
        <v>433</v>
      </c>
      <c r="BD79" s="249">
        <v>0</v>
      </c>
      <c r="BE79" s="267">
        <f t="shared" si="76"/>
        <v>0</v>
      </c>
      <c r="BF79" s="268">
        <f t="shared" si="74"/>
        <v>0</v>
      </c>
      <c r="BG79" s="268">
        <f t="shared" si="74"/>
        <v>0</v>
      </c>
      <c r="BH79" s="268">
        <f t="shared" si="74"/>
        <v>1</v>
      </c>
      <c r="BI79" s="268">
        <f t="shared" si="74"/>
        <v>2</v>
      </c>
      <c r="BJ79" s="268">
        <f t="shared" si="74"/>
        <v>3</v>
      </c>
      <c r="BK79" s="268">
        <f t="shared" si="74"/>
        <v>4</v>
      </c>
      <c r="BL79" s="269">
        <f t="shared" si="74"/>
        <v>5</v>
      </c>
      <c r="BM79" s="256">
        <f>IF($BC79=Lookup!$A$2,$BD79*ROUNDUP(BE79/10,0)+1,
IF($BC79=Lookup!$A$3,($BD79+1)^BD79,
IF($BC79=Lookup!$A$4,BE79*$BD79+1,"Error")))</f>
        <v>1</v>
      </c>
      <c r="BN79" s="229">
        <f>IF($BC79=Lookup!$A$2,$BD79*ROUNDUP(BF79/10,0)+1,
IF($BC79=Lookup!$A$3,($BD79+1)^BE79,
IF($BC79=Lookup!$A$4,BF79*$BD79+1,"Error")))</f>
        <v>1</v>
      </c>
      <c r="BO79" s="229">
        <f>IF($BC79=Lookup!$A$2,$BD79*ROUNDUP(BG79/10,0)+1,
IF($BC79=Lookup!$A$3,($BD79+1)^BF79,
IF($BC79=Lookup!$A$4,BG79*$BD79+1,"Error")))</f>
        <v>1</v>
      </c>
      <c r="BP79" s="229">
        <f>IF($BC79=Lookup!$A$2,$BD79*ROUNDUP(BH79/10,0)+1,
IF($BC79=Lookup!$A$3,($BD79+1)^BG79,
IF($BC79=Lookup!$A$4,BH79*$BD79+1,"Error")))</f>
        <v>1</v>
      </c>
      <c r="BQ79" s="229">
        <f>IF($BC79=Lookup!$A$2,$BD79*ROUNDUP(BI79/10,0)+1,
IF($BC79=Lookup!$A$3,($BD79+1)^BH79,
IF($BC79=Lookup!$A$4,BI79*$BD79+1,"Error")))</f>
        <v>1</v>
      </c>
      <c r="BR79" s="229">
        <f>IF($BC79=Lookup!$A$2,$BD79*ROUNDUP(BJ79/10,0)+1,
IF($BC79=Lookup!$A$3,($BD79+1)^BI79,
IF($BC79=Lookup!$A$4,BJ79*$BD79+1,"Error")))</f>
        <v>1</v>
      </c>
      <c r="BS79" s="229">
        <f>IF($BC79=Lookup!$A$2,$BD79*ROUNDUP(BK79/10,0)+1,
IF($BC79=Lookup!$A$3,($BD79+1)^BJ79,
IF($BC79=Lookup!$A$4,BK79*$BD79+1,"Error")))</f>
        <v>1</v>
      </c>
      <c r="BT79" s="249">
        <f>IF($BC79=Lookup!$A$2,$BD79*ROUNDUP(BL79/10,0)+1,
IF($BC79=Lookup!$A$3,($BD79+1)^BK79,
IF($BC79=Lookup!$A$4,BL79*$BD79+1,"Error")))</f>
        <v>1</v>
      </c>
      <c r="BU79" s="320">
        <v>0</v>
      </c>
      <c r="BV79" s="321">
        <v>0</v>
      </c>
      <c r="BW79" s="321">
        <v>0</v>
      </c>
      <c r="BX79" s="320">
        <v>0</v>
      </c>
      <c r="BY79" s="321">
        <v>0</v>
      </c>
      <c r="BZ79" s="321">
        <v>0</v>
      </c>
      <c r="CA79" s="321">
        <v>0</v>
      </c>
      <c r="CB79" s="277">
        <v>0</v>
      </c>
      <c r="CC79" s="382" t="s">
        <v>292</v>
      </c>
      <c r="CD79" s="383">
        <f>HLOOKUP($CC79,$AK$6:$AM$132,ROWS(CD$6:CD79),0)</f>
        <v>0</v>
      </c>
      <c r="CE79" s="234">
        <f t="shared" si="77"/>
        <v>0</v>
      </c>
      <c r="CF79" s="96">
        <f t="shared" si="77"/>
        <v>0</v>
      </c>
      <c r="CG79" s="521">
        <f t="shared" si="77"/>
        <v>0</v>
      </c>
      <c r="CH79" s="421">
        <f t="shared" si="77"/>
        <v>0</v>
      </c>
      <c r="CI79" s="96">
        <f t="shared" si="45"/>
        <v>0</v>
      </c>
      <c r="CJ79" s="96">
        <f t="shared" si="45"/>
        <v>0</v>
      </c>
      <c r="CK79" s="96">
        <f t="shared" si="45"/>
        <v>0</v>
      </c>
      <c r="CL79" s="286">
        <f t="shared" si="45"/>
        <v>0</v>
      </c>
      <c r="CM79" s="305" t="s">
        <v>293</v>
      </c>
      <c r="CN79" s="315">
        <v>0.05</v>
      </c>
      <c r="CO79" s="306"/>
      <c r="CP79" s="307" t="str">
        <f>IF($CO79&lt;&gt;"",$CO79,HLOOKUP($CM79,$AY$6:$BA$132,ROWS(CP$6:CP79),0))</f>
        <v/>
      </c>
      <c r="CQ79" s="784">
        <v>0</v>
      </c>
      <c r="CR79" s="784">
        <v>0</v>
      </c>
      <c r="CS79" s="524">
        <v>0</v>
      </c>
      <c r="CT79" s="416">
        <v>0</v>
      </c>
      <c r="CU79" s="97">
        <v>0</v>
      </c>
      <c r="CV79" s="97">
        <v>0</v>
      </c>
      <c r="CW79" s="97">
        <v>0</v>
      </c>
      <c r="CX79" s="98">
        <v>0</v>
      </c>
      <c r="CY79" s="392"/>
    </row>
    <row r="80" spans="1:103" x14ac:dyDescent="0.25">
      <c r="A80" s="81" t="s">
        <v>138</v>
      </c>
      <c r="B80" s="82" t="s">
        <v>163</v>
      </c>
      <c r="C80" s="83" t="s">
        <v>370</v>
      </c>
      <c r="D80" s="84"/>
      <c r="E80" s="85"/>
      <c r="F80" s="85"/>
      <c r="G80" s="85"/>
      <c r="H80" s="85"/>
      <c r="I80" s="85"/>
      <c r="J80" s="85"/>
      <c r="K80" s="85"/>
      <c r="L80" s="85"/>
      <c r="M80" s="654"/>
      <c r="N80" s="1065"/>
      <c r="O80" s="560">
        <f t="shared" si="75"/>
        <v>0</v>
      </c>
      <c r="P80" s="561">
        <f t="shared" si="51"/>
        <v>0</v>
      </c>
      <c r="Q80" s="561">
        <f t="shared" si="52"/>
        <v>0</v>
      </c>
      <c r="R80" s="561">
        <f t="shared" si="53"/>
        <v>0</v>
      </c>
      <c r="S80" s="561">
        <f t="shared" si="54"/>
        <v>0</v>
      </c>
      <c r="T80" s="561">
        <f t="shared" si="55"/>
        <v>0</v>
      </c>
      <c r="U80" s="561">
        <f t="shared" si="56"/>
        <v>0</v>
      </c>
      <c r="V80" s="561">
        <f t="shared" si="57"/>
        <v>0</v>
      </c>
      <c r="W80" s="675">
        <f t="shared" si="58"/>
        <v>0</v>
      </c>
      <c r="X80" s="675">
        <f t="shared" si="59"/>
        <v>0</v>
      </c>
      <c r="Y80" s="675">
        <f t="shared" si="59"/>
        <v>0</v>
      </c>
      <c r="Z80" s="86"/>
      <c r="AA80" s="87"/>
      <c r="AB80" s="87"/>
      <c r="AC80" s="87"/>
      <c r="AD80" s="87"/>
      <c r="AE80" s="87"/>
      <c r="AF80" s="87"/>
      <c r="AG80" s="87"/>
      <c r="AH80" s="87"/>
      <c r="AI80" s="1094"/>
      <c r="AJ80" s="665"/>
      <c r="AK80" s="88">
        <f t="shared" si="60"/>
        <v>0</v>
      </c>
      <c r="AL80" s="89" t="str" cm="1">
        <f t="array" aca="1" ref="AL80" ca="1">IFERROR(IF($AM$4="N",SSUM(AF80:AH80)/3,SUM(AG80:AI80)/3),"")</f>
        <v/>
      </c>
      <c r="AM80" s="90">
        <f t="shared" si="61"/>
        <v>0</v>
      </c>
      <c r="AN80" s="91" t="str">
        <f t="shared" si="62"/>
        <v/>
      </c>
      <c r="AO80" s="92" t="str">
        <f t="shared" si="63"/>
        <v/>
      </c>
      <c r="AP80" s="92" t="str">
        <f t="shared" si="64"/>
        <v/>
      </c>
      <c r="AQ80" s="92" t="str">
        <f t="shared" si="65"/>
        <v/>
      </c>
      <c r="AR80" s="92" t="str">
        <f t="shared" si="66"/>
        <v/>
      </c>
      <c r="AS80" s="92" t="str">
        <f t="shared" si="67"/>
        <v/>
      </c>
      <c r="AT80" s="92" t="str">
        <f t="shared" si="68"/>
        <v/>
      </c>
      <c r="AU80" s="92" t="str">
        <f t="shared" si="69"/>
        <v/>
      </c>
      <c r="AV80" s="92" t="str">
        <f t="shared" si="70"/>
        <v/>
      </c>
      <c r="AW80" s="92" t="str">
        <f t="shared" si="70"/>
        <v/>
      </c>
      <c r="AX80" s="92" t="str">
        <f t="shared" si="70"/>
        <v/>
      </c>
      <c r="AY80" s="93" t="str">
        <f t="shared" si="71"/>
        <v/>
      </c>
      <c r="AZ80" s="94" t="str">
        <f t="shared" si="72"/>
        <v/>
      </c>
      <c r="BA80" s="95" t="str">
        <f t="shared" si="73"/>
        <v/>
      </c>
      <c r="BB80" s="248" t="s">
        <v>422</v>
      </c>
      <c r="BC80" s="229" t="s">
        <v>433</v>
      </c>
      <c r="BD80" s="249">
        <v>0</v>
      </c>
      <c r="BE80" s="267">
        <f t="shared" si="76"/>
        <v>0</v>
      </c>
      <c r="BF80" s="268">
        <f t="shared" si="74"/>
        <v>0</v>
      </c>
      <c r="BG80" s="268">
        <f t="shared" si="74"/>
        <v>0</v>
      </c>
      <c r="BH80" s="268">
        <f t="shared" si="74"/>
        <v>1</v>
      </c>
      <c r="BI80" s="268">
        <f t="shared" si="74"/>
        <v>2</v>
      </c>
      <c r="BJ80" s="268">
        <f t="shared" si="74"/>
        <v>3</v>
      </c>
      <c r="BK80" s="268">
        <f t="shared" si="74"/>
        <v>4</v>
      </c>
      <c r="BL80" s="269">
        <f t="shared" si="74"/>
        <v>5</v>
      </c>
      <c r="BM80" s="256">
        <f>IF($BC80=Lookup!$A$2,$BD80*ROUNDUP(BE80/10,0)+1,
IF($BC80=Lookup!$A$3,($BD80+1)^BD80,
IF($BC80=Lookup!$A$4,BE80*$BD80+1,"Error")))</f>
        <v>1</v>
      </c>
      <c r="BN80" s="229">
        <f>IF($BC80=Lookup!$A$2,$BD80*ROUNDUP(BF80/10,0)+1,
IF($BC80=Lookup!$A$3,($BD80+1)^BE80,
IF($BC80=Lookup!$A$4,BF80*$BD80+1,"Error")))</f>
        <v>1</v>
      </c>
      <c r="BO80" s="229">
        <f>IF($BC80=Lookup!$A$2,$BD80*ROUNDUP(BG80/10,0)+1,
IF($BC80=Lookup!$A$3,($BD80+1)^BF80,
IF($BC80=Lookup!$A$4,BG80*$BD80+1,"Error")))</f>
        <v>1</v>
      </c>
      <c r="BP80" s="229">
        <f>IF($BC80=Lookup!$A$2,$BD80*ROUNDUP(BH80/10,0)+1,
IF($BC80=Lookup!$A$3,($BD80+1)^BG80,
IF($BC80=Lookup!$A$4,BH80*$BD80+1,"Error")))</f>
        <v>1</v>
      </c>
      <c r="BQ80" s="229">
        <f>IF($BC80=Lookup!$A$2,$BD80*ROUNDUP(BI80/10,0)+1,
IF($BC80=Lookup!$A$3,($BD80+1)^BH80,
IF($BC80=Lookup!$A$4,BI80*$BD80+1,"Error")))</f>
        <v>1</v>
      </c>
      <c r="BR80" s="229">
        <f>IF($BC80=Lookup!$A$2,$BD80*ROUNDUP(BJ80/10,0)+1,
IF($BC80=Lookup!$A$3,($BD80+1)^BI80,
IF($BC80=Lookup!$A$4,BJ80*$BD80+1,"Error")))</f>
        <v>1</v>
      </c>
      <c r="BS80" s="229">
        <f>IF($BC80=Lookup!$A$2,$BD80*ROUNDUP(BK80/10,0)+1,
IF($BC80=Lookup!$A$3,($BD80+1)^BJ80,
IF($BC80=Lookup!$A$4,BK80*$BD80+1,"Error")))</f>
        <v>1</v>
      </c>
      <c r="BT80" s="249">
        <f>IF($BC80=Lookup!$A$2,$BD80*ROUNDUP(BL80/10,0)+1,
IF($BC80=Lookup!$A$3,($BD80+1)^BK80,
IF($BC80=Lookup!$A$4,BL80*$BD80+1,"Error")))</f>
        <v>1</v>
      </c>
      <c r="BU80" s="320">
        <v>0</v>
      </c>
      <c r="BV80" s="321">
        <v>0</v>
      </c>
      <c r="BW80" s="321">
        <v>0</v>
      </c>
      <c r="BX80" s="320">
        <v>0</v>
      </c>
      <c r="BY80" s="321">
        <v>0</v>
      </c>
      <c r="BZ80" s="321">
        <v>0</v>
      </c>
      <c r="CA80" s="321">
        <v>0</v>
      </c>
      <c r="CB80" s="277">
        <v>0</v>
      </c>
      <c r="CC80" s="382" t="s">
        <v>292</v>
      </c>
      <c r="CD80" s="383">
        <f>HLOOKUP($CC80,$AK$6:$AM$132,ROWS(CD$6:CD80),0)</f>
        <v>0</v>
      </c>
      <c r="CE80" s="234">
        <f t="shared" si="77"/>
        <v>0</v>
      </c>
      <c r="CF80" s="96">
        <f t="shared" si="77"/>
        <v>0</v>
      </c>
      <c r="CG80" s="521">
        <f t="shared" si="77"/>
        <v>0</v>
      </c>
      <c r="CH80" s="421">
        <f t="shared" si="77"/>
        <v>0</v>
      </c>
      <c r="CI80" s="96">
        <f t="shared" si="45"/>
        <v>0</v>
      </c>
      <c r="CJ80" s="96">
        <f t="shared" si="45"/>
        <v>0</v>
      </c>
      <c r="CK80" s="96">
        <f t="shared" si="45"/>
        <v>0</v>
      </c>
      <c r="CL80" s="286">
        <f t="shared" si="45"/>
        <v>0</v>
      </c>
      <c r="CM80" s="305" t="s">
        <v>293</v>
      </c>
      <c r="CN80" s="315">
        <v>0.05</v>
      </c>
      <c r="CO80" s="306"/>
      <c r="CP80" s="307" t="str">
        <f>IF($CO80&lt;&gt;"",$CO80,HLOOKUP($CM80,$AY$6:$BA$132,ROWS(CP$6:CP80),0))</f>
        <v/>
      </c>
      <c r="CQ80" s="784">
        <v>0</v>
      </c>
      <c r="CR80" s="784">
        <v>0</v>
      </c>
      <c r="CS80" s="524">
        <v>0</v>
      </c>
      <c r="CT80" s="416">
        <v>0</v>
      </c>
      <c r="CU80" s="97">
        <v>0</v>
      </c>
      <c r="CV80" s="97">
        <v>0</v>
      </c>
      <c r="CW80" s="97">
        <v>0</v>
      </c>
      <c r="CX80" s="98">
        <v>0</v>
      </c>
      <c r="CY80" s="392"/>
    </row>
    <row r="81" spans="1:110" x14ac:dyDescent="0.25">
      <c r="A81" s="81" t="s">
        <v>138</v>
      </c>
      <c r="B81" s="82" t="s">
        <v>165</v>
      </c>
      <c r="C81" s="83" t="s">
        <v>371</v>
      </c>
      <c r="D81" s="84"/>
      <c r="E81" s="85"/>
      <c r="F81" s="85"/>
      <c r="G81" s="85"/>
      <c r="H81" s="85"/>
      <c r="I81" s="85"/>
      <c r="J81" s="85"/>
      <c r="K81" s="85"/>
      <c r="L81" s="85"/>
      <c r="M81" s="654"/>
      <c r="N81" s="1065"/>
      <c r="O81" s="560">
        <f t="shared" si="75"/>
        <v>0</v>
      </c>
      <c r="P81" s="561">
        <f t="shared" si="51"/>
        <v>0</v>
      </c>
      <c r="Q81" s="561">
        <f t="shared" si="52"/>
        <v>0</v>
      </c>
      <c r="R81" s="561">
        <f t="shared" si="53"/>
        <v>0</v>
      </c>
      <c r="S81" s="561">
        <f t="shared" si="54"/>
        <v>0</v>
      </c>
      <c r="T81" s="561">
        <f t="shared" si="55"/>
        <v>0</v>
      </c>
      <c r="U81" s="561">
        <f t="shared" si="56"/>
        <v>0</v>
      </c>
      <c r="V81" s="561">
        <f t="shared" si="57"/>
        <v>0</v>
      </c>
      <c r="W81" s="675">
        <f t="shared" si="58"/>
        <v>0</v>
      </c>
      <c r="X81" s="675">
        <f t="shared" si="59"/>
        <v>0</v>
      </c>
      <c r="Y81" s="675">
        <f t="shared" si="59"/>
        <v>0</v>
      </c>
      <c r="Z81" s="86"/>
      <c r="AA81" s="87"/>
      <c r="AB81" s="87"/>
      <c r="AC81" s="87"/>
      <c r="AD81" s="87"/>
      <c r="AE81" s="87"/>
      <c r="AF81" s="87"/>
      <c r="AG81" s="87"/>
      <c r="AH81" s="87"/>
      <c r="AI81" s="1094"/>
      <c r="AJ81" s="665"/>
      <c r="AK81" s="88">
        <f t="shared" si="60"/>
        <v>0</v>
      </c>
      <c r="AL81" s="89" t="str" cm="1">
        <f t="array" aca="1" ref="AL81" ca="1">IFERROR(IF($AM$4="N",SSUM(AF81:AH81)/3,SUM(AG81:AI81)/3),"")</f>
        <v/>
      </c>
      <c r="AM81" s="90">
        <f t="shared" si="61"/>
        <v>0</v>
      </c>
      <c r="AN81" s="91" t="str">
        <f t="shared" si="62"/>
        <v/>
      </c>
      <c r="AO81" s="92" t="str">
        <f t="shared" si="63"/>
        <v/>
      </c>
      <c r="AP81" s="92" t="str">
        <f t="shared" si="64"/>
        <v/>
      </c>
      <c r="AQ81" s="92" t="str">
        <f t="shared" si="65"/>
        <v/>
      </c>
      <c r="AR81" s="92" t="str">
        <f t="shared" si="66"/>
        <v/>
      </c>
      <c r="AS81" s="92" t="str">
        <f t="shared" si="67"/>
        <v/>
      </c>
      <c r="AT81" s="92" t="str">
        <f t="shared" si="68"/>
        <v/>
      </c>
      <c r="AU81" s="92" t="str">
        <f t="shared" si="69"/>
        <v/>
      </c>
      <c r="AV81" s="92" t="str">
        <f t="shared" si="70"/>
        <v/>
      </c>
      <c r="AW81" s="92" t="str">
        <f t="shared" si="70"/>
        <v/>
      </c>
      <c r="AX81" s="92" t="str">
        <f t="shared" si="70"/>
        <v/>
      </c>
      <c r="AY81" s="93" t="str">
        <f t="shared" si="71"/>
        <v/>
      </c>
      <c r="AZ81" s="94" t="str">
        <f t="shared" si="72"/>
        <v/>
      </c>
      <c r="BA81" s="95" t="str">
        <f t="shared" si="73"/>
        <v/>
      </c>
      <c r="BB81" s="248" t="s">
        <v>422</v>
      </c>
      <c r="BC81" s="229" t="s">
        <v>433</v>
      </c>
      <c r="BD81" s="249">
        <v>0</v>
      </c>
      <c r="BE81" s="267">
        <f t="shared" si="76"/>
        <v>0</v>
      </c>
      <c r="BF81" s="268">
        <f t="shared" si="74"/>
        <v>0</v>
      </c>
      <c r="BG81" s="268">
        <f t="shared" si="74"/>
        <v>0</v>
      </c>
      <c r="BH81" s="268">
        <f t="shared" si="74"/>
        <v>1</v>
      </c>
      <c r="BI81" s="268">
        <f t="shared" si="74"/>
        <v>2</v>
      </c>
      <c r="BJ81" s="268">
        <f t="shared" si="74"/>
        <v>3</v>
      </c>
      <c r="BK81" s="268">
        <f t="shared" si="74"/>
        <v>4</v>
      </c>
      <c r="BL81" s="269">
        <f t="shared" si="74"/>
        <v>5</v>
      </c>
      <c r="BM81" s="256">
        <f>IF($BC81=Lookup!$A$2,$BD81*ROUNDUP(BE81/10,0)+1,
IF($BC81=Lookup!$A$3,($BD81+1)^BD81,
IF($BC81=Lookup!$A$4,BE81*$BD81+1,"Error")))</f>
        <v>1</v>
      </c>
      <c r="BN81" s="229">
        <f>IF($BC81=Lookup!$A$2,$BD81*ROUNDUP(BF81/10,0)+1,
IF($BC81=Lookup!$A$3,($BD81+1)^BE81,
IF($BC81=Lookup!$A$4,BF81*$BD81+1,"Error")))</f>
        <v>1</v>
      </c>
      <c r="BO81" s="229">
        <f>IF($BC81=Lookup!$A$2,$BD81*ROUNDUP(BG81/10,0)+1,
IF($BC81=Lookup!$A$3,($BD81+1)^BF81,
IF($BC81=Lookup!$A$4,BG81*$BD81+1,"Error")))</f>
        <v>1</v>
      </c>
      <c r="BP81" s="229">
        <f>IF($BC81=Lookup!$A$2,$BD81*ROUNDUP(BH81/10,0)+1,
IF($BC81=Lookup!$A$3,($BD81+1)^BG81,
IF($BC81=Lookup!$A$4,BH81*$BD81+1,"Error")))</f>
        <v>1</v>
      </c>
      <c r="BQ81" s="229">
        <f>IF($BC81=Lookup!$A$2,$BD81*ROUNDUP(BI81/10,0)+1,
IF($BC81=Lookup!$A$3,($BD81+1)^BH81,
IF($BC81=Lookup!$A$4,BI81*$BD81+1,"Error")))</f>
        <v>1</v>
      </c>
      <c r="BR81" s="229">
        <f>IF($BC81=Lookup!$A$2,$BD81*ROUNDUP(BJ81/10,0)+1,
IF($BC81=Lookup!$A$3,($BD81+1)^BI81,
IF($BC81=Lookup!$A$4,BJ81*$BD81+1,"Error")))</f>
        <v>1</v>
      </c>
      <c r="BS81" s="229">
        <f>IF($BC81=Lookup!$A$2,$BD81*ROUNDUP(BK81/10,0)+1,
IF($BC81=Lookup!$A$3,($BD81+1)^BJ81,
IF($BC81=Lookup!$A$4,BK81*$BD81+1,"Error")))</f>
        <v>1</v>
      </c>
      <c r="BT81" s="249">
        <f>IF($BC81=Lookup!$A$2,$BD81*ROUNDUP(BL81/10,0)+1,
IF($BC81=Lookup!$A$3,($BD81+1)^BK81,
IF($BC81=Lookup!$A$4,BL81*$BD81+1,"Error")))</f>
        <v>1</v>
      </c>
      <c r="BU81" s="320">
        <v>0</v>
      </c>
      <c r="BV81" s="321">
        <v>0</v>
      </c>
      <c r="BW81" s="321">
        <v>0</v>
      </c>
      <c r="BX81" s="320">
        <v>0</v>
      </c>
      <c r="BY81" s="321">
        <v>0</v>
      </c>
      <c r="BZ81" s="321">
        <v>0</v>
      </c>
      <c r="CA81" s="321">
        <v>0</v>
      </c>
      <c r="CB81" s="277">
        <v>0</v>
      </c>
      <c r="CC81" s="382" t="s">
        <v>292</v>
      </c>
      <c r="CD81" s="383">
        <f>HLOOKUP($CC81,$AK$6:$AM$132,ROWS(CD$6:CD81),0)</f>
        <v>0</v>
      </c>
      <c r="CE81" s="234">
        <f t="shared" si="77"/>
        <v>0</v>
      </c>
      <c r="CF81" s="96">
        <f t="shared" si="77"/>
        <v>0</v>
      </c>
      <c r="CG81" s="521">
        <f t="shared" si="77"/>
        <v>0</v>
      </c>
      <c r="CH81" s="421">
        <f t="shared" si="77"/>
        <v>0</v>
      </c>
      <c r="CI81" s="96">
        <f t="shared" si="45"/>
        <v>0</v>
      </c>
      <c r="CJ81" s="96">
        <f t="shared" si="45"/>
        <v>0</v>
      </c>
      <c r="CK81" s="96">
        <f t="shared" si="45"/>
        <v>0</v>
      </c>
      <c r="CL81" s="286">
        <f t="shared" si="45"/>
        <v>0</v>
      </c>
      <c r="CM81" s="305" t="s">
        <v>293</v>
      </c>
      <c r="CN81" s="315">
        <v>0.05</v>
      </c>
      <c r="CO81" s="306"/>
      <c r="CP81" s="307" t="str">
        <f>IF($CO81&lt;&gt;"",$CO81,HLOOKUP($CM81,$AY$6:$BA$132,ROWS(CP$6:CP81),0))</f>
        <v/>
      </c>
      <c r="CQ81" s="784">
        <v>0</v>
      </c>
      <c r="CR81" s="784">
        <v>0</v>
      </c>
      <c r="CS81" s="524">
        <v>0</v>
      </c>
      <c r="CT81" s="416">
        <v>0</v>
      </c>
      <c r="CU81" s="97">
        <v>0</v>
      </c>
      <c r="CV81" s="97">
        <v>0</v>
      </c>
      <c r="CW81" s="97">
        <v>0</v>
      </c>
      <c r="CX81" s="98">
        <v>0</v>
      </c>
      <c r="CY81" s="392"/>
    </row>
    <row r="82" spans="1:110" x14ac:dyDescent="0.25">
      <c r="A82" s="81" t="s">
        <v>138</v>
      </c>
      <c r="B82" s="82" t="s">
        <v>167</v>
      </c>
      <c r="C82" s="83" t="s">
        <v>372</v>
      </c>
      <c r="D82" s="84"/>
      <c r="E82" s="85"/>
      <c r="F82" s="85"/>
      <c r="G82" s="85"/>
      <c r="H82" s="85"/>
      <c r="I82" s="85"/>
      <c r="J82" s="85"/>
      <c r="K82" s="85"/>
      <c r="L82" s="85"/>
      <c r="M82" s="654"/>
      <c r="N82" s="1065"/>
      <c r="O82" s="560">
        <f t="shared" si="75"/>
        <v>0</v>
      </c>
      <c r="P82" s="561">
        <f t="shared" si="51"/>
        <v>0</v>
      </c>
      <c r="Q82" s="561">
        <f t="shared" si="52"/>
        <v>0</v>
      </c>
      <c r="R82" s="561">
        <f t="shared" si="53"/>
        <v>0</v>
      </c>
      <c r="S82" s="561">
        <f t="shared" si="54"/>
        <v>0</v>
      </c>
      <c r="T82" s="561">
        <f t="shared" si="55"/>
        <v>0</v>
      </c>
      <c r="U82" s="561">
        <f t="shared" si="56"/>
        <v>0</v>
      </c>
      <c r="V82" s="561">
        <f t="shared" si="57"/>
        <v>0</v>
      </c>
      <c r="W82" s="675">
        <f t="shared" si="58"/>
        <v>0</v>
      </c>
      <c r="X82" s="675">
        <f t="shared" si="59"/>
        <v>0</v>
      </c>
      <c r="Y82" s="675">
        <f t="shared" si="59"/>
        <v>0</v>
      </c>
      <c r="Z82" s="86"/>
      <c r="AA82" s="87"/>
      <c r="AB82" s="87"/>
      <c r="AC82" s="87"/>
      <c r="AD82" s="87"/>
      <c r="AE82" s="87"/>
      <c r="AF82" s="87"/>
      <c r="AG82" s="87"/>
      <c r="AH82" s="87"/>
      <c r="AI82" s="1094"/>
      <c r="AJ82" s="665"/>
      <c r="AK82" s="88">
        <f t="shared" si="60"/>
        <v>0</v>
      </c>
      <c r="AL82" s="89" t="str" cm="1">
        <f t="array" aca="1" ref="AL82" ca="1">IFERROR(IF($AM$4="N",SSUM(AF82:AH82)/3,SUM(AG82:AI82)/3),"")</f>
        <v/>
      </c>
      <c r="AM82" s="90">
        <f t="shared" si="61"/>
        <v>0</v>
      </c>
      <c r="AN82" s="91" t="str">
        <f t="shared" si="62"/>
        <v/>
      </c>
      <c r="AO82" s="92" t="str">
        <f t="shared" si="63"/>
        <v/>
      </c>
      <c r="AP82" s="92" t="str">
        <f t="shared" si="64"/>
        <v/>
      </c>
      <c r="AQ82" s="92" t="str">
        <f t="shared" si="65"/>
        <v/>
      </c>
      <c r="AR82" s="92" t="str">
        <f t="shared" si="66"/>
        <v/>
      </c>
      <c r="AS82" s="92" t="str">
        <f t="shared" si="67"/>
        <v/>
      </c>
      <c r="AT82" s="92" t="str">
        <f t="shared" si="68"/>
        <v/>
      </c>
      <c r="AU82" s="92" t="str">
        <f t="shared" si="69"/>
        <v/>
      </c>
      <c r="AV82" s="92" t="str">
        <f t="shared" si="70"/>
        <v/>
      </c>
      <c r="AW82" s="92" t="str">
        <f t="shared" si="70"/>
        <v/>
      </c>
      <c r="AX82" s="92" t="str">
        <f t="shared" si="70"/>
        <v/>
      </c>
      <c r="AY82" s="93" t="str">
        <f t="shared" si="71"/>
        <v/>
      </c>
      <c r="AZ82" s="94" t="str">
        <f t="shared" si="72"/>
        <v/>
      </c>
      <c r="BA82" s="95" t="str">
        <f t="shared" si="73"/>
        <v/>
      </c>
      <c r="BB82" s="248" t="s">
        <v>422</v>
      </c>
      <c r="BC82" s="229" t="s">
        <v>433</v>
      </c>
      <c r="BD82" s="249">
        <v>0</v>
      </c>
      <c r="BE82" s="267">
        <f t="shared" si="76"/>
        <v>0</v>
      </c>
      <c r="BF82" s="268">
        <f t="shared" si="74"/>
        <v>0</v>
      </c>
      <c r="BG82" s="268">
        <f t="shared" si="74"/>
        <v>0</v>
      </c>
      <c r="BH82" s="268">
        <f t="shared" si="74"/>
        <v>1</v>
      </c>
      <c r="BI82" s="268">
        <f t="shared" si="74"/>
        <v>2</v>
      </c>
      <c r="BJ82" s="268">
        <f t="shared" si="74"/>
        <v>3</v>
      </c>
      <c r="BK82" s="268">
        <f t="shared" si="74"/>
        <v>4</v>
      </c>
      <c r="BL82" s="269">
        <f t="shared" si="74"/>
        <v>5</v>
      </c>
      <c r="BM82" s="256">
        <f>IF($BC82=Lookup!$A$2,$BD82*ROUNDUP(BE82/10,0)+1,
IF($BC82=Lookup!$A$3,($BD82+1)^BD82,
IF($BC82=Lookup!$A$4,BE82*$BD82+1,"Error")))</f>
        <v>1</v>
      </c>
      <c r="BN82" s="229">
        <f>IF($BC82=Lookup!$A$2,$BD82*ROUNDUP(BF82/10,0)+1,
IF($BC82=Lookup!$A$3,($BD82+1)^BE82,
IF($BC82=Lookup!$A$4,BF82*$BD82+1,"Error")))</f>
        <v>1</v>
      </c>
      <c r="BO82" s="229">
        <f>IF($BC82=Lookup!$A$2,$BD82*ROUNDUP(BG82/10,0)+1,
IF($BC82=Lookup!$A$3,($BD82+1)^BF82,
IF($BC82=Lookup!$A$4,BG82*$BD82+1,"Error")))</f>
        <v>1</v>
      </c>
      <c r="BP82" s="229">
        <f>IF($BC82=Lookup!$A$2,$BD82*ROUNDUP(BH82/10,0)+1,
IF($BC82=Lookup!$A$3,($BD82+1)^BG82,
IF($BC82=Lookup!$A$4,BH82*$BD82+1,"Error")))</f>
        <v>1</v>
      </c>
      <c r="BQ82" s="229">
        <f>IF($BC82=Lookup!$A$2,$BD82*ROUNDUP(BI82/10,0)+1,
IF($BC82=Lookup!$A$3,($BD82+1)^BH82,
IF($BC82=Lookup!$A$4,BI82*$BD82+1,"Error")))</f>
        <v>1</v>
      </c>
      <c r="BR82" s="229">
        <f>IF($BC82=Lookup!$A$2,$BD82*ROUNDUP(BJ82/10,0)+1,
IF($BC82=Lookup!$A$3,($BD82+1)^BI82,
IF($BC82=Lookup!$A$4,BJ82*$BD82+1,"Error")))</f>
        <v>1</v>
      </c>
      <c r="BS82" s="229">
        <f>IF($BC82=Lookup!$A$2,$BD82*ROUNDUP(BK82/10,0)+1,
IF($BC82=Lookup!$A$3,($BD82+1)^BJ82,
IF($BC82=Lookup!$A$4,BK82*$BD82+1,"Error")))</f>
        <v>1</v>
      </c>
      <c r="BT82" s="249">
        <f>IF($BC82=Lookup!$A$2,$BD82*ROUNDUP(BL82/10,0)+1,
IF($BC82=Lookup!$A$3,($BD82+1)^BK82,
IF($BC82=Lookup!$A$4,BL82*$BD82+1,"Error")))</f>
        <v>1</v>
      </c>
      <c r="BU82" s="320">
        <v>0</v>
      </c>
      <c r="BV82" s="321">
        <v>0</v>
      </c>
      <c r="BW82" s="321">
        <v>0</v>
      </c>
      <c r="BX82" s="320">
        <v>0</v>
      </c>
      <c r="BY82" s="321">
        <v>0</v>
      </c>
      <c r="BZ82" s="321">
        <v>0</v>
      </c>
      <c r="CA82" s="321">
        <v>0</v>
      </c>
      <c r="CB82" s="277">
        <v>0</v>
      </c>
      <c r="CC82" s="382" t="s">
        <v>292</v>
      </c>
      <c r="CD82" s="383">
        <f>HLOOKUP($CC82,$AK$6:$AM$132,ROWS(CD$6:CD82),0)</f>
        <v>0</v>
      </c>
      <c r="CE82" s="234">
        <f t="shared" si="77"/>
        <v>0</v>
      </c>
      <c r="CF82" s="96">
        <f t="shared" si="77"/>
        <v>0</v>
      </c>
      <c r="CG82" s="521">
        <f t="shared" si="77"/>
        <v>0</v>
      </c>
      <c r="CH82" s="421">
        <f t="shared" si="77"/>
        <v>0</v>
      </c>
      <c r="CI82" s="96">
        <f t="shared" si="45"/>
        <v>0</v>
      </c>
      <c r="CJ82" s="96">
        <f t="shared" si="45"/>
        <v>0</v>
      </c>
      <c r="CK82" s="96">
        <f t="shared" si="45"/>
        <v>0</v>
      </c>
      <c r="CL82" s="286">
        <f t="shared" si="45"/>
        <v>0</v>
      </c>
      <c r="CM82" s="305" t="s">
        <v>293</v>
      </c>
      <c r="CN82" s="315">
        <v>0.05</v>
      </c>
      <c r="CO82" s="306"/>
      <c r="CP82" s="307" t="str">
        <f>IF($CO82&lt;&gt;"",$CO82,HLOOKUP($CM82,$AY$6:$BA$132,ROWS(CP$6:CP82),0))</f>
        <v/>
      </c>
      <c r="CQ82" s="784">
        <v>0</v>
      </c>
      <c r="CR82" s="784">
        <v>0</v>
      </c>
      <c r="CS82" s="524">
        <v>0</v>
      </c>
      <c r="CT82" s="416">
        <v>0</v>
      </c>
      <c r="CU82" s="97">
        <v>0</v>
      </c>
      <c r="CV82" s="97">
        <v>0</v>
      </c>
      <c r="CW82" s="97">
        <v>0</v>
      </c>
      <c r="CX82" s="98">
        <v>0</v>
      </c>
      <c r="CY82" s="392"/>
    </row>
    <row r="83" spans="1:110" x14ac:dyDescent="0.25">
      <c r="A83" s="81" t="s">
        <v>138</v>
      </c>
      <c r="B83" s="82" t="s">
        <v>169</v>
      </c>
      <c r="C83" s="83" t="s">
        <v>373</v>
      </c>
      <c r="D83" s="84"/>
      <c r="E83" s="85"/>
      <c r="F83" s="85"/>
      <c r="G83" s="85"/>
      <c r="H83" s="85"/>
      <c r="I83" s="85"/>
      <c r="J83" s="85"/>
      <c r="K83" s="85"/>
      <c r="L83" s="85"/>
      <c r="M83" s="654"/>
      <c r="N83" s="1065"/>
      <c r="O83" s="560">
        <f t="shared" si="75"/>
        <v>0</v>
      </c>
      <c r="P83" s="561">
        <f t="shared" si="51"/>
        <v>0</v>
      </c>
      <c r="Q83" s="561">
        <f t="shared" si="52"/>
        <v>0</v>
      </c>
      <c r="R83" s="561">
        <f t="shared" si="53"/>
        <v>0</v>
      </c>
      <c r="S83" s="561">
        <f t="shared" si="54"/>
        <v>0</v>
      </c>
      <c r="T83" s="561">
        <f t="shared" si="55"/>
        <v>0</v>
      </c>
      <c r="U83" s="561">
        <f t="shared" si="56"/>
        <v>0</v>
      </c>
      <c r="V83" s="561">
        <f t="shared" si="57"/>
        <v>0</v>
      </c>
      <c r="W83" s="675">
        <f t="shared" si="58"/>
        <v>0</v>
      </c>
      <c r="X83" s="675">
        <f t="shared" si="59"/>
        <v>0</v>
      </c>
      <c r="Y83" s="675">
        <f t="shared" si="59"/>
        <v>0</v>
      </c>
      <c r="Z83" s="86"/>
      <c r="AA83" s="87"/>
      <c r="AB83" s="87"/>
      <c r="AC83" s="87"/>
      <c r="AD83" s="87"/>
      <c r="AE83" s="87"/>
      <c r="AF83" s="87"/>
      <c r="AG83" s="87"/>
      <c r="AH83" s="87"/>
      <c r="AI83" s="1094"/>
      <c r="AJ83" s="665"/>
      <c r="AK83" s="88">
        <f t="shared" si="60"/>
        <v>0</v>
      </c>
      <c r="AL83" s="89" t="str" cm="1">
        <f t="array" aca="1" ref="AL83" ca="1">IFERROR(IF($AM$4="N",SSUM(AF83:AH83)/3,SUM(AG83:AI83)/3),"")</f>
        <v/>
      </c>
      <c r="AM83" s="90">
        <f t="shared" si="61"/>
        <v>0</v>
      </c>
      <c r="AN83" s="91" t="str">
        <f t="shared" si="62"/>
        <v/>
      </c>
      <c r="AO83" s="92" t="str">
        <f t="shared" si="63"/>
        <v/>
      </c>
      <c r="AP83" s="92" t="str">
        <f t="shared" si="64"/>
        <v/>
      </c>
      <c r="AQ83" s="92" t="str">
        <f t="shared" si="65"/>
        <v/>
      </c>
      <c r="AR83" s="92" t="str">
        <f t="shared" si="66"/>
        <v/>
      </c>
      <c r="AS83" s="92" t="str">
        <f t="shared" si="67"/>
        <v/>
      </c>
      <c r="AT83" s="92" t="str">
        <f t="shared" si="68"/>
        <v/>
      </c>
      <c r="AU83" s="92" t="str">
        <f t="shared" si="69"/>
        <v/>
      </c>
      <c r="AV83" s="92" t="str">
        <f t="shared" si="70"/>
        <v/>
      </c>
      <c r="AW83" s="92" t="str">
        <f t="shared" si="70"/>
        <v/>
      </c>
      <c r="AX83" s="92" t="str">
        <f t="shared" si="70"/>
        <v/>
      </c>
      <c r="AY83" s="93" t="str">
        <f t="shared" si="71"/>
        <v/>
      </c>
      <c r="AZ83" s="94" t="str">
        <f t="shared" si="72"/>
        <v/>
      </c>
      <c r="BA83" s="95" t="str">
        <f t="shared" si="73"/>
        <v/>
      </c>
      <c r="BB83" s="248" t="s">
        <v>422</v>
      </c>
      <c r="BC83" s="229" t="s">
        <v>433</v>
      </c>
      <c r="BD83" s="249">
        <v>0</v>
      </c>
      <c r="BE83" s="267">
        <f t="shared" si="76"/>
        <v>0</v>
      </c>
      <c r="BF83" s="268">
        <f t="shared" si="74"/>
        <v>0</v>
      </c>
      <c r="BG83" s="268">
        <f t="shared" si="74"/>
        <v>0</v>
      </c>
      <c r="BH83" s="268">
        <f t="shared" si="74"/>
        <v>1</v>
      </c>
      <c r="BI83" s="268">
        <f t="shared" si="74"/>
        <v>2</v>
      </c>
      <c r="BJ83" s="268">
        <f t="shared" si="74"/>
        <v>3</v>
      </c>
      <c r="BK83" s="268">
        <f t="shared" si="74"/>
        <v>4</v>
      </c>
      <c r="BL83" s="269">
        <f t="shared" si="74"/>
        <v>5</v>
      </c>
      <c r="BM83" s="256">
        <f>IF($BC83=Lookup!$A$2,$BD83*ROUNDUP(BE83/10,0)+1,
IF($BC83=Lookup!$A$3,($BD83+1)^BD83,
IF($BC83=Lookup!$A$4,BE83*$BD83+1,"Error")))</f>
        <v>1</v>
      </c>
      <c r="BN83" s="229">
        <f>IF($BC83=Lookup!$A$2,$BD83*ROUNDUP(BF83/10,0)+1,
IF($BC83=Lookup!$A$3,($BD83+1)^BE83,
IF($BC83=Lookup!$A$4,BF83*$BD83+1,"Error")))</f>
        <v>1</v>
      </c>
      <c r="BO83" s="229">
        <f>IF($BC83=Lookup!$A$2,$BD83*ROUNDUP(BG83/10,0)+1,
IF($BC83=Lookup!$A$3,($BD83+1)^BF83,
IF($BC83=Lookup!$A$4,BG83*$BD83+1,"Error")))</f>
        <v>1</v>
      </c>
      <c r="BP83" s="229">
        <f>IF($BC83=Lookup!$A$2,$BD83*ROUNDUP(BH83/10,0)+1,
IF($BC83=Lookup!$A$3,($BD83+1)^BG83,
IF($BC83=Lookup!$A$4,BH83*$BD83+1,"Error")))</f>
        <v>1</v>
      </c>
      <c r="BQ83" s="229">
        <f>IF($BC83=Lookup!$A$2,$BD83*ROUNDUP(BI83/10,0)+1,
IF($BC83=Lookup!$A$3,($BD83+1)^BH83,
IF($BC83=Lookup!$A$4,BI83*$BD83+1,"Error")))</f>
        <v>1</v>
      </c>
      <c r="BR83" s="229">
        <f>IF($BC83=Lookup!$A$2,$BD83*ROUNDUP(BJ83/10,0)+1,
IF($BC83=Lookup!$A$3,($BD83+1)^BI83,
IF($BC83=Lookup!$A$4,BJ83*$BD83+1,"Error")))</f>
        <v>1</v>
      </c>
      <c r="BS83" s="229">
        <f>IF($BC83=Lookup!$A$2,$BD83*ROUNDUP(BK83/10,0)+1,
IF($BC83=Lookup!$A$3,($BD83+1)^BJ83,
IF($BC83=Lookup!$A$4,BK83*$BD83+1,"Error")))</f>
        <v>1</v>
      </c>
      <c r="BT83" s="249">
        <f>IF($BC83=Lookup!$A$2,$BD83*ROUNDUP(BL83/10,0)+1,
IF($BC83=Lookup!$A$3,($BD83+1)^BK83,
IF($BC83=Lookup!$A$4,BL83*$BD83+1,"Error")))</f>
        <v>1</v>
      </c>
      <c r="BU83" s="320">
        <v>0</v>
      </c>
      <c r="BV83" s="321">
        <v>0</v>
      </c>
      <c r="BW83" s="321">
        <v>0</v>
      </c>
      <c r="BX83" s="320">
        <v>0</v>
      </c>
      <c r="BY83" s="321">
        <v>0</v>
      </c>
      <c r="BZ83" s="321">
        <v>0</v>
      </c>
      <c r="CA83" s="321">
        <v>0</v>
      </c>
      <c r="CB83" s="277">
        <v>0</v>
      </c>
      <c r="CC83" s="382" t="s">
        <v>292</v>
      </c>
      <c r="CD83" s="383">
        <f>HLOOKUP($CC83,$AK$6:$AM$132,ROWS(CD$6:CD83),0)</f>
        <v>0</v>
      </c>
      <c r="CE83" s="234">
        <f t="shared" si="77"/>
        <v>0</v>
      </c>
      <c r="CF83" s="96">
        <f t="shared" si="77"/>
        <v>0</v>
      </c>
      <c r="CG83" s="521">
        <f t="shared" si="77"/>
        <v>0</v>
      </c>
      <c r="CH83" s="421">
        <f t="shared" si="77"/>
        <v>0</v>
      </c>
      <c r="CI83" s="96">
        <f t="shared" si="45"/>
        <v>0</v>
      </c>
      <c r="CJ83" s="96">
        <f t="shared" si="45"/>
        <v>0</v>
      </c>
      <c r="CK83" s="96">
        <f t="shared" si="45"/>
        <v>0</v>
      </c>
      <c r="CL83" s="286">
        <f t="shared" si="45"/>
        <v>0</v>
      </c>
      <c r="CM83" s="305" t="s">
        <v>293</v>
      </c>
      <c r="CN83" s="315">
        <v>0.05</v>
      </c>
      <c r="CO83" s="306"/>
      <c r="CP83" s="307" t="str">
        <f>IF($CO83&lt;&gt;"",$CO83,HLOOKUP($CM83,$AY$6:$BA$132,ROWS(CP$6:CP83),0))</f>
        <v/>
      </c>
      <c r="CQ83" s="784">
        <v>0</v>
      </c>
      <c r="CR83" s="784">
        <v>0</v>
      </c>
      <c r="CS83" s="524">
        <v>0</v>
      </c>
      <c r="CT83" s="416">
        <v>0</v>
      </c>
      <c r="CU83" s="97">
        <v>0</v>
      </c>
      <c r="CV83" s="97">
        <v>0</v>
      </c>
      <c r="CW83" s="97">
        <v>0</v>
      </c>
      <c r="CX83" s="98">
        <v>0</v>
      </c>
      <c r="CY83" s="392"/>
    </row>
    <row r="84" spans="1:110" x14ac:dyDescent="0.25">
      <c r="A84" s="81" t="s">
        <v>138</v>
      </c>
      <c r="B84" s="82" t="s">
        <v>171</v>
      </c>
      <c r="C84" s="83" t="s">
        <v>374</v>
      </c>
      <c r="D84" s="84"/>
      <c r="E84" s="85"/>
      <c r="F84" s="85"/>
      <c r="G84" s="85"/>
      <c r="H84" s="85"/>
      <c r="I84" s="85"/>
      <c r="J84" s="85"/>
      <c r="K84" s="85"/>
      <c r="L84" s="85"/>
      <c r="M84" s="654"/>
      <c r="N84" s="1065"/>
      <c r="O84" s="560">
        <f t="shared" si="75"/>
        <v>0</v>
      </c>
      <c r="P84" s="561">
        <f t="shared" si="51"/>
        <v>0</v>
      </c>
      <c r="Q84" s="561">
        <f t="shared" si="52"/>
        <v>0</v>
      </c>
      <c r="R84" s="561">
        <f t="shared" si="53"/>
        <v>0</v>
      </c>
      <c r="S84" s="561">
        <f t="shared" si="54"/>
        <v>0</v>
      </c>
      <c r="T84" s="561">
        <f t="shared" si="55"/>
        <v>0</v>
      </c>
      <c r="U84" s="561">
        <f t="shared" si="56"/>
        <v>0</v>
      </c>
      <c r="V84" s="561">
        <f t="shared" si="57"/>
        <v>0</v>
      </c>
      <c r="W84" s="675">
        <f t="shared" si="58"/>
        <v>0</v>
      </c>
      <c r="X84" s="675">
        <f t="shared" si="59"/>
        <v>0</v>
      </c>
      <c r="Y84" s="675">
        <f t="shared" si="59"/>
        <v>0</v>
      </c>
      <c r="Z84" s="86"/>
      <c r="AA84" s="87"/>
      <c r="AB84" s="87"/>
      <c r="AC84" s="87"/>
      <c r="AD84" s="87"/>
      <c r="AE84" s="87"/>
      <c r="AF84" s="87"/>
      <c r="AG84" s="87"/>
      <c r="AH84" s="87"/>
      <c r="AI84" s="1094"/>
      <c r="AJ84" s="665"/>
      <c r="AK84" s="88">
        <f t="shared" si="60"/>
        <v>0</v>
      </c>
      <c r="AL84" s="89" t="str" cm="1">
        <f t="array" aca="1" ref="AL84" ca="1">IFERROR(IF($AM$4="N",SSUM(AF84:AH84)/3,SUM(AG84:AI84)/3),"")</f>
        <v/>
      </c>
      <c r="AM84" s="90">
        <f t="shared" si="61"/>
        <v>0</v>
      </c>
      <c r="AN84" s="91" t="str">
        <f t="shared" si="62"/>
        <v/>
      </c>
      <c r="AO84" s="92" t="str">
        <f t="shared" si="63"/>
        <v/>
      </c>
      <c r="AP84" s="92" t="str">
        <f t="shared" si="64"/>
        <v/>
      </c>
      <c r="AQ84" s="92" t="str">
        <f t="shared" si="65"/>
        <v/>
      </c>
      <c r="AR84" s="92" t="str">
        <f t="shared" si="66"/>
        <v/>
      </c>
      <c r="AS84" s="92" t="str">
        <f t="shared" si="67"/>
        <v/>
      </c>
      <c r="AT84" s="92" t="str">
        <f t="shared" si="68"/>
        <v/>
      </c>
      <c r="AU84" s="92" t="str">
        <f t="shared" si="69"/>
        <v/>
      </c>
      <c r="AV84" s="92" t="str">
        <f t="shared" si="70"/>
        <v/>
      </c>
      <c r="AW84" s="92" t="str">
        <f t="shared" si="70"/>
        <v/>
      </c>
      <c r="AX84" s="92" t="str">
        <f t="shared" si="70"/>
        <v/>
      </c>
      <c r="AY84" s="93" t="str">
        <f t="shared" si="71"/>
        <v/>
      </c>
      <c r="AZ84" s="94" t="str">
        <f t="shared" si="72"/>
        <v/>
      </c>
      <c r="BA84" s="95" t="str">
        <f t="shared" si="73"/>
        <v/>
      </c>
      <c r="BB84" s="248" t="s">
        <v>422</v>
      </c>
      <c r="BC84" s="229" t="s">
        <v>433</v>
      </c>
      <c r="BD84" s="249">
        <v>0</v>
      </c>
      <c r="BE84" s="267">
        <f t="shared" si="76"/>
        <v>0</v>
      </c>
      <c r="BF84" s="268">
        <f t="shared" si="74"/>
        <v>0</v>
      </c>
      <c r="BG84" s="268">
        <f t="shared" si="74"/>
        <v>0</v>
      </c>
      <c r="BH84" s="268">
        <f t="shared" si="74"/>
        <v>1</v>
      </c>
      <c r="BI84" s="268">
        <f t="shared" si="74"/>
        <v>2</v>
      </c>
      <c r="BJ84" s="268">
        <f t="shared" si="74"/>
        <v>3</v>
      </c>
      <c r="BK84" s="268">
        <f t="shared" si="74"/>
        <v>4</v>
      </c>
      <c r="BL84" s="269">
        <f t="shared" si="74"/>
        <v>5</v>
      </c>
      <c r="BM84" s="256">
        <f>IF($BC84=Lookup!$A$2,$BD84*ROUNDUP(BE84/10,0)+1,
IF($BC84=Lookup!$A$3,($BD84+1)^BD84,
IF($BC84=Lookup!$A$4,BE84*$BD84+1,"Error")))</f>
        <v>1</v>
      </c>
      <c r="BN84" s="229">
        <f>IF($BC84=Lookup!$A$2,$BD84*ROUNDUP(BF84/10,0)+1,
IF($BC84=Lookup!$A$3,($BD84+1)^BE84,
IF($BC84=Lookup!$A$4,BF84*$BD84+1,"Error")))</f>
        <v>1</v>
      </c>
      <c r="BO84" s="229">
        <f>IF($BC84=Lookup!$A$2,$BD84*ROUNDUP(BG84/10,0)+1,
IF($BC84=Lookup!$A$3,($BD84+1)^BF84,
IF($BC84=Lookup!$A$4,BG84*$BD84+1,"Error")))</f>
        <v>1</v>
      </c>
      <c r="BP84" s="229">
        <f>IF($BC84=Lookup!$A$2,$BD84*ROUNDUP(BH84/10,0)+1,
IF($BC84=Lookup!$A$3,($BD84+1)^BG84,
IF($BC84=Lookup!$A$4,BH84*$BD84+1,"Error")))</f>
        <v>1</v>
      </c>
      <c r="BQ84" s="229">
        <f>IF($BC84=Lookup!$A$2,$BD84*ROUNDUP(BI84/10,0)+1,
IF($BC84=Lookup!$A$3,($BD84+1)^BH84,
IF($BC84=Lookup!$A$4,BI84*$BD84+1,"Error")))</f>
        <v>1</v>
      </c>
      <c r="BR84" s="229">
        <f>IF($BC84=Lookup!$A$2,$BD84*ROUNDUP(BJ84/10,0)+1,
IF($BC84=Lookup!$A$3,($BD84+1)^BI84,
IF($BC84=Lookup!$A$4,BJ84*$BD84+1,"Error")))</f>
        <v>1</v>
      </c>
      <c r="BS84" s="229">
        <f>IF($BC84=Lookup!$A$2,$BD84*ROUNDUP(BK84/10,0)+1,
IF($BC84=Lookup!$A$3,($BD84+1)^BJ84,
IF($BC84=Lookup!$A$4,BK84*$BD84+1,"Error")))</f>
        <v>1</v>
      </c>
      <c r="BT84" s="249">
        <f>IF($BC84=Lookup!$A$2,$BD84*ROUNDUP(BL84/10,0)+1,
IF($BC84=Lookup!$A$3,($BD84+1)^BK84,
IF($BC84=Lookup!$A$4,BL84*$BD84+1,"Error")))</f>
        <v>1</v>
      </c>
      <c r="BU84" s="320">
        <v>0</v>
      </c>
      <c r="BV84" s="321">
        <v>0</v>
      </c>
      <c r="BW84" s="321">
        <v>0</v>
      </c>
      <c r="BX84" s="320">
        <v>0</v>
      </c>
      <c r="BY84" s="321">
        <v>0</v>
      </c>
      <c r="BZ84" s="321">
        <v>0</v>
      </c>
      <c r="CA84" s="321">
        <v>0</v>
      </c>
      <c r="CB84" s="277">
        <v>0</v>
      </c>
      <c r="CC84" s="382" t="s">
        <v>292</v>
      </c>
      <c r="CD84" s="383">
        <f>HLOOKUP($CC84,$AK$6:$AM$132,ROWS(CD$6:CD84),0)</f>
        <v>0</v>
      </c>
      <c r="CE84" s="234">
        <f t="shared" si="77"/>
        <v>0</v>
      </c>
      <c r="CF84" s="96">
        <f t="shared" si="77"/>
        <v>0</v>
      </c>
      <c r="CG84" s="521">
        <f t="shared" si="77"/>
        <v>0</v>
      </c>
      <c r="CH84" s="421">
        <f t="shared" si="77"/>
        <v>0</v>
      </c>
      <c r="CI84" s="96">
        <f t="shared" si="45"/>
        <v>0</v>
      </c>
      <c r="CJ84" s="96">
        <f t="shared" si="45"/>
        <v>0</v>
      </c>
      <c r="CK84" s="96">
        <f t="shared" si="45"/>
        <v>0</v>
      </c>
      <c r="CL84" s="286">
        <f t="shared" si="45"/>
        <v>0</v>
      </c>
      <c r="CM84" s="305" t="s">
        <v>293</v>
      </c>
      <c r="CN84" s="315">
        <v>0.05</v>
      </c>
      <c r="CO84" s="306"/>
      <c r="CP84" s="307" t="str">
        <f>IF($CO84&lt;&gt;"",$CO84,HLOOKUP($CM84,$AY$6:$BA$132,ROWS(CP$6:CP84),0))</f>
        <v/>
      </c>
      <c r="CQ84" s="784">
        <v>0</v>
      </c>
      <c r="CR84" s="784">
        <v>0</v>
      </c>
      <c r="CS84" s="524">
        <v>0</v>
      </c>
      <c r="CT84" s="416">
        <v>0</v>
      </c>
      <c r="CU84" s="97">
        <v>0</v>
      </c>
      <c r="CV84" s="97">
        <v>0</v>
      </c>
      <c r="CW84" s="97">
        <v>0</v>
      </c>
      <c r="CX84" s="98">
        <v>0</v>
      </c>
      <c r="CY84" s="392"/>
    </row>
    <row r="85" spans="1:110" x14ac:dyDescent="0.25">
      <c r="A85" s="81" t="s">
        <v>138</v>
      </c>
      <c r="B85" s="82" t="s">
        <v>173</v>
      </c>
      <c r="C85" s="83" t="s">
        <v>375</v>
      </c>
      <c r="D85" s="84"/>
      <c r="E85" s="85"/>
      <c r="F85" s="85"/>
      <c r="G85" s="85"/>
      <c r="H85" s="85"/>
      <c r="I85" s="85"/>
      <c r="J85" s="85"/>
      <c r="K85" s="85"/>
      <c r="L85" s="85"/>
      <c r="M85" s="654"/>
      <c r="N85" s="1065"/>
      <c r="O85" s="560">
        <f t="shared" si="75"/>
        <v>0</v>
      </c>
      <c r="P85" s="561">
        <f t="shared" si="51"/>
        <v>0</v>
      </c>
      <c r="Q85" s="561">
        <f t="shared" si="52"/>
        <v>0</v>
      </c>
      <c r="R85" s="561">
        <f t="shared" si="53"/>
        <v>0</v>
      </c>
      <c r="S85" s="561">
        <f t="shared" si="54"/>
        <v>0</v>
      </c>
      <c r="T85" s="561">
        <f t="shared" si="55"/>
        <v>0</v>
      </c>
      <c r="U85" s="561">
        <f t="shared" si="56"/>
        <v>0</v>
      </c>
      <c r="V85" s="561">
        <f t="shared" si="57"/>
        <v>0</v>
      </c>
      <c r="W85" s="675">
        <f t="shared" si="58"/>
        <v>0</v>
      </c>
      <c r="X85" s="675">
        <f t="shared" si="59"/>
        <v>0</v>
      </c>
      <c r="Y85" s="675">
        <f t="shared" si="59"/>
        <v>0</v>
      </c>
      <c r="Z85" s="86"/>
      <c r="AA85" s="87"/>
      <c r="AB85" s="87"/>
      <c r="AC85" s="87"/>
      <c r="AD85" s="87"/>
      <c r="AE85" s="87"/>
      <c r="AF85" s="87"/>
      <c r="AG85" s="87"/>
      <c r="AH85" s="87"/>
      <c r="AI85" s="1094"/>
      <c r="AJ85" s="665"/>
      <c r="AK85" s="88">
        <f t="shared" si="60"/>
        <v>0</v>
      </c>
      <c r="AL85" s="89" t="str" cm="1">
        <f t="array" aca="1" ref="AL85" ca="1">IFERROR(IF($AM$4="N",SSUM(AF85:AH85)/3,SUM(AG85:AI85)/3),"")</f>
        <v/>
      </c>
      <c r="AM85" s="90">
        <f t="shared" si="61"/>
        <v>0</v>
      </c>
      <c r="AN85" s="91" t="str">
        <f t="shared" si="62"/>
        <v/>
      </c>
      <c r="AO85" s="92" t="str">
        <f t="shared" si="63"/>
        <v/>
      </c>
      <c r="AP85" s="92" t="str">
        <f t="shared" si="64"/>
        <v/>
      </c>
      <c r="AQ85" s="92" t="str">
        <f t="shared" si="65"/>
        <v/>
      </c>
      <c r="AR85" s="92" t="str">
        <f t="shared" si="66"/>
        <v/>
      </c>
      <c r="AS85" s="92" t="str">
        <f t="shared" si="67"/>
        <v/>
      </c>
      <c r="AT85" s="92" t="str">
        <f t="shared" si="68"/>
        <v/>
      </c>
      <c r="AU85" s="92" t="str">
        <f t="shared" si="69"/>
        <v/>
      </c>
      <c r="AV85" s="92" t="str">
        <f t="shared" si="70"/>
        <v/>
      </c>
      <c r="AW85" s="92" t="str">
        <f t="shared" si="70"/>
        <v/>
      </c>
      <c r="AX85" s="92" t="str">
        <f t="shared" si="70"/>
        <v/>
      </c>
      <c r="AY85" s="93" t="str">
        <f t="shared" si="71"/>
        <v/>
      </c>
      <c r="AZ85" s="94" t="str">
        <f t="shared" si="72"/>
        <v/>
      </c>
      <c r="BA85" s="95" t="str">
        <f t="shared" si="73"/>
        <v/>
      </c>
      <c r="BB85" s="248" t="s">
        <v>422</v>
      </c>
      <c r="BC85" s="229" t="s">
        <v>433</v>
      </c>
      <c r="BD85" s="249">
        <v>0</v>
      </c>
      <c r="BE85" s="267">
        <f t="shared" si="76"/>
        <v>0</v>
      </c>
      <c r="BF85" s="268">
        <f t="shared" si="74"/>
        <v>0</v>
      </c>
      <c r="BG85" s="268">
        <f t="shared" si="74"/>
        <v>0</v>
      </c>
      <c r="BH85" s="268">
        <f t="shared" si="74"/>
        <v>1</v>
      </c>
      <c r="BI85" s="268">
        <f t="shared" si="74"/>
        <v>2</v>
      </c>
      <c r="BJ85" s="268">
        <f t="shared" si="74"/>
        <v>3</v>
      </c>
      <c r="BK85" s="268">
        <f t="shared" si="74"/>
        <v>4</v>
      </c>
      <c r="BL85" s="269">
        <f t="shared" si="74"/>
        <v>5</v>
      </c>
      <c r="BM85" s="256">
        <f>IF($BC85=Lookup!$A$2,$BD85*ROUNDUP(BE85/10,0)+1,
IF($BC85=Lookup!$A$3,($BD85+1)^BD85,
IF($BC85=Lookup!$A$4,BE85*$BD85+1,"Error")))</f>
        <v>1</v>
      </c>
      <c r="BN85" s="229">
        <f>IF($BC85=Lookup!$A$2,$BD85*ROUNDUP(BF85/10,0)+1,
IF($BC85=Lookup!$A$3,($BD85+1)^BE85,
IF($BC85=Lookup!$A$4,BF85*$BD85+1,"Error")))</f>
        <v>1</v>
      </c>
      <c r="BO85" s="229">
        <f>IF($BC85=Lookup!$A$2,$BD85*ROUNDUP(BG85/10,0)+1,
IF($BC85=Lookup!$A$3,($BD85+1)^BF85,
IF($BC85=Lookup!$A$4,BG85*$BD85+1,"Error")))</f>
        <v>1</v>
      </c>
      <c r="BP85" s="229">
        <f>IF($BC85=Lookup!$A$2,$BD85*ROUNDUP(BH85/10,0)+1,
IF($BC85=Lookup!$A$3,($BD85+1)^BG85,
IF($BC85=Lookup!$A$4,BH85*$BD85+1,"Error")))</f>
        <v>1</v>
      </c>
      <c r="BQ85" s="229">
        <f>IF($BC85=Lookup!$A$2,$BD85*ROUNDUP(BI85/10,0)+1,
IF($BC85=Lookup!$A$3,($BD85+1)^BH85,
IF($BC85=Lookup!$A$4,BI85*$BD85+1,"Error")))</f>
        <v>1</v>
      </c>
      <c r="BR85" s="229">
        <f>IF($BC85=Lookup!$A$2,$BD85*ROUNDUP(BJ85/10,0)+1,
IF($BC85=Lookup!$A$3,($BD85+1)^BI85,
IF($BC85=Lookup!$A$4,BJ85*$BD85+1,"Error")))</f>
        <v>1</v>
      </c>
      <c r="BS85" s="229">
        <f>IF($BC85=Lookup!$A$2,$BD85*ROUNDUP(BK85/10,0)+1,
IF($BC85=Lookup!$A$3,($BD85+1)^BJ85,
IF($BC85=Lookup!$A$4,BK85*$BD85+1,"Error")))</f>
        <v>1</v>
      </c>
      <c r="BT85" s="249">
        <f>IF($BC85=Lookup!$A$2,$BD85*ROUNDUP(BL85/10,0)+1,
IF($BC85=Lookup!$A$3,($BD85+1)^BK85,
IF($BC85=Lookup!$A$4,BL85*$BD85+1,"Error")))</f>
        <v>1</v>
      </c>
      <c r="BU85" s="320">
        <v>0</v>
      </c>
      <c r="BV85" s="321">
        <v>0</v>
      </c>
      <c r="BW85" s="321">
        <v>0</v>
      </c>
      <c r="BX85" s="320">
        <v>0</v>
      </c>
      <c r="BY85" s="321">
        <v>0</v>
      </c>
      <c r="BZ85" s="321">
        <v>5</v>
      </c>
      <c r="CA85" s="321">
        <v>4</v>
      </c>
      <c r="CB85" s="277">
        <v>1</v>
      </c>
      <c r="CC85" s="382" t="s">
        <v>292</v>
      </c>
      <c r="CD85" s="383">
        <f>HLOOKUP($CC85,$AK$6:$AM$132,ROWS(CD$6:CD85),0)</f>
        <v>0</v>
      </c>
      <c r="CE85" s="234">
        <f t="shared" si="77"/>
        <v>0</v>
      </c>
      <c r="CF85" s="96">
        <f t="shared" si="77"/>
        <v>0</v>
      </c>
      <c r="CG85" s="521">
        <f t="shared" si="77"/>
        <v>0</v>
      </c>
      <c r="CH85" s="421">
        <f t="shared" si="77"/>
        <v>0</v>
      </c>
      <c r="CI85" s="96">
        <f t="shared" si="45"/>
        <v>0</v>
      </c>
      <c r="CJ85" s="96">
        <f t="shared" si="45"/>
        <v>5</v>
      </c>
      <c r="CK85" s="96">
        <f t="shared" si="45"/>
        <v>4</v>
      </c>
      <c r="CL85" s="286">
        <f t="shared" si="45"/>
        <v>1</v>
      </c>
      <c r="CM85" s="305" t="s">
        <v>293</v>
      </c>
      <c r="CN85" s="315">
        <v>0.05</v>
      </c>
      <c r="CO85" s="306"/>
      <c r="CP85" s="307" t="str">
        <f>IF($CO85&lt;&gt;"",$CO85,HLOOKUP($CM85,$AY$6:$BA$132,ROWS(CP$6:CP85),0))</f>
        <v/>
      </c>
      <c r="CQ85" s="786">
        <v>42742.558116308217</v>
      </c>
      <c r="CR85" s="786">
        <v>364520.97122542601</v>
      </c>
      <c r="CS85" s="794">
        <v>1451811.917123246</v>
      </c>
      <c r="CT85" s="795">
        <v>3624748.3240101216</v>
      </c>
      <c r="CU85" s="402">
        <v>4515015.1459482284</v>
      </c>
      <c r="CV85" s="402">
        <v>5723438.7254956821</v>
      </c>
      <c r="CW85" s="402">
        <v>4476711.2090411726</v>
      </c>
      <c r="CX85" s="403">
        <v>9184878.6824366339</v>
      </c>
      <c r="CY85" s="392"/>
      <c r="CZ85" s="1" t="s">
        <v>670</v>
      </c>
      <c r="DA85" s="755">
        <f>ROUND(SUM(CT85:CT94)/1000000,1)</f>
        <v>10.6</v>
      </c>
      <c r="DB85" s="755">
        <f>ROUND(SUM(CU85:CU94)/1000000,1)</f>
        <v>13.2</v>
      </c>
      <c r="DC85" s="755">
        <f>ROUND(SUM(CV85:CV94)/1000000,1)</f>
        <v>15.3</v>
      </c>
      <c r="DD85" s="755">
        <f>ROUND(SUM(CW85:CW94)/1000000,1)</f>
        <v>21.1</v>
      </c>
      <c r="DE85" s="755">
        <f>ROUND(SUM(CX85:CX94)/1000000,1)</f>
        <v>25.7</v>
      </c>
      <c r="DF85" s="750">
        <f>SUM(DA85:DE85)</f>
        <v>85.899999999999991</v>
      </c>
    </row>
    <row r="86" spans="1:110" x14ac:dyDescent="0.25">
      <c r="A86" s="81" t="s">
        <v>138</v>
      </c>
      <c r="B86" s="82" t="s">
        <v>175</v>
      </c>
      <c r="C86" s="83" t="s">
        <v>376</v>
      </c>
      <c r="D86" s="84"/>
      <c r="E86" s="85"/>
      <c r="F86" s="85"/>
      <c r="G86" s="85"/>
      <c r="H86" s="85"/>
      <c r="I86" s="85"/>
      <c r="J86" s="85"/>
      <c r="K86" s="85"/>
      <c r="L86" s="85"/>
      <c r="M86" s="654"/>
      <c r="N86" s="1065"/>
      <c r="O86" s="560">
        <f t="shared" si="75"/>
        <v>0</v>
      </c>
      <c r="P86" s="561">
        <f t="shared" si="51"/>
        <v>0</v>
      </c>
      <c r="Q86" s="561">
        <f t="shared" si="52"/>
        <v>0</v>
      </c>
      <c r="R86" s="561">
        <f t="shared" si="53"/>
        <v>0</v>
      </c>
      <c r="S86" s="561">
        <f t="shared" si="54"/>
        <v>0</v>
      </c>
      <c r="T86" s="561">
        <f t="shared" si="55"/>
        <v>0</v>
      </c>
      <c r="U86" s="561">
        <f t="shared" si="56"/>
        <v>0</v>
      </c>
      <c r="V86" s="561">
        <f t="shared" si="57"/>
        <v>0</v>
      </c>
      <c r="W86" s="675">
        <f t="shared" si="58"/>
        <v>0</v>
      </c>
      <c r="X86" s="675">
        <f t="shared" si="59"/>
        <v>0</v>
      </c>
      <c r="Y86" s="675">
        <f t="shared" si="59"/>
        <v>0</v>
      </c>
      <c r="Z86" s="86"/>
      <c r="AA86" s="87"/>
      <c r="AB86" s="87"/>
      <c r="AC86" s="87"/>
      <c r="AD86" s="87"/>
      <c r="AE86" s="87"/>
      <c r="AF86" s="87"/>
      <c r="AG86" s="87"/>
      <c r="AH86" s="87"/>
      <c r="AI86" s="1094"/>
      <c r="AJ86" s="665"/>
      <c r="AK86" s="88">
        <f t="shared" si="60"/>
        <v>0</v>
      </c>
      <c r="AL86" s="89" t="str" cm="1">
        <f t="array" aca="1" ref="AL86" ca="1">IFERROR(IF($AM$4="N",SSUM(AF86:AH86)/3,SUM(AG86:AI86)/3),"")</f>
        <v/>
      </c>
      <c r="AM86" s="90">
        <f t="shared" si="61"/>
        <v>0</v>
      </c>
      <c r="AN86" s="91" t="str">
        <f t="shared" si="62"/>
        <v/>
      </c>
      <c r="AO86" s="92" t="str">
        <f t="shared" si="63"/>
        <v/>
      </c>
      <c r="AP86" s="92" t="str">
        <f t="shared" si="64"/>
        <v/>
      </c>
      <c r="AQ86" s="92" t="str">
        <f t="shared" si="65"/>
        <v/>
      </c>
      <c r="AR86" s="92" t="str">
        <f t="shared" si="66"/>
        <v/>
      </c>
      <c r="AS86" s="92" t="str">
        <f t="shared" si="67"/>
        <v/>
      </c>
      <c r="AT86" s="92" t="str">
        <f t="shared" si="68"/>
        <v/>
      </c>
      <c r="AU86" s="92" t="str">
        <f t="shared" si="69"/>
        <v/>
      </c>
      <c r="AV86" s="92" t="str">
        <f t="shared" si="70"/>
        <v/>
      </c>
      <c r="AW86" s="92" t="str">
        <f t="shared" si="70"/>
        <v/>
      </c>
      <c r="AX86" s="92" t="str">
        <f t="shared" si="70"/>
        <v/>
      </c>
      <c r="AY86" s="93" t="str">
        <f t="shared" si="71"/>
        <v/>
      </c>
      <c r="AZ86" s="94" t="str">
        <f t="shared" si="72"/>
        <v/>
      </c>
      <c r="BA86" s="95" t="str">
        <f t="shared" si="73"/>
        <v/>
      </c>
      <c r="BB86" s="248" t="s">
        <v>422</v>
      </c>
      <c r="BC86" s="229" t="s">
        <v>433</v>
      </c>
      <c r="BD86" s="249">
        <v>0</v>
      </c>
      <c r="BE86" s="267">
        <f t="shared" si="76"/>
        <v>0</v>
      </c>
      <c r="BF86" s="268">
        <f t="shared" si="74"/>
        <v>0</v>
      </c>
      <c r="BG86" s="268">
        <f t="shared" si="74"/>
        <v>0</v>
      </c>
      <c r="BH86" s="268">
        <f t="shared" si="74"/>
        <v>1</v>
      </c>
      <c r="BI86" s="268">
        <f t="shared" si="74"/>
        <v>2</v>
      </c>
      <c r="BJ86" s="268">
        <f t="shared" si="74"/>
        <v>3</v>
      </c>
      <c r="BK86" s="268">
        <f t="shared" si="74"/>
        <v>4</v>
      </c>
      <c r="BL86" s="269">
        <f t="shared" si="74"/>
        <v>5</v>
      </c>
      <c r="BM86" s="256">
        <f>IF($BC86=Lookup!$A$2,$BD86*ROUNDUP(BE86/10,0)+1,
IF($BC86=Lookup!$A$3,($BD86+1)^BD86,
IF($BC86=Lookup!$A$4,BE86*$BD86+1,"Error")))</f>
        <v>1</v>
      </c>
      <c r="BN86" s="229">
        <f>IF($BC86=Lookup!$A$2,$BD86*ROUNDUP(BF86/10,0)+1,
IF($BC86=Lookup!$A$3,($BD86+1)^BE86,
IF($BC86=Lookup!$A$4,BF86*$BD86+1,"Error")))</f>
        <v>1</v>
      </c>
      <c r="BO86" s="229">
        <f>IF($BC86=Lookup!$A$2,$BD86*ROUNDUP(BG86/10,0)+1,
IF($BC86=Lookup!$A$3,($BD86+1)^BF86,
IF($BC86=Lookup!$A$4,BG86*$BD86+1,"Error")))</f>
        <v>1</v>
      </c>
      <c r="BP86" s="229">
        <f>IF($BC86=Lookup!$A$2,$BD86*ROUNDUP(BH86/10,0)+1,
IF($BC86=Lookup!$A$3,($BD86+1)^BG86,
IF($BC86=Lookup!$A$4,BH86*$BD86+1,"Error")))</f>
        <v>1</v>
      </c>
      <c r="BQ86" s="229">
        <f>IF($BC86=Lookup!$A$2,$BD86*ROUNDUP(BI86/10,0)+1,
IF($BC86=Lookup!$A$3,($BD86+1)^BH86,
IF($BC86=Lookup!$A$4,BI86*$BD86+1,"Error")))</f>
        <v>1</v>
      </c>
      <c r="BR86" s="229">
        <f>IF($BC86=Lookup!$A$2,$BD86*ROUNDUP(BJ86/10,0)+1,
IF($BC86=Lookup!$A$3,($BD86+1)^BI86,
IF($BC86=Lookup!$A$4,BJ86*$BD86+1,"Error")))</f>
        <v>1</v>
      </c>
      <c r="BS86" s="229">
        <f>IF($BC86=Lookup!$A$2,$BD86*ROUNDUP(BK86/10,0)+1,
IF($BC86=Lookup!$A$3,($BD86+1)^BJ86,
IF($BC86=Lookup!$A$4,BK86*$BD86+1,"Error")))</f>
        <v>1</v>
      </c>
      <c r="BT86" s="249">
        <f>IF($BC86=Lookup!$A$2,$BD86*ROUNDUP(BL86/10,0)+1,
IF($BC86=Lookup!$A$3,($BD86+1)^BK86,
IF($BC86=Lookup!$A$4,BL86*$BD86+1,"Error")))</f>
        <v>1</v>
      </c>
      <c r="BU86" s="320">
        <v>0</v>
      </c>
      <c r="BV86" s="321">
        <v>0</v>
      </c>
      <c r="BW86" s="321">
        <v>0</v>
      </c>
      <c r="BX86" s="320">
        <v>0</v>
      </c>
      <c r="BY86" s="321">
        <v>0</v>
      </c>
      <c r="BZ86" s="321">
        <v>0</v>
      </c>
      <c r="CA86" s="321">
        <v>0</v>
      </c>
      <c r="CB86" s="277">
        <v>0</v>
      </c>
      <c r="CC86" s="382" t="s">
        <v>292</v>
      </c>
      <c r="CD86" s="383">
        <f>HLOOKUP($CC86,$AK$6:$AM$132,ROWS(CD$6:CD86),0)</f>
        <v>0</v>
      </c>
      <c r="CE86" s="234">
        <f t="shared" si="77"/>
        <v>0</v>
      </c>
      <c r="CF86" s="96">
        <f t="shared" si="77"/>
        <v>0</v>
      </c>
      <c r="CG86" s="521">
        <f t="shared" si="77"/>
        <v>0</v>
      </c>
      <c r="CH86" s="421">
        <f t="shared" si="77"/>
        <v>0</v>
      </c>
      <c r="CI86" s="96">
        <f t="shared" si="45"/>
        <v>0</v>
      </c>
      <c r="CJ86" s="96">
        <f t="shared" si="45"/>
        <v>0</v>
      </c>
      <c r="CK86" s="96">
        <f t="shared" si="45"/>
        <v>0</v>
      </c>
      <c r="CL86" s="286">
        <f t="shared" si="45"/>
        <v>0</v>
      </c>
      <c r="CM86" s="305" t="s">
        <v>293</v>
      </c>
      <c r="CN86" s="315">
        <v>0.05</v>
      </c>
      <c r="CO86" s="306"/>
      <c r="CP86" s="307" t="str">
        <f>IF($CO86&lt;&gt;"",$CO86,HLOOKUP($CM86,$AY$6:$BA$132,ROWS(CP$6:CP86),0))</f>
        <v/>
      </c>
      <c r="CQ86" s="784">
        <v>10416.895480794019</v>
      </c>
      <c r="CR86" s="784">
        <v>931676.52123085037</v>
      </c>
      <c r="CS86" s="524">
        <v>0</v>
      </c>
      <c r="CT86" s="416">
        <v>0</v>
      </c>
      <c r="CU86" s="97">
        <v>0</v>
      </c>
      <c r="CV86" s="97">
        <v>0</v>
      </c>
      <c r="CW86" s="97">
        <v>0</v>
      </c>
      <c r="CX86" s="98">
        <v>0</v>
      </c>
      <c r="CY86" s="392"/>
      <c r="CZ86" s="1" t="s">
        <v>671</v>
      </c>
      <c r="DA86" s="755">
        <f t="shared" ref="DA86:DF86" si="78">DA85</f>
        <v>10.6</v>
      </c>
      <c r="DB86" s="755">
        <f t="shared" si="78"/>
        <v>13.2</v>
      </c>
      <c r="DC86" s="755">
        <f t="shared" si="78"/>
        <v>15.3</v>
      </c>
      <c r="DD86" s="755">
        <f t="shared" si="78"/>
        <v>21.1</v>
      </c>
      <c r="DE86" s="755">
        <f t="shared" si="78"/>
        <v>25.7</v>
      </c>
      <c r="DF86" s="755">
        <f t="shared" si="78"/>
        <v>85.899999999999991</v>
      </c>
    </row>
    <row r="87" spans="1:110" x14ac:dyDescent="0.25">
      <c r="A87" s="81" t="s">
        <v>138</v>
      </c>
      <c r="B87" s="82" t="s">
        <v>177</v>
      </c>
      <c r="C87" s="83" t="s">
        <v>377</v>
      </c>
      <c r="D87" s="84"/>
      <c r="E87" s="85"/>
      <c r="F87" s="85"/>
      <c r="G87" s="85"/>
      <c r="H87" s="85"/>
      <c r="I87" s="85"/>
      <c r="J87" s="85"/>
      <c r="K87" s="85"/>
      <c r="L87" s="85"/>
      <c r="M87" s="654"/>
      <c r="N87" s="1065"/>
      <c r="O87" s="560">
        <f t="shared" si="75"/>
        <v>0</v>
      </c>
      <c r="P87" s="561">
        <f t="shared" si="51"/>
        <v>0</v>
      </c>
      <c r="Q87" s="561">
        <f t="shared" si="52"/>
        <v>0</v>
      </c>
      <c r="R87" s="561">
        <f t="shared" si="53"/>
        <v>0</v>
      </c>
      <c r="S87" s="561">
        <f t="shared" si="54"/>
        <v>0</v>
      </c>
      <c r="T87" s="561">
        <f t="shared" si="55"/>
        <v>0</v>
      </c>
      <c r="U87" s="561">
        <f t="shared" si="56"/>
        <v>0</v>
      </c>
      <c r="V87" s="561">
        <f t="shared" si="57"/>
        <v>0</v>
      </c>
      <c r="W87" s="675">
        <f t="shared" si="58"/>
        <v>0</v>
      </c>
      <c r="X87" s="675">
        <f t="shared" si="59"/>
        <v>0</v>
      </c>
      <c r="Y87" s="675">
        <f t="shared" si="59"/>
        <v>0</v>
      </c>
      <c r="Z87" s="86"/>
      <c r="AA87" s="87"/>
      <c r="AB87" s="87"/>
      <c r="AC87" s="87"/>
      <c r="AD87" s="87"/>
      <c r="AE87" s="87"/>
      <c r="AF87" s="87"/>
      <c r="AG87" s="87"/>
      <c r="AH87" s="87"/>
      <c r="AI87" s="1094"/>
      <c r="AJ87" s="665"/>
      <c r="AK87" s="88">
        <f t="shared" si="60"/>
        <v>0</v>
      </c>
      <c r="AL87" s="89" t="str" cm="1">
        <f t="array" aca="1" ref="AL87" ca="1">IFERROR(IF($AM$4="N",SSUM(AF87:AH87)/3,SUM(AG87:AI87)/3),"")</f>
        <v/>
      </c>
      <c r="AM87" s="90">
        <f t="shared" si="61"/>
        <v>0</v>
      </c>
      <c r="AN87" s="91" t="str">
        <f t="shared" si="62"/>
        <v/>
      </c>
      <c r="AO87" s="92" t="str">
        <f t="shared" si="63"/>
        <v/>
      </c>
      <c r="AP87" s="92" t="str">
        <f t="shared" si="64"/>
        <v/>
      </c>
      <c r="AQ87" s="92" t="str">
        <f t="shared" si="65"/>
        <v/>
      </c>
      <c r="AR87" s="92" t="str">
        <f t="shared" si="66"/>
        <v/>
      </c>
      <c r="AS87" s="92" t="str">
        <f t="shared" si="67"/>
        <v/>
      </c>
      <c r="AT87" s="92" t="str">
        <f t="shared" si="68"/>
        <v/>
      </c>
      <c r="AU87" s="92" t="str">
        <f t="shared" si="69"/>
        <v/>
      </c>
      <c r="AV87" s="92" t="str">
        <f t="shared" ref="AV87:AX102" si="79">IFERROR(L87/AH87,"")</f>
        <v/>
      </c>
      <c r="AW87" s="92" t="str">
        <f t="shared" si="79"/>
        <v/>
      </c>
      <c r="AX87" s="92" t="str">
        <f t="shared" si="79"/>
        <v/>
      </c>
      <c r="AY87" s="93" t="str">
        <f t="shared" si="71"/>
        <v/>
      </c>
      <c r="AZ87" s="94" t="str">
        <f t="shared" si="72"/>
        <v/>
      </c>
      <c r="BA87" s="95" t="str">
        <f t="shared" si="73"/>
        <v/>
      </c>
      <c r="BB87" s="248" t="s">
        <v>422</v>
      </c>
      <c r="BC87" s="229" t="s">
        <v>433</v>
      </c>
      <c r="BD87" s="249">
        <v>0</v>
      </c>
      <c r="BE87" s="267">
        <f t="shared" si="76"/>
        <v>0</v>
      </c>
      <c r="BF87" s="268">
        <f t="shared" ref="BF87:BL102" si="80">IF(BF$6=$BB87,1,
IF(BE87&lt;&gt;0,BE87+1,0
))</f>
        <v>0</v>
      </c>
      <c r="BG87" s="268">
        <f t="shared" si="80"/>
        <v>0</v>
      </c>
      <c r="BH87" s="268">
        <f t="shared" si="80"/>
        <v>1</v>
      </c>
      <c r="BI87" s="268">
        <f t="shared" si="80"/>
        <v>2</v>
      </c>
      <c r="BJ87" s="268">
        <f t="shared" si="80"/>
        <v>3</v>
      </c>
      <c r="BK87" s="268">
        <f t="shared" si="80"/>
        <v>4</v>
      </c>
      <c r="BL87" s="269">
        <f t="shared" si="80"/>
        <v>5</v>
      </c>
      <c r="BM87" s="256">
        <f>IF($BC87=Lookup!$A$2,$BD87*ROUNDUP(BE87/10,0)+1,
IF($BC87=Lookup!$A$3,($BD87+1)^BD87,
IF($BC87=Lookup!$A$4,BE87*$BD87+1,"Error")))</f>
        <v>1</v>
      </c>
      <c r="BN87" s="229">
        <f>IF($BC87=Lookup!$A$2,$BD87*ROUNDUP(BF87/10,0)+1,
IF($BC87=Lookup!$A$3,($BD87+1)^BE87,
IF($BC87=Lookup!$A$4,BF87*$BD87+1,"Error")))</f>
        <v>1</v>
      </c>
      <c r="BO87" s="229">
        <f>IF($BC87=Lookup!$A$2,$BD87*ROUNDUP(BG87/10,0)+1,
IF($BC87=Lookup!$A$3,($BD87+1)^BF87,
IF($BC87=Lookup!$A$4,BG87*$BD87+1,"Error")))</f>
        <v>1</v>
      </c>
      <c r="BP87" s="229">
        <f>IF($BC87=Lookup!$A$2,$BD87*ROUNDUP(BH87/10,0)+1,
IF($BC87=Lookup!$A$3,($BD87+1)^BG87,
IF($BC87=Lookup!$A$4,BH87*$BD87+1,"Error")))</f>
        <v>1</v>
      </c>
      <c r="BQ87" s="229">
        <f>IF($BC87=Lookup!$A$2,$BD87*ROUNDUP(BI87/10,0)+1,
IF($BC87=Lookup!$A$3,($BD87+1)^BH87,
IF($BC87=Lookup!$A$4,BI87*$BD87+1,"Error")))</f>
        <v>1</v>
      </c>
      <c r="BR87" s="229">
        <f>IF($BC87=Lookup!$A$2,$BD87*ROUNDUP(BJ87/10,0)+1,
IF($BC87=Lookup!$A$3,($BD87+1)^BI87,
IF($BC87=Lookup!$A$4,BJ87*$BD87+1,"Error")))</f>
        <v>1</v>
      </c>
      <c r="BS87" s="229">
        <f>IF($BC87=Lookup!$A$2,$BD87*ROUNDUP(BK87/10,0)+1,
IF($BC87=Lookup!$A$3,($BD87+1)^BJ87,
IF($BC87=Lookup!$A$4,BK87*$BD87+1,"Error")))</f>
        <v>1</v>
      </c>
      <c r="BT87" s="249">
        <f>IF($BC87=Lookup!$A$2,$BD87*ROUNDUP(BL87/10,0)+1,
IF($BC87=Lookup!$A$3,($BD87+1)^BK87,
IF($BC87=Lookup!$A$4,BL87*$BD87+1,"Error")))</f>
        <v>1</v>
      </c>
      <c r="BU87" s="320">
        <v>0</v>
      </c>
      <c r="BV87" s="321">
        <v>0</v>
      </c>
      <c r="BW87" s="321">
        <v>0</v>
      </c>
      <c r="BX87" s="320">
        <v>0</v>
      </c>
      <c r="BY87" s="321">
        <v>0</v>
      </c>
      <c r="BZ87" s="321">
        <v>0</v>
      </c>
      <c r="CA87" s="321">
        <v>0</v>
      </c>
      <c r="CB87" s="277">
        <v>0</v>
      </c>
      <c r="CC87" s="382" t="s">
        <v>292</v>
      </c>
      <c r="CD87" s="383">
        <f>HLOOKUP($CC87,$AK$6:$AM$132,ROWS(CD$6:CD87),0)</f>
        <v>0</v>
      </c>
      <c r="CE87" s="234">
        <f t="shared" si="77"/>
        <v>0</v>
      </c>
      <c r="CF87" s="96">
        <f t="shared" si="77"/>
        <v>0</v>
      </c>
      <c r="CG87" s="521">
        <f t="shared" si="77"/>
        <v>0</v>
      </c>
      <c r="CH87" s="421">
        <f t="shared" si="77"/>
        <v>0</v>
      </c>
      <c r="CI87" s="96">
        <f t="shared" si="45"/>
        <v>0</v>
      </c>
      <c r="CJ87" s="96">
        <f t="shared" si="45"/>
        <v>0</v>
      </c>
      <c r="CK87" s="96">
        <f t="shared" si="45"/>
        <v>0</v>
      </c>
      <c r="CL87" s="286">
        <f t="shared" si="45"/>
        <v>0</v>
      </c>
      <c r="CM87" s="305" t="s">
        <v>293</v>
      </c>
      <c r="CN87" s="315">
        <v>0.05</v>
      </c>
      <c r="CO87" s="306"/>
      <c r="CP87" s="307" t="str">
        <f>IF($CO87&lt;&gt;"",$CO87,HLOOKUP($CM87,$AY$6:$BA$132,ROWS(CP$6:CP87),0))</f>
        <v/>
      </c>
      <c r="CQ87" s="784">
        <v>0</v>
      </c>
      <c r="CR87" s="784">
        <v>0</v>
      </c>
      <c r="CS87" s="524">
        <v>0</v>
      </c>
      <c r="CT87" s="416">
        <v>0</v>
      </c>
      <c r="CU87" s="97">
        <v>0</v>
      </c>
      <c r="CV87" s="97">
        <v>0</v>
      </c>
      <c r="CW87" s="97">
        <v>0</v>
      </c>
      <c r="CX87" s="98">
        <v>0</v>
      </c>
      <c r="CY87" s="392"/>
    </row>
    <row r="88" spans="1:110" x14ac:dyDescent="0.25">
      <c r="A88" s="81" t="s">
        <v>138</v>
      </c>
      <c r="B88" s="82" t="s">
        <v>179</v>
      </c>
      <c r="C88" s="83" t="s">
        <v>378</v>
      </c>
      <c r="D88" s="84"/>
      <c r="E88" s="85"/>
      <c r="F88" s="85"/>
      <c r="G88" s="85"/>
      <c r="H88" s="85"/>
      <c r="I88" s="85"/>
      <c r="J88" s="85"/>
      <c r="K88" s="85"/>
      <c r="L88" s="85"/>
      <c r="M88" s="654"/>
      <c r="N88" s="1065"/>
      <c r="O88" s="560">
        <f t="shared" si="75"/>
        <v>0</v>
      </c>
      <c r="P88" s="561">
        <f t="shared" si="51"/>
        <v>0</v>
      </c>
      <c r="Q88" s="561">
        <f t="shared" si="52"/>
        <v>0</v>
      </c>
      <c r="R88" s="561">
        <f t="shared" si="53"/>
        <v>0</v>
      </c>
      <c r="S88" s="561">
        <f t="shared" si="54"/>
        <v>0</v>
      </c>
      <c r="T88" s="561">
        <f t="shared" si="55"/>
        <v>0</v>
      </c>
      <c r="U88" s="561">
        <f t="shared" si="56"/>
        <v>0</v>
      </c>
      <c r="V88" s="561">
        <f t="shared" si="57"/>
        <v>0</v>
      </c>
      <c r="W88" s="675">
        <f t="shared" si="58"/>
        <v>0</v>
      </c>
      <c r="X88" s="675">
        <f t="shared" si="59"/>
        <v>0</v>
      </c>
      <c r="Y88" s="675">
        <f t="shared" si="59"/>
        <v>0</v>
      </c>
      <c r="Z88" s="86"/>
      <c r="AA88" s="87"/>
      <c r="AB88" s="87"/>
      <c r="AC88" s="87"/>
      <c r="AD88" s="87"/>
      <c r="AE88" s="87"/>
      <c r="AF88" s="87"/>
      <c r="AG88" s="87"/>
      <c r="AH88" s="87"/>
      <c r="AI88" s="1094"/>
      <c r="AJ88" s="665"/>
      <c r="AK88" s="88">
        <f t="shared" si="60"/>
        <v>0</v>
      </c>
      <c r="AL88" s="89" t="str" cm="1">
        <f t="array" aca="1" ref="AL88" ca="1">IFERROR(IF($AM$4="N",SSUM(AF88:AH88)/3,SUM(AG88:AI88)/3),"")</f>
        <v/>
      </c>
      <c r="AM88" s="90">
        <f t="shared" si="61"/>
        <v>0</v>
      </c>
      <c r="AN88" s="91" t="str">
        <f t="shared" si="62"/>
        <v/>
      </c>
      <c r="AO88" s="92" t="str">
        <f t="shared" si="63"/>
        <v/>
      </c>
      <c r="AP88" s="92" t="str">
        <f t="shared" si="64"/>
        <v/>
      </c>
      <c r="AQ88" s="92" t="str">
        <f t="shared" si="65"/>
        <v/>
      </c>
      <c r="AR88" s="92" t="str">
        <f t="shared" si="66"/>
        <v/>
      </c>
      <c r="AS88" s="92" t="str">
        <f t="shared" si="67"/>
        <v/>
      </c>
      <c r="AT88" s="92" t="str">
        <f t="shared" si="68"/>
        <v/>
      </c>
      <c r="AU88" s="92" t="str">
        <f t="shared" si="69"/>
        <v/>
      </c>
      <c r="AV88" s="92" t="str">
        <f t="shared" si="79"/>
        <v/>
      </c>
      <c r="AW88" s="92" t="str">
        <f t="shared" si="79"/>
        <v/>
      </c>
      <c r="AX88" s="92" t="str">
        <f t="shared" si="79"/>
        <v/>
      </c>
      <c r="AY88" s="93" t="str">
        <f t="shared" si="71"/>
        <v/>
      </c>
      <c r="AZ88" s="94" t="str">
        <f t="shared" si="72"/>
        <v/>
      </c>
      <c r="BA88" s="95" t="str">
        <f t="shared" si="73"/>
        <v/>
      </c>
      <c r="BB88" s="248" t="s">
        <v>422</v>
      </c>
      <c r="BC88" s="229" t="s">
        <v>433</v>
      </c>
      <c r="BD88" s="249">
        <v>0</v>
      </c>
      <c r="BE88" s="267">
        <f t="shared" si="76"/>
        <v>0</v>
      </c>
      <c r="BF88" s="268">
        <f t="shared" si="80"/>
        <v>0</v>
      </c>
      <c r="BG88" s="268">
        <f t="shared" si="80"/>
        <v>0</v>
      </c>
      <c r="BH88" s="268">
        <f t="shared" si="80"/>
        <v>1</v>
      </c>
      <c r="BI88" s="268">
        <f t="shared" si="80"/>
        <v>2</v>
      </c>
      <c r="BJ88" s="268">
        <f t="shared" si="80"/>
        <v>3</v>
      </c>
      <c r="BK88" s="268">
        <f t="shared" si="80"/>
        <v>4</v>
      </c>
      <c r="BL88" s="269">
        <f t="shared" si="80"/>
        <v>5</v>
      </c>
      <c r="BM88" s="256">
        <f>IF($BC88=Lookup!$A$2,$BD88*ROUNDUP(BE88/10,0)+1,
IF($BC88=Lookup!$A$3,($BD88+1)^BD88,
IF($BC88=Lookup!$A$4,BE88*$BD88+1,"Error")))</f>
        <v>1</v>
      </c>
      <c r="BN88" s="229">
        <f>IF($BC88=Lookup!$A$2,$BD88*ROUNDUP(BF88/10,0)+1,
IF($BC88=Lookup!$A$3,($BD88+1)^BE88,
IF($BC88=Lookup!$A$4,BF88*$BD88+1,"Error")))</f>
        <v>1</v>
      </c>
      <c r="BO88" s="229">
        <f>IF($BC88=Lookup!$A$2,$BD88*ROUNDUP(BG88/10,0)+1,
IF($BC88=Lookup!$A$3,($BD88+1)^BF88,
IF($BC88=Lookup!$A$4,BG88*$BD88+1,"Error")))</f>
        <v>1</v>
      </c>
      <c r="BP88" s="229">
        <f>IF($BC88=Lookup!$A$2,$BD88*ROUNDUP(BH88/10,0)+1,
IF($BC88=Lookup!$A$3,($BD88+1)^BG88,
IF($BC88=Lookup!$A$4,BH88*$BD88+1,"Error")))</f>
        <v>1</v>
      </c>
      <c r="BQ88" s="229">
        <f>IF($BC88=Lookup!$A$2,$BD88*ROUNDUP(BI88/10,0)+1,
IF($BC88=Lookup!$A$3,($BD88+1)^BH88,
IF($BC88=Lookup!$A$4,BI88*$BD88+1,"Error")))</f>
        <v>1</v>
      </c>
      <c r="BR88" s="229">
        <f>IF($BC88=Lookup!$A$2,$BD88*ROUNDUP(BJ88/10,0)+1,
IF($BC88=Lookup!$A$3,($BD88+1)^BI88,
IF($BC88=Lookup!$A$4,BJ88*$BD88+1,"Error")))</f>
        <v>1</v>
      </c>
      <c r="BS88" s="229">
        <f>IF($BC88=Lookup!$A$2,$BD88*ROUNDUP(BK88/10,0)+1,
IF($BC88=Lookup!$A$3,($BD88+1)^BJ88,
IF($BC88=Lookup!$A$4,BK88*$BD88+1,"Error")))</f>
        <v>1</v>
      </c>
      <c r="BT88" s="249">
        <f>IF($BC88=Lookup!$A$2,$BD88*ROUNDUP(BL88/10,0)+1,
IF($BC88=Lookup!$A$3,($BD88+1)^BK88,
IF($BC88=Lookup!$A$4,BL88*$BD88+1,"Error")))</f>
        <v>1</v>
      </c>
      <c r="BU88" s="320">
        <v>0</v>
      </c>
      <c r="BV88" s="321">
        <v>0</v>
      </c>
      <c r="BW88" s="321">
        <v>1</v>
      </c>
      <c r="BX88" s="320">
        <v>0</v>
      </c>
      <c r="BY88" s="321">
        <v>4</v>
      </c>
      <c r="BZ88" s="321">
        <v>6</v>
      </c>
      <c r="CA88" s="321">
        <v>1</v>
      </c>
      <c r="CB88" s="277">
        <v>8</v>
      </c>
      <c r="CC88" s="382" t="s">
        <v>292</v>
      </c>
      <c r="CD88" s="383">
        <f>HLOOKUP($CC88,$AK$6:$AM$132,ROWS(CD$6:CD88),0)</f>
        <v>0</v>
      </c>
      <c r="CE88" s="234">
        <f t="shared" si="77"/>
        <v>0</v>
      </c>
      <c r="CF88" s="96">
        <f t="shared" si="77"/>
        <v>0</v>
      </c>
      <c r="CG88" s="521">
        <f t="shared" si="77"/>
        <v>1</v>
      </c>
      <c r="CH88" s="421">
        <f t="shared" si="77"/>
        <v>0</v>
      </c>
      <c r="CI88" s="96">
        <f t="shared" si="45"/>
        <v>4</v>
      </c>
      <c r="CJ88" s="96">
        <f t="shared" si="45"/>
        <v>6</v>
      </c>
      <c r="CK88" s="96">
        <f t="shared" si="45"/>
        <v>1</v>
      </c>
      <c r="CL88" s="286">
        <f t="shared" si="45"/>
        <v>8</v>
      </c>
      <c r="CM88" s="305" t="s">
        <v>293</v>
      </c>
      <c r="CN88" s="315">
        <v>0.05</v>
      </c>
      <c r="CO88" s="306"/>
      <c r="CP88" s="307" t="str">
        <f>IF($CO88&lt;&gt;"",$CO88,HLOOKUP($CM88,$AY$6:$BA$132,ROWS(CP$6:CP88),0))</f>
        <v/>
      </c>
      <c r="CQ88" s="784">
        <v>0</v>
      </c>
      <c r="CR88" s="784">
        <v>12598.83260332697</v>
      </c>
      <c r="CS88" s="524">
        <v>191145.42532338024</v>
      </c>
      <c r="CT88" s="416">
        <v>5050947.0776173985</v>
      </c>
      <c r="CU88" s="97">
        <v>6532545.7726652836</v>
      </c>
      <c r="CV88" s="97">
        <v>7229526.3177307546</v>
      </c>
      <c r="CW88" s="97">
        <v>11648819.245049668</v>
      </c>
      <c r="CX88" s="98">
        <v>11130933.787101747</v>
      </c>
      <c r="CY88" s="392"/>
    </row>
    <row r="89" spans="1:110" x14ac:dyDescent="0.25">
      <c r="A89" s="81" t="s">
        <v>138</v>
      </c>
      <c r="B89" s="82" t="s">
        <v>181</v>
      </c>
      <c r="C89" s="83" t="s">
        <v>379</v>
      </c>
      <c r="D89" s="84"/>
      <c r="E89" s="85"/>
      <c r="F89" s="85"/>
      <c r="G89" s="85"/>
      <c r="H89" s="85"/>
      <c r="I89" s="85"/>
      <c r="J89" s="85"/>
      <c r="K89" s="85"/>
      <c r="L89" s="85"/>
      <c r="M89" s="654"/>
      <c r="N89" s="1065"/>
      <c r="O89" s="560">
        <f t="shared" si="75"/>
        <v>0</v>
      </c>
      <c r="P89" s="561">
        <f t="shared" si="51"/>
        <v>0</v>
      </c>
      <c r="Q89" s="561">
        <f t="shared" si="52"/>
        <v>0</v>
      </c>
      <c r="R89" s="561">
        <f t="shared" si="53"/>
        <v>0</v>
      </c>
      <c r="S89" s="561">
        <f t="shared" si="54"/>
        <v>0</v>
      </c>
      <c r="T89" s="561">
        <f t="shared" si="55"/>
        <v>0</v>
      </c>
      <c r="U89" s="561">
        <f t="shared" si="56"/>
        <v>0</v>
      </c>
      <c r="V89" s="561">
        <f t="shared" si="57"/>
        <v>0</v>
      </c>
      <c r="W89" s="675">
        <f t="shared" si="58"/>
        <v>0</v>
      </c>
      <c r="X89" s="675">
        <f t="shared" si="59"/>
        <v>0</v>
      </c>
      <c r="Y89" s="675">
        <f t="shared" si="59"/>
        <v>0</v>
      </c>
      <c r="Z89" s="86"/>
      <c r="AA89" s="87"/>
      <c r="AB89" s="87"/>
      <c r="AC89" s="87"/>
      <c r="AD89" s="87"/>
      <c r="AE89" s="87"/>
      <c r="AF89" s="87"/>
      <c r="AG89" s="87"/>
      <c r="AH89" s="87"/>
      <c r="AI89" s="1094"/>
      <c r="AJ89" s="665"/>
      <c r="AK89" s="88">
        <f t="shared" si="60"/>
        <v>0</v>
      </c>
      <c r="AL89" s="89" t="str" cm="1">
        <f t="array" aca="1" ref="AL89" ca="1">IFERROR(IF($AM$4="N",SSUM(AF89:AH89)/3,SUM(AG89:AI89)/3),"")</f>
        <v/>
      </c>
      <c r="AM89" s="90">
        <f t="shared" si="61"/>
        <v>0</v>
      </c>
      <c r="AN89" s="91" t="str">
        <f t="shared" si="62"/>
        <v/>
      </c>
      <c r="AO89" s="92" t="str">
        <f t="shared" si="63"/>
        <v/>
      </c>
      <c r="AP89" s="92" t="str">
        <f t="shared" si="64"/>
        <v/>
      </c>
      <c r="AQ89" s="92" t="str">
        <f t="shared" si="65"/>
        <v/>
      </c>
      <c r="AR89" s="92" t="str">
        <f t="shared" si="66"/>
        <v/>
      </c>
      <c r="AS89" s="92" t="str">
        <f t="shared" si="67"/>
        <v/>
      </c>
      <c r="AT89" s="92" t="str">
        <f t="shared" si="68"/>
        <v/>
      </c>
      <c r="AU89" s="92" t="str">
        <f t="shared" si="69"/>
        <v/>
      </c>
      <c r="AV89" s="92" t="str">
        <f t="shared" si="79"/>
        <v/>
      </c>
      <c r="AW89" s="92" t="str">
        <f t="shared" si="79"/>
        <v/>
      </c>
      <c r="AX89" s="92" t="str">
        <f t="shared" si="79"/>
        <v/>
      </c>
      <c r="AY89" s="93" t="str">
        <f t="shared" si="71"/>
        <v/>
      </c>
      <c r="AZ89" s="94" t="str">
        <f t="shared" si="72"/>
        <v/>
      </c>
      <c r="BA89" s="95" t="str">
        <f t="shared" si="73"/>
        <v/>
      </c>
      <c r="BB89" s="248" t="s">
        <v>422</v>
      </c>
      <c r="BC89" s="229" t="s">
        <v>433</v>
      </c>
      <c r="BD89" s="249">
        <v>0</v>
      </c>
      <c r="BE89" s="267">
        <f t="shared" si="76"/>
        <v>0</v>
      </c>
      <c r="BF89" s="268">
        <f t="shared" si="80"/>
        <v>0</v>
      </c>
      <c r="BG89" s="268">
        <f t="shared" si="80"/>
        <v>0</v>
      </c>
      <c r="BH89" s="268">
        <f t="shared" si="80"/>
        <v>1</v>
      </c>
      <c r="BI89" s="268">
        <f t="shared" si="80"/>
        <v>2</v>
      </c>
      <c r="BJ89" s="268">
        <f t="shared" si="80"/>
        <v>3</v>
      </c>
      <c r="BK89" s="268">
        <f t="shared" si="80"/>
        <v>4</v>
      </c>
      <c r="BL89" s="269">
        <f t="shared" si="80"/>
        <v>5</v>
      </c>
      <c r="BM89" s="256">
        <f>IF($BC89=Lookup!$A$2,$BD89*ROUNDUP(BE89/10,0)+1,
IF($BC89=Lookup!$A$3,($BD89+1)^BD89,
IF($BC89=Lookup!$A$4,BE89*$BD89+1,"Error")))</f>
        <v>1</v>
      </c>
      <c r="BN89" s="229">
        <f>IF($BC89=Lookup!$A$2,$BD89*ROUNDUP(BF89/10,0)+1,
IF($BC89=Lookup!$A$3,($BD89+1)^BE89,
IF($BC89=Lookup!$A$4,BF89*$BD89+1,"Error")))</f>
        <v>1</v>
      </c>
      <c r="BO89" s="229">
        <f>IF($BC89=Lookup!$A$2,$BD89*ROUNDUP(BG89/10,0)+1,
IF($BC89=Lookup!$A$3,($BD89+1)^BF89,
IF($BC89=Lookup!$A$4,BG89*$BD89+1,"Error")))</f>
        <v>1</v>
      </c>
      <c r="BP89" s="229">
        <f>IF($BC89=Lookup!$A$2,$BD89*ROUNDUP(BH89/10,0)+1,
IF($BC89=Lookup!$A$3,($BD89+1)^BG89,
IF($BC89=Lookup!$A$4,BH89*$BD89+1,"Error")))</f>
        <v>1</v>
      </c>
      <c r="BQ89" s="229">
        <f>IF($BC89=Lookup!$A$2,$BD89*ROUNDUP(BI89/10,0)+1,
IF($BC89=Lookup!$A$3,($BD89+1)^BH89,
IF($BC89=Lookup!$A$4,BI89*$BD89+1,"Error")))</f>
        <v>1</v>
      </c>
      <c r="BR89" s="229">
        <f>IF($BC89=Lookup!$A$2,$BD89*ROUNDUP(BJ89/10,0)+1,
IF($BC89=Lookup!$A$3,($BD89+1)^BI89,
IF($BC89=Lookup!$A$4,BJ89*$BD89+1,"Error")))</f>
        <v>1</v>
      </c>
      <c r="BS89" s="229">
        <f>IF($BC89=Lookup!$A$2,$BD89*ROUNDUP(BK89/10,0)+1,
IF($BC89=Lookup!$A$3,($BD89+1)^BJ89,
IF($BC89=Lookup!$A$4,BK89*$BD89+1,"Error")))</f>
        <v>1</v>
      </c>
      <c r="BT89" s="249">
        <f>IF($BC89=Lookup!$A$2,$BD89*ROUNDUP(BL89/10,0)+1,
IF($BC89=Lookup!$A$3,($BD89+1)^BK89,
IF($BC89=Lookup!$A$4,BL89*$BD89+1,"Error")))</f>
        <v>1</v>
      </c>
      <c r="BU89" s="320">
        <v>0</v>
      </c>
      <c r="BV89" s="321">
        <v>0</v>
      </c>
      <c r="BW89" s="321">
        <v>0</v>
      </c>
      <c r="BX89" s="320">
        <v>3</v>
      </c>
      <c r="BY89" s="321">
        <v>1</v>
      </c>
      <c r="BZ89" s="321">
        <v>3</v>
      </c>
      <c r="CA89" s="321">
        <v>1</v>
      </c>
      <c r="CB89" s="277">
        <v>0</v>
      </c>
      <c r="CC89" s="382" t="s">
        <v>292</v>
      </c>
      <c r="CD89" s="383">
        <f>HLOOKUP($CC89,$AK$6:$AM$132,ROWS(CD$6:CD89),0)</f>
        <v>0</v>
      </c>
      <c r="CE89" s="234">
        <f t="shared" si="77"/>
        <v>0</v>
      </c>
      <c r="CF89" s="96">
        <f t="shared" si="77"/>
        <v>0</v>
      </c>
      <c r="CG89" s="521">
        <f t="shared" si="77"/>
        <v>0</v>
      </c>
      <c r="CH89" s="421">
        <f t="shared" si="77"/>
        <v>3</v>
      </c>
      <c r="CI89" s="96">
        <f t="shared" si="45"/>
        <v>1</v>
      </c>
      <c r="CJ89" s="96">
        <f t="shared" si="45"/>
        <v>3</v>
      </c>
      <c r="CK89" s="96">
        <f t="shared" si="45"/>
        <v>1</v>
      </c>
      <c r="CL89" s="286">
        <f t="shared" si="45"/>
        <v>0</v>
      </c>
      <c r="CM89" s="305" t="s">
        <v>293</v>
      </c>
      <c r="CN89" s="315">
        <v>0.05</v>
      </c>
      <c r="CO89" s="306"/>
      <c r="CP89" s="307" t="str">
        <f>IF($CO89&lt;&gt;"",$CO89,HLOOKUP($CM89,$AY$6:$BA$132,ROWS(CP$6:CP89),0))</f>
        <v/>
      </c>
      <c r="CQ89" s="784">
        <v>3120719.4549875725</v>
      </c>
      <c r="CR89" s="784">
        <v>9350792.6917006355</v>
      </c>
      <c r="CS89" s="524">
        <v>5410969.5584943742</v>
      </c>
      <c r="CT89" s="416">
        <v>1871501.9804030296</v>
      </c>
      <c r="CU89" s="97">
        <v>2138736.6748103737</v>
      </c>
      <c r="CV89" s="97">
        <v>1752973.4284182887</v>
      </c>
      <c r="CW89" s="97">
        <v>2906945.5614089356</v>
      </c>
      <c r="CX89" s="98">
        <v>855823.10393041524</v>
      </c>
      <c r="CY89" s="392"/>
      <c r="DA89">
        <f>(SUM(CH85:CH94))</f>
        <v>4</v>
      </c>
      <c r="DB89">
        <f t="shared" ref="DB89:DD89" si="81">(SUM(CI85:CI94))</f>
        <v>5</v>
      </c>
      <c r="DC89">
        <f t="shared" si="81"/>
        <v>14</v>
      </c>
      <c r="DD89">
        <f t="shared" si="81"/>
        <v>6</v>
      </c>
      <c r="DE89" s="395">
        <f>(SUM(CL85:CL94))</f>
        <v>11</v>
      </c>
      <c r="DF89" s="750">
        <f>SUM(DA89:DE89)</f>
        <v>40</v>
      </c>
    </row>
    <row r="90" spans="1:110" x14ac:dyDescent="0.25">
      <c r="A90" s="81" t="s">
        <v>138</v>
      </c>
      <c r="B90" s="82" t="s">
        <v>183</v>
      </c>
      <c r="C90" s="83" t="s">
        <v>380</v>
      </c>
      <c r="D90" s="84"/>
      <c r="E90" s="85"/>
      <c r="F90" s="85"/>
      <c r="G90" s="85"/>
      <c r="H90" s="85"/>
      <c r="I90" s="85"/>
      <c r="J90" s="85"/>
      <c r="K90" s="85"/>
      <c r="L90" s="85"/>
      <c r="M90" s="654"/>
      <c r="N90" s="1065"/>
      <c r="O90" s="560">
        <f t="shared" si="75"/>
        <v>0</v>
      </c>
      <c r="P90" s="561">
        <f t="shared" si="51"/>
        <v>0</v>
      </c>
      <c r="Q90" s="561">
        <f t="shared" si="52"/>
        <v>0</v>
      </c>
      <c r="R90" s="561">
        <f t="shared" si="53"/>
        <v>0</v>
      </c>
      <c r="S90" s="561">
        <f t="shared" si="54"/>
        <v>0</v>
      </c>
      <c r="T90" s="561">
        <f t="shared" si="55"/>
        <v>0</v>
      </c>
      <c r="U90" s="561">
        <f t="shared" si="56"/>
        <v>0</v>
      </c>
      <c r="V90" s="561">
        <f t="shared" si="57"/>
        <v>0</v>
      </c>
      <c r="W90" s="675">
        <f t="shared" si="58"/>
        <v>0</v>
      </c>
      <c r="X90" s="675">
        <f t="shared" si="59"/>
        <v>0</v>
      </c>
      <c r="Y90" s="675">
        <f t="shared" si="59"/>
        <v>0</v>
      </c>
      <c r="Z90" s="86"/>
      <c r="AA90" s="87"/>
      <c r="AB90" s="87"/>
      <c r="AC90" s="87"/>
      <c r="AD90" s="87"/>
      <c r="AE90" s="87"/>
      <c r="AF90" s="87"/>
      <c r="AG90" s="87"/>
      <c r="AH90" s="87"/>
      <c r="AI90" s="1094"/>
      <c r="AJ90" s="665"/>
      <c r="AK90" s="88">
        <f t="shared" si="60"/>
        <v>0</v>
      </c>
      <c r="AL90" s="89" t="str" cm="1">
        <f t="array" aca="1" ref="AL90" ca="1">IFERROR(IF($AM$4="N",SSUM(AF90:AH90)/3,SUM(AG90:AI90)/3),"")</f>
        <v/>
      </c>
      <c r="AM90" s="90">
        <f t="shared" si="61"/>
        <v>0</v>
      </c>
      <c r="AN90" s="91" t="str">
        <f t="shared" si="62"/>
        <v/>
      </c>
      <c r="AO90" s="92" t="str">
        <f t="shared" si="63"/>
        <v/>
      </c>
      <c r="AP90" s="92" t="str">
        <f t="shared" si="64"/>
        <v/>
      </c>
      <c r="AQ90" s="92" t="str">
        <f t="shared" si="65"/>
        <v/>
      </c>
      <c r="AR90" s="92" t="str">
        <f t="shared" si="66"/>
        <v/>
      </c>
      <c r="AS90" s="92" t="str">
        <f t="shared" si="67"/>
        <v/>
      </c>
      <c r="AT90" s="92" t="str">
        <f t="shared" si="68"/>
        <v/>
      </c>
      <c r="AU90" s="92" t="str">
        <f t="shared" si="69"/>
        <v/>
      </c>
      <c r="AV90" s="92" t="str">
        <f t="shared" si="79"/>
        <v/>
      </c>
      <c r="AW90" s="92" t="str">
        <f t="shared" si="79"/>
        <v/>
      </c>
      <c r="AX90" s="92" t="str">
        <f t="shared" si="79"/>
        <v/>
      </c>
      <c r="AY90" s="93" t="str">
        <f t="shared" si="71"/>
        <v/>
      </c>
      <c r="AZ90" s="94" t="str">
        <f t="shared" si="72"/>
        <v/>
      </c>
      <c r="BA90" s="95" t="str">
        <f t="shared" si="73"/>
        <v/>
      </c>
      <c r="BB90" s="248" t="s">
        <v>422</v>
      </c>
      <c r="BC90" s="229" t="s">
        <v>433</v>
      </c>
      <c r="BD90" s="249">
        <v>0</v>
      </c>
      <c r="BE90" s="267">
        <f t="shared" si="76"/>
        <v>0</v>
      </c>
      <c r="BF90" s="268">
        <f t="shared" si="80"/>
        <v>0</v>
      </c>
      <c r="BG90" s="268">
        <f t="shared" si="80"/>
        <v>0</v>
      </c>
      <c r="BH90" s="268">
        <f t="shared" si="80"/>
        <v>1</v>
      </c>
      <c r="BI90" s="268">
        <f t="shared" si="80"/>
        <v>2</v>
      </c>
      <c r="BJ90" s="268">
        <f t="shared" si="80"/>
        <v>3</v>
      </c>
      <c r="BK90" s="268">
        <f t="shared" si="80"/>
        <v>4</v>
      </c>
      <c r="BL90" s="269">
        <f t="shared" si="80"/>
        <v>5</v>
      </c>
      <c r="BM90" s="256">
        <f>IF($BC90=Lookup!$A$2,$BD90*ROUNDUP(BE90/10,0)+1,
IF($BC90=Lookup!$A$3,($BD90+1)^BD90,
IF($BC90=Lookup!$A$4,BE90*$BD90+1,"Error")))</f>
        <v>1</v>
      </c>
      <c r="BN90" s="229">
        <f>IF($BC90=Lookup!$A$2,$BD90*ROUNDUP(BF90/10,0)+1,
IF($BC90=Lookup!$A$3,($BD90+1)^BE90,
IF($BC90=Lookup!$A$4,BF90*$BD90+1,"Error")))</f>
        <v>1</v>
      </c>
      <c r="BO90" s="229">
        <f>IF($BC90=Lookup!$A$2,$BD90*ROUNDUP(BG90/10,0)+1,
IF($BC90=Lookup!$A$3,($BD90+1)^BF90,
IF($BC90=Lookup!$A$4,BG90*$BD90+1,"Error")))</f>
        <v>1</v>
      </c>
      <c r="BP90" s="229">
        <f>IF($BC90=Lookup!$A$2,$BD90*ROUNDUP(BH90/10,0)+1,
IF($BC90=Lookup!$A$3,($BD90+1)^BG90,
IF($BC90=Lookup!$A$4,BH90*$BD90+1,"Error")))</f>
        <v>1</v>
      </c>
      <c r="BQ90" s="229">
        <f>IF($BC90=Lookup!$A$2,$BD90*ROUNDUP(BI90/10,0)+1,
IF($BC90=Lookup!$A$3,($BD90+1)^BH90,
IF($BC90=Lookup!$A$4,BI90*$BD90+1,"Error")))</f>
        <v>1</v>
      </c>
      <c r="BR90" s="229">
        <f>IF($BC90=Lookup!$A$2,$BD90*ROUNDUP(BJ90/10,0)+1,
IF($BC90=Lookup!$A$3,($BD90+1)^BI90,
IF($BC90=Lookup!$A$4,BJ90*$BD90+1,"Error")))</f>
        <v>1</v>
      </c>
      <c r="BS90" s="229">
        <f>IF($BC90=Lookup!$A$2,$BD90*ROUNDUP(BK90/10,0)+1,
IF($BC90=Lookup!$A$3,($BD90+1)^BJ90,
IF($BC90=Lookup!$A$4,BK90*$BD90+1,"Error")))</f>
        <v>1</v>
      </c>
      <c r="BT90" s="249">
        <f>IF($BC90=Lookup!$A$2,$BD90*ROUNDUP(BL90/10,0)+1,
IF($BC90=Lookup!$A$3,($BD90+1)^BK90,
IF($BC90=Lookup!$A$4,BL90*$BD90+1,"Error")))</f>
        <v>1</v>
      </c>
      <c r="BU90" s="320">
        <v>0</v>
      </c>
      <c r="BV90" s="321">
        <v>0</v>
      </c>
      <c r="BW90" s="321">
        <v>0</v>
      </c>
      <c r="BX90" s="320">
        <v>0</v>
      </c>
      <c r="BY90" s="321">
        <v>0</v>
      </c>
      <c r="BZ90" s="321">
        <v>0</v>
      </c>
      <c r="CA90" s="321">
        <v>0</v>
      </c>
      <c r="CB90" s="277">
        <v>0</v>
      </c>
      <c r="CC90" s="382" t="s">
        <v>292</v>
      </c>
      <c r="CD90" s="383">
        <f>HLOOKUP($CC90,$AK$6:$AM$132,ROWS(CD$6:CD90),0)</f>
        <v>0</v>
      </c>
      <c r="CE90" s="234">
        <f t="shared" si="77"/>
        <v>0</v>
      </c>
      <c r="CF90" s="96">
        <f t="shared" si="77"/>
        <v>0</v>
      </c>
      <c r="CG90" s="521">
        <f t="shared" si="77"/>
        <v>0</v>
      </c>
      <c r="CH90" s="421">
        <f t="shared" si="77"/>
        <v>0</v>
      </c>
      <c r="CI90" s="96">
        <f t="shared" si="45"/>
        <v>0</v>
      </c>
      <c r="CJ90" s="96">
        <f t="shared" si="45"/>
        <v>0</v>
      </c>
      <c r="CK90" s="96">
        <f t="shared" si="45"/>
        <v>0</v>
      </c>
      <c r="CL90" s="286">
        <f t="shared" si="45"/>
        <v>0</v>
      </c>
      <c r="CM90" s="305" t="s">
        <v>293</v>
      </c>
      <c r="CN90" s="315">
        <v>0.05</v>
      </c>
      <c r="CO90" s="306"/>
      <c r="CP90" s="307" t="str">
        <f>IF($CO90&lt;&gt;"",$CO90,HLOOKUP($CM90,$AY$6:$BA$132,ROWS(CP$6:CP90),0))</f>
        <v/>
      </c>
      <c r="CQ90" s="784">
        <v>0</v>
      </c>
      <c r="CR90" s="784">
        <v>0</v>
      </c>
      <c r="CS90" s="524">
        <v>0</v>
      </c>
      <c r="CT90" s="416">
        <v>0</v>
      </c>
      <c r="CU90" s="97">
        <v>0</v>
      </c>
      <c r="CV90" s="97">
        <v>0</v>
      </c>
      <c r="CW90" s="97">
        <v>0</v>
      </c>
      <c r="CX90" s="98">
        <v>0</v>
      </c>
      <c r="CY90" s="392"/>
    </row>
    <row r="91" spans="1:110" x14ac:dyDescent="0.25">
      <c r="A91" s="81" t="s">
        <v>138</v>
      </c>
      <c r="B91" s="82" t="s">
        <v>185</v>
      </c>
      <c r="C91" s="83" t="s">
        <v>381</v>
      </c>
      <c r="D91" s="84"/>
      <c r="E91" s="85"/>
      <c r="F91" s="85"/>
      <c r="G91" s="85"/>
      <c r="H91" s="85"/>
      <c r="I91" s="85"/>
      <c r="J91" s="85"/>
      <c r="K91" s="85"/>
      <c r="L91" s="85"/>
      <c r="M91" s="654"/>
      <c r="N91" s="1065"/>
      <c r="O91" s="560">
        <f t="shared" si="75"/>
        <v>0</v>
      </c>
      <c r="P91" s="561">
        <f t="shared" si="51"/>
        <v>0</v>
      </c>
      <c r="Q91" s="561">
        <f t="shared" si="52"/>
        <v>0</v>
      </c>
      <c r="R91" s="561">
        <f t="shared" si="53"/>
        <v>0</v>
      </c>
      <c r="S91" s="561">
        <f t="shared" si="54"/>
        <v>0</v>
      </c>
      <c r="T91" s="561">
        <f t="shared" si="55"/>
        <v>0</v>
      </c>
      <c r="U91" s="561">
        <f t="shared" si="56"/>
        <v>0</v>
      </c>
      <c r="V91" s="561">
        <f t="shared" si="57"/>
        <v>0</v>
      </c>
      <c r="W91" s="675">
        <f t="shared" si="58"/>
        <v>0</v>
      </c>
      <c r="X91" s="675">
        <f t="shared" si="59"/>
        <v>0</v>
      </c>
      <c r="Y91" s="675">
        <f t="shared" si="59"/>
        <v>0</v>
      </c>
      <c r="Z91" s="86"/>
      <c r="AA91" s="87"/>
      <c r="AB91" s="87"/>
      <c r="AC91" s="87"/>
      <c r="AD91" s="87"/>
      <c r="AE91" s="87"/>
      <c r="AF91" s="87"/>
      <c r="AG91" s="87"/>
      <c r="AH91" s="87"/>
      <c r="AI91" s="1094"/>
      <c r="AJ91" s="665"/>
      <c r="AK91" s="88">
        <f t="shared" si="60"/>
        <v>0</v>
      </c>
      <c r="AL91" s="89" t="str" cm="1">
        <f t="array" aca="1" ref="AL91" ca="1">IFERROR(IF($AM$4="N",SSUM(AF91:AH91)/3,SUM(AG91:AI91)/3),"")</f>
        <v/>
      </c>
      <c r="AM91" s="90">
        <f t="shared" si="61"/>
        <v>0</v>
      </c>
      <c r="AN91" s="91" t="str">
        <f t="shared" si="62"/>
        <v/>
      </c>
      <c r="AO91" s="92" t="str">
        <f t="shared" si="63"/>
        <v/>
      </c>
      <c r="AP91" s="92" t="str">
        <f t="shared" si="64"/>
        <v/>
      </c>
      <c r="AQ91" s="92" t="str">
        <f t="shared" si="65"/>
        <v/>
      </c>
      <c r="AR91" s="92" t="str">
        <f t="shared" si="66"/>
        <v/>
      </c>
      <c r="AS91" s="92" t="str">
        <f t="shared" si="67"/>
        <v/>
      </c>
      <c r="AT91" s="92" t="str">
        <f t="shared" si="68"/>
        <v/>
      </c>
      <c r="AU91" s="92" t="str">
        <f t="shared" si="69"/>
        <v/>
      </c>
      <c r="AV91" s="92" t="str">
        <f t="shared" si="79"/>
        <v/>
      </c>
      <c r="AW91" s="92" t="str">
        <f t="shared" si="79"/>
        <v/>
      </c>
      <c r="AX91" s="92" t="str">
        <f t="shared" si="79"/>
        <v/>
      </c>
      <c r="AY91" s="93" t="str">
        <f t="shared" si="71"/>
        <v/>
      </c>
      <c r="AZ91" s="94" t="str">
        <f t="shared" si="72"/>
        <v/>
      </c>
      <c r="BA91" s="95" t="str">
        <f t="shared" si="73"/>
        <v/>
      </c>
      <c r="BB91" s="248" t="s">
        <v>422</v>
      </c>
      <c r="BC91" s="229" t="s">
        <v>433</v>
      </c>
      <c r="BD91" s="249">
        <v>0</v>
      </c>
      <c r="BE91" s="267">
        <f t="shared" si="76"/>
        <v>0</v>
      </c>
      <c r="BF91" s="268">
        <f t="shared" si="80"/>
        <v>0</v>
      </c>
      <c r="BG91" s="268">
        <f t="shared" si="80"/>
        <v>0</v>
      </c>
      <c r="BH91" s="268">
        <f t="shared" si="80"/>
        <v>1</v>
      </c>
      <c r="BI91" s="268">
        <f t="shared" si="80"/>
        <v>2</v>
      </c>
      <c r="BJ91" s="268">
        <f t="shared" si="80"/>
        <v>3</v>
      </c>
      <c r="BK91" s="268">
        <f t="shared" si="80"/>
        <v>4</v>
      </c>
      <c r="BL91" s="269">
        <f t="shared" si="80"/>
        <v>5</v>
      </c>
      <c r="BM91" s="256">
        <f>IF($BC91=Lookup!$A$2,$BD91*ROUNDUP(BE91/10,0)+1,
IF($BC91=Lookup!$A$3,($BD91+1)^BD91,
IF($BC91=Lookup!$A$4,BE91*$BD91+1,"Error")))</f>
        <v>1</v>
      </c>
      <c r="BN91" s="229">
        <f>IF($BC91=Lookup!$A$2,$BD91*ROUNDUP(BF91/10,0)+1,
IF($BC91=Lookup!$A$3,($BD91+1)^BE91,
IF($BC91=Lookup!$A$4,BF91*$BD91+1,"Error")))</f>
        <v>1</v>
      </c>
      <c r="BO91" s="229">
        <f>IF($BC91=Lookup!$A$2,$BD91*ROUNDUP(BG91/10,0)+1,
IF($BC91=Lookup!$A$3,($BD91+1)^BF91,
IF($BC91=Lookup!$A$4,BG91*$BD91+1,"Error")))</f>
        <v>1</v>
      </c>
      <c r="BP91" s="229">
        <f>IF($BC91=Lookup!$A$2,$BD91*ROUNDUP(BH91/10,0)+1,
IF($BC91=Lookup!$A$3,($BD91+1)^BG91,
IF($BC91=Lookup!$A$4,BH91*$BD91+1,"Error")))</f>
        <v>1</v>
      </c>
      <c r="BQ91" s="229">
        <f>IF($BC91=Lookup!$A$2,$BD91*ROUNDUP(BI91/10,0)+1,
IF($BC91=Lookup!$A$3,($BD91+1)^BH91,
IF($BC91=Lookup!$A$4,BI91*$BD91+1,"Error")))</f>
        <v>1</v>
      </c>
      <c r="BR91" s="229">
        <f>IF($BC91=Lookup!$A$2,$BD91*ROUNDUP(BJ91/10,0)+1,
IF($BC91=Lookup!$A$3,($BD91+1)^BI91,
IF($BC91=Lookup!$A$4,BJ91*$BD91+1,"Error")))</f>
        <v>1</v>
      </c>
      <c r="BS91" s="229">
        <f>IF($BC91=Lookup!$A$2,$BD91*ROUNDUP(BK91/10,0)+1,
IF($BC91=Lookup!$A$3,($BD91+1)^BJ91,
IF($BC91=Lookup!$A$4,BK91*$BD91+1,"Error")))</f>
        <v>1</v>
      </c>
      <c r="BT91" s="249">
        <f>IF($BC91=Lookup!$A$2,$BD91*ROUNDUP(BL91/10,0)+1,
IF($BC91=Lookup!$A$3,($BD91+1)^BK91,
IF($BC91=Lookup!$A$4,BL91*$BD91+1,"Error")))</f>
        <v>1</v>
      </c>
      <c r="BU91" s="320">
        <v>0</v>
      </c>
      <c r="BV91" s="321">
        <v>0</v>
      </c>
      <c r="BW91" s="321">
        <v>2</v>
      </c>
      <c r="BX91" s="320">
        <v>1</v>
      </c>
      <c r="BY91" s="321">
        <v>0</v>
      </c>
      <c r="BZ91" s="321">
        <v>0</v>
      </c>
      <c r="CA91" s="321">
        <v>0</v>
      </c>
      <c r="CB91" s="277">
        <v>2</v>
      </c>
      <c r="CC91" s="382" t="s">
        <v>292</v>
      </c>
      <c r="CD91" s="383">
        <f>HLOOKUP($CC91,$AK$6:$AM$132,ROWS(CD$6:CD91),0)</f>
        <v>0</v>
      </c>
      <c r="CE91" s="234">
        <f t="shared" si="77"/>
        <v>0</v>
      </c>
      <c r="CF91" s="96">
        <f t="shared" si="77"/>
        <v>0</v>
      </c>
      <c r="CG91" s="521">
        <f t="shared" si="77"/>
        <v>2</v>
      </c>
      <c r="CH91" s="421">
        <f t="shared" si="77"/>
        <v>1</v>
      </c>
      <c r="CI91" s="96">
        <f t="shared" si="45"/>
        <v>0</v>
      </c>
      <c r="CJ91" s="96">
        <f t="shared" si="45"/>
        <v>0</v>
      </c>
      <c r="CK91" s="96">
        <f t="shared" si="45"/>
        <v>0</v>
      </c>
      <c r="CL91" s="286">
        <f t="shared" si="45"/>
        <v>2</v>
      </c>
      <c r="CM91" s="305" t="s">
        <v>293</v>
      </c>
      <c r="CN91" s="315">
        <v>0.05</v>
      </c>
      <c r="CO91" s="306"/>
      <c r="CP91" s="307" t="str">
        <f>IF($CO91&lt;&gt;"",$CO91,HLOOKUP($CM91,$AY$6:$BA$132,ROWS(CP$6:CP91),0))</f>
        <v/>
      </c>
      <c r="CQ91" s="784">
        <v>1587337.3802098364</v>
      </c>
      <c r="CR91" s="784">
        <v>3500514.1854706677</v>
      </c>
      <c r="CS91" s="524">
        <v>1561980.3317084827</v>
      </c>
      <c r="CT91" s="416">
        <v>10843.92142643568</v>
      </c>
      <c r="CU91" s="97">
        <v>15972.578060655806</v>
      </c>
      <c r="CV91" s="97">
        <v>586977.23337779799</v>
      </c>
      <c r="CW91" s="97">
        <v>2032809.6062093987</v>
      </c>
      <c r="CX91" s="98">
        <v>4499508.5069725979</v>
      </c>
      <c r="CY91" s="392"/>
    </row>
    <row r="92" spans="1:110" x14ac:dyDescent="0.25">
      <c r="A92" s="81" t="s">
        <v>138</v>
      </c>
      <c r="B92" s="82" t="s">
        <v>187</v>
      </c>
      <c r="C92" s="83" t="s">
        <v>382</v>
      </c>
      <c r="D92" s="84"/>
      <c r="E92" s="85"/>
      <c r="F92" s="85"/>
      <c r="G92" s="85"/>
      <c r="H92" s="85"/>
      <c r="I92" s="85"/>
      <c r="J92" s="85"/>
      <c r="K92" s="85"/>
      <c r="L92" s="85"/>
      <c r="M92" s="654"/>
      <c r="N92" s="1065"/>
      <c r="O92" s="560">
        <f t="shared" si="75"/>
        <v>0</v>
      </c>
      <c r="P92" s="561">
        <f t="shared" si="51"/>
        <v>0</v>
      </c>
      <c r="Q92" s="561">
        <f t="shared" si="52"/>
        <v>0</v>
      </c>
      <c r="R92" s="561">
        <f t="shared" si="53"/>
        <v>0</v>
      </c>
      <c r="S92" s="561">
        <f t="shared" si="54"/>
        <v>0</v>
      </c>
      <c r="T92" s="561">
        <f t="shared" si="55"/>
        <v>0</v>
      </c>
      <c r="U92" s="561">
        <f t="shared" si="56"/>
        <v>0</v>
      </c>
      <c r="V92" s="561">
        <f t="shared" si="57"/>
        <v>0</v>
      </c>
      <c r="W92" s="675">
        <f t="shared" si="58"/>
        <v>0</v>
      </c>
      <c r="X92" s="675">
        <f t="shared" si="59"/>
        <v>0</v>
      </c>
      <c r="Y92" s="675">
        <f t="shared" si="59"/>
        <v>0</v>
      </c>
      <c r="Z92" s="86"/>
      <c r="AA92" s="87"/>
      <c r="AB92" s="87"/>
      <c r="AC92" s="87"/>
      <c r="AD92" s="87"/>
      <c r="AE92" s="87"/>
      <c r="AF92" s="87"/>
      <c r="AG92" s="87"/>
      <c r="AH92" s="87"/>
      <c r="AI92" s="1094"/>
      <c r="AJ92" s="665"/>
      <c r="AK92" s="88">
        <f t="shared" si="60"/>
        <v>0</v>
      </c>
      <c r="AL92" s="89" t="str" cm="1">
        <f t="array" aca="1" ref="AL92" ca="1">IFERROR(IF($AM$4="N",SSUM(AF92:AH92)/3,SUM(AG92:AI92)/3),"")</f>
        <v/>
      </c>
      <c r="AM92" s="90">
        <f t="shared" si="61"/>
        <v>0</v>
      </c>
      <c r="AN92" s="91" t="str">
        <f t="shared" si="62"/>
        <v/>
      </c>
      <c r="AO92" s="92" t="str">
        <f t="shared" si="63"/>
        <v/>
      </c>
      <c r="AP92" s="92" t="str">
        <f t="shared" si="64"/>
        <v/>
      </c>
      <c r="AQ92" s="92" t="str">
        <f t="shared" si="65"/>
        <v/>
      </c>
      <c r="AR92" s="92" t="str">
        <f t="shared" si="66"/>
        <v/>
      </c>
      <c r="AS92" s="92" t="str">
        <f t="shared" si="67"/>
        <v/>
      </c>
      <c r="AT92" s="92" t="str">
        <f t="shared" si="68"/>
        <v/>
      </c>
      <c r="AU92" s="92" t="str">
        <f t="shared" si="69"/>
        <v/>
      </c>
      <c r="AV92" s="92" t="str">
        <f t="shared" si="79"/>
        <v/>
      </c>
      <c r="AW92" s="92" t="str">
        <f t="shared" si="79"/>
        <v/>
      </c>
      <c r="AX92" s="92" t="str">
        <f t="shared" si="79"/>
        <v/>
      </c>
      <c r="AY92" s="93" t="str">
        <f t="shared" si="71"/>
        <v/>
      </c>
      <c r="AZ92" s="94" t="str">
        <f t="shared" si="72"/>
        <v/>
      </c>
      <c r="BA92" s="95" t="str">
        <f t="shared" si="73"/>
        <v/>
      </c>
      <c r="BB92" s="248" t="s">
        <v>422</v>
      </c>
      <c r="BC92" s="229" t="s">
        <v>433</v>
      </c>
      <c r="BD92" s="249">
        <v>0</v>
      </c>
      <c r="BE92" s="267">
        <f t="shared" si="76"/>
        <v>0</v>
      </c>
      <c r="BF92" s="268">
        <f t="shared" si="80"/>
        <v>0</v>
      </c>
      <c r="BG92" s="268">
        <f t="shared" si="80"/>
        <v>0</v>
      </c>
      <c r="BH92" s="268">
        <f t="shared" si="80"/>
        <v>1</v>
      </c>
      <c r="BI92" s="268">
        <f t="shared" si="80"/>
        <v>2</v>
      </c>
      <c r="BJ92" s="268">
        <f t="shared" si="80"/>
        <v>3</v>
      </c>
      <c r="BK92" s="268">
        <f t="shared" si="80"/>
        <v>4</v>
      </c>
      <c r="BL92" s="269">
        <f t="shared" si="80"/>
        <v>5</v>
      </c>
      <c r="BM92" s="256">
        <f>IF($BC92=Lookup!$A$2,$BD92*ROUNDUP(BE92/10,0)+1,
IF($BC92=Lookup!$A$3,($BD92+1)^BD92,
IF($BC92=Lookup!$A$4,BE92*$BD92+1,"Error")))</f>
        <v>1</v>
      </c>
      <c r="BN92" s="229">
        <f>IF($BC92=Lookup!$A$2,$BD92*ROUNDUP(BF92/10,0)+1,
IF($BC92=Lookup!$A$3,($BD92+1)^BE92,
IF($BC92=Lookup!$A$4,BF92*$BD92+1,"Error")))</f>
        <v>1</v>
      </c>
      <c r="BO92" s="229">
        <f>IF($BC92=Lookup!$A$2,$BD92*ROUNDUP(BG92/10,0)+1,
IF($BC92=Lookup!$A$3,($BD92+1)^BF92,
IF($BC92=Lookup!$A$4,BG92*$BD92+1,"Error")))</f>
        <v>1</v>
      </c>
      <c r="BP92" s="229">
        <f>IF($BC92=Lookup!$A$2,$BD92*ROUNDUP(BH92/10,0)+1,
IF($BC92=Lookup!$A$3,($BD92+1)^BG92,
IF($BC92=Lookup!$A$4,BH92*$BD92+1,"Error")))</f>
        <v>1</v>
      </c>
      <c r="BQ92" s="229">
        <f>IF($BC92=Lookup!$A$2,$BD92*ROUNDUP(BI92/10,0)+1,
IF($BC92=Lookup!$A$3,($BD92+1)^BH92,
IF($BC92=Lookup!$A$4,BI92*$BD92+1,"Error")))</f>
        <v>1</v>
      </c>
      <c r="BR92" s="229">
        <f>IF($BC92=Lookup!$A$2,$BD92*ROUNDUP(BJ92/10,0)+1,
IF($BC92=Lookup!$A$3,($BD92+1)^BI92,
IF($BC92=Lookup!$A$4,BJ92*$BD92+1,"Error")))</f>
        <v>1</v>
      </c>
      <c r="BS92" s="229">
        <f>IF($BC92=Lookup!$A$2,$BD92*ROUNDUP(BK92/10,0)+1,
IF($BC92=Lookup!$A$3,($BD92+1)^BJ92,
IF($BC92=Lookup!$A$4,BK92*$BD92+1,"Error")))</f>
        <v>1</v>
      </c>
      <c r="BT92" s="249">
        <f>IF($BC92=Lookup!$A$2,$BD92*ROUNDUP(BL92/10,0)+1,
IF($BC92=Lookup!$A$3,($BD92+1)^BK92,
IF($BC92=Lookup!$A$4,BL92*$BD92+1,"Error")))</f>
        <v>1</v>
      </c>
      <c r="BU92" s="320">
        <v>0</v>
      </c>
      <c r="BV92" s="321">
        <v>0</v>
      </c>
      <c r="BW92" s="321">
        <v>0</v>
      </c>
      <c r="BX92" s="320">
        <v>0</v>
      </c>
      <c r="BY92" s="321">
        <v>0</v>
      </c>
      <c r="BZ92" s="321">
        <v>0</v>
      </c>
      <c r="CA92" s="321">
        <v>0</v>
      </c>
      <c r="CB92" s="277">
        <v>0</v>
      </c>
      <c r="CC92" s="382" t="s">
        <v>292</v>
      </c>
      <c r="CD92" s="383">
        <f>HLOOKUP($CC92,$AK$6:$AM$132,ROWS(CD$6:CD92),0)</f>
        <v>0</v>
      </c>
      <c r="CE92" s="234">
        <f t="shared" si="77"/>
        <v>0</v>
      </c>
      <c r="CF92" s="96">
        <f t="shared" si="77"/>
        <v>0</v>
      </c>
      <c r="CG92" s="521">
        <f t="shared" si="77"/>
        <v>0</v>
      </c>
      <c r="CH92" s="421">
        <f t="shared" si="77"/>
        <v>0</v>
      </c>
      <c r="CI92" s="96">
        <f t="shared" si="45"/>
        <v>0</v>
      </c>
      <c r="CJ92" s="96">
        <f t="shared" si="45"/>
        <v>0</v>
      </c>
      <c r="CK92" s="96">
        <f t="shared" si="45"/>
        <v>0</v>
      </c>
      <c r="CL92" s="286">
        <f t="shared" si="45"/>
        <v>0</v>
      </c>
      <c r="CM92" s="305" t="s">
        <v>293</v>
      </c>
      <c r="CN92" s="315">
        <v>0.05</v>
      </c>
      <c r="CO92" s="306"/>
      <c r="CP92" s="307" t="str">
        <f>IF($CO92&lt;&gt;"",$CO92,HLOOKUP($CM92,$AY$6:$BA$132,ROWS(CP$6:CP92),0))</f>
        <v/>
      </c>
      <c r="CQ92" s="784">
        <v>0</v>
      </c>
      <c r="CR92" s="784">
        <v>0</v>
      </c>
      <c r="CS92" s="524">
        <v>0</v>
      </c>
      <c r="CT92" s="416">
        <v>0</v>
      </c>
      <c r="CU92" s="97">
        <v>0</v>
      </c>
      <c r="CV92" s="97">
        <v>0</v>
      </c>
      <c r="CW92" s="97">
        <v>0</v>
      </c>
      <c r="CX92" s="98">
        <v>0</v>
      </c>
      <c r="CY92" s="392"/>
    </row>
    <row r="93" spans="1:110" x14ac:dyDescent="0.25">
      <c r="A93" s="81" t="s">
        <v>138</v>
      </c>
      <c r="B93" s="82" t="s">
        <v>189</v>
      </c>
      <c r="C93" s="83" t="s">
        <v>383</v>
      </c>
      <c r="D93" s="84"/>
      <c r="E93" s="85"/>
      <c r="F93" s="85"/>
      <c r="G93" s="85"/>
      <c r="H93" s="85"/>
      <c r="I93" s="85"/>
      <c r="J93" s="85"/>
      <c r="K93" s="85"/>
      <c r="L93" s="85"/>
      <c r="M93" s="654"/>
      <c r="N93" s="1065"/>
      <c r="O93" s="560">
        <f t="shared" si="75"/>
        <v>0</v>
      </c>
      <c r="P93" s="561">
        <f t="shared" si="51"/>
        <v>0</v>
      </c>
      <c r="Q93" s="561">
        <f t="shared" si="52"/>
        <v>0</v>
      </c>
      <c r="R93" s="561">
        <f t="shared" si="53"/>
        <v>0</v>
      </c>
      <c r="S93" s="561">
        <f t="shared" si="54"/>
        <v>0</v>
      </c>
      <c r="T93" s="561">
        <f t="shared" si="55"/>
        <v>0</v>
      </c>
      <c r="U93" s="561">
        <f t="shared" si="56"/>
        <v>0</v>
      </c>
      <c r="V93" s="561">
        <f t="shared" si="57"/>
        <v>0</v>
      </c>
      <c r="W93" s="675">
        <f t="shared" si="58"/>
        <v>0</v>
      </c>
      <c r="X93" s="675">
        <f t="shared" si="59"/>
        <v>0</v>
      </c>
      <c r="Y93" s="675">
        <f t="shared" si="59"/>
        <v>0</v>
      </c>
      <c r="Z93" s="86"/>
      <c r="AA93" s="87"/>
      <c r="AB93" s="87"/>
      <c r="AC93" s="87"/>
      <c r="AD93" s="87"/>
      <c r="AE93" s="87"/>
      <c r="AF93" s="87"/>
      <c r="AG93" s="87"/>
      <c r="AH93" s="87"/>
      <c r="AI93" s="1094"/>
      <c r="AJ93" s="665"/>
      <c r="AK93" s="88">
        <f t="shared" si="60"/>
        <v>0</v>
      </c>
      <c r="AL93" s="89" t="str" cm="1">
        <f t="array" aca="1" ref="AL93" ca="1">IFERROR(IF($AM$4="N",SSUM(AF93:AH93)/3,SUM(AG93:AI93)/3),"")</f>
        <v/>
      </c>
      <c r="AM93" s="90">
        <f t="shared" si="61"/>
        <v>0</v>
      </c>
      <c r="AN93" s="91" t="str">
        <f t="shared" si="62"/>
        <v/>
      </c>
      <c r="AO93" s="92" t="str">
        <f t="shared" si="63"/>
        <v/>
      </c>
      <c r="AP93" s="92" t="str">
        <f t="shared" si="64"/>
        <v/>
      </c>
      <c r="AQ93" s="92" t="str">
        <f t="shared" si="65"/>
        <v/>
      </c>
      <c r="AR93" s="92" t="str">
        <f t="shared" si="66"/>
        <v/>
      </c>
      <c r="AS93" s="92" t="str">
        <f t="shared" si="67"/>
        <v/>
      </c>
      <c r="AT93" s="92" t="str">
        <f t="shared" si="68"/>
        <v/>
      </c>
      <c r="AU93" s="92" t="str">
        <f t="shared" si="69"/>
        <v/>
      </c>
      <c r="AV93" s="92" t="str">
        <f t="shared" si="79"/>
        <v/>
      </c>
      <c r="AW93" s="92" t="str">
        <f t="shared" si="79"/>
        <v/>
      </c>
      <c r="AX93" s="92" t="str">
        <f t="shared" si="79"/>
        <v/>
      </c>
      <c r="AY93" s="93" t="str">
        <f t="shared" si="71"/>
        <v/>
      </c>
      <c r="AZ93" s="94" t="str">
        <f t="shared" si="72"/>
        <v/>
      </c>
      <c r="BA93" s="95" t="str">
        <f t="shared" si="73"/>
        <v/>
      </c>
      <c r="BB93" s="248" t="s">
        <v>422</v>
      </c>
      <c r="BC93" s="229" t="s">
        <v>433</v>
      </c>
      <c r="BD93" s="249">
        <v>0</v>
      </c>
      <c r="BE93" s="267">
        <f t="shared" si="76"/>
        <v>0</v>
      </c>
      <c r="BF93" s="268">
        <f t="shared" si="80"/>
        <v>0</v>
      </c>
      <c r="BG93" s="268">
        <f t="shared" si="80"/>
        <v>0</v>
      </c>
      <c r="BH93" s="268">
        <f t="shared" si="80"/>
        <v>1</v>
      </c>
      <c r="BI93" s="268">
        <f t="shared" si="80"/>
        <v>2</v>
      </c>
      <c r="BJ93" s="268">
        <f t="shared" si="80"/>
        <v>3</v>
      </c>
      <c r="BK93" s="268">
        <f t="shared" si="80"/>
        <v>4</v>
      </c>
      <c r="BL93" s="269">
        <f t="shared" si="80"/>
        <v>5</v>
      </c>
      <c r="BM93" s="256">
        <f>IF($BC93=Lookup!$A$2,$BD93*ROUNDUP(BE93/10,0)+1,
IF($BC93=Lookup!$A$3,($BD93+1)^BD93,
IF($BC93=Lookup!$A$4,BE93*$BD93+1,"Error")))</f>
        <v>1</v>
      </c>
      <c r="BN93" s="229">
        <f>IF($BC93=Lookup!$A$2,$BD93*ROUNDUP(BF93/10,0)+1,
IF($BC93=Lookup!$A$3,($BD93+1)^BE93,
IF($BC93=Lookup!$A$4,BF93*$BD93+1,"Error")))</f>
        <v>1</v>
      </c>
      <c r="BO93" s="229">
        <f>IF($BC93=Lookup!$A$2,$BD93*ROUNDUP(BG93/10,0)+1,
IF($BC93=Lookup!$A$3,($BD93+1)^BF93,
IF($BC93=Lookup!$A$4,BG93*$BD93+1,"Error")))</f>
        <v>1</v>
      </c>
      <c r="BP93" s="229">
        <f>IF($BC93=Lookup!$A$2,$BD93*ROUNDUP(BH93/10,0)+1,
IF($BC93=Lookup!$A$3,($BD93+1)^BG93,
IF($BC93=Lookup!$A$4,BH93*$BD93+1,"Error")))</f>
        <v>1</v>
      </c>
      <c r="BQ93" s="229">
        <f>IF($BC93=Lookup!$A$2,$BD93*ROUNDUP(BI93/10,0)+1,
IF($BC93=Lookup!$A$3,($BD93+1)^BH93,
IF($BC93=Lookup!$A$4,BI93*$BD93+1,"Error")))</f>
        <v>1</v>
      </c>
      <c r="BR93" s="229">
        <f>IF($BC93=Lookup!$A$2,$BD93*ROUNDUP(BJ93/10,0)+1,
IF($BC93=Lookup!$A$3,($BD93+1)^BI93,
IF($BC93=Lookup!$A$4,BJ93*$BD93+1,"Error")))</f>
        <v>1</v>
      </c>
      <c r="BS93" s="229">
        <f>IF($BC93=Lookup!$A$2,$BD93*ROUNDUP(BK93/10,0)+1,
IF($BC93=Lookup!$A$3,($BD93+1)^BJ93,
IF($BC93=Lookup!$A$4,BK93*$BD93+1,"Error")))</f>
        <v>1</v>
      </c>
      <c r="BT93" s="249">
        <f>IF($BC93=Lookup!$A$2,$BD93*ROUNDUP(BL93/10,0)+1,
IF($BC93=Lookup!$A$3,($BD93+1)^BK93,
IF($BC93=Lookup!$A$4,BL93*$BD93+1,"Error")))</f>
        <v>1</v>
      </c>
      <c r="BU93" s="320">
        <v>0</v>
      </c>
      <c r="BV93" s="321">
        <v>0</v>
      </c>
      <c r="BW93" s="321">
        <v>0</v>
      </c>
      <c r="BX93" s="320">
        <v>0</v>
      </c>
      <c r="BY93" s="321">
        <v>0</v>
      </c>
      <c r="BZ93" s="321">
        <v>0</v>
      </c>
      <c r="CA93" s="321">
        <v>0</v>
      </c>
      <c r="CB93" s="277">
        <v>0</v>
      </c>
      <c r="CC93" s="382" t="s">
        <v>292</v>
      </c>
      <c r="CD93" s="383">
        <f>HLOOKUP($CC93,$AK$6:$AM$132,ROWS(CD$6:CD93),0)</f>
        <v>0</v>
      </c>
      <c r="CE93" s="234">
        <f t="shared" si="77"/>
        <v>0</v>
      </c>
      <c r="CF93" s="96">
        <f t="shared" si="77"/>
        <v>0</v>
      </c>
      <c r="CG93" s="521">
        <f t="shared" si="77"/>
        <v>0</v>
      </c>
      <c r="CH93" s="421">
        <f t="shared" si="77"/>
        <v>0</v>
      </c>
      <c r="CI93" s="96">
        <f t="shared" si="45"/>
        <v>0</v>
      </c>
      <c r="CJ93" s="96">
        <f t="shared" si="45"/>
        <v>0</v>
      </c>
      <c r="CK93" s="96">
        <f t="shared" si="45"/>
        <v>0</v>
      </c>
      <c r="CL93" s="286">
        <f t="shared" si="45"/>
        <v>0</v>
      </c>
      <c r="CM93" s="305" t="s">
        <v>293</v>
      </c>
      <c r="CN93" s="315">
        <v>0.05</v>
      </c>
      <c r="CO93" s="306"/>
      <c r="CP93" s="307" t="str">
        <f>IF($CO93&lt;&gt;"",$CO93,HLOOKUP($CM93,$AY$6:$BA$132,ROWS(CP$6:CP93),0))</f>
        <v/>
      </c>
      <c r="CQ93" s="784">
        <v>0</v>
      </c>
      <c r="CR93" s="784">
        <v>0</v>
      </c>
      <c r="CS93" s="524">
        <v>0</v>
      </c>
      <c r="CT93" s="416">
        <v>0</v>
      </c>
      <c r="CU93" s="97">
        <v>0</v>
      </c>
      <c r="CV93" s="97">
        <v>0</v>
      </c>
      <c r="CW93" s="97">
        <v>0</v>
      </c>
      <c r="CX93" s="98">
        <v>0</v>
      </c>
      <c r="CY93" s="392"/>
    </row>
    <row r="94" spans="1:110" x14ac:dyDescent="0.25">
      <c r="A94" s="81" t="s">
        <v>138</v>
      </c>
      <c r="B94" s="82" t="s">
        <v>191</v>
      </c>
      <c r="C94" s="83" t="s">
        <v>384</v>
      </c>
      <c r="D94" s="84"/>
      <c r="E94" s="85"/>
      <c r="F94" s="85"/>
      <c r="G94" s="85"/>
      <c r="H94" s="85"/>
      <c r="I94" s="85"/>
      <c r="J94" s="85"/>
      <c r="K94" s="85"/>
      <c r="L94" s="85"/>
      <c r="M94" s="654"/>
      <c r="N94" s="1065"/>
      <c r="O94" s="560">
        <f t="shared" si="75"/>
        <v>0</v>
      </c>
      <c r="P94" s="561">
        <f t="shared" si="51"/>
        <v>0</v>
      </c>
      <c r="Q94" s="561">
        <f t="shared" si="52"/>
        <v>0</v>
      </c>
      <c r="R94" s="561">
        <f t="shared" si="53"/>
        <v>0</v>
      </c>
      <c r="S94" s="561">
        <f t="shared" si="54"/>
        <v>0</v>
      </c>
      <c r="T94" s="561">
        <f t="shared" si="55"/>
        <v>0</v>
      </c>
      <c r="U94" s="561">
        <f t="shared" si="56"/>
        <v>0</v>
      </c>
      <c r="V94" s="561">
        <f t="shared" si="57"/>
        <v>0</v>
      </c>
      <c r="W94" s="675">
        <f t="shared" si="58"/>
        <v>0</v>
      </c>
      <c r="X94" s="675">
        <f t="shared" si="59"/>
        <v>0</v>
      </c>
      <c r="Y94" s="675">
        <f t="shared" si="59"/>
        <v>0</v>
      </c>
      <c r="Z94" s="86"/>
      <c r="AA94" s="87"/>
      <c r="AB94" s="87"/>
      <c r="AC94" s="87"/>
      <c r="AD94" s="87"/>
      <c r="AE94" s="87"/>
      <c r="AF94" s="87"/>
      <c r="AG94" s="87"/>
      <c r="AH94" s="87"/>
      <c r="AI94" s="1094"/>
      <c r="AJ94" s="665"/>
      <c r="AK94" s="88">
        <f t="shared" si="60"/>
        <v>0</v>
      </c>
      <c r="AL94" s="89" t="str" cm="1">
        <f t="array" aca="1" ref="AL94" ca="1">IFERROR(IF($AM$4="N",SSUM(AF94:AH94)/3,SUM(AG94:AI94)/3),"")</f>
        <v/>
      </c>
      <c r="AM94" s="90">
        <f t="shared" si="61"/>
        <v>0</v>
      </c>
      <c r="AN94" s="91" t="str">
        <f t="shared" si="62"/>
        <v/>
      </c>
      <c r="AO94" s="92" t="str">
        <f t="shared" si="63"/>
        <v/>
      </c>
      <c r="AP94" s="92" t="str">
        <f t="shared" si="64"/>
        <v/>
      </c>
      <c r="AQ94" s="92" t="str">
        <f t="shared" si="65"/>
        <v/>
      </c>
      <c r="AR94" s="92" t="str">
        <f t="shared" si="66"/>
        <v/>
      </c>
      <c r="AS94" s="92" t="str">
        <f t="shared" si="67"/>
        <v/>
      </c>
      <c r="AT94" s="92" t="str">
        <f t="shared" si="68"/>
        <v/>
      </c>
      <c r="AU94" s="92" t="str">
        <f t="shared" si="69"/>
        <v/>
      </c>
      <c r="AV94" s="92" t="str">
        <f t="shared" si="79"/>
        <v/>
      </c>
      <c r="AW94" s="92" t="str">
        <f t="shared" si="79"/>
        <v/>
      </c>
      <c r="AX94" s="92" t="str">
        <f t="shared" si="79"/>
        <v/>
      </c>
      <c r="AY94" s="93" t="str">
        <f t="shared" si="71"/>
        <v/>
      </c>
      <c r="AZ94" s="94" t="str">
        <f t="shared" si="72"/>
        <v/>
      </c>
      <c r="BA94" s="95" t="str">
        <f t="shared" si="73"/>
        <v/>
      </c>
      <c r="BB94" s="248" t="s">
        <v>422</v>
      </c>
      <c r="BC94" s="229" t="s">
        <v>433</v>
      </c>
      <c r="BD94" s="249">
        <v>0</v>
      </c>
      <c r="BE94" s="267">
        <f t="shared" si="76"/>
        <v>0</v>
      </c>
      <c r="BF94" s="268">
        <f t="shared" si="80"/>
        <v>0</v>
      </c>
      <c r="BG94" s="268">
        <f t="shared" si="80"/>
        <v>0</v>
      </c>
      <c r="BH94" s="268">
        <f t="shared" si="80"/>
        <v>1</v>
      </c>
      <c r="BI94" s="268">
        <f t="shared" si="80"/>
        <v>2</v>
      </c>
      <c r="BJ94" s="268">
        <f t="shared" si="80"/>
        <v>3</v>
      </c>
      <c r="BK94" s="268">
        <f t="shared" si="80"/>
        <v>4</v>
      </c>
      <c r="BL94" s="269">
        <f t="shared" si="80"/>
        <v>5</v>
      </c>
      <c r="BM94" s="256">
        <f>IF($BC94=Lookup!$A$2,$BD94*ROUNDUP(BE94/10,0)+1,
IF($BC94=Lookup!$A$3,($BD94+1)^BD94,
IF($BC94=Lookup!$A$4,BE94*$BD94+1,"Error")))</f>
        <v>1</v>
      </c>
      <c r="BN94" s="229">
        <f>IF($BC94=Lookup!$A$2,$BD94*ROUNDUP(BF94/10,0)+1,
IF($BC94=Lookup!$A$3,($BD94+1)^BE94,
IF($BC94=Lookup!$A$4,BF94*$BD94+1,"Error")))</f>
        <v>1</v>
      </c>
      <c r="BO94" s="229">
        <f>IF($BC94=Lookup!$A$2,$BD94*ROUNDUP(BG94/10,0)+1,
IF($BC94=Lookup!$A$3,($BD94+1)^BF94,
IF($BC94=Lookup!$A$4,BG94*$BD94+1,"Error")))</f>
        <v>1</v>
      </c>
      <c r="BP94" s="229">
        <f>IF($BC94=Lookup!$A$2,$BD94*ROUNDUP(BH94/10,0)+1,
IF($BC94=Lookup!$A$3,($BD94+1)^BG94,
IF($BC94=Lookup!$A$4,BH94*$BD94+1,"Error")))</f>
        <v>1</v>
      </c>
      <c r="BQ94" s="229">
        <f>IF($BC94=Lookup!$A$2,$BD94*ROUNDUP(BI94/10,0)+1,
IF($BC94=Lookup!$A$3,($BD94+1)^BH94,
IF($BC94=Lookup!$A$4,BI94*$BD94+1,"Error")))</f>
        <v>1</v>
      </c>
      <c r="BR94" s="229">
        <f>IF($BC94=Lookup!$A$2,$BD94*ROUNDUP(BJ94/10,0)+1,
IF($BC94=Lookup!$A$3,($BD94+1)^BI94,
IF($BC94=Lookup!$A$4,BJ94*$BD94+1,"Error")))</f>
        <v>1</v>
      </c>
      <c r="BS94" s="229">
        <f>IF($BC94=Lookup!$A$2,$BD94*ROUNDUP(BK94/10,0)+1,
IF($BC94=Lookup!$A$3,($BD94+1)^BJ94,
IF($BC94=Lookup!$A$4,BK94*$BD94+1,"Error")))</f>
        <v>1</v>
      </c>
      <c r="BT94" s="249">
        <f>IF($BC94=Lookup!$A$2,$BD94*ROUNDUP(BL94/10,0)+1,
IF($BC94=Lookup!$A$3,($BD94+1)^BK94,
IF($BC94=Lookup!$A$4,BL94*$BD94+1,"Error")))</f>
        <v>1</v>
      </c>
      <c r="BU94" s="320">
        <v>0</v>
      </c>
      <c r="BV94" s="321">
        <v>0</v>
      </c>
      <c r="BW94" s="321">
        <v>0</v>
      </c>
      <c r="BX94" s="320">
        <v>0</v>
      </c>
      <c r="BY94" s="321">
        <v>0</v>
      </c>
      <c r="BZ94" s="321">
        <v>0</v>
      </c>
      <c r="CA94" s="321">
        <v>0</v>
      </c>
      <c r="CB94" s="277">
        <v>0</v>
      </c>
      <c r="CC94" s="382" t="s">
        <v>292</v>
      </c>
      <c r="CD94" s="383">
        <f>HLOOKUP($CC94,$AK$6:$AM$132,ROWS(CD$6:CD94),0)</f>
        <v>0</v>
      </c>
      <c r="CE94" s="234">
        <f t="shared" si="77"/>
        <v>0</v>
      </c>
      <c r="CF94" s="96">
        <f t="shared" si="77"/>
        <v>0</v>
      </c>
      <c r="CG94" s="521">
        <f t="shared" si="77"/>
        <v>0</v>
      </c>
      <c r="CH94" s="421">
        <f t="shared" si="77"/>
        <v>0</v>
      </c>
      <c r="CI94" s="96">
        <f t="shared" si="45"/>
        <v>0</v>
      </c>
      <c r="CJ94" s="96">
        <f t="shared" si="45"/>
        <v>0</v>
      </c>
      <c r="CK94" s="96">
        <f t="shared" si="45"/>
        <v>0</v>
      </c>
      <c r="CL94" s="286">
        <f t="shared" si="45"/>
        <v>0</v>
      </c>
      <c r="CM94" s="305" t="s">
        <v>293</v>
      </c>
      <c r="CN94" s="315">
        <v>0.05</v>
      </c>
      <c r="CO94" s="306"/>
      <c r="CP94" s="307" t="str">
        <f>IF($CO94&lt;&gt;"",$CO94,HLOOKUP($CM94,$AY$6:$BA$132,ROWS(CP$6:CP94),0))</f>
        <v/>
      </c>
      <c r="CQ94" s="784">
        <v>0</v>
      </c>
      <c r="CR94" s="784">
        <v>0</v>
      </c>
      <c r="CS94" s="524">
        <v>0</v>
      </c>
      <c r="CT94" s="416">
        <v>0</v>
      </c>
      <c r="CU94" s="97">
        <v>0</v>
      </c>
      <c r="CV94" s="97">
        <v>0</v>
      </c>
      <c r="CW94" s="97">
        <v>0</v>
      </c>
      <c r="CX94" s="98">
        <v>0</v>
      </c>
      <c r="CY94" s="392"/>
    </row>
    <row r="95" spans="1:110" ht="15.75" thickBot="1" x14ac:dyDescent="0.3">
      <c r="A95" s="100" t="s">
        <v>138</v>
      </c>
      <c r="B95" s="101" t="s">
        <v>385</v>
      </c>
      <c r="C95" s="102" t="s">
        <v>386</v>
      </c>
      <c r="D95" s="103"/>
      <c r="E95" s="104"/>
      <c r="F95" s="104"/>
      <c r="G95" s="104"/>
      <c r="H95" s="104"/>
      <c r="I95" s="104"/>
      <c r="J95" s="104"/>
      <c r="K95" s="104"/>
      <c r="L95" s="104"/>
      <c r="M95" s="655"/>
      <c r="N95" s="1066"/>
      <c r="O95" s="563">
        <f t="shared" si="75"/>
        <v>0</v>
      </c>
      <c r="P95" s="564">
        <f t="shared" si="51"/>
        <v>0</v>
      </c>
      <c r="Q95" s="564">
        <f t="shared" si="52"/>
        <v>0</v>
      </c>
      <c r="R95" s="564">
        <f t="shared" si="53"/>
        <v>0</v>
      </c>
      <c r="S95" s="564">
        <f t="shared" si="54"/>
        <v>0</v>
      </c>
      <c r="T95" s="564">
        <f t="shared" si="55"/>
        <v>0</v>
      </c>
      <c r="U95" s="564">
        <f t="shared" si="56"/>
        <v>0</v>
      </c>
      <c r="V95" s="564">
        <f t="shared" si="57"/>
        <v>0</v>
      </c>
      <c r="W95" s="676">
        <f t="shared" si="58"/>
        <v>0</v>
      </c>
      <c r="X95" s="676">
        <f t="shared" si="59"/>
        <v>0</v>
      </c>
      <c r="Y95" s="676">
        <f t="shared" si="59"/>
        <v>0</v>
      </c>
      <c r="Z95" s="105"/>
      <c r="AA95" s="106"/>
      <c r="AB95" s="106"/>
      <c r="AC95" s="106"/>
      <c r="AD95" s="106"/>
      <c r="AE95" s="106"/>
      <c r="AF95" s="106"/>
      <c r="AG95" s="106"/>
      <c r="AH95" s="106"/>
      <c r="AI95" s="1095"/>
      <c r="AJ95" s="666"/>
      <c r="AK95" s="107">
        <f t="shared" si="60"/>
        <v>0</v>
      </c>
      <c r="AL95" s="108" t="str" cm="1">
        <f t="array" aca="1" ref="AL95" ca="1">IFERROR(IF($AM$4="N",SSUM(AF95:AH95)/3,SUM(AG95:AI95)/3),"")</f>
        <v/>
      </c>
      <c r="AM95" s="109">
        <f t="shared" si="61"/>
        <v>0</v>
      </c>
      <c r="AN95" s="110" t="str">
        <f t="shared" si="62"/>
        <v/>
      </c>
      <c r="AO95" s="111" t="str">
        <f t="shared" si="63"/>
        <v/>
      </c>
      <c r="AP95" s="111" t="str">
        <f t="shared" si="64"/>
        <v/>
      </c>
      <c r="AQ95" s="111" t="str">
        <f t="shared" si="65"/>
        <v/>
      </c>
      <c r="AR95" s="111" t="str">
        <f t="shared" si="66"/>
        <v/>
      </c>
      <c r="AS95" s="111" t="str">
        <f t="shared" si="67"/>
        <v/>
      </c>
      <c r="AT95" s="111" t="str">
        <f t="shared" si="68"/>
        <v/>
      </c>
      <c r="AU95" s="111" t="str">
        <f t="shared" si="69"/>
        <v/>
      </c>
      <c r="AV95" s="111" t="str">
        <f t="shared" si="79"/>
        <v/>
      </c>
      <c r="AW95" s="111" t="str">
        <f t="shared" si="79"/>
        <v/>
      </c>
      <c r="AX95" s="111" t="str">
        <f t="shared" si="79"/>
        <v/>
      </c>
      <c r="AY95" s="112" t="str">
        <f t="shared" si="71"/>
        <v/>
      </c>
      <c r="AZ95" s="113" t="str">
        <f t="shared" si="72"/>
        <v/>
      </c>
      <c r="BA95" s="114" t="str">
        <f t="shared" si="73"/>
        <v/>
      </c>
      <c r="BB95" s="250" t="s">
        <v>422</v>
      </c>
      <c r="BC95" s="230" t="s">
        <v>433</v>
      </c>
      <c r="BD95" s="251">
        <v>0</v>
      </c>
      <c r="BE95" s="270">
        <f t="shared" si="76"/>
        <v>0</v>
      </c>
      <c r="BF95" s="271">
        <f t="shared" si="80"/>
        <v>0</v>
      </c>
      <c r="BG95" s="271">
        <f t="shared" si="80"/>
        <v>0</v>
      </c>
      <c r="BH95" s="271">
        <f t="shared" si="80"/>
        <v>1</v>
      </c>
      <c r="BI95" s="271">
        <f t="shared" si="80"/>
        <v>2</v>
      </c>
      <c r="BJ95" s="271">
        <f t="shared" si="80"/>
        <v>3</v>
      </c>
      <c r="BK95" s="271">
        <f t="shared" si="80"/>
        <v>4</v>
      </c>
      <c r="BL95" s="272">
        <f t="shared" si="80"/>
        <v>5</v>
      </c>
      <c r="BM95" s="257">
        <f>IF($BC95=Lookup!$A$2,$BD95*ROUNDUP(BE95/10,0)+1,
IF($BC95=Lookup!$A$3,($BD95+1)^BD95,
IF($BC95=Lookup!$A$4,BE95*$BD95+1,"Error")))</f>
        <v>1</v>
      </c>
      <c r="BN95" s="230">
        <f>IF($BC95=Lookup!$A$2,$BD95*ROUNDUP(BF95/10,0)+1,
IF($BC95=Lookup!$A$3,($BD95+1)^BE95,
IF($BC95=Lookup!$A$4,BF95*$BD95+1,"Error")))</f>
        <v>1</v>
      </c>
      <c r="BO95" s="230">
        <f>IF($BC95=Lookup!$A$2,$BD95*ROUNDUP(BG95/10,0)+1,
IF($BC95=Lookup!$A$3,($BD95+1)^BF95,
IF($BC95=Lookup!$A$4,BG95*$BD95+1,"Error")))</f>
        <v>1</v>
      </c>
      <c r="BP95" s="230">
        <f>IF($BC95=Lookup!$A$2,$BD95*ROUNDUP(BH95/10,0)+1,
IF($BC95=Lookup!$A$3,($BD95+1)^BG95,
IF($BC95=Lookup!$A$4,BH95*$BD95+1,"Error")))</f>
        <v>1</v>
      </c>
      <c r="BQ95" s="230">
        <f>IF($BC95=Lookup!$A$2,$BD95*ROUNDUP(BI95/10,0)+1,
IF($BC95=Lookup!$A$3,($BD95+1)^BH95,
IF($BC95=Lookup!$A$4,BI95*$BD95+1,"Error")))</f>
        <v>1</v>
      </c>
      <c r="BR95" s="230">
        <f>IF($BC95=Lookup!$A$2,$BD95*ROUNDUP(BJ95/10,0)+1,
IF($BC95=Lookup!$A$3,($BD95+1)^BI95,
IF($BC95=Lookup!$A$4,BJ95*$BD95+1,"Error")))</f>
        <v>1</v>
      </c>
      <c r="BS95" s="230">
        <f>IF($BC95=Lookup!$A$2,$BD95*ROUNDUP(BK95/10,0)+1,
IF($BC95=Lookup!$A$3,($BD95+1)^BJ95,
IF($BC95=Lookup!$A$4,BK95*$BD95+1,"Error")))</f>
        <v>1</v>
      </c>
      <c r="BT95" s="251">
        <f>IF($BC95=Lookup!$A$2,$BD95*ROUNDUP(BL95/10,0)+1,
IF($BC95=Lookup!$A$3,($BD95+1)^BK95,
IF($BC95=Lookup!$A$4,BL95*$BD95+1,"Error")))</f>
        <v>1</v>
      </c>
      <c r="BU95" s="322">
        <v>0</v>
      </c>
      <c r="BV95" s="323">
        <v>0</v>
      </c>
      <c r="BW95" s="323">
        <v>0</v>
      </c>
      <c r="BX95" s="322">
        <v>0</v>
      </c>
      <c r="BY95" s="323">
        <v>0</v>
      </c>
      <c r="BZ95" s="323">
        <v>0</v>
      </c>
      <c r="CA95" s="323">
        <v>0</v>
      </c>
      <c r="CB95" s="278">
        <v>0</v>
      </c>
      <c r="CC95" s="384" t="s">
        <v>292</v>
      </c>
      <c r="CD95" s="385">
        <f>HLOOKUP($CC95,$AK$6:$AM$132,ROWS(CD$6:CD95),0)</f>
        <v>0</v>
      </c>
      <c r="CE95" s="235">
        <f t="shared" si="77"/>
        <v>0</v>
      </c>
      <c r="CF95" s="115">
        <f t="shared" si="77"/>
        <v>0</v>
      </c>
      <c r="CG95" s="522">
        <f t="shared" si="77"/>
        <v>0</v>
      </c>
      <c r="CH95" s="422">
        <f t="shared" si="77"/>
        <v>0</v>
      </c>
      <c r="CI95" s="115">
        <f t="shared" si="45"/>
        <v>0</v>
      </c>
      <c r="CJ95" s="115">
        <f t="shared" si="45"/>
        <v>0</v>
      </c>
      <c r="CK95" s="115">
        <f t="shared" si="45"/>
        <v>0</v>
      </c>
      <c r="CL95" s="287">
        <f t="shared" si="45"/>
        <v>0</v>
      </c>
      <c r="CM95" s="308" t="s">
        <v>293</v>
      </c>
      <c r="CN95" s="316">
        <v>0.05</v>
      </c>
      <c r="CO95" s="309"/>
      <c r="CP95" s="310" t="str">
        <f>IF($CO95&lt;&gt;"",$CO95,HLOOKUP($CM95,$AY$6:$BA$132,ROWS(CP$6:CP95),0))</f>
        <v/>
      </c>
      <c r="CQ95" s="785">
        <v>0</v>
      </c>
      <c r="CR95" s="785">
        <v>0</v>
      </c>
      <c r="CS95" s="638">
        <v>0</v>
      </c>
      <c r="CT95" s="467">
        <v>0</v>
      </c>
      <c r="CU95" s="117">
        <v>0</v>
      </c>
      <c r="CV95" s="117">
        <v>0</v>
      </c>
      <c r="CW95" s="117">
        <v>0</v>
      </c>
      <c r="CX95" s="118">
        <v>0</v>
      </c>
      <c r="CY95" s="393"/>
    </row>
    <row r="96" spans="1:110" x14ac:dyDescent="0.25">
      <c r="A96" s="63" t="s">
        <v>196</v>
      </c>
      <c r="B96" s="64" t="s">
        <v>193</v>
      </c>
      <c r="C96" s="65" t="s">
        <v>387</v>
      </c>
      <c r="D96" s="66"/>
      <c r="E96" s="67"/>
      <c r="F96" s="67"/>
      <c r="G96" s="67"/>
      <c r="H96" s="67"/>
      <c r="I96" s="67"/>
      <c r="J96" s="67"/>
      <c r="K96" s="67"/>
      <c r="L96" s="67"/>
      <c r="M96" s="653"/>
      <c r="N96" s="1064"/>
      <c r="O96" s="557">
        <f t="shared" si="75"/>
        <v>0</v>
      </c>
      <c r="P96" s="558">
        <f t="shared" si="51"/>
        <v>0</v>
      </c>
      <c r="Q96" s="558">
        <f t="shared" si="52"/>
        <v>0</v>
      </c>
      <c r="R96" s="558">
        <f t="shared" si="53"/>
        <v>0</v>
      </c>
      <c r="S96" s="558">
        <f t="shared" si="54"/>
        <v>0</v>
      </c>
      <c r="T96" s="558">
        <f t="shared" si="55"/>
        <v>0</v>
      </c>
      <c r="U96" s="558">
        <f t="shared" si="56"/>
        <v>0</v>
      </c>
      <c r="V96" s="558">
        <f t="shared" si="57"/>
        <v>0</v>
      </c>
      <c r="W96" s="674">
        <f t="shared" si="58"/>
        <v>0</v>
      </c>
      <c r="X96" s="674">
        <f t="shared" si="59"/>
        <v>0</v>
      </c>
      <c r="Y96" s="674">
        <f t="shared" si="59"/>
        <v>0</v>
      </c>
      <c r="Z96" s="68"/>
      <c r="AA96" s="69"/>
      <c r="AB96" s="69"/>
      <c r="AC96" s="69"/>
      <c r="AD96" s="69"/>
      <c r="AE96" s="69"/>
      <c r="AF96" s="69"/>
      <c r="AG96" s="69"/>
      <c r="AH96" s="69"/>
      <c r="AI96" s="1093"/>
      <c r="AJ96" s="664"/>
      <c r="AK96" s="70">
        <f t="shared" si="60"/>
        <v>0</v>
      </c>
      <c r="AL96" s="71" t="str" cm="1">
        <f t="array" aca="1" ref="AL96" ca="1">IFERROR(IF($AM$4="N",SSUM(AF96:AH96)/3,SUM(AG96:AI96)/3),"")</f>
        <v/>
      </c>
      <c r="AM96" s="72">
        <f t="shared" si="61"/>
        <v>0</v>
      </c>
      <c r="AN96" s="73" t="str">
        <f t="shared" si="62"/>
        <v/>
      </c>
      <c r="AO96" s="74" t="str">
        <f t="shared" si="63"/>
        <v/>
      </c>
      <c r="AP96" s="74" t="str">
        <f t="shared" si="64"/>
        <v/>
      </c>
      <c r="AQ96" s="74" t="str">
        <f t="shared" si="65"/>
        <v/>
      </c>
      <c r="AR96" s="74" t="str">
        <f t="shared" si="66"/>
        <v/>
      </c>
      <c r="AS96" s="74" t="str">
        <f t="shared" si="67"/>
        <v/>
      </c>
      <c r="AT96" s="74" t="str">
        <f t="shared" si="68"/>
        <v/>
      </c>
      <c r="AU96" s="74" t="str">
        <f t="shared" si="69"/>
        <v/>
      </c>
      <c r="AV96" s="74" t="str">
        <f t="shared" si="79"/>
        <v/>
      </c>
      <c r="AW96" s="74" t="str">
        <f t="shared" si="79"/>
        <v/>
      </c>
      <c r="AX96" s="74" t="str">
        <f t="shared" si="79"/>
        <v/>
      </c>
      <c r="AY96" s="75" t="str">
        <f t="shared" si="71"/>
        <v/>
      </c>
      <c r="AZ96" s="76" t="str">
        <f t="shared" si="72"/>
        <v/>
      </c>
      <c r="BA96" s="77" t="str">
        <f t="shared" si="73"/>
        <v/>
      </c>
      <c r="BB96" s="246" t="s">
        <v>422</v>
      </c>
      <c r="BC96" s="228" t="s">
        <v>433</v>
      </c>
      <c r="BD96" s="247">
        <v>0</v>
      </c>
      <c r="BE96" s="264">
        <f t="shared" si="76"/>
        <v>0</v>
      </c>
      <c r="BF96" s="265">
        <f t="shared" si="80"/>
        <v>0</v>
      </c>
      <c r="BG96" s="265">
        <f t="shared" si="80"/>
        <v>0</v>
      </c>
      <c r="BH96" s="265">
        <f t="shared" si="80"/>
        <v>1</v>
      </c>
      <c r="BI96" s="265">
        <f t="shared" si="80"/>
        <v>2</v>
      </c>
      <c r="BJ96" s="265">
        <f t="shared" si="80"/>
        <v>3</v>
      </c>
      <c r="BK96" s="265">
        <f t="shared" si="80"/>
        <v>4</v>
      </c>
      <c r="BL96" s="266">
        <f t="shared" si="80"/>
        <v>5</v>
      </c>
      <c r="BM96" s="255">
        <f>IF($BC96=Lookup!$A$2,$BD96*ROUNDUP(BE96/10,0)+1,
IF($BC96=Lookup!$A$3,($BD96+1)^BD96,
IF($BC96=Lookup!$A$4,BE96*$BD96+1,"Error")))</f>
        <v>1</v>
      </c>
      <c r="BN96" s="228">
        <f>IF($BC96=Lookup!$A$2,$BD96*ROUNDUP(BF96/10,0)+1,
IF($BC96=Lookup!$A$3,($BD96+1)^BE96,
IF($BC96=Lookup!$A$4,BF96*$BD96+1,"Error")))</f>
        <v>1</v>
      </c>
      <c r="BO96" s="228">
        <f>IF($BC96=Lookup!$A$2,$BD96*ROUNDUP(BG96/10,0)+1,
IF($BC96=Lookup!$A$3,($BD96+1)^BF96,
IF($BC96=Lookup!$A$4,BG96*$BD96+1,"Error")))</f>
        <v>1</v>
      </c>
      <c r="BP96" s="228">
        <f>IF($BC96=Lookup!$A$2,$BD96*ROUNDUP(BH96/10,0)+1,
IF($BC96=Lookup!$A$3,($BD96+1)^BG96,
IF($BC96=Lookup!$A$4,BH96*$BD96+1,"Error")))</f>
        <v>1</v>
      </c>
      <c r="BQ96" s="228">
        <f>IF($BC96=Lookup!$A$2,$BD96*ROUNDUP(BI96/10,0)+1,
IF($BC96=Lookup!$A$3,($BD96+1)^BH96,
IF($BC96=Lookup!$A$4,BI96*$BD96+1,"Error")))</f>
        <v>1</v>
      </c>
      <c r="BR96" s="228">
        <f>IF($BC96=Lookup!$A$2,$BD96*ROUNDUP(BJ96/10,0)+1,
IF($BC96=Lookup!$A$3,($BD96+1)^BI96,
IF($BC96=Lookup!$A$4,BJ96*$BD96+1,"Error")))</f>
        <v>1</v>
      </c>
      <c r="BS96" s="228">
        <f>IF($BC96=Lookup!$A$2,$BD96*ROUNDUP(BK96/10,0)+1,
IF($BC96=Lookup!$A$3,($BD96+1)^BJ96,
IF($BC96=Lookup!$A$4,BK96*$BD96+1,"Error")))</f>
        <v>1</v>
      </c>
      <c r="BT96" s="247">
        <f>IF($BC96=Lookup!$A$2,$BD96*ROUNDUP(BL96/10,0)+1,
IF($BC96=Lookup!$A$3,($BD96+1)^BK96,
IF($BC96=Lookup!$A$4,BL96*$BD96+1,"Error")))</f>
        <v>1</v>
      </c>
      <c r="BU96" s="318">
        <v>0</v>
      </c>
      <c r="BV96" s="319">
        <v>0</v>
      </c>
      <c r="BW96" s="319">
        <v>0</v>
      </c>
      <c r="BX96" s="318">
        <v>0</v>
      </c>
      <c r="BY96" s="319">
        <v>0</v>
      </c>
      <c r="BZ96" s="319">
        <v>0</v>
      </c>
      <c r="CA96" s="319">
        <v>0</v>
      </c>
      <c r="CB96" s="276">
        <v>0</v>
      </c>
      <c r="CC96" s="380" t="s">
        <v>292</v>
      </c>
      <c r="CD96" s="381">
        <f>HLOOKUP($CC96,$AK$6:$AM$132,ROWS(CD$6:CD96),0)</f>
        <v>0</v>
      </c>
      <c r="CE96" s="233">
        <f t="shared" si="77"/>
        <v>0</v>
      </c>
      <c r="CF96" s="78">
        <f t="shared" si="77"/>
        <v>0</v>
      </c>
      <c r="CG96" s="797">
        <f t="shared" si="77"/>
        <v>0</v>
      </c>
      <c r="CH96" s="806">
        <f t="shared" si="77"/>
        <v>0</v>
      </c>
      <c r="CI96" s="78">
        <f t="shared" si="45"/>
        <v>0</v>
      </c>
      <c r="CJ96" s="78">
        <f t="shared" si="45"/>
        <v>0</v>
      </c>
      <c r="CK96" s="78">
        <f t="shared" si="45"/>
        <v>0</v>
      </c>
      <c r="CL96" s="285">
        <f t="shared" si="45"/>
        <v>0</v>
      </c>
      <c r="CM96" s="302" t="s">
        <v>293</v>
      </c>
      <c r="CN96" s="314">
        <v>0.05</v>
      </c>
      <c r="CO96" s="303"/>
      <c r="CP96" s="304" t="str">
        <f>IF($CO96&lt;&gt;"",$CO96,HLOOKUP($CM96,$AY$6:$BA$132,ROWS(CP$6:CP96),0))</f>
        <v/>
      </c>
      <c r="CQ96" s="783">
        <v>0</v>
      </c>
      <c r="CR96" s="783">
        <v>0</v>
      </c>
      <c r="CS96" s="523">
        <v>0</v>
      </c>
      <c r="CT96" s="415">
        <v>0</v>
      </c>
      <c r="CU96" s="79">
        <v>0</v>
      </c>
      <c r="CV96" s="79">
        <v>0</v>
      </c>
      <c r="CW96" s="79">
        <v>0</v>
      </c>
      <c r="CX96" s="80">
        <v>0</v>
      </c>
      <c r="CY96" s="391"/>
      <c r="CZ96" s="1" t="s">
        <v>672</v>
      </c>
      <c r="DA96" s="1">
        <f>ROUND(SUM(CT98,CT100,CT102,CT104,CT106)/1000000,1)</f>
        <v>9.1</v>
      </c>
      <c r="DB96" s="1">
        <f t="shared" ref="DB96:DE96" si="82">ROUND(SUM(CU98,CU100,CU102,CU104,CU106)/1000000,1)</f>
        <v>8.6999999999999993</v>
      </c>
      <c r="DC96" s="1">
        <f t="shared" si="82"/>
        <v>9.5</v>
      </c>
      <c r="DD96" s="1">
        <f t="shared" si="82"/>
        <v>8.8000000000000007</v>
      </c>
      <c r="DE96" s="1">
        <f t="shared" si="82"/>
        <v>11.4</v>
      </c>
      <c r="DF96" s="750">
        <f>SUM(DA96:DE96)</f>
        <v>47.499999999999993</v>
      </c>
    </row>
    <row r="97" spans="1:110" x14ac:dyDescent="0.25">
      <c r="A97" s="81" t="s">
        <v>196</v>
      </c>
      <c r="B97" s="82" t="s">
        <v>197</v>
      </c>
      <c r="C97" s="83" t="s">
        <v>388</v>
      </c>
      <c r="D97" s="84"/>
      <c r="E97" s="85"/>
      <c r="F97" s="85"/>
      <c r="G97" s="85"/>
      <c r="H97" s="85"/>
      <c r="I97" s="85"/>
      <c r="J97" s="85"/>
      <c r="K97" s="85"/>
      <c r="L97" s="85"/>
      <c r="M97" s="654"/>
      <c r="N97" s="1065"/>
      <c r="O97" s="560">
        <f t="shared" si="75"/>
        <v>0</v>
      </c>
      <c r="P97" s="561">
        <f t="shared" si="51"/>
        <v>0</v>
      </c>
      <c r="Q97" s="561">
        <f t="shared" si="52"/>
        <v>0</v>
      </c>
      <c r="R97" s="561">
        <f t="shared" si="53"/>
        <v>0</v>
      </c>
      <c r="S97" s="561">
        <f t="shared" si="54"/>
        <v>0</v>
      </c>
      <c r="T97" s="561">
        <f t="shared" si="55"/>
        <v>0</v>
      </c>
      <c r="U97" s="561">
        <f t="shared" si="56"/>
        <v>0</v>
      </c>
      <c r="V97" s="561">
        <f t="shared" si="57"/>
        <v>0</v>
      </c>
      <c r="W97" s="675">
        <f t="shared" si="58"/>
        <v>0</v>
      </c>
      <c r="X97" s="675">
        <f t="shared" si="59"/>
        <v>0</v>
      </c>
      <c r="Y97" s="675">
        <f t="shared" si="59"/>
        <v>0</v>
      </c>
      <c r="Z97" s="86"/>
      <c r="AA97" s="87"/>
      <c r="AB97" s="87"/>
      <c r="AC97" s="87"/>
      <c r="AD97" s="87"/>
      <c r="AE97" s="87"/>
      <c r="AF97" s="87"/>
      <c r="AG97" s="87"/>
      <c r="AH97" s="87"/>
      <c r="AI97" s="1094"/>
      <c r="AJ97" s="665"/>
      <c r="AK97" s="88">
        <f t="shared" si="60"/>
        <v>0</v>
      </c>
      <c r="AL97" s="89" t="str" cm="1">
        <f t="array" aca="1" ref="AL97" ca="1">IFERROR(IF($AM$4="N",SSUM(AF97:AH97)/3,SUM(AG97:AI97)/3),"")</f>
        <v/>
      </c>
      <c r="AM97" s="90">
        <f t="shared" si="61"/>
        <v>0</v>
      </c>
      <c r="AN97" s="91" t="str">
        <f t="shared" si="62"/>
        <v/>
      </c>
      <c r="AO97" s="92" t="str">
        <f t="shared" si="63"/>
        <v/>
      </c>
      <c r="AP97" s="92" t="str">
        <f t="shared" si="64"/>
        <v/>
      </c>
      <c r="AQ97" s="92" t="str">
        <f t="shared" si="65"/>
        <v/>
      </c>
      <c r="AR97" s="92" t="str">
        <f t="shared" si="66"/>
        <v/>
      </c>
      <c r="AS97" s="92" t="str">
        <f t="shared" si="67"/>
        <v/>
      </c>
      <c r="AT97" s="92" t="str">
        <f t="shared" si="68"/>
        <v/>
      </c>
      <c r="AU97" s="92" t="str">
        <f t="shared" si="69"/>
        <v/>
      </c>
      <c r="AV97" s="92" t="str">
        <f t="shared" si="79"/>
        <v/>
      </c>
      <c r="AW97" s="92" t="str">
        <f t="shared" si="79"/>
        <v/>
      </c>
      <c r="AX97" s="92" t="str">
        <f t="shared" si="79"/>
        <v/>
      </c>
      <c r="AY97" s="93" t="str">
        <f t="shared" si="71"/>
        <v/>
      </c>
      <c r="AZ97" s="94" t="str">
        <f t="shared" si="72"/>
        <v/>
      </c>
      <c r="BA97" s="95" t="str">
        <f t="shared" si="73"/>
        <v/>
      </c>
      <c r="BB97" s="248" t="s">
        <v>422</v>
      </c>
      <c r="BC97" s="229" t="s">
        <v>433</v>
      </c>
      <c r="BD97" s="249">
        <v>0</v>
      </c>
      <c r="BE97" s="267">
        <f t="shared" si="76"/>
        <v>0</v>
      </c>
      <c r="BF97" s="268">
        <f t="shared" si="80"/>
        <v>0</v>
      </c>
      <c r="BG97" s="268">
        <f t="shared" si="80"/>
        <v>0</v>
      </c>
      <c r="BH97" s="268">
        <f t="shared" si="80"/>
        <v>1</v>
      </c>
      <c r="BI97" s="268">
        <f t="shared" si="80"/>
        <v>2</v>
      </c>
      <c r="BJ97" s="268">
        <f t="shared" si="80"/>
        <v>3</v>
      </c>
      <c r="BK97" s="268">
        <f t="shared" si="80"/>
        <v>4</v>
      </c>
      <c r="BL97" s="269">
        <f t="shared" si="80"/>
        <v>5</v>
      </c>
      <c r="BM97" s="256">
        <f>IF($BC97=Lookup!$A$2,$BD97*ROUNDUP(BE97/10,0)+1,
IF($BC97=Lookup!$A$3,($BD97+1)^BD97,
IF($BC97=Lookup!$A$4,BE97*$BD97+1,"Error")))</f>
        <v>1</v>
      </c>
      <c r="BN97" s="229">
        <f>IF($BC97=Lookup!$A$2,$BD97*ROUNDUP(BF97/10,0)+1,
IF($BC97=Lookup!$A$3,($BD97+1)^BE97,
IF($BC97=Lookup!$A$4,BF97*$BD97+1,"Error")))</f>
        <v>1</v>
      </c>
      <c r="BO97" s="229">
        <f>IF($BC97=Lookup!$A$2,$BD97*ROUNDUP(BG97/10,0)+1,
IF($BC97=Lookup!$A$3,($BD97+1)^BF97,
IF($BC97=Lookup!$A$4,BG97*$BD97+1,"Error")))</f>
        <v>1</v>
      </c>
      <c r="BP97" s="229">
        <f>IF($BC97=Lookup!$A$2,$BD97*ROUNDUP(BH97/10,0)+1,
IF($BC97=Lookup!$A$3,($BD97+1)^BG97,
IF($BC97=Lookup!$A$4,BH97*$BD97+1,"Error")))</f>
        <v>1</v>
      </c>
      <c r="BQ97" s="229">
        <f>IF($BC97=Lookup!$A$2,$BD97*ROUNDUP(BI97/10,0)+1,
IF($BC97=Lookup!$A$3,($BD97+1)^BH97,
IF($BC97=Lookup!$A$4,BI97*$BD97+1,"Error")))</f>
        <v>1</v>
      </c>
      <c r="BR97" s="229">
        <f>IF($BC97=Lookup!$A$2,$BD97*ROUNDUP(BJ97/10,0)+1,
IF($BC97=Lookup!$A$3,($BD97+1)^BI97,
IF($BC97=Lookup!$A$4,BJ97*$BD97+1,"Error")))</f>
        <v>1</v>
      </c>
      <c r="BS97" s="229">
        <f>IF($BC97=Lookup!$A$2,$BD97*ROUNDUP(BK97/10,0)+1,
IF($BC97=Lookup!$A$3,($BD97+1)^BJ97,
IF($BC97=Lookup!$A$4,BK97*$BD97+1,"Error")))</f>
        <v>1</v>
      </c>
      <c r="BT97" s="249">
        <f>IF($BC97=Lookup!$A$2,$BD97*ROUNDUP(BL97/10,0)+1,
IF($BC97=Lookup!$A$3,($BD97+1)^BK97,
IF($BC97=Lookup!$A$4,BL97*$BD97+1,"Error")))</f>
        <v>1</v>
      </c>
      <c r="BU97" s="320">
        <v>0</v>
      </c>
      <c r="BV97" s="321">
        <v>0</v>
      </c>
      <c r="BW97" s="321">
        <v>3</v>
      </c>
      <c r="BX97" s="320">
        <v>0</v>
      </c>
      <c r="BY97" s="321">
        <v>2</v>
      </c>
      <c r="BZ97" s="321">
        <v>18</v>
      </c>
      <c r="CA97" s="321">
        <v>17</v>
      </c>
      <c r="CB97" s="277">
        <v>0</v>
      </c>
      <c r="CC97" s="382" t="s">
        <v>292</v>
      </c>
      <c r="CD97" s="383">
        <f>HLOOKUP($CC97,$AK$6:$AM$132,ROWS(CD$6:CD97),0)</f>
        <v>0</v>
      </c>
      <c r="CE97" s="234">
        <f t="shared" si="77"/>
        <v>0</v>
      </c>
      <c r="CF97" s="96">
        <f t="shared" si="77"/>
        <v>0</v>
      </c>
      <c r="CG97" s="521">
        <f t="shared" si="77"/>
        <v>3</v>
      </c>
      <c r="CH97" s="421">
        <f t="shared" si="77"/>
        <v>0</v>
      </c>
      <c r="CI97" s="96">
        <f t="shared" si="45"/>
        <v>2</v>
      </c>
      <c r="CJ97" s="96">
        <f t="shared" si="45"/>
        <v>18</v>
      </c>
      <c r="CK97" s="96">
        <f t="shared" si="45"/>
        <v>17</v>
      </c>
      <c r="CL97" s="286">
        <f t="shared" si="45"/>
        <v>0</v>
      </c>
      <c r="CM97" s="305" t="s">
        <v>293</v>
      </c>
      <c r="CN97" s="315">
        <v>0.05</v>
      </c>
      <c r="CO97" s="306"/>
      <c r="CP97" s="307" t="str">
        <f>IF($CO97&lt;&gt;"",$CO97,HLOOKUP($CM97,$AY$6:$BA$132,ROWS(CP$6:CP97),0))</f>
        <v/>
      </c>
      <c r="CQ97" s="784">
        <v>11047.86469454882</v>
      </c>
      <c r="CR97" s="784">
        <v>95010.590579529817</v>
      </c>
      <c r="CS97" s="524">
        <v>239532.94424025161</v>
      </c>
      <c r="CT97" s="416">
        <v>220120.35333485197</v>
      </c>
      <c r="CU97" s="97">
        <v>206791.04279699174</v>
      </c>
      <c r="CV97" s="97">
        <v>97121.139784719766</v>
      </c>
      <c r="CW97" s="97">
        <v>36127.954695073968</v>
      </c>
      <c r="CX97" s="98">
        <v>3778.9886147801217</v>
      </c>
      <c r="CY97" s="392"/>
      <c r="CZ97" t="s">
        <v>673</v>
      </c>
      <c r="DA97">
        <f>ROUND(SUM(CT97,CT99,CT101,CT103,CT105)/1000000,1)</f>
        <v>1.8</v>
      </c>
      <c r="DB97">
        <f t="shared" ref="DB97:DE97" si="83">ROUND(SUM(CU97,CU99,CU101,CU103,CU105)/1000000,1)</f>
        <v>1.7</v>
      </c>
      <c r="DC97">
        <f t="shared" si="83"/>
        <v>2.4</v>
      </c>
      <c r="DD97">
        <f t="shared" si="83"/>
        <v>1.2</v>
      </c>
      <c r="DE97">
        <f t="shared" si="83"/>
        <v>0.3</v>
      </c>
      <c r="DF97" s="777">
        <f>SUM(DA97:DE97)</f>
        <v>7.4</v>
      </c>
    </row>
    <row r="98" spans="1:110" x14ac:dyDescent="0.25">
      <c r="A98" s="81" t="s">
        <v>196</v>
      </c>
      <c r="B98" s="82" t="s">
        <v>199</v>
      </c>
      <c r="C98" s="83" t="s">
        <v>389</v>
      </c>
      <c r="D98" s="84"/>
      <c r="E98" s="85"/>
      <c r="F98" s="85"/>
      <c r="G98" s="85"/>
      <c r="H98" s="85"/>
      <c r="I98" s="85"/>
      <c r="J98" s="85"/>
      <c r="K98" s="85"/>
      <c r="L98" s="85"/>
      <c r="M98" s="654"/>
      <c r="N98" s="1065"/>
      <c r="O98" s="560">
        <f t="shared" si="75"/>
        <v>0</v>
      </c>
      <c r="P98" s="561">
        <f t="shared" si="51"/>
        <v>0</v>
      </c>
      <c r="Q98" s="561">
        <f t="shared" si="52"/>
        <v>0</v>
      </c>
      <c r="R98" s="561">
        <f t="shared" si="53"/>
        <v>0</v>
      </c>
      <c r="S98" s="561">
        <f t="shared" si="54"/>
        <v>0</v>
      </c>
      <c r="T98" s="561">
        <f t="shared" si="55"/>
        <v>0</v>
      </c>
      <c r="U98" s="561">
        <f t="shared" si="56"/>
        <v>0</v>
      </c>
      <c r="V98" s="561">
        <f t="shared" si="57"/>
        <v>0</v>
      </c>
      <c r="W98" s="675">
        <f t="shared" si="58"/>
        <v>0</v>
      </c>
      <c r="X98" s="675">
        <f t="shared" si="59"/>
        <v>0</v>
      </c>
      <c r="Y98" s="675">
        <f t="shared" si="59"/>
        <v>0</v>
      </c>
      <c r="Z98" s="86"/>
      <c r="AA98" s="87"/>
      <c r="AB98" s="87"/>
      <c r="AC98" s="87"/>
      <c r="AD98" s="87"/>
      <c r="AE98" s="87"/>
      <c r="AF98" s="87"/>
      <c r="AG98" s="87"/>
      <c r="AH98" s="87"/>
      <c r="AI98" s="1094"/>
      <c r="AJ98" s="665"/>
      <c r="AK98" s="88">
        <f t="shared" si="60"/>
        <v>0</v>
      </c>
      <c r="AL98" s="89" t="str" cm="1">
        <f t="array" aca="1" ref="AL98" ca="1">IFERROR(IF($AM$4="N",SSUM(AF98:AH98)/3,SUM(AG98:AI98)/3),"")</f>
        <v/>
      </c>
      <c r="AM98" s="90">
        <f t="shared" si="61"/>
        <v>0</v>
      </c>
      <c r="AN98" s="91" t="str">
        <f t="shared" si="62"/>
        <v/>
      </c>
      <c r="AO98" s="92" t="str">
        <f t="shared" si="63"/>
        <v/>
      </c>
      <c r="AP98" s="92" t="str">
        <f t="shared" si="64"/>
        <v/>
      </c>
      <c r="AQ98" s="92" t="str">
        <f t="shared" si="65"/>
        <v/>
      </c>
      <c r="AR98" s="92" t="str">
        <f t="shared" si="66"/>
        <v/>
      </c>
      <c r="AS98" s="92" t="str">
        <f t="shared" si="67"/>
        <v/>
      </c>
      <c r="AT98" s="92" t="str">
        <f t="shared" si="68"/>
        <v/>
      </c>
      <c r="AU98" s="92" t="str">
        <f t="shared" si="69"/>
        <v/>
      </c>
      <c r="AV98" s="92" t="str">
        <f t="shared" si="79"/>
        <v/>
      </c>
      <c r="AW98" s="92" t="str">
        <f t="shared" si="79"/>
        <v/>
      </c>
      <c r="AX98" s="92" t="str">
        <f t="shared" si="79"/>
        <v/>
      </c>
      <c r="AY98" s="93" t="str">
        <f t="shared" si="71"/>
        <v/>
      </c>
      <c r="AZ98" s="94" t="str">
        <f t="shared" si="72"/>
        <v/>
      </c>
      <c r="BA98" s="95" t="str">
        <f t="shared" si="73"/>
        <v/>
      </c>
      <c r="BB98" s="248" t="s">
        <v>422</v>
      </c>
      <c r="BC98" s="229" t="s">
        <v>433</v>
      </c>
      <c r="BD98" s="249">
        <v>0</v>
      </c>
      <c r="BE98" s="267">
        <f t="shared" si="76"/>
        <v>0</v>
      </c>
      <c r="BF98" s="268">
        <f t="shared" si="80"/>
        <v>0</v>
      </c>
      <c r="BG98" s="268">
        <f t="shared" si="80"/>
        <v>0</v>
      </c>
      <c r="BH98" s="268">
        <f t="shared" si="80"/>
        <v>1</v>
      </c>
      <c r="BI98" s="268">
        <f t="shared" si="80"/>
        <v>2</v>
      </c>
      <c r="BJ98" s="268">
        <f t="shared" si="80"/>
        <v>3</v>
      </c>
      <c r="BK98" s="268">
        <f t="shared" si="80"/>
        <v>4</v>
      </c>
      <c r="BL98" s="269">
        <f t="shared" si="80"/>
        <v>5</v>
      </c>
      <c r="BM98" s="256">
        <f>IF($BC98=Lookup!$A$2,$BD98*ROUNDUP(BE98/10,0)+1,
IF($BC98=Lookup!$A$3,($BD98+1)^BD98,
IF($BC98=Lookup!$A$4,BE98*$BD98+1,"Error")))</f>
        <v>1</v>
      </c>
      <c r="BN98" s="229">
        <f>IF($BC98=Lookup!$A$2,$BD98*ROUNDUP(BF98/10,0)+1,
IF($BC98=Lookup!$A$3,($BD98+1)^BE98,
IF($BC98=Lookup!$A$4,BF98*$BD98+1,"Error")))</f>
        <v>1</v>
      </c>
      <c r="BO98" s="229">
        <f>IF($BC98=Lookup!$A$2,$BD98*ROUNDUP(BG98/10,0)+1,
IF($BC98=Lookup!$A$3,($BD98+1)^BF98,
IF($BC98=Lookup!$A$4,BG98*$BD98+1,"Error")))</f>
        <v>1</v>
      </c>
      <c r="BP98" s="229">
        <f>IF($BC98=Lookup!$A$2,$BD98*ROUNDUP(BH98/10,0)+1,
IF($BC98=Lookup!$A$3,($BD98+1)^BG98,
IF($BC98=Lookup!$A$4,BH98*$BD98+1,"Error")))</f>
        <v>1</v>
      </c>
      <c r="BQ98" s="229">
        <f>IF($BC98=Lookup!$A$2,$BD98*ROUNDUP(BI98/10,0)+1,
IF($BC98=Lookup!$A$3,($BD98+1)^BH98,
IF($BC98=Lookup!$A$4,BI98*$BD98+1,"Error")))</f>
        <v>1</v>
      </c>
      <c r="BR98" s="229">
        <f>IF($BC98=Lookup!$A$2,$BD98*ROUNDUP(BJ98/10,0)+1,
IF($BC98=Lookup!$A$3,($BD98+1)^BI98,
IF($BC98=Lookup!$A$4,BJ98*$BD98+1,"Error")))</f>
        <v>1</v>
      </c>
      <c r="BS98" s="229">
        <f>IF($BC98=Lookup!$A$2,$BD98*ROUNDUP(BK98/10,0)+1,
IF($BC98=Lookup!$A$3,($BD98+1)^BJ98,
IF($BC98=Lookup!$A$4,BK98*$BD98+1,"Error")))</f>
        <v>1</v>
      </c>
      <c r="BT98" s="249">
        <f>IF($BC98=Lookup!$A$2,$BD98*ROUNDUP(BL98/10,0)+1,
IF($BC98=Lookup!$A$3,($BD98+1)^BK98,
IF($BC98=Lookup!$A$4,BL98*$BD98+1,"Error")))</f>
        <v>1</v>
      </c>
      <c r="BU98" s="320">
        <v>0</v>
      </c>
      <c r="BV98" s="321">
        <v>1</v>
      </c>
      <c r="BW98" s="321">
        <v>4</v>
      </c>
      <c r="BX98" s="320">
        <v>0</v>
      </c>
      <c r="BY98" s="321">
        <v>51</v>
      </c>
      <c r="BZ98" s="321">
        <v>26</v>
      </c>
      <c r="CA98" s="321">
        <v>15</v>
      </c>
      <c r="CB98" s="277">
        <v>45</v>
      </c>
      <c r="CC98" s="382" t="s">
        <v>292</v>
      </c>
      <c r="CD98" s="383">
        <f>HLOOKUP($CC98,$AK$6:$AM$132,ROWS(CD$6:CD98),0)</f>
        <v>0</v>
      </c>
      <c r="CE98" s="234">
        <f t="shared" si="77"/>
        <v>0</v>
      </c>
      <c r="CF98" s="96">
        <f t="shared" si="77"/>
        <v>1</v>
      </c>
      <c r="CG98" s="521">
        <f t="shared" si="77"/>
        <v>4</v>
      </c>
      <c r="CH98" s="421">
        <f t="shared" si="77"/>
        <v>0</v>
      </c>
      <c r="CI98" s="96">
        <f t="shared" si="45"/>
        <v>51</v>
      </c>
      <c r="CJ98" s="96">
        <f t="shared" si="45"/>
        <v>26</v>
      </c>
      <c r="CK98" s="96">
        <f t="shared" si="45"/>
        <v>15</v>
      </c>
      <c r="CL98" s="286">
        <f t="shared" si="45"/>
        <v>45</v>
      </c>
      <c r="CM98" s="305" t="s">
        <v>293</v>
      </c>
      <c r="CN98" s="315">
        <v>0.05</v>
      </c>
      <c r="CO98" s="306"/>
      <c r="CP98" s="307" t="str">
        <f>IF($CO98&lt;&gt;"",$CO98,HLOOKUP($CM98,$AY$6:$BA$132,ROWS(CP$6:CP98),0))</f>
        <v/>
      </c>
      <c r="CQ98" s="784">
        <v>1693256.6868554377</v>
      </c>
      <c r="CR98" s="784">
        <v>6177373.0253177956</v>
      </c>
      <c r="CS98" s="524">
        <v>6349160.8637409247</v>
      </c>
      <c r="CT98" s="416">
        <v>4891517.3565011332</v>
      </c>
      <c r="CU98" s="97">
        <v>4536316.6070379857</v>
      </c>
      <c r="CV98" s="97">
        <v>5576111.2966740001</v>
      </c>
      <c r="CW98" s="97">
        <v>5283245.8610841352</v>
      </c>
      <c r="CX98" s="98">
        <v>7295584.5988162681</v>
      </c>
      <c r="CY98" s="392"/>
      <c r="CZ98" s="1" t="s">
        <v>671</v>
      </c>
      <c r="DA98" s="1">
        <f>DA96</f>
        <v>9.1</v>
      </c>
      <c r="DB98" s="1">
        <f t="shared" ref="DB98:DF98" si="84">DB96</f>
        <v>8.6999999999999993</v>
      </c>
      <c r="DC98" s="1">
        <f t="shared" si="84"/>
        <v>9.5</v>
      </c>
      <c r="DD98" s="1">
        <f t="shared" si="84"/>
        <v>8.8000000000000007</v>
      </c>
      <c r="DE98" s="1">
        <f t="shared" si="84"/>
        <v>11.4</v>
      </c>
      <c r="DF98" s="1">
        <f t="shared" si="84"/>
        <v>47.499999999999993</v>
      </c>
    </row>
    <row r="99" spans="1:110" x14ac:dyDescent="0.25">
      <c r="A99" s="81" t="s">
        <v>196</v>
      </c>
      <c r="B99" s="82" t="s">
        <v>201</v>
      </c>
      <c r="C99" s="83" t="s">
        <v>390</v>
      </c>
      <c r="D99" s="84"/>
      <c r="E99" s="85"/>
      <c r="F99" s="85"/>
      <c r="G99" s="85"/>
      <c r="H99" s="85"/>
      <c r="I99" s="85"/>
      <c r="J99" s="85"/>
      <c r="K99" s="85"/>
      <c r="L99" s="85"/>
      <c r="M99" s="654"/>
      <c r="N99" s="1065"/>
      <c r="O99" s="560">
        <f t="shared" si="75"/>
        <v>0</v>
      </c>
      <c r="P99" s="561">
        <f t="shared" si="51"/>
        <v>0</v>
      </c>
      <c r="Q99" s="561">
        <f t="shared" si="52"/>
        <v>0</v>
      </c>
      <c r="R99" s="561">
        <f t="shared" si="53"/>
        <v>0</v>
      </c>
      <c r="S99" s="561">
        <f t="shared" si="54"/>
        <v>0</v>
      </c>
      <c r="T99" s="561">
        <f t="shared" si="55"/>
        <v>0</v>
      </c>
      <c r="U99" s="561">
        <f t="shared" si="56"/>
        <v>0</v>
      </c>
      <c r="V99" s="561">
        <f t="shared" si="57"/>
        <v>0</v>
      </c>
      <c r="W99" s="675">
        <f t="shared" si="58"/>
        <v>0</v>
      </c>
      <c r="X99" s="675">
        <f t="shared" si="59"/>
        <v>0</v>
      </c>
      <c r="Y99" s="675">
        <f t="shared" si="59"/>
        <v>0</v>
      </c>
      <c r="Z99" s="86"/>
      <c r="AA99" s="87"/>
      <c r="AB99" s="87"/>
      <c r="AC99" s="87"/>
      <c r="AD99" s="87"/>
      <c r="AE99" s="87"/>
      <c r="AF99" s="87"/>
      <c r="AG99" s="87"/>
      <c r="AH99" s="87"/>
      <c r="AI99" s="1094"/>
      <c r="AJ99" s="665"/>
      <c r="AK99" s="88">
        <f t="shared" si="60"/>
        <v>0</v>
      </c>
      <c r="AL99" s="89" t="str" cm="1">
        <f t="array" aca="1" ref="AL99" ca="1">IFERROR(IF($AM$4="N",SSUM(AF99:AH99)/3,SUM(AG99:AI99)/3),"")</f>
        <v/>
      </c>
      <c r="AM99" s="90">
        <f t="shared" si="61"/>
        <v>0</v>
      </c>
      <c r="AN99" s="91" t="str">
        <f t="shared" si="62"/>
        <v/>
      </c>
      <c r="AO99" s="92" t="str">
        <f t="shared" si="63"/>
        <v/>
      </c>
      <c r="AP99" s="92" t="str">
        <f t="shared" si="64"/>
        <v/>
      </c>
      <c r="AQ99" s="92" t="str">
        <f t="shared" si="65"/>
        <v/>
      </c>
      <c r="AR99" s="92" t="str">
        <f t="shared" si="66"/>
        <v/>
      </c>
      <c r="AS99" s="92" t="str">
        <f t="shared" si="67"/>
        <v/>
      </c>
      <c r="AT99" s="92" t="str">
        <f t="shared" si="68"/>
        <v/>
      </c>
      <c r="AU99" s="92" t="str">
        <f t="shared" si="69"/>
        <v/>
      </c>
      <c r="AV99" s="92" t="str">
        <f t="shared" si="79"/>
        <v/>
      </c>
      <c r="AW99" s="92" t="str">
        <f t="shared" si="79"/>
        <v/>
      </c>
      <c r="AX99" s="92" t="str">
        <f t="shared" si="79"/>
        <v/>
      </c>
      <c r="AY99" s="93" t="str">
        <f t="shared" si="71"/>
        <v/>
      </c>
      <c r="AZ99" s="94" t="str">
        <f t="shared" si="72"/>
        <v/>
      </c>
      <c r="BA99" s="95" t="str">
        <f t="shared" si="73"/>
        <v/>
      </c>
      <c r="BB99" s="248" t="s">
        <v>422</v>
      </c>
      <c r="BC99" s="229" t="s">
        <v>433</v>
      </c>
      <c r="BD99" s="249">
        <v>0</v>
      </c>
      <c r="BE99" s="267">
        <f t="shared" si="76"/>
        <v>0</v>
      </c>
      <c r="BF99" s="268">
        <f t="shared" si="80"/>
        <v>0</v>
      </c>
      <c r="BG99" s="268">
        <f t="shared" si="80"/>
        <v>0</v>
      </c>
      <c r="BH99" s="268">
        <f t="shared" si="80"/>
        <v>1</v>
      </c>
      <c r="BI99" s="268">
        <f t="shared" si="80"/>
        <v>2</v>
      </c>
      <c r="BJ99" s="268">
        <f t="shared" si="80"/>
        <v>3</v>
      </c>
      <c r="BK99" s="268">
        <f t="shared" si="80"/>
        <v>4</v>
      </c>
      <c r="BL99" s="269">
        <f t="shared" si="80"/>
        <v>5</v>
      </c>
      <c r="BM99" s="256">
        <f>IF($BC99=Lookup!$A$2,$BD99*ROUNDUP(BE99/10,0)+1,
IF($BC99=Lookup!$A$3,($BD99+1)^BD99,
IF($BC99=Lookup!$A$4,BE99*$BD99+1,"Error")))</f>
        <v>1</v>
      </c>
      <c r="BN99" s="229">
        <f>IF($BC99=Lookup!$A$2,$BD99*ROUNDUP(BF99/10,0)+1,
IF($BC99=Lookup!$A$3,($BD99+1)^BE99,
IF($BC99=Lookup!$A$4,BF99*$BD99+1,"Error")))</f>
        <v>1</v>
      </c>
      <c r="BO99" s="229">
        <f>IF($BC99=Lookup!$A$2,$BD99*ROUNDUP(BG99/10,0)+1,
IF($BC99=Lookup!$A$3,($BD99+1)^BF99,
IF($BC99=Lookup!$A$4,BG99*$BD99+1,"Error")))</f>
        <v>1</v>
      </c>
      <c r="BP99" s="229">
        <f>IF($BC99=Lookup!$A$2,$BD99*ROUNDUP(BH99/10,0)+1,
IF($BC99=Lookup!$A$3,($BD99+1)^BG99,
IF($BC99=Lookup!$A$4,BH99*$BD99+1,"Error")))</f>
        <v>1</v>
      </c>
      <c r="BQ99" s="229">
        <f>IF($BC99=Lookup!$A$2,$BD99*ROUNDUP(BI99/10,0)+1,
IF($BC99=Lookup!$A$3,($BD99+1)^BH99,
IF($BC99=Lookup!$A$4,BI99*$BD99+1,"Error")))</f>
        <v>1</v>
      </c>
      <c r="BR99" s="229">
        <f>IF($BC99=Lookup!$A$2,$BD99*ROUNDUP(BJ99/10,0)+1,
IF($BC99=Lookup!$A$3,($BD99+1)^BI99,
IF($BC99=Lookup!$A$4,BJ99*$BD99+1,"Error")))</f>
        <v>1</v>
      </c>
      <c r="BS99" s="229">
        <f>IF($BC99=Lookup!$A$2,$BD99*ROUNDUP(BK99/10,0)+1,
IF($BC99=Lookup!$A$3,($BD99+1)^BJ99,
IF($BC99=Lookup!$A$4,BK99*$BD99+1,"Error")))</f>
        <v>1</v>
      </c>
      <c r="BT99" s="249">
        <f>IF($BC99=Lookup!$A$2,$BD99*ROUNDUP(BL99/10,0)+1,
IF($BC99=Lookup!$A$3,($BD99+1)^BK99,
IF($BC99=Lookup!$A$4,BL99*$BD99+1,"Error")))</f>
        <v>1</v>
      </c>
      <c r="BU99" s="320">
        <v>0</v>
      </c>
      <c r="BV99" s="321">
        <v>0</v>
      </c>
      <c r="BW99" s="321">
        <v>0</v>
      </c>
      <c r="BX99" s="320">
        <v>13</v>
      </c>
      <c r="BY99" s="321">
        <v>0</v>
      </c>
      <c r="BZ99" s="321">
        <v>7</v>
      </c>
      <c r="CA99" s="321">
        <v>1</v>
      </c>
      <c r="CB99" s="277">
        <v>20</v>
      </c>
      <c r="CC99" s="382" t="s">
        <v>292</v>
      </c>
      <c r="CD99" s="383">
        <f>HLOOKUP($CC99,$AK$6:$AM$132,ROWS(CD$6:CD99),0)</f>
        <v>0</v>
      </c>
      <c r="CE99" s="234">
        <f t="shared" si="77"/>
        <v>0</v>
      </c>
      <c r="CF99" s="96">
        <f t="shared" si="77"/>
        <v>0</v>
      </c>
      <c r="CG99" s="521">
        <f t="shared" si="77"/>
        <v>0</v>
      </c>
      <c r="CH99" s="421">
        <f t="shared" si="77"/>
        <v>13</v>
      </c>
      <c r="CI99" s="96">
        <f t="shared" si="45"/>
        <v>0</v>
      </c>
      <c r="CJ99" s="96">
        <f t="shared" si="45"/>
        <v>7</v>
      </c>
      <c r="CK99" s="96">
        <f t="shared" si="45"/>
        <v>1</v>
      </c>
      <c r="CL99" s="286">
        <f t="shared" si="45"/>
        <v>20</v>
      </c>
      <c r="CM99" s="305" t="s">
        <v>293</v>
      </c>
      <c r="CN99" s="315">
        <v>0.05</v>
      </c>
      <c r="CO99" s="306"/>
      <c r="CP99" s="307" t="str">
        <f>IF($CO99&lt;&gt;"",$CO99,HLOOKUP($CM99,$AY$6:$BA$132,ROWS(CP$6:CP99),0))</f>
        <v/>
      </c>
      <c r="CQ99" s="784">
        <v>21107.060353584558</v>
      </c>
      <c r="CR99" s="784">
        <v>109401.29621300539</v>
      </c>
      <c r="CS99" s="524">
        <v>31714.227120556818</v>
      </c>
      <c r="CT99" s="416">
        <v>21949.173683332709</v>
      </c>
      <c r="CU99" s="97">
        <v>28336.510516740123</v>
      </c>
      <c r="CV99" s="97">
        <v>95125.816693544359</v>
      </c>
      <c r="CW99" s="97">
        <v>142426.65796169842</v>
      </c>
      <c r="CX99" s="98">
        <v>131127.32079071389</v>
      </c>
      <c r="CY99" s="392"/>
    </row>
    <row r="100" spans="1:110" x14ac:dyDescent="0.25">
      <c r="A100" s="81" t="s">
        <v>196</v>
      </c>
      <c r="B100" s="82" t="s">
        <v>203</v>
      </c>
      <c r="C100" s="83" t="s">
        <v>391</v>
      </c>
      <c r="D100" s="84"/>
      <c r="E100" s="85"/>
      <c r="F100" s="85"/>
      <c r="G100" s="85"/>
      <c r="H100" s="85"/>
      <c r="I100" s="85"/>
      <c r="J100" s="85"/>
      <c r="K100" s="85"/>
      <c r="L100" s="85"/>
      <c r="M100" s="654"/>
      <c r="N100" s="1065"/>
      <c r="O100" s="560">
        <f t="shared" si="75"/>
        <v>0</v>
      </c>
      <c r="P100" s="561">
        <f t="shared" si="51"/>
        <v>0</v>
      </c>
      <c r="Q100" s="561">
        <f t="shared" si="52"/>
        <v>0</v>
      </c>
      <c r="R100" s="561">
        <f t="shared" si="53"/>
        <v>0</v>
      </c>
      <c r="S100" s="561">
        <f t="shared" si="54"/>
        <v>0</v>
      </c>
      <c r="T100" s="561">
        <f t="shared" si="55"/>
        <v>0</v>
      </c>
      <c r="U100" s="561">
        <f t="shared" si="56"/>
        <v>0</v>
      </c>
      <c r="V100" s="561">
        <f t="shared" si="57"/>
        <v>0</v>
      </c>
      <c r="W100" s="675">
        <f t="shared" si="58"/>
        <v>0</v>
      </c>
      <c r="X100" s="675">
        <f t="shared" si="59"/>
        <v>0</v>
      </c>
      <c r="Y100" s="675">
        <f t="shared" si="59"/>
        <v>0</v>
      </c>
      <c r="Z100" s="86"/>
      <c r="AA100" s="87"/>
      <c r="AB100" s="87"/>
      <c r="AC100" s="87"/>
      <c r="AD100" s="87"/>
      <c r="AE100" s="87"/>
      <c r="AF100" s="87"/>
      <c r="AG100" s="87"/>
      <c r="AH100" s="87"/>
      <c r="AI100" s="1094"/>
      <c r="AJ100" s="665"/>
      <c r="AK100" s="88">
        <f t="shared" si="60"/>
        <v>0</v>
      </c>
      <c r="AL100" s="89" t="str" cm="1">
        <f t="array" aca="1" ref="AL100" ca="1">IFERROR(IF($AM$4="N",SSUM(AF100:AH100)/3,SUM(AG100:AI100)/3),"")</f>
        <v/>
      </c>
      <c r="AM100" s="90">
        <f t="shared" si="61"/>
        <v>0</v>
      </c>
      <c r="AN100" s="91" t="str">
        <f t="shared" si="62"/>
        <v/>
      </c>
      <c r="AO100" s="92" t="str">
        <f t="shared" si="63"/>
        <v/>
      </c>
      <c r="AP100" s="92" t="str">
        <f t="shared" si="64"/>
        <v/>
      </c>
      <c r="AQ100" s="92" t="str">
        <f t="shared" si="65"/>
        <v/>
      </c>
      <c r="AR100" s="92" t="str">
        <f t="shared" si="66"/>
        <v/>
      </c>
      <c r="AS100" s="92" t="str">
        <f t="shared" si="67"/>
        <v/>
      </c>
      <c r="AT100" s="92" t="str">
        <f t="shared" si="68"/>
        <v/>
      </c>
      <c r="AU100" s="92" t="str">
        <f t="shared" si="69"/>
        <v/>
      </c>
      <c r="AV100" s="92" t="str">
        <f t="shared" si="79"/>
        <v/>
      </c>
      <c r="AW100" s="92" t="str">
        <f t="shared" si="79"/>
        <v/>
      </c>
      <c r="AX100" s="92" t="str">
        <f t="shared" si="79"/>
        <v/>
      </c>
      <c r="AY100" s="93" t="str">
        <f t="shared" si="71"/>
        <v/>
      </c>
      <c r="AZ100" s="94" t="str">
        <f t="shared" si="72"/>
        <v/>
      </c>
      <c r="BA100" s="95" t="str">
        <f t="shared" si="73"/>
        <v/>
      </c>
      <c r="BB100" s="248" t="s">
        <v>422</v>
      </c>
      <c r="BC100" s="229" t="s">
        <v>433</v>
      </c>
      <c r="BD100" s="249">
        <v>0</v>
      </c>
      <c r="BE100" s="267">
        <f t="shared" si="76"/>
        <v>0</v>
      </c>
      <c r="BF100" s="268">
        <f t="shared" si="80"/>
        <v>0</v>
      </c>
      <c r="BG100" s="268">
        <f t="shared" si="80"/>
        <v>0</v>
      </c>
      <c r="BH100" s="268">
        <f t="shared" si="80"/>
        <v>1</v>
      </c>
      <c r="BI100" s="268">
        <f t="shared" si="80"/>
        <v>2</v>
      </c>
      <c r="BJ100" s="268">
        <f t="shared" si="80"/>
        <v>3</v>
      </c>
      <c r="BK100" s="268">
        <f t="shared" si="80"/>
        <v>4</v>
      </c>
      <c r="BL100" s="269">
        <f t="shared" si="80"/>
        <v>5</v>
      </c>
      <c r="BM100" s="256">
        <f>IF($BC100=Lookup!$A$2,$BD100*ROUNDUP(BE100/10,0)+1,
IF($BC100=Lookup!$A$3,($BD100+1)^BD100,
IF($BC100=Lookup!$A$4,BE100*$BD100+1,"Error")))</f>
        <v>1</v>
      </c>
      <c r="BN100" s="229">
        <f>IF($BC100=Lookup!$A$2,$BD100*ROUNDUP(BF100/10,0)+1,
IF($BC100=Lookup!$A$3,($BD100+1)^BE100,
IF($BC100=Lookup!$A$4,BF100*$BD100+1,"Error")))</f>
        <v>1</v>
      </c>
      <c r="BO100" s="229">
        <f>IF($BC100=Lookup!$A$2,$BD100*ROUNDUP(BG100/10,0)+1,
IF($BC100=Lookup!$A$3,($BD100+1)^BF100,
IF($BC100=Lookup!$A$4,BG100*$BD100+1,"Error")))</f>
        <v>1</v>
      </c>
      <c r="BP100" s="229">
        <f>IF($BC100=Lookup!$A$2,$BD100*ROUNDUP(BH100/10,0)+1,
IF($BC100=Lookup!$A$3,($BD100+1)^BG100,
IF($BC100=Lookup!$A$4,BH100*$BD100+1,"Error")))</f>
        <v>1</v>
      </c>
      <c r="BQ100" s="229">
        <f>IF($BC100=Lookup!$A$2,$BD100*ROUNDUP(BI100/10,0)+1,
IF($BC100=Lookup!$A$3,($BD100+1)^BH100,
IF($BC100=Lookup!$A$4,BI100*$BD100+1,"Error")))</f>
        <v>1</v>
      </c>
      <c r="BR100" s="229">
        <f>IF($BC100=Lookup!$A$2,$BD100*ROUNDUP(BJ100/10,0)+1,
IF($BC100=Lookup!$A$3,($BD100+1)^BI100,
IF($BC100=Lookup!$A$4,BJ100*$BD100+1,"Error")))</f>
        <v>1</v>
      </c>
      <c r="BS100" s="229">
        <f>IF($BC100=Lookup!$A$2,$BD100*ROUNDUP(BK100/10,0)+1,
IF($BC100=Lookup!$A$3,($BD100+1)^BJ100,
IF($BC100=Lookup!$A$4,BK100*$BD100+1,"Error")))</f>
        <v>1</v>
      </c>
      <c r="BT100" s="249">
        <f>IF($BC100=Lookup!$A$2,$BD100*ROUNDUP(BL100/10,0)+1,
IF($BC100=Lookup!$A$3,($BD100+1)^BK100,
IF($BC100=Lookup!$A$4,BL100*$BD100+1,"Error")))</f>
        <v>1</v>
      </c>
      <c r="BU100" s="320">
        <v>0</v>
      </c>
      <c r="BV100" s="321">
        <v>0</v>
      </c>
      <c r="BW100" s="321">
        <v>0</v>
      </c>
      <c r="BX100" s="320">
        <v>7</v>
      </c>
      <c r="BY100" s="321">
        <v>0</v>
      </c>
      <c r="BZ100" s="321">
        <v>0</v>
      </c>
      <c r="CA100" s="321">
        <v>3</v>
      </c>
      <c r="CB100" s="277">
        <v>0</v>
      </c>
      <c r="CC100" s="382" t="s">
        <v>292</v>
      </c>
      <c r="CD100" s="383">
        <f>HLOOKUP($CC100,$AK$6:$AM$132,ROWS(CD$6:CD100),0)</f>
        <v>0</v>
      </c>
      <c r="CE100" s="234">
        <f t="shared" si="77"/>
        <v>0</v>
      </c>
      <c r="CF100" s="96">
        <f t="shared" si="77"/>
        <v>0</v>
      </c>
      <c r="CG100" s="521">
        <f t="shared" si="77"/>
        <v>0</v>
      </c>
      <c r="CH100" s="421">
        <f t="shared" si="77"/>
        <v>7</v>
      </c>
      <c r="CI100" s="96">
        <f t="shared" si="45"/>
        <v>0</v>
      </c>
      <c r="CJ100" s="96">
        <f t="shared" si="45"/>
        <v>0</v>
      </c>
      <c r="CK100" s="96">
        <f t="shared" si="45"/>
        <v>3</v>
      </c>
      <c r="CL100" s="286">
        <f t="shared" si="45"/>
        <v>0</v>
      </c>
      <c r="CM100" s="305" t="s">
        <v>293</v>
      </c>
      <c r="CN100" s="315">
        <v>0.05</v>
      </c>
      <c r="CO100" s="306"/>
      <c r="CP100" s="307" t="str">
        <f>IF($CO100&lt;&gt;"",$CO100,HLOOKUP($CM100,$AY$6:$BA$132,ROWS(CP$6:CP100),0))</f>
        <v/>
      </c>
      <c r="CQ100" s="784">
        <v>232261.84010853208</v>
      </c>
      <c r="CR100" s="784">
        <v>1262260.0078799028</v>
      </c>
      <c r="CS100" s="524">
        <v>310699.33240289631</v>
      </c>
      <c r="CT100" s="416">
        <v>7688.3668531007397</v>
      </c>
      <c r="CU100" s="97">
        <v>51724.821001090313</v>
      </c>
      <c r="CV100" s="97">
        <v>317608.47754794575</v>
      </c>
      <c r="CW100" s="97">
        <v>173072.26754785847</v>
      </c>
      <c r="CX100" s="98">
        <v>6279.9532846928951</v>
      </c>
      <c r="CY100" s="392"/>
    </row>
    <row r="101" spans="1:110" x14ac:dyDescent="0.25">
      <c r="A101" s="81" t="s">
        <v>196</v>
      </c>
      <c r="B101" s="82" t="s">
        <v>205</v>
      </c>
      <c r="C101" s="83" t="s">
        <v>206</v>
      </c>
      <c r="D101" s="84"/>
      <c r="E101" s="85"/>
      <c r="F101" s="85"/>
      <c r="G101" s="85"/>
      <c r="H101" s="85"/>
      <c r="I101" s="85"/>
      <c r="J101" s="85"/>
      <c r="K101" s="85"/>
      <c r="L101" s="85"/>
      <c r="M101" s="654"/>
      <c r="N101" s="1065"/>
      <c r="O101" s="560">
        <f t="shared" si="75"/>
        <v>0</v>
      </c>
      <c r="P101" s="561">
        <f t="shared" si="51"/>
        <v>0</v>
      </c>
      <c r="Q101" s="561">
        <f t="shared" si="52"/>
        <v>0</v>
      </c>
      <c r="R101" s="561">
        <f t="shared" si="53"/>
        <v>0</v>
      </c>
      <c r="S101" s="561">
        <f t="shared" si="54"/>
        <v>0</v>
      </c>
      <c r="T101" s="561">
        <f t="shared" si="55"/>
        <v>0</v>
      </c>
      <c r="U101" s="561">
        <f t="shared" si="56"/>
        <v>0</v>
      </c>
      <c r="V101" s="561">
        <f t="shared" si="57"/>
        <v>0</v>
      </c>
      <c r="W101" s="675">
        <f t="shared" si="58"/>
        <v>0</v>
      </c>
      <c r="X101" s="675">
        <f t="shared" si="59"/>
        <v>0</v>
      </c>
      <c r="Y101" s="675">
        <f t="shared" si="59"/>
        <v>0</v>
      </c>
      <c r="Z101" s="86"/>
      <c r="AA101" s="87"/>
      <c r="AB101" s="87"/>
      <c r="AC101" s="87"/>
      <c r="AD101" s="87"/>
      <c r="AE101" s="87"/>
      <c r="AF101" s="87"/>
      <c r="AG101" s="87"/>
      <c r="AH101" s="87"/>
      <c r="AI101" s="1094"/>
      <c r="AJ101" s="665"/>
      <c r="AK101" s="88">
        <f t="shared" si="60"/>
        <v>0</v>
      </c>
      <c r="AL101" s="89" t="str" cm="1">
        <f t="array" aca="1" ref="AL101" ca="1">IFERROR(IF($AM$4="N",SSUM(AF101:AH101)/3,SUM(AG101:AI101)/3),"")</f>
        <v/>
      </c>
      <c r="AM101" s="90">
        <f t="shared" si="61"/>
        <v>0</v>
      </c>
      <c r="AN101" s="91" t="str">
        <f t="shared" si="62"/>
        <v/>
      </c>
      <c r="AO101" s="92" t="str">
        <f t="shared" si="63"/>
        <v/>
      </c>
      <c r="AP101" s="92" t="str">
        <f t="shared" si="64"/>
        <v/>
      </c>
      <c r="AQ101" s="92" t="str">
        <f t="shared" si="65"/>
        <v/>
      </c>
      <c r="AR101" s="92" t="str">
        <f t="shared" si="66"/>
        <v/>
      </c>
      <c r="AS101" s="92" t="str">
        <f t="shared" si="67"/>
        <v/>
      </c>
      <c r="AT101" s="92" t="str">
        <f t="shared" si="68"/>
        <v/>
      </c>
      <c r="AU101" s="92" t="str">
        <f t="shared" si="69"/>
        <v/>
      </c>
      <c r="AV101" s="92" t="str">
        <f t="shared" si="79"/>
        <v/>
      </c>
      <c r="AW101" s="92" t="str">
        <f t="shared" si="79"/>
        <v/>
      </c>
      <c r="AX101" s="92" t="str">
        <f t="shared" si="79"/>
        <v/>
      </c>
      <c r="AY101" s="93" t="str">
        <f t="shared" si="71"/>
        <v/>
      </c>
      <c r="AZ101" s="94" t="str">
        <f t="shared" si="72"/>
        <v/>
      </c>
      <c r="BA101" s="95" t="str">
        <f t="shared" si="73"/>
        <v/>
      </c>
      <c r="BB101" s="248" t="s">
        <v>422</v>
      </c>
      <c r="BC101" s="229" t="s">
        <v>433</v>
      </c>
      <c r="BD101" s="249">
        <v>0</v>
      </c>
      <c r="BE101" s="267">
        <f t="shared" si="76"/>
        <v>0</v>
      </c>
      <c r="BF101" s="268">
        <f t="shared" si="80"/>
        <v>0</v>
      </c>
      <c r="BG101" s="268">
        <f t="shared" si="80"/>
        <v>0</v>
      </c>
      <c r="BH101" s="268">
        <f t="shared" si="80"/>
        <v>1</v>
      </c>
      <c r="BI101" s="268">
        <f t="shared" si="80"/>
        <v>2</v>
      </c>
      <c r="BJ101" s="268">
        <f t="shared" si="80"/>
        <v>3</v>
      </c>
      <c r="BK101" s="268">
        <f t="shared" si="80"/>
        <v>4</v>
      </c>
      <c r="BL101" s="269">
        <f t="shared" si="80"/>
        <v>5</v>
      </c>
      <c r="BM101" s="256">
        <f>IF($BC101=Lookup!$A$2,$BD101*ROUNDUP(BE101/10,0)+1,
IF($BC101=Lookup!$A$3,($BD101+1)^BD101,
IF($BC101=Lookup!$A$4,BE101*$BD101+1,"Error")))</f>
        <v>1</v>
      </c>
      <c r="BN101" s="229">
        <f>IF($BC101=Lookup!$A$2,$BD101*ROUNDUP(BF101/10,0)+1,
IF($BC101=Lookup!$A$3,($BD101+1)^BE101,
IF($BC101=Lookup!$A$4,BF101*$BD101+1,"Error")))</f>
        <v>1</v>
      </c>
      <c r="BO101" s="229">
        <f>IF($BC101=Lookup!$A$2,$BD101*ROUNDUP(BG101/10,0)+1,
IF($BC101=Lookup!$A$3,($BD101+1)^BF101,
IF($BC101=Lookup!$A$4,BG101*$BD101+1,"Error")))</f>
        <v>1</v>
      </c>
      <c r="BP101" s="229">
        <f>IF($BC101=Lookup!$A$2,$BD101*ROUNDUP(BH101/10,0)+1,
IF($BC101=Lookup!$A$3,($BD101+1)^BG101,
IF($BC101=Lookup!$A$4,BH101*$BD101+1,"Error")))</f>
        <v>1</v>
      </c>
      <c r="BQ101" s="229">
        <f>IF($BC101=Lookup!$A$2,$BD101*ROUNDUP(BI101/10,0)+1,
IF($BC101=Lookup!$A$3,($BD101+1)^BH101,
IF($BC101=Lookup!$A$4,BI101*$BD101+1,"Error")))</f>
        <v>1</v>
      </c>
      <c r="BR101" s="229">
        <f>IF($BC101=Lookup!$A$2,$BD101*ROUNDUP(BJ101/10,0)+1,
IF($BC101=Lookup!$A$3,($BD101+1)^BI101,
IF($BC101=Lookup!$A$4,BJ101*$BD101+1,"Error")))</f>
        <v>1</v>
      </c>
      <c r="BS101" s="229">
        <f>IF($BC101=Lookup!$A$2,$BD101*ROUNDUP(BK101/10,0)+1,
IF($BC101=Lookup!$A$3,($BD101+1)^BJ101,
IF($BC101=Lookup!$A$4,BK101*$BD101+1,"Error")))</f>
        <v>1</v>
      </c>
      <c r="BT101" s="249">
        <f>IF($BC101=Lookup!$A$2,$BD101*ROUNDUP(BL101/10,0)+1,
IF($BC101=Lookup!$A$3,($BD101+1)^BK101,
IF($BC101=Lookup!$A$4,BL101*$BD101+1,"Error")))</f>
        <v>1</v>
      </c>
      <c r="BU101" s="320">
        <v>0</v>
      </c>
      <c r="BV101" s="321">
        <v>0</v>
      </c>
      <c r="BW101" s="321">
        <v>0</v>
      </c>
      <c r="BX101" s="320">
        <v>0</v>
      </c>
      <c r="BY101" s="321">
        <v>0</v>
      </c>
      <c r="BZ101" s="321">
        <v>6</v>
      </c>
      <c r="CA101" s="321">
        <v>10</v>
      </c>
      <c r="CB101" s="277">
        <v>4</v>
      </c>
      <c r="CC101" s="382" t="s">
        <v>292</v>
      </c>
      <c r="CD101" s="383">
        <f>HLOOKUP($CC101,$AK$6:$AM$132,ROWS(CD$6:CD101),0)</f>
        <v>0</v>
      </c>
      <c r="CE101" s="234">
        <f t="shared" si="77"/>
        <v>0</v>
      </c>
      <c r="CF101" s="96">
        <f t="shared" si="77"/>
        <v>0</v>
      </c>
      <c r="CG101" s="521">
        <f t="shared" si="77"/>
        <v>0</v>
      </c>
      <c r="CH101" s="421">
        <f t="shared" si="77"/>
        <v>0</v>
      </c>
      <c r="CI101" s="96">
        <f t="shared" si="45"/>
        <v>0</v>
      </c>
      <c r="CJ101" s="96">
        <f t="shared" si="45"/>
        <v>6</v>
      </c>
      <c r="CK101" s="96">
        <f t="shared" si="45"/>
        <v>10</v>
      </c>
      <c r="CL101" s="286">
        <f t="shared" si="45"/>
        <v>4</v>
      </c>
      <c r="CM101" s="305" t="s">
        <v>293</v>
      </c>
      <c r="CN101" s="315">
        <v>0.05</v>
      </c>
      <c r="CO101" s="306"/>
      <c r="CP101" s="307" t="str">
        <f>IF($CO101&lt;&gt;"",$CO101,HLOOKUP($CM101,$AY$6:$BA$132,ROWS(CP$6:CP101),0))</f>
        <v/>
      </c>
      <c r="CQ101" s="784">
        <v>4333.958348036992</v>
      </c>
      <c r="CR101" s="784">
        <v>17149.881445946852</v>
      </c>
      <c r="CS101" s="524">
        <v>99451.14011164644</v>
      </c>
      <c r="CT101" s="416">
        <v>103898.35076793566</v>
      </c>
      <c r="CU101" s="97">
        <v>96898.994890860471</v>
      </c>
      <c r="CV101" s="97">
        <v>101810.82978040748</v>
      </c>
      <c r="CW101" s="97">
        <v>31010.671894408537</v>
      </c>
      <c r="CX101" s="98">
        <v>111407.09528431414</v>
      </c>
      <c r="CY101" s="392"/>
      <c r="DA101" s="395">
        <f>SUM(CH98,CH100,CH102,CH104,CH106)</f>
        <v>12</v>
      </c>
      <c r="DB101" s="395">
        <f t="shared" ref="DB101:DD101" si="85">SUM(CI98,CI100,CI102,CI104,CI106)</f>
        <v>72</v>
      </c>
      <c r="DC101" s="395">
        <f t="shared" si="85"/>
        <v>50</v>
      </c>
      <c r="DD101" s="395">
        <f t="shared" si="85"/>
        <v>45</v>
      </c>
      <c r="DE101" s="395">
        <f>SUM(CL98,CL100,CL102,CL104,CL106)</f>
        <v>56</v>
      </c>
      <c r="DF101" s="816">
        <f>SUM(DA101:DE101)</f>
        <v>235</v>
      </c>
    </row>
    <row r="102" spans="1:110" x14ac:dyDescent="0.25">
      <c r="A102" s="81" t="s">
        <v>196</v>
      </c>
      <c r="B102" s="82" t="s">
        <v>207</v>
      </c>
      <c r="C102" s="83" t="s">
        <v>208</v>
      </c>
      <c r="D102" s="84"/>
      <c r="E102" s="85"/>
      <c r="F102" s="85"/>
      <c r="G102" s="85"/>
      <c r="H102" s="85"/>
      <c r="I102" s="85"/>
      <c r="J102" s="85"/>
      <c r="K102" s="85"/>
      <c r="L102" s="85"/>
      <c r="M102" s="654"/>
      <c r="N102" s="1065"/>
      <c r="O102" s="560">
        <f t="shared" si="75"/>
        <v>0</v>
      </c>
      <c r="P102" s="561">
        <f t="shared" si="51"/>
        <v>0</v>
      </c>
      <c r="Q102" s="561">
        <f t="shared" si="52"/>
        <v>0</v>
      </c>
      <c r="R102" s="561">
        <f t="shared" si="53"/>
        <v>0</v>
      </c>
      <c r="S102" s="561">
        <f t="shared" si="54"/>
        <v>0</v>
      </c>
      <c r="T102" s="561">
        <f t="shared" si="55"/>
        <v>0</v>
      </c>
      <c r="U102" s="561">
        <f t="shared" si="56"/>
        <v>0</v>
      </c>
      <c r="V102" s="561">
        <f t="shared" si="57"/>
        <v>0</v>
      </c>
      <c r="W102" s="675">
        <f t="shared" si="58"/>
        <v>0</v>
      </c>
      <c r="X102" s="675">
        <f t="shared" si="59"/>
        <v>0</v>
      </c>
      <c r="Y102" s="675">
        <f t="shared" si="59"/>
        <v>0</v>
      </c>
      <c r="Z102" s="86"/>
      <c r="AA102" s="87"/>
      <c r="AB102" s="87"/>
      <c r="AC102" s="87"/>
      <c r="AD102" s="87"/>
      <c r="AE102" s="87"/>
      <c r="AF102" s="87"/>
      <c r="AG102" s="87"/>
      <c r="AH102" s="87"/>
      <c r="AI102" s="1094"/>
      <c r="AJ102" s="665"/>
      <c r="AK102" s="88">
        <f t="shared" si="60"/>
        <v>0</v>
      </c>
      <c r="AL102" s="89" t="str" cm="1">
        <f t="array" aca="1" ref="AL102" ca="1">IFERROR(IF($AM$4="N",SSUM(AF102:AH102)/3,SUM(AG102:AI102)/3),"")</f>
        <v/>
      </c>
      <c r="AM102" s="90">
        <f t="shared" si="61"/>
        <v>0</v>
      </c>
      <c r="AN102" s="91" t="str">
        <f t="shared" si="62"/>
        <v/>
      </c>
      <c r="AO102" s="92" t="str">
        <f t="shared" si="63"/>
        <v/>
      </c>
      <c r="AP102" s="92" t="str">
        <f t="shared" si="64"/>
        <v/>
      </c>
      <c r="AQ102" s="92" t="str">
        <f t="shared" si="65"/>
        <v/>
      </c>
      <c r="AR102" s="92" t="str">
        <f t="shared" si="66"/>
        <v/>
      </c>
      <c r="AS102" s="92" t="str">
        <f t="shared" si="67"/>
        <v/>
      </c>
      <c r="AT102" s="92" t="str">
        <f t="shared" si="68"/>
        <v/>
      </c>
      <c r="AU102" s="92" t="str">
        <f t="shared" si="69"/>
        <v/>
      </c>
      <c r="AV102" s="92" t="str">
        <f t="shared" si="79"/>
        <v/>
      </c>
      <c r="AW102" s="92" t="str">
        <f t="shared" si="79"/>
        <v/>
      </c>
      <c r="AX102" s="92" t="str">
        <f t="shared" si="79"/>
        <v/>
      </c>
      <c r="AY102" s="93" t="str">
        <f t="shared" si="71"/>
        <v/>
      </c>
      <c r="AZ102" s="94" t="str">
        <f t="shared" si="72"/>
        <v/>
      </c>
      <c r="BA102" s="95" t="str">
        <f t="shared" si="73"/>
        <v/>
      </c>
      <c r="BB102" s="248" t="s">
        <v>422</v>
      </c>
      <c r="BC102" s="229" t="s">
        <v>433</v>
      </c>
      <c r="BD102" s="249">
        <v>0</v>
      </c>
      <c r="BE102" s="267">
        <f t="shared" si="76"/>
        <v>0</v>
      </c>
      <c r="BF102" s="268">
        <f t="shared" si="80"/>
        <v>0</v>
      </c>
      <c r="BG102" s="268">
        <f t="shared" si="80"/>
        <v>0</v>
      </c>
      <c r="BH102" s="268">
        <f t="shared" si="80"/>
        <v>1</v>
      </c>
      <c r="BI102" s="268">
        <f t="shared" si="80"/>
        <v>2</v>
      </c>
      <c r="BJ102" s="268">
        <f t="shared" si="80"/>
        <v>3</v>
      </c>
      <c r="BK102" s="268">
        <f t="shared" si="80"/>
        <v>4</v>
      </c>
      <c r="BL102" s="269">
        <f t="shared" si="80"/>
        <v>5</v>
      </c>
      <c r="BM102" s="256">
        <f>IF($BC102=Lookup!$A$2,$BD102*ROUNDUP(BE102/10,0)+1,
IF($BC102=Lookup!$A$3,($BD102+1)^BD102,
IF($BC102=Lookup!$A$4,BE102*$BD102+1,"Error")))</f>
        <v>1</v>
      </c>
      <c r="BN102" s="229">
        <f>IF($BC102=Lookup!$A$2,$BD102*ROUNDUP(BF102/10,0)+1,
IF($BC102=Lookup!$A$3,($BD102+1)^BE102,
IF($BC102=Lookup!$A$4,BF102*$BD102+1,"Error")))</f>
        <v>1</v>
      </c>
      <c r="BO102" s="229">
        <f>IF($BC102=Lookup!$A$2,$BD102*ROUNDUP(BG102/10,0)+1,
IF($BC102=Lookup!$A$3,($BD102+1)^BF102,
IF($BC102=Lookup!$A$4,BG102*$BD102+1,"Error")))</f>
        <v>1</v>
      </c>
      <c r="BP102" s="229">
        <f>IF($BC102=Lookup!$A$2,$BD102*ROUNDUP(BH102/10,0)+1,
IF($BC102=Lookup!$A$3,($BD102+1)^BG102,
IF($BC102=Lookup!$A$4,BH102*$BD102+1,"Error")))</f>
        <v>1</v>
      </c>
      <c r="BQ102" s="229">
        <f>IF($BC102=Lookup!$A$2,$BD102*ROUNDUP(BI102/10,0)+1,
IF($BC102=Lookup!$A$3,($BD102+1)^BH102,
IF($BC102=Lookup!$A$4,BI102*$BD102+1,"Error")))</f>
        <v>1</v>
      </c>
      <c r="BR102" s="229">
        <f>IF($BC102=Lookup!$A$2,$BD102*ROUNDUP(BJ102/10,0)+1,
IF($BC102=Lookup!$A$3,($BD102+1)^BI102,
IF($BC102=Lookup!$A$4,BJ102*$BD102+1,"Error")))</f>
        <v>1</v>
      </c>
      <c r="BS102" s="229">
        <f>IF($BC102=Lookup!$A$2,$BD102*ROUNDUP(BK102/10,0)+1,
IF($BC102=Lookup!$A$3,($BD102+1)^BJ102,
IF($BC102=Lookup!$A$4,BK102*$BD102+1,"Error")))</f>
        <v>1</v>
      </c>
      <c r="BT102" s="249">
        <f>IF($BC102=Lookup!$A$2,$BD102*ROUNDUP(BL102/10,0)+1,
IF($BC102=Lookup!$A$3,($BD102+1)^BK102,
IF($BC102=Lookup!$A$4,BL102*$BD102+1,"Error")))</f>
        <v>1</v>
      </c>
      <c r="BU102" s="320">
        <v>0</v>
      </c>
      <c r="BV102" s="321">
        <v>0</v>
      </c>
      <c r="BW102" s="321">
        <v>0</v>
      </c>
      <c r="BX102" s="320">
        <v>0</v>
      </c>
      <c r="BY102" s="321">
        <v>0</v>
      </c>
      <c r="BZ102" s="321">
        <v>7</v>
      </c>
      <c r="CA102" s="321">
        <v>4</v>
      </c>
      <c r="CB102" s="277">
        <v>2</v>
      </c>
      <c r="CC102" s="382" t="s">
        <v>292</v>
      </c>
      <c r="CD102" s="383">
        <f>HLOOKUP($CC102,$AK$6:$AM$132,ROWS(CD$6:CD102),0)</f>
        <v>0</v>
      </c>
      <c r="CE102" s="234">
        <f t="shared" si="77"/>
        <v>0</v>
      </c>
      <c r="CF102" s="96">
        <f t="shared" si="77"/>
        <v>0</v>
      </c>
      <c r="CG102" s="521">
        <f t="shared" si="77"/>
        <v>0</v>
      </c>
      <c r="CH102" s="421">
        <f t="shared" si="77"/>
        <v>0</v>
      </c>
      <c r="CI102" s="96">
        <f t="shared" si="45"/>
        <v>0</v>
      </c>
      <c r="CJ102" s="96">
        <f t="shared" si="45"/>
        <v>7</v>
      </c>
      <c r="CK102" s="96">
        <f t="shared" si="45"/>
        <v>4</v>
      </c>
      <c r="CL102" s="286">
        <f t="shared" si="45"/>
        <v>2</v>
      </c>
      <c r="CM102" s="305" t="s">
        <v>293</v>
      </c>
      <c r="CN102" s="315">
        <v>0.05</v>
      </c>
      <c r="CO102" s="306"/>
      <c r="CP102" s="307" t="str">
        <f>IF($CO102&lt;&gt;"",$CO102,HLOOKUP($CM102,$AY$6:$BA$132,ROWS(CP$6:CP102),0))</f>
        <v/>
      </c>
      <c r="CQ102" s="784">
        <v>111241.88926159413</v>
      </c>
      <c r="CR102" s="784">
        <v>430057.02246787312</v>
      </c>
      <c r="CS102" s="524">
        <v>2581394.6773436735</v>
      </c>
      <c r="CT102" s="416">
        <v>2409208.6704759621</v>
      </c>
      <c r="CU102" s="97">
        <v>2162601.8442003885</v>
      </c>
      <c r="CV102" s="97">
        <v>1029109.9259437313</v>
      </c>
      <c r="CW102" s="97">
        <v>1714881.0583465691</v>
      </c>
      <c r="CX102" s="98">
        <v>2639914.9713179786</v>
      </c>
      <c r="CY102" s="392"/>
    </row>
    <row r="103" spans="1:110" x14ac:dyDescent="0.25">
      <c r="A103" s="81" t="s">
        <v>196</v>
      </c>
      <c r="B103" s="82" t="s">
        <v>209</v>
      </c>
      <c r="C103" s="83" t="s">
        <v>210</v>
      </c>
      <c r="D103" s="84"/>
      <c r="E103" s="85"/>
      <c r="F103" s="85"/>
      <c r="G103" s="85"/>
      <c r="H103" s="85"/>
      <c r="I103" s="85"/>
      <c r="J103" s="85"/>
      <c r="K103" s="85"/>
      <c r="L103" s="85"/>
      <c r="M103" s="654"/>
      <c r="N103" s="1065"/>
      <c r="O103" s="560">
        <f t="shared" si="75"/>
        <v>0</v>
      </c>
      <c r="P103" s="561">
        <f t="shared" si="51"/>
        <v>0</v>
      </c>
      <c r="Q103" s="561">
        <f t="shared" si="52"/>
        <v>0</v>
      </c>
      <c r="R103" s="561">
        <f t="shared" si="53"/>
        <v>0</v>
      </c>
      <c r="S103" s="561">
        <f t="shared" si="54"/>
        <v>0</v>
      </c>
      <c r="T103" s="561">
        <f t="shared" si="55"/>
        <v>0</v>
      </c>
      <c r="U103" s="561">
        <f t="shared" si="56"/>
        <v>0</v>
      </c>
      <c r="V103" s="561">
        <f t="shared" si="57"/>
        <v>0</v>
      </c>
      <c r="W103" s="675">
        <f t="shared" si="58"/>
        <v>0</v>
      </c>
      <c r="X103" s="675">
        <f t="shared" si="59"/>
        <v>0</v>
      </c>
      <c r="Y103" s="675">
        <f t="shared" si="59"/>
        <v>0</v>
      </c>
      <c r="Z103" s="86"/>
      <c r="AA103" s="87"/>
      <c r="AB103" s="87"/>
      <c r="AC103" s="87"/>
      <c r="AD103" s="87"/>
      <c r="AE103" s="87"/>
      <c r="AF103" s="87"/>
      <c r="AG103" s="87"/>
      <c r="AH103" s="87"/>
      <c r="AI103" s="1094"/>
      <c r="AJ103" s="665"/>
      <c r="AK103" s="88">
        <f t="shared" ref="AK103:AK132" si="86">IFERROR(IF($AM$4="N",SUM(AD103:AH103)/5,SUM(AE103:AI103)/5),"")</f>
        <v>0</v>
      </c>
      <c r="AL103" s="89" t="str" cm="1">
        <f t="array" aca="1" ref="AL103" ca="1">IFERROR(IF($AM$4="N",SSUM(AF103:AH103)/3,SUM(AG103:AI103)/3),"")</f>
        <v/>
      </c>
      <c r="AM103" s="90">
        <f t="shared" ref="AM103:AM132" si="87">IFERROR(IF($AM$4="N",AH103,AI103),"")</f>
        <v>0</v>
      </c>
      <c r="AN103" s="91" t="str">
        <f t="shared" ref="AN103:AN132" si="88">IFERROR(D103/Z103,"")</f>
        <v/>
      </c>
      <c r="AO103" s="92" t="str">
        <f t="shared" ref="AO103:AO132" si="89">IFERROR(E103/AA103,"")</f>
        <v/>
      </c>
      <c r="AP103" s="92" t="str">
        <f t="shared" ref="AP103:AP132" si="90">IFERROR(F103/AB103,"")</f>
        <v/>
      </c>
      <c r="AQ103" s="92" t="str">
        <f t="shared" ref="AQ103:AQ132" si="91">IFERROR(G103/AC103,"")</f>
        <v/>
      </c>
      <c r="AR103" s="92" t="str">
        <f t="shared" ref="AR103:AR132" si="92">IFERROR(H103/AD103,"")</f>
        <v/>
      </c>
      <c r="AS103" s="92" t="str">
        <f t="shared" ref="AS103:AS132" si="93">IFERROR(I103/AE103,"")</f>
        <v/>
      </c>
      <c r="AT103" s="92" t="str">
        <f t="shared" ref="AT103:AT132" si="94">IFERROR(J103/AF103,"")</f>
        <v/>
      </c>
      <c r="AU103" s="92" t="str">
        <f t="shared" ref="AU103:AU132" si="95">IFERROR(K103/AG103,"")</f>
        <v/>
      </c>
      <c r="AV103" s="92" t="str">
        <f t="shared" ref="AV103:AX118" si="96">IFERROR(L103/AH103,"")</f>
        <v/>
      </c>
      <c r="AW103" s="92" t="str">
        <f t="shared" si="96"/>
        <v/>
      </c>
      <c r="AX103" s="92" t="str">
        <f t="shared" si="96"/>
        <v/>
      </c>
      <c r="AY103" s="93" t="str">
        <f t="shared" ref="AY103:AY132" si="97">IFERROR(IF($BA$3="N",
IF($BA$4="N",SUM(H103:L103)/SUM(AD103:AH103),SUM(I103:M103)/SUM(AE103:AI103)),
IF($BA$4="N",SUM(S103:W103)/SUM(AD103:AH103),SUM(T103:X103)/SUM(AE103:AI103))),"")</f>
        <v/>
      </c>
      <c r="AZ103" s="94" t="str">
        <f t="shared" ref="AZ103:AZ132" si="98">IFERROR(IF($BA$3="N",
IF($BA$4="N",SUM(J103:L103)/SUM(AF103:AH103),SUM(K103:M103)/SUM(AG103:AI103)),
IF($BA$4="N",SUM(U103:W103)/SUM(AF103:AH103),SUM(V103:X103)/SUM(AG103:AI103))),"")</f>
        <v/>
      </c>
      <c r="BA103" s="95" t="str">
        <f t="shared" ref="BA103:BA132" si="99">IFERROR(IF($BA$3="N",
IF($BA$4="N",L103/AH103,M103/AI103),
IF($BA$4="N",W103/AH103,X103/AI103)),"")</f>
        <v/>
      </c>
      <c r="BB103" s="248" t="s">
        <v>422</v>
      </c>
      <c r="BC103" s="229" t="s">
        <v>433</v>
      </c>
      <c r="BD103" s="249">
        <v>0</v>
      </c>
      <c r="BE103" s="267">
        <f t="shared" si="76"/>
        <v>0</v>
      </c>
      <c r="BF103" s="268">
        <f t="shared" ref="BF103:BL118" si="100">IF(BF$6=$BB103,1,
IF(BE103&lt;&gt;0,BE103+1,0
))</f>
        <v>0</v>
      </c>
      <c r="BG103" s="268">
        <f t="shared" si="100"/>
        <v>0</v>
      </c>
      <c r="BH103" s="268">
        <f t="shared" si="100"/>
        <v>1</v>
      </c>
      <c r="BI103" s="268">
        <f t="shared" si="100"/>
        <v>2</v>
      </c>
      <c r="BJ103" s="268">
        <f t="shared" si="100"/>
        <v>3</v>
      </c>
      <c r="BK103" s="268">
        <f t="shared" si="100"/>
        <v>4</v>
      </c>
      <c r="BL103" s="269">
        <f t="shared" si="100"/>
        <v>5</v>
      </c>
      <c r="BM103" s="256">
        <f>IF($BC103=Lookup!$A$2,$BD103*ROUNDUP(BE103/10,0)+1,
IF($BC103=Lookup!$A$3,($BD103+1)^BD103,
IF($BC103=Lookup!$A$4,BE103*$BD103+1,"Error")))</f>
        <v>1</v>
      </c>
      <c r="BN103" s="229">
        <f>IF($BC103=Lookup!$A$2,$BD103*ROUNDUP(BF103/10,0)+1,
IF($BC103=Lookup!$A$3,($BD103+1)^BE103,
IF($BC103=Lookup!$A$4,BF103*$BD103+1,"Error")))</f>
        <v>1</v>
      </c>
      <c r="BO103" s="229">
        <f>IF($BC103=Lookup!$A$2,$BD103*ROUNDUP(BG103/10,0)+1,
IF($BC103=Lookup!$A$3,($BD103+1)^BF103,
IF($BC103=Lookup!$A$4,BG103*$BD103+1,"Error")))</f>
        <v>1</v>
      </c>
      <c r="BP103" s="229">
        <f>IF($BC103=Lookup!$A$2,$BD103*ROUNDUP(BH103/10,0)+1,
IF($BC103=Lookup!$A$3,($BD103+1)^BG103,
IF($BC103=Lookup!$A$4,BH103*$BD103+1,"Error")))</f>
        <v>1</v>
      </c>
      <c r="BQ103" s="229">
        <f>IF($BC103=Lookup!$A$2,$BD103*ROUNDUP(BI103/10,0)+1,
IF($BC103=Lookup!$A$3,($BD103+1)^BH103,
IF($BC103=Lookup!$A$4,BI103*$BD103+1,"Error")))</f>
        <v>1</v>
      </c>
      <c r="BR103" s="229">
        <f>IF($BC103=Lookup!$A$2,$BD103*ROUNDUP(BJ103/10,0)+1,
IF($BC103=Lookup!$A$3,($BD103+1)^BI103,
IF($BC103=Lookup!$A$4,BJ103*$BD103+1,"Error")))</f>
        <v>1</v>
      </c>
      <c r="BS103" s="229">
        <f>IF($BC103=Lookup!$A$2,$BD103*ROUNDUP(BK103/10,0)+1,
IF($BC103=Lookup!$A$3,($BD103+1)^BJ103,
IF($BC103=Lookup!$A$4,BK103*$BD103+1,"Error")))</f>
        <v>1</v>
      </c>
      <c r="BT103" s="249">
        <f>IF($BC103=Lookup!$A$2,$BD103*ROUNDUP(BL103/10,0)+1,
IF($BC103=Lookup!$A$3,($BD103+1)^BK103,
IF($BC103=Lookup!$A$4,BL103*$BD103+1,"Error")))</f>
        <v>1</v>
      </c>
      <c r="BU103" s="320">
        <v>0</v>
      </c>
      <c r="BV103" s="321">
        <v>0</v>
      </c>
      <c r="BW103" s="321">
        <v>16</v>
      </c>
      <c r="BX103" s="320">
        <v>26</v>
      </c>
      <c r="BY103" s="321">
        <v>43</v>
      </c>
      <c r="BZ103" s="321">
        <v>10</v>
      </c>
      <c r="CA103" s="321">
        <v>34</v>
      </c>
      <c r="CB103" s="277">
        <v>7</v>
      </c>
      <c r="CC103" s="382" t="s">
        <v>292</v>
      </c>
      <c r="CD103" s="383">
        <f>HLOOKUP($CC103,$AK$6:$AM$132,ROWS(CD$6:CD103),0)</f>
        <v>0</v>
      </c>
      <c r="CE103" s="234">
        <f t="shared" si="77"/>
        <v>0</v>
      </c>
      <c r="CF103" s="96">
        <f t="shared" si="77"/>
        <v>0</v>
      </c>
      <c r="CG103" s="521">
        <f t="shared" si="77"/>
        <v>16</v>
      </c>
      <c r="CH103" s="421">
        <f t="shared" si="77"/>
        <v>26</v>
      </c>
      <c r="CI103" s="96">
        <f t="shared" si="45"/>
        <v>43</v>
      </c>
      <c r="CJ103" s="96">
        <f t="shared" si="45"/>
        <v>10</v>
      </c>
      <c r="CK103" s="96">
        <f t="shared" si="45"/>
        <v>34</v>
      </c>
      <c r="CL103" s="286">
        <f t="shared" si="45"/>
        <v>7</v>
      </c>
      <c r="CM103" s="305" t="s">
        <v>293</v>
      </c>
      <c r="CN103" s="315">
        <v>0.05</v>
      </c>
      <c r="CO103" s="306"/>
      <c r="CP103" s="307" t="str">
        <f>IF($CO103&lt;&gt;"",$CO103,HLOOKUP($CM103,$AY$6:$BA$132,ROWS(CP$6:CP103),0))</f>
        <v/>
      </c>
      <c r="CQ103" s="784">
        <v>2652462.979961684</v>
      </c>
      <c r="CR103" s="784">
        <v>5481327.373203991</v>
      </c>
      <c r="CS103" s="524">
        <v>2753386.8377478761</v>
      </c>
      <c r="CT103" s="416">
        <v>1437858.7537742888</v>
      </c>
      <c r="CU103" s="97">
        <v>1403882.7468850212</v>
      </c>
      <c r="CV103" s="97">
        <v>2091380.5241455371</v>
      </c>
      <c r="CW103" s="97">
        <v>1021212.1335129078</v>
      </c>
      <c r="CX103" s="98">
        <v>69254.894413652568</v>
      </c>
      <c r="CY103" s="392"/>
    </row>
    <row r="104" spans="1:110" x14ac:dyDescent="0.25">
      <c r="A104" s="81" t="s">
        <v>196</v>
      </c>
      <c r="B104" s="82" t="s">
        <v>211</v>
      </c>
      <c r="C104" s="83" t="s">
        <v>212</v>
      </c>
      <c r="D104" s="84"/>
      <c r="E104" s="85"/>
      <c r="F104" s="85"/>
      <c r="G104" s="85"/>
      <c r="H104" s="85"/>
      <c r="I104" s="85"/>
      <c r="J104" s="85"/>
      <c r="K104" s="85"/>
      <c r="L104" s="85"/>
      <c r="M104" s="654"/>
      <c r="N104" s="1065"/>
      <c r="O104" s="560">
        <f t="shared" si="75"/>
        <v>0</v>
      </c>
      <c r="P104" s="561">
        <f t="shared" si="51"/>
        <v>0</v>
      </c>
      <c r="Q104" s="561">
        <f t="shared" si="52"/>
        <v>0</v>
      </c>
      <c r="R104" s="561">
        <f t="shared" si="53"/>
        <v>0</v>
      </c>
      <c r="S104" s="561">
        <f t="shared" si="54"/>
        <v>0</v>
      </c>
      <c r="T104" s="561">
        <f t="shared" si="55"/>
        <v>0</v>
      </c>
      <c r="U104" s="561">
        <f t="shared" si="56"/>
        <v>0</v>
      </c>
      <c r="V104" s="561">
        <f t="shared" si="57"/>
        <v>0</v>
      </c>
      <c r="W104" s="675">
        <f t="shared" si="58"/>
        <v>0</v>
      </c>
      <c r="X104" s="675">
        <f t="shared" si="59"/>
        <v>0</v>
      </c>
      <c r="Y104" s="675">
        <f t="shared" si="59"/>
        <v>0</v>
      </c>
      <c r="Z104" s="86"/>
      <c r="AA104" s="87"/>
      <c r="AB104" s="87"/>
      <c r="AC104" s="87"/>
      <c r="AD104" s="87"/>
      <c r="AE104" s="87"/>
      <c r="AF104" s="87"/>
      <c r="AG104" s="87"/>
      <c r="AH104" s="87"/>
      <c r="AI104" s="1094"/>
      <c r="AJ104" s="665"/>
      <c r="AK104" s="88">
        <f t="shared" si="86"/>
        <v>0</v>
      </c>
      <c r="AL104" s="89" t="str" cm="1">
        <f t="array" aca="1" ref="AL104" ca="1">IFERROR(IF($AM$4="N",SSUM(AF104:AH104)/3,SUM(AG104:AI104)/3),"")</f>
        <v/>
      </c>
      <c r="AM104" s="90">
        <f t="shared" si="87"/>
        <v>0</v>
      </c>
      <c r="AN104" s="91" t="str">
        <f t="shared" si="88"/>
        <v/>
      </c>
      <c r="AO104" s="92" t="str">
        <f t="shared" si="89"/>
        <v/>
      </c>
      <c r="AP104" s="92" t="str">
        <f t="shared" si="90"/>
        <v/>
      </c>
      <c r="AQ104" s="92" t="str">
        <f t="shared" si="91"/>
        <v/>
      </c>
      <c r="AR104" s="92" t="str">
        <f t="shared" si="92"/>
        <v/>
      </c>
      <c r="AS104" s="92" t="str">
        <f t="shared" si="93"/>
        <v/>
      </c>
      <c r="AT104" s="92" t="str">
        <f t="shared" si="94"/>
        <v/>
      </c>
      <c r="AU104" s="92" t="str">
        <f t="shared" si="95"/>
        <v/>
      </c>
      <c r="AV104" s="92" t="str">
        <f t="shared" si="96"/>
        <v/>
      </c>
      <c r="AW104" s="92" t="str">
        <f t="shared" si="96"/>
        <v/>
      </c>
      <c r="AX104" s="92" t="str">
        <f t="shared" si="96"/>
        <v/>
      </c>
      <c r="AY104" s="93" t="str">
        <f t="shared" si="97"/>
        <v/>
      </c>
      <c r="AZ104" s="94" t="str">
        <f t="shared" si="98"/>
        <v/>
      </c>
      <c r="BA104" s="95" t="str">
        <f t="shared" si="99"/>
        <v/>
      </c>
      <c r="BB104" s="248" t="s">
        <v>422</v>
      </c>
      <c r="BC104" s="229" t="s">
        <v>433</v>
      </c>
      <c r="BD104" s="249">
        <v>0</v>
      </c>
      <c r="BE104" s="267">
        <f t="shared" si="76"/>
        <v>0</v>
      </c>
      <c r="BF104" s="268">
        <f t="shared" si="100"/>
        <v>0</v>
      </c>
      <c r="BG104" s="268">
        <f t="shared" si="100"/>
        <v>0</v>
      </c>
      <c r="BH104" s="268">
        <f t="shared" si="100"/>
        <v>1</v>
      </c>
      <c r="BI104" s="268">
        <f t="shared" si="100"/>
        <v>2</v>
      </c>
      <c r="BJ104" s="268">
        <f t="shared" si="100"/>
        <v>3</v>
      </c>
      <c r="BK104" s="268">
        <f t="shared" si="100"/>
        <v>4</v>
      </c>
      <c r="BL104" s="269">
        <f t="shared" si="100"/>
        <v>5</v>
      </c>
      <c r="BM104" s="256">
        <f>IF($BC104=Lookup!$A$2,$BD104*ROUNDUP(BE104/10,0)+1,
IF($BC104=Lookup!$A$3,($BD104+1)^BD104,
IF($BC104=Lookup!$A$4,BE104*$BD104+1,"Error")))</f>
        <v>1</v>
      </c>
      <c r="BN104" s="229">
        <f>IF($BC104=Lookup!$A$2,$BD104*ROUNDUP(BF104/10,0)+1,
IF($BC104=Lookup!$A$3,($BD104+1)^BE104,
IF($BC104=Lookup!$A$4,BF104*$BD104+1,"Error")))</f>
        <v>1</v>
      </c>
      <c r="BO104" s="229">
        <f>IF($BC104=Lookup!$A$2,$BD104*ROUNDUP(BG104/10,0)+1,
IF($BC104=Lookup!$A$3,($BD104+1)^BF104,
IF($BC104=Lookup!$A$4,BG104*$BD104+1,"Error")))</f>
        <v>1</v>
      </c>
      <c r="BP104" s="229">
        <f>IF($BC104=Lookup!$A$2,$BD104*ROUNDUP(BH104/10,0)+1,
IF($BC104=Lookup!$A$3,($BD104+1)^BG104,
IF($BC104=Lookup!$A$4,BH104*$BD104+1,"Error")))</f>
        <v>1</v>
      </c>
      <c r="BQ104" s="229">
        <f>IF($BC104=Lookup!$A$2,$BD104*ROUNDUP(BI104/10,0)+1,
IF($BC104=Lookup!$A$3,($BD104+1)^BH104,
IF($BC104=Lookup!$A$4,BI104*$BD104+1,"Error")))</f>
        <v>1</v>
      </c>
      <c r="BR104" s="229">
        <f>IF($BC104=Lookup!$A$2,$BD104*ROUNDUP(BJ104/10,0)+1,
IF($BC104=Lookup!$A$3,($BD104+1)^BI104,
IF($BC104=Lookup!$A$4,BJ104*$BD104+1,"Error")))</f>
        <v>1</v>
      </c>
      <c r="BS104" s="229">
        <f>IF($BC104=Lookup!$A$2,$BD104*ROUNDUP(BK104/10,0)+1,
IF($BC104=Lookup!$A$3,($BD104+1)^BJ104,
IF($BC104=Lookup!$A$4,BK104*$BD104+1,"Error")))</f>
        <v>1</v>
      </c>
      <c r="BT104" s="249">
        <f>IF($BC104=Lookup!$A$2,$BD104*ROUNDUP(BL104/10,0)+1,
IF($BC104=Lookup!$A$3,($BD104+1)^BK104,
IF($BC104=Lookup!$A$4,BL104*$BD104+1,"Error")))</f>
        <v>1</v>
      </c>
      <c r="BU104" s="320">
        <v>0</v>
      </c>
      <c r="BV104" s="321">
        <v>8</v>
      </c>
      <c r="BW104" s="321">
        <v>10</v>
      </c>
      <c r="BX104" s="320">
        <v>4</v>
      </c>
      <c r="BY104" s="321">
        <v>21</v>
      </c>
      <c r="BZ104" s="321">
        <v>14</v>
      </c>
      <c r="CA104" s="321">
        <v>23</v>
      </c>
      <c r="CB104" s="277">
        <v>9</v>
      </c>
      <c r="CC104" s="382" t="s">
        <v>292</v>
      </c>
      <c r="CD104" s="383">
        <f>HLOOKUP($CC104,$AK$6:$AM$132,ROWS(CD$6:CD104),0)</f>
        <v>0</v>
      </c>
      <c r="CE104" s="234">
        <f t="shared" si="77"/>
        <v>0</v>
      </c>
      <c r="CF104" s="96">
        <f t="shared" si="77"/>
        <v>8</v>
      </c>
      <c r="CG104" s="521">
        <f t="shared" si="77"/>
        <v>10</v>
      </c>
      <c r="CH104" s="421">
        <f t="shared" si="77"/>
        <v>4</v>
      </c>
      <c r="CI104" s="96">
        <f t="shared" si="45"/>
        <v>21</v>
      </c>
      <c r="CJ104" s="96">
        <f t="shared" si="45"/>
        <v>14</v>
      </c>
      <c r="CK104" s="96">
        <f t="shared" si="45"/>
        <v>23</v>
      </c>
      <c r="CL104" s="286">
        <f t="shared" si="45"/>
        <v>9</v>
      </c>
      <c r="CM104" s="305" t="s">
        <v>293</v>
      </c>
      <c r="CN104" s="315">
        <v>0.05</v>
      </c>
      <c r="CO104" s="306"/>
      <c r="CP104" s="307" t="str">
        <f>IF($CO104&lt;&gt;"",$CO104,HLOOKUP($CM104,$AY$6:$BA$132,ROWS(CP$6:CP104),0))</f>
        <v/>
      </c>
      <c r="CQ104" s="784">
        <v>1523637.660271375</v>
      </c>
      <c r="CR104" s="784">
        <v>3082703.8254190441</v>
      </c>
      <c r="CS104" s="524">
        <v>2037491.4903316961</v>
      </c>
      <c r="CT104" s="416">
        <v>1674939.1746166376</v>
      </c>
      <c r="CU104" s="97">
        <v>1868658.1572883388</v>
      </c>
      <c r="CV104" s="97">
        <v>2515390.7335641538</v>
      </c>
      <c r="CW104" s="97">
        <v>1645424.8969017758</v>
      </c>
      <c r="CX104" s="98">
        <v>1412107.002131884</v>
      </c>
      <c r="CY104" s="392"/>
    </row>
    <row r="105" spans="1:110" x14ac:dyDescent="0.25">
      <c r="A105" s="81" t="s">
        <v>196</v>
      </c>
      <c r="B105" s="82" t="s">
        <v>213</v>
      </c>
      <c r="C105" s="83" t="s">
        <v>214</v>
      </c>
      <c r="D105" s="84"/>
      <c r="E105" s="85"/>
      <c r="F105" s="85"/>
      <c r="G105" s="85"/>
      <c r="H105" s="85"/>
      <c r="I105" s="85"/>
      <c r="J105" s="85"/>
      <c r="K105" s="85"/>
      <c r="L105" s="85"/>
      <c r="M105" s="654"/>
      <c r="N105" s="1065"/>
      <c r="O105" s="560">
        <f t="shared" si="75"/>
        <v>0</v>
      </c>
      <c r="P105" s="561">
        <f t="shared" si="51"/>
        <v>0</v>
      </c>
      <c r="Q105" s="561">
        <f t="shared" si="52"/>
        <v>0</v>
      </c>
      <c r="R105" s="561">
        <f t="shared" si="53"/>
        <v>0</v>
      </c>
      <c r="S105" s="561">
        <f t="shared" si="54"/>
        <v>0</v>
      </c>
      <c r="T105" s="561">
        <f t="shared" si="55"/>
        <v>0</v>
      </c>
      <c r="U105" s="561">
        <f t="shared" si="56"/>
        <v>0</v>
      </c>
      <c r="V105" s="561">
        <f t="shared" si="57"/>
        <v>0</v>
      </c>
      <c r="W105" s="675">
        <f t="shared" si="58"/>
        <v>0</v>
      </c>
      <c r="X105" s="675">
        <f t="shared" si="59"/>
        <v>0</v>
      </c>
      <c r="Y105" s="675">
        <f t="shared" si="59"/>
        <v>0</v>
      </c>
      <c r="Z105" s="86"/>
      <c r="AA105" s="87"/>
      <c r="AB105" s="87"/>
      <c r="AC105" s="87"/>
      <c r="AD105" s="87"/>
      <c r="AE105" s="87"/>
      <c r="AF105" s="87"/>
      <c r="AG105" s="87"/>
      <c r="AH105" s="87"/>
      <c r="AI105" s="1094"/>
      <c r="AJ105" s="665"/>
      <c r="AK105" s="88">
        <f t="shared" si="86"/>
        <v>0</v>
      </c>
      <c r="AL105" s="89" t="str" cm="1">
        <f t="array" aca="1" ref="AL105" ca="1">IFERROR(IF($AM$4="N",SSUM(AF105:AH105)/3,SUM(AG105:AI105)/3),"")</f>
        <v/>
      </c>
      <c r="AM105" s="90">
        <f t="shared" si="87"/>
        <v>0</v>
      </c>
      <c r="AN105" s="91" t="str">
        <f t="shared" si="88"/>
        <v/>
      </c>
      <c r="AO105" s="92" t="str">
        <f t="shared" si="89"/>
        <v/>
      </c>
      <c r="AP105" s="92" t="str">
        <f t="shared" si="90"/>
        <v/>
      </c>
      <c r="AQ105" s="92" t="str">
        <f t="shared" si="91"/>
        <v/>
      </c>
      <c r="AR105" s="92" t="str">
        <f t="shared" si="92"/>
        <v/>
      </c>
      <c r="AS105" s="92" t="str">
        <f t="shared" si="93"/>
        <v/>
      </c>
      <c r="AT105" s="92" t="str">
        <f t="shared" si="94"/>
        <v/>
      </c>
      <c r="AU105" s="92" t="str">
        <f t="shared" si="95"/>
        <v/>
      </c>
      <c r="AV105" s="92" t="str">
        <f t="shared" si="96"/>
        <v/>
      </c>
      <c r="AW105" s="92" t="str">
        <f t="shared" si="96"/>
        <v/>
      </c>
      <c r="AX105" s="92" t="str">
        <f t="shared" si="96"/>
        <v/>
      </c>
      <c r="AY105" s="93" t="str">
        <f t="shared" si="97"/>
        <v/>
      </c>
      <c r="AZ105" s="94" t="str">
        <f t="shared" si="98"/>
        <v/>
      </c>
      <c r="BA105" s="95" t="str">
        <f t="shared" si="99"/>
        <v/>
      </c>
      <c r="BB105" s="248" t="s">
        <v>422</v>
      </c>
      <c r="BC105" s="229" t="s">
        <v>433</v>
      </c>
      <c r="BD105" s="249">
        <v>0</v>
      </c>
      <c r="BE105" s="267">
        <f t="shared" si="76"/>
        <v>0</v>
      </c>
      <c r="BF105" s="268">
        <f t="shared" si="100"/>
        <v>0</v>
      </c>
      <c r="BG105" s="268">
        <f t="shared" si="100"/>
        <v>0</v>
      </c>
      <c r="BH105" s="268">
        <f t="shared" si="100"/>
        <v>1</v>
      </c>
      <c r="BI105" s="268">
        <f t="shared" si="100"/>
        <v>2</v>
      </c>
      <c r="BJ105" s="268">
        <f t="shared" si="100"/>
        <v>3</v>
      </c>
      <c r="BK105" s="268">
        <f t="shared" si="100"/>
        <v>4</v>
      </c>
      <c r="BL105" s="269">
        <f t="shared" si="100"/>
        <v>5</v>
      </c>
      <c r="BM105" s="256">
        <f>IF($BC105=Lookup!$A$2,$BD105*ROUNDUP(BE105/10,0)+1,
IF($BC105=Lookup!$A$3,($BD105+1)^BD105,
IF($BC105=Lookup!$A$4,BE105*$BD105+1,"Error")))</f>
        <v>1</v>
      </c>
      <c r="BN105" s="229">
        <f>IF($BC105=Lookup!$A$2,$BD105*ROUNDUP(BF105/10,0)+1,
IF($BC105=Lookup!$A$3,($BD105+1)^BE105,
IF($BC105=Lookup!$A$4,BF105*$BD105+1,"Error")))</f>
        <v>1</v>
      </c>
      <c r="BO105" s="229">
        <f>IF($BC105=Lookup!$A$2,$BD105*ROUNDUP(BG105/10,0)+1,
IF($BC105=Lookup!$A$3,($BD105+1)^BF105,
IF($BC105=Lookup!$A$4,BG105*$BD105+1,"Error")))</f>
        <v>1</v>
      </c>
      <c r="BP105" s="229">
        <f>IF($BC105=Lookup!$A$2,$BD105*ROUNDUP(BH105/10,0)+1,
IF($BC105=Lookup!$A$3,($BD105+1)^BG105,
IF($BC105=Lookup!$A$4,BH105*$BD105+1,"Error")))</f>
        <v>1</v>
      </c>
      <c r="BQ105" s="229">
        <f>IF($BC105=Lookup!$A$2,$BD105*ROUNDUP(BI105/10,0)+1,
IF($BC105=Lookup!$A$3,($BD105+1)^BH105,
IF($BC105=Lookup!$A$4,BI105*$BD105+1,"Error")))</f>
        <v>1</v>
      </c>
      <c r="BR105" s="229">
        <f>IF($BC105=Lookup!$A$2,$BD105*ROUNDUP(BJ105/10,0)+1,
IF($BC105=Lookup!$A$3,($BD105+1)^BI105,
IF($BC105=Lookup!$A$4,BJ105*$BD105+1,"Error")))</f>
        <v>1</v>
      </c>
      <c r="BS105" s="229">
        <f>IF($BC105=Lookup!$A$2,$BD105*ROUNDUP(BK105/10,0)+1,
IF($BC105=Lookup!$A$3,($BD105+1)^BJ105,
IF($BC105=Lookup!$A$4,BK105*$BD105+1,"Error")))</f>
        <v>1</v>
      </c>
      <c r="BT105" s="249">
        <f>IF($BC105=Lookup!$A$2,$BD105*ROUNDUP(BL105/10,0)+1,
IF($BC105=Lookup!$A$3,($BD105+1)^BK105,
IF($BC105=Lookup!$A$4,BL105*$BD105+1,"Error")))</f>
        <v>1</v>
      </c>
      <c r="BU105" s="320">
        <v>0</v>
      </c>
      <c r="BV105" s="321">
        <v>0</v>
      </c>
      <c r="BW105" s="321">
        <v>20</v>
      </c>
      <c r="BX105" s="320">
        <v>0</v>
      </c>
      <c r="BY105" s="321">
        <v>0</v>
      </c>
      <c r="BZ105" s="321">
        <v>0</v>
      </c>
      <c r="CA105" s="321">
        <v>0</v>
      </c>
      <c r="CB105" s="277">
        <v>0</v>
      </c>
      <c r="CC105" s="382" t="s">
        <v>292</v>
      </c>
      <c r="CD105" s="383">
        <f>HLOOKUP($CC105,$AK$6:$AM$132,ROWS(CD$6:CD105),0)</f>
        <v>0</v>
      </c>
      <c r="CE105" s="234">
        <f t="shared" si="77"/>
        <v>0</v>
      </c>
      <c r="CF105" s="96">
        <f t="shared" si="77"/>
        <v>0</v>
      </c>
      <c r="CG105" s="521">
        <f t="shared" si="77"/>
        <v>20</v>
      </c>
      <c r="CH105" s="421">
        <f t="shared" si="77"/>
        <v>0</v>
      </c>
      <c r="CI105" s="96">
        <f t="shared" si="45"/>
        <v>0</v>
      </c>
      <c r="CJ105" s="96">
        <f t="shared" si="45"/>
        <v>0</v>
      </c>
      <c r="CK105" s="96">
        <f t="shared" si="45"/>
        <v>0</v>
      </c>
      <c r="CL105" s="286">
        <f t="shared" si="45"/>
        <v>0</v>
      </c>
      <c r="CM105" s="305" t="s">
        <v>293</v>
      </c>
      <c r="CN105" s="315">
        <v>0.05</v>
      </c>
      <c r="CO105" s="306"/>
      <c r="CP105" s="307" t="str">
        <f>IF($CO105&lt;&gt;"",$CO105,HLOOKUP($CM105,$AY$6:$BA$132,ROWS(CP$6:CP105),0))</f>
        <v/>
      </c>
      <c r="CQ105" s="784">
        <v>0</v>
      </c>
      <c r="CR105" s="784">
        <v>2002591.4597580743</v>
      </c>
      <c r="CS105" s="524">
        <v>907841.02502939524</v>
      </c>
      <c r="CT105" s="416">
        <v>0</v>
      </c>
      <c r="CU105" s="97">
        <v>0</v>
      </c>
      <c r="CV105" s="97">
        <v>0</v>
      </c>
      <c r="CW105" s="97">
        <v>0</v>
      </c>
      <c r="CX105" s="98">
        <v>0</v>
      </c>
      <c r="CY105" s="392"/>
    </row>
    <row r="106" spans="1:110" x14ac:dyDescent="0.25">
      <c r="A106" s="81" t="s">
        <v>196</v>
      </c>
      <c r="B106" s="82" t="s">
        <v>215</v>
      </c>
      <c r="C106" s="83" t="s">
        <v>392</v>
      </c>
      <c r="D106" s="84"/>
      <c r="E106" s="85"/>
      <c r="F106" s="85"/>
      <c r="G106" s="85"/>
      <c r="H106" s="85"/>
      <c r="I106" s="85"/>
      <c r="J106" s="85"/>
      <c r="K106" s="85"/>
      <c r="L106" s="85"/>
      <c r="M106" s="654"/>
      <c r="N106" s="1065"/>
      <c r="O106" s="560">
        <f t="shared" si="75"/>
        <v>0</v>
      </c>
      <c r="P106" s="561">
        <f t="shared" si="51"/>
        <v>0</v>
      </c>
      <c r="Q106" s="561">
        <f t="shared" si="52"/>
        <v>0</v>
      </c>
      <c r="R106" s="561">
        <f t="shared" si="53"/>
        <v>0</v>
      </c>
      <c r="S106" s="561">
        <f t="shared" si="54"/>
        <v>0</v>
      </c>
      <c r="T106" s="561">
        <f t="shared" si="55"/>
        <v>0</v>
      </c>
      <c r="U106" s="561">
        <f t="shared" si="56"/>
        <v>0</v>
      </c>
      <c r="V106" s="561">
        <f t="shared" si="57"/>
        <v>0</v>
      </c>
      <c r="W106" s="675">
        <f t="shared" si="58"/>
        <v>0</v>
      </c>
      <c r="X106" s="675">
        <f t="shared" si="59"/>
        <v>0</v>
      </c>
      <c r="Y106" s="675">
        <f t="shared" si="59"/>
        <v>0</v>
      </c>
      <c r="Z106" s="86"/>
      <c r="AA106" s="87"/>
      <c r="AB106" s="87"/>
      <c r="AC106" s="87"/>
      <c r="AD106" s="87"/>
      <c r="AE106" s="87"/>
      <c r="AF106" s="87"/>
      <c r="AG106" s="87"/>
      <c r="AH106" s="87"/>
      <c r="AI106" s="1094"/>
      <c r="AJ106" s="665"/>
      <c r="AK106" s="88">
        <f t="shared" si="86"/>
        <v>0</v>
      </c>
      <c r="AL106" s="89" t="str" cm="1">
        <f t="array" aca="1" ref="AL106" ca="1">IFERROR(IF($AM$4="N",SSUM(AF106:AH106)/3,SUM(AG106:AI106)/3),"")</f>
        <v/>
      </c>
      <c r="AM106" s="90">
        <f t="shared" si="87"/>
        <v>0</v>
      </c>
      <c r="AN106" s="91" t="str">
        <f t="shared" si="88"/>
        <v/>
      </c>
      <c r="AO106" s="92" t="str">
        <f t="shared" si="89"/>
        <v/>
      </c>
      <c r="AP106" s="92" t="str">
        <f t="shared" si="90"/>
        <v/>
      </c>
      <c r="AQ106" s="92" t="str">
        <f t="shared" si="91"/>
        <v/>
      </c>
      <c r="AR106" s="92" t="str">
        <f t="shared" si="92"/>
        <v/>
      </c>
      <c r="AS106" s="92" t="str">
        <f t="shared" si="93"/>
        <v/>
      </c>
      <c r="AT106" s="92" t="str">
        <f t="shared" si="94"/>
        <v/>
      </c>
      <c r="AU106" s="92" t="str">
        <f t="shared" si="95"/>
        <v/>
      </c>
      <c r="AV106" s="92" t="str">
        <f t="shared" si="96"/>
        <v/>
      </c>
      <c r="AW106" s="92" t="str">
        <f t="shared" si="96"/>
        <v/>
      </c>
      <c r="AX106" s="92" t="str">
        <f t="shared" si="96"/>
        <v/>
      </c>
      <c r="AY106" s="93" t="str">
        <f t="shared" si="97"/>
        <v/>
      </c>
      <c r="AZ106" s="94" t="str">
        <f t="shared" si="98"/>
        <v/>
      </c>
      <c r="BA106" s="95" t="str">
        <f t="shared" si="99"/>
        <v/>
      </c>
      <c r="BB106" s="248" t="s">
        <v>422</v>
      </c>
      <c r="BC106" s="229" t="s">
        <v>433</v>
      </c>
      <c r="BD106" s="249">
        <v>0</v>
      </c>
      <c r="BE106" s="267">
        <f t="shared" si="76"/>
        <v>0</v>
      </c>
      <c r="BF106" s="268">
        <f t="shared" si="100"/>
        <v>0</v>
      </c>
      <c r="BG106" s="268">
        <f t="shared" si="100"/>
        <v>0</v>
      </c>
      <c r="BH106" s="268">
        <f t="shared" si="100"/>
        <v>1</v>
      </c>
      <c r="BI106" s="268">
        <f t="shared" si="100"/>
        <v>2</v>
      </c>
      <c r="BJ106" s="268">
        <f t="shared" si="100"/>
        <v>3</v>
      </c>
      <c r="BK106" s="268">
        <f t="shared" si="100"/>
        <v>4</v>
      </c>
      <c r="BL106" s="269">
        <f t="shared" si="100"/>
        <v>5</v>
      </c>
      <c r="BM106" s="256">
        <f>IF($BC106=Lookup!$A$2,$BD106*ROUNDUP(BE106/10,0)+1,
IF($BC106=Lookup!$A$3,($BD106+1)^BD106,
IF($BC106=Lookup!$A$4,BE106*$BD106+1,"Error")))</f>
        <v>1</v>
      </c>
      <c r="BN106" s="229">
        <f>IF($BC106=Lookup!$A$2,$BD106*ROUNDUP(BF106/10,0)+1,
IF($BC106=Lookup!$A$3,($BD106+1)^BE106,
IF($BC106=Lookup!$A$4,BF106*$BD106+1,"Error")))</f>
        <v>1</v>
      </c>
      <c r="BO106" s="229">
        <f>IF($BC106=Lookup!$A$2,$BD106*ROUNDUP(BG106/10,0)+1,
IF($BC106=Lookup!$A$3,($BD106+1)^BF106,
IF($BC106=Lookup!$A$4,BG106*$BD106+1,"Error")))</f>
        <v>1</v>
      </c>
      <c r="BP106" s="229">
        <f>IF($BC106=Lookup!$A$2,$BD106*ROUNDUP(BH106/10,0)+1,
IF($BC106=Lookup!$A$3,($BD106+1)^BG106,
IF($BC106=Lookup!$A$4,BH106*$BD106+1,"Error")))</f>
        <v>1</v>
      </c>
      <c r="BQ106" s="229">
        <f>IF($BC106=Lookup!$A$2,$BD106*ROUNDUP(BI106/10,0)+1,
IF($BC106=Lookup!$A$3,($BD106+1)^BH106,
IF($BC106=Lookup!$A$4,BI106*$BD106+1,"Error")))</f>
        <v>1</v>
      </c>
      <c r="BR106" s="229">
        <f>IF($BC106=Lookup!$A$2,$BD106*ROUNDUP(BJ106/10,0)+1,
IF($BC106=Lookup!$A$3,($BD106+1)^BI106,
IF($BC106=Lookup!$A$4,BJ106*$BD106+1,"Error")))</f>
        <v>1</v>
      </c>
      <c r="BS106" s="229">
        <f>IF($BC106=Lookup!$A$2,$BD106*ROUNDUP(BK106/10,0)+1,
IF($BC106=Lookup!$A$3,($BD106+1)^BJ106,
IF($BC106=Lookup!$A$4,BK106*$BD106+1,"Error")))</f>
        <v>1</v>
      </c>
      <c r="BT106" s="249">
        <f>IF($BC106=Lookup!$A$2,$BD106*ROUNDUP(BL106/10,0)+1,
IF($BC106=Lookup!$A$3,($BD106+1)^BK106,
IF($BC106=Lookup!$A$4,BL106*$BD106+1,"Error")))</f>
        <v>1</v>
      </c>
      <c r="BU106" s="320">
        <v>0</v>
      </c>
      <c r="BV106" s="321">
        <v>1</v>
      </c>
      <c r="BW106" s="321">
        <v>2</v>
      </c>
      <c r="BX106" s="320">
        <v>1</v>
      </c>
      <c r="BY106" s="321">
        <v>0</v>
      </c>
      <c r="BZ106" s="321">
        <v>3</v>
      </c>
      <c r="CA106" s="321">
        <v>0</v>
      </c>
      <c r="CB106" s="277">
        <v>0</v>
      </c>
      <c r="CC106" s="382" t="s">
        <v>292</v>
      </c>
      <c r="CD106" s="383">
        <f>HLOOKUP($CC106,$AK$6:$AM$132,ROWS(CD$6:CD106),0)</f>
        <v>0</v>
      </c>
      <c r="CE106" s="234">
        <f t="shared" si="77"/>
        <v>0</v>
      </c>
      <c r="CF106" s="96">
        <f t="shared" si="77"/>
        <v>1</v>
      </c>
      <c r="CG106" s="521">
        <f t="shared" si="77"/>
        <v>2</v>
      </c>
      <c r="CH106" s="421">
        <f t="shared" si="77"/>
        <v>1</v>
      </c>
      <c r="CI106" s="96">
        <f t="shared" si="45"/>
        <v>0</v>
      </c>
      <c r="CJ106" s="96">
        <f t="shared" si="45"/>
        <v>3</v>
      </c>
      <c r="CK106" s="96">
        <f t="shared" si="45"/>
        <v>0</v>
      </c>
      <c r="CL106" s="286">
        <f t="shared" ref="CL106:CL132" si="101">IFERROR(IF(CB106&lt;&gt;"",CB106,BT106*$CD106),"")</f>
        <v>0</v>
      </c>
      <c r="CM106" s="305" t="s">
        <v>293</v>
      </c>
      <c r="CN106" s="315">
        <v>0.05</v>
      </c>
      <c r="CO106" s="306"/>
      <c r="CP106" s="307" t="str">
        <f>IF($CO106&lt;&gt;"",$CO106,HLOOKUP($CM106,$AY$6:$BA$132,ROWS(CP$6:CP106),0))</f>
        <v/>
      </c>
      <c r="CQ106" s="784">
        <v>197796.67800259945</v>
      </c>
      <c r="CR106" s="784">
        <v>529581.91121497157</v>
      </c>
      <c r="CS106" s="524">
        <v>279988.91406792734</v>
      </c>
      <c r="CT106" s="416">
        <v>106193.1265192834</v>
      </c>
      <c r="CU106" s="97">
        <v>95705.163304512549</v>
      </c>
      <c r="CV106" s="97">
        <v>25476.549812177749</v>
      </c>
      <c r="CW106" s="97">
        <v>0</v>
      </c>
      <c r="CX106" s="98">
        <v>0</v>
      </c>
      <c r="CY106" s="392"/>
    </row>
    <row r="107" spans="1:110" x14ac:dyDescent="0.25">
      <c r="A107" s="81" t="s">
        <v>196</v>
      </c>
      <c r="B107" s="82" t="s">
        <v>217</v>
      </c>
      <c r="C107" s="83" t="s">
        <v>218</v>
      </c>
      <c r="D107" s="84"/>
      <c r="E107" s="85"/>
      <c r="F107" s="85"/>
      <c r="G107" s="85"/>
      <c r="H107" s="85"/>
      <c r="I107" s="85"/>
      <c r="J107" s="85"/>
      <c r="K107" s="85"/>
      <c r="L107" s="85"/>
      <c r="M107" s="654"/>
      <c r="N107" s="1065"/>
      <c r="O107" s="560">
        <f t="shared" si="75"/>
        <v>0</v>
      </c>
      <c r="P107" s="561">
        <f t="shared" si="51"/>
        <v>0</v>
      </c>
      <c r="Q107" s="561">
        <f t="shared" si="52"/>
        <v>0</v>
      </c>
      <c r="R107" s="561">
        <f t="shared" si="53"/>
        <v>0</v>
      </c>
      <c r="S107" s="561">
        <f t="shared" si="54"/>
        <v>0</v>
      </c>
      <c r="T107" s="561">
        <f t="shared" si="55"/>
        <v>0</v>
      </c>
      <c r="U107" s="561">
        <f t="shared" si="56"/>
        <v>0</v>
      </c>
      <c r="V107" s="561">
        <f t="shared" si="57"/>
        <v>0</v>
      </c>
      <c r="W107" s="675">
        <f t="shared" si="58"/>
        <v>0</v>
      </c>
      <c r="X107" s="675">
        <f t="shared" si="59"/>
        <v>0</v>
      </c>
      <c r="Y107" s="675">
        <f t="shared" si="59"/>
        <v>0</v>
      </c>
      <c r="Z107" s="86"/>
      <c r="AA107" s="87"/>
      <c r="AB107" s="87"/>
      <c r="AC107" s="87"/>
      <c r="AD107" s="87"/>
      <c r="AE107" s="87"/>
      <c r="AF107" s="87"/>
      <c r="AG107" s="87"/>
      <c r="AH107" s="87"/>
      <c r="AI107" s="1094"/>
      <c r="AJ107" s="665"/>
      <c r="AK107" s="88">
        <f t="shared" si="86"/>
        <v>0</v>
      </c>
      <c r="AL107" s="89" t="str" cm="1">
        <f t="array" aca="1" ref="AL107" ca="1">IFERROR(IF($AM$4="N",SSUM(AF107:AH107)/3,SUM(AG107:AI107)/3),"")</f>
        <v/>
      </c>
      <c r="AM107" s="90">
        <f t="shared" si="87"/>
        <v>0</v>
      </c>
      <c r="AN107" s="91" t="str">
        <f t="shared" si="88"/>
        <v/>
      </c>
      <c r="AO107" s="92" t="str">
        <f t="shared" si="89"/>
        <v/>
      </c>
      <c r="AP107" s="92" t="str">
        <f t="shared" si="90"/>
        <v/>
      </c>
      <c r="AQ107" s="92" t="str">
        <f t="shared" si="91"/>
        <v/>
      </c>
      <c r="AR107" s="92" t="str">
        <f t="shared" si="92"/>
        <v/>
      </c>
      <c r="AS107" s="92" t="str">
        <f t="shared" si="93"/>
        <v/>
      </c>
      <c r="AT107" s="92" t="str">
        <f t="shared" si="94"/>
        <v/>
      </c>
      <c r="AU107" s="92" t="str">
        <f t="shared" si="95"/>
        <v/>
      </c>
      <c r="AV107" s="92" t="str">
        <f t="shared" si="96"/>
        <v/>
      </c>
      <c r="AW107" s="92" t="str">
        <f t="shared" si="96"/>
        <v/>
      </c>
      <c r="AX107" s="92" t="str">
        <f t="shared" si="96"/>
        <v/>
      </c>
      <c r="AY107" s="93" t="str">
        <f t="shared" si="97"/>
        <v/>
      </c>
      <c r="AZ107" s="94" t="str">
        <f t="shared" si="98"/>
        <v/>
      </c>
      <c r="BA107" s="95" t="str">
        <f t="shared" si="99"/>
        <v/>
      </c>
      <c r="BB107" s="248" t="s">
        <v>422</v>
      </c>
      <c r="BC107" s="229" t="s">
        <v>433</v>
      </c>
      <c r="BD107" s="249">
        <v>0</v>
      </c>
      <c r="BE107" s="267">
        <f t="shared" si="76"/>
        <v>0</v>
      </c>
      <c r="BF107" s="268">
        <f t="shared" si="100"/>
        <v>0</v>
      </c>
      <c r="BG107" s="268">
        <f t="shared" si="100"/>
        <v>0</v>
      </c>
      <c r="BH107" s="268">
        <f t="shared" si="100"/>
        <v>1</v>
      </c>
      <c r="BI107" s="268">
        <f t="shared" si="100"/>
        <v>2</v>
      </c>
      <c r="BJ107" s="268">
        <f t="shared" si="100"/>
        <v>3</v>
      </c>
      <c r="BK107" s="268">
        <f t="shared" si="100"/>
        <v>4</v>
      </c>
      <c r="BL107" s="269">
        <f t="shared" si="100"/>
        <v>5</v>
      </c>
      <c r="BM107" s="256">
        <f>IF($BC107=Lookup!$A$2,$BD107*ROUNDUP(BE107/10,0)+1,
IF($BC107=Lookup!$A$3,($BD107+1)^BD107,
IF($BC107=Lookup!$A$4,BE107*$BD107+1,"Error")))</f>
        <v>1</v>
      </c>
      <c r="BN107" s="229">
        <f>IF($BC107=Lookup!$A$2,$BD107*ROUNDUP(BF107/10,0)+1,
IF($BC107=Lookup!$A$3,($BD107+1)^BE107,
IF($BC107=Lookup!$A$4,BF107*$BD107+1,"Error")))</f>
        <v>1</v>
      </c>
      <c r="BO107" s="229">
        <f>IF($BC107=Lookup!$A$2,$BD107*ROUNDUP(BG107/10,0)+1,
IF($BC107=Lookup!$A$3,($BD107+1)^BF107,
IF($BC107=Lookup!$A$4,BG107*$BD107+1,"Error")))</f>
        <v>1</v>
      </c>
      <c r="BP107" s="229">
        <f>IF($BC107=Lookup!$A$2,$BD107*ROUNDUP(BH107/10,0)+1,
IF($BC107=Lookup!$A$3,($BD107+1)^BG107,
IF($BC107=Lookup!$A$4,BH107*$BD107+1,"Error")))</f>
        <v>1</v>
      </c>
      <c r="BQ107" s="229">
        <f>IF($BC107=Lookup!$A$2,$BD107*ROUNDUP(BI107/10,0)+1,
IF($BC107=Lookup!$A$3,($BD107+1)^BH107,
IF($BC107=Lookup!$A$4,BI107*$BD107+1,"Error")))</f>
        <v>1</v>
      </c>
      <c r="BR107" s="229">
        <f>IF($BC107=Lookup!$A$2,$BD107*ROUNDUP(BJ107/10,0)+1,
IF($BC107=Lookup!$A$3,($BD107+1)^BI107,
IF($BC107=Lookup!$A$4,BJ107*$BD107+1,"Error")))</f>
        <v>1</v>
      </c>
      <c r="BS107" s="229">
        <f>IF($BC107=Lookup!$A$2,$BD107*ROUNDUP(BK107/10,0)+1,
IF($BC107=Lookup!$A$3,($BD107+1)^BJ107,
IF($BC107=Lookup!$A$4,BK107*$BD107+1,"Error")))</f>
        <v>1</v>
      </c>
      <c r="BT107" s="249">
        <f>IF($BC107=Lookup!$A$2,$BD107*ROUNDUP(BL107/10,0)+1,
IF($BC107=Lookup!$A$3,($BD107+1)^BK107,
IF($BC107=Lookup!$A$4,BL107*$BD107+1,"Error")))</f>
        <v>1</v>
      </c>
      <c r="BU107" s="320">
        <v>0</v>
      </c>
      <c r="BV107" s="321">
        <v>0</v>
      </c>
      <c r="BW107" s="321">
        <v>0</v>
      </c>
      <c r="BX107" s="320">
        <v>0</v>
      </c>
      <c r="BY107" s="321">
        <v>0</v>
      </c>
      <c r="BZ107" s="321">
        <v>0</v>
      </c>
      <c r="CA107" s="321">
        <v>0</v>
      </c>
      <c r="CB107" s="277">
        <v>0</v>
      </c>
      <c r="CC107" s="382" t="s">
        <v>292</v>
      </c>
      <c r="CD107" s="383">
        <f>HLOOKUP($CC107,$AK$6:$AM$132,ROWS(CD$6:CD107),0)</f>
        <v>0</v>
      </c>
      <c r="CE107" s="234">
        <f t="shared" si="77"/>
        <v>0</v>
      </c>
      <c r="CF107" s="96">
        <f t="shared" si="77"/>
        <v>0</v>
      </c>
      <c r="CG107" s="521">
        <f t="shared" si="77"/>
        <v>0</v>
      </c>
      <c r="CH107" s="421">
        <f t="shared" si="77"/>
        <v>0</v>
      </c>
      <c r="CI107" s="96">
        <f t="shared" si="77"/>
        <v>0</v>
      </c>
      <c r="CJ107" s="96">
        <f t="shared" si="77"/>
        <v>0</v>
      </c>
      <c r="CK107" s="96">
        <f t="shared" si="77"/>
        <v>0</v>
      </c>
      <c r="CL107" s="286">
        <f t="shared" si="101"/>
        <v>0</v>
      </c>
      <c r="CM107" s="305" t="s">
        <v>293</v>
      </c>
      <c r="CN107" s="315">
        <v>0.05</v>
      </c>
      <c r="CO107" s="306"/>
      <c r="CP107" s="307" t="str">
        <f>IF($CO107&lt;&gt;"",$CO107,HLOOKUP($CM107,$AY$6:$BA$132,ROWS(CP$6:CP107),0))</f>
        <v/>
      </c>
      <c r="CQ107" s="784">
        <v>0</v>
      </c>
      <c r="CR107" s="784">
        <v>0</v>
      </c>
      <c r="CS107" s="524">
        <v>0</v>
      </c>
      <c r="CT107" s="416">
        <v>0</v>
      </c>
      <c r="CU107" s="97">
        <v>0</v>
      </c>
      <c r="CV107" s="97">
        <v>0</v>
      </c>
      <c r="CW107" s="97">
        <v>0</v>
      </c>
      <c r="CX107" s="98">
        <v>0</v>
      </c>
      <c r="CY107" s="392"/>
    </row>
    <row r="108" spans="1:110" x14ac:dyDescent="0.25">
      <c r="A108" s="81" t="s">
        <v>196</v>
      </c>
      <c r="B108" s="82" t="s">
        <v>219</v>
      </c>
      <c r="C108" s="83" t="s">
        <v>220</v>
      </c>
      <c r="D108" s="84"/>
      <c r="E108" s="85"/>
      <c r="F108" s="85"/>
      <c r="G108" s="85"/>
      <c r="H108" s="85"/>
      <c r="I108" s="85"/>
      <c r="J108" s="85"/>
      <c r="K108" s="85"/>
      <c r="L108" s="85"/>
      <c r="M108" s="654"/>
      <c r="N108" s="1065"/>
      <c r="O108" s="560">
        <f t="shared" si="75"/>
        <v>0</v>
      </c>
      <c r="P108" s="561">
        <f t="shared" si="51"/>
        <v>0</v>
      </c>
      <c r="Q108" s="561">
        <f t="shared" si="52"/>
        <v>0</v>
      </c>
      <c r="R108" s="561">
        <f t="shared" si="53"/>
        <v>0</v>
      </c>
      <c r="S108" s="561">
        <f t="shared" si="54"/>
        <v>0</v>
      </c>
      <c r="T108" s="561">
        <f t="shared" si="55"/>
        <v>0</v>
      </c>
      <c r="U108" s="561">
        <f t="shared" si="56"/>
        <v>0</v>
      </c>
      <c r="V108" s="561">
        <f t="shared" si="57"/>
        <v>0</v>
      </c>
      <c r="W108" s="675">
        <f t="shared" si="58"/>
        <v>0</v>
      </c>
      <c r="X108" s="675">
        <f t="shared" si="59"/>
        <v>0</v>
      </c>
      <c r="Y108" s="675">
        <f t="shared" si="59"/>
        <v>0</v>
      </c>
      <c r="Z108" s="86"/>
      <c r="AA108" s="87"/>
      <c r="AB108" s="87"/>
      <c r="AC108" s="87"/>
      <c r="AD108" s="87"/>
      <c r="AE108" s="87"/>
      <c r="AF108" s="87"/>
      <c r="AG108" s="87"/>
      <c r="AH108" s="87"/>
      <c r="AI108" s="1094"/>
      <c r="AJ108" s="665"/>
      <c r="AK108" s="88">
        <f t="shared" si="86"/>
        <v>0</v>
      </c>
      <c r="AL108" s="89" t="str" cm="1">
        <f t="array" aca="1" ref="AL108" ca="1">IFERROR(IF($AM$4="N",SSUM(AF108:AH108)/3,SUM(AG108:AI108)/3),"")</f>
        <v/>
      </c>
      <c r="AM108" s="90">
        <f t="shared" si="87"/>
        <v>0</v>
      </c>
      <c r="AN108" s="91" t="str">
        <f t="shared" si="88"/>
        <v/>
      </c>
      <c r="AO108" s="92" t="str">
        <f t="shared" si="89"/>
        <v/>
      </c>
      <c r="AP108" s="92" t="str">
        <f t="shared" si="90"/>
        <v/>
      </c>
      <c r="AQ108" s="92" t="str">
        <f t="shared" si="91"/>
        <v/>
      </c>
      <c r="AR108" s="92" t="str">
        <f t="shared" si="92"/>
        <v/>
      </c>
      <c r="AS108" s="92" t="str">
        <f t="shared" si="93"/>
        <v/>
      </c>
      <c r="AT108" s="92" t="str">
        <f t="shared" si="94"/>
        <v/>
      </c>
      <c r="AU108" s="92" t="str">
        <f t="shared" si="95"/>
        <v/>
      </c>
      <c r="AV108" s="92" t="str">
        <f t="shared" si="96"/>
        <v/>
      </c>
      <c r="AW108" s="92" t="str">
        <f t="shared" si="96"/>
        <v/>
      </c>
      <c r="AX108" s="92" t="str">
        <f t="shared" si="96"/>
        <v/>
      </c>
      <c r="AY108" s="93" t="str">
        <f t="shared" si="97"/>
        <v/>
      </c>
      <c r="AZ108" s="94" t="str">
        <f t="shared" si="98"/>
        <v/>
      </c>
      <c r="BA108" s="95" t="str">
        <f t="shared" si="99"/>
        <v/>
      </c>
      <c r="BB108" s="248" t="s">
        <v>422</v>
      </c>
      <c r="BC108" s="229" t="s">
        <v>433</v>
      </c>
      <c r="BD108" s="249">
        <v>0</v>
      </c>
      <c r="BE108" s="267">
        <f t="shared" si="76"/>
        <v>0</v>
      </c>
      <c r="BF108" s="268">
        <f t="shared" si="100"/>
        <v>0</v>
      </c>
      <c r="BG108" s="268">
        <f t="shared" si="100"/>
        <v>0</v>
      </c>
      <c r="BH108" s="268">
        <f t="shared" si="100"/>
        <v>1</v>
      </c>
      <c r="BI108" s="268">
        <f t="shared" si="100"/>
        <v>2</v>
      </c>
      <c r="BJ108" s="268">
        <f t="shared" si="100"/>
        <v>3</v>
      </c>
      <c r="BK108" s="268">
        <f t="shared" si="100"/>
        <v>4</v>
      </c>
      <c r="BL108" s="269">
        <f t="shared" si="100"/>
        <v>5</v>
      </c>
      <c r="BM108" s="256">
        <f>IF($BC108=Lookup!$A$2,$BD108*ROUNDUP(BE108/10,0)+1,
IF($BC108=Lookup!$A$3,($BD108+1)^BD108,
IF($BC108=Lookup!$A$4,BE108*$BD108+1,"Error")))</f>
        <v>1</v>
      </c>
      <c r="BN108" s="229">
        <f>IF($BC108=Lookup!$A$2,$BD108*ROUNDUP(BF108/10,0)+1,
IF($BC108=Lookup!$A$3,($BD108+1)^BE108,
IF($BC108=Lookup!$A$4,BF108*$BD108+1,"Error")))</f>
        <v>1</v>
      </c>
      <c r="BO108" s="229">
        <f>IF($BC108=Lookup!$A$2,$BD108*ROUNDUP(BG108/10,0)+1,
IF($BC108=Lookup!$A$3,($BD108+1)^BF108,
IF($BC108=Lookup!$A$4,BG108*$BD108+1,"Error")))</f>
        <v>1</v>
      </c>
      <c r="BP108" s="229">
        <f>IF($BC108=Lookup!$A$2,$BD108*ROUNDUP(BH108/10,0)+1,
IF($BC108=Lookup!$A$3,($BD108+1)^BG108,
IF($BC108=Lookup!$A$4,BH108*$BD108+1,"Error")))</f>
        <v>1</v>
      </c>
      <c r="BQ108" s="229">
        <f>IF($BC108=Lookup!$A$2,$BD108*ROUNDUP(BI108/10,0)+1,
IF($BC108=Lookup!$A$3,($BD108+1)^BH108,
IF($BC108=Lookup!$A$4,BI108*$BD108+1,"Error")))</f>
        <v>1</v>
      </c>
      <c r="BR108" s="229">
        <f>IF($BC108=Lookup!$A$2,$BD108*ROUNDUP(BJ108/10,0)+1,
IF($BC108=Lookup!$A$3,($BD108+1)^BI108,
IF($BC108=Lookup!$A$4,BJ108*$BD108+1,"Error")))</f>
        <v>1</v>
      </c>
      <c r="BS108" s="229">
        <f>IF($BC108=Lookup!$A$2,$BD108*ROUNDUP(BK108/10,0)+1,
IF($BC108=Lookup!$A$3,($BD108+1)^BJ108,
IF($BC108=Lookup!$A$4,BK108*$BD108+1,"Error")))</f>
        <v>1</v>
      </c>
      <c r="BT108" s="249">
        <f>IF($BC108=Lookup!$A$2,$BD108*ROUNDUP(BL108/10,0)+1,
IF($BC108=Lookup!$A$3,($BD108+1)^BK108,
IF($BC108=Lookup!$A$4,BL108*$BD108+1,"Error")))</f>
        <v>1</v>
      </c>
      <c r="BU108" s="320">
        <v>0</v>
      </c>
      <c r="BV108" s="321">
        <v>0</v>
      </c>
      <c r="BW108" s="321">
        <v>0</v>
      </c>
      <c r="BX108" s="320">
        <v>0</v>
      </c>
      <c r="BY108" s="321">
        <v>0</v>
      </c>
      <c r="BZ108" s="321">
        <v>0</v>
      </c>
      <c r="CA108" s="321">
        <v>0</v>
      </c>
      <c r="CB108" s="277">
        <v>0</v>
      </c>
      <c r="CC108" s="382" t="s">
        <v>292</v>
      </c>
      <c r="CD108" s="383">
        <f>HLOOKUP($CC108,$AK$6:$AM$132,ROWS(CD$6:CD108),0)</f>
        <v>0</v>
      </c>
      <c r="CE108" s="234">
        <f t="shared" si="77"/>
        <v>0</v>
      </c>
      <c r="CF108" s="96">
        <f t="shared" si="77"/>
        <v>0</v>
      </c>
      <c r="CG108" s="521">
        <f t="shared" si="77"/>
        <v>0</v>
      </c>
      <c r="CH108" s="421">
        <f t="shared" si="77"/>
        <v>0</v>
      </c>
      <c r="CI108" s="96">
        <f t="shared" si="77"/>
        <v>0</v>
      </c>
      <c r="CJ108" s="96">
        <f t="shared" si="77"/>
        <v>0</v>
      </c>
      <c r="CK108" s="96">
        <f t="shared" si="77"/>
        <v>0</v>
      </c>
      <c r="CL108" s="286">
        <f t="shared" si="101"/>
        <v>0</v>
      </c>
      <c r="CM108" s="305" t="s">
        <v>293</v>
      </c>
      <c r="CN108" s="315">
        <v>0.05</v>
      </c>
      <c r="CO108" s="306"/>
      <c r="CP108" s="307" t="str">
        <f>IF($CO108&lt;&gt;"",$CO108,HLOOKUP($CM108,$AY$6:$BA$132,ROWS(CP$6:CP108),0))</f>
        <v/>
      </c>
      <c r="CQ108" s="784">
        <v>0</v>
      </c>
      <c r="CR108" s="784">
        <v>0</v>
      </c>
      <c r="CS108" s="524">
        <v>0</v>
      </c>
      <c r="CT108" s="416">
        <v>0</v>
      </c>
      <c r="CU108" s="97">
        <v>0</v>
      </c>
      <c r="CV108" s="97">
        <v>0</v>
      </c>
      <c r="CW108" s="97">
        <v>0</v>
      </c>
      <c r="CX108" s="98">
        <v>0</v>
      </c>
      <c r="CY108" s="392"/>
    </row>
    <row r="109" spans="1:110" ht="15.75" thickBot="1" x14ac:dyDescent="0.3">
      <c r="A109" s="100" t="s">
        <v>196</v>
      </c>
      <c r="B109" s="101" t="s">
        <v>393</v>
      </c>
      <c r="C109" s="102" t="s">
        <v>394</v>
      </c>
      <c r="D109" s="103"/>
      <c r="E109" s="104"/>
      <c r="F109" s="104"/>
      <c r="G109" s="104"/>
      <c r="H109" s="104"/>
      <c r="I109" s="104"/>
      <c r="J109" s="104"/>
      <c r="K109" s="104"/>
      <c r="L109" s="104"/>
      <c r="M109" s="655"/>
      <c r="N109" s="1066"/>
      <c r="O109" s="563">
        <f t="shared" si="75"/>
        <v>0</v>
      </c>
      <c r="P109" s="564">
        <f t="shared" si="51"/>
        <v>0</v>
      </c>
      <c r="Q109" s="564">
        <f t="shared" si="52"/>
        <v>0</v>
      </c>
      <c r="R109" s="564">
        <f t="shared" si="53"/>
        <v>0</v>
      </c>
      <c r="S109" s="564">
        <f t="shared" si="54"/>
        <v>0</v>
      </c>
      <c r="T109" s="564">
        <f t="shared" si="55"/>
        <v>0</v>
      </c>
      <c r="U109" s="564">
        <f t="shared" si="56"/>
        <v>0</v>
      </c>
      <c r="V109" s="564">
        <f t="shared" si="57"/>
        <v>0</v>
      </c>
      <c r="W109" s="676">
        <f t="shared" si="58"/>
        <v>0</v>
      </c>
      <c r="X109" s="676">
        <f t="shared" si="59"/>
        <v>0</v>
      </c>
      <c r="Y109" s="676">
        <f t="shared" si="59"/>
        <v>0</v>
      </c>
      <c r="Z109" s="105"/>
      <c r="AA109" s="106"/>
      <c r="AB109" s="106"/>
      <c r="AC109" s="106"/>
      <c r="AD109" s="106"/>
      <c r="AE109" s="106"/>
      <c r="AF109" s="106"/>
      <c r="AG109" s="106"/>
      <c r="AH109" s="106"/>
      <c r="AI109" s="1095"/>
      <c r="AJ109" s="666"/>
      <c r="AK109" s="107">
        <f t="shared" si="86"/>
        <v>0</v>
      </c>
      <c r="AL109" s="108" t="str" cm="1">
        <f t="array" aca="1" ref="AL109" ca="1">IFERROR(IF($AM$4="N",SSUM(AF109:AH109)/3,SUM(AG109:AI109)/3),"")</f>
        <v/>
      </c>
      <c r="AM109" s="109">
        <f t="shared" si="87"/>
        <v>0</v>
      </c>
      <c r="AN109" s="110" t="str">
        <f t="shared" si="88"/>
        <v/>
      </c>
      <c r="AO109" s="111" t="str">
        <f t="shared" si="89"/>
        <v/>
      </c>
      <c r="AP109" s="111" t="str">
        <f t="shared" si="90"/>
        <v/>
      </c>
      <c r="AQ109" s="111" t="str">
        <f t="shared" si="91"/>
        <v/>
      </c>
      <c r="AR109" s="111" t="str">
        <f t="shared" si="92"/>
        <v/>
      </c>
      <c r="AS109" s="111" t="str">
        <f t="shared" si="93"/>
        <v/>
      </c>
      <c r="AT109" s="111" t="str">
        <f t="shared" si="94"/>
        <v/>
      </c>
      <c r="AU109" s="111" t="str">
        <f t="shared" si="95"/>
        <v/>
      </c>
      <c r="AV109" s="111" t="str">
        <f t="shared" si="96"/>
        <v/>
      </c>
      <c r="AW109" s="111" t="str">
        <f t="shared" si="96"/>
        <v/>
      </c>
      <c r="AX109" s="111" t="str">
        <f t="shared" si="96"/>
        <v/>
      </c>
      <c r="AY109" s="112" t="str">
        <f t="shared" si="97"/>
        <v/>
      </c>
      <c r="AZ109" s="113" t="str">
        <f t="shared" si="98"/>
        <v/>
      </c>
      <c r="BA109" s="114" t="str">
        <f t="shared" si="99"/>
        <v/>
      </c>
      <c r="BB109" s="250" t="s">
        <v>422</v>
      </c>
      <c r="BC109" s="230" t="s">
        <v>433</v>
      </c>
      <c r="BD109" s="251">
        <v>0</v>
      </c>
      <c r="BE109" s="270">
        <f t="shared" si="76"/>
        <v>0</v>
      </c>
      <c r="BF109" s="271">
        <f t="shared" si="100"/>
        <v>0</v>
      </c>
      <c r="BG109" s="271">
        <f t="shared" si="100"/>
        <v>0</v>
      </c>
      <c r="BH109" s="271">
        <f t="shared" si="100"/>
        <v>1</v>
      </c>
      <c r="BI109" s="271">
        <f t="shared" si="100"/>
        <v>2</v>
      </c>
      <c r="BJ109" s="271">
        <f t="shared" si="100"/>
        <v>3</v>
      </c>
      <c r="BK109" s="271">
        <f t="shared" si="100"/>
        <v>4</v>
      </c>
      <c r="BL109" s="272">
        <f t="shared" si="100"/>
        <v>5</v>
      </c>
      <c r="BM109" s="257">
        <f>IF($BC109=Lookup!$A$2,$BD109*ROUNDUP(BE109/10,0)+1,
IF($BC109=Lookup!$A$3,($BD109+1)^BD109,
IF($BC109=Lookup!$A$4,BE109*$BD109+1,"Error")))</f>
        <v>1</v>
      </c>
      <c r="BN109" s="230">
        <f>IF($BC109=Lookup!$A$2,$BD109*ROUNDUP(BF109/10,0)+1,
IF($BC109=Lookup!$A$3,($BD109+1)^BE109,
IF($BC109=Lookup!$A$4,BF109*$BD109+1,"Error")))</f>
        <v>1</v>
      </c>
      <c r="BO109" s="230">
        <f>IF($BC109=Lookup!$A$2,$BD109*ROUNDUP(BG109/10,0)+1,
IF($BC109=Lookup!$A$3,($BD109+1)^BF109,
IF($BC109=Lookup!$A$4,BG109*$BD109+1,"Error")))</f>
        <v>1</v>
      </c>
      <c r="BP109" s="230">
        <f>IF($BC109=Lookup!$A$2,$BD109*ROUNDUP(BH109/10,0)+1,
IF($BC109=Lookup!$A$3,($BD109+1)^BG109,
IF($BC109=Lookup!$A$4,BH109*$BD109+1,"Error")))</f>
        <v>1</v>
      </c>
      <c r="BQ109" s="230">
        <f>IF($BC109=Lookup!$A$2,$BD109*ROUNDUP(BI109/10,0)+1,
IF($BC109=Lookup!$A$3,($BD109+1)^BH109,
IF($BC109=Lookup!$A$4,BI109*$BD109+1,"Error")))</f>
        <v>1</v>
      </c>
      <c r="BR109" s="230">
        <f>IF($BC109=Lookup!$A$2,$BD109*ROUNDUP(BJ109/10,0)+1,
IF($BC109=Lookup!$A$3,($BD109+1)^BI109,
IF($BC109=Lookup!$A$4,BJ109*$BD109+1,"Error")))</f>
        <v>1</v>
      </c>
      <c r="BS109" s="230">
        <f>IF($BC109=Lookup!$A$2,$BD109*ROUNDUP(BK109/10,0)+1,
IF($BC109=Lookup!$A$3,($BD109+1)^BJ109,
IF($BC109=Lookup!$A$4,BK109*$BD109+1,"Error")))</f>
        <v>1</v>
      </c>
      <c r="BT109" s="251">
        <f>IF($BC109=Lookup!$A$2,$BD109*ROUNDUP(BL109/10,0)+1,
IF($BC109=Lookup!$A$3,($BD109+1)^BK109,
IF($BC109=Lookup!$A$4,BL109*$BD109+1,"Error")))</f>
        <v>1</v>
      </c>
      <c r="BU109" s="322">
        <v>0</v>
      </c>
      <c r="BV109" s="323">
        <v>0</v>
      </c>
      <c r="BW109" s="323">
        <v>0</v>
      </c>
      <c r="BX109" s="322">
        <v>0</v>
      </c>
      <c r="BY109" s="323">
        <v>0</v>
      </c>
      <c r="BZ109" s="323">
        <v>0</v>
      </c>
      <c r="CA109" s="323">
        <v>0</v>
      </c>
      <c r="CB109" s="278">
        <v>0</v>
      </c>
      <c r="CC109" s="384" t="s">
        <v>292</v>
      </c>
      <c r="CD109" s="385">
        <f>HLOOKUP($CC109,$AK$6:$AM$132,ROWS(CD$6:CD109),0)</f>
        <v>0</v>
      </c>
      <c r="CE109" s="235">
        <f t="shared" si="77"/>
        <v>0</v>
      </c>
      <c r="CF109" s="115">
        <f t="shared" si="77"/>
        <v>0</v>
      </c>
      <c r="CG109" s="522">
        <f t="shared" si="77"/>
        <v>0</v>
      </c>
      <c r="CH109" s="422">
        <f t="shared" si="77"/>
        <v>0</v>
      </c>
      <c r="CI109" s="115">
        <f t="shared" si="77"/>
        <v>0</v>
      </c>
      <c r="CJ109" s="115">
        <f t="shared" si="77"/>
        <v>0</v>
      </c>
      <c r="CK109" s="115">
        <f t="shared" si="77"/>
        <v>0</v>
      </c>
      <c r="CL109" s="287">
        <f t="shared" si="101"/>
        <v>0</v>
      </c>
      <c r="CM109" s="308" t="s">
        <v>293</v>
      </c>
      <c r="CN109" s="316">
        <v>0.05</v>
      </c>
      <c r="CO109" s="309"/>
      <c r="CP109" s="310" t="str">
        <f>IF($CO109&lt;&gt;"",$CO109,HLOOKUP($CM109,$AY$6:$BA$132,ROWS(CP$6:CP109),0))</f>
        <v/>
      </c>
      <c r="CQ109" s="785">
        <v>0</v>
      </c>
      <c r="CR109" s="785">
        <v>0</v>
      </c>
      <c r="CS109" s="638">
        <v>0</v>
      </c>
      <c r="CT109" s="467">
        <v>0</v>
      </c>
      <c r="CU109" s="117">
        <v>0</v>
      </c>
      <c r="CV109" s="117">
        <v>0</v>
      </c>
      <c r="CW109" s="117">
        <v>0</v>
      </c>
      <c r="CX109" s="118">
        <v>0</v>
      </c>
      <c r="CY109" s="393"/>
    </row>
    <row r="110" spans="1:110" x14ac:dyDescent="0.25">
      <c r="A110" s="63" t="s">
        <v>224</v>
      </c>
      <c r="B110" s="64" t="s">
        <v>221</v>
      </c>
      <c r="C110" s="65" t="s">
        <v>395</v>
      </c>
      <c r="D110" s="66"/>
      <c r="E110" s="67"/>
      <c r="F110" s="67"/>
      <c r="G110" s="67"/>
      <c r="H110" s="67"/>
      <c r="I110" s="67"/>
      <c r="J110" s="67"/>
      <c r="K110" s="67"/>
      <c r="L110" s="67"/>
      <c r="M110" s="653"/>
      <c r="N110" s="1064"/>
      <c r="O110" s="557">
        <f t="shared" si="75"/>
        <v>0</v>
      </c>
      <c r="P110" s="558">
        <f t="shared" si="51"/>
        <v>0</v>
      </c>
      <c r="Q110" s="558">
        <f t="shared" si="52"/>
        <v>0</v>
      </c>
      <c r="R110" s="558">
        <f t="shared" si="53"/>
        <v>0</v>
      </c>
      <c r="S110" s="558">
        <f t="shared" si="54"/>
        <v>0</v>
      </c>
      <c r="T110" s="558">
        <f t="shared" si="55"/>
        <v>0</v>
      </c>
      <c r="U110" s="558">
        <f t="shared" si="56"/>
        <v>0</v>
      </c>
      <c r="V110" s="558">
        <f t="shared" si="57"/>
        <v>0</v>
      </c>
      <c r="W110" s="674">
        <f t="shared" si="58"/>
        <v>0</v>
      </c>
      <c r="X110" s="674">
        <f t="shared" si="59"/>
        <v>0</v>
      </c>
      <c r="Y110" s="674">
        <f t="shared" si="59"/>
        <v>0</v>
      </c>
      <c r="Z110" s="68"/>
      <c r="AA110" s="69"/>
      <c r="AB110" s="69"/>
      <c r="AC110" s="69"/>
      <c r="AD110" s="69"/>
      <c r="AE110" s="69"/>
      <c r="AF110" s="69"/>
      <c r="AG110" s="69"/>
      <c r="AH110" s="69"/>
      <c r="AI110" s="1093"/>
      <c r="AJ110" s="664"/>
      <c r="AK110" s="70">
        <f t="shared" si="86"/>
        <v>0</v>
      </c>
      <c r="AL110" s="71" t="str" cm="1">
        <f t="array" aca="1" ref="AL110" ca="1">IFERROR(IF($AM$4="N",SSUM(AF110:AH110)/3,SUM(AG110:AI110)/3),"")</f>
        <v/>
      </c>
      <c r="AM110" s="72">
        <f t="shared" si="87"/>
        <v>0</v>
      </c>
      <c r="AN110" s="73" t="str">
        <f t="shared" si="88"/>
        <v/>
      </c>
      <c r="AO110" s="74" t="str">
        <f t="shared" si="89"/>
        <v/>
      </c>
      <c r="AP110" s="74" t="str">
        <f t="shared" si="90"/>
        <v/>
      </c>
      <c r="AQ110" s="74" t="str">
        <f t="shared" si="91"/>
        <v/>
      </c>
      <c r="AR110" s="74" t="str">
        <f t="shared" si="92"/>
        <v/>
      </c>
      <c r="AS110" s="74" t="str">
        <f t="shared" si="93"/>
        <v/>
      </c>
      <c r="AT110" s="74" t="str">
        <f t="shared" si="94"/>
        <v/>
      </c>
      <c r="AU110" s="74" t="str">
        <f t="shared" si="95"/>
        <v/>
      </c>
      <c r="AV110" s="74" t="str">
        <f t="shared" si="96"/>
        <v/>
      </c>
      <c r="AW110" s="74" t="str">
        <f t="shared" si="96"/>
        <v/>
      </c>
      <c r="AX110" s="74" t="str">
        <f t="shared" si="96"/>
        <v/>
      </c>
      <c r="AY110" s="75" t="str">
        <f t="shared" si="97"/>
        <v/>
      </c>
      <c r="AZ110" s="76" t="str">
        <f t="shared" si="98"/>
        <v/>
      </c>
      <c r="BA110" s="77" t="str">
        <f t="shared" si="99"/>
        <v/>
      </c>
      <c r="BB110" s="246" t="s">
        <v>422</v>
      </c>
      <c r="BC110" s="228" t="s">
        <v>433</v>
      </c>
      <c r="BD110" s="247">
        <v>0</v>
      </c>
      <c r="BE110" s="264">
        <f t="shared" si="76"/>
        <v>0</v>
      </c>
      <c r="BF110" s="265">
        <f t="shared" si="100"/>
        <v>0</v>
      </c>
      <c r="BG110" s="265">
        <f t="shared" si="100"/>
        <v>0</v>
      </c>
      <c r="BH110" s="265">
        <f t="shared" si="100"/>
        <v>1</v>
      </c>
      <c r="BI110" s="265">
        <f t="shared" si="100"/>
        <v>2</v>
      </c>
      <c r="BJ110" s="265">
        <f t="shared" si="100"/>
        <v>3</v>
      </c>
      <c r="BK110" s="265">
        <f t="shared" si="100"/>
        <v>4</v>
      </c>
      <c r="BL110" s="266">
        <f t="shared" si="100"/>
        <v>5</v>
      </c>
      <c r="BM110" s="255">
        <f>IF($BC110=Lookup!$A$2,$BD110*ROUNDUP(BE110/10,0)+1,
IF($BC110=Lookup!$A$3,($BD110+1)^BD110,
IF($BC110=Lookup!$A$4,BE110*$BD110+1,"Error")))</f>
        <v>1</v>
      </c>
      <c r="BN110" s="228">
        <f>IF($BC110=Lookup!$A$2,$BD110*ROUNDUP(BF110/10,0)+1,
IF($BC110=Lookup!$A$3,($BD110+1)^BE110,
IF($BC110=Lookup!$A$4,BF110*$BD110+1,"Error")))</f>
        <v>1</v>
      </c>
      <c r="BO110" s="228">
        <f>IF($BC110=Lookup!$A$2,$BD110*ROUNDUP(BG110/10,0)+1,
IF($BC110=Lookup!$A$3,($BD110+1)^BF110,
IF($BC110=Lookup!$A$4,BG110*$BD110+1,"Error")))</f>
        <v>1</v>
      </c>
      <c r="BP110" s="228">
        <f>IF($BC110=Lookup!$A$2,$BD110*ROUNDUP(BH110/10,0)+1,
IF($BC110=Lookup!$A$3,($BD110+1)^BG110,
IF($BC110=Lookup!$A$4,BH110*$BD110+1,"Error")))</f>
        <v>1</v>
      </c>
      <c r="BQ110" s="228">
        <f>IF($BC110=Lookup!$A$2,$BD110*ROUNDUP(BI110/10,0)+1,
IF($BC110=Lookup!$A$3,($BD110+1)^BH110,
IF($BC110=Lookup!$A$4,BI110*$BD110+1,"Error")))</f>
        <v>1</v>
      </c>
      <c r="BR110" s="228">
        <f>IF($BC110=Lookup!$A$2,$BD110*ROUNDUP(BJ110/10,0)+1,
IF($BC110=Lookup!$A$3,($BD110+1)^BI110,
IF($BC110=Lookup!$A$4,BJ110*$BD110+1,"Error")))</f>
        <v>1</v>
      </c>
      <c r="BS110" s="228">
        <f>IF($BC110=Lookup!$A$2,$BD110*ROUNDUP(BK110/10,0)+1,
IF($BC110=Lookup!$A$3,($BD110+1)^BJ110,
IF($BC110=Lookup!$A$4,BK110*$BD110+1,"Error")))</f>
        <v>1</v>
      </c>
      <c r="BT110" s="247">
        <f>IF($BC110=Lookup!$A$2,$BD110*ROUNDUP(BL110/10,0)+1,
IF($BC110=Lookup!$A$3,($BD110+1)^BK110,
IF($BC110=Lookup!$A$4,BL110*$BD110+1,"Error")))</f>
        <v>1</v>
      </c>
      <c r="BU110" s="318">
        <v>0</v>
      </c>
      <c r="BV110" s="319">
        <v>0</v>
      </c>
      <c r="BW110" s="319">
        <v>0</v>
      </c>
      <c r="BX110" s="318">
        <v>0</v>
      </c>
      <c r="BY110" s="319">
        <v>0</v>
      </c>
      <c r="BZ110" s="319">
        <v>0</v>
      </c>
      <c r="CA110" s="319">
        <v>0</v>
      </c>
      <c r="CB110" s="276">
        <v>0</v>
      </c>
      <c r="CC110" s="380" t="s">
        <v>292</v>
      </c>
      <c r="CD110" s="381">
        <f>HLOOKUP($CC110,$AK$6:$AM$132,ROWS(CD$6:CD110),0)</f>
        <v>0</v>
      </c>
      <c r="CE110" s="233">
        <f t="shared" si="77"/>
        <v>0</v>
      </c>
      <c r="CF110" s="78">
        <f t="shared" si="77"/>
        <v>0</v>
      </c>
      <c r="CG110" s="797">
        <f t="shared" si="77"/>
        <v>0</v>
      </c>
      <c r="CH110" s="806">
        <f t="shared" si="77"/>
        <v>0</v>
      </c>
      <c r="CI110" s="78">
        <f t="shared" si="77"/>
        <v>0</v>
      </c>
      <c r="CJ110" s="78">
        <f t="shared" si="77"/>
        <v>0</v>
      </c>
      <c r="CK110" s="78">
        <f t="shared" si="77"/>
        <v>0</v>
      </c>
      <c r="CL110" s="285">
        <f t="shared" si="101"/>
        <v>0</v>
      </c>
      <c r="CM110" s="302" t="s">
        <v>293</v>
      </c>
      <c r="CN110" s="314">
        <v>0.05</v>
      </c>
      <c r="CO110" s="303"/>
      <c r="CP110" s="304" t="str">
        <f>IF($CO110&lt;&gt;"",$CO110,HLOOKUP($CM110,$AY$6:$BA$132,ROWS(CP$6:CP110),0))</f>
        <v/>
      </c>
      <c r="CQ110" s="783">
        <v>0</v>
      </c>
      <c r="CR110" s="783">
        <v>0</v>
      </c>
      <c r="CS110" s="523">
        <v>0</v>
      </c>
      <c r="CT110" s="415">
        <v>0</v>
      </c>
      <c r="CU110" s="79">
        <v>0</v>
      </c>
      <c r="CV110" s="79">
        <v>0</v>
      </c>
      <c r="CW110" s="79">
        <v>0</v>
      </c>
      <c r="CX110" s="80">
        <v>0</v>
      </c>
      <c r="CY110" s="391"/>
    </row>
    <row r="111" spans="1:110" x14ac:dyDescent="0.25">
      <c r="A111" s="81" t="s">
        <v>224</v>
      </c>
      <c r="B111" s="82" t="s">
        <v>225</v>
      </c>
      <c r="C111" s="83" t="s">
        <v>396</v>
      </c>
      <c r="D111" s="84"/>
      <c r="E111" s="85"/>
      <c r="F111" s="85"/>
      <c r="G111" s="85"/>
      <c r="H111" s="85"/>
      <c r="I111" s="85"/>
      <c r="J111" s="85"/>
      <c r="K111" s="85"/>
      <c r="L111" s="85"/>
      <c r="M111" s="654"/>
      <c r="N111" s="1065"/>
      <c r="O111" s="560">
        <f t="shared" si="75"/>
        <v>0</v>
      </c>
      <c r="P111" s="561">
        <f t="shared" si="51"/>
        <v>0</v>
      </c>
      <c r="Q111" s="561">
        <f t="shared" si="52"/>
        <v>0</v>
      </c>
      <c r="R111" s="561">
        <f t="shared" si="53"/>
        <v>0</v>
      </c>
      <c r="S111" s="561">
        <f t="shared" si="54"/>
        <v>0</v>
      </c>
      <c r="T111" s="561">
        <f t="shared" si="55"/>
        <v>0</v>
      </c>
      <c r="U111" s="561">
        <f t="shared" si="56"/>
        <v>0</v>
      </c>
      <c r="V111" s="561">
        <f t="shared" si="57"/>
        <v>0</v>
      </c>
      <c r="W111" s="675">
        <f t="shared" si="58"/>
        <v>0</v>
      </c>
      <c r="X111" s="675">
        <f t="shared" si="59"/>
        <v>0</v>
      </c>
      <c r="Y111" s="675">
        <f t="shared" si="59"/>
        <v>0</v>
      </c>
      <c r="Z111" s="86"/>
      <c r="AA111" s="87"/>
      <c r="AB111" s="87"/>
      <c r="AC111" s="87"/>
      <c r="AD111" s="87"/>
      <c r="AE111" s="87"/>
      <c r="AF111" s="87"/>
      <c r="AG111" s="87"/>
      <c r="AH111" s="87"/>
      <c r="AI111" s="1094"/>
      <c r="AJ111" s="665"/>
      <c r="AK111" s="88">
        <f t="shared" si="86"/>
        <v>0</v>
      </c>
      <c r="AL111" s="89" t="str" cm="1">
        <f t="array" aca="1" ref="AL111" ca="1">IFERROR(IF($AM$4="N",SSUM(AF111:AH111)/3,SUM(AG111:AI111)/3),"")</f>
        <v/>
      </c>
      <c r="AM111" s="90">
        <f t="shared" si="87"/>
        <v>0</v>
      </c>
      <c r="AN111" s="91" t="str">
        <f t="shared" si="88"/>
        <v/>
      </c>
      <c r="AO111" s="92" t="str">
        <f t="shared" si="89"/>
        <v/>
      </c>
      <c r="AP111" s="92" t="str">
        <f t="shared" si="90"/>
        <v/>
      </c>
      <c r="AQ111" s="92" t="str">
        <f t="shared" si="91"/>
        <v/>
      </c>
      <c r="AR111" s="92" t="str">
        <f t="shared" si="92"/>
        <v/>
      </c>
      <c r="AS111" s="92" t="str">
        <f t="shared" si="93"/>
        <v/>
      </c>
      <c r="AT111" s="92" t="str">
        <f t="shared" si="94"/>
        <v/>
      </c>
      <c r="AU111" s="92" t="str">
        <f t="shared" si="95"/>
        <v/>
      </c>
      <c r="AV111" s="92" t="str">
        <f t="shared" si="96"/>
        <v/>
      </c>
      <c r="AW111" s="92" t="str">
        <f t="shared" si="96"/>
        <v/>
      </c>
      <c r="AX111" s="92" t="str">
        <f t="shared" si="96"/>
        <v/>
      </c>
      <c r="AY111" s="93" t="str">
        <f t="shared" si="97"/>
        <v/>
      </c>
      <c r="AZ111" s="94" t="str">
        <f t="shared" si="98"/>
        <v/>
      </c>
      <c r="BA111" s="95" t="str">
        <f t="shared" si="99"/>
        <v/>
      </c>
      <c r="BB111" s="248" t="s">
        <v>422</v>
      </c>
      <c r="BC111" s="229" t="s">
        <v>433</v>
      </c>
      <c r="BD111" s="249">
        <v>0</v>
      </c>
      <c r="BE111" s="267">
        <f t="shared" si="76"/>
        <v>0</v>
      </c>
      <c r="BF111" s="268">
        <f t="shared" si="100"/>
        <v>0</v>
      </c>
      <c r="BG111" s="268">
        <f t="shared" si="100"/>
        <v>0</v>
      </c>
      <c r="BH111" s="268">
        <f t="shared" si="100"/>
        <v>1</v>
      </c>
      <c r="BI111" s="268">
        <f t="shared" si="100"/>
        <v>2</v>
      </c>
      <c r="BJ111" s="268">
        <f t="shared" si="100"/>
        <v>3</v>
      </c>
      <c r="BK111" s="268">
        <f t="shared" si="100"/>
        <v>4</v>
      </c>
      <c r="BL111" s="269">
        <f t="shared" si="100"/>
        <v>5</v>
      </c>
      <c r="BM111" s="256">
        <f>IF($BC111=Lookup!$A$2,$BD111*ROUNDUP(BE111/10,0)+1,
IF($BC111=Lookup!$A$3,($BD111+1)^BD111,
IF($BC111=Lookup!$A$4,BE111*$BD111+1,"Error")))</f>
        <v>1</v>
      </c>
      <c r="BN111" s="229">
        <f>IF($BC111=Lookup!$A$2,$BD111*ROUNDUP(BF111/10,0)+1,
IF($BC111=Lookup!$A$3,($BD111+1)^BE111,
IF($BC111=Lookup!$A$4,BF111*$BD111+1,"Error")))</f>
        <v>1</v>
      </c>
      <c r="BO111" s="229">
        <f>IF($BC111=Lookup!$A$2,$BD111*ROUNDUP(BG111/10,0)+1,
IF($BC111=Lookup!$A$3,($BD111+1)^BF111,
IF($BC111=Lookup!$A$4,BG111*$BD111+1,"Error")))</f>
        <v>1</v>
      </c>
      <c r="BP111" s="229">
        <f>IF($BC111=Lookup!$A$2,$BD111*ROUNDUP(BH111/10,0)+1,
IF($BC111=Lookup!$A$3,($BD111+1)^BG111,
IF($BC111=Lookup!$A$4,BH111*$BD111+1,"Error")))</f>
        <v>1</v>
      </c>
      <c r="BQ111" s="229">
        <f>IF($BC111=Lookup!$A$2,$BD111*ROUNDUP(BI111/10,0)+1,
IF($BC111=Lookup!$A$3,($BD111+1)^BH111,
IF($BC111=Lookup!$A$4,BI111*$BD111+1,"Error")))</f>
        <v>1</v>
      </c>
      <c r="BR111" s="229">
        <f>IF($BC111=Lookup!$A$2,$BD111*ROUNDUP(BJ111/10,0)+1,
IF($BC111=Lookup!$A$3,($BD111+1)^BI111,
IF($BC111=Lookup!$A$4,BJ111*$BD111+1,"Error")))</f>
        <v>1</v>
      </c>
      <c r="BS111" s="229">
        <f>IF($BC111=Lookup!$A$2,$BD111*ROUNDUP(BK111/10,0)+1,
IF($BC111=Lookup!$A$3,($BD111+1)^BJ111,
IF($BC111=Lookup!$A$4,BK111*$BD111+1,"Error")))</f>
        <v>1</v>
      </c>
      <c r="BT111" s="249">
        <f>IF($BC111=Lookup!$A$2,$BD111*ROUNDUP(BL111/10,0)+1,
IF($BC111=Lookup!$A$3,($BD111+1)^BK111,
IF($BC111=Lookup!$A$4,BL111*$BD111+1,"Error")))</f>
        <v>1</v>
      </c>
      <c r="BU111" s="320">
        <v>0</v>
      </c>
      <c r="BV111" s="321">
        <v>0</v>
      </c>
      <c r="BW111" s="321">
        <v>0</v>
      </c>
      <c r="BX111" s="320">
        <v>0</v>
      </c>
      <c r="BY111" s="321">
        <v>0</v>
      </c>
      <c r="BZ111" s="321">
        <v>0</v>
      </c>
      <c r="CA111" s="321">
        <v>0</v>
      </c>
      <c r="CB111" s="277">
        <v>0</v>
      </c>
      <c r="CC111" s="382" t="s">
        <v>292</v>
      </c>
      <c r="CD111" s="383">
        <f>HLOOKUP($CC111,$AK$6:$AM$132,ROWS(CD$6:CD111),0)</f>
        <v>0</v>
      </c>
      <c r="CE111" s="234">
        <f t="shared" si="77"/>
        <v>0</v>
      </c>
      <c r="CF111" s="96">
        <f t="shared" si="77"/>
        <v>0</v>
      </c>
      <c r="CG111" s="521">
        <f t="shared" si="77"/>
        <v>0</v>
      </c>
      <c r="CH111" s="421">
        <f t="shared" si="77"/>
        <v>0</v>
      </c>
      <c r="CI111" s="96">
        <f t="shared" si="77"/>
        <v>0</v>
      </c>
      <c r="CJ111" s="96">
        <f t="shared" si="77"/>
        <v>0</v>
      </c>
      <c r="CK111" s="96">
        <f t="shared" si="77"/>
        <v>0</v>
      </c>
      <c r="CL111" s="286">
        <f t="shared" si="101"/>
        <v>0</v>
      </c>
      <c r="CM111" s="305" t="s">
        <v>293</v>
      </c>
      <c r="CN111" s="315">
        <v>0.05</v>
      </c>
      <c r="CO111" s="306"/>
      <c r="CP111" s="307" t="str">
        <f>IF($CO111&lt;&gt;"",$CO111,HLOOKUP($CM111,$AY$6:$BA$132,ROWS(CP$6:CP111),0))</f>
        <v/>
      </c>
      <c r="CQ111" s="784">
        <v>0</v>
      </c>
      <c r="CR111" s="784">
        <v>0</v>
      </c>
      <c r="CS111" s="524">
        <v>0</v>
      </c>
      <c r="CT111" s="416">
        <v>0</v>
      </c>
      <c r="CU111" s="97">
        <v>0</v>
      </c>
      <c r="CV111" s="97">
        <v>0</v>
      </c>
      <c r="CW111" s="97">
        <v>0</v>
      </c>
      <c r="CX111" s="98">
        <v>0</v>
      </c>
      <c r="CY111" s="392"/>
    </row>
    <row r="112" spans="1:110" x14ac:dyDescent="0.25">
      <c r="A112" s="81" t="s">
        <v>224</v>
      </c>
      <c r="B112" s="82" t="s">
        <v>227</v>
      </c>
      <c r="C112" s="83" t="s">
        <v>228</v>
      </c>
      <c r="D112" s="84"/>
      <c r="E112" s="85"/>
      <c r="F112" s="85"/>
      <c r="G112" s="85"/>
      <c r="H112" s="85"/>
      <c r="I112" s="85"/>
      <c r="J112" s="85"/>
      <c r="K112" s="85"/>
      <c r="L112" s="85"/>
      <c r="M112" s="654"/>
      <c r="N112" s="1065"/>
      <c r="O112" s="560">
        <f t="shared" si="75"/>
        <v>0</v>
      </c>
      <c r="P112" s="561">
        <f t="shared" si="51"/>
        <v>0</v>
      </c>
      <c r="Q112" s="561">
        <f t="shared" si="52"/>
        <v>0</v>
      </c>
      <c r="R112" s="561">
        <f t="shared" si="53"/>
        <v>0</v>
      </c>
      <c r="S112" s="561">
        <f t="shared" si="54"/>
        <v>0</v>
      </c>
      <c r="T112" s="561">
        <f t="shared" si="55"/>
        <v>0</v>
      </c>
      <c r="U112" s="561">
        <f t="shared" si="56"/>
        <v>0</v>
      </c>
      <c r="V112" s="561">
        <f t="shared" si="57"/>
        <v>0</v>
      </c>
      <c r="W112" s="675">
        <f t="shared" si="58"/>
        <v>0</v>
      </c>
      <c r="X112" s="675">
        <f t="shared" si="59"/>
        <v>0</v>
      </c>
      <c r="Y112" s="675">
        <f t="shared" si="59"/>
        <v>0</v>
      </c>
      <c r="Z112" s="86"/>
      <c r="AA112" s="87"/>
      <c r="AB112" s="87"/>
      <c r="AC112" s="87"/>
      <c r="AD112" s="87"/>
      <c r="AE112" s="87"/>
      <c r="AF112" s="87"/>
      <c r="AG112" s="87"/>
      <c r="AH112" s="87"/>
      <c r="AI112" s="1094"/>
      <c r="AJ112" s="665"/>
      <c r="AK112" s="88">
        <f t="shared" si="86"/>
        <v>0</v>
      </c>
      <c r="AL112" s="89" t="str" cm="1">
        <f t="array" aca="1" ref="AL112" ca="1">IFERROR(IF($AM$4="N",SSUM(AF112:AH112)/3,SUM(AG112:AI112)/3),"")</f>
        <v/>
      </c>
      <c r="AM112" s="90">
        <f t="shared" si="87"/>
        <v>0</v>
      </c>
      <c r="AN112" s="91" t="str">
        <f t="shared" si="88"/>
        <v/>
      </c>
      <c r="AO112" s="92" t="str">
        <f t="shared" si="89"/>
        <v/>
      </c>
      <c r="AP112" s="92" t="str">
        <f t="shared" si="90"/>
        <v/>
      </c>
      <c r="AQ112" s="92" t="str">
        <f t="shared" si="91"/>
        <v/>
      </c>
      <c r="AR112" s="92" t="str">
        <f t="shared" si="92"/>
        <v/>
      </c>
      <c r="AS112" s="92" t="str">
        <f t="shared" si="93"/>
        <v/>
      </c>
      <c r="AT112" s="92" t="str">
        <f t="shared" si="94"/>
        <v/>
      </c>
      <c r="AU112" s="92" t="str">
        <f t="shared" si="95"/>
        <v/>
      </c>
      <c r="AV112" s="92" t="str">
        <f t="shared" si="96"/>
        <v/>
      </c>
      <c r="AW112" s="92" t="str">
        <f t="shared" si="96"/>
        <v/>
      </c>
      <c r="AX112" s="92" t="str">
        <f t="shared" si="96"/>
        <v/>
      </c>
      <c r="AY112" s="93" t="str">
        <f t="shared" si="97"/>
        <v/>
      </c>
      <c r="AZ112" s="94" t="str">
        <f t="shared" si="98"/>
        <v/>
      </c>
      <c r="BA112" s="95" t="str">
        <f t="shared" si="99"/>
        <v/>
      </c>
      <c r="BB112" s="248" t="s">
        <v>422</v>
      </c>
      <c r="BC112" s="229" t="s">
        <v>433</v>
      </c>
      <c r="BD112" s="249">
        <v>0</v>
      </c>
      <c r="BE112" s="267">
        <f t="shared" si="76"/>
        <v>0</v>
      </c>
      <c r="BF112" s="268">
        <f t="shared" si="100"/>
        <v>0</v>
      </c>
      <c r="BG112" s="268">
        <f t="shared" si="100"/>
        <v>0</v>
      </c>
      <c r="BH112" s="268">
        <f t="shared" si="100"/>
        <v>1</v>
      </c>
      <c r="BI112" s="268">
        <f t="shared" si="100"/>
        <v>2</v>
      </c>
      <c r="BJ112" s="268">
        <f t="shared" si="100"/>
        <v>3</v>
      </c>
      <c r="BK112" s="268">
        <f t="shared" si="100"/>
        <v>4</v>
      </c>
      <c r="BL112" s="269">
        <f t="shared" si="100"/>
        <v>5</v>
      </c>
      <c r="BM112" s="256">
        <f>IF($BC112=Lookup!$A$2,$BD112*ROUNDUP(BE112/10,0)+1,
IF($BC112=Lookup!$A$3,($BD112+1)^BD112,
IF($BC112=Lookup!$A$4,BE112*$BD112+1,"Error")))</f>
        <v>1</v>
      </c>
      <c r="BN112" s="229">
        <f>IF($BC112=Lookup!$A$2,$BD112*ROUNDUP(BF112/10,0)+1,
IF($BC112=Lookup!$A$3,($BD112+1)^BE112,
IF($BC112=Lookup!$A$4,BF112*$BD112+1,"Error")))</f>
        <v>1</v>
      </c>
      <c r="BO112" s="229">
        <f>IF($BC112=Lookup!$A$2,$BD112*ROUNDUP(BG112/10,0)+1,
IF($BC112=Lookup!$A$3,($BD112+1)^BF112,
IF($BC112=Lookup!$A$4,BG112*$BD112+1,"Error")))</f>
        <v>1</v>
      </c>
      <c r="BP112" s="229">
        <f>IF($BC112=Lookup!$A$2,$BD112*ROUNDUP(BH112/10,0)+1,
IF($BC112=Lookup!$A$3,($BD112+1)^BG112,
IF($BC112=Lookup!$A$4,BH112*$BD112+1,"Error")))</f>
        <v>1</v>
      </c>
      <c r="BQ112" s="229">
        <f>IF($BC112=Lookup!$A$2,$BD112*ROUNDUP(BI112/10,0)+1,
IF($BC112=Lookup!$A$3,($BD112+1)^BH112,
IF($BC112=Lookup!$A$4,BI112*$BD112+1,"Error")))</f>
        <v>1</v>
      </c>
      <c r="BR112" s="229">
        <f>IF($BC112=Lookup!$A$2,$BD112*ROUNDUP(BJ112/10,0)+1,
IF($BC112=Lookup!$A$3,($BD112+1)^BI112,
IF($BC112=Lookup!$A$4,BJ112*$BD112+1,"Error")))</f>
        <v>1</v>
      </c>
      <c r="BS112" s="229">
        <f>IF($BC112=Lookup!$A$2,$BD112*ROUNDUP(BK112/10,0)+1,
IF($BC112=Lookup!$A$3,($BD112+1)^BJ112,
IF($BC112=Lookup!$A$4,BK112*$BD112+1,"Error")))</f>
        <v>1</v>
      </c>
      <c r="BT112" s="249">
        <f>IF($BC112=Lookup!$A$2,$BD112*ROUNDUP(BL112/10,0)+1,
IF($BC112=Lookup!$A$3,($BD112+1)^BK112,
IF($BC112=Lookup!$A$4,BL112*$BD112+1,"Error")))</f>
        <v>1</v>
      </c>
      <c r="BU112" s="320">
        <v>0</v>
      </c>
      <c r="BV112" s="321">
        <v>0</v>
      </c>
      <c r="BW112" s="321">
        <v>0</v>
      </c>
      <c r="BX112" s="320">
        <v>0</v>
      </c>
      <c r="BY112" s="321">
        <v>0</v>
      </c>
      <c r="BZ112" s="321">
        <v>0</v>
      </c>
      <c r="CA112" s="321">
        <v>0</v>
      </c>
      <c r="CB112" s="277">
        <v>0</v>
      </c>
      <c r="CC112" s="382" t="s">
        <v>292</v>
      </c>
      <c r="CD112" s="383">
        <f>HLOOKUP($CC112,$AK$6:$AM$132,ROWS(CD$6:CD112),0)</f>
        <v>0</v>
      </c>
      <c r="CE112" s="234">
        <f t="shared" si="77"/>
        <v>0</v>
      </c>
      <c r="CF112" s="96">
        <f t="shared" si="77"/>
        <v>0</v>
      </c>
      <c r="CG112" s="521">
        <f t="shared" si="77"/>
        <v>0</v>
      </c>
      <c r="CH112" s="421">
        <f t="shared" si="77"/>
        <v>0</v>
      </c>
      <c r="CI112" s="96">
        <f t="shared" si="77"/>
        <v>0</v>
      </c>
      <c r="CJ112" s="96">
        <f t="shared" si="77"/>
        <v>0</v>
      </c>
      <c r="CK112" s="96">
        <f t="shared" si="77"/>
        <v>0</v>
      </c>
      <c r="CL112" s="286">
        <f t="shared" si="101"/>
        <v>0</v>
      </c>
      <c r="CM112" s="305" t="s">
        <v>293</v>
      </c>
      <c r="CN112" s="315">
        <v>0.05</v>
      </c>
      <c r="CO112" s="306"/>
      <c r="CP112" s="307" t="str">
        <f>IF($CO112&lt;&gt;"",$CO112,HLOOKUP($CM112,$AY$6:$BA$132,ROWS(CP$6:CP112),0))</f>
        <v/>
      </c>
      <c r="CQ112" s="784">
        <v>0</v>
      </c>
      <c r="CR112" s="784">
        <v>0</v>
      </c>
      <c r="CS112" s="524">
        <v>0</v>
      </c>
      <c r="CT112" s="416">
        <v>0</v>
      </c>
      <c r="CU112" s="97">
        <v>0</v>
      </c>
      <c r="CV112" s="97">
        <v>0</v>
      </c>
      <c r="CW112" s="97">
        <v>0</v>
      </c>
      <c r="CX112" s="98">
        <v>0</v>
      </c>
      <c r="CY112" s="392"/>
    </row>
    <row r="113" spans="1:110" x14ac:dyDescent="0.25">
      <c r="A113" s="81" t="s">
        <v>224</v>
      </c>
      <c r="B113" s="82" t="s">
        <v>229</v>
      </c>
      <c r="C113" s="83" t="s">
        <v>230</v>
      </c>
      <c r="D113" s="84"/>
      <c r="E113" s="85"/>
      <c r="F113" s="85"/>
      <c r="G113" s="85"/>
      <c r="H113" s="85"/>
      <c r="I113" s="85"/>
      <c r="J113" s="85"/>
      <c r="K113" s="85"/>
      <c r="L113" s="85"/>
      <c r="M113" s="654"/>
      <c r="N113" s="1065"/>
      <c r="O113" s="560">
        <f t="shared" si="75"/>
        <v>0</v>
      </c>
      <c r="P113" s="561">
        <f t="shared" si="51"/>
        <v>0</v>
      </c>
      <c r="Q113" s="561">
        <f t="shared" si="52"/>
        <v>0</v>
      </c>
      <c r="R113" s="561">
        <f t="shared" si="53"/>
        <v>0</v>
      </c>
      <c r="S113" s="561">
        <f t="shared" si="54"/>
        <v>0</v>
      </c>
      <c r="T113" s="561">
        <f t="shared" si="55"/>
        <v>0</v>
      </c>
      <c r="U113" s="561">
        <f t="shared" si="56"/>
        <v>0</v>
      </c>
      <c r="V113" s="561">
        <f t="shared" si="57"/>
        <v>0</v>
      </c>
      <c r="W113" s="675">
        <f t="shared" si="58"/>
        <v>0</v>
      </c>
      <c r="X113" s="675">
        <f t="shared" si="59"/>
        <v>0</v>
      </c>
      <c r="Y113" s="675">
        <f t="shared" si="59"/>
        <v>0</v>
      </c>
      <c r="Z113" s="86"/>
      <c r="AA113" s="87"/>
      <c r="AB113" s="87"/>
      <c r="AC113" s="87"/>
      <c r="AD113" s="87"/>
      <c r="AE113" s="87"/>
      <c r="AF113" s="87"/>
      <c r="AG113" s="87"/>
      <c r="AH113" s="87"/>
      <c r="AI113" s="1094"/>
      <c r="AJ113" s="665"/>
      <c r="AK113" s="88">
        <f t="shared" si="86"/>
        <v>0</v>
      </c>
      <c r="AL113" s="89" t="str" cm="1">
        <f t="array" aca="1" ref="AL113" ca="1">IFERROR(IF($AM$4="N",SSUM(AF113:AH113)/3,SUM(AG113:AI113)/3),"")</f>
        <v/>
      </c>
      <c r="AM113" s="90">
        <f t="shared" si="87"/>
        <v>0</v>
      </c>
      <c r="AN113" s="91" t="str">
        <f t="shared" si="88"/>
        <v/>
      </c>
      <c r="AO113" s="92" t="str">
        <f t="shared" si="89"/>
        <v/>
      </c>
      <c r="AP113" s="92" t="str">
        <f t="shared" si="90"/>
        <v/>
      </c>
      <c r="AQ113" s="92" t="str">
        <f t="shared" si="91"/>
        <v/>
      </c>
      <c r="AR113" s="92" t="str">
        <f t="shared" si="92"/>
        <v/>
      </c>
      <c r="AS113" s="92" t="str">
        <f t="shared" si="93"/>
        <v/>
      </c>
      <c r="AT113" s="92" t="str">
        <f t="shared" si="94"/>
        <v/>
      </c>
      <c r="AU113" s="92" t="str">
        <f t="shared" si="95"/>
        <v/>
      </c>
      <c r="AV113" s="92" t="str">
        <f t="shared" si="96"/>
        <v/>
      </c>
      <c r="AW113" s="92" t="str">
        <f t="shared" si="96"/>
        <v/>
      </c>
      <c r="AX113" s="92" t="str">
        <f t="shared" si="96"/>
        <v/>
      </c>
      <c r="AY113" s="93" t="str">
        <f t="shared" si="97"/>
        <v/>
      </c>
      <c r="AZ113" s="94" t="str">
        <f t="shared" si="98"/>
        <v/>
      </c>
      <c r="BA113" s="95" t="str">
        <f t="shared" si="99"/>
        <v/>
      </c>
      <c r="BB113" s="248" t="s">
        <v>422</v>
      </c>
      <c r="BC113" s="229" t="s">
        <v>433</v>
      </c>
      <c r="BD113" s="249">
        <v>0</v>
      </c>
      <c r="BE113" s="267">
        <f t="shared" si="76"/>
        <v>0</v>
      </c>
      <c r="BF113" s="268">
        <f t="shared" si="100"/>
        <v>0</v>
      </c>
      <c r="BG113" s="268">
        <f t="shared" si="100"/>
        <v>0</v>
      </c>
      <c r="BH113" s="268">
        <f t="shared" si="100"/>
        <v>1</v>
      </c>
      <c r="BI113" s="268">
        <f t="shared" si="100"/>
        <v>2</v>
      </c>
      <c r="BJ113" s="268">
        <f t="shared" si="100"/>
        <v>3</v>
      </c>
      <c r="BK113" s="268">
        <f t="shared" si="100"/>
        <v>4</v>
      </c>
      <c r="BL113" s="269">
        <f t="shared" si="100"/>
        <v>5</v>
      </c>
      <c r="BM113" s="256">
        <f>IF($BC113=Lookup!$A$2,$BD113*ROUNDUP(BE113/10,0)+1,
IF($BC113=Lookup!$A$3,($BD113+1)^BD113,
IF($BC113=Lookup!$A$4,BE113*$BD113+1,"Error")))</f>
        <v>1</v>
      </c>
      <c r="BN113" s="229">
        <f>IF($BC113=Lookup!$A$2,$BD113*ROUNDUP(BF113/10,0)+1,
IF($BC113=Lookup!$A$3,($BD113+1)^BE113,
IF($BC113=Lookup!$A$4,BF113*$BD113+1,"Error")))</f>
        <v>1</v>
      </c>
      <c r="BO113" s="229">
        <f>IF($BC113=Lookup!$A$2,$BD113*ROUNDUP(BG113/10,0)+1,
IF($BC113=Lookup!$A$3,($BD113+1)^BF113,
IF($BC113=Lookup!$A$4,BG113*$BD113+1,"Error")))</f>
        <v>1</v>
      </c>
      <c r="BP113" s="229">
        <f>IF($BC113=Lookup!$A$2,$BD113*ROUNDUP(BH113/10,0)+1,
IF($BC113=Lookup!$A$3,($BD113+1)^BG113,
IF($BC113=Lookup!$A$4,BH113*$BD113+1,"Error")))</f>
        <v>1</v>
      </c>
      <c r="BQ113" s="229">
        <f>IF($BC113=Lookup!$A$2,$BD113*ROUNDUP(BI113/10,0)+1,
IF($BC113=Lookup!$A$3,($BD113+1)^BH113,
IF($BC113=Lookup!$A$4,BI113*$BD113+1,"Error")))</f>
        <v>1</v>
      </c>
      <c r="BR113" s="229">
        <f>IF($BC113=Lookup!$A$2,$BD113*ROUNDUP(BJ113/10,0)+1,
IF($BC113=Lookup!$A$3,($BD113+1)^BI113,
IF($BC113=Lookup!$A$4,BJ113*$BD113+1,"Error")))</f>
        <v>1</v>
      </c>
      <c r="BS113" s="229">
        <f>IF($BC113=Lookup!$A$2,$BD113*ROUNDUP(BK113/10,0)+1,
IF($BC113=Lookup!$A$3,($BD113+1)^BJ113,
IF($BC113=Lookup!$A$4,BK113*$BD113+1,"Error")))</f>
        <v>1</v>
      </c>
      <c r="BT113" s="249">
        <f>IF($BC113=Lookup!$A$2,$BD113*ROUNDUP(BL113/10,0)+1,
IF($BC113=Lookup!$A$3,($BD113+1)^BK113,
IF($BC113=Lookup!$A$4,BL113*$BD113+1,"Error")))</f>
        <v>1</v>
      </c>
      <c r="BU113" s="320">
        <v>0</v>
      </c>
      <c r="BV113" s="321">
        <v>0</v>
      </c>
      <c r="BW113" s="321">
        <v>0</v>
      </c>
      <c r="BX113" s="320">
        <v>0</v>
      </c>
      <c r="BY113" s="321">
        <v>0</v>
      </c>
      <c r="BZ113" s="321">
        <v>0</v>
      </c>
      <c r="CA113" s="321">
        <v>0</v>
      </c>
      <c r="CB113" s="277">
        <v>0</v>
      </c>
      <c r="CC113" s="382" t="s">
        <v>292</v>
      </c>
      <c r="CD113" s="383">
        <f>HLOOKUP($CC113,$AK$6:$AM$132,ROWS(CD$6:CD113),0)</f>
        <v>0</v>
      </c>
      <c r="CE113" s="234">
        <f t="shared" si="77"/>
        <v>0</v>
      </c>
      <c r="CF113" s="96">
        <f t="shared" si="77"/>
        <v>0</v>
      </c>
      <c r="CG113" s="521">
        <f t="shared" si="77"/>
        <v>0</v>
      </c>
      <c r="CH113" s="421">
        <f t="shared" si="77"/>
        <v>0</v>
      </c>
      <c r="CI113" s="96">
        <f t="shared" si="77"/>
        <v>0</v>
      </c>
      <c r="CJ113" s="96">
        <f t="shared" si="77"/>
        <v>0</v>
      </c>
      <c r="CK113" s="96">
        <f t="shared" si="77"/>
        <v>0</v>
      </c>
      <c r="CL113" s="286">
        <f t="shared" si="101"/>
        <v>0</v>
      </c>
      <c r="CM113" s="305" t="s">
        <v>293</v>
      </c>
      <c r="CN113" s="315">
        <v>0.05</v>
      </c>
      <c r="CO113" s="306"/>
      <c r="CP113" s="307" t="str">
        <f>IF($CO113&lt;&gt;"",$CO113,HLOOKUP($CM113,$AY$6:$BA$132,ROWS(CP$6:CP113),0))</f>
        <v/>
      </c>
      <c r="CQ113" s="784">
        <v>0</v>
      </c>
      <c r="CR113" s="784">
        <v>0</v>
      </c>
      <c r="CS113" s="524">
        <v>0</v>
      </c>
      <c r="CT113" s="416">
        <v>0</v>
      </c>
      <c r="CU113" s="97">
        <v>0</v>
      </c>
      <c r="CV113" s="97">
        <v>0</v>
      </c>
      <c r="CW113" s="97">
        <v>0</v>
      </c>
      <c r="CX113" s="98">
        <v>0</v>
      </c>
      <c r="CY113" s="392"/>
    </row>
    <row r="114" spans="1:110" x14ac:dyDescent="0.25">
      <c r="A114" s="81" t="s">
        <v>224</v>
      </c>
      <c r="B114" s="82" t="s">
        <v>231</v>
      </c>
      <c r="C114" s="83" t="s">
        <v>232</v>
      </c>
      <c r="D114" s="84"/>
      <c r="E114" s="85"/>
      <c r="F114" s="85"/>
      <c r="G114" s="85"/>
      <c r="H114" s="85"/>
      <c r="I114" s="85"/>
      <c r="J114" s="85"/>
      <c r="K114" s="85"/>
      <c r="L114" s="85"/>
      <c r="M114" s="654"/>
      <c r="N114" s="1065"/>
      <c r="O114" s="560">
        <f t="shared" si="75"/>
        <v>0</v>
      </c>
      <c r="P114" s="561">
        <f t="shared" si="51"/>
        <v>0</v>
      </c>
      <c r="Q114" s="561">
        <f t="shared" si="52"/>
        <v>0</v>
      </c>
      <c r="R114" s="561">
        <f t="shared" si="53"/>
        <v>0</v>
      </c>
      <c r="S114" s="561">
        <f t="shared" si="54"/>
        <v>0</v>
      </c>
      <c r="T114" s="561">
        <f t="shared" si="55"/>
        <v>0</v>
      </c>
      <c r="U114" s="561">
        <f t="shared" si="56"/>
        <v>0</v>
      </c>
      <c r="V114" s="561">
        <f t="shared" si="57"/>
        <v>0</v>
      </c>
      <c r="W114" s="675">
        <f t="shared" si="58"/>
        <v>0</v>
      </c>
      <c r="X114" s="675">
        <f t="shared" si="59"/>
        <v>0</v>
      </c>
      <c r="Y114" s="675">
        <f t="shared" si="59"/>
        <v>0</v>
      </c>
      <c r="Z114" s="86"/>
      <c r="AA114" s="87"/>
      <c r="AB114" s="87"/>
      <c r="AC114" s="87"/>
      <c r="AD114" s="87"/>
      <c r="AE114" s="87"/>
      <c r="AF114" s="87"/>
      <c r="AG114" s="87"/>
      <c r="AH114" s="87"/>
      <c r="AI114" s="1094"/>
      <c r="AJ114" s="665"/>
      <c r="AK114" s="88">
        <f t="shared" si="86"/>
        <v>0</v>
      </c>
      <c r="AL114" s="89" t="str" cm="1">
        <f t="array" aca="1" ref="AL114" ca="1">IFERROR(IF($AM$4="N",SSUM(AF114:AH114)/3,SUM(AG114:AI114)/3),"")</f>
        <v/>
      </c>
      <c r="AM114" s="90">
        <f t="shared" si="87"/>
        <v>0</v>
      </c>
      <c r="AN114" s="91" t="str">
        <f t="shared" si="88"/>
        <v/>
      </c>
      <c r="AO114" s="92" t="str">
        <f t="shared" si="89"/>
        <v/>
      </c>
      <c r="AP114" s="92" t="str">
        <f t="shared" si="90"/>
        <v/>
      </c>
      <c r="AQ114" s="92" t="str">
        <f t="shared" si="91"/>
        <v/>
      </c>
      <c r="AR114" s="92" t="str">
        <f t="shared" si="92"/>
        <v/>
      </c>
      <c r="AS114" s="92" t="str">
        <f t="shared" si="93"/>
        <v/>
      </c>
      <c r="AT114" s="92" t="str">
        <f t="shared" si="94"/>
        <v/>
      </c>
      <c r="AU114" s="92" t="str">
        <f t="shared" si="95"/>
        <v/>
      </c>
      <c r="AV114" s="92" t="str">
        <f t="shared" si="96"/>
        <v/>
      </c>
      <c r="AW114" s="92" t="str">
        <f t="shared" si="96"/>
        <v/>
      </c>
      <c r="AX114" s="92" t="str">
        <f t="shared" si="96"/>
        <v/>
      </c>
      <c r="AY114" s="93" t="str">
        <f t="shared" si="97"/>
        <v/>
      </c>
      <c r="AZ114" s="94" t="str">
        <f t="shared" si="98"/>
        <v/>
      </c>
      <c r="BA114" s="95" t="str">
        <f t="shared" si="99"/>
        <v/>
      </c>
      <c r="BB114" s="248" t="s">
        <v>422</v>
      </c>
      <c r="BC114" s="229" t="s">
        <v>433</v>
      </c>
      <c r="BD114" s="249">
        <v>0</v>
      </c>
      <c r="BE114" s="267">
        <f t="shared" si="76"/>
        <v>0</v>
      </c>
      <c r="BF114" s="268">
        <f t="shared" si="100"/>
        <v>0</v>
      </c>
      <c r="BG114" s="268">
        <f t="shared" si="100"/>
        <v>0</v>
      </c>
      <c r="BH114" s="268">
        <f t="shared" si="100"/>
        <v>1</v>
      </c>
      <c r="BI114" s="268">
        <f t="shared" si="100"/>
        <v>2</v>
      </c>
      <c r="BJ114" s="268">
        <f t="shared" si="100"/>
        <v>3</v>
      </c>
      <c r="BK114" s="268">
        <f t="shared" si="100"/>
        <v>4</v>
      </c>
      <c r="BL114" s="269">
        <f t="shared" si="100"/>
        <v>5</v>
      </c>
      <c r="BM114" s="256">
        <f>IF($BC114=Lookup!$A$2,$BD114*ROUNDUP(BE114/10,0)+1,
IF($BC114=Lookup!$A$3,($BD114+1)^BD114,
IF($BC114=Lookup!$A$4,BE114*$BD114+1,"Error")))</f>
        <v>1</v>
      </c>
      <c r="BN114" s="229">
        <f>IF($BC114=Lookup!$A$2,$BD114*ROUNDUP(BF114/10,0)+1,
IF($BC114=Lookup!$A$3,($BD114+1)^BE114,
IF($BC114=Lookup!$A$4,BF114*$BD114+1,"Error")))</f>
        <v>1</v>
      </c>
      <c r="BO114" s="229">
        <f>IF($BC114=Lookup!$A$2,$BD114*ROUNDUP(BG114/10,0)+1,
IF($BC114=Lookup!$A$3,($BD114+1)^BF114,
IF($BC114=Lookup!$A$4,BG114*$BD114+1,"Error")))</f>
        <v>1</v>
      </c>
      <c r="BP114" s="229">
        <f>IF($BC114=Lookup!$A$2,$BD114*ROUNDUP(BH114/10,0)+1,
IF($BC114=Lookup!$A$3,($BD114+1)^BG114,
IF($BC114=Lookup!$A$4,BH114*$BD114+1,"Error")))</f>
        <v>1</v>
      </c>
      <c r="BQ114" s="229">
        <f>IF($BC114=Lookup!$A$2,$BD114*ROUNDUP(BI114/10,0)+1,
IF($BC114=Lookup!$A$3,($BD114+1)^BH114,
IF($BC114=Lookup!$A$4,BI114*$BD114+1,"Error")))</f>
        <v>1</v>
      </c>
      <c r="BR114" s="229">
        <f>IF($BC114=Lookup!$A$2,$BD114*ROUNDUP(BJ114/10,0)+1,
IF($BC114=Lookup!$A$3,($BD114+1)^BI114,
IF($BC114=Lookup!$A$4,BJ114*$BD114+1,"Error")))</f>
        <v>1</v>
      </c>
      <c r="BS114" s="229">
        <f>IF($BC114=Lookup!$A$2,$BD114*ROUNDUP(BK114/10,0)+1,
IF($BC114=Lookup!$A$3,($BD114+1)^BJ114,
IF($BC114=Lookup!$A$4,BK114*$BD114+1,"Error")))</f>
        <v>1</v>
      </c>
      <c r="BT114" s="249">
        <f>IF($BC114=Lookup!$A$2,$BD114*ROUNDUP(BL114/10,0)+1,
IF($BC114=Lookup!$A$3,($BD114+1)^BK114,
IF($BC114=Lookup!$A$4,BL114*$BD114+1,"Error")))</f>
        <v>1</v>
      </c>
      <c r="BU114" s="320">
        <v>0</v>
      </c>
      <c r="BV114" s="321">
        <v>0</v>
      </c>
      <c r="BW114" s="321">
        <v>0</v>
      </c>
      <c r="BX114" s="320">
        <v>0</v>
      </c>
      <c r="BY114" s="321">
        <v>0</v>
      </c>
      <c r="BZ114" s="321">
        <v>0</v>
      </c>
      <c r="CA114" s="321">
        <v>0</v>
      </c>
      <c r="CB114" s="277">
        <v>0</v>
      </c>
      <c r="CC114" s="382" t="s">
        <v>292</v>
      </c>
      <c r="CD114" s="383">
        <f>HLOOKUP($CC114,$AK$6:$AM$132,ROWS(CD$6:CD114),0)</f>
        <v>0</v>
      </c>
      <c r="CE114" s="234">
        <f t="shared" si="77"/>
        <v>0</v>
      </c>
      <c r="CF114" s="96">
        <f t="shared" si="77"/>
        <v>0</v>
      </c>
      <c r="CG114" s="521">
        <f t="shared" si="77"/>
        <v>0</v>
      </c>
      <c r="CH114" s="421">
        <f t="shared" si="77"/>
        <v>0</v>
      </c>
      <c r="CI114" s="96">
        <f t="shared" si="77"/>
        <v>0</v>
      </c>
      <c r="CJ114" s="96">
        <f t="shared" si="77"/>
        <v>0</v>
      </c>
      <c r="CK114" s="96">
        <f t="shared" si="77"/>
        <v>0</v>
      </c>
      <c r="CL114" s="286">
        <f t="shared" si="101"/>
        <v>0</v>
      </c>
      <c r="CM114" s="305" t="s">
        <v>293</v>
      </c>
      <c r="CN114" s="315">
        <v>0.05</v>
      </c>
      <c r="CO114" s="306"/>
      <c r="CP114" s="307" t="str">
        <f>IF($CO114&lt;&gt;"",$CO114,HLOOKUP($CM114,$AY$6:$BA$132,ROWS(CP$6:CP114),0))</f>
        <v/>
      </c>
      <c r="CQ114" s="784">
        <v>0</v>
      </c>
      <c r="CR114" s="784">
        <v>0</v>
      </c>
      <c r="CS114" s="524">
        <v>0</v>
      </c>
      <c r="CT114" s="416">
        <v>0</v>
      </c>
      <c r="CU114" s="97">
        <v>0</v>
      </c>
      <c r="CV114" s="97">
        <v>0</v>
      </c>
      <c r="CW114" s="97">
        <v>0</v>
      </c>
      <c r="CX114" s="98">
        <v>0</v>
      </c>
      <c r="CY114" s="392"/>
    </row>
    <row r="115" spans="1:110" x14ac:dyDescent="0.25">
      <c r="A115" s="81" t="s">
        <v>224</v>
      </c>
      <c r="B115" s="82" t="s">
        <v>233</v>
      </c>
      <c r="C115" s="83" t="s">
        <v>234</v>
      </c>
      <c r="D115" s="84"/>
      <c r="E115" s="85"/>
      <c r="F115" s="85"/>
      <c r="G115" s="85"/>
      <c r="H115" s="85"/>
      <c r="I115" s="85"/>
      <c r="J115" s="85"/>
      <c r="K115" s="85"/>
      <c r="L115" s="85"/>
      <c r="M115" s="654"/>
      <c r="N115" s="1065"/>
      <c r="O115" s="560">
        <f t="shared" si="75"/>
        <v>0</v>
      </c>
      <c r="P115" s="561">
        <f t="shared" si="51"/>
        <v>0</v>
      </c>
      <c r="Q115" s="561">
        <f t="shared" si="52"/>
        <v>0</v>
      </c>
      <c r="R115" s="561">
        <f t="shared" si="53"/>
        <v>0</v>
      </c>
      <c r="S115" s="561">
        <f t="shared" si="54"/>
        <v>0</v>
      </c>
      <c r="T115" s="561">
        <f t="shared" si="55"/>
        <v>0</v>
      </c>
      <c r="U115" s="561">
        <f t="shared" si="56"/>
        <v>0</v>
      </c>
      <c r="V115" s="561">
        <f t="shared" si="57"/>
        <v>0</v>
      </c>
      <c r="W115" s="675">
        <f t="shared" si="58"/>
        <v>0</v>
      </c>
      <c r="X115" s="675">
        <f t="shared" si="59"/>
        <v>0</v>
      </c>
      <c r="Y115" s="675">
        <f t="shared" si="59"/>
        <v>0</v>
      </c>
      <c r="Z115" s="86"/>
      <c r="AA115" s="87"/>
      <c r="AB115" s="87"/>
      <c r="AC115" s="87"/>
      <c r="AD115" s="87"/>
      <c r="AE115" s="87"/>
      <c r="AF115" s="87"/>
      <c r="AG115" s="87"/>
      <c r="AH115" s="87"/>
      <c r="AI115" s="1094"/>
      <c r="AJ115" s="665"/>
      <c r="AK115" s="88">
        <f t="shared" si="86"/>
        <v>0</v>
      </c>
      <c r="AL115" s="89" t="str" cm="1">
        <f t="array" aca="1" ref="AL115" ca="1">IFERROR(IF($AM$4="N",SSUM(AF115:AH115)/3,SUM(AG115:AI115)/3),"")</f>
        <v/>
      </c>
      <c r="AM115" s="90">
        <f t="shared" si="87"/>
        <v>0</v>
      </c>
      <c r="AN115" s="91" t="str">
        <f t="shared" si="88"/>
        <v/>
      </c>
      <c r="AO115" s="92" t="str">
        <f t="shared" si="89"/>
        <v/>
      </c>
      <c r="AP115" s="92" t="str">
        <f t="shared" si="90"/>
        <v/>
      </c>
      <c r="AQ115" s="92" t="str">
        <f t="shared" si="91"/>
        <v/>
      </c>
      <c r="AR115" s="92" t="str">
        <f t="shared" si="92"/>
        <v/>
      </c>
      <c r="AS115" s="92" t="str">
        <f t="shared" si="93"/>
        <v/>
      </c>
      <c r="AT115" s="92" t="str">
        <f t="shared" si="94"/>
        <v/>
      </c>
      <c r="AU115" s="92" t="str">
        <f t="shared" si="95"/>
        <v/>
      </c>
      <c r="AV115" s="92" t="str">
        <f t="shared" si="96"/>
        <v/>
      </c>
      <c r="AW115" s="92" t="str">
        <f t="shared" si="96"/>
        <v/>
      </c>
      <c r="AX115" s="92" t="str">
        <f t="shared" si="96"/>
        <v/>
      </c>
      <c r="AY115" s="93" t="str">
        <f t="shared" si="97"/>
        <v/>
      </c>
      <c r="AZ115" s="94" t="str">
        <f t="shared" si="98"/>
        <v/>
      </c>
      <c r="BA115" s="95" t="str">
        <f t="shared" si="99"/>
        <v/>
      </c>
      <c r="BB115" s="248" t="s">
        <v>422</v>
      </c>
      <c r="BC115" s="229" t="s">
        <v>433</v>
      </c>
      <c r="BD115" s="249">
        <v>0</v>
      </c>
      <c r="BE115" s="267">
        <f t="shared" si="76"/>
        <v>0</v>
      </c>
      <c r="BF115" s="268">
        <f t="shared" si="100"/>
        <v>0</v>
      </c>
      <c r="BG115" s="268">
        <f t="shared" si="100"/>
        <v>0</v>
      </c>
      <c r="BH115" s="268">
        <f t="shared" si="100"/>
        <v>1</v>
      </c>
      <c r="BI115" s="268">
        <f t="shared" si="100"/>
        <v>2</v>
      </c>
      <c r="BJ115" s="268">
        <f t="shared" si="100"/>
        <v>3</v>
      </c>
      <c r="BK115" s="268">
        <f t="shared" si="100"/>
        <v>4</v>
      </c>
      <c r="BL115" s="269">
        <f t="shared" si="100"/>
        <v>5</v>
      </c>
      <c r="BM115" s="256">
        <f>IF($BC115=Lookup!$A$2,$BD115*ROUNDUP(BE115/10,0)+1,
IF($BC115=Lookup!$A$3,($BD115+1)^BD115,
IF($BC115=Lookup!$A$4,BE115*$BD115+1,"Error")))</f>
        <v>1</v>
      </c>
      <c r="BN115" s="229">
        <f>IF($BC115=Lookup!$A$2,$BD115*ROUNDUP(BF115/10,0)+1,
IF($BC115=Lookup!$A$3,($BD115+1)^BE115,
IF($BC115=Lookup!$A$4,BF115*$BD115+1,"Error")))</f>
        <v>1</v>
      </c>
      <c r="BO115" s="229">
        <f>IF($BC115=Lookup!$A$2,$BD115*ROUNDUP(BG115/10,0)+1,
IF($BC115=Lookup!$A$3,($BD115+1)^BF115,
IF($BC115=Lookup!$A$4,BG115*$BD115+1,"Error")))</f>
        <v>1</v>
      </c>
      <c r="BP115" s="229">
        <f>IF($BC115=Lookup!$A$2,$BD115*ROUNDUP(BH115/10,0)+1,
IF($BC115=Lookup!$A$3,($BD115+1)^BG115,
IF($BC115=Lookup!$A$4,BH115*$BD115+1,"Error")))</f>
        <v>1</v>
      </c>
      <c r="BQ115" s="229">
        <f>IF($BC115=Lookup!$A$2,$BD115*ROUNDUP(BI115/10,0)+1,
IF($BC115=Lookup!$A$3,($BD115+1)^BH115,
IF($BC115=Lookup!$A$4,BI115*$BD115+1,"Error")))</f>
        <v>1</v>
      </c>
      <c r="BR115" s="229">
        <f>IF($BC115=Lookup!$A$2,$BD115*ROUNDUP(BJ115/10,0)+1,
IF($BC115=Lookup!$A$3,($BD115+1)^BI115,
IF($BC115=Lookup!$A$4,BJ115*$BD115+1,"Error")))</f>
        <v>1</v>
      </c>
      <c r="BS115" s="229">
        <f>IF($BC115=Lookup!$A$2,$BD115*ROUNDUP(BK115/10,0)+1,
IF($BC115=Lookup!$A$3,($BD115+1)^BJ115,
IF($BC115=Lookup!$A$4,BK115*$BD115+1,"Error")))</f>
        <v>1</v>
      </c>
      <c r="BT115" s="249">
        <f>IF($BC115=Lookup!$A$2,$BD115*ROUNDUP(BL115/10,0)+1,
IF($BC115=Lookup!$A$3,($BD115+1)^BK115,
IF($BC115=Lookup!$A$4,BL115*$BD115+1,"Error")))</f>
        <v>1</v>
      </c>
      <c r="BU115" s="320">
        <v>0</v>
      </c>
      <c r="BV115" s="321">
        <v>0</v>
      </c>
      <c r="BW115" s="321">
        <v>0</v>
      </c>
      <c r="BX115" s="320">
        <v>0</v>
      </c>
      <c r="BY115" s="321">
        <v>0</v>
      </c>
      <c r="BZ115" s="321">
        <v>0</v>
      </c>
      <c r="CA115" s="321">
        <v>0</v>
      </c>
      <c r="CB115" s="277">
        <v>0</v>
      </c>
      <c r="CC115" s="382" t="s">
        <v>292</v>
      </c>
      <c r="CD115" s="383">
        <f>HLOOKUP($CC115,$AK$6:$AM$132,ROWS(CD$6:CD115),0)</f>
        <v>0</v>
      </c>
      <c r="CE115" s="234">
        <f t="shared" si="77"/>
        <v>0</v>
      </c>
      <c r="CF115" s="96">
        <f t="shared" si="77"/>
        <v>0</v>
      </c>
      <c r="CG115" s="521">
        <f t="shared" si="77"/>
        <v>0</v>
      </c>
      <c r="CH115" s="421">
        <f t="shared" si="77"/>
        <v>0</v>
      </c>
      <c r="CI115" s="96">
        <f t="shared" si="77"/>
        <v>0</v>
      </c>
      <c r="CJ115" s="96">
        <f t="shared" si="77"/>
        <v>0</v>
      </c>
      <c r="CK115" s="96">
        <f t="shared" si="77"/>
        <v>0</v>
      </c>
      <c r="CL115" s="286">
        <f t="shared" si="101"/>
        <v>0</v>
      </c>
      <c r="CM115" s="305" t="s">
        <v>293</v>
      </c>
      <c r="CN115" s="315">
        <v>0.05</v>
      </c>
      <c r="CO115" s="306"/>
      <c r="CP115" s="307" t="str">
        <f>IF($CO115&lt;&gt;"",$CO115,HLOOKUP($CM115,$AY$6:$BA$132,ROWS(CP$6:CP115),0))</f>
        <v/>
      </c>
      <c r="CQ115" s="784">
        <v>0</v>
      </c>
      <c r="CR115" s="784">
        <v>0</v>
      </c>
      <c r="CS115" s="524">
        <v>0</v>
      </c>
      <c r="CT115" s="416">
        <v>0</v>
      </c>
      <c r="CU115" s="97">
        <v>0</v>
      </c>
      <c r="CV115" s="97">
        <v>0</v>
      </c>
      <c r="CW115" s="97">
        <v>0</v>
      </c>
      <c r="CX115" s="98">
        <v>0</v>
      </c>
      <c r="CY115" s="392"/>
    </row>
    <row r="116" spans="1:110" x14ac:dyDescent="0.25">
      <c r="A116" s="81" t="s">
        <v>224</v>
      </c>
      <c r="B116" s="82" t="s">
        <v>235</v>
      </c>
      <c r="C116" s="83" t="s">
        <v>236</v>
      </c>
      <c r="D116" s="84"/>
      <c r="E116" s="85"/>
      <c r="F116" s="85"/>
      <c r="G116" s="85"/>
      <c r="H116" s="85"/>
      <c r="I116" s="85"/>
      <c r="J116" s="85"/>
      <c r="K116" s="85"/>
      <c r="L116" s="85"/>
      <c r="M116" s="654"/>
      <c r="N116" s="1065"/>
      <c r="O116" s="560">
        <f t="shared" si="75"/>
        <v>0</v>
      </c>
      <c r="P116" s="561">
        <f t="shared" si="51"/>
        <v>0</v>
      </c>
      <c r="Q116" s="561">
        <f t="shared" si="52"/>
        <v>0</v>
      </c>
      <c r="R116" s="561">
        <f t="shared" si="53"/>
        <v>0</v>
      </c>
      <c r="S116" s="561">
        <f t="shared" si="54"/>
        <v>0</v>
      </c>
      <c r="T116" s="561">
        <f t="shared" si="55"/>
        <v>0</v>
      </c>
      <c r="U116" s="561">
        <f t="shared" si="56"/>
        <v>0</v>
      </c>
      <c r="V116" s="561">
        <f t="shared" si="57"/>
        <v>0</v>
      </c>
      <c r="W116" s="675">
        <f t="shared" si="58"/>
        <v>0</v>
      </c>
      <c r="X116" s="675">
        <f t="shared" si="59"/>
        <v>0</v>
      </c>
      <c r="Y116" s="675">
        <f t="shared" si="59"/>
        <v>0</v>
      </c>
      <c r="Z116" s="86"/>
      <c r="AA116" s="87"/>
      <c r="AB116" s="87"/>
      <c r="AC116" s="87"/>
      <c r="AD116" s="87"/>
      <c r="AE116" s="87"/>
      <c r="AF116" s="87"/>
      <c r="AG116" s="87"/>
      <c r="AH116" s="87"/>
      <c r="AI116" s="1094"/>
      <c r="AJ116" s="665"/>
      <c r="AK116" s="88">
        <f t="shared" si="86"/>
        <v>0</v>
      </c>
      <c r="AL116" s="89" t="str" cm="1">
        <f t="array" aca="1" ref="AL116" ca="1">IFERROR(IF($AM$4="N",SSUM(AF116:AH116)/3,SUM(AG116:AI116)/3),"")</f>
        <v/>
      </c>
      <c r="AM116" s="90">
        <f t="shared" si="87"/>
        <v>0</v>
      </c>
      <c r="AN116" s="91" t="str">
        <f t="shared" si="88"/>
        <v/>
      </c>
      <c r="AO116" s="92" t="str">
        <f t="shared" si="89"/>
        <v/>
      </c>
      <c r="AP116" s="92" t="str">
        <f t="shared" si="90"/>
        <v/>
      </c>
      <c r="AQ116" s="92" t="str">
        <f t="shared" si="91"/>
        <v/>
      </c>
      <c r="AR116" s="92" t="str">
        <f t="shared" si="92"/>
        <v/>
      </c>
      <c r="AS116" s="92" t="str">
        <f t="shared" si="93"/>
        <v/>
      </c>
      <c r="AT116" s="92" t="str">
        <f t="shared" si="94"/>
        <v/>
      </c>
      <c r="AU116" s="92" t="str">
        <f t="shared" si="95"/>
        <v/>
      </c>
      <c r="AV116" s="92" t="str">
        <f t="shared" si="96"/>
        <v/>
      </c>
      <c r="AW116" s="92" t="str">
        <f t="shared" si="96"/>
        <v/>
      </c>
      <c r="AX116" s="92" t="str">
        <f t="shared" si="96"/>
        <v/>
      </c>
      <c r="AY116" s="93" t="str">
        <f t="shared" si="97"/>
        <v/>
      </c>
      <c r="AZ116" s="94" t="str">
        <f t="shared" si="98"/>
        <v/>
      </c>
      <c r="BA116" s="95" t="str">
        <f t="shared" si="99"/>
        <v/>
      </c>
      <c r="BB116" s="248" t="s">
        <v>422</v>
      </c>
      <c r="BC116" s="229" t="s">
        <v>433</v>
      </c>
      <c r="BD116" s="249">
        <v>0</v>
      </c>
      <c r="BE116" s="267">
        <f t="shared" si="76"/>
        <v>0</v>
      </c>
      <c r="BF116" s="268">
        <f t="shared" si="100"/>
        <v>0</v>
      </c>
      <c r="BG116" s="268">
        <f t="shared" si="100"/>
        <v>0</v>
      </c>
      <c r="BH116" s="268">
        <f t="shared" si="100"/>
        <v>1</v>
      </c>
      <c r="BI116" s="268">
        <f t="shared" si="100"/>
        <v>2</v>
      </c>
      <c r="BJ116" s="268">
        <f t="shared" si="100"/>
        <v>3</v>
      </c>
      <c r="BK116" s="268">
        <f t="shared" si="100"/>
        <v>4</v>
      </c>
      <c r="BL116" s="269">
        <f t="shared" si="100"/>
        <v>5</v>
      </c>
      <c r="BM116" s="256">
        <f>IF($BC116=Lookup!$A$2,$BD116*ROUNDUP(BE116/10,0)+1,
IF($BC116=Lookup!$A$3,($BD116+1)^BD116,
IF($BC116=Lookup!$A$4,BE116*$BD116+1,"Error")))</f>
        <v>1</v>
      </c>
      <c r="BN116" s="229">
        <f>IF($BC116=Lookup!$A$2,$BD116*ROUNDUP(BF116/10,0)+1,
IF($BC116=Lookup!$A$3,($BD116+1)^BE116,
IF($BC116=Lookup!$A$4,BF116*$BD116+1,"Error")))</f>
        <v>1</v>
      </c>
      <c r="BO116" s="229">
        <f>IF($BC116=Lookup!$A$2,$BD116*ROUNDUP(BG116/10,0)+1,
IF($BC116=Lookup!$A$3,($BD116+1)^BF116,
IF($BC116=Lookup!$A$4,BG116*$BD116+1,"Error")))</f>
        <v>1</v>
      </c>
      <c r="BP116" s="229">
        <f>IF($BC116=Lookup!$A$2,$BD116*ROUNDUP(BH116/10,0)+1,
IF($BC116=Lookup!$A$3,($BD116+1)^BG116,
IF($BC116=Lookup!$A$4,BH116*$BD116+1,"Error")))</f>
        <v>1</v>
      </c>
      <c r="BQ116" s="229">
        <f>IF($BC116=Lookup!$A$2,$BD116*ROUNDUP(BI116/10,0)+1,
IF($BC116=Lookup!$A$3,($BD116+1)^BH116,
IF($BC116=Lookup!$A$4,BI116*$BD116+1,"Error")))</f>
        <v>1</v>
      </c>
      <c r="BR116" s="229">
        <f>IF($BC116=Lookup!$A$2,$BD116*ROUNDUP(BJ116/10,0)+1,
IF($BC116=Lookup!$A$3,($BD116+1)^BI116,
IF($BC116=Lookup!$A$4,BJ116*$BD116+1,"Error")))</f>
        <v>1</v>
      </c>
      <c r="BS116" s="229">
        <f>IF($BC116=Lookup!$A$2,$BD116*ROUNDUP(BK116/10,0)+1,
IF($BC116=Lookup!$A$3,($BD116+1)^BJ116,
IF($BC116=Lookup!$A$4,BK116*$BD116+1,"Error")))</f>
        <v>1</v>
      </c>
      <c r="BT116" s="249">
        <f>IF($BC116=Lookup!$A$2,$BD116*ROUNDUP(BL116/10,0)+1,
IF($BC116=Lookup!$A$3,($BD116+1)^BK116,
IF($BC116=Lookup!$A$4,BL116*$BD116+1,"Error")))</f>
        <v>1</v>
      </c>
      <c r="BU116" s="320">
        <v>0</v>
      </c>
      <c r="BV116" s="321">
        <v>0</v>
      </c>
      <c r="BW116" s="321">
        <v>0</v>
      </c>
      <c r="BX116" s="320">
        <v>0</v>
      </c>
      <c r="BY116" s="321">
        <v>0</v>
      </c>
      <c r="BZ116" s="321">
        <v>0</v>
      </c>
      <c r="CA116" s="321">
        <v>0</v>
      </c>
      <c r="CB116" s="277">
        <v>0</v>
      </c>
      <c r="CC116" s="382" t="s">
        <v>292</v>
      </c>
      <c r="CD116" s="383">
        <f>HLOOKUP($CC116,$AK$6:$AM$132,ROWS(CD$6:CD116),0)</f>
        <v>0</v>
      </c>
      <c r="CE116" s="234">
        <f t="shared" si="77"/>
        <v>0</v>
      </c>
      <c r="CF116" s="96">
        <f t="shared" si="77"/>
        <v>0</v>
      </c>
      <c r="CG116" s="521">
        <f t="shared" si="77"/>
        <v>0</v>
      </c>
      <c r="CH116" s="421">
        <f t="shared" si="77"/>
        <v>0</v>
      </c>
      <c r="CI116" s="96">
        <f t="shared" si="77"/>
        <v>0</v>
      </c>
      <c r="CJ116" s="96">
        <f t="shared" si="77"/>
        <v>0</v>
      </c>
      <c r="CK116" s="96">
        <f t="shared" si="77"/>
        <v>0</v>
      </c>
      <c r="CL116" s="286">
        <f t="shared" si="101"/>
        <v>0</v>
      </c>
      <c r="CM116" s="305" t="s">
        <v>293</v>
      </c>
      <c r="CN116" s="315">
        <v>0.05</v>
      </c>
      <c r="CO116" s="306"/>
      <c r="CP116" s="307" t="str">
        <f>IF($CO116&lt;&gt;"",$CO116,HLOOKUP($CM116,$AY$6:$BA$132,ROWS(CP$6:CP116),0))</f>
        <v/>
      </c>
      <c r="CQ116" s="784">
        <v>0</v>
      </c>
      <c r="CR116" s="784">
        <v>0</v>
      </c>
      <c r="CS116" s="524">
        <v>0</v>
      </c>
      <c r="CT116" s="416">
        <v>0</v>
      </c>
      <c r="CU116" s="97">
        <v>0</v>
      </c>
      <c r="CV116" s="97">
        <v>0</v>
      </c>
      <c r="CW116" s="97">
        <v>0</v>
      </c>
      <c r="CX116" s="98">
        <v>0</v>
      </c>
      <c r="CY116" s="392"/>
    </row>
    <row r="117" spans="1:110" x14ac:dyDescent="0.25">
      <c r="A117" s="81" t="s">
        <v>224</v>
      </c>
      <c r="B117" s="82" t="s">
        <v>237</v>
      </c>
      <c r="C117" s="83" t="s">
        <v>238</v>
      </c>
      <c r="D117" s="84"/>
      <c r="E117" s="85"/>
      <c r="F117" s="85"/>
      <c r="G117" s="85"/>
      <c r="H117" s="85"/>
      <c r="I117" s="85"/>
      <c r="J117" s="85"/>
      <c r="K117" s="85"/>
      <c r="L117" s="85"/>
      <c r="M117" s="654"/>
      <c r="N117" s="1065"/>
      <c r="O117" s="560">
        <f t="shared" si="75"/>
        <v>0</v>
      </c>
      <c r="P117" s="561">
        <f t="shared" si="51"/>
        <v>0</v>
      </c>
      <c r="Q117" s="561">
        <f t="shared" si="52"/>
        <v>0</v>
      </c>
      <c r="R117" s="561">
        <f t="shared" si="53"/>
        <v>0</v>
      </c>
      <c r="S117" s="561">
        <f t="shared" si="54"/>
        <v>0</v>
      </c>
      <c r="T117" s="561">
        <f t="shared" si="55"/>
        <v>0</v>
      </c>
      <c r="U117" s="561">
        <f t="shared" si="56"/>
        <v>0</v>
      </c>
      <c r="V117" s="561">
        <f t="shared" si="57"/>
        <v>0</v>
      </c>
      <c r="W117" s="675">
        <f t="shared" si="58"/>
        <v>0</v>
      </c>
      <c r="X117" s="675">
        <f t="shared" si="59"/>
        <v>0</v>
      </c>
      <c r="Y117" s="675">
        <f t="shared" si="59"/>
        <v>0</v>
      </c>
      <c r="Z117" s="86"/>
      <c r="AA117" s="87"/>
      <c r="AB117" s="87"/>
      <c r="AC117" s="87"/>
      <c r="AD117" s="87"/>
      <c r="AE117" s="87"/>
      <c r="AF117" s="87"/>
      <c r="AG117" s="87"/>
      <c r="AH117" s="87"/>
      <c r="AI117" s="1094"/>
      <c r="AJ117" s="665"/>
      <c r="AK117" s="88">
        <f t="shared" si="86"/>
        <v>0</v>
      </c>
      <c r="AL117" s="89" t="str" cm="1">
        <f t="array" aca="1" ref="AL117" ca="1">IFERROR(IF($AM$4="N",SSUM(AF117:AH117)/3,SUM(AG117:AI117)/3),"")</f>
        <v/>
      </c>
      <c r="AM117" s="90">
        <f t="shared" si="87"/>
        <v>0</v>
      </c>
      <c r="AN117" s="91" t="str">
        <f t="shared" si="88"/>
        <v/>
      </c>
      <c r="AO117" s="92" t="str">
        <f t="shared" si="89"/>
        <v/>
      </c>
      <c r="AP117" s="92" t="str">
        <f t="shared" si="90"/>
        <v/>
      </c>
      <c r="AQ117" s="92" t="str">
        <f t="shared" si="91"/>
        <v/>
      </c>
      <c r="AR117" s="92" t="str">
        <f t="shared" si="92"/>
        <v/>
      </c>
      <c r="AS117" s="92" t="str">
        <f t="shared" si="93"/>
        <v/>
      </c>
      <c r="AT117" s="92" t="str">
        <f t="shared" si="94"/>
        <v/>
      </c>
      <c r="AU117" s="92" t="str">
        <f t="shared" si="95"/>
        <v/>
      </c>
      <c r="AV117" s="92" t="str">
        <f t="shared" si="96"/>
        <v/>
      </c>
      <c r="AW117" s="92" t="str">
        <f t="shared" si="96"/>
        <v/>
      </c>
      <c r="AX117" s="92" t="str">
        <f t="shared" si="96"/>
        <v/>
      </c>
      <c r="AY117" s="93" t="str">
        <f t="shared" si="97"/>
        <v/>
      </c>
      <c r="AZ117" s="94" t="str">
        <f t="shared" si="98"/>
        <v/>
      </c>
      <c r="BA117" s="95" t="str">
        <f t="shared" si="99"/>
        <v/>
      </c>
      <c r="BB117" s="248" t="s">
        <v>422</v>
      </c>
      <c r="BC117" s="229" t="s">
        <v>433</v>
      </c>
      <c r="BD117" s="249">
        <v>0</v>
      </c>
      <c r="BE117" s="267">
        <f t="shared" si="76"/>
        <v>0</v>
      </c>
      <c r="BF117" s="268">
        <f t="shared" si="100"/>
        <v>0</v>
      </c>
      <c r="BG117" s="268">
        <f t="shared" si="100"/>
        <v>0</v>
      </c>
      <c r="BH117" s="268">
        <f t="shared" si="100"/>
        <v>1</v>
      </c>
      <c r="BI117" s="268">
        <f t="shared" si="100"/>
        <v>2</v>
      </c>
      <c r="BJ117" s="268">
        <f t="shared" si="100"/>
        <v>3</v>
      </c>
      <c r="BK117" s="268">
        <f t="shared" si="100"/>
        <v>4</v>
      </c>
      <c r="BL117" s="269">
        <f t="shared" si="100"/>
        <v>5</v>
      </c>
      <c r="BM117" s="256">
        <f>IF($BC117=Lookup!$A$2,$BD117*ROUNDUP(BE117/10,0)+1,
IF($BC117=Lookup!$A$3,($BD117+1)^BD117,
IF($BC117=Lookup!$A$4,BE117*$BD117+1,"Error")))</f>
        <v>1</v>
      </c>
      <c r="BN117" s="229">
        <f>IF($BC117=Lookup!$A$2,$BD117*ROUNDUP(BF117/10,0)+1,
IF($BC117=Lookup!$A$3,($BD117+1)^BE117,
IF($BC117=Lookup!$A$4,BF117*$BD117+1,"Error")))</f>
        <v>1</v>
      </c>
      <c r="BO117" s="229">
        <f>IF($BC117=Lookup!$A$2,$BD117*ROUNDUP(BG117/10,0)+1,
IF($BC117=Lookup!$A$3,($BD117+1)^BF117,
IF($BC117=Lookup!$A$4,BG117*$BD117+1,"Error")))</f>
        <v>1</v>
      </c>
      <c r="BP117" s="229">
        <f>IF($BC117=Lookup!$A$2,$BD117*ROUNDUP(BH117/10,0)+1,
IF($BC117=Lookup!$A$3,($BD117+1)^BG117,
IF($BC117=Lookup!$A$4,BH117*$BD117+1,"Error")))</f>
        <v>1</v>
      </c>
      <c r="BQ117" s="229">
        <f>IF($BC117=Lookup!$A$2,$BD117*ROUNDUP(BI117/10,0)+1,
IF($BC117=Lookup!$A$3,($BD117+1)^BH117,
IF($BC117=Lookup!$A$4,BI117*$BD117+1,"Error")))</f>
        <v>1</v>
      </c>
      <c r="BR117" s="229">
        <f>IF($BC117=Lookup!$A$2,$BD117*ROUNDUP(BJ117/10,0)+1,
IF($BC117=Lookup!$A$3,($BD117+1)^BI117,
IF($BC117=Lookup!$A$4,BJ117*$BD117+1,"Error")))</f>
        <v>1</v>
      </c>
      <c r="BS117" s="229">
        <f>IF($BC117=Lookup!$A$2,$BD117*ROUNDUP(BK117/10,0)+1,
IF($BC117=Lookup!$A$3,($BD117+1)^BJ117,
IF($BC117=Lookup!$A$4,BK117*$BD117+1,"Error")))</f>
        <v>1</v>
      </c>
      <c r="BT117" s="249">
        <f>IF($BC117=Lookup!$A$2,$BD117*ROUNDUP(BL117/10,0)+1,
IF($BC117=Lookup!$A$3,($BD117+1)^BK117,
IF($BC117=Lookup!$A$4,BL117*$BD117+1,"Error")))</f>
        <v>1</v>
      </c>
      <c r="BU117" s="320">
        <v>0</v>
      </c>
      <c r="BV117" s="321">
        <v>0</v>
      </c>
      <c r="BW117" s="321">
        <v>0</v>
      </c>
      <c r="BX117" s="320">
        <v>0</v>
      </c>
      <c r="BY117" s="321">
        <v>0</v>
      </c>
      <c r="BZ117" s="321">
        <v>0</v>
      </c>
      <c r="CA117" s="321">
        <v>0</v>
      </c>
      <c r="CB117" s="277">
        <v>0</v>
      </c>
      <c r="CC117" s="382" t="s">
        <v>292</v>
      </c>
      <c r="CD117" s="383">
        <f>HLOOKUP($CC117,$AK$6:$AM$132,ROWS(CD$6:CD117),0)</f>
        <v>0</v>
      </c>
      <c r="CE117" s="234">
        <f t="shared" si="77"/>
        <v>0</v>
      </c>
      <c r="CF117" s="96">
        <f t="shared" si="77"/>
        <v>0</v>
      </c>
      <c r="CG117" s="521">
        <f t="shared" si="77"/>
        <v>0</v>
      </c>
      <c r="CH117" s="421">
        <f t="shared" si="77"/>
        <v>0</v>
      </c>
      <c r="CI117" s="96">
        <f t="shared" si="77"/>
        <v>0</v>
      </c>
      <c r="CJ117" s="96">
        <f t="shared" si="77"/>
        <v>0</v>
      </c>
      <c r="CK117" s="96">
        <f t="shared" si="77"/>
        <v>0</v>
      </c>
      <c r="CL117" s="286">
        <f t="shared" si="101"/>
        <v>0</v>
      </c>
      <c r="CM117" s="305" t="s">
        <v>293</v>
      </c>
      <c r="CN117" s="315">
        <v>0.05</v>
      </c>
      <c r="CO117" s="306"/>
      <c r="CP117" s="307" t="str">
        <f>IF($CO117&lt;&gt;"",$CO117,HLOOKUP($CM117,$AY$6:$BA$132,ROWS(CP$6:CP117),0))</f>
        <v/>
      </c>
      <c r="CQ117" s="784">
        <v>0</v>
      </c>
      <c r="CR117" s="784">
        <v>0</v>
      </c>
      <c r="CS117" s="524">
        <v>0</v>
      </c>
      <c r="CT117" s="416">
        <v>0</v>
      </c>
      <c r="CU117" s="97">
        <v>0</v>
      </c>
      <c r="CV117" s="97">
        <v>0</v>
      </c>
      <c r="CW117" s="97">
        <v>0</v>
      </c>
      <c r="CX117" s="98">
        <v>0</v>
      </c>
      <c r="CY117" s="392"/>
      <c r="DD117">
        <v>46.4</v>
      </c>
    </row>
    <row r="118" spans="1:110" ht="15.75" thickBot="1" x14ac:dyDescent="0.3">
      <c r="A118" s="100" t="s">
        <v>224</v>
      </c>
      <c r="B118" s="101" t="s">
        <v>397</v>
      </c>
      <c r="C118" s="102" t="s">
        <v>398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655"/>
      <c r="N118" s="1066"/>
      <c r="O118" s="563">
        <f t="shared" si="75"/>
        <v>0</v>
      </c>
      <c r="P118" s="564">
        <f t="shared" si="51"/>
        <v>0</v>
      </c>
      <c r="Q118" s="564">
        <f t="shared" si="52"/>
        <v>0</v>
      </c>
      <c r="R118" s="564">
        <f t="shared" si="53"/>
        <v>0</v>
      </c>
      <c r="S118" s="564">
        <f t="shared" si="54"/>
        <v>0</v>
      </c>
      <c r="T118" s="564">
        <f t="shared" si="55"/>
        <v>0</v>
      </c>
      <c r="U118" s="564">
        <f t="shared" si="56"/>
        <v>0</v>
      </c>
      <c r="V118" s="564">
        <f t="shared" si="57"/>
        <v>0</v>
      </c>
      <c r="W118" s="676">
        <f t="shared" si="58"/>
        <v>0</v>
      </c>
      <c r="X118" s="676">
        <f t="shared" si="59"/>
        <v>0</v>
      </c>
      <c r="Y118" s="676">
        <f t="shared" si="59"/>
        <v>0</v>
      </c>
      <c r="Z118" s="105"/>
      <c r="AA118" s="106"/>
      <c r="AB118" s="106"/>
      <c r="AC118" s="106"/>
      <c r="AD118" s="106"/>
      <c r="AE118" s="106"/>
      <c r="AF118" s="106"/>
      <c r="AG118" s="106"/>
      <c r="AH118" s="106"/>
      <c r="AI118" s="1095"/>
      <c r="AJ118" s="666"/>
      <c r="AK118" s="107">
        <f t="shared" si="86"/>
        <v>0</v>
      </c>
      <c r="AL118" s="108" t="str" cm="1">
        <f t="array" aca="1" ref="AL118" ca="1">IFERROR(IF($AM$4="N",SSUM(AF118:AH118)/3,SUM(AG118:AI118)/3),"")</f>
        <v/>
      </c>
      <c r="AM118" s="109">
        <f t="shared" si="87"/>
        <v>0</v>
      </c>
      <c r="AN118" s="110" t="str">
        <f t="shared" si="88"/>
        <v/>
      </c>
      <c r="AO118" s="111" t="str">
        <f t="shared" si="89"/>
        <v/>
      </c>
      <c r="AP118" s="111" t="str">
        <f t="shared" si="90"/>
        <v/>
      </c>
      <c r="AQ118" s="111" t="str">
        <f t="shared" si="91"/>
        <v/>
      </c>
      <c r="AR118" s="111" t="str">
        <f t="shared" si="92"/>
        <v/>
      </c>
      <c r="AS118" s="111" t="str">
        <f t="shared" si="93"/>
        <v/>
      </c>
      <c r="AT118" s="111" t="str">
        <f t="shared" si="94"/>
        <v/>
      </c>
      <c r="AU118" s="111" t="str">
        <f t="shared" si="95"/>
        <v/>
      </c>
      <c r="AV118" s="111" t="str">
        <f t="shared" si="96"/>
        <v/>
      </c>
      <c r="AW118" s="111" t="str">
        <f t="shared" si="96"/>
        <v/>
      </c>
      <c r="AX118" s="111" t="str">
        <f t="shared" si="96"/>
        <v/>
      </c>
      <c r="AY118" s="112" t="str">
        <f t="shared" si="97"/>
        <v/>
      </c>
      <c r="AZ118" s="113" t="str">
        <f t="shared" si="98"/>
        <v/>
      </c>
      <c r="BA118" s="114" t="str">
        <f t="shared" si="99"/>
        <v/>
      </c>
      <c r="BB118" s="250" t="s">
        <v>422</v>
      </c>
      <c r="BC118" s="230" t="s">
        <v>433</v>
      </c>
      <c r="BD118" s="251">
        <v>0</v>
      </c>
      <c r="BE118" s="270">
        <f t="shared" si="76"/>
        <v>0</v>
      </c>
      <c r="BF118" s="271">
        <f t="shared" si="100"/>
        <v>0</v>
      </c>
      <c r="BG118" s="271">
        <f t="shared" si="100"/>
        <v>0</v>
      </c>
      <c r="BH118" s="271">
        <f t="shared" si="100"/>
        <v>1</v>
      </c>
      <c r="BI118" s="271">
        <f t="shared" si="100"/>
        <v>2</v>
      </c>
      <c r="BJ118" s="271">
        <f t="shared" si="100"/>
        <v>3</v>
      </c>
      <c r="BK118" s="271">
        <f t="shared" si="100"/>
        <v>4</v>
      </c>
      <c r="BL118" s="272">
        <f t="shared" si="100"/>
        <v>5</v>
      </c>
      <c r="BM118" s="257">
        <f>IF($BC118=Lookup!$A$2,$BD118*ROUNDUP(BE118/10,0)+1,
IF($BC118=Lookup!$A$3,($BD118+1)^BD118,
IF($BC118=Lookup!$A$4,BE118*$BD118+1,"Error")))</f>
        <v>1</v>
      </c>
      <c r="BN118" s="230">
        <f>IF($BC118=Lookup!$A$2,$BD118*ROUNDUP(BF118/10,0)+1,
IF($BC118=Lookup!$A$3,($BD118+1)^BE118,
IF($BC118=Lookup!$A$4,BF118*$BD118+1,"Error")))</f>
        <v>1</v>
      </c>
      <c r="BO118" s="230">
        <f>IF($BC118=Lookup!$A$2,$BD118*ROUNDUP(BG118/10,0)+1,
IF($BC118=Lookup!$A$3,($BD118+1)^BF118,
IF($BC118=Lookup!$A$4,BG118*$BD118+1,"Error")))</f>
        <v>1</v>
      </c>
      <c r="BP118" s="230">
        <f>IF($BC118=Lookup!$A$2,$BD118*ROUNDUP(BH118/10,0)+1,
IF($BC118=Lookup!$A$3,($BD118+1)^BG118,
IF($BC118=Lookup!$A$4,BH118*$BD118+1,"Error")))</f>
        <v>1</v>
      </c>
      <c r="BQ118" s="230">
        <f>IF($BC118=Lookup!$A$2,$BD118*ROUNDUP(BI118/10,0)+1,
IF($BC118=Lookup!$A$3,($BD118+1)^BH118,
IF($BC118=Lookup!$A$4,BI118*$BD118+1,"Error")))</f>
        <v>1</v>
      </c>
      <c r="BR118" s="230">
        <f>IF($BC118=Lookup!$A$2,$BD118*ROUNDUP(BJ118/10,0)+1,
IF($BC118=Lookup!$A$3,($BD118+1)^BI118,
IF($BC118=Lookup!$A$4,BJ118*$BD118+1,"Error")))</f>
        <v>1</v>
      </c>
      <c r="BS118" s="230">
        <f>IF($BC118=Lookup!$A$2,$BD118*ROUNDUP(BK118/10,0)+1,
IF($BC118=Lookup!$A$3,($BD118+1)^BJ118,
IF($BC118=Lookup!$A$4,BK118*$BD118+1,"Error")))</f>
        <v>1</v>
      </c>
      <c r="BT118" s="251">
        <f>IF($BC118=Lookup!$A$2,$BD118*ROUNDUP(BL118/10,0)+1,
IF($BC118=Lookup!$A$3,($BD118+1)^BK118,
IF($BC118=Lookup!$A$4,BL118*$BD118+1,"Error")))</f>
        <v>1</v>
      </c>
      <c r="BU118" s="322">
        <v>0</v>
      </c>
      <c r="BV118" s="323">
        <v>0</v>
      </c>
      <c r="BW118" s="323">
        <v>0</v>
      </c>
      <c r="BX118" s="322">
        <v>0</v>
      </c>
      <c r="BY118" s="323">
        <v>0</v>
      </c>
      <c r="BZ118" s="323">
        <v>0</v>
      </c>
      <c r="CA118" s="323">
        <v>0</v>
      </c>
      <c r="CB118" s="278">
        <v>0</v>
      </c>
      <c r="CC118" s="384" t="s">
        <v>292</v>
      </c>
      <c r="CD118" s="385">
        <f>HLOOKUP($CC118,$AK$6:$AM$132,ROWS(CD$6:CD118),0)</f>
        <v>0</v>
      </c>
      <c r="CE118" s="235">
        <f t="shared" si="77"/>
        <v>0</v>
      </c>
      <c r="CF118" s="115">
        <f t="shared" si="77"/>
        <v>0</v>
      </c>
      <c r="CG118" s="522">
        <f t="shared" si="77"/>
        <v>0</v>
      </c>
      <c r="CH118" s="422">
        <f t="shared" si="77"/>
        <v>0</v>
      </c>
      <c r="CI118" s="115">
        <f t="shared" si="77"/>
        <v>0</v>
      </c>
      <c r="CJ118" s="115">
        <f t="shared" si="77"/>
        <v>0</v>
      </c>
      <c r="CK118" s="115">
        <f t="shared" si="77"/>
        <v>0</v>
      </c>
      <c r="CL118" s="287">
        <f t="shared" si="101"/>
        <v>0</v>
      </c>
      <c r="CM118" s="308" t="s">
        <v>293</v>
      </c>
      <c r="CN118" s="316">
        <v>0.05</v>
      </c>
      <c r="CO118" s="309"/>
      <c r="CP118" s="310" t="str">
        <f>IF($CO118&lt;&gt;"",$CO118,HLOOKUP($CM118,$AY$6:$BA$132,ROWS(CP$6:CP118),0))</f>
        <v/>
      </c>
      <c r="CQ118" s="785">
        <v>0</v>
      </c>
      <c r="CR118" s="785">
        <v>0</v>
      </c>
      <c r="CS118" s="638">
        <v>0</v>
      </c>
      <c r="CT118" s="467">
        <v>0</v>
      </c>
      <c r="CU118" s="117">
        <v>0</v>
      </c>
      <c r="CV118" s="117">
        <v>0</v>
      </c>
      <c r="CW118" s="117">
        <v>0</v>
      </c>
      <c r="CX118" s="118">
        <v>0</v>
      </c>
      <c r="CY118" s="393"/>
    </row>
    <row r="119" spans="1:110" x14ac:dyDescent="0.25">
      <c r="A119" s="63" t="s">
        <v>242</v>
      </c>
      <c r="B119" s="64" t="s">
        <v>239</v>
      </c>
      <c r="C119" s="65" t="s">
        <v>241</v>
      </c>
      <c r="D119" s="66"/>
      <c r="E119" s="67"/>
      <c r="F119" s="67"/>
      <c r="G119" s="67"/>
      <c r="H119" s="67"/>
      <c r="I119" s="67"/>
      <c r="J119" s="67"/>
      <c r="K119" s="67"/>
      <c r="L119" s="67"/>
      <c r="M119" s="653"/>
      <c r="N119" s="1064"/>
      <c r="O119" s="557">
        <f t="shared" si="75"/>
        <v>0</v>
      </c>
      <c r="P119" s="558">
        <f t="shared" si="51"/>
        <v>0</v>
      </c>
      <c r="Q119" s="558">
        <f t="shared" si="52"/>
        <v>0</v>
      </c>
      <c r="R119" s="558">
        <f t="shared" si="53"/>
        <v>0</v>
      </c>
      <c r="S119" s="558">
        <f t="shared" si="54"/>
        <v>0</v>
      </c>
      <c r="T119" s="558">
        <f t="shared" si="55"/>
        <v>0</v>
      </c>
      <c r="U119" s="558">
        <f t="shared" si="56"/>
        <v>0</v>
      </c>
      <c r="V119" s="558">
        <f t="shared" si="57"/>
        <v>0</v>
      </c>
      <c r="W119" s="674">
        <f t="shared" si="58"/>
        <v>0</v>
      </c>
      <c r="X119" s="674">
        <f t="shared" si="59"/>
        <v>0</v>
      </c>
      <c r="Y119" s="674">
        <f t="shared" si="59"/>
        <v>0</v>
      </c>
      <c r="Z119" s="68"/>
      <c r="AA119" s="69"/>
      <c r="AB119" s="69"/>
      <c r="AC119" s="69"/>
      <c r="AD119" s="69"/>
      <c r="AE119" s="69"/>
      <c r="AF119" s="69"/>
      <c r="AG119" s="69"/>
      <c r="AH119" s="69"/>
      <c r="AI119" s="1093"/>
      <c r="AJ119" s="664"/>
      <c r="AK119" s="70">
        <f t="shared" si="86"/>
        <v>0</v>
      </c>
      <c r="AL119" s="71" t="str" cm="1">
        <f t="array" aca="1" ref="AL119" ca="1">IFERROR(IF($AM$4="N",SSUM(AF119:AH119)/3,SUM(AG119:AI119)/3),"")</f>
        <v/>
      </c>
      <c r="AM119" s="72">
        <f t="shared" si="87"/>
        <v>0</v>
      </c>
      <c r="AN119" s="73" t="str">
        <f t="shared" si="88"/>
        <v/>
      </c>
      <c r="AO119" s="74" t="str">
        <f t="shared" si="89"/>
        <v/>
      </c>
      <c r="AP119" s="74" t="str">
        <f t="shared" si="90"/>
        <v/>
      </c>
      <c r="AQ119" s="74" t="str">
        <f t="shared" si="91"/>
        <v/>
      </c>
      <c r="AR119" s="74" t="str">
        <f t="shared" si="92"/>
        <v/>
      </c>
      <c r="AS119" s="74" t="str">
        <f t="shared" si="93"/>
        <v/>
      </c>
      <c r="AT119" s="74" t="str">
        <f t="shared" si="94"/>
        <v/>
      </c>
      <c r="AU119" s="74" t="str">
        <f t="shared" si="95"/>
        <v/>
      </c>
      <c r="AV119" s="74" t="str">
        <f t="shared" ref="AV119:AX132" si="102">IFERROR(L119/AH119,"")</f>
        <v/>
      </c>
      <c r="AW119" s="74" t="str">
        <f t="shared" si="102"/>
        <v/>
      </c>
      <c r="AX119" s="74" t="str">
        <f t="shared" si="102"/>
        <v/>
      </c>
      <c r="AY119" s="75" t="str">
        <f t="shared" si="97"/>
        <v/>
      </c>
      <c r="AZ119" s="76" t="str">
        <f t="shared" si="98"/>
        <v/>
      </c>
      <c r="BA119" s="77" t="str">
        <f t="shared" si="99"/>
        <v/>
      </c>
      <c r="BB119" s="252" t="s">
        <v>422</v>
      </c>
      <c r="BC119" s="231" t="s">
        <v>433</v>
      </c>
      <c r="BD119" s="253">
        <v>0</v>
      </c>
      <c r="BE119" s="273">
        <f t="shared" si="76"/>
        <v>0</v>
      </c>
      <c r="BF119" s="274">
        <f t="shared" ref="BF119:BL132" si="103">IF(BF$6=$BB119,1,
IF(BE119&lt;&gt;0,BE119+1,0
))</f>
        <v>0</v>
      </c>
      <c r="BG119" s="274">
        <f t="shared" si="103"/>
        <v>0</v>
      </c>
      <c r="BH119" s="274">
        <f t="shared" si="103"/>
        <v>1</v>
      </c>
      <c r="BI119" s="274">
        <f t="shared" si="103"/>
        <v>2</v>
      </c>
      <c r="BJ119" s="274">
        <f t="shared" si="103"/>
        <v>3</v>
      </c>
      <c r="BK119" s="274">
        <f t="shared" si="103"/>
        <v>4</v>
      </c>
      <c r="BL119" s="275">
        <f t="shared" si="103"/>
        <v>5</v>
      </c>
      <c r="BM119" s="258">
        <f>IF($BC119=Lookup!$A$2,$BD119*ROUNDUP(BE119/10,0)+1,
IF($BC119=Lookup!$A$3,($BD119+1)^BD119,
IF($BC119=Lookup!$A$4,BE119*$BD119+1,"Error")))</f>
        <v>1</v>
      </c>
      <c r="BN119" s="231">
        <f>IF($BC119=Lookup!$A$2,$BD119*ROUNDUP(BF119/10,0)+1,
IF($BC119=Lookup!$A$3,($BD119+1)^BE119,
IF($BC119=Lookup!$A$4,BF119*$BD119+1,"Error")))</f>
        <v>1</v>
      </c>
      <c r="BO119" s="231">
        <f>IF($BC119=Lookup!$A$2,$BD119*ROUNDUP(BG119/10,0)+1,
IF($BC119=Lookup!$A$3,($BD119+1)^BF119,
IF($BC119=Lookup!$A$4,BG119*$BD119+1,"Error")))</f>
        <v>1</v>
      </c>
      <c r="BP119" s="231">
        <f>IF($BC119=Lookup!$A$2,$BD119*ROUNDUP(BH119/10,0)+1,
IF($BC119=Lookup!$A$3,($BD119+1)^BG119,
IF($BC119=Lookup!$A$4,BH119*$BD119+1,"Error")))</f>
        <v>1</v>
      </c>
      <c r="BQ119" s="231">
        <f>IF($BC119=Lookup!$A$2,$BD119*ROUNDUP(BI119/10,0)+1,
IF($BC119=Lookup!$A$3,($BD119+1)^BH119,
IF($BC119=Lookup!$A$4,BI119*$BD119+1,"Error")))</f>
        <v>1</v>
      </c>
      <c r="BR119" s="231">
        <f>IF($BC119=Lookup!$A$2,$BD119*ROUNDUP(BJ119/10,0)+1,
IF($BC119=Lookup!$A$3,($BD119+1)^BI119,
IF($BC119=Lookup!$A$4,BJ119*$BD119+1,"Error")))</f>
        <v>1</v>
      </c>
      <c r="BS119" s="231">
        <f>IF($BC119=Lookup!$A$2,$BD119*ROUNDUP(BK119/10,0)+1,
IF($BC119=Lookup!$A$3,($BD119+1)^BJ119,
IF($BC119=Lookup!$A$4,BK119*$BD119+1,"Error")))</f>
        <v>1</v>
      </c>
      <c r="BT119" s="253">
        <f>IF($BC119=Lookup!$A$2,$BD119*ROUNDUP(BL119/10,0)+1,
IF($BC119=Lookup!$A$3,($BD119+1)^BK119,
IF($BC119=Lookup!$A$4,BL119*$BD119+1,"Error")))</f>
        <v>1</v>
      </c>
      <c r="BU119" s="324">
        <v>0</v>
      </c>
      <c r="BV119" s="325">
        <v>47</v>
      </c>
      <c r="BW119" s="325">
        <v>95</v>
      </c>
      <c r="BX119" s="324">
        <v>141</v>
      </c>
      <c r="BY119" s="325">
        <v>374</v>
      </c>
      <c r="BZ119" s="325">
        <v>305</v>
      </c>
      <c r="CA119" s="325">
        <v>257</v>
      </c>
      <c r="CB119" s="279">
        <v>288</v>
      </c>
      <c r="CC119" s="386" t="s">
        <v>292</v>
      </c>
      <c r="CD119" s="387">
        <f>HLOOKUP($CC119,$AK$6:$AM$132,ROWS(CD$6:CD119),0)</f>
        <v>0</v>
      </c>
      <c r="CE119" s="241">
        <f t="shared" si="77"/>
        <v>0</v>
      </c>
      <c r="CF119" s="144">
        <f t="shared" si="77"/>
        <v>47</v>
      </c>
      <c r="CG119" s="520">
        <f t="shared" si="77"/>
        <v>95</v>
      </c>
      <c r="CH119" s="420">
        <v>141</v>
      </c>
      <c r="CI119" s="144">
        <v>374</v>
      </c>
      <c r="CJ119" s="144">
        <v>305</v>
      </c>
      <c r="CK119" s="144">
        <v>257</v>
      </c>
      <c r="CL119" s="293">
        <v>288</v>
      </c>
      <c r="CM119" s="302" t="s">
        <v>293</v>
      </c>
      <c r="CN119" s="314">
        <v>0.05</v>
      </c>
      <c r="CO119" s="303"/>
      <c r="CP119" s="304" t="str">
        <f>IF($CO119&lt;&gt;"",$CO119,HLOOKUP($CM119,$AY$6:$BA$132,ROWS(CP$6:CP119),0))</f>
        <v/>
      </c>
      <c r="CQ119" s="783">
        <v>8559240.1567377094</v>
      </c>
      <c r="CR119" s="783">
        <v>21814226.72450079</v>
      </c>
      <c r="CS119" s="523">
        <v>22537433.194865536</v>
      </c>
      <c r="CT119" s="415">
        <v>18546238.319711953</v>
      </c>
      <c r="CU119" s="79">
        <v>18912459.532091904</v>
      </c>
      <c r="CV119" s="79">
        <v>22290924.789106578</v>
      </c>
      <c r="CW119" s="79">
        <v>20541972.958999179</v>
      </c>
      <c r="CX119" s="80">
        <v>19247568.08119012</v>
      </c>
      <c r="CY119" s="394"/>
      <c r="CZ119" s="1" t="s">
        <v>674</v>
      </c>
      <c r="DA119" s="755">
        <f>ROUND(CT119/1000000,1)</f>
        <v>18.5</v>
      </c>
      <c r="DB119" s="755">
        <f t="shared" ref="DB119:DE119" si="104">ROUND(CU119/1000000,1)</f>
        <v>18.899999999999999</v>
      </c>
      <c r="DC119" s="755">
        <f t="shared" si="104"/>
        <v>22.3</v>
      </c>
      <c r="DD119" s="755">
        <f t="shared" si="104"/>
        <v>20.5</v>
      </c>
      <c r="DE119" s="755">
        <f t="shared" si="104"/>
        <v>19.2</v>
      </c>
      <c r="DF119" s="750">
        <f>SUM(DA119:DE119)</f>
        <v>99.4</v>
      </c>
    </row>
    <row r="120" spans="1:110" x14ac:dyDescent="0.25">
      <c r="A120" s="81" t="s">
        <v>242</v>
      </c>
      <c r="B120" s="82" t="s">
        <v>243</v>
      </c>
      <c r="C120" s="83" t="s">
        <v>244</v>
      </c>
      <c r="D120" s="84"/>
      <c r="E120" s="85"/>
      <c r="F120" s="85"/>
      <c r="G120" s="85"/>
      <c r="H120" s="85"/>
      <c r="I120" s="85"/>
      <c r="J120" s="85"/>
      <c r="K120" s="85"/>
      <c r="L120" s="85"/>
      <c r="M120" s="654"/>
      <c r="N120" s="1065"/>
      <c r="O120" s="560">
        <f t="shared" si="75"/>
        <v>0</v>
      </c>
      <c r="P120" s="561">
        <f t="shared" si="51"/>
        <v>0</v>
      </c>
      <c r="Q120" s="561">
        <f t="shared" si="52"/>
        <v>0</v>
      </c>
      <c r="R120" s="561">
        <f t="shared" si="53"/>
        <v>0</v>
      </c>
      <c r="S120" s="561">
        <f t="shared" si="54"/>
        <v>0</v>
      </c>
      <c r="T120" s="561">
        <f t="shared" si="55"/>
        <v>0</v>
      </c>
      <c r="U120" s="561">
        <f t="shared" si="56"/>
        <v>0</v>
      </c>
      <c r="V120" s="561">
        <f t="shared" si="57"/>
        <v>0</v>
      </c>
      <c r="W120" s="675">
        <f t="shared" si="58"/>
        <v>0</v>
      </c>
      <c r="X120" s="675">
        <f t="shared" si="59"/>
        <v>0</v>
      </c>
      <c r="Y120" s="675">
        <f t="shared" si="59"/>
        <v>0</v>
      </c>
      <c r="Z120" s="86"/>
      <c r="AA120" s="87"/>
      <c r="AB120" s="87"/>
      <c r="AC120" s="87"/>
      <c r="AD120" s="87"/>
      <c r="AE120" s="87"/>
      <c r="AF120" s="87"/>
      <c r="AG120" s="87"/>
      <c r="AH120" s="87"/>
      <c r="AI120" s="1094"/>
      <c r="AJ120" s="665"/>
      <c r="AK120" s="88">
        <f t="shared" si="86"/>
        <v>0</v>
      </c>
      <c r="AL120" s="89" t="str" cm="1">
        <f t="array" aca="1" ref="AL120" ca="1">IFERROR(IF($AM$4="N",SSUM(AF120:AH120)/3,SUM(AG120:AI120)/3),"")</f>
        <v/>
      </c>
      <c r="AM120" s="90">
        <f t="shared" si="87"/>
        <v>0</v>
      </c>
      <c r="AN120" s="91" t="str">
        <f t="shared" si="88"/>
        <v/>
      </c>
      <c r="AO120" s="92" t="str">
        <f t="shared" si="89"/>
        <v/>
      </c>
      <c r="AP120" s="92" t="str">
        <f t="shared" si="90"/>
        <v/>
      </c>
      <c r="AQ120" s="92" t="str">
        <f t="shared" si="91"/>
        <v/>
      </c>
      <c r="AR120" s="92" t="str">
        <f t="shared" si="92"/>
        <v/>
      </c>
      <c r="AS120" s="92" t="str">
        <f t="shared" si="93"/>
        <v/>
      </c>
      <c r="AT120" s="92" t="str">
        <f t="shared" si="94"/>
        <v/>
      </c>
      <c r="AU120" s="92" t="str">
        <f t="shared" si="95"/>
        <v/>
      </c>
      <c r="AV120" s="92" t="str">
        <f t="shared" si="102"/>
        <v/>
      </c>
      <c r="AW120" s="92" t="str">
        <f t="shared" si="102"/>
        <v/>
      </c>
      <c r="AX120" s="92" t="str">
        <f t="shared" si="102"/>
        <v/>
      </c>
      <c r="AY120" s="93" t="str">
        <f t="shared" si="97"/>
        <v/>
      </c>
      <c r="AZ120" s="94" t="str">
        <f t="shared" si="98"/>
        <v/>
      </c>
      <c r="BA120" s="95" t="str">
        <f t="shared" si="99"/>
        <v/>
      </c>
      <c r="BB120" s="248" t="s">
        <v>422</v>
      </c>
      <c r="BC120" s="229" t="s">
        <v>433</v>
      </c>
      <c r="BD120" s="249">
        <v>0</v>
      </c>
      <c r="BE120" s="267">
        <f t="shared" si="76"/>
        <v>0</v>
      </c>
      <c r="BF120" s="268">
        <f t="shared" si="103"/>
        <v>0</v>
      </c>
      <c r="BG120" s="268">
        <f t="shared" si="103"/>
        <v>0</v>
      </c>
      <c r="BH120" s="268">
        <f t="shared" si="103"/>
        <v>1</v>
      </c>
      <c r="BI120" s="268">
        <f t="shared" si="103"/>
        <v>2</v>
      </c>
      <c r="BJ120" s="268">
        <f t="shared" si="103"/>
        <v>3</v>
      </c>
      <c r="BK120" s="268">
        <f t="shared" si="103"/>
        <v>4</v>
      </c>
      <c r="BL120" s="269">
        <f t="shared" si="103"/>
        <v>5</v>
      </c>
      <c r="BM120" s="256">
        <f>IF($BC120=Lookup!$A$2,$BD120*ROUNDUP(BE120/10,0)+1,
IF($BC120=Lookup!$A$3,($BD120+1)^BD120,
IF($BC120=Lookup!$A$4,BE120*$BD120+1,"Error")))</f>
        <v>1</v>
      </c>
      <c r="BN120" s="229">
        <f>IF($BC120=Lookup!$A$2,$BD120*ROUNDUP(BF120/10,0)+1,
IF($BC120=Lookup!$A$3,($BD120+1)^BE120,
IF($BC120=Lookup!$A$4,BF120*$BD120+1,"Error")))</f>
        <v>1</v>
      </c>
      <c r="BO120" s="229">
        <f>IF($BC120=Lookup!$A$2,$BD120*ROUNDUP(BG120/10,0)+1,
IF($BC120=Lookup!$A$3,($BD120+1)^BF120,
IF($BC120=Lookup!$A$4,BG120*$BD120+1,"Error")))</f>
        <v>1</v>
      </c>
      <c r="BP120" s="229">
        <f>IF($BC120=Lookup!$A$2,$BD120*ROUNDUP(BH120/10,0)+1,
IF($BC120=Lookup!$A$3,($BD120+1)^BG120,
IF($BC120=Lookup!$A$4,BH120*$BD120+1,"Error")))</f>
        <v>1</v>
      </c>
      <c r="BQ120" s="229">
        <f>IF($BC120=Lookup!$A$2,$BD120*ROUNDUP(BI120/10,0)+1,
IF($BC120=Lookup!$A$3,($BD120+1)^BH120,
IF($BC120=Lookup!$A$4,BI120*$BD120+1,"Error")))</f>
        <v>1</v>
      </c>
      <c r="BR120" s="229">
        <f>IF($BC120=Lookup!$A$2,$BD120*ROUNDUP(BJ120/10,0)+1,
IF($BC120=Lookup!$A$3,($BD120+1)^BI120,
IF($BC120=Lookup!$A$4,BJ120*$BD120+1,"Error")))</f>
        <v>1</v>
      </c>
      <c r="BS120" s="229">
        <f>IF($BC120=Lookup!$A$2,$BD120*ROUNDUP(BK120/10,0)+1,
IF($BC120=Lookup!$A$3,($BD120+1)^BJ120,
IF($BC120=Lookup!$A$4,BK120*$BD120+1,"Error")))</f>
        <v>1</v>
      </c>
      <c r="BT120" s="249">
        <f>IF($BC120=Lookup!$A$2,$BD120*ROUNDUP(BL120/10,0)+1,
IF($BC120=Lookup!$A$3,($BD120+1)^BK120,
IF($BC120=Lookup!$A$4,BL120*$BD120+1,"Error")))</f>
        <v>1</v>
      </c>
      <c r="BU120" s="320">
        <v>0</v>
      </c>
      <c r="BV120" s="321">
        <v>0</v>
      </c>
      <c r="BW120" s="321">
        <v>0</v>
      </c>
      <c r="BX120" s="320">
        <v>0</v>
      </c>
      <c r="BY120" s="321">
        <v>0</v>
      </c>
      <c r="BZ120" s="321">
        <v>0</v>
      </c>
      <c r="CA120" s="321">
        <v>0</v>
      </c>
      <c r="CB120" s="277">
        <v>0</v>
      </c>
      <c r="CC120" s="382" t="s">
        <v>292</v>
      </c>
      <c r="CD120" s="383">
        <f>HLOOKUP($CC120,$AK$6:$AM$132,ROWS(CD$6:CD120),0)</f>
        <v>0</v>
      </c>
      <c r="CE120" s="234">
        <f t="shared" si="77"/>
        <v>0</v>
      </c>
      <c r="CF120" s="96">
        <f t="shared" si="77"/>
        <v>0</v>
      </c>
      <c r="CG120" s="521">
        <f t="shared" si="77"/>
        <v>0</v>
      </c>
      <c r="CH120" s="421">
        <v>0</v>
      </c>
      <c r="CI120" s="96">
        <v>0</v>
      </c>
      <c r="CJ120" s="96">
        <v>0</v>
      </c>
      <c r="CK120" s="96">
        <v>0</v>
      </c>
      <c r="CL120" s="286">
        <v>0</v>
      </c>
      <c r="CM120" s="305" t="s">
        <v>293</v>
      </c>
      <c r="CN120" s="315">
        <v>0.05</v>
      </c>
      <c r="CO120" s="306"/>
      <c r="CP120" s="307" t="str">
        <f>IF($CO120&lt;&gt;"",$CO120,HLOOKUP($CM120,$AY$6:$BA$132,ROWS(CP$6:CP120),0))</f>
        <v/>
      </c>
      <c r="CQ120" s="784">
        <v>0</v>
      </c>
      <c r="CR120" s="784">
        <v>0</v>
      </c>
      <c r="CS120" s="524">
        <v>0</v>
      </c>
      <c r="CT120" s="416">
        <v>0</v>
      </c>
      <c r="CU120" s="97">
        <v>0</v>
      </c>
      <c r="CV120" s="97">
        <v>0</v>
      </c>
      <c r="CW120" s="97">
        <v>0</v>
      </c>
      <c r="CX120" s="98">
        <v>0</v>
      </c>
      <c r="CY120" s="392"/>
    </row>
    <row r="121" spans="1:110" x14ac:dyDescent="0.25">
      <c r="A121" s="81" t="s">
        <v>242</v>
      </c>
      <c r="B121" s="82" t="s">
        <v>245</v>
      </c>
      <c r="C121" s="83" t="s">
        <v>246</v>
      </c>
      <c r="D121" s="84"/>
      <c r="E121" s="85"/>
      <c r="F121" s="85"/>
      <c r="G121" s="85"/>
      <c r="H121" s="85"/>
      <c r="I121" s="85"/>
      <c r="J121" s="85"/>
      <c r="K121" s="85"/>
      <c r="L121" s="85"/>
      <c r="M121" s="654"/>
      <c r="N121" s="1065"/>
      <c r="O121" s="560">
        <f t="shared" si="75"/>
        <v>0</v>
      </c>
      <c r="P121" s="561">
        <f t="shared" si="51"/>
        <v>0</v>
      </c>
      <c r="Q121" s="561">
        <f t="shared" si="52"/>
        <v>0</v>
      </c>
      <c r="R121" s="561">
        <f t="shared" si="53"/>
        <v>0</v>
      </c>
      <c r="S121" s="561">
        <f t="shared" si="54"/>
        <v>0</v>
      </c>
      <c r="T121" s="561">
        <f t="shared" si="55"/>
        <v>0</v>
      </c>
      <c r="U121" s="561">
        <f t="shared" si="56"/>
        <v>0</v>
      </c>
      <c r="V121" s="561">
        <f t="shared" si="57"/>
        <v>0</v>
      </c>
      <c r="W121" s="675">
        <f t="shared" si="58"/>
        <v>0</v>
      </c>
      <c r="X121" s="675">
        <f t="shared" si="59"/>
        <v>0</v>
      </c>
      <c r="Y121" s="675">
        <f t="shared" si="59"/>
        <v>0</v>
      </c>
      <c r="Z121" s="86"/>
      <c r="AA121" s="87"/>
      <c r="AB121" s="87"/>
      <c r="AC121" s="87"/>
      <c r="AD121" s="87"/>
      <c r="AE121" s="87"/>
      <c r="AF121" s="87"/>
      <c r="AG121" s="87"/>
      <c r="AH121" s="87"/>
      <c r="AI121" s="1094"/>
      <c r="AJ121" s="665"/>
      <c r="AK121" s="88">
        <f t="shared" si="86"/>
        <v>0</v>
      </c>
      <c r="AL121" s="89" t="str" cm="1">
        <f t="array" aca="1" ref="AL121" ca="1">IFERROR(IF($AM$4="N",SSUM(AF121:AH121)/3,SUM(AG121:AI121)/3),"")</f>
        <v/>
      </c>
      <c r="AM121" s="90">
        <f t="shared" si="87"/>
        <v>0</v>
      </c>
      <c r="AN121" s="91" t="str">
        <f t="shared" si="88"/>
        <v/>
      </c>
      <c r="AO121" s="92" t="str">
        <f t="shared" si="89"/>
        <v/>
      </c>
      <c r="AP121" s="92" t="str">
        <f t="shared" si="90"/>
        <v/>
      </c>
      <c r="AQ121" s="92" t="str">
        <f t="shared" si="91"/>
        <v/>
      </c>
      <c r="AR121" s="92" t="str">
        <f t="shared" si="92"/>
        <v/>
      </c>
      <c r="AS121" s="92" t="str">
        <f t="shared" si="93"/>
        <v/>
      </c>
      <c r="AT121" s="92" t="str">
        <f t="shared" si="94"/>
        <v/>
      </c>
      <c r="AU121" s="92" t="str">
        <f t="shared" si="95"/>
        <v/>
      </c>
      <c r="AV121" s="92" t="str">
        <f t="shared" si="102"/>
        <v/>
      </c>
      <c r="AW121" s="92" t="str">
        <f t="shared" si="102"/>
        <v/>
      </c>
      <c r="AX121" s="92" t="str">
        <f t="shared" si="102"/>
        <v/>
      </c>
      <c r="AY121" s="93" t="str">
        <f t="shared" si="97"/>
        <v/>
      </c>
      <c r="AZ121" s="94" t="str">
        <f t="shared" si="98"/>
        <v/>
      </c>
      <c r="BA121" s="95" t="str">
        <f t="shared" si="99"/>
        <v/>
      </c>
      <c r="BB121" s="248" t="s">
        <v>422</v>
      </c>
      <c r="BC121" s="229" t="s">
        <v>433</v>
      </c>
      <c r="BD121" s="249">
        <v>0</v>
      </c>
      <c r="BE121" s="267">
        <f t="shared" si="76"/>
        <v>0</v>
      </c>
      <c r="BF121" s="268">
        <f t="shared" si="103"/>
        <v>0</v>
      </c>
      <c r="BG121" s="268">
        <f t="shared" si="103"/>
        <v>0</v>
      </c>
      <c r="BH121" s="268">
        <f t="shared" si="103"/>
        <v>1</v>
      </c>
      <c r="BI121" s="268">
        <f t="shared" si="103"/>
        <v>2</v>
      </c>
      <c r="BJ121" s="268">
        <f t="shared" si="103"/>
        <v>3</v>
      </c>
      <c r="BK121" s="268">
        <f t="shared" si="103"/>
        <v>4</v>
      </c>
      <c r="BL121" s="269">
        <f t="shared" si="103"/>
        <v>5</v>
      </c>
      <c r="BM121" s="256">
        <f>IF($BC121=Lookup!$A$2,$BD121*ROUNDUP(BE121/10,0)+1,
IF($BC121=Lookup!$A$3,($BD121+1)^BD121,
IF($BC121=Lookup!$A$4,BE121*$BD121+1,"Error")))</f>
        <v>1</v>
      </c>
      <c r="BN121" s="229">
        <f>IF($BC121=Lookup!$A$2,$BD121*ROUNDUP(BF121/10,0)+1,
IF($BC121=Lookup!$A$3,($BD121+1)^BE121,
IF($BC121=Lookup!$A$4,BF121*$BD121+1,"Error")))</f>
        <v>1</v>
      </c>
      <c r="BO121" s="229">
        <f>IF($BC121=Lookup!$A$2,$BD121*ROUNDUP(BG121/10,0)+1,
IF($BC121=Lookup!$A$3,($BD121+1)^BF121,
IF($BC121=Lookup!$A$4,BG121*$BD121+1,"Error")))</f>
        <v>1</v>
      </c>
      <c r="BP121" s="229">
        <f>IF($BC121=Lookup!$A$2,$BD121*ROUNDUP(BH121/10,0)+1,
IF($BC121=Lookup!$A$3,($BD121+1)^BG121,
IF($BC121=Lookup!$A$4,BH121*$BD121+1,"Error")))</f>
        <v>1</v>
      </c>
      <c r="BQ121" s="229">
        <f>IF($BC121=Lookup!$A$2,$BD121*ROUNDUP(BI121/10,0)+1,
IF($BC121=Lookup!$A$3,($BD121+1)^BH121,
IF($BC121=Lookup!$A$4,BI121*$BD121+1,"Error")))</f>
        <v>1</v>
      </c>
      <c r="BR121" s="229">
        <f>IF($BC121=Lookup!$A$2,$BD121*ROUNDUP(BJ121/10,0)+1,
IF($BC121=Lookup!$A$3,($BD121+1)^BI121,
IF($BC121=Lookup!$A$4,BJ121*$BD121+1,"Error")))</f>
        <v>1</v>
      </c>
      <c r="BS121" s="229">
        <f>IF($BC121=Lookup!$A$2,$BD121*ROUNDUP(BK121/10,0)+1,
IF($BC121=Lookup!$A$3,($BD121+1)^BJ121,
IF($BC121=Lookup!$A$4,BK121*$BD121+1,"Error")))</f>
        <v>1</v>
      </c>
      <c r="BT121" s="249">
        <f>IF($BC121=Lookup!$A$2,$BD121*ROUNDUP(BL121/10,0)+1,
IF($BC121=Lookup!$A$3,($BD121+1)^BK121,
IF($BC121=Lookup!$A$4,BL121*$BD121+1,"Error")))</f>
        <v>1</v>
      </c>
      <c r="BU121" s="320">
        <v>0</v>
      </c>
      <c r="BV121" s="321">
        <v>5</v>
      </c>
      <c r="BW121" s="321">
        <v>7</v>
      </c>
      <c r="BX121" s="320">
        <v>1.2</v>
      </c>
      <c r="BY121" s="321">
        <v>1.2</v>
      </c>
      <c r="BZ121" s="321">
        <v>0</v>
      </c>
      <c r="CA121" s="321">
        <v>0.2</v>
      </c>
      <c r="CB121" s="277">
        <v>15</v>
      </c>
      <c r="CC121" s="382" t="s">
        <v>292</v>
      </c>
      <c r="CD121" s="383">
        <f>HLOOKUP($CC121,$AK$6:$AM$132,ROWS(CD$6:CD121),0)</f>
        <v>0</v>
      </c>
      <c r="CE121" s="234">
        <f t="shared" si="77"/>
        <v>0</v>
      </c>
      <c r="CF121" s="96">
        <f t="shared" si="77"/>
        <v>5</v>
      </c>
      <c r="CG121" s="521">
        <f t="shared" si="77"/>
        <v>7</v>
      </c>
      <c r="CH121" s="421">
        <v>78.8</v>
      </c>
      <c r="CI121" s="96">
        <v>78.8</v>
      </c>
      <c r="CJ121" s="96">
        <v>77.599999999999994</v>
      </c>
      <c r="CK121" s="96">
        <v>77.8</v>
      </c>
      <c r="CL121" s="286">
        <v>77.599999999999994</v>
      </c>
      <c r="CM121" s="305" t="s">
        <v>293</v>
      </c>
      <c r="CN121" s="315">
        <v>0.05</v>
      </c>
      <c r="CO121" s="306"/>
      <c r="CP121" s="307" t="str">
        <f>IF($CO121&lt;&gt;"",$CO121,HLOOKUP($CM121,$AY$6:$BA$132,ROWS(CP$6:CP121),0))</f>
        <v/>
      </c>
      <c r="CQ121" s="784">
        <v>0</v>
      </c>
      <c r="CR121" s="784">
        <v>3208013.044629727</v>
      </c>
      <c r="CS121" s="524">
        <v>6725983.39868946</v>
      </c>
      <c r="CT121" s="416">
        <v>7412609.7272177413</v>
      </c>
      <c r="CU121" s="97">
        <v>7543300.4030644111</v>
      </c>
      <c r="CV121" s="97">
        <v>10922277.297201702</v>
      </c>
      <c r="CW121" s="97">
        <v>15395184.005730432</v>
      </c>
      <c r="CX121" s="98">
        <v>16479529.890598517</v>
      </c>
      <c r="CY121" s="392"/>
      <c r="CZ121" s="1" t="s">
        <v>490</v>
      </c>
      <c r="DA121" s="1">
        <f>ROUND(SUM(CT121,CT123:CT124)/1000000,1)</f>
        <v>11.2</v>
      </c>
      <c r="DB121" s="1">
        <f t="shared" ref="DB121:DE121" si="105">ROUND(SUM(CU121,CU123:CU124)/1000000,1)</f>
        <v>12.3</v>
      </c>
      <c r="DC121" s="1">
        <f t="shared" si="105"/>
        <v>17</v>
      </c>
      <c r="DD121" s="1">
        <f t="shared" si="105"/>
        <v>21.9</v>
      </c>
      <c r="DE121" s="1">
        <f t="shared" si="105"/>
        <v>25.4</v>
      </c>
      <c r="DF121" s="750">
        <f>SUM(DA121:DE121)</f>
        <v>87.8</v>
      </c>
    </row>
    <row r="122" spans="1:110" x14ac:dyDescent="0.25">
      <c r="A122" s="81" t="s">
        <v>242</v>
      </c>
      <c r="B122" s="82" t="s">
        <v>247</v>
      </c>
      <c r="C122" s="83" t="s">
        <v>248</v>
      </c>
      <c r="D122" s="84"/>
      <c r="E122" s="85"/>
      <c r="F122" s="85"/>
      <c r="G122" s="85"/>
      <c r="H122" s="85"/>
      <c r="I122" s="85"/>
      <c r="J122" s="85"/>
      <c r="K122" s="85"/>
      <c r="L122" s="85"/>
      <c r="M122" s="654"/>
      <c r="N122" s="1065"/>
      <c r="O122" s="560">
        <f t="shared" si="75"/>
        <v>0</v>
      </c>
      <c r="P122" s="561">
        <f t="shared" si="51"/>
        <v>0</v>
      </c>
      <c r="Q122" s="561">
        <f t="shared" si="52"/>
        <v>0</v>
      </c>
      <c r="R122" s="561">
        <f t="shared" si="53"/>
        <v>0</v>
      </c>
      <c r="S122" s="561">
        <f t="shared" si="54"/>
        <v>0</v>
      </c>
      <c r="T122" s="561">
        <f t="shared" si="55"/>
        <v>0</v>
      </c>
      <c r="U122" s="561">
        <f t="shared" si="56"/>
        <v>0</v>
      </c>
      <c r="V122" s="561">
        <f t="shared" si="57"/>
        <v>0</v>
      </c>
      <c r="W122" s="675">
        <f t="shared" si="58"/>
        <v>0</v>
      </c>
      <c r="X122" s="675">
        <f t="shared" si="59"/>
        <v>0</v>
      </c>
      <c r="Y122" s="675">
        <f t="shared" si="59"/>
        <v>0</v>
      </c>
      <c r="Z122" s="86"/>
      <c r="AA122" s="87"/>
      <c r="AB122" s="87"/>
      <c r="AC122" s="87"/>
      <c r="AD122" s="87"/>
      <c r="AE122" s="87"/>
      <c r="AF122" s="87"/>
      <c r="AG122" s="87"/>
      <c r="AH122" s="87"/>
      <c r="AI122" s="1094"/>
      <c r="AJ122" s="665"/>
      <c r="AK122" s="88">
        <f t="shared" si="86"/>
        <v>0</v>
      </c>
      <c r="AL122" s="89" t="str" cm="1">
        <f t="array" aca="1" ref="AL122" ca="1">IFERROR(IF($AM$4="N",SSUM(AF122:AH122)/3,SUM(AG122:AI122)/3),"")</f>
        <v/>
      </c>
      <c r="AM122" s="90">
        <f t="shared" si="87"/>
        <v>0</v>
      </c>
      <c r="AN122" s="91" t="str">
        <f t="shared" si="88"/>
        <v/>
      </c>
      <c r="AO122" s="92" t="str">
        <f t="shared" si="89"/>
        <v/>
      </c>
      <c r="AP122" s="92" t="str">
        <f t="shared" si="90"/>
        <v/>
      </c>
      <c r="AQ122" s="92" t="str">
        <f t="shared" si="91"/>
        <v/>
      </c>
      <c r="AR122" s="92" t="str">
        <f t="shared" si="92"/>
        <v/>
      </c>
      <c r="AS122" s="92" t="str">
        <f t="shared" si="93"/>
        <v/>
      </c>
      <c r="AT122" s="92" t="str">
        <f t="shared" si="94"/>
        <v/>
      </c>
      <c r="AU122" s="92" t="str">
        <f t="shared" si="95"/>
        <v/>
      </c>
      <c r="AV122" s="92" t="str">
        <f t="shared" si="102"/>
        <v/>
      </c>
      <c r="AW122" s="92" t="str">
        <f t="shared" si="102"/>
        <v/>
      </c>
      <c r="AX122" s="92" t="str">
        <f t="shared" si="102"/>
        <v/>
      </c>
      <c r="AY122" s="93" t="str">
        <f t="shared" si="97"/>
        <v/>
      </c>
      <c r="AZ122" s="94" t="str">
        <f t="shared" si="98"/>
        <v/>
      </c>
      <c r="BA122" s="95" t="str">
        <f t="shared" si="99"/>
        <v/>
      </c>
      <c r="BB122" s="248" t="s">
        <v>422</v>
      </c>
      <c r="BC122" s="229" t="s">
        <v>433</v>
      </c>
      <c r="BD122" s="249">
        <v>0</v>
      </c>
      <c r="BE122" s="267">
        <f t="shared" si="76"/>
        <v>0</v>
      </c>
      <c r="BF122" s="268">
        <f t="shared" si="103"/>
        <v>0</v>
      </c>
      <c r="BG122" s="268">
        <f t="shared" si="103"/>
        <v>0</v>
      </c>
      <c r="BH122" s="268">
        <f t="shared" si="103"/>
        <v>1</v>
      </c>
      <c r="BI122" s="268">
        <f t="shared" si="103"/>
        <v>2</v>
      </c>
      <c r="BJ122" s="268">
        <f t="shared" si="103"/>
        <v>3</v>
      </c>
      <c r="BK122" s="268">
        <f t="shared" si="103"/>
        <v>4</v>
      </c>
      <c r="BL122" s="269">
        <f t="shared" si="103"/>
        <v>5</v>
      </c>
      <c r="BM122" s="256">
        <f>IF($BC122=Lookup!$A$2,$BD122*ROUNDUP(BE122/10,0)+1,
IF($BC122=Lookup!$A$3,($BD122+1)^BD122,
IF($BC122=Lookup!$A$4,BE122*$BD122+1,"Error")))</f>
        <v>1</v>
      </c>
      <c r="BN122" s="229">
        <f>IF($BC122=Lookup!$A$2,$BD122*ROUNDUP(BF122/10,0)+1,
IF($BC122=Lookup!$A$3,($BD122+1)^BE122,
IF($BC122=Lookup!$A$4,BF122*$BD122+1,"Error")))</f>
        <v>1</v>
      </c>
      <c r="BO122" s="229">
        <f>IF($BC122=Lookup!$A$2,$BD122*ROUNDUP(BG122/10,0)+1,
IF($BC122=Lookup!$A$3,($BD122+1)^BF122,
IF($BC122=Lookup!$A$4,BG122*$BD122+1,"Error")))</f>
        <v>1</v>
      </c>
      <c r="BP122" s="229">
        <f>IF($BC122=Lookup!$A$2,$BD122*ROUNDUP(BH122/10,0)+1,
IF($BC122=Lookup!$A$3,($BD122+1)^BG122,
IF($BC122=Lookup!$A$4,BH122*$BD122+1,"Error")))</f>
        <v>1</v>
      </c>
      <c r="BQ122" s="229">
        <f>IF($BC122=Lookup!$A$2,$BD122*ROUNDUP(BI122/10,0)+1,
IF($BC122=Lookup!$A$3,($BD122+1)^BH122,
IF($BC122=Lookup!$A$4,BI122*$BD122+1,"Error")))</f>
        <v>1</v>
      </c>
      <c r="BR122" s="229">
        <f>IF($BC122=Lookup!$A$2,$BD122*ROUNDUP(BJ122/10,0)+1,
IF($BC122=Lookup!$A$3,($BD122+1)^BI122,
IF($BC122=Lookup!$A$4,BJ122*$BD122+1,"Error")))</f>
        <v>1</v>
      </c>
      <c r="BS122" s="229">
        <f>IF($BC122=Lookup!$A$2,$BD122*ROUNDUP(BK122/10,0)+1,
IF($BC122=Lookup!$A$3,($BD122+1)^BJ122,
IF($BC122=Lookup!$A$4,BK122*$BD122+1,"Error")))</f>
        <v>1</v>
      </c>
      <c r="BT122" s="249">
        <f>IF($BC122=Lookup!$A$2,$BD122*ROUNDUP(BL122/10,0)+1,
IF($BC122=Lookup!$A$3,($BD122+1)^BK122,
IF($BC122=Lookup!$A$4,BL122*$BD122+1,"Error")))</f>
        <v>1</v>
      </c>
      <c r="BU122" s="320">
        <v>0</v>
      </c>
      <c r="BV122" s="321">
        <v>0</v>
      </c>
      <c r="BW122" s="321">
        <v>0</v>
      </c>
      <c r="BX122" s="320">
        <v>0</v>
      </c>
      <c r="BY122" s="321">
        <v>0</v>
      </c>
      <c r="BZ122" s="321">
        <v>0</v>
      </c>
      <c r="CA122" s="321">
        <v>0</v>
      </c>
      <c r="CB122" s="277">
        <v>0</v>
      </c>
      <c r="CC122" s="382" t="s">
        <v>292</v>
      </c>
      <c r="CD122" s="383">
        <f>HLOOKUP($CC122,$AK$6:$AM$132,ROWS(CD$6:CD122),0)</f>
        <v>0</v>
      </c>
      <c r="CE122" s="234">
        <f t="shared" si="77"/>
        <v>0</v>
      </c>
      <c r="CF122" s="96">
        <f t="shared" si="77"/>
        <v>0</v>
      </c>
      <c r="CG122" s="521">
        <f t="shared" si="77"/>
        <v>0</v>
      </c>
      <c r="CH122" s="421">
        <v>0</v>
      </c>
      <c r="CI122" s="96">
        <v>0</v>
      </c>
      <c r="CJ122" s="96">
        <v>0</v>
      </c>
      <c r="CK122" s="96">
        <v>0</v>
      </c>
      <c r="CL122" s="286">
        <v>0</v>
      </c>
      <c r="CM122" s="305" t="s">
        <v>293</v>
      </c>
      <c r="CN122" s="315">
        <v>0.05</v>
      </c>
      <c r="CO122" s="306"/>
      <c r="CP122" s="307" t="str">
        <f>IF($CO122&lt;&gt;"",$CO122,HLOOKUP($CM122,$AY$6:$BA$132,ROWS(CP$6:CP122),0))</f>
        <v/>
      </c>
      <c r="CQ122" s="784">
        <v>0</v>
      </c>
      <c r="CR122" s="784">
        <v>0</v>
      </c>
      <c r="CS122" s="524">
        <v>0</v>
      </c>
      <c r="CT122" s="416">
        <v>0</v>
      </c>
      <c r="CU122" s="97">
        <v>0</v>
      </c>
      <c r="CV122" s="97">
        <v>0</v>
      </c>
      <c r="CW122" s="97">
        <v>0</v>
      </c>
      <c r="CX122" s="98">
        <v>0</v>
      </c>
      <c r="CY122" s="392"/>
    </row>
    <row r="123" spans="1:110" x14ac:dyDescent="0.25">
      <c r="A123" s="81" t="s">
        <v>242</v>
      </c>
      <c r="B123" s="82" t="s">
        <v>249</v>
      </c>
      <c r="C123" s="83" t="s">
        <v>250</v>
      </c>
      <c r="D123" s="84"/>
      <c r="E123" s="85"/>
      <c r="F123" s="85"/>
      <c r="G123" s="85"/>
      <c r="H123" s="85"/>
      <c r="I123" s="85"/>
      <c r="J123" s="85"/>
      <c r="K123" s="85"/>
      <c r="L123" s="85"/>
      <c r="M123" s="654"/>
      <c r="N123" s="1065"/>
      <c r="O123" s="560">
        <f t="shared" si="75"/>
        <v>0</v>
      </c>
      <c r="P123" s="561">
        <f t="shared" si="51"/>
        <v>0</v>
      </c>
      <c r="Q123" s="561">
        <f t="shared" si="52"/>
        <v>0</v>
      </c>
      <c r="R123" s="561">
        <f t="shared" si="53"/>
        <v>0</v>
      </c>
      <c r="S123" s="561">
        <f t="shared" si="54"/>
        <v>0</v>
      </c>
      <c r="T123" s="561">
        <f t="shared" si="55"/>
        <v>0</v>
      </c>
      <c r="U123" s="561">
        <f t="shared" si="56"/>
        <v>0</v>
      </c>
      <c r="V123" s="561">
        <f t="shared" si="57"/>
        <v>0</v>
      </c>
      <c r="W123" s="675">
        <f t="shared" si="58"/>
        <v>0</v>
      </c>
      <c r="X123" s="675">
        <f t="shared" si="59"/>
        <v>0</v>
      </c>
      <c r="Y123" s="675">
        <f t="shared" si="59"/>
        <v>0</v>
      </c>
      <c r="Z123" s="86"/>
      <c r="AA123" s="87"/>
      <c r="AB123" s="87"/>
      <c r="AC123" s="87"/>
      <c r="AD123" s="87"/>
      <c r="AE123" s="87"/>
      <c r="AF123" s="87"/>
      <c r="AG123" s="87"/>
      <c r="AH123" s="87"/>
      <c r="AI123" s="1094"/>
      <c r="AJ123" s="665"/>
      <c r="AK123" s="88">
        <f t="shared" si="86"/>
        <v>0</v>
      </c>
      <c r="AL123" s="89" t="str" cm="1">
        <f t="array" aca="1" ref="AL123" ca="1">IFERROR(IF($AM$4="N",SSUM(AF123:AH123)/3,SUM(AG123:AI123)/3),"")</f>
        <v/>
      </c>
      <c r="AM123" s="90">
        <f t="shared" si="87"/>
        <v>0</v>
      </c>
      <c r="AN123" s="91" t="str">
        <f t="shared" si="88"/>
        <v/>
      </c>
      <c r="AO123" s="92" t="str">
        <f t="shared" si="89"/>
        <v/>
      </c>
      <c r="AP123" s="92" t="str">
        <f t="shared" si="90"/>
        <v/>
      </c>
      <c r="AQ123" s="92" t="str">
        <f t="shared" si="91"/>
        <v/>
      </c>
      <c r="AR123" s="92" t="str">
        <f t="shared" si="92"/>
        <v/>
      </c>
      <c r="AS123" s="92" t="str">
        <f t="shared" si="93"/>
        <v/>
      </c>
      <c r="AT123" s="92" t="str">
        <f t="shared" si="94"/>
        <v/>
      </c>
      <c r="AU123" s="92" t="str">
        <f t="shared" si="95"/>
        <v/>
      </c>
      <c r="AV123" s="92" t="str">
        <f t="shared" si="102"/>
        <v/>
      </c>
      <c r="AW123" s="92" t="str">
        <f t="shared" si="102"/>
        <v/>
      </c>
      <c r="AX123" s="92" t="str">
        <f t="shared" si="102"/>
        <v/>
      </c>
      <c r="AY123" s="93" t="str">
        <f t="shared" si="97"/>
        <v/>
      </c>
      <c r="AZ123" s="94" t="str">
        <f t="shared" si="98"/>
        <v/>
      </c>
      <c r="BA123" s="95" t="str">
        <f t="shared" si="99"/>
        <v/>
      </c>
      <c r="BB123" s="248" t="s">
        <v>422</v>
      </c>
      <c r="BC123" s="229" t="s">
        <v>433</v>
      </c>
      <c r="BD123" s="249">
        <v>0</v>
      </c>
      <c r="BE123" s="267">
        <f t="shared" si="76"/>
        <v>0</v>
      </c>
      <c r="BF123" s="268">
        <f t="shared" si="103"/>
        <v>0</v>
      </c>
      <c r="BG123" s="268">
        <f t="shared" si="103"/>
        <v>0</v>
      </c>
      <c r="BH123" s="268">
        <f t="shared" si="103"/>
        <v>1</v>
      </c>
      <c r="BI123" s="268">
        <f t="shared" si="103"/>
        <v>2</v>
      </c>
      <c r="BJ123" s="268">
        <f t="shared" si="103"/>
        <v>3</v>
      </c>
      <c r="BK123" s="268">
        <f t="shared" si="103"/>
        <v>4</v>
      </c>
      <c r="BL123" s="269">
        <f t="shared" si="103"/>
        <v>5</v>
      </c>
      <c r="BM123" s="256">
        <f>IF($BC123=Lookup!$A$2,$BD123*ROUNDUP(BE123/10,0)+1,
IF($BC123=Lookup!$A$3,($BD123+1)^BD123,
IF($BC123=Lookup!$A$4,BE123*$BD123+1,"Error")))</f>
        <v>1</v>
      </c>
      <c r="BN123" s="229">
        <f>IF($BC123=Lookup!$A$2,$BD123*ROUNDUP(BF123/10,0)+1,
IF($BC123=Lookup!$A$3,($BD123+1)^BE123,
IF($BC123=Lookup!$A$4,BF123*$BD123+1,"Error")))</f>
        <v>1</v>
      </c>
      <c r="BO123" s="229">
        <f>IF($BC123=Lookup!$A$2,$BD123*ROUNDUP(BG123/10,0)+1,
IF($BC123=Lookup!$A$3,($BD123+1)^BF123,
IF($BC123=Lookup!$A$4,BG123*$BD123+1,"Error")))</f>
        <v>1</v>
      </c>
      <c r="BP123" s="229">
        <f>IF($BC123=Lookup!$A$2,$BD123*ROUNDUP(BH123/10,0)+1,
IF($BC123=Lookup!$A$3,($BD123+1)^BG123,
IF($BC123=Lookup!$A$4,BH123*$BD123+1,"Error")))</f>
        <v>1</v>
      </c>
      <c r="BQ123" s="229">
        <f>IF($BC123=Lookup!$A$2,$BD123*ROUNDUP(BI123/10,0)+1,
IF($BC123=Lookup!$A$3,($BD123+1)^BH123,
IF($BC123=Lookup!$A$4,BI123*$BD123+1,"Error")))</f>
        <v>1</v>
      </c>
      <c r="BR123" s="229">
        <f>IF($BC123=Lookup!$A$2,$BD123*ROUNDUP(BJ123/10,0)+1,
IF($BC123=Lookup!$A$3,($BD123+1)^BI123,
IF($BC123=Lookup!$A$4,BJ123*$BD123+1,"Error")))</f>
        <v>1</v>
      </c>
      <c r="BS123" s="229">
        <f>IF($BC123=Lookup!$A$2,$BD123*ROUNDUP(BK123/10,0)+1,
IF($BC123=Lookup!$A$3,($BD123+1)^BJ123,
IF($BC123=Lookup!$A$4,BK123*$BD123+1,"Error")))</f>
        <v>1</v>
      </c>
      <c r="BT123" s="249">
        <f>IF($BC123=Lookup!$A$2,$BD123*ROUNDUP(BL123/10,0)+1,
IF($BC123=Lookup!$A$3,($BD123+1)^BK123,
IF($BC123=Lookup!$A$4,BL123*$BD123+1,"Error")))</f>
        <v>1</v>
      </c>
      <c r="BU123" s="320">
        <v>0</v>
      </c>
      <c r="BV123" s="321">
        <v>0</v>
      </c>
      <c r="BW123" s="321">
        <v>0</v>
      </c>
      <c r="BX123" s="320">
        <v>0</v>
      </c>
      <c r="BY123" s="321">
        <v>0</v>
      </c>
      <c r="BZ123" s="321">
        <v>0</v>
      </c>
      <c r="CA123" s="321">
        <v>0</v>
      </c>
      <c r="CB123" s="277">
        <v>0</v>
      </c>
      <c r="CC123" s="382" t="s">
        <v>292</v>
      </c>
      <c r="CD123" s="383">
        <f>HLOOKUP($CC123,$AK$6:$AM$132,ROWS(CD$6:CD123),0)</f>
        <v>0</v>
      </c>
      <c r="CE123" s="234">
        <f t="shared" si="77"/>
        <v>0</v>
      </c>
      <c r="CF123" s="96">
        <f t="shared" si="77"/>
        <v>0</v>
      </c>
      <c r="CG123" s="521">
        <f t="shared" si="77"/>
        <v>0</v>
      </c>
      <c r="CH123" s="421">
        <v>48.4</v>
      </c>
      <c r="CI123" s="96">
        <v>46.4</v>
      </c>
      <c r="CJ123" s="96">
        <v>46.4</v>
      </c>
      <c r="CK123" s="96">
        <v>46.4</v>
      </c>
      <c r="CL123" s="286">
        <v>46.4</v>
      </c>
      <c r="CM123" s="305" t="s">
        <v>293</v>
      </c>
      <c r="CN123" s="315">
        <v>0.05</v>
      </c>
      <c r="CO123" s="306"/>
      <c r="CP123" s="307" t="str">
        <f>IF($CO123&lt;&gt;"",$CO123,HLOOKUP($CM123,$AY$6:$BA$132,ROWS(CP$6:CP123),0))</f>
        <v/>
      </c>
      <c r="CQ123" s="784">
        <v>0</v>
      </c>
      <c r="CR123" s="784">
        <v>0</v>
      </c>
      <c r="CS123" s="524">
        <v>0</v>
      </c>
      <c r="CT123" s="416">
        <v>3242291.6601543818</v>
      </c>
      <c r="CU123" s="97">
        <v>4040475.7847504294</v>
      </c>
      <c r="CV123" s="97">
        <v>4281891.3568566572</v>
      </c>
      <c r="CW123" s="97">
        <v>4603697.3246121071</v>
      </c>
      <c r="CX123" s="98">
        <v>5736055.1744616367</v>
      </c>
      <c r="CY123" s="392"/>
    </row>
    <row r="124" spans="1:110" x14ac:dyDescent="0.25">
      <c r="A124" s="81" t="s">
        <v>242</v>
      </c>
      <c r="B124" s="82" t="s">
        <v>251</v>
      </c>
      <c r="C124" s="83" t="s">
        <v>252</v>
      </c>
      <c r="D124" s="84"/>
      <c r="E124" s="85"/>
      <c r="F124" s="85"/>
      <c r="G124" s="85"/>
      <c r="H124" s="85"/>
      <c r="I124" s="85"/>
      <c r="J124" s="85"/>
      <c r="K124" s="85"/>
      <c r="L124" s="85"/>
      <c r="M124" s="654"/>
      <c r="N124" s="1065"/>
      <c r="O124" s="560">
        <f t="shared" si="75"/>
        <v>0</v>
      </c>
      <c r="P124" s="561">
        <f t="shared" si="51"/>
        <v>0</v>
      </c>
      <c r="Q124" s="561">
        <f t="shared" si="52"/>
        <v>0</v>
      </c>
      <c r="R124" s="561">
        <f t="shared" si="53"/>
        <v>0</v>
      </c>
      <c r="S124" s="561">
        <f t="shared" si="54"/>
        <v>0</v>
      </c>
      <c r="T124" s="561">
        <f t="shared" si="55"/>
        <v>0</v>
      </c>
      <c r="U124" s="561">
        <f t="shared" si="56"/>
        <v>0</v>
      </c>
      <c r="V124" s="561">
        <f t="shared" si="57"/>
        <v>0</v>
      </c>
      <c r="W124" s="675">
        <f t="shared" si="58"/>
        <v>0</v>
      </c>
      <c r="X124" s="675">
        <f t="shared" si="59"/>
        <v>0</v>
      </c>
      <c r="Y124" s="675">
        <f t="shared" si="59"/>
        <v>0</v>
      </c>
      <c r="Z124" s="86"/>
      <c r="AA124" s="87"/>
      <c r="AB124" s="87"/>
      <c r="AC124" s="87"/>
      <c r="AD124" s="87"/>
      <c r="AE124" s="87"/>
      <c r="AF124" s="87"/>
      <c r="AG124" s="87"/>
      <c r="AH124" s="87"/>
      <c r="AI124" s="1094"/>
      <c r="AJ124" s="665"/>
      <c r="AK124" s="88">
        <f t="shared" si="86"/>
        <v>0</v>
      </c>
      <c r="AL124" s="89" t="str" cm="1">
        <f t="array" aca="1" ref="AL124" ca="1">IFERROR(IF($AM$4="N",SSUM(AF124:AH124)/3,SUM(AG124:AI124)/3),"")</f>
        <v/>
      </c>
      <c r="AM124" s="90">
        <f t="shared" si="87"/>
        <v>0</v>
      </c>
      <c r="AN124" s="91" t="str">
        <f t="shared" si="88"/>
        <v/>
      </c>
      <c r="AO124" s="92" t="str">
        <f t="shared" si="89"/>
        <v/>
      </c>
      <c r="AP124" s="92" t="str">
        <f t="shared" si="90"/>
        <v/>
      </c>
      <c r="AQ124" s="92" t="str">
        <f t="shared" si="91"/>
        <v/>
      </c>
      <c r="AR124" s="92" t="str">
        <f t="shared" si="92"/>
        <v/>
      </c>
      <c r="AS124" s="92" t="str">
        <f t="shared" si="93"/>
        <v/>
      </c>
      <c r="AT124" s="92" t="str">
        <f t="shared" si="94"/>
        <v/>
      </c>
      <c r="AU124" s="92" t="str">
        <f t="shared" si="95"/>
        <v/>
      </c>
      <c r="AV124" s="92" t="str">
        <f t="shared" si="102"/>
        <v/>
      </c>
      <c r="AW124" s="92" t="str">
        <f t="shared" si="102"/>
        <v/>
      </c>
      <c r="AX124" s="92" t="str">
        <f t="shared" si="102"/>
        <v/>
      </c>
      <c r="AY124" s="93" t="str">
        <f t="shared" si="97"/>
        <v/>
      </c>
      <c r="AZ124" s="94" t="str">
        <f t="shared" si="98"/>
        <v/>
      </c>
      <c r="BA124" s="95" t="str">
        <f t="shared" si="99"/>
        <v/>
      </c>
      <c r="BB124" s="248" t="s">
        <v>422</v>
      </c>
      <c r="BC124" s="229" t="s">
        <v>433</v>
      </c>
      <c r="BD124" s="249">
        <v>0</v>
      </c>
      <c r="BE124" s="267">
        <f t="shared" si="76"/>
        <v>0</v>
      </c>
      <c r="BF124" s="268">
        <f t="shared" si="103"/>
        <v>0</v>
      </c>
      <c r="BG124" s="268">
        <f t="shared" si="103"/>
        <v>0</v>
      </c>
      <c r="BH124" s="268">
        <f t="shared" si="103"/>
        <v>1</v>
      </c>
      <c r="BI124" s="268">
        <f t="shared" si="103"/>
        <v>2</v>
      </c>
      <c r="BJ124" s="268">
        <f t="shared" si="103"/>
        <v>3</v>
      </c>
      <c r="BK124" s="268">
        <f t="shared" si="103"/>
        <v>4</v>
      </c>
      <c r="BL124" s="269">
        <f t="shared" si="103"/>
        <v>5</v>
      </c>
      <c r="BM124" s="256">
        <f>IF($BC124=Lookup!$A$2,$BD124*ROUNDUP(BE124/10,0)+1,
IF($BC124=Lookup!$A$3,($BD124+1)^BD124,
IF($BC124=Lookup!$A$4,BE124*$BD124+1,"Error")))</f>
        <v>1</v>
      </c>
      <c r="BN124" s="229">
        <f>IF($BC124=Lookup!$A$2,$BD124*ROUNDUP(BF124/10,0)+1,
IF($BC124=Lookup!$A$3,($BD124+1)^BE124,
IF($BC124=Lookup!$A$4,BF124*$BD124+1,"Error")))</f>
        <v>1</v>
      </c>
      <c r="BO124" s="229">
        <f>IF($BC124=Lookup!$A$2,$BD124*ROUNDUP(BG124/10,0)+1,
IF($BC124=Lookup!$A$3,($BD124+1)^BF124,
IF($BC124=Lookup!$A$4,BG124*$BD124+1,"Error")))</f>
        <v>1</v>
      </c>
      <c r="BP124" s="229">
        <f>IF($BC124=Lookup!$A$2,$BD124*ROUNDUP(BH124/10,0)+1,
IF($BC124=Lookup!$A$3,($BD124+1)^BG124,
IF($BC124=Lookup!$A$4,BH124*$BD124+1,"Error")))</f>
        <v>1</v>
      </c>
      <c r="BQ124" s="229">
        <f>IF($BC124=Lookup!$A$2,$BD124*ROUNDUP(BI124/10,0)+1,
IF($BC124=Lookup!$A$3,($BD124+1)^BH124,
IF($BC124=Lookup!$A$4,BI124*$BD124+1,"Error")))</f>
        <v>1</v>
      </c>
      <c r="BR124" s="229">
        <f>IF($BC124=Lookup!$A$2,$BD124*ROUNDUP(BJ124/10,0)+1,
IF($BC124=Lookup!$A$3,($BD124+1)^BI124,
IF($BC124=Lookup!$A$4,BJ124*$BD124+1,"Error")))</f>
        <v>1</v>
      </c>
      <c r="BS124" s="229">
        <f>IF($BC124=Lookup!$A$2,$BD124*ROUNDUP(BK124/10,0)+1,
IF($BC124=Lookup!$A$3,($BD124+1)^BJ124,
IF($BC124=Lookup!$A$4,BK124*$BD124+1,"Error")))</f>
        <v>1</v>
      </c>
      <c r="BT124" s="249">
        <f>IF($BC124=Lookup!$A$2,$BD124*ROUNDUP(BL124/10,0)+1,
IF($BC124=Lookup!$A$3,($BD124+1)^BK124,
IF($BC124=Lookup!$A$4,BL124*$BD124+1,"Error")))</f>
        <v>1</v>
      </c>
      <c r="BU124" s="320">
        <v>0</v>
      </c>
      <c r="BV124" s="321">
        <v>0</v>
      </c>
      <c r="BW124" s="321">
        <v>0</v>
      </c>
      <c r="BX124" s="320">
        <v>3</v>
      </c>
      <c r="BY124" s="321">
        <v>0</v>
      </c>
      <c r="BZ124" s="321">
        <v>0</v>
      </c>
      <c r="CA124" s="321">
        <v>0</v>
      </c>
      <c r="CB124" s="277">
        <v>8</v>
      </c>
      <c r="CC124" s="382" t="s">
        <v>292</v>
      </c>
      <c r="CD124" s="383">
        <f>HLOOKUP($CC124,$AK$6:$AM$132,ROWS(CD$6:CD124),0)</f>
        <v>0</v>
      </c>
      <c r="CE124" s="234">
        <f t="shared" ref="CE124:CG132" si="106">IFERROR(IF(BU124&lt;&gt;"",BU124,BM124*$CD124),"")</f>
        <v>0</v>
      </c>
      <c r="CF124" s="96">
        <f t="shared" si="106"/>
        <v>0</v>
      </c>
      <c r="CG124" s="521">
        <f t="shared" si="106"/>
        <v>0</v>
      </c>
      <c r="CH124" s="651">
        <v>4</v>
      </c>
      <c r="CI124" s="130">
        <v>3</v>
      </c>
      <c r="CJ124" s="130">
        <v>3</v>
      </c>
      <c r="CK124" s="130">
        <v>3</v>
      </c>
      <c r="CL124" s="288">
        <v>3</v>
      </c>
      <c r="CM124" s="305" t="s">
        <v>293</v>
      </c>
      <c r="CN124" s="315">
        <v>0.05</v>
      </c>
      <c r="CO124" s="306"/>
      <c r="CP124" s="307" t="str">
        <f>IF($CO124&lt;&gt;"",$CO124,HLOOKUP($CM124,$AY$6:$BA$132,ROWS(CP$6:CP124),0))</f>
        <v/>
      </c>
      <c r="CQ124" s="784">
        <v>0</v>
      </c>
      <c r="CR124" s="784">
        <v>10185450.564778151</v>
      </c>
      <c r="CS124" s="524">
        <v>4272860.7480784226</v>
      </c>
      <c r="CT124" s="416">
        <v>547104.07855527941</v>
      </c>
      <c r="CU124" s="97">
        <v>685601.04126881831</v>
      </c>
      <c r="CV124" s="97">
        <v>1838667.5933966071</v>
      </c>
      <c r="CW124" s="97">
        <v>1853688.7803369379</v>
      </c>
      <c r="CX124" s="98">
        <v>3177428.7781975139</v>
      </c>
      <c r="CY124" s="392"/>
    </row>
    <row r="125" spans="1:110" x14ac:dyDescent="0.25">
      <c r="A125" s="81" t="s">
        <v>242</v>
      </c>
      <c r="B125" s="82" t="s">
        <v>253</v>
      </c>
      <c r="C125" s="83" t="s">
        <v>254</v>
      </c>
      <c r="D125" s="84"/>
      <c r="E125" s="85"/>
      <c r="F125" s="85"/>
      <c r="G125" s="85"/>
      <c r="H125" s="85"/>
      <c r="I125" s="85"/>
      <c r="J125" s="85"/>
      <c r="K125" s="85"/>
      <c r="L125" s="85"/>
      <c r="M125" s="654"/>
      <c r="N125" s="1065"/>
      <c r="O125" s="560">
        <f t="shared" si="75"/>
        <v>0</v>
      </c>
      <c r="P125" s="561">
        <f t="shared" si="51"/>
        <v>0</v>
      </c>
      <c r="Q125" s="561">
        <f t="shared" si="52"/>
        <v>0</v>
      </c>
      <c r="R125" s="561">
        <f t="shared" si="53"/>
        <v>0</v>
      </c>
      <c r="S125" s="561">
        <f t="shared" si="54"/>
        <v>0</v>
      </c>
      <c r="T125" s="561">
        <f t="shared" si="55"/>
        <v>0</v>
      </c>
      <c r="U125" s="561">
        <f t="shared" si="56"/>
        <v>0</v>
      </c>
      <c r="V125" s="561">
        <f t="shared" si="57"/>
        <v>0</v>
      </c>
      <c r="W125" s="675">
        <f t="shared" si="58"/>
        <v>0</v>
      </c>
      <c r="X125" s="675">
        <f t="shared" si="59"/>
        <v>0</v>
      </c>
      <c r="Y125" s="675">
        <f t="shared" si="59"/>
        <v>0</v>
      </c>
      <c r="Z125" s="86"/>
      <c r="AA125" s="87"/>
      <c r="AB125" s="87"/>
      <c r="AC125" s="87"/>
      <c r="AD125" s="87"/>
      <c r="AE125" s="87"/>
      <c r="AF125" s="87"/>
      <c r="AG125" s="87"/>
      <c r="AH125" s="87"/>
      <c r="AI125" s="1094"/>
      <c r="AJ125" s="665"/>
      <c r="AK125" s="88">
        <f t="shared" si="86"/>
        <v>0</v>
      </c>
      <c r="AL125" s="89" t="str" cm="1">
        <f t="array" aca="1" ref="AL125" ca="1">IFERROR(IF($AM$4="N",SSUM(AF125:AH125)/3,SUM(AG125:AI125)/3),"")</f>
        <v/>
      </c>
      <c r="AM125" s="90">
        <f t="shared" si="87"/>
        <v>0</v>
      </c>
      <c r="AN125" s="91" t="str">
        <f t="shared" si="88"/>
        <v/>
      </c>
      <c r="AO125" s="92" t="str">
        <f t="shared" si="89"/>
        <v/>
      </c>
      <c r="AP125" s="92" t="str">
        <f t="shared" si="90"/>
        <v/>
      </c>
      <c r="AQ125" s="92" t="str">
        <f t="shared" si="91"/>
        <v/>
      </c>
      <c r="AR125" s="92" t="str">
        <f t="shared" si="92"/>
        <v/>
      </c>
      <c r="AS125" s="92" t="str">
        <f t="shared" si="93"/>
        <v/>
      </c>
      <c r="AT125" s="92" t="str">
        <f t="shared" si="94"/>
        <v/>
      </c>
      <c r="AU125" s="92" t="str">
        <f t="shared" si="95"/>
        <v/>
      </c>
      <c r="AV125" s="92" t="str">
        <f t="shared" si="102"/>
        <v/>
      </c>
      <c r="AW125" s="92" t="str">
        <f t="shared" si="102"/>
        <v/>
      </c>
      <c r="AX125" s="92" t="str">
        <f t="shared" si="102"/>
        <v/>
      </c>
      <c r="AY125" s="93" t="str">
        <f t="shared" si="97"/>
        <v/>
      </c>
      <c r="AZ125" s="94" t="str">
        <f t="shared" si="98"/>
        <v/>
      </c>
      <c r="BA125" s="95" t="str">
        <f t="shared" si="99"/>
        <v/>
      </c>
      <c r="BB125" s="248" t="s">
        <v>422</v>
      </c>
      <c r="BC125" s="229" t="s">
        <v>433</v>
      </c>
      <c r="BD125" s="249">
        <v>0</v>
      </c>
      <c r="BE125" s="267">
        <f t="shared" si="76"/>
        <v>0</v>
      </c>
      <c r="BF125" s="268">
        <f t="shared" si="103"/>
        <v>0</v>
      </c>
      <c r="BG125" s="268">
        <f t="shared" si="103"/>
        <v>0</v>
      </c>
      <c r="BH125" s="268">
        <f t="shared" si="103"/>
        <v>1</v>
      </c>
      <c r="BI125" s="268">
        <f t="shared" si="103"/>
        <v>2</v>
      </c>
      <c r="BJ125" s="268">
        <f t="shared" si="103"/>
        <v>3</v>
      </c>
      <c r="BK125" s="268">
        <f t="shared" si="103"/>
        <v>4</v>
      </c>
      <c r="BL125" s="269">
        <f t="shared" si="103"/>
        <v>5</v>
      </c>
      <c r="BM125" s="256">
        <f>IF($BC125=Lookup!$A$2,$BD125*ROUNDUP(BE125/10,0)+1,
IF($BC125=Lookup!$A$3,($BD125+1)^BD125,
IF($BC125=Lookup!$A$4,BE125*$BD125+1,"Error")))</f>
        <v>1</v>
      </c>
      <c r="BN125" s="229">
        <f>IF($BC125=Lookup!$A$2,$BD125*ROUNDUP(BF125/10,0)+1,
IF($BC125=Lookup!$A$3,($BD125+1)^BE125,
IF($BC125=Lookup!$A$4,BF125*$BD125+1,"Error")))</f>
        <v>1</v>
      </c>
      <c r="BO125" s="229">
        <f>IF($BC125=Lookup!$A$2,$BD125*ROUNDUP(BG125/10,0)+1,
IF($BC125=Lookup!$A$3,($BD125+1)^BF125,
IF($BC125=Lookup!$A$4,BG125*$BD125+1,"Error")))</f>
        <v>1</v>
      </c>
      <c r="BP125" s="229">
        <f>IF($BC125=Lookup!$A$2,$BD125*ROUNDUP(BH125/10,0)+1,
IF($BC125=Lookup!$A$3,($BD125+1)^BG125,
IF($BC125=Lookup!$A$4,BH125*$BD125+1,"Error")))</f>
        <v>1</v>
      </c>
      <c r="BQ125" s="229">
        <f>IF($BC125=Lookup!$A$2,$BD125*ROUNDUP(BI125/10,0)+1,
IF($BC125=Lookup!$A$3,($BD125+1)^BH125,
IF($BC125=Lookup!$A$4,BI125*$BD125+1,"Error")))</f>
        <v>1</v>
      </c>
      <c r="BR125" s="229">
        <f>IF($BC125=Lookup!$A$2,$BD125*ROUNDUP(BJ125/10,0)+1,
IF($BC125=Lookup!$A$3,($BD125+1)^BI125,
IF($BC125=Lookup!$A$4,BJ125*$BD125+1,"Error")))</f>
        <v>1</v>
      </c>
      <c r="BS125" s="229">
        <f>IF($BC125=Lookup!$A$2,$BD125*ROUNDUP(BK125/10,0)+1,
IF($BC125=Lookup!$A$3,($BD125+1)^BJ125,
IF($BC125=Lookup!$A$4,BK125*$BD125+1,"Error")))</f>
        <v>1</v>
      </c>
      <c r="BT125" s="249">
        <f>IF($BC125=Lookup!$A$2,$BD125*ROUNDUP(BL125/10,0)+1,
IF($BC125=Lookup!$A$3,($BD125+1)^BK125,
IF($BC125=Lookup!$A$4,BL125*$BD125+1,"Error")))</f>
        <v>1</v>
      </c>
      <c r="BU125" s="320">
        <v>0</v>
      </c>
      <c r="BV125" s="321">
        <v>0</v>
      </c>
      <c r="BW125" s="321">
        <v>0</v>
      </c>
      <c r="BX125" s="320">
        <v>0</v>
      </c>
      <c r="BY125" s="321">
        <v>1</v>
      </c>
      <c r="BZ125" s="321">
        <v>0</v>
      </c>
      <c r="CA125" s="321">
        <v>0</v>
      </c>
      <c r="CB125" s="277">
        <v>0</v>
      </c>
      <c r="CC125" s="382" t="s">
        <v>292</v>
      </c>
      <c r="CD125" s="383">
        <f>HLOOKUP($CC125,$AK$6:$AM$132,ROWS(CD$6:CD125),0)</f>
        <v>0</v>
      </c>
      <c r="CE125" s="234">
        <f t="shared" si="106"/>
        <v>0</v>
      </c>
      <c r="CF125" s="96">
        <f t="shared" si="106"/>
        <v>0</v>
      </c>
      <c r="CG125" s="521">
        <f t="shared" si="106"/>
        <v>0</v>
      </c>
      <c r="CH125" s="421">
        <v>0</v>
      </c>
      <c r="CI125" s="96">
        <v>1</v>
      </c>
      <c r="CJ125" s="96">
        <v>0</v>
      </c>
      <c r="CK125" s="96">
        <v>0</v>
      </c>
      <c r="CL125" s="286">
        <v>0</v>
      </c>
      <c r="CM125" s="305" t="s">
        <v>293</v>
      </c>
      <c r="CN125" s="315">
        <v>0.05</v>
      </c>
      <c r="CO125" s="306"/>
      <c r="CP125" s="307" t="str">
        <f>IF($CO125&lt;&gt;"",$CO125,HLOOKUP($CM125,$AY$6:$BA$132,ROWS(CP$6:CP125),0))</f>
        <v/>
      </c>
      <c r="CQ125" s="784">
        <v>243629.21126731718</v>
      </c>
      <c r="CR125" s="784">
        <v>103509.81605094275</v>
      </c>
      <c r="CS125" s="524">
        <v>49335.08079294554</v>
      </c>
      <c r="CT125" s="416">
        <v>24826.401869798097</v>
      </c>
      <c r="CU125" s="97">
        <v>2395.3323531318852</v>
      </c>
      <c r="CV125" s="97">
        <v>0</v>
      </c>
      <c r="CW125" s="97">
        <v>0</v>
      </c>
      <c r="CX125" s="98">
        <v>0</v>
      </c>
      <c r="CY125" s="392"/>
    </row>
    <row r="126" spans="1:110" ht="15.75" thickBot="1" x14ac:dyDescent="0.3">
      <c r="A126" s="81" t="s">
        <v>242</v>
      </c>
      <c r="B126" s="82" t="s">
        <v>399</v>
      </c>
      <c r="C126" s="102" t="s">
        <v>400</v>
      </c>
      <c r="D126" s="103"/>
      <c r="E126" s="104"/>
      <c r="F126" s="104"/>
      <c r="G126" s="104"/>
      <c r="H126" s="104"/>
      <c r="I126" s="104"/>
      <c r="J126" s="104"/>
      <c r="K126" s="104"/>
      <c r="L126" s="104"/>
      <c r="M126" s="655"/>
      <c r="N126" s="1066"/>
      <c r="O126" s="563">
        <f t="shared" si="75"/>
        <v>0</v>
      </c>
      <c r="P126" s="564">
        <f t="shared" si="51"/>
        <v>0</v>
      </c>
      <c r="Q126" s="564">
        <f t="shared" si="52"/>
        <v>0</v>
      </c>
      <c r="R126" s="564">
        <f t="shared" si="53"/>
        <v>0</v>
      </c>
      <c r="S126" s="564">
        <f t="shared" si="54"/>
        <v>0</v>
      </c>
      <c r="T126" s="564">
        <f t="shared" si="55"/>
        <v>0</v>
      </c>
      <c r="U126" s="564">
        <f t="shared" si="56"/>
        <v>0</v>
      </c>
      <c r="V126" s="564">
        <f t="shared" si="57"/>
        <v>0</v>
      </c>
      <c r="W126" s="676">
        <f t="shared" si="58"/>
        <v>0</v>
      </c>
      <c r="X126" s="676">
        <f t="shared" si="59"/>
        <v>0</v>
      </c>
      <c r="Y126" s="676">
        <f t="shared" si="59"/>
        <v>0</v>
      </c>
      <c r="Z126" s="105"/>
      <c r="AA126" s="106"/>
      <c r="AB126" s="106"/>
      <c r="AC126" s="106"/>
      <c r="AD126" s="106"/>
      <c r="AE126" s="106"/>
      <c r="AF126" s="106"/>
      <c r="AG126" s="106"/>
      <c r="AH126" s="106"/>
      <c r="AI126" s="1095"/>
      <c r="AJ126" s="666"/>
      <c r="AK126" s="107">
        <f t="shared" si="86"/>
        <v>0</v>
      </c>
      <c r="AL126" s="108" t="str" cm="1">
        <f t="array" aca="1" ref="AL126" ca="1">IFERROR(IF($AM$4="N",SSUM(AF126:AH126)/3,SUM(AG126:AI126)/3),"")</f>
        <v/>
      </c>
      <c r="AM126" s="109">
        <f t="shared" si="87"/>
        <v>0</v>
      </c>
      <c r="AN126" s="110" t="str">
        <f t="shared" si="88"/>
        <v/>
      </c>
      <c r="AO126" s="111" t="str">
        <f t="shared" si="89"/>
        <v/>
      </c>
      <c r="AP126" s="111" t="str">
        <f t="shared" si="90"/>
        <v/>
      </c>
      <c r="AQ126" s="111" t="str">
        <f t="shared" si="91"/>
        <v/>
      </c>
      <c r="AR126" s="111" t="str">
        <f t="shared" si="92"/>
        <v/>
      </c>
      <c r="AS126" s="111" t="str">
        <f t="shared" si="93"/>
        <v/>
      </c>
      <c r="AT126" s="111" t="str">
        <f t="shared" si="94"/>
        <v/>
      </c>
      <c r="AU126" s="111" t="str">
        <f t="shared" si="95"/>
        <v/>
      </c>
      <c r="AV126" s="111" t="str">
        <f t="shared" si="102"/>
        <v/>
      </c>
      <c r="AW126" s="111" t="str">
        <f t="shared" si="102"/>
        <v/>
      </c>
      <c r="AX126" s="111" t="str">
        <f t="shared" si="102"/>
        <v/>
      </c>
      <c r="AY126" s="112" t="str">
        <f t="shared" si="97"/>
        <v/>
      </c>
      <c r="AZ126" s="113" t="str">
        <f t="shared" si="98"/>
        <v/>
      </c>
      <c r="BA126" s="114" t="str">
        <f t="shared" si="99"/>
        <v/>
      </c>
      <c r="BB126" s="250" t="s">
        <v>422</v>
      </c>
      <c r="BC126" s="230" t="s">
        <v>433</v>
      </c>
      <c r="BD126" s="251">
        <v>0</v>
      </c>
      <c r="BE126" s="270">
        <f t="shared" si="76"/>
        <v>0</v>
      </c>
      <c r="BF126" s="271">
        <f t="shared" si="103"/>
        <v>0</v>
      </c>
      <c r="BG126" s="271">
        <f t="shared" si="103"/>
        <v>0</v>
      </c>
      <c r="BH126" s="271">
        <f t="shared" si="103"/>
        <v>1</v>
      </c>
      <c r="BI126" s="271">
        <f t="shared" si="103"/>
        <v>2</v>
      </c>
      <c r="BJ126" s="271">
        <f t="shared" si="103"/>
        <v>3</v>
      </c>
      <c r="BK126" s="271">
        <f t="shared" si="103"/>
        <v>4</v>
      </c>
      <c r="BL126" s="272">
        <f t="shared" si="103"/>
        <v>5</v>
      </c>
      <c r="BM126" s="257">
        <f>IF($BC126=Lookup!$A$2,$BD126*ROUNDUP(BE126/10,0)+1,
IF($BC126=Lookup!$A$3,($BD126+1)^BD126,
IF($BC126=Lookup!$A$4,BE126*$BD126+1,"Error")))</f>
        <v>1</v>
      </c>
      <c r="BN126" s="230">
        <f>IF($BC126=Lookup!$A$2,$BD126*ROUNDUP(BF126/10,0)+1,
IF($BC126=Lookup!$A$3,($BD126+1)^BE126,
IF($BC126=Lookup!$A$4,BF126*$BD126+1,"Error")))</f>
        <v>1</v>
      </c>
      <c r="BO126" s="230">
        <f>IF($BC126=Lookup!$A$2,$BD126*ROUNDUP(BG126/10,0)+1,
IF($BC126=Lookup!$A$3,($BD126+1)^BF126,
IF($BC126=Lookup!$A$4,BG126*$BD126+1,"Error")))</f>
        <v>1</v>
      </c>
      <c r="BP126" s="230">
        <f>IF($BC126=Lookup!$A$2,$BD126*ROUNDUP(BH126/10,0)+1,
IF($BC126=Lookup!$A$3,($BD126+1)^BG126,
IF($BC126=Lookup!$A$4,BH126*$BD126+1,"Error")))</f>
        <v>1</v>
      </c>
      <c r="BQ126" s="230">
        <f>IF($BC126=Lookup!$A$2,$BD126*ROUNDUP(BI126/10,0)+1,
IF($BC126=Lookup!$A$3,($BD126+1)^BH126,
IF($BC126=Lookup!$A$4,BI126*$BD126+1,"Error")))</f>
        <v>1</v>
      </c>
      <c r="BR126" s="230">
        <f>IF($BC126=Lookup!$A$2,$BD126*ROUNDUP(BJ126/10,0)+1,
IF($BC126=Lookup!$A$3,($BD126+1)^BI126,
IF($BC126=Lookup!$A$4,BJ126*$BD126+1,"Error")))</f>
        <v>1</v>
      </c>
      <c r="BS126" s="230">
        <f>IF($BC126=Lookup!$A$2,$BD126*ROUNDUP(BK126/10,0)+1,
IF($BC126=Lookup!$A$3,($BD126+1)^BJ126,
IF($BC126=Lookup!$A$4,BK126*$BD126+1,"Error")))</f>
        <v>1</v>
      </c>
      <c r="BT126" s="251">
        <f>IF($BC126=Lookup!$A$2,$BD126*ROUNDUP(BL126/10,0)+1,
IF($BC126=Lookup!$A$3,($BD126+1)^BK126,
IF($BC126=Lookup!$A$4,BL126*$BD126+1,"Error")))</f>
        <v>1</v>
      </c>
      <c r="BU126" s="322">
        <v>0</v>
      </c>
      <c r="BV126" s="323">
        <v>0</v>
      </c>
      <c r="BW126" s="323">
        <v>0</v>
      </c>
      <c r="BX126" s="322">
        <v>0</v>
      </c>
      <c r="BY126" s="323">
        <v>0</v>
      </c>
      <c r="BZ126" s="323">
        <v>0</v>
      </c>
      <c r="CA126" s="323">
        <v>0</v>
      </c>
      <c r="CB126" s="278">
        <v>0</v>
      </c>
      <c r="CC126" s="384" t="s">
        <v>292</v>
      </c>
      <c r="CD126" s="385">
        <f>HLOOKUP($CC126,$AK$6:$AM$132,ROWS(CD$6:CD126),0)</f>
        <v>0</v>
      </c>
      <c r="CE126" s="235">
        <f t="shared" si="106"/>
        <v>0</v>
      </c>
      <c r="CF126" s="115">
        <f t="shared" si="106"/>
        <v>0</v>
      </c>
      <c r="CG126" s="522">
        <f t="shared" si="106"/>
        <v>0</v>
      </c>
      <c r="CH126" s="422">
        <f t="shared" ref="CH126:CK132" si="107">IFERROR(IF(BX126&lt;&gt;"",BX126,BP126*$CD126),"")</f>
        <v>0</v>
      </c>
      <c r="CI126" s="115">
        <f t="shared" si="107"/>
        <v>0</v>
      </c>
      <c r="CJ126" s="115">
        <f t="shared" si="107"/>
        <v>0</v>
      </c>
      <c r="CK126" s="115">
        <f t="shared" si="107"/>
        <v>0</v>
      </c>
      <c r="CL126" s="287">
        <f t="shared" si="101"/>
        <v>0</v>
      </c>
      <c r="CM126" s="308" t="s">
        <v>293</v>
      </c>
      <c r="CN126" s="316">
        <v>0.05</v>
      </c>
      <c r="CO126" s="309"/>
      <c r="CP126" s="310" t="str">
        <f>IF($CO126&lt;&gt;"",$CO126,HLOOKUP($CM126,$AY$6:$BA$132,ROWS(CP$6:CP126),0))</f>
        <v/>
      </c>
      <c r="CQ126" s="785">
        <v>0</v>
      </c>
      <c r="CR126" s="785">
        <v>0</v>
      </c>
      <c r="CS126" s="638">
        <v>0</v>
      </c>
      <c r="CT126" s="467">
        <v>0</v>
      </c>
      <c r="CU126" s="117">
        <v>0</v>
      </c>
      <c r="CV126" s="117">
        <v>0</v>
      </c>
      <c r="CW126" s="117">
        <v>0</v>
      </c>
      <c r="CX126" s="118">
        <v>0</v>
      </c>
      <c r="CY126" s="393"/>
    </row>
    <row r="127" spans="1:110" x14ac:dyDescent="0.25">
      <c r="A127" s="81" t="s">
        <v>258</v>
      </c>
      <c r="B127" s="82" t="s">
        <v>255</v>
      </c>
      <c r="C127" s="145" t="s">
        <v>401</v>
      </c>
      <c r="D127" s="146"/>
      <c r="E127" s="147"/>
      <c r="F127" s="147"/>
      <c r="G127" s="147"/>
      <c r="H127" s="147"/>
      <c r="I127" s="147"/>
      <c r="J127" s="147"/>
      <c r="K127" s="147"/>
      <c r="L127" s="147"/>
      <c r="M127" s="656"/>
      <c r="N127" s="1067"/>
      <c r="O127" s="566">
        <f t="shared" si="75"/>
        <v>0</v>
      </c>
      <c r="P127" s="567">
        <f t="shared" si="51"/>
        <v>0</v>
      </c>
      <c r="Q127" s="567">
        <f t="shared" si="52"/>
        <v>0</v>
      </c>
      <c r="R127" s="567">
        <f t="shared" si="53"/>
        <v>0</v>
      </c>
      <c r="S127" s="567">
        <f t="shared" si="54"/>
        <v>0</v>
      </c>
      <c r="T127" s="567">
        <f t="shared" si="55"/>
        <v>0</v>
      </c>
      <c r="U127" s="567">
        <f t="shared" si="56"/>
        <v>0</v>
      </c>
      <c r="V127" s="567">
        <f t="shared" si="57"/>
        <v>0</v>
      </c>
      <c r="W127" s="677">
        <f t="shared" si="58"/>
        <v>0</v>
      </c>
      <c r="X127" s="677">
        <f t="shared" si="59"/>
        <v>0</v>
      </c>
      <c r="Y127" s="677">
        <f t="shared" si="59"/>
        <v>0</v>
      </c>
      <c r="Z127" s="148"/>
      <c r="AA127" s="149"/>
      <c r="AB127" s="149"/>
      <c r="AC127" s="149"/>
      <c r="AD127" s="149"/>
      <c r="AE127" s="149"/>
      <c r="AF127" s="149"/>
      <c r="AG127" s="149"/>
      <c r="AH127" s="149"/>
      <c r="AI127" s="1099"/>
      <c r="AJ127" s="670"/>
      <c r="AK127" s="150">
        <f t="shared" si="86"/>
        <v>0</v>
      </c>
      <c r="AL127" s="151" t="str" cm="1">
        <f t="array" aca="1" ref="AL127" ca="1">IFERROR(IF($AM$4="N",SSUM(AF127:AH127)/3,SUM(AG127:AI127)/3),"")</f>
        <v/>
      </c>
      <c r="AM127" s="152">
        <f t="shared" si="87"/>
        <v>0</v>
      </c>
      <c r="AN127" s="153" t="str">
        <f t="shared" si="88"/>
        <v/>
      </c>
      <c r="AO127" s="154" t="str">
        <f t="shared" si="89"/>
        <v/>
      </c>
      <c r="AP127" s="154" t="str">
        <f t="shared" si="90"/>
        <v/>
      </c>
      <c r="AQ127" s="154" t="str">
        <f t="shared" si="91"/>
        <v/>
      </c>
      <c r="AR127" s="154" t="str">
        <f t="shared" si="92"/>
        <v/>
      </c>
      <c r="AS127" s="154" t="str">
        <f t="shared" si="93"/>
        <v/>
      </c>
      <c r="AT127" s="154" t="str">
        <f t="shared" si="94"/>
        <v/>
      </c>
      <c r="AU127" s="154" t="str">
        <f t="shared" si="95"/>
        <v/>
      </c>
      <c r="AV127" s="154" t="str">
        <f t="shared" si="102"/>
        <v/>
      </c>
      <c r="AW127" s="154" t="str">
        <f t="shared" si="102"/>
        <v/>
      </c>
      <c r="AX127" s="154" t="str">
        <f t="shared" si="102"/>
        <v/>
      </c>
      <c r="AY127" s="155" t="str">
        <f t="shared" si="97"/>
        <v/>
      </c>
      <c r="AZ127" s="156" t="str">
        <f t="shared" si="98"/>
        <v/>
      </c>
      <c r="BA127" s="157" t="str">
        <f t="shared" si="99"/>
        <v/>
      </c>
      <c r="BB127" s="246" t="s">
        <v>422</v>
      </c>
      <c r="BC127" s="228" t="s">
        <v>433</v>
      </c>
      <c r="BD127" s="247">
        <v>0</v>
      </c>
      <c r="BE127" s="264">
        <f t="shared" si="76"/>
        <v>0</v>
      </c>
      <c r="BF127" s="265">
        <f t="shared" si="103"/>
        <v>0</v>
      </c>
      <c r="BG127" s="265">
        <f t="shared" si="103"/>
        <v>0</v>
      </c>
      <c r="BH127" s="265">
        <f t="shared" si="103"/>
        <v>1</v>
      </c>
      <c r="BI127" s="265">
        <f t="shared" si="103"/>
        <v>2</v>
      </c>
      <c r="BJ127" s="265">
        <f t="shared" si="103"/>
        <v>3</v>
      </c>
      <c r="BK127" s="265">
        <f t="shared" si="103"/>
        <v>4</v>
      </c>
      <c r="BL127" s="266">
        <f t="shared" si="103"/>
        <v>5</v>
      </c>
      <c r="BM127" s="255">
        <f>IF($BC127=Lookup!$A$2,$BD127*ROUNDUP(BE127/10,0)+1,
IF($BC127=Lookup!$A$3,($BD127+1)^BD127,
IF($BC127=Lookup!$A$4,BE127*$BD127+1,"Error")))</f>
        <v>1</v>
      </c>
      <c r="BN127" s="228">
        <f>IF($BC127=Lookup!$A$2,$BD127*ROUNDUP(BF127/10,0)+1,
IF($BC127=Lookup!$A$3,($BD127+1)^BE127,
IF($BC127=Lookup!$A$4,BF127*$BD127+1,"Error")))</f>
        <v>1</v>
      </c>
      <c r="BO127" s="228">
        <f>IF($BC127=Lookup!$A$2,$BD127*ROUNDUP(BG127/10,0)+1,
IF($BC127=Lookup!$A$3,($BD127+1)^BF127,
IF($BC127=Lookup!$A$4,BG127*$BD127+1,"Error")))</f>
        <v>1</v>
      </c>
      <c r="BP127" s="228">
        <f>IF($BC127=Lookup!$A$2,$BD127*ROUNDUP(BH127/10,0)+1,
IF($BC127=Lookup!$A$3,($BD127+1)^BG127,
IF($BC127=Lookup!$A$4,BH127*$BD127+1,"Error")))</f>
        <v>1</v>
      </c>
      <c r="BQ127" s="228">
        <f>IF($BC127=Lookup!$A$2,$BD127*ROUNDUP(BI127/10,0)+1,
IF($BC127=Lookup!$A$3,($BD127+1)^BH127,
IF($BC127=Lookup!$A$4,BI127*$BD127+1,"Error")))</f>
        <v>1</v>
      </c>
      <c r="BR127" s="228">
        <f>IF($BC127=Lookup!$A$2,$BD127*ROUNDUP(BJ127/10,0)+1,
IF($BC127=Lookup!$A$3,($BD127+1)^BI127,
IF($BC127=Lookup!$A$4,BJ127*$BD127+1,"Error")))</f>
        <v>1</v>
      </c>
      <c r="BS127" s="228">
        <f>IF($BC127=Lookup!$A$2,$BD127*ROUNDUP(BK127/10,0)+1,
IF($BC127=Lookup!$A$3,($BD127+1)^BJ127,
IF($BC127=Lookup!$A$4,BK127*$BD127+1,"Error")))</f>
        <v>1</v>
      </c>
      <c r="BT127" s="247">
        <f>IF($BC127=Lookup!$A$2,$BD127*ROUNDUP(BL127/10,0)+1,
IF($BC127=Lookup!$A$3,($BD127+1)^BK127,
IF($BC127=Lookup!$A$4,BL127*$BD127+1,"Error")))</f>
        <v>1</v>
      </c>
      <c r="BU127" s="318">
        <v>0</v>
      </c>
      <c r="BV127" s="319">
        <v>20</v>
      </c>
      <c r="BW127" s="319">
        <v>25</v>
      </c>
      <c r="BX127" s="318">
        <v>21</v>
      </c>
      <c r="BY127" s="319">
        <v>71</v>
      </c>
      <c r="BZ127" s="319">
        <v>45</v>
      </c>
      <c r="CA127" s="319">
        <v>88</v>
      </c>
      <c r="CB127" s="276">
        <v>30</v>
      </c>
      <c r="CC127" s="380" t="s">
        <v>292</v>
      </c>
      <c r="CD127" s="381">
        <f>HLOOKUP($CC127,$AK$6:$AM$132,ROWS(CD$6:CD127),0)</f>
        <v>0</v>
      </c>
      <c r="CE127" s="233">
        <f t="shared" si="106"/>
        <v>0</v>
      </c>
      <c r="CF127" s="78">
        <f t="shared" si="106"/>
        <v>20</v>
      </c>
      <c r="CG127" s="797">
        <f t="shared" si="106"/>
        <v>25</v>
      </c>
      <c r="CH127" s="806">
        <f t="shared" si="107"/>
        <v>21</v>
      </c>
      <c r="CI127" s="78">
        <f t="shared" si="107"/>
        <v>71</v>
      </c>
      <c r="CJ127" s="78">
        <f t="shared" si="107"/>
        <v>45</v>
      </c>
      <c r="CK127" s="78">
        <f t="shared" si="107"/>
        <v>88</v>
      </c>
      <c r="CL127" s="285">
        <f t="shared" si="101"/>
        <v>30</v>
      </c>
      <c r="CM127" s="311" t="s">
        <v>293</v>
      </c>
      <c r="CN127" s="317">
        <v>0.05</v>
      </c>
      <c r="CO127" s="312"/>
      <c r="CP127" s="313" t="str">
        <f>IF($CO127&lt;&gt;"",$CO127,HLOOKUP($CM127,$AY$6:$BA$132,ROWS(CP$6:CP127),0))</f>
        <v/>
      </c>
      <c r="CQ127" s="783">
        <v>2402559.5926079871</v>
      </c>
      <c r="CR127" s="783">
        <v>5819326.2994725928</v>
      </c>
      <c r="CS127" s="523">
        <v>4775991.3207209921</v>
      </c>
      <c r="CT127" s="415">
        <v>4034969.8817345472</v>
      </c>
      <c r="CU127" s="79">
        <v>3893524.8105729441</v>
      </c>
      <c r="CV127" s="79">
        <v>4445747.147595264</v>
      </c>
      <c r="CW127" s="79">
        <v>1691472.3945446126</v>
      </c>
      <c r="CX127" s="80">
        <v>2453646.8558149361</v>
      </c>
      <c r="CY127" s="391"/>
      <c r="CZ127" s="1" t="s">
        <v>677</v>
      </c>
    </row>
    <row r="128" spans="1:110" x14ac:dyDescent="0.25">
      <c r="A128" s="81" t="s">
        <v>258</v>
      </c>
      <c r="B128" s="82" t="s">
        <v>259</v>
      </c>
      <c r="C128" s="83" t="s">
        <v>257</v>
      </c>
      <c r="D128" s="84"/>
      <c r="E128" s="85"/>
      <c r="F128" s="85"/>
      <c r="G128" s="85"/>
      <c r="H128" s="85"/>
      <c r="I128" s="85"/>
      <c r="J128" s="85"/>
      <c r="K128" s="85"/>
      <c r="L128" s="85"/>
      <c r="M128" s="654"/>
      <c r="N128" s="1065"/>
      <c r="O128" s="560">
        <f t="shared" si="75"/>
        <v>0</v>
      </c>
      <c r="P128" s="561">
        <f t="shared" si="51"/>
        <v>0</v>
      </c>
      <c r="Q128" s="561">
        <f t="shared" si="52"/>
        <v>0</v>
      </c>
      <c r="R128" s="561">
        <f t="shared" si="53"/>
        <v>0</v>
      </c>
      <c r="S128" s="561">
        <f t="shared" si="54"/>
        <v>0</v>
      </c>
      <c r="T128" s="561">
        <f t="shared" si="55"/>
        <v>0</v>
      </c>
      <c r="U128" s="561">
        <f t="shared" si="56"/>
        <v>0</v>
      </c>
      <c r="V128" s="561">
        <f t="shared" si="57"/>
        <v>0</v>
      </c>
      <c r="W128" s="675">
        <f t="shared" si="58"/>
        <v>0</v>
      </c>
      <c r="X128" s="675">
        <f t="shared" si="59"/>
        <v>0</v>
      </c>
      <c r="Y128" s="675">
        <f t="shared" si="59"/>
        <v>0</v>
      </c>
      <c r="Z128" s="86"/>
      <c r="AA128" s="87"/>
      <c r="AB128" s="87"/>
      <c r="AC128" s="87"/>
      <c r="AD128" s="87"/>
      <c r="AE128" s="87"/>
      <c r="AF128" s="87"/>
      <c r="AG128" s="87"/>
      <c r="AH128" s="87"/>
      <c r="AI128" s="1094"/>
      <c r="AJ128" s="665"/>
      <c r="AK128" s="88">
        <f t="shared" si="86"/>
        <v>0</v>
      </c>
      <c r="AL128" s="89" t="str" cm="1">
        <f t="array" aca="1" ref="AL128" ca="1">IFERROR(IF($AM$4="N",SSUM(AF128:AH128)/3,SUM(AG128:AI128)/3),"")</f>
        <v/>
      </c>
      <c r="AM128" s="90">
        <f t="shared" si="87"/>
        <v>0</v>
      </c>
      <c r="AN128" s="91" t="str">
        <f t="shared" si="88"/>
        <v/>
      </c>
      <c r="AO128" s="92" t="str">
        <f t="shared" si="89"/>
        <v/>
      </c>
      <c r="AP128" s="92" t="str">
        <f t="shared" si="90"/>
        <v/>
      </c>
      <c r="AQ128" s="92" t="str">
        <f t="shared" si="91"/>
        <v/>
      </c>
      <c r="AR128" s="92" t="str">
        <f t="shared" si="92"/>
        <v/>
      </c>
      <c r="AS128" s="92" t="str">
        <f t="shared" si="93"/>
        <v/>
      </c>
      <c r="AT128" s="92" t="str">
        <f t="shared" si="94"/>
        <v/>
      </c>
      <c r="AU128" s="92" t="str">
        <f t="shared" si="95"/>
        <v/>
      </c>
      <c r="AV128" s="92" t="str">
        <f t="shared" si="102"/>
        <v/>
      </c>
      <c r="AW128" s="92" t="str">
        <f t="shared" si="102"/>
        <v/>
      </c>
      <c r="AX128" s="92" t="str">
        <f t="shared" si="102"/>
        <v/>
      </c>
      <c r="AY128" s="93" t="str">
        <f t="shared" si="97"/>
        <v/>
      </c>
      <c r="AZ128" s="94" t="str">
        <f t="shared" si="98"/>
        <v/>
      </c>
      <c r="BA128" s="95" t="str">
        <f t="shared" si="99"/>
        <v/>
      </c>
      <c r="BB128" s="248" t="s">
        <v>422</v>
      </c>
      <c r="BC128" s="229" t="s">
        <v>433</v>
      </c>
      <c r="BD128" s="249">
        <v>0</v>
      </c>
      <c r="BE128" s="267">
        <f t="shared" si="76"/>
        <v>0</v>
      </c>
      <c r="BF128" s="268">
        <f t="shared" si="103"/>
        <v>0</v>
      </c>
      <c r="BG128" s="268">
        <f t="shared" si="103"/>
        <v>0</v>
      </c>
      <c r="BH128" s="268">
        <f t="shared" si="103"/>
        <v>1</v>
      </c>
      <c r="BI128" s="268">
        <f t="shared" si="103"/>
        <v>2</v>
      </c>
      <c r="BJ128" s="268">
        <f t="shared" si="103"/>
        <v>3</v>
      </c>
      <c r="BK128" s="268">
        <f t="shared" si="103"/>
        <v>4</v>
      </c>
      <c r="BL128" s="269">
        <f t="shared" si="103"/>
        <v>5</v>
      </c>
      <c r="BM128" s="256">
        <f>IF($BC128=Lookup!$A$2,$BD128*ROUNDUP(BE128/10,0)+1,
IF($BC128=Lookup!$A$3,($BD128+1)^BD128,
IF($BC128=Lookup!$A$4,BE128*$BD128+1,"Error")))</f>
        <v>1</v>
      </c>
      <c r="BN128" s="229">
        <f>IF($BC128=Lookup!$A$2,$BD128*ROUNDUP(BF128/10,0)+1,
IF($BC128=Lookup!$A$3,($BD128+1)^BE128,
IF($BC128=Lookup!$A$4,BF128*$BD128+1,"Error")))</f>
        <v>1</v>
      </c>
      <c r="BO128" s="229">
        <f>IF($BC128=Lookup!$A$2,$BD128*ROUNDUP(BG128/10,0)+1,
IF($BC128=Lookup!$A$3,($BD128+1)^BF128,
IF($BC128=Lookup!$A$4,BG128*$BD128+1,"Error")))</f>
        <v>1</v>
      </c>
      <c r="BP128" s="229">
        <f>IF($BC128=Lookup!$A$2,$BD128*ROUNDUP(BH128/10,0)+1,
IF($BC128=Lookup!$A$3,($BD128+1)^BG128,
IF($BC128=Lookup!$A$4,BH128*$BD128+1,"Error")))</f>
        <v>1</v>
      </c>
      <c r="BQ128" s="229">
        <f>IF($BC128=Lookup!$A$2,$BD128*ROUNDUP(BI128/10,0)+1,
IF($BC128=Lookup!$A$3,($BD128+1)^BH128,
IF($BC128=Lookup!$A$4,BI128*$BD128+1,"Error")))</f>
        <v>1</v>
      </c>
      <c r="BR128" s="229">
        <f>IF($BC128=Lookup!$A$2,$BD128*ROUNDUP(BJ128/10,0)+1,
IF($BC128=Lookup!$A$3,($BD128+1)^BI128,
IF($BC128=Lookup!$A$4,BJ128*$BD128+1,"Error")))</f>
        <v>1</v>
      </c>
      <c r="BS128" s="229">
        <f>IF($BC128=Lookup!$A$2,$BD128*ROUNDUP(BK128/10,0)+1,
IF($BC128=Lookup!$A$3,($BD128+1)^BJ128,
IF($BC128=Lookup!$A$4,BK128*$BD128+1,"Error")))</f>
        <v>1</v>
      </c>
      <c r="BT128" s="249">
        <f>IF($BC128=Lookup!$A$2,$BD128*ROUNDUP(BL128/10,0)+1,
IF($BC128=Lookup!$A$3,($BD128+1)^BK128,
IF($BC128=Lookup!$A$4,BL128*$BD128+1,"Error")))</f>
        <v>1</v>
      </c>
      <c r="BU128" s="320">
        <v>0</v>
      </c>
      <c r="BV128" s="321">
        <v>20</v>
      </c>
      <c r="BW128" s="321">
        <v>25</v>
      </c>
      <c r="BX128" s="320">
        <v>15</v>
      </c>
      <c r="BY128" s="321">
        <v>99</v>
      </c>
      <c r="BZ128" s="321">
        <v>23</v>
      </c>
      <c r="CA128" s="321">
        <v>96</v>
      </c>
      <c r="CB128" s="277">
        <v>16</v>
      </c>
      <c r="CC128" s="382" t="s">
        <v>292</v>
      </c>
      <c r="CD128" s="383">
        <f>HLOOKUP($CC128,$AK$6:$AM$132,ROWS(CD$6:CD128),0)</f>
        <v>0</v>
      </c>
      <c r="CE128" s="234">
        <f t="shared" si="106"/>
        <v>0</v>
      </c>
      <c r="CF128" s="96">
        <f t="shared" si="106"/>
        <v>20</v>
      </c>
      <c r="CG128" s="521">
        <f t="shared" si="106"/>
        <v>25</v>
      </c>
      <c r="CH128" s="421">
        <f t="shared" si="107"/>
        <v>15</v>
      </c>
      <c r="CI128" s="96">
        <f t="shared" si="107"/>
        <v>99</v>
      </c>
      <c r="CJ128" s="96">
        <f t="shared" si="107"/>
        <v>23</v>
      </c>
      <c r="CK128" s="96">
        <f t="shared" si="107"/>
        <v>96</v>
      </c>
      <c r="CL128" s="286">
        <f t="shared" si="101"/>
        <v>16</v>
      </c>
      <c r="CM128" s="305" t="s">
        <v>293</v>
      </c>
      <c r="CN128" s="315">
        <v>0.05</v>
      </c>
      <c r="CO128" s="306"/>
      <c r="CP128" s="307" t="str">
        <f>IF($CO128&lt;&gt;"",$CO128,HLOOKUP($CM128,$AY$6:$BA$132,ROWS(CP$6:CP128),0))</f>
        <v/>
      </c>
      <c r="CQ128" s="784">
        <v>1522173.0222089819</v>
      </c>
      <c r="CR128" s="784">
        <v>5358981.5733155962</v>
      </c>
      <c r="CS128" s="524">
        <v>5237980.3242271086</v>
      </c>
      <c r="CT128" s="416">
        <v>3819438.0468998831</v>
      </c>
      <c r="CU128" s="97">
        <v>3670705.9008712503</v>
      </c>
      <c r="CV128" s="97">
        <v>4192393.8388391966</v>
      </c>
      <c r="CW128" s="97">
        <v>2231117.6216962887</v>
      </c>
      <c r="CX128" s="98">
        <v>2959622.2608021041</v>
      </c>
      <c r="CY128" s="392"/>
      <c r="CZ128" s="1" t="s">
        <v>680</v>
      </c>
      <c r="DA128">
        <f>ROUND(CT127/1000000,1)</f>
        <v>4</v>
      </c>
      <c r="DB128">
        <f t="shared" ref="DB128:DE129" si="108">ROUND(CU127/1000000,1)</f>
        <v>3.9</v>
      </c>
      <c r="DC128">
        <f t="shared" si="108"/>
        <v>4.4000000000000004</v>
      </c>
      <c r="DD128">
        <f t="shared" si="108"/>
        <v>1.7</v>
      </c>
      <c r="DE128">
        <f t="shared" si="108"/>
        <v>2.5</v>
      </c>
      <c r="DF128">
        <f t="shared" ref="DF128:DF129" si="109">SUM(DA128:DE128)</f>
        <v>16.5</v>
      </c>
    </row>
    <row r="129" spans="1:112" x14ac:dyDescent="0.25">
      <c r="A129" s="81" t="s">
        <v>258</v>
      </c>
      <c r="B129" s="82" t="s">
        <v>261</v>
      </c>
      <c r="C129" s="83" t="s">
        <v>402</v>
      </c>
      <c r="D129" s="84"/>
      <c r="E129" s="85"/>
      <c r="F129" s="85"/>
      <c r="G129" s="85"/>
      <c r="H129" s="85"/>
      <c r="I129" s="85"/>
      <c r="J129" s="85"/>
      <c r="K129" s="85"/>
      <c r="L129" s="85"/>
      <c r="M129" s="654"/>
      <c r="N129" s="1065"/>
      <c r="O129" s="560">
        <f t="shared" si="75"/>
        <v>0</v>
      </c>
      <c r="P129" s="561">
        <f t="shared" si="51"/>
        <v>0</v>
      </c>
      <c r="Q129" s="561">
        <f t="shared" si="52"/>
        <v>0</v>
      </c>
      <c r="R129" s="561">
        <f t="shared" si="53"/>
        <v>0</v>
      </c>
      <c r="S129" s="561">
        <f t="shared" si="54"/>
        <v>0</v>
      </c>
      <c r="T129" s="561">
        <f t="shared" si="55"/>
        <v>0</v>
      </c>
      <c r="U129" s="561">
        <f t="shared" si="56"/>
        <v>0</v>
      </c>
      <c r="V129" s="561">
        <f t="shared" si="57"/>
        <v>0</v>
      </c>
      <c r="W129" s="675">
        <f t="shared" si="58"/>
        <v>0</v>
      </c>
      <c r="X129" s="675">
        <f t="shared" si="59"/>
        <v>0</v>
      </c>
      <c r="Y129" s="675">
        <f t="shared" si="59"/>
        <v>0</v>
      </c>
      <c r="Z129" s="86"/>
      <c r="AA129" s="87"/>
      <c r="AB129" s="87"/>
      <c r="AC129" s="87"/>
      <c r="AD129" s="87"/>
      <c r="AE129" s="87"/>
      <c r="AF129" s="87"/>
      <c r="AG129" s="87"/>
      <c r="AH129" s="87"/>
      <c r="AI129" s="1094"/>
      <c r="AJ129" s="665"/>
      <c r="AK129" s="88">
        <f t="shared" si="86"/>
        <v>0</v>
      </c>
      <c r="AL129" s="89" t="str" cm="1">
        <f t="array" aca="1" ref="AL129" ca="1">IFERROR(IF($AM$4="N",SSUM(AF129:AH129)/3,SUM(AG129:AI129)/3),"")</f>
        <v/>
      </c>
      <c r="AM129" s="90">
        <f t="shared" si="87"/>
        <v>0</v>
      </c>
      <c r="AN129" s="91" t="str">
        <f t="shared" si="88"/>
        <v/>
      </c>
      <c r="AO129" s="92" t="str">
        <f t="shared" si="89"/>
        <v/>
      </c>
      <c r="AP129" s="92" t="str">
        <f t="shared" si="90"/>
        <v/>
      </c>
      <c r="AQ129" s="92" t="str">
        <f t="shared" si="91"/>
        <v/>
      </c>
      <c r="AR129" s="92" t="str">
        <f t="shared" si="92"/>
        <v/>
      </c>
      <c r="AS129" s="92" t="str">
        <f t="shared" si="93"/>
        <v/>
      </c>
      <c r="AT129" s="92" t="str">
        <f t="shared" si="94"/>
        <v/>
      </c>
      <c r="AU129" s="92" t="str">
        <f t="shared" si="95"/>
        <v/>
      </c>
      <c r="AV129" s="92" t="str">
        <f t="shared" si="102"/>
        <v/>
      </c>
      <c r="AW129" s="92" t="str">
        <f t="shared" si="102"/>
        <v/>
      </c>
      <c r="AX129" s="92" t="str">
        <f t="shared" si="102"/>
        <v/>
      </c>
      <c r="AY129" s="93" t="str">
        <f t="shared" si="97"/>
        <v/>
      </c>
      <c r="AZ129" s="94" t="str">
        <f t="shared" si="98"/>
        <v/>
      </c>
      <c r="BA129" s="95" t="str">
        <f t="shared" si="99"/>
        <v/>
      </c>
      <c r="BB129" s="248" t="s">
        <v>422</v>
      </c>
      <c r="BC129" s="229" t="s">
        <v>433</v>
      </c>
      <c r="BD129" s="249">
        <v>0</v>
      </c>
      <c r="BE129" s="267">
        <f t="shared" si="76"/>
        <v>0</v>
      </c>
      <c r="BF129" s="268">
        <f t="shared" si="103"/>
        <v>0</v>
      </c>
      <c r="BG129" s="268">
        <f t="shared" si="103"/>
        <v>0</v>
      </c>
      <c r="BH129" s="268">
        <f t="shared" si="103"/>
        <v>1</v>
      </c>
      <c r="BI129" s="268">
        <f t="shared" si="103"/>
        <v>2</v>
      </c>
      <c r="BJ129" s="268">
        <f t="shared" si="103"/>
        <v>3</v>
      </c>
      <c r="BK129" s="268">
        <f t="shared" si="103"/>
        <v>4</v>
      </c>
      <c r="BL129" s="269">
        <f t="shared" si="103"/>
        <v>5</v>
      </c>
      <c r="BM129" s="256">
        <f>IF($BC129=Lookup!$A$2,$BD129*ROUNDUP(BE129/10,0)+1,
IF($BC129=Lookup!$A$3,($BD129+1)^BD129,
IF($BC129=Lookup!$A$4,BE129*$BD129+1,"Error")))</f>
        <v>1</v>
      </c>
      <c r="BN129" s="229">
        <f>IF($BC129=Lookup!$A$2,$BD129*ROUNDUP(BF129/10,0)+1,
IF($BC129=Lookup!$A$3,($BD129+1)^BE129,
IF($BC129=Lookup!$A$4,BF129*$BD129+1,"Error")))</f>
        <v>1</v>
      </c>
      <c r="BO129" s="229">
        <f>IF($BC129=Lookup!$A$2,$BD129*ROUNDUP(BG129/10,0)+1,
IF($BC129=Lookup!$A$3,($BD129+1)^BF129,
IF($BC129=Lookup!$A$4,BG129*$BD129+1,"Error")))</f>
        <v>1</v>
      </c>
      <c r="BP129" s="229">
        <f>IF($BC129=Lookup!$A$2,$BD129*ROUNDUP(BH129/10,0)+1,
IF($BC129=Lookup!$A$3,($BD129+1)^BG129,
IF($BC129=Lookup!$A$4,BH129*$BD129+1,"Error")))</f>
        <v>1</v>
      </c>
      <c r="BQ129" s="229">
        <f>IF($BC129=Lookup!$A$2,$BD129*ROUNDUP(BI129/10,0)+1,
IF($BC129=Lookup!$A$3,($BD129+1)^BH129,
IF($BC129=Lookup!$A$4,BI129*$BD129+1,"Error")))</f>
        <v>1</v>
      </c>
      <c r="BR129" s="229">
        <f>IF($BC129=Lookup!$A$2,$BD129*ROUNDUP(BJ129/10,0)+1,
IF($BC129=Lookup!$A$3,($BD129+1)^BI129,
IF($BC129=Lookup!$A$4,BJ129*$BD129+1,"Error")))</f>
        <v>1</v>
      </c>
      <c r="BS129" s="229">
        <f>IF($BC129=Lookup!$A$2,$BD129*ROUNDUP(BK129/10,0)+1,
IF($BC129=Lookup!$A$3,($BD129+1)^BJ129,
IF($BC129=Lookup!$A$4,BK129*$BD129+1,"Error")))</f>
        <v>1</v>
      </c>
      <c r="BT129" s="249">
        <f>IF($BC129=Lookup!$A$2,$BD129*ROUNDUP(BL129/10,0)+1,
IF($BC129=Lookup!$A$3,($BD129+1)^BK129,
IF($BC129=Lookup!$A$4,BL129*$BD129+1,"Error")))</f>
        <v>1</v>
      </c>
      <c r="BU129" s="320">
        <v>0</v>
      </c>
      <c r="BV129" s="321">
        <v>0</v>
      </c>
      <c r="BW129" s="321">
        <v>0</v>
      </c>
      <c r="BX129" s="320">
        <v>0</v>
      </c>
      <c r="BY129" s="321">
        <v>0</v>
      </c>
      <c r="BZ129" s="321">
        <v>0</v>
      </c>
      <c r="CA129" s="321">
        <v>0</v>
      </c>
      <c r="CB129" s="277">
        <v>0</v>
      </c>
      <c r="CC129" s="382" t="s">
        <v>292</v>
      </c>
      <c r="CD129" s="383">
        <f>HLOOKUP($CC129,$AK$6:$AM$132,ROWS(CD$6:CD129),0)</f>
        <v>0</v>
      </c>
      <c r="CE129" s="234">
        <f t="shared" si="106"/>
        <v>0</v>
      </c>
      <c r="CF129" s="96">
        <f t="shared" si="106"/>
        <v>0</v>
      </c>
      <c r="CG129" s="521">
        <f t="shared" si="106"/>
        <v>0</v>
      </c>
      <c r="CH129" s="421">
        <f t="shared" si="107"/>
        <v>0</v>
      </c>
      <c r="CI129" s="96">
        <f t="shared" si="107"/>
        <v>0</v>
      </c>
      <c r="CJ129" s="96">
        <f t="shared" si="107"/>
        <v>0</v>
      </c>
      <c r="CK129" s="96">
        <f t="shared" si="107"/>
        <v>0</v>
      </c>
      <c r="CL129" s="286">
        <f t="shared" si="101"/>
        <v>0</v>
      </c>
      <c r="CM129" s="305" t="s">
        <v>293</v>
      </c>
      <c r="CN129" s="315">
        <v>0.05</v>
      </c>
      <c r="CO129" s="306"/>
      <c r="CP129" s="307" t="str">
        <f>IF($CO129&lt;&gt;"",$CO129,HLOOKUP($CM129,$AY$6:$BA$132,ROWS(CP$6:CP129),0))</f>
        <v/>
      </c>
      <c r="CQ129" s="784">
        <v>0</v>
      </c>
      <c r="CR129" s="784">
        <v>0</v>
      </c>
      <c r="CS129" s="524">
        <v>0</v>
      </c>
      <c r="CT129" s="416">
        <v>0</v>
      </c>
      <c r="CU129" s="97">
        <v>0</v>
      </c>
      <c r="CV129" s="97">
        <v>0</v>
      </c>
      <c r="CW129" s="97">
        <v>0</v>
      </c>
      <c r="CX129" s="98">
        <v>0</v>
      </c>
      <c r="CY129" s="392"/>
      <c r="CZ129" s="1" t="s">
        <v>681</v>
      </c>
      <c r="DA129">
        <f>ROUND(CT128/1000000,1)</f>
        <v>3.8</v>
      </c>
      <c r="DB129">
        <f t="shared" si="108"/>
        <v>3.7</v>
      </c>
      <c r="DC129">
        <f t="shared" si="108"/>
        <v>4.2</v>
      </c>
      <c r="DD129">
        <f t="shared" si="108"/>
        <v>2.2000000000000002</v>
      </c>
      <c r="DE129">
        <f t="shared" si="108"/>
        <v>3</v>
      </c>
      <c r="DF129">
        <f t="shared" si="109"/>
        <v>16.899999999999999</v>
      </c>
    </row>
    <row r="130" spans="1:112" x14ac:dyDescent="0.25">
      <c r="A130" s="81" t="s">
        <v>258</v>
      </c>
      <c r="B130" s="82" t="s">
        <v>263</v>
      </c>
      <c r="C130" s="83" t="s">
        <v>403</v>
      </c>
      <c r="D130" s="84"/>
      <c r="E130" s="85"/>
      <c r="F130" s="85"/>
      <c r="G130" s="85"/>
      <c r="H130" s="85"/>
      <c r="I130" s="85"/>
      <c r="J130" s="85"/>
      <c r="K130" s="85"/>
      <c r="L130" s="85"/>
      <c r="M130" s="654"/>
      <c r="N130" s="1065"/>
      <c r="O130" s="560">
        <f t="shared" si="75"/>
        <v>0</v>
      </c>
      <c r="P130" s="561">
        <f t="shared" si="51"/>
        <v>0</v>
      </c>
      <c r="Q130" s="561">
        <f t="shared" si="52"/>
        <v>0</v>
      </c>
      <c r="R130" s="561">
        <f t="shared" si="53"/>
        <v>0</v>
      </c>
      <c r="S130" s="561">
        <f t="shared" si="54"/>
        <v>0</v>
      </c>
      <c r="T130" s="561">
        <f t="shared" si="55"/>
        <v>0</v>
      </c>
      <c r="U130" s="561">
        <f t="shared" si="56"/>
        <v>0</v>
      </c>
      <c r="V130" s="561">
        <f t="shared" si="57"/>
        <v>0</v>
      </c>
      <c r="W130" s="675">
        <f t="shared" si="58"/>
        <v>0</v>
      </c>
      <c r="X130" s="675">
        <f t="shared" si="59"/>
        <v>0</v>
      </c>
      <c r="Y130" s="675">
        <f t="shared" si="59"/>
        <v>0</v>
      </c>
      <c r="Z130" s="86"/>
      <c r="AA130" s="87"/>
      <c r="AB130" s="87"/>
      <c r="AC130" s="87"/>
      <c r="AD130" s="87"/>
      <c r="AE130" s="87"/>
      <c r="AF130" s="87"/>
      <c r="AG130" s="87"/>
      <c r="AH130" s="87"/>
      <c r="AI130" s="1094"/>
      <c r="AJ130" s="665"/>
      <c r="AK130" s="88">
        <f t="shared" si="86"/>
        <v>0</v>
      </c>
      <c r="AL130" s="89" t="str" cm="1">
        <f t="array" aca="1" ref="AL130" ca="1">IFERROR(IF($AM$4="N",SSUM(AF130:AH130)/3,SUM(AG130:AI130)/3),"")</f>
        <v/>
      </c>
      <c r="AM130" s="90">
        <f t="shared" si="87"/>
        <v>0</v>
      </c>
      <c r="AN130" s="91" t="str">
        <f t="shared" si="88"/>
        <v/>
      </c>
      <c r="AO130" s="92" t="str">
        <f t="shared" si="89"/>
        <v/>
      </c>
      <c r="AP130" s="92" t="str">
        <f t="shared" si="90"/>
        <v/>
      </c>
      <c r="AQ130" s="92" t="str">
        <f t="shared" si="91"/>
        <v/>
      </c>
      <c r="AR130" s="92" t="str">
        <f t="shared" si="92"/>
        <v/>
      </c>
      <c r="AS130" s="92" t="str">
        <f t="shared" si="93"/>
        <v/>
      </c>
      <c r="AT130" s="92" t="str">
        <f t="shared" si="94"/>
        <v/>
      </c>
      <c r="AU130" s="92" t="str">
        <f t="shared" si="95"/>
        <v/>
      </c>
      <c r="AV130" s="92" t="str">
        <f t="shared" si="102"/>
        <v/>
      </c>
      <c r="AW130" s="92" t="str">
        <f t="shared" si="102"/>
        <v/>
      </c>
      <c r="AX130" s="92" t="str">
        <f t="shared" si="102"/>
        <v/>
      </c>
      <c r="AY130" s="93" t="str">
        <f t="shared" si="97"/>
        <v/>
      </c>
      <c r="AZ130" s="94" t="str">
        <f t="shared" si="98"/>
        <v/>
      </c>
      <c r="BA130" s="95" t="str">
        <f t="shared" si="99"/>
        <v/>
      </c>
      <c r="BB130" s="248" t="s">
        <v>422</v>
      </c>
      <c r="BC130" s="229" t="s">
        <v>433</v>
      </c>
      <c r="BD130" s="249">
        <v>0</v>
      </c>
      <c r="BE130" s="267">
        <f t="shared" si="76"/>
        <v>0</v>
      </c>
      <c r="BF130" s="268">
        <f t="shared" si="103"/>
        <v>0</v>
      </c>
      <c r="BG130" s="268">
        <f t="shared" si="103"/>
        <v>0</v>
      </c>
      <c r="BH130" s="268">
        <f t="shared" si="103"/>
        <v>1</v>
      </c>
      <c r="BI130" s="268">
        <f t="shared" si="103"/>
        <v>2</v>
      </c>
      <c r="BJ130" s="268">
        <f t="shared" si="103"/>
        <v>3</v>
      </c>
      <c r="BK130" s="268">
        <f t="shared" si="103"/>
        <v>4</v>
      </c>
      <c r="BL130" s="269">
        <f t="shared" si="103"/>
        <v>5</v>
      </c>
      <c r="BM130" s="256">
        <f>IF($BC130=Lookup!$A$2,$BD130*ROUNDUP(BE130/10,0)+1,
IF($BC130=Lookup!$A$3,($BD130+1)^BD130,
IF($BC130=Lookup!$A$4,BE130*$BD130+1,"Error")))</f>
        <v>1</v>
      </c>
      <c r="BN130" s="229">
        <f>IF($BC130=Lookup!$A$2,$BD130*ROUNDUP(BF130/10,0)+1,
IF($BC130=Lookup!$A$3,($BD130+1)^BE130,
IF($BC130=Lookup!$A$4,BF130*$BD130+1,"Error")))</f>
        <v>1</v>
      </c>
      <c r="BO130" s="229">
        <f>IF($BC130=Lookup!$A$2,$BD130*ROUNDUP(BG130/10,0)+1,
IF($BC130=Lookup!$A$3,($BD130+1)^BF130,
IF($BC130=Lookup!$A$4,BG130*$BD130+1,"Error")))</f>
        <v>1</v>
      </c>
      <c r="BP130" s="229">
        <f>IF($BC130=Lookup!$A$2,$BD130*ROUNDUP(BH130/10,0)+1,
IF($BC130=Lookup!$A$3,($BD130+1)^BG130,
IF($BC130=Lookup!$A$4,BH130*$BD130+1,"Error")))</f>
        <v>1</v>
      </c>
      <c r="BQ130" s="229">
        <f>IF($BC130=Lookup!$A$2,$BD130*ROUNDUP(BI130/10,0)+1,
IF($BC130=Lookup!$A$3,($BD130+1)^BH130,
IF($BC130=Lookup!$A$4,BI130*$BD130+1,"Error")))</f>
        <v>1</v>
      </c>
      <c r="BR130" s="229">
        <f>IF($BC130=Lookup!$A$2,$BD130*ROUNDUP(BJ130/10,0)+1,
IF($BC130=Lookup!$A$3,($BD130+1)^BI130,
IF($BC130=Lookup!$A$4,BJ130*$BD130+1,"Error")))</f>
        <v>1</v>
      </c>
      <c r="BS130" s="229">
        <f>IF($BC130=Lookup!$A$2,$BD130*ROUNDUP(BK130/10,0)+1,
IF($BC130=Lookup!$A$3,($BD130+1)^BJ130,
IF($BC130=Lookup!$A$4,BK130*$BD130+1,"Error")))</f>
        <v>1</v>
      </c>
      <c r="BT130" s="249">
        <f>IF($BC130=Lookup!$A$2,$BD130*ROUNDUP(BL130/10,0)+1,
IF($BC130=Lookup!$A$3,($BD130+1)^BK130,
IF($BC130=Lookup!$A$4,BL130*$BD130+1,"Error")))</f>
        <v>1</v>
      </c>
      <c r="BU130" s="320">
        <v>0</v>
      </c>
      <c r="BV130" s="321">
        <v>0</v>
      </c>
      <c r="BW130" s="321">
        <v>0</v>
      </c>
      <c r="BX130" s="320">
        <v>0</v>
      </c>
      <c r="BY130" s="321">
        <v>1</v>
      </c>
      <c r="BZ130" s="321">
        <v>0</v>
      </c>
      <c r="CA130" s="321">
        <v>1</v>
      </c>
      <c r="CB130" s="277">
        <v>0</v>
      </c>
      <c r="CC130" s="382" t="s">
        <v>292</v>
      </c>
      <c r="CD130" s="383">
        <f>HLOOKUP($CC130,$AK$6:$AM$132,ROWS(CD$6:CD130),0)</f>
        <v>0</v>
      </c>
      <c r="CE130" s="234">
        <f t="shared" si="106"/>
        <v>0</v>
      </c>
      <c r="CF130" s="96">
        <f t="shared" si="106"/>
        <v>0</v>
      </c>
      <c r="CG130" s="521">
        <f t="shared" si="106"/>
        <v>0</v>
      </c>
      <c r="CH130" s="421">
        <f t="shared" si="107"/>
        <v>0</v>
      </c>
      <c r="CI130" s="96">
        <f t="shared" si="107"/>
        <v>1</v>
      </c>
      <c r="CJ130" s="96">
        <f t="shared" si="107"/>
        <v>0</v>
      </c>
      <c r="CK130" s="96">
        <f t="shared" si="107"/>
        <v>1</v>
      </c>
      <c r="CL130" s="286">
        <f t="shared" si="101"/>
        <v>0</v>
      </c>
      <c r="CM130" s="305" t="s">
        <v>293</v>
      </c>
      <c r="CN130" s="315">
        <v>0.05</v>
      </c>
      <c r="CO130" s="306"/>
      <c r="CP130" s="307" t="str">
        <f>IF($CO130&lt;&gt;"",$CO130,HLOOKUP($CM130,$AY$6:$BA$132,ROWS(CP$6:CP130),0))</f>
        <v/>
      </c>
      <c r="CQ130" s="784">
        <v>935</v>
      </c>
      <c r="CR130" s="784">
        <v>896.01362433514635</v>
      </c>
      <c r="CS130" s="524">
        <v>131400.21697266016</v>
      </c>
      <c r="CT130" s="416">
        <v>3171752.4288309971</v>
      </c>
      <c r="CU130" s="97">
        <v>2238832.8489571149</v>
      </c>
      <c r="CV130" s="97">
        <v>675370.70670926571</v>
      </c>
      <c r="CW130" s="97">
        <v>294344.60806668404</v>
      </c>
      <c r="CX130" s="98">
        <v>0</v>
      </c>
      <c r="CY130" s="392"/>
      <c r="CZ130" s="1" t="s">
        <v>671</v>
      </c>
      <c r="DA130" s="1">
        <f>SUM(DA128:DA129)</f>
        <v>7.8</v>
      </c>
      <c r="DB130" s="1">
        <f t="shared" ref="DB130:DF130" si="110">SUM(DB128:DB129)</f>
        <v>7.6</v>
      </c>
      <c r="DC130" s="1">
        <f t="shared" si="110"/>
        <v>8.6000000000000014</v>
      </c>
      <c r="DD130" s="1">
        <f t="shared" si="110"/>
        <v>3.9000000000000004</v>
      </c>
      <c r="DE130" s="1">
        <f t="shared" si="110"/>
        <v>5.5</v>
      </c>
      <c r="DF130" s="1">
        <f t="shared" si="110"/>
        <v>33.4</v>
      </c>
    </row>
    <row r="131" spans="1:112" x14ac:dyDescent="0.25">
      <c r="A131" s="81" t="s">
        <v>258</v>
      </c>
      <c r="B131" s="82" t="s">
        <v>404</v>
      </c>
      <c r="C131" s="83" t="s">
        <v>405</v>
      </c>
      <c r="D131" s="84"/>
      <c r="E131" s="85"/>
      <c r="F131" s="85"/>
      <c r="G131" s="85"/>
      <c r="H131" s="85"/>
      <c r="I131" s="85"/>
      <c r="J131" s="85"/>
      <c r="K131" s="85"/>
      <c r="L131" s="85"/>
      <c r="M131" s="654"/>
      <c r="N131" s="1065"/>
      <c r="O131" s="560">
        <f t="shared" si="75"/>
        <v>0</v>
      </c>
      <c r="P131" s="561">
        <f t="shared" si="51"/>
        <v>0</v>
      </c>
      <c r="Q131" s="561">
        <f t="shared" si="52"/>
        <v>0</v>
      </c>
      <c r="R131" s="561">
        <f t="shared" si="53"/>
        <v>0</v>
      </c>
      <c r="S131" s="561">
        <f t="shared" si="54"/>
        <v>0</v>
      </c>
      <c r="T131" s="561">
        <f t="shared" si="55"/>
        <v>0</v>
      </c>
      <c r="U131" s="561">
        <f t="shared" si="56"/>
        <v>0</v>
      </c>
      <c r="V131" s="561">
        <f t="shared" si="57"/>
        <v>0</v>
      </c>
      <c r="W131" s="675">
        <f t="shared" si="58"/>
        <v>0</v>
      </c>
      <c r="X131" s="675">
        <f t="shared" si="59"/>
        <v>0</v>
      </c>
      <c r="Y131" s="675">
        <f t="shared" si="59"/>
        <v>0</v>
      </c>
      <c r="Z131" s="86"/>
      <c r="AA131" s="87"/>
      <c r="AB131" s="87"/>
      <c r="AC131" s="87"/>
      <c r="AD131" s="87"/>
      <c r="AE131" s="87"/>
      <c r="AF131" s="87"/>
      <c r="AG131" s="87"/>
      <c r="AH131" s="87"/>
      <c r="AI131" s="1094"/>
      <c r="AJ131" s="665"/>
      <c r="AK131" s="88">
        <f t="shared" si="86"/>
        <v>0</v>
      </c>
      <c r="AL131" s="89" t="str" cm="1">
        <f t="array" aca="1" ref="AL131" ca="1">IFERROR(IF($AM$4="N",SSUM(AF131:AH131)/3,SUM(AG131:AI131)/3),"")</f>
        <v/>
      </c>
      <c r="AM131" s="90">
        <f t="shared" si="87"/>
        <v>0</v>
      </c>
      <c r="AN131" s="91" t="str">
        <f t="shared" si="88"/>
        <v/>
      </c>
      <c r="AO131" s="92" t="str">
        <f t="shared" si="89"/>
        <v/>
      </c>
      <c r="AP131" s="92" t="str">
        <f t="shared" si="90"/>
        <v/>
      </c>
      <c r="AQ131" s="92" t="str">
        <f t="shared" si="91"/>
        <v/>
      </c>
      <c r="AR131" s="92" t="str">
        <f t="shared" si="92"/>
        <v/>
      </c>
      <c r="AS131" s="92" t="str">
        <f t="shared" si="93"/>
        <v/>
      </c>
      <c r="AT131" s="92" t="str">
        <f t="shared" si="94"/>
        <v/>
      </c>
      <c r="AU131" s="92" t="str">
        <f t="shared" si="95"/>
        <v/>
      </c>
      <c r="AV131" s="92" t="str">
        <f t="shared" si="102"/>
        <v/>
      </c>
      <c r="AW131" s="92" t="str">
        <f t="shared" si="102"/>
        <v/>
      </c>
      <c r="AX131" s="92" t="str">
        <f t="shared" si="102"/>
        <v/>
      </c>
      <c r="AY131" s="93" t="str">
        <f t="shared" si="97"/>
        <v/>
      </c>
      <c r="AZ131" s="94" t="str">
        <f t="shared" si="98"/>
        <v/>
      </c>
      <c r="BA131" s="95" t="str">
        <f t="shared" si="99"/>
        <v/>
      </c>
      <c r="BB131" s="248" t="s">
        <v>422</v>
      </c>
      <c r="BC131" s="229" t="s">
        <v>433</v>
      </c>
      <c r="BD131" s="249">
        <v>0</v>
      </c>
      <c r="BE131" s="267">
        <f t="shared" si="76"/>
        <v>0</v>
      </c>
      <c r="BF131" s="268">
        <f t="shared" si="103"/>
        <v>0</v>
      </c>
      <c r="BG131" s="268">
        <f t="shared" si="103"/>
        <v>0</v>
      </c>
      <c r="BH131" s="268">
        <f t="shared" si="103"/>
        <v>1</v>
      </c>
      <c r="BI131" s="268">
        <f t="shared" si="103"/>
        <v>2</v>
      </c>
      <c r="BJ131" s="268">
        <f t="shared" si="103"/>
        <v>3</v>
      </c>
      <c r="BK131" s="268">
        <f t="shared" si="103"/>
        <v>4</v>
      </c>
      <c r="BL131" s="269">
        <f t="shared" si="103"/>
        <v>5</v>
      </c>
      <c r="BM131" s="256">
        <f>IF($BC131=Lookup!$A$2,$BD131*ROUNDUP(BE131/10,0)+1,
IF($BC131=Lookup!$A$3,($BD131+1)^BD131,
IF($BC131=Lookup!$A$4,BE131*$BD131+1,"Error")))</f>
        <v>1</v>
      </c>
      <c r="BN131" s="229">
        <f>IF($BC131=Lookup!$A$2,$BD131*ROUNDUP(BF131/10,0)+1,
IF($BC131=Lookup!$A$3,($BD131+1)^BE131,
IF($BC131=Lookup!$A$4,BF131*$BD131+1,"Error")))</f>
        <v>1</v>
      </c>
      <c r="BO131" s="229">
        <f>IF($BC131=Lookup!$A$2,$BD131*ROUNDUP(BG131/10,0)+1,
IF($BC131=Lookup!$A$3,($BD131+1)^BF131,
IF($BC131=Lookup!$A$4,BG131*$BD131+1,"Error")))</f>
        <v>1</v>
      </c>
      <c r="BP131" s="229">
        <f>IF($BC131=Lookup!$A$2,$BD131*ROUNDUP(BH131/10,0)+1,
IF($BC131=Lookup!$A$3,($BD131+1)^BG131,
IF($BC131=Lookup!$A$4,BH131*$BD131+1,"Error")))</f>
        <v>1</v>
      </c>
      <c r="BQ131" s="229">
        <f>IF($BC131=Lookup!$A$2,$BD131*ROUNDUP(BI131/10,0)+1,
IF($BC131=Lookup!$A$3,($BD131+1)^BH131,
IF($BC131=Lookup!$A$4,BI131*$BD131+1,"Error")))</f>
        <v>1</v>
      </c>
      <c r="BR131" s="229">
        <f>IF($BC131=Lookup!$A$2,$BD131*ROUNDUP(BJ131/10,0)+1,
IF($BC131=Lookup!$A$3,($BD131+1)^BI131,
IF($BC131=Lookup!$A$4,BJ131*$BD131+1,"Error")))</f>
        <v>1</v>
      </c>
      <c r="BS131" s="229">
        <f>IF($BC131=Lookup!$A$2,$BD131*ROUNDUP(BK131/10,0)+1,
IF($BC131=Lookup!$A$3,($BD131+1)^BJ131,
IF($BC131=Lookup!$A$4,BK131*$BD131+1,"Error")))</f>
        <v>1</v>
      </c>
      <c r="BT131" s="249">
        <f>IF($BC131=Lookup!$A$2,$BD131*ROUNDUP(BL131/10,0)+1,
IF($BC131=Lookup!$A$3,($BD131+1)^BK131,
IF($BC131=Lookup!$A$4,BL131*$BD131+1,"Error")))</f>
        <v>1</v>
      </c>
      <c r="BU131" s="320">
        <v>0</v>
      </c>
      <c r="BV131" s="321">
        <v>0</v>
      </c>
      <c r="BW131" s="321">
        <v>0</v>
      </c>
      <c r="BX131" s="320">
        <v>0</v>
      </c>
      <c r="BY131" s="321">
        <v>0</v>
      </c>
      <c r="BZ131" s="321">
        <v>0</v>
      </c>
      <c r="CA131" s="321">
        <v>0</v>
      </c>
      <c r="CB131" s="277">
        <v>0</v>
      </c>
      <c r="CC131" s="382" t="s">
        <v>292</v>
      </c>
      <c r="CD131" s="383">
        <f>HLOOKUP($CC131,$AK$6:$AM$132,ROWS(CD$6:CD131),0)</f>
        <v>0</v>
      </c>
      <c r="CE131" s="234">
        <f t="shared" si="106"/>
        <v>0</v>
      </c>
      <c r="CF131" s="96">
        <f t="shared" si="106"/>
        <v>0</v>
      </c>
      <c r="CG131" s="521">
        <f t="shared" si="106"/>
        <v>0</v>
      </c>
      <c r="CH131" s="421">
        <f t="shared" si="107"/>
        <v>0</v>
      </c>
      <c r="CI131" s="96">
        <f t="shared" si="107"/>
        <v>0</v>
      </c>
      <c r="CJ131" s="96">
        <f t="shared" si="107"/>
        <v>0</v>
      </c>
      <c r="CK131" s="96">
        <f t="shared" si="107"/>
        <v>0</v>
      </c>
      <c r="CL131" s="286">
        <f t="shared" si="101"/>
        <v>0</v>
      </c>
      <c r="CM131" s="305" t="s">
        <v>293</v>
      </c>
      <c r="CN131" s="315">
        <v>0.05</v>
      </c>
      <c r="CO131" s="306"/>
      <c r="CP131" s="307" t="str">
        <f>IF($CO131&lt;&gt;"",$CO131,HLOOKUP($CM131,$AY$6:$BA$132,ROWS(CP$6:CP131),0))</f>
        <v/>
      </c>
      <c r="CQ131" s="784">
        <v>0</v>
      </c>
      <c r="CR131" s="784"/>
      <c r="CS131" s="524"/>
      <c r="CT131" s="416"/>
      <c r="CU131" s="97"/>
      <c r="CV131" s="97"/>
      <c r="CW131" s="97"/>
      <c r="CX131" s="98"/>
      <c r="CY131" s="392"/>
    </row>
    <row r="132" spans="1:112" ht="15.75" thickBot="1" x14ac:dyDescent="0.3">
      <c r="A132" s="100" t="s">
        <v>258</v>
      </c>
      <c r="B132" s="101" t="s">
        <v>265</v>
      </c>
      <c r="C132" s="159" t="s">
        <v>406</v>
      </c>
      <c r="D132" s="103"/>
      <c r="E132" s="104"/>
      <c r="F132" s="104"/>
      <c r="G132" s="104"/>
      <c r="H132" s="104"/>
      <c r="I132" s="104"/>
      <c r="J132" s="104"/>
      <c r="K132" s="104"/>
      <c r="L132" s="104"/>
      <c r="M132" s="655"/>
      <c r="N132" s="1066"/>
      <c r="O132" s="563">
        <f t="shared" si="75"/>
        <v>0</v>
      </c>
      <c r="P132" s="564">
        <f t="shared" si="51"/>
        <v>0</v>
      </c>
      <c r="Q132" s="564">
        <f t="shared" si="52"/>
        <v>0</v>
      </c>
      <c r="R132" s="564">
        <f t="shared" si="53"/>
        <v>0</v>
      </c>
      <c r="S132" s="564">
        <f t="shared" si="54"/>
        <v>0</v>
      </c>
      <c r="T132" s="564">
        <f t="shared" si="55"/>
        <v>0</v>
      </c>
      <c r="U132" s="564">
        <f t="shared" si="56"/>
        <v>0</v>
      </c>
      <c r="V132" s="564">
        <f t="shared" si="57"/>
        <v>0</v>
      </c>
      <c r="W132" s="676">
        <f t="shared" si="58"/>
        <v>0</v>
      </c>
      <c r="X132" s="676">
        <f t="shared" si="59"/>
        <v>0</v>
      </c>
      <c r="Y132" s="676">
        <f t="shared" si="59"/>
        <v>0</v>
      </c>
      <c r="Z132" s="105"/>
      <c r="AA132" s="106"/>
      <c r="AB132" s="106"/>
      <c r="AC132" s="106"/>
      <c r="AD132" s="106"/>
      <c r="AE132" s="106"/>
      <c r="AF132" s="106"/>
      <c r="AG132" s="106"/>
      <c r="AH132" s="106"/>
      <c r="AI132" s="1095"/>
      <c r="AJ132" s="666"/>
      <c r="AK132" s="107">
        <f t="shared" si="86"/>
        <v>0</v>
      </c>
      <c r="AL132" s="108" t="str" cm="1">
        <f t="array" aca="1" ref="AL132" ca="1">IFERROR(IF($AM$4="N",SSUM(AF132:AH132)/3,SUM(AG132:AI132)/3),"")</f>
        <v/>
      </c>
      <c r="AM132" s="109">
        <f t="shared" si="87"/>
        <v>0</v>
      </c>
      <c r="AN132" s="110" t="str">
        <f t="shared" si="88"/>
        <v/>
      </c>
      <c r="AO132" s="111" t="str">
        <f t="shared" si="89"/>
        <v/>
      </c>
      <c r="AP132" s="111" t="str">
        <f t="shared" si="90"/>
        <v/>
      </c>
      <c r="AQ132" s="111" t="str">
        <f t="shared" si="91"/>
        <v/>
      </c>
      <c r="AR132" s="111" t="str">
        <f t="shared" si="92"/>
        <v/>
      </c>
      <c r="AS132" s="111" t="str">
        <f t="shared" si="93"/>
        <v/>
      </c>
      <c r="AT132" s="111" t="str">
        <f t="shared" si="94"/>
        <v/>
      </c>
      <c r="AU132" s="111" t="str">
        <f t="shared" si="95"/>
        <v/>
      </c>
      <c r="AV132" s="111" t="str">
        <f t="shared" si="102"/>
        <v/>
      </c>
      <c r="AW132" s="111" t="str">
        <f t="shared" si="102"/>
        <v/>
      </c>
      <c r="AX132" s="111" t="str">
        <f t="shared" si="102"/>
        <v/>
      </c>
      <c r="AY132" s="112" t="str">
        <f t="shared" si="97"/>
        <v/>
      </c>
      <c r="AZ132" s="113" t="str">
        <f t="shared" si="98"/>
        <v/>
      </c>
      <c r="BA132" s="114" t="str">
        <f t="shared" si="99"/>
        <v/>
      </c>
      <c r="BB132" s="250" t="s">
        <v>422</v>
      </c>
      <c r="BC132" s="230" t="s">
        <v>433</v>
      </c>
      <c r="BD132" s="251">
        <v>0</v>
      </c>
      <c r="BE132" s="270">
        <f t="shared" si="76"/>
        <v>0</v>
      </c>
      <c r="BF132" s="271">
        <f t="shared" si="103"/>
        <v>0</v>
      </c>
      <c r="BG132" s="271">
        <f t="shared" si="103"/>
        <v>0</v>
      </c>
      <c r="BH132" s="271">
        <f t="shared" si="103"/>
        <v>1</v>
      </c>
      <c r="BI132" s="271">
        <f t="shared" si="103"/>
        <v>2</v>
      </c>
      <c r="BJ132" s="271">
        <f t="shared" si="103"/>
        <v>3</v>
      </c>
      <c r="BK132" s="271">
        <f t="shared" si="103"/>
        <v>4</v>
      </c>
      <c r="BL132" s="272">
        <f t="shared" si="103"/>
        <v>5</v>
      </c>
      <c r="BM132" s="257">
        <f>IF($BC132=Lookup!$A$2,$BD132*ROUNDUP(BE132/10,0)+1,
IF($BC132=Lookup!$A$3,($BD132+1)^BD132,
IF($BC132=Lookup!$A$4,BE132*$BD132+1,"Error")))</f>
        <v>1</v>
      </c>
      <c r="BN132" s="230">
        <f>IF($BC132=Lookup!$A$2,$BD132*ROUNDUP(BF132/10,0)+1,
IF($BC132=Lookup!$A$3,($BD132+1)^BE132,
IF($BC132=Lookup!$A$4,BF132*$BD132+1,"Error")))</f>
        <v>1</v>
      </c>
      <c r="BO132" s="230">
        <f>IF($BC132=Lookup!$A$2,$BD132*ROUNDUP(BG132/10,0)+1,
IF($BC132=Lookup!$A$3,($BD132+1)^BF132,
IF($BC132=Lookup!$A$4,BG132*$BD132+1,"Error")))</f>
        <v>1</v>
      </c>
      <c r="BP132" s="230">
        <f>IF($BC132=Lookup!$A$2,$BD132*ROUNDUP(BH132/10,0)+1,
IF($BC132=Lookup!$A$3,($BD132+1)^BG132,
IF($BC132=Lookup!$A$4,BH132*$BD132+1,"Error")))</f>
        <v>1</v>
      </c>
      <c r="BQ132" s="230">
        <f>IF($BC132=Lookup!$A$2,$BD132*ROUNDUP(BI132/10,0)+1,
IF($BC132=Lookup!$A$3,($BD132+1)^BH132,
IF($BC132=Lookup!$A$4,BI132*$BD132+1,"Error")))</f>
        <v>1</v>
      </c>
      <c r="BR132" s="230">
        <f>IF($BC132=Lookup!$A$2,$BD132*ROUNDUP(BJ132/10,0)+1,
IF($BC132=Lookup!$A$3,($BD132+1)^BI132,
IF($BC132=Lookup!$A$4,BJ132*$BD132+1,"Error")))</f>
        <v>1</v>
      </c>
      <c r="BS132" s="230">
        <f>IF($BC132=Lookup!$A$2,$BD132*ROUNDUP(BK132/10,0)+1,
IF($BC132=Lookup!$A$3,($BD132+1)^BJ132,
IF($BC132=Lookup!$A$4,BK132*$BD132+1,"Error")))</f>
        <v>1</v>
      </c>
      <c r="BT132" s="251">
        <f>IF($BC132=Lookup!$A$2,$BD132*ROUNDUP(BL132/10,0)+1,
IF($BC132=Lookup!$A$3,($BD132+1)^BK132,
IF($BC132=Lookup!$A$4,BL132*$BD132+1,"Error")))</f>
        <v>1</v>
      </c>
      <c r="BU132" s="322">
        <v>0</v>
      </c>
      <c r="BV132" s="323">
        <v>0</v>
      </c>
      <c r="BW132" s="323">
        <v>0</v>
      </c>
      <c r="BX132" s="322">
        <v>0</v>
      </c>
      <c r="BY132" s="323">
        <v>0</v>
      </c>
      <c r="BZ132" s="323">
        <v>0</v>
      </c>
      <c r="CA132" s="323">
        <v>0</v>
      </c>
      <c r="CB132" s="278">
        <v>0</v>
      </c>
      <c r="CC132" s="384" t="s">
        <v>292</v>
      </c>
      <c r="CD132" s="385">
        <f>HLOOKUP($CC132,$AK$6:$AM$132,ROWS(CD$6:CD132),0)</f>
        <v>0</v>
      </c>
      <c r="CE132" s="235">
        <f t="shared" si="106"/>
        <v>0</v>
      </c>
      <c r="CF132" s="115">
        <f t="shared" si="106"/>
        <v>0</v>
      </c>
      <c r="CG132" s="522">
        <f t="shared" si="106"/>
        <v>0</v>
      </c>
      <c r="CH132" s="422">
        <f t="shared" si="107"/>
        <v>0</v>
      </c>
      <c r="CI132" s="115">
        <f t="shared" si="107"/>
        <v>0</v>
      </c>
      <c r="CJ132" s="115">
        <f t="shared" si="107"/>
        <v>0</v>
      </c>
      <c r="CK132" s="115">
        <f t="shared" si="107"/>
        <v>0</v>
      </c>
      <c r="CL132" s="287">
        <f t="shared" si="101"/>
        <v>0</v>
      </c>
      <c r="CM132" s="308" t="s">
        <v>293</v>
      </c>
      <c r="CN132" s="316">
        <v>0.05</v>
      </c>
      <c r="CO132" s="309"/>
      <c r="CP132" s="310" t="str">
        <f>IF($CO132&lt;&gt;"",$CO132,HLOOKUP($CM132,$AY$6:$BA$132,ROWS(CP$6:CP132),0))</f>
        <v/>
      </c>
      <c r="CQ132" s="785">
        <v>28220.503554738581</v>
      </c>
      <c r="CR132" s="785">
        <v>23148617.150723193</v>
      </c>
      <c r="CS132" s="638">
        <v>24728037.858505033</v>
      </c>
      <c r="CT132" s="467">
        <v>17061068.413156822</v>
      </c>
      <c r="CU132" s="117">
        <v>15554895.963824024</v>
      </c>
      <c r="CV132" s="117">
        <v>14691428.009856019</v>
      </c>
      <c r="CW132" s="117">
        <v>20645717.170454673</v>
      </c>
      <c r="CX132" s="118">
        <v>16202476.835323654</v>
      </c>
      <c r="CY132" s="393"/>
      <c r="CZ132" s="1" t="s">
        <v>510</v>
      </c>
      <c r="DA132" s="395">
        <f>CH127+CH128</f>
        <v>36</v>
      </c>
      <c r="DB132" s="395">
        <f t="shared" ref="DB132:DE132" si="111">CI127+CI128</f>
        <v>170</v>
      </c>
      <c r="DC132" s="395">
        <f t="shared" si="111"/>
        <v>68</v>
      </c>
      <c r="DD132" s="395">
        <f t="shared" si="111"/>
        <v>184</v>
      </c>
      <c r="DE132" s="395">
        <f t="shared" si="111"/>
        <v>46</v>
      </c>
      <c r="DF132" s="395">
        <f>SUM(DA132:DE132)</f>
        <v>504</v>
      </c>
    </row>
    <row r="133" spans="1:112" ht="15.75" thickBot="1" x14ac:dyDescent="0.3">
      <c r="A133" s="19"/>
      <c r="B133" s="19"/>
      <c r="C133" s="160" t="s">
        <v>407</v>
      </c>
      <c r="D133" s="161">
        <f>SUM(D7:D132)</f>
        <v>0</v>
      </c>
      <c r="E133" s="162">
        <f t="shared" ref="E133:X133" si="112">SUM(E7:E132)</f>
        <v>0</v>
      </c>
      <c r="F133" s="162">
        <f t="shared" si="112"/>
        <v>0</v>
      </c>
      <c r="G133" s="162">
        <f t="shared" si="112"/>
        <v>0</v>
      </c>
      <c r="H133" s="162">
        <f t="shared" si="112"/>
        <v>0</v>
      </c>
      <c r="I133" s="162">
        <f t="shared" si="112"/>
        <v>0</v>
      </c>
      <c r="J133" s="162">
        <f t="shared" si="112"/>
        <v>0</v>
      </c>
      <c r="K133" s="162">
        <f t="shared" si="112"/>
        <v>0</v>
      </c>
      <c r="L133" s="162">
        <f t="shared" si="112"/>
        <v>0</v>
      </c>
      <c r="M133" s="162">
        <f t="shared" si="112"/>
        <v>0</v>
      </c>
      <c r="N133" s="162">
        <f t="shared" si="112"/>
        <v>0</v>
      </c>
      <c r="O133" s="569">
        <f t="shared" si="112"/>
        <v>0</v>
      </c>
      <c r="P133" s="570">
        <f t="shared" si="112"/>
        <v>0</v>
      </c>
      <c r="Q133" s="570">
        <f t="shared" si="112"/>
        <v>0</v>
      </c>
      <c r="R133" s="570">
        <f t="shared" si="112"/>
        <v>0</v>
      </c>
      <c r="S133" s="570">
        <f t="shared" si="112"/>
        <v>0</v>
      </c>
      <c r="T133" s="570">
        <f t="shared" si="112"/>
        <v>0</v>
      </c>
      <c r="U133" s="570">
        <f t="shared" si="112"/>
        <v>0</v>
      </c>
      <c r="V133" s="570">
        <f t="shared" si="112"/>
        <v>0</v>
      </c>
      <c r="W133" s="1106">
        <f t="shared" si="112"/>
        <v>0</v>
      </c>
      <c r="X133" s="1106">
        <f t="shared" si="112"/>
        <v>0</v>
      </c>
      <c r="Y133" s="678">
        <f t="shared" ref="Y133" si="113">SUM(Y7:Y132)</f>
        <v>0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82"/>
      <c r="AJ133" s="282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282"/>
      <c r="CM133" s="282"/>
      <c r="CN133" s="282"/>
      <c r="CO133" s="282"/>
      <c r="CP133" s="19"/>
      <c r="CQ133" s="787">
        <f t="shared" ref="CQ133:CW133" si="114">SUM(CQ7:CQ132)</f>
        <v>24089682</v>
      </c>
      <c r="CR133" s="1110">
        <f t="shared" si="114"/>
        <v>111953242.82968453</v>
      </c>
      <c r="CS133" s="765">
        <f t="shared" si="114"/>
        <v>96943447.296151996</v>
      </c>
      <c r="CT133" s="206">
        <f t="shared" si="114"/>
        <v>80173931.544925645</v>
      </c>
      <c r="CU133" s="163">
        <f t="shared" si="114"/>
        <v>80729365.528698787</v>
      </c>
      <c r="CV133" s="163">
        <f t="shared" si="114"/>
        <v>91172931.756774753</v>
      </c>
      <c r="CW133" s="163">
        <f t="shared" si="114"/>
        <v>99266447.895862252</v>
      </c>
      <c r="CX133" s="164">
        <f>SUM(CX7:CX132)</f>
        <v>105227140.80633357</v>
      </c>
      <c r="CY133" s="395">
        <f>SUM(CT133:CX133)</f>
        <v>456569817.53259504</v>
      </c>
    </row>
    <row r="134" spans="1:112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82"/>
      <c r="N134" s="282"/>
      <c r="O134" s="19"/>
      <c r="P134" s="19"/>
      <c r="Q134" s="19"/>
      <c r="R134" s="19"/>
      <c r="S134" s="19"/>
      <c r="T134" s="19"/>
      <c r="U134" s="19"/>
      <c r="V134" s="19"/>
      <c r="W134" s="19"/>
      <c r="X134" s="282"/>
      <c r="Y134" s="282"/>
      <c r="Z134" s="19"/>
      <c r="AA134" s="19"/>
      <c r="AB134" s="19"/>
      <c r="AC134" s="19"/>
      <c r="AD134" s="19"/>
      <c r="AE134" s="19"/>
      <c r="AF134" s="19"/>
      <c r="AG134" s="19"/>
      <c r="AH134" s="19"/>
      <c r="AI134" s="282"/>
      <c r="AJ134" s="282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/>
      <c r="AX134" s="282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282"/>
      <c r="CM134" s="282"/>
      <c r="CN134" s="282"/>
      <c r="CO134" s="282"/>
      <c r="CP134" s="19"/>
      <c r="CQ134" s="780"/>
      <c r="CR134" s="780"/>
      <c r="CS134" s="19"/>
      <c r="CT134" s="19"/>
      <c r="CU134" s="19"/>
      <c r="CV134" s="19"/>
      <c r="CW134" s="19"/>
      <c r="CX134" s="19"/>
    </row>
    <row r="135" spans="1:112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82"/>
      <c r="N135" s="282"/>
      <c r="O135" s="19"/>
      <c r="P135" s="19"/>
      <c r="Q135" s="19"/>
      <c r="R135" s="19"/>
      <c r="S135" s="19"/>
      <c r="T135" s="19"/>
      <c r="U135" s="19"/>
      <c r="V135" s="19"/>
      <c r="W135" s="19"/>
      <c r="X135" s="282"/>
      <c r="Y135" s="282"/>
      <c r="Z135" s="165" t="e">
        <f t="shared" ref="Z135:AF135" si="115">Z136/(Z136+Z137)</f>
        <v>#DIV/0!</v>
      </c>
      <c r="AA135" s="165" t="e">
        <f t="shared" si="115"/>
        <v>#DIV/0!</v>
      </c>
      <c r="AB135" s="165" t="e">
        <f t="shared" si="115"/>
        <v>#DIV/0!</v>
      </c>
      <c r="AC135" s="165" t="e">
        <f t="shared" si="115"/>
        <v>#DIV/0!</v>
      </c>
      <c r="AD135" s="165" t="e">
        <f t="shared" si="115"/>
        <v>#DIV/0!</v>
      </c>
      <c r="AE135" s="165" t="e">
        <f t="shared" si="115"/>
        <v>#DIV/0!</v>
      </c>
      <c r="AF135" s="165" t="e">
        <f t="shared" si="115"/>
        <v>#DIV/0!</v>
      </c>
      <c r="AG135" s="165"/>
      <c r="AH135" s="165"/>
      <c r="AI135" s="294"/>
      <c r="AJ135" s="294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282"/>
      <c r="AX135" s="282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65"/>
      <c r="CF135" s="165"/>
      <c r="CG135" s="165"/>
      <c r="CH135" s="165"/>
      <c r="CI135" s="165"/>
      <c r="CJ135" s="165"/>
      <c r="CK135" s="165"/>
      <c r="CL135" s="294"/>
      <c r="CM135" s="294"/>
      <c r="CN135" s="294"/>
      <c r="CO135" s="294"/>
      <c r="CP135" s="19"/>
      <c r="CQ135" s="780"/>
      <c r="CR135" s="780"/>
      <c r="CS135" s="19"/>
      <c r="CT135" s="19"/>
      <c r="CU135" s="19"/>
      <c r="CV135" s="19"/>
      <c r="CW135" s="19"/>
      <c r="CX135" s="19"/>
      <c r="CZ135" s="1" t="s">
        <v>418</v>
      </c>
    </row>
    <row r="136" spans="1:112" x14ac:dyDescent="0.25">
      <c r="A136" s="63" t="s">
        <v>296</v>
      </c>
      <c r="B136" s="166"/>
      <c r="C136" s="64" t="s">
        <v>409</v>
      </c>
      <c r="D136" s="167">
        <f>SUMIF($A$7:$A$132,$A136,D$7:D$132)</f>
        <v>0</v>
      </c>
      <c r="E136" s="168">
        <f t="shared" ref="E136:AF146" si="116">SUMIF($A$7:$A$132,$A136,E$7:E$132)</f>
        <v>0</v>
      </c>
      <c r="F136" s="168">
        <f t="shared" si="116"/>
        <v>0</v>
      </c>
      <c r="G136" s="168">
        <f t="shared" si="116"/>
        <v>0</v>
      </c>
      <c r="H136" s="168">
        <f t="shared" si="116"/>
        <v>0</v>
      </c>
      <c r="I136" s="168">
        <f t="shared" si="116"/>
        <v>0</v>
      </c>
      <c r="J136" s="168">
        <f t="shared" si="116"/>
        <v>0</v>
      </c>
      <c r="K136" s="168">
        <f t="shared" si="116"/>
        <v>0</v>
      </c>
      <c r="L136" s="168">
        <f t="shared" si="116"/>
        <v>0</v>
      </c>
      <c r="M136" s="658">
        <f t="shared" si="116"/>
        <v>0</v>
      </c>
      <c r="N136" s="658">
        <f t="shared" ref="N136:N146" si="117">SUMIF($A$7:$A$132,$A136,N$7:N$132)</f>
        <v>0</v>
      </c>
      <c r="O136" s="578">
        <f>SUMIF($A$7:$A$132,$A136,O$7:O$132)</f>
        <v>0</v>
      </c>
      <c r="P136" s="575">
        <f t="shared" si="116"/>
        <v>0</v>
      </c>
      <c r="Q136" s="575">
        <f t="shared" si="116"/>
        <v>0</v>
      </c>
      <c r="R136" s="575">
        <f t="shared" si="116"/>
        <v>0</v>
      </c>
      <c r="S136" s="575">
        <f t="shared" si="116"/>
        <v>0</v>
      </c>
      <c r="T136" s="575">
        <f t="shared" si="116"/>
        <v>0</v>
      </c>
      <c r="U136" s="575">
        <f t="shared" si="116"/>
        <v>0</v>
      </c>
      <c r="V136" s="575">
        <f t="shared" si="116"/>
        <v>0</v>
      </c>
      <c r="W136" s="575">
        <f t="shared" si="116"/>
        <v>0</v>
      </c>
      <c r="X136" s="679">
        <f t="shared" si="116"/>
        <v>0</v>
      </c>
      <c r="Y136" s="679">
        <f t="shared" ref="Y136:Y143" si="118">SUMIF($A$7:$A$132,$A136,Y$7:Y$132)</f>
        <v>0</v>
      </c>
      <c r="Z136" s="169">
        <f t="shared" si="116"/>
        <v>0</v>
      </c>
      <c r="AA136" s="170">
        <f t="shared" si="116"/>
        <v>0</v>
      </c>
      <c r="AB136" s="170">
        <f t="shared" si="116"/>
        <v>0</v>
      </c>
      <c r="AC136" s="170">
        <f t="shared" si="116"/>
        <v>0</v>
      </c>
      <c r="AD136" s="170">
        <f t="shared" si="116"/>
        <v>0</v>
      </c>
      <c r="AE136" s="170">
        <f t="shared" si="116"/>
        <v>0</v>
      </c>
      <c r="AF136" s="170">
        <f t="shared" si="116"/>
        <v>0</v>
      </c>
      <c r="AG136" s="170">
        <f t="shared" ref="AG136:AJ146" si="119">SUMIF($A$7:$A$132,$A136,AG$7:AG$132)</f>
        <v>0</v>
      </c>
      <c r="AH136" s="170">
        <f t="shared" si="119"/>
        <v>0</v>
      </c>
      <c r="AI136" s="170">
        <f t="shared" si="119"/>
        <v>0</v>
      </c>
      <c r="AJ136" s="613">
        <f t="shared" si="119"/>
        <v>0</v>
      </c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282"/>
      <c r="AX136" s="282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420">
        <f t="shared" ref="CE136:CL146" si="120">SUMIF($A$7:$A$132,$A136,CE$7:CE$132)</f>
        <v>0</v>
      </c>
      <c r="CF136" s="144">
        <f t="shared" si="120"/>
        <v>0</v>
      </c>
      <c r="CG136" s="144">
        <f t="shared" si="120"/>
        <v>0</v>
      </c>
      <c r="CH136" s="144">
        <f t="shared" si="120"/>
        <v>0</v>
      </c>
      <c r="CI136" s="144">
        <f t="shared" si="120"/>
        <v>0</v>
      </c>
      <c r="CJ136" s="144">
        <f t="shared" si="120"/>
        <v>0</v>
      </c>
      <c r="CK136" s="144">
        <f t="shared" si="120"/>
        <v>0</v>
      </c>
      <c r="CL136" s="293">
        <f t="shared" si="120"/>
        <v>0</v>
      </c>
      <c r="CM136" s="294"/>
      <c r="CN136" s="294"/>
      <c r="CO136" s="294"/>
      <c r="CP136" s="19"/>
      <c r="CQ136" s="788">
        <f t="shared" ref="CQ136:CX146" si="121">SUMIF($A$7:$A$132,$A136,CQ$7:CQ$132)</f>
        <v>0</v>
      </c>
      <c r="CR136" s="783">
        <f t="shared" si="121"/>
        <v>0</v>
      </c>
      <c r="CS136" s="79">
        <f t="shared" si="121"/>
        <v>0</v>
      </c>
      <c r="CT136" s="79">
        <f t="shared" si="121"/>
        <v>0</v>
      </c>
      <c r="CU136" s="79">
        <f t="shared" si="121"/>
        <v>0</v>
      </c>
      <c r="CV136" s="79">
        <f t="shared" si="121"/>
        <v>0</v>
      </c>
      <c r="CW136" s="79">
        <f t="shared" si="121"/>
        <v>0</v>
      </c>
      <c r="CX136" s="80">
        <f t="shared" si="121"/>
        <v>0</v>
      </c>
      <c r="CZ136" s="1" t="s">
        <v>490</v>
      </c>
      <c r="DA136" s="777">
        <v>2.2682742987348155</v>
      </c>
      <c r="DB136" s="777">
        <v>2.2680953977776843</v>
      </c>
      <c r="DC136" s="777">
        <v>2.2680829931453195</v>
      </c>
      <c r="DD136" s="777">
        <v>2.2681024299572989</v>
      </c>
      <c r="DE136" s="777">
        <v>2.2680840990530702</v>
      </c>
      <c r="DF136" s="750">
        <f>SUM(DA136:DE136)</f>
        <v>11.340639218668187</v>
      </c>
    </row>
    <row r="137" spans="1:112" x14ac:dyDescent="0.25">
      <c r="A137" s="81" t="s">
        <v>27</v>
      </c>
      <c r="B137" s="171"/>
      <c r="C137" s="82" t="s">
        <v>410</v>
      </c>
      <c r="D137" s="172">
        <f t="shared" ref="D137:D146" si="122">SUMIF($A$7:$A$132,$A137,D$7:D$132)</f>
        <v>0</v>
      </c>
      <c r="E137" s="173">
        <f t="shared" si="116"/>
        <v>0</v>
      </c>
      <c r="F137" s="173">
        <f t="shared" si="116"/>
        <v>0</v>
      </c>
      <c r="G137" s="173">
        <f t="shared" si="116"/>
        <v>0</v>
      </c>
      <c r="H137" s="173">
        <f t="shared" si="116"/>
        <v>0</v>
      </c>
      <c r="I137" s="173">
        <f t="shared" si="116"/>
        <v>0</v>
      </c>
      <c r="J137" s="173">
        <f t="shared" si="116"/>
        <v>0</v>
      </c>
      <c r="K137" s="173">
        <f t="shared" si="116"/>
        <v>0</v>
      </c>
      <c r="L137" s="173">
        <f t="shared" si="116"/>
        <v>0</v>
      </c>
      <c r="M137" s="659">
        <f t="shared" si="116"/>
        <v>0</v>
      </c>
      <c r="N137" s="659">
        <f t="shared" si="117"/>
        <v>0</v>
      </c>
      <c r="O137" s="580">
        <f t="shared" si="116"/>
        <v>0</v>
      </c>
      <c r="P137" s="576">
        <f t="shared" si="116"/>
        <v>0</v>
      </c>
      <c r="Q137" s="576">
        <f t="shared" si="116"/>
        <v>0</v>
      </c>
      <c r="R137" s="576">
        <f t="shared" si="116"/>
        <v>0</v>
      </c>
      <c r="S137" s="576">
        <f t="shared" si="116"/>
        <v>0</v>
      </c>
      <c r="T137" s="576">
        <f t="shared" si="116"/>
        <v>0</v>
      </c>
      <c r="U137" s="576">
        <f t="shared" si="116"/>
        <v>0</v>
      </c>
      <c r="V137" s="576">
        <f t="shared" si="116"/>
        <v>0</v>
      </c>
      <c r="W137" s="576">
        <f t="shared" si="116"/>
        <v>0</v>
      </c>
      <c r="X137" s="680">
        <f t="shared" si="116"/>
        <v>0</v>
      </c>
      <c r="Y137" s="680">
        <f t="shared" si="118"/>
        <v>0</v>
      </c>
      <c r="Z137" s="174">
        <f t="shared" si="116"/>
        <v>0</v>
      </c>
      <c r="AA137" s="175">
        <f t="shared" si="116"/>
        <v>0</v>
      </c>
      <c r="AB137" s="175">
        <f t="shared" si="116"/>
        <v>0</v>
      </c>
      <c r="AC137" s="175">
        <f t="shared" si="116"/>
        <v>0</v>
      </c>
      <c r="AD137" s="175">
        <f t="shared" si="116"/>
        <v>0</v>
      </c>
      <c r="AE137" s="175">
        <f t="shared" si="116"/>
        <v>0</v>
      </c>
      <c r="AF137" s="175">
        <f t="shared" si="116"/>
        <v>0</v>
      </c>
      <c r="AG137" s="175">
        <f t="shared" si="119"/>
        <v>0</v>
      </c>
      <c r="AH137" s="175">
        <f t="shared" si="119"/>
        <v>0</v>
      </c>
      <c r="AI137" s="175">
        <f t="shared" si="119"/>
        <v>0</v>
      </c>
      <c r="AJ137" s="614">
        <f t="shared" si="119"/>
        <v>0</v>
      </c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282"/>
      <c r="AX137" s="282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421">
        <f t="shared" si="120"/>
        <v>0</v>
      </c>
      <c r="CF137" s="96">
        <f t="shared" si="120"/>
        <v>0</v>
      </c>
      <c r="CG137" s="96">
        <f t="shared" si="120"/>
        <v>0</v>
      </c>
      <c r="CH137" s="96">
        <f t="shared" si="120"/>
        <v>0</v>
      </c>
      <c r="CI137" s="96">
        <f t="shared" si="120"/>
        <v>0</v>
      </c>
      <c r="CJ137" s="96">
        <f t="shared" si="120"/>
        <v>0</v>
      </c>
      <c r="CK137" s="96">
        <f t="shared" si="120"/>
        <v>0</v>
      </c>
      <c r="CL137" s="286">
        <f t="shared" si="120"/>
        <v>0</v>
      </c>
      <c r="CM137" s="294"/>
      <c r="CN137" s="294"/>
      <c r="CO137" s="294"/>
      <c r="CP137" s="19"/>
      <c r="CQ137" s="789">
        <f t="shared" si="121"/>
        <v>0</v>
      </c>
      <c r="CR137" s="784">
        <f t="shared" si="121"/>
        <v>0</v>
      </c>
      <c r="CS137" s="97">
        <f t="shared" si="121"/>
        <v>0</v>
      </c>
      <c r="CT137" s="97">
        <f t="shared" si="121"/>
        <v>0</v>
      </c>
      <c r="CU137" s="97">
        <f t="shared" si="121"/>
        <v>0</v>
      </c>
      <c r="CV137" s="97">
        <f t="shared" si="121"/>
        <v>0</v>
      </c>
      <c r="CW137" s="97">
        <f t="shared" si="121"/>
        <v>0</v>
      </c>
      <c r="CX137" s="98">
        <f t="shared" si="121"/>
        <v>0</v>
      </c>
    </row>
    <row r="138" spans="1:112" x14ac:dyDescent="0.25">
      <c r="A138" s="81" t="s">
        <v>68</v>
      </c>
      <c r="B138" s="171"/>
      <c r="C138" s="82" t="s">
        <v>411</v>
      </c>
      <c r="D138" s="172">
        <f t="shared" si="122"/>
        <v>0</v>
      </c>
      <c r="E138" s="173">
        <f t="shared" si="116"/>
        <v>0</v>
      </c>
      <c r="F138" s="173">
        <f t="shared" si="116"/>
        <v>0</v>
      </c>
      <c r="G138" s="173">
        <f t="shared" si="116"/>
        <v>0</v>
      </c>
      <c r="H138" s="173">
        <f t="shared" si="116"/>
        <v>0</v>
      </c>
      <c r="I138" s="173">
        <f t="shared" si="116"/>
        <v>0</v>
      </c>
      <c r="J138" s="173">
        <f t="shared" si="116"/>
        <v>0</v>
      </c>
      <c r="K138" s="173">
        <f t="shared" si="116"/>
        <v>0</v>
      </c>
      <c r="L138" s="173">
        <f t="shared" si="116"/>
        <v>0</v>
      </c>
      <c r="M138" s="659">
        <f t="shared" si="116"/>
        <v>0</v>
      </c>
      <c r="N138" s="659">
        <f t="shared" si="117"/>
        <v>0</v>
      </c>
      <c r="O138" s="580">
        <f t="shared" si="116"/>
        <v>0</v>
      </c>
      <c r="P138" s="576">
        <f t="shared" si="116"/>
        <v>0</v>
      </c>
      <c r="Q138" s="576">
        <f t="shared" si="116"/>
        <v>0</v>
      </c>
      <c r="R138" s="576">
        <f t="shared" si="116"/>
        <v>0</v>
      </c>
      <c r="S138" s="576">
        <f t="shared" si="116"/>
        <v>0</v>
      </c>
      <c r="T138" s="576">
        <f t="shared" si="116"/>
        <v>0</v>
      </c>
      <c r="U138" s="576">
        <f t="shared" si="116"/>
        <v>0</v>
      </c>
      <c r="V138" s="576">
        <f t="shared" si="116"/>
        <v>0</v>
      </c>
      <c r="W138" s="576">
        <f t="shared" si="116"/>
        <v>0</v>
      </c>
      <c r="X138" s="680">
        <f t="shared" si="116"/>
        <v>0</v>
      </c>
      <c r="Y138" s="680">
        <f t="shared" si="118"/>
        <v>0</v>
      </c>
      <c r="Z138" s="174">
        <f t="shared" si="116"/>
        <v>0</v>
      </c>
      <c r="AA138" s="175">
        <f t="shared" si="116"/>
        <v>0</v>
      </c>
      <c r="AB138" s="175">
        <f t="shared" si="116"/>
        <v>0</v>
      </c>
      <c r="AC138" s="175">
        <f t="shared" si="116"/>
        <v>0</v>
      </c>
      <c r="AD138" s="175">
        <f t="shared" si="116"/>
        <v>0</v>
      </c>
      <c r="AE138" s="175">
        <f t="shared" si="116"/>
        <v>0</v>
      </c>
      <c r="AF138" s="175">
        <f t="shared" si="116"/>
        <v>0</v>
      </c>
      <c r="AG138" s="175">
        <f t="shared" si="119"/>
        <v>0</v>
      </c>
      <c r="AH138" s="175">
        <f t="shared" si="119"/>
        <v>0</v>
      </c>
      <c r="AI138" s="175">
        <f t="shared" si="119"/>
        <v>0</v>
      </c>
      <c r="AJ138" s="614">
        <f t="shared" si="119"/>
        <v>0</v>
      </c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282"/>
      <c r="AX138" s="282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421">
        <f t="shared" si="120"/>
        <v>0</v>
      </c>
      <c r="CF138" s="96">
        <f t="shared" si="120"/>
        <v>0</v>
      </c>
      <c r="CG138" s="96">
        <f t="shared" si="120"/>
        <v>0</v>
      </c>
      <c r="CH138" s="96">
        <f t="shared" si="120"/>
        <v>0</v>
      </c>
      <c r="CI138" s="96">
        <f t="shared" si="120"/>
        <v>0</v>
      </c>
      <c r="CJ138" s="96">
        <f t="shared" si="120"/>
        <v>0</v>
      </c>
      <c r="CK138" s="96">
        <f t="shared" si="120"/>
        <v>0</v>
      </c>
      <c r="CL138" s="286">
        <f t="shared" si="120"/>
        <v>0</v>
      </c>
      <c r="CM138" s="294"/>
      <c r="CN138" s="294"/>
      <c r="CO138" s="294"/>
      <c r="CP138" s="19"/>
      <c r="CQ138" s="789">
        <f t="shared" si="121"/>
        <v>0</v>
      </c>
      <c r="CR138" s="784">
        <f t="shared" si="121"/>
        <v>0</v>
      </c>
      <c r="CS138" s="97">
        <f t="shared" si="121"/>
        <v>0</v>
      </c>
      <c r="CT138" s="97">
        <f t="shared" si="121"/>
        <v>0</v>
      </c>
      <c r="CU138" s="97">
        <f t="shared" si="121"/>
        <v>0</v>
      </c>
      <c r="CV138" s="97">
        <f t="shared" si="121"/>
        <v>0</v>
      </c>
      <c r="CW138" s="97">
        <f t="shared" si="121"/>
        <v>0</v>
      </c>
      <c r="CX138" s="98">
        <f t="shared" si="121"/>
        <v>0</v>
      </c>
    </row>
    <row r="139" spans="1:112" x14ac:dyDescent="0.25">
      <c r="A139" s="81" t="s">
        <v>81</v>
      </c>
      <c r="B139" s="171"/>
      <c r="C139" s="82" t="s">
        <v>270</v>
      </c>
      <c r="D139" s="172">
        <f t="shared" si="122"/>
        <v>0</v>
      </c>
      <c r="E139" s="173">
        <f t="shared" si="116"/>
        <v>0</v>
      </c>
      <c r="F139" s="173">
        <f t="shared" si="116"/>
        <v>0</v>
      </c>
      <c r="G139" s="173">
        <f t="shared" si="116"/>
        <v>0</v>
      </c>
      <c r="H139" s="173">
        <f t="shared" si="116"/>
        <v>0</v>
      </c>
      <c r="I139" s="173">
        <f t="shared" si="116"/>
        <v>0</v>
      </c>
      <c r="J139" s="173">
        <f t="shared" si="116"/>
        <v>0</v>
      </c>
      <c r="K139" s="173">
        <f t="shared" si="116"/>
        <v>0</v>
      </c>
      <c r="L139" s="173">
        <f t="shared" si="116"/>
        <v>0</v>
      </c>
      <c r="M139" s="659">
        <f t="shared" si="116"/>
        <v>0</v>
      </c>
      <c r="N139" s="659">
        <f t="shared" si="117"/>
        <v>0</v>
      </c>
      <c r="O139" s="580">
        <f t="shared" si="116"/>
        <v>0</v>
      </c>
      <c r="P139" s="576">
        <f t="shared" si="116"/>
        <v>0</v>
      </c>
      <c r="Q139" s="576">
        <f t="shared" si="116"/>
        <v>0</v>
      </c>
      <c r="R139" s="576">
        <f t="shared" si="116"/>
        <v>0</v>
      </c>
      <c r="S139" s="576">
        <f t="shared" si="116"/>
        <v>0</v>
      </c>
      <c r="T139" s="576">
        <f t="shared" si="116"/>
        <v>0</v>
      </c>
      <c r="U139" s="576">
        <f t="shared" si="116"/>
        <v>0</v>
      </c>
      <c r="V139" s="576">
        <f t="shared" si="116"/>
        <v>0</v>
      </c>
      <c r="W139" s="576">
        <f t="shared" si="116"/>
        <v>0</v>
      </c>
      <c r="X139" s="680">
        <f t="shared" si="116"/>
        <v>0</v>
      </c>
      <c r="Y139" s="680">
        <f t="shared" si="118"/>
        <v>0</v>
      </c>
      <c r="Z139" s="174">
        <f t="shared" si="116"/>
        <v>0</v>
      </c>
      <c r="AA139" s="175">
        <f t="shared" si="116"/>
        <v>0</v>
      </c>
      <c r="AB139" s="175">
        <f t="shared" si="116"/>
        <v>0</v>
      </c>
      <c r="AC139" s="175">
        <f t="shared" si="116"/>
        <v>0</v>
      </c>
      <c r="AD139" s="175">
        <f t="shared" si="116"/>
        <v>0</v>
      </c>
      <c r="AE139" s="175">
        <f t="shared" si="116"/>
        <v>0</v>
      </c>
      <c r="AF139" s="175">
        <f t="shared" si="116"/>
        <v>0</v>
      </c>
      <c r="AG139" s="175">
        <f t="shared" si="119"/>
        <v>0</v>
      </c>
      <c r="AH139" s="175">
        <f t="shared" si="119"/>
        <v>0</v>
      </c>
      <c r="AI139" s="175">
        <f t="shared" si="119"/>
        <v>0</v>
      </c>
      <c r="AJ139" s="614">
        <f t="shared" si="119"/>
        <v>0</v>
      </c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282"/>
      <c r="AX139" s="282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421">
        <f t="shared" si="120"/>
        <v>0</v>
      </c>
      <c r="CF139" s="96">
        <f t="shared" si="120"/>
        <v>3</v>
      </c>
      <c r="CG139" s="96">
        <f t="shared" si="120"/>
        <v>1</v>
      </c>
      <c r="CH139" s="96">
        <f t="shared" si="120"/>
        <v>0</v>
      </c>
      <c r="CI139" s="96">
        <f t="shared" si="120"/>
        <v>0</v>
      </c>
      <c r="CJ139" s="96">
        <f t="shared" si="120"/>
        <v>0</v>
      </c>
      <c r="CK139" s="96">
        <f t="shared" si="120"/>
        <v>0</v>
      </c>
      <c r="CL139" s="286">
        <f t="shared" si="120"/>
        <v>0</v>
      </c>
      <c r="CM139" s="294"/>
      <c r="CN139" s="294"/>
      <c r="CO139" s="294"/>
      <c r="CP139" s="19"/>
      <c r="CQ139" s="789">
        <f t="shared" si="121"/>
        <v>0</v>
      </c>
      <c r="CR139" s="784">
        <f t="shared" si="121"/>
        <v>5531512.7435086835</v>
      </c>
      <c r="CS139" s="97">
        <f t="shared" si="121"/>
        <v>1867381.6209614845</v>
      </c>
      <c r="CT139" s="97">
        <f t="shared" si="121"/>
        <v>0</v>
      </c>
      <c r="CU139" s="97">
        <f t="shared" si="121"/>
        <v>0</v>
      </c>
      <c r="CV139" s="97">
        <f t="shared" si="121"/>
        <v>0</v>
      </c>
      <c r="CW139" s="97">
        <f t="shared" si="121"/>
        <v>0</v>
      </c>
      <c r="CX139" s="98">
        <f t="shared" si="121"/>
        <v>0</v>
      </c>
      <c r="CZ139" s="1" t="s">
        <v>418</v>
      </c>
    </row>
    <row r="140" spans="1:112" x14ac:dyDescent="0.25">
      <c r="A140" s="81" t="s">
        <v>94</v>
      </c>
      <c r="B140" s="171"/>
      <c r="C140" s="82" t="s">
        <v>412</v>
      </c>
      <c r="D140" s="172">
        <f t="shared" si="122"/>
        <v>0</v>
      </c>
      <c r="E140" s="173">
        <f t="shared" si="116"/>
        <v>0</v>
      </c>
      <c r="F140" s="173">
        <f t="shared" si="116"/>
        <v>0</v>
      </c>
      <c r="G140" s="173">
        <f t="shared" si="116"/>
        <v>0</v>
      </c>
      <c r="H140" s="173">
        <f t="shared" si="116"/>
        <v>0</v>
      </c>
      <c r="I140" s="173">
        <f t="shared" si="116"/>
        <v>0</v>
      </c>
      <c r="J140" s="173">
        <f t="shared" si="116"/>
        <v>0</v>
      </c>
      <c r="K140" s="173">
        <f t="shared" si="116"/>
        <v>0</v>
      </c>
      <c r="L140" s="173">
        <f t="shared" si="116"/>
        <v>0</v>
      </c>
      <c r="M140" s="659">
        <f t="shared" si="116"/>
        <v>0</v>
      </c>
      <c r="N140" s="659">
        <f t="shared" si="117"/>
        <v>0</v>
      </c>
      <c r="O140" s="580">
        <f t="shared" si="116"/>
        <v>0</v>
      </c>
      <c r="P140" s="576">
        <f t="shared" si="116"/>
        <v>0</v>
      </c>
      <c r="Q140" s="576">
        <f t="shared" si="116"/>
        <v>0</v>
      </c>
      <c r="R140" s="576">
        <f t="shared" si="116"/>
        <v>0</v>
      </c>
      <c r="S140" s="576">
        <f t="shared" si="116"/>
        <v>0</v>
      </c>
      <c r="T140" s="576">
        <f t="shared" si="116"/>
        <v>0</v>
      </c>
      <c r="U140" s="576">
        <f t="shared" si="116"/>
        <v>0</v>
      </c>
      <c r="V140" s="576">
        <f t="shared" si="116"/>
        <v>0</v>
      </c>
      <c r="W140" s="576">
        <f t="shared" si="116"/>
        <v>0</v>
      </c>
      <c r="X140" s="680">
        <f t="shared" si="116"/>
        <v>0</v>
      </c>
      <c r="Y140" s="680">
        <f t="shared" si="118"/>
        <v>0</v>
      </c>
      <c r="Z140" s="174">
        <f t="shared" si="116"/>
        <v>0</v>
      </c>
      <c r="AA140" s="175">
        <f t="shared" si="116"/>
        <v>0</v>
      </c>
      <c r="AB140" s="175">
        <f t="shared" si="116"/>
        <v>0</v>
      </c>
      <c r="AC140" s="175">
        <f t="shared" si="116"/>
        <v>0</v>
      </c>
      <c r="AD140" s="175">
        <f t="shared" si="116"/>
        <v>0</v>
      </c>
      <c r="AE140" s="175">
        <f t="shared" si="116"/>
        <v>0</v>
      </c>
      <c r="AF140" s="175">
        <f t="shared" si="116"/>
        <v>0</v>
      </c>
      <c r="AG140" s="175">
        <f t="shared" si="119"/>
        <v>0</v>
      </c>
      <c r="AH140" s="175">
        <f t="shared" si="119"/>
        <v>0</v>
      </c>
      <c r="AI140" s="175">
        <f t="shared" si="119"/>
        <v>0</v>
      </c>
      <c r="AJ140" s="614">
        <f t="shared" si="119"/>
        <v>0</v>
      </c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282"/>
      <c r="AX140" s="282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421">
        <f t="shared" si="120"/>
        <v>0</v>
      </c>
      <c r="CF140" s="96">
        <f t="shared" si="120"/>
        <v>0.4</v>
      </c>
      <c r="CG140" s="96">
        <f t="shared" si="120"/>
        <v>1E-3</v>
      </c>
      <c r="CH140" s="96">
        <f t="shared" si="120"/>
        <v>0</v>
      </c>
      <c r="CI140" s="96">
        <f t="shared" si="120"/>
        <v>4.5250000000000004</v>
      </c>
      <c r="CJ140" s="96">
        <f t="shared" si="120"/>
        <v>0</v>
      </c>
      <c r="CK140" s="96">
        <f t="shared" si="120"/>
        <v>0</v>
      </c>
      <c r="CL140" s="286">
        <f t="shared" si="120"/>
        <v>6.7010000000000005</v>
      </c>
      <c r="CM140" s="294"/>
      <c r="CN140" s="294"/>
      <c r="CO140" s="294"/>
      <c r="CP140" s="19"/>
      <c r="CQ140" s="789">
        <f t="shared" si="121"/>
        <v>124561.606971363</v>
      </c>
      <c r="CR140" s="784">
        <f t="shared" si="121"/>
        <v>3343616.1159552601</v>
      </c>
      <c r="CS140" s="97">
        <f t="shared" si="121"/>
        <v>2410474.8475520182</v>
      </c>
      <c r="CT140" s="97">
        <f t="shared" si="121"/>
        <v>882217.95681072911</v>
      </c>
      <c r="CU140" s="97">
        <f t="shared" si="121"/>
        <v>533987.85153828911</v>
      </c>
      <c r="CV140" s="97">
        <f t="shared" si="121"/>
        <v>692180.01824472495</v>
      </c>
      <c r="CW140" s="97">
        <f t="shared" si="121"/>
        <v>896565.9077677438</v>
      </c>
      <c r="CX140" s="98">
        <f t="shared" si="121"/>
        <v>1630214.0248494041</v>
      </c>
      <c r="CZ140" s="469" t="s">
        <v>682</v>
      </c>
      <c r="DA140" s="749">
        <v>0.12343322643860485</v>
      </c>
      <c r="DB140" s="749">
        <v>0.12339842301591043</v>
      </c>
      <c r="DC140" s="749">
        <v>0.12340118349048283</v>
      </c>
      <c r="DD140" s="749">
        <v>0.12340348606583837</v>
      </c>
      <c r="DE140" s="749">
        <v>0.12340539744019381</v>
      </c>
      <c r="DF140" s="750">
        <f>SUM(DA140:DE140)</f>
        <v>0.61704171645103034</v>
      </c>
    </row>
    <row r="141" spans="1:112" x14ac:dyDescent="0.25">
      <c r="A141" s="81" t="s">
        <v>106</v>
      </c>
      <c r="B141" s="171"/>
      <c r="C141" s="82" t="s">
        <v>272</v>
      </c>
      <c r="D141" s="172">
        <f t="shared" si="122"/>
        <v>0</v>
      </c>
      <c r="E141" s="173">
        <f t="shared" si="116"/>
        <v>0</v>
      </c>
      <c r="F141" s="173">
        <f t="shared" si="116"/>
        <v>0</v>
      </c>
      <c r="G141" s="173">
        <f t="shared" si="116"/>
        <v>0</v>
      </c>
      <c r="H141" s="173">
        <f t="shared" si="116"/>
        <v>0</v>
      </c>
      <c r="I141" s="173">
        <f t="shared" si="116"/>
        <v>0</v>
      </c>
      <c r="J141" s="173">
        <f t="shared" si="116"/>
        <v>0</v>
      </c>
      <c r="K141" s="173">
        <f t="shared" si="116"/>
        <v>0</v>
      </c>
      <c r="L141" s="173">
        <f t="shared" si="116"/>
        <v>0</v>
      </c>
      <c r="M141" s="659">
        <f t="shared" si="116"/>
        <v>0</v>
      </c>
      <c r="N141" s="659">
        <f t="shared" si="117"/>
        <v>0</v>
      </c>
      <c r="O141" s="580">
        <f t="shared" si="116"/>
        <v>0</v>
      </c>
      <c r="P141" s="576">
        <f t="shared" si="116"/>
        <v>0</v>
      </c>
      <c r="Q141" s="576">
        <f t="shared" si="116"/>
        <v>0</v>
      </c>
      <c r="R141" s="576">
        <f t="shared" si="116"/>
        <v>0</v>
      </c>
      <c r="S141" s="576">
        <f t="shared" si="116"/>
        <v>0</v>
      </c>
      <c r="T141" s="576">
        <f t="shared" si="116"/>
        <v>0</v>
      </c>
      <c r="U141" s="576">
        <f t="shared" si="116"/>
        <v>0</v>
      </c>
      <c r="V141" s="576">
        <f t="shared" si="116"/>
        <v>0</v>
      </c>
      <c r="W141" s="576">
        <f t="shared" si="116"/>
        <v>0</v>
      </c>
      <c r="X141" s="680">
        <f t="shared" si="116"/>
        <v>0</v>
      </c>
      <c r="Y141" s="680">
        <f t="shared" si="118"/>
        <v>0</v>
      </c>
      <c r="Z141" s="174">
        <f t="shared" si="116"/>
        <v>0</v>
      </c>
      <c r="AA141" s="175">
        <f t="shared" si="116"/>
        <v>0</v>
      </c>
      <c r="AB141" s="175">
        <f t="shared" si="116"/>
        <v>0</v>
      </c>
      <c r="AC141" s="175">
        <f t="shared" si="116"/>
        <v>0</v>
      </c>
      <c r="AD141" s="175">
        <f t="shared" si="116"/>
        <v>0</v>
      </c>
      <c r="AE141" s="175">
        <f t="shared" si="116"/>
        <v>0</v>
      </c>
      <c r="AF141" s="175">
        <f t="shared" si="116"/>
        <v>0</v>
      </c>
      <c r="AG141" s="175">
        <f t="shared" si="119"/>
        <v>0</v>
      </c>
      <c r="AH141" s="175">
        <f t="shared" si="119"/>
        <v>0</v>
      </c>
      <c r="AI141" s="175">
        <f t="shared" si="119"/>
        <v>0</v>
      </c>
      <c r="AJ141" s="614">
        <f t="shared" si="119"/>
        <v>0</v>
      </c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282"/>
      <c r="AX141" s="282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421">
        <f t="shared" si="120"/>
        <v>0</v>
      </c>
      <c r="CF141" s="96">
        <f t="shared" si="120"/>
        <v>0</v>
      </c>
      <c r="CG141" s="96">
        <f t="shared" si="120"/>
        <v>0</v>
      </c>
      <c r="CH141" s="96">
        <f t="shared" si="120"/>
        <v>0</v>
      </c>
      <c r="CI141" s="96">
        <f t="shared" si="120"/>
        <v>0</v>
      </c>
      <c r="CJ141" s="96">
        <f t="shared" si="120"/>
        <v>0</v>
      </c>
      <c r="CK141" s="96">
        <f t="shared" si="120"/>
        <v>0</v>
      </c>
      <c r="CL141" s="286">
        <f t="shared" si="120"/>
        <v>0</v>
      </c>
      <c r="CM141" s="294"/>
      <c r="CN141" s="294"/>
      <c r="CO141" s="294"/>
      <c r="CP141" s="19"/>
      <c r="CQ141" s="789">
        <f t="shared" si="121"/>
        <v>0</v>
      </c>
      <c r="CR141" s="784">
        <f t="shared" si="121"/>
        <v>0</v>
      </c>
      <c r="CS141" s="97">
        <f t="shared" si="121"/>
        <v>0</v>
      </c>
      <c r="CT141" s="97">
        <f t="shared" si="121"/>
        <v>0</v>
      </c>
      <c r="CU141" s="97">
        <f t="shared" si="121"/>
        <v>0</v>
      </c>
      <c r="CV141" s="97">
        <f t="shared" si="121"/>
        <v>0</v>
      </c>
      <c r="CW141" s="97">
        <f t="shared" si="121"/>
        <v>0</v>
      </c>
      <c r="CX141" s="98">
        <f t="shared" si="121"/>
        <v>0</v>
      </c>
      <c r="CZ141" s="469" t="s">
        <v>674</v>
      </c>
      <c r="DA141" s="749">
        <v>1.060742951448659</v>
      </c>
      <c r="DB141" s="749">
        <v>1.0605788052549245</v>
      </c>
      <c r="DC141" s="749">
        <v>1.0605745290141857</v>
      </c>
      <c r="DD141" s="749">
        <v>1.0605885449673096</v>
      </c>
      <c r="DE141" s="749">
        <v>1.0605842378535302</v>
      </c>
      <c r="DF141" s="750">
        <f>SUM(DA141:DE141)</f>
        <v>5.3030690685386093</v>
      </c>
    </row>
    <row r="142" spans="1:112" x14ac:dyDescent="0.25">
      <c r="A142" s="81" t="s">
        <v>138</v>
      </c>
      <c r="B142" s="171"/>
      <c r="C142" s="82" t="s">
        <v>413</v>
      </c>
      <c r="D142" s="172">
        <f t="shared" si="122"/>
        <v>0</v>
      </c>
      <c r="E142" s="173">
        <f t="shared" si="116"/>
        <v>0</v>
      </c>
      <c r="F142" s="173">
        <f t="shared" si="116"/>
        <v>0</v>
      </c>
      <c r="G142" s="173">
        <f t="shared" si="116"/>
        <v>0</v>
      </c>
      <c r="H142" s="173">
        <f t="shared" si="116"/>
        <v>0</v>
      </c>
      <c r="I142" s="173">
        <f t="shared" si="116"/>
        <v>0</v>
      </c>
      <c r="J142" s="173">
        <f t="shared" si="116"/>
        <v>0</v>
      </c>
      <c r="K142" s="173">
        <f t="shared" si="116"/>
        <v>0</v>
      </c>
      <c r="L142" s="173">
        <f t="shared" si="116"/>
        <v>0</v>
      </c>
      <c r="M142" s="659">
        <f t="shared" si="116"/>
        <v>0</v>
      </c>
      <c r="N142" s="659">
        <f t="shared" si="117"/>
        <v>0</v>
      </c>
      <c r="O142" s="580">
        <f t="shared" si="116"/>
        <v>0</v>
      </c>
      <c r="P142" s="576">
        <f t="shared" si="116"/>
        <v>0</v>
      </c>
      <c r="Q142" s="576">
        <f t="shared" si="116"/>
        <v>0</v>
      </c>
      <c r="R142" s="576">
        <f t="shared" si="116"/>
        <v>0</v>
      </c>
      <c r="S142" s="576">
        <f t="shared" si="116"/>
        <v>0</v>
      </c>
      <c r="T142" s="576">
        <f t="shared" si="116"/>
        <v>0</v>
      </c>
      <c r="U142" s="576">
        <f t="shared" si="116"/>
        <v>0</v>
      </c>
      <c r="V142" s="576">
        <f t="shared" si="116"/>
        <v>0</v>
      </c>
      <c r="W142" s="576">
        <f t="shared" si="116"/>
        <v>0</v>
      </c>
      <c r="X142" s="680">
        <f t="shared" si="116"/>
        <v>0</v>
      </c>
      <c r="Y142" s="680">
        <f t="shared" si="118"/>
        <v>0</v>
      </c>
      <c r="Z142" s="174">
        <f t="shared" si="116"/>
        <v>0</v>
      </c>
      <c r="AA142" s="175">
        <f t="shared" si="116"/>
        <v>0</v>
      </c>
      <c r="AB142" s="175">
        <f t="shared" si="116"/>
        <v>0</v>
      </c>
      <c r="AC142" s="175">
        <f t="shared" si="116"/>
        <v>0</v>
      </c>
      <c r="AD142" s="175">
        <f t="shared" si="116"/>
        <v>0</v>
      </c>
      <c r="AE142" s="175">
        <f t="shared" si="116"/>
        <v>0</v>
      </c>
      <c r="AF142" s="175">
        <f t="shared" si="116"/>
        <v>0</v>
      </c>
      <c r="AG142" s="175">
        <f t="shared" si="119"/>
        <v>0</v>
      </c>
      <c r="AH142" s="175">
        <f t="shared" si="119"/>
        <v>0</v>
      </c>
      <c r="AI142" s="175">
        <f t="shared" si="119"/>
        <v>0</v>
      </c>
      <c r="AJ142" s="614">
        <f t="shared" si="119"/>
        <v>0</v>
      </c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282"/>
      <c r="AX142" s="282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421">
        <f t="shared" si="120"/>
        <v>0</v>
      </c>
      <c r="CF142" s="96">
        <f t="shared" si="120"/>
        <v>1</v>
      </c>
      <c r="CG142" s="96">
        <f t="shared" si="120"/>
        <v>3</v>
      </c>
      <c r="CH142" s="96">
        <f t="shared" si="120"/>
        <v>4</v>
      </c>
      <c r="CI142" s="96">
        <f t="shared" si="120"/>
        <v>5</v>
      </c>
      <c r="CJ142" s="96">
        <f t="shared" si="120"/>
        <v>14</v>
      </c>
      <c r="CK142" s="96">
        <f t="shared" si="120"/>
        <v>6</v>
      </c>
      <c r="CL142" s="286">
        <f t="shared" si="120"/>
        <v>11</v>
      </c>
      <c r="CM142" s="294"/>
      <c r="CN142" s="294"/>
      <c r="CO142" s="294"/>
      <c r="CP142" s="19"/>
      <c r="CQ142" s="789">
        <f t="shared" si="121"/>
        <v>4761216.288794511</v>
      </c>
      <c r="CR142" s="784">
        <f t="shared" si="121"/>
        <v>14251636.389625117</v>
      </c>
      <c r="CS142" s="97">
        <f t="shared" si="121"/>
        <v>8615907.2326494828</v>
      </c>
      <c r="CT142" s="97">
        <f t="shared" si="121"/>
        <v>10558041.303456986</v>
      </c>
      <c r="CU142" s="97">
        <f t="shared" si="121"/>
        <v>13202270.171484541</v>
      </c>
      <c r="CV142" s="97">
        <f t="shared" si="121"/>
        <v>15292915.705022521</v>
      </c>
      <c r="CW142" s="97">
        <f t="shared" si="121"/>
        <v>21065285.621709175</v>
      </c>
      <c r="CX142" s="98">
        <f t="shared" si="121"/>
        <v>25671144.080441393</v>
      </c>
      <c r="CZ142" s="469" t="s">
        <v>683</v>
      </c>
      <c r="DA142" s="749">
        <v>12.267427784995336</v>
      </c>
      <c r="DB142" s="749">
        <v>12.265475169108203</v>
      </c>
      <c r="DC142" s="749">
        <v>12.26544006705833</v>
      </c>
      <c r="DD142" s="749">
        <v>12.265621244476584</v>
      </c>
      <c r="DE142" s="749">
        <v>12.265523943133857</v>
      </c>
      <c r="DF142" s="750">
        <f>SUM(DA142:DE142)</f>
        <v>61.329488208772311</v>
      </c>
    </row>
    <row r="143" spans="1:112" x14ac:dyDescent="0.25">
      <c r="A143" s="81" t="s">
        <v>196</v>
      </c>
      <c r="B143" s="171"/>
      <c r="C143" s="82" t="s">
        <v>274</v>
      </c>
      <c r="D143" s="172">
        <f t="shared" si="122"/>
        <v>0</v>
      </c>
      <c r="E143" s="173">
        <f t="shared" si="116"/>
        <v>0</v>
      </c>
      <c r="F143" s="173">
        <f t="shared" si="116"/>
        <v>0</v>
      </c>
      <c r="G143" s="173">
        <f t="shared" si="116"/>
        <v>0</v>
      </c>
      <c r="H143" s="173">
        <f t="shared" si="116"/>
        <v>0</v>
      </c>
      <c r="I143" s="173">
        <f t="shared" si="116"/>
        <v>0</v>
      </c>
      <c r="J143" s="173">
        <f t="shared" si="116"/>
        <v>0</v>
      </c>
      <c r="K143" s="173">
        <f t="shared" si="116"/>
        <v>0</v>
      </c>
      <c r="L143" s="173">
        <f t="shared" si="116"/>
        <v>0</v>
      </c>
      <c r="M143" s="659">
        <f t="shared" si="116"/>
        <v>0</v>
      </c>
      <c r="N143" s="659">
        <f t="shared" si="117"/>
        <v>0</v>
      </c>
      <c r="O143" s="580">
        <f t="shared" si="116"/>
        <v>0</v>
      </c>
      <c r="P143" s="576">
        <f t="shared" si="116"/>
        <v>0</v>
      </c>
      <c r="Q143" s="576">
        <f t="shared" si="116"/>
        <v>0</v>
      </c>
      <c r="R143" s="576">
        <f t="shared" si="116"/>
        <v>0</v>
      </c>
      <c r="S143" s="576">
        <f t="shared" si="116"/>
        <v>0</v>
      </c>
      <c r="T143" s="576">
        <f t="shared" si="116"/>
        <v>0</v>
      </c>
      <c r="U143" s="576">
        <f t="shared" si="116"/>
        <v>0</v>
      </c>
      <c r="V143" s="576">
        <f t="shared" si="116"/>
        <v>0</v>
      </c>
      <c r="W143" s="576">
        <f t="shared" si="116"/>
        <v>0</v>
      </c>
      <c r="X143" s="680">
        <f t="shared" si="116"/>
        <v>0</v>
      </c>
      <c r="Y143" s="680">
        <f t="shared" si="118"/>
        <v>0</v>
      </c>
      <c r="Z143" s="174">
        <f t="shared" si="116"/>
        <v>0</v>
      </c>
      <c r="AA143" s="175">
        <f t="shared" si="116"/>
        <v>0</v>
      </c>
      <c r="AB143" s="175">
        <f t="shared" si="116"/>
        <v>0</v>
      </c>
      <c r="AC143" s="175">
        <f t="shared" si="116"/>
        <v>0</v>
      </c>
      <c r="AD143" s="175">
        <f t="shared" si="116"/>
        <v>0</v>
      </c>
      <c r="AE143" s="175">
        <f t="shared" si="116"/>
        <v>0</v>
      </c>
      <c r="AF143" s="175">
        <f t="shared" si="116"/>
        <v>0</v>
      </c>
      <c r="AG143" s="175">
        <f t="shared" si="119"/>
        <v>0</v>
      </c>
      <c r="AH143" s="175">
        <f t="shared" si="119"/>
        <v>0</v>
      </c>
      <c r="AI143" s="175">
        <f t="shared" si="119"/>
        <v>0</v>
      </c>
      <c r="AJ143" s="614">
        <f t="shared" si="119"/>
        <v>0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282"/>
      <c r="AX143" s="282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421">
        <f t="shared" si="120"/>
        <v>0</v>
      </c>
      <c r="CF143" s="96">
        <f t="shared" si="120"/>
        <v>10</v>
      </c>
      <c r="CG143" s="96">
        <f t="shared" si="120"/>
        <v>55</v>
      </c>
      <c r="CH143" s="96">
        <f t="shared" si="120"/>
        <v>51</v>
      </c>
      <c r="CI143" s="96">
        <f t="shared" si="120"/>
        <v>117</v>
      </c>
      <c r="CJ143" s="96">
        <f t="shared" si="120"/>
        <v>91</v>
      </c>
      <c r="CK143" s="96">
        <f t="shared" si="120"/>
        <v>107</v>
      </c>
      <c r="CL143" s="286">
        <f t="shared" si="120"/>
        <v>87</v>
      </c>
      <c r="CM143" s="294"/>
      <c r="CN143" s="294"/>
      <c r="CO143" s="294"/>
      <c r="CP143" s="19"/>
      <c r="CQ143" s="789">
        <f t="shared" si="121"/>
        <v>6447146.6178573929</v>
      </c>
      <c r="CR143" s="784">
        <f t="shared" si="121"/>
        <v>19187456.393500134</v>
      </c>
      <c r="CS143" s="97">
        <f t="shared" si="121"/>
        <v>15590661.452136844</v>
      </c>
      <c r="CT143" s="97">
        <f t="shared" si="121"/>
        <v>10873373.326526524</v>
      </c>
      <c r="CU143" s="97">
        <f t="shared" si="121"/>
        <v>10450915.887921931</v>
      </c>
      <c r="CV143" s="97">
        <f t="shared" si="121"/>
        <v>11849135.293946216</v>
      </c>
      <c r="CW143" s="97">
        <f t="shared" si="121"/>
        <v>10047401.501944428</v>
      </c>
      <c r="CX143" s="98">
        <f t="shared" si="121"/>
        <v>11669454.824654285</v>
      </c>
      <c r="CZ143" s="1" t="s">
        <v>671</v>
      </c>
      <c r="DA143" s="750">
        <f t="shared" ref="DA143:DD143" si="123">SUM(DA140:DA142)</f>
        <v>13.451603962882601</v>
      </c>
      <c r="DB143" s="750">
        <f t="shared" si="123"/>
        <v>13.449452397379039</v>
      </c>
      <c r="DC143" s="750">
        <f t="shared" si="123"/>
        <v>13.449415779562999</v>
      </c>
      <c r="DD143" s="750">
        <f t="shared" si="123"/>
        <v>13.449613275509732</v>
      </c>
      <c r="DE143" s="750">
        <f>SUM(DE140:DE142)</f>
        <v>13.449513578427581</v>
      </c>
      <c r="DF143" s="750">
        <f>SUM(DA143:DE143)</f>
        <v>67.24959899376195</v>
      </c>
      <c r="DG143" s="1"/>
      <c r="DH143" s="1"/>
    </row>
    <row r="144" spans="1:112" x14ac:dyDescent="0.25">
      <c r="A144" s="81" t="s">
        <v>224</v>
      </c>
      <c r="B144" s="171"/>
      <c r="C144" s="82" t="s">
        <v>414</v>
      </c>
      <c r="D144" s="172">
        <f t="shared" si="122"/>
        <v>0</v>
      </c>
      <c r="E144" s="173">
        <f t="shared" si="116"/>
        <v>0</v>
      </c>
      <c r="F144" s="173">
        <f t="shared" si="116"/>
        <v>0</v>
      </c>
      <c r="G144" s="173">
        <f t="shared" si="116"/>
        <v>0</v>
      </c>
      <c r="H144" s="173">
        <f t="shared" si="116"/>
        <v>0</v>
      </c>
      <c r="I144" s="173">
        <f t="shared" si="116"/>
        <v>0</v>
      </c>
      <c r="J144" s="173">
        <f t="shared" si="116"/>
        <v>0</v>
      </c>
      <c r="K144" s="173">
        <f t="shared" si="116"/>
        <v>0</v>
      </c>
      <c r="L144" s="173">
        <f t="shared" si="116"/>
        <v>0</v>
      </c>
      <c r="M144" s="659">
        <f t="shared" si="116"/>
        <v>0</v>
      </c>
      <c r="N144" s="659">
        <f t="shared" si="117"/>
        <v>0</v>
      </c>
      <c r="O144" s="580">
        <f t="shared" ref="O144:Y146" si="124">SUMIF($A$7:$A$132,$A144,O$7:O$132)</f>
        <v>0</v>
      </c>
      <c r="P144" s="576">
        <f t="shared" si="124"/>
        <v>0</v>
      </c>
      <c r="Q144" s="576">
        <f t="shared" si="124"/>
        <v>0</v>
      </c>
      <c r="R144" s="576">
        <f t="shared" si="124"/>
        <v>0</v>
      </c>
      <c r="S144" s="576">
        <f t="shared" si="124"/>
        <v>0</v>
      </c>
      <c r="T144" s="576">
        <f t="shared" si="124"/>
        <v>0</v>
      </c>
      <c r="U144" s="576">
        <f t="shared" si="124"/>
        <v>0</v>
      </c>
      <c r="V144" s="576">
        <f t="shared" si="124"/>
        <v>0</v>
      </c>
      <c r="W144" s="576">
        <f t="shared" si="124"/>
        <v>0</v>
      </c>
      <c r="X144" s="680">
        <f t="shared" si="124"/>
        <v>0</v>
      </c>
      <c r="Y144" s="680">
        <f t="shared" si="124"/>
        <v>0</v>
      </c>
      <c r="Z144" s="174">
        <f t="shared" si="116"/>
        <v>0</v>
      </c>
      <c r="AA144" s="175">
        <f t="shared" si="116"/>
        <v>0</v>
      </c>
      <c r="AB144" s="175">
        <f t="shared" si="116"/>
        <v>0</v>
      </c>
      <c r="AC144" s="175">
        <f t="shared" si="116"/>
        <v>0</v>
      </c>
      <c r="AD144" s="175">
        <f t="shared" si="116"/>
        <v>0</v>
      </c>
      <c r="AE144" s="175">
        <f t="shared" si="116"/>
        <v>0</v>
      </c>
      <c r="AF144" s="175">
        <f t="shared" si="116"/>
        <v>0</v>
      </c>
      <c r="AG144" s="175">
        <f t="shared" si="119"/>
        <v>0</v>
      </c>
      <c r="AH144" s="175">
        <f t="shared" si="119"/>
        <v>0</v>
      </c>
      <c r="AI144" s="175">
        <f t="shared" si="119"/>
        <v>0</v>
      </c>
      <c r="AJ144" s="614">
        <f t="shared" si="119"/>
        <v>0</v>
      </c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282"/>
      <c r="AX144" s="282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421">
        <f t="shared" si="120"/>
        <v>0</v>
      </c>
      <c r="CF144" s="96">
        <f t="shared" si="120"/>
        <v>0</v>
      </c>
      <c r="CG144" s="96">
        <f t="shared" si="120"/>
        <v>0</v>
      </c>
      <c r="CH144" s="96">
        <f t="shared" si="120"/>
        <v>0</v>
      </c>
      <c r="CI144" s="96">
        <f t="shared" si="120"/>
        <v>0</v>
      </c>
      <c r="CJ144" s="96">
        <f t="shared" si="120"/>
        <v>0</v>
      </c>
      <c r="CK144" s="96">
        <f t="shared" si="120"/>
        <v>0</v>
      </c>
      <c r="CL144" s="286">
        <f t="shared" si="120"/>
        <v>0</v>
      </c>
      <c r="CM144" s="294"/>
      <c r="CN144" s="294"/>
      <c r="CO144" s="294"/>
      <c r="CP144" s="19"/>
      <c r="CQ144" s="789">
        <f t="shared" si="121"/>
        <v>0</v>
      </c>
      <c r="CR144" s="784">
        <f t="shared" si="121"/>
        <v>0</v>
      </c>
      <c r="CS144" s="97">
        <f t="shared" si="121"/>
        <v>0</v>
      </c>
      <c r="CT144" s="97">
        <f t="shared" si="121"/>
        <v>0</v>
      </c>
      <c r="CU144" s="97">
        <f t="shared" si="121"/>
        <v>0</v>
      </c>
      <c r="CV144" s="97">
        <f t="shared" si="121"/>
        <v>0</v>
      </c>
      <c r="CW144" s="97">
        <f t="shared" si="121"/>
        <v>0</v>
      </c>
      <c r="CX144" s="98">
        <f t="shared" si="121"/>
        <v>0</v>
      </c>
      <c r="DG144" s="1"/>
      <c r="DH144" s="1"/>
    </row>
    <row r="145" spans="1:110" x14ac:dyDescent="0.25">
      <c r="A145" s="81" t="s">
        <v>242</v>
      </c>
      <c r="B145" s="171"/>
      <c r="C145" s="82" t="s">
        <v>415</v>
      </c>
      <c r="D145" s="172">
        <f t="shared" si="122"/>
        <v>0</v>
      </c>
      <c r="E145" s="173">
        <f t="shared" si="116"/>
        <v>0</v>
      </c>
      <c r="F145" s="173">
        <f t="shared" si="116"/>
        <v>0</v>
      </c>
      <c r="G145" s="173">
        <f t="shared" si="116"/>
        <v>0</v>
      </c>
      <c r="H145" s="173">
        <f t="shared" si="116"/>
        <v>0</v>
      </c>
      <c r="I145" s="173">
        <f t="shared" si="116"/>
        <v>0</v>
      </c>
      <c r="J145" s="173">
        <f t="shared" si="116"/>
        <v>0</v>
      </c>
      <c r="K145" s="173">
        <f t="shared" si="116"/>
        <v>0</v>
      </c>
      <c r="L145" s="173">
        <f t="shared" si="116"/>
        <v>0</v>
      </c>
      <c r="M145" s="659">
        <f t="shared" si="116"/>
        <v>0</v>
      </c>
      <c r="N145" s="659">
        <f t="shared" si="117"/>
        <v>0</v>
      </c>
      <c r="O145" s="580">
        <f t="shared" si="124"/>
        <v>0</v>
      </c>
      <c r="P145" s="576">
        <f t="shared" si="124"/>
        <v>0</v>
      </c>
      <c r="Q145" s="576">
        <f t="shared" si="124"/>
        <v>0</v>
      </c>
      <c r="R145" s="576">
        <f t="shared" si="124"/>
        <v>0</v>
      </c>
      <c r="S145" s="576">
        <f t="shared" si="124"/>
        <v>0</v>
      </c>
      <c r="T145" s="576">
        <f t="shared" si="124"/>
        <v>0</v>
      </c>
      <c r="U145" s="576">
        <f t="shared" si="124"/>
        <v>0</v>
      </c>
      <c r="V145" s="576">
        <f t="shared" si="124"/>
        <v>0</v>
      </c>
      <c r="W145" s="576">
        <f t="shared" si="124"/>
        <v>0</v>
      </c>
      <c r="X145" s="680">
        <f t="shared" si="124"/>
        <v>0</v>
      </c>
      <c r="Y145" s="680">
        <f t="shared" si="124"/>
        <v>0</v>
      </c>
      <c r="Z145" s="174">
        <f t="shared" si="116"/>
        <v>0</v>
      </c>
      <c r="AA145" s="175">
        <f t="shared" si="116"/>
        <v>0</v>
      </c>
      <c r="AB145" s="175">
        <f t="shared" si="116"/>
        <v>0</v>
      </c>
      <c r="AC145" s="175">
        <f t="shared" si="116"/>
        <v>0</v>
      </c>
      <c r="AD145" s="175">
        <f t="shared" si="116"/>
        <v>0</v>
      </c>
      <c r="AE145" s="175">
        <f t="shared" si="116"/>
        <v>0</v>
      </c>
      <c r="AF145" s="175">
        <f t="shared" si="116"/>
        <v>0</v>
      </c>
      <c r="AG145" s="175">
        <f t="shared" si="119"/>
        <v>0</v>
      </c>
      <c r="AH145" s="175">
        <f t="shared" si="119"/>
        <v>0</v>
      </c>
      <c r="AI145" s="175">
        <f t="shared" si="119"/>
        <v>0</v>
      </c>
      <c r="AJ145" s="614">
        <f t="shared" si="119"/>
        <v>0</v>
      </c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282"/>
      <c r="AX145" s="282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421">
        <f t="shared" si="120"/>
        <v>0</v>
      </c>
      <c r="CF145" s="96">
        <f t="shared" si="120"/>
        <v>52</v>
      </c>
      <c r="CG145" s="96">
        <f t="shared" si="120"/>
        <v>102</v>
      </c>
      <c r="CH145" s="96">
        <f t="shared" si="120"/>
        <v>272.2</v>
      </c>
      <c r="CI145" s="96">
        <f t="shared" si="120"/>
        <v>503.2</v>
      </c>
      <c r="CJ145" s="96">
        <f t="shared" si="120"/>
        <v>432</v>
      </c>
      <c r="CK145" s="96">
        <f t="shared" si="120"/>
        <v>384.2</v>
      </c>
      <c r="CL145" s="286">
        <f t="shared" si="120"/>
        <v>415</v>
      </c>
      <c r="CM145" s="294"/>
      <c r="CN145" s="294"/>
      <c r="CO145" s="294"/>
      <c r="CP145" s="19"/>
      <c r="CQ145" s="789">
        <f t="shared" si="121"/>
        <v>8802869.3680050261</v>
      </c>
      <c r="CR145" s="784">
        <f t="shared" si="121"/>
        <v>35311200.149959609</v>
      </c>
      <c r="CS145" s="97">
        <f t="shared" si="121"/>
        <v>33585612.422426365</v>
      </c>
      <c r="CT145" s="97">
        <f t="shared" si="121"/>
        <v>29773070.187509153</v>
      </c>
      <c r="CU145" s="97">
        <f t="shared" si="121"/>
        <v>31184232.093528695</v>
      </c>
      <c r="CV145" s="97">
        <f t="shared" si="121"/>
        <v>39333761.036561541</v>
      </c>
      <c r="CW145" s="97">
        <f t="shared" si="121"/>
        <v>42394543.069678657</v>
      </c>
      <c r="CX145" s="98">
        <f t="shared" si="121"/>
        <v>44640581.92444779</v>
      </c>
    </row>
    <row r="146" spans="1:110" ht="15.75" thickBot="1" x14ac:dyDescent="0.3">
      <c r="A146" s="100" t="s">
        <v>258</v>
      </c>
      <c r="B146" s="176"/>
      <c r="C146" s="101" t="s">
        <v>64</v>
      </c>
      <c r="D146" s="177">
        <f t="shared" si="122"/>
        <v>0</v>
      </c>
      <c r="E146" s="178">
        <f t="shared" si="116"/>
        <v>0</v>
      </c>
      <c r="F146" s="178">
        <f t="shared" si="116"/>
        <v>0</v>
      </c>
      <c r="G146" s="178">
        <f t="shared" si="116"/>
        <v>0</v>
      </c>
      <c r="H146" s="178">
        <f t="shared" si="116"/>
        <v>0</v>
      </c>
      <c r="I146" s="178">
        <f t="shared" si="116"/>
        <v>0</v>
      </c>
      <c r="J146" s="178">
        <f t="shared" si="116"/>
        <v>0</v>
      </c>
      <c r="K146" s="178">
        <f t="shared" si="116"/>
        <v>0</v>
      </c>
      <c r="L146" s="178">
        <f t="shared" si="116"/>
        <v>0</v>
      </c>
      <c r="M146" s="660">
        <f t="shared" si="116"/>
        <v>0</v>
      </c>
      <c r="N146" s="660">
        <f t="shared" si="117"/>
        <v>0</v>
      </c>
      <c r="O146" s="582">
        <f t="shared" si="124"/>
        <v>0</v>
      </c>
      <c r="P146" s="577">
        <f t="shared" si="124"/>
        <v>0</v>
      </c>
      <c r="Q146" s="577">
        <f t="shared" si="124"/>
        <v>0</v>
      </c>
      <c r="R146" s="577">
        <f t="shared" si="124"/>
        <v>0</v>
      </c>
      <c r="S146" s="577">
        <f t="shared" si="124"/>
        <v>0</v>
      </c>
      <c r="T146" s="577">
        <f t="shared" si="124"/>
        <v>0</v>
      </c>
      <c r="U146" s="577">
        <f t="shared" si="124"/>
        <v>0</v>
      </c>
      <c r="V146" s="577">
        <f t="shared" si="124"/>
        <v>0</v>
      </c>
      <c r="W146" s="577">
        <f t="shared" si="124"/>
        <v>0</v>
      </c>
      <c r="X146" s="681">
        <f t="shared" si="124"/>
        <v>0</v>
      </c>
      <c r="Y146" s="681">
        <f t="shared" si="124"/>
        <v>0</v>
      </c>
      <c r="Z146" s="179">
        <f t="shared" si="116"/>
        <v>0</v>
      </c>
      <c r="AA146" s="180">
        <f t="shared" si="116"/>
        <v>0</v>
      </c>
      <c r="AB146" s="180">
        <f t="shared" si="116"/>
        <v>0</v>
      </c>
      <c r="AC146" s="180">
        <f t="shared" si="116"/>
        <v>0</v>
      </c>
      <c r="AD146" s="180">
        <f t="shared" si="116"/>
        <v>0</v>
      </c>
      <c r="AE146" s="180">
        <f t="shared" si="116"/>
        <v>0</v>
      </c>
      <c r="AF146" s="180">
        <f t="shared" si="116"/>
        <v>0</v>
      </c>
      <c r="AG146" s="180">
        <f t="shared" si="119"/>
        <v>0</v>
      </c>
      <c r="AH146" s="180">
        <f t="shared" si="119"/>
        <v>0</v>
      </c>
      <c r="AI146" s="180">
        <f t="shared" si="119"/>
        <v>0</v>
      </c>
      <c r="AJ146" s="615">
        <f t="shared" si="119"/>
        <v>0</v>
      </c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282"/>
      <c r="AX146" s="282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422">
        <f t="shared" si="120"/>
        <v>0</v>
      </c>
      <c r="CF146" s="115">
        <f t="shared" si="120"/>
        <v>40</v>
      </c>
      <c r="CG146" s="115">
        <f t="shared" si="120"/>
        <v>50</v>
      </c>
      <c r="CH146" s="115">
        <f t="shared" si="120"/>
        <v>36</v>
      </c>
      <c r="CI146" s="115">
        <f t="shared" si="120"/>
        <v>171</v>
      </c>
      <c r="CJ146" s="115">
        <f t="shared" si="120"/>
        <v>68</v>
      </c>
      <c r="CK146" s="115">
        <f t="shared" si="120"/>
        <v>185</v>
      </c>
      <c r="CL146" s="287">
        <f t="shared" si="120"/>
        <v>46</v>
      </c>
      <c r="CM146" s="294"/>
      <c r="CN146" s="294"/>
      <c r="CO146" s="294"/>
      <c r="CP146" s="19"/>
      <c r="CQ146" s="790">
        <f t="shared" si="121"/>
        <v>3953888.1183717079</v>
      </c>
      <c r="CR146" s="1111">
        <f t="shared" si="121"/>
        <v>34327821.03713572</v>
      </c>
      <c r="CS146" s="181">
        <f t="shared" si="121"/>
        <v>34873409.720425792</v>
      </c>
      <c r="CT146" s="181">
        <f>SUMIF($A$7:$A$132,$A146,CT$7:CT$132)</f>
        <v>28087228.77062225</v>
      </c>
      <c r="CU146" s="181">
        <f t="shared" si="121"/>
        <v>25357959.524225332</v>
      </c>
      <c r="CV146" s="181">
        <f t="shared" si="121"/>
        <v>24004939.702999745</v>
      </c>
      <c r="CW146" s="181">
        <f t="shared" si="121"/>
        <v>24862651.794762257</v>
      </c>
      <c r="CX146" s="182">
        <f t="shared" si="121"/>
        <v>21615745.951940693</v>
      </c>
    </row>
    <row r="147" spans="1:110" ht="15.75" thickBot="1" x14ac:dyDescent="0.3">
      <c r="D147" s="183">
        <f>SUM(D136:D146)</f>
        <v>0</v>
      </c>
      <c r="E147" s="184">
        <f t="shared" ref="E147:M147" si="125">SUM(E136:E146)</f>
        <v>0</v>
      </c>
      <c r="F147" s="184">
        <f t="shared" si="125"/>
        <v>0</v>
      </c>
      <c r="G147" s="184">
        <f t="shared" si="125"/>
        <v>0</v>
      </c>
      <c r="H147" s="184">
        <f t="shared" si="125"/>
        <v>0</v>
      </c>
      <c r="I147" s="184">
        <f t="shared" si="125"/>
        <v>0</v>
      </c>
      <c r="J147" s="184">
        <f t="shared" si="125"/>
        <v>0</v>
      </c>
      <c r="K147" s="184">
        <f t="shared" si="125"/>
        <v>0</v>
      </c>
      <c r="L147" s="184">
        <f t="shared" si="125"/>
        <v>0</v>
      </c>
      <c r="M147" s="661">
        <f t="shared" si="125"/>
        <v>0</v>
      </c>
      <c r="N147" s="661">
        <f t="shared" ref="N147" si="126">SUM(N136:N146)</f>
        <v>0</v>
      </c>
      <c r="O147" s="183">
        <f>SUM(O136:O146)</f>
        <v>0</v>
      </c>
      <c r="P147" s="184">
        <f t="shared" ref="P147:X147" si="127">SUM(P136:P146)</f>
        <v>0</v>
      </c>
      <c r="Q147" s="184">
        <f t="shared" si="127"/>
        <v>0</v>
      </c>
      <c r="R147" s="184">
        <f t="shared" si="127"/>
        <v>0</v>
      </c>
      <c r="S147" s="184">
        <f t="shared" si="127"/>
        <v>0</v>
      </c>
      <c r="T147" s="184">
        <f t="shared" si="127"/>
        <v>0</v>
      </c>
      <c r="U147" s="184">
        <f t="shared" si="127"/>
        <v>0</v>
      </c>
      <c r="V147" s="184">
        <f t="shared" si="127"/>
        <v>0</v>
      </c>
      <c r="W147" s="184">
        <f t="shared" si="127"/>
        <v>0</v>
      </c>
      <c r="X147" s="661">
        <f t="shared" si="127"/>
        <v>0</v>
      </c>
      <c r="Y147" s="661">
        <f t="shared" ref="Y147" si="128">SUM(Y136:Y146)</f>
        <v>0</v>
      </c>
      <c r="CE147" s="19"/>
      <c r="CF147" s="19"/>
      <c r="CG147" s="19"/>
      <c r="CH147" s="19"/>
      <c r="CI147" s="19"/>
      <c r="CJ147" s="19"/>
      <c r="CK147" s="19"/>
      <c r="CL147" s="282"/>
      <c r="CM147" s="294"/>
      <c r="CN147" s="294"/>
      <c r="CO147" s="294"/>
      <c r="CP147" s="19"/>
      <c r="CQ147" s="791">
        <f>SUM(CQ136:CQ146)</f>
        <v>24089682</v>
      </c>
      <c r="CR147" s="1112">
        <f t="shared" ref="CR147:CX147" si="129">SUM(CR136:CR146)</f>
        <v>111953242.82968453</v>
      </c>
      <c r="CS147" s="184">
        <f t="shared" si="129"/>
        <v>96943447.296151996</v>
      </c>
      <c r="CT147" s="184">
        <f t="shared" si="129"/>
        <v>80173931.544925645</v>
      </c>
      <c r="CU147" s="184">
        <f t="shared" si="129"/>
        <v>80729365.528698787</v>
      </c>
      <c r="CV147" s="184">
        <f t="shared" si="129"/>
        <v>91172931.756774753</v>
      </c>
      <c r="CW147" s="814">
        <f t="shared" si="129"/>
        <v>99266447.895862252</v>
      </c>
      <c r="CX147" s="185">
        <f t="shared" si="129"/>
        <v>105227140.80633357</v>
      </c>
      <c r="CY147" s="395">
        <f>SUM(CT147:CX147)</f>
        <v>456569817.53259504</v>
      </c>
      <c r="CZ147" s="1" t="s">
        <v>684</v>
      </c>
      <c r="DA147" s="1">
        <v>0.75</v>
      </c>
      <c r="DB147" s="1">
        <v>0.86</v>
      </c>
      <c r="DC147" s="1">
        <v>0.84</v>
      </c>
      <c r="DD147" s="1">
        <v>0.98</v>
      </c>
      <c r="DE147" s="1">
        <v>0.82</v>
      </c>
      <c r="DF147" s="1">
        <f>SUM(DA147:DE147)</f>
        <v>4.25</v>
      </c>
    </row>
  </sheetData>
  <autoFilter ref="A6:CZ133" xr:uid="{797A1398-A7E5-40FC-9459-B3C158757EED}"/>
  <phoneticPr fontId="17" type="noConversion"/>
  <dataValidations disablePrompts="1" count="1">
    <dataValidation type="list" allowBlank="1" showInputMessage="1" showErrorMessage="1" sqref="CC7:CC132 CM7:CM132" xr:uid="{8A2349CC-F288-4ACD-BE74-CF901770D98E}">
      <formula1>$AY$6:$BA$6</formula1>
    </dataValidation>
  </dataValidations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FBB2DBB8-D6F5-42AD-9C19-9BB3C48E4FC0}">
          <x14:formula1>
            <xm:f>Lookup!$A$2:$A$4</xm:f>
          </x14:formula1>
          <xm:sqref>BC7:BC132</xm:sqref>
        </x14:dataValidation>
        <x14:dataValidation type="list" allowBlank="1" showInputMessage="1" showErrorMessage="1" xr:uid="{C25298E2-519C-4CE0-9482-02C1BA86D621}">
          <x14:formula1>
            <xm:f>Lookup!$B$2:$B$9</xm:f>
          </x14:formula1>
          <xm:sqref>BB7:BB132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616FE-DA93-49A9-BE51-5B095A1FCAC7}">
  <sheetPr codeName="Sheet13"/>
  <dimension ref="A1:CV147"/>
  <sheetViews>
    <sheetView zoomScaleNormal="100" workbookViewId="0">
      <pane xSplit="3" ySplit="7" topLeftCell="CI108" activePane="bottomRight" state="frozen"/>
      <selection activeCell="AW7" sqref="AW7:AW132"/>
      <selection pane="topRight" activeCell="AW7" sqref="AW7:AW132"/>
      <selection pane="bottomLeft" activeCell="AW7" sqref="AW7:AW132"/>
      <selection pane="bottomRight" activeCell="CM120" sqref="CM120:CU124"/>
    </sheetView>
  </sheetViews>
  <sheetFormatPr defaultRowHeight="15" x14ac:dyDescent="0.25"/>
  <cols>
    <col min="1" max="1" width="5.7109375" bestFit="1" customWidth="1"/>
    <col min="3" max="3" width="37" customWidth="1"/>
    <col min="51" max="51" width="9.140625" customWidth="1"/>
    <col min="53" max="60" width="0" hidden="1" customWidth="1"/>
    <col min="77" max="77" width="9.140625" customWidth="1"/>
    <col min="86" max="89" width="9.140625" style="280" customWidth="1"/>
    <col min="91" max="98" width="13.7109375" customWidth="1"/>
    <col min="99" max="99" width="31.5703125" customWidth="1"/>
  </cols>
  <sheetData>
    <row r="1" spans="1:100" ht="15.75" thickBot="1" x14ac:dyDescent="0.3">
      <c r="AQ1" t="s">
        <v>279</v>
      </c>
      <c r="AT1" s="22"/>
      <c r="CL1" s="280"/>
      <c r="CM1" s="280"/>
      <c r="CN1" s="280"/>
      <c r="CO1" s="280"/>
      <c r="CP1" s="280"/>
      <c r="CQ1" s="280"/>
      <c r="CR1" s="280"/>
      <c r="CS1" s="280"/>
      <c r="CT1" s="280"/>
    </row>
    <row r="2" spans="1:100" ht="15.75" thickBot="1" x14ac:dyDescent="0.3">
      <c r="N2" s="593" t="s">
        <v>583</v>
      </c>
      <c r="O2" s="594" t="str">
        <f>'Defect P1'!P2</f>
        <v>2024/25</v>
      </c>
      <c r="P2" s="584"/>
      <c r="Q2" s="584"/>
      <c r="R2" s="584"/>
      <c r="S2" s="584"/>
      <c r="T2" s="584"/>
      <c r="U2" s="584"/>
      <c r="V2" s="584"/>
      <c r="W2" s="585"/>
      <c r="CL2" s="280"/>
      <c r="CM2" s="280"/>
      <c r="CN2" s="280"/>
      <c r="CO2" s="280"/>
      <c r="CP2" s="280"/>
      <c r="CQ2" s="280"/>
      <c r="CR2" s="280"/>
      <c r="CS2" s="280"/>
      <c r="CT2" s="280"/>
    </row>
    <row r="3" spans="1:100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25"/>
      <c r="N3" s="586" t="s">
        <v>584</v>
      </c>
      <c r="O3" s="587"/>
      <c r="P3" s="587"/>
      <c r="Q3" s="587"/>
      <c r="R3" s="587"/>
      <c r="S3" s="587"/>
      <c r="T3" s="587"/>
      <c r="U3" s="587"/>
      <c r="V3" s="587"/>
      <c r="W3" s="588"/>
      <c r="AU3" s="607" t="str">
        <f>"Escalated to "&amp;O2</f>
        <v>Escalated to 2024/25</v>
      </c>
      <c r="AV3" s="604"/>
      <c r="AW3" s="605" t="str">
        <f>'Defect P1'!BA3</f>
        <v>N</v>
      </c>
      <c r="CA3" s="19"/>
      <c r="CB3" s="19"/>
      <c r="CC3" s="19"/>
      <c r="CD3" s="19"/>
      <c r="CE3" s="19"/>
      <c r="CF3" s="19"/>
      <c r="CG3" s="19"/>
      <c r="CH3" s="281"/>
      <c r="CI3" s="281"/>
      <c r="CJ3" s="281"/>
      <c r="CK3" s="281"/>
      <c r="CL3" s="281"/>
      <c r="CM3" s="281"/>
      <c r="CN3" s="281"/>
      <c r="CO3" s="281"/>
      <c r="CP3" s="281"/>
      <c r="CQ3" s="281"/>
      <c r="CR3" s="281"/>
      <c r="CS3" s="281"/>
      <c r="CT3" s="281"/>
    </row>
    <row r="4" spans="1:100" ht="15.75" thickBot="1" x14ac:dyDescent="0.3">
      <c r="N4" s="589">
        <f>VLOOKUP(N$6,'Financial Escalation'!$C$31:$W$52,VLOOKUP($O$2,Lookup!$D$2:$E$19,2,0),0)</f>
        <v>1.3454563192065767</v>
      </c>
      <c r="O4" s="590">
        <f>VLOOKUP(O$6,'Financial Escalation'!$C$31:$W$52,VLOOKUP($O$2,Lookup!$D$2:$E$19,2,0),0)</f>
        <v>1.3254309228276884</v>
      </c>
      <c r="P4" s="590">
        <f>VLOOKUP(P$6,'Financial Escalation'!$C$31:$W$52,VLOOKUP($O$2,Lookup!$D$2:$E$19,2,0),0)</f>
        <v>1.3120057477345903</v>
      </c>
      <c r="Q4" s="590">
        <f>VLOOKUP(Q$6,'Financial Escalation'!$C$31:$W$52,VLOOKUP($O$2,Lookup!$D$2:$E$19,2,0),0)</f>
        <v>1.2871167498100859</v>
      </c>
      <c r="R4" s="590">
        <f>VLOOKUP(R$6,'Financial Escalation'!$C$31:$W$52,VLOOKUP($O$2,Lookup!$D$2:$E$19,2,0),0)</f>
        <v>1.2609187982652788</v>
      </c>
      <c r="S4" s="590">
        <f>VLOOKUP(S$6,'Financial Escalation'!$C$31:$W$52,VLOOKUP($O$2,Lookup!$D$2:$E$19,2,0),0)</f>
        <v>1.2411482944597256</v>
      </c>
      <c r="T4" s="590">
        <f>VLOOKUP(T$6,'Financial Escalation'!$C$31:$W$52,VLOOKUP($O$2,Lookup!$D$2:$E$19,2,0),0)</f>
        <v>1.2454879738109834</v>
      </c>
      <c r="U4" s="590">
        <f>VLOOKUP(U$6,'Financial Escalation'!$C$31:$W$52,VLOOKUP($O$2,Lookup!$D$2:$E$19,2,0),0)</f>
        <v>1.199358789595762</v>
      </c>
      <c r="V4" s="590">
        <f>VLOOKUP(V$6,'Financial Escalation'!$C$31:$W$52,VLOOKUP($O$2,Lookup!$D$2:$E$19,2,0),0)</f>
        <v>1.129927233972851</v>
      </c>
      <c r="W4" s="591">
        <f>VLOOKUP(W$6,'Financial Escalation'!$C$31:$W$52,VLOOKUP($O$2,Lookup!$D$2:$E$19,2,0),0)</f>
        <v>1.0634609260920951</v>
      </c>
      <c r="AH4" s="220" t="s">
        <v>427</v>
      </c>
      <c r="AI4" s="221"/>
      <c r="AJ4" s="222" t="s">
        <v>428</v>
      </c>
      <c r="AU4" s="595" t="s">
        <v>427</v>
      </c>
      <c r="AV4" s="596"/>
      <c r="AW4" s="601" t="s">
        <v>428</v>
      </c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282"/>
      <c r="CI4" s="282"/>
      <c r="CJ4" s="282"/>
      <c r="CK4" s="282"/>
      <c r="CL4" s="282"/>
      <c r="CM4" s="282"/>
      <c r="CN4" s="282"/>
      <c r="CO4" s="282"/>
      <c r="CP4" s="282"/>
      <c r="CQ4" s="282"/>
      <c r="CR4" s="282"/>
      <c r="CS4" s="282"/>
      <c r="CT4" s="282"/>
    </row>
    <row r="5" spans="1:100" s="186" customFormat="1" ht="15.75" thickBot="1" x14ac:dyDescent="0.3">
      <c r="A5" s="27" t="s">
        <v>281</v>
      </c>
      <c r="B5" s="27" t="s">
        <v>282</v>
      </c>
      <c r="C5" s="28" t="s">
        <v>283</v>
      </c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0"/>
      <c r="N5" s="552" t="s">
        <v>582</v>
      </c>
      <c r="O5" s="553"/>
      <c r="P5" s="553"/>
      <c r="Q5" s="553"/>
      <c r="R5" s="553"/>
      <c r="S5" s="553"/>
      <c r="T5" s="553"/>
      <c r="U5" s="553"/>
      <c r="V5" s="553"/>
      <c r="W5" s="553"/>
      <c r="X5" s="31" t="s">
        <v>285</v>
      </c>
      <c r="Y5" s="32"/>
      <c r="Z5" s="32"/>
      <c r="AA5" s="32"/>
      <c r="AB5" s="32"/>
      <c r="AC5" s="32"/>
      <c r="AD5" s="32"/>
      <c r="AE5" s="32"/>
      <c r="AF5" s="32"/>
      <c r="AG5" s="32"/>
      <c r="AH5" s="33" t="s">
        <v>586</v>
      </c>
      <c r="AI5" s="34"/>
      <c r="AJ5" s="35"/>
      <c r="AK5" s="36" t="s">
        <v>287</v>
      </c>
      <c r="AL5" s="37"/>
      <c r="AM5" s="37"/>
      <c r="AN5" s="37"/>
      <c r="AO5" s="37"/>
      <c r="AP5" s="37"/>
      <c r="AQ5" s="37"/>
      <c r="AR5" s="37"/>
      <c r="AS5" s="37"/>
      <c r="AT5" s="38"/>
      <c r="AU5" s="39" t="s">
        <v>288</v>
      </c>
      <c r="AV5" s="40"/>
      <c r="AW5" s="41"/>
      <c r="AX5" s="259" t="s">
        <v>429</v>
      </c>
      <c r="AY5" s="260"/>
      <c r="AZ5" s="260"/>
      <c r="BA5" s="242" t="s">
        <v>439</v>
      </c>
      <c r="BB5" s="226"/>
      <c r="BC5" s="226"/>
      <c r="BD5" s="226"/>
      <c r="BE5" s="226"/>
      <c r="BF5" s="226"/>
      <c r="BG5" s="226"/>
      <c r="BH5" s="243"/>
      <c r="BI5" s="226" t="s">
        <v>440</v>
      </c>
      <c r="BJ5" s="226"/>
      <c r="BK5" s="226"/>
      <c r="BL5" s="226"/>
      <c r="BM5" s="226"/>
      <c r="BN5" s="226"/>
      <c r="BO5" s="226"/>
      <c r="BP5" s="243"/>
      <c r="BQ5" s="242" t="s">
        <v>430</v>
      </c>
      <c r="BR5" s="226"/>
      <c r="BS5" s="226"/>
      <c r="BT5" s="226"/>
      <c r="BU5" s="226"/>
      <c r="BV5" s="226"/>
      <c r="BW5" s="226"/>
      <c r="BX5" s="243"/>
      <c r="BY5" s="376" t="s">
        <v>442</v>
      </c>
      <c r="BZ5" s="377"/>
      <c r="CA5" s="189" t="s">
        <v>441</v>
      </c>
      <c r="CB5" s="189"/>
      <c r="CC5" s="189"/>
      <c r="CD5" s="189"/>
      <c r="CE5" s="189"/>
      <c r="CF5" s="189"/>
      <c r="CG5" s="189"/>
      <c r="CH5" s="283"/>
      <c r="CI5" s="412" t="s">
        <v>484</v>
      </c>
      <c r="CJ5" s="296"/>
      <c r="CK5" s="296"/>
      <c r="CL5" s="297"/>
      <c r="CM5" s="191"/>
      <c r="CN5" s="191"/>
      <c r="CO5" s="191"/>
      <c r="CP5" s="191"/>
      <c r="CQ5" s="191"/>
      <c r="CR5" s="191"/>
      <c r="CS5" s="191"/>
      <c r="CT5" s="192"/>
      <c r="CU5" s="389" t="s">
        <v>464</v>
      </c>
    </row>
    <row r="6" spans="1:100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46" t="s">
        <v>14</v>
      </c>
      <c r="N6" s="555" t="s">
        <v>5</v>
      </c>
      <c r="O6" s="556" t="s">
        <v>6</v>
      </c>
      <c r="P6" s="556" t="s">
        <v>7</v>
      </c>
      <c r="Q6" s="556" t="s">
        <v>8</v>
      </c>
      <c r="R6" s="556" t="s">
        <v>9</v>
      </c>
      <c r="S6" s="556" t="s">
        <v>10</v>
      </c>
      <c r="T6" s="556" t="s">
        <v>11</v>
      </c>
      <c r="U6" s="556" t="s">
        <v>12</v>
      </c>
      <c r="V6" s="556" t="s">
        <v>13</v>
      </c>
      <c r="W6" s="556" t="s">
        <v>14</v>
      </c>
      <c r="X6" s="47" t="s">
        <v>5</v>
      </c>
      <c r="Y6" s="48" t="s">
        <v>6</v>
      </c>
      <c r="Z6" s="48" t="s">
        <v>7</v>
      </c>
      <c r="AA6" s="48" t="s">
        <v>8</v>
      </c>
      <c r="AB6" s="48" t="s">
        <v>9</v>
      </c>
      <c r="AC6" s="48" t="s">
        <v>10</v>
      </c>
      <c r="AD6" s="48" t="s">
        <v>11</v>
      </c>
      <c r="AE6" s="48" t="s">
        <v>12</v>
      </c>
      <c r="AF6" s="48" t="s">
        <v>13</v>
      </c>
      <c r="AG6" s="49" t="s">
        <v>14</v>
      </c>
      <c r="AH6" s="50" t="s">
        <v>292</v>
      </c>
      <c r="AI6" s="51" t="s">
        <v>293</v>
      </c>
      <c r="AJ6" s="52" t="s">
        <v>294</v>
      </c>
      <c r="AK6" s="53" t="s">
        <v>5</v>
      </c>
      <c r="AL6" s="54" t="s">
        <v>6</v>
      </c>
      <c r="AM6" s="54" t="s">
        <v>7</v>
      </c>
      <c r="AN6" s="54" t="s">
        <v>8</v>
      </c>
      <c r="AO6" s="54" t="s">
        <v>9</v>
      </c>
      <c r="AP6" s="54" t="s">
        <v>10</v>
      </c>
      <c r="AQ6" s="54" t="s">
        <v>11</v>
      </c>
      <c r="AR6" s="54" t="s">
        <v>12</v>
      </c>
      <c r="AS6" s="54" t="s">
        <v>13</v>
      </c>
      <c r="AT6" s="55" t="s">
        <v>14</v>
      </c>
      <c r="AU6" s="56" t="s">
        <v>292</v>
      </c>
      <c r="AV6" s="57" t="s">
        <v>293</v>
      </c>
      <c r="AW6" s="58" t="s">
        <v>294</v>
      </c>
      <c r="AX6" s="261" t="s">
        <v>431</v>
      </c>
      <c r="AY6" s="262" t="s">
        <v>438</v>
      </c>
      <c r="AZ6" s="263" t="s">
        <v>432</v>
      </c>
      <c r="BA6" s="254" t="s">
        <v>14</v>
      </c>
      <c r="BB6" s="227" t="s">
        <v>15</v>
      </c>
      <c r="BC6" s="227" t="s">
        <v>280</v>
      </c>
      <c r="BD6" s="227" t="s">
        <v>422</v>
      </c>
      <c r="BE6" s="227" t="s">
        <v>423</v>
      </c>
      <c r="BF6" s="227" t="s">
        <v>424</v>
      </c>
      <c r="BG6" s="227" t="s">
        <v>425</v>
      </c>
      <c r="BH6" s="245" t="s">
        <v>426</v>
      </c>
      <c r="BI6" s="254" t="s">
        <v>14</v>
      </c>
      <c r="BJ6" s="227" t="s">
        <v>15</v>
      </c>
      <c r="BK6" s="227" t="s">
        <v>280</v>
      </c>
      <c r="BL6" s="227" t="s">
        <v>422</v>
      </c>
      <c r="BM6" s="227" t="s">
        <v>423</v>
      </c>
      <c r="BN6" s="227" t="s">
        <v>424</v>
      </c>
      <c r="BO6" s="227" t="s">
        <v>425</v>
      </c>
      <c r="BP6" s="245" t="s">
        <v>426</v>
      </c>
      <c r="BQ6" s="244" t="s">
        <v>14</v>
      </c>
      <c r="BR6" s="227" t="s">
        <v>15</v>
      </c>
      <c r="BS6" s="227" t="s">
        <v>280</v>
      </c>
      <c r="BT6" s="227" t="s">
        <v>422</v>
      </c>
      <c r="BU6" s="227" t="s">
        <v>423</v>
      </c>
      <c r="BV6" s="227" t="s">
        <v>424</v>
      </c>
      <c r="BW6" s="227" t="s">
        <v>425</v>
      </c>
      <c r="BX6" s="245" t="s">
        <v>426</v>
      </c>
      <c r="BY6" s="378"/>
      <c r="BZ6" s="379"/>
      <c r="CA6" s="232" t="s">
        <v>14</v>
      </c>
      <c r="CB6" s="59" t="s">
        <v>15</v>
      </c>
      <c r="CC6" s="59" t="s">
        <v>280</v>
      </c>
      <c r="CD6" s="59" t="s">
        <v>422</v>
      </c>
      <c r="CE6" s="59" t="s">
        <v>423</v>
      </c>
      <c r="CF6" s="59" t="s">
        <v>424</v>
      </c>
      <c r="CG6" s="59" t="s">
        <v>425</v>
      </c>
      <c r="CH6" s="284" t="s">
        <v>426</v>
      </c>
      <c r="CI6" s="298" t="s">
        <v>444</v>
      </c>
      <c r="CJ6" s="301" t="s">
        <v>445</v>
      </c>
      <c r="CK6" s="299" t="s">
        <v>443</v>
      </c>
      <c r="CL6" s="300" t="s">
        <v>295</v>
      </c>
      <c r="CM6" s="295" t="s">
        <v>14</v>
      </c>
      <c r="CN6" s="61" t="s">
        <v>15</v>
      </c>
      <c r="CO6" s="61" t="s">
        <v>280</v>
      </c>
      <c r="CP6" s="61" t="s">
        <v>422</v>
      </c>
      <c r="CQ6" s="61" t="s">
        <v>423</v>
      </c>
      <c r="CR6" s="61" t="s">
        <v>424</v>
      </c>
      <c r="CS6" s="61" t="s">
        <v>425</v>
      </c>
      <c r="CT6" s="62" t="s">
        <v>426</v>
      </c>
      <c r="CU6" s="390"/>
    </row>
    <row r="7" spans="1:100" x14ac:dyDescent="0.25">
      <c r="A7" s="63" t="s">
        <v>296</v>
      </c>
      <c r="B7" s="64" t="s">
        <v>22</v>
      </c>
      <c r="C7" s="65" t="s">
        <v>24</v>
      </c>
      <c r="D7" s="66"/>
      <c r="E7" s="67"/>
      <c r="F7" s="67"/>
      <c r="G7" s="67"/>
      <c r="H7" s="67"/>
      <c r="I7" s="67"/>
      <c r="J7" s="67"/>
      <c r="K7" s="67"/>
      <c r="L7" s="67"/>
      <c r="M7" s="200"/>
      <c r="N7" s="557">
        <f>D7*N$4</f>
        <v>0</v>
      </c>
      <c r="O7" s="558">
        <f t="shared" ref="O7:O70" si="0">E7*O$4</f>
        <v>0</v>
      </c>
      <c r="P7" s="558">
        <f t="shared" ref="P7:P70" si="1">F7*P$4</f>
        <v>0</v>
      </c>
      <c r="Q7" s="558">
        <f t="shared" ref="Q7:Q70" si="2">G7*Q$4</f>
        <v>0</v>
      </c>
      <c r="R7" s="558">
        <f t="shared" ref="R7:R70" si="3">H7*R$4</f>
        <v>0</v>
      </c>
      <c r="S7" s="558">
        <f t="shared" ref="S7:S70" si="4">I7*S$4</f>
        <v>0</v>
      </c>
      <c r="T7" s="558">
        <f t="shared" ref="T7:T70" si="5">J7*T$4</f>
        <v>0</v>
      </c>
      <c r="U7" s="558">
        <f t="shared" ref="U7:U70" si="6">K7*U$4</f>
        <v>0</v>
      </c>
      <c r="V7" s="558">
        <f t="shared" ref="V7:V70" si="7">L7*V$4</f>
        <v>0</v>
      </c>
      <c r="W7" s="559">
        <f t="shared" ref="W7:W70" si="8">M7*W$4</f>
        <v>0</v>
      </c>
      <c r="X7" s="68"/>
      <c r="Y7" s="69"/>
      <c r="Z7" s="69"/>
      <c r="AA7" s="69"/>
      <c r="AB7" s="69"/>
      <c r="AC7" s="69"/>
      <c r="AD7" s="69"/>
      <c r="AE7" s="69"/>
      <c r="AF7" s="69"/>
      <c r="AG7" s="193"/>
      <c r="AH7" s="70">
        <f>IFERROR(IF($AJ$4="N",SUM(AB7:AF7)/5,SUM(AC7:AG7)/5),"")</f>
        <v>0</v>
      </c>
      <c r="AI7" s="71" t="str" cm="1">
        <f t="array" aca="1" ref="AI7" ca="1">IFERROR(IF($AJ$4="N",SSUM(AD7:AF7)/3,SUM(AE7:AG7)/3),"")</f>
        <v/>
      </c>
      <c r="AJ7" s="72">
        <f>IFERROR(IF($AJ$4="N",AF7,AG7),"")</f>
        <v>0</v>
      </c>
      <c r="AK7" s="73" t="str">
        <f t="shared" ref="AK7:AK38" si="9">IFERROR(D7/X7,"")</f>
        <v/>
      </c>
      <c r="AL7" s="74" t="str">
        <f t="shared" ref="AL7:AL38" si="10">IFERROR(E7/Y7,"")</f>
        <v/>
      </c>
      <c r="AM7" s="74" t="str">
        <f t="shared" ref="AM7:AM38" si="11">IFERROR(F7/Z7,"")</f>
        <v/>
      </c>
      <c r="AN7" s="74" t="str">
        <f t="shared" ref="AN7:AN38" si="12">IFERROR(G7/AA7,"")</f>
        <v/>
      </c>
      <c r="AO7" s="74" t="str">
        <f t="shared" ref="AO7:AO38" si="13">IFERROR(H7/AB7,"")</f>
        <v/>
      </c>
      <c r="AP7" s="74" t="str">
        <f t="shared" ref="AP7:AP38" si="14">IFERROR(I7/AC7,"")</f>
        <v/>
      </c>
      <c r="AQ7" s="74" t="str">
        <f t="shared" ref="AQ7:AQ38" si="15">IFERROR(J7/AD7,"")</f>
        <v/>
      </c>
      <c r="AR7" s="74" t="str">
        <f t="shared" ref="AR7:AR38" si="16">IFERROR(K7/AE7,"")</f>
        <v/>
      </c>
      <c r="AS7" s="74" t="str">
        <f t="shared" ref="AS7:AS38" si="17">IFERROR(L7/AF7,"")</f>
        <v/>
      </c>
      <c r="AT7" s="216" t="str">
        <f t="shared" ref="AT7:AT38" si="18">IFERROR(M7/AG7,"")</f>
        <v/>
      </c>
      <c r="AU7" s="75" t="str">
        <f>IFERROR(IF($AW$3="N",
IF($AW$4="N",SUM(H7:L7)/SUM(AB7:AF7),SUM(I7:M7)/SUM(AC7:AG7)),
IF($AW$4="N",SUM(R7:V7)/SUM(AB7:AF7),SUM(S7:W7)/SUM(AC7:AG7))),"")</f>
        <v/>
      </c>
      <c r="AV7" s="76" t="str">
        <f>IFERROR(IF($AW$3="N",
IF($AW$4="N",SUM(J7:L7)/SUM(AD7:AF7),SUM(K7:M7)/SUM(AE7:AG7)),
IF($AW$4="N",SUM(T7:V7)/SUM(AD7:AF7),SUM(U7:W7)/SUM(AE7:AG7))),"")</f>
        <v/>
      </c>
      <c r="AW7" s="77" t="str">
        <f>IFERROR(IF($AW$3="N",
IF($AW$4="N",L7/AF7,M7/AG7),
IF($AW$4="N",V7/AF7,W7/AG7)),"")</f>
        <v/>
      </c>
      <c r="AX7" s="246" t="s">
        <v>422</v>
      </c>
      <c r="AY7" s="228" t="s">
        <v>434</v>
      </c>
      <c r="AZ7" s="247">
        <v>0</v>
      </c>
      <c r="BA7" s="264">
        <f>IF(BA$6=$AX7,1,0
)</f>
        <v>0</v>
      </c>
      <c r="BB7" s="265">
        <f t="shared" ref="BB7:BH22" si="19">IF(BB$6=$AX7,1,
IF(BA7&lt;&gt;0,BA7+1,0
))</f>
        <v>0</v>
      </c>
      <c r="BC7" s="265">
        <f t="shared" si="19"/>
        <v>0</v>
      </c>
      <c r="BD7" s="265">
        <f t="shared" si="19"/>
        <v>1</v>
      </c>
      <c r="BE7" s="265">
        <f t="shared" si="19"/>
        <v>2</v>
      </c>
      <c r="BF7" s="265">
        <f t="shared" si="19"/>
        <v>3</v>
      </c>
      <c r="BG7" s="265">
        <f t="shared" si="19"/>
        <v>4</v>
      </c>
      <c r="BH7" s="266">
        <f t="shared" si="19"/>
        <v>5</v>
      </c>
      <c r="BI7" s="255">
        <f>IF($AY7=Lookup!$A$2,$AZ7*ROUNDUP(BA7/10,0)+1,
IF($AY7=Lookup!$A$3,($AZ7+1)^AZ7,
IF($AY7=Lookup!$A$4,BA7*$AZ7+1,"Error")))</f>
        <v>1</v>
      </c>
      <c r="BJ7" s="228">
        <f>IF($AY7=Lookup!$A$2,$AZ7*ROUNDUP(BB7/10,0)+1,
IF($AY7=Lookup!$A$3,($AZ7+1)^BA7,
IF($AY7=Lookup!$A$4,BB7*$AZ7+1,"Error")))</f>
        <v>1</v>
      </c>
      <c r="BK7" s="228">
        <f>IF($AY7=Lookup!$A$2,$AZ7*ROUNDUP(BC7/10,0)+1,
IF($AY7=Lookup!$A$3,($AZ7+1)^BB7,
IF($AY7=Lookup!$A$4,BC7*$AZ7+1,"Error")))</f>
        <v>1</v>
      </c>
      <c r="BL7" s="228">
        <f>IF($AY7=Lookup!$A$2,$AZ7*ROUNDUP(BD7/10,0)+1,
IF($AY7=Lookup!$A$3,($AZ7+1)^BC7,
IF($AY7=Lookup!$A$4,BD7*$AZ7+1,"Error")))</f>
        <v>1</v>
      </c>
      <c r="BM7" s="228">
        <f>IF($AY7=Lookup!$A$2,$AZ7*ROUNDUP(BE7/10,0)+1,
IF($AY7=Lookup!$A$3,($AZ7+1)^BD7,
IF($AY7=Lookup!$A$4,BE7*$AZ7+1,"Error")))</f>
        <v>1</v>
      </c>
      <c r="BN7" s="228">
        <f>IF($AY7=Lookup!$A$2,$AZ7*ROUNDUP(BF7/10,0)+1,
IF($AY7=Lookup!$A$3,($AZ7+1)^BE7,
IF($AY7=Lookup!$A$4,BF7*$AZ7+1,"Error")))</f>
        <v>1</v>
      </c>
      <c r="BO7" s="228">
        <f>IF($AY7=Lookup!$A$2,$AZ7*ROUNDUP(BG7/10,0)+1,
IF($AY7=Lookup!$A$3,($AZ7+1)^BF7,
IF($AY7=Lookup!$A$4,BG7*$AZ7+1,"Error")))</f>
        <v>1</v>
      </c>
      <c r="BP7" s="247">
        <f>IF($AY7=Lookup!$A$2,$AZ7*ROUNDUP(BH7/10,0)+1,
IF($AY7=Lookup!$A$3,($AZ7+1)^BG7,
IF($AY7=Lookup!$A$4,BH7*$AZ7+1,"Error")))</f>
        <v>1</v>
      </c>
      <c r="BQ7" s="318"/>
      <c r="BR7" s="319"/>
      <c r="BS7" s="319"/>
      <c r="BT7" s="319"/>
      <c r="BU7" s="319"/>
      <c r="BV7" s="319"/>
      <c r="BW7" s="319"/>
      <c r="BX7" s="276"/>
      <c r="BY7" s="380" t="s">
        <v>292</v>
      </c>
      <c r="BZ7" s="381">
        <f>HLOOKUP($BY7,$AH$6:$AJ$132,ROWS(BZ$6:BZ7),0)</f>
        <v>0</v>
      </c>
      <c r="CA7" s="233">
        <f>IFERROR(IF(BQ7&lt;&gt;"",BQ7,BI7*$BZ7),"")</f>
        <v>0</v>
      </c>
      <c r="CB7" s="78">
        <f t="shared" ref="CB7:CH43" si="20">IFERROR(IF(BR7&lt;&gt;"",BR7,BJ7*$BZ7),"")</f>
        <v>0</v>
      </c>
      <c r="CC7" s="78">
        <f t="shared" si="20"/>
        <v>0</v>
      </c>
      <c r="CD7" s="78">
        <f t="shared" si="20"/>
        <v>0</v>
      </c>
      <c r="CE7" s="78">
        <f t="shared" si="20"/>
        <v>0</v>
      </c>
      <c r="CF7" s="78">
        <f t="shared" si="20"/>
        <v>0</v>
      </c>
      <c r="CG7" s="78">
        <f t="shared" si="20"/>
        <v>0</v>
      </c>
      <c r="CH7" s="285">
        <f t="shared" si="20"/>
        <v>0</v>
      </c>
      <c r="CI7" s="302" t="s">
        <v>293</v>
      </c>
      <c r="CJ7" s="314">
        <v>0.05</v>
      </c>
      <c r="CK7" s="303"/>
      <c r="CL7" s="304" t="str">
        <f>IF($CK7&lt;&gt;"",$CK7,HLOOKUP($CI7,$AU$6:$AW$132,ROWS(CL$6:CL7),0))</f>
        <v/>
      </c>
      <c r="CM7" s="79"/>
      <c r="CN7" s="79"/>
      <c r="CO7" s="79"/>
      <c r="CP7" s="79"/>
      <c r="CQ7" s="79"/>
      <c r="CR7" s="79"/>
      <c r="CS7" s="79"/>
      <c r="CT7" s="80"/>
      <c r="CU7" s="391"/>
      <c r="CV7" s="187"/>
    </row>
    <row r="8" spans="1:100" x14ac:dyDescent="0.25">
      <c r="A8" s="81" t="s">
        <v>27</v>
      </c>
      <c r="B8" s="82" t="s">
        <v>25</v>
      </c>
      <c r="C8" s="83" t="s">
        <v>297</v>
      </c>
      <c r="D8" s="84"/>
      <c r="E8" s="85"/>
      <c r="F8" s="85"/>
      <c r="G8" s="85"/>
      <c r="H8" s="85"/>
      <c r="I8" s="85"/>
      <c r="J8" s="85"/>
      <c r="K8" s="85"/>
      <c r="L8" s="85"/>
      <c r="M8" s="201"/>
      <c r="N8" s="560">
        <f t="shared" ref="N8:N71" si="21">D8*N$4</f>
        <v>0</v>
      </c>
      <c r="O8" s="561">
        <f t="shared" si="0"/>
        <v>0</v>
      </c>
      <c r="P8" s="561">
        <f t="shared" si="1"/>
        <v>0</v>
      </c>
      <c r="Q8" s="561">
        <f t="shared" si="2"/>
        <v>0</v>
      </c>
      <c r="R8" s="561">
        <f t="shared" si="3"/>
        <v>0</v>
      </c>
      <c r="S8" s="561">
        <f t="shared" si="4"/>
        <v>0</v>
      </c>
      <c r="T8" s="561">
        <f t="shared" si="5"/>
        <v>0</v>
      </c>
      <c r="U8" s="561">
        <f t="shared" si="6"/>
        <v>0</v>
      </c>
      <c r="V8" s="561">
        <f t="shared" si="7"/>
        <v>0</v>
      </c>
      <c r="W8" s="562">
        <f t="shared" si="8"/>
        <v>0</v>
      </c>
      <c r="X8" s="86"/>
      <c r="Y8" s="87"/>
      <c r="Z8" s="87"/>
      <c r="AA8" s="87"/>
      <c r="AB8" s="87"/>
      <c r="AC8" s="87"/>
      <c r="AD8" s="87"/>
      <c r="AE8" s="87"/>
      <c r="AF8" s="87"/>
      <c r="AG8" s="194"/>
      <c r="AH8" s="88">
        <f t="shared" ref="AH8:AH71" si="22">IFERROR(IF($AJ$4="N",SUM(AB8:AF8)/5,SUM(AC8:AG8)/5),"")</f>
        <v>0</v>
      </c>
      <c r="AI8" s="89" t="str" cm="1">
        <f t="array" aca="1" ref="AI8" ca="1">IFERROR(IF($AJ$4="N",SSUM(AD8:AF8)/3,SUM(AE8:AG8)/3),"")</f>
        <v/>
      </c>
      <c r="AJ8" s="90">
        <f t="shared" ref="AJ8:AJ71" si="23">IFERROR(IF($AJ$4="N",AF8,AG8),"")</f>
        <v>0</v>
      </c>
      <c r="AK8" s="91" t="str">
        <f t="shared" si="9"/>
        <v/>
      </c>
      <c r="AL8" s="92" t="str">
        <f t="shared" si="10"/>
        <v/>
      </c>
      <c r="AM8" s="92" t="str">
        <f t="shared" si="11"/>
        <v/>
      </c>
      <c r="AN8" s="92" t="str">
        <f t="shared" si="12"/>
        <v/>
      </c>
      <c r="AO8" s="92" t="str">
        <f t="shared" si="13"/>
        <v/>
      </c>
      <c r="AP8" s="92" t="str">
        <f t="shared" si="14"/>
        <v/>
      </c>
      <c r="AQ8" s="92" t="str">
        <f t="shared" si="15"/>
        <v/>
      </c>
      <c r="AR8" s="92" t="str">
        <f t="shared" si="16"/>
        <v/>
      </c>
      <c r="AS8" s="92" t="str">
        <f t="shared" si="17"/>
        <v/>
      </c>
      <c r="AT8" s="217" t="str">
        <f t="shared" si="18"/>
        <v/>
      </c>
      <c r="AU8" s="93" t="str">
        <f t="shared" ref="AU8:AU71" si="24">IFERROR(IF($AW$3="N",
IF($AW$4="N",SUM(H8:L8)/SUM(AB8:AF8),SUM(I8:M8)/SUM(AC8:AG8)),
IF($AW$4="N",SUM(R8:V8)/SUM(AB8:AF8),SUM(S8:W8)/SUM(AC8:AG8))),"")</f>
        <v/>
      </c>
      <c r="AV8" s="94" t="str">
        <f t="shared" ref="AV8:AV71" si="25">IFERROR(IF($AW$3="N",
IF($AW$4="N",SUM(J8:L8)/SUM(AD8:AF8),SUM(K8:M8)/SUM(AE8:AG8)),
IF($AW$4="N",SUM(T8:V8)/SUM(AD8:AF8),SUM(U8:W8)/SUM(AE8:AG8))),"")</f>
        <v/>
      </c>
      <c r="AW8" s="95" t="str">
        <f t="shared" ref="AW8:AW71" si="26">IFERROR(IF($AW$3="N",
IF($AW$4="N",L8/AF8,M8/AG8),
IF($AW$4="N",V8/AF8,W8/AG8)),"")</f>
        <v/>
      </c>
      <c r="AX8" s="248" t="s">
        <v>422</v>
      </c>
      <c r="AY8" s="229" t="s">
        <v>433</v>
      </c>
      <c r="AZ8" s="249">
        <v>0</v>
      </c>
      <c r="BA8" s="267">
        <f t="shared" ref="BA8:BA71" si="27">IF(BA$6=$AX8,1,0
)</f>
        <v>0</v>
      </c>
      <c r="BB8" s="268">
        <f t="shared" si="19"/>
        <v>0</v>
      </c>
      <c r="BC8" s="268">
        <f t="shared" si="19"/>
        <v>0</v>
      </c>
      <c r="BD8" s="268">
        <f t="shared" si="19"/>
        <v>1</v>
      </c>
      <c r="BE8" s="268">
        <f t="shared" si="19"/>
        <v>2</v>
      </c>
      <c r="BF8" s="268">
        <f t="shared" si="19"/>
        <v>3</v>
      </c>
      <c r="BG8" s="268">
        <f t="shared" si="19"/>
        <v>4</v>
      </c>
      <c r="BH8" s="269">
        <f t="shared" si="19"/>
        <v>5</v>
      </c>
      <c r="BI8" s="256">
        <f>IF($AY8=Lookup!$A$2,$AZ8*ROUNDUP(BA8/10,0)+1,
IF($AY8=Lookup!$A$3,($AZ8+1)^AZ8,
IF($AY8=Lookup!$A$4,BA8*$AZ8+1,"Error")))</f>
        <v>1</v>
      </c>
      <c r="BJ8" s="229">
        <f>IF($AY8=Lookup!$A$2,$AZ8*ROUNDUP(BB8/10,0)+1,
IF($AY8=Lookup!$A$3,($AZ8+1)^BA8,
IF($AY8=Lookup!$A$4,BB8*$AZ8+1,"Error")))</f>
        <v>1</v>
      </c>
      <c r="BK8" s="229">
        <f>IF($AY8=Lookup!$A$2,$AZ8*ROUNDUP(BC8/10,0)+1,
IF($AY8=Lookup!$A$3,($AZ8+1)^BB8,
IF($AY8=Lookup!$A$4,BC8*$AZ8+1,"Error")))</f>
        <v>1</v>
      </c>
      <c r="BL8" s="229">
        <f>IF($AY8=Lookup!$A$2,$AZ8*ROUNDUP(BD8/10,0)+1,
IF($AY8=Lookup!$A$3,($AZ8+1)^BC8,
IF($AY8=Lookup!$A$4,BD8*$AZ8+1,"Error")))</f>
        <v>1</v>
      </c>
      <c r="BM8" s="229">
        <f>IF($AY8=Lookup!$A$2,$AZ8*ROUNDUP(BE8/10,0)+1,
IF($AY8=Lookup!$A$3,($AZ8+1)^BD8,
IF($AY8=Lookup!$A$4,BE8*$AZ8+1,"Error")))</f>
        <v>1</v>
      </c>
      <c r="BN8" s="229">
        <f>IF($AY8=Lookup!$A$2,$AZ8*ROUNDUP(BF8/10,0)+1,
IF($AY8=Lookup!$A$3,($AZ8+1)^BE8,
IF($AY8=Lookup!$A$4,BF8*$AZ8+1,"Error")))</f>
        <v>1</v>
      </c>
      <c r="BO8" s="229">
        <f>IF($AY8=Lookup!$A$2,$AZ8*ROUNDUP(BG8/10,0)+1,
IF($AY8=Lookup!$A$3,($AZ8+1)^BF8,
IF($AY8=Lookup!$A$4,BG8*$AZ8+1,"Error")))</f>
        <v>1</v>
      </c>
      <c r="BP8" s="249">
        <f>IF($AY8=Lookup!$A$2,$AZ8*ROUNDUP(BH8/10,0)+1,
IF($AY8=Lookup!$A$3,($AZ8+1)^BG8,
IF($AY8=Lookup!$A$4,BH8*$AZ8+1,"Error")))</f>
        <v>1</v>
      </c>
      <c r="BQ8" s="320"/>
      <c r="BR8" s="321"/>
      <c r="BS8" s="321"/>
      <c r="BT8" s="321"/>
      <c r="BU8" s="321"/>
      <c r="BV8" s="321"/>
      <c r="BW8" s="321"/>
      <c r="BX8" s="277"/>
      <c r="BY8" s="382" t="s">
        <v>292</v>
      </c>
      <c r="BZ8" s="383">
        <f>HLOOKUP($BY8,$AH$6:$AJ$132,ROWS(BZ$6:BZ8),0)</f>
        <v>0</v>
      </c>
      <c r="CA8" s="234">
        <f t="shared" ref="CA8:CD71" si="28">IFERROR(IF(BQ8&lt;&gt;"",BQ8,BI8*$BZ8),"")</f>
        <v>0</v>
      </c>
      <c r="CB8" s="96">
        <f t="shared" si="20"/>
        <v>0</v>
      </c>
      <c r="CC8" s="96">
        <f t="shared" si="20"/>
        <v>0</v>
      </c>
      <c r="CD8" s="96">
        <f t="shared" si="20"/>
        <v>0</v>
      </c>
      <c r="CE8" s="96">
        <f t="shared" si="20"/>
        <v>0</v>
      </c>
      <c r="CF8" s="96">
        <f t="shared" si="20"/>
        <v>0</v>
      </c>
      <c r="CG8" s="96">
        <f t="shared" si="20"/>
        <v>0</v>
      </c>
      <c r="CH8" s="286">
        <f t="shared" si="20"/>
        <v>0</v>
      </c>
      <c r="CI8" s="305" t="s">
        <v>293</v>
      </c>
      <c r="CJ8" s="315">
        <v>0.05</v>
      </c>
      <c r="CK8" s="306"/>
      <c r="CL8" s="307" t="str">
        <f>IF($CK8&lt;&gt;"",$CK8,HLOOKUP($CI8,$AU$6:$AW$132,ROWS(CL$6:CL8),0))</f>
        <v/>
      </c>
      <c r="CM8" s="97"/>
      <c r="CN8" s="97"/>
      <c r="CO8" s="97"/>
      <c r="CP8" s="97"/>
      <c r="CQ8" s="97"/>
      <c r="CR8" s="97"/>
      <c r="CS8" s="97"/>
      <c r="CT8" s="98"/>
      <c r="CU8" s="392"/>
      <c r="CV8" s="187"/>
    </row>
    <row r="9" spans="1:100" x14ac:dyDescent="0.25">
      <c r="A9" s="81" t="s">
        <v>27</v>
      </c>
      <c r="B9" s="82" t="s">
        <v>28</v>
      </c>
      <c r="C9" s="83" t="s">
        <v>29</v>
      </c>
      <c r="D9" s="84"/>
      <c r="E9" s="85"/>
      <c r="F9" s="85"/>
      <c r="G9" s="85"/>
      <c r="H9" s="85"/>
      <c r="I9" s="85"/>
      <c r="J9" s="85"/>
      <c r="K9" s="85"/>
      <c r="L9" s="85"/>
      <c r="M9" s="201"/>
      <c r="N9" s="560">
        <f t="shared" si="21"/>
        <v>0</v>
      </c>
      <c r="O9" s="561">
        <f t="shared" si="0"/>
        <v>0</v>
      </c>
      <c r="P9" s="561">
        <f t="shared" si="1"/>
        <v>0</v>
      </c>
      <c r="Q9" s="561">
        <f t="shared" si="2"/>
        <v>0</v>
      </c>
      <c r="R9" s="561">
        <f t="shared" si="3"/>
        <v>0</v>
      </c>
      <c r="S9" s="561">
        <f t="shared" si="4"/>
        <v>0</v>
      </c>
      <c r="T9" s="561">
        <f t="shared" si="5"/>
        <v>0</v>
      </c>
      <c r="U9" s="561">
        <f t="shared" si="6"/>
        <v>0</v>
      </c>
      <c r="V9" s="561">
        <f t="shared" si="7"/>
        <v>0</v>
      </c>
      <c r="W9" s="562">
        <f t="shared" si="8"/>
        <v>0</v>
      </c>
      <c r="X9" s="86"/>
      <c r="Y9" s="87"/>
      <c r="Z9" s="87"/>
      <c r="AA9" s="87"/>
      <c r="AB9" s="87"/>
      <c r="AC9" s="87"/>
      <c r="AD9" s="87"/>
      <c r="AE9" s="87"/>
      <c r="AF9" s="87"/>
      <c r="AG9" s="194"/>
      <c r="AH9" s="88">
        <f t="shared" si="22"/>
        <v>0</v>
      </c>
      <c r="AI9" s="89" t="str" cm="1">
        <f t="array" aca="1" ref="AI9" ca="1">IFERROR(IF($AJ$4="N",SSUM(AD9:AF9)/3,SUM(AE9:AG9)/3),"")</f>
        <v/>
      </c>
      <c r="AJ9" s="90">
        <f t="shared" si="23"/>
        <v>0</v>
      </c>
      <c r="AK9" s="91" t="str">
        <f t="shared" si="9"/>
        <v/>
      </c>
      <c r="AL9" s="92" t="str">
        <f t="shared" si="10"/>
        <v/>
      </c>
      <c r="AM9" s="92" t="str">
        <f t="shared" si="11"/>
        <v/>
      </c>
      <c r="AN9" s="92" t="str">
        <f t="shared" si="12"/>
        <v/>
      </c>
      <c r="AO9" s="92" t="str">
        <f t="shared" si="13"/>
        <v/>
      </c>
      <c r="AP9" s="92" t="str">
        <f t="shared" si="14"/>
        <v/>
      </c>
      <c r="AQ9" s="92" t="str">
        <f t="shared" si="15"/>
        <v/>
      </c>
      <c r="AR9" s="92" t="str">
        <f t="shared" si="16"/>
        <v/>
      </c>
      <c r="AS9" s="92" t="str">
        <f t="shared" si="17"/>
        <v/>
      </c>
      <c r="AT9" s="217" t="str">
        <f t="shared" si="18"/>
        <v/>
      </c>
      <c r="AU9" s="93" t="str">
        <f t="shared" si="24"/>
        <v/>
      </c>
      <c r="AV9" s="94" t="str">
        <f t="shared" si="25"/>
        <v/>
      </c>
      <c r="AW9" s="95" t="str">
        <f t="shared" si="26"/>
        <v/>
      </c>
      <c r="AX9" s="248" t="s">
        <v>422</v>
      </c>
      <c r="AY9" s="229" t="s">
        <v>435</v>
      </c>
      <c r="AZ9" s="249">
        <v>0</v>
      </c>
      <c r="BA9" s="267">
        <f t="shared" si="27"/>
        <v>0</v>
      </c>
      <c r="BB9" s="268">
        <f t="shared" si="19"/>
        <v>0</v>
      </c>
      <c r="BC9" s="268">
        <f t="shared" si="19"/>
        <v>0</v>
      </c>
      <c r="BD9" s="268">
        <f t="shared" si="19"/>
        <v>1</v>
      </c>
      <c r="BE9" s="268">
        <f t="shared" si="19"/>
        <v>2</v>
      </c>
      <c r="BF9" s="268">
        <f t="shared" si="19"/>
        <v>3</v>
      </c>
      <c r="BG9" s="268">
        <f t="shared" si="19"/>
        <v>4</v>
      </c>
      <c r="BH9" s="269">
        <f t="shared" si="19"/>
        <v>5</v>
      </c>
      <c r="BI9" s="256">
        <f>IF($AY9=Lookup!$A$2,$AZ9*ROUNDUP(BA9/10,0)+1,
IF($AY9=Lookup!$A$3,($AZ9+1)^AZ9,
IF($AY9=Lookup!$A$4,BA9*$AZ9+1,"Error")))</f>
        <v>1</v>
      </c>
      <c r="BJ9" s="229">
        <f>IF($AY9=Lookup!$A$2,$AZ9*ROUNDUP(BB9/10,0)+1,
IF($AY9=Lookup!$A$3,($AZ9+1)^BA9,
IF($AY9=Lookup!$A$4,BB9*$AZ9+1,"Error")))</f>
        <v>1</v>
      </c>
      <c r="BK9" s="229">
        <f>IF($AY9=Lookup!$A$2,$AZ9*ROUNDUP(BC9/10,0)+1,
IF($AY9=Lookup!$A$3,($AZ9+1)^BB9,
IF($AY9=Lookup!$A$4,BC9*$AZ9+1,"Error")))</f>
        <v>1</v>
      </c>
      <c r="BL9" s="229">
        <f>IF($AY9=Lookup!$A$2,$AZ9*ROUNDUP(BD9/10,0)+1,
IF($AY9=Lookup!$A$3,($AZ9+1)^BC9,
IF($AY9=Lookup!$A$4,BD9*$AZ9+1,"Error")))</f>
        <v>1</v>
      </c>
      <c r="BM9" s="229">
        <f>IF($AY9=Lookup!$A$2,$AZ9*ROUNDUP(BE9/10,0)+1,
IF($AY9=Lookup!$A$3,($AZ9+1)^BD9,
IF($AY9=Lookup!$A$4,BE9*$AZ9+1,"Error")))</f>
        <v>1</v>
      </c>
      <c r="BN9" s="229">
        <f>IF($AY9=Lookup!$A$2,$AZ9*ROUNDUP(BF9/10,0)+1,
IF($AY9=Lookup!$A$3,($AZ9+1)^BE9,
IF($AY9=Lookup!$A$4,BF9*$AZ9+1,"Error")))</f>
        <v>1</v>
      </c>
      <c r="BO9" s="229">
        <f>IF($AY9=Lookup!$A$2,$AZ9*ROUNDUP(BG9/10,0)+1,
IF($AY9=Lookup!$A$3,($AZ9+1)^BF9,
IF($AY9=Lookup!$A$4,BG9*$AZ9+1,"Error")))</f>
        <v>1</v>
      </c>
      <c r="BP9" s="249">
        <f>IF($AY9=Lookup!$A$2,$AZ9*ROUNDUP(BH9/10,0)+1,
IF($AY9=Lookup!$A$3,($AZ9+1)^BG9,
IF($AY9=Lookup!$A$4,BH9*$AZ9+1,"Error")))</f>
        <v>1</v>
      </c>
      <c r="BQ9" s="320"/>
      <c r="BR9" s="321"/>
      <c r="BS9" s="321"/>
      <c r="BT9" s="321"/>
      <c r="BU9" s="321"/>
      <c r="BV9" s="321"/>
      <c r="BW9" s="321"/>
      <c r="BX9" s="277"/>
      <c r="BY9" s="382" t="s">
        <v>292</v>
      </c>
      <c r="BZ9" s="383">
        <f>HLOOKUP($BY9,$AH$6:$AJ$132,ROWS(BZ$6:BZ9),0)</f>
        <v>0</v>
      </c>
      <c r="CA9" s="234">
        <f t="shared" si="28"/>
        <v>0</v>
      </c>
      <c r="CB9" s="96">
        <f t="shared" si="20"/>
        <v>0</v>
      </c>
      <c r="CC9" s="96">
        <f t="shared" si="20"/>
        <v>0</v>
      </c>
      <c r="CD9" s="96">
        <f t="shared" si="20"/>
        <v>0</v>
      </c>
      <c r="CE9" s="96">
        <f t="shared" si="20"/>
        <v>0</v>
      </c>
      <c r="CF9" s="96">
        <f t="shared" si="20"/>
        <v>0</v>
      </c>
      <c r="CG9" s="96">
        <f t="shared" si="20"/>
        <v>0</v>
      </c>
      <c r="CH9" s="286">
        <f t="shared" si="20"/>
        <v>0</v>
      </c>
      <c r="CI9" s="305" t="s">
        <v>293</v>
      </c>
      <c r="CJ9" s="315">
        <v>0.05</v>
      </c>
      <c r="CK9" s="306"/>
      <c r="CL9" s="307" t="str">
        <f>IF($CK9&lt;&gt;"",$CK9,HLOOKUP($CI9,$AU$6:$AW$132,ROWS(CL$6:CL9),0))</f>
        <v/>
      </c>
      <c r="CM9" s="97"/>
      <c r="CN9" s="97"/>
      <c r="CO9" s="97"/>
      <c r="CP9" s="97"/>
      <c r="CQ9" s="97"/>
      <c r="CR9" s="97"/>
      <c r="CS9" s="97"/>
      <c r="CT9" s="98"/>
      <c r="CU9" s="392"/>
    </row>
    <row r="10" spans="1:100" x14ac:dyDescent="0.25">
      <c r="A10" s="81" t="s">
        <v>27</v>
      </c>
      <c r="B10" s="82" t="s">
        <v>30</v>
      </c>
      <c r="C10" s="83" t="s">
        <v>298</v>
      </c>
      <c r="D10" s="84"/>
      <c r="E10" s="85"/>
      <c r="F10" s="85"/>
      <c r="G10" s="85"/>
      <c r="H10" s="85"/>
      <c r="I10" s="85"/>
      <c r="J10" s="85"/>
      <c r="K10" s="85"/>
      <c r="L10" s="85"/>
      <c r="M10" s="201"/>
      <c r="N10" s="560">
        <f t="shared" si="21"/>
        <v>0</v>
      </c>
      <c r="O10" s="561">
        <f t="shared" si="0"/>
        <v>0</v>
      </c>
      <c r="P10" s="561">
        <f t="shared" si="1"/>
        <v>0</v>
      </c>
      <c r="Q10" s="561">
        <f t="shared" si="2"/>
        <v>0</v>
      </c>
      <c r="R10" s="561">
        <f t="shared" si="3"/>
        <v>0</v>
      </c>
      <c r="S10" s="561">
        <f t="shared" si="4"/>
        <v>0</v>
      </c>
      <c r="T10" s="561">
        <f t="shared" si="5"/>
        <v>0</v>
      </c>
      <c r="U10" s="561">
        <f t="shared" si="6"/>
        <v>0</v>
      </c>
      <c r="V10" s="561">
        <f t="shared" si="7"/>
        <v>0</v>
      </c>
      <c r="W10" s="562">
        <f t="shared" si="8"/>
        <v>0</v>
      </c>
      <c r="X10" s="86"/>
      <c r="Y10" s="87"/>
      <c r="Z10" s="87"/>
      <c r="AA10" s="87"/>
      <c r="AB10" s="87"/>
      <c r="AC10" s="87"/>
      <c r="AD10" s="87"/>
      <c r="AE10" s="87"/>
      <c r="AF10" s="87"/>
      <c r="AG10" s="194"/>
      <c r="AH10" s="88">
        <f t="shared" si="22"/>
        <v>0</v>
      </c>
      <c r="AI10" s="89" t="str" cm="1">
        <f t="array" aca="1" ref="AI10" ca="1">IFERROR(IF($AJ$4="N",SSUM(AD10:AF10)/3,SUM(AE10:AG10)/3),"")</f>
        <v/>
      </c>
      <c r="AJ10" s="90">
        <f t="shared" si="23"/>
        <v>0</v>
      </c>
      <c r="AK10" s="91" t="str">
        <f t="shared" si="9"/>
        <v/>
      </c>
      <c r="AL10" s="92" t="str">
        <f t="shared" si="10"/>
        <v/>
      </c>
      <c r="AM10" s="92" t="str">
        <f t="shared" si="11"/>
        <v/>
      </c>
      <c r="AN10" s="92" t="str">
        <f t="shared" si="12"/>
        <v/>
      </c>
      <c r="AO10" s="92" t="str">
        <f t="shared" si="13"/>
        <v/>
      </c>
      <c r="AP10" s="92" t="str">
        <f t="shared" si="14"/>
        <v/>
      </c>
      <c r="AQ10" s="92" t="str">
        <f t="shared" si="15"/>
        <v/>
      </c>
      <c r="AR10" s="92" t="str">
        <f t="shared" si="16"/>
        <v/>
      </c>
      <c r="AS10" s="92" t="str">
        <f t="shared" si="17"/>
        <v/>
      </c>
      <c r="AT10" s="217" t="str">
        <f t="shared" si="18"/>
        <v/>
      </c>
      <c r="AU10" s="93" t="str">
        <f t="shared" si="24"/>
        <v/>
      </c>
      <c r="AV10" s="94" t="str">
        <f t="shared" si="25"/>
        <v/>
      </c>
      <c r="AW10" s="95" t="str">
        <f t="shared" si="26"/>
        <v/>
      </c>
      <c r="AX10" s="248" t="s">
        <v>422</v>
      </c>
      <c r="AY10" s="229" t="s">
        <v>433</v>
      </c>
      <c r="AZ10" s="249">
        <v>0</v>
      </c>
      <c r="BA10" s="267">
        <f t="shared" si="27"/>
        <v>0</v>
      </c>
      <c r="BB10" s="268">
        <f t="shared" si="19"/>
        <v>0</v>
      </c>
      <c r="BC10" s="268">
        <f t="shared" si="19"/>
        <v>0</v>
      </c>
      <c r="BD10" s="268">
        <f t="shared" si="19"/>
        <v>1</v>
      </c>
      <c r="BE10" s="268">
        <f t="shared" si="19"/>
        <v>2</v>
      </c>
      <c r="BF10" s="268">
        <f t="shared" si="19"/>
        <v>3</v>
      </c>
      <c r="BG10" s="268">
        <f t="shared" si="19"/>
        <v>4</v>
      </c>
      <c r="BH10" s="269">
        <f t="shared" si="19"/>
        <v>5</v>
      </c>
      <c r="BI10" s="256">
        <f>IF($AY10=Lookup!$A$2,$AZ10*ROUNDUP(BA10/10,0)+1,
IF($AY10=Lookup!$A$3,($AZ10+1)^AZ10,
IF($AY10=Lookup!$A$4,BA10*$AZ10+1,"Error")))</f>
        <v>1</v>
      </c>
      <c r="BJ10" s="229">
        <f>IF($AY10=Lookup!$A$2,$AZ10*ROUNDUP(BB10/10,0)+1,
IF($AY10=Lookup!$A$3,($AZ10+1)^BA10,
IF($AY10=Lookup!$A$4,BB10*$AZ10+1,"Error")))</f>
        <v>1</v>
      </c>
      <c r="BK10" s="229">
        <f>IF($AY10=Lookup!$A$2,$AZ10*ROUNDUP(BC10/10,0)+1,
IF($AY10=Lookup!$A$3,($AZ10+1)^BB10,
IF($AY10=Lookup!$A$4,BC10*$AZ10+1,"Error")))</f>
        <v>1</v>
      </c>
      <c r="BL10" s="229">
        <f>IF($AY10=Lookup!$A$2,$AZ10*ROUNDUP(BD10/10,0)+1,
IF($AY10=Lookup!$A$3,($AZ10+1)^BC10,
IF($AY10=Lookup!$A$4,BD10*$AZ10+1,"Error")))</f>
        <v>1</v>
      </c>
      <c r="BM10" s="229">
        <f>IF($AY10=Lookup!$A$2,$AZ10*ROUNDUP(BE10/10,0)+1,
IF($AY10=Lookup!$A$3,($AZ10+1)^BD10,
IF($AY10=Lookup!$A$4,BE10*$AZ10+1,"Error")))</f>
        <v>1</v>
      </c>
      <c r="BN10" s="229">
        <f>IF($AY10=Lookup!$A$2,$AZ10*ROUNDUP(BF10/10,0)+1,
IF($AY10=Lookup!$A$3,($AZ10+1)^BE10,
IF($AY10=Lookup!$A$4,BF10*$AZ10+1,"Error")))</f>
        <v>1</v>
      </c>
      <c r="BO10" s="229">
        <f>IF($AY10=Lookup!$A$2,$AZ10*ROUNDUP(BG10/10,0)+1,
IF($AY10=Lookup!$A$3,($AZ10+1)^BF10,
IF($AY10=Lookup!$A$4,BG10*$AZ10+1,"Error")))</f>
        <v>1</v>
      </c>
      <c r="BP10" s="249">
        <f>IF($AY10=Lookup!$A$2,$AZ10*ROUNDUP(BH10/10,0)+1,
IF($AY10=Lookup!$A$3,($AZ10+1)^BG10,
IF($AY10=Lookup!$A$4,BH10*$AZ10+1,"Error")))</f>
        <v>1</v>
      </c>
      <c r="BQ10" s="320"/>
      <c r="BR10" s="321"/>
      <c r="BS10" s="321"/>
      <c r="BT10" s="321"/>
      <c r="BU10" s="321"/>
      <c r="BV10" s="321"/>
      <c r="BW10" s="321"/>
      <c r="BX10" s="277"/>
      <c r="BY10" s="382" t="s">
        <v>292</v>
      </c>
      <c r="BZ10" s="383">
        <f>HLOOKUP($BY10,$AH$6:$AJ$132,ROWS(BZ$6:BZ10),0)</f>
        <v>0</v>
      </c>
      <c r="CA10" s="234">
        <f t="shared" si="28"/>
        <v>0</v>
      </c>
      <c r="CB10" s="96">
        <f t="shared" si="20"/>
        <v>0</v>
      </c>
      <c r="CC10" s="96">
        <f t="shared" si="20"/>
        <v>0</v>
      </c>
      <c r="CD10" s="96">
        <f t="shared" si="20"/>
        <v>0</v>
      </c>
      <c r="CE10" s="96">
        <f t="shared" si="20"/>
        <v>0</v>
      </c>
      <c r="CF10" s="96">
        <f t="shared" si="20"/>
        <v>0</v>
      </c>
      <c r="CG10" s="96">
        <f t="shared" si="20"/>
        <v>0</v>
      </c>
      <c r="CH10" s="286">
        <f t="shared" si="20"/>
        <v>0</v>
      </c>
      <c r="CI10" s="305" t="s">
        <v>293</v>
      </c>
      <c r="CJ10" s="315">
        <v>0.05</v>
      </c>
      <c r="CK10" s="306"/>
      <c r="CL10" s="307" t="str">
        <f>IF($CK10&lt;&gt;"",$CK10,HLOOKUP($CI10,$AU$6:$AW$132,ROWS(CL$6:CL10),0))</f>
        <v/>
      </c>
      <c r="CM10" s="97"/>
      <c r="CN10" s="97"/>
      <c r="CO10" s="97"/>
      <c r="CP10" s="97"/>
      <c r="CQ10" s="97"/>
      <c r="CR10" s="97"/>
      <c r="CS10" s="97"/>
      <c r="CT10" s="98"/>
      <c r="CU10" s="392"/>
    </row>
    <row r="11" spans="1:100" x14ac:dyDescent="0.25">
      <c r="A11" s="81" t="s">
        <v>27</v>
      </c>
      <c r="B11" s="82" t="s">
        <v>32</v>
      </c>
      <c r="C11" s="83" t="s">
        <v>33</v>
      </c>
      <c r="D11" s="84"/>
      <c r="E11" s="85"/>
      <c r="F11" s="85"/>
      <c r="G11" s="85"/>
      <c r="H11" s="85"/>
      <c r="I11" s="85"/>
      <c r="J11" s="85"/>
      <c r="K11" s="85"/>
      <c r="L11" s="85"/>
      <c r="M11" s="201"/>
      <c r="N11" s="560">
        <f t="shared" si="21"/>
        <v>0</v>
      </c>
      <c r="O11" s="561">
        <f t="shared" si="0"/>
        <v>0</v>
      </c>
      <c r="P11" s="561">
        <f t="shared" si="1"/>
        <v>0</v>
      </c>
      <c r="Q11" s="561">
        <f t="shared" si="2"/>
        <v>0</v>
      </c>
      <c r="R11" s="561">
        <f t="shared" si="3"/>
        <v>0</v>
      </c>
      <c r="S11" s="561">
        <f t="shared" si="4"/>
        <v>0</v>
      </c>
      <c r="T11" s="561">
        <f t="shared" si="5"/>
        <v>0</v>
      </c>
      <c r="U11" s="561">
        <f t="shared" si="6"/>
        <v>0</v>
      </c>
      <c r="V11" s="561">
        <f t="shared" si="7"/>
        <v>0</v>
      </c>
      <c r="W11" s="562">
        <f t="shared" si="8"/>
        <v>0</v>
      </c>
      <c r="X11" s="86"/>
      <c r="Y11" s="87"/>
      <c r="Z11" s="87"/>
      <c r="AA11" s="87"/>
      <c r="AB11" s="87"/>
      <c r="AC11" s="87"/>
      <c r="AD11" s="87"/>
      <c r="AE11" s="87"/>
      <c r="AF11" s="87"/>
      <c r="AG11" s="194"/>
      <c r="AH11" s="88">
        <f t="shared" si="22"/>
        <v>0</v>
      </c>
      <c r="AI11" s="89" t="str" cm="1">
        <f t="array" aca="1" ref="AI11" ca="1">IFERROR(IF($AJ$4="N",SSUM(AD11:AF11)/3,SUM(AE11:AG11)/3),"")</f>
        <v/>
      </c>
      <c r="AJ11" s="90">
        <f t="shared" si="23"/>
        <v>0</v>
      </c>
      <c r="AK11" s="91" t="str">
        <f t="shared" si="9"/>
        <v/>
      </c>
      <c r="AL11" s="92" t="str">
        <f t="shared" si="10"/>
        <v/>
      </c>
      <c r="AM11" s="92" t="str">
        <f t="shared" si="11"/>
        <v/>
      </c>
      <c r="AN11" s="92" t="str">
        <f t="shared" si="12"/>
        <v/>
      </c>
      <c r="AO11" s="92" t="str">
        <f t="shared" si="13"/>
        <v/>
      </c>
      <c r="AP11" s="92" t="str">
        <f t="shared" si="14"/>
        <v/>
      </c>
      <c r="AQ11" s="92" t="str">
        <f t="shared" si="15"/>
        <v/>
      </c>
      <c r="AR11" s="92" t="str">
        <f t="shared" si="16"/>
        <v/>
      </c>
      <c r="AS11" s="92" t="str">
        <f t="shared" si="17"/>
        <v/>
      </c>
      <c r="AT11" s="217" t="str">
        <f t="shared" si="18"/>
        <v/>
      </c>
      <c r="AU11" s="93" t="str">
        <f t="shared" si="24"/>
        <v/>
      </c>
      <c r="AV11" s="94" t="str">
        <f t="shared" si="25"/>
        <v/>
      </c>
      <c r="AW11" s="95" t="str">
        <f t="shared" si="26"/>
        <v/>
      </c>
      <c r="AX11" s="248" t="s">
        <v>422</v>
      </c>
      <c r="AY11" s="229" t="s">
        <v>433</v>
      </c>
      <c r="AZ11" s="249">
        <v>0</v>
      </c>
      <c r="BA11" s="267">
        <f t="shared" si="27"/>
        <v>0</v>
      </c>
      <c r="BB11" s="268">
        <f t="shared" si="19"/>
        <v>0</v>
      </c>
      <c r="BC11" s="268">
        <f t="shared" si="19"/>
        <v>0</v>
      </c>
      <c r="BD11" s="268">
        <f t="shared" si="19"/>
        <v>1</v>
      </c>
      <c r="BE11" s="268">
        <f t="shared" si="19"/>
        <v>2</v>
      </c>
      <c r="BF11" s="268">
        <f t="shared" si="19"/>
        <v>3</v>
      </c>
      <c r="BG11" s="268">
        <f t="shared" si="19"/>
        <v>4</v>
      </c>
      <c r="BH11" s="269">
        <f t="shared" si="19"/>
        <v>5</v>
      </c>
      <c r="BI11" s="256">
        <f>IF($AY11=Lookup!$A$2,$AZ11*ROUNDUP(BA11/10,0)+1,
IF($AY11=Lookup!$A$3,($AZ11+1)^AZ11,
IF($AY11=Lookup!$A$4,BA11*$AZ11+1,"Error")))</f>
        <v>1</v>
      </c>
      <c r="BJ11" s="229">
        <f>IF($AY11=Lookup!$A$2,$AZ11*ROUNDUP(BB11/10,0)+1,
IF($AY11=Lookup!$A$3,($AZ11+1)^BA11,
IF($AY11=Lookup!$A$4,BB11*$AZ11+1,"Error")))</f>
        <v>1</v>
      </c>
      <c r="BK11" s="229">
        <f>IF($AY11=Lookup!$A$2,$AZ11*ROUNDUP(BC11/10,0)+1,
IF($AY11=Lookup!$A$3,($AZ11+1)^BB11,
IF($AY11=Lookup!$A$4,BC11*$AZ11+1,"Error")))</f>
        <v>1</v>
      </c>
      <c r="BL11" s="229">
        <f>IF($AY11=Lookup!$A$2,$AZ11*ROUNDUP(BD11/10,0)+1,
IF($AY11=Lookup!$A$3,($AZ11+1)^BC11,
IF($AY11=Lookup!$A$4,BD11*$AZ11+1,"Error")))</f>
        <v>1</v>
      </c>
      <c r="BM11" s="229">
        <f>IF($AY11=Lookup!$A$2,$AZ11*ROUNDUP(BE11/10,0)+1,
IF($AY11=Lookup!$A$3,($AZ11+1)^BD11,
IF($AY11=Lookup!$A$4,BE11*$AZ11+1,"Error")))</f>
        <v>1</v>
      </c>
      <c r="BN11" s="229">
        <f>IF($AY11=Lookup!$A$2,$AZ11*ROUNDUP(BF11/10,0)+1,
IF($AY11=Lookup!$A$3,($AZ11+1)^BE11,
IF($AY11=Lookup!$A$4,BF11*$AZ11+1,"Error")))</f>
        <v>1</v>
      </c>
      <c r="BO11" s="229">
        <f>IF($AY11=Lookup!$A$2,$AZ11*ROUNDUP(BG11/10,0)+1,
IF($AY11=Lookup!$A$3,($AZ11+1)^BF11,
IF($AY11=Lookup!$A$4,BG11*$AZ11+1,"Error")))</f>
        <v>1</v>
      </c>
      <c r="BP11" s="249">
        <f>IF($AY11=Lookup!$A$2,$AZ11*ROUNDUP(BH11/10,0)+1,
IF($AY11=Lookup!$A$3,($AZ11+1)^BG11,
IF($AY11=Lookup!$A$4,BH11*$AZ11+1,"Error")))</f>
        <v>1</v>
      </c>
      <c r="BQ11" s="320"/>
      <c r="BR11" s="321"/>
      <c r="BS11" s="321"/>
      <c r="BT11" s="321"/>
      <c r="BU11" s="321"/>
      <c r="BV11" s="321"/>
      <c r="BW11" s="321"/>
      <c r="BX11" s="277"/>
      <c r="BY11" s="382" t="s">
        <v>292</v>
      </c>
      <c r="BZ11" s="383">
        <f>HLOOKUP($BY11,$AH$6:$AJ$132,ROWS(BZ$6:BZ11),0)</f>
        <v>0</v>
      </c>
      <c r="CA11" s="234">
        <f t="shared" si="28"/>
        <v>0</v>
      </c>
      <c r="CB11" s="96">
        <f t="shared" si="20"/>
        <v>0</v>
      </c>
      <c r="CC11" s="96">
        <f t="shared" si="20"/>
        <v>0</v>
      </c>
      <c r="CD11" s="96">
        <f t="shared" si="20"/>
        <v>0</v>
      </c>
      <c r="CE11" s="96">
        <f t="shared" si="20"/>
        <v>0</v>
      </c>
      <c r="CF11" s="96">
        <f t="shared" si="20"/>
        <v>0</v>
      </c>
      <c r="CG11" s="96">
        <f t="shared" si="20"/>
        <v>0</v>
      </c>
      <c r="CH11" s="286">
        <f t="shared" si="20"/>
        <v>0</v>
      </c>
      <c r="CI11" s="305" t="s">
        <v>293</v>
      </c>
      <c r="CJ11" s="315">
        <v>0.05</v>
      </c>
      <c r="CK11" s="306"/>
      <c r="CL11" s="307" t="str">
        <f>IF($CK11&lt;&gt;"",$CK11,HLOOKUP($CI11,$AU$6:$AW$132,ROWS(CL$6:CL11),0))</f>
        <v/>
      </c>
      <c r="CM11" s="97"/>
      <c r="CN11" s="97"/>
      <c r="CO11" s="97"/>
      <c r="CP11" s="97"/>
      <c r="CQ11" s="97"/>
      <c r="CR11" s="97"/>
      <c r="CS11" s="97"/>
      <c r="CT11" s="98"/>
      <c r="CU11" s="392"/>
    </row>
    <row r="12" spans="1:100" x14ac:dyDescent="0.25">
      <c r="A12" s="81" t="s">
        <v>27</v>
      </c>
      <c r="B12" s="82" t="s">
        <v>34</v>
      </c>
      <c r="C12" s="83" t="s">
        <v>35</v>
      </c>
      <c r="D12" s="84"/>
      <c r="E12" s="85"/>
      <c r="F12" s="85"/>
      <c r="G12" s="85"/>
      <c r="H12" s="85"/>
      <c r="I12" s="85"/>
      <c r="J12" s="85"/>
      <c r="K12" s="85"/>
      <c r="L12" s="85"/>
      <c r="M12" s="201"/>
      <c r="N12" s="560">
        <f t="shared" si="21"/>
        <v>0</v>
      </c>
      <c r="O12" s="561">
        <f t="shared" si="0"/>
        <v>0</v>
      </c>
      <c r="P12" s="561">
        <f t="shared" si="1"/>
        <v>0</v>
      </c>
      <c r="Q12" s="561">
        <f t="shared" si="2"/>
        <v>0</v>
      </c>
      <c r="R12" s="561">
        <f t="shared" si="3"/>
        <v>0</v>
      </c>
      <c r="S12" s="561">
        <f t="shared" si="4"/>
        <v>0</v>
      </c>
      <c r="T12" s="561">
        <f t="shared" si="5"/>
        <v>0</v>
      </c>
      <c r="U12" s="561">
        <f t="shared" si="6"/>
        <v>0</v>
      </c>
      <c r="V12" s="561">
        <f t="shared" si="7"/>
        <v>0</v>
      </c>
      <c r="W12" s="562">
        <f t="shared" si="8"/>
        <v>0</v>
      </c>
      <c r="X12" s="86"/>
      <c r="Y12" s="87"/>
      <c r="Z12" s="87"/>
      <c r="AA12" s="87"/>
      <c r="AB12" s="87"/>
      <c r="AC12" s="87"/>
      <c r="AD12" s="87"/>
      <c r="AE12" s="87"/>
      <c r="AF12" s="87"/>
      <c r="AG12" s="194"/>
      <c r="AH12" s="88">
        <f t="shared" si="22"/>
        <v>0</v>
      </c>
      <c r="AI12" s="89" t="str" cm="1">
        <f t="array" aca="1" ref="AI12" ca="1">IFERROR(IF($AJ$4="N",SSUM(AD12:AF12)/3,SUM(AE12:AG12)/3),"")</f>
        <v/>
      </c>
      <c r="AJ12" s="90">
        <f t="shared" si="23"/>
        <v>0</v>
      </c>
      <c r="AK12" s="91" t="str">
        <f t="shared" si="9"/>
        <v/>
      </c>
      <c r="AL12" s="92" t="str">
        <f t="shared" si="10"/>
        <v/>
      </c>
      <c r="AM12" s="92" t="str">
        <f t="shared" si="11"/>
        <v/>
      </c>
      <c r="AN12" s="92" t="str">
        <f t="shared" si="12"/>
        <v/>
      </c>
      <c r="AO12" s="92" t="str">
        <f t="shared" si="13"/>
        <v/>
      </c>
      <c r="AP12" s="92" t="str">
        <f t="shared" si="14"/>
        <v/>
      </c>
      <c r="AQ12" s="92" t="str">
        <f t="shared" si="15"/>
        <v/>
      </c>
      <c r="AR12" s="92" t="str">
        <f t="shared" si="16"/>
        <v/>
      </c>
      <c r="AS12" s="92" t="str">
        <f t="shared" si="17"/>
        <v/>
      </c>
      <c r="AT12" s="217" t="str">
        <f t="shared" si="18"/>
        <v/>
      </c>
      <c r="AU12" s="93" t="str">
        <f t="shared" si="24"/>
        <v/>
      </c>
      <c r="AV12" s="94" t="str">
        <f t="shared" si="25"/>
        <v/>
      </c>
      <c r="AW12" s="95" t="str">
        <f t="shared" si="26"/>
        <v/>
      </c>
      <c r="AX12" s="248" t="s">
        <v>422</v>
      </c>
      <c r="AY12" s="229" t="s">
        <v>433</v>
      </c>
      <c r="AZ12" s="249">
        <v>0</v>
      </c>
      <c r="BA12" s="267">
        <f t="shared" si="27"/>
        <v>0</v>
      </c>
      <c r="BB12" s="268">
        <f t="shared" si="19"/>
        <v>0</v>
      </c>
      <c r="BC12" s="268">
        <f t="shared" si="19"/>
        <v>0</v>
      </c>
      <c r="BD12" s="268">
        <f t="shared" si="19"/>
        <v>1</v>
      </c>
      <c r="BE12" s="268">
        <f t="shared" si="19"/>
        <v>2</v>
      </c>
      <c r="BF12" s="268">
        <f t="shared" si="19"/>
        <v>3</v>
      </c>
      <c r="BG12" s="268">
        <f t="shared" si="19"/>
        <v>4</v>
      </c>
      <c r="BH12" s="269">
        <f t="shared" si="19"/>
        <v>5</v>
      </c>
      <c r="BI12" s="256">
        <f>IF($AY12=Lookup!$A$2,$AZ12*ROUNDUP(BA12/10,0)+1,
IF($AY12=Lookup!$A$3,($AZ12+1)^AZ12,
IF($AY12=Lookup!$A$4,BA12*$AZ12+1,"Error")))</f>
        <v>1</v>
      </c>
      <c r="BJ12" s="229">
        <f>IF($AY12=Lookup!$A$2,$AZ12*ROUNDUP(BB12/10,0)+1,
IF($AY12=Lookup!$A$3,($AZ12+1)^BA12,
IF($AY12=Lookup!$A$4,BB12*$AZ12+1,"Error")))</f>
        <v>1</v>
      </c>
      <c r="BK12" s="229">
        <f>IF($AY12=Lookup!$A$2,$AZ12*ROUNDUP(BC12/10,0)+1,
IF($AY12=Lookup!$A$3,($AZ12+1)^BB12,
IF($AY12=Lookup!$A$4,BC12*$AZ12+1,"Error")))</f>
        <v>1</v>
      </c>
      <c r="BL12" s="229">
        <f>IF($AY12=Lookup!$A$2,$AZ12*ROUNDUP(BD12/10,0)+1,
IF($AY12=Lookup!$A$3,($AZ12+1)^BC12,
IF($AY12=Lookup!$A$4,BD12*$AZ12+1,"Error")))</f>
        <v>1</v>
      </c>
      <c r="BM12" s="229">
        <f>IF($AY12=Lookup!$A$2,$AZ12*ROUNDUP(BE12/10,0)+1,
IF($AY12=Lookup!$A$3,($AZ12+1)^BD12,
IF($AY12=Lookup!$A$4,BE12*$AZ12+1,"Error")))</f>
        <v>1</v>
      </c>
      <c r="BN12" s="229">
        <f>IF($AY12=Lookup!$A$2,$AZ12*ROUNDUP(BF12/10,0)+1,
IF($AY12=Lookup!$A$3,($AZ12+1)^BE12,
IF($AY12=Lookup!$A$4,BF12*$AZ12+1,"Error")))</f>
        <v>1</v>
      </c>
      <c r="BO12" s="229">
        <f>IF($AY12=Lookup!$A$2,$AZ12*ROUNDUP(BG12/10,0)+1,
IF($AY12=Lookup!$A$3,($AZ12+1)^BF12,
IF($AY12=Lookup!$A$4,BG12*$AZ12+1,"Error")))</f>
        <v>1</v>
      </c>
      <c r="BP12" s="249">
        <f>IF($AY12=Lookup!$A$2,$AZ12*ROUNDUP(BH12/10,0)+1,
IF($AY12=Lookup!$A$3,($AZ12+1)^BG12,
IF($AY12=Lookup!$A$4,BH12*$AZ12+1,"Error")))</f>
        <v>1</v>
      </c>
      <c r="BQ12" s="320"/>
      <c r="BR12" s="321"/>
      <c r="BS12" s="321"/>
      <c r="BT12" s="321"/>
      <c r="BU12" s="321"/>
      <c r="BV12" s="321"/>
      <c r="BW12" s="321"/>
      <c r="BX12" s="277"/>
      <c r="BY12" s="382" t="s">
        <v>292</v>
      </c>
      <c r="BZ12" s="383">
        <f>HLOOKUP($BY12,$AH$6:$AJ$132,ROWS(BZ$6:BZ12),0)</f>
        <v>0</v>
      </c>
      <c r="CA12" s="234">
        <f t="shared" si="28"/>
        <v>0</v>
      </c>
      <c r="CB12" s="96">
        <f t="shared" si="20"/>
        <v>0</v>
      </c>
      <c r="CC12" s="96">
        <f t="shared" si="20"/>
        <v>0</v>
      </c>
      <c r="CD12" s="96">
        <f t="shared" si="20"/>
        <v>0</v>
      </c>
      <c r="CE12" s="96">
        <f t="shared" si="20"/>
        <v>0</v>
      </c>
      <c r="CF12" s="96">
        <f t="shared" si="20"/>
        <v>0</v>
      </c>
      <c r="CG12" s="96">
        <f t="shared" si="20"/>
        <v>0</v>
      </c>
      <c r="CH12" s="286">
        <f t="shared" si="20"/>
        <v>0</v>
      </c>
      <c r="CI12" s="305" t="s">
        <v>293</v>
      </c>
      <c r="CJ12" s="315">
        <v>0.05</v>
      </c>
      <c r="CK12" s="306"/>
      <c r="CL12" s="307" t="str">
        <f>IF($CK12&lt;&gt;"",$CK12,HLOOKUP($CI12,$AU$6:$AW$132,ROWS(CL$6:CL12),0))</f>
        <v/>
      </c>
      <c r="CM12" s="97"/>
      <c r="CN12" s="97"/>
      <c r="CO12" s="97"/>
      <c r="CP12" s="97"/>
      <c r="CQ12" s="97"/>
      <c r="CR12" s="97"/>
      <c r="CS12" s="97"/>
      <c r="CT12" s="98"/>
      <c r="CU12" s="392"/>
    </row>
    <row r="13" spans="1:100" x14ac:dyDescent="0.25">
      <c r="A13" s="81" t="s">
        <v>27</v>
      </c>
      <c r="B13" s="82" t="s">
        <v>36</v>
      </c>
      <c r="C13" s="83" t="s">
        <v>37</v>
      </c>
      <c r="D13" s="84"/>
      <c r="E13" s="85"/>
      <c r="F13" s="85"/>
      <c r="G13" s="85"/>
      <c r="H13" s="85"/>
      <c r="I13" s="85"/>
      <c r="J13" s="85"/>
      <c r="K13" s="85"/>
      <c r="L13" s="85"/>
      <c r="M13" s="201"/>
      <c r="N13" s="560">
        <f t="shared" si="21"/>
        <v>0</v>
      </c>
      <c r="O13" s="561">
        <f t="shared" si="0"/>
        <v>0</v>
      </c>
      <c r="P13" s="561">
        <f t="shared" si="1"/>
        <v>0</v>
      </c>
      <c r="Q13" s="561">
        <f t="shared" si="2"/>
        <v>0</v>
      </c>
      <c r="R13" s="561">
        <f t="shared" si="3"/>
        <v>0</v>
      </c>
      <c r="S13" s="561">
        <f t="shared" si="4"/>
        <v>0</v>
      </c>
      <c r="T13" s="561">
        <f t="shared" si="5"/>
        <v>0</v>
      </c>
      <c r="U13" s="561">
        <f t="shared" si="6"/>
        <v>0</v>
      </c>
      <c r="V13" s="561">
        <f t="shared" si="7"/>
        <v>0</v>
      </c>
      <c r="W13" s="562">
        <f t="shared" si="8"/>
        <v>0</v>
      </c>
      <c r="X13" s="86"/>
      <c r="Y13" s="87"/>
      <c r="Z13" s="87"/>
      <c r="AA13" s="87"/>
      <c r="AB13" s="87"/>
      <c r="AC13" s="87"/>
      <c r="AD13" s="87"/>
      <c r="AE13" s="87"/>
      <c r="AF13" s="87"/>
      <c r="AG13" s="194"/>
      <c r="AH13" s="88">
        <f t="shared" si="22"/>
        <v>0</v>
      </c>
      <c r="AI13" s="89" t="str" cm="1">
        <f t="array" aca="1" ref="AI13" ca="1">IFERROR(IF($AJ$4="N",SSUM(AD13:AF13)/3,SUM(AE13:AG13)/3),"")</f>
        <v/>
      </c>
      <c r="AJ13" s="90">
        <f t="shared" si="23"/>
        <v>0</v>
      </c>
      <c r="AK13" s="91" t="str">
        <f t="shared" si="9"/>
        <v/>
      </c>
      <c r="AL13" s="92" t="str">
        <f t="shared" si="10"/>
        <v/>
      </c>
      <c r="AM13" s="92" t="str">
        <f t="shared" si="11"/>
        <v/>
      </c>
      <c r="AN13" s="92" t="str">
        <f t="shared" si="12"/>
        <v/>
      </c>
      <c r="AO13" s="92" t="str">
        <f t="shared" si="13"/>
        <v/>
      </c>
      <c r="AP13" s="92" t="str">
        <f t="shared" si="14"/>
        <v/>
      </c>
      <c r="AQ13" s="92" t="str">
        <f t="shared" si="15"/>
        <v/>
      </c>
      <c r="AR13" s="92" t="str">
        <f t="shared" si="16"/>
        <v/>
      </c>
      <c r="AS13" s="92" t="str">
        <f t="shared" si="17"/>
        <v/>
      </c>
      <c r="AT13" s="217" t="str">
        <f t="shared" si="18"/>
        <v/>
      </c>
      <c r="AU13" s="93" t="str">
        <f t="shared" si="24"/>
        <v/>
      </c>
      <c r="AV13" s="94" t="str">
        <f t="shared" si="25"/>
        <v/>
      </c>
      <c r="AW13" s="95" t="str">
        <f t="shared" si="26"/>
        <v/>
      </c>
      <c r="AX13" s="248" t="s">
        <v>422</v>
      </c>
      <c r="AY13" s="229" t="s">
        <v>433</v>
      </c>
      <c r="AZ13" s="249">
        <v>0</v>
      </c>
      <c r="BA13" s="267">
        <f t="shared" si="27"/>
        <v>0</v>
      </c>
      <c r="BB13" s="268">
        <f t="shared" si="19"/>
        <v>0</v>
      </c>
      <c r="BC13" s="268">
        <f t="shared" si="19"/>
        <v>0</v>
      </c>
      <c r="BD13" s="268">
        <f t="shared" si="19"/>
        <v>1</v>
      </c>
      <c r="BE13" s="268">
        <f t="shared" si="19"/>
        <v>2</v>
      </c>
      <c r="BF13" s="268">
        <f t="shared" si="19"/>
        <v>3</v>
      </c>
      <c r="BG13" s="268">
        <f t="shared" si="19"/>
        <v>4</v>
      </c>
      <c r="BH13" s="269">
        <f t="shared" si="19"/>
        <v>5</v>
      </c>
      <c r="BI13" s="256">
        <f>IF($AY13=Lookup!$A$2,$AZ13*ROUNDUP(BA13/10,0)+1,
IF($AY13=Lookup!$A$3,($AZ13+1)^AZ13,
IF($AY13=Lookup!$A$4,BA13*$AZ13+1,"Error")))</f>
        <v>1</v>
      </c>
      <c r="BJ13" s="229">
        <f>IF($AY13=Lookup!$A$2,$AZ13*ROUNDUP(BB13/10,0)+1,
IF($AY13=Lookup!$A$3,($AZ13+1)^BA13,
IF($AY13=Lookup!$A$4,BB13*$AZ13+1,"Error")))</f>
        <v>1</v>
      </c>
      <c r="BK13" s="229">
        <f>IF($AY13=Lookup!$A$2,$AZ13*ROUNDUP(BC13/10,0)+1,
IF($AY13=Lookup!$A$3,($AZ13+1)^BB13,
IF($AY13=Lookup!$A$4,BC13*$AZ13+1,"Error")))</f>
        <v>1</v>
      </c>
      <c r="BL13" s="229">
        <f>IF($AY13=Lookup!$A$2,$AZ13*ROUNDUP(BD13/10,0)+1,
IF($AY13=Lookup!$A$3,($AZ13+1)^BC13,
IF($AY13=Lookup!$A$4,BD13*$AZ13+1,"Error")))</f>
        <v>1</v>
      </c>
      <c r="BM13" s="229">
        <f>IF($AY13=Lookup!$A$2,$AZ13*ROUNDUP(BE13/10,0)+1,
IF($AY13=Lookup!$A$3,($AZ13+1)^BD13,
IF($AY13=Lookup!$A$4,BE13*$AZ13+1,"Error")))</f>
        <v>1</v>
      </c>
      <c r="BN13" s="229">
        <f>IF($AY13=Lookup!$A$2,$AZ13*ROUNDUP(BF13/10,0)+1,
IF($AY13=Lookup!$A$3,($AZ13+1)^BE13,
IF($AY13=Lookup!$A$4,BF13*$AZ13+1,"Error")))</f>
        <v>1</v>
      </c>
      <c r="BO13" s="229">
        <f>IF($AY13=Lookup!$A$2,$AZ13*ROUNDUP(BG13/10,0)+1,
IF($AY13=Lookup!$A$3,($AZ13+1)^BF13,
IF($AY13=Lookup!$A$4,BG13*$AZ13+1,"Error")))</f>
        <v>1</v>
      </c>
      <c r="BP13" s="249">
        <f>IF($AY13=Lookup!$A$2,$AZ13*ROUNDUP(BH13/10,0)+1,
IF($AY13=Lookup!$A$3,($AZ13+1)^BG13,
IF($AY13=Lookup!$A$4,BH13*$AZ13+1,"Error")))</f>
        <v>1</v>
      </c>
      <c r="BQ13" s="320"/>
      <c r="BR13" s="321"/>
      <c r="BS13" s="321"/>
      <c r="BT13" s="321"/>
      <c r="BU13" s="321"/>
      <c r="BV13" s="321"/>
      <c r="BW13" s="321"/>
      <c r="BX13" s="277"/>
      <c r="BY13" s="382" t="s">
        <v>292</v>
      </c>
      <c r="BZ13" s="383">
        <f>HLOOKUP($BY13,$AH$6:$AJ$132,ROWS(BZ$6:BZ13),0)</f>
        <v>0</v>
      </c>
      <c r="CA13" s="234">
        <f t="shared" si="28"/>
        <v>0</v>
      </c>
      <c r="CB13" s="96">
        <f t="shared" si="20"/>
        <v>0</v>
      </c>
      <c r="CC13" s="96">
        <f t="shared" si="20"/>
        <v>0</v>
      </c>
      <c r="CD13" s="96">
        <f t="shared" si="20"/>
        <v>0</v>
      </c>
      <c r="CE13" s="96">
        <f t="shared" si="20"/>
        <v>0</v>
      </c>
      <c r="CF13" s="96">
        <f t="shared" si="20"/>
        <v>0</v>
      </c>
      <c r="CG13" s="96">
        <f t="shared" si="20"/>
        <v>0</v>
      </c>
      <c r="CH13" s="286">
        <f t="shared" si="20"/>
        <v>0</v>
      </c>
      <c r="CI13" s="305" t="s">
        <v>293</v>
      </c>
      <c r="CJ13" s="315">
        <v>0.05</v>
      </c>
      <c r="CK13" s="306"/>
      <c r="CL13" s="307" t="str">
        <f>IF($CK13&lt;&gt;"",$CK13,HLOOKUP($CI13,$AU$6:$AW$132,ROWS(CL$6:CL13),0))</f>
        <v/>
      </c>
      <c r="CM13" s="97"/>
      <c r="CN13" s="97"/>
      <c r="CO13" s="97"/>
      <c r="CP13" s="97"/>
      <c r="CQ13" s="97"/>
      <c r="CR13" s="97"/>
      <c r="CS13" s="97"/>
      <c r="CT13" s="98"/>
      <c r="CU13" s="392"/>
    </row>
    <row r="14" spans="1:100" x14ac:dyDescent="0.25">
      <c r="A14" s="81" t="s">
        <v>27</v>
      </c>
      <c r="B14" s="82" t="s">
        <v>39</v>
      </c>
      <c r="C14" s="83" t="s">
        <v>299</v>
      </c>
      <c r="D14" s="84"/>
      <c r="E14" s="85"/>
      <c r="F14" s="85"/>
      <c r="G14" s="85"/>
      <c r="H14" s="85"/>
      <c r="I14" s="85"/>
      <c r="J14" s="85"/>
      <c r="K14" s="85"/>
      <c r="L14" s="85"/>
      <c r="M14" s="201"/>
      <c r="N14" s="560">
        <f t="shared" si="21"/>
        <v>0</v>
      </c>
      <c r="O14" s="561">
        <f t="shared" si="0"/>
        <v>0</v>
      </c>
      <c r="P14" s="561">
        <f t="shared" si="1"/>
        <v>0</v>
      </c>
      <c r="Q14" s="561">
        <f t="shared" si="2"/>
        <v>0</v>
      </c>
      <c r="R14" s="561">
        <f t="shared" si="3"/>
        <v>0</v>
      </c>
      <c r="S14" s="561">
        <f t="shared" si="4"/>
        <v>0</v>
      </c>
      <c r="T14" s="561">
        <f t="shared" si="5"/>
        <v>0</v>
      </c>
      <c r="U14" s="561">
        <f t="shared" si="6"/>
        <v>0</v>
      </c>
      <c r="V14" s="561">
        <f t="shared" si="7"/>
        <v>0</v>
      </c>
      <c r="W14" s="562">
        <f t="shared" si="8"/>
        <v>0</v>
      </c>
      <c r="X14" s="86"/>
      <c r="Y14" s="87"/>
      <c r="Z14" s="87"/>
      <c r="AA14" s="87"/>
      <c r="AB14" s="87"/>
      <c r="AC14" s="87"/>
      <c r="AD14" s="87"/>
      <c r="AE14" s="87"/>
      <c r="AF14" s="87"/>
      <c r="AG14" s="194"/>
      <c r="AH14" s="88">
        <f t="shared" si="22"/>
        <v>0</v>
      </c>
      <c r="AI14" s="89" t="str" cm="1">
        <f t="array" aca="1" ref="AI14" ca="1">IFERROR(IF($AJ$4="N",SSUM(AD14:AF14)/3,SUM(AE14:AG14)/3),"")</f>
        <v/>
      </c>
      <c r="AJ14" s="90">
        <f t="shared" si="23"/>
        <v>0</v>
      </c>
      <c r="AK14" s="91" t="str">
        <f t="shared" si="9"/>
        <v/>
      </c>
      <c r="AL14" s="92" t="str">
        <f t="shared" si="10"/>
        <v/>
      </c>
      <c r="AM14" s="92" t="str">
        <f t="shared" si="11"/>
        <v/>
      </c>
      <c r="AN14" s="92" t="str">
        <f t="shared" si="12"/>
        <v/>
      </c>
      <c r="AO14" s="92" t="str">
        <f t="shared" si="13"/>
        <v/>
      </c>
      <c r="AP14" s="92" t="str">
        <f t="shared" si="14"/>
        <v/>
      </c>
      <c r="AQ14" s="92" t="str">
        <f t="shared" si="15"/>
        <v/>
      </c>
      <c r="AR14" s="92" t="str">
        <f t="shared" si="16"/>
        <v/>
      </c>
      <c r="AS14" s="92" t="str">
        <f t="shared" si="17"/>
        <v/>
      </c>
      <c r="AT14" s="217" t="str">
        <f t="shared" si="18"/>
        <v/>
      </c>
      <c r="AU14" s="93" t="str">
        <f t="shared" si="24"/>
        <v/>
      </c>
      <c r="AV14" s="94" t="str">
        <f t="shared" si="25"/>
        <v/>
      </c>
      <c r="AW14" s="95" t="str">
        <f t="shared" si="26"/>
        <v/>
      </c>
      <c r="AX14" s="248" t="s">
        <v>422</v>
      </c>
      <c r="AY14" s="229" t="s">
        <v>433</v>
      </c>
      <c r="AZ14" s="249">
        <v>0</v>
      </c>
      <c r="BA14" s="267">
        <f t="shared" si="27"/>
        <v>0</v>
      </c>
      <c r="BB14" s="268">
        <f t="shared" si="19"/>
        <v>0</v>
      </c>
      <c r="BC14" s="268">
        <f t="shared" si="19"/>
        <v>0</v>
      </c>
      <c r="BD14" s="268">
        <f t="shared" si="19"/>
        <v>1</v>
      </c>
      <c r="BE14" s="268">
        <f t="shared" si="19"/>
        <v>2</v>
      </c>
      <c r="BF14" s="268">
        <f t="shared" si="19"/>
        <v>3</v>
      </c>
      <c r="BG14" s="268">
        <f t="shared" si="19"/>
        <v>4</v>
      </c>
      <c r="BH14" s="269">
        <f t="shared" si="19"/>
        <v>5</v>
      </c>
      <c r="BI14" s="256">
        <f>IF($AY14=Lookup!$A$2,$AZ14*ROUNDUP(BA14/10,0)+1,
IF($AY14=Lookup!$A$3,($AZ14+1)^AZ14,
IF($AY14=Lookup!$A$4,BA14*$AZ14+1,"Error")))</f>
        <v>1</v>
      </c>
      <c r="BJ14" s="229">
        <f>IF($AY14=Lookup!$A$2,$AZ14*ROUNDUP(BB14/10,0)+1,
IF($AY14=Lookup!$A$3,($AZ14+1)^BA14,
IF($AY14=Lookup!$A$4,BB14*$AZ14+1,"Error")))</f>
        <v>1</v>
      </c>
      <c r="BK14" s="229">
        <f>IF($AY14=Lookup!$A$2,$AZ14*ROUNDUP(BC14/10,0)+1,
IF($AY14=Lookup!$A$3,($AZ14+1)^BB14,
IF($AY14=Lookup!$A$4,BC14*$AZ14+1,"Error")))</f>
        <v>1</v>
      </c>
      <c r="BL14" s="229">
        <f>IF($AY14=Lookup!$A$2,$AZ14*ROUNDUP(BD14/10,0)+1,
IF($AY14=Lookup!$A$3,($AZ14+1)^BC14,
IF($AY14=Lookup!$A$4,BD14*$AZ14+1,"Error")))</f>
        <v>1</v>
      </c>
      <c r="BM14" s="229">
        <f>IF($AY14=Lookup!$A$2,$AZ14*ROUNDUP(BE14/10,0)+1,
IF($AY14=Lookup!$A$3,($AZ14+1)^BD14,
IF($AY14=Lookup!$A$4,BE14*$AZ14+1,"Error")))</f>
        <v>1</v>
      </c>
      <c r="BN14" s="229">
        <f>IF($AY14=Lookup!$A$2,$AZ14*ROUNDUP(BF14/10,0)+1,
IF($AY14=Lookup!$A$3,($AZ14+1)^BE14,
IF($AY14=Lookup!$A$4,BF14*$AZ14+1,"Error")))</f>
        <v>1</v>
      </c>
      <c r="BO14" s="229">
        <f>IF($AY14=Lookup!$A$2,$AZ14*ROUNDUP(BG14/10,0)+1,
IF($AY14=Lookup!$A$3,($AZ14+1)^BF14,
IF($AY14=Lookup!$A$4,BG14*$AZ14+1,"Error")))</f>
        <v>1</v>
      </c>
      <c r="BP14" s="249">
        <f>IF($AY14=Lookup!$A$2,$AZ14*ROUNDUP(BH14/10,0)+1,
IF($AY14=Lookup!$A$3,($AZ14+1)^BG14,
IF($AY14=Lookup!$A$4,BH14*$AZ14+1,"Error")))</f>
        <v>1</v>
      </c>
      <c r="BQ14" s="320"/>
      <c r="BR14" s="321"/>
      <c r="BS14" s="321"/>
      <c r="BT14" s="321"/>
      <c r="BU14" s="321"/>
      <c r="BV14" s="321"/>
      <c r="BW14" s="321"/>
      <c r="BX14" s="277"/>
      <c r="BY14" s="382" t="s">
        <v>292</v>
      </c>
      <c r="BZ14" s="383">
        <f>HLOOKUP($BY14,$AH$6:$AJ$132,ROWS(BZ$6:BZ14),0)</f>
        <v>0</v>
      </c>
      <c r="CA14" s="234">
        <f t="shared" si="28"/>
        <v>0</v>
      </c>
      <c r="CB14" s="96">
        <f t="shared" si="20"/>
        <v>0</v>
      </c>
      <c r="CC14" s="96">
        <f t="shared" si="20"/>
        <v>0</v>
      </c>
      <c r="CD14" s="96">
        <f t="shared" si="20"/>
        <v>0</v>
      </c>
      <c r="CE14" s="96">
        <f t="shared" si="20"/>
        <v>0</v>
      </c>
      <c r="CF14" s="96">
        <f t="shared" si="20"/>
        <v>0</v>
      </c>
      <c r="CG14" s="96">
        <f t="shared" si="20"/>
        <v>0</v>
      </c>
      <c r="CH14" s="286">
        <f t="shared" si="20"/>
        <v>0</v>
      </c>
      <c r="CI14" s="305" t="s">
        <v>293</v>
      </c>
      <c r="CJ14" s="315">
        <v>0.05</v>
      </c>
      <c r="CK14" s="306"/>
      <c r="CL14" s="307" t="str">
        <f>IF($CK14&lt;&gt;"",$CK14,HLOOKUP($CI14,$AU$6:$AW$132,ROWS(CL$6:CL14),0))</f>
        <v/>
      </c>
      <c r="CM14" s="97"/>
      <c r="CN14" s="97"/>
      <c r="CO14" s="97"/>
      <c r="CP14" s="97"/>
      <c r="CQ14" s="97"/>
      <c r="CR14" s="97"/>
      <c r="CS14" s="97"/>
      <c r="CT14" s="98"/>
      <c r="CU14" s="392"/>
    </row>
    <row r="15" spans="1:100" x14ac:dyDescent="0.25">
      <c r="A15" s="81" t="s">
        <v>27</v>
      </c>
      <c r="B15" s="82" t="s">
        <v>41</v>
      </c>
      <c r="C15" s="83" t="s">
        <v>42</v>
      </c>
      <c r="D15" s="84"/>
      <c r="E15" s="85"/>
      <c r="F15" s="85"/>
      <c r="G15" s="85"/>
      <c r="H15" s="85"/>
      <c r="I15" s="85"/>
      <c r="J15" s="85"/>
      <c r="K15" s="85"/>
      <c r="L15" s="85"/>
      <c r="M15" s="201"/>
      <c r="N15" s="560">
        <f t="shared" si="21"/>
        <v>0</v>
      </c>
      <c r="O15" s="561">
        <f t="shared" si="0"/>
        <v>0</v>
      </c>
      <c r="P15" s="561">
        <f t="shared" si="1"/>
        <v>0</v>
      </c>
      <c r="Q15" s="561">
        <f t="shared" si="2"/>
        <v>0</v>
      </c>
      <c r="R15" s="561">
        <f t="shared" si="3"/>
        <v>0</v>
      </c>
      <c r="S15" s="561">
        <f t="shared" si="4"/>
        <v>0</v>
      </c>
      <c r="T15" s="561">
        <f t="shared" si="5"/>
        <v>0</v>
      </c>
      <c r="U15" s="561">
        <f t="shared" si="6"/>
        <v>0</v>
      </c>
      <c r="V15" s="561">
        <f t="shared" si="7"/>
        <v>0</v>
      </c>
      <c r="W15" s="562">
        <f t="shared" si="8"/>
        <v>0</v>
      </c>
      <c r="X15" s="86"/>
      <c r="Y15" s="87"/>
      <c r="Z15" s="87"/>
      <c r="AA15" s="87"/>
      <c r="AB15" s="87"/>
      <c r="AC15" s="87"/>
      <c r="AD15" s="87"/>
      <c r="AE15" s="87"/>
      <c r="AF15" s="87"/>
      <c r="AG15" s="194"/>
      <c r="AH15" s="88">
        <f t="shared" si="22"/>
        <v>0</v>
      </c>
      <c r="AI15" s="89" t="str" cm="1">
        <f t="array" aca="1" ref="AI15" ca="1">IFERROR(IF($AJ$4="N",SSUM(AD15:AF15)/3,SUM(AE15:AG15)/3),"")</f>
        <v/>
      </c>
      <c r="AJ15" s="90">
        <f t="shared" si="23"/>
        <v>0</v>
      </c>
      <c r="AK15" s="91" t="str">
        <f t="shared" si="9"/>
        <v/>
      </c>
      <c r="AL15" s="92" t="str">
        <f t="shared" si="10"/>
        <v/>
      </c>
      <c r="AM15" s="92" t="str">
        <f t="shared" si="11"/>
        <v/>
      </c>
      <c r="AN15" s="92" t="str">
        <f t="shared" si="12"/>
        <v/>
      </c>
      <c r="AO15" s="92" t="str">
        <f t="shared" si="13"/>
        <v/>
      </c>
      <c r="AP15" s="92" t="str">
        <f t="shared" si="14"/>
        <v/>
      </c>
      <c r="AQ15" s="92" t="str">
        <f t="shared" si="15"/>
        <v/>
      </c>
      <c r="AR15" s="92" t="str">
        <f t="shared" si="16"/>
        <v/>
      </c>
      <c r="AS15" s="92" t="str">
        <f t="shared" si="17"/>
        <v/>
      </c>
      <c r="AT15" s="217" t="str">
        <f t="shared" si="18"/>
        <v/>
      </c>
      <c r="AU15" s="93" t="str">
        <f t="shared" si="24"/>
        <v/>
      </c>
      <c r="AV15" s="94" t="str">
        <f t="shared" si="25"/>
        <v/>
      </c>
      <c r="AW15" s="95" t="str">
        <f t="shared" si="26"/>
        <v/>
      </c>
      <c r="AX15" s="248" t="s">
        <v>422</v>
      </c>
      <c r="AY15" s="229" t="s">
        <v>433</v>
      </c>
      <c r="AZ15" s="249">
        <v>0</v>
      </c>
      <c r="BA15" s="267">
        <f t="shared" si="27"/>
        <v>0</v>
      </c>
      <c r="BB15" s="268">
        <f t="shared" si="19"/>
        <v>0</v>
      </c>
      <c r="BC15" s="268">
        <f t="shared" si="19"/>
        <v>0</v>
      </c>
      <c r="BD15" s="268">
        <f t="shared" si="19"/>
        <v>1</v>
      </c>
      <c r="BE15" s="268">
        <f t="shared" si="19"/>
        <v>2</v>
      </c>
      <c r="BF15" s="268">
        <f t="shared" si="19"/>
        <v>3</v>
      </c>
      <c r="BG15" s="268">
        <f t="shared" si="19"/>
        <v>4</v>
      </c>
      <c r="BH15" s="269">
        <f t="shared" si="19"/>
        <v>5</v>
      </c>
      <c r="BI15" s="256">
        <f>IF($AY15=Lookup!$A$2,$AZ15*ROUNDUP(BA15/10,0)+1,
IF($AY15=Lookup!$A$3,($AZ15+1)^AZ15,
IF($AY15=Lookup!$A$4,BA15*$AZ15+1,"Error")))</f>
        <v>1</v>
      </c>
      <c r="BJ15" s="229">
        <f>IF($AY15=Lookup!$A$2,$AZ15*ROUNDUP(BB15/10,0)+1,
IF($AY15=Lookup!$A$3,($AZ15+1)^BA15,
IF($AY15=Lookup!$A$4,BB15*$AZ15+1,"Error")))</f>
        <v>1</v>
      </c>
      <c r="BK15" s="229">
        <f>IF($AY15=Lookup!$A$2,$AZ15*ROUNDUP(BC15/10,0)+1,
IF($AY15=Lookup!$A$3,($AZ15+1)^BB15,
IF($AY15=Lookup!$A$4,BC15*$AZ15+1,"Error")))</f>
        <v>1</v>
      </c>
      <c r="BL15" s="229">
        <f>IF($AY15=Lookup!$A$2,$AZ15*ROUNDUP(BD15/10,0)+1,
IF($AY15=Lookup!$A$3,($AZ15+1)^BC15,
IF($AY15=Lookup!$A$4,BD15*$AZ15+1,"Error")))</f>
        <v>1</v>
      </c>
      <c r="BM15" s="229">
        <f>IF($AY15=Lookup!$A$2,$AZ15*ROUNDUP(BE15/10,0)+1,
IF($AY15=Lookup!$A$3,($AZ15+1)^BD15,
IF($AY15=Lookup!$A$4,BE15*$AZ15+1,"Error")))</f>
        <v>1</v>
      </c>
      <c r="BN15" s="229">
        <f>IF($AY15=Lookup!$A$2,$AZ15*ROUNDUP(BF15/10,0)+1,
IF($AY15=Lookup!$A$3,($AZ15+1)^BE15,
IF($AY15=Lookup!$A$4,BF15*$AZ15+1,"Error")))</f>
        <v>1</v>
      </c>
      <c r="BO15" s="229">
        <f>IF($AY15=Lookup!$A$2,$AZ15*ROUNDUP(BG15/10,0)+1,
IF($AY15=Lookup!$A$3,($AZ15+1)^BF15,
IF($AY15=Lookup!$A$4,BG15*$AZ15+1,"Error")))</f>
        <v>1</v>
      </c>
      <c r="BP15" s="249">
        <f>IF($AY15=Lookup!$A$2,$AZ15*ROUNDUP(BH15/10,0)+1,
IF($AY15=Lookup!$A$3,($AZ15+1)^BG15,
IF($AY15=Lookup!$A$4,BH15*$AZ15+1,"Error")))</f>
        <v>1</v>
      </c>
      <c r="BQ15" s="320"/>
      <c r="BR15" s="321"/>
      <c r="BS15" s="321"/>
      <c r="BT15" s="321"/>
      <c r="BU15" s="321"/>
      <c r="BV15" s="321"/>
      <c r="BW15" s="321"/>
      <c r="BX15" s="277"/>
      <c r="BY15" s="382" t="s">
        <v>292</v>
      </c>
      <c r="BZ15" s="383">
        <f>HLOOKUP($BY15,$AH$6:$AJ$132,ROWS(BZ$6:BZ15),0)</f>
        <v>0</v>
      </c>
      <c r="CA15" s="234">
        <f t="shared" si="28"/>
        <v>0</v>
      </c>
      <c r="CB15" s="96">
        <f t="shared" si="20"/>
        <v>0</v>
      </c>
      <c r="CC15" s="96">
        <f t="shared" si="20"/>
        <v>0</v>
      </c>
      <c r="CD15" s="96">
        <f t="shared" si="20"/>
        <v>0</v>
      </c>
      <c r="CE15" s="96">
        <f t="shared" si="20"/>
        <v>0</v>
      </c>
      <c r="CF15" s="96">
        <f t="shared" si="20"/>
        <v>0</v>
      </c>
      <c r="CG15" s="96">
        <f t="shared" si="20"/>
        <v>0</v>
      </c>
      <c r="CH15" s="286">
        <f t="shared" si="20"/>
        <v>0</v>
      </c>
      <c r="CI15" s="305" t="s">
        <v>293</v>
      </c>
      <c r="CJ15" s="315">
        <v>0.05</v>
      </c>
      <c r="CK15" s="306"/>
      <c r="CL15" s="307" t="str">
        <f>IF($CK15&lt;&gt;"",$CK15,HLOOKUP($CI15,$AU$6:$AW$132,ROWS(CL$6:CL15),0))</f>
        <v/>
      </c>
      <c r="CM15" s="97"/>
      <c r="CN15" s="97"/>
      <c r="CO15" s="97"/>
      <c r="CP15" s="97"/>
      <c r="CQ15" s="97"/>
      <c r="CR15" s="97"/>
      <c r="CS15" s="97"/>
      <c r="CT15" s="98"/>
      <c r="CU15" s="392"/>
    </row>
    <row r="16" spans="1:100" x14ac:dyDescent="0.25">
      <c r="A16" s="81" t="s">
        <v>27</v>
      </c>
      <c r="B16" s="82" t="s">
        <v>43</v>
      </c>
      <c r="C16" s="83" t="s">
        <v>300</v>
      </c>
      <c r="D16" s="84"/>
      <c r="E16" s="85"/>
      <c r="F16" s="85"/>
      <c r="G16" s="85"/>
      <c r="H16" s="85"/>
      <c r="I16" s="85"/>
      <c r="J16" s="85"/>
      <c r="K16" s="85"/>
      <c r="L16" s="85"/>
      <c r="M16" s="201"/>
      <c r="N16" s="560">
        <f t="shared" si="21"/>
        <v>0</v>
      </c>
      <c r="O16" s="561">
        <f t="shared" si="0"/>
        <v>0</v>
      </c>
      <c r="P16" s="561">
        <f t="shared" si="1"/>
        <v>0</v>
      </c>
      <c r="Q16" s="561">
        <f t="shared" si="2"/>
        <v>0</v>
      </c>
      <c r="R16" s="561">
        <f t="shared" si="3"/>
        <v>0</v>
      </c>
      <c r="S16" s="561">
        <f t="shared" si="4"/>
        <v>0</v>
      </c>
      <c r="T16" s="561">
        <f t="shared" si="5"/>
        <v>0</v>
      </c>
      <c r="U16" s="561">
        <f t="shared" si="6"/>
        <v>0</v>
      </c>
      <c r="V16" s="561">
        <f t="shared" si="7"/>
        <v>0</v>
      </c>
      <c r="W16" s="562">
        <f t="shared" si="8"/>
        <v>0</v>
      </c>
      <c r="X16" s="86"/>
      <c r="Y16" s="87"/>
      <c r="Z16" s="87"/>
      <c r="AA16" s="87"/>
      <c r="AB16" s="87"/>
      <c r="AC16" s="87"/>
      <c r="AD16" s="87"/>
      <c r="AE16" s="87"/>
      <c r="AF16" s="87"/>
      <c r="AG16" s="194"/>
      <c r="AH16" s="88">
        <f t="shared" si="22"/>
        <v>0</v>
      </c>
      <c r="AI16" s="89" t="str" cm="1">
        <f t="array" aca="1" ref="AI16" ca="1">IFERROR(IF($AJ$4="N",SSUM(AD16:AF16)/3,SUM(AE16:AG16)/3),"")</f>
        <v/>
      </c>
      <c r="AJ16" s="90">
        <f t="shared" si="23"/>
        <v>0</v>
      </c>
      <c r="AK16" s="91" t="str">
        <f t="shared" si="9"/>
        <v/>
      </c>
      <c r="AL16" s="92" t="str">
        <f t="shared" si="10"/>
        <v/>
      </c>
      <c r="AM16" s="92" t="str">
        <f t="shared" si="11"/>
        <v/>
      </c>
      <c r="AN16" s="92" t="str">
        <f t="shared" si="12"/>
        <v/>
      </c>
      <c r="AO16" s="92" t="str">
        <f t="shared" si="13"/>
        <v/>
      </c>
      <c r="AP16" s="92" t="str">
        <f t="shared" si="14"/>
        <v/>
      </c>
      <c r="AQ16" s="92" t="str">
        <f t="shared" si="15"/>
        <v/>
      </c>
      <c r="AR16" s="92" t="str">
        <f t="shared" si="16"/>
        <v/>
      </c>
      <c r="AS16" s="92" t="str">
        <f t="shared" si="17"/>
        <v/>
      </c>
      <c r="AT16" s="217" t="str">
        <f t="shared" si="18"/>
        <v/>
      </c>
      <c r="AU16" s="93" t="str">
        <f t="shared" si="24"/>
        <v/>
      </c>
      <c r="AV16" s="94" t="str">
        <f t="shared" si="25"/>
        <v/>
      </c>
      <c r="AW16" s="95" t="str">
        <f t="shared" si="26"/>
        <v/>
      </c>
      <c r="AX16" s="248" t="s">
        <v>422</v>
      </c>
      <c r="AY16" s="229" t="s">
        <v>433</v>
      </c>
      <c r="AZ16" s="249">
        <v>0</v>
      </c>
      <c r="BA16" s="267">
        <f t="shared" si="27"/>
        <v>0</v>
      </c>
      <c r="BB16" s="268">
        <f t="shared" si="19"/>
        <v>0</v>
      </c>
      <c r="BC16" s="268">
        <f t="shared" si="19"/>
        <v>0</v>
      </c>
      <c r="BD16" s="268">
        <f t="shared" si="19"/>
        <v>1</v>
      </c>
      <c r="BE16" s="268">
        <f t="shared" si="19"/>
        <v>2</v>
      </c>
      <c r="BF16" s="268">
        <f t="shared" si="19"/>
        <v>3</v>
      </c>
      <c r="BG16" s="268">
        <f t="shared" si="19"/>
        <v>4</v>
      </c>
      <c r="BH16" s="269">
        <f t="shared" si="19"/>
        <v>5</v>
      </c>
      <c r="BI16" s="256">
        <f>IF($AY16=Lookup!$A$2,$AZ16*ROUNDUP(BA16/10,0)+1,
IF($AY16=Lookup!$A$3,($AZ16+1)^AZ16,
IF($AY16=Lookup!$A$4,BA16*$AZ16+1,"Error")))</f>
        <v>1</v>
      </c>
      <c r="BJ16" s="229">
        <f>IF($AY16=Lookup!$A$2,$AZ16*ROUNDUP(BB16/10,0)+1,
IF($AY16=Lookup!$A$3,($AZ16+1)^BA16,
IF($AY16=Lookup!$A$4,BB16*$AZ16+1,"Error")))</f>
        <v>1</v>
      </c>
      <c r="BK16" s="229">
        <f>IF($AY16=Lookup!$A$2,$AZ16*ROUNDUP(BC16/10,0)+1,
IF($AY16=Lookup!$A$3,($AZ16+1)^BB16,
IF($AY16=Lookup!$A$4,BC16*$AZ16+1,"Error")))</f>
        <v>1</v>
      </c>
      <c r="BL16" s="229">
        <f>IF($AY16=Lookup!$A$2,$AZ16*ROUNDUP(BD16/10,0)+1,
IF($AY16=Lookup!$A$3,($AZ16+1)^BC16,
IF($AY16=Lookup!$A$4,BD16*$AZ16+1,"Error")))</f>
        <v>1</v>
      </c>
      <c r="BM16" s="229">
        <f>IF($AY16=Lookup!$A$2,$AZ16*ROUNDUP(BE16/10,0)+1,
IF($AY16=Lookup!$A$3,($AZ16+1)^BD16,
IF($AY16=Lookup!$A$4,BE16*$AZ16+1,"Error")))</f>
        <v>1</v>
      </c>
      <c r="BN16" s="229">
        <f>IF($AY16=Lookup!$A$2,$AZ16*ROUNDUP(BF16/10,0)+1,
IF($AY16=Lookup!$A$3,($AZ16+1)^BE16,
IF($AY16=Lookup!$A$4,BF16*$AZ16+1,"Error")))</f>
        <v>1</v>
      </c>
      <c r="BO16" s="229">
        <f>IF($AY16=Lookup!$A$2,$AZ16*ROUNDUP(BG16/10,0)+1,
IF($AY16=Lookup!$A$3,($AZ16+1)^BF16,
IF($AY16=Lookup!$A$4,BG16*$AZ16+1,"Error")))</f>
        <v>1</v>
      </c>
      <c r="BP16" s="249">
        <f>IF($AY16=Lookup!$A$2,$AZ16*ROUNDUP(BH16/10,0)+1,
IF($AY16=Lookup!$A$3,($AZ16+1)^BG16,
IF($AY16=Lookup!$A$4,BH16*$AZ16+1,"Error")))</f>
        <v>1</v>
      </c>
      <c r="BQ16" s="320"/>
      <c r="BR16" s="321"/>
      <c r="BS16" s="321"/>
      <c r="BT16" s="321"/>
      <c r="BU16" s="321"/>
      <c r="BV16" s="321"/>
      <c r="BW16" s="321"/>
      <c r="BX16" s="277"/>
      <c r="BY16" s="382" t="s">
        <v>292</v>
      </c>
      <c r="BZ16" s="383">
        <f>HLOOKUP($BY16,$AH$6:$AJ$132,ROWS(BZ$6:BZ16),0)</f>
        <v>0</v>
      </c>
      <c r="CA16" s="234">
        <f t="shared" si="28"/>
        <v>0</v>
      </c>
      <c r="CB16" s="96">
        <f t="shared" si="20"/>
        <v>0</v>
      </c>
      <c r="CC16" s="96">
        <f t="shared" si="20"/>
        <v>0</v>
      </c>
      <c r="CD16" s="96">
        <f t="shared" si="20"/>
        <v>0</v>
      </c>
      <c r="CE16" s="96">
        <f t="shared" si="20"/>
        <v>0</v>
      </c>
      <c r="CF16" s="96">
        <f t="shared" si="20"/>
        <v>0</v>
      </c>
      <c r="CG16" s="96">
        <f t="shared" si="20"/>
        <v>0</v>
      </c>
      <c r="CH16" s="286">
        <f t="shared" si="20"/>
        <v>0</v>
      </c>
      <c r="CI16" s="305" t="s">
        <v>293</v>
      </c>
      <c r="CJ16" s="315">
        <v>0.05</v>
      </c>
      <c r="CK16" s="306"/>
      <c r="CL16" s="307" t="str">
        <f>IF($CK16&lt;&gt;"",$CK16,HLOOKUP($CI16,$AU$6:$AW$132,ROWS(CL$6:CL16),0))</f>
        <v/>
      </c>
      <c r="CM16" s="97"/>
      <c r="CN16" s="97"/>
      <c r="CO16" s="97"/>
      <c r="CP16" s="97"/>
      <c r="CQ16" s="97"/>
      <c r="CR16" s="97"/>
      <c r="CS16" s="97"/>
      <c r="CT16" s="98"/>
      <c r="CU16" s="392"/>
    </row>
    <row r="17" spans="1:99" x14ac:dyDescent="0.25">
      <c r="A17" s="81" t="s">
        <v>27</v>
      </c>
      <c r="B17" s="82" t="s">
        <v>45</v>
      </c>
      <c r="C17" s="83" t="s">
        <v>46</v>
      </c>
      <c r="D17" s="84"/>
      <c r="E17" s="85"/>
      <c r="F17" s="85"/>
      <c r="G17" s="85"/>
      <c r="H17" s="85"/>
      <c r="I17" s="85"/>
      <c r="J17" s="85"/>
      <c r="K17" s="85"/>
      <c r="L17" s="85"/>
      <c r="M17" s="201"/>
      <c r="N17" s="560">
        <f t="shared" si="21"/>
        <v>0</v>
      </c>
      <c r="O17" s="561">
        <f t="shared" si="0"/>
        <v>0</v>
      </c>
      <c r="P17" s="561">
        <f t="shared" si="1"/>
        <v>0</v>
      </c>
      <c r="Q17" s="561">
        <f t="shared" si="2"/>
        <v>0</v>
      </c>
      <c r="R17" s="561">
        <f t="shared" si="3"/>
        <v>0</v>
      </c>
      <c r="S17" s="561">
        <f t="shared" si="4"/>
        <v>0</v>
      </c>
      <c r="T17" s="561">
        <f t="shared" si="5"/>
        <v>0</v>
      </c>
      <c r="U17" s="561">
        <f t="shared" si="6"/>
        <v>0</v>
      </c>
      <c r="V17" s="561">
        <f t="shared" si="7"/>
        <v>0</v>
      </c>
      <c r="W17" s="562">
        <f t="shared" si="8"/>
        <v>0</v>
      </c>
      <c r="X17" s="86"/>
      <c r="Y17" s="87"/>
      <c r="Z17" s="87"/>
      <c r="AA17" s="87"/>
      <c r="AB17" s="87"/>
      <c r="AC17" s="87"/>
      <c r="AD17" s="87"/>
      <c r="AE17" s="87"/>
      <c r="AF17" s="87"/>
      <c r="AG17" s="194"/>
      <c r="AH17" s="88">
        <f t="shared" si="22"/>
        <v>0</v>
      </c>
      <c r="AI17" s="89" t="str" cm="1">
        <f t="array" aca="1" ref="AI17" ca="1">IFERROR(IF($AJ$4="N",SSUM(AD17:AF17)/3,SUM(AE17:AG17)/3),"")</f>
        <v/>
      </c>
      <c r="AJ17" s="90">
        <f t="shared" si="23"/>
        <v>0</v>
      </c>
      <c r="AK17" s="91" t="str">
        <f t="shared" si="9"/>
        <v/>
      </c>
      <c r="AL17" s="92" t="str">
        <f t="shared" si="10"/>
        <v/>
      </c>
      <c r="AM17" s="92" t="str">
        <f t="shared" si="11"/>
        <v/>
      </c>
      <c r="AN17" s="92" t="str">
        <f t="shared" si="12"/>
        <v/>
      </c>
      <c r="AO17" s="92" t="str">
        <f t="shared" si="13"/>
        <v/>
      </c>
      <c r="AP17" s="92" t="str">
        <f t="shared" si="14"/>
        <v/>
      </c>
      <c r="AQ17" s="92" t="str">
        <f t="shared" si="15"/>
        <v/>
      </c>
      <c r="AR17" s="92" t="str">
        <f t="shared" si="16"/>
        <v/>
      </c>
      <c r="AS17" s="92" t="str">
        <f t="shared" si="17"/>
        <v/>
      </c>
      <c r="AT17" s="217" t="str">
        <f t="shared" si="18"/>
        <v/>
      </c>
      <c r="AU17" s="93" t="str">
        <f t="shared" si="24"/>
        <v/>
      </c>
      <c r="AV17" s="94" t="str">
        <f t="shared" si="25"/>
        <v/>
      </c>
      <c r="AW17" s="95" t="str">
        <f t="shared" si="26"/>
        <v/>
      </c>
      <c r="AX17" s="248" t="s">
        <v>422</v>
      </c>
      <c r="AY17" s="229" t="s">
        <v>433</v>
      </c>
      <c r="AZ17" s="249">
        <v>0</v>
      </c>
      <c r="BA17" s="267">
        <f t="shared" si="27"/>
        <v>0</v>
      </c>
      <c r="BB17" s="268">
        <f t="shared" si="19"/>
        <v>0</v>
      </c>
      <c r="BC17" s="268">
        <f t="shared" si="19"/>
        <v>0</v>
      </c>
      <c r="BD17" s="268">
        <f t="shared" si="19"/>
        <v>1</v>
      </c>
      <c r="BE17" s="268">
        <f t="shared" si="19"/>
        <v>2</v>
      </c>
      <c r="BF17" s="268">
        <f t="shared" si="19"/>
        <v>3</v>
      </c>
      <c r="BG17" s="268">
        <f t="shared" si="19"/>
        <v>4</v>
      </c>
      <c r="BH17" s="269">
        <f t="shared" si="19"/>
        <v>5</v>
      </c>
      <c r="BI17" s="256">
        <f>IF($AY17=Lookup!$A$2,$AZ17*ROUNDUP(BA17/10,0)+1,
IF($AY17=Lookup!$A$3,($AZ17+1)^AZ17,
IF($AY17=Lookup!$A$4,BA17*$AZ17+1,"Error")))</f>
        <v>1</v>
      </c>
      <c r="BJ17" s="229">
        <f>IF($AY17=Lookup!$A$2,$AZ17*ROUNDUP(BB17/10,0)+1,
IF($AY17=Lookup!$A$3,($AZ17+1)^BA17,
IF($AY17=Lookup!$A$4,BB17*$AZ17+1,"Error")))</f>
        <v>1</v>
      </c>
      <c r="BK17" s="229">
        <f>IF($AY17=Lookup!$A$2,$AZ17*ROUNDUP(BC17/10,0)+1,
IF($AY17=Lookup!$A$3,($AZ17+1)^BB17,
IF($AY17=Lookup!$A$4,BC17*$AZ17+1,"Error")))</f>
        <v>1</v>
      </c>
      <c r="BL17" s="229">
        <f>IF($AY17=Lookup!$A$2,$AZ17*ROUNDUP(BD17/10,0)+1,
IF($AY17=Lookup!$A$3,($AZ17+1)^BC17,
IF($AY17=Lookup!$A$4,BD17*$AZ17+1,"Error")))</f>
        <v>1</v>
      </c>
      <c r="BM17" s="229">
        <f>IF($AY17=Lookup!$A$2,$AZ17*ROUNDUP(BE17/10,0)+1,
IF($AY17=Lookup!$A$3,($AZ17+1)^BD17,
IF($AY17=Lookup!$A$4,BE17*$AZ17+1,"Error")))</f>
        <v>1</v>
      </c>
      <c r="BN17" s="229">
        <f>IF($AY17=Lookup!$A$2,$AZ17*ROUNDUP(BF17/10,0)+1,
IF($AY17=Lookup!$A$3,($AZ17+1)^BE17,
IF($AY17=Lookup!$A$4,BF17*$AZ17+1,"Error")))</f>
        <v>1</v>
      </c>
      <c r="BO17" s="229">
        <f>IF($AY17=Lookup!$A$2,$AZ17*ROUNDUP(BG17/10,0)+1,
IF($AY17=Lookup!$A$3,($AZ17+1)^BF17,
IF($AY17=Lookup!$A$4,BG17*$AZ17+1,"Error")))</f>
        <v>1</v>
      </c>
      <c r="BP17" s="249">
        <f>IF($AY17=Lookup!$A$2,$AZ17*ROUNDUP(BH17/10,0)+1,
IF($AY17=Lookup!$A$3,($AZ17+1)^BG17,
IF($AY17=Lookup!$A$4,BH17*$AZ17+1,"Error")))</f>
        <v>1</v>
      </c>
      <c r="BQ17" s="320"/>
      <c r="BR17" s="321"/>
      <c r="BS17" s="321"/>
      <c r="BT17" s="321"/>
      <c r="BU17" s="321"/>
      <c r="BV17" s="321"/>
      <c r="BW17" s="321"/>
      <c r="BX17" s="277"/>
      <c r="BY17" s="382" t="s">
        <v>292</v>
      </c>
      <c r="BZ17" s="383">
        <f>HLOOKUP($BY17,$AH$6:$AJ$132,ROWS(BZ$6:BZ17),0)</f>
        <v>0</v>
      </c>
      <c r="CA17" s="234">
        <f t="shared" si="28"/>
        <v>0</v>
      </c>
      <c r="CB17" s="96">
        <f t="shared" si="20"/>
        <v>0</v>
      </c>
      <c r="CC17" s="96">
        <f t="shared" si="20"/>
        <v>0</v>
      </c>
      <c r="CD17" s="96">
        <f t="shared" si="20"/>
        <v>0</v>
      </c>
      <c r="CE17" s="96">
        <f t="shared" si="20"/>
        <v>0</v>
      </c>
      <c r="CF17" s="96">
        <f t="shared" si="20"/>
        <v>0</v>
      </c>
      <c r="CG17" s="96">
        <f t="shared" si="20"/>
        <v>0</v>
      </c>
      <c r="CH17" s="286">
        <f t="shared" si="20"/>
        <v>0</v>
      </c>
      <c r="CI17" s="305" t="s">
        <v>293</v>
      </c>
      <c r="CJ17" s="315">
        <v>0.05</v>
      </c>
      <c r="CK17" s="306"/>
      <c r="CL17" s="307" t="str">
        <f>IF($CK17&lt;&gt;"",$CK17,HLOOKUP($CI17,$AU$6:$AW$132,ROWS(CL$6:CL17),0))</f>
        <v/>
      </c>
      <c r="CM17" s="97"/>
      <c r="CN17" s="97"/>
      <c r="CO17" s="97"/>
      <c r="CP17" s="97"/>
      <c r="CQ17" s="97"/>
      <c r="CR17" s="97"/>
      <c r="CS17" s="97"/>
      <c r="CT17" s="98"/>
      <c r="CU17" s="392"/>
    </row>
    <row r="18" spans="1:99" x14ac:dyDescent="0.25">
      <c r="A18" s="81" t="s">
        <v>27</v>
      </c>
      <c r="B18" s="82" t="s">
        <v>47</v>
      </c>
      <c r="C18" s="83" t="s">
        <v>48</v>
      </c>
      <c r="D18" s="84"/>
      <c r="E18" s="85"/>
      <c r="F18" s="85"/>
      <c r="G18" s="85"/>
      <c r="H18" s="85"/>
      <c r="I18" s="85"/>
      <c r="J18" s="85"/>
      <c r="K18" s="85"/>
      <c r="L18" s="85"/>
      <c r="M18" s="201"/>
      <c r="N18" s="560">
        <f t="shared" si="21"/>
        <v>0</v>
      </c>
      <c r="O18" s="561">
        <f t="shared" si="0"/>
        <v>0</v>
      </c>
      <c r="P18" s="561">
        <f t="shared" si="1"/>
        <v>0</v>
      </c>
      <c r="Q18" s="561">
        <f t="shared" si="2"/>
        <v>0</v>
      </c>
      <c r="R18" s="561">
        <f t="shared" si="3"/>
        <v>0</v>
      </c>
      <c r="S18" s="561">
        <f t="shared" si="4"/>
        <v>0</v>
      </c>
      <c r="T18" s="561">
        <f t="shared" si="5"/>
        <v>0</v>
      </c>
      <c r="U18" s="561">
        <f t="shared" si="6"/>
        <v>0</v>
      </c>
      <c r="V18" s="561">
        <f t="shared" si="7"/>
        <v>0</v>
      </c>
      <c r="W18" s="562">
        <f t="shared" si="8"/>
        <v>0</v>
      </c>
      <c r="X18" s="86"/>
      <c r="Y18" s="87"/>
      <c r="Z18" s="87"/>
      <c r="AA18" s="87"/>
      <c r="AB18" s="87"/>
      <c r="AC18" s="87"/>
      <c r="AD18" s="87"/>
      <c r="AE18" s="87"/>
      <c r="AF18" s="87"/>
      <c r="AG18" s="194"/>
      <c r="AH18" s="88">
        <f t="shared" si="22"/>
        <v>0</v>
      </c>
      <c r="AI18" s="89" t="str" cm="1">
        <f t="array" aca="1" ref="AI18" ca="1">IFERROR(IF($AJ$4="N",SSUM(AD18:AF18)/3,SUM(AE18:AG18)/3),"")</f>
        <v/>
      </c>
      <c r="AJ18" s="90">
        <f t="shared" si="23"/>
        <v>0</v>
      </c>
      <c r="AK18" s="91" t="str">
        <f t="shared" si="9"/>
        <v/>
      </c>
      <c r="AL18" s="92" t="str">
        <f t="shared" si="10"/>
        <v/>
      </c>
      <c r="AM18" s="92" t="str">
        <f t="shared" si="11"/>
        <v/>
      </c>
      <c r="AN18" s="92" t="str">
        <f t="shared" si="12"/>
        <v/>
      </c>
      <c r="AO18" s="92" t="str">
        <f t="shared" si="13"/>
        <v/>
      </c>
      <c r="AP18" s="92" t="str">
        <f t="shared" si="14"/>
        <v/>
      </c>
      <c r="AQ18" s="92" t="str">
        <f t="shared" si="15"/>
        <v/>
      </c>
      <c r="AR18" s="92" t="str">
        <f t="shared" si="16"/>
        <v/>
      </c>
      <c r="AS18" s="92" t="str">
        <f t="shared" si="17"/>
        <v/>
      </c>
      <c r="AT18" s="217" t="str">
        <f t="shared" si="18"/>
        <v/>
      </c>
      <c r="AU18" s="93" t="str">
        <f t="shared" si="24"/>
        <v/>
      </c>
      <c r="AV18" s="94" t="str">
        <f t="shared" si="25"/>
        <v/>
      </c>
      <c r="AW18" s="95" t="str">
        <f t="shared" si="26"/>
        <v/>
      </c>
      <c r="AX18" s="248" t="s">
        <v>422</v>
      </c>
      <c r="AY18" s="229" t="s">
        <v>433</v>
      </c>
      <c r="AZ18" s="249">
        <v>0</v>
      </c>
      <c r="BA18" s="267">
        <f t="shared" si="27"/>
        <v>0</v>
      </c>
      <c r="BB18" s="268">
        <f t="shared" si="19"/>
        <v>0</v>
      </c>
      <c r="BC18" s="268">
        <f t="shared" si="19"/>
        <v>0</v>
      </c>
      <c r="BD18" s="268">
        <f t="shared" si="19"/>
        <v>1</v>
      </c>
      <c r="BE18" s="268">
        <f t="shared" si="19"/>
        <v>2</v>
      </c>
      <c r="BF18" s="268">
        <f t="shared" si="19"/>
        <v>3</v>
      </c>
      <c r="BG18" s="268">
        <f t="shared" si="19"/>
        <v>4</v>
      </c>
      <c r="BH18" s="269">
        <f t="shared" si="19"/>
        <v>5</v>
      </c>
      <c r="BI18" s="256">
        <f>IF($AY18=Lookup!$A$2,$AZ18*ROUNDUP(BA18/10,0)+1,
IF($AY18=Lookup!$A$3,($AZ18+1)^AZ18,
IF($AY18=Lookup!$A$4,BA18*$AZ18+1,"Error")))</f>
        <v>1</v>
      </c>
      <c r="BJ18" s="229">
        <f>IF($AY18=Lookup!$A$2,$AZ18*ROUNDUP(BB18/10,0)+1,
IF($AY18=Lookup!$A$3,($AZ18+1)^BA18,
IF($AY18=Lookup!$A$4,BB18*$AZ18+1,"Error")))</f>
        <v>1</v>
      </c>
      <c r="BK18" s="229">
        <f>IF($AY18=Lookup!$A$2,$AZ18*ROUNDUP(BC18/10,0)+1,
IF($AY18=Lookup!$A$3,($AZ18+1)^BB18,
IF($AY18=Lookup!$A$4,BC18*$AZ18+1,"Error")))</f>
        <v>1</v>
      </c>
      <c r="BL18" s="229">
        <f>IF($AY18=Lookup!$A$2,$AZ18*ROUNDUP(BD18/10,0)+1,
IF($AY18=Lookup!$A$3,($AZ18+1)^BC18,
IF($AY18=Lookup!$A$4,BD18*$AZ18+1,"Error")))</f>
        <v>1</v>
      </c>
      <c r="BM18" s="229">
        <f>IF($AY18=Lookup!$A$2,$AZ18*ROUNDUP(BE18/10,0)+1,
IF($AY18=Lookup!$A$3,($AZ18+1)^BD18,
IF($AY18=Lookup!$A$4,BE18*$AZ18+1,"Error")))</f>
        <v>1</v>
      </c>
      <c r="BN18" s="229">
        <f>IF($AY18=Lookup!$A$2,$AZ18*ROUNDUP(BF18/10,0)+1,
IF($AY18=Lookup!$A$3,($AZ18+1)^BE18,
IF($AY18=Lookup!$A$4,BF18*$AZ18+1,"Error")))</f>
        <v>1</v>
      </c>
      <c r="BO18" s="229">
        <f>IF($AY18=Lookup!$A$2,$AZ18*ROUNDUP(BG18/10,0)+1,
IF($AY18=Lookup!$A$3,($AZ18+1)^BF18,
IF($AY18=Lookup!$A$4,BG18*$AZ18+1,"Error")))</f>
        <v>1</v>
      </c>
      <c r="BP18" s="249">
        <f>IF($AY18=Lookup!$A$2,$AZ18*ROUNDUP(BH18/10,0)+1,
IF($AY18=Lookup!$A$3,($AZ18+1)^BG18,
IF($AY18=Lookup!$A$4,BH18*$AZ18+1,"Error")))</f>
        <v>1</v>
      </c>
      <c r="BQ18" s="320"/>
      <c r="BR18" s="321"/>
      <c r="BS18" s="321"/>
      <c r="BT18" s="321"/>
      <c r="BU18" s="321"/>
      <c r="BV18" s="321"/>
      <c r="BW18" s="321"/>
      <c r="BX18" s="277"/>
      <c r="BY18" s="382" t="s">
        <v>292</v>
      </c>
      <c r="BZ18" s="383">
        <f>HLOOKUP($BY18,$AH$6:$AJ$132,ROWS(BZ$6:BZ18),0)</f>
        <v>0</v>
      </c>
      <c r="CA18" s="234">
        <f t="shared" si="28"/>
        <v>0</v>
      </c>
      <c r="CB18" s="96">
        <f t="shared" si="20"/>
        <v>0</v>
      </c>
      <c r="CC18" s="96">
        <f t="shared" si="20"/>
        <v>0</v>
      </c>
      <c r="CD18" s="96">
        <f t="shared" si="20"/>
        <v>0</v>
      </c>
      <c r="CE18" s="96">
        <f t="shared" si="20"/>
        <v>0</v>
      </c>
      <c r="CF18" s="96">
        <f t="shared" si="20"/>
        <v>0</v>
      </c>
      <c r="CG18" s="96">
        <f t="shared" si="20"/>
        <v>0</v>
      </c>
      <c r="CH18" s="286">
        <f t="shared" si="20"/>
        <v>0</v>
      </c>
      <c r="CI18" s="305" t="s">
        <v>293</v>
      </c>
      <c r="CJ18" s="315">
        <v>0.05</v>
      </c>
      <c r="CK18" s="306"/>
      <c r="CL18" s="307" t="str">
        <f>IF($CK18&lt;&gt;"",$CK18,HLOOKUP($CI18,$AU$6:$AW$132,ROWS(CL$6:CL18),0))</f>
        <v/>
      </c>
      <c r="CM18" s="97"/>
      <c r="CN18" s="97"/>
      <c r="CO18" s="97"/>
      <c r="CP18" s="97"/>
      <c r="CQ18" s="97"/>
      <c r="CR18" s="97"/>
      <c r="CS18" s="97"/>
      <c r="CT18" s="98"/>
      <c r="CU18" s="392"/>
    </row>
    <row r="19" spans="1:99" x14ac:dyDescent="0.25">
      <c r="A19" s="81" t="s">
        <v>27</v>
      </c>
      <c r="B19" s="82" t="s">
        <v>49</v>
      </c>
      <c r="C19" s="83" t="s">
        <v>50</v>
      </c>
      <c r="D19" s="84"/>
      <c r="E19" s="85"/>
      <c r="F19" s="85"/>
      <c r="G19" s="85"/>
      <c r="H19" s="85"/>
      <c r="I19" s="85"/>
      <c r="J19" s="85"/>
      <c r="K19" s="85"/>
      <c r="L19" s="85"/>
      <c r="M19" s="201"/>
      <c r="N19" s="560">
        <f t="shared" si="21"/>
        <v>0</v>
      </c>
      <c r="O19" s="561">
        <f t="shared" si="0"/>
        <v>0</v>
      </c>
      <c r="P19" s="561">
        <f t="shared" si="1"/>
        <v>0</v>
      </c>
      <c r="Q19" s="561">
        <f t="shared" si="2"/>
        <v>0</v>
      </c>
      <c r="R19" s="561">
        <f t="shared" si="3"/>
        <v>0</v>
      </c>
      <c r="S19" s="561">
        <f t="shared" si="4"/>
        <v>0</v>
      </c>
      <c r="T19" s="561">
        <f t="shared" si="5"/>
        <v>0</v>
      </c>
      <c r="U19" s="561">
        <f t="shared" si="6"/>
        <v>0</v>
      </c>
      <c r="V19" s="561">
        <f t="shared" si="7"/>
        <v>0</v>
      </c>
      <c r="W19" s="562">
        <f t="shared" si="8"/>
        <v>0</v>
      </c>
      <c r="X19" s="86"/>
      <c r="Y19" s="87"/>
      <c r="Z19" s="87"/>
      <c r="AA19" s="87"/>
      <c r="AB19" s="87"/>
      <c r="AC19" s="87"/>
      <c r="AD19" s="87"/>
      <c r="AE19" s="87"/>
      <c r="AF19" s="87"/>
      <c r="AG19" s="194"/>
      <c r="AH19" s="88">
        <f t="shared" si="22"/>
        <v>0</v>
      </c>
      <c r="AI19" s="89" t="str" cm="1">
        <f t="array" aca="1" ref="AI19" ca="1">IFERROR(IF($AJ$4="N",SSUM(AD19:AF19)/3,SUM(AE19:AG19)/3),"")</f>
        <v/>
      </c>
      <c r="AJ19" s="90">
        <f t="shared" si="23"/>
        <v>0</v>
      </c>
      <c r="AK19" s="91" t="str">
        <f t="shared" si="9"/>
        <v/>
      </c>
      <c r="AL19" s="92" t="str">
        <f t="shared" si="10"/>
        <v/>
      </c>
      <c r="AM19" s="92" t="str">
        <f t="shared" si="11"/>
        <v/>
      </c>
      <c r="AN19" s="92" t="str">
        <f t="shared" si="12"/>
        <v/>
      </c>
      <c r="AO19" s="92" t="str">
        <f t="shared" si="13"/>
        <v/>
      </c>
      <c r="AP19" s="92" t="str">
        <f t="shared" si="14"/>
        <v/>
      </c>
      <c r="AQ19" s="92" t="str">
        <f t="shared" si="15"/>
        <v/>
      </c>
      <c r="AR19" s="92" t="str">
        <f t="shared" si="16"/>
        <v/>
      </c>
      <c r="AS19" s="92" t="str">
        <f t="shared" si="17"/>
        <v/>
      </c>
      <c r="AT19" s="217" t="str">
        <f t="shared" si="18"/>
        <v/>
      </c>
      <c r="AU19" s="93" t="str">
        <f t="shared" si="24"/>
        <v/>
      </c>
      <c r="AV19" s="94" t="str">
        <f t="shared" si="25"/>
        <v/>
      </c>
      <c r="AW19" s="95" t="str">
        <f t="shared" si="26"/>
        <v/>
      </c>
      <c r="AX19" s="248" t="s">
        <v>422</v>
      </c>
      <c r="AY19" s="229" t="s">
        <v>433</v>
      </c>
      <c r="AZ19" s="249">
        <v>0</v>
      </c>
      <c r="BA19" s="267">
        <f t="shared" si="27"/>
        <v>0</v>
      </c>
      <c r="BB19" s="268">
        <f t="shared" si="19"/>
        <v>0</v>
      </c>
      <c r="BC19" s="268">
        <f t="shared" si="19"/>
        <v>0</v>
      </c>
      <c r="BD19" s="268">
        <f t="shared" si="19"/>
        <v>1</v>
      </c>
      <c r="BE19" s="268">
        <f t="shared" si="19"/>
        <v>2</v>
      </c>
      <c r="BF19" s="268">
        <f t="shared" si="19"/>
        <v>3</v>
      </c>
      <c r="BG19" s="268">
        <f t="shared" si="19"/>
        <v>4</v>
      </c>
      <c r="BH19" s="269">
        <f t="shared" si="19"/>
        <v>5</v>
      </c>
      <c r="BI19" s="256">
        <f>IF($AY19=Lookup!$A$2,$AZ19*ROUNDUP(BA19/10,0)+1,
IF($AY19=Lookup!$A$3,($AZ19+1)^AZ19,
IF($AY19=Lookup!$A$4,BA19*$AZ19+1,"Error")))</f>
        <v>1</v>
      </c>
      <c r="BJ19" s="229">
        <f>IF($AY19=Lookup!$A$2,$AZ19*ROUNDUP(BB19/10,0)+1,
IF($AY19=Lookup!$A$3,($AZ19+1)^BA19,
IF($AY19=Lookup!$A$4,BB19*$AZ19+1,"Error")))</f>
        <v>1</v>
      </c>
      <c r="BK19" s="229">
        <f>IF($AY19=Lookup!$A$2,$AZ19*ROUNDUP(BC19/10,0)+1,
IF($AY19=Lookup!$A$3,($AZ19+1)^BB19,
IF($AY19=Lookup!$A$4,BC19*$AZ19+1,"Error")))</f>
        <v>1</v>
      </c>
      <c r="BL19" s="229">
        <f>IF($AY19=Lookup!$A$2,$AZ19*ROUNDUP(BD19/10,0)+1,
IF($AY19=Lookup!$A$3,($AZ19+1)^BC19,
IF($AY19=Lookup!$A$4,BD19*$AZ19+1,"Error")))</f>
        <v>1</v>
      </c>
      <c r="BM19" s="229">
        <f>IF($AY19=Lookup!$A$2,$AZ19*ROUNDUP(BE19/10,0)+1,
IF($AY19=Lookup!$A$3,($AZ19+1)^BD19,
IF($AY19=Lookup!$A$4,BE19*$AZ19+1,"Error")))</f>
        <v>1</v>
      </c>
      <c r="BN19" s="229">
        <f>IF($AY19=Lookup!$A$2,$AZ19*ROUNDUP(BF19/10,0)+1,
IF($AY19=Lookup!$A$3,($AZ19+1)^BE19,
IF($AY19=Lookup!$A$4,BF19*$AZ19+1,"Error")))</f>
        <v>1</v>
      </c>
      <c r="BO19" s="229">
        <f>IF($AY19=Lookup!$A$2,$AZ19*ROUNDUP(BG19/10,0)+1,
IF($AY19=Lookup!$A$3,($AZ19+1)^BF19,
IF($AY19=Lookup!$A$4,BG19*$AZ19+1,"Error")))</f>
        <v>1</v>
      </c>
      <c r="BP19" s="249">
        <f>IF($AY19=Lookup!$A$2,$AZ19*ROUNDUP(BH19/10,0)+1,
IF($AY19=Lookup!$A$3,($AZ19+1)^BG19,
IF($AY19=Lookup!$A$4,BH19*$AZ19+1,"Error")))</f>
        <v>1</v>
      </c>
      <c r="BQ19" s="320"/>
      <c r="BR19" s="321"/>
      <c r="BS19" s="321"/>
      <c r="BT19" s="321"/>
      <c r="BU19" s="321"/>
      <c r="BV19" s="321"/>
      <c r="BW19" s="321"/>
      <c r="BX19" s="277"/>
      <c r="BY19" s="382" t="s">
        <v>292</v>
      </c>
      <c r="BZ19" s="383">
        <f>HLOOKUP($BY19,$AH$6:$AJ$132,ROWS(BZ$6:BZ19),0)</f>
        <v>0</v>
      </c>
      <c r="CA19" s="234">
        <f t="shared" si="28"/>
        <v>0</v>
      </c>
      <c r="CB19" s="96">
        <f t="shared" si="20"/>
        <v>0</v>
      </c>
      <c r="CC19" s="96">
        <f t="shared" si="20"/>
        <v>0</v>
      </c>
      <c r="CD19" s="96">
        <f t="shared" si="20"/>
        <v>0</v>
      </c>
      <c r="CE19" s="96">
        <f t="shared" si="20"/>
        <v>0</v>
      </c>
      <c r="CF19" s="96">
        <f t="shared" si="20"/>
        <v>0</v>
      </c>
      <c r="CG19" s="96">
        <f t="shared" si="20"/>
        <v>0</v>
      </c>
      <c r="CH19" s="286">
        <f t="shared" si="20"/>
        <v>0</v>
      </c>
      <c r="CI19" s="305" t="s">
        <v>293</v>
      </c>
      <c r="CJ19" s="315">
        <v>0.05</v>
      </c>
      <c r="CK19" s="306"/>
      <c r="CL19" s="307" t="str">
        <f>IF($CK19&lt;&gt;"",$CK19,HLOOKUP($CI19,$AU$6:$AW$132,ROWS(CL$6:CL19),0))</f>
        <v/>
      </c>
      <c r="CM19" s="97"/>
      <c r="CN19" s="97"/>
      <c r="CO19" s="97"/>
      <c r="CP19" s="97"/>
      <c r="CQ19" s="97"/>
      <c r="CR19" s="97"/>
      <c r="CS19" s="97"/>
      <c r="CT19" s="98"/>
      <c r="CU19" s="392"/>
    </row>
    <row r="20" spans="1:99" x14ac:dyDescent="0.25">
      <c r="A20" s="81" t="s">
        <v>27</v>
      </c>
      <c r="B20" s="82" t="s">
        <v>51</v>
      </c>
      <c r="C20" s="83" t="s">
        <v>301</v>
      </c>
      <c r="D20" s="84"/>
      <c r="E20" s="85"/>
      <c r="F20" s="85"/>
      <c r="G20" s="85"/>
      <c r="H20" s="85"/>
      <c r="I20" s="85"/>
      <c r="J20" s="85"/>
      <c r="K20" s="85"/>
      <c r="L20" s="85"/>
      <c r="M20" s="201"/>
      <c r="N20" s="560">
        <f t="shared" si="21"/>
        <v>0</v>
      </c>
      <c r="O20" s="561">
        <f t="shared" si="0"/>
        <v>0</v>
      </c>
      <c r="P20" s="561">
        <f t="shared" si="1"/>
        <v>0</v>
      </c>
      <c r="Q20" s="561">
        <f t="shared" si="2"/>
        <v>0</v>
      </c>
      <c r="R20" s="561">
        <f t="shared" si="3"/>
        <v>0</v>
      </c>
      <c r="S20" s="561">
        <f t="shared" si="4"/>
        <v>0</v>
      </c>
      <c r="T20" s="561">
        <f t="shared" si="5"/>
        <v>0</v>
      </c>
      <c r="U20" s="561">
        <f t="shared" si="6"/>
        <v>0</v>
      </c>
      <c r="V20" s="561">
        <f t="shared" si="7"/>
        <v>0</v>
      </c>
      <c r="W20" s="562">
        <f t="shared" si="8"/>
        <v>0</v>
      </c>
      <c r="X20" s="86"/>
      <c r="Y20" s="87"/>
      <c r="Z20" s="87"/>
      <c r="AA20" s="87"/>
      <c r="AB20" s="87"/>
      <c r="AC20" s="87"/>
      <c r="AD20" s="87"/>
      <c r="AE20" s="87"/>
      <c r="AF20" s="87"/>
      <c r="AG20" s="194"/>
      <c r="AH20" s="88">
        <f t="shared" si="22"/>
        <v>0</v>
      </c>
      <c r="AI20" s="89" t="str" cm="1">
        <f t="array" aca="1" ref="AI20" ca="1">IFERROR(IF($AJ$4="N",SSUM(AD20:AF20)/3,SUM(AE20:AG20)/3),"")</f>
        <v/>
      </c>
      <c r="AJ20" s="90">
        <f t="shared" si="23"/>
        <v>0</v>
      </c>
      <c r="AK20" s="91" t="str">
        <f t="shared" si="9"/>
        <v/>
      </c>
      <c r="AL20" s="92" t="str">
        <f t="shared" si="10"/>
        <v/>
      </c>
      <c r="AM20" s="92" t="str">
        <f t="shared" si="11"/>
        <v/>
      </c>
      <c r="AN20" s="92" t="str">
        <f t="shared" si="12"/>
        <v/>
      </c>
      <c r="AO20" s="92" t="str">
        <f t="shared" si="13"/>
        <v/>
      </c>
      <c r="AP20" s="92" t="str">
        <f t="shared" si="14"/>
        <v/>
      </c>
      <c r="AQ20" s="92" t="str">
        <f t="shared" si="15"/>
        <v/>
      </c>
      <c r="AR20" s="92" t="str">
        <f t="shared" si="16"/>
        <v/>
      </c>
      <c r="AS20" s="92" t="str">
        <f t="shared" si="17"/>
        <v/>
      </c>
      <c r="AT20" s="217" t="str">
        <f t="shared" si="18"/>
        <v/>
      </c>
      <c r="AU20" s="93" t="str">
        <f t="shared" si="24"/>
        <v/>
      </c>
      <c r="AV20" s="94" t="str">
        <f t="shared" si="25"/>
        <v/>
      </c>
      <c r="AW20" s="95" t="str">
        <f t="shared" si="26"/>
        <v/>
      </c>
      <c r="AX20" s="248" t="s">
        <v>422</v>
      </c>
      <c r="AY20" s="229" t="s">
        <v>433</v>
      </c>
      <c r="AZ20" s="249">
        <v>0</v>
      </c>
      <c r="BA20" s="267">
        <f t="shared" si="27"/>
        <v>0</v>
      </c>
      <c r="BB20" s="268">
        <f t="shared" si="19"/>
        <v>0</v>
      </c>
      <c r="BC20" s="268">
        <f t="shared" si="19"/>
        <v>0</v>
      </c>
      <c r="BD20" s="268">
        <f t="shared" si="19"/>
        <v>1</v>
      </c>
      <c r="BE20" s="268">
        <f t="shared" si="19"/>
        <v>2</v>
      </c>
      <c r="BF20" s="268">
        <f t="shared" si="19"/>
        <v>3</v>
      </c>
      <c r="BG20" s="268">
        <f t="shared" si="19"/>
        <v>4</v>
      </c>
      <c r="BH20" s="269">
        <f t="shared" si="19"/>
        <v>5</v>
      </c>
      <c r="BI20" s="256">
        <f>IF($AY20=Lookup!$A$2,$AZ20*ROUNDUP(BA20/10,0)+1,
IF($AY20=Lookup!$A$3,($AZ20+1)^AZ20,
IF($AY20=Lookup!$A$4,BA20*$AZ20+1,"Error")))</f>
        <v>1</v>
      </c>
      <c r="BJ20" s="229">
        <f>IF($AY20=Lookup!$A$2,$AZ20*ROUNDUP(BB20/10,0)+1,
IF($AY20=Lookup!$A$3,($AZ20+1)^BA20,
IF($AY20=Lookup!$A$4,BB20*$AZ20+1,"Error")))</f>
        <v>1</v>
      </c>
      <c r="BK20" s="229">
        <f>IF($AY20=Lookup!$A$2,$AZ20*ROUNDUP(BC20/10,0)+1,
IF($AY20=Lookup!$A$3,($AZ20+1)^BB20,
IF($AY20=Lookup!$A$4,BC20*$AZ20+1,"Error")))</f>
        <v>1</v>
      </c>
      <c r="BL20" s="229">
        <f>IF($AY20=Lookup!$A$2,$AZ20*ROUNDUP(BD20/10,0)+1,
IF($AY20=Lookup!$A$3,($AZ20+1)^BC20,
IF($AY20=Lookup!$A$4,BD20*$AZ20+1,"Error")))</f>
        <v>1</v>
      </c>
      <c r="BM20" s="229">
        <f>IF($AY20=Lookup!$A$2,$AZ20*ROUNDUP(BE20/10,0)+1,
IF($AY20=Lookup!$A$3,($AZ20+1)^BD20,
IF($AY20=Lookup!$A$4,BE20*$AZ20+1,"Error")))</f>
        <v>1</v>
      </c>
      <c r="BN20" s="229">
        <f>IF($AY20=Lookup!$A$2,$AZ20*ROUNDUP(BF20/10,0)+1,
IF($AY20=Lookup!$A$3,($AZ20+1)^BE20,
IF($AY20=Lookup!$A$4,BF20*$AZ20+1,"Error")))</f>
        <v>1</v>
      </c>
      <c r="BO20" s="229">
        <f>IF($AY20=Lookup!$A$2,$AZ20*ROUNDUP(BG20/10,0)+1,
IF($AY20=Lookup!$A$3,($AZ20+1)^BF20,
IF($AY20=Lookup!$A$4,BG20*$AZ20+1,"Error")))</f>
        <v>1</v>
      </c>
      <c r="BP20" s="249">
        <f>IF($AY20=Lookup!$A$2,$AZ20*ROUNDUP(BH20/10,0)+1,
IF($AY20=Lookup!$A$3,($AZ20+1)^BG20,
IF($AY20=Lookup!$A$4,BH20*$AZ20+1,"Error")))</f>
        <v>1</v>
      </c>
      <c r="BQ20" s="320"/>
      <c r="BR20" s="321"/>
      <c r="BS20" s="321"/>
      <c r="BT20" s="321"/>
      <c r="BU20" s="321"/>
      <c r="BV20" s="321"/>
      <c r="BW20" s="321"/>
      <c r="BX20" s="277"/>
      <c r="BY20" s="382" t="s">
        <v>292</v>
      </c>
      <c r="BZ20" s="383">
        <f>HLOOKUP($BY20,$AH$6:$AJ$132,ROWS(BZ$6:BZ20),0)</f>
        <v>0</v>
      </c>
      <c r="CA20" s="234">
        <f t="shared" si="28"/>
        <v>0</v>
      </c>
      <c r="CB20" s="96">
        <f t="shared" si="20"/>
        <v>0</v>
      </c>
      <c r="CC20" s="96">
        <f t="shared" si="20"/>
        <v>0</v>
      </c>
      <c r="CD20" s="96">
        <f t="shared" si="20"/>
        <v>0</v>
      </c>
      <c r="CE20" s="96">
        <f t="shared" si="20"/>
        <v>0</v>
      </c>
      <c r="CF20" s="96">
        <f t="shared" si="20"/>
        <v>0</v>
      </c>
      <c r="CG20" s="96">
        <f t="shared" si="20"/>
        <v>0</v>
      </c>
      <c r="CH20" s="286">
        <f t="shared" si="20"/>
        <v>0</v>
      </c>
      <c r="CI20" s="305" t="s">
        <v>293</v>
      </c>
      <c r="CJ20" s="315">
        <v>0.05</v>
      </c>
      <c r="CK20" s="306"/>
      <c r="CL20" s="307" t="str">
        <f>IF($CK20&lt;&gt;"",$CK20,HLOOKUP($CI20,$AU$6:$AW$132,ROWS(CL$6:CL20),0))</f>
        <v/>
      </c>
      <c r="CM20" s="97"/>
      <c r="CN20" s="97"/>
      <c r="CO20" s="97"/>
      <c r="CP20" s="97"/>
      <c r="CQ20" s="97"/>
      <c r="CR20" s="97"/>
      <c r="CS20" s="97"/>
      <c r="CT20" s="98"/>
      <c r="CU20" s="392"/>
    </row>
    <row r="21" spans="1:99" x14ac:dyDescent="0.25">
      <c r="A21" s="81" t="s">
        <v>27</v>
      </c>
      <c r="B21" s="82" t="s">
        <v>53</v>
      </c>
      <c r="C21" s="83" t="s">
        <v>54</v>
      </c>
      <c r="D21" s="84"/>
      <c r="E21" s="85"/>
      <c r="F21" s="85"/>
      <c r="G21" s="85"/>
      <c r="H21" s="85"/>
      <c r="I21" s="85"/>
      <c r="J21" s="85"/>
      <c r="K21" s="85"/>
      <c r="L21" s="85"/>
      <c r="M21" s="201"/>
      <c r="N21" s="560">
        <f t="shared" si="21"/>
        <v>0</v>
      </c>
      <c r="O21" s="561">
        <f t="shared" si="0"/>
        <v>0</v>
      </c>
      <c r="P21" s="561">
        <f t="shared" si="1"/>
        <v>0</v>
      </c>
      <c r="Q21" s="561">
        <f t="shared" si="2"/>
        <v>0</v>
      </c>
      <c r="R21" s="561">
        <f t="shared" si="3"/>
        <v>0</v>
      </c>
      <c r="S21" s="561">
        <f t="shared" si="4"/>
        <v>0</v>
      </c>
      <c r="T21" s="561">
        <f t="shared" si="5"/>
        <v>0</v>
      </c>
      <c r="U21" s="561">
        <f t="shared" si="6"/>
        <v>0</v>
      </c>
      <c r="V21" s="561">
        <f t="shared" si="7"/>
        <v>0</v>
      </c>
      <c r="W21" s="562">
        <f t="shared" si="8"/>
        <v>0</v>
      </c>
      <c r="X21" s="86"/>
      <c r="Y21" s="87"/>
      <c r="Z21" s="87"/>
      <c r="AA21" s="87"/>
      <c r="AB21" s="87"/>
      <c r="AC21" s="87"/>
      <c r="AD21" s="87"/>
      <c r="AE21" s="87"/>
      <c r="AF21" s="87"/>
      <c r="AG21" s="194"/>
      <c r="AH21" s="88">
        <f t="shared" si="22"/>
        <v>0</v>
      </c>
      <c r="AI21" s="89" t="str" cm="1">
        <f t="array" aca="1" ref="AI21" ca="1">IFERROR(IF($AJ$4="N",SSUM(AD21:AF21)/3,SUM(AE21:AG21)/3),"")</f>
        <v/>
      </c>
      <c r="AJ21" s="90">
        <f t="shared" si="23"/>
        <v>0</v>
      </c>
      <c r="AK21" s="91" t="str">
        <f t="shared" si="9"/>
        <v/>
      </c>
      <c r="AL21" s="92" t="str">
        <f t="shared" si="10"/>
        <v/>
      </c>
      <c r="AM21" s="92" t="str">
        <f t="shared" si="11"/>
        <v/>
      </c>
      <c r="AN21" s="92" t="str">
        <f t="shared" si="12"/>
        <v/>
      </c>
      <c r="AO21" s="92" t="str">
        <f t="shared" si="13"/>
        <v/>
      </c>
      <c r="AP21" s="92" t="str">
        <f t="shared" si="14"/>
        <v/>
      </c>
      <c r="AQ21" s="92" t="str">
        <f t="shared" si="15"/>
        <v/>
      </c>
      <c r="AR21" s="92" t="str">
        <f t="shared" si="16"/>
        <v/>
      </c>
      <c r="AS21" s="92" t="str">
        <f t="shared" si="17"/>
        <v/>
      </c>
      <c r="AT21" s="217" t="str">
        <f t="shared" si="18"/>
        <v/>
      </c>
      <c r="AU21" s="93" t="str">
        <f t="shared" si="24"/>
        <v/>
      </c>
      <c r="AV21" s="94" t="str">
        <f t="shared" si="25"/>
        <v/>
      </c>
      <c r="AW21" s="95" t="str">
        <f t="shared" si="26"/>
        <v/>
      </c>
      <c r="AX21" s="248" t="s">
        <v>422</v>
      </c>
      <c r="AY21" s="229" t="s">
        <v>433</v>
      </c>
      <c r="AZ21" s="249">
        <v>0</v>
      </c>
      <c r="BA21" s="267">
        <f t="shared" si="27"/>
        <v>0</v>
      </c>
      <c r="BB21" s="268">
        <f t="shared" si="19"/>
        <v>0</v>
      </c>
      <c r="BC21" s="268">
        <f t="shared" si="19"/>
        <v>0</v>
      </c>
      <c r="BD21" s="268">
        <f t="shared" si="19"/>
        <v>1</v>
      </c>
      <c r="BE21" s="268">
        <f t="shared" si="19"/>
        <v>2</v>
      </c>
      <c r="BF21" s="268">
        <f t="shared" si="19"/>
        <v>3</v>
      </c>
      <c r="BG21" s="268">
        <f t="shared" si="19"/>
        <v>4</v>
      </c>
      <c r="BH21" s="269">
        <f t="shared" si="19"/>
        <v>5</v>
      </c>
      <c r="BI21" s="256">
        <f>IF($AY21=Lookup!$A$2,$AZ21*ROUNDUP(BA21/10,0)+1,
IF($AY21=Lookup!$A$3,($AZ21+1)^AZ21,
IF($AY21=Lookup!$A$4,BA21*$AZ21+1,"Error")))</f>
        <v>1</v>
      </c>
      <c r="BJ21" s="229">
        <f>IF($AY21=Lookup!$A$2,$AZ21*ROUNDUP(BB21/10,0)+1,
IF($AY21=Lookup!$A$3,($AZ21+1)^BA21,
IF($AY21=Lookup!$A$4,BB21*$AZ21+1,"Error")))</f>
        <v>1</v>
      </c>
      <c r="BK21" s="229">
        <f>IF($AY21=Lookup!$A$2,$AZ21*ROUNDUP(BC21/10,0)+1,
IF($AY21=Lookup!$A$3,($AZ21+1)^BB21,
IF($AY21=Lookup!$A$4,BC21*$AZ21+1,"Error")))</f>
        <v>1</v>
      </c>
      <c r="BL21" s="229">
        <f>IF($AY21=Lookup!$A$2,$AZ21*ROUNDUP(BD21/10,0)+1,
IF($AY21=Lookup!$A$3,($AZ21+1)^BC21,
IF($AY21=Lookup!$A$4,BD21*$AZ21+1,"Error")))</f>
        <v>1</v>
      </c>
      <c r="BM21" s="229">
        <f>IF($AY21=Lookup!$A$2,$AZ21*ROUNDUP(BE21/10,0)+1,
IF($AY21=Lookup!$A$3,($AZ21+1)^BD21,
IF($AY21=Lookup!$A$4,BE21*$AZ21+1,"Error")))</f>
        <v>1</v>
      </c>
      <c r="BN21" s="229">
        <f>IF($AY21=Lookup!$A$2,$AZ21*ROUNDUP(BF21/10,0)+1,
IF($AY21=Lookup!$A$3,($AZ21+1)^BE21,
IF($AY21=Lookup!$A$4,BF21*$AZ21+1,"Error")))</f>
        <v>1</v>
      </c>
      <c r="BO21" s="229">
        <f>IF($AY21=Lookup!$A$2,$AZ21*ROUNDUP(BG21/10,0)+1,
IF($AY21=Lookup!$A$3,($AZ21+1)^BF21,
IF($AY21=Lookup!$A$4,BG21*$AZ21+1,"Error")))</f>
        <v>1</v>
      </c>
      <c r="BP21" s="249">
        <f>IF($AY21=Lookup!$A$2,$AZ21*ROUNDUP(BH21/10,0)+1,
IF($AY21=Lookup!$A$3,($AZ21+1)^BG21,
IF($AY21=Lookup!$A$4,BH21*$AZ21+1,"Error")))</f>
        <v>1</v>
      </c>
      <c r="BQ21" s="320"/>
      <c r="BR21" s="321"/>
      <c r="BS21" s="321"/>
      <c r="BT21" s="321"/>
      <c r="BU21" s="321"/>
      <c r="BV21" s="321"/>
      <c r="BW21" s="321"/>
      <c r="BX21" s="277"/>
      <c r="BY21" s="382" t="s">
        <v>292</v>
      </c>
      <c r="BZ21" s="383">
        <f>HLOOKUP($BY21,$AH$6:$AJ$132,ROWS(BZ$6:BZ21),0)</f>
        <v>0</v>
      </c>
      <c r="CA21" s="234">
        <f t="shared" si="28"/>
        <v>0</v>
      </c>
      <c r="CB21" s="96">
        <f t="shared" si="20"/>
        <v>0</v>
      </c>
      <c r="CC21" s="96">
        <f t="shared" si="20"/>
        <v>0</v>
      </c>
      <c r="CD21" s="96">
        <f t="shared" si="20"/>
        <v>0</v>
      </c>
      <c r="CE21" s="96">
        <f t="shared" si="20"/>
        <v>0</v>
      </c>
      <c r="CF21" s="96">
        <f t="shared" si="20"/>
        <v>0</v>
      </c>
      <c r="CG21" s="96">
        <f t="shared" si="20"/>
        <v>0</v>
      </c>
      <c r="CH21" s="286">
        <f t="shared" si="20"/>
        <v>0</v>
      </c>
      <c r="CI21" s="305" t="s">
        <v>293</v>
      </c>
      <c r="CJ21" s="315">
        <v>0.05</v>
      </c>
      <c r="CK21" s="306"/>
      <c r="CL21" s="307" t="str">
        <f>IF($CK21&lt;&gt;"",$CK21,HLOOKUP($CI21,$AU$6:$AW$132,ROWS(CL$6:CL21),0))</f>
        <v/>
      </c>
      <c r="CM21" s="97"/>
      <c r="CN21" s="97"/>
      <c r="CO21" s="97"/>
      <c r="CP21" s="97"/>
      <c r="CQ21" s="97"/>
      <c r="CR21" s="97"/>
      <c r="CS21" s="97"/>
      <c r="CT21" s="98"/>
      <c r="CU21" s="392"/>
    </row>
    <row r="22" spans="1:99" x14ac:dyDescent="0.25">
      <c r="A22" s="81" t="s">
        <v>27</v>
      </c>
      <c r="B22" s="82" t="s">
        <v>55</v>
      </c>
      <c r="C22" s="83" t="s">
        <v>302</v>
      </c>
      <c r="D22" s="84"/>
      <c r="E22" s="85"/>
      <c r="F22" s="85"/>
      <c r="G22" s="85"/>
      <c r="H22" s="85"/>
      <c r="I22" s="85"/>
      <c r="J22" s="85"/>
      <c r="K22" s="85"/>
      <c r="L22" s="85"/>
      <c r="M22" s="201"/>
      <c r="N22" s="560">
        <f t="shared" si="21"/>
        <v>0</v>
      </c>
      <c r="O22" s="561">
        <f t="shared" si="0"/>
        <v>0</v>
      </c>
      <c r="P22" s="561">
        <f t="shared" si="1"/>
        <v>0</v>
      </c>
      <c r="Q22" s="561">
        <f t="shared" si="2"/>
        <v>0</v>
      </c>
      <c r="R22" s="561">
        <f t="shared" si="3"/>
        <v>0</v>
      </c>
      <c r="S22" s="561">
        <f t="shared" si="4"/>
        <v>0</v>
      </c>
      <c r="T22" s="561">
        <f t="shared" si="5"/>
        <v>0</v>
      </c>
      <c r="U22" s="561">
        <f t="shared" si="6"/>
        <v>0</v>
      </c>
      <c r="V22" s="561">
        <f t="shared" si="7"/>
        <v>0</v>
      </c>
      <c r="W22" s="562">
        <f t="shared" si="8"/>
        <v>0</v>
      </c>
      <c r="X22" s="86"/>
      <c r="Y22" s="87"/>
      <c r="Z22" s="87"/>
      <c r="AA22" s="87"/>
      <c r="AB22" s="87"/>
      <c r="AC22" s="87"/>
      <c r="AD22" s="87"/>
      <c r="AE22" s="87"/>
      <c r="AF22" s="87"/>
      <c r="AG22" s="194"/>
      <c r="AH22" s="88">
        <f t="shared" si="22"/>
        <v>0</v>
      </c>
      <c r="AI22" s="89" t="str" cm="1">
        <f t="array" aca="1" ref="AI22" ca="1">IFERROR(IF($AJ$4="N",SSUM(AD22:AF22)/3,SUM(AE22:AG22)/3),"")</f>
        <v/>
      </c>
      <c r="AJ22" s="90">
        <f t="shared" si="23"/>
        <v>0</v>
      </c>
      <c r="AK22" s="91" t="str">
        <f t="shared" si="9"/>
        <v/>
      </c>
      <c r="AL22" s="92" t="str">
        <f t="shared" si="10"/>
        <v/>
      </c>
      <c r="AM22" s="92" t="str">
        <f t="shared" si="11"/>
        <v/>
      </c>
      <c r="AN22" s="92" t="str">
        <f t="shared" si="12"/>
        <v/>
      </c>
      <c r="AO22" s="92" t="str">
        <f t="shared" si="13"/>
        <v/>
      </c>
      <c r="AP22" s="92" t="str">
        <f t="shared" si="14"/>
        <v/>
      </c>
      <c r="AQ22" s="92" t="str">
        <f t="shared" si="15"/>
        <v/>
      </c>
      <c r="AR22" s="92" t="str">
        <f t="shared" si="16"/>
        <v/>
      </c>
      <c r="AS22" s="92" t="str">
        <f t="shared" si="17"/>
        <v/>
      </c>
      <c r="AT22" s="217" t="str">
        <f t="shared" si="18"/>
        <v/>
      </c>
      <c r="AU22" s="93" t="str">
        <f t="shared" si="24"/>
        <v/>
      </c>
      <c r="AV22" s="94" t="str">
        <f t="shared" si="25"/>
        <v/>
      </c>
      <c r="AW22" s="95" t="str">
        <f t="shared" si="26"/>
        <v/>
      </c>
      <c r="AX22" s="248" t="s">
        <v>422</v>
      </c>
      <c r="AY22" s="229" t="s">
        <v>433</v>
      </c>
      <c r="AZ22" s="249">
        <v>0</v>
      </c>
      <c r="BA22" s="267">
        <f t="shared" si="27"/>
        <v>0</v>
      </c>
      <c r="BB22" s="268">
        <f t="shared" si="19"/>
        <v>0</v>
      </c>
      <c r="BC22" s="268">
        <f t="shared" si="19"/>
        <v>0</v>
      </c>
      <c r="BD22" s="268">
        <f t="shared" si="19"/>
        <v>1</v>
      </c>
      <c r="BE22" s="268">
        <f t="shared" si="19"/>
        <v>2</v>
      </c>
      <c r="BF22" s="268">
        <f t="shared" si="19"/>
        <v>3</v>
      </c>
      <c r="BG22" s="268">
        <f t="shared" si="19"/>
        <v>4</v>
      </c>
      <c r="BH22" s="269">
        <f t="shared" si="19"/>
        <v>5</v>
      </c>
      <c r="BI22" s="256">
        <f>IF($AY22=Lookup!$A$2,$AZ22*ROUNDUP(BA22/10,0)+1,
IF($AY22=Lookup!$A$3,($AZ22+1)^AZ22,
IF($AY22=Lookup!$A$4,BA22*$AZ22+1,"Error")))</f>
        <v>1</v>
      </c>
      <c r="BJ22" s="229">
        <f>IF($AY22=Lookup!$A$2,$AZ22*ROUNDUP(BB22/10,0)+1,
IF($AY22=Lookup!$A$3,($AZ22+1)^BA22,
IF($AY22=Lookup!$A$4,BB22*$AZ22+1,"Error")))</f>
        <v>1</v>
      </c>
      <c r="BK22" s="229">
        <f>IF($AY22=Lookup!$A$2,$AZ22*ROUNDUP(BC22/10,0)+1,
IF($AY22=Lookup!$A$3,($AZ22+1)^BB22,
IF($AY22=Lookup!$A$4,BC22*$AZ22+1,"Error")))</f>
        <v>1</v>
      </c>
      <c r="BL22" s="229">
        <f>IF($AY22=Lookup!$A$2,$AZ22*ROUNDUP(BD22/10,0)+1,
IF($AY22=Lookup!$A$3,($AZ22+1)^BC22,
IF($AY22=Lookup!$A$4,BD22*$AZ22+1,"Error")))</f>
        <v>1</v>
      </c>
      <c r="BM22" s="229">
        <f>IF($AY22=Lookup!$A$2,$AZ22*ROUNDUP(BE22/10,0)+1,
IF($AY22=Lookup!$A$3,($AZ22+1)^BD22,
IF($AY22=Lookup!$A$4,BE22*$AZ22+1,"Error")))</f>
        <v>1</v>
      </c>
      <c r="BN22" s="229">
        <f>IF($AY22=Lookup!$A$2,$AZ22*ROUNDUP(BF22/10,0)+1,
IF($AY22=Lookup!$A$3,($AZ22+1)^BE22,
IF($AY22=Lookup!$A$4,BF22*$AZ22+1,"Error")))</f>
        <v>1</v>
      </c>
      <c r="BO22" s="229">
        <f>IF($AY22=Lookup!$A$2,$AZ22*ROUNDUP(BG22/10,0)+1,
IF($AY22=Lookup!$A$3,($AZ22+1)^BF22,
IF($AY22=Lookup!$A$4,BG22*$AZ22+1,"Error")))</f>
        <v>1</v>
      </c>
      <c r="BP22" s="249">
        <f>IF($AY22=Lookup!$A$2,$AZ22*ROUNDUP(BH22/10,0)+1,
IF($AY22=Lookup!$A$3,($AZ22+1)^BG22,
IF($AY22=Lookup!$A$4,BH22*$AZ22+1,"Error")))</f>
        <v>1</v>
      </c>
      <c r="BQ22" s="320"/>
      <c r="BR22" s="321"/>
      <c r="BS22" s="321"/>
      <c r="BT22" s="321"/>
      <c r="BU22" s="321"/>
      <c r="BV22" s="321"/>
      <c r="BW22" s="321"/>
      <c r="BX22" s="277"/>
      <c r="BY22" s="382" t="s">
        <v>292</v>
      </c>
      <c r="BZ22" s="383">
        <f>HLOOKUP($BY22,$AH$6:$AJ$132,ROWS(BZ$6:BZ22),0)</f>
        <v>0</v>
      </c>
      <c r="CA22" s="234">
        <f t="shared" si="28"/>
        <v>0</v>
      </c>
      <c r="CB22" s="96">
        <f t="shared" si="20"/>
        <v>0</v>
      </c>
      <c r="CC22" s="96">
        <f t="shared" si="20"/>
        <v>0</v>
      </c>
      <c r="CD22" s="96">
        <f t="shared" si="20"/>
        <v>0</v>
      </c>
      <c r="CE22" s="96">
        <f t="shared" si="20"/>
        <v>0</v>
      </c>
      <c r="CF22" s="96">
        <f t="shared" si="20"/>
        <v>0</v>
      </c>
      <c r="CG22" s="96">
        <f t="shared" si="20"/>
        <v>0</v>
      </c>
      <c r="CH22" s="286">
        <f t="shared" si="20"/>
        <v>0</v>
      </c>
      <c r="CI22" s="305" t="s">
        <v>293</v>
      </c>
      <c r="CJ22" s="315">
        <v>0.05</v>
      </c>
      <c r="CK22" s="306"/>
      <c r="CL22" s="307" t="str">
        <f>IF($CK22&lt;&gt;"",$CK22,HLOOKUP($CI22,$AU$6:$AW$132,ROWS(CL$6:CL22),0))</f>
        <v/>
      </c>
      <c r="CM22" s="97"/>
      <c r="CN22" s="97"/>
      <c r="CO22" s="97"/>
      <c r="CP22" s="97"/>
      <c r="CQ22" s="97"/>
      <c r="CR22" s="97"/>
      <c r="CS22" s="97"/>
      <c r="CT22" s="98"/>
      <c r="CU22" s="392"/>
    </row>
    <row r="23" spans="1:99" x14ac:dyDescent="0.25">
      <c r="A23" s="81" t="s">
        <v>27</v>
      </c>
      <c r="B23" s="82" t="s">
        <v>57</v>
      </c>
      <c r="C23" s="83" t="s">
        <v>58</v>
      </c>
      <c r="D23" s="84"/>
      <c r="E23" s="85"/>
      <c r="F23" s="85"/>
      <c r="G23" s="85"/>
      <c r="H23" s="85"/>
      <c r="I23" s="85"/>
      <c r="J23" s="85"/>
      <c r="K23" s="85"/>
      <c r="L23" s="85"/>
      <c r="M23" s="201"/>
      <c r="N23" s="560">
        <f t="shared" si="21"/>
        <v>0</v>
      </c>
      <c r="O23" s="561">
        <f t="shared" si="0"/>
        <v>0</v>
      </c>
      <c r="P23" s="561">
        <f t="shared" si="1"/>
        <v>0</v>
      </c>
      <c r="Q23" s="561">
        <f t="shared" si="2"/>
        <v>0</v>
      </c>
      <c r="R23" s="561">
        <f t="shared" si="3"/>
        <v>0</v>
      </c>
      <c r="S23" s="561">
        <f t="shared" si="4"/>
        <v>0</v>
      </c>
      <c r="T23" s="561">
        <f t="shared" si="5"/>
        <v>0</v>
      </c>
      <c r="U23" s="561">
        <f t="shared" si="6"/>
        <v>0</v>
      </c>
      <c r="V23" s="561">
        <f t="shared" si="7"/>
        <v>0</v>
      </c>
      <c r="W23" s="562">
        <f t="shared" si="8"/>
        <v>0</v>
      </c>
      <c r="X23" s="86"/>
      <c r="Y23" s="87"/>
      <c r="Z23" s="87"/>
      <c r="AA23" s="87"/>
      <c r="AB23" s="87"/>
      <c r="AC23" s="87"/>
      <c r="AD23" s="87"/>
      <c r="AE23" s="87"/>
      <c r="AF23" s="87"/>
      <c r="AG23" s="194"/>
      <c r="AH23" s="88">
        <f t="shared" si="22"/>
        <v>0</v>
      </c>
      <c r="AI23" s="89" t="str" cm="1">
        <f t="array" aca="1" ref="AI23" ca="1">IFERROR(IF($AJ$4="N",SSUM(AD23:AF23)/3,SUM(AE23:AG23)/3),"")</f>
        <v/>
      </c>
      <c r="AJ23" s="90">
        <f t="shared" si="23"/>
        <v>0</v>
      </c>
      <c r="AK23" s="91" t="str">
        <f t="shared" si="9"/>
        <v/>
      </c>
      <c r="AL23" s="92" t="str">
        <f t="shared" si="10"/>
        <v/>
      </c>
      <c r="AM23" s="92" t="str">
        <f t="shared" si="11"/>
        <v/>
      </c>
      <c r="AN23" s="92" t="str">
        <f t="shared" si="12"/>
        <v/>
      </c>
      <c r="AO23" s="92" t="str">
        <f t="shared" si="13"/>
        <v/>
      </c>
      <c r="AP23" s="92" t="str">
        <f t="shared" si="14"/>
        <v/>
      </c>
      <c r="AQ23" s="92" t="str">
        <f t="shared" si="15"/>
        <v/>
      </c>
      <c r="AR23" s="92" t="str">
        <f t="shared" si="16"/>
        <v/>
      </c>
      <c r="AS23" s="92" t="str">
        <f t="shared" si="17"/>
        <v/>
      </c>
      <c r="AT23" s="217" t="str">
        <f t="shared" si="18"/>
        <v/>
      </c>
      <c r="AU23" s="93" t="str">
        <f t="shared" si="24"/>
        <v/>
      </c>
      <c r="AV23" s="94" t="str">
        <f t="shared" si="25"/>
        <v/>
      </c>
      <c r="AW23" s="95" t="str">
        <f t="shared" si="26"/>
        <v/>
      </c>
      <c r="AX23" s="248" t="s">
        <v>422</v>
      </c>
      <c r="AY23" s="229" t="s">
        <v>433</v>
      </c>
      <c r="AZ23" s="249">
        <v>0</v>
      </c>
      <c r="BA23" s="267">
        <f t="shared" si="27"/>
        <v>0</v>
      </c>
      <c r="BB23" s="268">
        <f t="shared" ref="BB23:BH38" si="29">IF(BB$6=$AX23,1,
IF(BA23&lt;&gt;0,BA23+1,0
))</f>
        <v>0</v>
      </c>
      <c r="BC23" s="268">
        <f t="shared" si="29"/>
        <v>0</v>
      </c>
      <c r="BD23" s="268">
        <f t="shared" si="29"/>
        <v>1</v>
      </c>
      <c r="BE23" s="268">
        <f t="shared" si="29"/>
        <v>2</v>
      </c>
      <c r="BF23" s="268">
        <f t="shared" si="29"/>
        <v>3</v>
      </c>
      <c r="BG23" s="268">
        <f t="shared" si="29"/>
        <v>4</v>
      </c>
      <c r="BH23" s="269">
        <f t="shared" si="29"/>
        <v>5</v>
      </c>
      <c r="BI23" s="256">
        <f>IF($AY23=Lookup!$A$2,$AZ23*ROUNDUP(BA23/10,0)+1,
IF($AY23=Lookup!$A$3,($AZ23+1)^AZ23,
IF($AY23=Lookup!$A$4,BA23*$AZ23+1,"Error")))</f>
        <v>1</v>
      </c>
      <c r="BJ23" s="229">
        <f>IF($AY23=Lookup!$A$2,$AZ23*ROUNDUP(BB23/10,0)+1,
IF($AY23=Lookup!$A$3,($AZ23+1)^BA23,
IF($AY23=Lookup!$A$4,BB23*$AZ23+1,"Error")))</f>
        <v>1</v>
      </c>
      <c r="BK23" s="229">
        <f>IF($AY23=Lookup!$A$2,$AZ23*ROUNDUP(BC23/10,0)+1,
IF($AY23=Lookup!$A$3,($AZ23+1)^BB23,
IF($AY23=Lookup!$A$4,BC23*$AZ23+1,"Error")))</f>
        <v>1</v>
      </c>
      <c r="BL23" s="229">
        <f>IF($AY23=Lookup!$A$2,$AZ23*ROUNDUP(BD23/10,0)+1,
IF($AY23=Lookup!$A$3,($AZ23+1)^BC23,
IF($AY23=Lookup!$A$4,BD23*$AZ23+1,"Error")))</f>
        <v>1</v>
      </c>
      <c r="BM23" s="229">
        <f>IF($AY23=Lookup!$A$2,$AZ23*ROUNDUP(BE23/10,0)+1,
IF($AY23=Lookup!$A$3,($AZ23+1)^BD23,
IF($AY23=Lookup!$A$4,BE23*$AZ23+1,"Error")))</f>
        <v>1</v>
      </c>
      <c r="BN23" s="229">
        <f>IF($AY23=Lookup!$A$2,$AZ23*ROUNDUP(BF23/10,0)+1,
IF($AY23=Lookup!$A$3,($AZ23+1)^BE23,
IF($AY23=Lookup!$A$4,BF23*$AZ23+1,"Error")))</f>
        <v>1</v>
      </c>
      <c r="BO23" s="229">
        <f>IF($AY23=Lookup!$A$2,$AZ23*ROUNDUP(BG23/10,0)+1,
IF($AY23=Lookup!$A$3,($AZ23+1)^BF23,
IF($AY23=Lookup!$A$4,BG23*$AZ23+1,"Error")))</f>
        <v>1</v>
      </c>
      <c r="BP23" s="249">
        <f>IF($AY23=Lookup!$A$2,$AZ23*ROUNDUP(BH23/10,0)+1,
IF($AY23=Lookup!$A$3,($AZ23+1)^BG23,
IF($AY23=Lookup!$A$4,BH23*$AZ23+1,"Error")))</f>
        <v>1</v>
      </c>
      <c r="BQ23" s="320"/>
      <c r="BR23" s="321"/>
      <c r="BS23" s="321"/>
      <c r="BT23" s="321"/>
      <c r="BU23" s="321"/>
      <c r="BV23" s="321"/>
      <c r="BW23" s="321"/>
      <c r="BX23" s="277"/>
      <c r="BY23" s="382" t="s">
        <v>292</v>
      </c>
      <c r="BZ23" s="383">
        <f>HLOOKUP($BY23,$AH$6:$AJ$132,ROWS(BZ$6:BZ23),0)</f>
        <v>0</v>
      </c>
      <c r="CA23" s="234">
        <f t="shared" si="28"/>
        <v>0</v>
      </c>
      <c r="CB23" s="96">
        <f t="shared" si="20"/>
        <v>0</v>
      </c>
      <c r="CC23" s="96">
        <f t="shared" si="20"/>
        <v>0</v>
      </c>
      <c r="CD23" s="96">
        <f t="shared" si="20"/>
        <v>0</v>
      </c>
      <c r="CE23" s="96">
        <f t="shared" si="20"/>
        <v>0</v>
      </c>
      <c r="CF23" s="96">
        <f t="shared" si="20"/>
        <v>0</v>
      </c>
      <c r="CG23" s="96">
        <f t="shared" si="20"/>
        <v>0</v>
      </c>
      <c r="CH23" s="286">
        <f t="shared" si="20"/>
        <v>0</v>
      </c>
      <c r="CI23" s="305" t="s">
        <v>293</v>
      </c>
      <c r="CJ23" s="315">
        <v>0.05</v>
      </c>
      <c r="CK23" s="306"/>
      <c r="CL23" s="307" t="str">
        <f>IF($CK23&lt;&gt;"",$CK23,HLOOKUP($CI23,$AU$6:$AW$132,ROWS(CL$6:CL23),0))</f>
        <v/>
      </c>
      <c r="CM23" s="97"/>
      <c r="CN23" s="97"/>
      <c r="CO23" s="97"/>
      <c r="CP23" s="97"/>
      <c r="CQ23" s="97"/>
      <c r="CR23" s="97"/>
      <c r="CS23" s="97"/>
      <c r="CT23" s="98"/>
      <c r="CU23" s="392"/>
    </row>
    <row r="24" spans="1:99" x14ac:dyDescent="0.25">
      <c r="A24" s="81" t="s">
        <v>27</v>
      </c>
      <c r="B24" s="82" t="s">
        <v>59</v>
      </c>
      <c r="C24" s="83" t="s">
        <v>60</v>
      </c>
      <c r="D24" s="84"/>
      <c r="E24" s="85"/>
      <c r="F24" s="85"/>
      <c r="G24" s="85"/>
      <c r="H24" s="85"/>
      <c r="I24" s="85"/>
      <c r="J24" s="85"/>
      <c r="K24" s="85"/>
      <c r="L24" s="85"/>
      <c r="M24" s="201"/>
      <c r="N24" s="560">
        <f t="shared" si="21"/>
        <v>0</v>
      </c>
      <c r="O24" s="561">
        <f t="shared" si="0"/>
        <v>0</v>
      </c>
      <c r="P24" s="561">
        <f t="shared" si="1"/>
        <v>0</v>
      </c>
      <c r="Q24" s="561">
        <f t="shared" si="2"/>
        <v>0</v>
      </c>
      <c r="R24" s="561">
        <f t="shared" si="3"/>
        <v>0</v>
      </c>
      <c r="S24" s="561">
        <f t="shared" si="4"/>
        <v>0</v>
      </c>
      <c r="T24" s="561">
        <f t="shared" si="5"/>
        <v>0</v>
      </c>
      <c r="U24" s="561">
        <f t="shared" si="6"/>
        <v>0</v>
      </c>
      <c r="V24" s="561">
        <f t="shared" si="7"/>
        <v>0</v>
      </c>
      <c r="W24" s="562">
        <f t="shared" si="8"/>
        <v>0</v>
      </c>
      <c r="X24" s="86"/>
      <c r="Y24" s="87"/>
      <c r="Z24" s="87"/>
      <c r="AA24" s="87"/>
      <c r="AB24" s="87"/>
      <c r="AC24" s="87"/>
      <c r="AD24" s="87"/>
      <c r="AE24" s="87"/>
      <c r="AF24" s="87"/>
      <c r="AG24" s="194"/>
      <c r="AH24" s="88">
        <f t="shared" si="22"/>
        <v>0</v>
      </c>
      <c r="AI24" s="89" t="str" cm="1">
        <f t="array" aca="1" ref="AI24" ca="1">IFERROR(IF($AJ$4="N",SSUM(AD24:AF24)/3,SUM(AE24:AG24)/3),"")</f>
        <v/>
      </c>
      <c r="AJ24" s="90">
        <f t="shared" si="23"/>
        <v>0</v>
      </c>
      <c r="AK24" s="91" t="str">
        <f t="shared" si="9"/>
        <v/>
      </c>
      <c r="AL24" s="92" t="str">
        <f t="shared" si="10"/>
        <v/>
      </c>
      <c r="AM24" s="92" t="str">
        <f t="shared" si="11"/>
        <v/>
      </c>
      <c r="AN24" s="92" t="str">
        <f t="shared" si="12"/>
        <v/>
      </c>
      <c r="AO24" s="92" t="str">
        <f t="shared" si="13"/>
        <v/>
      </c>
      <c r="AP24" s="92" t="str">
        <f t="shared" si="14"/>
        <v/>
      </c>
      <c r="AQ24" s="92" t="str">
        <f t="shared" si="15"/>
        <v/>
      </c>
      <c r="AR24" s="92" t="str">
        <f t="shared" si="16"/>
        <v/>
      </c>
      <c r="AS24" s="92" t="str">
        <f t="shared" si="17"/>
        <v/>
      </c>
      <c r="AT24" s="217" t="str">
        <f t="shared" si="18"/>
        <v/>
      </c>
      <c r="AU24" s="93" t="str">
        <f t="shared" si="24"/>
        <v/>
      </c>
      <c r="AV24" s="94" t="str">
        <f t="shared" si="25"/>
        <v/>
      </c>
      <c r="AW24" s="95" t="str">
        <f t="shared" si="26"/>
        <v/>
      </c>
      <c r="AX24" s="248" t="s">
        <v>422</v>
      </c>
      <c r="AY24" s="229" t="s">
        <v>433</v>
      </c>
      <c r="AZ24" s="249">
        <v>0</v>
      </c>
      <c r="BA24" s="267">
        <f t="shared" si="27"/>
        <v>0</v>
      </c>
      <c r="BB24" s="268">
        <f t="shared" si="29"/>
        <v>0</v>
      </c>
      <c r="BC24" s="268">
        <f t="shared" si="29"/>
        <v>0</v>
      </c>
      <c r="BD24" s="268">
        <f t="shared" si="29"/>
        <v>1</v>
      </c>
      <c r="BE24" s="268">
        <f t="shared" si="29"/>
        <v>2</v>
      </c>
      <c r="BF24" s="268">
        <f t="shared" si="29"/>
        <v>3</v>
      </c>
      <c r="BG24" s="268">
        <f t="shared" si="29"/>
        <v>4</v>
      </c>
      <c r="BH24" s="269">
        <f t="shared" si="29"/>
        <v>5</v>
      </c>
      <c r="BI24" s="256">
        <f>IF($AY24=Lookup!$A$2,$AZ24*ROUNDUP(BA24/10,0)+1,
IF($AY24=Lookup!$A$3,($AZ24+1)^AZ24,
IF($AY24=Lookup!$A$4,BA24*$AZ24+1,"Error")))</f>
        <v>1</v>
      </c>
      <c r="BJ24" s="229">
        <f>IF($AY24=Lookup!$A$2,$AZ24*ROUNDUP(BB24/10,0)+1,
IF($AY24=Lookup!$A$3,($AZ24+1)^BA24,
IF($AY24=Lookup!$A$4,BB24*$AZ24+1,"Error")))</f>
        <v>1</v>
      </c>
      <c r="BK24" s="229">
        <f>IF($AY24=Lookup!$A$2,$AZ24*ROUNDUP(BC24/10,0)+1,
IF($AY24=Lookup!$A$3,($AZ24+1)^BB24,
IF($AY24=Lookup!$A$4,BC24*$AZ24+1,"Error")))</f>
        <v>1</v>
      </c>
      <c r="BL24" s="229">
        <f>IF($AY24=Lookup!$A$2,$AZ24*ROUNDUP(BD24/10,0)+1,
IF($AY24=Lookup!$A$3,($AZ24+1)^BC24,
IF($AY24=Lookup!$A$4,BD24*$AZ24+1,"Error")))</f>
        <v>1</v>
      </c>
      <c r="BM24" s="229">
        <f>IF($AY24=Lookup!$A$2,$AZ24*ROUNDUP(BE24/10,0)+1,
IF($AY24=Lookup!$A$3,($AZ24+1)^BD24,
IF($AY24=Lookup!$A$4,BE24*$AZ24+1,"Error")))</f>
        <v>1</v>
      </c>
      <c r="BN24" s="229">
        <f>IF($AY24=Lookup!$A$2,$AZ24*ROUNDUP(BF24/10,0)+1,
IF($AY24=Lookup!$A$3,($AZ24+1)^BE24,
IF($AY24=Lookup!$A$4,BF24*$AZ24+1,"Error")))</f>
        <v>1</v>
      </c>
      <c r="BO24" s="229">
        <f>IF($AY24=Lookup!$A$2,$AZ24*ROUNDUP(BG24/10,0)+1,
IF($AY24=Lookup!$A$3,($AZ24+1)^BF24,
IF($AY24=Lookup!$A$4,BG24*$AZ24+1,"Error")))</f>
        <v>1</v>
      </c>
      <c r="BP24" s="249">
        <f>IF($AY24=Lookup!$A$2,$AZ24*ROUNDUP(BH24/10,0)+1,
IF($AY24=Lookup!$A$3,($AZ24+1)^BG24,
IF($AY24=Lookup!$A$4,BH24*$AZ24+1,"Error")))</f>
        <v>1</v>
      </c>
      <c r="BQ24" s="320"/>
      <c r="BR24" s="321"/>
      <c r="BS24" s="321"/>
      <c r="BT24" s="321"/>
      <c r="BU24" s="321"/>
      <c r="BV24" s="321"/>
      <c r="BW24" s="321"/>
      <c r="BX24" s="277"/>
      <c r="BY24" s="382" t="s">
        <v>292</v>
      </c>
      <c r="BZ24" s="383">
        <f>HLOOKUP($BY24,$AH$6:$AJ$132,ROWS(BZ$6:BZ24),0)</f>
        <v>0</v>
      </c>
      <c r="CA24" s="234">
        <f t="shared" si="28"/>
        <v>0</v>
      </c>
      <c r="CB24" s="96">
        <f t="shared" si="20"/>
        <v>0</v>
      </c>
      <c r="CC24" s="96">
        <f t="shared" si="20"/>
        <v>0</v>
      </c>
      <c r="CD24" s="96">
        <f t="shared" si="20"/>
        <v>0</v>
      </c>
      <c r="CE24" s="96">
        <f t="shared" si="20"/>
        <v>0</v>
      </c>
      <c r="CF24" s="96">
        <f t="shared" si="20"/>
        <v>0</v>
      </c>
      <c r="CG24" s="96">
        <f t="shared" si="20"/>
        <v>0</v>
      </c>
      <c r="CH24" s="286">
        <f t="shared" si="20"/>
        <v>0</v>
      </c>
      <c r="CI24" s="305" t="s">
        <v>293</v>
      </c>
      <c r="CJ24" s="315">
        <v>0.05</v>
      </c>
      <c r="CK24" s="306"/>
      <c r="CL24" s="307" t="str">
        <f>IF($CK24&lt;&gt;"",$CK24,HLOOKUP($CI24,$AU$6:$AW$132,ROWS(CL$6:CL24),0))</f>
        <v/>
      </c>
      <c r="CM24" s="97"/>
      <c r="CN24" s="97"/>
      <c r="CO24" s="97"/>
      <c r="CP24" s="97"/>
      <c r="CQ24" s="97"/>
      <c r="CR24" s="97"/>
      <c r="CS24" s="97"/>
      <c r="CT24" s="98"/>
      <c r="CU24" s="392"/>
    </row>
    <row r="25" spans="1:99" x14ac:dyDescent="0.25">
      <c r="A25" s="81" t="s">
        <v>27</v>
      </c>
      <c r="B25" s="82" t="s">
        <v>61</v>
      </c>
      <c r="C25" s="83" t="s">
        <v>62</v>
      </c>
      <c r="D25" s="84"/>
      <c r="E25" s="85"/>
      <c r="F25" s="85"/>
      <c r="G25" s="85"/>
      <c r="H25" s="85"/>
      <c r="I25" s="85"/>
      <c r="J25" s="85"/>
      <c r="K25" s="85"/>
      <c r="L25" s="85"/>
      <c r="M25" s="201"/>
      <c r="N25" s="560">
        <f t="shared" si="21"/>
        <v>0</v>
      </c>
      <c r="O25" s="561">
        <f t="shared" si="0"/>
        <v>0</v>
      </c>
      <c r="P25" s="561">
        <f t="shared" si="1"/>
        <v>0</v>
      </c>
      <c r="Q25" s="561">
        <f t="shared" si="2"/>
        <v>0</v>
      </c>
      <c r="R25" s="561">
        <f t="shared" si="3"/>
        <v>0</v>
      </c>
      <c r="S25" s="561">
        <f t="shared" si="4"/>
        <v>0</v>
      </c>
      <c r="T25" s="561">
        <f t="shared" si="5"/>
        <v>0</v>
      </c>
      <c r="U25" s="561">
        <f t="shared" si="6"/>
        <v>0</v>
      </c>
      <c r="V25" s="561">
        <f t="shared" si="7"/>
        <v>0</v>
      </c>
      <c r="W25" s="562">
        <f t="shared" si="8"/>
        <v>0</v>
      </c>
      <c r="X25" s="86"/>
      <c r="Y25" s="87"/>
      <c r="Z25" s="87"/>
      <c r="AA25" s="87"/>
      <c r="AB25" s="87"/>
      <c r="AC25" s="87"/>
      <c r="AD25" s="87"/>
      <c r="AE25" s="87"/>
      <c r="AF25" s="87"/>
      <c r="AG25" s="194"/>
      <c r="AH25" s="88">
        <f t="shared" si="22"/>
        <v>0</v>
      </c>
      <c r="AI25" s="89" t="str" cm="1">
        <f t="array" aca="1" ref="AI25" ca="1">IFERROR(IF($AJ$4="N",SSUM(AD25:AF25)/3,SUM(AE25:AG25)/3),"")</f>
        <v/>
      </c>
      <c r="AJ25" s="90">
        <f t="shared" si="23"/>
        <v>0</v>
      </c>
      <c r="AK25" s="91" t="str">
        <f t="shared" si="9"/>
        <v/>
      </c>
      <c r="AL25" s="92" t="str">
        <f t="shared" si="10"/>
        <v/>
      </c>
      <c r="AM25" s="92" t="str">
        <f t="shared" si="11"/>
        <v/>
      </c>
      <c r="AN25" s="92" t="str">
        <f t="shared" si="12"/>
        <v/>
      </c>
      <c r="AO25" s="92" t="str">
        <f t="shared" si="13"/>
        <v/>
      </c>
      <c r="AP25" s="92" t="str">
        <f t="shared" si="14"/>
        <v/>
      </c>
      <c r="AQ25" s="92" t="str">
        <f t="shared" si="15"/>
        <v/>
      </c>
      <c r="AR25" s="92" t="str">
        <f t="shared" si="16"/>
        <v/>
      </c>
      <c r="AS25" s="92" t="str">
        <f t="shared" si="17"/>
        <v/>
      </c>
      <c r="AT25" s="217" t="str">
        <f t="shared" si="18"/>
        <v/>
      </c>
      <c r="AU25" s="93" t="str">
        <f t="shared" si="24"/>
        <v/>
      </c>
      <c r="AV25" s="94" t="str">
        <f t="shared" si="25"/>
        <v/>
      </c>
      <c r="AW25" s="95" t="str">
        <f t="shared" si="26"/>
        <v/>
      </c>
      <c r="AX25" s="248" t="s">
        <v>422</v>
      </c>
      <c r="AY25" s="229" t="s">
        <v>433</v>
      </c>
      <c r="AZ25" s="249">
        <v>0</v>
      </c>
      <c r="BA25" s="267">
        <f t="shared" si="27"/>
        <v>0</v>
      </c>
      <c r="BB25" s="268">
        <f t="shared" si="29"/>
        <v>0</v>
      </c>
      <c r="BC25" s="268">
        <f t="shared" si="29"/>
        <v>0</v>
      </c>
      <c r="BD25" s="268">
        <f t="shared" si="29"/>
        <v>1</v>
      </c>
      <c r="BE25" s="268">
        <f t="shared" si="29"/>
        <v>2</v>
      </c>
      <c r="BF25" s="268">
        <f t="shared" si="29"/>
        <v>3</v>
      </c>
      <c r="BG25" s="268">
        <f t="shared" si="29"/>
        <v>4</v>
      </c>
      <c r="BH25" s="269">
        <f t="shared" si="29"/>
        <v>5</v>
      </c>
      <c r="BI25" s="256">
        <f>IF($AY25=Lookup!$A$2,$AZ25*ROUNDUP(BA25/10,0)+1,
IF($AY25=Lookup!$A$3,($AZ25+1)^AZ25,
IF($AY25=Lookup!$A$4,BA25*$AZ25+1,"Error")))</f>
        <v>1</v>
      </c>
      <c r="BJ25" s="229">
        <f>IF($AY25=Lookup!$A$2,$AZ25*ROUNDUP(BB25/10,0)+1,
IF($AY25=Lookup!$A$3,($AZ25+1)^BA25,
IF($AY25=Lookup!$A$4,BB25*$AZ25+1,"Error")))</f>
        <v>1</v>
      </c>
      <c r="BK25" s="229">
        <f>IF($AY25=Lookup!$A$2,$AZ25*ROUNDUP(BC25/10,0)+1,
IF($AY25=Lookup!$A$3,($AZ25+1)^BB25,
IF($AY25=Lookup!$A$4,BC25*$AZ25+1,"Error")))</f>
        <v>1</v>
      </c>
      <c r="BL25" s="229">
        <f>IF($AY25=Lookup!$A$2,$AZ25*ROUNDUP(BD25/10,0)+1,
IF($AY25=Lookup!$A$3,($AZ25+1)^BC25,
IF($AY25=Lookup!$A$4,BD25*$AZ25+1,"Error")))</f>
        <v>1</v>
      </c>
      <c r="BM25" s="229">
        <f>IF($AY25=Lookup!$A$2,$AZ25*ROUNDUP(BE25/10,0)+1,
IF($AY25=Lookup!$A$3,($AZ25+1)^BD25,
IF($AY25=Lookup!$A$4,BE25*$AZ25+1,"Error")))</f>
        <v>1</v>
      </c>
      <c r="BN25" s="229">
        <f>IF($AY25=Lookup!$A$2,$AZ25*ROUNDUP(BF25/10,0)+1,
IF($AY25=Lookup!$A$3,($AZ25+1)^BE25,
IF($AY25=Lookup!$A$4,BF25*$AZ25+1,"Error")))</f>
        <v>1</v>
      </c>
      <c r="BO25" s="229">
        <f>IF($AY25=Lookup!$A$2,$AZ25*ROUNDUP(BG25/10,0)+1,
IF($AY25=Lookup!$A$3,($AZ25+1)^BF25,
IF($AY25=Lookup!$A$4,BG25*$AZ25+1,"Error")))</f>
        <v>1</v>
      </c>
      <c r="BP25" s="249">
        <f>IF($AY25=Lookup!$A$2,$AZ25*ROUNDUP(BH25/10,0)+1,
IF($AY25=Lookup!$A$3,($AZ25+1)^BG25,
IF($AY25=Lookup!$A$4,BH25*$AZ25+1,"Error")))</f>
        <v>1</v>
      </c>
      <c r="BQ25" s="320"/>
      <c r="BR25" s="321"/>
      <c r="BS25" s="321"/>
      <c r="BT25" s="321"/>
      <c r="BU25" s="321"/>
      <c r="BV25" s="321"/>
      <c r="BW25" s="321"/>
      <c r="BX25" s="277"/>
      <c r="BY25" s="382" t="s">
        <v>292</v>
      </c>
      <c r="BZ25" s="383">
        <f>HLOOKUP($BY25,$AH$6:$AJ$132,ROWS(BZ$6:BZ25),0)</f>
        <v>0</v>
      </c>
      <c r="CA25" s="234">
        <f t="shared" si="28"/>
        <v>0</v>
      </c>
      <c r="CB25" s="96">
        <f t="shared" si="20"/>
        <v>0</v>
      </c>
      <c r="CC25" s="96">
        <f t="shared" si="20"/>
        <v>0</v>
      </c>
      <c r="CD25" s="96">
        <f t="shared" si="20"/>
        <v>0</v>
      </c>
      <c r="CE25" s="96">
        <f t="shared" si="20"/>
        <v>0</v>
      </c>
      <c r="CF25" s="96">
        <f t="shared" si="20"/>
        <v>0</v>
      </c>
      <c r="CG25" s="96">
        <f t="shared" si="20"/>
        <v>0</v>
      </c>
      <c r="CH25" s="286">
        <f t="shared" si="20"/>
        <v>0</v>
      </c>
      <c r="CI25" s="305" t="s">
        <v>293</v>
      </c>
      <c r="CJ25" s="315">
        <v>0.05</v>
      </c>
      <c r="CK25" s="306"/>
      <c r="CL25" s="307" t="str">
        <f>IF($CK25&lt;&gt;"",$CK25,HLOOKUP($CI25,$AU$6:$AW$132,ROWS(CL$6:CL25),0))</f>
        <v/>
      </c>
      <c r="CM25" s="97"/>
      <c r="CN25" s="97"/>
      <c r="CO25" s="97"/>
      <c r="CP25" s="97"/>
      <c r="CQ25" s="97"/>
      <c r="CR25" s="97"/>
      <c r="CS25" s="97"/>
      <c r="CT25" s="98"/>
      <c r="CU25" s="392"/>
    </row>
    <row r="26" spans="1:99" ht="15.75" thickBot="1" x14ac:dyDescent="0.3">
      <c r="A26" s="100" t="s">
        <v>27</v>
      </c>
      <c r="B26" s="101" t="s">
        <v>303</v>
      </c>
      <c r="C26" s="102" t="s">
        <v>304</v>
      </c>
      <c r="D26" s="103"/>
      <c r="E26" s="104"/>
      <c r="F26" s="104"/>
      <c r="G26" s="104"/>
      <c r="H26" s="104"/>
      <c r="I26" s="104"/>
      <c r="J26" s="104"/>
      <c r="K26" s="104"/>
      <c r="L26" s="104"/>
      <c r="M26" s="202"/>
      <c r="N26" s="563">
        <f t="shared" si="21"/>
        <v>0</v>
      </c>
      <c r="O26" s="564">
        <f t="shared" si="0"/>
        <v>0</v>
      </c>
      <c r="P26" s="564">
        <f t="shared" si="1"/>
        <v>0</v>
      </c>
      <c r="Q26" s="564">
        <f t="shared" si="2"/>
        <v>0</v>
      </c>
      <c r="R26" s="564">
        <f t="shared" si="3"/>
        <v>0</v>
      </c>
      <c r="S26" s="564">
        <f t="shared" si="4"/>
        <v>0</v>
      </c>
      <c r="T26" s="564">
        <f t="shared" si="5"/>
        <v>0</v>
      </c>
      <c r="U26" s="564">
        <f t="shared" si="6"/>
        <v>0</v>
      </c>
      <c r="V26" s="564">
        <f t="shared" si="7"/>
        <v>0</v>
      </c>
      <c r="W26" s="565">
        <f t="shared" si="8"/>
        <v>0</v>
      </c>
      <c r="X26" s="105"/>
      <c r="Y26" s="106"/>
      <c r="Z26" s="106"/>
      <c r="AA26" s="106"/>
      <c r="AB26" s="106"/>
      <c r="AC26" s="106"/>
      <c r="AD26" s="106"/>
      <c r="AE26" s="106"/>
      <c r="AF26" s="106"/>
      <c r="AG26" s="195"/>
      <c r="AH26" s="107">
        <f t="shared" si="22"/>
        <v>0</v>
      </c>
      <c r="AI26" s="108" t="str" cm="1">
        <f t="array" aca="1" ref="AI26" ca="1">IFERROR(IF($AJ$4="N",SSUM(AD26:AF26)/3,SUM(AE26:AG26)/3),"")</f>
        <v/>
      </c>
      <c r="AJ26" s="109">
        <f t="shared" si="23"/>
        <v>0</v>
      </c>
      <c r="AK26" s="110" t="str">
        <f t="shared" si="9"/>
        <v/>
      </c>
      <c r="AL26" s="111" t="str">
        <f t="shared" si="10"/>
        <v/>
      </c>
      <c r="AM26" s="111" t="str">
        <f t="shared" si="11"/>
        <v/>
      </c>
      <c r="AN26" s="111" t="str">
        <f t="shared" si="12"/>
        <v/>
      </c>
      <c r="AO26" s="111" t="str">
        <f t="shared" si="13"/>
        <v/>
      </c>
      <c r="AP26" s="111" t="str">
        <f t="shared" si="14"/>
        <v/>
      </c>
      <c r="AQ26" s="111" t="str">
        <f t="shared" si="15"/>
        <v/>
      </c>
      <c r="AR26" s="111" t="str">
        <f t="shared" si="16"/>
        <v/>
      </c>
      <c r="AS26" s="111" t="str">
        <f t="shared" si="17"/>
        <v/>
      </c>
      <c r="AT26" s="218" t="str">
        <f t="shared" si="18"/>
        <v/>
      </c>
      <c r="AU26" s="112" t="str">
        <f t="shared" si="24"/>
        <v/>
      </c>
      <c r="AV26" s="113" t="str">
        <f t="shared" si="25"/>
        <v/>
      </c>
      <c r="AW26" s="114" t="str">
        <f t="shared" si="26"/>
        <v/>
      </c>
      <c r="AX26" s="250" t="s">
        <v>422</v>
      </c>
      <c r="AY26" s="230" t="s">
        <v>433</v>
      </c>
      <c r="AZ26" s="251">
        <v>0</v>
      </c>
      <c r="BA26" s="270">
        <f t="shared" si="27"/>
        <v>0</v>
      </c>
      <c r="BB26" s="271">
        <f t="shared" si="29"/>
        <v>0</v>
      </c>
      <c r="BC26" s="271">
        <f t="shared" si="29"/>
        <v>0</v>
      </c>
      <c r="BD26" s="271">
        <f t="shared" si="29"/>
        <v>1</v>
      </c>
      <c r="BE26" s="271">
        <f t="shared" si="29"/>
        <v>2</v>
      </c>
      <c r="BF26" s="271">
        <f t="shared" si="29"/>
        <v>3</v>
      </c>
      <c r="BG26" s="271">
        <f t="shared" si="29"/>
        <v>4</v>
      </c>
      <c r="BH26" s="272">
        <f t="shared" si="29"/>
        <v>5</v>
      </c>
      <c r="BI26" s="257">
        <f>IF($AY26=Lookup!$A$2,$AZ26*ROUNDUP(BA26/10,0)+1,
IF($AY26=Lookup!$A$3,($AZ26+1)^AZ26,
IF($AY26=Lookup!$A$4,BA26*$AZ26+1,"Error")))</f>
        <v>1</v>
      </c>
      <c r="BJ26" s="230">
        <f>IF($AY26=Lookup!$A$2,$AZ26*ROUNDUP(BB26/10,0)+1,
IF($AY26=Lookup!$A$3,($AZ26+1)^BA26,
IF($AY26=Lookup!$A$4,BB26*$AZ26+1,"Error")))</f>
        <v>1</v>
      </c>
      <c r="BK26" s="230">
        <f>IF($AY26=Lookup!$A$2,$AZ26*ROUNDUP(BC26/10,0)+1,
IF($AY26=Lookup!$A$3,($AZ26+1)^BB26,
IF($AY26=Lookup!$A$4,BC26*$AZ26+1,"Error")))</f>
        <v>1</v>
      </c>
      <c r="BL26" s="230">
        <f>IF($AY26=Lookup!$A$2,$AZ26*ROUNDUP(BD26/10,0)+1,
IF($AY26=Lookup!$A$3,($AZ26+1)^BC26,
IF($AY26=Lookup!$A$4,BD26*$AZ26+1,"Error")))</f>
        <v>1</v>
      </c>
      <c r="BM26" s="230">
        <f>IF($AY26=Lookup!$A$2,$AZ26*ROUNDUP(BE26/10,0)+1,
IF($AY26=Lookup!$A$3,($AZ26+1)^BD26,
IF($AY26=Lookup!$A$4,BE26*$AZ26+1,"Error")))</f>
        <v>1</v>
      </c>
      <c r="BN26" s="230">
        <f>IF($AY26=Lookup!$A$2,$AZ26*ROUNDUP(BF26/10,0)+1,
IF($AY26=Lookup!$A$3,($AZ26+1)^BE26,
IF($AY26=Lookup!$A$4,BF26*$AZ26+1,"Error")))</f>
        <v>1</v>
      </c>
      <c r="BO26" s="230">
        <f>IF($AY26=Lookup!$A$2,$AZ26*ROUNDUP(BG26/10,0)+1,
IF($AY26=Lookup!$A$3,($AZ26+1)^BF26,
IF($AY26=Lookup!$A$4,BG26*$AZ26+1,"Error")))</f>
        <v>1</v>
      </c>
      <c r="BP26" s="251">
        <f>IF($AY26=Lookup!$A$2,$AZ26*ROUNDUP(BH26/10,0)+1,
IF($AY26=Lookup!$A$3,($AZ26+1)^BG26,
IF($AY26=Lookup!$A$4,BH26*$AZ26+1,"Error")))</f>
        <v>1</v>
      </c>
      <c r="BQ26" s="322"/>
      <c r="BR26" s="323"/>
      <c r="BS26" s="323"/>
      <c r="BT26" s="323"/>
      <c r="BU26" s="323"/>
      <c r="BV26" s="323"/>
      <c r="BW26" s="323"/>
      <c r="BX26" s="278"/>
      <c r="BY26" s="384" t="s">
        <v>292</v>
      </c>
      <c r="BZ26" s="385">
        <f>HLOOKUP($BY26,$AH$6:$AJ$132,ROWS(BZ$6:BZ26),0)</f>
        <v>0</v>
      </c>
      <c r="CA26" s="235">
        <f t="shared" si="28"/>
        <v>0</v>
      </c>
      <c r="CB26" s="115">
        <f t="shared" si="20"/>
        <v>0</v>
      </c>
      <c r="CC26" s="115">
        <f t="shared" si="20"/>
        <v>0</v>
      </c>
      <c r="CD26" s="115">
        <f t="shared" si="20"/>
        <v>0</v>
      </c>
      <c r="CE26" s="115">
        <f t="shared" si="20"/>
        <v>0</v>
      </c>
      <c r="CF26" s="115">
        <f t="shared" si="20"/>
        <v>0</v>
      </c>
      <c r="CG26" s="115">
        <f t="shared" si="20"/>
        <v>0</v>
      </c>
      <c r="CH26" s="287">
        <f t="shared" si="20"/>
        <v>0</v>
      </c>
      <c r="CI26" s="308" t="s">
        <v>293</v>
      </c>
      <c r="CJ26" s="316">
        <v>0.05</v>
      </c>
      <c r="CK26" s="309"/>
      <c r="CL26" s="310" t="str">
        <f>IF($CK26&lt;&gt;"",$CK26,HLOOKUP($CI26,$AU$6:$AW$132,ROWS(CL$6:CL26),0))</f>
        <v/>
      </c>
      <c r="CM26" s="117"/>
      <c r="CN26" s="117"/>
      <c r="CO26" s="117"/>
      <c r="CP26" s="117"/>
      <c r="CQ26" s="117"/>
      <c r="CR26" s="117"/>
      <c r="CS26" s="117"/>
      <c r="CT26" s="118"/>
      <c r="CU26" s="393"/>
    </row>
    <row r="27" spans="1:99" x14ac:dyDescent="0.25">
      <c r="A27" s="63" t="s">
        <v>68</v>
      </c>
      <c r="B27" s="64" t="s">
        <v>65</v>
      </c>
      <c r="C27" s="65" t="s">
        <v>305</v>
      </c>
      <c r="D27" s="66"/>
      <c r="E27" s="67"/>
      <c r="F27" s="67"/>
      <c r="G27" s="67"/>
      <c r="H27" s="67"/>
      <c r="I27" s="67"/>
      <c r="J27" s="67"/>
      <c r="K27" s="67"/>
      <c r="L27" s="67"/>
      <c r="M27" s="200"/>
      <c r="N27" s="557">
        <f t="shared" si="21"/>
        <v>0</v>
      </c>
      <c r="O27" s="558">
        <f t="shared" si="0"/>
        <v>0</v>
      </c>
      <c r="P27" s="558">
        <f t="shared" si="1"/>
        <v>0</v>
      </c>
      <c r="Q27" s="558">
        <f t="shared" si="2"/>
        <v>0</v>
      </c>
      <c r="R27" s="558">
        <f t="shared" si="3"/>
        <v>0</v>
      </c>
      <c r="S27" s="558">
        <f t="shared" si="4"/>
        <v>0</v>
      </c>
      <c r="T27" s="558">
        <f t="shared" si="5"/>
        <v>0</v>
      </c>
      <c r="U27" s="558">
        <f t="shared" si="6"/>
        <v>0</v>
      </c>
      <c r="V27" s="558">
        <f t="shared" si="7"/>
        <v>0</v>
      </c>
      <c r="W27" s="559">
        <f t="shared" si="8"/>
        <v>0</v>
      </c>
      <c r="X27" s="68"/>
      <c r="Y27" s="69"/>
      <c r="Z27" s="69"/>
      <c r="AA27" s="69"/>
      <c r="AB27" s="69"/>
      <c r="AC27" s="69"/>
      <c r="AD27" s="69"/>
      <c r="AE27" s="69"/>
      <c r="AF27" s="69"/>
      <c r="AG27" s="193"/>
      <c r="AH27" s="70">
        <f t="shared" si="22"/>
        <v>0</v>
      </c>
      <c r="AI27" s="71" t="str" cm="1">
        <f t="array" aca="1" ref="AI27" ca="1">IFERROR(IF($AJ$4="N",SSUM(AD27:AF27)/3,SUM(AE27:AG27)/3),"")</f>
        <v/>
      </c>
      <c r="AJ27" s="72">
        <f t="shared" si="23"/>
        <v>0</v>
      </c>
      <c r="AK27" s="73" t="str">
        <f t="shared" si="9"/>
        <v/>
      </c>
      <c r="AL27" s="74" t="str">
        <f t="shared" si="10"/>
        <v/>
      </c>
      <c r="AM27" s="74" t="str">
        <f t="shared" si="11"/>
        <v/>
      </c>
      <c r="AN27" s="74" t="str">
        <f t="shared" si="12"/>
        <v/>
      </c>
      <c r="AO27" s="74" t="str">
        <f t="shared" si="13"/>
        <v/>
      </c>
      <c r="AP27" s="74" t="str">
        <f t="shared" si="14"/>
        <v/>
      </c>
      <c r="AQ27" s="74" t="str">
        <f t="shared" si="15"/>
        <v/>
      </c>
      <c r="AR27" s="74" t="str">
        <f t="shared" si="16"/>
        <v/>
      </c>
      <c r="AS27" s="74" t="str">
        <f t="shared" si="17"/>
        <v/>
      </c>
      <c r="AT27" s="216" t="str">
        <f t="shared" si="18"/>
        <v/>
      </c>
      <c r="AU27" s="75" t="str">
        <f t="shared" si="24"/>
        <v/>
      </c>
      <c r="AV27" s="76" t="str">
        <f t="shared" si="25"/>
        <v/>
      </c>
      <c r="AW27" s="77" t="str">
        <f t="shared" si="26"/>
        <v/>
      </c>
      <c r="AX27" s="246" t="s">
        <v>422</v>
      </c>
      <c r="AY27" s="228" t="s">
        <v>433</v>
      </c>
      <c r="AZ27" s="247">
        <v>0</v>
      </c>
      <c r="BA27" s="264">
        <f t="shared" si="27"/>
        <v>0</v>
      </c>
      <c r="BB27" s="265">
        <f t="shared" si="29"/>
        <v>0</v>
      </c>
      <c r="BC27" s="265">
        <f t="shared" si="29"/>
        <v>0</v>
      </c>
      <c r="BD27" s="265">
        <f t="shared" si="29"/>
        <v>1</v>
      </c>
      <c r="BE27" s="265">
        <f t="shared" si="29"/>
        <v>2</v>
      </c>
      <c r="BF27" s="265">
        <f t="shared" si="29"/>
        <v>3</v>
      </c>
      <c r="BG27" s="265">
        <f t="shared" si="29"/>
        <v>4</v>
      </c>
      <c r="BH27" s="266">
        <f t="shared" si="29"/>
        <v>5</v>
      </c>
      <c r="BI27" s="255">
        <f>IF($AY27=Lookup!$A$2,$AZ27*ROUNDUP(BA27/10,0)+1,
IF($AY27=Lookup!$A$3,($AZ27+1)^AZ27,
IF($AY27=Lookup!$A$4,BA27*$AZ27+1,"Error")))</f>
        <v>1</v>
      </c>
      <c r="BJ27" s="228">
        <f>IF($AY27=Lookup!$A$2,$AZ27*ROUNDUP(BB27/10,0)+1,
IF($AY27=Lookup!$A$3,($AZ27+1)^BA27,
IF($AY27=Lookup!$A$4,BB27*$AZ27+1,"Error")))</f>
        <v>1</v>
      </c>
      <c r="BK27" s="228">
        <f>IF($AY27=Lookup!$A$2,$AZ27*ROUNDUP(BC27/10,0)+1,
IF($AY27=Lookup!$A$3,($AZ27+1)^BB27,
IF($AY27=Lookup!$A$4,BC27*$AZ27+1,"Error")))</f>
        <v>1</v>
      </c>
      <c r="BL27" s="228">
        <f>IF($AY27=Lookup!$A$2,$AZ27*ROUNDUP(BD27/10,0)+1,
IF($AY27=Lookup!$A$3,($AZ27+1)^BC27,
IF($AY27=Lookup!$A$4,BD27*$AZ27+1,"Error")))</f>
        <v>1</v>
      </c>
      <c r="BM27" s="228">
        <f>IF($AY27=Lookup!$A$2,$AZ27*ROUNDUP(BE27/10,0)+1,
IF($AY27=Lookup!$A$3,($AZ27+1)^BD27,
IF($AY27=Lookup!$A$4,BE27*$AZ27+1,"Error")))</f>
        <v>1</v>
      </c>
      <c r="BN27" s="228">
        <f>IF($AY27=Lookup!$A$2,$AZ27*ROUNDUP(BF27/10,0)+1,
IF($AY27=Lookup!$A$3,($AZ27+1)^BE27,
IF($AY27=Lookup!$A$4,BF27*$AZ27+1,"Error")))</f>
        <v>1</v>
      </c>
      <c r="BO27" s="228">
        <f>IF($AY27=Lookup!$A$2,$AZ27*ROUNDUP(BG27/10,0)+1,
IF($AY27=Lookup!$A$3,($AZ27+1)^BF27,
IF($AY27=Lookup!$A$4,BG27*$AZ27+1,"Error")))</f>
        <v>1</v>
      </c>
      <c r="BP27" s="247">
        <f>IF($AY27=Lookup!$A$2,$AZ27*ROUNDUP(BH27/10,0)+1,
IF($AY27=Lookup!$A$3,($AZ27+1)^BG27,
IF($AY27=Lookup!$A$4,BH27*$AZ27+1,"Error")))</f>
        <v>1</v>
      </c>
      <c r="BQ27" s="318"/>
      <c r="BR27" s="319"/>
      <c r="BS27" s="319"/>
      <c r="BT27" s="319"/>
      <c r="BU27" s="319"/>
      <c r="BV27" s="319"/>
      <c r="BW27" s="319"/>
      <c r="BX27" s="276"/>
      <c r="BY27" s="380" t="s">
        <v>292</v>
      </c>
      <c r="BZ27" s="381">
        <f>HLOOKUP($BY27,$AH$6:$AJ$132,ROWS(BZ$6:BZ27),0)</f>
        <v>0</v>
      </c>
      <c r="CA27" s="233">
        <f t="shared" si="28"/>
        <v>0</v>
      </c>
      <c r="CB27" s="78">
        <f t="shared" si="20"/>
        <v>0</v>
      </c>
      <c r="CC27" s="78">
        <f t="shared" si="20"/>
        <v>0</v>
      </c>
      <c r="CD27" s="78">
        <f t="shared" si="20"/>
        <v>0</v>
      </c>
      <c r="CE27" s="78">
        <f t="shared" si="20"/>
        <v>0</v>
      </c>
      <c r="CF27" s="78">
        <f t="shared" si="20"/>
        <v>0</v>
      </c>
      <c r="CG27" s="78">
        <f t="shared" si="20"/>
        <v>0</v>
      </c>
      <c r="CH27" s="285">
        <f t="shared" si="20"/>
        <v>0</v>
      </c>
      <c r="CI27" s="302" t="s">
        <v>293</v>
      </c>
      <c r="CJ27" s="314">
        <v>0.05</v>
      </c>
      <c r="CK27" s="303"/>
      <c r="CL27" s="304" t="str">
        <f>IF($CK27&lt;&gt;"",$CK27,HLOOKUP($CI27,$AU$6:$AW$132,ROWS(CL$6:CL27),0))</f>
        <v/>
      </c>
      <c r="CM27" s="79"/>
      <c r="CN27" s="79"/>
      <c r="CO27" s="79"/>
      <c r="CP27" s="79"/>
      <c r="CQ27" s="79"/>
      <c r="CR27" s="79"/>
      <c r="CS27" s="79"/>
      <c r="CT27" s="80"/>
      <c r="CU27" s="391"/>
    </row>
    <row r="28" spans="1:99" x14ac:dyDescent="0.25">
      <c r="A28" s="81" t="s">
        <v>68</v>
      </c>
      <c r="B28" s="82" t="s">
        <v>69</v>
      </c>
      <c r="C28" s="83" t="s">
        <v>70</v>
      </c>
      <c r="D28" s="84"/>
      <c r="E28" s="85"/>
      <c r="F28" s="85"/>
      <c r="G28" s="85"/>
      <c r="H28" s="85"/>
      <c r="I28" s="85"/>
      <c r="J28" s="85"/>
      <c r="K28" s="85"/>
      <c r="L28" s="85"/>
      <c r="M28" s="201"/>
      <c r="N28" s="560">
        <f t="shared" si="21"/>
        <v>0</v>
      </c>
      <c r="O28" s="561">
        <f t="shared" si="0"/>
        <v>0</v>
      </c>
      <c r="P28" s="561">
        <f t="shared" si="1"/>
        <v>0</v>
      </c>
      <c r="Q28" s="561">
        <f t="shared" si="2"/>
        <v>0</v>
      </c>
      <c r="R28" s="561">
        <f t="shared" si="3"/>
        <v>0</v>
      </c>
      <c r="S28" s="561">
        <f t="shared" si="4"/>
        <v>0</v>
      </c>
      <c r="T28" s="561">
        <f t="shared" si="5"/>
        <v>0</v>
      </c>
      <c r="U28" s="561">
        <f t="shared" si="6"/>
        <v>0</v>
      </c>
      <c r="V28" s="561">
        <f t="shared" si="7"/>
        <v>0</v>
      </c>
      <c r="W28" s="562">
        <f t="shared" si="8"/>
        <v>0</v>
      </c>
      <c r="X28" s="86"/>
      <c r="Y28" s="87"/>
      <c r="Z28" s="87"/>
      <c r="AA28" s="87"/>
      <c r="AB28" s="87"/>
      <c r="AC28" s="87"/>
      <c r="AD28" s="87"/>
      <c r="AE28" s="87"/>
      <c r="AF28" s="87"/>
      <c r="AG28" s="194"/>
      <c r="AH28" s="88">
        <f t="shared" si="22"/>
        <v>0</v>
      </c>
      <c r="AI28" s="89" t="str" cm="1">
        <f t="array" aca="1" ref="AI28" ca="1">IFERROR(IF($AJ$4="N",SSUM(AD28:AF28)/3,SUM(AE28:AG28)/3),"")</f>
        <v/>
      </c>
      <c r="AJ28" s="90">
        <f t="shared" si="23"/>
        <v>0</v>
      </c>
      <c r="AK28" s="91" t="str">
        <f t="shared" si="9"/>
        <v/>
      </c>
      <c r="AL28" s="92" t="str">
        <f t="shared" si="10"/>
        <v/>
      </c>
      <c r="AM28" s="92" t="str">
        <f t="shared" si="11"/>
        <v/>
      </c>
      <c r="AN28" s="92" t="str">
        <f t="shared" si="12"/>
        <v/>
      </c>
      <c r="AO28" s="92" t="str">
        <f t="shared" si="13"/>
        <v/>
      </c>
      <c r="AP28" s="92" t="str">
        <f t="shared" si="14"/>
        <v/>
      </c>
      <c r="AQ28" s="92" t="str">
        <f t="shared" si="15"/>
        <v/>
      </c>
      <c r="AR28" s="92" t="str">
        <f t="shared" si="16"/>
        <v/>
      </c>
      <c r="AS28" s="92" t="str">
        <f t="shared" si="17"/>
        <v/>
      </c>
      <c r="AT28" s="217" t="str">
        <f t="shared" si="18"/>
        <v/>
      </c>
      <c r="AU28" s="93" t="str">
        <f t="shared" si="24"/>
        <v/>
      </c>
      <c r="AV28" s="94" t="str">
        <f t="shared" si="25"/>
        <v/>
      </c>
      <c r="AW28" s="95" t="str">
        <f t="shared" si="26"/>
        <v/>
      </c>
      <c r="AX28" s="248" t="s">
        <v>422</v>
      </c>
      <c r="AY28" s="229" t="s">
        <v>433</v>
      </c>
      <c r="AZ28" s="249">
        <v>0</v>
      </c>
      <c r="BA28" s="267">
        <f t="shared" si="27"/>
        <v>0</v>
      </c>
      <c r="BB28" s="268">
        <f t="shared" si="29"/>
        <v>0</v>
      </c>
      <c r="BC28" s="268">
        <f t="shared" si="29"/>
        <v>0</v>
      </c>
      <c r="BD28" s="268">
        <f t="shared" si="29"/>
        <v>1</v>
      </c>
      <c r="BE28" s="268">
        <f t="shared" si="29"/>
        <v>2</v>
      </c>
      <c r="BF28" s="268">
        <f t="shared" si="29"/>
        <v>3</v>
      </c>
      <c r="BG28" s="268">
        <f t="shared" si="29"/>
        <v>4</v>
      </c>
      <c r="BH28" s="269">
        <f t="shared" si="29"/>
        <v>5</v>
      </c>
      <c r="BI28" s="256">
        <f>IF($AY28=Lookup!$A$2,$AZ28*ROUNDUP(BA28/10,0)+1,
IF($AY28=Lookup!$A$3,($AZ28+1)^AZ28,
IF($AY28=Lookup!$A$4,BA28*$AZ28+1,"Error")))</f>
        <v>1</v>
      </c>
      <c r="BJ28" s="229">
        <f>IF($AY28=Lookup!$A$2,$AZ28*ROUNDUP(BB28/10,0)+1,
IF($AY28=Lookup!$A$3,($AZ28+1)^BA28,
IF($AY28=Lookup!$A$4,BB28*$AZ28+1,"Error")))</f>
        <v>1</v>
      </c>
      <c r="BK28" s="229">
        <f>IF($AY28=Lookup!$A$2,$AZ28*ROUNDUP(BC28/10,0)+1,
IF($AY28=Lookup!$A$3,($AZ28+1)^BB28,
IF($AY28=Lookup!$A$4,BC28*$AZ28+1,"Error")))</f>
        <v>1</v>
      </c>
      <c r="BL28" s="229">
        <f>IF($AY28=Lookup!$A$2,$AZ28*ROUNDUP(BD28/10,0)+1,
IF($AY28=Lookup!$A$3,($AZ28+1)^BC28,
IF($AY28=Lookup!$A$4,BD28*$AZ28+1,"Error")))</f>
        <v>1</v>
      </c>
      <c r="BM28" s="229">
        <f>IF($AY28=Lookup!$A$2,$AZ28*ROUNDUP(BE28/10,0)+1,
IF($AY28=Lookup!$A$3,($AZ28+1)^BD28,
IF($AY28=Lookup!$A$4,BE28*$AZ28+1,"Error")))</f>
        <v>1</v>
      </c>
      <c r="BN28" s="229">
        <f>IF($AY28=Lookup!$A$2,$AZ28*ROUNDUP(BF28/10,0)+1,
IF($AY28=Lookup!$A$3,($AZ28+1)^BE28,
IF($AY28=Lookup!$A$4,BF28*$AZ28+1,"Error")))</f>
        <v>1</v>
      </c>
      <c r="BO28" s="229">
        <f>IF($AY28=Lookup!$A$2,$AZ28*ROUNDUP(BG28/10,0)+1,
IF($AY28=Lookup!$A$3,($AZ28+1)^BF28,
IF($AY28=Lookup!$A$4,BG28*$AZ28+1,"Error")))</f>
        <v>1</v>
      </c>
      <c r="BP28" s="249">
        <f>IF($AY28=Lookup!$A$2,$AZ28*ROUNDUP(BH28/10,0)+1,
IF($AY28=Lookup!$A$3,($AZ28+1)^BG28,
IF($AY28=Lookup!$A$4,BH28*$AZ28+1,"Error")))</f>
        <v>1</v>
      </c>
      <c r="BQ28" s="320"/>
      <c r="BR28" s="321"/>
      <c r="BS28" s="321"/>
      <c r="BT28" s="321"/>
      <c r="BU28" s="321"/>
      <c r="BV28" s="321"/>
      <c r="BW28" s="321"/>
      <c r="BX28" s="277"/>
      <c r="BY28" s="382" t="s">
        <v>292</v>
      </c>
      <c r="BZ28" s="383">
        <f>HLOOKUP($BY28,$AH$6:$AJ$132,ROWS(BZ$6:BZ28),0)</f>
        <v>0</v>
      </c>
      <c r="CA28" s="234">
        <f t="shared" si="28"/>
        <v>0</v>
      </c>
      <c r="CB28" s="96">
        <f t="shared" si="20"/>
        <v>0</v>
      </c>
      <c r="CC28" s="96">
        <f t="shared" si="20"/>
        <v>0</v>
      </c>
      <c r="CD28" s="96">
        <f t="shared" si="20"/>
        <v>0</v>
      </c>
      <c r="CE28" s="96">
        <f t="shared" si="20"/>
        <v>0</v>
      </c>
      <c r="CF28" s="96">
        <f t="shared" si="20"/>
        <v>0</v>
      </c>
      <c r="CG28" s="96">
        <f t="shared" si="20"/>
        <v>0</v>
      </c>
      <c r="CH28" s="286">
        <f t="shared" si="20"/>
        <v>0</v>
      </c>
      <c r="CI28" s="305" t="s">
        <v>293</v>
      </c>
      <c r="CJ28" s="315">
        <v>0.05</v>
      </c>
      <c r="CK28" s="306"/>
      <c r="CL28" s="307" t="str">
        <f>IF($CK28&lt;&gt;"",$CK28,HLOOKUP($CI28,$AU$6:$AW$132,ROWS(CL$6:CL28),0))</f>
        <v/>
      </c>
      <c r="CM28" s="97"/>
      <c r="CN28" s="97"/>
      <c r="CO28" s="97"/>
      <c r="CP28" s="97"/>
      <c r="CQ28" s="97"/>
      <c r="CR28" s="97"/>
      <c r="CS28" s="97"/>
      <c r="CT28" s="98"/>
      <c r="CU28" s="392"/>
    </row>
    <row r="29" spans="1:99" x14ac:dyDescent="0.25">
      <c r="A29" s="81" t="s">
        <v>68</v>
      </c>
      <c r="B29" s="82" t="s">
        <v>71</v>
      </c>
      <c r="C29" s="83" t="s">
        <v>306</v>
      </c>
      <c r="D29" s="84"/>
      <c r="E29" s="85"/>
      <c r="F29" s="85"/>
      <c r="G29" s="85"/>
      <c r="H29" s="85"/>
      <c r="I29" s="85"/>
      <c r="J29" s="85"/>
      <c r="K29" s="85"/>
      <c r="L29" s="85"/>
      <c r="M29" s="201"/>
      <c r="N29" s="560">
        <f t="shared" si="21"/>
        <v>0</v>
      </c>
      <c r="O29" s="561">
        <f t="shared" si="0"/>
        <v>0</v>
      </c>
      <c r="P29" s="561">
        <f t="shared" si="1"/>
        <v>0</v>
      </c>
      <c r="Q29" s="561">
        <f t="shared" si="2"/>
        <v>0</v>
      </c>
      <c r="R29" s="561">
        <f t="shared" si="3"/>
        <v>0</v>
      </c>
      <c r="S29" s="561">
        <f t="shared" si="4"/>
        <v>0</v>
      </c>
      <c r="T29" s="561">
        <f t="shared" si="5"/>
        <v>0</v>
      </c>
      <c r="U29" s="561">
        <f t="shared" si="6"/>
        <v>0</v>
      </c>
      <c r="V29" s="561">
        <f t="shared" si="7"/>
        <v>0</v>
      </c>
      <c r="W29" s="562">
        <f t="shared" si="8"/>
        <v>0</v>
      </c>
      <c r="X29" s="86"/>
      <c r="Y29" s="87"/>
      <c r="Z29" s="87"/>
      <c r="AA29" s="87"/>
      <c r="AB29" s="87"/>
      <c r="AC29" s="87"/>
      <c r="AD29" s="87"/>
      <c r="AE29" s="87"/>
      <c r="AF29" s="87"/>
      <c r="AG29" s="194"/>
      <c r="AH29" s="88">
        <f t="shared" si="22"/>
        <v>0</v>
      </c>
      <c r="AI29" s="89" t="str" cm="1">
        <f t="array" aca="1" ref="AI29" ca="1">IFERROR(IF($AJ$4="N",SSUM(AD29:AF29)/3,SUM(AE29:AG29)/3),"")</f>
        <v/>
      </c>
      <c r="AJ29" s="90">
        <f t="shared" si="23"/>
        <v>0</v>
      </c>
      <c r="AK29" s="91" t="str">
        <f t="shared" si="9"/>
        <v/>
      </c>
      <c r="AL29" s="92" t="str">
        <f t="shared" si="10"/>
        <v/>
      </c>
      <c r="AM29" s="92" t="str">
        <f t="shared" si="11"/>
        <v/>
      </c>
      <c r="AN29" s="92" t="str">
        <f t="shared" si="12"/>
        <v/>
      </c>
      <c r="AO29" s="92" t="str">
        <f t="shared" si="13"/>
        <v/>
      </c>
      <c r="AP29" s="92" t="str">
        <f t="shared" si="14"/>
        <v/>
      </c>
      <c r="AQ29" s="92" t="str">
        <f t="shared" si="15"/>
        <v/>
      </c>
      <c r="AR29" s="92" t="str">
        <f t="shared" si="16"/>
        <v/>
      </c>
      <c r="AS29" s="92" t="str">
        <f t="shared" si="17"/>
        <v/>
      </c>
      <c r="AT29" s="217" t="str">
        <f t="shared" si="18"/>
        <v/>
      </c>
      <c r="AU29" s="93" t="str">
        <f t="shared" si="24"/>
        <v/>
      </c>
      <c r="AV29" s="94" t="str">
        <f t="shared" si="25"/>
        <v/>
      </c>
      <c r="AW29" s="95" t="str">
        <f t="shared" si="26"/>
        <v/>
      </c>
      <c r="AX29" s="248" t="s">
        <v>422</v>
      </c>
      <c r="AY29" s="229" t="s">
        <v>433</v>
      </c>
      <c r="AZ29" s="249">
        <v>0</v>
      </c>
      <c r="BA29" s="267">
        <f t="shared" si="27"/>
        <v>0</v>
      </c>
      <c r="BB29" s="268">
        <f t="shared" si="29"/>
        <v>0</v>
      </c>
      <c r="BC29" s="268">
        <f t="shared" si="29"/>
        <v>0</v>
      </c>
      <c r="BD29" s="268">
        <f t="shared" si="29"/>
        <v>1</v>
      </c>
      <c r="BE29" s="268">
        <f t="shared" si="29"/>
        <v>2</v>
      </c>
      <c r="BF29" s="268">
        <f t="shared" si="29"/>
        <v>3</v>
      </c>
      <c r="BG29" s="268">
        <f t="shared" si="29"/>
        <v>4</v>
      </c>
      <c r="BH29" s="269">
        <f t="shared" si="29"/>
        <v>5</v>
      </c>
      <c r="BI29" s="256">
        <f>IF($AY29=Lookup!$A$2,$AZ29*ROUNDUP(BA29/10,0)+1,
IF($AY29=Lookup!$A$3,($AZ29+1)^AZ29,
IF($AY29=Lookup!$A$4,BA29*$AZ29+1,"Error")))</f>
        <v>1</v>
      </c>
      <c r="BJ29" s="229">
        <f>IF($AY29=Lookup!$A$2,$AZ29*ROUNDUP(BB29/10,0)+1,
IF($AY29=Lookup!$A$3,($AZ29+1)^BA29,
IF($AY29=Lookup!$A$4,BB29*$AZ29+1,"Error")))</f>
        <v>1</v>
      </c>
      <c r="BK29" s="229">
        <f>IF($AY29=Lookup!$A$2,$AZ29*ROUNDUP(BC29/10,0)+1,
IF($AY29=Lookup!$A$3,($AZ29+1)^BB29,
IF($AY29=Lookup!$A$4,BC29*$AZ29+1,"Error")))</f>
        <v>1</v>
      </c>
      <c r="BL29" s="229">
        <f>IF($AY29=Lookup!$A$2,$AZ29*ROUNDUP(BD29/10,0)+1,
IF($AY29=Lookup!$A$3,($AZ29+1)^BC29,
IF($AY29=Lookup!$A$4,BD29*$AZ29+1,"Error")))</f>
        <v>1</v>
      </c>
      <c r="BM29" s="229">
        <f>IF($AY29=Lookup!$A$2,$AZ29*ROUNDUP(BE29/10,0)+1,
IF($AY29=Lookup!$A$3,($AZ29+1)^BD29,
IF($AY29=Lookup!$A$4,BE29*$AZ29+1,"Error")))</f>
        <v>1</v>
      </c>
      <c r="BN29" s="229">
        <f>IF($AY29=Lookup!$A$2,$AZ29*ROUNDUP(BF29/10,0)+1,
IF($AY29=Lookup!$A$3,($AZ29+1)^BE29,
IF($AY29=Lookup!$A$4,BF29*$AZ29+1,"Error")))</f>
        <v>1</v>
      </c>
      <c r="BO29" s="229">
        <f>IF($AY29=Lookup!$A$2,$AZ29*ROUNDUP(BG29/10,0)+1,
IF($AY29=Lookup!$A$3,($AZ29+1)^BF29,
IF($AY29=Lookup!$A$4,BG29*$AZ29+1,"Error")))</f>
        <v>1</v>
      </c>
      <c r="BP29" s="249">
        <f>IF($AY29=Lookup!$A$2,$AZ29*ROUNDUP(BH29/10,0)+1,
IF($AY29=Lookup!$A$3,($AZ29+1)^BG29,
IF($AY29=Lookup!$A$4,BH29*$AZ29+1,"Error")))</f>
        <v>1</v>
      </c>
      <c r="BQ29" s="320"/>
      <c r="BR29" s="321"/>
      <c r="BS29" s="321"/>
      <c r="BT29" s="321"/>
      <c r="BU29" s="321"/>
      <c r="BV29" s="321"/>
      <c r="BW29" s="321"/>
      <c r="BX29" s="277"/>
      <c r="BY29" s="382" t="s">
        <v>292</v>
      </c>
      <c r="BZ29" s="383">
        <f>HLOOKUP($BY29,$AH$6:$AJ$132,ROWS(BZ$6:BZ29),0)</f>
        <v>0</v>
      </c>
      <c r="CA29" s="234">
        <f t="shared" si="28"/>
        <v>0</v>
      </c>
      <c r="CB29" s="96">
        <f t="shared" si="20"/>
        <v>0</v>
      </c>
      <c r="CC29" s="96">
        <f t="shared" si="20"/>
        <v>0</v>
      </c>
      <c r="CD29" s="96">
        <f t="shared" si="20"/>
        <v>0</v>
      </c>
      <c r="CE29" s="96">
        <f t="shared" si="20"/>
        <v>0</v>
      </c>
      <c r="CF29" s="96">
        <f t="shared" si="20"/>
        <v>0</v>
      </c>
      <c r="CG29" s="96">
        <f t="shared" si="20"/>
        <v>0</v>
      </c>
      <c r="CH29" s="286">
        <f t="shared" si="20"/>
        <v>0</v>
      </c>
      <c r="CI29" s="305" t="s">
        <v>293</v>
      </c>
      <c r="CJ29" s="315">
        <v>0.05</v>
      </c>
      <c r="CK29" s="306"/>
      <c r="CL29" s="307" t="str">
        <f>IF($CK29&lt;&gt;"",$CK29,HLOOKUP($CI29,$AU$6:$AW$132,ROWS(CL$6:CL29),0))</f>
        <v/>
      </c>
      <c r="CM29" s="97"/>
      <c r="CN29" s="97"/>
      <c r="CO29" s="97"/>
      <c r="CP29" s="97"/>
      <c r="CQ29" s="97"/>
      <c r="CR29" s="97"/>
      <c r="CS29" s="97"/>
      <c r="CT29" s="98"/>
      <c r="CU29" s="392"/>
    </row>
    <row r="30" spans="1:99" x14ac:dyDescent="0.25">
      <c r="A30" s="81" t="s">
        <v>68</v>
      </c>
      <c r="B30" s="82" t="s">
        <v>73</v>
      </c>
      <c r="C30" s="83" t="s">
        <v>307</v>
      </c>
      <c r="D30" s="84"/>
      <c r="E30" s="85"/>
      <c r="F30" s="85"/>
      <c r="G30" s="85"/>
      <c r="H30" s="85"/>
      <c r="I30" s="85"/>
      <c r="J30" s="85"/>
      <c r="K30" s="85"/>
      <c r="L30" s="85"/>
      <c r="M30" s="201"/>
      <c r="N30" s="560">
        <f t="shared" si="21"/>
        <v>0</v>
      </c>
      <c r="O30" s="561">
        <f t="shared" si="0"/>
        <v>0</v>
      </c>
      <c r="P30" s="561">
        <f t="shared" si="1"/>
        <v>0</v>
      </c>
      <c r="Q30" s="561">
        <f t="shared" si="2"/>
        <v>0</v>
      </c>
      <c r="R30" s="561">
        <f t="shared" si="3"/>
        <v>0</v>
      </c>
      <c r="S30" s="561">
        <f t="shared" si="4"/>
        <v>0</v>
      </c>
      <c r="T30" s="561">
        <f t="shared" si="5"/>
        <v>0</v>
      </c>
      <c r="U30" s="561">
        <f t="shared" si="6"/>
        <v>0</v>
      </c>
      <c r="V30" s="561">
        <f t="shared" si="7"/>
        <v>0</v>
      </c>
      <c r="W30" s="562">
        <f t="shared" si="8"/>
        <v>0</v>
      </c>
      <c r="X30" s="86"/>
      <c r="Y30" s="87"/>
      <c r="Z30" s="87"/>
      <c r="AA30" s="87"/>
      <c r="AB30" s="87"/>
      <c r="AC30" s="87"/>
      <c r="AD30" s="87"/>
      <c r="AE30" s="87"/>
      <c r="AF30" s="87"/>
      <c r="AG30" s="194"/>
      <c r="AH30" s="88">
        <f t="shared" si="22"/>
        <v>0</v>
      </c>
      <c r="AI30" s="89" t="str" cm="1">
        <f t="array" aca="1" ref="AI30" ca="1">IFERROR(IF($AJ$4="N",SSUM(AD30:AF30)/3,SUM(AE30:AG30)/3),"")</f>
        <v/>
      </c>
      <c r="AJ30" s="90">
        <f t="shared" si="23"/>
        <v>0</v>
      </c>
      <c r="AK30" s="91" t="str">
        <f t="shared" si="9"/>
        <v/>
      </c>
      <c r="AL30" s="92" t="str">
        <f t="shared" si="10"/>
        <v/>
      </c>
      <c r="AM30" s="92" t="str">
        <f t="shared" si="11"/>
        <v/>
      </c>
      <c r="AN30" s="92" t="str">
        <f t="shared" si="12"/>
        <v/>
      </c>
      <c r="AO30" s="92" t="str">
        <f t="shared" si="13"/>
        <v/>
      </c>
      <c r="AP30" s="92" t="str">
        <f t="shared" si="14"/>
        <v/>
      </c>
      <c r="AQ30" s="92" t="str">
        <f t="shared" si="15"/>
        <v/>
      </c>
      <c r="AR30" s="92" t="str">
        <f t="shared" si="16"/>
        <v/>
      </c>
      <c r="AS30" s="92" t="str">
        <f t="shared" si="17"/>
        <v/>
      </c>
      <c r="AT30" s="217" t="str">
        <f t="shared" si="18"/>
        <v/>
      </c>
      <c r="AU30" s="93" t="str">
        <f t="shared" si="24"/>
        <v/>
      </c>
      <c r="AV30" s="94" t="str">
        <f t="shared" si="25"/>
        <v/>
      </c>
      <c r="AW30" s="95" t="str">
        <f t="shared" si="26"/>
        <v/>
      </c>
      <c r="AX30" s="248" t="s">
        <v>422</v>
      </c>
      <c r="AY30" s="229" t="s">
        <v>433</v>
      </c>
      <c r="AZ30" s="249">
        <v>0</v>
      </c>
      <c r="BA30" s="267">
        <f t="shared" si="27"/>
        <v>0</v>
      </c>
      <c r="BB30" s="268">
        <f t="shared" si="29"/>
        <v>0</v>
      </c>
      <c r="BC30" s="268">
        <f t="shared" si="29"/>
        <v>0</v>
      </c>
      <c r="BD30" s="268">
        <f t="shared" si="29"/>
        <v>1</v>
      </c>
      <c r="BE30" s="268">
        <f t="shared" si="29"/>
        <v>2</v>
      </c>
      <c r="BF30" s="268">
        <f t="shared" si="29"/>
        <v>3</v>
      </c>
      <c r="BG30" s="268">
        <f t="shared" si="29"/>
        <v>4</v>
      </c>
      <c r="BH30" s="269">
        <f t="shared" si="29"/>
        <v>5</v>
      </c>
      <c r="BI30" s="256">
        <f>IF($AY30=Lookup!$A$2,$AZ30*ROUNDUP(BA30/10,0)+1,
IF($AY30=Lookup!$A$3,($AZ30+1)^AZ30,
IF($AY30=Lookup!$A$4,BA30*$AZ30+1,"Error")))</f>
        <v>1</v>
      </c>
      <c r="BJ30" s="229">
        <f>IF($AY30=Lookup!$A$2,$AZ30*ROUNDUP(BB30/10,0)+1,
IF($AY30=Lookup!$A$3,($AZ30+1)^BA30,
IF($AY30=Lookup!$A$4,BB30*$AZ30+1,"Error")))</f>
        <v>1</v>
      </c>
      <c r="BK30" s="229">
        <f>IF($AY30=Lookup!$A$2,$AZ30*ROUNDUP(BC30/10,0)+1,
IF($AY30=Lookup!$A$3,($AZ30+1)^BB30,
IF($AY30=Lookup!$A$4,BC30*$AZ30+1,"Error")))</f>
        <v>1</v>
      </c>
      <c r="BL30" s="229">
        <f>IF($AY30=Lookup!$A$2,$AZ30*ROUNDUP(BD30/10,0)+1,
IF($AY30=Lookup!$A$3,($AZ30+1)^BC30,
IF($AY30=Lookup!$A$4,BD30*$AZ30+1,"Error")))</f>
        <v>1</v>
      </c>
      <c r="BM30" s="229">
        <f>IF($AY30=Lookup!$A$2,$AZ30*ROUNDUP(BE30/10,0)+1,
IF($AY30=Lookup!$A$3,($AZ30+1)^BD30,
IF($AY30=Lookup!$A$4,BE30*$AZ30+1,"Error")))</f>
        <v>1</v>
      </c>
      <c r="BN30" s="229">
        <f>IF($AY30=Lookup!$A$2,$AZ30*ROUNDUP(BF30/10,0)+1,
IF($AY30=Lookup!$A$3,($AZ30+1)^BE30,
IF($AY30=Lookup!$A$4,BF30*$AZ30+1,"Error")))</f>
        <v>1</v>
      </c>
      <c r="BO30" s="229">
        <f>IF($AY30=Lookup!$A$2,$AZ30*ROUNDUP(BG30/10,0)+1,
IF($AY30=Lookup!$A$3,($AZ30+1)^BF30,
IF($AY30=Lookup!$A$4,BG30*$AZ30+1,"Error")))</f>
        <v>1</v>
      </c>
      <c r="BP30" s="249">
        <f>IF($AY30=Lookup!$A$2,$AZ30*ROUNDUP(BH30/10,0)+1,
IF($AY30=Lookup!$A$3,($AZ30+1)^BG30,
IF($AY30=Lookup!$A$4,BH30*$AZ30+1,"Error")))</f>
        <v>1</v>
      </c>
      <c r="BQ30" s="320"/>
      <c r="BR30" s="321"/>
      <c r="BS30" s="321"/>
      <c r="BT30" s="321"/>
      <c r="BU30" s="321"/>
      <c r="BV30" s="321"/>
      <c r="BW30" s="321"/>
      <c r="BX30" s="277"/>
      <c r="BY30" s="382" t="s">
        <v>292</v>
      </c>
      <c r="BZ30" s="383">
        <f>HLOOKUP($BY30,$AH$6:$AJ$132,ROWS(BZ$6:BZ30),0)</f>
        <v>0</v>
      </c>
      <c r="CA30" s="234">
        <f t="shared" si="28"/>
        <v>0</v>
      </c>
      <c r="CB30" s="96">
        <f t="shared" si="20"/>
        <v>0</v>
      </c>
      <c r="CC30" s="96">
        <f t="shared" si="20"/>
        <v>0</v>
      </c>
      <c r="CD30" s="96">
        <f t="shared" si="20"/>
        <v>0</v>
      </c>
      <c r="CE30" s="96">
        <f t="shared" si="20"/>
        <v>0</v>
      </c>
      <c r="CF30" s="96">
        <f t="shared" si="20"/>
        <v>0</v>
      </c>
      <c r="CG30" s="96">
        <f t="shared" si="20"/>
        <v>0</v>
      </c>
      <c r="CH30" s="286">
        <f t="shared" si="20"/>
        <v>0</v>
      </c>
      <c r="CI30" s="305" t="s">
        <v>293</v>
      </c>
      <c r="CJ30" s="315">
        <v>0.05</v>
      </c>
      <c r="CK30" s="306"/>
      <c r="CL30" s="307" t="str">
        <f>IF($CK30&lt;&gt;"",$CK30,HLOOKUP($CI30,$AU$6:$AW$132,ROWS(CL$6:CL30),0))</f>
        <v/>
      </c>
      <c r="CM30" s="97"/>
      <c r="CN30" s="97"/>
      <c r="CO30" s="97"/>
      <c r="CP30" s="97"/>
      <c r="CQ30" s="97"/>
      <c r="CR30" s="97"/>
      <c r="CS30" s="97"/>
      <c r="CT30" s="98"/>
      <c r="CU30" s="392"/>
    </row>
    <row r="31" spans="1:99" x14ac:dyDescent="0.25">
      <c r="A31" s="81" t="s">
        <v>68</v>
      </c>
      <c r="B31" s="82" t="s">
        <v>75</v>
      </c>
      <c r="C31" s="83" t="s">
        <v>76</v>
      </c>
      <c r="D31" s="84"/>
      <c r="E31" s="85"/>
      <c r="F31" s="85"/>
      <c r="G31" s="85"/>
      <c r="H31" s="85"/>
      <c r="I31" s="85"/>
      <c r="J31" s="85"/>
      <c r="K31" s="85"/>
      <c r="L31" s="85"/>
      <c r="M31" s="201"/>
      <c r="N31" s="560">
        <f t="shared" si="21"/>
        <v>0</v>
      </c>
      <c r="O31" s="561">
        <f t="shared" si="0"/>
        <v>0</v>
      </c>
      <c r="P31" s="561">
        <f t="shared" si="1"/>
        <v>0</v>
      </c>
      <c r="Q31" s="561">
        <f t="shared" si="2"/>
        <v>0</v>
      </c>
      <c r="R31" s="561">
        <f t="shared" si="3"/>
        <v>0</v>
      </c>
      <c r="S31" s="561">
        <f t="shared" si="4"/>
        <v>0</v>
      </c>
      <c r="T31" s="561">
        <f t="shared" si="5"/>
        <v>0</v>
      </c>
      <c r="U31" s="561">
        <f t="shared" si="6"/>
        <v>0</v>
      </c>
      <c r="V31" s="561">
        <f t="shared" si="7"/>
        <v>0</v>
      </c>
      <c r="W31" s="562">
        <f t="shared" si="8"/>
        <v>0</v>
      </c>
      <c r="X31" s="86"/>
      <c r="Y31" s="87"/>
      <c r="Z31" s="87"/>
      <c r="AA31" s="87"/>
      <c r="AB31" s="87"/>
      <c r="AC31" s="87"/>
      <c r="AD31" s="87"/>
      <c r="AE31" s="87"/>
      <c r="AF31" s="87"/>
      <c r="AG31" s="194"/>
      <c r="AH31" s="88">
        <f t="shared" si="22"/>
        <v>0</v>
      </c>
      <c r="AI31" s="89" t="str" cm="1">
        <f t="array" aca="1" ref="AI31" ca="1">IFERROR(IF($AJ$4="N",SSUM(AD31:AF31)/3,SUM(AE31:AG31)/3),"")</f>
        <v/>
      </c>
      <c r="AJ31" s="90">
        <f t="shared" si="23"/>
        <v>0</v>
      </c>
      <c r="AK31" s="91" t="str">
        <f t="shared" si="9"/>
        <v/>
      </c>
      <c r="AL31" s="92" t="str">
        <f t="shared" si="10"/>
        <v/>
      </c>
      <c r="AM31" s="92" t="str">
        <f t="shared" si="11"/>
        <v/>
      </c>
      <c r="AN31" s="92" t="str">
        <f t="shared" si="12"/>
        <v/>
      </c>
      <c r="AO31" s="92" t="str">
        <f t="shared" si="13"/>
        <v/>
      </c>
      <c r="AP31" s="92" t="str">
        <f t="shared" si="14"/>
        <v/>
      </c>
      <c r="AQ31" s="92" t="str">
        <f t="shared" si="15"/>
        <v/>
      </c>
      <c r="AR31" s="92" t="str">
        <f t="shared" si="16"/>
        <v/>
      </c>
      <c r="AS31" s="92" t="str">
        <f t="shared" si="17"/>
        <v/>
      </c>
      <c r="AT31" s="217" t="str">
        <f t="shared" si="18"/>
        <v/>
      </c>
      <c r="AU31" s="93" t="str">
        <f t="shared" si="24"/>
        <v/>
      </c>
      <c r="AV31" s="94" t="str">
        <f t="shared" si="25"/>
        <v/>
      </c>
      <c r="AW31" s="95" t="str">
        <f t="shared" si="26"/>
        <v/>
      </c>
      <c r="AX31" s="248" t="s">
        <v>422</v>
      </c>
      <c r="AY31" s="229" t="s">
        <v>433</v>
      </c>
      <c r="AZ31" s="249">
        <v>0</v>
      </c>
      <c r="BA31" s="267">
        <f t="shared" si="27"/>
        <v>0</v>
      </c>
      <c r="BB31" s="268">
        <f t="shared" si="29"/>
        <v>0</v>
      </c>
      <c r="BC31" s="268">
        <f t="shared" si="29"/>
        <v>0</v>
      </c>
      <c r="BD31" s="268">
        <f t="shared" si="29"/>
        <v>1</v>
      </c>
      <c r="BE31" s="268">
        <f t="shared" si="29"/>
        <v>2</v>
      </c>
      <c r="BF31" s="268">
        <f t="shared" si="29"/>
        <v>3</v>
      </c>
      <c r="BG31" s="268">
        <f t="shared" si="29"/>
        <v>4</v>
      </c>
      <c r="BH31" s="269">
        <f t="shared" si="29"/>
        <v>5</v>
      </c>
      <c r="BI31" s="256">
        <f>IF($AY31=Lookup!$A$2,$AZ31*ROUNDUP(BA31/10,0)+1,
IF($AY31=Lookup!$A$3,($AZ31+1)^AZ31,
IF($AY31=Lookup!$A$4,BA31*$AZ31+1,"Error")))</f>
        <v>1</v>
      </c>
      <c r="BJ31" s="229">
        <f>IF($AY31=Lookup!$A$2,$AZ31*ROUNDUP(BB31/10,0)+1,
IF($AY31=Lookup!$A$3,($AZ31+1)^BA31,
IF($AY31=Lookup!$A$4,BB31*$AZ31+1,"Error")))</f>
        <v>1</v>
      </c>
      <c r="BK31" s="229">
        <f>IF($AY31=Lookup!$A$2,$AZ31*ROUNDUP(BC31/10,0)+1,
IF($AY31=Lookup!$A$3,($AZ31+1)^BB31,
IF($AY31=Lookup!$A$4,BC31*$AZ31+1,"Error")))</f>
        <v>1</v>
      </c>
      <c r="BL31" s="229">
        <f>IF($AY31=Lookup!$A$2,$AZ31*ROUNDUP(BD31/10,0)+1,
IF($AY31=Lookup!$A$3,($AZ31+1)^BC31,
IF($AY31=Lookup!$A$4,BD31*$AZ31+1,"Error")))</f>
        <v>1</v>
      </c>
      <c r="BM31" s="229">
        <f>IF($AY31=Lookup!$A$2,$AZ31*ROUNDUP(BE31/10,0)+1,
IF($AY31=Lookup!$A$3,($AZ31+1)^BD31,
IF($AY31=Lookup!$A$4,BE31*$AZ31+1,"Error")))</f>
        <v>1</v>
      </c>
      <c r="BN31" s="229">
        <f>IF($AY31=Lookup!$A$2,$AZ31*ROUNDUP(BF31/10,0)+1,
IF($AY31=Lookup!$A$3,($AZ31+1)^BE31,
IF($AY31=Lookup!$A$4,BF31*$AZ31+1,"Error")))</f>
        <v>1</v>
      </c>
      <c r="BO31" s="229">
        <f>IF($AY31=Lookup!$A$2,$AZ31*ROUNDUP(BG31/10,0)+1,
IF($AY31=Lookup!$A$3,($AZ31+1)^BF31,
IF($AY31=Lookup!$A$4,BG31*$AZ31+1,"Error")))</f>
        <v>1</v>
      </c>
      <c r="BP31" s="249">
        <f>IF($AY31=Lookup!$A$2,$AZ31*ROUNDUP(BH31/10,0)+1,
IF($AY31=Lookup!$A$3,($AZ31+1)^BG31,
IF($AY31=Lookup!$A$4,BH31*$AZ31+1,"Error")))</f>
        <v>1</v>
      </c>
      <c r="BQ31" s="320"/>
      <c r="BR31" s="321"/>
      <c r="BS31" s="321"/>
      <c r="BT31" s="321"/>
      <c r="BU31" s="321"/>
      <c r="BV31" s="321"/>
      <c r="BW31" s="321"/>
      <c r="BX31" s="277"/>
      <c r="BY31" s="382" t="s">
        <v>292</v>
      </c>
      <c r="BZ31" s="383">
        <f>HLOOKUP($BY31,$AH$6:$AJ$132,ROWS(BZ$6:BZ31),0)</f>
        <v>0</v>
      </c>
      <c r="CA31" s="234">
        <f t="shared" si="28"/>
        <v>0</v>
      </c>
      <c r="CB31" s="96">
        <f t="shared" si="20"/>
        <v>0</v>
      </c>
      <c r="CC31" s="96">
        <f t="shared" si="20"/>
        <v>0</v>
      </c>
      <c r="CD31" s="96">
        <f t="shared" si="20"/>
        <v>0</v>
      </c>
      <c r="CE31" s="96">
        <f t="shared" si="20"/>
        <v>0</v>
      </c>
      <c r="CF31" s="96">
        <f t="shared" si="20"/>
        <v>0</v>
      </c>
      <c r="CG31" s="96">
        <f t="shared" si="20"/>
        <v>0</v>
      </c>
      <c r="CH31" s="286">
        <f t="shared" si="20"/>
        <v>0</v>
      </c>
      <c r="CI31" s="305" t="s">
        <v>293</v>
      </c>
      <c r="CJ31" s="315">
        <v>0.05</v>
      </c>
      <c r="CK31" s="306"/>
      <c r="CL31" s="307" t="str">
        <f>IF($CK31&lt;&gt;"",$CK31,HLOOKUP($CI31,$AU$6:$AW$132,ROWS(CL$6:CL31),0))</f>
        <v/>
      </c>
      <c r="CM31" s="97"/>
      <c r="CN31" s="97"/>
      <c r="CO31" s="97"/>
      <c r="CP31" s="97"/>
      <c r="CQ31" s="97"/>
      <c r="CR31" s="97"/>
      <c r="CS31" s="97"/>
      <c r="CT31" s="98"/>
      <c r="CU31" s="392"/>
    </row>
    <row r="32" spans="1:99" x14ac:dyDescent="0.25">
      <c r="A32" s="81" t="s">
        <v>68</v>
      </c>
      <c r="B32" s="82" t="s">
        <v>77</v>
      </c>
      <c r="C32" s="83" t="s">
        <v>78</v>
      </c>
      <c r="D32" s="84"/>
      <c r="E32" s="85"/>
      <c r="F32" s="85"/>
      <c r="G32" s="85"/>
      <c r="H32" s="85"/>
      <c r="I32" s="85"/>
      <c r="J32" s="85"/>
      <c r="K32" s="85"/>
      <c r="L32" s="85"/>
      <c r="M32" s="201"/>
      <c r="N32" s="560">
        <f t="shared" si="21"/>
        <v>0</v>
      </c>
      <c r="O32" s="561">
        <f t="shared" si="0"/>
        <v>0</v>
      </c>
      <c r="P32" s="561">
        <f t="shared" si="1"/>
        <v>0</v>
      </c>
      <c r="Q32" s="561">
        <f t="shared" si="2"/>
        <v>0</v>
      </c>
      <c r="R32" s="561">
        <f t="shared" si="3"/>
        <v>0</v>
      </c>
      <c r="S32" s="561">
        <f t="shared" si="4"/>
        <v>0</v>
      </c>
      <c r="T32" s="561">
        <f t="shared" si="5"/>
        <v>0</v>
      </c>
      <c r="U32" s="561">
        <f t="shared" si="6"/>
        <v>0</v>
      </c>
      <c r="V32" s="561">
        <f t="shared" si="7"/>
        <v>0</v>
      </c>
      <c r="W32" s="562">
        <f t="shared" si="8"/>
        <v>0</v>
      </c>
      <c r="X32" s="86"/>
      <c r="Y32" s="87"/>
      <c r="Z32" s="87"/>
      <c r="AA32" s="87"/>
      <c r="AB32" s="87"/>
      <c r="AC32" s="87"/>
      <c r="AD32" s="87"/>
      <c r="AE32" s="87"/>
      <c r="AF32" s="87"/>
      <c r="AG32" s="194"/>
      <c r="AH32" s="88">
        <f t="shared" si="22"/>
        <v>0</v>
      </c>
      <c r="AI32" s="89" t="str" cm="1">
        <f t="array" aca="1" ref="AI32" ca="1">IFERROR(IF($AJ$4="N",SSUM(AD32:AF32)/3,SUM(AE32:AG32)/3),"")</f>
        <v/>
      </c>
      <c r="AJ32" s="90">
        <f t="shared" si="23"/>
        <v>0</v>
      </c>
      <c r="AK32" s="91" t="str">
        <f t="shared" si="9"/>
        <v/>
      </c>
      <c r="AL32" s="92" t="str">
        <f t="shared" si="10"/>
        <v/>
      </c>
      <c r="AM32" s="92" t="str">
        <f t="shared" si="11"/>
        <v/>
      </c>
      <c r="AN32" s="92" t="str">
        <f t="shared" si="12"/>
        <v/>
      </c>
      <c r="AO32" s="92" t="str">
        <f t="shared" si="13"/>
        <v/>
      </c>
      <c r="AP32" s="92" t="str">
        <f t="shared" si="14"/>
        <v/>
      </c>
      <c r="AQ32" s="92" t="str">
        <f t="shared" si="15"/>
        <v/>
      </c>
      <c r="AR32" s="92" t="str">
        <f t="shared" si="16"/>
        <v/>
      </c>
      <c r="AS32" s="92" t="str">
        <f t="shared" si="17"/>
        <v/>
      </c>
      <c r="AT32" s="217" t="str">
        <f t="shared" si="18"/>
        <v/>
      </c>
      <c r="AU32" s="93" t="str">
        <f t="shared" si="24"/>
        <v/>
      </c>
      <c r="AV32" s="94" t="str">
        <f t="shared" si="25"/>
        <v/>
      </c>
      <c r="AW32" s="95" t="str">
        <f t="shared" si="26"/>
        <v/>
      </c>
      <c r="AX32" s="248" t="s">
        <v>422</v>
      </c>
      <c r="AY32" s="229" t="s">
        <v>433</v>
      </c>
      <c r="AZ32" s="249">
        <v>0</v>
      </c>
      <c r="BA32" s="267">
        <f t="shared" si="27"/>
        <v>0</v>
      </c>
      <c r="BB32" s="268">
        <f t="shared" si="29"/>
        <v>0</v>
      </c>
      <c r="BC32" s="268">
        <f t="shared" si="29"/>
        <v>0</v>
      </c>
      <c r="BD32" s="268">
        <f t="shared" si="29"/>
        <v>1</v>
      </c>
      <c r="BE32" s="268">
        <f t="shared" si="29"/>
        <v>2</v>
      </c>
      <c r="BF32" s="268">
        <f t="shared" si="29"/>
        <v>3</v>
      </c>
      <c r="BG32" s="268">
        <f t="shared" si="29"/>
        <v>4</v>
      </c>
      <c r="BH32" s="269">
        <f t="shared" si="29"/>
        <v>5</v>
      </c>
      <c r="BI32" s="256">
        <f>IF($AY32=Lookup!$A$2,$AZ32*ROUNDUP(BA32/10,0)+1,
IF($AY32=Lookup!$A$3,($AZ32+1)^AZ32,
IF($AY32=Lookup!$A$4,BA32*$AZ32+1,"Error")))</f>
        <v>1</v>
      </c>
      <c r="BJ32" s="229">
        <f>IF($AY32=Lookup!$A$2,$AZ32*ROUNDUP(BB32/10,0)+1,
IF($AY32=Lookup!$A$3,($AZ32+1)^BA32,
IF($AY32=Lookup!$A$4,BB32*$AZ32+1,"Error")))</f>
        <v>1</v>
      </c>
      <c r="BK32" s="229">
        <f>IF($AY32=Lookup!$A$2,$AZ32*ROUNDUP(BC32/10,0)+1,
IF($AY32=Lookup!$A$3,($AZ32+1)^BB32,
IF($AY32=Lookup!$A$4,BC32*$AZ32+1,"Error")))</f>
        <v>1</v>
      </c>
      <c r="BL32" s="229">
        <f>IF($AY32=Lookup!$A$2,$AZ32*ROUNDUP(BD32/10,0)+1,
IF($AY32=Lookup!$A$3,($AZ32+1)^BC32,
IF($AY32=Lookup!$A$4,BD32*$AZ32+1,"Error")))</f>
        <v>1</v>
      </c>
      <c r="BM32" s="229">
        <f>IF($AY32=Lookup!$A$2,$AZ32*ROUNDUP(BE32/10,0)+1,
IF($AY32=Lookup!$A$3,($AZ32+1)^BD32,
IF($AY32=Lookup!$A$4,BE32*$AZ32+1,"Error")))</f>
        <v>1</v>
      </c>
      <c r="BN32" s="229">
        <f>IF($AY32=Lookup!$A$2,$AZ32*ROUNDUP(BF32/10,0)+1,
IF($AY32=Lookup!$A$3,($AZ32+1)^BE32,
IF($AY32=Lookup!$A$4,BF32*$AZ32+1,"Error")))</f>
        <v>1</v>
      </c>
      <c r="BO32" s="229">
        <f>IF($AY32=Lookup!$A$2,$AZ32*ROUNDUP(BG32/10,0)+1,
IF($AY32=Lookup!$A$3,($AZ32+1)^BF32,
IF($AY32=Lookup!$A$4,BG32*$AZ32+1,"Error")))</f>
        <v>1</v>
      </c>
      <c r="BP32" s="249">
        <f>IF($AY32=Lookup!$A$2,$AZ32*ROUNDUP(BH32/10,0)+1,
IF($AY32=Lookup!$A$3,($AZ32+1)^BG32,
IF($AY32=Lookup!$A$4,BH32*$AZ32+1,"Error")))</f>
        <v>1</v>
      </c>
      <c r="BQ32" s="320"/>
      <c r="BR32" s="321"/>
      <c r="BS32" s="321"/>
      <c r="BT32" s="321"/>
      <c r="BU32" s="321"/>
      <c r="BV32" s="321"/>
      <c r="BW32" s="321"/>
      <c r="BX32" s="277"/>
      <c r="BY32" s="382" t="s">
        <v>292</v>
      </c>
      <c r="BZ32" s="383">
        <f>HLOOKUP($BY32,$AH$6:$AJ$132,ROWS(BZ$6:BZ32),0)</f>
        <v>0</v>
      </c>
      <c r="CA32" s="234">
        <f t="shared" si="28"/>
        <v>0</v>
      </c>
      <c r="CB32" s="96">
        <f t="shared" si="20"/>
        <v>0</v>
      </c>
      <c r="CC32" s="96">
        <f t="shared" si="20"/>
        <v>0</v>
      </c>
      <c r="CD32" s="96">
        <f t="shared" si="20"/>
        <v>0</v>
      </c>
      <c r="CE32" s="96">
        <f t="shared" si="20"/>
        <v>0</v>
      </c>
      <c r="CF32" s="96">
        <f t="shared" si="20"/>
        <v>0</v>
      </c>
      <c r="CG32" s="96">
        <f t="shared" si="20"/>
        <v>0</v>
      </c>
      <c r="CH32" s="286">
        <f t="shared" si="20"/>
        <v>0</v>
      </c>
      <c r="CI32" s="305" t="s">
        <v>293</v>
      </c>
      <c r="CJ32" s="315">
        <v>0.05</v>
      </c>
      <c r="CK32" s="306"/>
      <c r="CL32" s="307" t="str">
        <f>IF($CK32&lt;&gt;"",$CK32,HLOOKUP($CI32,$AU$6:$AW$132,ROWS(CL$6:CL32),0))</f>
        <v/>
      </c>
      <c r="CM32" s="97"/>
      <c r="CN32" s="97"/>
      <c r="CO32" s="97"/>
      <c r="CP32" s="97"/>
      <c r="CQ32" s="97"/>
      <c r="CR32" s="97"/>
      <c r="CS32" s="97"/>
      <c r="CT32" s="98"/>
      <c r="CU32" s="392"/>
    </row>
    <row r="33" spans="1:99" ht="15.75" thickBot="1" x14ac:dyDescent="0.3">
      <c r="A33" s="100" t="s">
        <v>68</v>
      </c>
      <c r="B33" s="101" t="s">
        <v>308</v>
      </c>
      <c r="C33" s="102" t="s">
        <v>309</v>
      </c>
      <c r="D33" s="103"/>
      <c r="E33" s="104"/>
      <c r="F33" s="104"/>
      <c r="G33" s="104"/>
      <c r="H33" s="104"/>
      <c r="I33" s="104"/>
      <c r="J33" s="104"/>
      <c r="K33" s="104"/>
      <c r="L33" s="104"/>
      <c r="M33" s="202"/>
      <c r="N33" s="563">
        <f t="shared" si="21"/>
        <v>0</v>
      </c>
      <c r="O33" s="564">
        <f t="shared" si="0"/>
        <v>0</v>
      </c>
      <c r="P33" s="564">
        <f t="shared" si="1"/>
        <v>0</v>
      </c>
      <c r="Q33" s="564">
        <f t="shared" si="2"/>
        <v>0</v>
      </c>
      <c r="R33" s="564">
        <f t="shared" si="3"/>
        <v>0</v>
      </c>
      <c r="S33" s="564">
        <f t="shared" si="4"/>
        <v>0</v>
      </c>
      <c r="T33" s="564">
        <f t="shared" si="5"/>
        <v>0</v>
      </c>
      <c r="U33" s="564">
        <f t="shared" si="6"/>
        <v>0</v>
      </c>
      <c r="V33" s="564">
        <f t="shared" si="7"/>
        <v>0</v>
      </c>
      <c r="W33" s="565">
        <f t="shared" si="8"/>
        <v>0</v>
      </c>
      <c r="X33" s="105"/>
      <c r="Y33" s="106"/>
      <c r="Z33" s="106"/>
      <c r="AA33" s="106"/>
      <c r="AB33" s="106"/>
      <c r="AC33" s="106"/>
      <c r="AD33" s="106"/>
      <c r="AE33" s="106"/>
      <c r="AF33" s="106"/>
      <c r="AG33" s="195"/>
      <c r="AH33" s="107">
        <f t="shared" si="22"/>
        <v>0</v>
      </c>
      <c r="AI33" s="108" t="str" cm="1">
        <f t="array" aca="1" ref="AI33" ca="1">IFERROR(IF($AJ$4="N",SSUM(AD33:AF33)/3,SUM(AE33:AG33)/3),"")</f>
        <v/>
      </c>
      <c r="AJ33" s="109">
        <f t="shared" si="23"/>
        <v>0</v>
      </c>
      <c r="AK33" s="110" t="str">
        <f t="shared" si="9"/>
        <v/>
      </c>
      <c r="AL33" s="111" t="str">
        <f t="shared" si="10"/>
        <v/>
      </c>
      <c r="AM33" s="111" t="str">
        <f t="shared" si="11"/>
        <v/>
      </c>
      <c r="AN33" s="111" t="str">
        <f t="shared" si="12"/>
        <v/>
      </c>
      <c r="AO33" s="111" t="str">
        <f t="shared" si="13"/>
        <v/>
      </c>
      <c r="AP33" s="111" t="str">
        <f t="shared" si="14"/>
        <v/>
      </c>
      <c r="AQ33" s="111" t="str">
        <f t="shared" si="15"/>
        <v/>
      </c>
      <c r="AR33" s="111" t="str">
        <f t="shared" si="16"/>
        <v/>
      </c>
      <c r="AS33" s="111" t="str">
        <f t="shared" si="17"/>
        <v/>
      </c>
      <c r="AT33" s="218" t="str">
        <f t="shared" si="18"/>
        <v/>
      </c>
      <c r="AU33" s="112" t="str">
        <f t="shared" si="24"/>
        <v/>
      </c>
      <c r="AV33" s="113" t="str">
        <f t="shared" si="25"/>
        <v/>
      </c>
      <c r="AW33" s="114" t="str">
        <f t="shared" si="26"/>
        <v/>
      </c>
      <c r="AX33" s="250" t="s">
        <v>422</v>
      </c>
      <c r="AY33" s="230" t="s">
        <v>433</v>
      </c>
      <c r="AZ33" s="251">
        <v>0</v>
      </c>
      <c r="BA33" s="270">
        <f t="shared" si="27"/>
        <v>0</v>
      </c>
      <c r="BB33" s="271">
        <f t="shared" si="29"/>
        <v>0</v>
      </c>
      <c r="BC33" s="271">
        <f t="shared" si="29"/>
        <v>0</v>
      </c>
      <c r="BD33" s="271">
        <f t="shared" si="29"/>
        <v>1</v>
      </c>
      <c r="BE33" s="271">
        <f t="shared" si="29"/>
        <v>2</v>
      </c>
      <c r="BF33" s="271">
        <f t="shared" si="29"/>
        <v>3</v>
      </c>
      <c r="BG33" s="271">
        <f t="shared" si="29"/>
        <v>4</v>
      </c>
      <c r="BH33" s="272">
        <f t="shared" si="29"/>
        <v>5</v>
      </c>
      <c r="BI33" s="257">
        <f>IF($AY33=Lookup!$A$2,$AZ33*ROUNDUP(BA33/10,0)+1,
IF($AY33=Lookup!$A$3,($AZ33+1)^AZ33,
IF($AY33=Lookup!$A$4,BA33*$AZ33+1,"Error")))</f>
        <v>1</v>
      </c>
      <c r="BJ33" s="230">
        <f>IF($AY33=Lookup!$A$2,$AZ33*ROUNDUP(BB33/10,0)+1,
IF($AY33=Lookup!$A$3,($AZ33+1)^BA33,
IF($AY33=Lookup!$A$4,BB33*$AZ33+1,"Error")))</f>
        <v>1</v>
      </c>
      <c r="BK33" s="230">
        <f>IF($AY33=Lookup!$A$2,$AZ33*ROUNDUP(BC33/10,0)+1,
IF($AY33=Lookup!$A$3,($AZ33+1)^BB33,
IF($AY33=Lookup!$A$4,BC33*$AZ33+1,"Error")))</f>
        <v>1</v>
      </c>
      <c r="BL33" s="230">
        <f>IF($AY33=Lookup!$A$2,$AZ33*ROUNDUP(BD33/10,0)+1,
IF($AY33=Lookup!$A$3,($AZ33+1)^BC33,
IF($AY33=Lookup!$A$4,BD33*$AZ33+1,"Error")))</f>
        <v>1</v>
      </c>
      <c r="BM33" s="230">
        <f>IF($AY33=Lookup!$A$2,$AZ33*ROUNDUP(BE33/10,0)+1,
IF($AY33=Lookup!$A$3,($AZ33+1)^BD33,
IF($AY33=Lookup!$A$4,BE33*$AZ33+1,"Error")))</f>
        <v>1</v>
      </c>
      <c r="BN33" s="230">
        <f>IF($AY33=Lookup!$A$2,$AZ33*ROUNDUP(BF33/10,0)+1,
IF($AY33=Lookup!$A$3,($AZ33+1)^BE33,
IF($AY33=Lookup!$A$4,BF33*$AZ33+1,"Error")))</f>
        <v>1</v>
      </c>
      <c r="BO33" s="230">
        <f>IF($AY33=Lookup!$A$2,$AZ33*ROUNDUP(BG33/10,0)+1,
IF($AY33=Lookup!$A$3,($AZ33+1)^BF33,
IF($AY33=Lookup!$A$4,BG33*$AZ33+1,"Error")))</f>
        <v>1</v>
      </c>
      <c r="BP33" s="251">
        <f>IF($AY33=Lookup!$A$2,$AZ33*ROUNDUP(BH33/10,0)+1,
IF($AY33=Lookup!$A$3,($AZ33+1)^BG33,
IF($AY33=Lookup!$A$4,BH33*$AZ33+1,"Error")))</f>
        <v>1</v>
      </c>
      <c r="BQ33" s="322"/>
      <c r="BR33" s="323"/>
      <c r="BS33" s="323"/>
      <c r="BT33" s="323"/>
      <c r="BU33" s="323"/>
      <c r="BV33" s="323"/>
      <c r="BW33" s="323"/>
      <c r="BX33" s="278"/>
      <c r="BY33" s="384" t="s">
        <v>292</v>
      </c>
      <c r="BZ33" s="385">
        <f>HLOOKUP($BY33,$AH$6:$AJ$132,ROWS(BZ$6:BZ33),0)</f>
        <v>0</v>
      </c>
      <c r="CA33" s="235">
        <f t="shared" si="28"/>
        <v>0</v>
      </c>
      <c r="CB33" s="115">
        <f t="shared" si="20"/>
        <v>0</v>
      </c>
      <c r="CC33" s="115">
        <f t="shared" si="20"/>
        <v>0</v>
      </c>
      <c r="CD33" s="115">
        <f t="shared" si="20"/>
        <v>0</v>
      </c>
      <c r="CE33" s="115">
        <f t="shared" si="20"/>
        <v>0</v>
      </c>
      <c r="CF33" s="115">
        <f t="shared" si="20"/>
        <v>0</v>
      </c>
      <c r="CG33" s="115">
        <f t="shared" si="20"/>
        <v>0</v>
      </c>
      <c r="CH33" s="287">
        <f t="shared" si="20"/>
        <v>0</v>
      </c>
      <c r="CI33" s="308" t="s">
        <v>293</v>
      </c>
      <c r="CJ33" s="316">
        <v>0.05</v>
      </c>
      <c r="CK33" s="309"/>
      <c r="CL33" s="310" t="str">
        <f>IF($CK33&lt;&gt;"",$CK33,HLOOKUP($CI33,$AU$6:$AW$132,ROWS(CL$6:CL33),0))</f>
        <v/>
      </c>
      <c r="CM33" s="117"/>
      <c r="CN33" s="117"/>
      <c r="CO33" s="117"/>
      <c r="CP33" s="117"/>
      <c r="CQ33" s="117"/>
      <c r="CR33" s="117"/>
      <c r="CS33" s="117"/>
      <c r="CT33" s="118"/>
      <c r="CU33" s="393"/>
    </row>
    <row r="34" spans="1:99" x14ac:dyDescent="0.25">
      <c r="A34" s="63" t="s">
        <v>81</v>
      </c>
      <c r="B34" s="334" t="s">
        <v>79</v>
      </c>
      <c r="C34" s="65" t="s">
        <v>305</v>
      </c>
      <c r="D34" s="66"/>
      <c r="E34" s="67"/>
      <c r="F34" s="67"/>
      <c r="G34" s="67"/>
      <c r="H34" s="67"/>
      <c r="I34" s="67"/>
      <c r="J34" s="67"/>
      <c r="K34" s="67"/>
      <c r="L34" s="67"/>
      <c r="M34" s="200"/>
      <c r="N34" s="557">
        <f t="shared" si="21"/>
        <v>0</v>
      </c>
      <c r="O34" s="558">
        <f t="shared" si="0"/>
        <v>0</v>
      </c>
      <c r="P34" s="558">
        <f t="shared" si="1"/>
        <v>0</v>
      </c>
      <c r="Q34" s="558">
        <f t="shared" si="2"/>
        <v>0</v>
      </c>
      <c r="R34" s="558">
        <f t="shared" si="3"/>
        <v>0</v>
      </c>
      <c r="S34" s="558">
        <f t="shared" si="4"/>
        <v>0</v>
      </c>
      <c r="T34" s="558">
        <f t="shared" si="5"/>
        <v>0</v>
      </c>
      <c r="U34" s="558">
        <f t="shared" si="6"/>
        <v>0</v>
      </c>
      <c r="V34" s="558">
        <f t="shared" si="7"/>
        <v>0</v>
      </c>
      <c r="W34" s="559">
        <f t="shared" si="8"/>
        <v>0</v>
      </c>
      <c r="X34" s="119"/>
      <c r="Y34" s="120"/>
      <c r="Z34" s="120"/>
      <c r="AA34" s="120"/>
      <c r="AB34" s="120"/>
      <c r="AC34" s="120"/>
      <c r="AD34" s="120"/>
      <c r="AE34" s="120"/>
      <c r="AF34" s="120"/>
      <c r="AG34" s="196"/>
      <c r="AH34" s="121">
        <f t="shared" si="22"/>
        <v>0</v>
      </c>
      <c r="AI34" s="122" t="str" cm="1">
        <f t="array" aca="1" ref="AI34" ca="1">IFERROR(IF($AJ$4="N",SSUM(AD34:AF34)/3,SUM(AE34:AG34)/3),"")</f>
        <v/>
      </c>
      <c r="AJ34" s="123">
        <f t="shared" si="23"/>
        <v>0</v>
      </c>
      <c r="AK34" s="73" t="str">
        <f t="shared" si="9"/>
        <v/>
      </c>
      <c r="AL34" s="74" t="str">
        <f t="shared" si="10"/>
        <v/>
      </c>
      <c r="AM34" s="74" t="str">
        <f t="shared" si="11"/>
        <v/>
      </c>
      <c r="AN34" s="74" t="str">
        <f t="shared" si="12"/>
        <v/>
      </c>
      <c r="AO34" s="74" t="str">
        <f t="shared" si="13"/>
        <v/>
      </c>
      <c r="AP34" s="74" t="str">
        <f t="shared" si="14"/>
        <v/>
      </c>
      <c r="AQ34" s="74" t="str">
        <f t="shared" si="15"/>
        <v/>
      </c>
      <c r="AR34" s="74" t="str">
        <f t="shared" si="16"/>
        <v/>
      </c>
      <c r="AS34" s="74" t="str">
        <f t="shared" si="17"/>
        <v/>
      </c>
      <c r="AT34" s="216" t="str">
        <f t="shared" si="18"/>
        <v/>
      </c>
      <c r="AU34" s="75" t="str">
        <f t="shared" si="24"/>
        <v/>
      </c>
      <c r="AV34" s="76" t="str">
        <f t="shared" si="25"/>
        <v/>
      </c>
      <c r="AW34" s="77" t="str">
        <f t="shared" si="26"/>
        <v/>
      </c>
      <c r="AX34" s="246" t="s">
        <v>422</v>
      </c>
      <c r="AY34" s="228" t="s">
        <v>433</v>
      </c>
      <c r="AZ34" s="247">
        <v>0</v>
      </c>
      <c r="BA34" s="264">
        <f t="shared" si="27"/>
        <v>0</v>
      </c>
      <c r="BB34" s="265">
        <f t="shared" si="29"/>
        <v>0</v>
      </c>
      <c r="BC34" s="265">
        <f t="shared" si="29"/>
        <v>0</v>
      </c>
      <c r="BD34" s="265">
        <f t="shared" si="29"/>
        <v>1</v>
      </c>
      <c r="BE34" s="265">
        <f t="shared" si="29"/>
        <v>2</v>
      </c>
      <c r="BF34" s="265">
        <f t="shared" si="29"/>
        <v>3</v>
      </c>
      <c r="BG34" s="265">
        <f t="shared" si="29"/>
        <v>4</v>
      </c>
      <c r="BH34" s="266">
        <f t="shared" si="29"/>
        <v>5</v>
      </c>
      <c r="BI34" s="255">
        <f>IF($AY34=Lookup!$A$2,$AZ34*ROUNDUP(BA34/10,0)+1,
IF($AY34=Lookup!$A$3,($AZ34+1)^AZ34,
IF($AY34=Lookup!$A$4,BA34*$AZ34+1,"Error")))</f>
        <v>1</v>
      </c>
      <c r="BJ34" s="228">
        <f>IF($AY34=Lookup!$A$2,$AZ34*ROUNDUP(BB34/10,0)+1,
IF($AY34=Lookup!$A$3,($AZ34+1)^BA34,
IF($AY34=Lookup!$A$4,BB34*$AZ34+1,"Error")))</f>
        <v>1</v>
      </c>
      <c r="BK34" s="228">
        <f>IF($AY34=Lookup!$A$2,$AZ34*ROUNDUP(BC34/10,0)+1,
IF($AY34=Lookup!$A$3,($AZ34+1)^BB34,
IF($AY34=Lookup!$A$4,BC34*$AZ34+1,"Error")))</f>
        <v>1</v>
      </c>
      <c r="BL34" s="228">
        <f>IF($AY34=Lookup!$A$2,$AZ34*ROUNDUP(BD34/10,0)+1,
IF($AY34=Lookup!$A$3,($AZ34+1)^BC34,
IF($AY34=Lookup!$A$4,BD34*$AZ34+1,"Error")))</f>
        <v>1</v>
      </c>
      <c r="BM34" s="228">
        <f>IF($AY34=Lookup!$A$2,$AZ34*ROUNDUP(BE34/10,0)+1,
IF($AY34=Lookup!$A$3,($AZ34+1)^BD34,
IF($AY34=Lookup!$A$4,BE34*$AZ34+1,"Error")))</f>
        <v>1</v>
      </c>
      <c r="BN34" s="228">
        <f>IF($AY34=Lookup!$A$2,$AZ34*ROUNDUP(BF34/10,0)+1,
IF($AY34=Lookup!$A$3,($AZ34+1)^BE34,
IF($AY34=Lookup!$A$4,BF34*$AZ34+1,"Error")))</f>
        <v>1</v>
      </c>
      <c r="BO34" s="228">
        <f>IF($AY34=Lookup!$A$2,$AZ34*ROUNDUP(BG34/10,0)+1,
IF($AY34=Lookup!$A$3,($AZ34+1)^BF34,
IF($AY34=Lookup!$A$4,BG34*$AZ34+1,"Error")))</f>
        <v>1</v>
      </c>
      <c r="BP34" s="247">
        <f>IF($AY34=Lookup!$A$2,$AZ34*ROUNDUP(BH34/10,0)+1,
IF($AY34=Lookup!$A$3,($AZ34+1)^BG34,
IF($AY34=Lookup!$A$4,BH34*$AZ34+1,"Error")))</f>
        <v>1</v>
      </c>
      <c r="BQ34" s="396"/>
      <c r="BR34" s="354"/>
      <c r="BS34" s="354"/>
      <c r="BT34" s="354"/>
      <c r="BU34" s="354"/>
      <c r="BV34" s="354"/>
      <c r="BW34" s="354"/>
      <c r="BX34" s="397"/>
      <c r="BY34" s="380" t="s">
        <v>292</v>
      </c>
      <c r="BZ34" s="381">
        <f>HLOOKUP($BY34,$AH$6:$AJ$132,ROWS(BZ$6:BZ34),0)</f>
        <v>0</v>
      </c>
      <c r="CA34" s="359">
        <f t="shared" si="28"/>
        <v>0</v>
      </c>
      <c r="CB34" s="360">
        <f t="shared" si="20"/>
        <v>0</v>
      </c>
      <c r="CC34" s="360">
        <f t="shared" si="20"/>
        <v>0</v>
      </c>
      <c r="CD34" s="360">
        <f t="shared" si="20"/>
        <v>0</v>
      </c>
      <c r="CE34" s="360">
        <f t="shared" si="20"/>
        <v>0</v>
      </c>
      <c r="CF34" s="360">
        <f t="shared" si="20"/>
        <v>0</v>
      </c>
      <c r="CG34" s="360">
        <f t="shared" si="20"/>
        <v>0</v>
      </c>
      <c r="CH34" s="361">
        <f t="shared" si="20"/>
        <v>0</v>
      </c>
      <c r="CI34" s="302" t="s">
        <v>293</v>
      </c>
      <c r="CJ34" s="314">
        <v>0.05</v>
      </c>
      <c r="CK34" s="303"/>
      <c r="CL34" s="304" t="str">
        <f>IF($CK34&lt;&gt;"",$CK34,HLOOKUP($CI34,$AU$6:$AW$132,ROWS(CL$6:CL34),0))</f>
        <v/>
      </c>
      <c r="CM34" s="79"/>
      <c r="CN34" s="79"/>
      <c r="CO34" s="79"/>
      <c r="CP34" s="79"/>
      <c r="CQ34" s="79"/>
      <c r="CR34" s="79"/>
      <c r="CS34" s="79"/>
      <c r="CT34" s="80"/>
      <c r="CU34" s="391"/>
    </row>
    <row r="35" spans="1:99" x14ac:dyDescent="0.25">
      <c r="A35" s="81" t="s">
        <v>81</v>
      </c>
      <c r="B35" s="82" t="s">
        <v>82</v>
      </c>
      <c r="C35" s="83" t="s">
        <v>70</v>
      </c>
      <c r="D35" s="84"/>
      <c r="E35" s="85"/>
      <c r="F35" s="85"/>
      <c r="G35" s="85"/>
      <c r="H35" s="85"/>
      <c r="I35" s="85"/>
      <c r="J35" s="85"/>
      <c r="K35" s="85"/>
      <c r="L35" s="85"/>
      <c r="M35" s="201"/>
      <c r="N35" s="560">
        <f t="shared" si="21"/>
        <v>0</v>
      </c>
      <c r="O35" s="561">
        <f t="shared" si="0"/>
        <v>0</v>
      </c>
      <c r="P35" s="561">
        <f t="shared" si="1"/>
        <v>0</v>
      </c>
      <c r="Q35" s="561">
        <f t="shared" si="2"/>
        <v>0</v>
      </c>
      <c r="R35" s="561">
        <f t="shared" si="3"/>
        <v>0</v>
      </c>
      <c r="S35" s="561">
        <f t="shared" si="4"/>
        <v>0</v>
      </c>
      <c r="T35" s="561">
        <f t="shared" si="5"/>
        <v>0</v>
      </c>
      <c r="U35" s="561">
        <f t="shared" si="6"/>
        <v>0</v>
      </c>
      <c r="V35" s="561">
        <f t="shared" si="7"/>
        <v>0</v>
      </c>
      <c r="W35" s="562">
        <f t="shared" si="8"/>
        <v>0</v>
      </c>
      <c r="X35" s="125"/>
      <c r="Y35" s="126"/>
      <c r="Z35" s="126"/>
      <c r="AA35" s="126"/>
      <c r="AB35" s="126"/>
      <c r="AC35" s="126"/>
      <c r="AD35" s="126"/>
      <c r="AE35" s="126"/>
      <c r="AF35" s="126"/>
      <c r="AG35" s="197"/>
      <c r="AH35" s="127">
        <f t="shared" si="22"/>
        <v>0</v>
      </c>
      <c r="AI35" s="128" t="str" cm="1">
        <f t="array" aca="1" ref="AI35" ca="1">IFERROR(IF($AJ$4="N",SSUM(AD35:AF35)/3,SUM(AE35:AG35)/3),"")</f>
        <v/>
      </c>
      <c r="AJ35" s="129">
        <f t="shared" si="23"/>
        <v>0</v>
      </c>
      <c r="AK35" s="91" t="str">
        <f t="shared" si="9"/>
        <v/>
      </c>
      <c r="AL35" s="92" t="str">
        <f t="shared" si="10"/>
        <v/>
      </c>
      <c r="AM35" s="92" t="str">
        <f t="shared" si="11"/>
        <v/>
      </c>
      <c r="AN35" s="92" t="str">
        <f t="shared" si="12"/>
        <v/>
      </c>
      <c r="AO35" s="92" t="str">
        <f t="shared" si="13"/>
        <v/>
      </c>
      <c r="AP35" s="92" t="str">
        <f t="shared" si="14"/>
        <v/>
      </c>
      <c r="AQ35" s="92" t="str">
        <f t="shared" si="15"/>
        <v/>
      </c>
      <c r="AR35" s="92" t="str">
        <f t="shared" si="16"/>
        <v/>
      </c>
      <c r="AS35" s="92" t="str">
        <f t="shared" si="17"/>
        <v/>
      </c>
      <c r="AT35" s="217" t="str">
        <f t="shared" si="18"/>
        <v/>
      </c>
      <c r="AU35" s="93" t="str">
        <f t="shared" si="24"/>
        <v/>
      </c>
      <c r="AV35" s="94" t="str">
        <f t="shared" si="25"/>
        <v/>
      </c>
      <c r="AW35" s="95" t="str">
        <f t="shared" si="26"/>
        <v/>
      </c>
      <c r="AX35" s="248" t="s">
        <v>422</v>
      </c>
      <c r="AY35" s="229" t="s">
        <v>433</v>
      </c>
      <c r="AZ35" s="249">
        <v>0</v>
      </c>
      <c r="BA35" s="267">
        <f t="shared" si="27"/>
        <v>0</v>
      </c>
      <c r="BB35" s="268">
        <f t="shared" si="29"/>
        <v>0</v>
      </c>
      <c r="BC35" s="268">
        <f t="shared" si="29"/>
        <v>0</v>
      </c>
      <c r="BD35" s="268">
        <f t="shared" si="29"/>
        <v>1</v>
      </c>
      <c r="BE35" s="268">
        <f t="shared" si="29"/>
        <v>2</v>
      </c>
      <c r="BF35" s="268">
        <f t="shared" si="29"/>
        <v>3</v>
      </c>
      <c r="BG35" s="268">
        <f t="shared" si="29"/>
        <v>4</v>
      </c>
      <c r="BH35" s="269">
        <f t="shared" si="29"/>
        <v>5</v>
      </c>
      <c r="BI35" s="256">
        <f>IF($AY35=Lookup!$A$2,$AZ35*ROUNDUP(BA35/10,0)+1,
IF($AY35=Lookup!$A$3,($AZ35+1)^AZ35,
IF($AY35=Lookup!$A$4,BA35*$AZ35+1,"Error")))</f>
        <v>1</v>
      </c>
      <c r="BJ35" s="229">
        <f>IF($AY35=Lookup!$A$2,$AZ35*ROUNDUP(BB35/10,0)+1,
IF($AY35=Lookup!$A$3,($AZ35+1)^BA35,
IF($AY35=Lookup!$A$4,BB35*$AZ35+1,"Error")))</f>
        <v>1</v>
      </c>
      <c r="BK35" s="229">
        <f>IF($AY35=Lookup!$A$2,$AZ35*ROUNDUP(BC35/10,0)+1,
IF($AY35=Lookup!$A$3,($AZ35+1)^BB35,
IF($AY35=Lookup!$A$4,BC35*$AZ35+1,"Error")))</f>
        <v>1</v>
      </c>
      <c r="BL35" s="229">
        <f>IF($AY35=Lookup!$A$2,$AZ35*ROUNDUP(BD35/10,0)+1,
IF($AY35=Lookup!$A$3,($AZ35+1)^BC35,
IF($AY35=Lookup!$A$4,BD35*$AZ35+1,"Error")))</f>
        <v>1</v>
      </c>
      <c r="BM35" s="229">
        <f>IF($AY35=Lookup!$A$2,$AZ35*ROUNDUP(BE35/10,0)+1,
IF($AY35=Lookup!$A$3,($AZ35+1)^BD35,
IF($AY35=Lookup!$A$4,BE35*$AZ35+1,"Error")))</f>
        <v>1</v>
      </c>
      <c r="BN35" s="229">
        <f>IF($AY35=Lookup!$A$2,$AZ35*ROUNDUP(BF35/10,0)+1,
IF($AY35=Lookup!$A$3,($AZ35+1)^BE35,
IF($AY35=Lookup!$A$4,BF35*$AZ35+1,"Error")))</f>
        <v>1</v>
      </c>
      <c r="BO35" s="229">
        <f>IF($AY35=Lookup!$A$2,$AZ35*ROUNDUP(BG35/10,0)+1,
IF($AY35=Lookup!$A$3,($AZ35+1)^BF35,
IF($AY35=Lookup!$A$4,BG35*$AZ35+1,"Error")))</f>
        <v>1</v>
      </c>
      <c r="BP35" s="249">
        <f>IF($AY35=Lookup!$A$2,$AZ35*ROUNDUP(BH35/10,0)+1,
IF($AY35=Lookup!$A$3,($AZ35+1)^BG35,
IF($AY35=Lookup!$A$4,BH35*$AZ35+1,"Error")))</f>
        <v>1</v>
      </c>
      <c r="BQ35" s="398"/>
      <c r="BR35" s="356"/>
      <c r="BS35" s="356"/>
      <c r="BT35" s="356"/>
      <c r="BU35" s="356"/>
      <c r="BV35" s="356"/>
      <c r="BW35" s="356"/>
      <c r="BX35" s="399"/>
      <c r="BY35" s="382" t="s">
        <v>292</v>
      </c>
      <c r="BZ35" s="383">
        <f>HLOOKUP($BY35,$AH$6:$AJ$132,ROWS(BZ$6:BZ35),0)</f>
        <v>0</v>
      </c>
      <c r="CA35" s="362">
        <f t="shared" si="28"/>
        <v>0</v>
      </c>
      <c r="CB35" s="363">
        <f t="shared" si="20"/>
        <v>0</v>
      </c>
      <c r="CC35" s="363">
        <f t="shared" si="20"/>
        <v>0</v>
      </c>
      <c r="CD35" s="363">
        <f t="shared" si="20"/>
        <v>0</v>
      </c>
      <c r="CE35" s="363">
        <f t="shared" si="20"/>
        <v>0</v>
      </c>
      <c r="CF35" s="363">
        <f t="shared" si="20"/>
        <v>0</v>
      </c>
      <c r="CG35" s="363">
        <f t="shared" si="20"/>
        <v>0</v>
      </c>
      <c r="CH35" s="364">
        <f t="shared" si="20"/>
        <v>0</v>
      </c>
      <c r="CI35" s="305" t="s">
        <v>293</v>
      </c>
      <c r="CJ35" s="315">
        <v>0.05</v>
      </c>
      <c r="CK35" s="306"/>
      <c r="CL35" s="307" t="str">
        <f>IF($CK35&lt;&gt;"",$CK35,HLOOKUP($CI35,$AU$6:$AW$132,ROWS(CL$6:CL35),0))</f>
        <v/>
      </c>
      <c r="CM35" s="97"/>
      <c r="CN35" s="97"/>
      <c r="CO35" s="97"/>
      <c r="CP35" s="97"/>
      <c r="CQ35" s="97"/>
      <c r="CR35" s="97"/>
      <c r="CS35" s="97"/>
      <c r="CT35" s="98"/>
      <c r="CU35" s="392"/>
    </row>
    <row r="36" spans="1:99" x14ac:dyDescent="0.25">
      <c r="A36" s="81" t="s">
        <v>81</v>
      </c>
      <c r="B36" s="82" t="s">
        <v>83</v>
      </c>
      <c r="C36" s="83" t="s">
        <v>312</v>
      </c>
      <c r="D36" s="84"/>
      <c r="E36" s="85"/>
      <c r="F36" s="85"/>
      <c r="G36" s="85"/>
      <c r="H36" s="85"/>
      <c r="I36" s="85"/>
      <c r="J36" s="85"/>
      <c r="K36" s="85"/>
      <c r="L36" s="85"/>
      <c r="M36" s="201"/>
      <c r="N36" s="560">
        <f t="shared" si="21"/>
        <v>0</v>
      </c>
      <c r="O36" s="561">
        <f t="shared" si="0"/>
        <v>0</v>
      </c>
      <c r="P36" s="561">
        <f t="shared" si="1"/>
        <v>0</v>
      </c>
      <c r="Q36" s="561">
        <f t="shared" si="2"/>
        <v>0</v>
      </c>
      <c r="R36" s="561">
        <f t="shared" si="3"/>
        <v>0</v>
      </c>
      <c r="S36" s="561">
        <f t="shared" si="4"/>
        <v>0</v>
      </c>
      <c r="T36" s="561">
        <f t="shared" si="5"/>
        <v>0</v>
      </c>
      <c r="U36" s="561">
        <f t="shared" si="6"/>
        <v>0</v>
      </c>
      <c r="V36" s="561">
        <f t="shared" si="7"/>
        <v>0</v>
      </c>
      <c r="W36" s="562">
        <f t="shared" si="8"/>
        <v>0</v>
      </c>
      <c r="X36" s="125"/>
      <c r="Y36" s="126"/>
      <c r="Z36" s="126"/>
      <c r="AA36" s="126"/>
      <c r="AB36" s="126"/>
      <c r="AC36" s="126"/>
      <c r="AD36" s="126"/>
      <c r="AE36" s="126"/>
      <c r="AF36" s="126"/>
      <c r="AG36" s="197"/>
      <c r="AH36" s="127">
        <f t="shared" si="22"/>
        <v>0</v>
      </c>
      <c r="AI36" s="128" t="str" cm="1">
        <f t="array" aca="1" ref="AI36" ca="1">IFERROR(IF($AJ$4="N",SSUM(AD36:AF36)/3,SUM(AE36:AG36)/3),"")</f>
        <v/>
      </c>
      <c r="AJ36" s="129">
        <f t="shared" si="23"/>
        <v>0</v>
      </c>
      <c r="AK36" s="91" t="str">
        <f t="shared" si="9"/>
        <v/>
      </c>
      <c r="AL36" s="92" t="str">
        <f t="shared" si="10"/>
        <v/>
      </c>
      <c r="AM36" s="92" t="str">
        <f t="shared" si="11"/>
        <v/>
      </c>
      <c r="AN36" s="92" t="str">
        <f t="shared" si="12"/>
        <v/>
      </c>
      <c r="AO36" s="92" t="str">
        <f t="shared" si="13"/>
        <v/>
      </c>
      <c r="AP36" s="92" t="str">
        <f t="shared" si="14"/>
        <v/>
      </c>
      <c r="AQ36" s="92" t="str">
        <f t="shared" si="15"/>
        <v/>
      </c>
      <c r="AR36" s="92" t="str">
        <f t="shared" si="16"/>
        <v/>
      </c>
      <c r="AS36" s="92" t="str">
        <f t="shared" si="17"/>
        <v/>
      </c>
      <c r="AT36" s="217" t="str">
        <f t="shared" si="18"/>
        <v/>
      </c>
      <c r="AU36" s="93" t="str">
        <f t="shared" si="24"/>
        <v/>
      </c>
      <c r="AV36" s="94" t="str">
        <f t="shared" si="25"/>
        <v/>
      </c>
      <c r="AW36" s="95" t="str">
        <f t="shared" si="26"/>
        <v/>
      </c>
      <c r="AX36" s="248" t="s">
        <v>422</v>
      </c>
      <c r="AY36" s="229" t="s">
        <v>433</v>
      </c>
      <c r="AZ36" s="249">
        <v>0</v>
      </c>
      <c r="BA36" s="267">
        <f t="shared" si="27"/>
        <v>0</v>
      </c>
      <c r="BB36" s="268">
        <f t="shared" si="29"/>
        <v>0</v>
      </c>
      <c r="BC36" s="268">
        <f t="shared" si="29"/>
        <v>0</v>
      </c>
      <c r="BD36" s="268">
        <f t="shared" si="29"/>
        <v>1</v>
      </c>
      <c r="BE36" s="268">
        <f t="shared" si="29"/>
        <v>2</v>
      </c>
      <c r="BF36" s="268">
        <f t="shared" si="29"/>
        <v>3</v>
      </c>
      <c r="BG36" s="268">
        <f t="shared" si="29"/>
        <v>4</v>
      </c>
      <c r="BH36" s="269">
        <f t="shared" si="29"/>
        <v>5</v>
      </c>
      <c r="BI36" s="256">
        <f>IF($AY36=Lookup!$A$2,$AZ36*ROUNDUP(BA36/10,0)+1,
IF($AY36=Lookup!$A$3,($AZ36+1)^AZ36,
IF($AY36=Lookup!$A$4,BA36*$AZ36+1,"Error")))</f>
        <v>1</v>
      </c>
      <c r="BJ36" s="229">
        <f>IF($AY36=Lookup!$A$2,$AZ36*ROUNDUP(BB36/10,0)+1,
IF($AY36=Lookup!$A$3,($AZ36+1)^BA36,
IF($AY36=Lookup!$A$4,BB36*$AZ36+1,"Error")))</f>
        <v>1</v>
      </c>
      <c r="BK36" s="229">
        <f>IF($AY36=Lookup!$A$2,$AZ36*ROUNDUP(BC36/10,0)+1,
IF($AY36=Lookup!$A$3,($AZ36+1)^BB36,
IF($AY36=Lookup!$A$4,BC36*$AZ36+1,"Error")))</f>
        <v>1</v>
      </c>
      <c r="BL36" s="229">
        <f>IF($AY36=Lookup!$A$2,$AZ36*ROUNDUP(BD36/10,0)+1,
IF($AY36=Lookup!$A$3,($AZ36+1)^BC36,
IF($AY36=Lookup!$A$4,BD36*$AZ36+1,"Error")))</f>
        <v>1</v>
      </c>
      <c r="BM36" s="229">
        <f>IF($AY36=Lookup!$A$2,$AZ36*ROUNDUP(BE36/10,0)+1,
IF($AY36=Lookup!$A$3,($AZ36+1)^BD36,
IF($AY36=Lookup!$A$4,BE36*$AZ36+1,"Error")))</f>
        <v>1</v>
      </c>
      <c r="BN36" s="229">
        <f>IF($AY36=Lookup!$A$2,$AZ36*ROUNDUP(BF36/10,0)+1,
IF($AY36=Lookup!$A$3,($AZ36+1)^BE36,
IF($AY36=Lookup!$A$4,BF36*$AZ36+1,"Error")))</f>
        <v>1</v>
      </c>
      <c r="BO36" s="229">
        <f>IF($AY36=Lookup!$A$2,$AZ36*ROUNDUP(BG36/10,0)+1,
IF($AY36=Lookup!$A$3,($AZ36+1)^BF36,
IF($AY36=Lookup!$A$4,BG36*$AZ36+1,"Error")))</f>
        <v>1</v>
      </c>
      <c r="BP36" s="249">
        <f>IF($AY36=Lookup!$A$2,$AZ36*ROUNDUP(BH36/10,0)+1,
IF($AY36=Lookup!$A$3,($AZ36+1)^BG36,
IF($AY36=Lookup!$A$4,BH36*$AZ36+1,"Error")))</f>
        <v>1</v>
      </c>
      <c r="BQ36" s="398"/>
      <c r="BR36" s="356"/>
      <c r="BS36" s="356"/>
      <c r="BT36" s="356"/>
      <c r="BU36" s="356"/>
      <c r="BV36" s="356"/>
      <c r="BW36" s="356"/>
      <c r="BX36" s="399"/>
      <c r="BY36" s="382" t="s">
        <v>292</v>
      </c>
      <c r="BZ36" s="383">
        <f>HLOOKUP($BY36,$AH$6:$AJ$132,ROWS(BZ$6:BZ36),0)</f>
        <v>0</v>
      </c>
      <c r="CA36" s="362">
        <f t="shared" si="28"/>
        <v>0</v>
      </c>
      <c r="CB36" s="363">
        <f t="shared" si="20"/>
        <v>0</v>
      </c>
      <c r="CC36" s="363">
        <f t="shared" si="20"/>
        <v>0</v>
      </c>
      <c r="CD36" s="363">
        <f t="shared" si="20"/>
        <v>0</v>
      </c>
      <c r="CE36" s="363">
        <f t="shared" si="20"/>
        <v>0</v>
      </c>
      <c r="CF36" s="363">
        <f t="shared" si="20"/>
        <v>0</v>
      </c>
      <c r="CG36" s="363">
        <f t="shared" si="20"/>
        <v>0</v>
      </c>
      <c r="CH36" s="364">
        <f t="shared" si="20"/>
        <v>0</v>
      </c>
      <c r="CI36" s="305" t="s">
        <v>293</v>
      </c>
      <c r="CJ36" s="315">
        <v>0.05</v>
      </c>
      <c r="CK36" s="306"/>
      <c r="CL36" s="307" t="str">
        <f>IF($CK36&lt;&gt;"",$CK36,HLOOKUP($CI36,$AU$6:$AW$132,ROWS(CL$6:CL36),0))</f>
        <v/>
      </c>
      <c r="CM36" s="97"/>
      <c r="CN36" s="97"/>
      <c r="CO36" s="97"/>
      <c r="CP36" s="97"/>
      <c r="CQ36" s="97"/>
      <c r="CR36" s="97"/>
      <c r="CS36" s="97"/>
      <c r="CT36" s="98"/>
      <c r="CU36" s="392"/>
    </row>
    <row r="37" spans="1:99" x14ac:dyDescent="0.25">
      <c r="A37" s="81" t="s">
        <v>81</v>
      </c>
      <c r="B37" s="82" t="s">
        <v>85</v>
      </c>
      <c r="C37" s="83" t="s">
        <v>314</v>
      </c>
      <c r="D37" s="84"/>
      <c r="E37" s="85"/>
      <c r="F37" s="85"/>
      <c r="G37" s="85"/>
      <c r="H37" s="85"/>
      <c r="I37" s="85"/>
      <c r="J37" s="85"/>
      <c r="K37" s="85"/>
      <c r="L37" s="85"/>
      <c r="M37" s="201"/>
      <c r="N37" s="560">
        <f t="shared" si="21"/>
        <v>0</v>
      </c>
      <c r="O37" s="561">
        <f t="shared" si="0"/>
        <v>0</v>
      </c>
      <c r="P37" s="561">
        <f t="shared" si="1"/>
        <v>0</v>
      </c>
      <c r="Q37" s="561">
        <f t="shared" si="2"/>
        <v>0</v>
      </c>
      <c r="R37" s="561">
        <f t="shared" si="3"/>
        <v>0</v>
      </c>
      <c r="S37" s="561">
        <f t="shared" si="4"/>
        <v>0</v>
      </c>
      <c r="T37" s="561">
        <f t="shared" si="5"/>
        <v>0</v>
      </c>
      <c r="U37" s="561">
        <f t="shared" si="6"/>
        <v>0</v>
      </c>
      <c r="V37" s="561">
        <f t="shared" si="7"/>
        <v>0</v>
      </c>
      <c r="W37" s="562">
        <f t="shared" si="8"/>
        <v>0</v>
      </c>
      <c r="X37" s="125"/>
      <c r="Y37" s="126"/>
      <c r="Z37" s="126"/>
      <c r="AA37" s="126"/>
      <c r="AB37" s="126"/>
      <c r="AC37" s="126"/>
      <c r="AD37" s="126"/>
      <c r="AE37" s="126"/>
      <c r="AF37" s="126"/>
      <c r="AG37" s="197"/>
      <c r="AH37" s="127">
        <f t="shared" si="22"/>
        <v>0</v>
      </c>
      <c r="AI37" s="128" t="str" cm="1">
        <f t="array" aca="1" ref="AI37" ca="1">IFERROR(IF($AJ$4="N",SSUM(AD37:AF37)/3,SUM(AE37:AG37)/3),"")</f>
        <v/>
      </c>
      <c r="AJ37" s="129">
        <f t="shared" si="23"/>
        <v>0</v>
      </c>
      <c r="AK37" s="91" t="str">
        <f t="shared" si="9"/>
        <v/>
      </c>
      <c r="AL37" s="92" t="str">
        <f t="shared" si="10"/>
        <v/>
      </c>
      <c r="AM37" s="92" t="str">
        <f t="shared" si="11"/>
        <v/>
      </c>
      <c r="AN37" s="92" t="str">
        <f t="shared" si="12"/>
        <v/>
      </c>
      <c r="AO37" s="92" t="str">
        <f t="shared" si="13"/>
        <v/>
      </c>
      <c r="AP37" s="92" t="str">
        <f t="shared" si="14"/>
        <v/>
      </c>
      <c r="AQ37" s="92" t="str">
        <f t="shared" si="15"/>
        <v/>
      </c>
      <c r="AR37" s="92" t="str">
        <f t="shared" si="16"/>
        <v/>
      </c>
      <c r="AS37" s="92" t="str">
        <f t="shared" si="17"/>
        <v/>
      </c>
      <c r="AT37" s="217" t="str">
        <f t="shared" si="18"/>
        <v/>
      </c>
      <c r="AU37" s="93" t="str">
        <f t="shared" si="24"/>
        <v/>
      </c>
      <c r="AV37" s="94" t="str">
        <f t="shared" si="25"/>
        <v/>
      </c>
      <c r="AW37" s="95" t="str">
        <f t="shared" si="26"/>
        <v/>
      </c>
      <c r="AX37" s="248" t="s">
        <v>422</v>
      </c>
      <c r="AY37" s="229" t="s">
        <v>433</v>
      </c>
      <c r="AZ37" s="249">
        <v>0</v>
      </c>
      <c r="BA37" s="267">
        <f t="shared" si="27"/>
        <v>0</v>
      </c>
      <c r="BB37" s="268">
        <f t="shared" si="29"/>
        <v>0</v>
      </c>
      <c r="BC37" s="268">
        <f t="shared" si="29"/>
        <v>0</v>
      </c>
      <c r="BD37" s="268">
        <f t="shared" si="29"/>
        <v>1</v>
      </c>
      <c r="BE37" s="268">
        <f t="shared" si="29"/>
        <v>2</v>
      </c>
      <c r="BF37" s="268">
        <f t="shared" si="29"/>
        <v>3</v>
      </c>
      <c r="BG37" s="268">
        <f t="shared" si="29"/>
        <v>4</v>
      </c>
      <c r="BH37" s="269">
        <f t="shared" si="29"/>
        <v>5</v>
      </c>
      <c r="BI37" s="256">
        <f>IF($AY37=Lookup!$A$2,$AZ37*ROUNDUP(BA37/10,0)+1,
IF($AY37=Lookup!$A$3,($AZ37+1)^AZ37,
IF($AY37=Lookup!$A$4,BA37*$AZ37+1,"Error")))</f>
        <v>1</v>
      </c>
      <c r="BJ37" s="229">
        <f>IF($AY37=Lookup!$A$2,$AZ37*ROUNDUP(BB37/10,0)+1,
IF($AY37=Lookup!$A$3,($AZ37+1)^BA37,
IF($AY37=Lookup!$A$4,BB37*$AZ37+1,"Error")))</f>
        <v>1</v>
      </c>
      <c r="BK37" s="229">
        <f>IF($AY37=Lookup!$A$2,$AZ37*ROUNDUP(BC37/10,0)+1,
IF($AY37=Lookup!$A$3,($AZ37+1)^BB37,
IF($AY37=Lookup!$A$4,BC37*$AZ37+1,"Error")))</f>
        <v>1</v>
      </c>
      <c r="BL37" s="229">
        <f>IF($AY37=Lookup!$A$2,$AZ37*ROUNDUP(BD37/10,0)+1,
IF($AY37=Lookup!$A$3,($AZ37+1)^BC37,
IF($AY37=Lookup!$A$4,BD37*$AZ37+1,"Error")))</f>
        <v>1</v>
      </c>
      <c r="BM37" s="229">
        <f>IF($AY37=Lookup!$A$2,$AZ37*ROUNDUP(BE37/10,0)+1,
IF($AY37=Lookup!$A$3,($AZ37+1)^BD37,
IF($AY37=Lookup!$A$4,BE37*$AZ37+1,"Error")))</f>
        <v>1</v>
      </c>
      <c r="BN37" s="229">
        <f>IF($AY37=Lookup!$A$2,$AZ37*ROUNDUP(BF37/10,0)+1,
IF($AY37=Lookup!$A$3,($AZ37+1)^BE37,
IF($AY37=Lookup!$A$4,BF37*$AZ37+1,"Error")))</f>
        <v>1</v>
      </c>
      <c r="BO37" s="229">
        <f>IF($AY37=Lookup!$A$2,$AZ37*ROUNDUP(BG37/10,0)+1,
IF($AY37=Lookup!$A$3,($AZ37+1)^BF37,
IF($AY37=Lookup!$A$4,BG37*$AZ37+1,"Error")))</f>
        <v>1</v>
      </c>
      <c r="BP37" s="249">
        <f>IF($AY37=Lookup!$A$2,$AZ37*ROUNDUP(BH37/10,0)+1,
IF($AY37=Lookup!$A$3,($AZ37+1)^BG37,
IF($AY37=Lookup!$A$4,BH37*$AZ37+1,"Error")))</f>
        <v>1</v>
      </c>
      <c r="BQ37" s="398"/>
      <c r="BR37" s="356"/>
      <c r="BS37" s="356"/>
      <c r="BT37" s="356"/>
      <c r="BU37" s="356"/>
      <c r="BV37" s="356"/>
      <c r="BW37" s="356"/>
      <c r="BX37" s="399"/>
      <c r="BY37" s="382" t="s">
        <v>292</v>
      </c>
      <c r="BZ37" s="383">
        <f>HLOOKUP($BY37,$AH$6:$AJ$132,ROWS(BZ$6:BZ37),0)</f>
        <v>0</v>
      </c>
      <c r="CA37" s="362">
        <f t="shared" si="28"/>
        <v>0</v>
      </c>
      <c r="CB37" s="363">
        <f t="shared" si="20"/>
        <v>0</v>
      </c>
      <c r="CC37" s="363">
        <f t="shared" si="20"/>
        <v>0</v>
      </c>
      <c r="CD37" s="363">
        <f t="shared" si="20"/>
        <v>0</v>
      </c>
      <c r="CE37" s="363">
        <f t="shared" si="20"/>
        <v>0</v>
      </c>
      <c r="CF37" s="363">
        <f t="shared" si="20"/>
        <v>0</v>
      </c>
      <c r="CG37" s="363">
        <f t="shared" si="20"/>
        <v>0</v>
      </c>
      <c r="CH37" s="364">
        <f t="shared" si="20"/>
        <v>0</v>
      </c>
      <c r="CI37" s="305" t="s">
        <v>293</v>
      </c>
      <c r="CJ37" s="315">
        <v>0.05</v>
      </c>
      <c r="CK37" s="306"/>
      <c r="CL37" s="307" t="str">
        <f>IF($CK37&lt;&gt;"",$CK37,HLOOKUP($CI37,$AU$6:$AW$132,ROWS(CL$6:CL37),0))</f>
        <v/>
      </c>
      <c r="CM37" s="97"/>
      <c r="CN37" s="97"/>
      <c r="CO37" s="97"/>
      <c r="CP37" s="97"/>
      <c r="CQ37" s="97"/>
      <c r="CR37" s="97"/>
      <c r="CS37" s="97"/>
      <c r="CT37" s="98"/>
      <c r="CU37" s="392"/>
    </row>
    <row r="38" spans="1:99" x14ac:dyDescent="0.25">
      <c r="A38" s="81" t="s">
        <v>81</v>
      </c>
      <c r="B38" s="82" t="s">
        <v>87</v>
      </c>
      <c r="C38" s="83" t="s">
        <v>315</v>
      </c>
      <c r="D38" s="84"/>
      <c r="E38" s="85"/>
      <c r="F38" s="85"/>
      <c r="G38" s="85"/>
      <c r="H38" s="85"/>
      <c r="I38" s="85"/>
      <c r="J38" s="85"/>
      <c r="K38" s="85"/>
      <c r="L38" s="85"/>
      <c r="M38" s="201"/>
      <c r="N38" s="560">
        <f t="shared" si="21"/>
        <v>0</v>
      </c>
      <c r="O38" s="561">
        <f t="shared" si="0"/>
        <v>0</v>
      </c>
      <c r="P38" s="561">
        <f t="shared" si="1"/>
        <v>0</v>
      </c>
      <c r="Q38" s="561">
        <f t="shared" si="2"/>
        <v>0</v>
      </c>
      <c r="R38" s="561">
        <f t="shared" si="3"/>
        <v>0</v>
      </c>
      <c r="S38" s="561">
        <f t="shared" si="4"/>
        <v>0</v>
      </c>
      <c r="T38" s="561">
        <f t="shared" si="5"/>
        <v>0</v>
      </c>
      <c r="U38" s="561">
        <f t="shared" si="6"/>
        <v>0</v>
      </c>
      <c r="V38" s="561">
        <f t="shared" si="7"/>
        <v>0</v>
      </c>
      <c r="W38" s="562">
        <f t="shared" si="8"/>
        <v>0</v>
      </c>
      <c r="X38" s="125"/>
      <c r="Y38" s="126"/>
      <c r="Z38" s="126"/>
      <c r="AA38" s="126"/>
      <c r="AB38" s="126"/>
      <c r="AC38" s="126"/>
      <c r="AD38" s="126"/>
      <c r="AE38" s="126"/>
      <c r="AF38" s="126"/>
      <c r="AG38" s="197"/>
      <c r="AH38" s="127">
        <f t="shared" si="22"/>
        <v>0</v>
      </c>
      <c r="AI38" s="128" t="str" cm="1">
        <f t="array" aca="1" ref="AI38" ca="1">IFERROR(IF($AJ$4="N",SSUM(AD38:AF38)/3,SUM(AE38:AG38)/3),"")</f>
        <v/>
      </c>
      <c r="AJ38" s="129">
        <f t="shared" si="23"/>
        <v>0</v>
      </c>
      <c r="AK38" s="91" t="str">
        <f t="shared" si="9"/>
        <v/>
      </c>
      <c r="AL38" s="92" t="str">
        <f t="shared" si="10"/>
        <v/>
      </c>
      <c r="AM38" s="92" t="str">
        <f t="shared" si="11"/>
        <v/>
      </c>
      <c r="AN38" s="92" t="str">
        <f t="shared" si="12"/>
        <v/>
      </c>
      <c r="AO38" s="92" t="str">
        <f t="shared" si="13"/>
        <v/>
      </c>
      <c r="AP38" s="92" t="str">
        <f t="shared" si="14"/>
        <v/>
      </c>
      <c r="AQ38" s="92" t="str">
        <f t="shared" si="15"/>
        <v/>
      </c>
      <c r="AR38" s="92" t="str">
        <f t="shared" si="16"/>
        <v/>
      </c>
      <c r="AS38" s="92" t="str">
        <f t="shared" si="17"/>
        <v/>
      </c>
      <c r="AT38" s="217" t="str">
        <f t="shared" si="18"/>
        <v/>
      </c>
      <c r="AU38" s="93" t="str">
        <f t="shared" si="24"/>
        <v/>
      </c>
      <c r="AV38" s="94" t="str">
        <f t="shared" si="25"/>
        <v/>
      </c>
      <c r="AW38" s="95" t="str">
        <f t="shared" si="26"/>
        <v/>
      </c>
      <c r="AX38" s="248" t="s">
        <v>422</v>
      </c>
      <c r="AY38" s="229" t="s">
        <v>433</v>
      </c>
      <c r="AZ38" s="249">
        <v>0</v>
      </c>
      <c r="BA38" s="267">
        <f t="shared" si="27"/>
        <v>0</v>
      </c>
      <c r="BB38" s="268">
        <f t="shared" si="29"/>
        <v>0</v>
      </c>
      <c r="BC38" s="268">
        <f t="shared" si="29"/>
        <v>0</v>
      </c>
      <c r="BD38" s="268">
        <f t="shared" si="29"/>
        <v>1</v>
      </c>
      <c r="BE38" s="268">
        <f t="shared" si="29"/>
        <v>2</v>
      </c>
      <c r="BF38" s="268">
        <f t="shared" si="29"/>
        <v>3</v>
      </c>
      <c r="BG38" s="268">
        <f t="shared" si="29"/>
        <v>4</v>
      </c>
      <c r="BH38" s="269">
        <f t="shared" si="29"/>
        <v>5</v>
      </c>
      <c r="BI38" s="256">
        <f>IF($AY38=Lookup!$A$2,$AZ38*ROUNDUP(BA38/10,0)+1,
IF($AY38=Lookup!$A$3,($AZ38+1)^AZ38,
IF($AY38=Lookup!$A$4,BA38*$AZ38+1,"Error")))</f>
        <v>1</v>
      </c>
      <c r="BJ38" s="229">
        <f>IF($AY38=Lookup!$A$2,$AZ38*ROUNDUP(BB38/10,0)+1,
IF($AY38=Lookup!$A$3,($AZ38+1)^BA38,
IF($AY38=Lookup!$A$4,BB38*$AZ38+1,"Error")))</f>
        <v>1</v>
      </c>
      <c r="BK38" s="229">
        <f>IF($AY38=Lookup!$A$2,$AZ38*ROUNDUP(BC38/10,0)+1,
IF($AY38=Lookup!$A$3,($AZ38+1)^BB38,
IF($AY38=Lookup!$A$4,BC38*$AZ38+1,"Error")))</f>
        <v>1</v>
      </c>
      <c r="BL38" s="229">
        <f>IF($AY38=Lookup!$A$2,$AZ38*ROUNDUP(BD38/10,0)+1,
IF($AY38=Lookup!$A$3,($AZ38+1)^BC38,
IF($AY38=Lookup!$A$4,BD38*$AZ38+1,"Error")))</f>
        <v>1</v>
      </c>
      <c r="BM38" s="229">
        <f>IF($AY38=Lookup!$A$2,$AZ38*ROUNDUP(BE38/10,0)+1,
IF($AY38=Lookup!$A$3,($AZ38+1)^BD38,
IF($AY38=Lookup!$A$4,BE38*$AZ38+1,"Error")))</f>
        <v>1</v>
      </c>
      <c r="BN38" s="229">
        <f>IF($AY38=Lookup!$A$2,$AZ38*ROUNDUP(BF38/10,0)+1,
IF($AY38=Lookup!$A$3,($AZ38+1)^BE38,
IF($AY38=Lookup!$A$4,BF38*$AZ38+1,"Error")))</f>
        <v>1</v>
      </c>
      <c r="BO38" s="229">
        <f>IF($AY38=Lookup!$A$2,$AZ38*ROUNDUP(BG38/10,0)+1,
IF($AY38=Lookup!$A$3,($AZ38+1)^BF38,
IF($AY38=Lookup!$A$4,BG38*$AZ38+1,"Error")))</f>
        <v>1</v>
      </c>
      <c r="BP38" s="249">
        <f>IF($AY38=Lookup!$A$2,$AZ38*ROUNDUP(BH38/10,0)+1,
IF($AY38=Lookup!$A$3,($AZ38+1)^BG38,
IF($AY38=Lookup!$A$4,BH38*$AZ38+1,"Error")))</f>
        <v>1</v>
      </c>
      <c r="BQ38" s="398"/>
      <c r="BR38" s="356"/>
      <c r="BS38" s="356"/>
      <c r="BT38" s="356"/>
      <c r="BU38" s="356"/>
      <c r="BV38" s="356"/>
      <c r="BW38" s="356"/>
      <c r="BX38" s="399"/>
      <c r="BY38" s="382" t="s">
        <v>292</v>
      </c>
      <c r="BZ38" s="383">
        <f>HLOOKUP($BY38,$AH$6:$AJ$132,ROWS(BZ$6:BZ38),0)</f>
        <v>0</v>
      </c>
      <c r="CA38" s="362">
        <f t="shared" si="28"/>
        <v>0</v>
      </c>
      <c r="CB38" s="363">
        <f t="shared" si="20"/>
        <v>0</v>
      </c>
      <c r="CC38" s="363">
        <f t="shared" si="20"/>
        <v>0</v>
      </c>
      <c r="CD38" s="363">
        <f t="shared" si="20"/>
        <v>0</v>
      </c>
      <c r="CE38" s="363">
        <f t="shared" si="20"/>
        <v>0</v>
      </c>
      <c r="CF38" s="363">
        <f t="shared" si="20"/>
        <v>0</v>
      </c>
      <c r="CG38" s="363">
        <f t="shared" si="20"/>
        <v>0</v>
      </c>
      <c r="CH38" s="364">
        <f t="shared" si="20"/>
        <v>0</v>
      </c>
      <c r="CI38" s="305" t="s">
        <v>293</v>
      </c>
      <c r="CJ38" s="315">
        <v>0.05</v>
      </c>
      <c r="CK38" s="306"/>
      <c r="CL38" s="307" t="str">
        <f>IF($CK38&lt;&gt;"",$CK38,HLOOKUP($CI38,$AU$6:$AW$132,ROWS(CL$6:CL38),0))</f>
        <v/>
      </c>
      <c r="CM38" s="97"/>
      <c r="CN38" s="97"/>
      <c r="CO38" s="97"/>
      <c r="CP38" s="97"/>
      <c r="CQ38" s="97"/>
      <c r="CR38" s="97"/>
      <c r="CS38" s="97"/>
      <c r="CT38" s="98"/>
      <c r="CU38" s="392"/>
    </row>
    <row r="39" spans="1:99" x14ac:dyDescent="0.25">
      <c r="A39" s="81" t="s">
        <v>81</v>
      </c>
      <c r="B39" s="82" t="s">
        <v>89</v>
      </c>
      <c r="C39" s="83" t="s">
        <v>74</v>
      </c>
      <c r="D39" s="84"/>
      <c r="E39" s="85"/>
      <c r="F39" s="85"/>
      <c r="G39" s="85"/>
      <c r="H39" s="85"/>
      <c r="I39" s="85"/>
      <c r="J39" s="85"/>
      <c r="K39" s="85"/>
      <c r="L39" s="85"/>
      <c r="M39" s="201"/>
      <c r="N39" s="560">
        <f t="shared" si="21"/>
        <v>0</v>
      </c>
      <c r="O39" s="561">
        <f t="shared" si="0"/>
        <v>0</v>
      </c>
      <c r="P39" s="561">
        <f t="shared" si="1"/>
        <v>0</v>
      </c>
      <c r="Q39" s="561">
        <f t="shared" si="2"/>
        <v>0</v>
      </c>
      <c r="R39" s="561">
        <f t="shared" si="3"/>
        <v>0</v>
      </c>
      <c r="S39" s="561">
        <f t="shared" si="4"/>
        <v>0</v>
      </c>
      <c r="T39" s="561">
        <f t="shared" si="5"/>
        <v>0</v>
      </c>
      <c r="U39" s="561">
        <f t="shared" si="6"/>
        <v>0</v>
      </c>
      <c r="V39" s="561">
        <f t="shared" si="7"/>
        <v>0</v>
      </c>
      <c r="W39" s="562">
        <f t="shared" si="8"/>
        <v>0</v>
      </c>
      <c r="X39" s="125"/>
      <c r="Y39" s="126"/>
      <c r="Z39" s="126"/>
      <c r="AA39" s="126"/>
      <c r="AB39" s="126"/>
      <c r="AC39" s="126"/>
      <c r="AD39" s="126"/>
      <c r="AE39" s="126"/>
      <c r="AF39" s="126"/>
      <c r="AG39" s="197"/>
      <c r="AH39" s="127">
        <f t="shared" si="22"/>
        <v>0</v>
      </c>
      <c r="AI39" s="128" t="str" cm="1">
        <f t="array" aca="1" ref="AI39" ca="1">IFERROR(IF($AJ$4="N",SSUM(AD39:AF39)/3,SUM(AE39:AG39)/3),"")</f>
        <v/>
      </c>
      <c r="AJ39" s="129">
        <f t="shared" si="23"/>
        <v>0</v>
      </c>
      <c r="AK39" s="91" t="str">
        <f t="shared" ref="AK39:AK70" si="30">IFERROR(D39/X39,"")</f>
        <v/>
      </c>
      <c r="AL39" s="92" t="str">
        <f t="shared" ref="AL39:AL70" si="31">IFERROR(E39/Y39,"")</f>
        <v/>
      </c>
      <c r="AM39" s="92" t="str">
        <f t="shared" ref="AM39:AM70" si="32">IFERROR(F39/Z39,"")</f>
        <v/>
      </c>
      <c r="AN39" s="92" t="str">
        <f t="shared" ref="AN39:AN70" si="33">IFERROR(G39/AA39,"")</f>
        <v/>
      </c>
      <c r="AO39" s="92" t="str">
        <f t="shared" ref="AO39:AO70" si="34">IFERROR(H39/AB39,"")</f>
        <v/>
      </c>
      <c r="AP39" s="92" t="str">
        <f t="shared" ref="AP39:AP70" si="35">IFERROR(I39/AC39,"")</f>
        <v/>
      </c>
      <c r="AQ39" s="92" t="str">
        <f t="shared" ref="AQ39:AQ70" si="36">IFERROR(J39/AD39,"")</f>
        <v/>
      </c>
      <c r="AR39" s="92" t="str">
        <f t="shared" ref="AR39:AR70" si="37">IFERROR(K39/AE39,"")</f>
        <v/>
      </c>
      <c r="AS39" s="92" t="str">
        <f t="shared" ref="AS39:AS70" si="38">IFERROR(L39/AF39,"")</f>
        <v/>
      </c>
      <c r="AT39" s="217" t="str">
        <f t="shared" ref="AT39:AT70" si="39">IFERROR(M39/AG39,"")</f>
        <v/>
      </c>
      <c r="AU39" s="93" t="str">
        <f t="shared" si="24"/>
        <v/>
      </c>
      <c r="AV39" s="94" t="str">
        <f t="shared" si="25"/>
        <v/>
      </c>
      <c r="AW39" s="95" t="str">
        <f t="shared" si="26"/>
        <v/>
      </c>
      <c r="AX39" s="248" t="s">
        <v>422</v>
      </c>
      <c r="AY39" s="229" t="s">
        <v>433</v>
      </c>
      <c r="AZ39" s="249">
        <v>0</v>
      </c>
      <c r="BA39" s="267">
        <f t="shared" si="27"/>
        <v>0</v>
      </c>
      <c r="BB39" s="268">
        <f t="shared" ref="BB39:BH54" si="40">IF(BB$6=$AX39,1,
IF(BA39&lt;&gt;0,BA39+1,0
))</f>
        <v>0</v>
      </c>
      <c r="BC39" s="268">
        <f t="shared" si="40"/>
        <v>0</v>
      </c>
      <c r="BD39" s="268">
        <f t="shared" si="40"/>
        <v>1</v>
      </c>
      <c r="BE39" s="268">
        <f t="shared" si="40"/>
        <v>2</v>
      </c>
      <c r="BF39" s="268">
        <f t="shared" si="40"/>
        <v>3</v>
      </c>
      <c r="BG39" s="268">
        <f t="shared" si="40"/>
        <v>4</v>
      </c>
      <c r="BH39" s="269">
        <f t="shared" si="40"/>
        <v>5</v>
      </c>
      <c r="BI39" s="256">
        <f>IF($AY39=Lookup!$A$2,$AZ39*ROUNDUP(BA39/10,0)+1,
IF($AY39=Lookup!$A$3,($AZ39+1)^AZ39,
IF($AY39=Lookup!$A$4,BA39*$AZ39+1,"Error")))</f>
        <v>1</v>
      </c>
      <c r="BJ39" s="229">
        <f>IF($AY39=Lookup!$A$2,$AZ39*ROUNDUP(BB39/10,0)+1,
IF($AY39=Lookup!$A$3,($AZ39+1)^BA39,
IF($AY39=Lookup!$A$4,BB39*$AZ39+1,"Error")))</f>
        <v>1</v>
      </c>
      <c r="BK39" s="229">
        <f>IF($AY39=Lookup!$A$2,$AZ39*ROUNDUP(BC39/10,0)+1,
IF($AY39=Lookup!$A$3,($AZ39+1)^BB39,
IF($AY39=Lookup!$A$4,BC39*$AZ39+1,"Error")))</f>
        <v>1</v>
      </c>
      <c r="BL39" s="229">
        <f>IF($AY39=Lookup!$A$2,$AZ39*ROUNDUP(BD39/10,0)+1,
IF($AY39=Lookup!$A$3,($AZ39+1)^BC39,
IF($AY39=Lookup!$A$4,BD39*$AZ39+1,"Error")))</f>
        <v>1</v>
      </c>
      <c r="BM39" s="229">
        <f>IF($AY39=Lookup!$A$2,$AZ39*ROUNDUP(BE39/10,0)+1,
IF($AY39=Lookup!$A$3,($AZ39+1)^BD39,
IF($AY39=Lookup!$A$4,BE39*$AZ39+1,"Error")))</f>
        <v>1</v>
      </c>
      <c r="BN39" s="229">
        <f>IF($AY39=Lookup!$A$2,$AZ39*ROUNDUP(BF39/10,0)+1,
IF($AY39=Lookup!$A$3,($AZ39+1)^BE39,
IF($AY39=Lookup!$A$4,BF39*$AZ39+1,"Error")))</f>
        <v>1</v>
      </c>
      <c r="BO39" s="229">
        <f>IF($AY39=Lookup!$A$2,$AZ39*ROUNDUP(BG39/10,0)+1,
IF($AY39=Lookup!$A$3,($AZ39+1)^BF39,
IF($AY39=Lookup!$A$4,BG39*$AZ39+1,"Error")))</f>
        <v>1</v>
      </c>
      <c r="BP39" s="249">
        <f>IF($AY39=Lookup!$A$2,$AZ39*ROUNDUP(BH39/10,0)+1,
IF($AY39=Lookup!$A$3,($AZ39+1)^BG39,
IF($AY39=Lookup!$A$4,BH39*$AZ39+1,"Error")))</f>
        <v>1</v>
      </c>
      <c r="BQ39" s="398"/>
      <c r="BR39" s="356"/>
      <c r="BS39" s="356"/>
      <c r="BT39" s="356"/>
      <c r="BU39" s="356"/>
      <c r="BV39" s="356"/>
      <c r="BW39" s="356"/>
      <c r="BX39" s="399"/>
      <c r="BY39" s="382" t="s">
        <v>292</v>
      </c>
      <c r="BZ39" s="383">
        <f>HLOOKUP($BY39,$AH$6:$AJ$132,ROWS(BZ$6:BZ39),0)</f>
        <v>0</v>
      </c>
      <c r="CA39" s="362">
        <f t="shared" si="28"/>
        <v>0</v>
      </c>
      <c r="CB39" s="363">
        <f t="shared" si="20"/>
        <v>0</v>
      </c>
      <c r="CC39" s="363">
        <f t="shared" si="20"/>
        <v>0</v>
      </c>
      <c r="CD39" s="363">
        <f t="shared" si="20"/>
        <v>0</v>
      </c>
      <c r="CE39" s="363">
        <f t="shared" si="20"/>
        <v>0</v>
      </c>
      <c r="CF39" s="363">
        <f t="shared" si="20"/>
        <v>0</v>
      </c>
      <c r="CG39" s="363">
        <f t="shared" si="20"/>
        <v>0</v>
      </c>
      <c r="CH39" s="364">
        <f t="shared" si="20"/>
        <v>0</v>
      </c>
      <c r="CI39" s="305" t="s">
        <v>293</v>
      </c>
      <c r="CJ39" s="315">
        <v>0.05</v>
      </c>
      <c r="CK39" s="306"/>
      <c r="CL39" s="307" t="str">
        <f>IF($CK39&lt;&gt;"",$CK39,HLOOKUP($CI39,$AU$6:$AW$132,ROWS(CL$6:CL39),0))</f>
        <v/>
      </c>
      <c r="CM39" s="97"/>
      <c r="CN39" s="97"/>
      <c r="CO39" s="97"/>
      <c r="CP39" s="97"/>
      <c r="CQ39" s="97"/>
      <c r="CR39" s="97"/>
      <c r="CS39" s="97"/>
      <c r="CT39" s="98"/>
      <c r="CU39" s="392"/>
    </row>
    <row r="40" spans="1:99" x14ac:dyDescent="0.25">
      <c r="A40" s="81" t="s">
        <v>81</v>
      </c>
      <c r="B40" s="82" t="s">
        <v>90</v>
      </c>
      <c r="C40" s="83" t="s">
        <v>76</v>
      </c>
      <c r="D40" s="84"/>
      <c r="E40" s="85"/>
      <c r="F40" s="85"/>
      <c r="G40" s="85"/>
      <c r="H40" s="85"/>
      <c r="I40" s="85"/>
      <c r="J40" s="85"/>
      <c r="K40" s="85"/>
      <c r="L40" s="85"/>
      <c r="M40" s="201"/>
      <c r="N40" s="560">
        <f t="shared" si="21"/>
        <v>0</v>
      </c>
      <c r="O40" s="561">
        <f t="shared" si="0"/>
        <v>0</v>
      </c>
      <c r="P40" s="561">
        <f t="shared" si="1"/>
        <v>0</v>
      </c>
      <c r="Q40" s="561">
        <f t="shared" si="2"/>
        <v>0</v>
      </c>
      <c r="R40" s="561">
        <f t="shared" si="3"/>
        <v>0</v>
      </c>
      <c r="S40" s="561">
        <f t="shared" si="4"/>
        <v>0</v>
      </c>
      <c r="T40" s="561">
        <f t="shared" si="5"/>
        <v>0</v>
      </c>
      <c r="U40" s="561">
        <f t="shared" si="6"/>
        <v>0</v>
      </c>
      <c r="V40" s="561">
        <f t="shared" si="7"/>
        <v>0</v>
      </c>
      <c r="W40" s="562">
        <f t="shared" si="8"/>
        <v>0</v>
      </c>
      <c r="X40" s="125"/>
      <c r="Y40" s="126"/>
      <c r="Z40" s="126"/>
      <c r="AA40" s="126"/>
      <c r="AB40" s="126"/>
      <c r="AC40" s="126"/>
      <c r="AD40" s="126"/>
      <c r="AE40" s="126"/>
      <c r="AF40" s="126"/>
      <c r="AG40" s="197"/>
      <c r="AH40" s="127">
        <f t="shared" si="22"/>
        <v>0</v>
      </c>
      <c r="AI40" s="128" t="str" cm="1">
        <f t="array" aca="1" ref="AI40" ca="1">IFERROR(IF($AJ$4="N",SSUM(AD40:AF40)/3,SUM(AE40:AG40)/3),"")</f>
        <v/>
      </c>
      <c r="AJ40" s="129">
        <f t="shared" si="23"/>
        <v>0</v>
      </c>
      <c r="AK40" s="91" t="str">
        <f t="shared" si="30"/>
        <v/>
      </c>
      <c r="AL40" s="92" t="str">
        <f t="shared" si="31"/>
        <v/>
      </c>
      <c r="AM40" s="92" t="str">
        <f t="shared" si="32"/>
        <v/>
      </c>
      <c r="AN40" s="92" t="str">
        <f t="shared" si="33"/>
        <v/>
      </c>
      <c r="AO40" s="92" t="str">
        <f t="shared" si="34"/>
        <v/>
      </c>
      <c r="AP40" s="92" t="str">
        <f t="shared" si="35"/>
        <v/>
      </c>
      <c r="AQ40" s="92" t="str">
        <f t="shared" si="36"/>
        <v/>
      </c>
      <c r="AR40" s="92" t="str">
        <f t="shared" si="37"/>
        <v/>
      </c>
      <c r="AS40" s="92" t="str">
        <f t="shared" si="38"/>
        <v/>
      </c>
      <c r="AT40" s="217" t="str">
        <f t="shared" si="39"/>
        <v/>
      </c>
      <c r="AU40" s="93" t="str">
        <f t="shared" si="24"/>
        <v/>
      </c>
      <c r="AV40" s="94" t="str">
        <f t="shared" si="25"/>
        <v/>
      </c>
      <c r="AW40" s="95" t="str">
        <f t="shared" si="26"/>
        <v/>
      </c>
      <c r="AX40" s="248" t="s">
        <v>422</v>
      </c>
      <c r="AY40" s="229" t="s">
        <v>433</v>
      </c>
      <c r="AZ40" s="249">
        <v>0</v>
      </c>
      <c r="BA40" s="267">
        <f t="shared" si="27"/>
        <v>0</v>
      </c>
      <c r="BB40" s="268">
        <f t="shared" si="40"/>
        <v>0</v>
      </c>
      <c r="BC40" s="268">
        <f t="shared" si="40"/>
        <v>0</v>
      </c>
      <c r="BD40" s="268">
        <f t="shared" si="40"/>
        <v>1</v>
      </c>
      <c r="BE40" s="268">
        <f t="shared" si="40"/>
        <v>2</v>
      </c>
      <c r="BF40" s="268">
        <f t="shared" si="40"/>
        <v>3</v>
      </c>
      <c r="BG40" s="268">
        <f t="shared" si="40"/>
        <v>4</v>
      </c>
      <c r="BH40" s="269">
        <f t="shared" si="40"/>
        <v>5</v>
      </c>
      <c r="BI40" s="256">
        <f>IF($AY40=Lookup!$A$2,$AZ40*ROUNDUP(BA40/10,0)+1,
IF($AY40=Lookup!$A$3,($AZ40+1)^AZ40,
IF($AY40=Lookup!$A$4,BA40*$AZ40+1,"Error")))</f>
        <v>1</v>
      </c>
      <c r="BJ40" s="229">
        <f>IF($AY40=Lookup!$A$2,$AZ40*ROUNDUP(BB40/10,0)+1,
IF($AY40=Lookup!$A$3,($AZ40+1)^BA40,
IF($AY40=Lookup!$A$4,BB40*$AZ40+1,"Error")))</f>
        <v>1</v>
      </c>
      <c r="BK40" s="229">
        <f>IF($AY40=Lookup!$A$2,$AZ40*ROUNDUP(BC40/10,0)+1,
IF($AY40=Lookup!$A$3,($AZ40+1)^BB40,
IF($AY40=Lookup!$A$4,BC40*$AZ40+1,"Error")))</f>
        <v>1</v>
      </c>
      <c r="BL40" s="229">
        <f>IF($AY40=Lookup!$A$2,$AZ40*ROUNDUP(BD40/10,0)+1,
IF($AY40=Lookup!$A$3,($AZ40+1)^BC40,
IF($AY40=Lookup!$A$4,BD40*$AZ40+1,"Error")))</f>
        <v>1</v>
      </c>
      <c r="BM40" s="229">
        <f>IF($AY40=Lookup!$A$2,$AZ40*ROUNDUP(BE40/10,0)+1,
IF($AY40=Lookup!$A$3,($AZ40+1)^BD40,
IF($AY40=Lookup!$A$4,BE40*$AZ40+1,"Error")))</f>
        <v>1</v>
      </c>
      <c r="BN40" s="229">
        <f>IF($AY40=Lookup!$A$2,$AZ40*ROUNDUP(BF40/10,0)+1,
IF($AY40=Lookup!$A$3,($AZ40+1)^BE40,
IF($AY40=Lookup!$A$4,BF40*$AZ40+1,"Error")))</f>
        <v>1</v>
      </c>
      <c r="BO40" s="229">
        <f>IF($AY40=Lookup!$A$2,$AZ40*ROUNDUP(BG40/10,0)+1,
IF($AY40=Lookup!$A$3,($AZ40+1)^BF40,
IF($AY40=Lookup!$A$4,BG40*$AZ40+1,"Error")))</f>
        <v>1</v>
      </c>
      <c r="BP40" s="249">
        <f>IF($AY40=Lookup!$A$2,$AZ40*ROUNDUP(BH40/10,0)+1,
IF($AY40=Lookup!$A$3,($AZ40+1)^BG40,
IF($AY40=Lookup!$A$4,BH40*$AZ40+1,"Error")))</f>
        <v>1</v>
      </c>
      <c r="BQ40" s="398"/>
      <c r="BR40" s="356"/>
      <c r="BS40" s="356"/>
      <c r="BT40" s="356"/>
      <c r="BU40" s="356"/>
      <c r="BV40" s="356"/>
      <c r="BW40" s="356"/>
      <c r="BX40" s="399"/>
      <c r="BY40" s="382" t="s">
        <v>292</v>
      </c>
      <c r="BZ40" s="383">
        <f>HLOOKUP($BY40,$AH$6:$AJ$132,ROWS(BZ$6:BZ40),0)</f>
        <v>0</v>
      </c>
      <c r="CA40" s="362">
        <f t="shared" si="28"/>
        <v>0</v>
      </c>
      <c r="CB40" s="363">
        <f t="shared" si="20"/>
        <v>0</v>
      </c>
      <c r="CC40" s="363">
        <f t="shared" si="20"/>
        <v>0</v>
      </c>
      <c r="CD40" s="363">
        <f t="shared" si="20"/>
        <v>0</v>
      </c>
      <c r="CE40" s="363">
        <f t="shared" si="20"/>
        <v>0</v>
      </c>
      <c r="CF40" s="363">
        <f t="shared" si="20"/>
        <v>0</v>
      </c>
      <c r="CG40" s="363">
        <f t="shared" si="20"/>
        <v>0</v>
      </c>
      <c r="CH40" s="364">
        <f t="shared" si="20"/>
        <v>0</v>
      </c>
      <c r="CI40" s="305" t="s">
        <v>293</v>
      </c>
      <c r="CJ40" s="315">
        <v>0.05</v>
      </c>
      <c r="CK40" s="306"/>
      <c r="CL40" s="307" t="str">
        <f>IF($CK40&lt;&gt;"",$CK40,HLOOKUP($CI40,$AU$6:$AW$132,ROWS(CL$6:CL40),0))</f>
        <v/>
      </c>
      <c r="CM40" s="97"/>
      <c r="CN40" s="97"/>
      <c r="CO40" s="97"/>
      <c r="CP40" s="97"/>
      <c r="CQ40" s="97"/>
      <c r="CR40" s="97"/>
      <c r="CS40" s="97"/>
      <c r="CT40" s="98"/>
      <c r="CU40" s="392"/>
    </row>
    <row r="41" spans="1:99" x14ac:dyDescent="0.25">
      <c r="A41" s="81" t="s">
        <v>81</v>
      </c>
      <c r="B41" s="82" t="s">
        <v>91</v>
      </c>
      <c r="C41" s="83" t="s">
        <v>78</v>
      </c>
      <c r="D41" s="84"/>
      <c r="E41" s="85"/>
      <c r="F41" s="85"/>
      <c r="G41" s="85"/>
      <c r="H41" s="85"/>
      <c r="I41" s="85"/>
      <c r="J41" s="85"/>
      <c r="K41" s="85"/>
      <c r="L41" s="85"/>
      <c r="M41" s="201"/>
      <c r="N41" s="560">
        <f t="shared" si="21"/>
        <v>0</v>
      </c>
      <c r="O41" s="561">
        <f t="shared" si="0"/>
        <v>0</v>
      </c>
      <c r="P41" s="561">
        <f t="shared" si="1"/>
        <v>0</v>
      </c>
      <c r="Q41" s="561">
        <f t="shared" si="2"/>
        <v>0</v>
      </c>
      <c r="R41" s="561">
        <f t="shared" si="3"/>
        <v>0</v>
      </c>
      <c r="S41" s="561">
        <f t="shared" si="4"/>
        <v>0</v>
      </c>
      <c r="T41" s="561">
        <f t="shared" si="5"/>
        <v>0</v>
      </c>
      <c r="U41" s="561">
        <f t="shared" si="6"/>
        <v>0</v>
      </c>
      <c r="V41" s="561">
        <f t="shared" si="7"/>
        <v>0</v>
      </c>
      <c r="W41" s="562">
        <f t="shared" si="8"/>
        <v>0</v>
      </c>
      <c r="X41" s="125"/>
      <c r="Y41" s="126"/>
      <c r="Z41" s="126"/>
      <c r="AA41" s="126"/>
      <c r="AB41" s="126"/>
      <c r="AC41" s="126"/>
      <c r="AD41" s="126"/>
      <c r="AE41" s="126"/>
      <c r="AF41" s="126"/>
      <c r="AG41" s="197"/>
      <c r="AH41" s="127">
        <f t="shared" si="22"/>
        <v>0</v>
      </c>
      <c r="AI41" s="128" t="str" cm="1">
        <f t="array" aca="1" ref="AI41" ca="1">IFERROR(IF($AJ$4="N",SSUM(AD41:AF41)/3,SUM(AE41:AG41)/3),"")</f>
        <v/>
      </c>
      <c r="AJ41" s="129">
        <f t="shared" si="23"/>
        <v>0</v>
      </c>
      <c r="AK41" s="91" t="str">
        <f t="shared" si="30"/>
        <v/>
      </c>
      <c r="AL41" s="92" t="str">
        <f t="shared" si="31"/>
        <v/>
      </c>
      <c r="AM41" s="92" t="str">
        <f t="shared" si="32"/>
        <v/>
      </c>
      <c r="AN41" s="92" t="str">
        <f t="shared" si="33"/>
        <v/>
      </c>
      <c r="AO41" s="92" t="str">
        <f t="shared" si="34"/>
        <v/>
      </c>
      <c r="AP41" s="92" t="str">
        <f t="shared" si="35"/>
        <v/>
      </c>
      <c r="AQ41" s="92" t="str">
        <f t="shared" si="36"/>
        <v/>
      </c>
      <c r="AR41" s="92" t="str">
        <f t="shared" si="37"/>
        <v/>
      </c>
      <c r="AS41" s="92" t="str">
        <f t="shared" si="38"/>
        <v/>
      </c>
      <c r="AT41" s="217" t="str">
        <f t="shared" si="39"/>
        <v/>
      </c>
      <c r="AU41" s="93" t="str">
        <f t="shared" si="24"/>
        <v/>
      </c>
      <c r="AV41" s="94" t="str">
        <f t="shared" si="25"/>
        <v/>
      </c>
      <c r="AW41" s="95" t="str">
        <f t="shared" si="26"/>
        <v/>
      </c>
      <c r="AX41" s="248" t="s">
        <v>422</v>
      </c>
      <c r="AY41" s="229" t="s">
        <v>433</v>
      </c>
      <c r="AZ41" s="249">
        <v>0</v>
      </c>
      <c r="BA41" s="267">
        <f t="shared" si="27"/>
        <v>0</v>
      </c>
      <c r="BB41" s="268">
        <f t="shared" si="40"/>
        <v>0</v>
      </c>
      <c r="BC41" s="268">
        <f t="shared" si="40"/>
        <v>0</v>
      </c>
      <c r="BD41" s="268">
        <f t="shared" si="40"/>
        <v>1</v>
      </c>
      <c r="BE41" s="268">
        <f t="shared" si="40"/>
        <v>2</v>
      </c>
      <c r="BF41" s="268">
        <f t="shared" si="40"/>
        <v>3</v>
      </c>
      <c r="BG41" s="268">
        <f t="shared" si="40"/>
        <v>4</v>
      </c>
      <c r="BH41" s="269">
        <f t="shared" si="40"/>
        <v>5</v>
      </c>
      <c r="BI41" s="256">
        <f>IF($AY41=Lookup!$A$2,$AZ41*ROUNDUP(BA41/10,0)+1,
IF($AY41=Lookup!$A$3,($AZ41+1)^AZ41,
IF($AY41=Lookup!$A$4,BA41*$AZ41+1,"Error")))</f>
        <v>1</v>
      </c>
      <c r="BJ41" s="229">
        <f>IF($AY41=Lookup!$A$2,$AZ41*ROUNDUP(BB41/10,0)+1,
IF($AY41=Lookup!$A$3,($AZ41+1)^BA41,
IF($AY41=Lookup!$A$4,BB41*$AZ41+1,"Error")))</f>
        <v>1</v>
      </c>
      <c r="BK41" s="229">
        <f>IF($AY41=Lookup!$A$2,$AZ41*ROUNDUP(BC41/10,0)+1,
IF($AY41=Lookup!$A$3,($AZ41+1)^BB41,
IF($AY41=Lookup!$A$4,BC41*$AZ41+1,"Error")))</f>
        <v>1</v>
      </c>
      <c r="BL41" s="229">
        <f>IF($AY41=Lookup!$A$2,$AZ41*ROUNDUP(BD41/10,0)+1,
IF($AY41=Lookup!$A$3,($AZ41+1)^BC41,
IF($AY41=Lookup!$A$4,BD41*$AZ41+1,"Error")))</f>
        <v>1</v>
      </c>
      <c r="BM41" s="229">
        <f>IF($AY41=Lookup!$A$2,$AZ41*ROUNDUP(BE41/10,0)+1,
IF($AY41=Lookup!$A$3,($AZ41+1)^BD41,
IF($AY41=Lookup!$A$4,BE41*$AZ41+1,"Error")))</f>
        <v>1</v>
      </c>
      <c r="BN41" s="229">
        <f>IF($AY41=Lookup!$A$2,$AZ41*ROUNDUP(BF41/10,0)+1,
IF($AY41=Lookup!$A$3,($AZ41+1)^BE41,
IF($AY41=Lookup!$A$4,BF41*$AZ41+1,"Error")))</f>
        <v>1</v>
      </c>
      <c r="BO41" s="229">
        <f>IF($AY41=Lookup!$A$2,$AZ41*ROUNDUP(BG41/10,0)+1,
IF($AY41=Lookup!$A$3,($AZ41+1)^BF41,
IF($AY41=Lookup!$A$4,BG41*$AZ41+1,"Error")))</f>
        <v>1</v>
      </c>
      <c r="BP41" s="249">
        <f>IF($AY41=Lookup!$A$2,$AZ41*ROUNDUP(BH41/10,0)+1,
IF($AY41=Lookup!$A$3,($AZ41+1)^BG41,
IF($AY41=Lookup!$A$4,BH41*$AZ41+1,"Error")))</f>
        <v>1</v>
      </c>
      <c r="BQ41" s="398"/>
      <c r="BR41" s="356"/>
      <c r="BS41" s="356"/>
      <c r="BT41" s="356"/>
      <c r="BU41" s="356"/>
      <c r="BV41" s="356"/>
      <c r="BW41" s="356"/>
      <c r="BX41" s="399"/>
      <c r="BY41" s="382" t="s">
        <v>292</v>
      </c>
      <c r="BZ41" s="383">
        <f>HLOOKUP($BY41,$AH$6:$AJ$132,ROWS(BZ$6:BZ41),0)</f>
        <v>0</v>
      </c>
      <c r="CA41" s="362">
        <f t="shared" si="28"/>
        <v>0</v>
      </c>
      <c r="CB41" s="363">
        <f t="shared" si="20"/>
        <v>0</v>
      </c>
      <c r="CC41" s="363">
        <f t="shared" si="20"/>
        <v>0</v>
      </c>
      <c r="CD41" s="363">
        <f t="shared" si="20"/>
        <v>0</v>
      </c>
      <c r="CE41" s="363">
        <f t="shared" si="20"/>
        <v>0</v>
      </c>
      <c r="CF41" s="363">
        <f t="shared" si="20"/>
        <v>0</v>
      </c>
      <c r="CG41" s="363">
        <f t="shared" si="20"/>
        <v>0</v>
      </c>
      <c r="CH41" s="364">
        <f t="shared" si="20"/>
        <v>0</v>
      </c>
      <c r="CI41" s="305" t="s">
        <v>293</v>
      </c>
      <c r="CJ41" s="315">
        <v>0.05</v>
      </c>
      <c r="CK41" s="306"/>
      <c r="CL41" s="307" t="str">
        <f>IF($CK41&lt;&gt;"",$CK41,HLOOKUP($CI41,$AU$6:$AW$132,ROWS(CL$6:CL41),0))</f>
        <v/>
      </c>
      <c r="CM41" s="97"/>
      <c r="CN41" s="97"/>
      <c r="CO41" s="97"/>
      <c r="CP41" s="97"/>
      <c r="CQ41" s="97"/>
      <c r="CR41" s="97"/>
      <c r="CS41" s="97"/>
      <c r="CT41" s="98"/>
      <c r="CU41" s="392"/>
    </row>
    <row r="42" spans="1:99" ht="15.75" thickBot="1" x14ac:dyDescent="0.3">
      <c r="A42" s="100" t="s">
        <v>81</v>
      </c>
      <c r="B42" s="101" t="s">
        <v>460</v>
      </c>
      <c r="C42" s="102" t="s">
        <v>320</v>
      </c>
      <c r="D42" s="103"/>
      <c r="E42" s="104"/>
      <c r="F42" s="104"/>
      <c r="G42" s="104"/>
      <c r="H42" s="104"/>
      <c r="I42" s="104"/>
      <c r="J42" s="104"/>
      <c r="K42" s="104"/>
      <c r="L42" s="104"/>
      <c r="M42" s="202"/>
      <c r="N42" s="563">
        <f t="shared" si="21"/>
        <v>0</v>
      </c>
      <c r="O42" s="564">
        <f t="shared" si="0"/>
        <v>0</v>
      </c>
      <c r="P42" s="564">
        <f t="shared" si="1"/>
        <v>0</v>
      </c>
      <c r="Q42" s="564">
        <f t="shared" si="2"/>
        <v>0</v>
      </c>
      <c r="R42" s="564">
        <f t="shared" si="3"/>
        <v>0</v>
      </c>
      <c r="S42" s="564">
        <f t="shared" si="4"/>
        <v>0</v>
      </c>
      <c r="T42" s="564">
        <f t="shared" si="5"/>
        <v>0</v>
      </c>
      <c r="U42" s="564">
        <f t="shared" si="6"/>
        <v>0</v>
      </c>
      <c r="V42" s="564">
        <f t="shared" si="7"/>
        <v>0</v>
      </c>
      <c r="W42" s="565">
        <f t="shared" si="8"/>
        <v>0</v>
      </c>
      <c r="X42" s="131"/>
      <c r="Y42" s="132"/>
      <c r="Z42" s="132"/>
      <c r="AA42" s="132"/>
      <c r="AB42" s="132"/>
      <c r="AC42" s="132"/>
      <c r="AD42" s="132"/>
      <c r="AE42" s="132"/>
      <c r="AF42" s="132"/>
      <c r="AG42" s="198"/>
      <c r="AH42" s="133">
        <f t="shared" si="22"/>
        <v>0</v>
      </c>
      <c r="AI42" s="134" t="str" cm="1">
        <f t="array" aca="1" ref="AI42" ca="1">IFERROR(IF($AJ$4="N",SSUM(AD42:AF42)/3,SUM(AE42:AG42)/3),"")</f>
        <v/>
      </c>
      <c r="AJ42" s="135">
        <f t="shared" si="23"/>
        <v>0</v>
      </c>
      <c r="AK42" s="110" t="str">
        <f t="shared" si="30"/>
        <v/>
      </c>
      <c r="AL42" s="111" t="str">
        <f t="shared" si="31"/>
        <v/>
      </c>
      <c r="AM42" s="111" t="str">
        <f t="shared" si="32"/>
        <v/>
      </c>
      <c r="AN42" s="111" t="str">
        <f t="shared" si="33"/>
        <v/>
      </c>
      <c r="AO42" s="111" t="str">
        <f t="shared" si="34"/>
        <v/>
      </c>
      <c r="AP42" s="111" t="str">
        <f t="shared" si="35"/>
        <v/>
      </c>
      <c r="AQ42" s="111" t="str">
        <f t="shared" si="36"/>
        <v/>
      </c>
      <c r="AR42" s="111" t="str">
        <f t="shared" si="37"/>
        <v/>
      </c>
      <c r="AS42" s="111" t="str">
        <f t="shared" si="38"/>
        <v/>
      </c>
      <c r="AT42" s="218" t="str">
        <f t="shared" si="39"/>
        <v/>
      </c>
      <c r="AU42" s="112" t="str">
        <f t="shared" si="24"/>
        <v/>
      </c>
      <c r="AV42" s="113" t="str">
        <f t="shared" si="25"/>
        <v/>
      </c>
      <c r="AW42" s="114" t="str">
        <f t="shared" si="26"/>
        <v/>
      </c>
      <c r="AX42" s="250" t="s">
        <v>422</v>
      </c>
      <c r="AY42" s="230" t="s">
        <v>433</v>
      </c>
      <c r="AZ42" s="251">
        <v>0</v>
      </c>
      <c r="BA42" s="270">
        <f t="shared" si="27"/>
        <v>0</v>
      </c>
      <c r="BB42" s="271">
        <f t="shared" si="40"/>
        <v>0</v>
      </c>
      <c r="BC42" s="271">
        <f t="shared" si="40"/>
        <v>0</v>
      </c>
      <c r="BD42" s="271">
        <f t="shared" si="40"/>
        <v>1</v>
      </c>
      <c r="BE42" s="271">
        <f t="shared" si="40"/>
        <v>2</v>
      </c>
      <c r="BF42" s="271">
        <f t="shared" si="40"/>
        <v>3</v>
      </c>
      <c r="BG42" s="271">
        <f t="shared" si="40"/>
        <v>4</v>
      </c>
      <c r="BH42" s="272">
        <f t="shared" si="40"/>
        <v>5</v>
      </c>
      <c r="BI42" s="257">
        <f>IF($AY42=Lookup!$A$2,$AZ42*ROUNDUP(BA42/10,0)+1,
IF($AY42=Lookup!$A$3,($AZ42+1)^AZ42,
IF($AY42=Lookup!$A$4,BA42*$AZ42+1,"Error")))</f>
        <v>1</v>
      </c>
      <c r="BJ42" s="230">
        <f>IF($AY42=Lookup!$A$2,$AZ42*ROUNDUP(BB42/10,0)+1,
IF($AY42=Lookup!$A$3,($AZ42+1)^BA42,
IF($AY42=Lookup!$A$4,BB42*$AZ42+1,"Error")))</f>
        <v>1</v>
      </c>
      <c r="BK42" s="230">
        <f>IF($AY42=Lookup!$A$2,$AZ42*ROUNDUP(BC42/10,0)+1,
IF($AY42=Lookup!$A$3,($AZ42+1)^BB42,
IF($AY42=Lookup!$A$4,BC42*$AZ42+1,"Error")))</f>
        <v>1</v>
      </c>
      <c r="BL42" s="230">
        <f>IF($AY42=Lookup!$A$2,$AZ42*ROUNDUP(BD42/10,0)+1,
IF($AY42=Lookup!$A$3,($AZ42+1)^BC42,
IF($AY42=Lookup!$A$4,BD42*$AZ42+1,"Error")))</f>
        <v>1</v>
      </c>
      <c r="BM42" s="230">
        <f>IF($AY42=Lookup!$A$2,$AZ42*ROUNDUP(BE42/10,0)+1,
IF($AY42=Lookup!$A$3,($AZ42+1)^BD42,
IF($AY42=Lookup!$A$4,BE42*$AZ42+1,"Error")))</f>
        <v>1</v>
      </c>
      <c r="BN42" s="230">
        <f>IF($AY42=Lookup!$A$2,$AZ42*ROUNDUP(BF42/10,0)+1,
IF($AY42=Lookup!$A$3,($AZ42+1)^BE42,
IF($AY42=Lookup!$A$4,BF42*$AZ42+1,"Error")))</f>
        <v>1</v>
      </c>
      <c r="BO42" s="230">
        <f>IF($AY42=Lookup!$A$2,$AZ42*ROUNDUP(BG42/10,0)+1,
IF($AY42=Lookup!$A$3,($AZ42+1)^BF42,
IF($AY42=Lookup!$A$4,BG42*$AZ42+1,"Error")))</f>
        <v>1</v>
      </c>
      <c r="BP42" s="251">
        <f>IF($AY42=Lookup!$A$2,$AZ42*ROUNDUP(BH42/10,0)+1,
IF($AY42=Lookup!$A$3,($AZ42+1)^BG42,
IF($AY42=Lookup!$A$4,BH42*$AZ42+1,"Error")))</f>
        <v>1</v>
      </c>
      <c r="BQ42" s="400"/>
      <c r="BR42" s="358"/>
      <c r="BS42" s="358"/>
      <c r="BT42" s="358"/>
      <c r="BU42" s="358"/>
      <c r="BV42" s="358"/>
      <c r="BW42" s="358"/>
      <c r="BX42" s="401"/>
      <c r="BY42" s="384" t="s">
        <v>292</v>
      </c>
      <c r="BZ42" s="385">
        <f>HLOOKUP($BY42,$AH$6:$AJ$132,ROWS(BZ$6:BZ42),0)</f>
        <v>0</v>
      </c>
      <c r="CA42" s="365">
        <f t="shared" si="28"/>
        <v>0</v>
      </c>
      <c r="CB42" s="366">
        <f t="shared" si="20"/>
        <v>0</v>
      </c>
      <c r="CC42" s="366">
        <f t="shared" si="20"/>
        <v>0</v>
      </c>
      <c r="CD42" s="366">
        <f t="shared" si="20"/>
        <v>0</v>
      </c>
      <c r="CE42" s="366">
        <f t="shared" si="20"/>
        <v>0</v>
      </c>
      <c r="CF42" s="366">
        <f t="shared" si="20"/>
        <v>0</v>
      </c>
      <c r="CG42" s="366">
        <f t="shared" si="20"/>
        <v>0</v>
      </c>
      <c r="CH42" s="367">
        <f t="shared" si="20"/>
        <v>0</v>
      </c>
      <c r="CI42" s="308" t="s">
        <v>293</v>
      </c>
      <c r="CJ42" s="316">
        <v>0.05</v>
      </c>
      <c r="CK42" s="309"/>
      <c r="CL42" s="310" t="str">
        <f>IF($CK42&lt;&gt;"",$CK42,HLOOKUP($CI42,$AU$6:$AW$132,ROWS(CL$6:CL42),0))</f>
        <v/>
      </c>
      <c r="CM42" s="117"/>
      <c r="CN42" s="117"/>
      <c r="CO42" s="117"/>
      <c r="CP42" s="117"/>
      <c r="CQ42" s="117"/>
      <c r="CR42" s="117"/>
      <c r="CS42" s="117"/>
      <c r="CT42" s="118"/>
      <c r="CU42" s="393"/>
    </row>
    <row r="43" spans="1:99" x14ac:dyDescent="0.25">
      <c r="A43" s="63" t="s">
        <v>94</v>
      </c>
      <c r="B43" s="334" t="s">
        <v>92</v>
      </c>
      <c r="C43" s="65" t="s">
        <v>305</v>
      </c>
      <c r="D43" s="66"/>
      <c r="E43" s="67"/>
      <c r="F43" s="67"/>
      <c r="G43" s="67"/>
      <c r="H43" s="67"/>
      <c r="I43" s="67"/>
      <c r="J43" s="67"/>
      <c r="K43" s="67"/>
      <c r="L43" s="67"/>
      <c r="M43" s="200"/>
      <c r="N43" s="557">
        <f t="shared" si="21"/>
        <v>0</v>
      </c>
      <c r="O43" s="558">
        <f t="shared" si="0"/>
        <v>0</v>
      </c>
      <c r="P43" s="558">
        <f t="shared" si="1"/>
        <v>0</v>
      </c>
      <c r="Q43" s="558">
        <f t="shared" si="2"/>
        <v>0</v>
      </c>
      <c r="R43" s="558">
        <f t="shared" si="3"/>
        <v>0</v>
      </c>
      <c r="S43" s="558">
        <f t="shared" si="4"/>
        <v>0</v>
      </c>
      <c r="T43" s="558">
        <f t="shared" si="5"/>
        <v>0</v>
      </c>
      <c r="U43" s="558">
        <f t="shared" si="6"/>
        <v>0</v>
      </c>
      <c r="V43" s="558">
        <f t="shared" si="7"/>
        <v>0</v>
      </c>
      <c r="W43" s="559">
        <f t="shared" si="8"/>
        <v>0</v>
      </c>
      <c r="X43" s="119"/>
      <c r="Y43" s="120"/>
      <c r="Z43" s="120"/>
      <c r="AA43" s="120"/>
      <c r="AB43" s="120"/>
      <c r="AC43" s="120"/>
      <c r="AD43" s="120"/>
      <c r="AE43" s="120"/>
      <c r="AF43" s="120"/>
      <c r="AG43" s="196"/>
      <c r="AH43" s="121">
        <f t="shared" si="22"/>
        <v>0</v>
      </c>
      <c r="AI43" s="122" t="str" cm="1">
        <f t="array" aca="1" ref="AI43" ca="1">IFERROR(IF($AJ$4="N",SSUM(AD43:AF43)/3,SUM(AE43:AG43)/3),"")</f>
        <v/>
      </c>
      <c r="AJ43" s="123">
        <f t="shared" si="23"/>
        <v>0</v>
      </c>
      <c r="AK43" s="73" t="str">
        <f t="shared" si="30"/>
        <v/>
      </c>
      <c r="AL43" s="74" t="str">
        <f t="shared" si="31"/>
        <v/>
      </c>
      <c r="AM43" s="74" t="str">
        <f t="shared" si="32"/>
        <v/>
      </c>
      <c r="AN43" s="74" t="str">
        <f t="shared" si="33"/>
        <v/>
      </c>
      <c r="AO43" s="74" t="str">
        <f t="shared" si="34"/>
        <v/>
      </c>
      <c r="AP43" s="74" t="str">
        <f t="shared" si="35"/>
        <v/>
      </c>
      <c r="AQ43" s="74" t="str">
        <f t="shared" si="36"/>
        <v/>
      </c>
      <c r="AR43" s="74" t="str">
        <f t="shared" si="37"/>
        <v/>
      </c>
      <c r="AS43" s="74" t="str">
        <f t="shared" si="38"/>
        <v/>
      </c>
      <c r="AT43" s="216" t="str">
        <f t="shared" si="39"/>
        <v/>
      </c>
      <c r="AU43" s="75" t="str">
        <f t="shared" si="24"/>
        <v/>
      </c>
      <c r="AV43" s="76" t="str">
        <f t="shared" si="25"/>
        <v/>
      </c>
      <c r="AW43" s="77" t="str">
        <f t="shared" si="26"/>
        <v/>
      </c>
      <c r="AX43" s="246" t="s">
        <v>422</v>
      </c>
      <c r="AY43" s="228" t="s">
        <v>433</v>
      </c>
      <c r="AZ43" s="247">
        <v>0</v>
      </c>
      <c r="BA43" s="264">
        <f t="shared" si="27"/>
        <v>0</v>
      </c>
      <c r="BB43" s="265">
        <f t="shared" si="40"/>
        <v>0</v>
      </c>
      <c r="BC43" s="265">
        <f t="shared" si="40"/>
        <v>0</v>
      </c>
      <c r="BD43" s="265">
        <f t="shared" si="40"/>
        <v>1</v>
      </c>
      <c r="BE43" s="265">
        <f t="shared" si="40"/>
        <v>2</v>
      </c>
      <c r="BF43" s="265">
        <f t="shared" si="40"/>
        <v>3</v>
      </c>
      <c r="BG43" s="265">
        <f t="shared" si="40"/>
        <v>4</v>
      </c>
      <c r="BH43" s="266">
        <f t="shared" si="40"/>
        <v>5</v>
      </c>
      <c r="BI43" s="255">
        <f>IF($AY43=Lookup!$A$2,$AZ43*ROUNDUP(BA43/10,0)+1,
IF($AY43=Lookup!$A$3,($AZ43+1)^AZ43,
IF($AY43=Lookup!$A$4,BA43*$AZ43+1,"Error")))</f>
        <v>1</v>
      </c>
      <c r="BJ43" s="228">
        <f>IF($AY43=Lookup!$A$2,$AZ43*ROUNDUP(BB43/10,0)+1,
IF($AY43=Lookup!$A$3,($AZ43+1)^BA43,
IF($AY43=Lookup!$A$4,BB43*$AZ43+1,"Error")))</f>
        <v>1</v>
      </c>
      <c r="BK43" s="228">
        <f>IF($AY43=Lookup!$A$2,$AZ43*ROUNDUP(BC43/10,0)+1,
IF($AY43=Lookup!$A$3,($AZ43+1)^BB43,
IF($AY43=Lookup!$A$4,BC43*$AZ43+1,"Error")))</f>
        <v>1</v>
      </c>
      <c r="BL43" s="228">
        <f>IF($AY43=Lookup!$A$2,$AZ43*ROUNDUP(BD43/10,0)+1,
IF($AY43=Lookup!$A$3,($AZ43+1)^BC43,
IF($AY43=Lookup!$A$4,BD43*$AZ43+1,"Error")))</f>
        <v>1</v>
      </c>
      <c r="BM43" s="228">
        <f>IF($AY43=Lookup!$A$2,$AZ43*ROUNDUP(BE43/10,0)+1,
IF($AY43=Lookup!$A$3,($AZ43+1)^BD43,
IF($AY43=Lookup!$A$4,BE43*$AZ43+1,"Error")))</f>
        <v>1</v>
      </c>
      <c r="BN43" s="228">
        <f>IF($AY43=Lookup!$A$2,$AZ43*ROUNDUP(BF43/10,0)+1,
IF($AY43=Lookup!$A$3,($AZ43+1)^BE43,
IF($AY43=Lookup!$A$4,BF43*$AZ43+1,"Error")))</f>
        <v>1</v>
      </c>
      <c r="BO43" s="228">
        <f>IF($AY43=Lookup!$A$2,$AZ43*ROUNDUP(BG43/10,0)+1,
IF($AY43=Lookup!$A$3,($AZ43+1)^BF43,
IF($AY43=Lookup!$A$4,BG43*$AZ43+1,"Error")))</f>
        <v>1</v>
      </c>
      <c r="BP43" s="247">
        <f>IF($AY43=Lookup!$A$2,$AZ43*ROUNDUP(BH43/10,0)+1,
IF($AY43=Lookup!$A$3,($AZ43+1)^BG43,
IF($AY43=Lookup!$A$4,BH43*$AZ43+1,"Error")))</f>
        <v>1</v>
      </c>
      <c r="BQ43" s="396"/>
      <c r="BR43" s="354"/>
      <c r="BS43" s="354"/>
      <c r="BT43" s="354"/>
      <c r="BU43" s="354"/>
      <c r="BV43" s="354"/>
      <c r="BW43" s="354"/>
      <c r="BX43" s="397"/>
      <c r="BY43" s="380" t="s">
        <v>292</v>
      </c>
      <c r="BZ43" s="381">
        <f>HLOOKUP($BY43,$AH$6:$AJ$132,ROWS(BZ$6:BZ43),0)</f>
        <v>0</v>
      </c>
      <c r="CA43" s="359">
        <f t="shared" si="28"/>
        <v>0</v>
      </c>
      <c r="CB43" s="360">
        <f t="shared" si="20"/>
        <v>0</v>
      </c>
      <c r="CC43" s="360">
        <f t="shared" si="20"/>
        <v>0</v>
      </c>
      <c r="CD43" s="360">
        <f t="shared" si="20"/>
        <v>0</v>
      </c>
      <c r="CE43" s="360">
        <f t="shared" ref="CE43:CH106" si="41">IFERROR(IF(BU43&lt;&gt;"",BU43,BM43*$BZ43),"")</f>
        <v>0</v>
      </c>
      <c r="CF43" s="360">
        <f t="shared" si="41"/>
        <v>0</v>
      </c>
      <c r="CG43" s="360">
        <f t="shared" si="41"/>
        <v>0</v>
      </c>
      <c r="CH43" s="361">
        <f t="shared" si="41"/>
        <v>0</v>
      </c>
      <c r="CI43" s="302" t="s">
        <v>293</v>
      </c>
      <c r="CJ43" s="314">
        <v>0.05</v>
      </c>
      <c r="CK43" s="303"/>
      <c r="CL43" s="304" t="str">
        <f>IF($CK43&lt;&gt;"",$CK43,HLOOKUP($CI43,$AU$6:$AW$132,ROWS(CL$6:CL43),0))</f>
        <v/>
      </c>
      <c r="CM43" s="79"/>
      <c r="CN43" s="79"/>
      <c r="CO43" s="79"/>
      <c r="CP43" s="79"/>
      <c r="CQ43" s="79"/>
      <c r="CR43" s="79"/>
      <c r="CS43" s="79"/>
      <c r="CT43" s="80"/>
      <c r="CU43" s="391"/>
    </row>
    <row r="44" spans="1:99" x14ac:dyDescent="0.25">
      <c r="A44" s="81" t="s">
        <v>94</v>
      </c>
      <c r="B44" s="82" t="s">
        <v>95</v>
      </c>
      <c r="C44" s="83" t="s">
        <v>70</v>
      </c>
      <c r="D44" s="84"/>
      <c r="E44" s="85"/>
      <c r="F44" s="85"/>
      <c r="G44" s="85"/>
      <c r="H44" s="85"/>
      <c r="I44" s="85"/>
      <c r="J44" s="85"/>
      <c r="K44" s="85"/>
      <c r="L44" s="85"/>
      <c r="M44" s="201"/>
      <c r="N44" s="560">
        <f t="shared" si="21"/>
        <v>0</v>
      </c>
      <c r="O44" s="561">
        <f t="shared" si="0"/>
        <v>0</v>
      </c>
      <c r="P44" s="561">
        <f t="shared" si="1"/>
        <v>0</v>
      </c>
      <c r="Q44" s="561">
        <f t="shared" si="2"/>
        <v>0</v>
      </c>
      <c r="R44" s="561">
        <f t="shared" si="3"/>
        <v>0</v>
      </c>
      <c r="S44" s="561">
        <f t="shared" si="4"/>
        <v>0</v>
      </c>
      <c r="T44" s="561">
        <f t="shared" si="5"/>
        <v>0</v>
      </c>
      <c r="U44" s="561">
        <f t="shared" si="6"/>
        <v>0</v>
      </c>
      <c r="V44" s="561">
        <f t="shared" si="7"/>
        <v>0</v>
      </c>
      <c r="W44" s="562">
        <f t="shared" si="8"/>
        <v>0</v>
      </c>
      <c r="X44" s="125"/>
      <c r="Y44" s="126"/>
      <c r="Z44" s="126"/>
      <c r="AA44" s="126"/>
      <c r="AB44" s="126"/>
      <c r="AC44" s="126"/>
      <c r="AD44" s="126"/>
      <c r="AE44" s="126"/>
      <c r="AF44" s="126"/>
      <c r="AG44" s="197"/>
      <c r="AH44" s="127">
        <f t="shared" si="22"/>
        <v>0</v>
      </c>
      <c r="AI44" s="128" t="str" cm="1">
        <f t="array" aca="1" ref="AI44" ca="1">IFERROR(IF($AJ$4="N",SSUM(AD44:AF44)/3,SUM(AE44:AG44)/3),"")</f>
        <v/>
      </c>
      <c r="AJ44" s="129">
        <f t="shared" si="23"/>
        <v>0</v>
      </c>
      <c r="AK44" s="91" t="str">
        <f t="shared" si="30"/>
        <v/>
      </c>
      <c r="AL44" s="92" t="str">
        <f t="shared" si="31"/>
        <v/>
      </c>
      <c r="AM44" s="92" t="str">
        <f t="shared" si="32"/>
        <v/>
      </c>
      <c r="AN44" s="92" t="str">
        <f t="shared" si="33"/>
        <v/>
      </c>
      <c r="AO44" s="92" t="str">
        <f t="shared" si="34"/>
        <v/>
      </c>
      <c r="AP44" s="92" t="str">
        <f t="shared" si="35"/>
        <v/>
      </c>
      <c r="AQ44" s="92" t="str">
        <f t="shared" si="36"/>
        <v/>
      </c>
      <c r="AR44" s="92" t="str">
        <f t="shared" si="37"/>
        <v/>
      </c>
      <c r="AS44" s="92" t="str">
        <f t="shared" si="38"/>
        <v/>
      </c>
      <c r="AT44" s="217" t="str">
        <f t="shared" si="39"/>
        <v/>
      </c>
      <c r="AU44" s="93" t="str">
        <f t="shared" si="24"/>
        <v/>
      </c>
      <c r="AV44" s="94" t="str">
        <f t="shared" si="25"/>
        <v/>
      </c>
      <c r="AW44" s="95" t="str">
        <f t="shared" si="26"/>
        <v/>
      </c>
      <c r="AX44" s="248" t="s">
        <v>422</v>
      </c>
      <c r="AY44" s="229" t="s">
        <v>433</v>
      </c>
      <c r="AZ44" s="249">
        <v>0</v>
      </c>
      <c r="BA44" s="267">
        <f t="shared" si="27"/>
        <v>0</v>
      </c>
      <c r="BB44" s="268">
        <f t="shared" si="40"/>
        <v>0</v>
      </c>
      <c r="BC44" s="268">
        <f t="shared" si="40"/>
        <v>0</v>
      </c>
      <c r="BD44" s="268">
        <f t="shared" si="40"/>
        <v>1</v>
      </c>
      <c r="BE44" s="268">
        <f t="shared" si="40"/>
        <v>2</v>
      </c>
      <c r="BF44" s="268">
        <f t="shared" si="40"/>
        <v>3</v>
      </c>
      <c r="BG44" s="268">
        <f t="shared" si="40"/>
        <v>4</v>
      </c>
      <c r="BH44" s="269">
        <f t="shared" si="40"/>
        <v>5</v>
      </c>
      <c r="BI44" s="256">
        <f>IF($AY44=Lookup!$A$2,$AZ44*ROUNDUP(BA44/10,0)+1,
IF($AY44=Lookup!$A$3,($AZ44+1)^AZ44,
IF($AY44=Lookup!$A$4,BA44*$AZ44+1,"Error")))</f>
        <v>1</v>
      </c>
      <c r="BJ44" s="229">
        <f>IF($AY44=Lookup!$A$2,$AZ44*ROUNDUP(BB44/10,0)+1,
IF($AY44=Lookup!$A$3,($AZ44+1)^BA44,
IF($AY44=Lookup!$A$4,BB44*$AZ44+1,"Error")))</f>
        <v>1</v>
      </c>
      <c r="BK44" s="229">
        <f>IF($AY44=Lookup!$A$2,$AZ44*ROUNDUP(BC44/10,0)+1,
IF($AY44=Lookup!$A$3,($AZ44+1)^BB44,
IF($AY44=Lookup!$A$4,BC44*$AZ44+1,"Error")))</f>
        <v>1</v>
      </c>
      <c r="BL44" s="229">
        <f>IF($AY44=Lookup!$A$2,$AZ44*ROUNDUP(BD44/10,0)+1,
IF($AY44=Lookup!$A$3,($AZ44+1)^BC44,
IF($AY44=Lookup!$A$4,BD44*$AZ44+1,"Error")))</f>
        <v>1</v>
      </c>
      <c r="BM44" s="229">
        <f>IF($AY44=Lookup!$A$2,$AZ44*ROUNDUP(BE44/10,0)+1,
IF($AY44=Lookup!$A$3,($AZ44+1)^BD44,
IF($AY44=Lookup!$A$4,BE44*$AZ44+1,"Error")))</f>
        <v>1</v>
      </c>
      <c r="BN44" s="229">
        <f>IF($AY44=Lookup!$A$2,$AZ44*ROUNDUP(BF44/10,0)+1,
IF($AY44=Lookup!$A$3,($AZ44+1)^BE44,
IF($AY44=Lookup!$A$4,BF44*$AZ44+1,"Error")))</f>
        <v>1</v>
      </c>
      <c r="BO44" s="229">
        <f>IF($AY44=Lookup!$A$2,$AZ44*ROUNDUP(BG44/10,0)+1,
IF($AY44=Lookup!$A$3,($AZ44+1)^BF44,
IF($AY44=Lookup!$A$4,BG44*$AZ44+1,"Error")))</f>
        <v>1</v>
      </c>
      <c r="BP44" s="249">
        <f>IF($AY44=Lookup!$A$2,$AZ44*ROUNDUP(BH44/10,0)+1,
IF($AY44=Lookup!$A$3,($AZ44+1)^BG44,
IF($AY44=Lookup!$A$4,BH44*$AZ44+1,"Error")))</f>
        <v>1</v>
      </c>
      <c r="BQ44" s="398"/>
      <c r="BR44" s="356"/>
      <c r="BS44" s="356"/>
      <c r="BT44" s="356"/>
      <c r="BU44" s="356"/>
      <c r="BV44" s="356"/>
      <c r="BW44" s="356"/>
      <c r="BX44" s="399"/>
      <c r="BY44" s="382" t="s">
        <v>292</v>
      </c>
      <c r="BZ44" s="383">
        <f>HLOOKUP($BY44,$AH$6:$AJ$132,ROWS(BZ$6:BZ44),0)</f>
        <v>0</v>
      </c>
      <c r="CA44" s="362">
        <f t="shared" si="28"/>
        <v>0</v>
      </c>
      <c r="CB44" s="363">
        <f t="shared" si="28"/>
        <v>0</v>
      </c>
      <c r="CC44" s="363">
        <f t="shared" si="28"/>
        <v>0</v>
      </c>
      <c r="CD44" s="363">
        <f t="shared" si="28"/>
        <v>0</v>
      </c>
      <c r="CE44" s="363">
        <f t="shared" si="41"/>
        <v>0</v>
      </c>
      <c r="CF44" s="363">
        <f t="shared" si="41"/>
        <v>0</v>
      </c>
      <c r="CG44" s="363">
        <f t="shared" si="41"/>
        <v>0</v>
      </c>
      <c r="CH44" s="364">
        <f t="shared" si="41"/>
        <v>0</v>
      </c>
      <c r="CI44" s="305" t="s">
        <v>293</v>
      </c>
      <c r="CJ44" s="315">
        <v>0.05</v>
      </c>
      <c r="CK44" s="306"/>
      <c r="CL44" s="307" t="str">
        <f>IF($CK44&lt;&gt;"",$CK44,HLOOKUP($CI44,$AU$6:$AW$132,ROWS(CL$6:CL44),0))</f>
        <v/>
      </c>
      <c r="CM44" s="97"/>
      <c r="CN44" s="97"/>
      <c r="CO44" s="97"/>
      <c r="CP44" s="97"/>
      <c r="CQ44" s="97"/>
      <c r="CR44" s="97"/>
      <c r="CS44" s="97"/>
      <c r="CT44" s="98"/>
      <c r="CU44" s="392"/>
    </row>
    <row r="45" spans="1:99" x14ac:dyDescent="0.25">
      <c r="A45" s="81" t="s">
        <v>94</v>
      </c>
      <c r="B45" s="82" t="s">
        <v>96</v>
      </c>
      <c r="C45" s="83" t="s">
        <v>72</v>
      </c>
      <c r="D45" s="84"/>
      <c r="E45" s="85"/>
      <c r="F45" s="85"/>
      <c r="G45" s="85"/>
      <c r="H45" s="85"/>
      <c r="I45" s="85"/>
      <c r="J45" s="85"/>
      <c r="K45" s="85"/>
      <c r="L45" s="85"/>
      <c r="M45" s="201"/>
      <c r="N45" s="560">
        <f t="shared" si="21"/>
        <v>0</v>
      </c>
      <c r="O45" s="561">
        <f t="shared" si="0"/>
        <v>0</v>
      </c>
      <c r="P45" s="561">
        <f t="shared" si="1"/>
        <v>0</v>
      </c>
      <c r="Q45" s="561">
        <f t="shared" si="2"/>
        <v>0</v>
      </c>
      <c r="R45" s="561">
        <f t="shared" si="3"/>
        <v>0</v>
      </c>
      <c r="S45" s="561">
        <f t="shared" si="4"/>
        <v>0</v>
      </c>
      <c r="T45" s="561">
        <f t="shared" si="5"/>
        <v>0</v>
      </c>
      <c r="U45" s="561">
        <f t="shared" si="6"/>
        <v>0</v>
      </c>
      <c r="V45" s="561">
        <f t="shared" si="7"/>
        <v>0</v>
      </c>
      <c r="W45" s="562">
        <f t="shared" si="8"/>
        <v>0</v>
      </c>
      <c r="X45" s="125"/>
      <c r="Y45" s="126"/>
      <c r="Z45" s="126"/>
      <c r="AA45" s="126"/>
      <c r="AB45" s="126"/>
      <c r="AC45" s="126"/>
      <c r="AD45" s="126"/>
      <c r="AE45" s="126"/>
      <c r="AF45" s="126"/>
      <c r="AG45" s="197"/>
      <c r="AH45" s="127">
        <f t="shared" si="22"/>
        <v>0</v>
      </c>
      <c r="AI45" s="128" t="str" cm="1">
        <f t="array" aca="1" ref="AI45" ca="1">IFERROR(IF($AJ$4="N",SSUM(AD45:AF45)/3,SUM(AE45:AG45)/3),"")</f>
        <v/>
      </c>
      <c r="AJ45" s="129">
        <f t="shared" si="23"/>
        <v>0</v>
      </c>
      <c r="AK45" s="91" t="str">
        <f t="shared" si="30"/>
        <v/>
      </c>
      <c r="AL45" s="92" t="str">
        <f t="shared" si="31"/>
        <v/>
      </c>
      <c r="AM45" s="92" t="str">
        <f t="shared" si="32"/>
        <v/>
      </c>
      <c r="AN45" s="92" t="str">
        <f t="shared" si="33"/>
        <v/>
      </c>
      <c r="AO45" s="92" t="str">
        <f t="shared" si="34"/>
        <v/>
      </c>
      <c r="AP45" s="92" t="str">
        <f t="shared" si="35"/>
        <v/>
      </c>
      <c r="AQ45" s="92" t="str">
        <f t="shared" si="36"/>
        <v/>
      </c>
      <c r="AR45" s="92" t="str">
        <f t="shared" si="37"/>
        <v/>
      </c>
      <c r="AS45" s="92" t="str">
        <f t="shared" si="38"/>
        <v/>
      </c>
      <c r="AT45" s="217" t="str">
        <f t="shared" si="39"/>
        <v/>
      </c>
      <c r="AU45" s="93" t="str">
        <f t="shared" si="24"/>
        <v/>
      </c>
      <c r="AV45" s="94" t="str">
        <f t="shared" si="25"/>
        <v/>
      </c>
      <c r="AW45" s="95" t="str">
        <f t="shared" si="26"/>
        <v/>
      </c>
      <c r="AX45" s="248" t="s">
        <v>422</v>
      </c>
      <c r="AY45" s="229" t="s">
        <v>433</v>
      </c>
      <c r="AZ45" s="249">
        <v>0</v>
      </c>
      <c r="BA45" s="267">
        <f t="shared" si="27"/>
        <v>0</v>
      </c>
      <c r="BB45" s="268">
        <f t="shared" si="40"/>
        <v>0</v>
      </c>
      <c r="BC45" s="268">
        <f t="shared" si="40"/>
        <v>0</v>
      </c>
      <c r="BD45" s="268">
        <f t="shared" si="40"/>
        <v>1</v>
      </c>
      <c r="BE45" s="268">
        <f t="shared" si="40"/>
        <v>2</v>
      </c>
      <c r="BF45" s="268">
        <f t="shared" si="40"/>
        <v>3</v>
      </c>
      <c r="BG45" s="268">
        <f t="shared" si="40"/>
        <v>4</v>
      </c>
      <c r="BH45" s="269">
        <f t="shared" si="40"/>
        <v>5</v>
      </c>
      <c r="BI45" s="256">
        <f>IF($AY45=Lookup!$A$2,$AZ45*ROUNDUP(BA45/10,0)+1,
IF($AY45=Lookup!$A$3,($AZ45+1)^AZ45,
IF($AY45=Lookup!$A$4,BA45*$AZ45+1,"Error")))</f>
        <v>1</v>
      </c>
      <c r="BJ45" s="229">
        <f>IF($AY45=Lookup!$A$2,$AZ45*ROUNDUP(BB45/10,0)+1,
IF($AY45=Lookup!$A$3,($AZ45+1)^BA45,
IF($AY45=Lookup!$A$4,BB45*$AZ45+1,"Error")))</f>
        <v>1</v>
      </c>
      <c r="BK45" s="229">
        <f>IF($AY45=Lookup!$A$2,$AZ45*ROUNDUP(BC45/10,0)+1,
IF($AY45=Lookup!$A$3,($AZ45+1)^BB45,
IF($AY45=Lookup!$A$4,BC45*$AZ45+1,"Error")))</f>
        <v>1</v>
      </c>
      <c r="BL45" s="229">
        <f>IF($AY45=Lookup!$A$2,$AZ45*ROUNDUP(BD45/10,0)+1,
IF($AY45=Lookup!$A$3,($AZ45+1)^BC45,
IF($AY45=Lookup!$A$4,BD45*$AZ45+1,"Error")))</f>
        <v>1</v>
      </c>
      <c r="BM45" s="229">
        <f>IF($AY45=Lookup!$A$2,$AZ45*ROUNDUP(BE45/10,0)+1,
IF($AY45=Lookup!$A$3,($AZ45+1)^BD45,
IF($AY45=Lookup!$A$4,BE45*$AZ45+1,"Error")))</f>
        <v>1</v>
      </c>
      <c r="BN45" s="229">
        <f>IF($AY45=Lookup!$A$2,$AZ45*ROUNDUP(BF45/10,0)+1,
IF($AY45=Lookup!$A$3,($AZ45+1)^BE45,
IF($AY45=Lookup!$A$4,BF45*$AZ45+1,"Error")))</f>
        <v>1</v>
      </c>
      <c r="BO45" s="229">
        <f>IF($AY45=Lookup!$A$2,$AZ45*ROUNDUP(BG45/10,0)+1,
IF($AY45=Lookup!$A$3,($AZ45+1)^BF45,
IF($AY45=Lookup!$A$4,BG45*$AZ45+1,"Error")))</f>
        <v>1</v>
      </c>
      <c r="BP45" s="249">
        <f>IF($AY45=Lookup!$A$2,$AZ45*ROUNDUP(BH45/10,0)+1,
IF($AY45=Lookup!$A$3,($AZ45+1)^BG45,
IF($AY45=Lookup!$A$4,BH45*$AZ45+1,"Error")))</f>
        <v>1</v>
      </c>
      <c r="BQ45" s="398"/>
      <c r="BR45" s="356"/>
      <c r="BS45" s="356"/>
      <c r="BT45" s="356"/>
      <c r="BU45" s="356"/>
      <c r="BV45" s="356"/>
      <c r="BW45" s="356"/>
      <c r="BX45" s="399"/>
      <c r="BY45" s="382" t="s">
        <v>292</v>
      </c>
      <c r="BZ45" s="383">
        <f>HLOOKUP($BY45,$AH$6:$AJ$132,ROWS(BZ$6:BZ45),0)</f>
        <v>0</v>
      </c>
      <c r="CA45" s="362">
        <f t="shared" si="28"/>
        <v>0</v>
      </c>
      <c r="CB45" s="363">
        <f t="shared" si="28"/>
        <v>0</v>
      </c>
      <c r="CC45" s="363">
        <f t="shared" si="28"/>
        <v>0</v>
      </c>
      <c r="CD45" s="363">
        <f t="shared" si="28"/>
        <v>0</v>
      </c>
      <c r="CE45" s="363">
        <f t="shared" si="41"/>
        <v>0</v>
      </c>
      <c r="CF45" s="363">
        <f t="shared" si="41"/>
        <v>0</v>
      </c>
      <c r="CG45" s="363">
        <f t="shared" si="41"/>
        <v>0</v>
      </c>
      <c r="CH45" s="364">
        <f t="shared" si="41"/>
        <v>0</v>
      </c>
      <c r="CI45" s="305" t="s">
        <v>293</v>
      </c>
      <c r="CJ45" s="315">
        <v>0.05</v>
      </c>
      <c r="CK45" s="306"/>
      <c r="CL45" s="307" t="str">
        <f>IF($CK45&lt;&gt;"",$CK45,HLOOKUP($CI45,$AU$6:$AW$132,ROWS(CL$6:CL45),0))</f>
        <v/>
      </c>
      <c r="CM45" s="97"/>
      <c r="CN45" s="97"/>
      <c r="CO45" s="97"/>
      <c r="CP45" s="97"/>
      <c r="CQ45" s="97"/>
      <c r="CR45" s="97"/>
      <c r="CS45" s="97"/>
      <c r="CT45" s="98"/>
      <c r="CU45" s="392"/>
    </row>
    <row r="46" spans="1:99" x14ac:dyDescent="0.25">
      <c r="A46" s="81" t="s">
        <v>94</v>
      </c>
      <c r="B46" s="82" t="s">
        <v>97</v>
      </c>
      <c r="C46" s="83" t="s">
        <v>98</v>
      </c>
      <c r="D46" s="84"/>
      <c r="E46" s="85"/>
      <c r="F46" s="85"/>
      <c r="G46" s="85"/>
      <c r="H46" s="85"/>
      <c r="I46" s="85"/>
      <c r="J46" s="85"/>
      <c r="K46" s="85"/>
      <c r="L46" s="85"/>
      <c r="M46" s="201"/>
      <c r="N46" s="560">
        <f t="shared" si="21"/>
        <v>0</v>
      </c>
      <c r="O46" s="561">
        <f t="shared" si="0"/>
        <v>0</v>
      </c>
      <c r="P46" s="561">
        <f t="shared" si="1"/>
        <v>0</v>
      </c>
      <c r="Q46" s="561">
        <f t="shared" si="2"/>
        <v>0</v>
      </c>
      <c r="R46" s="561">
        <f t="shared" si="3"/>
        <v>0</v>
      </c>
      <c r="S46" s="561">
        <f t="shared" si="4"/>
        <v>0</v>
      </c>
      <c r="T46" s="561">
        <f t="shared" si="5"/>
        <v>0</v>
      </c>
      <c r="U46" s="561">
        <f t="shared" si="6"/>
        <v>0</v>
      </c>
      <c r="V46" s="561">
        <f t="shared" si="7"/>
        <v>0</v>
      </c>
      <c r="W46" s="562">
        <f t="shared" si="8"/>
        <v>0</v>
      </c>
      <c r="X46" s="125"/>
      <c r="Y46" s="126"/>
      <c r="Z46" s="126"/>
      <c r="AA46" s="126"/>
      <c r="AB46" s="126"/>
      <c r="AC46" s="126"/>
      <c r="AD46" s="126"/>
      <c r="AE46" s="126"/>
      <c r="AF46" s="126"/>
      <c r="AG46" s="197"/>
      <c r="AH46" s="127">
        <f t="shared" si="22"/>
        <v>0</v>
      </c>
      <c r="AI46" s="128" t="str" cm="1">
        <f t="array" aca="1" ref="AI46" ca="1">IFERROR(IF($AJ$4="N",SSUM(AD46:AF46)/3,SUM(AE46:AG46)/3),"")</f>
        <v/>
      </c>
      <c r="AJ46" s="129">
        <f t="shared" si="23"/>
        <v>0</v>
      </c>
      <c r="AK46" s="91" t="str">
        <f t="shared" si="30"/>
        <v/>
      </c>
      <c r="AL46" s="92" t="str">
        <f t="shared" si="31"/>
        <v/>
      </c>
      <c r="AM46" s="92" t="str">
        <f t="shared" si="32"/>
        <v/>
      </c>
      <c r="AN46" s="92" t="str">
        <f t="shared" si="33"/>
        <v/>
      </c>
      <c r="AO46" s="92" t="str">
        <f t="shared" si="34"/>
        <v/>
      </c>
      <c r="AP46" s="92" t="str">
        <f t="shared" si="35"/>
        <v/>
      </c>
      <c r="AQ46" s="92" t="str">
        <f t="shared" si="36"/>
        <v/>
      </c>
      <c r="AR46" s="92" t="str">
        <f t="shared" si="37"/>
        <v/>
      </c>
      <c r="AS46" s="92" t="str">
        <f t="shared" si="38"/>
        <v/>
      </c>
      <c r="AT46" s="217" t="str">
        <f t="shared" si="39"/>
        <v/>
      </c>
      <c r="AU46" s="93" t="str">
        <f t="shared" si="24"/>
        <v/>
      </c>
      <c r="AV46" s="94" t="str">
        <f t="shared" si="25"/>
        <v/>
      </c>
      <c r="AW46" s="95" t="str">
        <f t="shared" si="26"/>
        <v/>
      </c>
      <c r="AX46" s="248" t="s">
        <v>422</v>
      </c>
      <c r="AY46" s="229" t="s">
        <v>433</v>
      </c>
      <c r="AZ46" s="249">
        <v>0</v>
      </c>
      <c r="BA46" s="267">
        <f t="shared" si="27"/>
        <v>0</v>
      </c>
      <c r="BB46" s="268">
        <f t="shared" si="40"/>
        <v>0</v>
      </c>
      <c r="BC46" s="268">
        <f t="shared" si="40"/>
        <v>0</v>
      </c>
      <c r="BD46" s="268">
        <f t="shared" si="40"/>
        <v>1</v>
      </c>
      <c r="BE46" s="268">
        <f t="shared" si="40"/>
        <v>2</v>
      </c>
      <c r="BF46" s="268">
        <f t="shared" si="40"/>
        <v>3</v>
      </c>
      <c r="BG46" s="268">
        <f t="shared" si="40"/>
        <v>4</v>
      </c>
      <c r="BH46" s="269">
        <f t="shared" si="40"/>
        <v>5</v>
      </c>
      <c r="BI46" s="256">
        <f>IF($AY46=Lookup!$A$2,$AZ46*ROUNDUP(BA46/10,0)+1,
IF($AY46=Lookup!$A$3,($AZ46+1)^AZ46,
IF($AY46=Lookup!$A$4,BA46*$AZ46+1,"Error")))</f>
        <v>1</v>
      </c>
      <c r="BJ46" s="229">
        <f>IF($AY46=Lookup!$A$2,$AZ46*ROUNDUP(BB46/10,0)+1,
IF($AY46=Lookup!$A$3,($AZ46+1)^BA46,
IF($AY46=Lookup!$A$4,BB46*$AZ46+1,"Error")))</f>
        <v>1</v>
      </c>
      <c r="BK46" s="229">
        <f>IF($AY46=Lookup!$A$2,$AZ46*ROUNDUP(BC46/10,0)+1,
IF($AY46=Lookup!$A$3,($AZ46+1)^BB46,
IF($AY46=Lookup!$A$4,BC46*$AZ46+1,"Error")))</f>
        <v>1</v>
      </c>
      <c r="BL46" s="229">
        <f>IF($AY46=Lookup!$A$2,$AZ46*ROUNDUP(BD46/10,0)+1,
IF($AY46=Lookup!$A$3,($AZ46+1)^BC46,
IF($AY46=Lookup!$A$4,BD46*$AZ46+1,"Error")))</f>
        <v>1</v>
      </c>
      <c r="BM46" s="229">
        <f>IF($AY46=Lookup!$A$2,$AZ46*ROUNDUP(BE46/10,0)+1,
IF($AY46=Lookup!$A$3,($AZ46+1)^BD46,
IF($AY46=Lookup!$A$4,BE46*$AZ46+1,"Error")))</f>
        <v>1</v>
      </c>
      <c r="BN46" s="229">
        <f>IF($AY46=Lookup!$A$2,$AZ46*ROUNDUP(BF46/10,0)+1,
IF($AY46=Lookup!$A$3,($AZ46+1)^BE46,
IF($AY46=Lookup!$A$4,BF46*$AZ46+1,"Error")))</f>
        <v>1</v>
      </c>
      <c r="BO46" s="229">
        <f>IF($AY46=Lookup!$A$2,$AZ46*ROUNDUP(BG46/10,0)+1,
IF($AY46=Lookup!$A$3,($AZ46+1)^BF46,
IF($AY46=Lookup!$A$4,BG46*$AZ46+1,"Error")))</f>
        <v>1</v>
      </c>
      <c r="BP46" s="249">
        <f>IF($AY46=Lookup!$A$2,$AZ46*ROUNDUP(BH46/10,0)+1,
IF($AY46=Lookup!$A$3,($AZ46+1)^BG46,
IF($AY46=Lookup!$A$4,BH46*$AZ46+1,"Error")))</f>
        <v>1</v>
      </c>
      <c r="BQ46" s="398"/>
      <c r="BR46" s="356"/>
      <c r="BS46" s="356"/>
      <c r="BT46" s="356"/>
      <c r="BU46" s="356"/>
      <c r="BV46" s="356"/>
      <c r="BW46" s="356"/>
      <c r="BX46" s="399"/>
      <c r="BY46" s="382" t="s">
        <v>292</v>
      </c>
      <c r="BZ46" s="383">
        <f>HLOOKUP($BY46,$AH$6:$AJ$132,ROWS(BZ$6:BZ46),0)</f>
        <v>0</v>
      </c>
      <c r="CA46" s="362">
        <f t="shared" si="28"/>
        <v>0</v>
      </c>
      <c r="CB46" s="363">
        <f t="shared" si="28"/>
        <v>0</v>
      </c>
      <c r="CC46" s="363">
        <f t="shared" si="28"/>
        <v>0</v>
      </c>
      <c r="CD46" s="363">
        <f t="shared" si="28"/>
        <v>0</v>
      </c>
      <c r="CE46" s="363">
        <f t="shared" si="41"/>
        <v>0</v>
      </c>
      <c r="CF46" s="363">
        <f t="shared" si="41"/>
        <v>0</v>
      </c>
      <c r="CG46" s="363">
        <f t="shared" si="41"/>
        <v>0</v>
      </c>
      <c r="CH46" s="364">
        <f t="shared" si="41"/>
        <v>0</v>
      </c>
      <c r="CI46" s="305" t="s">
        <v>293</v>
      </c>
      <c r="CJ46" s="315">
        <v>0.05</v>
      </c>
      <c r="CK46" s="306"/>
      <c r="CL46" s="307" t="str">
        <f>IF($CK46&lt;&gt;"",$CK46,HLOOKUP($CI46,$AU$6:$AW$132,ROWS(CL$6:CL46),0))</f>
        <v/>
      </c>
      <c r="CM46" s="97"/>
      <c r="CN46" s="97"/>
      <c r="CO46" s="97"/>
      <c r="CP46" s="97"/>
      <c r="CQ46" s="97"/>
      <c r="CR46" s="97"/>
      <c r="CS46" s="97"/>
      <c r="CT46" s="98"/>
      <c r="CU46" s="392"/>
    </row>
    <row r="47" spans="1:99" x14ac:dyDescent="0.25">
      <c r="A47" s="81" t="s">
        <v>94</v>
      </c>
      <c r="B47" s="82" t="s">
        <v>99</v>
      </c>
      <c r="C47" s="83" t="s">
        <v>100</v>
      </c>
      <c r="D47" s="84"/>
      <c r="E47" s="85"/>
      <c r="F47" s="85"/>
      <c r="G47" s="85"/>
      <c r="H47" s="85"/>
      <c r="I47" s="85"/>
      <c r="J47" s="85"/>
      <c r="K47" s="85"/>
      <c r="L47" s="85"/>
      <c r="M47" s="201"/>
      <c r="N47" s="560">
        <f t="shared" si="21"/>
        <v>0</v>
      </c>
      <c r="O47" s="561">
        <f t="shared" si="0"/>
        <v>0</v>
      </c>
      <c r="P47" s="561">
        <f t="shared" si="1"/>
        <v>0</v>
      </c>
      <c r="Q47" s="561">
        <f t="shared" si="2"/>
        <v>0</v>
      </c>
      <c r="R47" s="561">
        <f t="shared" si="3"/>
        <v>0</v>
      </c>
      <c r="S47" s="561">
        <f t="shared" si="4"/>
        <v>0</v>
      </c>
      <c r="T47" s="561">
        <f t="shared" si="5"/>
        <v>0</v>
      </c>
      <c r="U47" s="561">
        <f t="shared" si="6"/>
        <v>0</v>
      </c>
      <c r="V47" s="561">
        <f t="shared" si="7"/>
        <v>0</v>
      </c>
      <c r="W47" s="562">
        <f t="shared" si="8"/>
        <v>0</v>
      </c>
      <c r="X47" s="125"/>
      <c r="Y47" s="126"/>
      <c r="Z47" s="126"/>
      <c r="AA47" s="126"/>
      <c r="AB47" s="126"/>
      <c r="AC47" s="126"/>
      <c r="AD47" s="126"/>
      <c r="AE47" s="126"/>
      <c r="AF47" s="126"/>
      <c r="AG47" s="197"/>
      <c r="AH47" s="127">
        <f t="shared" si="22"/>
        <v>0</v>
      </c>
      <c r="AI47" s="128" t="str" cm="1">
        <f t="array" aca="1" ref="AI47" ca="1">IFERROR(IF($AJ$4="N",SSUM(AD47:AF47)/3,SUM(AE47:AG47)/3),"")</f>
        <v/>
      </c>
      <c r="AJ47" s="129">
        <f t="shared" si="23"/>
        <v>0</v>
      </c>
      <c r="AK47" s="91" t="str">
        <f t="shared" si="30"/>
        <v/>
      </c>
      <c r="AL47" s="92" t="str">
        <f t="shared" si="31"/>
        <v/>
      </c>
      <c r="AM47" s="92" t="str">
        <f t="shared" si="32"/>
        <v/>
      </c>
      <c r="AN47" s="92" t="str">
        <f t="shared" si="33"/>
        <v/>
      </c>
      <c r="AO47" s="92" t="str">
        <f t="shared" si="34"/>
        <v/>
      </c>
      <c r="AP47" s="92" t="str">
        <f t="shared" si="35"/>
        <v/>
      </c>
      <c r="AQ47" s="92" t="str">
        <f t="shared" si="36"/>
        <v/>
      </c>
      <c r="AR47" s="92" t="str">
        <f t="shared" si="37"/>
        <v/>
      </c>
      <c r="AS47" s="92" t="str">
        <f t="shared" si="38"/>
        <v/>
      </c>
      <c r="AT47" s="217" t="str">
        <f t="shared" si="39"/>
        <v/>
      </c>
      <c r="AU47" s="93" t="str">
        <f t="shared" si="24"/>
        <v/>
      </c>
      <c r="AV47" s="94" t="str">
        <f t="shared" si="25"/>
        <v/>
      </c>
      <c r="AW47" s="95" t="str">
        <f t="shared" si="26"/>
        <v/>
      </c>
      <c r="AX47" s="248" t="s">
        <v>422</v>
      </c>
      <c r="AY47" s="229" t="s">
        <v>433</v>
      </c>
      <c r="AZ47" s="249">
        <v>0</v>
      </c>
      <c r="BA47" s="267">
        <f t="shared" si="27"/>
        <v>0</v>
      </c>
      <c r="BB47" s="268">
        <f t="shared" si="40"/>
        <v>0</v>
      </c>
      <c r="BC47" s="268">
        <f t="shared" si="40"/>
        <v>0</v>
      </c>
      <c r="BD47" s="268">
        <f t="shared" si="40"/>
        <v>1</v>
      </c>
      <c r="BE47" s="268">
        <f t="shared" si="40"/>
        <v>2</v>
      </c>
      <c r="BF47" s="268">
        <f t="shared" si="40"/>
        <v>3</v>
      </c>
      <c r="BG47" s="268">
        <f t="shared" si="40"/>
        <v>4</v>
      </c>
      <c r="BH47" s="269">
        <f t="shared" si="40"/>
        <v>5</v>
      </c>
      <c r="BI47" s="256">
        <f>IF($AY47=Lookup!$A$2,$AZ47*ROUNDUP(BA47/10,0)+1,
IF($AY47=Lookup!$A$3,($AZ47+1)^AZ47,
IF($AY47=Lookup!$A$4,BA47*$AZ47+1,"Error")))</f>
        <v>1</v>
      </c>
      <c r="BJ47" s="229">
        <f>IF($AY47=Lookup!$A$2,$AZ47*ROUNDUP(BB47/10,0)+1,
IF($AY47=Lookup!$A$3,($AZ47+1)^BA47,
IF($AY47=Lookup!$A$4,BB47*$AZ47+1,"Error")))</f>
        <v>1</v>
      </c>
      <c r="BK47" s="229">
        <f>IF($AY47=Lookup!$A$2,$AZ47*ROUNDUP(BC47/10,0)+1,
IF($AY47=Lookup!$A$3,($AZ47+1)^BB47,
IF($AY47=Lookup!$A$4,BC47*$AZ47+1,"Error")))</f>
        <v>1</v>
      </c>
      <c r="BL47" s="229">
        <f>IF($AY47=Lookup!$A$2,$AZ47*ROUNDUP(BD47/10,0)+1,
IF($AY47=Lookup!$A$3,($AZ47+1)^BC47,
IF($AY47=Lookup!$A$4,BD47*$AZ47+1,"Error")))</f>
        <v>1</v>
      </c>
      <c r="BM47" s="229">
        <f>IF($AY47=Lookup!$A$2,$AZ47*ROUNDUP(BE47/10,0)+1,
IF($AY47=Lookup!$A$3,($AZ47+1)^BD47,
IF($AY47=Lookup!$A$4,BE47*$AZ47+1,"Error")))</f>
        <v>1</v>
      </c>
      <c r="BN47" s="229">
        <f>IF($AY47=Lookup!$A$2,$AZ47*ROUNDUP(BF47/10,0)+1,
IF($AY47=Lookup!$A$3,($AZ47+1)^BE47,
IF($AY47=Lookup!$A$4,BF47*$AZ47+1,"Error")))</f>
        <v>1</v>
      </c>
      <c r="BO47" s="229">
        <f>IF($AY47=Lookup!$A$2,$AZ47*ROUNDUP(BG47/10,0)+1,
IF($AY47=Lookup!$A$3,($AZ47+1)^BF47,
IF($AY47=Lookup!$A$4,BG47*$AZ47+1,"Error")))</f>
        <v>1</v>
      </c>
      <c r="BP47" s="249">
        <f>IF($AY47=Lookup!$A$2,$AZ47*ROUNDUP(BH47/10,0)+1,
IF($AY47=Lookup!$A$3,($AZ47+1)^BG47,
IF($AY47=Lookup!$A$4,BH47*$AZ47+1,"Error")))</f>
        <v>1</v>
      </c>
      <c r="BQ47" s="398"/>
      <c r="BR47" s="356"/>
      <c r="BS47" s="356"/>
      <c r="BT47" s="356"/>
      <c r="BU47" s="356"/>
      <c r="BV47" s="356"/>
      <c r="BW47" s="356"/>
      <c r="BX47" s="399"/>
      <c r="BY47" s="382" t="s">
        <v>292</v>
      </c>
      <c r="BZ47" s="383">
        <f>HLOOKUP($BY47,$AH$6:$AJ$132,ROWS(BZ$6:BZ47),0)</f>
        <v>0</v>
      </c>
      <c r="CA47" s="362">
        <f t="shared" si="28"/>
        <v>0</v>
      </c>
      <c r="CB47" s="363">
        <f t="shared" si="28"/>
        <v>0</v>
      </c>
      <c r="CC47" s="363">
        <f t="shared" si="28"/>
        <v>0</v>
      </c>
      <c r="CD47" s="363">
        <f t="shared" si="28"/>
        <v>0</v>
      </c>
      <c r="CE47" s="363">
        <f t="shared" si="41"/>
        <v>0</v>
      </c>
      <c r="CF47" s="363">
        <f t="shared" si="41"/>
        <v>0</v>
      </c>
      <c r="CG47" s="363">
        <f t="shared" si="41"/>
        <v>0</v>
      </c>
      <c r="CH47" s="364">
        <f t="shared" si="41"/>
        <v>0</v>
      </c>
      <c r="CI47" s="305" t="s">
        <v>293</v>
      </c>
      <c r="CJ47" s="315">
        <v>0.05</v>
      </c>
      <c r="CK47" s="306"/>
      <c r="CL47" s="307" t="str">
        <f>IF($CK47&lt;&gt;"",$CK47,HLOOKUP($CI47,$AU$6:$AW$132,ROWS(CL$6:CL47),0))</f>
        <v/>
      </c>
      <c r="CM47" s="97"/>
      <c r="CN47" s="97"/>
      <c r="CO47" s="97"/>
      <c r="CP47" s="97"/>
      <c r="CQ47" s="97"/>
      <c r="CR47" s="97"/>
      <c r="CS47" s="97"/>
      <c r="CT47" s="98"/>
      <c r="CU47" s="392"/>
    </row>
    <row r="48" spans="1:99" x14ac:dyDescent="0.25">
      <c r="A48" s="81" t="s">
        <v>94</v>
      </c>
      <c r="B48" s="82" t="s">
        <v>101</v>
      </c>
      <c r="C48" s="83" t="s">
        <v>76</v>
      </c>
      <c r="D48" s="84"/>
      <c r="E48" s="85"/>
      <c r="F48" s="85"/>
      <c r="G48" s="85"/>
      <c r="H48" s="85"/>
      <c r="I48" s="85"/>
      <c r="J48" s="85"/>
      <c r="K48" s="85"/>
      <c r="L48" s="85"/>
      <c r="M48" s="201"/>
      <c r="N48" s="560">
        <f t="shared" si="21"/>
        <v>0</v>
      </c>
      <c r="O48" s="561">
        <f t="shared" si="0"/>
        <v>0</v>
      </c>
      <c r="P48" s="561">
        <f t="shared" si="1"/>
        <v>0</v>
      </c>
      <c r="Q48" s="561">
        <f t="shared" si="2"/>
        <v>0</v>
      </c>
      <c r="R48" s="561">
        <f t="shared" si="3"/>
        <v>0</v>
      </c>
      <c r="S48" s="561">
        <f t="shared" si="4"/>
        <v>0</v>
      </c>
      <c r="T48" s="561">
        <f t="shared" si="5"/>
        <v>0</v>
      </c>
      <c r="U48" s="561">
        <f t="shared" si="6"/>
        <v>0</v>
      </c>
      <c r="V48" s="561">
        <f t="shared" si="7"/>
        <v>0</v>
      </c>
      <c r="W48" s="562">
        <f t="shared" si="8"/>
        <v>0</v>
      </c>
      <c r="X48" s="125"/>
      <c r="Y48" s="126"/>
      <c r="Z48" s="126"/>
      <c r="AA48" s="126"/>
      <c r="AB48" s="126"/>
      <c r="AC48" s="126"/>
      <c r="AD48" s="126"/>
      <c r="AE48" s="126"/>
      <c r="AF48" s="126"/>
      <c r="AG48" s="197"/>
      <c r="AH48" s="127">
        <f t="shared" si="22"/>
        <v>0</v>
      </c>
      <c r="AI48" s="128" t="str" cm="1">
        <f t="array" aca="1" ref="AI48" ca="1">IFERROR(IF($AJ$4="N",SSUM(AD48:AF48)/3,SUM(AE48:AG48)/3),"")</f>
        <v/>
      </c>
      <c r="AJ48" s="129">
        <f t="shared" si="23"/>
        <v>0</v>
      </c>
      <c r="AK48" s="91" t="str">
        <f t="shared" si="30"/>
        <v/>
      </c>
      <c r="AL48" s="92" t="str">
        <f t="shared" si="31"/>
        <v/>
      </c>
      <c r="AM48" s="92" t="str">
        <f t="shared" si="32"/>
        <v/>
      </c>
      <c r="AN48" s="92" t="str">
        <f t="shared" si="33"/>
        <v/>
      </c>
      <c r="AO48" s="92" t="str">
        <f t="shared" si="34"/>
        <v/>
      </c>
      <c r="AP48" s="92" t="str">
        <f t="shared" si="35"/>
        <v/>
      </c>
      <c r="AQ48" s="92" t="str">
        <f t="shared" si="36"/>
        <v/>
      </c>
      <c r="AR48" s="92" t="str">
        <f t="shared" si="37"/>
        <v/>
      </c>
      <c r="AS48" s="92" t="str">
        <f t="shared" si="38"/>
        <v/>
      </c>
      <c r="AT48" s="217" t="str">
        <f t="shared" si="39"/>
        <v/>
      </c>
      <c r="AU48" s="93" t="str">
        <f t="shared" si="24"/>
        <v/>
      </c>
      <c r="AV48" s="94" t="str">
        <f t="shared" si="25"/>
        <v/>
      </c>
      <c r="AW48" s="95" t="str">
        <f t="shared" si="26"/>
        <v/>
      </c>
      <c r="AX48" s="248" t="s">
        <v>422</v>
      </c>
      <c r="AY48" s="229" t="s">
        <v>433</v>
      </c>
      <c r="AZ48" s="249">
        <v>0</v>
      </c>
      <c r="BA48" s="267">
        <f t="shared" si="27"/>
        <v>0</v>
      </c>
      <c r="BB48" s="268">
        <f t="shared" si="40"/>
        <v>0</v>
      </c>
      <c r="BC48" s="268">
        <f t="shared" si="40"/>
        <v>0</v>
      </c>
      <c r="BD48" s="268">
        <f t="shared" si="40"/>
        <v>1</v>
      </c>
      <c r="BE48" s="268">
        <f t="shared" si="40"/>
        <v>2</v>
      </c>
      <c r="BF48" s="268">
        <f t="shared" si="40"/>
        <v>3</v>
      </c>
      <c r="BG48" s="268">
        <f t="shared" si="40"/>
        <v>4</v>
      </c>
      <c r="BH48" s="269">
        <f t="shared" si="40"/>
        <v>5</v>
      </c>
      <c r="BI48" s="256">
        <f>IF($AY48=Lookup!$A$2,$AZ48*ROUNDUP(BA48/10,0)+1,
IF($AY48=Lookup!$A$3,($AZ48+1)^AZ48,
IF($AY48=Lookup!$A$4,BA48*$AZ48+1,"Error")))</f>
        <v>1</v>
      </c>
      <c r="BJ48" s="229">
        <f>IF($AY48=Lookup!$A$2,$AZ48*ROUNDUP(BB48/10,0)+1,
IF($AY48=Lookup!$A$3,($AZ48+1)^BA48,
IF($AY48=Lookup!$A$4,BB48*$AZ48+1,"Error")))</f>
        <v>1</v>
      </c>
      <c r="BK48" s="229">
        <f>IF($AY48=Lookup!$A$2,$AZ48*ROUNDUP(BC48/10,0)+1,
IF($AY48=Lookup!$A$3,($AZ48+1)^BB48,
IF($AY48=Lookup!$A$4,BC48*$AZ48+1,"Error")))</f>
        <v>1</v>
      </c>
      <c r="BL48" s="229">
        <f>IF($AY48=Lookup!$A$2,$AZ48*ROUNDUP(BD48/10,0)+1,
IF($AY48=Lookup!$A$3,($AZ48+1)^BC48,
IF($AY48=Lookup!$A$4,BD48*$AZ48+1,"Error")))</f>
        <v>1</v>
      </c>
      <c r="BM48" s="229">
        <f>IF($AY48=Lookup!$A$2,$AZ48*ROUNDUP(BE48/10,0)+1,
IF($AY48=Lookup!$A$3,($AZ48+1)^BD48,
IF($AY48=Lookup!$A$4,BE48*$AZ48+1,"Error")))</f>
        <v>1</v>
      </c>
      <c r="BN48" s="229">
        <f>IF($AY48=Lookup!$A$2,$AZ48*ROUNDUP(BF48/10,0)+1,
IF($AY48=Lookup!$A$3,($AZ48+1)^BE48,
IF($AY48=Lookup!$A$4,BF48*$AZ48+1,"Error")))</f>
        <v>1</v>
      </c>
      <c r="BO48" s="229">
        <f>IF($AY48=Lookup!$A$2,$AZ48*ROUNDUP(BG48/10,0)+1,
IF($AY48=Lookup!$A$3,($AZ48+1)^BF48,
IF($AY48=Lookup!$A$4,BG48*$AZ48+1,"Error")))</f>
        <v>1</v>
      </c>
      <c r="BP48" s="249">
        <f>IF($AY48=Lookup!$A$2,$AZ48*ROUNDUP(BH48/10,0)+1,
IF($AY48=Lookup!$A$3,($AZ48+1)^BG48,
IF($AY48=Lookup!$A$4,BH48*$AZ48+1,"Error")))</f>
        <v>1</v>
      </c>
      <c r="BQ48" s="398"/>
      <c r="BR48" s="356"/>
      <c r="BS48" s="356"/>
      <c r="BT48" s="356"/>
      <c r="BU48" s="356"/>
      <c r="BV48" s="356"/>
      <c r="BW48" s="356"/>
      <c r="BX48" s="399"/>
      <c r="BY48" s="382" t="s">
        <v>292</v>
      </c>
      <c r="BZ48" s="383">
        <f>HLOOKUP($BY48,$AH$6:$AJ$132,ROWS(BZ$6:BZ48),0)</f>
        <v>0</v>
      </c>
      <c r="CA48" s="362">
        <f t="shared" si="28"/>
        <v>0</v>
      </c>
      <c r="CB48" s="363">
        <f t="shared" si="28"/>
        <v>0</v>
      </c>
      <c r="CC48" s="363">
        <f t="shared" si="28"/>
        <v>0</v>
      </c>
      <c r="CD48" s="363">
        <f t="shared" si="28"/>
        <v>0</v>
      </c>
      <c r="CE48" s="363">
        <f t="shared" si="41"/>
        <v>0</v>
      </c>
      <c r="CF48" s="363">
        <f t="shared" si="41"/>
        <v>0</v>
      </c>
      <c r="CG48" s="363">
        <f t="shared" si="41"/>
        <v>0</v>
      </c>
      <c r="CH48" s="364">
        <f t="shared" si="41"/>
        <v>0</v>
      </c>
      <c r="CI48" s="305" t="s">
        <v>293</v>
      </c>
      <c r="CJ48" s="315">
        <v>0.05</v>
      </c>
      <c r="CK48" s="306"/>
      <c r="CL48" s="307" t="str">
        <f>IF($CK48&lt;&gt;"",$CK48,HLOOKUP($CI48,$AU$6:$AW$132,ROWS(CL$6:CL48),0))</f>
        <v/>
      </c>
      <c r="CM48" s="97"/>
      <c r="CN48" s="97"/>
      <c r="CO48" s="97"/>
      <c r="CP48" s="97"/>
      <c r="CQ48" s="97"/>
      <c r="CR48" s="97"/>
      <c r="CS48" s="97"/>
      <c r="CT48" s="98"/>
      <c r="CU48" s="392"/>
    </row>
    <row r="49" spans="1:99" x14ac:dyDescent="0.25">
      <c r="A49" s="81" t="s">
        <v>94</v>
      </c>
      <c r="B49" s="82" t="s">
        <v>102</v>
      </c>
      <c r="C49" s="83" t="s">
        <v>323</v>
      </c>
      <c r="D49" s="84"/>
      <c r="E49" s="85"/>
      <c r="F49" s="85"/>
      <c r="G49" s="85"/>
      <c r="H49" s="85"/>
      <c r="I49" s="85"/>
      <c r="J49" s="85"/>
      <c r="K49" s="85"/>
      <c r="L49" s="85"/>
      <c r="M49" s="201"/>
      <c r="N49" s="560">
        <f t="shared" si="21"/>
        <v>0</v>
      </c>
      <c r="O49" s="561">
        <f t="shared" si="0"/>
        <v>0</v>
      </c>
      <c r="P49" s="561">
        <f t="shared" si="1"/>
        <v>0</v>
      </c>
      <c r="Q49" s="561">
        <f t="shared" si="2"/>
        <v>0</v>
      </c>
      <c r="R49" s="561">
        <f t="shared" si="3"/>
        <v>0</v>
      </c>
      <c r="S49" s="561">
        <f t="shared" si="4"/>
        <v>0</v>
      </c>
      <c r="T49" s="561">
        <f t="shared" si="5"/>
        <v>0</v>
      </c>
      <c r="U49" s="561">
        <f t="shared" si="6"/>
        <v>0</v>
      </c>
      <c r="V49" s="561">
        <f t="shared" si="7"/>
        <v>0</v>
      </c>
      <c r="W49" s="562">
        <f t="shared" si="8"/>
        <v>0</v>
      </c>
      <c r="X49" s="125"/>
      <c r="Y49" s="126"/>
      <c r="Z49" s="126"/>
      <c r="AA49" s="126"/>
      <c r="AB49" s="126"/>
      <c r="AC49" s="126"/>
      <c r="AD49" s="126"/>
      <c r="AE49" s="126"/>
      <c r="AF49" s="126"/>
      <c r="AG49" s="197"/>
      <c r="AH49" s="127">
        <f t="shared" si="22"/>
        <v>0</v>
      </c>
      <c r="AI49" s="128" t="str" cm="1">
        <f t="array" aca="1" ref="AI49" ca="1">IFERROR(IF($AJ$4="N",SSUM(AD49:AF49)/3,SUM(AE49:AG49)/3),"")</f>
        <v/>
      </c>
      <c r="AJ49" s="129">
        <f t="shared" si="23"/>
        <v>0</v>
      </c>
      <c r="AK49" s="91" t="str">
        <f t="shared" si="30"/>
        <v/>
      </c>
      <c r="AL49" s="92" t="str">
        <f t="shared" si="31"/>
        <v/>
      </c>
      <c r="AM49" s="92" t="str">
        <f t="shared" si="32"/>
        <v/>
      </c>
      <c r="AN49" s="92" t="str">
        <f t="shared" si="33"/>
        <v/>
      </c>
      <c r="AO49" s="92" t="str">
        <f t="shared" si="34"/>
        <v/>
      </c>
      <c r="AP49" s="92" t="str">
        <f t="shared" si="35"/>
        <v/>
      </c>
      <c r="AQ49" s="92" t="str">
        <f t="shared" si="36"/>
        <v/>
      </c>
      <c r="AR49" s="92" t="str">
        <f t="shared" si="37"/>
        <v/>
      </c>
      <c r="AS49" s="92" t="str">
        <f t="shared" si="38"/>
        <v/>
      </c>
      <c r="AT49" s="217" t="str">
        <f t="shared" si="39"/>
        <v/>
      </c>
      <c r="AU49" s="93" t="str">
        <f t="shared" si="24"/>
        <v/>
      </c>
      <c r="AV49" s="94" t="str">
        <f t="shared" si="25"/>
        <v/>
      </c>
      <c r="AW49" s="95" t="str">
        <f t="shared" si="26"/>
        <v/>
      </c>
      <c r="AX49" s="248" t="s">
        <v>422</v>
      </c>
      <c r="AY49" s="229" t="s">
        <v>433</v>
      </c>
      <c r="AZ49" s="249">
        <v>0</v>
      </c>
      <c r="BA49" s="267">
        <f t="shared" si="27"/>
        <v>0</v>
      </c>
      <c r="BB49" s="268">
        <f t="shared" si="40"/>
        <v>0</v>
      </c>
      <c r="BC49" s="268">
        <f t="shared" si="40"/>
        <v>0</v>
      </c>
      <c r="BD49" s="268">
        <f t="shared" si="40"/>
        <v>1</v>
      </c>
      <c r="BE49" s="268">
        <f t="shared" si="40"/>
        <v>2</v>
      </c>
      <c r="BF49" s="268">
        <f t="shared" si="40"/>
        <v>3</v>
      </c>
      <c r="BG49" s="268">
        <f t="shared" si="40"/>
        <v>4</v>
      </c>
      <c r="BH49" s="269">
        <f t="shared" si="40"/>
        <v>5</v>
      </c>
      <c r="BI49" s="256">
        <f>IF($AY49=Lookup!$A$2,$AZ49*ROUNDUP(BA49/10,0)+1,
IF($AY49=Lookup!$A$3,($AZ49+1)^AZ49,
IF($AY49=Lookup!$A$4,BA49*$AZ49+1,"Error")))</f>
        <v>1</v>
      </c>
      <c r="BJ49" s="229">
        <f>IF($AY49=Lookup!$A$2,$AZ49*ROUNDUP(BB49/10,0)+1,
IF($AY49=Lookup!$A$3,($AZ49+1)^BA49,
IF($AY49=Lookup!$A$4,BB49*$AZ49+1,"Error")))</f>
        <v>1</v>
      </c>
      <c r="BK49" s="229">
        <f>IF($AY49=Lookup!$A$2,$AZ49*ROUNDUP(BC49/10,0)+1,
IF($AY49=Lookup!$A$3,($AZ49+1)^BB49,
IF($AY49=Lookup!$A$4,BC49*$AZ49+1,"Error")))</f>
        <v>1</v>
      </c>
      <c r="BL49" s="229">
        <f>IF($AY49=Lookup!$A$2,$AZ49*ROUNDUP(BD49/10,0)+1,
IF($AY49=Lookup!$A$3,($AZ49+1)^BC49,
IF($AY49=Lookup!$A$4,BD49*$AZ49+1,"Error")))</f>
        <v>1</v>
      </c>
      <c r="BM49" s="229">
        <f>IF($AY49=Lookup!$A$2,$AZ49*ROUNDUP(BE49/10,0)+1,
IF($AY49=Lookup!$A$3,($AZ49+1)^BD49,
IF($AY49=Lookup!$A$4,BE49*$AZ49+1,"Error")))</f>
        <v>1</v>
      </c>
      <c r="BN49" s="229">
        <f>IF($AY49=Lookup!$A$2,$AZ49*ROUNDUP(BF49/10,0)+1,
IF($AY49=Lookup!$A$3,($AZ49+1)^BE49,
IF($AY49=Lookup!$A$4,BF49*$AZ49+1,"Error")))</f>
        <v>1</v>
      </c>
      <c r="BO49" s="229">
        <f>IF($AY49=Lookup!$A$2,$AZ49*ROUNDUP(BG49/10,0)+1,
IF($AY49=Lookup!$A$3,($AZ49+1)^BF49,
IF($AY49=Lookup!$A$4,BG49*$AZ49+1,"Error")))</f>
        <v>1</v>
      </c>
      <c r="BP49" s="249">
        <f>IF($AY49=Lookup!$A$2,$AZ49*ROUNDUP(BH49/10,0)+1,
IF($AY49=Lookup!$A$3,($AZ49+1)^BG49,
IF($AY49=Lookup!$A$4,BH49*$AZ49+1,"Error")))</f>
        <v>1</v>
      </c>
      <c r="BQ49" s="398"/>
      <c r="BR49" s="356"/>
      <c r="BS49" s="356"/>
      <c r="BT49" s="356"/>
      <c r="BU49" s="356"/>
      <c r="BV49" s="356"/>
      <c r="BW49" s="356"/>
      <c r="BX49" s="399"/>
      <c r="BY49" s="382" t="s">
        <v>292</v>
      </c>
      <c r="BZ49" s="383">
        <f>HLOOKUP($BY49,$AH$6:$AJ$132,ROWS(BZ$6:BZ49),0)</f>
        <v>0</v>
      </c>
      <c r="CA49" s="362">
        <f t="shared" si="28"/>
        <v>0</v>
      </c>
      <c r="CB49" s="363">
        <f t="shared" si="28"/>
        <v>0</v>
      </c>
      <c r="CC49" s="363">
        <f t="shared" si="28"/>
        <v>0</v>
      </c>
      <c r="CD49" s="363">
        <f t="shared" si="28"/>
        <v>0</v>
      </c>
      <c r="CE49" s="363">
        <f t="shared" si="41"/>
        <v>0</v>
      </c>
      <c r="CF49" s="363">
        <f t="shared" si="41"/>
        <v>0</v>
      </c>
      <c r="CG49" s="363">
        <f t="shared" si="41"/>
        <v>0</v>
      </c>
      <c r="CH49" s="364">
        <f t="shared" si="41"/>
        <v>0</v>
      </c>
      <c r="CI49" s="305" t="s">
        <v>293</v>
      </c>
      <c r="CJ49" s="315">
        <v>0.05</v>
      </c>
      <c r="CK49" s="306"/>
      <c r="CL49" s="307" t="str">
        <f>IF($CK49&lt;&gt;"",$CK49,HLOOKUP($CI49,$AU$6:$AW$132,ROWS(CL$6:CL49),0))</f>
        <v/>
      </c>
      <c r="CM49" s="97"/>
      <c r="CN49" s="97"/>
      <c r="CO49" s="97"/>
      <c r="CP49" s="97"/>
      <c r="CQ49" s="97"/>
      <c r="CR49" s="97"/>
      <c r="CS49" s="97"/>
      <c r="CT49" s="98"/>
      <c r="CU49" s="392"/>
    </row>
    <row r="50" spans="1:99" ht="15.75" thickBot="1" x14ac:dyDescent="0.3">
      <c r="A50" s="138" t="s">
        <v>94</v>
      </c>
      <c r="B50" s="139" t="s">
        <v>461</v>
      </c>
      <c r="C50" s="102" t="s">
        <v>325</v>
      </c>
      <c r="D50" s="103"/>
      <c r="E50" s="104"/>
      <c r="F50" s="104"/>
      <c r="G50" s="104"/>
      <c r="H50" s="104"/>
      <c r="I50" s="104"/>
      <c r="J50" s="104"/>
      <c r="K50" s="104"/>
      <c r="L50" s="104"/>
      <c r="M50" s="202"/>
      <c r="N50" s="563">
        <f t="shared" si="21"/>
        <v>0</v>
      </c>
      <c r="O50" s="564">
        <f t="shared" si="0"/>
        <v>0</v>
      </c>
      <c r="P50" s="564">
        <f t="shared" si="1"/>
        <v>0</v>
      </c>
      <c r="Q50" s="564">
        <f t="shared" si="2"/>
        <v>0</v>
      </c>
      <c r="R50" s="564">
        <f t="shared" si="3"/>
        <v>0</v>
      </c>
      <c r="S50" s="564">
        <f t="shared" si="4"/>
        <v>0</v>
      </c>
      <c r="T50" s="564">
        <f t="shared" si="5"/>
        <v>0</v>
      </c>
      <c r="U50" s="564">
        <f t="shared" si="6"/>
        <v>0</v>
      </c>
      <c r="V50" s="564">
        <f t="shared" si="7"/>
        <v>0</v>
      </c>
      <c r="W50" s="565">
        <f t="shared" si="8"/>
        <v>0</v>
      </c>
      <c r="X50" s="131"/>
      <c r="Y50" s="132"/>
      <c r="Z50" s="132"/>
      <c r="AA50" s="132"/>
      <c r="AB50" s="132"/>
      <c r="AC50" s="132"/>
      <c r="AD50" s="132"/>
      <c r="AE50" s="132"/>
      <c r="AF50" s="132"/>
      <c r="AG50" s="198"/>
      <c r="AH50" s="133">
        <f t="shared" si="22"/>
        <v>0</v>
      </c>
      <c r="AI50" s="134" t="str" cm="1">
        <f t="array" aca="1" ref="AI50" ca="1">IFERROR(IF($AJ$4="N",SSUM(AD50:AF50)/3,SUM(AE50:AG50)/3),"")</f>
        <v/>
      </c>
      <c r="AJ50" s="135">
        <f t="shared" si="23"/>
        <v>0</v>
      </c>
      <c r="AK50" s="110" t="str">
        <f t="shared" si="30"/>
        <v/>
      </c>
      <c r="AL50" s="111" t="str">
        <f t="shared" si="31"/>
        <v/>
      </c>
      <c r="AM50" s="111" t="str">
        <f t="shared" si="32"/>
        <v/>
      </c>
      <c r="AN50" s="111" t="str">
        <f t="shared" si="33"/>
        <v/>
      </c>
      <c r="AO50" s="111" t="str">
        <f t="shared" si="34"/>
        <v/>
      </c>
      <c r="AP50" s="111" t="str">
        <f t="shared" si="35"/>
        <v/>
      </c>
      <c r="AQ50" s="111" t="str">
        <f t="shared" si="36"/>
        <v/>
      </c>
      <c r="AR50" s="111" t="str">
        <f t="shared" si="37"/>
        <v/>
      </c>
      <c r="AS50" s="111" t="str">
        <f t="shared" si="38"/>
        <v/>
      </c>
      <c r="AT50" s="218" t="str">
        <f t="shared" si="39"/>
        <v/>
      </c>
      <c r="AU50" s="112" t="str">
        <f t="shared" si="24"/>
        <v/>
      </c>
      <c r="AV50" s="113" t="str">
        <f t="shared" si="25"/>
        <v/>
      </c>
      <c r="AW50" s="114" t="str">
        <f t="shared" si="26"/>
        <v/>
      </c>
      <c r="AX50" s="250" t="s">
        <v>422</v>
      </c>
      <c r="AY50" s="230" t="s">
        <v>433</v>
      </c>
      <c r="AZ50" s="251">
        <v>0</v>
      </c>
      <c r="BA50" s="270">
        <f t="shared" si="27"/>
        <v>0</v>
      </c>
      <c r="BB50" s="271">
        <f t="shared" si="40"/>
        <v>0</v>
      </c>
      <c r="BC50" s="271">
        <f t="shared" si="40"/>
        <v>0</v>
      </c>
      <c r="BD50" s="271">
        <f t="shared" si="40"/>
        <v>1</v>
      </c>
      <c r="BE50" s="271">
        <f t="shared" si="40"/>
        <v>2</v>
      </c>
      <c r="BF50" s="271">
        <f t="shared" si="40"/>
        <v>3</v>
      </c>
      <c r="BG50" s="271">
        <f t="shared" si="40"/>
        <v>4</v>
      </c>
      <c r="BH50" s="272">
        <f t="shared" si="40"/>
        <v>5</v>
      </c>
      <c r="BI50" s="257">
        <f>IF($AY50=Lookup!$A$2,$AZ50*ROUNDUP(BA50/10,0)+1,
IF($AY50=Lookup!$A$3,($AZ50+1)^AZ50,
IF($AY50=Lookup!$A$4,BA50*$AZ50+1,"Error")))</f>
        <v>1</v>
      </c>
      <c r="BJ50" s="230">
        <f>IF($AY50=Lookup!$A$2,$AZ50*ROUNDUP(BB50/10,0)+1,
IF($AY50=Lookup!$A$3,($AZ50+1)^BA50,
IF($AY50=Lookup!$A$4,BB50*$AZ50+1,"Error")))</f>
        <v>1</v>
      </c>
      <c r="BK50" s="230">
        <f>IF($AY50=Lookup!$A$2,$AZ50*ROUNDUP(BC50/10,0)+1,
IF($AY50=Lookup!$A$3,($AZ50+1)^BB50,
IF($AY50=Lookup!$A$4,BC50*$AZ50+1,"Error")))</f>
        <v>1</v>
      </c>
      <c r="BL50" s="230">
        <f>IF($AY50=Lookup!$A$2,$AZ50*ROUNDUP(BD50/10,0)+1,
IF($AY50=Lookup!$A$3,($AZ50+1)^BC50,
IF($AY50=Lookup!$A$4,BD50*$AZ50+1,"Error")))</f>
        <v>1</v>
      </c>
      <c r="BM50" s="230">
        <f>IF($AY50=Lookup!$A$2,$AZ50*ROUNDUP(BE50/10,0)+1,
IF($AY50=Lookup!$A$3,($AZ50+1)^BD50,
IF($AY50=Lookup!$A$4,BE50*$AZ50+1,"Error")))</f>
        <v>1</v>
      </c>
      <c r="BN50" s="230">
        <f>IF($AY50=Lookup!$A$2,$AZ50*ROUNDUP(BF50/10,0)+1,
IF($AY50=Lookup!$A$3,($AZ50+1)^BE50,
IF($AY50=Lookup!$A$4,BF50*$AZ50+1,"Error")))</f>
        <v>1</v>
      </c>
      <c r="BO50" s="230">
        <f>IF($AY50=Lookup!$A$2,$AZ50*ROUNDUP(BG50/10,0)+1,
IF($AY50=Lookup!$A$3,($AZ50+1)^BF50,
IF($AY50=Lookup!$A$4,BG50*$AZ50+1,"Error")))</f>
        <v>1</v>
      </c>
      <c r="BP50" s="251">
        <f>IF($AY50=Lookup!$A$2,$AZ50*ROUNDUP(BH50/10,0)+1,
IF($AY50=Lookup!$A$3,($AZ50+1)^BG50,
IF($AY50=Lookup!$A$4,BH50*$AZ50+1,"Error")))</f>
        <v>1</v>
      </c>
      <c r="BQ50" s="400"/>
      <c r="BR50" s="358"/>
      <c r="BS50" s="358"/>
      <c r="BT50" s="358"/>
      <c r="BU50" s="358"/>
      <c r="BV50" s="358"/>
      <c r="BW50" s="358"/>
      <c r="BX50" s="401"/>
      <c r="BY50" s="384" t="s">
        <v>292</v>
      </c>
      <c r="BZ50" s="385">
        <f>HLOOKUP($BY50,$AH$6:$AJ$132,ROWS(BZ$6:BZ50),0)</f>
        <v>0</v>
      </c>
      <c r="CA50" s="365">
        <f t="shared" si="28"/>
        <v>0</v>
      </c>
      <c r="CB50" s="366">
        <f t="shared" si="28"/>
        <v>0</v>
      </c>
      <c r="CC50" s="366">
        <f t="shared" si="28"/>
        <v>0</v>
      </c>
      <c r="CD50" s="366">
        <f t="shared" si="28"/>
        <v>0</v>
      </c>
      <c r="CE50" s="366">
        <f t="shared" si="41"/>
        <v>0</v>
      </c>
      <c r="CF50" s="366">
        <f t="shared" si="41"/>
        <v>0</v>
      </c>
      <c r="CG50" s="366">
        <f t="shared" si="41"/>
        <v>0</v>
      </c>
      <c r="CH50" s="367">
        <f t="shared" si="41"/>
        <v>0</v>
      </c>
      <c r="CI50" s="308" t="s">
        <v>293</v>
      </c>
      <c r="CJ50" s="316">
        <v>0.05</v>
      </c>
      <c r="CK50" s="309"/>
      <c r="CL50" s="310" t="str">
        <f>IF($CK50&lt;&gt;"",$CK50,HLOOKUP($CI50,$AU$6:$AW$132,ROWS(CL$6:CL50),0))</f>
        <v/>
      </c>
      <c r="CM50" s="117"/>
      <c r="CN50" s="117"/>
      <c r="CO50" s="117"/>
      <c r="CP50" s="117"/>
      <c r="CQ50" s="117"/>
      <c r="CR50" s="117"/>
      <c r="CS50" s="117"/>
      <c r="CT50" s="118"/>
      <c r="CU50" s="393"/>
    </row>
    <row r="51" spans="1:99" x14ac:dyDescent="0.25">
      <c r="A51" s="63" t="s">
        <v>106</v>
      </c>
      <c r="B51" s="64" t="s">
        <v>103</v>
      </c>
      <c r="C51" s="65" t="s">
        <v>326</v>
      </c>
      <c r="D51" s="66"/>
      <c r="E51" s="67"/>
      <c r="F51" s="67"/>
      <c r="G51" s="67"/>
      <c r="H51" s="67"/>
      <c r="I51" s="67"/>
      <c r="J51" s="67"/>
      <c r="K51" s="67"/>
      <c r="L51" s="67"/>
      <c r="M51" s="200"/>
      <c r="N51" s="557">
        <f t="shared" si="21"/>
        <v>0</v>
      </c>
      <c r="O51" s="558">
        <f t="shared" si="0"/>
        <v>0</v>
      </c>
      <c r="P51" s="558">
        <f t="shared" si="1"/>
        <v>0</v>
      </c>
      <c r="Q51" s="558">
        <f t="shared" si="2"/>
        <v>0</v>
      </c>
      <c r="R51" s="558">
        <f t="shared" si="3"/>
        <v>0</v>
      </c>
      <c r="S51" s="558">
        <f t="shared" si="4"/>
        <v>0</v>
      </c>
      <c r="T51" s="558">
        <f t="shared" si="5"/>
        <v>0</v>
      </c>
      <c r="U51" s="558">
        <f t="shared" si="6"/>
        <v>0</v>
      </c>
      <c r="V51" s="558">
        <f t="shared" si="7"/>
        <v>0</v>
      </c>
      <c r="W51" s="559">
        <f t="shared" si="8"/>
        <v>0</v>
      </c>
      <c r="X51" s="68"/>
      <c r="Y51" s="69"/>
      <c r="Z51" s="69"/>
      <c r="AA51" s="69"/>
      <c r="AB51" s="69"/>
      <c r="AC51" s="69"/>
      <c r="AD51" s="69"/>
      <c r="AE51" s="69"/>
      <c r="AF51" s="69"/>
      <c r="AG51" s="193"/>
      <c r="AH51" s="121">
        <f t="shared" si="22"/>
        <v>0</v>
      </c>
      <c r="AI51" s="122" t="str" cm="1">
        <f t="array" aca="1" ref="AI51" ca="1">IFERROR(IF($AJ$4="N",SSUM(AD51:AF51)/3,SUM(AE51:AG51)/3),"")</f>
        <v/>
      </c>
      <c r="AJ51" s="123">
        <f t="shared" si="23"/>
        <v>0</v>
      </c>
      <c r="AK51" s="73" t="str">
        <f t="shared" si="30"/>
        <v/>
      </c>
      <c r="AL51" s="74" t="str">
        <f t="shared" si="31"/>
        <v/>
      </c>
      <c r="AM51" s="74" t="str">
        <f t="shared" si="32"/>
        <v/>
      </c>
      <c r="AN51" s="74" t="str">
        <f t="shared" si="33"/>
        <v/>
      </c>
      <c r="AO51" s="74" t="str">
        <f t="shared" si="34"/>
        <v/>
      </c>
      <c r="AP51" s="74" t="str">
        <f t="shared" si="35"/>
        <v/>
      </c>
      <c r="AQ51" s="74" t="str">
        <f t="shared" si="36"/>
        <v/>
      </c>
      <c r="AR51" s="74" t="str">
        <f t="shared" si="37"/>
        <v/>
      </c>
      <c r="AS51" s="74" t="str">
        <f t="shared" si="38"/>
        <v/>
      </c>
      <c r="AT51" s="216" t="str">
        <f t="shared" si="39"/>
        <v/>
      </c>
      <c r="AU51" s="75" t="str">
        <f t="shared" si="24"/>
        <v/>
      </c>
      <c r="AV51" s="76" t="str">
        <f t="shared" si="25"/>
        <v/>
      </c>
      <c r="AW51" s="77" t="str">
        <f t="shared" si="26"/>
        <v/>
      </c>
      <c r="AX51" s="246" t="s">
        <v>422</v>
      </c>
      <c r="AY51" s="228" t="s">
        <v>433</v>
      </c>
      <c r="AZ51" s="247">
        <v>0</v>
      </c>
      <c r="BA51" s="264">
        <f t="shared" si="27"/>
        <v>0</v>
      </c>
      <c r="BB51" s="265">
        <f t="shared" si="40"/>
        <v>0</v>
      </c>
      <c r="BC51" s="265">
        <f t="shared" si="40"/>
        <v>0</v>
      </c>
      <c r="BD51" s="265">
        <f t="shared" si="40"/>
        <v>1</v>
      </c>
      <c r="BE51" s="265">
        <f t="shared" si="40"/>
        <v>2</v>
      </c>
      <c r="BF51" s="265">
        <f t="shared" si="40"/>
        <v>3</v>
      </c>
      <c r="BG51" s="265">
        <f t="shared" si="40"/>
        <v>4</v>
      </c>
      <c r="BH51" s="266">
        <f t="shared" si="40"/>
        <v>5</v>
      </c>
      <c r="BI51" s="255">
        <f>IF($AY51=Lookup!$A$2,$AZ51*ROUNDUP(BA51/10,0)+1,
IF($AY51=Lookup!$A$3,($AZ51+1)^AZ51,
IF($AY51=Lookup!$A$4,BA51*$AZ51+1,"Error")))</f>
        <v>1</v>
      </c>
      <c r="BJ51" s="228">
        <f>IF($AY51=Lookup!$A$2,$AZ51*ROUNDUP(BB51/10,0)+1,
IF($AY51=Lookup!$A$3,($AZ51+1)^BA51,
IF($AY51=Lookup!$A$4,BB51*$AZ51+1,"Error")))</f>
        <v>1</v>
      </c>
      <c r="BK51" s="228">
        <f>IF($AY51=Lookup!$A$2,$AZ51*ROUNDUP(BC51/10,0)+1,
IF($AY51=Lookup!$A$3,($AZ51+1)^BB51,
IF($AY51=Lookup!$A$4,BC51*$AZ51+1,"Error")))</f>
        <v>1</v>
      </c>
      <c r="BL51" s="228">
        <f>IF($AY51=Lookup!$A$2,$AZ51*ROUNDUP(BD51/10,0)+1,
IF($AY51=Lookup!$A$3,($AZ51+1)^BC51,
IF($AY51=Lookup!$A$4,BD51*$AZ51+1,"Error")))</f>
        <v>1</v>
      </c>
      <c r="BM51" s="228">
        <f>IF($AY51=Lookup!$A$2,$AZ51*ROUNDUP(BE51/10,0)+1,
IF($AY51=Lookup!$A$3,($AZ51+1)^BD51,
IF($AY51=Lookup!$A$4,BE51*$AZ51+1,"Error")))</f>
        <v>1</v>
      </c>
      <c r="BN51" s="228">
        <f>IF($AY51=Lookup!$A$2,$AZ51*ROUNDUP(BF51/10,0)+1,
IF($AY51=Lookup!$A$3,($AZ51+1)^BE51,
IF($AY51=Lookup!$A$4,BF51*$AZ51+1,"Error")))</f>
        <v>1</v>
      </c>
      <c r="BO51" s="228">
        <f>IF($AY51=Lookup!$A$2,$AZ51*ROUNDUP(BG51/10,0)+1,
IF($AY51=Lookup!$A$3,($AZ51+1)^BF51,
IF($AY51=Lookup!$A$4,BG51*$AZ51+1,"Error")))</f>
        <v>1</v>
      </c>
      <c r="BP51" s="247">
        <f>IF($AY51=Lookup!$A$2,$AZ51*ROUNDUP(BH51/10,0)+1,
IF($AY51=Lookup!$A$3,($AZ51+1)^BG51,
IF($AY51=Lookup!$A$4,BH51*$AZ51+1,"Error")))</f>
        <v>1</v>
      </c>
      <c r="BQ51" s="318"/>
      <c r="BR51" s="319"/>
      <c r="BS51" s="319"/>
      <c r="BT51" s="319"/>
      <c r="BU51" s="319"/>
      <c r="BV51" s="319"/>
      <c r="BW51" s="319"/>
      <c r="BX51" s="276"/>
      <c r="BY51" s="380" t="s">
        <v>292</v>
      </c>
      <c r="BZ51" s="381">
        <f>HLOOKUP($BY51,$AH$6:$AJ$132,ROWS(BZ$6:BZ51),0)</f>
        <v>0</v>
      </c>
      <c r="CA51" s="233">
        <f t="shared" si="28"/>
        <v>0</v>
      </c>
      <c r="CB51" s="78">
        <f t="shared" si="28"/>
        <v>0</v>
      </c>
      <c r="CC51" s="78">
        <f t="shared" si="28"/>
        <v>0</v>
      </c>
      <c r="CD51" s="78">
        <f t="shared" si="28"/>
        <v>0</v>
      </c>
      <c r="CE51" s="78">
        <f t="shared" si="41"/>
        <v>0</v>
      </c>
      <c r="CF51" s="78">
        <f t="shared" si="41"/>
        <v>0</v>
      </c>
      <c r="CG51" s="78">
        <f t="shared" si="41"/>
        <v>0</v>
      </c>
      <c r="CH51" s="285">
        <f t="shared" si="41"/>
        <v>0</v>
      </c>
      <c r="CI51" s="302" t="s">
        <v>293</v>
      </c>
      <c r="CJ51" s="314">
        <v>0.05</v>
      </c>
      <c r="CK51" s="303"/>
      <c r="CL51" s="304" t="str">
        <f>IF($CK51&lt;&gt;"",$CK51,HLOOKUP($CI51,$AU$6:$AW$132,ROWS(CL$6:CL51),0))</f>
        <v/>
      </c>
      <c r="CM51" s="79"/>
      <c r="CN51" s="79"/>
      <c r="CO51" s="79"/>
      <c r="CP51" s="79"/>
      <c r="CQ51" s="79"/>
      <c r="CR51" s="79"/>
      <c r="CS51" s="79"/>
      <c r="CT51" s="80"/>
      <c r="CU51" s="391"/>
    </row>
    <row r="52" spans="1:99" x14ac:dyDescent="0.25">
      <c r="A52" s="81" t="s">
        <v>106</v>
      </c>
      <c r="B52" s="82" t="s">
        <v>327</v>
      </c>
      <c r="C52" s="83" t="s">
        <v>328</v>
      </c>
      <c r="D52" s="84"/>
      <c r="E52" s="85"/>
      <c r="F52" s="85"/>
      <c r="G52" s="85"/>
      <c r="H52" s="85"/>
      <c r="I52" s="85"/>
      <c r="J52" s="85"/>
      <c r="K52" s="85"/>
      <c r="L52" s="85"/>
      <c r="M52" s="201"/>
      <c r="N52" s="560">
        <f t="shared" si="21"/>
        <v>0</v>
      </c>
      <c r="O52" s="561">
        <f t="shared" si="0"/>
        <v>0</v>
      </c>
      <c r="P52" s="561">
        <f t="shared" si="1"/>
        <v>0</v>
      </c>
      <c r="Q52" s="561">
        <f t="shared" si="2"/>
        <v>0</v>
      </c>
      <c r="R52" s="561">
        <f t="shared" si="3"/>
        <v>0</v>
      </c>
      <c r="S52" s="561">
        <f t="shared" si="4"/>
        <v>0</v>
      </c>
      <c r="T52" s="561">
        <f t="shared" si="5"/>
        <v>0</v>
      </c>
      <c r="U52" s="561">
        <f t="shared" si="6"/>
        <v>0</v>
      </c>
      <c r="V52" s="561">
        <f t="shared" si="7"/>
        <v>0</v>
      </c>
      <c r="W52" s="562">
        <f t="shared" si="8"/>
        <v>0</v>
      </c>
      <c r="X52" s="86"/>
      <c r="Y52" s="87"/>
      <c r="Z52" s="87"/>
      <c r="AA52" s="87"/>
      <c r="AB52" s="87"/>
      <c r="AC52" s="87"/>
      <c r="AD52" s="87"/>
      <c r="AE52" s="87"/>
      <c r="AF52" s="87"/>
      <c r="AG52" s="194"/>
      <c r="AH52" s="127">
        <f t="shared" si="22"/>
        <v>0</v>
      </c>
      <c r="AI52" s="128" t="str" cm="1">
        <f t="array" aca="1" ref="AI52" ca="1">IFERROR(IF($AJ$4="N",SSUM(AD52:AF52)/3,SUM(AE52:AG52)/3),"")</f>
        <v/>
      </c>
      <c r="AJ52" s="129">
        <f t="shared" si="23"/>
        <v>0</v>
      </c>
      <c r="AK52" s="91" t="str">
        <f t="shared" si="30"/>
        <v/>
      </c>
      <c r="AL52" s="92" t="str">
        <f t="shared" si="31"/>
        <v/>
      </c>
      <c r="AM52" s="92" t="str">
        <f t="shared" si="32"/>
        <v/>
      </c>
      <c r="AN52" s="92" t="str">
        <f t="shared" si="33"/>
        <v/>
      </c>
      <c r="AO52" s="92" t="str">
        <f t="shared" si="34"/>
        <v/>
      </c>
      <c r="AP52" s="92" t="str">
        <f t="shared" si="35"/>
        <v/>
      </c>
      <c r="AQ52" s="92" t="str">
        <f t="shared" si="36"/>
        <v/>
      </c>
      <c r="AR52" s="92" t="str">
        <f t="shared" si="37"/>
        <v/>
      </c>
      <c r="AS52" s="92" t="str">
        <f t="shared" si="38"/>
        <v/>
      </c>
      <c r="AT52" s="217" t="str">
        <f t="shared" si="39"/>
        <v/>
      </c>
      <c r="AU52" s="93" t="str">
        <f t="shared" si="24"/>
        <v/>
      </c>
      <c r="AV52" s="94" t="str">
        <f t="shared" si="25"/>
        <v/>
      </c>
      <c r="AW52" s="95" t="str">
        <f t="shared" si="26"/>
        <v/>
      </c>
      <c r="AX52" s="248" t="s">
        <v>422</v>
      </c>
      <c r="AY52" s="229" t="s">
        <v>433</v>
      </c>
      <c r="AZ52" s="249">
        <v>0</v>
      </c>
      <c r="BA52" s="267">
        <f t="shared" si="27"/>
        <v>0</v>
      </c>
      <c r="BB52" s="268">
        <f t="shared" si="40"/>
        <v>0</v>
      </c>
      <c r="BC52" s="268">
        <f t="shared" si="40"/>
        <v>0</v>
      </c>
      <c r="BD52" s="268">
        <f t="shared" si="40"/>
        <v>1</v>
      </c>
      <c r="BE52" s="268">
        <f t="shared" si="40"/>
        <v>2</v>
      </c>
      <c r="BF52" s="268">
        <f t="shared" si="40"/>
        <v>3</v>
      </c>
      <c r="BG52" s="268">
        <f t="shared" si="40"/>
        <v>4</v>
      </c>
      <c r="BH52" s="269">
        <f t="shared" si="40"/>
        <v>5</v>
      </c>
      <c r="BI52" s="256">
        <f>IF($AY52=Lookup!$A$2,$AZ52*ROUNDUP(BA52/10,0)+1,
IF($AY52=Lookup!$A$3,($AZ52+1)^AZ52,
IF($AY52=Lookup!$A$4,BA52*$AZ52+1,"Error")))</f>
        <v>1</v>
      </c>
      <c r="BJ52" s="229">
        <f>IF($AY52=Lookup!$A$2,$AZ52*ROUNDUP(BB52/10,0)+1,
IF($AY52=Lookup!$A$3,($AZ52+1)^BA52,
IF($AY52=Lookup!$A$4,BB52*$AZ52+1,"Error")))</f>
        <v>1</v>
      </c>
      <c r="BK52" s="229">
        <f>IF($AY52=Lookup!$A$2,$AZ52*ROUNDUP(BC52/10,0)+1,
IF($AY52=Lookup!$A$3,($AZ52+1)^BB52,
IF($AY52=Lookup!$A$4,BC52*$AZ52+1,"Error")))</f>
        <v>1</v>
      </c>
      <c r="BL52" s="229">
        <f>IF($AY52=Lookup!$A$2,$AZ52*ROUNDUP(BD52/10,0)+1,
IF($AY52=Lookup!$A$3,($AZ52+1)^BC52,
IF($AY52=Lookup!$A$4,BD52*$AZ52+1,"Error")))</f>
        <v>1</v>
      </c>
      <c r="BM52" s="229">
        <f>IF($AY52=Lookup!$A$2,$AZ52*ROUNDUP(BE52/10,0)+1,
IF($AY52=Lookup!$A$3,($AZ52+1)^BD52,
IF($AY52=Lookup!$A$4,BE52*$AZ52+1,"Error")))</f>
        <v>1</v>
      </c>
      <c r="BN52" s="229">
        <f>IF($AY52=Lookup!$A$2,$AZ52*ROUNDUP(BF52/10,0)+1,
IF($AY52=Lookup!$A$3,($AZ52+1)^BE52,
IF($AY52=Lookup!$A$4,BF52*$AZ52+1,"Error")))</f>
        <v>1</v>
      </c>
      <c r="BO52" s="229">
        <f>IF($AY52=Lookup!$A$2,$AZ52*ROUNDUP(BG52/10,0)+1,
IF($AY52=Lookup!$A$3,($AZ52+1)^BF52,
IF($AY52=Lookup!$A$4,BG52*$AZ52+1,"Error")))</f>
        <v>1</v>
      </c>
      <c r="BP52" s="249">
        <f>IF($AY52=Lookup!$A$2,$AZ52*ROUNDUP(BH52/10,0)+1,
IF($AY52=Lookup!$A$3,($AZ52+1)^BG52,
IF($AY52=Lookup!$A$4,BH52*$AZ52+1,"Error")))</f>
        <v>1</v>
      </c>
      <c r="BQ52" s="320"/>
      <c r="BR52" s="321"/>
      <c r="BS52" s="321"/>
      <c r="BT52" s="321"/>
      <c r="BU52" s="321"/>
      <c r="BV52" s="321"/>
      <c r="BW52" s="321"/>
      <c r="BX52" s="277"/>
      <c r="BY52" s="382" t="s">
        <v>292</v>
      </c>
      <c r="BZ52" s="383">
        <f>HLOOKUP($BY52,$AH$6:$AJ$132,ROWS(BZ$6:BZ52),0)</f>
        <v>0</v>
      </c>
      <c r="CA52" s="234">
        <f t="shared" si="28"/>
        <v>0</v>
      </c>
      <c r="CB52" s="96">
        <f t="shared" si="28"/>
        <v>0</v>
      </c>
      <c r="CC52" s="96">
        <f t="shared" si="28"/>
        <v>0</v>
      </c>
      <c r="CD52" s="96">
        <f t="shared" si="28"/>
        <v>0</v>
      </c>
      <c r="CE52" s="96">
        <f t="shared" si="41"/>
        <v>0</v>
      </c>
      <c r="CF52" s="96">
        <f t="shared" si="41"/>
        <v>0</v>
      </c>
      <c r="CG52" s="96">
        <f t="shared" si="41"/>
        <v>0</v>
      </c>
      <c r="CH52" s="286">
        <f t="shared" si="41"/>
        <v>0</v>
      </c>
      <c r="CI52" s="305" t="s">
        <v>293</v>
      </c>
      <c r="CJ52" s="315">
        <v>0.05</v>
      </c>
      <c r="CK52" s="306"/>
      <c r="CL52" s="307" t="str">
        <f>IF($CK52&lt;&gt;"",$CK52,HLOOKUP($CI52,$AU$6:$AW$132,ROWS(CL$6:CL52),0))</f>
        <v/>
      </c>
      <c r="CM52" s="97"/>
      <c r="CN52" s="97"/>
      <c r="CO52" s="97"/>
      <c r="CP52" s="97"/>
      <c r="CQ52" s="97"/>
      <c r="CR52" s="97"/>
      <c r="CS52" s="97"/>
      <c r="CT52" s="98"/>
      <c r="CU52" s="392"/>
    </row>
    <row r="53" spans="1:99" x14ac:dyDescent="0.25">
      <c r="A53" s="81" t="s">
        <v>106</v>
      </c>
      <c r="B53" s="82" t="s">
        <v>454</v>
      </c>
      <c r="C53" s="83" t="s">
        <v>329</v>
      </c>
      <c r="D53" s="84"/>
      <c r="E53" s="85"/>
      <c r="F53" s="85"/>
      <c r="G53" s="85"/>
      <c r="H53" s="85"/>
      <c r="I53" s="85"/>
      <c r="J53" s="85"/>
      <c r="K53" s="85"/>
      <c r="L53" s="85"/>
      <c r="M53" s="201"/>
      <c r="N53" s="560">
        <f t="shared" si="21"/>
        <v>0</v>
      </c>
      <c r="O53" s="561">
        <f t="shared" si="0"/>
        <v>0</v>
      </c>
      <c r="P53" s="561">
        <f t="shared" si="1"/>
        <v>0</v>
      </c>
      <c r="Q53" s="561">
        <f t="shared" si="2"/>
        <v>0</v>
      </c>
      <c r="R53" s="561">
        <f t="shared" si="3"/>
        <v>0</v>
      </c>
      <c r="S53" s="561">
        <f t="shared" si="4"/>
        <v>0</v>
      </c>
      <c r="T53" s="561">
        <f t="shared" si="5"/>
        <v>0</v>
      </c>
      <c r="U53" s="561">
        <f t="shared" si="6"/>
        <v>0</v>
      </c>
      <c r="V53" s="561">
        <f t="shared" si="7"/>
        <v>0</v>
      </c>
      <c r="W53" s="562">
        <f t="shared" si="8"/>
        <v>0</v>
      </c>
      <c r="X53" s="86"/>
      <c r="Y53" s="87"/>
      <c r="Z53" s="87"/>
      <c r="AA53" s="87"/>
      <c r="AB53" s="87"/>
      <c r="AC53" s="87"/>
      <c r="AD53" s="87"/>
      <c r="AE53" s="87"/>
      <c r="AF53" s="87"/>
      <c r="AG53" s="194"/>
      <c r="AH53" s="127">
        <f t="shared" si="22"/>
        <v>0</v>
      </c>
      <c r="AI53" s="128" t="str" cm="1">
        <f t="array" aca="1" ref="AI53" ca="1">IFERROR(IF($AJ$4="N",SSUM(AD53:AF53)/3,SUM(AE53:AG53)/3),"")</f>
        <v/>
      </c>
      <c r="AJ53" s="129">
        <f t="shared" si="23"/>
        <v>0</v>
      </c>
      <c r="AK53" s="91" t="str">
        <f t="shared" si="30"/>
        <v/>
      </c>
      <c r="AL53" s="92" t="str">
        <f t="shared" si="31"/>
        <v/>
      </c>
      <c r="AM53" s="92" t="str">
        <f t="shared" si="32"/>
        <v/>
      </c>
      <c r="AN53" s="92" t="str">
        <f t="shared" si="33"/>
        <v/>
      </c>
      <c r="AO53" s="92" t="str">
        <f t="shared" si="34"/>
        <v/>
      </c>
      <c r="AP53" s="92" t="str">
        <f t="shared" si="35"/>
        <v/>
      </c>
      <c r="AQ53" s="92" t="str">
        <f t="shared" si="36"/>
        <v/>
      </c>
      <c r="AR53" s="92" t="str">
        <f t="shared" si="37"/>
        <v/>
      </c>
      <c r="AS53" s="92" t="str">
        <f t="shared" si="38"/>
        <v/>
      </c>
      <c r="AT53" s="217" t="str">
        <f t="shared" si="39"/>
        <v/>
      </c>
      <c r="AU53" s="93" t="str">
        <f t="shared" si="24"/>
        <v/>
      </c>
      <c r="AV53" s="94" t="str">
        <f t="shared" si="25"/>
        <v/>
      </c>
      <c r="AW53" s="95" t="str">
        <f t="shared" si="26"/>
        <v/>
      </c>
      <c r="AX53" s="248" t="s">
        <v>422</v>
      </c>
      <c r="AY53" s="229" t="s">
        <v>433</v>
      </c>
      <c r="AZ53" s="249">
        <v>0</v>
      </c>
      <c r="BA53" s="267">
        <f t="shared" si="27"/>
        <v>0</v>
      </c>
      <c r="BB53" s="268">
        <f t="shared" si="40"/>
        <v>0</v>
      </c>
      <c r="BC53" s="268">
        <f t="shared" si="40"/>
        <v>0</v>
      </c>
      <c r="BD53" s="268">
        <f t="shared" si="40"/>
        <v>1</v>
      </c>
      <c r="BE53" s="268">
        <f t="shared" si="40"/>
        <v>2</v>
      </c>
      <c r="BF53" s="268">
        <f t="shared" si="40"/>
        <v>3</v>
      </c>
      <c r="BG53" s="268">
        <f t="shared" si="40"/>
        <v>4</v>
      </c>
      <c r="BH53" s="269">
        <f t="shared" si="40"/>
        <v>5</v>
      </c>
      <c r="BI53" s="256">
        <f>IF($AY53=Lookup!$A$2,$AZ53*ROUNDUP(BA53/10,0)+1,
IF($AY53=Lookup!$A$3,($AZ53+1)^AZ53,
IF($AY53=Lookup!$A$4,BA53*$AZ53+1,"Error")))</f>
        <v>1</v>
      </c>
      <c r="BJ53" s="229">
        <f>IF($AY53=Lookup!$A$2,$AZ53*ROUNDUP(BB53/10,0)+1,
IF($AY53=Lookup!$A$3,($AZ53+1)^BA53,
IF($AY53=Lookup!$A$4,BB53*$AZ53+1,"Error")))</f>
        <v>1</v>
      </c>
      <c r="BK53" s="229">
        <f>IF($AY53=Lookup!$A$2,$AZ53*ROUNDUP(BC53/10,0)+1,
IF($AY53=Lookup!$A$3,($AZ53+1)^BB53,
IF($AY53=Lookup!$A$4,BC53*$AZ53+1,"Error")))</f>
        <v>1</v>
      </c>
      <c r="BL53" s="229">
        <f>IF($AY53=Lookup!$A$2,$AZ53*ROUNDUP(BD53/10,0)+1,
IF($AY53=Lookup!$A$3,($AZ53+1)^BC53,
IF($AY53=Lookup!$A$4,BD53*$AZ53+1,"Error")))</f>
        <v>1</v>
      </c>
      <c r="BM53" s="229">
        <f>IF($AY53=Lookup!$A$2,$AZ53*ROUNDUP(BE53/10,0)+1,
IF($AY53=Lookup!$A$3,($AZ53+1)^BD53,
IF($AY53=Lookup!$A$4,BE53*$AZ53+1,"Error")))</f>
        <v>1</v>
      </c>
      <c r="BN53" s="229">
        <f>IF($AY53=Lookup!$A$2,$AZ53*ROUNDUP(BF53/10,0)+1,
IF($AY53=Lookup!$A$3,($AZ53+1)^BE53,
IF($AY53=Lookup!$A$4,BF53*$AZ53+1,"Error")))</f>
        <v>1</v>
      </c>
      <c r="BO53" s="229">
        <f>IF($AY53=Lookup!$A$2,$AZ53*ROUNDUP(BG53/10,0)+1,
IF($AY53=Lookup!$A$3,($AZ53+1)^BF53,
IF($AY53=Lookup!$A$4,BG53*$AZ53+1,"Error")))</f>
        <v>1</v>
      </c>
      <c r="BP53" s="249">
        <f>IF($AY53=Lookup!$A$2,$AZ53*ROUNDUP(BH53/10,0)+1,
IF($AY53=Lookup!$A$3,($AZ53+1)^BG53,
IF($AY53=Lookup!$A$4,BH53*$AZ53+1,"Error")))</f>
        <v>1</v>
      </c>
      <c r="BQ53" s="320"/>
      <c r="BR53" s="321"/>
      <c r="BS53" s="321"/>
      <c r="BT53" s="321"/>
      <c r="BU53" s="321"/>
      <c r="BV53" s="321"/>
      <c r="BW53" s="321"/>
      <c r="BX53" s="277"/>
      <c r="BY53" s="382" t="s">
        <v>292</v>
      </c>
      <c r="BZ53" s="383">
        <f>HLOOKUP($BY53,$AH$6:$AJ$132,ROWS(BZ$6:BZ53),0)</f>
        <v>0</v>
      </c>
      <c r="CA53" s="234">
        <f t="shared" si="28"/>
        <v>0</v>
      </c>
      <c r="CB53" s="96">
        <f t="shared" si="28"/>
        <v>0</v>
      </c>
      <c r="CC53" s="96">
        <f t="shared" si="28"/>
        <v>0</v>
      </c>
      <c r="CD53" s="96">
        <f t="shared" si="28"/>
        <v>0</v>
      </c>
      <c r="CE53" s="96">
        <f t="shared" si="41"/>
        <v>0</v>
      </c>
      <c r="CF53" s="96">
        <f t="shared" si="41"/>
        <v>0</v>
      </c>
      <c r="CG53" s="96">
        <f t="shared" si="41"/>
        <v>0</v>
      </c>
      <c r="CH53" s="286">
        <f t="shared" si="41"/>
        <v>0</v>
      </c>
      <c r="CI53" s="305" t="s">
        <v>293</v>
      </c>
      <c r="CJ53" s="315">
        <v>0.05</v>
      </c>
      <c r="CK53" s="306"/>
      <c r="CL53" s="307" t="str">
        <f>IF($CK53&lt;&gt;"",$CK53,HLOOKUP($CI53,$AU$6:$AW$132,ROWS(CL$6:CL53),0))</f>
        <v/>
      </c>
      <c r="CM53" s="97"/>
      <c r="CN53" s="97"/>
      <c r="CO53" s="97"/>
      <c r="CP53" s="97"/>
      <c r="CQ53" s="97"/>
      <c r="CR53" s="97"/>
      <c r="CS53" s="97"/>
      <c r="CT53" s="98"/>
      <c r="CU53" s="392"/>
    </row>
    <row r="54" spans="1:99" x14ac:dyDescent="0.25">
      <c r="A54" s="81" t="s">
        <v>106</v>
      </c>
      <c r="B54" s="82" t="s">
        <v>330</v>
      </c>
      <c r="C54" s="83" t="s">
        <v>331</v>
      </c>
      <c r="D54" s="84"/>
      <c r="E54" s="85"/>
      <c r="F54" s="85"/>
      <c r="G54" s="85"/>
      <c r="H54" s="85"/>
      <c r="I54" s="85"/>
      <c r="J54" s="85"/>
      <c r="K54" s="85"/>
      <c r="L54" s="85"/>
      <c r="M54" s="201"/>
      <c r="N54" s="560">
        <f t="shared" si="21"/>
        <v>0</v>
      </c>
      <c r="O54" s="561">
        <f t="shared" si="0"/>
        <v>0</v>
      </c>
      <c r="P54" s="561">
        <f t="shared" si="1"/>
        <v>0</v>
      </c>
      <c r="Q54" s="561">
        <f t="shared" si="2"/>
        <v>0</v>
      </c>
      <c r="R54" s="561">
        <f t="shared" si="3"/>
        <v>0</v>
      </c>
      <c r="S54" s="561">
        <f t="shared" si="4"/>
        <v>0</v>
      </c>
      <c r="T54" s="561">
        <f t="shared" si="5"/>
        <v>0</v>
      </c>
      <c r="U54" s="561">
        <f t="shared" si="6"/>
        <v>0</v>
      </c>
      <c r="V54" s="561">
        <f t="shared" si="7"/>
        <v>0</v>
      </c>
      <c r="W54" s="562">
        <f t="shared" si="8"/>
        <v>0</v>
      </c>
      <c r="X54" s="86"/>
      <c r="Y54" s="87"/>
      <c r="Z54" s="87"/>
      <c r="AA54" s="87"/>
      <c r="AB54" s="87"/>
      <c r="AC54" s="87"/>
      <c r="AD54" s="87"/>
      <c r="AE54" s="87"/>
      <c r="AF54" s="87"/>
      <c r="AG54" s="194"/>
      <c r="AH54" s="127">
        <f t="shared" si="22"/>
        <v>0</v>
      </c>
      <c r="AI54" s="128" t="str" cm="1">
        <f t="array" aca="1" ref="AI54" ca="1">IFERROR(IF($AJ$4="N",SSUM(AD54:AF54)/3,SUM(AE54:AG54)/3),"")</f>
        <v/>
      </c>
      <c r="AJ54" s="129">
        <f t="shared" si="23"/>
        <v>0</v>
      </c>
      <c r="AK54" s="91" t="str">
        <f t="shared" si="30"/>
        <v/>
      </c>
      <c r="AL54" s="92" t="str">
        <f t="shared" si="31"/>
        <v/>
      </c>
      <c r="AM54" s="92" t="str">
        <f t="shared" si="32"/>
        <v/>
      </c>
      <c r="AN54" s="92" t="str">
        <f t="shared" si="33"/>
        <v/>
      </c>
      <c r="AO54" s="92" t="str">
        <f t="shared" si="34"/>
        <v/>
      </c>
      <c r="AP54" s="92" t="str">
        <f t="shared" si="35"/>
        <v/>
      </c>
      <c r="AQ54" s="92" t="str">
        <f t="shared" si="36"/>
        <v/>
      </c>
      <c r="AR54" s="92" t="str">
        <f t="shared" si="37"/>
        <v/>
      </c>
      <c r="AS54" s="92" t="str">
        <f t="shared" si="38"/>
        <v/>
      </c>
      <c r="AT54" s="217" t="str">
        <f t="shared" si="39"/>
        <v/>
      </c>
      <c r="AU54" s="93" t="str">
        <f t="shared" si="24"/>
        <v/>
      </c>
      <c r="AV54" s="94" t="str">
        <f t="shared" si="25"/>
        <v/>
      </c>
      <c r="AW54" s="95" t="str">
        <f t="shared" si="26"/>
        <v/>
      </c>
      <c r="AX54" s="248" t="s">
        <v>422</v>
      </c>
      <c r="AY54" s="229" t="s">
        <v>433</v>
      </c>
      <c r="AZ54" s="249">
        <v>0</v>
      </c>
      <c r="BA54" s="267">
        <f t="shared" si="27"/>
        <v>0</v>
      </c>
      <c r="BB54" s="268">
        <f t="shared" si="40"/>
        <v>0</v>
      </c>
      <c r="BC54" s="268">
        <f t="shared" si="40"/>
        <v>0</v>
      </c>
      <c r="BD54" s="268">
        <f t="shared" si="40"/>
        <v>1</v>
      </c>
      <c r="BE54" s="268">
        <f t="shared" si="40"/>
        <v>2</v>
      </c>
      <c r="BF54" s="268">
        <f t="shared" si="40"/>
        <v>3</v>
      </c>
      <c r="BG54" s="268">
        <f t="shared" si="40"/>
        <v>4</v>
      </c>
      <c r="BH54" s="269">
        <f t="shared" si="40"/>
        <v>5</v>
      </c>
      <c r="BI54" s="256">
        <f>IF($AY54=Lookup!$A$2,$AZ54*ROUNDUP(BA54/10,0)+1,
IF($AY54=Lookup!$A$3,($AZ54+1)^AZ54,
IF($AY54=Lookup!$A$4,BA54*$AZ54+1,"Error")))</f>
        <v>1</v>
      </c>
      <c r="BJ54" s="229">
        <f>IF($AY54=Lookup!$A$2,$AZ54*ROUNDUP(BB54/10,0)+1,
IF($AY54=Lookup!$A$3,($AZ54+1)^BA54,
IF($AY54=Lookup!$A$4,BB54*$AZ54+1,"Error")))</f>
        <v>1</v>
      </c>
      <c r="BK54" s="229">
        <f>IF($AY54=Lookup!$A$2,$AZ54*ROUNDUP(BC54/10,0)+1,
IF($AY54=Lookup!$A$3,($AZ54+1)^BB54,
IF($AY54=Lookup!$A$4,BC54*$AZ54+1,"Error")))</f>
        <v>1</v>
      </c>
      <c r="BL54" s="229">
        <f>IF($AY54=Lookup!$A$2,$AZ54*ROUNDUP(BD54/10,0)+1,
IF($AY54=Lookup!$A$3,($AZ54+1)^BC54,
IF($AY54=Lookup!$A$4,BD54*$AZ54+1,"Error")))</f>
        <v>1</v>
      </c>
      <c r="BM54" s="229">
        <f>IF($AY54=Lookup!$A$2,$AZ54*ROUNDUP(BE54/10,0)+1,
IF($AY54=Lookup!$A$3,($AZ54+1)^BD54,
IF($AY54=Lookup!$A$4,BE54*$AZ54+1,"Error")))</f>
        <v>1</v>
      </c>
      <c r="BN54" s="229">
        <f>IF($AY54=Lookup!$A$2,$AZ54*ROUNDUP(BF54/10,0)+1,
IF($AY54=Lookup!$A$3,($AZ54+1)^BE54,
IF($AY54=Lookup!$A$4,BF54*$AZ54+1,"Error")))</f>
        <v>1</v>
      </c>
      <c r="BO54" s="229">
        <f>IF($AY54=Lookup!$A$2,$AZ54*ROUNDUP(BG54/10,0)+1,
IF($AY54=Lookup!$A$3,($AZ54+1)^BF54,
IF($AY54=Lookup!$A$4,BG54*$AZ54+1,"Error")))</f>
        <v>1</v>
      </c>
      <c r="BP54" s="249">
        <f>IF($AY54=Lookup!$A$2,$AZ54*ROUNDUP(BH54/10,0)+1,
IF($AY54=Lookup!$A$3,($AZ54+1)^BG54,
IF($AY54=Lookup!$A$4,BH54*$AZ54+1,"Error")))</f>
        <v>1</v>
      </c>
      <c r="BQ54" s="320"/>
      <c r="BR54" s="321"/>
      <c r="BS54" s="321"/>
      <c r="BT54" s="321"/>
      <c r="BU54" s="321"/>
      <c r="BV54" s="321"/>
      <c r="BW54" s="321"/>
      <c r="BX54" s="277"/>
      <c r="BY54" s="382" t="s">
        <v>292</v>
      </c>
      <c r="BZ54" s="383">
        <f>HLOOKUP($BY54,$AH$6:$AJ$132,ROWS(BZ$6:BZ54),0)</f>
        <v>0</v>
      </c>
      <c r="CA54" s="234">
        <f t="shared" si="28"/>
        <v>0</v>
      </c>
      <c r="CB54" s="96">
        <f t="shared" si="28"/>
        <v>0</v>
      </c>
      <c r="CC54" s="96">
        <f t="shared" si="28"/>
        <v>0</v>
      </c>
      <c r="CD54" s="96">
        <f t="shared" si="28"/>
        <v>0</v>
      </c>
      <c r="CE54" s="96">
        <f t="shared" si="41"/>
        <v>0</v>
      </c>
      <c r="CF54" s="96">
        <f t="shared" si="41"/>
        <v>0</v>
      </c>
      <c r="CG54" s="96">
        <f t="shared" si="41"/>
        <v>0</v>
      </c>
      <c r="CH54" s="286">
        <f t="shared" si="41"/>
        <v>0</v>
      </c>
      <c r="CI54" s="305" t="s">
        <v>293</v>
      </c>
      <c r="CJ54" s="315">
        <v>0.05</v>
      </c>
      <c r="CK54" s="306"/>
      <c r="CL54" s="307" t="str">
        <f>IF($CK54&lt;&gt;"",$CK54,HLOOKUP($CI54,$AU$6:$AW$132,ROWS(CL$6:CL54),0))</f>
        <v/>
      </c>
      <c r="CM54" s="97"/>
      <c r="CN54" s="97"/>
      <c r="CO54" s="97"/>
      <c r="CP54" s="97"/>
      <c r="CQ54" s="97"/>
      <c r="CR54" s="97"/>
      <c r="CS54" s="97"/>
      <c r="CT54" s="98"/>
      <c r="CU54" s="392"/>
    </row>
    <row r="55" spans="1:99" x14ac:dyDescent="0.25">
      <c r="A55" s="81" t="s">
        <v>106</v>
      </c>
      <c r="B55" s="82" t="s">
        <v>332</v>
      </c>
      <c r="C55" s="83" t="s">
        <v>333</v>
      </c>
      <c r="D55" s="84"/>
      <c r="E55" s="85"/>
      <c r="F55" s="85"/>
      <c r="G55" s="85"/>
      <c r="H55" s="85"/>
      <c r="I55" s="85"/>
      <c r="J55" s="85"/>
      <c r="K55" s="85"/>
      <c r="L55" s="85"/>
      <c r="M55" s="201"/>
      <c r="N55" s="560">
        <f t="shared" si="21"/>
        <v>0</v>
      </c>
      <c r="O55" s="561">
        <f t="shared" si="0"/>
        <v>0</v>
      </c>
      <c r="P55" s="561">
        <f t="shared" si="1"/>
        <v>0</v>
      </c>
      <c r="Q55" s="561">
        <f t="shared" si="2"/>
        <v>0</v>
      </c>
      <c r="R55" s="561">
        <f t="shared" si="3"/>
        <v>0</v>
      </c>
      <c r="S55" s="561">
        <f t="shared" si="4"/>
        <v>0</v>
      </c>
      <c r="T55" s="561">
        <f t="shared" si="5"/>
        <v>0</v>
      </c>
      <c r="U55" s="561">
        <f t="shared" si="6"/>
        <v>0</v>
      </c>
      <c r="V55" s="561">
        <f t="shared" si="7"/>
        <v>0</v>
      </c>
      <c r="W55" s="562">
        <f t="shared" si="8"/>
        <v>0</v>
      </c>
      <c r="X55" s="86"/>
      <c r="Y55" s="87"/>
      <c r="Z55" s="87"/>
      <c r="AA55" s="87"/>
      <c r="AB55" s="87"/>
      <c r="AC55" s="87"/>
      <c r="AD55" s="87"/>
      <c r="AE55" s="87"/>
      <c r="AF55" s="87"/>
      <c r="AG55" s="194"/>
      <c r="AH55" s="127">
        <f t="shared" si="22"/>
        <v>0</v>
      </c>
      <c r="AI55" s="128" t="str" cm="1">
        <f t="array" aca="1" ref="AI55" ca="1">IFERROR(IF($AJ$4="N",SSUM(AD55:AF55)/3,SUM(AE55:AG55)/3),"")</f>
        <v/>
      </c>
      <c r="AJ55" s="129">
        <f t="shared" si="23"/>
        <v>0</v>
      </c>
      <c r="AK55" s="91" t="str">
        <f t="shared" si="30"/>
        <v/>
      </c>
      <c r="AL55" s="92" t="str">
        <f t="shared" si="31"/>
        <v/>
      </c>
      <c r="AM55" s="92" t="str">
        <f t="shared" si="32"/>
        <v/>
      </c>
      <c r="AN55" s="92" t="str">
        <f t="shared" si="33"/>
        <v/>
      </c>
      <c r="AO55" s="92" t="str">
        <f t="shared" si="34"/>
        <v/>
      </c>
      <c r="AP55" s="92" t="str">
        <f t="shared" si="35"/>
        <v/>
      </c>
      <c r="AQ55" s="92" t="str">
        <f t="shared" si="36"/>
        <v/>
      </c>
      <c r="AR55" s="92" t="str">
        <f t="shared" si="37"/>
        <v/>
      </c>
      <c r="AS55" s="92" t="str">
        <f t="shared" si="38"/>
        <v/>
      </c>
      <c r="AT55" s="217" t="str">
        <f t="shared" si="39"/>
        <v/>
      </c>
      <c r="AU55" s="93" t="str">
        <f t="shared" si="24"/>
        <v/>
      </c>
      <c r="AV55" s="94" t="str">
        <f t="shared" si="25"/>
        <v/>
      </c>
      <c r="AW55" s="95" t="str">
        <f t="shared" si="26"/>
        <v/>
      </c>
      <c r="AX55" s="248" t="s">
        <v>422</v>
      </c>
      <c r="AY55" s="229" t="s">
        <v>433</v>
      </c>
      <c r="AZ55" s="249">
        <v>0</v>
      </c>
      <c r="BA55" s="267">
        <f t="shared" si="27"/>
        <v>0</v>
      </c>
      <c r="BB55" s="268">
        <f t="shared" ref="BB55:BH70" si="42">IF(BB$6=$AX55,1,
IF(BA55&lt;&gt;0,BA55+1,0
))</f>
        <v>0</v>
      </c>
      <c r="BC55" s="268">
        <f t="shared" si="42"/>
        <v>0</v>
      </c>
      <c r="BD55" s="268">
        <f t="shared" si="42"/>
        <v>1</v>
      </c>
      <c r="BE55" s="268">
        <f t="shared" si="42"/>
        <v>2</v>
      </c>
      <c r="BF55" s="268">
        <f t="shared" si="42"/>
        <v>3</v>
      </c>
      <c r="BG55" s="268">
        <f t="shared" si="42"/>
        <v>4</v>
      </c>
      <c r="BH55" s="269">
        <f t="shared" si="42"/>
        <v>5</v>
      </c>
      <c r="BI55" s="256">
        <f>IF($AY55=Lookup!$A$2,$AZ55*ROUNDUP(BA55/10,0)+1,
IF($AY55=Lookup!$A$3,($AZ55+1)^AZ55,
IF($AY55=Lookup!$A$4,BA55*$AZ55+1,"Error")))</f>
        <v>1</v>
      </c>
      <c r="BJ55" s="229">
        <f>IF($AY55=Lookup!$A$2,$AZ55*ROUNDUP(BB55/10,0)+1,
IF($AY55=Lookup!$A$3,($AZ55+1)^BA55,
IF($AY55=Lookup!$A$4,BB55*$AZ55+1,"Error")))</f>
        <v>1</v>
      </c>
      <c r="BK55" s="229">
        <f>IF($AY55=Lookup!$A$2,$AZ55*ROUNDUP(BC55/10,0)+1,
IF($AY55=Lookup!$A$3,($AZ55+1)^BB55,
IF($AY55=Lookup!$A$4,BC55*$AZ55+1,"Error")))</f>
        <v>1</v>
      </c>
      <c r="BL55" s="229">
        <f>IF($AY55=Lookup!$A$2,$AZ55*ROUNDUP(BD55/10,0)+1,
IF($AY55=Lookup!$A$3,($AZ55+1)^BC55,
IF($AY55=Lookup!$A$4,BD55*$AZ55+1,"Error")))</f>
        <v>1</v>
      </c>
      <c r="BM55" s="229">
        <f>IF($AY55=Lookup!$A$2,$AZ55*ROUNDUP(BE55/10,0)+1,
IF($AY55=Lookup!$A$3,($AZ55+1)^BD55,
IF($AY55=Lookup!$A$4,BE55*$AZ55+1,"Error")))</f>
        <v>1</v>
      </c>
      <c r="BN55" s="229">
        <f>IF($AY55=Lookup!$A$2,$AZ55*ROUNDUP(BF55/10,0)+1,
IF($AY55=Lookup!$A$3,($AZ55+1)^BE55,
IF($AY55=Lookup!$A$4,BF55*$AZ55+1,"Error")))</f>
        <v>1</v>
      </c>
      <c r="BO55" s="229">
        <f>IF($AY55=Lookup!$A$2,$AZ55*ROUNDUP(BG55/10,0)+1,
IF($AY55=Lookup!$A$3,($AZ55+1)^BF55,
IF($AY55=Lookup!$A$4,BG55*$AZ55+1,"Error")))</f>
        <v>1</v>
      </c>
      <c r="BP55" s="249">
        <f>IF($AY55=Lookup!$A$2,$AZ55*ROUNDUP(BH55/10,0)+1,
IF($AY55=Lookup!$A$3,($AZ55+1)^BG55,
IF($AY55=Lookup!$A$4,BH55*$AZ55+1,"Error")))</f>
        <v>1</v>
      </c>
      <c r="BQ55" s="320"/>
      <c r="BR55" s="321"/>
      <c r="BS55" s="321"/>
      <c r="BT55" s="321"/>
      <c r="BU55" s="321"/>
      <c r="BV55" s="321"/>
      <c r="BW55" s="321"/>
      <c r="BX55" s="277"/>
      <c r="BY55" s="382" t="s">
        <v>292</v>
      </c>
      <c r="BZ55" s="383">
        <f>HLOOKUP($BY55,$AH$6:$AJ$132,ROWS(BZ$6:BZ55),0)</f>
        <v>0</v>
      </c>
      <c r="CA55" s="234">
        <f t="shared" si="28"/>
        <v>0</v>
      </c>
      <c r="CB55" s="96">
        <f t="shared" si="28"/>
        <v>0</v>
      </c>
      <c r="CC55" s="96">
        <f t="shared" si="28"/>
        <v>0</v>
      </c>
      <c r="CD55" s="96">
        <f t="shared" si="28"/>
        <v>0</v>
      </c>
      <c r="CE55" s="96">
        <f t="shared" si="41"/>
        <v>0</v>
      </c>
      <c r="CF55" s="96">
        <f t="shared" si="41"/>
        <v>0</v>
      </c>
      <c r="CG55" s="96">
        <f t="shared" si="41"/>
        <v>0</v>
      </c>
      <c r="CH55" s="286">
        <f t="shared" si="41"/>
        <v>0</v>
      </c>
      <c r="CI55" s="305" t="s">
        <v>293</v>
      </c>
      <c r="CJ55" s="315">
        <v>0.05</v>
      </c>
      <c r="CK55" s="306"/>
      <c r="CL55" s="307" t="str">
        <f>IF($CK55&lt;&gt;"",$CK55,HLOOKUP($CI55,$AU$6:$AW$132,ROWS(CL$6:CL55),0))</f>
        <v/>
      </c>
      <c r="CM55" s="97"/>
      <c r="CN55" s="97"/>
      <c r="CO55" s="97"/>
      <c r="CP55" s="97"/>
      <c r="CQ55" s="97"/>
      <c r="CR55" s="97"/>
      <c r="CS55" s="97"/>
      <c r="CT55" s="98"/>
      <c r="CU55" s="392"/>
    </row>
    <row r="56" spans="1:99" x14ac:dyDescent="0.25">
      <c r="A56" s="81" t="s">
        <v>106</v>
      </c>
      <c r="B56" s="82" t="s">
        <v>334</v>
      </c>
      <c r="C56" s="83" t="s">
        <v>335</v>
      </c>
      <c r="D56" s="84"/>
      <c r="E56" s="85"/>
      <c r="F56" s="85"/>
      <c r="G56" s="85"/>
      <c r="H56" s="85"/>
      <c r="I56" s="85"/>
      <c r="J56" s="85"/>
      <c r="K56" s="85"/>
      <c r="L56" s="85"/>
      <c r="M56" s="201"/>
      <c r="N56" s="560">
        <f t="shared" si="21"/>
        <v>0</v>
      </c>
      <c r="O56" s="561">
        <f t="shared" si="0"/>
        <v>0</v>
      </c>
      <c r="P56" s="561">
        <f t="shared" si="1"/>
        <v>0</v>
      </c>
      <c r="Q56" s="561">
        <f t="shared" si="2"/>
        <v>0</v>
      </c>
      <c r="R56" s="561">
        <f t="shared" si="3"/>
        <v>0</v>
      </c>
      <c r="S56" s="561">
        <f t="shared" si="4"/>
        <v>0</v>
      </c>
      <c r="T56" s="561">
        <f t="shared" si="5"/>
        <v>0</v>
      </c>
      <c r="U56" s="561">
        <f t="shared" si="6"/>
        <v>0</v>
      </c>
      <c r="V56" s="561">
        <f t="shared" si="7"/>
        <v>0</v>
      </c>
      <c r="W56" s="562">
        <f t="shared" si="8"/>
        <v>0</v>
      </c>
      <c r="X56" s="86"/>
      <c r="Y56" s="87"/>
      <c r="Z56" s="87"/>
      <c r="AA56" s="87"/>
      <c r="AB56" s="87"/>
      <c r="AC56" s="87"/>
      <c r="AD56" s="87"/>
      <c r="AE56" s="87"/>
      <c r="AF56" s="87"/>
      <c r="AG56" s="194"/>
      <c r="AH56" s="127">
        <f t="shared" si="22"/>
        <v>0</v>
      </c>
      <c r="AI56" s="128" t="str" cm="1">
        <f t="array" aca="1" ref="AI56" ca="1">IFERROR(IF($AJ$4="N",SSUM(AD56:AF56)/3,SUM(AE56:AG56)/3),"")</f>
        <v/>
      </c>
      <c r="AJ56" s="129">
        <f t="shared" si="23"/>
        <v>0</v>
      </c>
      <c r="AK56" s="91" t="str">
        <f t="shared" si="30"/>
        <v/>
      </c>
      <c r="AL56" s="92" t="str">
        <f t="shared" si="31"/>
        <v/>
      </c>
      <c r="AM56" s="92" t="str">
        <f t="shared" si="32"/>
        <v/>
      </c>
      <c r="AN56" s="92" t="str">
        <f t="shared" si="33"/>
        <v/>
      </c>
      <c r="AO56" s="92" t="str">
        <f t="shared" si="34"/>
        <v/>
      </c>
      <c r="AP56" s="92" t="str">
        <f t="shared" si="35"/>
        <v/>
      </c>
      <c r="AQ56" s="92" t="str">
        <f t="shared" si="36"/>
        <v/>
      </c>
      <c r="AR56" s="92" t="str">
        <f t="shared" si="37"/>
        <v/>
      </c>
      <c r="AS56" s="92" t="str">
        <f t="shared" si="38"/>
        <v/>
      </c>
      <c r="AT56" s="217" t="str">
        <f t="shared" si="39"/>
        <v/>
      </c>
      <c r="AU56" s="93" t="str">
        <f t="shared" si="24"/>
        <v/>
      </c>
      <c r="AV56" s="94" t="str">
        <f t="shared" si="25"/>
        <v/>
      </c>
      <c r="AW56" s="95" t="str">
        <f t="shared" si="26"/>
        <v/>
      </c>
      <c r="AX56" s="248" t="s">
        <v>422</v>
      </c>
      <c r="AY56" s="229" t="s">
        <v>433</v>
      </c>
      <c r="AZ56" s="249">
        <v>0</v>
      </c>
      <c r="BA56" s="267">
        <f t="shared" si="27"/>
        <v>0</v>
      </c>
      <c r="BB56" s="268">
        <f t="shared" si="42"/>
        <v>0</v>
      </c>
      <c r="BC56" s="268">
        <f t="shared" si="42"/>
        <v>0</v>
      </c>
      <c r="BD56" s="268">
        <f t="shared" si="42"/>
        <v>1</v>
      </c>
      <c r="BE56" s="268">
        <f t="shared" si="42"/>
        <v>2</v>
      </c>
      <c r="BF56" s="268">
        <f t="shared" si="42"/>
        <v>3</v>
      </c>
      <c r="BG56" s="268">
        <f t="shared" si="42"/>
        <v>4</v>
      </c>
      <c r="BH56" s="269">
        <f t="shared" si="42"/>
        <v>5</v>
      </c>
      <c r="BI56" s="256">
        <f>IF($AY56=Lookup!$A$2,$AZ56*ROUNDUP(BA56/10,0)+1,
IF($AY56=Lookup!$A$3,($AZ56+1)^AZ56,
IF($AY56=Lookup!$A$4,BA56*$AZ56+1,"Error")))</f>
        <v>1</v>
      </c>
      <c r="BJ56" s="229">
        <f>IF($AY56=Lookup!$A$2,$AZ56*ROUNDUP(BB56/10,0)+1,
IF($AY56=Lookup!$A$3,($AZ56+1)^BA56,
IF($AY56=Lookup!$A$4,BB56*$AZ56+1,"Error")))</f>
        <v>1</v>
      </c>
      <c r="BK56" s="229">
        <f>IF($AY56=Lookup!$A$2,$AZ56*ROUNDUP(BC56/10,0)+1,
IF($AY56=Lookup!$A$3,($AZ56+1)^BB56,
IF($AY56=Lookup!$A$4,BC56*$AZ56+1,"Error")))</f>
        <v>1</v>
      </c>
      <c r="BL56" s="229">
        <f>IF($AY56=Lookup!$A$2,$AZ56*ROUNDUP(BD56/10,0)+1,
IF($AY56=Lookup!$A$3,($AZ56+1)^BC56,
IF($AY56=Lookup!$A$4,BD56*$AZ56+1,"Error")))</f>
        <v>1</v>
      </c>
      <c r="BM56" s="229">
        <f>IF($AY56=Lookup!$A$2,$AZ56*ROUNDUP(BE56/10,0)+1,
IF($AY56=Lookup!$A$3,($AZ56+1)^BD56,
IF($AY56=Lookup!$A$4,BE56*$AZ56+1,"Error")))</f>
        <v>1</v>
      </c>
      <c r="BN56" s="229">
        <f>IF($AY56=Lookup!$A$2,$AZ56*ROUNDUP(BF56/10,0)+1,
IF($AY56=Lookup!$A$3,($AZ56+1)^BE56,
IF($AY56=Lookup!$A$4,BF56*$AZ56+1,"Error")))</f>
        <v>1</v>
      </c>
      <c r="BO56" s="229">
        <f>IF($AY56=Lookup!$A$2,$AZ56*ROUNDUP(BG56/10,0)+1,
IF($AY56=Lookup!$A$3,($AZ56+1)^BF56,
IF($AY56=Lookup!$A$4,BG56*$AZ56+1,"Error")))</f>
        <v>1</v>
      </c>
      <c r="BP56" s="249">
        <f>IF($AY56=Lookup!$A$2,$AZ56*ROUNDUP(BH56/10,0)+1,
IF($AY56=Lookup!$A$3,($AZ56+1)^BG56,
IF($AY56=Lookup!$A$4,BH56*$AZ56+1,"Error")))</f>
        <v>1</v>
      </c>
      <c r="BQ56" s="320"/>
      <c r="BR56" s="321"/>
      <c r="BS56" s="321"/>
      <c r="BT56" s="321"/>
      <c r="BU56" s="321"/>
      <c r="BV56" s="321"/>
      <c r="BW56" s="321"/>
      <c r="BX56" s="277"/>
      <c r="BY56" s="382" t="s">
        <v>292</v>
      </c>
      <c r="BZ56" s="383">
        <f>HLOOKUP($BY56,$AH$6:$AJ$132,ROWS(BZ$6:BZ56),0)</f>
        <v>0</v>
      </c>
      <c r="CA56" s="239">
        <f t="shared" si="28"/>
        <v>0</v>
      </c>
      <c r="CB56" s="140">
        <f t="shared" si="28"/>
        <v>0</v>
      </c>
      <c r="CC56" s="140">
        <f t="shared" si="28"/>
        <v>0</v>
      </c>
      <c r="CD56" s="140">
        <f t="shared" si="28"/>
        <v>0</v>
      </c>
      <c r="CE56" s="140">
        <f t="shared" si="41"/>
        <v>0</v>
      </c>
      <c r="CF56" s="140">
        <f t="shared" si="41"/>
        <v>0</v>
      </c>
      <c r="CG56" s="140">
        <f t="shared" si="41"/>
        <v>0</v>
      </c>
      <c r="CH56" s="291">
        <f t="shared" si="41"/>
        <v>0</v>
      </c>
      <c r="CI56" s="305" t="s">
        <v>293</v>
      </c>
      <c r="CJ56" s="315">
        <v>0.05</v>
      </c>
      <c r="CK56" s="306"/>
      <c r="CL56" s="307" t="str">
        <f>IF($CK56&lt;&gt;"",$CK56,HLOOKUP($CI56,$AU$6:$AW$132,ROWS(CL$6:CL56),0))</f>
        <v/>
      </c>
      <c r="CM56" s="97"/>
      <c r="CN56" s="97"/>
      <c r="CO56" s="97"/>
      <c r="CP56" s="97"/>
      <c r="CQ56" s="97"/>
      <c r="CR56" s="97"/>
      <c r="CS56" s="97"/>
      <c r="CT56" s="98"/>
      <c r="CU56" s="392"/>
    </row>
    <row r="57" spans="1:99" x14ac:dyDescent="0.25">
      <c r="A57" s="81" t="s">
        <v>106</v>
      </c>
      <c r="B57" s="82" t="s">
        <v>336</v>
      </c>
      <c r="C57" s="83" t="s">
        <v>337</v>
      </c>
      <c r="D57" s="84"/>
      <c r="E57" s="85"/>
      <c r="F57" s="85"/>
      <c r="G57" s="85"/>
      <c r="H57" s="85"/>
      <c r="I57" s="85"/>
      <c r="J57" s="85"/>
      <c r="K57" s="85"/>
      <c r="L57" s="85"/>
      <c r="M57" s="201"/>
      <c r="N57" s="560">
        <f t="shared" si="21"/>
        <v>0</v>
      </c>
      <c r="O57" s="561">
        <f t="shared" si="0"/>
        <v>0</v>
      </c>
      <c r="P57" s="561">
        <f t="shared" si="1"/>
        <v>0</v>
      </c>
      <c r="Q57" s="561">
        <f t="shared" si="2"/>
        <v>0</v>
      </c>
      <c r="R57" s="561">
        <f t="shared" si="3"/>
        <v>0</v>
      </c>
      <c r="S57" s="561">
        <f t="shared" si="4"/>
        <v>0</v>
      </c>
      <c r="T57" s="561">
        <f t="shared" si="5"/>
        <v>0</v>
      </c>
      <c r="U57" s="561">
        <f t="shared" si="6"/>
        <v>0</v>
      </c>
      <c r="V57" s="561">
        <f t="shared" si="7"/>
        <v>0</v>
      </c>
      <c r="W57" s="562">
        <f t="shared" si="8"/>
        <v>0</v>
      </c>
      <c r="X57" s="86"/>
      <c r="Y57" s="87"/>
      <c r="Z57" s="87"/>
      <c r="AA57" s="87"/>
      <c r="AB57" s="87"/>
      <c r="AC57" s="87"/>
      <c r="AD57" s="87"/>
      <c r="AE57" s="87"/>
      <c r="AF57" s="87"/>
      <c r="AG57" s="194"/>
      <c r="AH57" s="127">
        <f t="shared" si="22"/>
        <v>0</v>
      </c>
      <c r="AI57" s="128" t="str" cm="1">
        <f t="array" aca="1" ref="AI57" ca="1">IFERROR(IF($AJ$4="N",SSUM(AD57:AF57)/3,SUM(AE57:AG57)/3),"")</f>
        <v/>
      </c>
      <c r="AJ57" s="129">
        <f t="shared" si="23"/>
        <v>0</v>
      </c>
      <c r="AK57" s="91" t="str">
        <f t="shared" si="30"/>
        <v/>
      </c>
      <c r="AL57" s="92" t="str">
        <f t="shared" si="31"/>
        <v/>
      </c>
      <c r="AM57" s="92" t="str">
        <f t="shared" si="32"/>
        <v/>
      </c>
      <c r="AN57" s="92" t="str">
        <f t="shared" si="33"/>
        <v/>
      </c>
      <c r="AO57" s="92" t="str">
        <f t="shared" si="34"/>
        <v/>
      </c>
      <c r="AP57" s="92" t="str">
        <f t="shared" si="35"/>
        <v/>
      </c>
      <c r="AQ57" s="92" t="str">
        <f t="shared" si="36"/>
        <v/>
      </c>
      <c r="AR57" s="92" t="str">
        <f t="shared" si="37"/>
        <v/>
      </c>
      <c r="AS57" s="92" t="str">
        <f t="shared" si="38"/>
        <v/>
      </c>
      <c r="AT57" s="217" t="str">
        <f t="shared" si="39"/>
        <v/>
      </c>
      <c r="AU57" s="93" t="str">
        <f t="shared" si="24"/>
        <v/>
      </c>
      <c r="AV57" s="94" t="str">
        <f t="shared" si="25"/>
        <v/>
      </c>
      <c r="AW57" s="95" t="str">
        <f t="shared" si="26"/>
        <v/>
      </c>
      <c r="AX57" s="248" t="s">
        <v>422</v>
      </c>
      <c r="AY57" s="229" t="s">
        <v>433</v>
      </c>
      <c r="AZ57" s="249">
        <v>0</v>
      </c>
      <c r="BA57" s="267">
        <f t="shared" si="27"/>
        <v>0</v>
      </c>
      <c r="BB57" s="268">
        <f t="shared" si="42"/>
        <v>0</v>
      </c>
      <c r="BC57" s="268">
        <f t="shared" si="42"/>
        <v>0</v>
      </c>
      <c r="BD57" s="268">
        <f t="shared" si="42"/>
        <v>1</v>
      </c>
      <c r="BE57" s="268">
        <f t="shared" si="42"/>
        <v>2</v>
      </c>
      <c r="BF57" s="268">
        <f t="shared" si="42"/>
        <v>3</v>
      </c>
      <c r="BG57" s="268">
        <f t="shared" si="42"/>
        <v>4</v>
      </c>
      <c r="BH57" s="269">
        <f t="shared" si="42"/>
        <v>5</v>
      </c>
      <c r="BI57" s="256">
        <f>IF($AY57=Lookup!$A$2,$AZ57*ROUNDUP(BA57/10,0)+1,
IF($AY57=Lookup!$A$3,($AZ57+1)^AZ57,
IF($AY57=Lookup!$A$4,BA57*$AZ57+1,"Error")))</f>
        <v>1</v>
      </c>
      <c r="BJ57" s="229">
        <f>IF($AY57=Lookup!$A$2,$AZ57*ROUNDUP(BB57/10,0)+1,
IF($AY57=Lookup!$A$3,($AZ57+1)^BA57,
IF($AY57=Lookup!$A$4,BB57*$AZ57+1,"Error")))</f>
        <v>1</v>
      </c>
      <c r="BK57" s="229">
        <f>IF($AY57=Lookup!$A$2,$AZ57*ROUNDUP(BC57/10,0)+1,
IF($AY57=Lookup!$A$3,($AZ57+1)^BB57,
IF($AY57=Lookup!$A$4,BC57*$AZ57+1,"Error")))</f>
        <v>1</v>
      </c>
      <c r="BL57" s="229">
        <f>IF($AY57=Lookup!$A$2,$AZ57*ROUNDUP(BD57/10,0)+1,
IF($AY57=Lookup!$A$3,($AZ57+1)^BC57,
IF($AY57=Lookup!$A$4,BD57*$AZ57+1,"Error")))</f>
        <v>1</v>
      </c>
      <c r="BM57" s="229">
        <f>IF($AY57=Lookup!$A$2,$AZ57*ROUNDUP(BE57/10,0)+1,
IF($AY57=Lookup!$A$3,($AZ57+1)^BD57,
IF($AY57=Lookup!$A$4,BE57*$AZ57+1,"Error")))</f>
        <v>1</v>
      </c>
      <c r="BN57" s="229">
        <f>IF($AY57=Lookup!$A$2,$AZ57*ROUNDUP(BF57/10,0)+1,
IF($AY57=Lookup!$A$3,($AZ57+1)^BE57,
IF($AY57=Lookup!$A$4,BF57*$AZ57+1,"Error")))</f>
        <v>1</v>
      </c>
      <c r="BO57" s="229">
        <f>IF($AY57=Lookup!$A$2,$AZ57*ROUNDUP(BG57/10,0)+1,
IF($AY57=Lookup!$A$3,($AZ57+1)^BF57,
IF($AY57=Lookup!$A$4,BG57*$AZ57+1,"Error")))</f>
        <v>1</v>
      </c>
      <c r="BP57" s="249">
        <f>IF($AY57=Lookup!$A$2,$AZ57*ROUNDUP(BH57/10,0)+1,
IF($AY57=Lookup!$A$3,($AZ57+1)^BG57,
IF($AY57=Lookup!$A$4,BH57*$AZ57+1,"Error")))</f>
        <v>1</v>
      </c>
      <c r="BQ57" s="320"/>
      <c r="BR57" s="321"/>
      <c r="BS57" s="321"/>
      <c r="BT57" s="321"/>
      <c r="BU57" s="321"/>
      <c r="BV57" s="321"/>
      <c r="BW57" s="321"/>
      <c r="BX57" s="277"/>
      <c r="BY57" s="382" t="s">
        <v>292</v>
      </c>
      <c r="BZ57" s="383">
        <f>HLOOKUP($BY57,$AH$6:$AJ$132,ROWS(BZ$6:BZ57),0)</f>
        <v>0</v>
      </c>
      <c r="CA57" s="239">
        <f t="shared" si="28"/>
        <v>0</v>
      </c>
      <c r="CB57" s="140">
        <f t="shared" si="28"/>
        <v>0</v>
      </c>
      <c r="CC57" s="140">
        <f t="shared" si="28"/>
        <v>0</v>
      </c>
      <c r="CD57" s="140">
        <f t="shared" si="28"/>
        <v>0</v>
      </c>
      <c r="CE57" s="140">
        <f t="shared" si="41"/>
        <v>0</v>
      </c>
      <c r="CF57" s="140">
        <f t="shared" si="41"/>
        <v>0</v>
      </c>
      <c r="CG57" s="140">
        <f t="shared" si="41"/>
        <v>0</v>
      </c>
      <c r="CH57" s="291">
        <f t="shared" si="41"/>
        <v>0</v>
      </c>
      <c r="CI57" s="305" t="s">
        <v>293</v>
      </c>
      <c r="CJ57" s="315">
        <v>0.05</v>
      </c>
      <c r="CK57" s="306"/>
      <c r="CL57" s="307" t="str">
        <f>IF($CK57&lt;&gt;"",$CK57,HLOOKUP($CI57,$AU$6:$AW$132,ROWS(CL$6:CL57),0))</f>
        <v/>
      </c>
      <c r="CM57" s="97"/>
      <c r="CN57" s="97"/>
      <c r="CO57" s="97"/>
      <c r="CP57" s="97"/>
      <c r="CQ57" s="97"/>
      <c r="CR57" s="97"/>
      <c r="CS57" s="97"/>
      <c r="CT57" s="98"/>
      <c r="CU57" s="392"/>
    </row>
    <row r="58" spans="1:99" x14ac:dyDescent="0.25">
      <c r="A58" s="81" t="s">
        <v>106</v>
      </c>
      <c r="B58" s="82" t="s">
        <v>338</v>
      </c>
      <c r="C58" s="83" t="s">
        <v>339</v>
      </c>
      <c r="D58" s="84"/>
      <c r="E58" s="85"/>
      <c r="F58" s="85"/>
      <c r="G58" s="85"/>
      <c r="H58" s="85"/>
      <c r="I58" s="85"/>
      <c r="J58" s="85"/>
      <c r="K58" s="85"/>
      <c r="L58" s="85"/>
      <c r="M58" s="201"/>
      <c r="N58" s="560">
        <f t="shared" si="21"/>
        <v>0</v>
      </c>
      <c r="O58" s="561">
        <f t="shared" si="0"/>
        <v>0</v>
      </c>
      <c r="P58" s="561">
        <f t="shared" si="1"/>
        <v>0</v>
      </c>
      <c r="Q58" s="561">
        <f t="shared" si="2"/>
        <v>0</v>
      </c>
      <c r="R58" s="561">
        <f t="shared" si="3"/>
        <v>0</v>
      </c>
      <c r="S58" s="561">
        <f t="shared" si="4"/>
        <v>0</v>
      </c>
      <c r="T58" s="561">
        <f t="shared" si="5"/>
        <v>0</v>
      </c>
      <c r="U58" s="561">
        <f t="shared" si="6"/>
        <v>0</v>
      </c>
      <c r="V58" s="561">
        <f t="shared" si="7"/>
        <v>0</v>
      </c>
      <c r="W58" s="562">
        <f t="shared" si="8"/>
        <v>0</v>
      </c>
      <c r="X58" s="86"/>
      <c r="Y58" s="87"/>
      <c r="Z58" s="87"/>
      <c r="AA58" s="87"/>
      <c r="AB58" s="87"/>
      <c r="AC58" s="87"/>
      <c r="AD58" s="87"/>
      <c r="AE58" s="87"/>
      <c r="AF58" s="87"/>
      <c r="AG58" s="194"/>
      <c r="AH58" s="127">
        <f t="shared" si="22"/>
        <v>0</v>
      </c>
      <c r="AI58" s="128" t="str" cm="1">
        <f t="array" aca="1" ref="AI58" ca="1">IFERROR(IF($AJ$4="N",SSUM(AD58:AF58)/3,SUM(AE58:AG58)/3),"")</f>
        <v/>
      </c>
      <c r="AJ58" s="129">
        <f t="shared" si="23"/>
        <v>0</v>
      </c>
      <c r="AK58" s="91" t="str">
        <f t="shared" si="30"/>
        <v/>
      </c>
      <c r="AL58" s="92" t="str">
        <f t="shared" si="31"/>
        <v/>
      </c>
      <c r="AM58" s="92" t="str">
        <f t="shared" si="32"/>
        <v/>
      </c>
      <c r="AN58" s="92" t="str">
        <f t="shared" si="33"/>
        <v/>
      </c>
      <c r="AO58" s="92" t="str">
        <f t="shared" si="34"/>
        <v/>
      </c>
      <c r="AP58" s="92" t="str">
        <f t="shared" si="35"/>
        <v/>
      </c>
      <c r="AQ58" s="92" t="str">
        <f t="shared" si="36"/>
        <v/>
      </c>
      <c r="AR58" s="92" t="str">
        <f t="shared" si="37"/>
        <v/>
      </c>
      <c r="AS58" s="92" t="str">
        <f t="shared" si="38"/>
        <v/>
      </c>
      <c r="AT58" s="217" t="str">
        <f t="shared" si="39"/>
        <v/>
      </c>
      <c r="AU58" s="93" t="str">
        <f t="shared" si="24"/>
        <v/>
      </c>
      <c r="AV58" s="94" t="str">
        <f t="shared" si="25"/>
        <v/>
      </c>
      <c r="AW58" s="95" t="str">
        <f t="shared" si="26"/>
        <v/>
      </c>
      <c r="AX58" s="248" t="s">
        <v>422</v>
      </c>
      <c r="AY58" s="229" t="s">
        <v>433</v>
      </c>
      <c r="AZ58" s="249">
        <v>0</v>
      </c>
      <c r="BA58" s="267">
        <f t="shared" si="27"/>
        <v>0</v>
      </c>
      <c r="BB58" s="268">
        <f t="shared" si="42"/>
        <v>0</v>
      </c>
      <c r="BC58" s="268">
        <f t="shared" si="42"/>
        <v>0</v>
      </c>
      <c r="BD58" s="268">
        <f t="shared" si="42"/>
        <v>1</v>
      </c>
      <c r="BE58" s="268">
        <f t="shared" si="42"/>
        <v>2</v>
      </c>
      <c r="BF58" s="268">
        <f t="shared" si="42"/>
        <v>3</v>
      </c>
      <c r="BG58" s="268">
        <f t="shared" si="42"/>
        <v>4</v>
      </c>
      <c r="BH58" s="269">
        <f t="shared" si="42"/>
        <v>5</v>
      </c>
      <c r="BI58" s="256">
        <f>IF($AY58=Lookup!$A$2,$AZ58*ROUNDUP(BA58/10,0)+1,
IF($AY58=Lookup!$A$3,($AZ58+1)^AZ58,
IF($AY58=Lookup!$A$4,BA58*$AZ58+1,"Error")))</f>
        <v>1</v>
      </c>
      <c r="BJ58" s="229">
        <f>IF($AY58=Lookup!$A$2,$AZ58*ROUNDUP(BB58/10,0)+1,
IF($AY58=Lookup!$A$3,($AZ58+1)^BA58,
IF($AY58=Lookup!$A$4,BB58*$AZ58+1,"Error")))</f>
        <v>1</v>
      </c>
      <c r="BK58" s="229">
        <f>IF($AY58=Lookup!$A$2,$AZ58*ROUNDUP(BC58/10,0)+1,
IF($AY58=Lookup!$A$3,($AZ58+1)^BB58,
IF($AY58=Lookup!$A$4,BC58*$AZ58+1,"Error")))</f>
        <v>1</v>
      </c>
      <c r="BL58" s="229">
        <f>IF($AY58=Lookup!$A$2,$AZ58*ROUNDUP(BD58/10,0)+1,
IF($AY58=Lookup!$A$3,($AZ58+1)^BC58,
IF($AY58=Lookup!$A$4,BD58*$AZ58+1,"Error")))</f>
        <v>1</v>
      </c>
      <c r="BM58" s="229">
        <f>IF($AY58=Lookup!$A$2,$AZ58*ROUNDUP(BE58/10,0)+1,
IF($AY58=Lookup!$A$3,($AZ58+1)^BD58,
IF($AY58=Lookup!$A$4,BE58*$AZ58+1,"Error")))</f>
        <v>1</v>
      </c>
      <c r="BN58" s="229">
        <f>IF($AY58=Lookup!$A$2,$AZ58*ROUNDUP(BF58/10,0)+1,
IF($AY58=Lookup!$A$3,($AZ58+1)^BE58,
IF($AY58=Lookup!$A$4,BF58*$AZ58+1,"Error")))</f>
        <v>1</v>
      </c>
      <c r="BO58" s="229">
        <f>IF($AY58=Lookup!$A$2,$AZ58*ROUNDUP(BG58/10,0)+1,
IF($AY58=Lookup!$A$3,($AZ58+1)^BF58,
IF($AY58=Lookup!$A$4,BG58*$AZ58+1,"Error")))</f>
        <v>1</v>
      </c>
      <c r="BP58" s="249">
        <f>IF($AY58=Lookup!$A$2,$AZ58*ROUNDUP(BH58/10,0)+1,
IF($AY58=Lookup!$A$3,($AZ58+1)^BG58,
IF($AY58=Lookup!$A$4,BH58*$AZ58+1,"Error")))</f>
        <v>1</v>
      </c>
      <c r="BQ58" s="320"/>
      <c r="BR58" s="321"/>
      <c r="BS58" s="321"/>
      <c r="BT58" s="321"/>
      <c r="BU58" s="321"/>
      <c r="BV58" s="321"/>
      <c r="BW58" s="321"/>
      <c r="BX58" s="277"/>
      <c r="BY58" s="382" t="s">
        <v>292</v>
      </c>
      <c r="BZ58" s="383">
        <f>HLOOKUP($BY58,$AH$6:$AJ$132,ROWS(BZ$6:BZ58),0)</f>
        <v>0</v>
      </c>
      <c r="CA58" s="239">
        <f t="shared" si="28"/>
        <v>0</v>
      </c>
      <c r="CB58" s="140">
        <f t="shared" si="28"/>
        <v>0</v>
      </c>
      <c r="CC58" s="140">
        <f t="shared" si="28"/>
        <v>0</v>
      </c>
      <c r="CD58" s="140">
        <f t="shared" si="28"/>
        <v>0</v>
      </c>
      <c r="CE58" s="140">
        <f t="shared" si="41"/>
        <v>0</v>
      </c>
      <c r="CF58" s="140">
        <f t="shared" si="41"/>
        <v>0</v>
      </c>
      <c r="CG58" s="140">
        <f t="shared" si="41"/>
        <v>0</v>
      </c>
      <c r="CH58" s="291">
        <f t="shared" si="41"/>
        <v>0</v>
      </c>
      <c r="CI58" s="305" t="s">
        <v>293</v>
      </c>
      <c r="CJ58" s="315">
        <v>0.05</v>
      </c>
      <c r="CK58" s="306"/>
      <c r="CL58" s="307" t="str">
        <f>IF($CK58&lt;&gt;"",$CK58,HLOOKUP($CI58,$AU$6:$AW$132,ROWS(CL$6:CL58),0))</f>
        <v/>
      </c>
      <c r="CM58" s="97"/>
      <c r="CN58" s="97"/>
      <c r="CO58" s="97"/>
      <c r="CP58" s="97"/>
      <c r="CQ58" s="97"/>
      <c r="CR58" s="97"/>
      <c r="CS58" s="97"/>
      <c r="CT58" s="98"/>
      <c r="CU58" s="392"/>
    </row>
    <row r="59" spans="1:99" x14ac:dyDescent="0.25">
      <c r="A59" s="81" t="s">
        <v>106</v>
      </c>
      <c r="B59" s="82" t="s">
        <v>340</v>
      </c>
      <c r="C59" s="83" t="s">
        <v>341</v>
      </c>
      <c r="D59" s="84"/>
      <c r="E59" s="85"/>
      <c r="F59" s="85"/>
      <c r="G59" s="85"/>
      <c r="H59" s="85"/>
      <c r="I59" s="85"/>
      <c r="J59" s="85"/>
      <c r="K59" s="85"/>
      <c r="L59" s="85"/>
      <c r="M59" s="201"/>
      <c r="N59" s="560">
        <f t="shared" si="21"/>
        <v>0</v>
      </c>
      <c r="O59" s="561">
        <f t="shared" si="0"/>
        <v>0</v>
      </c>
      <c r="P59" s="561">
        <f t="shared" si="1"/>
        <v>0</v>
      </c>
      <c r="Q59" s="561">
        <f t="shared" si="2"/>
        <v>0</v>
      </c>
      <c r="R59" s="561">
        <f t="shared" si="3"/>
        <v>0</v>
      </c>
      <c r="S59" s="561">
        <f t="shared" si="4"/>
        <v>0</v>
      </c>
      <c r="T59" s="561">
        <f t="shared" si="5"/>
        <v>0</v>
      </c>
      <c r="U59" s="561">
        <f t="shared" si="6"/>
        <v>0</v>
      </c>
      <c r="V59" s="561">
        <f t="shared" si="7"/>
        <v>0</v>
      </c>
      <c r="W59" s="562">
        <f t="shared" si="8"/>
        <v>0</v>
      </c>
      <c r="X59" s="86"/>
      <c r="Y59" s="87"/>
      <c r="Z59" s="87"/>
      <c r="AA59" s="87"/>
      <c r="AB59" s="87"/>
      <c r="AC59" s="87"/>
      <c r="AD59" s="87"/>
      <c r="AE59" s="87"/>
      <c r="AF59" s="87"/>
      <c r="AG59" s="194"/>
      <c r="AH59" s="127">
        <f t="shared" si="22"/>
        <v>0</v>
      </c>
      <c r="AI59" s="128" t="str" cm="1">
        <f t="array" aca="1" ref="AI59" ca="1">IFERROR(IF($AJ$4="N",SSUM(AD59:AF59)/3,SUM(AE59:AG59)/3),"")</f>
        <v/>
      </c>
      <c r="AJ59" s="129">
        <f t="shared" si="23"/>
        <v>0</v>
      </c>
      <c r="AK59" s="91" t="str">
        <f t="shared" si="30"/>
        <v/>
      </c>
      <c r="AL59" s="92" t="str">
        <f t="shared" si="31"/>
        <v/>
      </c>
      <c r="AM59" s="92" t="str">
        <f t="shared" si="32"/>
        <v/>
      </c>
      <c r="AN59" s="92" t="str">
        <f t="shared" si="33"/>
        <v/>
      </c>
      <c r="AO59" s="92" t="str">
        <f t="shared" si="34"/>
        <v/>
      </c>
      <c r="AP59" s="92" t="str">
        <f t="shared" si="35"/>
        <v/>
      </c>
      <c r="AQ59" s="92" t="str">
        <f t="shared" si="36"/>
        <v/>
      </c>
      <c r="AR59" s="92" t="str">
        <f t="shared" si="37"/>
        <v/>
      </c>
      <c r="AS59" s="92" t="str">
        <f t="shared" si="38"/>
        <v/>
      </c>
      <c r="AT59" s="217" t="str">
        <f t="shared" si="39"/>
        <v/>
      </c>
      <c r="AU59" s="93" t="str">
        <f t="shared" si="24"/>
        <v/>
      </c>
      <c r="AV59" s="94" t="str">
        <f t="shared" si="25"/>
        <v/>
      </c>
      <c r="AW59" s="95" t="str">
        <f t="shared" si="26"/>
        <v/>
      </c>
      <c r="AX59" s="248" t="s">
        <v>422</v>
      </c>
      <c r="AY59" s="229" t="s">
        <v>433</v>
      </c>
      <c r="AZ59" s="249">
        <v>0</v>
      </c>
      <c r="BA59" s="267">
        <f t="shared" si="27"/>
        <v>0</v>
      </c>
      <c r="BB59" s="268">
        <f t="shared" si="42"/>
        <v>0</v>
      </c>
      <c r="BC59" s="268">
        <f t="shared" si="42"/>
        <v>0</v>
      </c>
      <c r="BD59" s="268">
        <f t="shared" si="42"/>
        <v>1</v>
      </c>
      <c r="BE59" s="268">
        <f t="shared" si="42"/>
        <v>2</v>
      </c>
      <c r="BF59" s="268">
        <f t="shared" si="42"/>
        <v>3</v>
      </c>
      <c r="BG59" s="268">
        <f t="shared" si="42"/>
        <v>4</v>
      </c>
      <c r="BH59" s="269">
        <f t="shared" si="42"/>
        <v>5</v>
      </c>
      <c r="BI59" s="256">
        <f>IF($AY59=Lookup!$A$2,$AZ59*ROUNDUP(BA59/10,0)+1,
IF($AY59=Lookup!$A$3,($AZ59+1)^AZ59,
IF($AY59=Lookup!$A$4,BA59*$AZ59+1,"Error")))</f>
        <v>1</v>
      </c>
      <c r="BJ59" s="229">
        <f>IF($AY59=Lookup!$A$2,$AZ59*ROUNDUP(BB59/10,0)+1,
IF($AY59=Lookup!$A$3,($AZ59+1)^BA59,
IF($AY59=Lookup!$A$4,BB59*$AZ59+1,"Error")))</f>
        <v>1</v>
      </c>
      <c r="BK59" s="229">
        <f>IF($AY59=Lookup!$A$2,$AZ59*ROUNDUP(BC59/10,0)+1,
IF($AY59=Lookup!$A$3,($AZ59+1)^BB59,
IF($AY59=Lookup!$A$4,BC59*$AZ59+1,"Error")))</f>
        <v>1</v>
      </c>
      <c r="BL59" s="229">
        <f>IF($AY59=Lookup!$A$2,$AZ59*ROUNDUP(BD59/10,0)+1,
IF($AY59=Lookup!$A$3,($AZ59+1)^BC59,
IF($AY59=Lookup!$A$4,BD59*$AZ59+1,"Error")))</f>
        <v>1</v>
      </c>
      <c r="BM59" s="229">
        <f>IF($AY59=Lookup!$A$2,$AZ59*ROUNDUP(BE59/10,0)+1,
IF($AY59=Lookup!$A$3,($AZ59+1)^BD59,
IF($AY59=Lookup!$A$4,BE59*$AZ59+1,"Error")))</f>
        <v>1</v>
      </c>
      <c r="BN59" s="229">
        <f>IF($AY59=Lookup!$A$2,$AZ59*ROUNDUP(BF59/10,0)+1,
IF($AY59=Lookup!$A$3,($AZ59+1)^BE59,
IF($AY59=Lookup!$A$4,BF59*$AZ59+1,"Error")))</f>
        <v>1</v>
      </c>
      <c r="BO59" s="229">
        <f>IF($AY59=Lookup!$A$2,$AZ59*ROUNDUP(BG59/10,0)+1,
IF($AY59=Lookup!$A$3,($AZ59+1)^BF59,
IF($AY59=Lookup!$A$4,BG59*$AZ59+1,"Error")))</f>
        <v>1</v>
      </c>
      <c r="BP59" s="249">
        <f>IF($AY59=Lookup!$A$2,$AZ59*ROUNDUP(BH59/10,0)+1,
IF($AY59=Lookup!$A$3,($AZ59+1)^BG59,
IF($AY59=Lookup!$A$4,BH59*$AZ59+1,"Error")))</f>
        <v>1</v>
      </c>
      <c r="BQ59" s="320"/>
      <c r="BR59" s="321"/>
      <c r="BS59" s="321"/>
      <c r="BT59" s="321"/>
      <c r="BU59" s="321"/>
      <c r="BV59" s="321"/>
      <c r="BW59" s="321"/>
      <c r="BX59" s="277"/>
      <c r="BY59" s="382" t="s">
        <v>292</v>
      </c>
      <c r="BZ59" s="383">
        <f>HLOOKUP($BY59,$AH$6:$AJ$132,ROWS(BZ$6:BZ59),0)</f>
        <v>0</v>
      </c>
      <c r="CA59" s="239">
        <f t="shared" si="28"/>
        <v>0</v>
      </c>
      <c r="CB59" s="140">
        <f t="shared" si="28"/>
        <v>0</v>
      </c>
      <c r="CC59" s="140">
        <f t="shared" si="28"/>
        <v>0</v>
      </c>
      <c r="CD59" s="140">
        <f t="shared" si="28"/>
        <v>0</v>
      </c>
      <c r="CE59" s="140">
        <f t="shared" si="41"/>
        <v>0</v>
      </c>
      <c r="CF59" s="140">
        <f t="shared" si="41"/>
        <v>0</v>
      </c>
      <c r="CG59" s="140">
        <f t="shared" si="41"/>
        <v>0</v>
      </c>
      <c r="CH59" s="291">
        <f t="shared" si="41"/>
        <v>0</v>
      </c>
      <c r="CI59" s="305" t="s">
        <v>293</v>
      </c>
      <c r="CJ59" s="315">
        <v>0.05</v>
      </c>
      <c r="CK59" s="306"/>
      <c r="CL59" s="307" t="str">
        <f>IF($CK59&lt;&gt;"",$CK59,HLOOKUP($CI59,$AU$6:$AW$132,ROWS(CL$6:CL59),0))</f>
        <v/>
      </c>
      <c r="CM59" s="97"/>
      <c r="CN59" s="97"/>
      <c r="CO59" s="97"/>
      <c r="CP59" s="97"/>
      <c r="CQ59" s="97"/>
      <c r="CR59" s="97"/>
      <c r="CS59" s="97"/>
      <c r="CT59" s="98"/>
      <c r="CU59" s="392"/>
    </row>
    <row r="60" spans="1:99" x14ac:dyDescent="0.25">
      <c r="A60" s="81" t="s">
        <v>106</v>
      </c>
      <c r="B60" s="82" t="s">
        <v>342</v>
      </c>
      <c r="C60" s="83" t="s">
        <v>343</v>
      </c>
      <c r="D60" s="84"/>
      <c r="E60" s="85"/>
      <c r="F60" s="85"/>
      <c r="G60" s="85"/>
      <c r="H60" s="85"/>
      <c r="I60" s="85"/>
      <c r="J60" s="85"/>
      <c r="K60" s="85"/>
      <c r="L60" s="85"/>
      <c r="M60" s="201"/>
      <c r="N60" s="560">
        <f t="shared" si="21"/>
        <v>0</v>
      </c>
      <c r="O60" s="561">
        <f t="shared" si="0"/>
        <v>0</v>
      </c>
      <c r="P60" s="561">
        <f t="shared" si="1"/>
        <v>0</v>
      </c>
      <c r="Q60" s="561">
        <f t="shared" si="2"/>
        <v>0</v>
      </c>
      <c r="R60" s="561">
        <f t="shared" si="3"/>
        <v>0</v>
      </c>
      <c r="S60" s="561">
        <f t="shared" si="4"/>
        <v>0</v>
      </c>
      <c r="T60" s="561">
        <f t="shared" si="5"/>
        <v>0</v>
      </c>
      <c r="U60" s="561">
        <f t="shared" si="6"/>
        <v>0</v>
      </c>
      <c r="V60" s="561">
        <f t="shared" si="7"/>
        <v>0</v>
      </c>
      <c r="W60" s="562">
        <f t="shared" si="8"/>
        <v>0</v>
      </c>
      <c r="X60" s="86"/>
      <c r="Y60" s="87"/>
      <c r="Z60" s="87"/>
      <c r="AA60" s="87"/>
      <c r="AB60" s="87"/>
      <c r="AC60" s="87"/>
      <c r="AD60" s="87"/>
      <c r="AE60" s="87"/>
      <c r="AF60" s="87"/>
      <c r="AG60" s="194"/>
      <c r="AH60" s="127">
        <f t="shared" si="22"/>
        <v>0</v>
      </c>
      <c r="AI60" s="128" t="str" cm="1">
        <f t="array" aca="1" ref="AI60" ca="1">IFERROR(IF($AJ$4="N",SSUM(AD60:AF60)/3,SUM(AE60:AG60)/3),"")</f>
        <v/>
      </c>
      <c r="AJ60" s="129">
        <f t="shared" si="23"/>
        <v>0</v>
      </c>
      <c r="AK60" s="91" t="str">
        <f t="shared" si="30"/>
        <v/>
      </c>
      <c r="AL60" s="92" t="str">
        <f t="shared" si="31"/>
        <v/>
      </c>
      <c r="AM60" s="92" t="str">
        <f t="shared" si="32"/>
        <v/>
      </c>
      <c r="AN60" s="92" t="str">
        <f t="shared" si="33"/>
        <v/>
      </c>
      <c r="AO60" s="92" t="str">
        <f t="shared" si="34"/>
        <v/>
      </c>
      <c r="AP60" s="92" t="str">
        <f t="shared" si="35"/>
        <v/>
      </c>
      <c r="AQ60" s="92" t="str">
        <f t="shared" si="36"/>
        <v/>
      </c>
      <c r="AR60" s="92" t="str">
        <f t="shared" si="37"/>
        <v/>
      </c>
      <c r="AS60" s="92" t="str">
        <f t="shared" si="38"/>
        <v/>
      </c>
      <c r="AT60" s="217" t="str">
        <f t="shared" si="39"/>
        <v/>
      </c>
      <c r="AU60" s="93" t="str">
        <f t="shared" si="24"/>
        <v/>
      </c>
      <c r="AV60" s="94" t="str">
        <f t="shared" si="25"/>
        <v/>
      </c>
      <c r="AW60" s="95" t="str">
        <f t="shared" si="26"/>
        <v/>
      </c>
      <c r="AX60" s="248" t="s">
        <v>422</v>
      </c>
      <c r="AY60" s="229" t="s">
        <v>433</v>
      </c>
      <c r="AZ60" s="249">
        <v>0</v>
      </c>
      <c r="BA60" s="267">
        <f t="shared" si="27"/>
        <v>0</v>
      </c>
      <c r="BB60" s="268">
        <f t="shared" si="42"/>
        <v>0</v>
      </c>
      <c r="BC60" s="268">
        <f t="shared" si="42"/>
        <v>0</v>
      </c>
      <c r="BD60" s="268">
        <f t="shared" si="42"/>
        <v>1</v>
      </c>
      <c r="BE60" s="268">
        <f t="shared" si="42"/>
        <v>2</v>
      </c>
      <c r="BF60" s="268">
        <f t="shared" si="42"/>
        <v>3</v>
      </c>
      <c r="BG60" s="268">
        <f t="shared" si="42"/>
        <v>4</v>
      </c>
      <c r="BH60" s="269">
        <f t="shared" si="42"/>
        <v>5</v>
      </c>
      <c r="BI60" s="256">
        <f>IF($AY60=Lookup!$A$2,$AZ60*ROUNDUP(BA60/10,0)+1,
IF($AY60=Lookup!$A$3,($AZ60+1)^AZ60,
IF($AY60=Lookup!$A$4,BA60*$AZ60+1,"Error")))</f>
        <v>1</v>
      </c>
      <c r="BJ60" s="229">
        <f>IF($AY60=Lookup!$A$2,$AZ60*ROUNDUP(BB60/10,0)+1,
IF($AY60=Lookup!$A$3,($AZ60+1)^BA60,
IF($AY60=Lookup!$A$4,BB60*$AZ60+1,"Error")))</f>
        <v>1</v>
      </c>
      <c r="BK60" s="229">
        <f>IF($AY60=Lookup!$A$2,$AZ60*ROUNDUP(BC60/10,0)+1,
IF($AY60=Lookup!$A$3,($AZ60+1)^BB60,
IF($AY60=Lookup!$A$4,BC60*$AZ60+1,"Error")))</f>
        <v>1</v>
      </c>
      <c r="BL60" s="229">
        <f>IF($AY60=Lookup!$A$2,$AZ60*ROUNDUP(BD60/10,0)+1,
IF($AY60=Lookup!$A$3,($AZ60+1)^BC60,
IF($AY60=Lookup!$A$4,BD60*$AZ60+1,"Error")))</f>
        <v>1</v>
      </c>
      <c r="BM60" s="229">
        <f>IF($AY60=Lookup!$A$2,$AZ60*ROUNDUP(BE60/10,0)+1,
IF($AY60=Lookup!$A$3,($AZ60+1)^BD60,
IF($AY60=Lookup!$A$4,BE60*$AZ60+1,"Error")))</f>
        <v>1</v>
      </c>
      <c r="BN60" s="229">
        <f>IF($AY60=Lookup!$A$2,$AZ60*ROUNDUP(BF60/10,0)+1,
IF($AY60=Lookup!$A$3,($AZ60+1)^BE60,
IF($AY60=Lookup!$A$4,BF60*$AZ60+1,"Error")))</f>
        <v>1</v>
      </c>
      <c r="BO60" s="229">
        <f>IF($AY60=Lookup!$A$2,$AZ60*ROUNDUP(BG60/10,0)+1,
IF($AY60=Lookup!$A$3,($AZ60+1)^BF60,
IF($AY60=Lookup!$A$4,BG60*$AZ60+1,"Error")))</f>
        <v>1</v>
      </c>
      <c r="BP60" s="249">
        <f>IF($AY60=Lookup!$A$2,$AZ60*ROUNDUP(BH60/10,0)+1,
IF($AY60=Lookup!$A$3,($AZ60+1)^BG60,
IF($AY60=Lookup!$A$4,BH60*$AZ60+1,"Error")))</f>
        <v>1</v>
      </c>
      <c r="BQ60" s="320"/>
      <c r="BR60" s="321"/>
      <c r="BS60" s="321"/>
      <c r="BT60" s="321"/>
      <c r="BU60" s="321"/>
      <c r="BV60" s="321"/>
      <c r="BW60" s="321"/>
      <c r="BX60" s="277"/>
      <c r="BY60" s="382" t="s">
        <v>292</v>
      </c>
      <c r="BZ60" s="383">
        <f>HLOOKUP($BY60,$AH$6:$AJ$132,ROWS(BZ$6:BZ60),0)</f>
        <v>0</v>
      </c>
      <c r="CA60" s="239">
        <f t="shared" si="28"/>
        <v>0</v>
      </c>
      <c r="CB60" s="140">
        <f t="shared" si="28"/>
        <v>0</v>
      </c>
      <c r="CC60" s="140">
        <f t="shared" si="28"/>
        <v>0</v>
      </c>
      <c r="CD60" s="140">
        <f t="shared" si="28"/>
        <v>0</v>
      </c>
      <c r="CE60" s="140">
        <f t="shared" si="41"/>
        <v>0</v>
      </c>
      <c r="CF60" s="140">
        <f t="shared" si="41"/>
        <v>0</v>
      </c>
      <c r="CG60" s="140">
        <f t="shared" si="41"/>
        <v>0</v>
      </c>
      <c r="CH60" s="291">
        <f t="shared" si="41"/>
        <v>0</v>
      </c>
      <c r="CI60" s="305" t="s">
        <v>293</v>
      </c>
      <c r="CJ60" s="315">
        <v>0.05</v>
      </c>
      <c r="CK60" s="306"/>
      <c r="CL60" s="307" t="str">
        <f>IF($CK60&lt;&gt;"",$CK60,HLOOKUP($CI60,$AU$6:$AW$132,ROWS(CL$6:CL60),0))</f>
        <v/>
      </c>
      <c r="CM60" s="97"/>
      <c r="CN60" s="97"/>
      <c r="CO60" s="97"/>
      <c r="CP60" s="97"/>
      <c r="CQ60" s="97"/>
      <c r="CR60" s="97"/>
      <c r="CS60" s="97"/>
      <c r="CT60" s="98"/>
      <c r="CU60" s="392"/>
    </row>
    <row r="61" spans="1:99" x14ac:dyDescent="0.25">
      <c r="A61" s="81" t="s">
        <v>106</v>
      </c>
      <c r="B61" s="82" t="s">
        <v>344</v>
      </c>
      <c r="C61" s="83" t="s">
        <v>345</v>
      </c>
      <c r="D61" s="84"/>
      <c r="E61" s="85"/>
      <c r="F61" s="85"/>
      <c r="G61" s="85"/>
      <c r="H61" s="85"/>
      <c r="I61" s="85"/>
      <c r="J61" s="85"/>
      <c r="K61" s="85"/>
      <c r="L61" s="85"/>
      <c r="M61" s="201"/>
      <c r="N61" s="560">
        <f t="shared" si="21"/>
        <v>0</v>
      </c>
      <c r="O61" s="561">
        <f t="shared" si="0"/>
        <v>0</v>
      </c>
      <c r="P61" s="561">
        <f t="shared" si="1"/>
        <v>0</v>
      </c>
      <c r="Q61" s="561">
        <f t="shared" si="2"/>
        <v>0</v>
      </c>
      <c r="R61" s="561">
        <f t="shared" si="3"/>
        <v>0</v>
      </c>
      <c r="S61" s="561">
        <f t="shared" si="4"/>
        <v>0</v>
      </c>
      <c r="T61" s="561">
        <f t="shared" si="5"/>
        <v>0</v>
      </c>
      <c r="U61" s="561">
        <f t="shared" si="6"/>
        <v>0</v>
      </c>
      <c r="V61" s="561">
        <f t="shared" si="7"/>
        <v>0</v>
      </c>
      <c r="W61" s="562">
        <f t="shared" si="8"/>
        <v>0</v>
      </c>
      <c r="X61" s="86"/>
      <c r="Y61" s="87"/>
      <c r="Z61" s="87"/>
      <c r="AA61" s="87"/>
      <c r="AB61" s="87"/>
      <c r="AC61" s="87"/>
      <c r="AD61" s="87"/>
      <c r="AE61" s="87"/>
      <c r="AF61" s="87"/>
      <c r="AG61" s="194"/>
      <c r="AH61" s="127">
        <f t="shared" si="22"/>
        <v>0</v>
      </c>
      <c r="AI61" s="128" t="str" cm="1">
        <f t="array" aca="1" ref="AI61" ca="1">IFERROR(IF($AJ$4="N",SSUM(AD61:AF61)/3,SUM(AE61:AG61)/3),"")</f>
        <v/>
      </c>
      <c r="AJ61" s="129">
        <f t="shared" si="23"/>
        <v>0</v>
      </c>
      <c r="AK61" s="91" t="str">
        <f t="shared" si="30"/>
        <v/>
      </c>
      <c r="AL61" s="92" t="str">
        <f t="shared" si="31"/>
        <v/>
      </c>
      <c r="AM61" s="92" t="str">
        <f t="shared" si="32"/>
        <v/>
      </c>
      <c r="AN61" s="92" t="str">
        <f t="shared" si="33"/>
        <v/>
      </c>
      <c r="AO61" s="92" t="str">
        <f t="shared" si="34"/>
        <v/>
      </c>
      <c r="AP61" s="92" t="str">
        <f t="shared" si="35"/>
        <v/>
      </c>
      <c r="AQ61" s="92" t="str">
        <f t="shared" si="36"/>
        <v/>
      </c>
      <c r="AR61" s="92" t="str">
        <f t="shared" si="37"/>
        <v/>
      </c>
      <c r="AS61" s="92" t="str">
        <f t="shared" si="38"/>
        <v/>
      </c>
      <c r="AT61" s="217" t="str">
        <f t="shared" si="39"/>
        <v/>
      </c>
      <c r="AU61" s="93" t="str">
        <f t="shared" si="24"/>
        <v/>
      </c>
      <c r="AV61" s="94" t="str">
        <f t="shared" si="25"/>
        <v/>
      </c>
      <c r="AW61" s="95" t="str">
        <f t="shared" si="26"/>
        <v/>
      </c>
      <c r="AX61" s="248" t="s">
        <v>422</v>
      </c>
      <c r="AY61" s="229" t="s">
        <v>433</v>
      </c>
      <c r="AZ61" s="249">
        <v>0</v>
      </c>
      <c r="BA61" s="267">
        <f t="shared" si="27"/>
        <v>0</v>
      </c>
      <c r="BB61" s="268">
        <f t="shared" si="42"/>
        <v>0</v>
      </c>
      <c r="BC61" s="268">
        <f t="shared" si="42"/>
        <v>0</v>
      </c>
      <c r="BD61" s="268">
        <f t="shared" si="42"/>
        <v>1</v>
      </c>
      <c r="BE61" s="268">
        <f t="shared" si="42"/>
        <v>2</v>
      </c>
      <c r="BF61" s="268">
        <f t="shared" si="42"/>
        <v>3</v>
      </c>
      <c r="BG61" s="268">
        <f t="shared" si="42"/>
        <v>4</v>
      </c>
      <c r="BH61" s="269">
        <f t="shared" si="42"/>
        <v>5</v>
      </c>
      <c r="BI61" s="256">
        <f>IF($AY61=Lookup!$A$2,$AZ61*ROUNDUP(BA61/10,0)+1,
IF($AY61=Lookup!$A$3,($AZ61+1)^AZ61,
IF($AY61=Lookup!$A$4,BA61*$AZ61+1,"Error")))</f>
        <v>1</v>
      </c>
      <c r="BJ61" s="229">
        <f>IF($AY61=Lookup!$A$2,$AZ61*ROUNDUP(BB61/10,0)+1,
IF($AY61=Lookup!$A$3,($AZ61+1)^BA61,
IF($AY61=Lookup!$A$4,BB61*$AZ61+1,"Error")))</f>
        <v>1</v>
      </c>
      <c r="BK61" s="229">
        <f>IF($AY61=Lookup!$A$2,$AZ61*ROUNDUP(BC61/10,0)+1,
IF($AY61=Lookup!$A$3,($AZ61+1)^BB61,
IF($AY61=Lookup!$A$4,BC61*$AZ61+1,"Error")))</f>
        <v>1</v>
      </c>
      <c r="BL61" s="229">
        <f>IF($AY61=Lookup!$A$2,$AZ61*ROUNDUP(BD61/10,0)+1,
IF($AY61=Lookup!$A$3,($AZ61+1)^BC61,
IF($AY61=Lookup!$A$4,BD61*$AZ61+1,"Error")))</f>
        <v>1</v>
      </c>
      <c r="BM61" s="229">
        <f>IF($AY61=Lookup!$A$2,$AZ61*ROUNDUP(BE61/10,0)+1,
IF($AY61=Lookup!$A$3,($AZ61+1)^BD61,
IF($AY61=Lookup!$A$4,BE61*$AZ61+1,"Error")))</f>
        <v>1</v>
      </c>
      <c r="BN61" s="229">
        <f>IF($AY61=Lookup!$A$2,$AZ61*ROUNDUP(BF61/10,0)+1,
IF($AY61=Lookup!$A$3,($AZ61+1)^BE61,
IF($AY61=Lookup!$A$4,BF61*$AZ61+1,"Error")))</f>
        <v>1</v>
      </c>
      <c r="BO61" s="229">
        <f>IF($AY61=Lookup!$A$2,$AZ61*ROUNDUP(BG61/10,0)+1,
IF($AY61=Lookup!$A$3,($AZ61+1)^BF61,
IF($AY61=Lookup!$A$4,BG61*$AZ61+1,"Error")))</f>
        <v>1</v>
      </c>
      <c r="BP61" s="249">
        <f>IF($AY61=Lookup!$A$2,$AZ61*ROUNDUP(BH61/10,0)+1,
IF($AY61=Lookup!$A$3,($AZ61+1)^BG61,
IF($AY61=Lookup!$A$4,BH61*$AZ61+1,"Error")))</f>
        <v>1</v>
      </c>
      <c r="BQ61" s="320"/>
      <c r="BR61" s="321"/>
      <c r="BS61" s="321"/>
      <c r="BT61" s="321"/>
      <c r="BU61" s="321"/>
      <c r="BV61" s="321"/>
      <c r="BW61" s="321"/>
      <c r="BX61" s="277"/>
      <c r="BY61" s="382" t="s">
        <v>292</v>
      </c>
      <c r="BZ61" s="383">
        <f>HLOOKUP($BY61,$AH$6:$AJ$132,ROWS(BZ$6:BZ61),0)</f>
        <v>0</v>
      </c>
      <c r="CA61" s="239">
        <f t="shared" si="28"/>
        <v>0</v>
      </c>
      <c r="CB61" s="140">
        <f t="shared" si="28"/>
        <v>0</v>
      </c>
      <c r="CC61" s="140">
        <f t="shared" si="28"/>
        <v>0</v>
      </c>
      <c r="CD61" s="140">
        <f t="shared" si="28"/>
        <v>0</v>
      </c>
      <c r="CE61" s="140">
        <f t="shared" si="41"/>
        <v>0</v>
      </c>
      <c r="CF61" s="140">
        <f t="shared" si="41"/>
        <v>0</v>
      </c>
      <c r="CG61" s="140">
        <f t="shared" si="41"/>
        <v>0</v>
      </c>
      <c r="CH61" s="291">
        <f t="shared" si="41"/>
        <v>0</v>
      </c>
      <c r="CI61" s="305" t="s">
        <v>293</v>
      </c>
      <c r="CJ61" s="315">
        <v>0.05</v>
      </c>
      <c r="CK61" s="306"/>
      <c r="CL61" s="307" t="str">
        <f>IF($CK61&lt;&gt;"",$CK61,HLOOKUP($CI61,$AU$6:$AW$132,ROWS(CL$6:CL61),0))</f>
        <v/>
      </c>
      <c r="CM61" s="97"/>
      <c r="CN61" s="97"/>
      <c r="CO61" s="97"/>
      <c r="CP61" s="97"/>
      <c r="CQ61" s="97"/>
      <c r="CR61" s="97"/>
      <c r="CS61" s="97"/>
      <c r="CT61" s="98"/>
      <c r="CU61" s="392"/>
    </row>
    <row r="62" spans="1:99" x14ac:dyDescent="0.25">
      <c r="A62" s="81" t="s">
        <v>106</v>
      </c>
      <c r="B62" s="82" t="s">
        <v>346</v>
      </c>
      <c r="C62" s="83" t="s">
        <v>347</v>
      </c>
      <c r="D62" s="84"/>
      <c r="E62" s="85"/>
      <c r="F62" s="85"/>
      <c r="G62" s="85"/>
      <c r="H62" s="85"/>
      <c r="I62" s="85"/>
      <c r="J62" s="85"/>
      <c r="K62" s="85"/>
      <c r="L62" s="85"/>
      <c r="M62" s="201"/>
      <c r="N62" s="560">
        <f t="shared" si="21"/>
        <v>0</v>
      </c>
      <c r="O62" s="561">
        <f t="shared" si="0"/>
        <v>0</v>
      </c>
      <c r="P62" s="561">
        <f t="shared" si="1"/>
        <v>0</v>
      </c>
      <c r="Q62" s="561">
        <f t="shared" si="2"/>
        <v>0</v>
      </c>
      <c r="R62" s="561">
        <f t="shared" si="3"/>
        <v>0</v>
      </c>
      <c r="S62" s="561">
        <f t="shared" si="4"/>
        <v>0</v>
      </c>
      <c r="T62" s="561">
        <f t="shared" si="5"/>
        <v>0</v>
      </c>
      <c r="U62" s="561">
        <f t="shared" si="6"/>
        <v>0</v>
      </c>
      <c r="V62" s="561">
        <f t="shared" si="7"/>
        <v>0</v>
      </c>
      <c r="W62" s="562">
        <f t="shared" si="8"/>
        <v>0</v>
      </c>
      <c r="X62" s="86"/>
      <c r="Y62" s="87"/>
      <c r="Z62" s="87"/>
      <c r="AA62" s="87"/>
      <c r="AB62" s="87"/>
      <c r="AC62" s="87"/>
      <c r="AD62" s="87"/>
      <c r="AE62" s="87"/>
      <c r="AF62" s="87"/>
      <c r="AG62" s="194"/>
      <c r="AH62" s="127">
        <f t="shared" si="22"/>
        <v>0</v>
      </c>
      <c r="AI62" s="128" t="str" cm="1">
        <f t="array" aca="1" ref="AI62" ca="1">IFERROR(IF($AJ$4="N",SSUM(AD62:AF62)/3,SUM(AE62:AG62)/3),"")</f>
        <v/>
      </c>
      <c r="AJ62" s="129">
        <f t="shared" si="23"/>
        <v>0</v>
      </c>
      <c r="AK62" s="91" t="str">
        <f t="shared" si="30"/>
        <v/>
      </c>
      <c r="AL62" s="92" t="str">
        <f t="shared" si="31"/>
        <v/>
      </c>
      <c r="AM62" s="92" t="str">
        <f t="shared" si="32"/>
        <v/>
      </c>
      <c r="AN62" s="92" t="str">
        <f t="shared" si="33"/>
        <v/>
      </c>
      <c r="AO62" s="92" t="str">
        <f t="shared" si="34"/>
        <v/>
      </c>
      <c r="AP62" s="92" t="str">
        <f t="shared" si="35"/>
        <v/>
      </c>
      <c r="AQ62" s="92" t="str">
        <f t="shared" si="36"/>
        <v/>
      </c>
      <c r="AR62" s="92" t="str">
        <f t="shared" si="37"/>
        <v/>
      </c>
      <c r="AS62" s="92" t="str">
        <f t="shared" si="38"/>
        <v/>
      </c>
      <c r="AT62" s="217" t="str">
        <f t="shared" si="39"/>
        <v/>
      </c>
      <c r="AU62" s="93" t="str">
        <f t="shared" si="24"/>
        <v/>
      </c>
      <c r="AV62" s="94" t="str">
        <f t="shared" si="25"/>
        <v/>
      </c>
      <c r="AW62" s="95" t="str">
        <f t="shared" si="26"/>
        <v/>
      </c>
      <c r="AX62" s="248" t="s">
        <v>422</v>
      </c>
      <c r="AY62" s="229" t="s">
        <v>433</v>
      </c>
      <c r="AZ62" s="249">
        <v>0</v>
      </c>
      <c r="BA62" s="267">
        <f t="shared" si="27"/>
        <v>0</v>
      </c>
      <c r="BB62" s="268">
        <f t="shared" si="42"/>
        <v>0</v>
      </c>
      <c r="BC62" s="268">
        <f t="shared" si="42"/>
        <v>0</v>
      </c>
      <c r="BD62" s="268">
        <f t="shared" si="42"/>
        <v>1</v>
      </c>
      <c r="BE62" s="268">
        <f t="shared" si="42"/>
        <v>2</v>
      </c>
      <c r="BF62" s="268">
        <f t="shared" si="42"/>
        <v>3</v>
      </c>
      <c r="BG62" s="268">
        <f t="shared" si="42"/>
        <v>4</v>
      </c>
      <c r="BH62" s="269">
        <f t="shared" si="42"/>
        <v>5</v>
      </c>
      <c r="BI62" s="256">
        <f>IF($AY62=Lookup!$A$2,$AZ62*ROUNDUP(BA62/10,0)+1,
IF($AY62=Lookup!$A$3,($AZ62+1)^AZ62,
IF($AY62=Lookup!$A$4,BA62*$AZ62+1,"Error")))</f>
        <v>1</v>
      </c>
      <c r="BJ62" s="229">
        <f>IF($AY62=Lookup!$A$2,$AZ62*ROUNDUP(BB62/10,0)+1,
IF($AY62=Lookup!$A$3,($AZ62+1)^BA62,
IF($AY62=Lookup!$A$4,BB62*$AZ62+1,"Error")))</f>
        <v>1</v>
      </c>
      <c r="BK62" s="229">
        <f>IF($AY62=Lookup!$A$2,$AZ62*ROUNDUP(BC62/10,0)+1,
IF($AY62=Lookup!$A$3,($AZ62+1)^BB62,
IF($AY62=Lookup!$A$4,BC62*$AZ62+1,"Error")))</f>
        <v>1</v>
      </c>
      <c r="BL62" s="229">
        <f>IF($AY62=Lookup!$A$2,$AZ62*ROUNDUP(BD62/10,0)+1,
IF($AY62=Lookup!$A$3,($AZ62+1)^BC62,
IF($AY62=Lookup!$A$4,BD62*$AZ62+1,"Error")))</f>
        <v>1</v>
      </c>
      <c r="BM62" s="229">
        <f>IF($AY62=Lookup!$A$2,$AZ62*ROUNDUP(BE62/10,0)+1,
IF($AY62=Lookup!$A$3,($AZ62+1)^BD62,
IF($AY62=Lookup!$A$4,BE62*$AZ62+1,"Error")))</f>
        <v>1</v>
      </c>
      <c r="BN62" s="229">
        <f>IF($AY62=Lookup!$A$2,$AZ62*ROUNDUP(BF62/10,0)+1,
IF($AY62=Lookup!$A$3,($AZ62+1)^BE62,
IF($AY62=Lookup!$A$4,BF62*$AZ62+1,"Error")))</f>
        <v>1</v>
      </c>
      <c r="BO62" s="229">
        <f>IF($AY62=Lookup!$A$2,$AZ62*ROUNDUP(BG62/10,0)+1,
IF($AY62=Lookup!$A$3,($AZ62+1)^BF62,
IF($AY62=Lookup!$A$4,BG62*$AZ62+1,"Error")))</f>
        <v>1</v>
      </c>
      <c r="BP62" s="249">
        <f>IF($AY62=Lookup!$A$2,$AZ62*ROUNDUP(BH62/10,0)+1,
IF($AY62=Lookup!$A$3,($AZ62+1)^BG62,
IF($AY62=Lookup!$A$4,BH62*$AZ62+1,"Error")))</f>
        <v>1</v>
      </c>
      <c r="BQ62" s="320"/>
      <c r="BR62" s="321"/>
      <c r="BS62" s="321"/>
      <c r="BT62" s="321"/>
      <c r="BU62" s="321"/>
      <c r="BV62" s="321"/>
      <c r="BW62" s="321"/>
      <c r="BX62" s="277"/>
      <c r="BY62" s="382" t="s">
        <v>292</v>
      </c>
      <c r="BZ62" s="383">
        <f>HLOOKUP($BY62,$AH$6:$AJ$132,ROWS(BZ$6:BZ62),0)</f>
        <v>0</v>
      </c>
      <c r="CA62" s="239">
        <f t="shared" si="28"/>
        <v>0</v>
      </c>
      <c r="CB62" s="140">
        <f t="shared" si="28"/>
        <v>0</v>
      </c>
      <c r="CC62" s="140">
        <f t="shared" si="28"/>
        <v>0</v>
      </c>
      <c r="CD62" s="140">
        <f t="shared" si="28"/>
        <v>0</v>
      </c>
      <c r="CE62" s="140">
        <f t="shared" si="41"/>
        <v>0</v>
      </c>
      <c r="CF62" s="140">
        <f t="shared" si="41"/>
        <v>0</v>
      </c>
      <c r="CG62" s="140">
        <f t="shared" si="41"/>
        <v>0</v>
      </c>
      <c r="CH62" s="291">
        <f t="shared" si="41"/>
        <v>0</v>
      </c>
      <c r="CI62" s="305" t="s">
        <v>293</v>
      </c>
      <c r="CJ62" s="315">
        <v>0.05</v>
      </c>
      <c r="CK62" s="306"/>
      <c r="CL62" s="307" t="str">
        <f>IF($CK62&lt;&gt;"",$CK62,HLOOKUP($CI62,$AU$6:$AW$132,ROWS(CL$6:CL62),0))</f>
        <v/>
      </c>
      <c r="CM62" s="97"/>
      <c r="CN62" s="97"/>
      <c r="CO62" s="97"/>
      <c r="CP62" s="97"/>
      <c r="CQ62" s="97"/>
      <c r="CR62" s="97"/>
      <c r="CS62" s="97"/>
      <c r="CT62" s="98"/>
      <c r="CU62" s="392"/>
    </row>
    <row r="63" spans="1:99" x14ac:dyDescent="0.25">
      <c r="A63" s="81" t="s">
        <v>106</v>
      </c>
      <c r="B63" s="82" t="s">
        <v>348</v>
      </c>
      <c r="C63" s="83" t="s">
        <v>349</v>
      </c>
      <c r="D63" s="84"/>
      <c r="E63" s="85"/>
      <c r="F63" s="85"/>
      <c r="G63" s="85"/>
      <c r="H63" s="85"/>
      <c r="I63" s="85"/>
      <c r="J63" s="85"/>
      <c r="K63" s="85"/>
      <c r="L63" s="85"/>
      <c r="M63" s="201"/>
      <c r="N63" s="560">
        <f t="shared" si="21"/>
        <v>0</v>
      </c>
      <c r="O63" s="561">
        <f t="shared" si="0"/>
        <v>0</v>
      </c>
      <c r="P63" s="561">
        <f t="shared" si="1"/>
        <v>0</v>
      </c>
      <c r="Q63" s="561">
        <f t="shared" si="2"/>
        <v>0</v>
      </c>
      <c r="R63" s="561">
        <f t="shared" si="3"/>
        <v>0</v>
      </c>
      <c r="S63" s="561">
        <f t="shared" si="4"/>
        <v>0</v>
      </c>
      <c r="T63" s="561">
        <f t="shared" si="5"/>
        <v>0</v>
      </c>
      <c r="U63" s="561">
        <f t="shared" si="6"/>
        <v>0</v>
      </c>
      <c r="V63" s="561">
        <f t="shared" si="7"/>
        <v>0</v>
      </c>
      <c r="W63" s="562">
        <f t="shared" si="8"/>
        <v>0</v>
      </c>
      <c r="X63" s="86"/>
      <c r="Y63" s="87"/>
      <c r="Z63" s="87"/>
      <c r="AA63" s="87"/>
      <c r="AB63" s="87"/>
      <c r="AC63" s="87"/>
      <c r="AD63" s="87"/>
      <c r="AE63" s="87"/>
      <c r="AF63" s="87"/>
      <c r="AG63" s="194"/>
      <c r="AH63" s="127">
        <f t="shared" si="22"/>
        <v>0</v>
      </c>
      <c r="AI63" s="128" t="str" cm="1">
        <f t="array" aca="1" ref="AI63" ca="1">IFERROR(IF($AJ$4="N",SSUM(AD63:AF63)/3,SUM(AE63:AG63)/3),"")</f>
        <v/>
      </c>
      <c r="AJ63" s="129">
        <f t="shared" si="23"/>
        <v>0</v>
      </c>
      <c r="AK63" s="91" t="str">
        <f t="shared" si="30"/>
        <v/>
      </c>
      <c r="AL63" s="92" t="str">
        <f t="shared" si="31"/>
        <v/>
      </c>
      <c r="AM63" s="92" t="str">
        <f t="shared" si="32"/>
        <v/>
      </c>
      <c r="AN63" s="92" t="str">
        <f t="shared" si="33"/>
        <v/>
      </c>
      <c r="AO63" s="92" t="str">
        <f t="shared" si="34"/>
        <v/>
      </c>
      <c r="AP63" s="92" t="str">
        <f t="shared" si="35"/>
        <v/>
      </c>
      <c r="AQ63" s="92" t="str">
        <f t="shared" si="36"/>
        <v/>
      </c>
      <c r="AR63" s="92" t="str">
        <f t="shared" si="37"/>
        <v/>
      </c>
      <c r="AS63" s="92" t="str">
        <f t="shared" si="38"/>
        <v/>
      </c>
      <c r="AT63" s="217" t="str">
        <f t="shared" si="39"/>
        <v/>
      </c>
      <c r="AU63" s="93" t="str">
        <f t="shared" si="24"/>
        <v/>
      </c>
      <c r="AV63" s="94" t="str">
        <f t="shared" si="25"/>
        <v/>
      </c>
      <c r="AW63" s="95" t="str">
        <f t="shared" si="26"/>
        <v/>
      </c>
      <c r="AX63" s="248" t="s">
        <v>422</v>
      </c>
      <c r="AY63" s="229" t="s">
        <v>433</v>
      </c>
      <c r="AZ63" s="249">
        <v>0</v>
      </c>
      <c r="BA63" s="267">
        <f t="shared" si="27"/>
        <v>0</v>
      </c>
      <c r="BB63" s="268">
        <f t="shared" si="42"/>
        <v>0</v>
      </c>
      <c r="BC63" s="268">
        <f t="shared" si="42"/>
        <v>0</v>
      </c>
      <c r="BD63" s="268">
        <f t="shared" si="42"/>
        <v>1</v>
      </c>
      <c r="BE63" s="268">
        <f t="shared" si="42"/>
        <v>2</v>
      </c>
      <c r="BF63" s="268">
        <f t="shared" si="42"/>
        <v>3</v>
      </c>
      <c r="BG63" s="268">
        <f t="shared" si="42"/>
        <v>4</v>
      </c>
      <c r="BH63" s="269">
        <f t="shared" si="42"/>
        <v>5</v>
      </c>
      <c r="BI63" s="256">
        <f>IF($AY63=Lookup!$A$2,$AZ63*ROUNDUP(BA63/10,0)+1,
IF($AY63=Lookup!$A$3,($AZ63+1)^AZ63,
IF($AY63=Lookup!$A$4,BA63*$AZ63+1,"Error")))</f>
        <v>1</v>
      </c>
      <c r="BJ63" s="229">
        <f>IF($AY63=Lookup!$A$2,$AZ63*ROUNDUP(BB63/10,0)+1,
IF($AY63=Lookup!$A$3,($AZ63+1)^BA63,
IF($AY63=Lookup!$A$4,BB63*$AZ63+1,"Error")))</f>
        <v>1</v>
      </c>
      <c r="BK63" s="229">
        <f>IF($AY63=Lookup!$A$2,$AZ63*ROUNDUP(BC63/10,0)+1,
IF($AY63=Lookup!$A$3,($AZ63+1)^BB63,
IF($AY63=Lookup!$A$4,BC63*$AZ63+1,"Error")))</f>
        <v>1</v>
      </c>
      <c r="BL63" s="229">
        <f>IF($AY63=Lookup!$A$2,$AZ63*ROUNDUP(BD63/10,0)+1,
IF($AY63=Lookup!$A$3,($AZ63+1)^BC63,
IF($AY63=Lookup!$A$4,BD63*$AZ63+1,"Error")))</f>
        <v>1</v>
      </c>
      <c r="BM63" s="229">
        <f>IF($AY63=Lookup!$A$2,$AZ63*ROUNDUP(BE63/10,0)+1,
IF($AY63=Lookup!$A$3,($AZ63+1)^BD63,
IF($AY63=Lookup!$A$4,BE63*$AZ63+1,"Error")))</f>
        <v>1</v>
      </c>
      <c r="BN63" s="229">
        <f>IF($AY63=Lookup!$A$2,$AZ63*ROUNDUP(BF63/10,0)+1,
IF($AY63=Lookup!$A$3,($AZ63+1)^BE63,
IF($AY63=Lookup!$A$4,BF63*$AZ63+1,"Error")))</f>
        <v>1</v>
      </c>
      <c r="BO63" s="229">
        <f>IF($AY63=Lookup!$A$2,$AZ63*ROUNDUP(BG63/10,0)+1,
IF($AY63=Lookup!$A$3,($AZ63+1)^BF63,
IF($AY63=Lookup!$A$4,BG63*$AZ63+1,"Error")))</f>
        <v>1</v>
      </c>
      <c r="BP63" s="249">
        <f>IF($AY63=Lookup!$A$2,$AZ63*ROUNDUP(BH63/10,0)+1,
IF($AY63=Lookup!$A$3,($AZ63+1)^BG63,
IF($AY63=Lookup!$A$4,BH63*$AZ63+1,"Error")))</f>
        <v>1</v>
      </c>
      <c r="BQ63" s="320"/>
      <c r="BR63" s="321"/>
      <c r="BS63" s="321"/>
      <c r="BT63" s="321"/>
      <c r="BU63" s="321"/>
      <c r="BV63" s="321"/>
      <c r="BW63" s="321"/>
      <c r="BX63" s="277"/>
      <c r="BY63" s="382" t="s">
        <v>292</v>
      </c>
      <c r="BZ63" s="383">
        <f>HLOOKUP($BY63,$AH$6:$AJ$132,ROWS(BZ$6:BZ63),0)</f>
        <v>0</v>
      </c>
      <c r="CA63" s="239">
        <f t="shared" si="28"/>
        <v>0</v>
      </c>
      <c r="CB63" s="140">
        <f t="shared" si="28"/>
        <v>0</v>
      </c>
      <c r="CC63" s="140">
        <f t="shared" si="28"/>
        <v>0</v>
      </c>
      <c r="CD63" s="140">
        <f t="shared" si="28"/>
        <v>0</v>
      </c>
      <c r="CE63" s="140">
        <f t="shared" si="41"/>
        <v>0</v>
      </c>
      <c r="CF63" s="140">
        <f t="shared" si="41"/>
        <v>0</v>
      </c>
      <c r="CG63" s="140">
        <f t="shared" si="41"/>
        <v>0</v>
      </c>
      <c r="CH63" s="291">
        <f t="shared" si="41"/>
        <v>0</v>
      </c>
      <c r="CI63" s="305" t="s">
        <v>293</v>
      </c>
      <c r="CJ63" s="315">
        <v>0.05</v>
      </c>
      <c r="CK63" s="306"/>
      <c r="CL63" s="307" t="str">
        <f>IF($CK63&lt;&gt;"",$CK63,HLOOKUP($CI63,$AU$6:$AW$132,ROWS(CL$6:CL63),0))</f>
        <v/>
      </c>
      <c r="CM63" s="97"/>
      <c r="CN63" s="97"/>
      <c r="CO63" s="97"/>
      <c r="CP63" s="97"/>
      <c r="CQ63" s="97"/>
      <c r="CR63" s="97"/>
      <c r="CS63" s="97"/>
      <c r="CT63" s="98"/>
      <c r="CU63" s="392"/>
    </row>
    <row r="64" spans="1:99" x14ac:dyDescent="0.25">
      <c r="A64" s="81" t="s">
        <v>106</v>
      </c>
      <c r="B64" s="82" t="s">
        <v>350</v>
      </c>
      <c r="C64" s="83" t="s">
        <v>351</v>
      </c>
      <c r="D64" s="84"/>
      <c r="E64" s="85"/>
      <c r="F64" s="85"/>
      <c r="G64" s="85"/>
      <c r="H64" s="85"/>
      <c r="I64" s="85"/>
      <c r="J64" s="85"/>
      <c r="K64" s="85"/>
      <c r="L64" s="85"/>
      <c r="M64" s="201"/>
      <c r="N64" s="560">
        <f t="shared" si="21"/>
        <v>0</v>
      </c>
      <c r="O64" s="561">
        <f t="shared" si="0"/>
        <v>0</v>
      </c>
      <c r="P64" s="561">
        <f t="shared" si="1"/>
        <v>0</v>
      </c>
      <c r="Q64" s="561">
        <f t="shared" si="2"/>
        <v>0</v>
      </c>
      <c r="R64" s="561">
        <f t="shared" si="3"/>
        <v>0</v>
      </c>
      <c r="S64" s="561">
        <f t="shared" si="4"/>
        <v>0</v>
      </c>
      <c r="T64" s="561">
        <f t="shared" si="5"/>
        <v>0</v>
      </c>
      <c r="U64" s="561">
        <f t="shared" si="6"/>
        <v>0</v>
      </c>
      <c r="V64" s="561">
        <f t="shared" si="7"/>
        <v>0</v>
      </c>
      <c r="W64" s="562">
        <f t="shared" si="8"/>
        <v>0</v>
      </c>
      <c r="X64" s="86"/>
      <c r="Y64" s="87"/>
      <c r="Z64" s="87"/>
      <c r="AA64" s="87"/>
      <c r="AB64" s="87"/>
      <c r="AC64" s="87"/>
      <c r="AD64" s="87"/>
      <c r="AE64" s="87"/>
      <c r="AF64" s="87"/>
      <c r="AG64" s="194"/>
      <c r="AH64" s="127">
        <f t="shared" si="22"/>
        <v>0</v>
      </c>
      <c r="AI64" s="128" t="str" cm="1">
        <f t="array" aca="1" ref="AI64" ca="1">IFERROR(IF($AJ$4="N",SSUM(AD64:AF64)/3,SUM(AE64:AG64)/3),"")</f>
        <v/>
      </c>
      <c r="AJ64" s="129">
        <f t="shared" si="23"/>
        <v>0</v>
      </c>
      <c r="AK64" s="91" t="str">
        <f t="shared" si="30"/>
        <v/>
      </c>
      <c r="AL64" s="92" t="str">
        <f t="shared" si="31"/>
        <v/>
      </c>
      <c r="AM64" s="92" t="str">
        <f t="shared" si="32"/>
        <v/>
      </c>
      <c r="AN64" s="92" t="str">
        <f t="shared" si="33"/>
        <v/>
      </c>
      <c r="AO64" s="92" t="str">
        <f t="shared" si="34"/>
        <v/>
      </c>
      <c r="AP64" s="92" t="str">
        <f t="shared" si="35"/>
        <v/>
      </c>
      <c r="AQ64" s="92" t="str">
        <f t="shared" si="36"/>
        <v/>
      </c>
      <c r="AR64" s="92" t="str">
        <f t="shared" si="37"/>
        <v/>
      </c>
      <c r="AS64" s="92" t="str">
        <f t="shared" si="38"/>
        <v/>
      </c>
      <c r="AT64" s="217" t="str">
        <f t="shared" si="39"/>
        <v/>
      </c>
      <c r="AU64" s="93" t="str">
        <f t="shared" si="24"/>
        <v/>
      </c>
      <c r="AV64" s="94" t="str">
        <f t="shared" si="25"/>
        <v/>
      </c>
      <c r="AW64" s="95" t="str">
        <f t="shared" si="26"/>
        <v/>
      </c>
      <c r="AX64" s="248" t="s">
        <v>422</v>
      </c>
      <c r="AY64" s="229" t="s">
        <v>433</v>
      </c>
      <c r="AZ64" s="249">
        <v>0</v>
      </c>
      <c r="BA64" s="267">
        <f t="shared" si="27"/>
        <v>0</v>
      </c>
      <c r="BB64" s="268">
        <f t="shared" si="42"/>
        <v>0</v>
      </c>
      <c r="BC64" s="268">
        <f t="shared" si="42"/>
        <v>0</v>
      </c>
      <c r="BD64" s="268">
        <f t="shared" si="42"/>
        <v>1</v>
      </c>
      <c r="BE64" s="268">
        <f t="shared" si="42"/>
        <v>2</v>
      </c>
      <c r="BF64" s="268">
        <f t="shared" si="42"/>
        <v>3</v>
      </c>
      <c r="BG64" s="268">
        <f t="shared" si="42"/>
        <v>4</v>
      </c>
      <c r="BH64" s="269">
        <f t="shared" si="42"/>
        <v>5</v>
      </c>
      <c r="BI64" s="256">
        <f>IF($AY64=Lookup!$A$2,$AZ64*ROUNDUP(BA64/10,0)+1,
IF($AY64=Lookup!$A$3,($AZ64+1)^AZ64,
IF($AY64=Lookup!$A$4,BA64*$AZ64+1,"Error")))</f>
        <v>1</v>
      </c>
      <c r="BJ64" s="229">
        <f>IF($AY64=Lookup!$A$2,$AZ64*ROUNDUP(BB64/10,0)+1,
IF($AY64=Lookup!$A$3,($AZ64+1)^BA64,
IF($AY64=Lookup!$A$4,BB64*$AZ64+1,"Error")))</f>
        <v>1</v>
      </c>
      <c r="BK64" s="229">
        <f>IF($AY64=Lookup!$A$2,$AZ64*ROUNDUP(BC64/10,0)+1,
IF($AY64=Lookup!$A$3,($AZ64+1)^BB64,
IF($AY64=Lookup!$A$4,BC64*$AZ64+1,"Error")))</f>
        <v>1</v>
      </c>
      <c r="BL64" s="229">
        <f>IF($AY64=Lookup!$A$2,$AZ64*ROUNDUP(BD64/10,0)+1,
IF($AY64=Lookup!$A$3,($AZ64+1)^BC64,
IF($AY64=Lookup!$A$4,BD64*$AZ64+1,"Error")))</f>
        <v>1</v>
      </c>
      <c r="BM64" s="229">
        <f>IF($AY64=Lookup!$A$2,$AZ64*ROUNDUP(BE64/10,0)+1,
IF($AY64=Lookup!$A$3,($AZ64+1)^BD64,
IF($AY64=Lookup!$A$4,BE64*$AZ64+1,"Error")))</f>
        <v>1</v>
      </c>
      <c r="BN64" s="229">
        <f>IF($AY64=Lookup!$A$2,$AZ64*ROUNDUP(BF64/10,0)+1,
IF($AY64=Lookup!$A$3,($AZ64+1)^BE64,
IF($AY64=Lookup!$A$4,BF64*$AZ64+1,"Error")))</f>
        <v>1</v>
      </c>
      <c r="BO64" s="229">
        <f>IF($AY64=Lookup!$A$2,$AZ64*ROUNDUP(BG64/10,0)+1,
IF($AY64=Lookup!$A$3,($AZ64+1)^BF64,
IF($AY64=Lookup!$A$4,BG64*$AZ64+1,"Error")))</f>
        <v>1</v>
      </c>
      <c r="BP64" s="249">
        <f>IF($AY64=Lookup!$A$2,$AZ64*ROUNDUP(BH64/10,0)+1,
IF($AY64=Lookup!$A$3,($AZ64+1)^BG64,
IF($AY64=Lookup!$A$4,BH64*$AZ64+1,"Error")))</f>
        <v>1</v>
      </c>
      <c r="BQ64" s="320"/>
      <c r="BR64" s="321"/>
      <c r="BS64" s="321"/>
      <c r="BT64" s="321"/>
      <c r="BU64" s="321"/>
      <c r="BV64" s="321"/>
      <c r="BW64" s="321"/>
      <c r="BX64" s="277"/>
      <c r="BY64" s="382" t="s">
        <v>292</v>
      </c>
      <c r="BZ64" s="383">
        <f>HLOOKUP($BY64,$AH$6:$AJ$132,ROWS(BZ$6:BZ64),0)</f>
        <v>0</v>
      </c>
      <c r="CA64" s="239">
        <f t="shared" si="28"/>
        <v>0</v>
      </c>
      <c r="CB64" s="140">
        <f t="shared" si="28"/>
        <v>0</v>
      </c>
      <c r="CC64" s="140">
        <f t="shared" si="28"/>
        <v>0</v>
      </c>
      <c r="CD64" s="140">
        <f t="shared" si="28"/>
        <v>0</v>
      </c>
      <c r="CE64" s="140">
        <f t="shared" si="41"/>
        <v>0</v>
      </c>
      <c r="CF64" s="140">
        <f t="shared" si="41"/>
        <v>0</v>
      </c>
      <c r="CG64" s="140">
        <f t="shared" si="41"/>
        <v>0</v>
      </c>
      <c r="CH64" s="291">
        <f t="shared" si="41"/>
        <v>0</v>
      </c>
      <c r="CI64" s="305" t="s">
        <v>293</v>
      </c>
      <c r="CJ64" s="315">
        <v>0.05</v>
      </c>
      <c r="CK64" s="306"/>
      <c r="CL64" s="307" t="str">
        <f>IF($CK64&lt;&gt;"",$CK64,HLOOKUP($CI64,$AU$6:$AW$132,ROWS(CL$6:CL64),0))</f>
        <v/>
      </c>
      <c r="CM64" s="97"/>
      <c r="CN64" s="97"/>
      <c r="CO64" s="97"/>
      <c r="CP64" s="97"/>
      <c r="CQ64" s="97"/>
      <c r="CR64" s="97"/>
      <c r="CS64" s="97"/>
      <c r="CT64" s="98"/>
      <c r="CU64" s="392"/>
    </row>
    <row r="65" spans="1:99" x14ac:dyDescent="0.25">
      <c r="A65" s="81" t="s">
        <v>106</v>
      </c>
      <c r="B65" s="82" t="s">
        <v>352</v>
      </c>
      <c r="C65" s="83" t="s">
        <v>353</v>
      </c>
      <c r="D65" s="84"/>
      <c r="E65" s="85"/>
      <c r="F65" s="85"/>
      <c r="G65" s="85"/>
      <c r="H65" s="85"/>
      <c r="I65" s="85"/>
      <c r="J65" s="85"/>
      <c r="K65" s="85"/>
      <c r="L65" s="85"/>
      <c r="M65" s="201"/>
      <c r="N65" s="560">
        <f t="shared" si="21"/>
        <v>0</v>
      </c>
      <c r="O65" s="561">
        <f t="shared" si="0"/>
        <v>0</v>
      </c>
      <c r="P65" s="561">
        <f t="shared" si="1"/>
        <v>0</v>
      </c>
      <c r="Q65" s="561">
        <f t="shared" si="2"/>
        <v>0</v>
      </c>
      <c r="R65" s="561">
        <f t="shared" si="3"/>
        <v>0</v>
      </c>
      <c r="S65" s="561">
        <f t="shared" si="4"/>
        <v>0</v>
      </c>
      <c r="T65" s="561">
        <f t="shared" si="5"/>
        <v>0</v>
      </c>
      <c r="U65" s="561">
        <f t="shared" si="6"/>
        <v>0</v>
      </c>
      <c r="V65" s="561">
        <f t="shared" si="7"/>
        <v>0</v>
      </c>
      <c r="W65" s="562">
        <f t="shared" si="8"/>
        <v>0</v>
      </c>
      <c r="X65" s="86"/>
      <c r="Y65" s="87"/>
      <c r="Z65" s="87"/>
      <c r="AA65" s="87"/>
      <c r="AB65" s="87"/>
      <c r="AC65" s="87"/>
      <c r="AD65" s="87"/>
      <c r="AE65" s="87"/>
      <c r="AF65" s="87"/>
      <c r="AG65" s="194"/>
      <c r="AH65" s="127">
        <f t="shared" si="22"/>
        <v>0</v>
      </c>
      <c r="AI65" s="128" t="str" cm="1">
        <f t="array" aca="1" ref="AI65" ca="1">IFERROR(IF($AJ$4="N",SSUM(AD65:AF65)/3,SUM(AE65:AG65)/3),"")</f>
        <v/>
      </c>
      <c r="AJ65" s="129">
        <f t="shared" si="23"/>
        <v>0</v>
      </c>
      <c r="AK65" s="91" t="str">
        <f t="shared" si="30"/>
        <v/>
      </c>
      <c r="AL65" s="92" t="str">
        <f t="shared" si="31"/>
        <v/>
      </c>
      <c r="AM65" s="92" t="str">
        <f t="shared" si="32"/>
        <v/>
      </c>
      <c r="AN65" s="92" t="str">
        <f t="shared" si="33"/>
        <v/>
      </c>
      <c r="AO65" s="92" t="str">
        <f t="shared" si="34"/>
        <v/>
      </c>
      <c r="AP65" s="92" t="str">
        <f t="shared" si="35"/>
        <v/>
      </c>
      <c r="AQ65" s="92" t="str">
        <f t="shared" si="36"/>
        <v/>
      </c>
      <c r="AR65" s="92" t="str">
        <f t="shared" si="37"/>
        <v/>
      </c>
      <c r="AS65" s="92" t="str">
        <f t="shared" si="38"/>
        <v/>
      </c>
      <c r="AT65" s="217" t="str">
        <f t="shared" si="39"/>
        <v/>
      </c>
      <c r="AU65" s="93" t="str">
        <f t="shared" si="24"/>
        <v/>
      </c>
      <c r="AV65" s="94" t="str">
        <f t="shared" si="25"/>
        <v/>
      </c>
      <c r="AW65" s="95" t="str">
        <f t="shared" si="26"/>
        <v/>
      </c>
      <c r="AX65" s="248" t="s">
        <v>422</v>
      </c>
      <c r="AY65" s="229" t="s">
        <v>433</v>
      </c>
      <c r="AZ65" s="249">
        <v>0</v>
      </c>
      <c r="BA65" s="267">
        <f t="shared" si="27"/>
        <v>0</v>
      </c>
      <c r="BB65" s="268">
        <f t="shared" si="42"/>
        <v>0</v>
      </c>
      <c r="BC65" s="268">
        <f t="shared" si="42"/>
        <v>0</v>
      </c>
      <c r="BD65" s="268">
        <f t="shared" si="42"/>
        <v>1</v>
      </c>
      <c r="BE65" s="268">
        <f t="shared" si="42"/>
        <v>2</v>
      </c>
      <c r="BF65" s="268">
        <f t="shared" si="42"/>
        <v>3</v>
      </c>
      <c r="BG65" s="268">
        <f t="shared" si="42"/>
        <v>4</v>
      </c>
      <c r="BH65" s="269">
        <f t="shared" si="42"/>
        <v>5</v>
      </c>
      <c r="BI65" s="256">
        <f>IF($AY65=Lookup!$A$2,$AZ65*ROUNDUP(BA65/10,0)+1,
IF($AY65=Lookup!$A$3,($AZ65+1)^AZ65,
IF($AY65=Lookup!$A$4,BA65*$AZ65+1,"Error")))</f>
        <v>1</v>
      </c>
      <c r="BJ65" s="229">
        <f>IF($AY65=Lookup!$A$2,$AZ65*ROUNDUP(BB65/10,0)+1,
IF($AY65=Lookup!$A$3,($AZ65+1)^BA65,
IF($AY65=Lookup!$A$4,BB65*$AZ65+1,"Error")))</f>
        <v>1</v>
      </c>
      <c r="BK65" s="229">
        <f>IF($AY65=Lookup!$A$2,$AZ65*ROUNDUP(BC65/10,0)+1,
IF($AY65=Lookup!$A$3,($AZ65+1)^BB65,
IF($AY65=Lookup!$A$4,BC65*$AZ65+1,"Error")))</f>
        <v>1</v>
      </c>
      <c r="BL65" s="229">
        <f>IF($AY65=Lookup!$A$2,$AZ65*ROUNDUP(BD65/10,0)+1,
IF($AY65=Lookup!$A$3,($AZ65+1)^BC65,
IF($AY65=Lookup!$A$4,BD65*$AZ65+1,"Error")))</f>
        <v>1</v>
      </c>
      <c r="BM65" s="229">
        <f>IF($AY65=Lookup!$A$2,$AZ65*ROUNDUP(BE65/10,0)+1,
IF($AY65=Lookup!$A$3,($AZ65+1)^BD65,
IF($AY65=Lookup!$A$4,BE65*$AZ65+1,"Error")))</f>
        <v>1</v>
      </c>
      <c r="BN65" s="229">
        <f>IF($AY65=Lookup!$A$2,$AZ65*ROUNDUP(BF65/10,0)+1,
IF($AY65=Lookup!$A$3,($AZ65+1)^BE65,
IF($AY65=Lookup!$A$4,BF65*$AZ65+1,"Error")))</f>
        <v>1</v>
      </c>
      <c r="BO65" s="229">
        <f>IF($AY65=Lookup!$A$2,$AZ65*ROUNDUP(BG65/10,0)+1,
IF($AY65=Lookup!$A$3,($AZ65+1)^BF65,
IF($AY65=Lookup!$A$4,BG65*$AZ65+1,"Error")))</f>
        <v>1</v>
      </c>
      <c r="BP65" s="249">
        <f>IF($AY65=Lookup!$A$2,$AZ65*ROUNDUP(BH65/10,0)+1,
IF($AY65=Lookup!$A$3,($AZ65+1)^BG65,
IF($AY65=Lookup!$A$4,BH65*$AZ65+1,"Error")))</f>
        <v>1</v>
      </c>
      <c r="BQ65" s="320"/>
      <c r="BR65" s="321"/>
      <c r="BS65" s="321"/>
      <c r="BT65" s="321"/>
      <c r="BU65" s="321"/>
      <c r="BV65" s="321"/>
      <c r="BW65" s="321"/>
      <c r="BX65" s="277"/>
      <c r="BY65" s="382" t="s">
        <v>292</v>
      </c>
      <c r="BZ65" s="383">
        <f>HLOOKUP($BY65,$AH$6:$AJ$132,ROWS(BZ$6:BZ65),0)</f>
        <v>0</v>
      </c>
      <c r="CA65" s="239">
        <f t="shared" si="28"/>
        <v>0</v>
      </c>
      <c r="CB65" s="140">
        <f t="shared" si="28"/>
        <v>0</v>
      </c>
      <c r="CC65" s="140">
        <f t="shared" si="28"/>
        <v>0</v>
      </c>
      <c r="CD65" s="140">
        <f t="shared" si="28"/>
        <v>0</v>
      </c>
      <c r="CE65" s="140">
        <f t="shared" si="41"/>
        <v>0</v>
      </c>
      <c r="CF65" s="140">
        <f t="shared" si="41"/>
        <v>0</v>
      </c>
      <c r="CG65" s="140">
        <f t="shared" si="41"/>
        <v>0</v>
      </c>
      <c r="CH65" s="291">
        <f t="shared" si="41"/>
        <v>0</v>
      </c>
      <c r="CI65" s="305" t="s">
        <v>293</v>
      </c>
      <c r="CJ65" s="315">
        <v>0.05</v>
      </c>
      <c r="CK65" s="306"/>
      <c r="CL65" s="307" t="str">
        <f>IF($CK65&lt;&gt;"",$CK65,HLOOKUP($CI65,$AU$6:$AW$132,ROWS(CL$6:CL65),0))</f>
        <v/>
      </c>
      <c r="CM65" s="97"/>
      <c r="CN65" s="97"/>
      <c r="CO65" s="97"/>
      <c r="CP65" s="97"/>
      <c r="CQ65" s="97"/>
      <c r="CR65" s="97"/>
      <c r="CS65" s="97"/>
      <c r="CT65" s="98"/>
      <c r="CU65" s="392"/>
    </row>
    <row r="66" spans="1:99" ht="15.75" thickBot="1" x14ac:dyDescent="0.3">
      <c r="A66" s="100" t="s">
        <v>106</v>
      </c>
      <c r="B66" s="101" t="s">
        <v>354</v>
      </c>
      <c r="C66" s="102" t="s">
        <v>355</v>
      </c>
      <c r="D66" s="103"/>
      <c r="E66" s="104"/>
      <c r="F66" s="104"/>
      <c r="G66" s="104"/>
      <c r="H66" s="104"/>
      <c r="I66" s="104"/>
      <c r="J66" s="104"/>
      <c r="K66" s="104"/>
      <c r="L66" s="104"/>
      <c r="M66" s="202"/>
      <c r="N66" s="563">
        <f t="shared" si="21"/>
        <v>0</v>
      </c>
      <c r="O66" s="564">
        <f t="shared" si="0"/>
        <v>0</v>
      </c>
      <c r="P66" s="564">
        <f t="shared" si="1"/>
        <v>0</v>
      </c>
      <c r="Q66" s="564">
        <f t="shared" si="2"/>
        <v>0</v>
      </c>
      <c r="R66" s="564">
        <f t="shared" si="3"/>
        <v>0</v>
      </c>
      <c r="S66" s="564">
        <f t="shared" si="4"/>
        <v>0</v>
      </c>
      <c r="T66" s="564">
        <f t="shared" si="5"/>
        <v>0</v>
      </c>
      <c r="U66" s="564">
        <f t="shared" si="6"/>
        <v>0</v>
      </c>
      <c r="V66" s="564">
        <f t="shared" si="7"/>
        <v>0</v>
      </c>
      <c r="W66" s="565">
        <f t="shared" si="8"/>
        <v>0</v>
      </c>
      <c r="X66" s="105"/>
      <c r="Y66" s="106"/>
      <c r="Z66" s="106"/>
      <c r="AA66" s="106"/>
      <c r="AB66" s="106"/>
      <c r="AC66" s="106"/>
      <c r="AD66" s="106"/>
      <c r="AE66" s="106"/>
      <c r="AF66" s="106"/>
      <c r="AG66" s="195"/>
      <c r="AH66" s="133">
        <f t="shared" si="22"/>
        <v>0</v>
      </c>
      <c r="AI66" s="134" t="str" cm="1">
        <f t="array" aca="1" ref="AI66" ca="1">IFERROR(IF($AJ$4="N",SSUM(AD66:AF66)/3,SUM(AE66:AG66)/3),"")</f>
        <v/>
      </c>
      <c r="AJ66" s="135">
        <f t="shared" si="23"/>
        <v>0</v>
      </c>
      <c r="AK66" s="110" t="str">
        <f t="shared" si="30"/>
        <v/>
      </c>
      <c r="AL66" s="111" t="str">
        <f t="shared" si="31"/>
        <v/>
      </c>
      <c r="AM66" s="111" t="str">
        <f t="shared" si="32"/>
        <v/>
      </c>
      <c r="AN66" s="111" t="str">
        <f t="shared" si="33"/>
        <v/>
      </c>
      <c r="AO66" s="111" t="str">
        <f t="shared" si="34"/>
        <v/>
      </c>
      <c r="AP66" s="111" t="str">
        <f t="shared" si="35"/>
        <v/>
      </c>
      <c r="AQ66" s="111" t="str">
        <f t="shared" si="36"/>
        <v/>
      </c>
      <c r="AR66" s="111" t="str">
        <f t="shared" si="37"/>
        <v/>
      </c>
      <c r="AS66" s="111" t="str">
        <f t="shared" si="38"/>
        <v/>
      </c>
      <c r="AT66" s="218" t="str">
        <f t="shared" si="39"/>
        <v/>
      </c>
      <c r="AU66" s="112" t="str">
        <f t="shared" si="24"/>
        <v/>
      </c>
      <c r="AV66" s="113" t="str">
        <f t="shared" si="25"/>
        <v/>
      </c>
      <c r="AW66" s="114" t="str">
        <f t="shared" si="26"/>
        <v/>
      </c>
      <c r="AX66" s="250" t="s">
        <v>422</v>
      </c>
      <c r="AY66" s="230" t="s">
        <v>433</v>
      </c>
      <c r="AZ66" s="251">
        <v>0</v>
      </c>
      <c r="BA66" s="270">
        <f t="shared" si="27"/>
        <v>0</v>
      </c>
      <c r="BB66" s="271">
        <f t="shared" si="42"/>
        <v>0</v>
      </c>
      <c r="BC66" s="271">
        <f t="shared" si="42"/>
        <v>0</v>
      </c>
      <c r="BD66" s="271">
        <f t="shared" si="42"/>
        <v>1</v>
      </c>
      <c r="BE66" s="271">
        <f t="shared" si="42"/>
        <v>2</v>
      </c>
      <c r="BF66" s="271">
        <f t="shared" si="42"/>
        <v>3</v>
      </c>
      <c r="BG66" s="271">
        <f t="shared" si="42"/>
        <v>4</v>
      </c>
      <c r="BH66" s="272">
        <f t="shared" si="42"/>
        <v>5</v>
      </c>
      <c r="BI66" s="257">
        <f>IF($AY66=Lookup!$A$2,$AZ66*ROUNDUP(BA66/10,0)+1,
IF($AY66=Lookup!$A$3,($AZ66+1)^AZ66,
IF($AY66=Lookup!$A$4,BA66*$AZ66+1,"Error")))</f>
        <v>1</v>
      </c>
      <c r="BJ66" s="230">
        <f>IF($AY66=Lookup!$A$2,$AZ66*ROUNDUP(BB66/10,0)+1,
IF($AY66=Lookup!$A$3,($AZ66+1)^BA66,
IF($AY66=Lookup!$A$4,BB66*$AZ66+1,"Error")))</f>
        <v>1</v>
      </c>
      <c r="BK66" s="230">
        <f>IF($AY66=Lookup!$A$2,$AZ66*ROUNDUP(BC66/10,0)+1,
IF($AY66=Lookup!$A$3,($AZ66+1)^BB66,
IF($AY66=Lookup!$A$4,BC66*$AZ66+1,"Error")))</f>
        <v>1</v>
      </c>
      <c r="BL66" s="230">
        <f>IF($AY66=Lookup!$A$2,$AZ66*ROUNDUP(BD66/10,0)+1,
IF($AY66=Lookup!$A$3,($AZ66+1)^BC66,
IF($AY66=Lookup!$A$4,BD66*$AZ66+1,"Error")))</f>
        <v>1</v>
      </c>
      <c r="BM66" s="230">
        <f>IF($AY66=Lookup!$A$2,$AZ66*ROUNDUP(BE66/10,0)+1,
IF($AY66=Lookup!$A$3,($AZ66+1)^BD66,
IF($AY66=Lookup!$A$4,BE66*$AZ66+1,"Error")))</f>
        <v>1</v>
      </c>
      <c r="BN66" s="230">
        <f>IF($AY66=Lookup!$A$2,$AZ66*ROUNDUP(BF66/10,0)+1,
IF($AY66=Lookup!$A$3,($AZ66+1)^BE66,
IF($AY66=Lookup!$A$4,BF66*$AZ66+1,"Error")))</f>
        <v>1</v>
      </c>
      <c r="BO66" s="230">
        <f>IF($AY66=Lookup!$A$2,$AZ66*ROUNDUP(BG66/10,0)+1,
IF($AY66=Lookup!$A$3,($AZ66+1)^BF66,
IF($AY66=Lookup!$A$4,BG66*$AZ66+1,"Error")))</f>
        <v>1</v>
      </c>
      <c r="BP66" s="251">
        <f>IF($AY66=Lookup!$A$2,$AZ66*ROUNDUP(BH66/10,0)+1,
IF($AY66=Lookup!$A$3,($AZ66+1)^BG66,
IF($AY66=Lookup!$A$4,BH66*$AZ66+1,"Error")))</f>
        <v>1</v>
      </c>
      <c r="BQ66" s="322"/>
      <c r="BR66" s="323"/>
      <c r="BS66" s="323"/>
      <c r="BT66" s="323"/>
      <c r="BU66" s="323"/>
      <c r="BV66" s="323"/>
      <c r="BW66" s="323"/>
      <c r="BX66" s="278"/>
      <c r="BY66" s="384" t="s">
        <v>292</v>
      </c>
      <c r="BZ66" s="385">
        <f>HLOOKUP($BY66,$AH$6:$AJ$132,ROWS(BZ$6:BZ66),0)</f>
        <v>0</v>
      </c>
      <c r="CA66" s="240">
        <f t="shared" si="28"/>
        <v>0</v>
      </c>
      <c r="CB66" s="141">
        <f t="shared" si="28"/>
        <v>0</v>
      </c>
      <c r="CC66" s="141">
        <f t="shared" si="28"/>
        <v>0</v>
      </c>
      <c r="CD66" s="141">
        <f t="shared" si="28"/>
        <v>0</v>
      </c>
      <c r="CE66" s="141">
        <f t="shared" si="41"/>
        <v>0</v>
      </c>
      <c r="CF66" s="141">
        <f t="shared" si="41"/>
        <v>0</v>
      </c>
      <c r="CG66" s="141">
        <f t="shared" si="41"/>
        <v>0</v>
      </c>
      <c r="CH66" s="292">
        <f t="shared" si="41"/>
        <v>0</v>
      </c>
      <c r="CI66" s="308" t="s">
        <v>293</v>
      </c>
      <c r="CJ66" s="316">
        <v>0.05</v>
      </c>
      <c r="CK66" s="309"/>
      <c r="CL66" s="310" t="str">
        <f>IF($CK66&lt;&gt;"",$CK66,HLOOKUP($CI66,$AU$6:$AW$132,ROWS(CL$6:CL66),0))</f>
        <v/>
      </c>
      <c r="CM66" s="117"/>
      <c r="CN66" s="117"/>
      <c r="CO66" s="117"/>
      <c r="CP66" s="117"/>
      <c r="CQ66" s="117"/>
      <c r="CR66" s="117"/>
      <c r="CS66" s="117"/>
      <c r="CT66" s="118"/>
      <c r="CU66" s="393"/>
    </row>
    <row r="67" spans="1:99" x14ac:dyDescent="0.25">
      <c r="A67" s="142" t="s">
        <v>138</v>
      </c>
      <c r="B67" s="143" t="s">
        <v>135</v>
      </c>
      <c r="C67" s="65" t="s">
        <v>356</v>
      </c>
      <c r="D67" s="66"/>
      <c r="E67" s="67"/>
      <c r="F67" s="67"/>
      <c r="G67" s="67"/>
      <c r="H67" s="67"/>
      <c r="I67" s="67"/>
      <c r="J67" s="67"/>
      <c r="K67" s="67"/>
      <c r="L67" s="67"/>
      <c r="M67" s="200"/>
      <c r="N67" s="557">
        <f t="shared" si="21"/>
        <v>0</v>
      </c>
      <c r="O67" s="558">
        <f t="shared" si="0"/>
        <v>0</v>
      </c>
      <c r="P67" s="558">
        <f t="shared" si="1"/>
        <v>0</v>
      </c>
      <c r="Q67" s="558">
        <f t="shared" si="2"/>
        <v>0</v>
      </c>
      <c r="R67" s="558">
        <f t="shared" si="3"/>
        <v>0</v>
      </c>
      <c r="S67" s="558">
        <f t="shared" si="4"/>
        <v>0</v>
      </c>
      <c r="T67" s="558">
        <f t="shared" si="5"/>
        <v>0</v>
      </c>
      <c r="U67" s="558">
        <f t="shared" si="6"/>
        <v>0</v>
      </c>
      <c r="V67" s="558">
        <f t="shared" si="7"/>
        <v>0</v>
      </c>
      <c r="W67" s="559">
        <f t="shared" si="8"/>
        <v>0</v>
      </c>
      <c r="X67" s="68"/>
      <c r="Y67" s="69"/>
      <c r="Z67" s="69"/>
      <c r="AA67" s="69"/>
      <c r="AB67" s="69"/>
      <c r="AC67" s="69"/>
      <c r="AD67" s="69"/>
      <c r="AE67" s="69"/>
      <c r="AF67" s="69"/>
      <c r="AG67" s="193"/>
      <c r="AH67" s="70">
        <f t="shared" si="22"/>
        <v>0</v>
      </c>
      <c r="AI67" s="71" t="str" cm="1">
        <f t="array" aca="1" ref="AI67" ca="1">IFERROR(IF($AJ$4="N",SSUM(AD67:AF67)/3,SUM(AE67:AG67)/3),"")</f>
        <v/>
      </c>
      <c r="AJ67" s="72">
        <f t="shared" si="23"/>
        <v>0</v>
      </c>
      <c r="AK67" s="73" t="str">
        <f t="shared" si="30"/>
        <v/>
      </c>
      <c r="AL67" s="74" t="str">
        <f t="shared" si="31"/>
        <v/>
      </c>
      <c r="AM67" s="74" t="str">
        <f t="shared" si="32"/>
        <v/>
      </c>
      <c r="AN67" s="74" t="str">
        <f t="shared" si="33"/>
        <v/>
      </c>
      <c r="AO67" s="74" t="str">
        <f t="shared" si="34"/>
        <v/>
      </c>
      <c r="AP67" s="74" t="str">
        <f t="shared" si="35"/>
        <v/>
      </c>
      <c r="AQ67" s="74" t="str">
        <f t="shared" si="36"/>
        <v/>
      </c>
      <c r="AR67" s="74" t="str">
        <f t="shared" si="37"/>
        <v/>
      </c>
      <c r="AS67" s="74" t="str">
        <f t="shared" si="38"/>
        <v/>
      </c>
      <c r="AT67" s="216" t="str">
        <f t="shared" si="39"/>
        <v/>
      </c>
      <c r="AU67" s="75" t="str">
        <f t="shared" si="24"/>
        <v/>
      </c>
      <c r="AV67" s="76" t="str">
        <f t="shared" si="25"/>
        <v/>
      </c>
      <c r="AW67" s="77" t="str">
        <f t="shared" si="26"/>
        <v/>
      </c>
      <c r="AX67" s="246" t="s">
        <v>422</v>
      </c>
      <c r="AY67" s="228" t="s">
        <v>433</v>
      </c>
      <c r="AZ67" s="247">
        <v>0</v>
      </c>
      <c r="BA67" s="264">
        <f t="shared" si="27"/>
        <v>0</v>
      </c>
      <c r="BB67" s="265">
        <f t="shared" si="42"/>
        <v>0</v>
      </c>
      <c r="BC67" s="265">
        <f t="shared" si="42"/>
        <v>0</v>
      </c>
      <c r="BD67" s="265">
        <f t="shared" si="42"/>
        <v>1</v>
      </c>
      <c r="BE67" s="265">
        <f t="shared" si="42"/>
        <v>2</v>
      </c>
      <c r="BF67" s="265">
        <f t="shared" si="42"/>
        <v>3</v>
      </c>
      <c r="BG67" s="265">
        <f t="shared" si="42"/>
        <v>4</v>
      </c>
      <c r="BH67" s="266">
        <f t="shared" si="42"/>
        <v>5</v>
      </c>
      <c r="BI67" s="255">
        <f>IF($AY67=Lookup!$A$2,$AZ67*ROUNDUP(BA67/10,0)+1,
IF($AY67=Lookup!$A$3,($AZ67+1)^AZ67,
IF($AY67=Lookup!$A$4,BA67*$AZ67+1,"Error")))</f>
        <v>1</v>
      </c>
      <c r="BJ67" s="228">
        <f>IF($AY67=Lookup!$A$2,$AZ67*ROUNDUP(BB67/10,0)+1,
IF($AY67=Lookup!$A$3,($AZ67+1)^BA67,
IF($AY67=Lookup!$A$4,BB67*$AZ67+1,"Error")))</f>
        <v>1</v>
      </c>
      <c r="BK67" s="228">
        <f>IF($AY67=Lookup!$A$2,$AZ67*ROUNDUP(BC67/10,0)+1,
IF($AY67=Lookup!$A$3,($AZ67+1)^BB67,
IF($AY67=Lookup!$A$4,BC67*$AZ67+1,"Error")))</f>
        <v>1</v>
      </c>
      <c r="BL67" s="228">
        <f>IF($AY67=Lookup!$A$2,$AZ67*ROUNDUP(BD67/10,0)+1,
IF($AY67=Lookup!$A$3,($AZ67+1)^BC67,
IF($AY67=Lookup!$A$4,BD67*$AZ67+1,"Error")))</f>
        <v>1</v>
      </c>
      <c r="BM67" s="228">
        <f>IF($AY67=Lookup!$A$2,$AZ67*ROUNDUP(BE67/10,0)+1,
IF($AY67=Lookup!$A$3,($AZ67+1)^BD67,
IF($AY67=Lookup!$A$4,BE67*$AZ67+1,"Error")))</f>
        <v>1</v>
      </c>
      <c r="BN67" s="228">
        <f>IF($AY67=Lookup!$A$2,$AZ67*ROUNDUP(BF67/10,0)+1,
IF($AY67=Lookup!$A$3,($AZ67+1)^BE67,
IF($AY67=Lookup!$A$4,BF67*$AZ67+1,"Error")))</f>
        <v>1</v>
      </c>
      <c r="BO67" s="228">
        <f>IF($AY67=Lookup!$A$2,$AZ67*ROUNDUP(BG67/10,0)+1,
IF($AY67=Lookup!$A$3,($AZ67+1)^BF67,
IF($AY67=Lookup!$A$4,BG67*$AZ67+1,"Error")))</f>
        <v>1</v>
      </c>
      <c r="BP67" s="247">
        <f>IF($AY67=Lookup!$A$2,$AZ67*ROUNDUP(BH67/10,0)+1,
IF($AY67=Lookup!$A$3,($AZ67+1)^BG67,
IF($AY67=Lookup!$A$4,BH67*$AZ67+1,"Error")))</f>
        <v>1</v>
      </c>
      <c r="BQ67" s="318"/>
      <c r="BR67" s="319"/>
      <c r="BS67" s="319"/>
      <c r="BT67" s="319"/>
      <c r="BU67" s="319"/>
      <c r="BV67" s="319"/>
      <c r="BW67" s="319"/>
      <c r="BX67" s="276"/>
      <c r="BY67" s="380" t="s">
        <v>292</v>
      </c>
      <c r="BZ67" s="381">
        <f>HLOOKUP($BY67,$AH$6:$AJ$132,ROWS(BZ$6:BZ67),0)</f>
        <v>0</v>
      </c>
      <c r="CA67" s="233">
        <f t="shared" si="28"/>
        <v>0</v>
      </c>
      <c r="CB67" s="78">
        <f t="shared" si="28"/>
        <v>0</v>
      </c>
      <c r="CC67" s="78">
        <f t="shared" si="28"/>
        <v>0</v>
      </c>
      <c r="CD67" s="78">
        <f t="shared" si="28"/>
        <v>0</v>
      </c>
      <c r="CE67" s="78">
        <f t="shared" si="41"/>
        <v>0</v>
      </c>
      <c r="CF67" s="78">
        <f t="shared" si="41"/>
        <v>0</v>
      </c>
      <c r="CG67" s="78">
        <f t="shared" si="41"/>
        <v>0</v>
      </c>
      <c r="CH67" s="285">
        <f t="shared" si="41"/>
        <v>0</v>
      </c>
      <c r="CI67" s="302" t="s">
        <v>293</v>
      </c>
      <c r="CJ67" s="314">
        <v>0.05</v>
      </c>
      <c r="CK67" s="303"/>
      <c r="CL67" s="304" t="str">
        <f>IF($CK67&lt;&gt;"",$CK67,HLOOKUP($CI67,$AU$6:$AW$132,ROWS(CL$6:CL67),0))</f>
        <v/>
      </c>
      <c r="CM67" s="79"/>
      <c r="CN67" s="79"/>
      <c r="CO67" s="79"/>
      <c r="CP67" s="79"/>
      <c r="CQ67" s="79"/>
      <c r="CR67" s="79"/>
      <c r="CS67" s="79"/>
      <c r="CT67" s="80"/>
      <c r="CU67" s="391"/>
    </row>
    <row r="68" spans="1:99" x14ac:dyDescent="0.25">
      <c r="A68" s="81" t="s">
        <v>138</v>
      </c>
      <c r="B68" s="82" t="s">
        <v>139</v>
      </c>
      <c r="C68" s="83" t="s">
        <v>357</v>
      </c>
      <c r="D68" s="84"/>
      <c r="E68" s="85"/>
      <c r="F68" s="85"/>
      <c r="G68" s="85"/>
      <c r="H68" s="85"/>
      <c r="I68" s="85"/>
      <c r="J68" s="85"/>
      <c r="K68" s="85"/>
      <c r="L68" s="85"/>
      <c r="M68" s="201"/>
      <c r="N68" s="560">
        <f t="shared" si="21"/>
        <v>0</v>
      </c>
      <c r="O68" s="561">
        <f t="shared" si="0"/>
        <v>0</v>
      </c>
      <c r="P68" s="561">
        <f t="shared" si="1"/>
        <v>0</v>
      </c>
      <c r="Q68" s="561">
        <f t="shared" si="2"/>
        <v>0</v>
      </c>
      <c r="R68" s="561">
        <f t="shared" si="3"/>
        <v>0</v>
      </c>
      <c r="S68" s="561">
        <f t="shared" si="4"/>
        <v>0</v>
      </c>
      <c r="T68" s="561">
        <f t="shared" si="5"/>
        <v>0</v>
      </c>
      <c r="U68" s="561">
        <f t="shared" si="6"/>
        <v>0</v>
      </c>
      <c r="V68" s="561">
        <f t="shared" si="7"/>
        <v>0</v>
      </c>
      <c r="W68" s="562">
        <f t="shared" si="8"/>
        <v>0</v>
      </c>
      <c r="X68" s="86"/>
      <c r="Y68" s="87"/>
      <c r="Z68" s="87"/>
      <c r="AA68" s="87"/>
      <c r="AB68" s="87"/>
      <c r="AC68" s="87"/>
      <c r="AD68" s="87"/>
      <c r="AE68" s="87"/>
      <c r="AF68" s="87"/>
      <c r="AG68" s="194"/>
      <c r="AH68" s="88">
        <f t="shared" si="22"/>
        <v>0</v>
      </c>
      <c r="AI68" s="89" t="str" cm="1">
        <f t="array" aca="1" ref="AI68" ca="1">IFERROR(IF($AJ$4="N",SSUM(AD68:AF68)/3,SUM(AE68:AG68)/3),"")</f>
        <v/>
      </c>
      <c r="AJ68" s="90">
        <f t="shared" si="23"/>
        <v>0</v>
      </c>
      <c r="AK68" s="91" t="str">
        <f t="shared" si="30"/>
        <v/>
      </c>
      <c r="AL68" s="92" t="str">
        <f t="shared" si="31"/>
        <v/>
      </c>
      <c r="AM68" s="92" t="str">
        <f t="shared" si="32"/>
        <v/>
      </c>
      <c r="AN68" s="92" t="str">
        <f t="shared" si="33"/>
        <v/>
      </c>
      <c r="AO68" s="92" t="str">
        <f t="shared" si="34"/>
        <v/>
      </c>
      <c r="AP68" s="92" t="str">
        <f t="shared" si="35"/>
        <v/>
      </c>
      <c r="AQ68" s="92" t="str">
        <f t="shared" si="36"/>
        <v/>
      </c>
      <c r="AR68" s="92" t="str">
        <f t="shared" si="37"/>
        <v/>
      </c>
      <c r="AS68" s="92" t="str">
        <f t="shared" si="38"/>
        <v/>
      </c>
      <c r="AT68" s="217" t="str">
        <f t="shared" si="39"/>
        <v/>
      </c>
      <c r="AU68" s="93" t="str">
        <f t="shared" si="24"/>
        <v/>
      </c>
      <c r="AV68" s="94" t="str">
        <f t="shared" si="25"/>
        <v/>
      </c>
      <c r="AW68" s="95" t="str">
        <f t="shared" si="26"/>
        <v/>
      </c>
      <c r="AX68" s="248" t="s">
        <v>422</v>
      </c>
      <c r="AY68" s="229" t="s">
        <v>433</v>
      </c>
      <c r="AZ68" s="249">
        <v>0</v>
      </c>
      <c r="BA68" s="267">
        <f t="shared" si="27"/>
        <v>0</v>
      </c>
      <c r="BB68" s="268">
        <f t="shared" si="42"/>
        <v>0</v>
      </c>
      <c r="BC68" s="268">
        <f t="shared" si="42"/>
        <v>0</v>
      </c>
      <c r="BD68" s="268">
        <f t="shared" si="42"/>
        <v>1</v>
      </c>
      <c r="BE68" s="268">
        <f t="shared" si="42"/>
        <v>2</v>
      </c>
      <c r="BF68" s="268">
        <f t="shared" si="42"/>
        <v>3</v>
      </c>
      <c r="BG68" s="268">
        <f t="shared" si="42"/>
        <v>4</v>
      </c>
      <c r="BH68" s="269">
        <f t="shared" si="42"/>
        <v>5</v>
      </c>
      <c r="BI68" s="256">
        <f>IF($AY68=Lookup!$A$2,$AZ68*ROUNDUP(BA68/10,0)+1,
IF($AY68=Lookup!$A$3,($AZ68+1)^AZ68,
IF($AY68=Lookup!$A$4,BA68*$AZ68+1,"Error")))</f>
        <v>1</v>
      </c>
      <c r="BJ68" s="229">
        <f>IF($AY68=Lookup!$A$2,$AZ68*ROUNDUP(BB68/10,0)+1,
IF($AY68=Lookup!$A$3,($AZ68+1)^BA68,
IF($AY68=Lookup!$A$4,BB68*$AZ68+1,"Error")))</f>
        <v>1</v>
      </c>
      <c r="BK68" s="229">
        <f>IF($AY68=Lookup!$A$2,$AZ68*ROUNDUP(BC68/10,0)+1,
IF($AY68=Lookup!$A$3,($AZ68+1)^BB68,
IF($AY68=Lookup!$A$4,BC68*$AZ68+1,"Error")))</f>
        <v>1</v>
      </c>
      <c r="BL68" s="229">
        <f>IF($AY68=Lookup!$A$2,$AZ68*ROUNDUP(BD68/10,0)+1,
IF($AY68=Lookup!$A$3,($AZ68+1)^BC68,
IF($AY68=Lookup!$A$4,BD68*$AZ68+1,"Error")))</f>
        <v>1</v>
      </c>
      <c r="BM68" s="229">
        <f>IF($AY68=Lookup!$A$2,$AZ68*ROUNDUP(BE68/10,0)+1,
IF($AY68=Lookup!$A$3,($AZ68+1)^BD68,
IF($AY68=Lookup!$A$4,BE68*$AZ68+1,"Error")))</f>
        <v>1</v>
      </c>
      <c r="BN68" s="229">
        <f>IF($AY68=Lookup!$A$2,$AZ68*ROUNDUP(BF68/10,0)+1,
IF($AY68=Lookup!$A$3,($AZ68+1)^BE68,
IF($AY68=Lookup!$A$4,BF68*$AZ68+1,"Error")))</f>
        <v>1</v>
      </c>
      <c r="BO68" s="229">
        <f>IF($AY68=Lookup!$A$2,$AZ68*ROUNDUP(BG68/10,0)+1,
IF($AY68=Lookup!$A$3,($AZ68+1)^BF68,
IF($AY68=Lookup!$A$4,BG68*$AZ68+1,"Error")))</f>
        <v>1</v>
      </c>
      <c r="BP68" s="249">
        <f>IF($AY68=Lookup!$A$2,$AZ68*ROUNDUP(BH68/10,0)+1,
IF($AY68=Lookup!$A$3,($AZ68+1)^BG68,
IF($AY68=Lookup!$A$4,BH68*$AZ68+1,"Error")))</f>
        <v>1</v>
      </c>
      <c r="BQ68" s="320"/>
      <c r="BR68" s="321"/>
      <c r="BS68" s="321"/>
      <c r="BT68" s="321"/>
      <c r="BU68" s="321"/>
      <c r="BV68" s="321"/>
      <c r="BW68" s="321"/>
      <c r="BX68" s="277"/>
      <c r="BY68" s="382" t="s">
        <v>292</v>
      </c>
      <c r="BZ68" s="383">
        <f>HLOOKUP($BY68,$AH$6:$AJ$132,ROWS(BZ$6:BZ68),0)</f>
        <v>0</v>
      </c>
      <c r="CA68" s="234">
        <f t="shared" si="28"/>
        <v>0</v>
      </c>
      <c r="CB68" s="96">
        <f t="shared" si="28"/>
        <v>0</v>
      </c>
      <c r="CC68" s="96">
        <f t="shared" si="28"/>
        <v>0</v>
      </c>
      <c r="CD68" s="96">
        <f t="shared" si="28"/>
        <v>0</v>
      </c>
      <c r="CE68" s="96">
        <f t="shared" si="41"/>
        <v>0</v>
      </c>
      <c r="CF68" s="96">
        <f t="shared" si="41"/>
        <v>0</v>
      </c>
      <c r="CG68" s="96">
        <f t="shared" si="41"/>
        <v>0</v>
      </c>
      <c r="CH68" s="286">
        <f t="shared" si="41"/>
        <v>0</v>
      </c>
      <c r="CI68" s="305" t="s">
        <v>293</v>
      </c>
      <c r="CJ68" s="315">
        <v>0.05</v>
      </c>
      <c r="CK68" s="306"/>
      <c r="CL68" s="307" t="str">
        <f>IF($CK68&lt;&gt;"",$CK68,HLOOKUP($CI68,$AU$6:$AW$132,ROWS(CL$6:CL68),0))</f>
        <v/>
      </c>
      <c r="CM68" s="97"/>
      <c r="CN68" s="97"/>
      <c r="CO68" s="97"/>
      <c r="CP68" s="97"/>
      <c r="CQ68" s="97"/>
      <c r="CR68" s="97"/>
      <c r="CS68" s="97"/>
      <c r="CT68" s="98"/>
      <c r="CU68" s="392"/>
    </row>
    <row r="69" spans="1:99" x14ac:dyDescent="0.25">
      <c r="A69" s="81" t="s">
        <v>138</v>
      </c>
      <c r="B69" s="82" t="s">
        <v>141</v>
      </c>
      <c r="C69" s="83" t="s">
        <v>358</v>
      </c>
      <c r="D69" s="84"/>
      <c r="E69" s="85"/>
      <c r="F69" s="85"/>
      <c r="G69" s="85"/>
      <c r="H69" s="85"/>
      <c r="I69" s="85"/>
      <c r="J69" s="85"/>
      <c r="K69" s="85"/>
      <c r="L69" s="85"/>
      <c r="M69" s="201"/>
      <c r="N69" s="560">
        <f t="shared" si="21"/>
        <v>0</v>
      </c>
      <c r="O69" s="561">
        <f t="shared" si="0"/>
        <v>0</v>
      </c>
      <c r="P69" s="561">
        <f t="shared" si="1"/>
        <v>0</v>
      </c>
      <c r="Q69" s="561">
        <f t="shared" si="2"/>
        <v>0</v>
      </c>
      <c r="R69" s="561">
        <f t="shared" si="3"/>
        <v>0</v>
      </c>
      <c r="S69" s="561">
        <f t="shared" si="4"/>
        <v>0</v>
      </c>
      <c r="T69" s="561">
        <f t="shared" si="5"/>
        <v>0</v>
      </c>
      <c r="U69" s="561">
        <f t="shared" si="6"/>
        <v>0</v>
      </c>
      <c r="V69" s="561">
        <f t="shared" si="7"/>
        <v>0</v>
      </c>
      <c r="W69" s="562">
        <f t="shared" si="8"/>
        <v>0</v>
      </c>
      <c r="X69" s="86"/>
      <c r="Y69" s="87"/>
      <c r="Z69" s="87"/>
      <c r="AA69" s="87"/>
      <c r="AB69" s="87"/>
      <c r="AC69" s="87"/>
      <c r="AD69" s="87"/>
      <c r="AE69" s="87"/>
      <c r="AF69" s="87"/>
      <c r="AG69" s="194"/>
      <c r="AH69" s="88">
        <f t="shared" si="22"/>
        <v>0</v>
      </c>
      <c r="AI69" s="89" t="str" cm="1">
        <f t="array" aca="1" ref="AI69" ca="1">IFERROR(IF($AJ$4="N",SSUM(AD69:AF69)/3,SUM(AE69:AG69)/3),"")</f>
        <v/>
      </c>
      <c r="AJ69" s="90">
        <f t="shared" si="23"/>
        <v>0</v>
      </c>
      <c r="AK69" s="91" t="str">
        <f t="shared" si="30"/>
        <v/>
      </c>
      <c r="AL69" s="92" t="str">
        <f t="shared" si="31"/>
        <v/>
      </c>
      <c r="AM69" s="92" t="str">
        <f t="shared" si="32"/>
        <v/>
      </c>
      <c r="AN69" s="92" t="str">
        <f t="shared" si="33"/>
        <v/>
      </c>
      <c r="AO69" s="92" t="str">
        <f t="shared" si="34"/>
        <v/>
      </c>
      <c r="AP69" s="92" t="str">
        <f t="shared" si="35"/>
        <v/>
      </c>
      <c r="AQ69" s="92" t="str">
        <f t="shared" si="36"/>
        <v/>
      </c>
      <c r="AR69" s="92" t="str">
        <f t="shared" si="37"/>
        <v/>
      </c>
      <c r="AS69" s="92" t="str">
        <f t="shared" si="38"/>
        <v/>
      </c>
      <c r="AT69" s="217" t="str">
        <f t="shared" si="39"/>
        <v/>
      </c>
      <c r="AU69" s="93" t="str">
        <f t="shared" si="24"/>
        <v/>
      </c>
      <c r="AV69" s="94" t="str">
        <f t="shared" si="25"/>
        <v/>
      </c>
      <c r="AW69" s="95" t="str">
        <f t="shared" si="26"/>
        <v/>
      </c>
      <c r="AX69" s="248" t="s">
        <v>422</v>
      </c>
      <c r="AY69" s="229" t="s">
        <v>433</v>
      </c>
      <c r="AZ69" s="249">
        <v>0</v>
      </c>
      <c r="BA69" s="267">
        <f t="shared" si="27"/>
        <v>0</v>
      </c>
      <c r="BB69" s="268">
        <f t="shared" si="42"/>
        <v>0</v>
      </c>
      <c r="BC69" s="268">
        <f t="shared" si="42"/>
        <v>0</v>
      </c>
      <c r="BD69" s="268">
        <f t="shared" si="42"/>
        <v>1</v>
      </c>
      <c r="BE69" s="268">
        <f t="shared" si="42"/>
        <v>2</v>
      </c>
      <c r="BF69" s="268">
        <f t="shared" si="42"/>
        <v>3</v>
      </c>
      <c r="BG69" s="268">
        <f t="shared" si="42"/>
        <v>4</v>
      </c>
      <c r="BH69" s="269">
        <f t="shared" si="42"/>
        <v>5</v>
      </c>
      <c r="BI69" s="256">
        <f>IF($AY69=Lookup!$A$2,$AZ69*ROUNDUP(BA69/10,0)+1,
IF($AY69=Lookup!$A$3,($AZ69+1)^AZ69,
IF($AY69=Lookup!$A$4,BA69*$AZ69+1,"Error")))</f>
        <v>1</v>
      </c>
      <c r="BJ69" s="229">
        <f>IF($AY69=Lookup!$A$2,$AZ69*ROUNDUP(BB69/10,0)+1,
IF($AY69=Lookup!$A$3,($AZ69+1)^BA69,
IF($AY69=Lookup!$A$4,BB69*$AZ69+1,"Error")))</f>
        <v>1</v>
      </c>
      <c r="BK69" s="229">
        <f>IF($AY69=Lookup!$A$2,$AZ69*ROUNDUP(BC69/10,0)+1,
IF($AY69=Lookup!$A$3,($AZ69+1)^BB69,
IF($AY69=Lookup!$A$4,BC69*$AZ69+1,"Error")))</f>
        <v>1</v>
      </c>
      <c r="BL69" s="229">
        <f>IF($AY69=Lookup!$A$2,$AZ69*ROUNDUP(BD69/10,0)+1,
IF($AY69=Lookup!$A$3,($AZ69+1)^BC69,
IF($AY69=Lookup!$A$4,BD69*$AZ69+1,"Error")))</f>
        <v>1</v>
      </c>
      <c r="BM69" s="229">
        <f>IF($AY69=Lookup!$A$2,$AZ69*ROUNDUP(BE69/10,0)+1,
IF($AY69=Lookup!$A$3,($AZ69+1)^BD69,
IF($AY69=Lookup!$A$4,BE69*$AZ69+1,"Error")))</f>
        <v>1</v>
      </c>
      <c r="BN69" s="229">
        <f>IF($AY69=Lookup!$A$2,$AZ69*ROUNDUP(BF69/10,0)+1,
IF($AY69=Lookup!$A$3,($AZ69+1)^BE69,
IF($AY69=Lookup!$A$4,BF69*$AZ69+1,"Error")))</f>
        <v>1</v>
      </c>
      <c r="BO69" s="229">
        <f>IF($AY69=Lookup!$A$2,$AZ69*ROUNDUP(BG69/10,0)+1,
IF($AY69=Lookup!$A$3,($AZ69+1)^BF69,
IF($AY69=Lookup!$A$4,BG69*$AZ69+1,"Error")))</f>
        <v>1</v>
      </c>
      <c r="BP69" s="249">
        <f>IF($AY69=Lookup!$A$2,$AZ69*ROUNDUP(BH69/10,0)+1,
IF($AY69=Lookup!$A$3,($AZ69+1)^BG69,
IF($AY69=Lookup!$A$4,BH69*$AZ69+1,"Error")))</f>
        <v>1</v>
      </c>
      <c r="BQ69" s="320"/>
      <c r="BR69" s="321"/>
      <c r="BS69" s="321"/>
      <c r="BT69" s="321"/>
      <c r="BU69" s="321"/>
      <c r="BV69" s="321"/>
      <c r="BW69" s="321"/>
      <c r="BX69" s="277"/>
      <c r="BY69" s="382" t="s">
        <v>292</v>
      </c>
      <c r="BZ69" s="383">
        <f>HLOOKUP($BY69,$AH$6:$AJ$132,ROWS(BZ$6:BZ69),0)</f>
        <v>0</v>
      </c>
      <c r="CA69" s="234">
        <f t="shared" si="28"/>
        <v>0</v>
      </c>
      <c r="CB69" s="96">
        <f t="shared" si="28"/>
        <v>0</v>
      </c>
      <c r="CC69" s="96">
        <f t="shared" si="28"/>
        <v>0</v>
      </c>
      <c r="CD69" s="96">
        <f t="shared" si="28"/>
        <v>0</v>
      </c>
      <c r="CE69" s="96">
        <f t="shared" si="41"/>
        <v>0</v>
      </c>
      <c r="CF69" s="96">
        <f t="shared" si="41"/>
        <v>0</v>
      </c>
      <c r="CG69" s="96">
        <f t="shared" si="41"/>
        <v>0</v>
      </c>
      <c r="CH69" s="286">
        <f t="shared" si="41"/>
        <v>0</v>
      </c>
      <c r="CI69" s="305" t="s">
        <v>293</v>
      </c>
      <c r="CJ69" s="315">
        <v>0.05</v>
      </c>
      <c r="CK69" s="306"/>
      <c r="CL69" s="307" t="str">
        <f>IF($CK69&lt;&gt;"",$CK69,HLOOKUP($CI69,$AU$6:$AW$132,ROWS(CL$6:CL69),0))</f>
        <v/>
      </c>
      <c r="CM69" s="97"/>
      <c r="CN69" s="97"/>
      <c r="CO69" s="97"/>
      <c r="CP69" s="97"/>
      <c r="CQ69" s="97"/>
      <c r="CR69" s="97"/>
      <c r="CS69" s="97"/>
      <c r="CT69" s="98"/>
      <c r="CU69" s="392"/>
    </row>
    <row r="70" spans="1:99" x14ac:dyDescent="0.25">
      <c r="A70" s="81" t="s">
        <v>138</v>
      </c>
      <c r="B70" s="82" t="s">
        <v>143</v>
      </c>
      <c r="C70" s="83" t="s">
        <v>359</v>
      </c>
      <c r="D70" s="84"/>
      <c r="E70" s="85"/>
      <c r="F70" s="85"/>
      <c r="G70" s="85"/>
      <c r="H70" s="85"/>
      <c r="I70" s="85"/>
      <c r="J70" s="85"/>
      <c r="K70" s="85"/>
      <c r="L70" s="85"/>
      <c r="M70" s="201"/>
      <c r="N70" s="560">
        <f t="shared" si="21"/>
        <v>0</v>
      </c>
      <c r="O70" s="561">
        <f t="shared" si="0"/>
        <v>0</v>
      </c>
      <c r="P70" s="561">
        <f t="shared" si="1"/>
        <v>0</v>
      </c>
      <c r="Q70" s="561">
        <f t="shared" si="2"/>
        <v>0</v>
      </c>
      <c r="R70" s="561">
        <f t="shared" si="3"/>
        <v>0</v>
      </c>
      <c r="S70" s="561">
        <f t="shared" si="4"/>
        <v>0</v>
      </c>
      <c r="T70" s="561">
        <f t="shared" si="5"/>
        <v>0</v>
      </c>
      <c r="U70" s="561">
        <f t="shared" si="6"/>
        <v>0</v>
      </c>
      <c r="V70" s="561">
        <f t="shared" si="7"/>
        <v>0</v>
      </c>
      <c r="W70" s="562">
        <f t="shared" si="8"/>
        <v>0</v>
      </c>
      <c r="X70" s="86"/>
      <c r="Y70" s="87"/>
      <c r="Z70" s="87"/>
      <c r="AA70" s="87"/>
      <c r="AB70" s="87"/>
      <c r="AC70" s="87"/>
      <c r="AD70" s="87"/>
      <c r="AE70" s="87"/>
      <c r="AF70" s="87"/>
      <c r="AG70" s="194"/>
      <c r="AH70" s="88">
        <f t="shared" si="22"/>
        <v>0</v>
      </c>
      <c r="AI70" s="89" t="str" cm="1">
        <f t="array" aca="1" ref="AI70" ca="1">IFERROR(IF($AJ$4="N",SSUM(AD70:AF70)/3,SUM(AE70:AG70)/3),"")</f>
        <v/>
      </c>
      <c r="AJ70" s="90">
        <f t="shared" si="23"/>
        <v>0</v>
      </c>
      <c r="AK70" s="91" t="str">
        <f t="shared" si="30"/>
        <v/>
      </c>
      <c r="AL70" s="92" t="str">
        <f t="shared" si="31"/>
        <v/>
      </c>
      <c r="AM70" s="92" t="str">
        <f t="shared" si="32"/>
        <v/>
      </c>
      <c r="AN70" s="92" t="str">
        <f t="shared" si="33"/>
        <v/>
      </c>
      <c r="AO70" s="92" t="str">
        <f t="shared" si="34"/>
        <v/>
      </c>
      <c r="AP70" s="92" t="str">
        <f t="shared" si="35"/>
        <v/>
      </c>
      <c r="AQ70" s="92" t="str">
        <f t="shared" si="36"/>
        <v/>
      </c>
      <c r="AR70" s="92" t="str">
        <f t="shared" si="37"/>
        <v/>
      </c>
      <c r="AS70" s="92" t="str">
        <f t="shared" si="38"/>
        <v/>
      </c>
      <c r="AT70" s="217" t="str">
        <f t="shared" si="39"/>
        <v/>
      </c>
      <c r="AU70" s="93" t="str">
        <f t="shared" si="24"/>
        <v/>
      </c>
      <c r="AV70" s="94" t="str">
        <f t="shared" si="25"/>
        <v/>
      </c>
      <c r="AW70" s="95" t="str">
        <f t="shared" si="26"/>
        <v/>
      </c>
      <c r="AX70" s="248" t="s">
        <v>422</v>
      </c>
      <c r="AY70" s="229" t="s">
        <v>433</v>
      </c>
      <c r="AZ70" s="249">
        <v>0</v>
      </c>
      <c r="BA70" s="267">
        <f t="shared" si="27"/>
        <v>0</v>
      </c>
      <c r="BB70" s="268">
        <f t="shared" si="42"/>
        <v>0</v>
      </c>
      <c r="BC70" s="268">
        <f t="shared" si="42"/>
        <v>0</v>
      </c>
      <c r="BD70" s="268">
        <f t="shared" si="42"/>
        <v>1</v>
      </c>
      <c r="BE70" s="268">
        <f t="shared" si="42"/>
        <v>2</v>
      </c>
      <c r="BF70" s="268">
        <f t="shared" si="42"/>
        <v>3</v>
      </c>
      <c r="BG70" s="268">
        <f t="shared" si="42"/>
        <v>4</v>
      </c>
      <c r="BH70" s="269">
        <f t="shared" si="42"/>
        <v>5</v>
      </c>
      <c r="BI70" s="256">
        <f>IF($AY70=Lookup!$A$2,$AZ70*ROUNDUP(BA70/10,0)+1,
IF($AY70=Lookup!$A$3,($AZ70+1)^AZ70,
IF($AY70=Lookup!$A$4,BA70*$AZ70+1,"Error")))</f>
        <v>1</v>
      </c>
      <c r="BJ70" s="229">
        <f>IF($AY70=Lookup!$A$2,$AZ70*ROUNDUP(BB70/10,0)+1,
IF($AY70=Lookup!$A$3,($AZ70+1)^BA70,
IF($AY70=Lookup!$A$4,BB70*$AZ70+1,"Error")))</f>
        <v>1</v>
      </c>
      <c r="BK70" s="229">
        <f>IF($AY70=Lookup!$A$2,$AZ70*ROUNDUP(BC70/10,0)+1,
IF($AY70=Lookup!$A$3,($AZ70+1)^BB70,
IF($AY70=Lookup!$A$4,BC70*$AZ70+1,"Error")))</f>
        <v>1</v>
      </c>
      <c r="BL70" s="229">
        <f>IF($AY70=Lookup!$A$2,$AZ70*ROUNDUP(BD70/10,0)+1,
IF($AY70=Lookup!$A$3,($AZ70+1)^BC70,
IF($AY70=Lookup!$A$4,BD70*$AZ70+1,"Error")))</f>
        <v>1</v>
      </c>
      <c r="BM70" s="229">
        <f>IF($AY70=Lookup!$A$2,$AZ70*ROUNDUP(BE70/10,0)+1,
IF($AY70=Lookup!$A$3,($AZ70+1)^BD70,
IF($AY70=Lookup!$A$4,BE70*$AZ70+1,"Error")))</f>
        <v>1</v>
      </c>
      <c r="BN70" s="229">
        <f>IF($AY70=Lookup!$A$2,$AZ70*ROUNDUP(BF70/10,0)+1,
IF($AY70=Lookup!$A$3,($AZ70+1)^BE70,
IF($AY70=Lookup!$A$4,BF70*$AZ70+1,"Error")))</f>
        <v>1</v>
      </c>
      <c r="BO70" s="229">
        <f>IF($AY70=Lookup!$A$2,$AZ70*ROUNDUP(BG70/10,0)+1,
IF($AY70=Lookup!$A$3,($AZ70+1)^BF70,
IF($AY70=Lookup!$A$4,BG70*$AZ70+1,"Error")))</f>
        <v>1</v>
      </c>
      <c r="BP70" s="249">
        <f>IF($AY70=Lookup!$A$2,$AZ70*ROUNDUP(BH70/10,0)+1,
IF($AY70=Lookup!$A$3,($AZ70+1)^BG70,
IF($AY70=Lookup!$A$4,BH70*$AZ70+1,"Error")))</f>
        <v>1</v>
      </c>
      <c r="BQ70" s="320"/>
      <c r="BR70" s="321"/>
      <c r="BS70" s="321"/>
      <c r="BT70" s="321"/>
      <c r="BU70" s="321"/>
      <c r="BV70" s="321"/>
      <c r="BW70" s="321"/>
      <c r="BX70" s="277"/>
      <c r="BY70" s="382" t="s">
        <v>292</v>
      </c>
      <c r="BZ70" s="383">
        <f>HLOOKUP($BY70,$AH$6:$AJ$132,ROWS(BZ$6:BZ70),0)</f>
        <v>0</v>
      </c>
      <c r="CA70" s="234">
        <f t="shared" si="28"/>
        <v>0</v>
      </c>
      <c r="CB70" s="96">
        <f t="shared" si="28"/>
        <v>0</v>
      </c>
      <c r="CC70" s="96">
        <f t="shared" si="28"/>
        <v>0</v>
      </c>
      <c r="CD70" s="96">
        <f t="shared" si="28"/>
        <v>0</v>
      </c>
      <c r="CE70" s="96">
        <f t="shared" si="41"/>
        <v>0</v>
      </c>
      <c r="CF70" s="96">
        <f t="shared" si="41"/>
        <v>0</v>
      </c>
      <c r="CG70" s="96">
        <f t="shared" si="41"/>
        <v>0</v>
      </c>
      <c r="CH70" s="286">
        <f t="shared" si="41"/>
        <v>0</v>
      </c>
      <c r="CI70" s="305" t="s">
        <v>293</v>
      </c>
      <c r="CJ70" s="315">
        <v>0.05</v>
      </c>
      <c r="CK70" s="306"/>
      <c r="CL70" s="307" t="str">
        <f>IF($CK70&lt;&gt;"",$CK70,HLOOKUP($CI70,$AU$6:$AW$132,ROWS(CL$6:CL70),0))</f>
        <v/>
      </c>
      <c r="CM70" s="97"/>
      <c r="CN70" s="97"/>
      <c r="CO70" s="97"/>
      <c r="CP70" s="97"/>
      <c r="CQ70" s="97"/>
      <c r="CR70" s="97"/>
      <c r="CS70" s="97"/>
      <c r="CT70" s="98"/>
      <c r="CU70" s="392"/>
    </row>
    <row r="71" spans="1:99" x14ac:dyDescent="0.25">
      <c r="A71" s="81" t="s">
        <v>138</v>
      </c>
      <c r="B71" s="82" t="s">
        <v>145</v>
      </c>
      <c r="C71" s="83" t="s">
        <v>360</v>
      </c>
      <c r="D71" s="84"/>
      <c r="E71" s="85"/>
      <c r="F71" s="85"/>
      <c r="G71" s="85"/>
      <c r="H71" s="85"/>
      <c r="I71" s="85"/>
      <c r="J71" s="85"/>
      <c r="K71" s="85"/>
      <c r="L71" s="85"/>
      <c r="M71" s="201"/>
      <c r="N71" s="560">
        <f t="shared" si="21"/>
        <v>0</v>
      </c>
      <c r="O71" s="561">
        <f t="shared" ref="O71:O132" si="43">E71*O$4</f>
        <v>0</v>
      </c>
      <c r="P71" s="561">
        <f t="shared" ref="P71:P132" si="44">F71*P$4</f>
        <v>0</v>
      </c>
      <c r="Q71" s="561">
        <f t="shared" ref="Q71:Q132" si="45">G71*Q$4</f>
        <v>0</v>
      </c>
      <c r="R71" s="561">
        <f t="shared" ref="R71:R132" si="46">H71*R$4</f>
        <v>0</v>
      </c>
      <c r="S71" s="561">
        <f t="shared" ref="S71:S132" si="47">I71*S$4</f>
        <v>0</v>
      </c>
      <c r="T71" s="561">
        <f t="shared" ref="T71:T132" si="48">J71*T$4</f>
        <v>0</v>
      </c>
      <c r="U71" s="561">
        <f t="shared" ref="U71:U132" si="49">K71*U$4</f>
        <v>0</v>
      </c>
      <c r="V71" s="561">
        <f t="shared" ref="V71:V132" si="50">L71*V$4</f>
        <v>0</v>
      </c>
      <c r="W71" s="562">
        <f t="shared" ref="W71:W132" si="51">M71*W$4</f>
        <v>0</v>
      </c>
      <c r="X71" s="86"/>
      <c r="Y71" s="87"/>
      <c r="Z71" s="87"/>
      <c r="AA71" s="87"/>
      <c r="AB71" s="87"/>
      <c r="AC71" s="87"/>
      <c r="AD71" s="87"/>
      <c r="AE71" s="87"/>
      <c r="AF71" s="87"/>
      <c r="AG71" s="194"/>
      <c r="AH71" s="88">
        <f t="shared" si="22"/>
        <v>0</v>
      </c>
      <c r="AI71" s="89" t="str" cm="1">
        <f t="array" aca="1" ref="AI71" ca="1">IFERROR(IF($AJ$4="N",SSUM(AD71:AF71)/3,SUM(AE71:AG71)/3),"")</f>
        <v/>
      </c>
      <c r="AJ71" s="90">
        <f t="shared" si="23"/>
        <v>0</v>
      </c>
      <c r="AK71" s="91" t="str">
        <f t="shared" ref="AK71:AK102" si="52">IFERROR(D71/X71,"")</f>
        <v/>
      </c>
      <c r="AL71" s="92" t="str">
        <f t="shared" ref="AL71:AL102" si="53">IFERROR(E71/Y71,"")</f>
        <v/>
      </c>
      <c r="AM71" s="92" t="str">
        <f t="shared" ref="AM71:AM102" si="54">IFERROR(F71/Z71,"")</f>
        <v/>
      </c>
      <c r="AN71" s="92" t="str">
        <f t="shared" ref="AN71:AN102" si="55">IFERROR(G71/AA71,"")</f>
        <v/>
      </c>
      <c r="AO71" s="92" t="str">
        <f t="shared" ref="AO71:AO102" si="56">IFERROR(H71/AB71,"")</f>
        <v/>
      </c>
      <c r="AP71" s="92" t="str">
        <f t="shared" ref="AP71:AP102" si="57">IFERROR(I71/AC71,"")</f>
        <v/>
      </c>
      <c r="AQ71" s="92" t="str">
        <f t="shared" ref="AQ71:AQ102" si="58">IFERROR(J71/AD71,"")</f>
        <v/>
      </c>
      <c r="AR71" s="92" t="str">
        <f t="shared" ref="AR71:AR102" si="59">IFERROR(K71/AE71,"")</f>
        <v/>
      </c>
      <c r="AS71" s="92" t="str">
        <f t="shared" ref="AS71:AS102" si="60">IFERROR(L71/AF71,"")</f>
        <v/>
      </c>
      <c r="AT71" s="217" t="str">
        <f t="shared" ref="AT71:AT102" si="61">IFERROR(M71/AG71,"")</f>
        <v/>
      </c>
      <c r="AU71" s="93" t="str">
        <f t="shared" si="24"/>
        <v/>
      </c>
      <c r="AV71" s="94" t="str">
        <f t="shared" si="25"/>
        <v/>
      </c>
      <c r="AW71" s="95" t="str">
        <f t="shared" si="26"/>
        <v/>
      </c>
      <c r="AX71" s="248" t="s">
        <v>422</v>
      </c>
      <c r="AY71" s="229" t="s">
        <v>433</v>
      </c>
      <c r="AZ71" s="249">
        <v>0</v>
      </c>
      <c r="BA71" s="267">
        <f t="shared" si="27"/>
        <v>0</v>
      </c>
      <c r="BB71" s="268">
        <f t="shared" ref="BB71:BH86" si="62">IF(BB$6=$AX71,1,
IF(BA71&lt;&gt;0,BA71+1,0
))</f>
        <v>0</v>
      </c>
      <c r="BC71" s="268">
        <f t="shared" si="62"/>
        <v>0</v>
      </c>
      <c r="BD71" s="268">
        <f t="shared" si="62"/>
        <v>1</v>
      </c>
      <c r="BE71" s="268">
        <f t="shared" si="62"/>
        <v>2</v>
      </c>
      <c r="BF71" s="268">
        <f t="shared" si="62"/>
        <v>3</v>
      </c>
      <c r="BG71" s="268">
        <f t="shared" si="62"/>
        <v>4</v>
      </c>
      <c r="BH71" s="269">
        <f t="shared" si="62"/>
        <v>5</v>
      </c>
      <c r="BI71" s="256">
        <f>IF($AY71=Lookup!$A$2,$AZ71*ROUNDUP(BA71/10,0)+1,
IF($AY71=Lookup!$A$3,($AZ71+1)^AZ71,
IF($AY71=Lookup!$A$4,BA71*$AZ71+1,"Error")))</f>
        <v>1</v>
      </c>
      <c r="BJ71" s="229">
        <f>IF($AY71=Lookup!$A$2,$AZ71*ROUNDUP(BB71/10,0)+1,
IF($AY71=Lookup!$A$3,($AZ71+1)^BA71,
IF($AY71=Lookup!$A$4,BB71*$AZ71+1,"Error")))</f>
        <v>1</v>
      </c>
      <c r="BK71" s="229">
        <f>IF($AY71=Lookup!$A$2,$AZ71*ROUNDUP(BC71/10,0)+1,
IF($AY71=Lookup!$A$3,($AZ71+1)^BB71,
IF($AY71=Lookup!$A$4,BC71*$AZ71+1,"Error")))</f>
        <v>1</v>
      </c>
      <c r="BL71" s="229">
        <f>IF($AY71=Lookup!$A$2,$AZ71*ROUNDUP(BD71/10,0)+1,
IF($AY71=Lookup!$A$3,($AZ71+1)^BC71,
IF($AY71=Lookup!$A$4,BD71*$AZ71+1,"Error")))</f>
        <v>1</v>
      </c>
      <c r="BM71" s="229">
        <f>IF($AY71=Lookup!$A$2,$AZ71*ROUNDUP(BE71/10,0)+1,
IF($AY71=Lookup!$A$3,($AZ71+1)^BD71,
IF($AY71=Lookup!$A$4,BE71*$AZ71+1,"Error")))</f>
        <v>1</v>
      </c>
      <c r="BN71" s="229">
        <f>IF($AY71=Lookup!$A$2,$AZ71*ROUNDUP(BF71/10,0)+1,
IF($AY71=Lookup!$A$3,($AZ71+1)^BE71,
IF($AY71=Lookup!$A$4,BF71*$AZ71+1,"Error")))</f>
        <v>1</v>
      </c>
      <c r="BO71" s="229">
        <f>IF($AY71=Lookup!$A$2,$AZ71*ROUNDUP(BG71/10,0)+1,
IF($AY71=Lookup!$A$3,($AZ71+1)^BF71,
IF($AY71=Lookup!$A$4,BG71*$AZ71+1,"Error")))</f>
        <v>1</v>
      </c>
      <c r="BP71" s="249">
        <f>IF($AY71=Lookup!$A$2,$AZ71*ROUNDUP(BH71/10,0)+1,
IF($AY71=Lookup!$A$3,($AZ71+1)^BG71,
IF($AY71=Lookup!$A$4,BH71*$AZ71+1,"Error")))</f>
        <v>1</v>
      </c>
      <c r="BQ71" s="320"/>
      <c r="BR71" s="321"/>
      <c r="BS71" s="321"/>
      <c r="BT71" s="321"/>
      <c r="BU71" s="321"/>
      <c r="BV71" s="321"/>
      <c r="BW71" s="321"/>
      <c r="BX71" s="277"/>
      <c r="BY71" s="382" t="s">
        <v>292</v>
      </c>
      <c r="BZ71" s="383">
        <f>HLOOKUP($BY71,$AH$6:$AJ$132,ROWS(BZ$6:BZ71),0)</f>
        <v>0</v>
      </c>
      <c r="CA71" s="234">
        <f t="shared" si="28"/>
        <v>0</v>
      </c>
      <c r="CB71" s="96">
        <f t="shared" si="28"/>
        <v>0</v>
      </c>
      <c r="CC71" s="96">
        <f t="shared" si="28"/>
        <v>0</v>
      </c>
      <c r="CD71" s="96">
        <f t="shared" si="28"/>
        <v>0</v>
      </c>
      <c r="CE71" s="96">
        <f t="shared" si="41"/>
        <v>0</v>
      </c>
      <c r="CF71" s="96">
        <f t="shared" si="41"/>
        <v>0</v>
      </c>
      <c r="CG71" s="96">
        <f t="shared" si="41"/>
        <v>0</v>
      </c>
      <c r="CH71" s="286">
        <f t="shared" si="41"/>
        <v>0</v>
      </c>
      <c r="CI71" s="305" t="s">
        <v>293</v>
      </c>
      <c r="CJ71" s="315">
        <v>0.05</v>
      </c>
      <c r="CK71" s="306"/>
      <c r="CL71" s="307" t="str">
        <f>IF($CK71&lt;&gt;"",$CK71,HLOOKUP($CI71,$AU$6:$AW$132,ROWS(CL$6:CL71),0))</f>
        <v/>
      </c>
      <c r="CM71" s="97"/>
      <c r="CN71" s="97"/>
      <c r="CO71" s="97"/>
      <c r="CP71" s="97"/>
      <c r="CQ71" s="97"/>
      <c r="CR71" s="97"/>
      <c r="CS71" s="97"/>
      <c r="CT71" s="98"/>
      <c r="CU71" s="392"/>
    </row>
    <row r="72" spans="1:99" x14ac:dyDescent="0.25">
      <c r="A72" s="81" t="s">
        <v>138</v>
      </c>
      <c r="B72" s="82" t="s">
        <v>147</v>
      </c>
      <c r="C72" s="83" t="s">
        <v>362</v>
      </c>
      <c r="D72" s="84"/>
      <c r="E72" s="85"/>
      <c r="F72" s="85"/>
      <c r="G72" s="85"/>
      <c r="H72" s="85"/>
      <c r="I72" s="85"/>
      <c r="J72" s="85"/>
      <c r="K72" s="85"/>
      <c r="L72" s="85"/>
      <c r="M72" s="201"/>
      <c r="N72" s="560">
        <f t="shared" ref="N72:N132" si="63">D72*N$4</f>
        <v>0</v>
      </c>
      <c r="O72" s="561">
        <f t="shared" si="43"/>
        <v>0</v>
      </c>
      <c r="P72" s="561">
        <f t="shared" si="44"/>
        <v>0</v>
      </c>
      <c r="Q72" s="561">
        <f t="shared" si="45"/>
        <v>0</v>
      </c>
      <c r="R72" s="561">
        <f t="shared" si="46"/>
        <v>0</v>
      </c>
      <c r="S72" s="561">
        <f t="shared" si="47"/>
        <v>0</v>
      </c>
      <c r="T72" s="561">
        <f t="shared" si="48"/>
        <v>0</v>
      </c>
      <c r="U72" s="561">
        <f t="shared" si="49"/>
        <v>0</v>
      </c>
      <c r="V72" s="561">
        <f t="shared" si="50"/>
        <v>0</v>
      </c>
      <c r="W72" s="562">
        <f t="shared" si="51"/>
        <v>0</v>
      </c>
      <c r="X72" s="86"/>
      <c r="Y72" s="87"/>
      <c r="Z72" s="87"/>
      <c r="AA72" s="87"/>
      <c r="AB72" s="87"/>
      <c r="AC72" s="87"/>
      <c r="AD72" s="87"/>
      <c r="AE72" s="87"/>
      <c r="AF72" s="87"/>
      <c r="AG72" s="194"/>
      <c r="AH72" s="88">
        <f t="shared" ref="AH72:AH132" si="64">IFERROR(IF($AJ$4="N",SUM(AB72:AF72)/5,SUM(AC72:AG72)/5),"")</f>
        <v>0</v>
      </c>
      <c r="AI72" s="89" t="str" cm="1">
        <f t="array" aca="1" ref="AI72" ca="1">IFERROR(IF($AJ$4="N",SSUM(AD72:AF72)/3,SUM(AE72:AG72)/3),"")</f>
        <v/>
      </c>
      <c r="AJ72" s="90">
        <f t="shared" ref="AJ72:AJ132" si="65">IFERROR(IF($AJ$4="N",AF72,AG72),"")</f>
        <v>0</v>
      </c>
      <c r="AK72" s="91" t="str">
        <f t="shared" si="52"/>
        <v/>
      </c>
      <c r="AL72" s="92" t="str">
        <f t="shared" si="53"/>
        <v/>
      </c>
      <c r="AM72" s="92" t="str">
        <f t="shared" si="54"/>
        <v/>
      </c>
      <c r="AN72" s="92" t="str">
        <f t="shared" si="55"/>
        <v/>
      </c>
      <c r="AO72" s="92" t="str">
        <f t="shared" si="56"/>
        <v/>
      </c>
      <c r="AP72" s="92" t="str">
        <f t="shared" si="57"/>
        <v/>
      </c>
      <c r="AQ72" s="92" t="str">
        <f t="shared" si="58"/>
        <v/>
      </c>
      <c r="AR72" s="92" t="str">
        <f t="shared" si="59"/>
        <v/>
      </c>
      <c r="AS72" s="92" t="str">
        <f t="shared" si="60"/>
        <v/>
      </c>
      <c r="AT72" s="217" t="str">
        <f t="shared" si="61"/>
        <v/>
      </c>
      <c r="AU72" s="93" t="str">
        <f t="shared" ref="AU72:AU132" si="66">IFERROR(IF($AW$3="N",
IF($AW$4="N",SUM(H72:L72)/SUM(AB72:AF72),SUM(I72:M72)/SUM(AC72:AG72)),
IF($AW$4="N",SUM(R72:V72)/SUM(AB72:AF72),SUM(S72:W72)/SUM(AC72:AG72))),"")</f>
        <v/>
      </c>
      <c r="AV72" s="94" t="str">
        <f t="shared" ref="AV72:AV132" si="67">IFERROR(IF($AW$3="N",
IF($AW$4="N",SUM(J72:L72)/SUM(AD72:AF72),SUM(K72:M72)/SUM(AE72:AG72)),
IF($AW$4="N",SUM(T72:V72)/SUM(AD72:AF72),SUM(U72:W72)/SUM(AE72:AG72))),"")</f>
        <v/>
      </c>
      <c r="AW72" s="95" t="str">
        <f t="shared" ref="AW72:AW132" si="68">IFERROR(IF($AW$3="N",
IF($AW$4="N",L72/AF72,M72/AG72),
IF($AW$4="N",V72/AF72,W72/AG72)),"")</f>
        <v/>
      </c>
      <c r="AX72" s="248" t="s">
        <v>422</v>
      </c>
      <c r="AY72" s="229" t="s">
        <v>433</v>
      </c>
      <c r="AZ72" s="249">
        <v>0</v>
      </c>
      <c r="BA72" s="267">
        <f t="shared" ref="BA72:BA132" si="69">IF(BA$6=$AX72,1,0
)</f>
        <v>0</v>
      </c>
      <c r="BB72" s="268">
        <f t="shared" si="62"/>
        <v>0</v>
      </c>
      <c r="BC72" s="268">
        <f t="shared" si="62"/>
        <v>0</v>
      </c>
      <c r="BD72" s="268">
        <f t="shared" si="62"/>
        <v>1</v>
      </c>
      <c r="BE72" s="268">
        <f t="shared" si="62"/>
        <v>2</v>
      </c>
      <c r="BF72" s="268">
        <f t="shared" si="62"/>
        <v>3</v>
      </c>
      <c r="BG72" s="268">
        <f t="shared" si="62"/>
        <v>4</v>
      </c>
      <c r="BH72" s="269">
        <f t="shared" si="62"/>
        <v>5</v>
      </c>
      <c r="BI72" s="256">
        <f>IF($AY72=Lookup!$A$2,$AZ72*ROUNDUP(BA72/10,0)+1,
IF($AY72=Lookup!$A$3,($AZ72+1)^AZ72,
IF($AY72=Lookup!$A$4,BA72*$AZ72+1,"Error")))</f>
        <v>1</v>
      </c>
      <c r="BJ72" s="229">
        <f>IF($AY72=Lookup!$A$2,$AZ72*ROUNDUP(BB72/10,0)+1,
IF($AY72=Lookup!$A$3,($AZ72+1)^BA72,
IF($AY72=Lookup!$A$4,BB72*$AZ72+1,"Error")))</f>
        <v>1</v>
      </c>
      <c r="BK72" s="229">
        <f>IF($AY72=Lookup!$A$2,$AZ72*ROUNDUP(BC72/10,0)+1,
IF($AY72=Lookup!$A$3,($AZ72+1)^BB72,
IF($AY72=Lookup!$A$4,BC72*$AZ72+1,"Error")))</f>
        <v>1</v>
      </c>
      <c r="BL72" s="229">
        <f>IF($AY72=Lookup!$A$2,$AZ72*ROUNDUP(BD72/10,0)+1,
IF($AY72=Lookup!$A$3,($AZ72+1)^BC72,
IF($AY72=Lookup!$A$4,BD72*$AZ72+1,"Error")))</f>
        <v>1</v>
      </c>
      <c r="BM72" s="229">
        <f>IF($AY72=Lookup!$A$2,$AZ72*ROUNDUP(BE72/10,0)+1,
IF($AY72=Lookup!$A$3,($AZ72+1)^BD72,
IF($AY72=Lookup!$A$4,BE72*$AZ72+1,"Error")))</f>
        <v>1</v>
      </c>
      <c r="BN72" s="229">
        <f>IF($AY72=Lookup!$A$2,$AZ72*ROUNDUP(BF72/10,0)+1,
IF($AY72=Lookup!$A$3,($AZ72+1)^BE72,
IF($AY72=Lookup!$A$4,BF72*$AZ72+1,"Error")))</f>
        <v>1</v>
      </c>
      <c r="BO72" s="229">
        <f>IF($AY72=Lookup!$A$2,$AZ72*ROUNDUP(BG72/10,0)+1,
IF($AY72=Lookup!$A$3,($AZ72+1)^BF72,
IF($AY72=Lookup!$A$4,BG72*$AZ72+1,"Error")))</f>
        <v>1</v>
      </c>
      <c r="BP72" s="249">
        <f>IF($AY72=Lookup!$A$2,$AZ72*ROUNDUP(BH72/10,0)+1,
IF($AY72=Lookup!$A$3,($AZ72+1)^BG72,
IF($AY72=Lookup!$A$4,BH72*$AZ72+1,"Error")))</f>
        <v>1</v>
      </c>
      <c r="BQ72" s="320"/>
      <c r="BR72" s="321"/>
      <c r="BS72" s="321"/>
      <c r="BT72" s="321"/>
      <c r="BU72" s="321"/>
      <c r="BV72" s="321"/>
      <c r="BW72" s="321"/>
      <c r="BX72" s="277"/>
      <c r="BY72" s="382" t="s">
        <v>292</v>
      </c>
      <c r="BZ72" s="383">
        <f>HLOOKUP($BY72,$AH$6:$AJ$132,ROWS(BZ$6:BZ72),0)</f>
        <v>0</v>
      </c>
      <c r="CA72" s="234">
        <f t="shared" ref="CA72:CG123" si="70">IFERROR(IF(BQ72&lt;&gt;"",BQ72,BI72*$BZ72),"")</f>
        <v>0</v>
      </c>
      <c r="CB72" s="96">
        <f t="shared" si="70"/>
        <v>0</v>
      </c>
      <c r="CC72" s="96">
        <f t="shared" si="70"/>
        <v>0</v>
      </c>
      <c r="CD72" s="96">
        <f t="shared" si="70"/>
        <v>0</v>
      </c>
      <c r="CE72" s="96">
        <f t="shared" si="41"/>
        <v>0</v>
      </c>
      <c r="CF72" s="96">
        <f t="shared" si="41"/>
        <v>0</v>
      </c>
      <c r="CG72" s="96">
        <f t="shared" si="41"/>
        <v>0</v>
      </c>
      <c r="CH72" s="286">
        <f t="shared" si="41"/>
        <v>0</v>
      </c>
      <c r="CI72" s="305" t="s">
        <v>293</v>
      </c>
      <c r="CJ72" s="315">
        <v>0.05</v>
      </c>
      <c r="CK72" s="306"/>
      <c r="CL72" s="307" t="str">
        <f>IF($CK72&lt;&gt;"",$CK72,HLOOKUP($CI72,$AU$6:$AW$132,ROWS(CL$6:CL72),0))</f>
        <v/>
      </c>
      <c r="CM72" s="97"/>
      <c r="CN72" s="97"/>
      <c r="CO72" s="97"/>
      <c r="CP72" s="97"/>
      <c r="CQ72" s="97"/>
      <c r="CR72" s="97"/>
      <c r="CS72" s="97"/>
      <c r="CT72" s="98"/>
      <c r="CU72" s="392"/>
    </row>
    <row r="73" spans="1:99" x14ac:dyDescent="0.25">
      <c r="A73" s="81" t="s">
        <v>138</v>
      </c>
      <c r="B73" s="82" t="s">
        <v>149</v>
      </c>
      <c r="C73" s="83" t="s">
        <v>363</v>
      </c>
      <c r="D73" s="84"/>
      <c r="E73" s="85"/>
      <c r="F73" s="85"/>
      <c r="G73" s="85"/>
      <c r="H73" s="85"/>
      <c r="I73" s="85"/>
      <c r="J73" s="85"/>
      <c r="K73" s="85"/>
      <c r="L73" s="85"/>
      <c r="M73" s="201"/>
      <c r="N73" s="560">
        <f t="shared" si="63"/>
        <v>0</v>
      </c>
      <c r="O73" s="561">
        <f t="shared" si="43"/>
        <v>0</v>
      </c>
      <c r="P73" s="561">
        <f t="shared" si="44"/>
        <v>0</v>
      </c>
      <c r="Q73" s="561">
        <f t="shared" si="45"/>
        <v>0</v>
      </c>
      <c r="R73" s="561">
        <f t="shared" si="46"/>
        <v>0</v>
      </c>
      <c r="S73" s="561">
        <f t="shared" si="47"/>
        <v>0</v>
      </c>
      <c r="T73" s="561">
        <f t="shared" si="48"/>
        <v>0</v>
      </c>
      <c r="U73" s="561">
        <f t="shared" si="49"/>
        <v>0</v>
      </c>
      <c r="V73" s="561">
        <f t="shared" si="50"/>
        <v>0</v>
      </c>
      <c r="W73" s="562">
        <f t="shared" si="51"/>
        <v>0</v>
      </c>
      <c r="X73" s="86"/>
      <c r="Y73" s="87"/>
      <c r="Z73" s="87"/>
      <c r="AA73" s="87"/>
      <c r="AB73" s="87"/>
      <c r="AC73" s="87"/>
      <c r="AD73" s="87"/>
      <c r="AE73" s="87"/>
      <c r="AF73" s="87"/>
      <c r="AG73" s="194"/>
      <c r="AH73" s="88">
        <f t="shared" si="64"/>
        <v>0</v>
      </c>
      <c r="AI73" s="89" t="str" cm="1">
        <f t="array" aca="1" ref="AI73" ca="1">IFERROR(IF($AJ$4="N",SSUM(AD73:AF73)/3,SUM(AE73:AG73)/3),"")</f>
        <v/>
      </c>
      <c r="AJ73" s="90">
        <f t="shared" si="65"/>
        <v>0</v>
      </c>
      <c r="AK73" s="91" t="str">
        <f t="shared" si="52"/>
        <v/>
      </c>
      <c r="AL73" s="92" t="str">
        <f t="shared" si="53"/>
        <v/>
      </c>
      <c r="AM73" s="92" t="str">
        <f t="shared" si="54"/>
        <v/>
      </c>
      <c r="AN73" s="92" t="str">
        <f t="shared" si="55"/>
        <v/>
      </c>
      <c r="AO73" s="92" t="str">
        <f t="shared" si="56"/>
        <v/>
      </c>
      <c r="AP73" s="92" t="str">
        <f t="shared" si="57"/>
        <v/>
      </c>
      <c r="AQ73" s="92" t="str">
        <f t="shared" si="58"/>
        <v/>
      </c>
      <c r="AR73" s="92" t="str">
        <f t="shared" si="59"/>
        <v/>
      </c>
      <c r="AS73" s="92" t="str">
        <f t="shared" si="60"/>
        <v/>
      </c>
      <c r="AT73" s="217" t="str">
        <f t="shared" si="61"/>
        <v/>
      </c>
      <c r="AU73" s="93" t="str">
        <f t="shared" si="66"/>
        <v/>
      </c>
      <c r="AV73" s="94" t="str">
        <f t="shared" si="67"/>
        <v/>
      </c>
      <c r="AW73" s="95" t="str">
        <f t="shared" si="68"/>
        <v/>
      </c>
      <c r="AX73" s="248" t="s">
        <v>422</v>
      </c>
      <c r="AY73" s="229" t="s">
        <v>433</v>
      </c>
      <c r="AZ73" s="249">
        <v>0</v>
      </c>
      <c r="BA73" s="267">
        <f t="shared" si="69"/>
        <v>0</v>
      </c>
      <c r="BB73" s="268">
        <f t="shared" si="62"/>
        <v>0</v>
      </c>
      <c r="BC73" s="268">
        <f t="shared" si="62"/>
        <v>0</v>
      </c>
      <c r="BD73" s="268">
        <f t="shared" si="62"/>
        <v>1</v>
      </c>
      <c r="BE73" s="268">
        <f t="shared" si="62"/>
        <v>2</v>
      </c>
      <c r="BF73" s="268">
        <f t="shared" si="62"/>
        <v>3</v>
      </c>
      <c r="BG73" s="268">
        <f t="shared" si="62"/>
        <v>4</v>
      </c>
      <c r="BH73" s="269">
        <f t="shared" si="62"/>
        <v>5</v>
      </c>
      <c r="BI73" s="256">
        <f>IF($AY73=Lookup!$A$2,$AZ73*ROUNDUP(BA73/10,0)+1,
IF($AY73=Lookup!$A$3,($AZ73+1)^AZ73,
IF($AY73=Lookup!$A$4,BA73*$AZ73+1,"Error")))</f>
        <v>1</v>
      </c>
      <c r="BJ73" s="229">
        <f>IF($AY73=Lookup!$A$2,$AZ73*ROUNDUP(BB73/10,0)+1,
IF($AY73=Lookup!$A$3,($AZ73+1)^BA73,
IF($AY73=Lookup!$A$4,BB73*$AZ73+1,"Error")))</f>
        <v>1</v>
      </c>
      <c r="BK73" s="229">
        <f>IF($AY73=Lookup!$A$2,$AZ73*ROUNDUP(BC73/10,0)+1,
IF($AY73=Lookup!$A$3,($AZ73+1)^BB73,
IF($AY73=Lookup!$A$4,BC73*$AZ73+1,"Error")))</f>
        <v>1</v>
      </c>
      <c r="BL73" s="229">
        <f>IF($AY73=Lookup!$A$2,$AZ73*ROUNDUP(BD73/10,0)+1,
IF($AY73=Lookup!$A$3,($AZ73+1)^BC73,
IF($AY73=Lookup!$A$4,BD73*$AZ73+1,"Error")))</f>
        <v>1</v>
      </c>
      <c r="BM73" s="229">
        <f>IF($AY73=Lookup!$A$2,$AZ73*ROUNDUP(BE73/10,0)+1,
IF($AY73=Lookup!$A$3,($AZ73+1)^BD73,
IF($AY73=Lookup!$A$4,BE73*$AZ73+1,"Error")))</f>
        <v>1</v>
      </c>
      <c r="BN73" s="229">
        <f>IF($AY73=Lookup!$A$2,$AZ73*ROUNDUP(BF73/10,0)+1,
IF($AY73=Lookup!$A$3,($AZ73+1)^BE73,
IF($AY73=Lookup!$A$4,BF73*$AZ73+1,"Error")))</f>
        <v>1</v>
      </c>
      <c r="BO73" s="229">
        <f>IF($AY73=Lookup!$A$2,$AZ73*ROUNDUP(BG73/10,0)+1,
IF($AY73=Lookup!$A$3,($AZ73+1)^BF73,
IF($AY73=Lookup!$A$4,BG73*$AZ73+1,"Error")))</f>
        <v>1</v>
      </c>
      <c r="BP73" s="249">
        <f>IF($AY73=Lookup!$A$2,$AZ73*ROUNDUP(BH73/10,0)+1,
IF($AY73=Lookup!$A$3,($AZ73+1)^BG73,
IF($AY73=Lookup!$A$4,BH73*$AZ73+1,"Error")))</f>
        <v>1</v>
      </c>
      <c r="BQ73" s="320"/>
      <c r="BR73" s="321"/>
      <c r="BS73" s="321"/>
      <c r="BT73" s="321"/>
      <c r="BU73" s="321"/>
      <c r="BV73" s="321"/>
      <c r="BW73" s="321"/>
      <c r="BX73" s="277"/>
      <c r="BY73" s="382" t="s">
        <v>292</v>
      </c>
      <c r="BZ73" s="383">
        <f>HLOOKUP($BY73,$AH$6:$AJ$132,ROWS(BZ$6:BZ73),0)</f>
        <v>0</v>
      </c>
      <c r="CA73" s="234">
        <f t="shared" si="70"/>
        <v>0</v>
      </c>
      <c r="CB73" s="96">
        <f t="shared" si="70"/>
        <v>0</v>
      </c>
      <c r="CC73" s="96">
        <f t="shared" si="70"/>
        <v>0</v>
      </c>
      <c r="CD73" s="96">
        <f t="shared" si="70"/>
        <v>0</v>
      </c>
      <c r="CE73" s="96">
        <f t="shared" si="41"/>
        <v>0</v>
      </c>
      <c r="CF73" s="96">
        <f t="shared" si="41"/>
        <v>0</v>
      </c>
      <c r="CG73" s="96">
        <f t="shared" si="41"/>
        <v>0</v>
      </c>
      <c r="CH73" s="286">
        <f t="shared" si="41"/>
        <v>0</v>
      </c>
      <c r="CI73" s="305" t="s">
        <v>293</v>
      </c>
      <c r="CJ73" s="315">
        <v>0.05</v>
      </c>
      <c r="CK73" s="306"/>
      <c r="CL73" s="307" t="str">
        <f>IF($CK73&lt;&gt;"",$CK73,HLOOKUP($CI73,$AU$6:$AW$132,ROWS(CL$6:CL73),0))</f>
        <v/>
      </c>
      <c r="CM73" s="97"/>
      <c r="CN73" s="97"/>
      <c r="CO73" s="97"/>
      <c r="CP73" s="97"/>
      <c r="CQ73" s="97"/>
      <c r="CR73" s="97"/>
      <c r="CS73" s="97"/>
      <c r="CT73" s="98"/>
      <c r="CU73" s="392"/>
    </row>
    <row r="74" spans="1:99" x14ac:dyDescent="0.25">
      <c r="A74" s="81" t="s">
        <v>138</v>
      </c>
      <c r="B74" s="82" t="s">
        <v>151</v>
      </c>
      <c r="C74" s="83" t="s">
        <v>364</v>
      </c>
      <c r="D74" s="84"/>
      <c r="E74" s="85"/>
      <c r="F74" s="85"/>
      <c r="G74" s="85"/>
      <c r="H74" s="85"/>
      <c r="I74" s="85"/>
      <c r="J74" s="85"/>
      <c r="K74" s="85"/>
      <c r="L74" s="85"/>
      <c r="M74" s="201"/>
      <c r="N74" s="560">
        <f t="shared" si="63"/>
        <v>0</v>
      </c>
      <c r="O74" s="561">
        <f t="shared" si="43"/>
        <v>0</v>
      </c>
      <c r="P74" s="561">
        <f t="shared" si="44"/>
        <v>0</v>
      </c>
      <c r="Q74" s="561">
        <f t="shared" si="45"/>
        <v>0</v>
      </c>
      <c r="R74" s="561">
        <f t="shared" si="46"/>
        <v>0</v>
      </c>
      <c r="S74" s="561">
        <f t="shared" si="47"/>
        <v>0</v>
      </c>
      <c r="T74" s="561">
        <f t="shared" si="48"/>
        <v>0</v>
      </c>
      <c r="U74" s="561">
        <f t="shared" si="49"/>
        <v>0</v>
      </c>
      <c r="V74" s="561">
        <f t="shared" si="50"/>
        <v>0</v>
      </c>
      <c r="W74" s="562">
        <f t="shared" si="51"/>
        <v>0</v>
      </c>
      <c r="X74" s="86"/>
      <c r="Y74" s="87"/>
      <c r="Z74" s="87"/>
      <c r="AA74" s="87"/>
      <c r="AB74" s="87"/>
      <c r="AC74" s="87"/>
      <c r="AD74" s="87"/>
      <c r="AE74" s="87"/>
      <c r="AF74" s="87"/>
      <c r="AG74" s="194"/>
      <c r="AH74" s="88">
        <f t="shared" si="64"/>
        <v>0</v>
      </c>
      <c r="AI74" s="89" t="str" cm="1">
        <f t="array" aca="1" ref="AI74" ca="1">IFERROR(IF($AJ$4="N",SSUM(AD74:AF74)/3,SUM(AE74:AG74)/3),"")</f>
        <v/>
      </c>
      <c r="AJ74" s="90">
        <f t="shared" si="65"/>
        <v>0</v>
      </c>
      <c r="AK74" s="91" t="str">
        <f t="shared" si="52"/>
        <v/>
      </c>
      <c r="AL74" s="92" t="str">
        <f t="shared" si="53"/>
        <v/>
      </c>
      <c r="AM74" s="92" t="str">
        <f t="shared" si="54"/>
        <v/>
      </c>
      <c r="AN74" s="92" t="str">
        <f t="shared" si="55"/>
        <v/>
      </c>
      <c r="AO74" s="92" t="str">
        <f t="shared" si="56"/>
        <v/>
      </c>
      <c r="AP74" s="92" t="str">
        <f t="shared" si="57"/>
        <v/>
      </c>
      <c r="AQ74" s="92" t="str">
        <f t="shared" si="58"/>
        <v/>
      </c>
      <c r="AR74" s="92" t="str">
        <f t="shared" si="59"/>
        <v/>
      </c>
      <c r="AS74" s="92" t="str">
        <f t="shared" si="60"/>
        <v/>
      </c>
      <c r="AT74" s="217" t="str">
        <f t="shared" si="61"/>
        <v/>
      </c>
      <c r="AU74" s="93" t="str">
        <f t="shared" si="66"/>
        <v/>
      </c>
      <c r="AV74" s="94" t="str">
        <f t="shared" si="67"/>
        <v/>
      </c>
      <c r="AW74" s="95" t="str">
        <f t="shared" si="68"/>
        <v/>
      </c>
      <c r="AX74" s="248" t="s">
        <v>422</v>
      </c>
      <c r="AY74" s="229" t="s">
        <v>433</v>
      </c>
      <c r="AZ74" s="249">
        <v>0</v>
      </c>
      <c r="BA74" s="267">
        <f t="shared" si="69"/>
        <v>0</v>
      </c>
      <c r="BB74" s="268">
        <f t="shared" si="62"/>
        <v>0</v>
      </c>
      <c r="BC74" s="268">
        <f t="shared" si="62"/>
        <v>0</v>
      </c>
      <c r="BD74" s="268">
        <f t="shared" si="62"/>
        <v>1</v>
      </c>
      <c r="BE74" s="268">
        <f t="shared" si="62"/>
        <v>2</v>
      </c>
      <c r="BF74" s="268">
        <f t="shared" si="62"/>
        <v>3</v>
      </c>
      <c r="BG74" s="268">
        <f t="shared" si="62"/>
        <v>4</v>
      </c>
      <c r="BH74" s="269">
        <f t="shared" si="62"/>
        <v>5</v>
      </c>
      <c r="BI74" s="256">
        <f>IF($AY74=Lookup!$A$2,$AZ74*ROUNDUP(BA74/10,0)+1,
IF($AY74=Lookup!$A$3,($AZ74+1)^AZ74,
IF($AY74=Lookup!$A$4,BA74*$AZ74+1,"Error")))</f>
        <v>1</v>
      </c>
      <c r="BJ74" s="229">
        <f>IF($AY74=Lookup!$A$2,$AZ74*ROUNDUP(BB74/10,0)+1,
IF($AY74=Lookup!$A$3,($AZ74+1)^BA74,
IF($AY74=Lookup!$A$4,BB74*$AZ74+1,"Error")))</f>
        <v>1</v>
      </c>
      <c r="BK74" s="229">
        <f>IF($AY74=Lookup!$A$2,$AZ74*ROUNDUP(BC74/10,0)+1,
IF($AY74=Lookup!$A$3,($AZ74+1)^BB74,
IF($AY74=Lookup!$A$4,BC74*$AZ74+1,"Error")))</f>
        <v>1</v>
      </c>
      <c r="BL74" s="229">
        <f>IF($AY74=Lookup!$A$2,$AZ74*ROUNDUP(BD74/10,0)+1,
IF($AY74=Lookup!$A$3,($AZ74+1)^BC74,
IF($AY74=Lookup!$A$4,BD74*$AZ74+1,"Error")))</f>
        <v>1</v>
      </c>
      <c r="BM74" s="229">
        <f>IF($AY74=Lookup!$A$2,$AZ74*ROUNDUP(BE74/10,0)+1,
IF($AY74=Lookup!$A$3,($AZ74+1)^BD74,
IF($AY74=Lookup!$A$4,BE74*$AZ74+1,"Error")))</f>
        <v>1</v>
      </c>
      <c r="BN74" s="229">
        <f>IF($AY74=Lookup!$A$2,$AZ74*ROUNDUP(BF74/10,0)+1,
IF($AY74=Lookup!$A$3,($AZ74+1)^BE74,
IF($AY74=Lookup!$A$4,BF74*$AZ74+1,"Error")))</f>
        <v>1</v>
      </c>
      <c r="BO74" s="229">
        <f>IF($AY74=Lookup!$A$2,$AZ74*ROUNDUP(BG74/10,0)+1,
IF($AY74=Lookup!$A$3,($AZ74+1)^BF74,
IF($AY74=Lookup!$A$4,BG74*$AZ74+1,"Error")))</f>
        <v>1</v>
      </c>
      <c r="BP74" s="249">
        <f>IF($AY74=Lookup!$A$2,$AZ74*ROUNDUP(BH74/10,0)+1,
IF($AY74=Lookup!$A$3,($AZ74+1)^BG74,
IF($AY74=Lookup!$A$4,BH74*$AZ74+1,"Error")))</f>
        <v>1</v>
      </c>
      <c r="BQ74" s="320"/>
      <c r="BR74" s="321"/>
      <c r="BS74" s="321"/>
      <c r="BT74" s="321"/>
      <c r="BU74" s="321"/>
      <c r="BV74" s="321"/>
      <c r="BW74" s="321"/>
      <c r="BX74" s="277"/>
      <c r="BY74" s="382" t="s">
        <v>292</v>
      </c>
      <c r="BZ74" s="383">
        <f>HLOOKUP($BY74,$AH$6:$AJ$132,ROWS(BZ$6:BZ74),0)</f>
        <v>0</v>
      </c>
      <c r="CA74" s="234">
        <f t="shared" si="70"/>
        <v>0</v>
      </c>
      <c r="CB74" s="96">
        <f t="shared" si="70"/>
        <v>0</v>
      </c>
      <c r="CC74" s="96">
        <f t="shared" si="70"/>
        <v>0</v>
      </c>
      <c r="CD74" s="96">
        <f t="shared" si="70"/>
        <v>0</v>
      </c>
      <c r="CE74" s="96">
        <f t="shared" si="41"/>
        <v>0</v>
      </c>
      <c r="CF74" s="96">
        <f t="shared" si="41"/>
        <v>0</v>
      </c>
      <c r="CG74" s="96">
        <f t="shared" si="41"/>
        <v>0</v>
      </c>
      <c r="CH74" s="286">
        <f t="shared" si="41"/>
        <v>0</v>
      </c>
      <c r="CI74" s="305" t="s">
        <v>293</v>
      </c>
      <c r="CJ74" s="315">
        <v>0.05</v>
      </c>
      <c r="CK74" s="306"/>
      <c r="CL74" s="307" t="str">
        <f>IF($CK74&lt;&gt;"",$CK74,HLOOKUP($CI74,$AU$6:$AW$132,ROWS(CL$6:CL74),0))</f>
        <v/>
      </c>
      <c r="CM74" s="97"/>
      <c r="CN74" s="97"/>
      <c r="CO74" s="97"/>
      <c r="CP74" s="97"/>
      <c r="CQ74" s="97"/>
      <c r="CR74" s="97"/>
      <c r="CS74" s="97"/>
      <c r="CT74" s="98"/>
      <c r="CU74" s="392"/>
    </row>
    <row r="75" spans="1:99" x14ac:dyDescent="0.25">
      <c r="A75" s="81" t="s">
        <v>138</v>
      </c>
      <c r="B75" s="82" t="s">
        <v>153</v>
      </c>
      <c r="C75" s="83" t="s">
        <v>365</v>
      </c>
      <c r="D75" s="84"/>
      <c r="E75" s="85"/>
      <c r="F75" s="85"/>
      <c r="G75" s="85"/>
      <c r="H75" s="85"/>
      <c r="I75" s="85"/>
      <c r="J75" s="85"/>
      <c r="K75" s="85"/>
      <c r="L75" s="85"/>
      <c r="M75" s="201"/>
      <c r="N75" s="560">
        <f t="shared" si="63"/>
        <v>0</v>
      </c>
      <c r="O75" s="561">
        <f t="shared" si="43"/>
        <v>0</v>
      </c>
      <c r="P75" s="561">
        <f t="shared" si="44"/>
        <v>0</v>
      </c>
      <c r="Q75" s="561">
        <f t="shared" si="45"/>
        <v>0</v>
      </c>
      <c r="R75" s="561">
        <f t="shared" si="46"/>
        <v>0</v>
      </c>
      <c r="S75" s="561">
        <f t="shared" si="47"/>
        <v>0</v>
      </c>
      <c r="T75" s="561">
        <f t="shared" si="48"/>
        <v>0</v>
      </c>
      <c r="U75" s="561">
        <f t="shared" si="49"/>
        <v>0</v>
      </c>
      <c r="V75" s="561">
        <f t="shared" si="50"/>
        <v>0</v>
      </c>
      <c r="W75" s="562">
        <f t="shared" si="51"/>
        <v>0</v>
      </c>
      <c r="X75" s="86"/>
      <c r="Y75" s="87"/>
      <c r="Z75" s="87"/>
      <c r="AA75" s="87"/>
      <c r="AB75" s="87"/>
      <c r="AC75" s="87"/>
      <c r="AD75" s="87"/>
      <c r="AE75" s="87"/>
      <c r="AF75" s="87"/>
      <c r="AG75" s="194"/>
      <c r="AH75" s="88">
        <f t="shared" si="64"/>
        <v>0</v>
      </c>
      <c r="AI75" s="89" t="str" cm="1">
        <f t="array" aca="1" ref="AI75" ca="1">IFERROR(IF($AJ$4="N",SSUM(AD75:AF75)/3,SUM(AE75:AG75)/3),"")</f>
        <v/>
      </c>
      <c r="AJ75" s="90">
        <f t="shared" si="65"/>
        <v>0</v>
      </c>
      <c r="AK75" s="91" t="str">
        <f t="shared" si="52"/>
        <v/>
      </c>
      <c r="AL75" s="92" t="str">
        <f t="shared" si="53"/>
        <v/>
      </c>
      <c r="AM75" s="92" t="str">
        <f t="shared" si="54"/>
        <v/>
      </c>
      <c r="AN75" s="92" t="str">
        <f t="shared" si="55"/>
        <v/>
      </c>
      <c r="AO75" s="92" t="str">
        <f t="shared" si="56"/>
        <v/>
      </c>
      <c r="AP75" s="92" t="str">
        <f t="shared" si="57"/>
        <v/>
      </c>
      <c r="AQ75" s="92" t="str">
        <f t="shared" si="58"/>
        <v/>
      </c>
      <c r="AR75" s="92" t="str">
        <f t="shared" si="59"/>
        <v/>
      </c>
      <c r="AS75" s="92" t="str">
        <f t="shared" si="60"/>
        <v/>
      </c>
      <c r="AT75" s="217" t="str">
        <f t="shared" si="61"/>
        <v/>
      </c>
      <c r="AU75" s="93" t="str">
        <f t="shared" si="66"/>
        <v/>
      </c>
      <c r="AV75" s="94" t="str">
        <f t="shared" si="67"/>
        <v/>
      </c>
      <c r="AW75" s="95" t="str">
        <f t="shared" si="68"/>
        <v/>
      </c>
      <c r="AX75" s="248" t="s">
        <v>422</v>
      </c>
      <c r="AY75" s="229" t="s">
        <v>433</v>
      </c>
      <c r="AZ75" s="249">
        <v>0</v>
      </c>
      <c r="BA75" s="267">
        <f t="shared" si="69"/>
        <v>0</v>
      </c>
      <c r="BB75" s="268">
        <f t="shared" si="62"/>
        <v>0</v>
      </c>
      <c r="BC75" s="268">
        <f t="shared" si="62"/>
        <v>0</v>
      </c>
      <c r="BD75" s="268">
        <f t="shared" si="62"/>
        <v>1</v>
      </c>
      <c r="BE75" s="268">
        <f t="shared" si="62"/>
        <v>2</v>
      </c>
      <c r="BF75" s="268">
        <f t="shared" si="62"/>
        <v>3</v>
      </c>
      <c r="BG75" s="268">
        <f t="shared" si="62"/>
        <v>4</v>
      </c>
      <c r="BH75" s="269">
        <f t="shared" si="62"/>
        <v>5</v>
      </c>
      <c r="BI75" s="256">
        <f>IF($AY75=Lookup!$A$2,$AZ75*ROUNDUP(BA75/10,0)+1,
IF($AY75=Lookup!$A$3,($AZ75+1)^AZ75,
IF($AY75=Lookup!$A$4,BA75*$AZ75+1,"Error")))</f>
        <v>1</v>
      </c>
      <c r="BJ75" s="229">
        <f>IF($AY75=Lookup!$A$2,$AZ75*ROUNDUP(BB75/10,0)+1,
IF($AY75=Lookup!$A$3,($AZ75+1)^BA75,
IF($AY75=Lookup!$A$4,BB75*$AZ75+1,"Error")))</f>
        <v>1</v>
      </c>
      <c r="BK75" s="229">
        <f>IF($AY75=Lookup!$A$2,$AZ75*ROUNDUP(BC75/10,0)+1,
IF($AY75=Lookup!$A$3,($AZ75+1)^BB75,
IF($AY75=Lookup!$A$4,BC75*$AZ75+1,"Error")))</f>
        <v>1</v>
      </c>
      <c r="BL75" s="229">
        <f>IF($AY75=Lookup!$A$2,$AZ75*ROUNDUP(BD75/10,0)+1,
IF($AY75=Lookup!$A$3,($AZ75+1)^BC75,
IF($AY75=Lookup!$A$4,BD75*$AZ75+1,"Error")))</f>
        <v>1</v>
      </c>
      <c r="BM75" s="229">
        <f>IF($AY75=Lookup!$A$2,$AZ75*ROUNDUP(BE75/10,0)+1,
IF($AY75=Lookup!$A$3,($AZ75+1)^BD75,
IF($AY75=Lookup!$A$4,BE75*$AZ75+1,"Error")))</f>
        <v>1</v>
      </c>
      <c r="BN75" s="229">
        <f>IF($AY75=Lookup!$A$2,$AZ75*ROUNDUP(BF75/10,0)+1,
IF($AY75=Lookup!$A$3,($AZ75+1)^BE75,
IF($AY75=Lookup!$A$4,BF75*$AZ75+1,"Error")))</f>
        <v>1</v>
      </c>
      <c r="BO75" s="229">
        <f>IF($AY75=Lookup!$A$2,$AZ75*ROUNDUP(BG75/10,0)+1,
IF($AY75=Lookup!$A$3,($AZ75+1)^BF75,
IF($AY75=Lookup!$A$4,BG75*$AZ75+1,"Error")))</f>
        <v>1</v>
      </c>
      <c r="BP75" s="249">
        <f>IF($AY75=Lookup!$A$2,$AZ75*ROUNDUP(BH75/10,0)+1,
IF($AY75=Lookup!$A$3,($AZ75+1)^BG75,
IF($AY75=Lookup!$A$4,BH75*$AZ75+1,"Error")))</f>
        <v>1</v>
      </c>
      <c r="BQ75" s="320"/>
      <c r="BR75" s="321"/>
      <c r="BS75" s="321"/>
      <c r="BT75" s="321"/>
      <c r="BU75" s="321"/>
      <c r="BV75" s="321"/>
      <c r="BW75" s="321"/>
      <c r="BX75" s="277"/>
      <c r="BY75" s="382" t="s">
        <v>292</v>
      </c>
      <c r="BZ75" s="383">
        <f>HLOOKUP($BY75,$AH$6:$AJ$132,ROWS(BZ$6:BZ75),0)</f>
        <v>0</v>
      </c>
      <c r="CA75" s="234">
        <f t="shared" si="70"/>
        <v>0</v>
      </c>
      <c r="CB75" s="96">
        <f t="shared" si="70"/>
        <v>0</v>
      </c>
      <c r="CC75" s="96">
        <f t="shared" si="70"/>
        <v>0</v>
      </c>
      <c r="CD75" s="96">
        <f t="shared" si="70"/>
        <v>0</v>
      </c>
      <c r="CE75" s="96">
        <f t="shared" si="41"/>
        <v>0</v>
      </c>
      <c r="CF75" s="96">
        <f t="shared" si="41"/>
        <v>0</v>
      </c>
      <c r="CG75" s="96">
        <f t="shared" si="41"/>
        <v>0</v>
      </c>
      <c r="CH75" s="286">
        <f t="shared" si="41"/>
        <v>0</v>
      </c>
      <c r="CI75" s="305" t="s">
        <v>293</v>
      </c>
      <c r="CJ75" s="315">
        <v>0.05</v>
      </c>
      <c r="CK75" s="306"/>
      <c r="CL75" s="307" t="str">
        <f>IF($CK75&lt;&gt;"",$CK75,HLOOKUP($CI75,$AU$6:$AW$132,ROWS(CL$6:CL75),0))</f>
        <v/>
      </c>
      <c r="CM75" s="97"/>
      <c r="CN75" s="97"/>
      <c r="CO75" s="97"/>
      <c r="CP75" s="97"/>
      <c r="CQ75" s="97"/>
      <c r="CR75" s="97"/>
      <c r="CS75" s="97"/>
      <c r="CT75" s="98"/>
      <c r="CU75" s="392"/>
    </row>
    <row r="76" spans="1:99" x14ac:dyDescent="0.25">
      <c r="A76" s="81" t="s">
        <v>138</v>
      </c>
      <c r="B76" s="82" t="s">
        <v>155</v>
      </c>
      <c r="C76" s="83" t="s">
        <v>366</v>
      </c>
      <c r="D76" s="84"/>
      <c r="E76" s="85"/>
      <c r="F76" s="85"/>
      <c r="G76" s="85"/>
      <c r="H76" s="85"/>
      <c r="I76" s="85"/>
      <c r="J76" s="85"/>
      <c r="K76" s="85"/>
      <c r="L76" s="85"/>
      <c r="M76" s="201"/>
      <c r="N76" s="560">
        <f t="shared" si="63"/>
        <v>0</v>
      </c>
      <c r="O76" s="561">
        <f t="shared" si="43"/>
        <v>0</v>
      </c>
      <c r="P76" s="561">
        <f t="shared" si="44"/>
        <v>0</v>
      </c>
      <c r="Q76" s="561">
        <f t="shared" si="45"/>
        <v>0</v>
      </c>
      <c r="R76" s="561">
        <f t="shared" si="46"/>
        <v>0</v>
      </c>
      <c r="S76" s="561">
        <f t="shared" si="47"/>
        <v>0</v>
      </c>
      <c r="T76" s="561">
        <f t="shared" si="48"/>
        <v>0</v>
      </c>
      <c r="U76" s="561">
        <f t="shared" si="49"/>
        <v>0</v>
      </c>
      <c r="V76" s="561">
        <f t="shared" si="50"/>
        <v>0</v>
      </c>
      <c r="W76" s="562">
        <f t="shared" si="51"/>
        <v>0</v>
      </c>
      <c r="X76" s="86"/>
      <c r="Y76" s="87"/>
      <c r="Z76" s="87"/>
      <c r="AA76" s="87"/>
      <c r="AB76" s="87"/>
      <c r="AC76" s="87"/>
      <c r="AD76" s="87"/>
      <c r="AE76" s="87"/>
      <c r="AF76" s="87"/>
      <c r="AG76" s="194"/>
      <c r="AH76" s="88">
        <f t="shared" si="64"/>
        <v>0</v>
      </c>
      <c r="AI76" s="89" t="str" cm="1">
        <f t="array" aca="1" ref="AI76" ca="1">IFERROR(IF($AJ$4="N",SSUM(AD76:AF76)/3,SUM(AE76:AG76)/3),"")</f>
        <v/>
      </c>
      <c r="AJ76" s="90">
        <f t="shared" si="65"/>
        <v>0</v>
      </c>
      <c r="AK76" s="91" t="str">
        <f t="shared" si="52"/>
        <v/>
      </c>
      <c r="AL76" s="92" t="str">
        <f t="shared" si="53"/>
        <v/>
      </c>
      <c r="AM76" s="92" t="str">
        <f t="shared" si="54"/>
        <v/>
      </c>
      <c r="AN76" s="92" t="str">
        <f t="shared" si="55"/>
        <v/>
      </c>
      <c r="AO76" s="92" t="str">
        <f t="shared" si="56"/>
        <v/>
      </c>
      <c r="AP76" s="92" t="str">
        <f t="shared" si="57"/>
        <v/>
      </c>
      <c r="AQ76" s="92" t="str">
        <f t="shared" si="58"/>
        <v/>
      </c>
      <c r="AR76" s="92" t="str">
        <f t="shared" si="59"/>
        <v/>
      </c>
      <c r="AS76" s="92" t="str">
        <f t="shared" si="60"/>
        <v/>
      </c>
      <c r="AT76" s="217" t="str">
        <f t="shared" si="61"/>
        <v/>
      </c>
      <c r="AU76" s="93" t="str">
        <f t="shared" si="66"/>
        <v/>
      </c>
      <c r="AV76" s="94" t="str">
        <f t="shared" si="67"/>
        <v/>
      </c>
      <c r="AW76" s="95" t="str">
        <f t="shared" si="68"/>
        <v/>
      </c>
      <c r="AX76" s="248" t="s">
        <v>422</v>
      </c>
      <c r="AY76" s="229" t="s">
        <v>433</v>
      </c>
      <c r="AZ76" s="249">
        <v>0</v>
      </c>
      <c r="BA76" s="267">
        <f t="shared" si="69"/>
        <v>0</v>
      </c>
      <c r="BB76" s="268">
        <f t="shared" si="62"/>
        <v>0</v>
      </c>
      <c r="BC76" s="268">
        <f t="shared" si="62"/>
        <v>0</v>
      </c>
      <c r="BD76" s="268">
        <f t="shared" si="62"/>
        <v>1</v>
      </c>
      <c r="BE76" s="268">
        <f t="shared" si="62"/>
        <v>2</v>
      </c>
      <c r="BF76" s="268">
        <f t="shared" si="62"/>
        <v>3</v>
      </c>
      <c r="BG76" s="268">
        <f t="shared" si="62"/>
        <v>4</v>
      </c>
      <c r="BH76" s="269">
        <f t="shared" si="62"/>
        <v>5</v>
      </c>
      <c r="BI76" s="256">
        <f>IF($AY76=Lookup!$A$2,$AZ76*ROUNDUP(BA76/10,0)+1,
IF($AY76=Lookup!$A$3,($AZ76+1)^AZ76,
IF($AY76=Lookup!$A$4,BA76*$AZ76+1,"Error")))</f>
        <v>1</v>
      </c>
      <c r="BJ76" s="229">
        <f>IF($AY76=Lookup!$A$2,$AZ76*ROUNDUP(BB76/10,0)+1,
IF($AY76=Lookup!$A$3,($AZ76+1)^BA76,
IF($AY76=Lookup!$A$4,BB76*$AZ76+1,"Error")))</f>
        <v>1</v>
      </c>
      <c r="BK76" s="229">
        <f>IF($AY76=Lookup!$A$2,$AZ76*ROUNDUP(BC76/10,0)+1,
IF($AY76=Lookup!$A$3,($AZ76+1)^BB76,
IF($AY76=Lookup!$A$4,BC76*$AZ76+1,"Error")))</f>
        <v>1</v>
      </c>
      <c r="BL76" s="229">
        <f>IF($AY76=Lookup!$A$2,$AZ76*ROUNDUP(BD76/10,0)+1,
IF($AY76=Lookup!$A$3,($AZ76+1)^BC76,
IF($AY76=Lookup!$A$4,BD76*$AZ76+1,"Error")))</f>
        <v>1</v>
      </c>
      <c r="BM76" s="229">
        <f>IF($AY76=Lookup!$A$2,$AZ76*ROUNDUP(BE76/10,0)+1,
IF($AY76=Lookup!$A$3,($AZ76+1)^BD76,
IF($AY76=Lookup!$A$4,BE76*$AZ76+1,"Error")))</f>
        <v>1</v>
      </c>
      <c r="BN76" s="229">
        <f>IF($AY76=Lookup!$A$2,$AZ76*ROUNDUP(BF76/10,0)+1,
IF($AY76=Lookup!$A$3,($AZ76+1)^BE76,
IF($AY76=Lookup!$A$4,BF76*$AZ76+1,"Error")))</f>
        <v>1</v>
      </c>
      <c r="BO76" s="229">
        <f>IF($AY76=Lookup!$A$2,$AZ76*ROUNDUP(BG76/10,0)+1,
IF($AY76=Lookup!$A$3,($AZ76+1)^BF76,
IF($AY76=Lookup!$A$4,BG76*$AZ76+1,"Error")))</f>
        <v>1</v>
      </c>
      <c r="BP76" s="249">
        <f>IF($AY76=Lookup!$A$2,$AZ76*ROUNDUP(BH76/10,0)+1,
IF($AY76=Lookup!$A$3,($AZ76+1)^BG76,
IF($AY76=Lookup!$A$4,BH76*$AZ76+1,"Error")))</f>
        <v>1</v>
      </c>
      <c r="BQ76" s="320"/>
      <c r="BR76" s="321"/>
      <c r="BS76" s="321"/>
      <c r="BT76" s="321"/>
      <c r="BU76" s="321"/>
      <c r="BV76" s="321"/>
      <c r="BW76" s="321"/>
      <c r="BX76" s="277"/>
      <c r="BY76" s="382" t="s">
        <v>292</v>
      </c>
      <c r="BZ76" s="383">
        <f>HLOOKUP($BY76,$AH$6:$AJ$132,ROWS(BZ$6:BZ76),0)</f>
        <v>0</v>
      </c>
      <c r="CA76" s="234">
        <f t="shared" si="70"/>
        <v>0</v>
      </c>
      <c r="CB76" s="96">
        <f t="shared" si="70"/>
        <v>0</v>
      </c>
      <c r="CC76" s="96">
        <f t="shared" si="70"/>
        <v>0</v>
      </c>
      <c r="CD76" s="96">
        <f t="shared" si="70"/>
        <v>0</v>
      </c>
      <c r="CE76" s="96">
        <f t="shared" si="41"/>
        <v>0</v>
      </c>
      <c r="CF76" s="96">
        <f t="shared" si="41"/>
        <v>0</v>
      </c>
      <c r="CG76" s="96">
        <f t="shared" si="41"/>
        <v>0</v>
      </c>
      <c r="CH76" s="286">
        <f t="shared" si="41"/>
        <v>0</v>
      </c>
      <c r="CI76" s="305" t="s">
        <v>293</v>
      </c>
      <c r="CJ76" s="315">
        <v>0.05</v>
      </c>
      <c r="CK76" s="306"/>
      <c r="CL76" s="307" t="str">
        <f>IF($CK76&lt;&gt;"",$CK76,HLOOKUP($CI76,$AU$6:$AW$132,ROWS(CL$6:CL76),0))</f>
        <v/>
      </c>
      <c r="CM76" s="97"/>
      <c r="CN76" s="97"/>
      <c r="CO76" s="97"/>
      <c r="CP76" s="97"/>
      <c r="CQ76" s="97"/>
      <c r="CR76" s="97"/>
      <c r="CS76" s="97"/>
      <c r="CT76" s="98"/>
      <c r="CU76" s="392"/>
    </row>
    <row r="77" spans="1:99" x14ac:dyDescent="0.25">
      <c r="A77" s="81" t="s">
        <v>138</v>
      </c>
      <c r="B77" s="82" t="s">
        <v>157</v>
      </c>
      <c r="C77" s="83" t="s">
        <v>367</v>
      </c>
      <c r="D77" s="84"/>
      <c r="E77" s="85"/>
      <c r="F77" s="85"/>
      <c r="G77" s="85"/>
      <c r="H77" s="85"/>
      <c r="I77" s="85"/>
      <c r="J77" s="85"/>
      <c r="K77" s="85"/>
      <c r="L77" s="85"/>
      <c r="M77" s="201"/>
      <c r="N77" s="560">
        <f t="shared" si="63"/>
        <v>0</v>
      </c>
      <c r="O77" s="561">
        <f t="shared" si="43"/>
        <v>0</v>
      </c>
      <c r="P77" s="561">
        <f t="shared" si="44"/>
        <v>0</v>
      </c>
      <c r="Q77" s="561">
        <f t="shared" si="45"/>
        <v>0</v>
      </c>
      <c r="R77" s="561">
        <f t="shared" si="46"/>
        <v>0</v>
      </c>
      <c r="S77" s="561">
        <f t="shared" si="47"/>
        <v>0</v>
      </c>
      <c r="T77" s="561">
        <f t="shared" si="48"/>
        <v>0</v>
      </c>
      <c r="U77" s="561">
        <f t="shared" si="49"/>
        <v>0</v>
      </c>
      <c r="V77" s="561">
        <f t="shared" si="50"/>
        <v>0</v>
      </c>
      <c r="W77" s="562">
        <f t="shared" si="51"/>
        <v>0</v>
      </c>
      <c r="X77" s="86"/>
      <c r="Y77" s="87"/>
      <c r="Z77" s="87"/>
      <c r="AA77" s="87"/>
      <c r="AB77" s="87"/>
      <c r="AC77" s="87"/>
      <c r="AD77" s="87"/>
      <c r="AE77" s="87"/>
      <c r="AF77" s="87"/>
      <c r="AG77" s="194"/>
      <c r="AH77" s="88">
        <f t="shared" si="64"/>
        <v>0</v>
      </c>
      <c r="AI77" s="89" t="str" cm="1">
        <f t="array" aca="1" ref="AI77" ca="1">IFERROR(IF($AJ$4="N",SSUM(AD77:AF77)/3,SUM(AE77:AG77)/3),"")</f>
        <v/>
      </c>
      <c r="AJ77" s="90">
        <f t="shared" si="65"/>
        <v>0</v>
      </c>
      <c r="AK77" s="91" t="str">
        <f t="shared" si="52"/>
        <v/>
      </c>
      <c r="AL77" s="92" t="str">
        <f t="shared" si="53"/>
        <v/>
      </c>
      <c r="AM77" s="92" t="str">
        <f t="shared" si="54"/>
        <v/>
      </c>
      <c r="AN77" s="92" t="str">
        <f t="shared" si="55"/>
        <v/>
      </c>
      <c r="AO77" s="92" t="str">
        <f t="shared" si="56"/>
        <v/>
      </c>
      <c r="AP77" s="92" t="str">
        <f t="shared" si="57"/>
        <v/>
      </c>
      <c r="AQ77" s="92" t="str">
        <f t="shared" si="58"/>
        <v/>
      </c>
      <c r="AR77" s="92" t="str">
        <f t="shared" si="59"/>
        <v/>
      </c>
      <c r="AS77" s="92" t="str">
        <f t="shared" si="60"/>
        <v/>
      </c>
      <c r="AT77" s="217" t="str">
        <f t="shared" si="61"/>
        <v/>
      </c>
      <c r="AU77" s="93" t="str">
        <f t="shared" si="66"/>
        <v/>
      </c>
      <c r="AV77" s="94" t="str">
        <f t="shared" si="67"/>
        <v/>
      </c>
      <c r="AW77" s="95" t="str">
        <f t="shared" si="68"/>
        <v/>
      </c>
      <c r="AX77" s="248" t="s">
        <v>422</v>
      </c>
      <c r="AY77" s="229" t="s">
        <v>433</v>
      </c>
      <c r="AZ77" s="249">
        <v>0</v>
      </c>
      <c r="BA77" s="267">
        <f t="shared" si="69"/>
        <v>0</v>
      </c>
      <c r="BB77" s="268">
        <f t="shared" si="62"/>
        <v>0</v>
      </c>
      <c r="BC77" s="268">
        <f t="shared" si="62"/>
        <v>0</v>
      </c>
      <c r="BD77" s="268">
        <f t="shared" si="62"/>
        <v>1</v>
      </c>
      <c r="BE77" s="268">
        <f t="shared" si="62"/>
        <v>2</v>
      </c>
      <c r="BF77" s="268">
        <f t="shared" si="62"/>
        <v>3</v>
      </c>
      <c r="BG77" s="268">
        <f t="shared" si="62"/>
        <v>4</v>
      </c>
      <c r="BH77" s="269">
        <f t="shared" si="62"/>
        <v>5</v>
      </c>
      <c r="BI77" s="256">
        <f>IF($AY77=Lookup!$A$2,$AZ77*ROUNDUP(BA77/10,0)+1,
IF($AY77=Lookup!$A$3,($AZ77+1)^AZ77,
IF($AY77=Lookup!$A$4,BA77*$AZ77+1,"Error")))</f>
        <v>1</v>
      </c>
      <c r="BJ77" s="229">
        <f>IF($AY77=Lookup!$A$2,$AZ77*ROUNDUP(BB77/10,0)+1,
IF($AY77=Lookup!$A$3,($AZ77+1)^BA77,
IF($AY77=Lookup!$A$4,BB77*$AZ77+1,"Error")))</f>
        <v>1</v>
      </c>
      <c r="BK77" s="229">
        <f>IF($AY77=Lookup!$A$2,$AZ77*ROUNDUP(BC77/10,0)+1,
IF($AY77=Lookup!$A$3,($AZ77+1)^BB77,
IF($AY77=Lookup!$A$4,BC77*$AZ77+1,"Error")))</f>
        <v>1</v>
      </c>
      <c r="BL77" s="229">
        <f>IF($AY77=Lookup!$A$2,$AZ77*ROUNDUP(BD77/10,0)+1,
IF($AY77=Lookup!$A$3,($AZ77+1)^BC77,
IF($AY77=Lookup!$A$4,BD77*$AZ77+1,"Error")))</f>
        <v>1</v>
      </c>
      <c r="BM77" s="229">
        <f>IF($AY77=Lookup!$A$2,$AZ77*ROUNDUP(BE77/10,0)+1,
IF($AY77=Lookup!$A$3,($AZ77+1)^BD77,
IF($AY77=Lookup!$A$4,BE77*$AZ77+1,"Error")))</f>
        <v>1</v>
      </c>
      <c r="BN77" s="229">
        <f>IF($AY77=Lookup!$A$2,$AZ77*ROUNDUP(BF77/10,0)+1,
IF($AY77=Lookup!$A$3,($AZ77+1)^BE77,
IF($AY77=Lookup!$A$4,BF77*$AZ77+1,"Error")))</f>
        <v>1</v>
      </c>
      <c r="BO77" s="229">
        <f>IF($AY77=Lookup!$A$2,$AZ77*ROUNDUP(BG77/10,0)+1,
IF($AY77=Lookup!$A$3,($AZ77+1)^BF77,
IF($AY77=Lookup!$A$4,BG77*$AZ77+1,"Error")))</f>
        <v>1</v>
      </c>
      <c r="BP77" s="249">
        <f>IF($AY77=Lookup!$A$2,$AZ77*ROUNDUP(BH77/10,0)+1,
IF($AY77=Lookup!$A$3,($AZ77+1)^BG77,
IF($AY77=Lookup!$A$4,BH77*$AZ77+1,"Error")))</f>
        <v>1</v>
      </c>
      <c r="BQ77" s="320"/>
      <c r="BR77" s="321"/>
      <c r="BS77" s="321"/>
      <c r="BT77" s="321"/>
      <c r="BU77" s="321"/>
      <c r="BV77" s="321"/>
      <c r="BW77" s="321"/>
      <c r="BX77" s="277"/>
      <c r="BY77" s="382" t="s">
        <v>292</v>
      </c>
      <c r="BZ77" s="383">
        <f>HLOOKUP($BY77,$AH$6:$AJ$132,ROWS(BZ$6:BZ77),0)</f>
        <v>0</v>
      </c>
      <c r="CA77" s="234">
        <f t="shared" si="70"/>
        <v>0</v>
      </c>
      <c r="CB77" s="96">
        <f t="shared" si="70"/>
        <v>0</v>
      </c>
      <c r="CC77" s="96">
        <f t="shared" si="70"/>
        <v>0</v>
      </c>
      <c r="CD77" s="96">
        <f t="shared" si="70"/>
        <v>0</v>
      </c>
      <c r="CE77" s="96">
        <f t="shared" si="41"/>
        <v>0</v>
      </c>
      <c r="CF77" s="96">
        <f t="shared" si="41"/>
        <v>0</v>
      </c>
      <c r="CG77" s="96">
        <f t="shared" si="41"/>
        <v>0</v>
      </c>
      <c r="CH77" s="286">
        <f t="shared" si="41"/>
        <v>0</v>
      </c>
      <c r="CI77" s="305" t="s">
        <v>293</v>
      </c>
      <c r="CJ77" s="315">
        <v>0.05</v>
      </c>
      <c r="CK77" s="306"/>
      <c r="CL77" s="307" t="str">
        <f>IF($CK77&lt;&gt;"",$CK77,HLOOKUP($CI77,$AU$6:$AW$132,ROWS(CL$6:CL77),0))</f>
        <v/>
      </c>
      <c r="CM77" s="97"/>
      <c r="CN77" s="97"/>
      <c r="CO77" s="97"/>
      <c r="CP77" s="97"/>
      <c r="CQ77" s="97"/>
      <c r="CR77" s="97"/>
      <c r="CS77" s="97"/>
      <c r="CT77" s="98"/>
      <c r="CU77" s="392"/>
    </row>
    <row r="78" spans="1:99" x14ac:dyDescent="0.25">
      <c r="A78" s="81" t="s">
        <v>138</v>
      </c>
      <c r="B78" s="82" t="s">
        <v>159</v>
      </c>
      <c r="C78" s="83" t="s">
        <v>368</v>
      </c>
      <c r="D78" s="84"/>
      <c r="E78" s="85"/>
      <c r="F78" s="85"/>
      <c r="G78" s="85"/>
      <c r="H78" s="85"/>
      <c r="I78" s="85"/>
      <c r="J78" s="85"/>
      <c r="K78" s="85"/>
      <c r="L78" s="85"/>
      <c r="M78" s="201"/>
      <c r="N78" s="560">
        <f t="shared" si="63"/>
        <v>0</v>
      </c>
      <c r="O78" s="561">
        <f t="shared" si="43"/>
        <v>0</v>
      </c>
      <c r="P78" s="561">
        <f t="shared" si="44"/>
        <v>0</v>
      </c>
      <c r="Q78" s="561">
        <f t="shared" si="45"/>
        <v>0</v>
      </c>
      <c r="R78" s="561">
        <f t="shared" si="46"/>
        <v>0</v>
      </c>
      <c r="S78" s="561">
        <f t="shared" si="47"/>
        <v>0</v>
      </c>
      <c r="T78" s="561">
        <f t="shared" si="48"/>
        <v>0</v>
      </c>
      <c r="U78" s="561">
        <f t="shared" si="49"/>
        <v>0</v>
      </c>
      <c r="V78" s="561">
        <f t="shared" si="50"/>
        <v>0</v>
      </c>
      <c r="W78" s="562">
        <f t="shared" si="51"/>
        <v>0</v>
      </c>
      <c r="X78" s="86"/>
      <c r="Y78" s="87"/>
      <c r="Z78" s="87"/>
      <c r="AA78" s="87"/>
      <c r="AB78" s="87"/>
      <c r="AC78" s="87"/>
      <c r="AD78" s="87"/>
      <c r="AE78" s="87"/>
      <c r="AF78" s="87"/>
      <c r="AG78" s="194"/>
      <c r="AH78" s="88">
        <f t="shared" si="64"/>
        <v>0</v>
      </c>
      <c r="AI78" s="89" t="str" cm="1">
        <f t="array" aca="1" ref="AI78" ca="1">IFERROR(IF($AJ$4="N",SSUM(AD78:AF78)/3,SUM(AE78:AG78)/3),"")</f>
        <v/>
      </c>
      <c r="AJ78" s="90">
        <f t="shared" si="65"/>
        <v>0</v>
      </c>
      <c r="AK78" s="91" t="str">
        <f t="shared" si="52"/>
        <v/>
      </c>
      <c r="AL78" s="92" t="str">
        <f t="shared" si="53"/>
        <v/>
      </c>
      <c r="AM78" s="92" t="str">
        <f t="shared" si="54"/>
        <v/>
      </c>
      <c r="AN78" s="92" t="str">
        <f t="shared" si="55"/>
        <v/>
      </c>
      <c r="AO78" s="92" t="str">
        <f t="shared" si="56"/>
        <v/>
      </c>
      <c r="AP78" s="92" t="str">
        <f t="shared" si="57"/>
        <v/>
      </c>
      <c r="AQ78" s="92" t="str">
        <f t="shared" si="58"/>
        <v/>
      </c>
      <c r="AR78" s="92" t="str">
        <f t="shared" si="59"/>
        <v/>
      </c>
      <c r="AS78" s="92" t="str">
        <f t="shared" si="60"/>
        <v/>
      </c>
      <c r="AT78" s="217" t="str">
        <f t="shared" si="61"/>
        <v/>
      </c>
      <c r="AU78" s="93" t="str">
        <f t="shared" si="66"/>
        <v/>
      </c>
      <c r="AV78" s="94" t="str">
        <f t="shared" si="67"/>
        <v/>
      </c>
      <c r="AW78" s="95" t="str">
        <f t="shared" si="68"/>
        <v/>
      </c>
      <c r="AX78" s="248" t="s">
        <v>422</v>
      </c>
      <c r="AY78" s="229" t="s">
        <v>433</v>
      </c>
      <c r="AZ78" s="249">
        <v>0</v>
      </c>
      <c r="BA78" s="267">
        <f t="shared" si="69"/>
        <v>0</v>
      </c>
      <c r="BB78" s="268">
        <f t="shared" si="62"/>
        <v>0</v>
      </c>
      <c r="BC78" s="268">
        <f t="shared" si="62"/>
        <v>0</v>
      </c>
      <c r="BD78" s="268">
        <f t="shared" si="62"/>
        <v>1</v>
      </c>
      <c r="BE78" s="268">
        <f t="shared" si="62"/>
        <v>2</v>
      </c>
      <c r="BF78" s="268">
        <f t="shared" si="62"/>
        <v>3</v>
      </c>
      <c r="BG78" s="268">
        <f t="shared" si="62"/>
        <v>4</v>
      </c>
      <c r="BH78" s="269">
        <f t="shared" si="62"/>
        <v>5</v>
      </c>
      <c r="BI78" s="256">
        <f>IF($AY78=Lookup!$A$2,$AZ78*ROUNDUP(BA78/10,0)+1,
IF($AY78=Lookup!$A$3,($AZ78+1)^AZ78,
IF($AY78=Lookup!$A$4,BA78*$AZ78+1,"Error")))</f>
        <v>1</v>
      </c>
      <c r="BJ78" s="229">
        <f>IF($AY78=Lookup!$A$2,$AZ78*ROUNDUP(BB78/10,0)+1,
IF($AY78=Lookup!$A$3,($AZ78+1)^BA78,
IF($AY78=Lookup!$A$4,BB78*$AZ78+1,"Error")))</f>
        <v>1</v>
      </c>
      <c r="BK78" s="229">
        <f>IF($AY78=Lookup!$A$2,$AZ78*ROUNDUP(BC78/10,0)+1,
IF($AY78=Lookup!$A$3,($AZ78+1)^BB78,
IF($AY78=Lookup!$A$4,BC78*$AZ78+1,"Error")))</f>
        <v>1</v>
      </c>
      <c r="BL78" s="229">
        <f>IF($AY78=Lookup!$A$2,$AZ78*ROUNDUP(BD78/10,0)+1,
IF($AY78=Lookup!$A$3,($AZ78+1)^BC78,
IF($AY78=Lookup!$A$4,BD78*$AZ78+1,"Error")))</f>
        <v>1</v>
      </c>
      <c r="BM78" s="229">
        <f>IF($AY78=Lookup!$A$2,$AZ78*ROUNDUP(BE78/10,0)+1,
IF($AY78=Lookup!$A$3,($AZ78+1)^BD78,
IF($AY78=Lookup!$A$4,BE78*$AZ78+1,"Error")))</f>
        <v>1</v>
      </c>
      <c r="BN78" s="229">
        <f>IF($AY78=Lookup!$A$2,$AZ78*ROUNDUP(BF78/10,0)+1,
IF($AY78=Lookup!$A$3,($AZ78+1)^BE78,
IF($AY78=Lookup!$A$4,BF78*$AZ78+1,"Error")))</f>
        <v>1</v>
      </c>
      <c r="BO78" s="229">
        <f>IF($AY78=Lookup!$A$2,$AZ78*ROUNDUP(BG78/10,0)+1,
IF($AY78=Lookup!$A$3,($AZ78+1)^BF78,
IF($AY78=Lookup!$A$4,BG78*$AZ78+1,"Error")))</f>
        <v>1</v>
      </c>
      <c r="BP78" s="249">
        <f>IF($AY78=Lookup!$A$2,$AZ78*ROUNDUP(BH78/10,0)+1,
IF($AY78=Lookup!$A$3,($AZ78+1)^BG78,
IF($AY78=Lookup!$A$4,BH78*$AZ78+1,"Error")))</f>
        <v>1</v>
      </c>
      <c r="BQ78" s="320"/>
      <c r="BR78" s="321"/>
      <c r="BS78" s="321"/>
      <c r="BT78" s="321"/>
      <c r="BU78" s="321"/>
      <c r="BV78" s="321"/>
      <c r="BW78" s="321"/>
      <c r="BX78" s="277"/>
      <c r="BY78" s="382" t="s">
        <v>292</v>
      </c>
      <c r="BZ78" s="383">
        <f>HLOOKUP($BY78,$AH$6:$AJ$132,ROWS(BZ$6:BZ78),0)</f>
        <v>0</v>
      </c>
      <c r="CA78" s="234">
        <f t="shared" si="70"/>
        <v>0</v>
      </c>
      <c r="CB78" s="96">
        <f t="shared" si="70"/>
        <v>0</v>
      </c>
      <c r="CC78" s="96">
        <f t="shared" si="70"/>
        <v>0</v>
      </c>
      <c r="CD78" s="96">
        <f t="shared" si="70"/>
        <v>0</v>
      </c>
      <c r="CE78" s="96">
        <f t="shared" si="41"/>
        <v>0</v>
      </c>
      <c r="CF78" s="96">
        <f t="shared" si="41"/>
        <v>0</v>
      </c>
      <c r="CG78" s="96">
        <f t="shared" si="41"/>
        <v>0</v>
      </c>
      <c r="CH78" s="286">
        <f t="shared" si="41"/>
        <v>0</v>
      </c>
      <c r="CI78" s="305" t="s">
        <v>293</v>
      </c>
      <c r="CJ78" s="315">
        <v>0.05</v>
      </c>
      <c r="CK78" s="306"/>
      <c r="CL78" s="307" t="str">
        <f>IF($CK78&lt;&gt;"",$CK78,HLOOKUP($CI78,$AU$6:$AW$132,ROWS(CL$6:CL78),0))</f>
        <v/>
      </c>
      <c r="CM78" s="97"/>
      <c r="CN78" s="97"/>
      <c r="CO78" s="97"/>
      <c r="CP78" s="97"/>
      <c r="CQ78" s="97"/>
      <c r="CR78" s="97"/>
      <c r="CS78" s="97"/>
      <c r="CT78" s="98"/>
      <c r="CU78" s="392"/>
    </row>
    <row r="79" spans="1:99" x14ac:dyDescent="0.25">
      <c r="A79" s="81" t="s">
        <v>138</v>
      </c>
      <c r="B79" s="82" t="s">
        <v>161</v>
      </c>
      <c r="C79" s="83" t="s">
        <v>369</v>
      </c>
      <c r="D79" s="84"/>
      <c r="E79" s="85"/>
      <c r="F79" s="85"/>
      <c r="G79" s="85"/>
      <c r="H79" s="85"/>
      <c r="I79" s="85"/>
      <c r="J79" s="85"/>
      <c r="K79" s="85"/>
      <c r="L79" s="85"/>
      <c r="M79" s="201"/>
      <c r="N79" s="560">
        <f t="shared" si="63"/>
        <v>0</v>
      </c>
      <c r="O79" s="561">
        <f t="shared" si="43"/>
        <v>0</v>
      </c>
      <c r="P79" s="561">
        <f t="shared" si="44"/>
        <v>0</v>
      </c>
      <c r="Q79" s="561">
        <f t="shared" si="45"/>
        <v>0</v>
      </c>
      <c r="R79" s="561">
        <f t="shared" si="46"/>
        <v>0</v>
      </c>
      <c r="S79" s="561">
        <f t="shared" si="47"/>
        <v>0</v>
      </c>
      <c r="T79" s="561">
        <f t="shared" si="48"/>
        <v>0</v>
      </c>
      <c r="U79" s="561">
        <f t="shared" si="49"/>
        <v>0</v>
      </c>
      <c r="V79" s="561">
        <f t="shared" si="50"/>
        <v>0</v>
      </c>
      <c r="W79" s="562">
        <f t="shared" si="51"/>
        <v>0</v>
      </c>
      <c r="X79" s="86"/>
      <c r="Y79" s="87"/>
      <c r="Z79" s="87"/>
      <c r="AA79" s="87"/>
      <c r="AB79" s="87"/>
      <c r="AC79" s="87"/>
      <c r="AD79" s="87"/>
      <c r="AE79" s="87"/>
      <c r="AF79" s="87"/>
      <c r="AG79" s="194"/>
      <c r="AH79" s="88">
        <f t="shared" si="64"/>
        <v>0</v>
      </c>
      <c r="AI79" s="89" t="str" cm="1">
        <f t="array" aca="1" ref="AI79" ca="1">IFERROR(IF($AJ$4="N",SSUM(AD79:AF79)/3,SUM(AE79:AG79)/3),"")</f>
        <v/>
      </c>
      <c r="AJ79" s="90">
        <f t="shared" si="65"/>
        <v>0</v>
      </c>
      <c r="AK79" s="91" t="str">
        <f t="shared" si="52"/>
        <v/>
      </c>
      <c r="AL79" s="92" t="str">
        <f t="shared" si="53"/>
        <v/>
      </c>
      <c r="AM79" s="92" t="str">
        <f t="shared" si="54"/>
        <v/>
      </c>
      <c r="AN79" s="92" t="str">
        <f t="shared" si="55"/>
        <v/>
      </c>
      <c r="AO79" s="92" t="str">
        <f t="shared" si="56"/>
        <v/>
      </c>
      <c r="AP79" s="92" t="str">
        <f t="shared" si="57"/>
        <v/>
      </c>
      <c r="AQ79" s="92" t="str">
        <f t="shared" si="58"/>
        <v/>
      </c>
      <c r="AR79" s="92" t="str">
        <f t="shared" si="59"/>
        <v/>
      </c>
      <c r="AS79" s="92" t="str">
        <f t="shared" si="60"/>
        <v/>
      </c>
      <c r="AT79" s="217" t="str">
        <f t="shared" si="61"/>
        <v/>
      </c>
      <c r="AU79" s="93" t="str">
        <f t="shared" si="66"/>
        <v/>
      </c>
      <c r="AV79" s="94" t="str">
        <f t="shared" si="67"/>
        <v/>
      </c>
      <c r="AW79" s="95" t="str">
        <f t="shared" si="68"/>
        <v/>
      </c>
      <c r="AX79" s="248" t="s">
        <v>422</v>
      </c>
      <c r="AY79" s="229" t="s">
        <v>433</v>
      </c>
      <c r="AZ79" s="249">
        <v>0</v>
      </c>
      <c r="BA79" s="267">
        <f t="shared" si="69"/>
        <v>0</v>
      </c>
      <c r="BB79" s="268">
        <f t="shared" si="62"/>
        <v>0</v>
      </c>
      <c r="BC79" s="268">
        <f t="shared" si="62"/>
        <v>0</v>
      </c>
      <c r="BD79" s="268">
        <f t="shared" si="62"/>
        <v>1</v>
      </c>
      <c r="BE79" s="268">
        <f t="shared" si="62"/>
        <v>2</v>
      </c>
      <c r="BF79" s="268">
        <f t="shared" si="62"/>
        <v>3</v>
      </c>
      <c r="BG79" s="268">
        <f t="shared" si="62"/>
        <v>4</v>
      </c>
      <c r="BH79" s="269">
        <f t="shared" si="62"/>
        <v>5</v>
      </c>
      <c r="BI79" s="256">
        <f>IF($AY79=Lookup!$A$2,$AZ79*ROUNDUP(BA79/10,0)+1,
IF($AY79=Lookup!$A$3,($AZ79+1)^AZ79,
IF($AY79=Lookup!$A$4,BA79*$AZ79+1,"Error")))</f>
        <v>1</v>
      </c>
      <c r="BJ79" s="229">
        <f>IF($AY79=Lookup!$A$2,$AZ79*ROUNDUP(BB79/10,0)+1,
IF($AY79=Lookup!$A$3,($AZ79+1)^BA79,
IF($AY79=Lookup!$A$4,BB79*$AZ79+1,"Error")))</f>
        <v>1</v>
      </c>
      <c r="BK79" s="229">
        <f>IF($AY79=Lookup!$A$2,$AZ79*ROUNDUP(BC79/10,0)+1,
IF($AY79=Lookup!$A$3,($AZ79+1)^BB79,
IF($AY79=Lookup!$A$4,BC79*$AZ79+1,"Error")))</f>
        <v>1</v>
      </c>
      <c r="BL79" s="229">
        <f>IF($AY79=Lookup!$A$2,$AZ79*ROUNDUP(BD79/10,0)+1,
IF($AY79=Lookup!$A$3,($AZ79+1)^BC79,
IF($AY79=Lookup!$A$4,BD79*$AZ79+1,"Error")))</f>
        <v>1</v>
      </c>
      <c r="BM79" s="229">
        <f>IF($AY79=Lookup!$A$2,$AZ79*ROUNDUP(BE79/10,0)+1,
IF($AY79=Lookup!$A$3,($AZ79+1)^BD79,
IF($AY79=Lookup!$A$4,BE79*$AZ79+1,"Error")))</f>
        <v>1</v>
      </c>
      <c r="BN79" s="229">
        <f>IF($AY79=Lookup!$A$2,$AZ79*ROUNDUP(BF79/10,0)+1,
IF($AY79=Lookup!$A$3,($AZ79+1)^BE79,
IF($AY79=Lookup!$A$4,BF79*$AZ79+1,"Error")))</f>
        <v>1</v>
      </c>
      <c r="BO79" s="229">
        <f>IF($AY79=Lookup!$A$2,$AZ79*ROUNDUP(BG79/10,0)+1,
IF($AY79=Lookup!$A$3,($AZ79+1)^BF79,
IF($AY79=Lookup!$A$4,BG79*$AZ79+1,"Error")))</f>
        <v>1</v>
      </c>
      <c r="BP79" s="249">
        <f>IF($AY79=Lookup!$A$2,$AZ79*ROUNDUP(BH79/10,0)+1,
IF($AY79=Lookup!$A$3,($AZ79+1)^BG79,
IF($AY79=Lookup!$A$4,BH79*$AZ79+1,"Error")))</f>
        <v>1</v>
      </c>
      <c r="BQ79" s="320"/>
      <c r="BR79" s="321"/>
      <c r="BS79" s="321"/>
      <c r="BT79" s="321"/>
      <c r="BU79" s="321"/>
      <c r="BV79" s="321"/>
      <c r="BW79" s="321"/>
      <c r="BX79" s="277"/>
      <c r="BY79" s="382" t="s">
        <v>292</v>
      </c>
      <c r="BZ79" s="383">
        <f>HLOOKUP($BY79,$AH$6:$AJ$132,ROWS(BZ$6:BZ79),0)</f>
        <v>0</v>
      </c>
      <c r="CA79" s="234">
        <f t="shared" si="70"/>
        <v>0</v>
      </c>
      <c r="CB79" s="96">
        <f t="shared" si="70"/>
        <v>0</v>
      </c>
      <c r="CC79" s="96">
        <f t="shared" si="70"/>
        <v>0</v>
      </c>
      <c r="CD79" s="96">
        <f t="shared" si="70"/>
        <v>0</v>
      </c>
      <c r="CE79" s="96">
        <f t="shared" si="41"/>
        <v>0</v>
      </c>
      <c r="CF79" s="96">
        <f t="shared" si="41"/>
        <v>0</v>
      </c>
      <c r="CG79" s="96">
        <f t="shared" si="41"/>
        <v>0</v>
      </c>
      <c r="CH79" s="286">
        <f t="shared" si="41"/>
        <v>0</v>
      </c>
      <c r="CI79" s="305" t="s">
        <v>293</v>
      </c>
      <c r="CJ79" s="315">
        <v>0.05</v>
      </c>
      <c r="CK79" s="306"/>
      <c r="CL79" s="307" t="str">
        <f>IF($CK79&lt;&gt;"",$CK79,HLOOKUP($CI79,$AU$6:$AW$132,ROWS(CL$6:CL79),0))</f>
        <v/>
      </c>
      <c r="CM79" s="97"/>
      <c r="CN79" s="97"/>
      <c r="CO79" s="97"/>
      <c r="CP79" s="97"/>
      <c r="CQ79" s="97"/>
      <c r="CR79" s="97"/>
      <c r="CS79" s="97"/>
      <c r="CT79" s="98"/>
      <c r="CU79" s="392"/>
    </row>
    <row r="80" spans="1:99" x14ac:dyDescent="0.25">
      <c r="A80" s="81" t="s">
        <v>138</v>
      </c>
      <c r="B80" s="82" t="s">
        <v>163</v>
      </c>
      <c r="C80" s="83" t="s">
        <v>370</v>
      </c>
      <c r="D80" s="84"/>
      <c r="E80" s="85"/>
      <c r="F80" s="85"/>
      <c r="G80" s="85"/>
      <c r="H80" s="85"/>
      <c r="I80" s="85"/>
      <c r="J80" s="85"/>
      <c r="K80" s="85"/>
      <c r="L80" s="85"/>
      <c r="M80" s="201"/>
      <c r="N80" s="560">
        <f t="shared" si="63"/>
        <v>0</v>
      </c>
      <c r="O80" s="561">
        <f t="shared" si="43"/>
        <v>0</v>
      </c>
      <c r="P80" s="561">
        <f t="shared" si="44"/>
        <v>0</v>
      </c>
      <c r="Q80" s="561">
        <f t="shared" si="45"/>
        <v>0</v>
      </c>
      <c r="R80" s="561">
        <f t="shared" si="46"/>
        <v>0</v>
      </c>
      <c r="S80" s="561">
        <f t="shared" si="47"/>
        <v>0</v>
      </c>
      <c r="T80" s="561">
        <f t="shared" si="48"/>
        <v>0</v>
      </c>
      <c r="U80" s="561">
        <f t="shared" si="49"/>
        <v>0</v>
      </c>
      <c r="V80" s="561">
        <f t="shared" si="50"/>
        <v>0</v>
      </c>
      <c r="W80" s="562">
        <f t="shared" si="51"/>
        <v>0</v>
      </c>
      <c r="X80" s="86"/>
      <c r="Y80" s="87"/>
      <c r="Z80" s="87"/>
      <c r="AA80" s="87"/>
      <c r="AB80" s="87"/>
      <c r="AC80" s="87"/>
      <c r="AD80" s="87"/>
      <c r="AE80" s="87"/>
      <c r="AF80" s="87"/>
      <c r="AG80" s="194"/>
      <c r="AH80" s="88">
        <f t="shared" si="64"/>
        <v>0</v>
      </c>
      <c r="AI80" s="89" t="str" cm="1">
        <f t="array" aca="1" ref="AI80" ca="1">IFERROR(IF($AJ$4="N",SSUM(AD80:AF80)/3,SUM(AE80:AG80)/3),"")</f>
        <v/>
      </c>
      <c r="AJ80" s="90">
        <f t="shared" si="65"/>
        <v>0</v>
      </c>
      <c r="AK80" s="91" t="str">
        <f t="shared" si="52"/>
        <v/>
      </c>
      <c r="AL80" s="92" t="str">
        <f t="shared" si="53"/>
        <v/>
      </c>
      <c r="AM80" s="92" t="str">
        <f t="shared" si="54"/>
        <v/>
      </c>
      <c r="AN80" s="92" t="str">
        <f t="shared" si="55"/>
        <v/>
      </c>
      <c r="AO80" s="92" t="str">
        <f t="shared" si="56"/>
        <v/>
      </c>
      <c r="AP80" s="92" t="str">
        <f t="shared" si="57"/>
        <v/>
      </c>
      <c r="AQ80" s="92" t="str">
        <f t="shared" si="58"/>
        <v/>
      </c>
      <c r="AR80" s="92" t="str">
        <f t="shared" si="59"/>
        <v/>
      </c>
      <c r="AS80" s="92" t="str">
        <f t="shared" si="60"/>
        <v/>
      </c>
      <c r="AT80" s="217" t="str">
        <f t="shared" si="61"/>
        <v/>
      </c>
      <c r="AU80" s="93" t="str">
        <f t="shared" si="66"/>
        <v/>
      </c>
      <c r="AV80" s="94" t="str">
        <f t="shared" si="67"/>
        <v/>
      </c>
      <c r="AW80" s="95" t="str">
        <f t="shared" si="68"/>
        <v/>
      </c>
      <c r="AX80" s="248" t="s">
        <v>422</v>
      </c>
      <c r="AY80" s="229" t="s">
        <v>433</v>
      </c>
      <c r="AZ80" s="249">
        <v>0</v>
      </c>
      <c r="BA80" s="267">
        <f t="shared" si="69"/>
        <v>0</v>
      </c>
      <c r="BB80" s="268">
        <f t="shared" si="62"/>
        <v>0</v>
      </c>
      <c r="BC80" s="268">
        <f t="shared" si="62"/>
        <v>0</v>
      </c>
      <c r="BD80" s="268">
        <f t="shared" si="62"/>
        <v>1</v>
      </c>
      <c r="BE80" s="268">
        <f t="shared" si="62"/>
        <v>2</v>
      </c>
      <c r="BF80" s="268">
        <f t="shared" si="62"/>
        <v>3</v>
      </c>
      <c r="BG80" s="268">
        <f t="shared" si="62"/>
        <v>4</v>
      </c>
      <c r="BH80" s="269">
        <f t="shared" si="62"/>
        <v>5</v>
      </c>
      <c r="BI80" s="256">
        <f>IF($AY80=Lookup!$A$2,$AZ80*ROUNDUP(BA80/10,0)+1,
IF($AY80=Lookup!$A$3,($AZ80+1)^AZ80,
IF($AY80=Lookup!$A$4,BA80*$AZ80+1,"Error")))</f>
        <v>1</v>
      </c>
      <c r="BJ80" s="229">
        <f>IF($AY80=Lookup!$A$2,$AZ80*ROUNDUP(BB80/10,0)+1,
IF($AY80=Lookup!$A$3,($AZ80+1)^BA80,
IF($AY80=Lookup!$A$4,BB80*$AZ80+1,"Error")))</f>
        <v>1</v>
      </c>
      <c r="BK80" s="229">
        <f>IF($AY80=Lookup!$A$2,$AZ80*ROUNDUP(BC80/10,0)+1,
IF($AY80=Lookup!$A$3,($AZ80+1)^BB80,
IF($AY80=Lookup!$A$4,BC80*$AZ80+1,"Error")))</f>
        <v>1</v>
      </c>
      <c r="BL80" s="229">
        <f>IF($AY80=Lookup!$A$2,$AZ80*ROUNDUP(BD80/10,0)+1,
IF($AY80=Lookup!$A$3,($AZ80+1)^BC80,
IF($AY80=Lookup!$A$4,BD80*$AZ80+1,"Error")))</f>
        <v>1</v>
      </c>
      <c r="BM80" s="229">
        <f>IF($AY80=Lookup!$A$2,$AZ80*ROUNDUP(BE80/10,0)+1,
IF($AY80=Lookup!$A$3,($AZ80+1)^BD80,
IF($AY80=Lookup!$A$4,BE80*$AZ80+1,"Error")))</f>
        <v>1</v>
      </c>
      <c r="BN80" s="229">
        <f>IF($AY80=Lookup!$A$2,$AZ80*ROUNDUP(BF80/10,0)+1,
IF($AY80=Lookup!$A$3,($AZ80+1)^BE80,
IF($AY80=Lookup!$A$4,BF80*$AZ80+1,"Error")))</f>
        <v>1</v>
      </c>
      <c r="BO80" s="229">
        <f>IF($AY80=Lookup!$A$2,$AZ80*ROUNDUP(BG80/10,0)+1,
IF($AY80=Lookup!$A$3,($AZ80+1)^BF80,
IF($AY80=Lookup!$A$4,BG80*$AZ80+1,"Error")))</f>
        <v>1</v>
      </c>
      <c r="BP80" s="249">
        <f>IF($AY80=Lookup!$A$2,$AZ80*ROUNDUP(BH80/10,0)+1,
IF($AY80=Lookup!$A$3,($AZ80+1)^BG80,
IF($AY80=Lookup!$A$4,BH80*$AZ80+1,"Error")))</f>
        <v>1</v>
      </c>
      <c r="BQ80" s="320"/>
      <c r="BR80" s="321"/>
      <c r="BS80" s="321"/>
      <c r="BT80" s="321"/>
      <c r="BU80" s="321"/>
      <c r="BV80" s="321"/>
      <c r="BW80" s="321"/>
      <c r="BX80" s="277"/>
      <c r="BY80" s="382" t="s">
        <v>292</v>
      </c>
      <c r="BZ80" s="383">
        <f>HLOOKUP($BY80,$AH$6:$AJ$132,ROWS(BZ$6:BZ80),0)</f>
        <v>0</v>
      </c>
      <c r="CA80" s="234">
        <f t="shared" si="70"/>
        <v>0</v>
      </c>
      <c r="CB80" s="96">
        <f t="shared" si="70"/>
        <v>0</v>
      </c>
      <c r="CC80" s="96">
        <f t="shared" si="70"/>
        <v>0</v>
      </c>
      <c r="CD80" s="96">
        <f t="shared" si="70"/>
        <v>0</v>
      </c>
      <c r="CE80" s="96">
        <f t="shared" si="41"/>
        <v>0</v>
      </c>
      <c r="CF80" s="96">
        <f t="shared" si="41"/>
        <v>0</v>
      </c>
      <c r="CG80" s="96">
        <f t="shared" si="41"/>
        <v>0</v>
      </c>
      <c r="CH80" s="286">
        <f t="shared" si="41"/>
        <v>0</v>
      </c>
      <c r="CI80" s="305" t="s">
        <v>293</v>
      </c>
      <c r="CJ80" s="315">
        <v>0.05</v>
      </c>
      <c r="CK80" s="306"/>
      <c r="CL80" s="307" t="str">
        <f>IF($CK80&lt;&gt;"",$CK80,HLOOKUP($CI80,$AU$6:$AW$132,ROWS(CL$6:CL80),0))</f>
        <v/>
      </c>
      <c r="CM80" s="97"/>
      <c r="CN80" s="97"/>
      <c r="CO80" s="97"/>
      <c r="CP80" s="97"/>
      <c r="CQ80" s="97"/>
      <c r="CR80" s="97"/>
      <c r="CS80" s="97"/>
      <c r="CT80" s="98"/>
      <c r="CU80" s="392"/>
    </row>
    <row r="81" spans="1:99" x14ac:dyDescent="0.25">
      <c r="A81" s="81" t="s">
        <v>138</v>
      </c>
      <c r="B81" s="82" t="s">
        <v>165</v>
      </c>
      <c r="C81" s="83" t="s">
        <v>371</v>
      </c>
      <c r="D81" s="84"/>
      <c r="E81" s="85"/>
      <c r="F81" s="85"/>
      <c r="G81" s="85"/>
      <c r="H81" s="85"/>
      <c r="I81" s="85"/>
      <c r="J81" s="85"/>
      <c r="K81" s="85"/>
      <c r="L81" s="85"/>
      <c r="M81" s="201"/>
      <c r="N81" s="560">
        <f t="shared" si="63"/>
        <v>0</v>
      </c>
      <c r="O81" s="561">
        <f t="shared" si="43"/>
        <v>0</v>
      </c>
      <c r="P81" s="561">
        <f t="shared" si="44"/>
        <v>0</v>
      </c>
      <c r="Q81" s="561">
        <f t="shared" si="45"/>
        <v>0</v>
      </c>
      <c r="R81" s="561">
        <f t="shared" si="46"/>
        <v>0</v>
      </c>
      <c r="S81" s="561">
        <f t="shared" si="47"/>
        <v>0</v>
      </c>
      <c r="T81" s="561">
        <f t="shared" si="48"/>
        <v>0</v>
      </c>
      <c r="U81" s="561">
        <f t="shared" si="49"/>
        <v>0</v>
      </c>
      <c r="V81" s="561">
        <f t="shared" si="50"/>
        <v>0</v>
      </c>
      <c r="W81" s="562">
        <f t="shared" si="51"/>
        <v>0</v>
      </c>
      <c r="X81" s="86"/>
      <c r="Y81" s="87"/>
      <c r="Z81" s="87"/>
      <c r="AA81" s="87"/>
      <c r="AB81" s="87"/>
      <c r="AC81" s="87"/>
      <c r="AD81" s="87"/>
      <c r="AE81" s="87"/>
      <c r="AF81" s="87"/>
      <c r="AG81" s="194"/>
      <c r="AH81" s="88">
        <f t="shared" si="64"/>
        <v>0</v>
      </c>
      <c r="AI81" s="89" t="str" cm="1">
        <f t="array" aca="1" ref="AI81" ca="1">IFERROR(IF($AJ$4="N",SSUM(AD81:AF81)/3,SUM(AE81:AG81)/3),"")</f>
        <v/>
      </c>
      <c r="AJ81" s="90">
        <f t="shared" si="65"/>
        <v>0</v>
      </c>
      <c r="AK81" s="91" t="str">
        <f t="shared" si="52"/>
        <v/>
      </c>
      <c r="AL81" s="92" t="str">
        <f t="shared" si="53"/>
        <v/>
      </c>
      <c r="AM81" s="92" t="str">
        <f t="shared" si="54"/>
        <v/>
      </c>
      <c r="AN81" s="92" t="str">
        <f t="shared" si="55"/>
        <v/>
      </c>
      <c r="AO81" s="92" t="str">
        <f t="shared" si="56"/>
        <v/>
      </c>
      <c r="AP81" s="92" t="str">
        <f t="shared" si="57"/>
        <v/>
      </c>
      <c r="AQ81" s="92" t="str">
        <f t="shared" si="58"/>
        <v/>
      </c>
      <c r="AR81" s="92" t="str">
        <f t="shared" si="59"/>
        <v/>
      </c>
      <c r="AS81" s="92" t="str">
        <f t="shared" si="60"/>
        <v/>
      </c>
      <c r="AT81" s="217" t="str">
        <f t="shared" si="61"/>
        <v/>
      </c>
      <c r="AU81" s="93" t="str">
        <f t="shared" si="66"/>
        <v/>
      </c>
      <c r="AV81" s="94" t="str">
        <f t="shared" si="67"/>
        <v/>
      </c>
      <c r="AW81" s="95" t="str">
        <f t="shared" si="68"/>
        <v/>
      </c>
      <c r="AX81" s="248" t="s">
        <v>422</v>
      </c>
      <c r="AY81" s="229" t="s">
        <v>433</v>
      </c>
      <c r="AZ81" s="249">
        <v>0</v>
      </c>
      <c r="BA81" s="267">
        <f t="shared" si="69"/>
        <v>0</v>
      </c>
      <c r="BB81" s="268">
        <f t="shared" si="62"/>
        <v>0</v>
      </c>
      <c r="BC81" s="268">
        <f t="shared" si="62"/>
        <v>0</v>
      </c>
      <c r="BD81" s="268">
        <f t="shared" si="62"/>
        <v>1</v>
      </c>
      <c r="BE81" s="268">
        <f t="shared" si="62"/>
        <v>2</v>
      </c>
      <c r="BF81" s="268">
        <f t="shared" si="62"/>
        <v>3</v>
      </c>
      <c r="BG81" s="268">
        <f t="shared" si="62"/>
        <v>4</v>
      </c>
      <c r="BH81" s="269">
        <f t="shared" si="62"/>
        <v>5</v>
      </c>
      <c r="BI81" s="256">
        <f>IF($AY81=Lookup!$A$2,$AZ81*ROUNDUP(BA81/10,0)+1,
IF($AY81=Lookup!$A$3,($AZ81+1)^AZ81,
IF($AY81=Lookup!$A$4,BA81*$AZ81+1,"Error")))</f>
        <v>1</v>
      </c>
      <c r="BJ81" s="229">
        <f>IF($AY81=Lookup!$A$2,$AZ81*ROUNDUP(BB81/10,0)+1,
IF($AY81=Lookup!$A$3,($AZ81+1)^BA81,
IF($AY81=Lookup!$A$4,BB81*$AZ81+1,"Error")))</f>
        <v>1</v>
      </c>
      <c r="BK81" s="229">
        <f>IF($AY81=Lookup!$A$2,$AZ81*ROUNDUP(BC81/10,0)+1,
IF($AY81=Lookup!$A$3,($AZ81+1)^BB81,
IF($AY81=Lookup!$A$4,BC81*$AZ81+1,"Error")))</f>
        <v>1</v>
      </c>
      <c r="BL81" s="229">
        <f>IF($AY81=Lookup!$A$2,$AZ81*ROUNDUP(BD81/10,0)+1,
IF($AY81=Lookup!$A$3,($AZ81+1)^BC81,
IF($AY81=Lookup!$A$4,BD81*$AZ81+1,"Error")))</f>
        <v>1</v>
      </c>
      <c r="BM81" s="229">
        <f>IF($AY81=Lookup!$A$2,$AZ81*ROUNDUP(BE81/10,0)+1,
IF($AY81=Lookup!$A$3,($AZ81+1)^BD81,
IF($AY81=Lookup!$A$4,BE81*$AZ81+1,"Error")))</f>
        <v>1</v>
      </c>
      <c r="BN81" s="229">
        <f>IF($AY81=Lookup!$A$2,$AZ81*ROUNDUP(BF81/10,0)+1,
IF($AY81=Lookup!$A$3,($AZ81+1)^BE81,
IF($AY81=Lookup!$A$4,BF81*$AZ81+1,"Error")))</f>
        <v>1</v>
      </c>
      <c r="BO81" s="229">
        <f>IF($AY81=Lookup!$A$2,$AZ81*ROUNDUP(BG81/10,0)+1,
IF($AY81=Lookup!$A$3,($AZ81+1)^BF81,
IF($AY81=Lookup!$A$4,BG81*$AZ81+1,"Error")))</f>
        <v>1</v>
      </c>
      <c r="BP81" s="249">
        <f>IF($AY81=Lookup!$A$2,$AZ81*ROUNDUP(BH81/10,0)+1,
IF($AY81=Lookup!$A$3,($AZ81+1)^BG81,
IF($AY81=Lookup!$A$4,BH81*$AZ81+1,"Error")))</f>
        <v>1</v>
      </c>
      <c r="BQ81" s="320"/>
      <c r="BR81" s="321"/>
      <c r="BS81" s="321"/>
      <c r="BT81" s="321"/>
      <c r="BU81" s="321"/>
      <c r="BV81" s="321"/>
      <c r="BW81" s="321"/>
      <c r="BX81" s="277"/>
      <c r="BY81" s="382" t="s">
        <v>292</v>
      </c>
      <c r="BZ81" s="383">
        <f>HLOOKUP($BY81,$AH$6:$AJ$132,ROWS(BZ$6:BZ81),0)</f>
        <v>0</v>
      </c>
      <c r="CA81" s="234">
        <f t="shared" si="70"/>
        <v>0</v>
      </c>
      <c r="CB81" s="96">
        <f t="shared" si="70"/>
        <v>0</v>
      </c>
      <c r="CC81" s="96">
        <f t="shared" si="70"/>
        <v>0</v>
      </c>
      <c r="CD81" s="96">
        <f t="shared" si="70"/>
        <v>0</v>
      </c>
      <c r="CE81" s="96">
        <f t="shared" si="41"/>
        <v>0</v>
      </c>
      <c r="CF81" s="96">
        <f t="shared" si="41"/>
        <v>0</v>
      </c>
      <c r="CG81" s="96">
        <f t="shared" si="41"/>
        <v>0</v>
      </c>
      <c r="CH81" s="286">
        <f t="shared" si="41"/>
        <v>0</v>
      </c>
      <c r="CI81" s="305" t="s">
        <v>293</v>
      </c>
      <c r="CJ81" s="315">
        <v>0.05</v>
      </c>
      <c r="CK81" s="306"/>
      <c r="CL81" s="307" t="str">
        <f>IF($CK81&lt;&gt;"",$CK81,HLOOKUP($CI81,$AU$6:$AW$132,ROWS(CL$6:CL81),0))</f>
        <v/>
      </c>
      <c r="CM81" s="97"/>
      <c r="CN81" s="97"/>
      <c r="CO81" s="97"/>
      <c r="CP81" s="97"/>
      <c r="CQ81" s="97"/>
      <c r="CR81" s="97"/>
      <c r="CS81" s="97"/>
      <c r="CT81" s="98"/>
      <c r="CU81" s="392"/>
    </row>
    <row r="82" spans="1:99" x14ac:dyDescent="0.25">
      <c r="A82" s="81" t="s">
        <v>138</v>
      </c>
      <c r="B82" s="82" t="s">
        <v>167</v>
      </c>
      <c r="C82" s="83" t="s">
        <v>372</v>
      </c>
      <c r="D82" s="84"/>
      <c r="E82" s="85"/>
      <c r="F82" s="85"/>
      <c r="G82" s="85"/>
      <c r="H82" s="85"/>
      <c r="I82" s="85"/>
      <c r="J82" s="85"/>
      <c r="K82" s="85"/>
      <c r="L82" s="85"/>
      <c r="M82" s="201"/>
      <c r="N82" s="560">
        <f t="shared" si="63"/>
        <v>0</v>
      </c>
      <c r="O82" s="561">
        <f t="shared" si="43"/>
        <v>0</v>
      </c>
      <c r="P82" s="561">
        <f t="shared" si="44"/>
        <v>0</v>
      </c>
      <c r="Q82" s="561">
        <f t="shared" si="45"/>
        <v>0</v>
      </c>
      <c r="R82" s="561">
        <f t="shared" si="46"/>
        <v>0</v>
      </c>
      <c r="S82" s="561">
        <f t="shared" si="47"/>
        <v>0</v>
      </c>
      <c r="T82" s="561">
        <f t="shared" si="48"/>
        <v>0</v>
      </c>
      <c r="U82" s="561">
        <f t="shared" si="49"/>
        <v>0</v>
      </c>
      <c r="V82" s="561">
        <f t="shared" si="50"/>
        <v>0</v>
      </c>
      <c r="W82" s="562">
        <f t="shared" si="51"/>
        <v>0</v>
      </c>
      <c r="X82" s="86"/>
      <c r="Y82" s="87"/>
      <c r="Z82" s="87"/>
      <c r="AA82" s="87"/>
      <c r="AB82" s="87"/>
      <c r="AC82" s="87"/>
      <c r="AD82" s="87"/>
      <c r="AE82" s="87"/>
      <c r="AF82" s="87"/>
      <c r="AG82" s="194"/>
      <c r="AH82" s="88">
        <f t="shared" si="64"/>
        <v>0</v>
      </c>
      <c r="AI82" s="89" t="str" cm="1">
        <f t="array" aca="1" ref="AI82" ca="1">IFERROR(IF($AJ$4="N",SSUM(AD82:AF82)/3,SUM(AE82:AG82)/3),"")</f>
        <v/>
      </c>
      <c r="AJ82" s="90">
        <f t="shared" si="65"/>
        <v>0</v>
      </c>
      <c r="AK82" s="91" t="str">
        <f t="shared" si="52"/>
        <v/>
      </c>
      <c r="AL82" s="92" t="str">
        <f t="shared" si="53"/>
        <v/>
      </c>
      <c r="AM82" s="92" t="str">
        <f t="shared" si="54"/>
        <v/>
      </c>
      <c r="AN82" s="92" t="str">
        <f t="shared" si="55"/>
        <v/>
      </c>
      <c r="AO82" s="92" t="str">
        <f t="shared" si="56"/>
        <v/>
      </c>
      <c r="AP82" s="92" t="str">
        <f t="shared" si="57"/>
        <v/>
      </c>
      <c r="AQ82" s="92" t="str">
        <f t="shared" si="58"/>
        <v/>
      </c>
      <c r="AR82" s="92" t="str">
        <f t="shared" si="59"/>
        <v/>
      </c>
      <c r="AS82" s="92" t="str">
        <f t="shared" si="60"/>
        <v/>
      </c>
      <c r="AT82" s="217" t="str">
        <f t="shared" si="61"/>
        <v/>
      </c>
      <c r="AU82" s="93" t="str">
        <f t="shared" si="66"/>
        <v/>
      </c>
      <c r="AV82" s="94" t="str">
        <f t="shared" si="67"/>
        <v/>
      </c>
      <c r="AW82" s="95" t="str">
        <f t="shared" si="68"/>
        <v/>
      </c>
      <c r="AX82" s="248" t="s">
        <v>422</v>
      </c>
      <c r="AY82" s="229" t="s">
        <v>433</v>
      </c>
      <c r="AZ82" s="249">
        <v>0</v>
      </c>
      <c r="BA82" s="267">
        <f t="shared" si="69"/>
        <v>0</v>
      </c>
      <c r="BB82" s="268">
        <f t="shared" si="62"/>
        <v>0</v>
      </c>
      <c r="BC82" s="268">
        <f t="shared" si="62"/>
        <v>0</v>
      </c>
      <c r="BD82" s="268">
        <f t="shared" si="62"/>
        <v>1</v>
      </c>
      <c r="BE82" s="268">
        <f t="shared" si="62"/>
        <v>2</v>
      </c>
      <c r="BF82" s="268">
        <f t="shared" si="62"/>
        <v>3</v>
      </c>
      <c r="BG82" s="268">
        <f t="shared" si="62"/>
        <v>4</v>
      </c>
      <c r="BH82" s="269">
        <f t="shared" si="62"/>
        <v>5</v>
      </c>
      <c r="BI82" s="256">
        <f>IF($AY82=Lookup!$A$2,$AZ82*ROUNDUP(BA82/10,0)+1,
IF($AY82=Lookup!$A$3,($AZ82+1)^AZ82,
IF($AY82=Lookup!$A$4,BA82*$AZ82+1,"Error")))</f>
        <v>1</v>
      </c>
      <c r="BJ82" s="229">
        <f>IF($AY82=Lookup!$A$2,$AZ82*ROUNDUP(BB82/10,0)+1,
IF($AY82=Lookup!$A$3,($AZ82+1)^BA82,
IF($AY82=Lookup!$A$4,BB82*$AZ82+1,"Error")))</f>
        <v>1</v>
      </c>
      <c r="BK82" s="229">
        <f>IF($AY82=Lookup!$A$2,$AZ82*ROUNDUP(BC82/10,0)+1,
IF($AY82=Lookup!$A$3,($AZ82+1)^BB82,
IF($AY82=Lookup!$A$4,BC82*$AZ82+1,"Error")))</f>
        <v>1</v>
      </c>
      <c r="BL82" s="229">
        <f>IF($AY82=Lookup!$A$2,$AZ82*ROUNDUP(BD82/10,0)+1,
IF($AY82=Lookup!$A$3,($AZ82+1)^BC82,
IF($AY82=Lookup!$A$4,BD82*$AZ82+1,"Error")))</f>
        <v>1</v>
      </c>
      <c r="BM82" s="229">
        <f>IF($AY82=Lookup!$A$2,$AZ82*ROUNDUP(BE82/10,0)+1,
IF($AY82=Lookup!$A$3,($AZ82+1)^BD82,
IF($AY82=Lookup!$A$4,BE82*$AZ82+1,"Error")))</f>
        <v>1</v>
      </c>
      <c r="BN82" s="229">
        <f>IF($AY82=Lookup!$A$2,$AZ82*ROUNDUP(BF82/10,0)+1,
IF($AY82=Lookup!$A$3,($AZ82+1)^BE82,
IF($AY82=Lookup!$A$4,BF82*$AZ82+1,"Error")))</f>
        <v>1</v>
      </c>
      <c r="BO82" s="229">
        <f>IF($AY82=Lookup!$A$2,$AZ82*ROUNDUP(BG82/10,0)+1,
IF($AY82=Lookup!$A$3,($AZ82+1)^BF82,
IF($AY82=Lookup!$A$4,BG82*$AZ82+1,"Error")))</f>
        <v>1</v>
      </c>
      <c r="BP82" s="249">
        <f>IF($AY82=Lookup!$A$2,$AZ82*ROUNDUP(BH82/10,0)+1,
IF($AY82=Lookup!$A$3,($AZ82+1)^BG82,
IF($AY82=Lookup!$A$4,BH82*$AZ82+1,"Error")))</f>
        <v>1</v>
      </c>
      <c r="BQ82" s="320"/>
      <c r="BR82" s="321"/>
      <c r="BS82" s="321"/>
      <c r="BT82" s="321"/>
      <c r="BU82" s="321"/>
      <c r="BV82" s="321"/>
      <c r="BW82" s="321"/>
      <c r="BX82" s="277"/>
      <c r="BY82" s="382" t="s">
        <v>292</v>
      </c>
      <c r="BZ82" s="383">
        <f>HLOOKUP($BY82,$AH$6:$AJ$132,ROWS(BZ$6:BZ82),0)</f>
        <v>0</v>
      </c>
      <c r="CA82" s="234">
        <f t="shared" si="70"/>
        <v>0</v>
      </c>
      <c r="CB82" s="96">
        <f t="shared" si="70"/>
        <v>0</v>
      </c>
      <c r="CC82" s="96">
        <f t="shared" si="70"/>
        <v>0</v>
      </c>
      <c r="CD82" s="96">
        <f t="shared" si="70"/>
        <v>0</v>
      </c>
      <c r="CE82" s="96">
        <f t="shared" si="41"/>
        <v>0</v>
      </c>
      <c r="CF82" s="96">
        <f t="shared" si="41"/>
        <v>0</v>
      </c>
      <c r="CG82" s="96">
        <f t="shared" si="41"/>
        <v>0</v>
      </c>
      <c r="CH82" s="286">
        <f t="shared" si="41"/>
        <v>0</v>
      </c>
      <c r="CI82" s="305" t="s">
        <v>293</v>
      </c>
      <c r="CJ82" s="315">
        <v>0.05</v>
      </c>
      <c r="CK82" s="306"/>
      <c r="CL82" s="307" t="str">
        <f>IF($CK82&lt;&gt;"",$CK82,HLOOKUP($CI82,$AU$6:$AW$132,ROWS(CL$6:CL82),0))</f>
        <v/>
      </c>
      <c r="CM82" s="97"/>
      <c r="CN82" s="97"/>
      <c r="CO82" s="97"/>
      <c r="CP82" s="97"/>
      <c r="CQ82" s="97"/>
      <c r="CR82" s="97"/>
      <c r="CS82" s="97"/>
      <c r="CT82" s="98"/>
      <c r="CU82" s="392"/>
    </row>
    <row r="83" spans="1:99" x14ac:dyDescent="0.25">
      <c r="A83" s="81" t="s">
        <v>138</v>
      </c>
      <c r="B83" s="82" t="s">
        <v>169</v>
      </c>
      <c r="C83" s="83" t="s">
        <v>373</v>
      </c>
      <c r="D83" s="84"/>
      <c r="E83" s="85"/>
      <c r="F83" s="85"/>
      <c r="G83" s="85"/>
      <c r="H83" s="85"/>
      <c r="I83" s="85"/>
      <c r="J83" s="85"/>
      <c r="K83" s="85"/>
      <c r="L83" s="85"/>
      <c r="M83" s="201"/>
      <c r="N83" s="560">
        <f t="shared" si="63"/>
        <v>0</v>
      </c>
      <c r="O83" s="561">
        <f t="shared" si="43"/>
        <v>0</v>
      </c>
      <c r="P83" s="561">
        <f t="shared" si="44"/>
        <v>0</v>
      </c>
      <c r="Q83" s="561">
        <f t="shared" si="45"/>
        <v>0</v>
      </c>
      <c r="R83" s="561">
        <f t="shared" si="46"/>
        <v>0</v>
      </c>
      <c r="S83" s="561">
        <f t="shared" si="47"/>
        <v>0</v>
      </c>
      <c r="T83" s="561">
        <f t="shared" si="48"/>
        <v>0</v>
      </c>
      <c r="U83" s="561">
        <f t="shared" si="49"/>
        <v>0</v>
      </c>
      <c r="V83" s="561">
        <f t="shared" si="50"/>
        <v>0</v>
      </c>
      <c r="W83" s="562">
        <f t="shared" si="51"/>
        <v>0</v>
      </c>
      <c r="X83" s="86"/>
      <c r="Y83" s="87"/>
      <c r="Z83" s="87"/>
      <c r="AA83" s="87"/>
      <c r="AB83" s="87"/>
      <c r="AC83" s="87"/>
      <c r="AD83" s="87"/>
      <c r="AE83" s="87"/>
      <c r="AF83" s="87"/>
      <c r="AG83" s="194"/>
      <c r="AH83" s="88">
        <f t="shared" si="64"/>
        <v>0</v>
      </c>
      <c r="AI83" s="89" t="str" cm="1">
        <f t="array" aca="1" ref="AI83" ca="1">IFERROR(IF($AJ$4="N",SSUM(AD83:AF83)/3,SUM(AE83:AG83)/3),"")</f>
        <v/>
      </c>
      <c r="AJ83" s="90">
        <f t="shared" si="65"/>
        <v>0</v>
      </c>
      <c r="AK83" s="91" t="str">
        <f t="shared" si="52"/>
        <v/>
      </c>
      <c r="AL83" s="92" t="str">
        <f t="shared" si="53"/>
        <v/>
      </c>
      <c r="AM83" s="92" t="str">
        <f t="shared" si="54"/>
        <v/>
      </c>
      <c r="AN83" s="92" t="str">
        <f t="shared" si="55"/>
        <v/>
      </c>
      <c r="AO83" s="92" t="str">
        <f t="shared" si="56"/>
        <v/>
      </c>
      <c r="AP83" s="92" t="str">
        <f t="shared" si="57"/>
        <v/>
      </c>
      <c r="AQ83" s="92" t="str">
        <f t="shared" si="58"/>
        <v/>
      </c>
      <c r="AR83" s="92" t="str">
        <f t="shared" si="59"/>
        <v/>
      </c>
      <c r="AS83" s="92" t="str">
        <f t="shared" si="60"/>
        <v/>
      </c>
      <c r="AT83" s="217" t="str">
        <f t="shared" si="61"/>
        <v/>
      </c>
      <c r="AU83" s="93" t="str">
        <f t="shared" si="66"/>
        <v/>
      </c>
      <c r="AV83" s="94" t="str">
        <f t="shared" si="67"/>
        <v/>
      </c>
      <c r="AW83" s="95" t="str">
        <f t="shared" si="68"/>
        <v/>
      </c>
      <c r="AX83" s="248" t="s">
        <v>422</v>
      </c>
      <c r="AY83" s="229" t="s">
        <v>433</v>
      </c>
      <c r="AZ83" s="249">
        <v>0</v>
      </c>
      <c r="BA83" s="267">
        <f t="shared" si="69"/>
        <v>0</v>
      </c>
      <c r="BB83" s="268">
        <f t="shared" si="62"/>
        <v>0</v>
      </c>
      <c r="BC83" s="268">
        <f t="shared" si="62"/>
        <v>0</v>
      </c>
      <c r="BD83" s="268">
        <f t="shared" si="62"/>
        <v>1</v>
      </c>
      <c r="BE83" s="268">
        <f t="shared" si="62"/>
        <v>2</v>
      </c>
      <c r="BF83" s="268">
        <f t="shared" si="62"/>
        <v>3</v>
      </c>
      <c r="BG83" s="268">
        <f t="shared" si="62"/>
        <v>4</v>
      </c>
      <c r="BH83" s="269">
        <f t="shared" si="62"/>
        <v>5</v>
      </c>
      <c r="BI83" s="256">
        <f>IF($AY83=Lookup!$A$2,$AZ83*ROUNDUP(BA83/10,0)+1,
IF($AY83=Lookup!$A$3,($AZ83+1)^AZ83,
IF($AY83=Lookup!$A$4,BA83*$AZ83+1,"Error")))</f>
        <v>1</v>
      </c>
      <c r="BJ83" s="229">
        <f>IF($AY83=Lookup!$A$2,$AZ83*ROUNDUP(BB83/10,0)+1,
IF($AY83=Lookup!$A$3,($AZ83+1)^BA83,
IF($AY83=Lookup!$A$4,BB83*$AZ83+1,"Error")))</f>
        <v>1</v>
      </c>
      <c r="BK83" s="229">
        <f>IF($AY83=Lookup!$A$2,$AZ83*ROUNDUP(BC83/10,0)+1,
IF($AY83=Lookup!$A$3,($AZ83+1)^BB83,
IF($AY83=Lookup!$A$4,BC83*$AZ83+1,"Error")))</f>
        <v>1</v>
      </c>
      <c r="BL83" s="229">
        <f>IF($AY83=Lookup!$A$2,$AZ83*ROUNDUP(BD83/10,0)+1,
IF($AY83=Lookup!$A$3,($AZ83+1)^BC83,
IF($AY83=Lookup!$A$4,BD83*$AZ83+1,"Error")))</f>
        <v>1</v>
      </c>
      <c r="BM83" s="229">
        <f>IF($AY83=Lookup!$A$2,$AZ83*ROUNDUP(BE83/10,0)+1,
IF($AY83=Lookup!$A$3,($AZ83+1)^BD83,
IF($AY83=Lookup!$A$4,BE83*$AZ83+1,"Error")))</f>
        <v>1</v>
      </c>
      <c r="BN83" s="229">
        <f>IF($AY83=Lookup!$A$2,$AZ83*ROUNDUP(BF83/10,0)+1,
IF($AY83=Lookup!$A$3,($AZ83+1)^BE83,
IF($AY83=Lookup!$A$4,BF83*$AZ83+1,"Error")))</f>
        <v>1</v>
      </c>
      <c r="BO83" s="229">
        <f>IF($AY83=Lookup!$A$2,$AZ83*ROUNDUP(BG83/10,0)+1,
IF($AY83=Lookup!$A$3,($AZ83+1)^BF83,
IF($AY83=Lookup!$A$4,BG83*$AZ83+1,"Error")))</f>
        <v>1</v>
      </c>
      <c r="BP83" s="249">
        <f>IF($AY83=Lookup!$A$2,$AZ83*ROUNDUP(BH83/10,0)+1,
IF($AY83=Lookup!$A$3,($AZ83+1)^BG83,
IF($AY83=Lookup!$A$4,BH83*$AZ83+1,"Error")))</f>
        <v>1</v>
      </c>
      <c r="BQ83" s="320"/>
      <c r="BR83" s="321"/>
      <c r="BS83" s="321"/>
      <c r="BT83" s="321"/>
      <c r="BU83" s="321"/>
      <c r="BV83" s="321"/>
      <c r="BW83" s="321"/>
      <c r="BX83" s="277"/>
      <c r="BY83" s="382" t="s">
        <v>292</v>
      </c>
      <c r="BZ83" s="383">
        <f>HLOOKUP($BY83,$AH$6:$AJ$132,ROWS(BZ$6:BZ83),0)</f>
        <v>0</v>
      </c>
      <c r="CA83" s="234">
        <f t="shared" si="70"/>
        <v>0</v>
      </c>
      <c r="CB83" s="96">
        <f t="shared" si="70"/>
        <v>0</v>
      </c>
      <c r="CC83" s="96">
        <f t="shared" si="70"/>
        <v>0</v>
      </c>
      <c r="CD83" s="96">
        <f t="shared" si="70"/>
        <v>0</v>
      </c>
      <c r="CE83" s="96">
        <f t="shared" si="41"/>
        <v>0</v>
      </c>
      <c r="CF83" s="96">
        <f t="shared" si="41"/>
        <v>0</v>
      </c>
      <c r="CG83" s="96">
        <f t="shared" si="41"/>
        <v>0</v>
      </c>
      <c r="CH83" s="286">
        <f t="shared" si="41"/>
        <v>0</v>
      </c>
      <c r="CI83" s="305" t="s">
        <v>293</v>
      </c>
      <c r="CJ83" s="315">
        <v>0.05</v>
      </c>
      <c r="CK83" s="306"/>
      <c r="CL83" s="307" t="str">
        <f>IF($CK83&lt;&gt;"",$CK83,HLOOKUP($CI83,$AU$6:$AW$132,ROWS(CL$6:CL83),0))</f>
        <v/>
      </c>
      <c r="CM83" s="97"/>
      <c r="CN83" s="97"/>
      <c r="CO83" s="97"/>
      <c r="CP83" s="97"/>
      <c r="CQ83" s="97"/>
      <c r="CR83" s="97"/>
      <c r="CS83" s="97"/>
      <c r="CT83" s="98"/>
      <c r="CU83" s="392"/>
    </row>
    <row r="84" spans="1:99" x14ac:dyDescent="0.25">
      <c r="A84" s="81" t="s">
        <v>138</v>
      </c>
      <c r="B84" s="82" t="s">
        <v>171</v>
      </c>
      <c r="C84" s="83" t="s">
        <v>374</v>
      </c>
      <c r="D84" s="84"/>
      <c r="E84" s="85"/>
      <c r="F84" s="85"/>
      <c r="G84" s="85"/>
      <c r="H84" s="85"/>
      <c r="I84" s="85"/>
      <c r="J84" s="85"/>
      <c r="K84" s="85"/>
      <c r="L84" s="85"/>
      <c r="M84" s="201"/>
      <c r="N84" s="560">
        <f t="shared" si="63"/>
        <v>0</v>
      </c>
      <c r="O84" s="561">
        <f t="shared" si="43"/>
        <v>0</v>
      </c>
      <c r="P84" s="561">
        <f t="shared" si="44"/>
        <v>0</v>
      </c>
      <c r="Q84" s="561">
        <f t="shared" si="45"/>
        <v>0</v>
      </c>
      <c r="R84" s="561">
        <f t="shared" si="46"/>
        <v>0</v>
      </c>
      <c r="S84" s="561">
        <f t="shared" si="47"/>
        <v>0</v>
      </c>
      <c r="T84" s="561">
        <f t="shared" si="48"/>
        <v>0</v>
      </c>
      <c r="U84" s="561">
        <f t="shared" si="49"/>
        <v>0</v>
      </c>
      <c r="V84" s="561">
        <f t="shared" si="50"/>
        <v>0</v>
      </c>
      <c r="W84" s="562">
        <f t="shared" si="51"/>
        <v>0</v>
      </c>
      <c r="X84" s="86"/>
      <c r="Y84" s="87"/>
      <c r="Z84" s="87"/>
      <c r="AA84" s="87"/>
      <c r="AB84" s="87"/>
      <c r="AC84" s="87"/>
      <c r="AD84" s="87"/>
      <c r="AE84" s="87"/>
      <c r="AF84" s="87"/>
      <c r="AG84" s="194"/>
      <c r="AH84" s="88">
        <f t="shared" si="64"/>
        <v>0</v>
      </c>
      <c r="AI84" s="89" t="str" cm="1">
        <f t="array" aca="1" ref="AI84" ca="1">IFERROR(IF($AJ$4="N",SSUM(AD84:AF84)/3,SUM(AE84:AG84)/3),"")</f>
        <v/>
      </c>
      <c r="AJ84" s="90">
        <f t="shared" si="65"/>
        <v>0</v>
      </c>
      <c r="AK84" s="91" t="str">
        <f t="shared" si="52"/>
        <v/>
      </c>
      <c r="AL84" s="92" t="str">
        <f t="shared" si="53"/>
        <v/>
      </c>
      <c r="AM84" s="92" t="str">
        <f t="shared" si="54"/>
        <v/>
      </c>
      <c r="AN84" s="92" t="str">
        <f t="shared" si="55"/>
        <v/>
      </c>
      <c r="AO84" s="92" t="str">
        <f t="shared" si="56"/>
        <v/>
      </c>
      <c r="AP84" s="92" t="str">
        <f t="shared" si="57"/>
        <v/>
      </c>
      <c r="AQ84" s="92" t="str">
        <f t="shared" si="58"/>
        <v/>
      </c>
      <c r="AR84" s="92" t="str">
        <f t="shared" si="59"/>
        <v/>
      </c>
      <c r="AS84" s="92" t="str">
        <f t="shared" si="60"/>
        <v/>
      </c>
      <c r="AT84" s="217" t="str">
        <f t="shared" si="61"/>
        <v/>
      </c>
      <c r="AU84" s="93" t="str">
        <f t="shared" si="66"/>
        <v/>
      </c>
      <c r="AV84" s="94" t="str">
        <f t="shared" si="67"/>
        <v/>
      </c>
      <c r="AW84" s="95" t="str">
        <f t="shared" si="68"/>
        <v/>
      </c>
      <c r="AX84" s="248" t="s">
        <v>422</v>
      </c>
      <c r="AY84" s="229" t="s">
        <v>433</v>
      </c>
      <c r="AZ84" s="249">
        <v>0</v>
      </c>
      <c r="BA84" s="267">
        <f t="shared" si="69"/>
        <v>0</v>
      </c>
      <c r="BB84" s="268">
        <f t="shared" si="62"/>
        <v>0</v>
      </c>
      <c r="BC84" s="268">
        <f t="shared" si="62"/>
        <v>0</v>
      </c>
      <c r="BD84" s="268">
        <f t="shared" si="62"/>
        <v>1</v>
      </c>
      <c r="BE84" s="268">
        <f t="shared" si="62"/>
        <v>2</v>
      </c>
      <c r="BF84" s="268">
        <f t="shared" si="62"/>
        <v>3</v>
      </c>
      <c r="BG84" s="268">
        <f t="shared" si="62"/>
        <v>4</v>
      </c>
      <c r="BH84" s="269">
        <f t="shared" si="62"/>
        <v>5</v>
      </c>
      <c r="BI84" s="256">
        <f>IF($AY84=Lookup!$A$2,$AZ84*ROUNDUP(BA84/10,0)+1,
IF($AY84=Lookup!$A$3,($AZ84+1)^AZ84,
IF($AY84=Lookup!$A$4,BA84*$AZ84+1,"Error")))</f>
        <v>1</v>
      </c>
      <c r="BJ84" s="229">
        <f>IF($AY84=Lookup!$A$2,$AZ84*ROUNDUP(BB84/10,0)+1,
IF($AY84=Lookup!$A$3,($AZ84+1)^BA84,
IF($AY84=Lookup!$A$4,BB84*$AZ84+1,"Error")))</f>
        <v>1</v>
      </c>
      <c r="BK84" s="229">
        <f>IF($AY84=Lookup!$A$2,$AZ84*ROUNDUP(BC84/10,0)+1,
IF($AY84=Lookup!$A$3,($AZ84+1)^BB84,
IF($AY84=Lookup!$A$4,BC84*$AZ84+1,"Error")))</f>
        <v>1</v>
      </c>
      <c r="BL84" s="229">
        <f>IF($AY84=Lookup!$A$2,$AZ84*ROUNDUP(BD84/10,0)+1,
IF($AY84=Lookup!$A$3,($AZ84+1)^BC84,
IF($AY84=Lookup!$A$4,BD84*$AZ84+1,"Error")))</f>
        <v>1</v>
      </c>
      <c r="BM84" s="229">
        <f>IF($AY84=Lookup!$A$2,$AZ84*ROUNDUP(BE84/10,0)+1,
IF($AY84=Lookup!$A$3,($AZ84+1)^BD84,
IF($AY84=Lookup!$A$4,BE84*$AZ84+1,"Error")))</f>
        <v>1</v>
      </c>
      <c r="BN84" s="229">
        <f>IF($AY84=Lookup!$A$2,$AZ84*ROUNDUP(BF84/10,0)+1,
IF($AY84=Lookup!$A$3,($AZ84+1)^BE84,
IF($AY84=Lookup!$A$4,BF84*$AZ84+1,"Error")))</f>
        <v>1</v>
      </c>
      <c r="BO84" s="229">
        <f>IF($AY84=Lookup!$A$2,$AZ84*ROUNDUP(BG84/10,0)+1,
IF($AY84=Lookup!$A$3,($AZ84+1)^BF84,
IF($AY84=Lookup!$A$4,BG84*$AZ84+1,"Error")))</f>
        <v>1</v>
      </c>
      <c r="BP84" s="249">
        <f>IF($AY84=Lookup!$A$2,$AZ84*ROUNDUP(BH84/10,0)+1,
IF($AY84=Lookup!$A$3,($AZ84+1)^BG84,
IF($AY84=Lookup!$A$4,BH84*$AZ84+1,"Error")))</f>
        <v>1</v>
      </c>
      <c r="BQ84" s="320"/>
      <c r="BR84" s="321"/>
      <c r="BS84" s="321"/>
      <c r="BT84" s="321"/>
      <c r="BU84" s="321"/>
      <c r="BV84" s="321"/>
      <c r="BW84" s="321"/>
      <c r="BX84" s="277"/>
      <c r="BY84" s="382" t="s">
        <v>292</v>
      </c>
      <c r="BZ84" s="383">
        <f>HLOOKUP($BY84,$AH$6:$AJ$132,ROWS(BZ$6:BZ84),0)</f>
        <v>0</v>
      </c>
      <c r="CA84" s="234">
        <f t="shared" si="70"/>
        <v>0</v>
      </c>
      <c r="CB84" s="96">
        <f t="shared" si="70"/>
        <v>0</v>
      </c>
      <c r="CC84" s="96">
        <f t="shared" si="70"/>
        <v>0</v>
      </c>
      <c r="CD84" s="96">
        <f t="shared" si="70"/>
        <v>0</v>
      </c>
      <c r="CE84" s="96">
        <f t="shared" si="41"/>
        <v>0</v>
      </c>
      <c r="CF84" s="96">
        <f t="shared" si="41"/>
        <v>0</v>
      </c>
      <c r="CG84" s="96">
        <f t="shared" si="41"/>
        <v>0</v>
      </c>
      <c r="CH84" s="286">
        <f t="shared" si="41"/>
        <v>0</v>
      </c>
      <c r="CI84" s="305" t="s">
        <v>293</v>
      </c>
      <c r="CJ84" s="315">
        <v>0.05</v>
      </c>
      <c r="CK84" s="306"/>
      <c r="CL84" s="307" t="str">
        <f>IF($CK84&lt;&gt;"",$CK84,HLOOKUP($CI84,$AU$6:$AW$132,ROWS(CL$6:CL84),0))</f>
        <v/>
      </c>
      <c r="CM84" s="97"/>
      <c r="CN84" s="97"/>
      <c r="CO84" s="97"/>
      <c r="CP84" s="97"/>
      <c r="CQ84" s="97"/>
      <c r="CR84" s="97"/>
      <c r="CS84" s="97"/>
      <c r="CT84" s="98"/>
      <c r="CU84" s="392"/>
    </row>
    <row r="85" spans="1:99" x14ac:dyDescent="0.25">
      <c r="A85" s="81" t="s">
        <v>138</v>
      </c>
      <c r="B85" s="82" t="s">
        <v>173</v>
      </c>
      <c r="C85" s="83" t="s">
        <v>375</v>
      </c>
      <c r="D85" s="84"/>
      <c r="E85" s="85"/>
      <c r="F85" s="85"/>
      <c r="G85" s="85"/>
      <c r="H85" s="85"/>
      <c r="I85" s="85"/>
      <c r="J85" s="85"/>
      <c r="K85" s="85"/>
      <c r="L85" s="85"/>
      <c r="M85" s="201"/>
      <c r="N85" s="560">
        <f t="shared" si="63"/>
        <v>0</v>
      </c>
      <c r="O85" s="561">
        <f t="shared" si="43"/>
        <v>0</v>
      </c>
      <c r="P85" s="561">
        <f t="shared" si="44"/>
        <v>0</v>
      </c>
      <c r="Q85" s="561">
        <f t="shared" si="45"/>
        <v>0</v>
      </c>
      <c r="R85" s="561">
        <f t="shared" si="46"/>
        <v>0</v>
      </c>
      <c r="S85" s="561">
        <f t="shared" si="47"/>
        <v>0</v>
      </c>
      <c r="T85" s="561">
        <f t="shared" si="48"/>
        <v>0</v>
      </c>
      <c r="U85" s="561">
        <f t="shared" si="49"/>
        <v>0</v>
      </c>
      <c r="V85" s="561">
        <f t="shared" si="50"/>
        <v>0</v>
      </c>
      <c r="W85" s="562">
        <f t="shared" si="51"/>
        <v>0</v>
      </c>
      <c r="X85" s="86"/>
      <c r="Y85" s="87"/>
      <c r="Z85" s="87"/>
      <c r="AA85" s="87"/>
      <c r="AB85" s="87"/>
      <c r="AC85" s="87"/>
      <c r="AD85" s="87"/>
      <c r="AE85" s="87"/>
      <c r="AF85" s="87"/>
      <c r="AG85" s="194"/>
      <c r="AH85" s="88">
        <f t="shared" si="64"/>
        <v>0</v>
      </c>
      <c r="AI85" s="89" t="str" cm="1">
        <f t="array" aca="1" ref="AI85" ca="1">IFERROR(IF($AJ$4="N",SSUM(AD85:AF85)/3,SUM(AE85:AG85)/3),"")</f>
        <v/>
      </c>
      <c r="AJ85" s="90">
        <f t="shared" si="65"/>
        <v>0</v>
      </c>
      <c r="AK85" s="91" t="str">
        <f t="shared" si="52"/>
        <v/>
      </c>
      <c r="AL85" s="92" t="str">
        <f t="shared" si="53"/>
        <v/>
      </c>
      <c r="AM85" s="92" t="str">
        <f t="shared" si="54"/>
        <v/>
      </c>
      <c r="AN85" s="92" t="str">
        <f t="shared" si="55"/>
        <v/>
      </c>
      <c r="AO85" s="92" t="str">
        <f t="shared" si="56"/>
        <v/>
      </c>
      <c r="AP85" s="92" t="str">
        <f t="shared" si="57"/>
        <v/>
      </c>
      <c r="AQ85" s="92" t="str">
        <f t="shared" si="58"/>
        <v/>
      </c>
      <c r="AR85" s="92" t="str">
        <f t="shared" si="59"/>
        <v/>
      </c>
      <c r="AS85" s="92" t="str">
        <f t="shared" si="60"/>
        <v/>
      </c>
      <c r="AT85" s="217" t="str">
        <f t="shared" si="61"/>
        <v/>
      </c>
      <c r="AU85" s="93" t="str">
        <f t="shared" si="66"/>
        <v/>
      </c>
      <c r="AV85" s="94" t="str">
        <f t="shared" si="67"/>
        <v/>
      </c>
      <c r="AW85" s="95" t="str">
        <f t="shared" si="68"/>
        <v/>
      </c>
      <c r="AX85" s="248" t="s">
        <v>422</v>
      </c>
      <c r="AY85" s="229" t="s">
        <v>433</v>
      </c>
      <c r="AZ85" s="249">
        <v>0</v>
      </c>
      <c r="BA85" s="267">
        <f t="shared" si="69"/>
        <v>0</v>
      </c>
      <c r="BB85" s="268">
        <f t="shared" si="62"/>
        <v>0</v>
      </c>
      <c r="BC85" s="268">
        <f t="shared" si="62"/>
        <v>0</v>
      </c>
      <c r="BD85" s="268">
        <f t="shared" si="62"/>
        <v>1</v>
      </c>
      <c r="BE85" s="268">
        <f t="shared" si="62"/>
        <v>2</v>
      </c>
      <c r="BF85" s="268">
        <f t="shared" si="62"/>
        <v>3</v>
      </c>
      <c r="BG85" s="268">
        <f t="shared" si="62"/>
        <v>4</v>
      </c>
      <c r="BH85" s="269">
        <f t="shared" si="62"/>
        <v>5</v>
      </c>
      <c r="BI85" s="256">
        <f>IF($AY85=Lookup!$A$2,$AZ85*ROUNDUP(BA85/10,0)+1,
IF($AY85=Lookup!$A$3,($AZ85+1)^AZ85,
IF($AY85=Lookup!$A$4,BA85*$AZ85+1,"Error")))</f>
        <v>1</v>
      </c>
      <c r="BJ85" s="229">
        <f>IF($AY85=Lookup!$A$2,$AZ85*ROUNDUP(BB85/10,0)+1,
IF($AY85=Lookup!$A$3,($AZ85+1)^BA85,
IF($AY85=Lookup!$A$4,BB85*$AZ85+1,"Error")))</f>
        <v>1</v>
      </c>
      <c r="BK85" s="229">
        <f>IF($AY85=Lookup!$A$2,$AZ85*ROUNDUP(BC85/10,0)+1,
IF($AY85=Lookup!$A$3,($AZ85+1)^BB85,
IF($AY85=Lookup!$A$4,BC85*$AZ85+1,"Error")))</f>
        <v>1</v>
      </c>
      <c r="BL85" s="229">
        <f>IF($AY85=Lookup!$A$2,$AZ85*ROUNDUP(BD85/10,0)+1,
IF($AY85=Lookup!$A$3,($AZ85+1)^BC85,
IF($AY85=Lookup!$A$4,BD85*$AZ85+1,"Error")))</f>
        <v>1</v>
      </c>
      <c r="BM85" s="229">
        <f>IF($AY85=Lookup!$A$2,$AZ85*ROUNDUP(BE85/10,0)+1,
IF($AY85=Lookup!$A$3,($AZ85+1)^BD85,
IF($AY85=Lookup!$A$4,BE85*$AZ85+1,"Error")))</f>
        <v>1</v>
      </c>
      <c r="BN85" s="229">
        <f>IF($AY85=Lookup!$A$2,$AZ85*ROUNDUP(BF85/10,0)+1,
IF($AY85=Lookup!$A$3,($AZ85+1)^BE85,
IF($AY85=Lookup!$A$4,BF85*$AZ85+1,"Error")))</f>
        <v>1</v>
      </c>
      <c r="BO85" s="229">
        <f>IF($AY85=Lookup!$A$2,$AZ85*ROUNDUP(BG85/10,0)+1,
IF($AY85=Lookup!$A$3,($AZ85+1)^BF85,
IF($AY85=Lookup!$A$4,BG85*$AZ85+1,"Error")))</f>
        <v>1</v>
      </c>
      <c r="BP85" s="249">
        <f>IF($AY85=Lookup!$A$2,$AZ85*ROUNDUP(BH85/10,0)+1,
IF($AY85=Lookup!$A$3,($AZ85+1)^BG85,
IF($AY85=Lookup!$A$4,BH85*$AZ85+1,"Error")))</f>
        <v>1</v>
      </c>
      <c r="BQ85" s="320"/>
      <c r="BR85" s="321"/>
      <c r="BS85" s="321"/>
      <c r="BT85" s="321"/>
      <c r="BU85" s="321"/>
      <c r="BV85" s="321"/>
      <c r="BW85" s="321"/>
      <c r="BX85" s="277"/>
      <c r="BY85" s="382" t="s">
        <v>292</v>
      </c>
      <c r="BZ85" s="383">
        <f>HLOOKUP($BY85,$AH$6:$AJ$132,ROWS(BZ$6:BZ85),0)</f>
        <v>0</v>
      </c>
      <c r="CA85" s="234">
        <f t="shared" si="70"/>
        <v>0</v>
      </c>
      <c r="CB85" s="96">
        <f t="shared" si="70"/>
        <v>0</v>
      </c>
      <c r="CC85" s="96">
        <f t="shared" si="70"/>
        <v>0</v>
      </c>
      <c r="CD85" s="96">
        <f t="shared" si="70"/>
        <v>0</v>
      </c>
      <c r="CE85" s="96">
        <f t="shared" si="41"/>
        <v>0</v>
      </c>
      <c r="CF85" s="96">
        <f t="shared" si="41"/>
        <v>0</v>
      </c>
      <c r="CG85" s="96">
        <f t="shared" si="41"/>
        <v>0</v>
      </c>
      <c r="CH85" s="286">
        <f t="shared" si="41"/>
        <v>0</v>
      </c>
      <c r="CI85" s="305" t="s">
        <v>293</v>
      </c>
      <c r="CJ85" s="315">
        <v>0.05</v>
      </c>
      <c r="CK85" s="306"/>
      <c r="CL85" s="307" t="str">
        <f>IF($CK85&lt;&gt;"",$CK85,HLOOKUP($CI85,$AU$6:$AW$132,ROWS(CL$6:CL85),0))</f>
        <v/>
      </c>
      <c r="CM85" s="97"/>
      <c r="CN85" s="97"/>
      <c r="CO85" s="97"/>
      <c r="CP85" s="97"/>
      <c r="CQ85" s="97"/>
      <c r="CR85" s="97"/>
      <c r="CS85" s="97"/>
      <c r="CT85" s="98"/>
      <c r="CU85" s="392"/>
    </row>
    <row r="86" spans="1:99" x14ac:dyDescent="0.25">
      <c r="A86" s="81" t="s">
        <v>138</v>
      </c>
      <c r="B86" s="82" t="s">
        <v>175</v>
      </c>
      <c r="C86" s="83" t="s">
        <v>376</v>
      </c>
      <c r="D86" s="84"/>
      <c r="E86" s="85"/>
      <c r="F86" s="85"/>
      <c r="G86" s="85"/>
      <c r="H86" s="85"/>
      <c r="I86" s="85"/>
      <c r="J86" s="85"/>
      <c r="K86" s="85"/>
      <c r="L86" s="85"/>
      <c r="M86" s="201"/>
      <c r="N86" s="560">
        <f t="shared" si="63"/>
        <v>0</v>
      </c>
      <c r="O86" s="561">
        <f t="shared" si="43"/>
        <v>0</v>
      </c>
      <c r="P86" s="561">
        <f t="shared" si="44"/>
        <v>0</v>
      </c>
      <c r="Q86" s="561">
        <f t="shared" si="45"/>
        <v>0</v>
      </c>
      <c r="R86" s="561">
        <f t="shared" si="46"/>
        <v>0</v>
      </c>
      <c r="S86" s="561">
        <f t="shared" si="47"/>
        <v>0</v>
      </c>
      <c r="T86" s="561">
        <f t="shared" si="48"/>
        <v>0</v>
      </c>
      <c r="U86" s="561">
        <f t="shared" si="49"/>
        <v>0</v>
      </c>
      <c r="V86" s="561">
        <f t="shared" si="50"/>
        <v>0</v>
      </c>
      <c r="W86" s="562">
        <f t="shared" si="51"/>
        <v>0</v>
      </c>
      <c r="X86" s="86"/>
      <c r="Y86" s="87"/>
      <c r="Z86" s="87"/>
      <c r="AA86" s="87"/>
      <c r="AB86" s="87"/>
      <c r="AC86" s="87"/>
      <c r="AD86" s="87"/>
      <c r="AE86" s="87"/>
      <c r="AF86" s="87"/>
      <c r="AG86" s="194"/>
      <c r="AH86" s="88">
        <f t="shared" si="64"/>
        <v>0</v>
      </c>
      <c r="AI86" s="89" t="str" cm="1">
        <f t="array" aca="1" ref="AI86" ca="1">IFERROR(IF($AJ$4="N",SSUM(AD86:AF86)/3,SUM(AE86:AG86)/3),"")</f>
        <v/>
      </c>
      <c r="AJ86" s="90">
        <f t="shared" si="65"/>
        <v>0</v>
      </c>
      <c r="AK86" s="91" t="str">
        <f t="shared" si="52"/>
        <v/>
      </c>
      <c r="AL86" s="92" t="str">
        <f t="shared" si="53"/>
        <v/>
      </c>
      <c r="AM86" s="92" t="str">
        <f t="shared" si="54"/>
        <v/>
      </c>
      <c r="AN86" s="92" t="str">
        <f t="shared" si="55"/>
        <v/>
      </c>
      <c r="AO86" s="92" t="str">
        <f t="shared" si="56"/>
        <v/>
      </c>
      <c r="AP86" s="92" t="str">
        <f t="shared" si="57"/>
        <v/>
      </c>
      <c r="AQ86" s="92" t="str">
        <f t="shared" si="58"/>
        <v/>
      </c>
      <c r="AR86" s="92" t="str">
        <f t="shared" si="59"/>
        <v/>
      </c>
      <c r="AS86" s="92" t="str">
        <f t="shared" si="60"/>
        <v/>
      </c>
      <c r="AT86" s="217" t="str">
        <f t="shared" si="61"/>
        <v/>
      </c>
      <c r="AU86" s="93" t="str">
        <f t="shared" si="66"/>
        <v/>
      </c>
      <c r="AV86" s="94" t="str">
        <f t="shared" si="67"/>
        <v/>
      </c>
      <c r="AW86" s="95" t="str">
        <f t="shared" si="68"/>
        <v/>
      </c>
      <c r="AX86" s="248" t="s">
        <v>422</v>
      </c>
      <c r="AY86" s="229" t="s">
        <v>433</v>
      </c>
      <c r="AZ86" s="249">
        <v>0</v>
      </c>
      <c r="BA86" s="267">
        <f t="shared" si="69"/>
        <v>0</v>
      </c>
      <c r="BB86" s="268">
        <f t="shared" si="62"/>
        <v>0</v>
      </c>
      <c r="BC86" s="268">
        <f t="shared" si="62"/>
        <v>0</v>
      </c>
      <c r="BD86" s="268">
        <f t="shared" si="62"/>
        <v>1</v>
      </c>
      <c r="BE86" s="268">
        <f t="shared" si="62"/>
        <v>2</v>
      </c>
      <c r="BF86" s="268">
        <f t="shared" si="62"/>
        <v>3</v>
      </c>
      <c r="BG86" s="268">
        <f t="shared" si="62"/>
        <v>4</v>
      </c>
      <c r="BH86" s="269">
        <f t="shared" si="62"/>
        <v>5</v>
      </c>
      <c r="BI86" s="256">
        <f>IF($AY86=Lookup!$A$2,$AZ86*ROUNDUP(BA86/10,0)+1,
IF($AY86=Lookup!$A$3,($AZ86+1)^AZ86,
IF($AY86=Lookup!$A$4,BA86*$AZ86+1,"Error")))</f>
        <v>1</v>
      </c>
      <c r="BJ86" s="229">
        <f>IF($AY86=Lookup!$A$2,$AZ86*ROUNDUP(BB86/10,0)+1,
IF($AY86=Lookup!$A$3,($AZ86+1)^BA86,
IF($AY86=Lookup!$A$4,BB86*$AZ86+1,"Error")))</f>
        <v>1</v>
      </c>
      <c r="BK86" s="229">
        <f>IF($AY86=Lookup!$A$2,$AZ86*ROUNDUP(BC86/10,0)+1,
IF($AY86=Lookup!$A$3,($AZ86+1)^BB86,
IF($AY86=Lookup!$A$4,BC86*$AZ86+1,"Error")))</f>
        <v>1</v>
      </c>
      <c r="BL86" s="229">
        <f>IF($AY86=Lookup!$A$2,$AZ86*ROUNDUP(BD86/10,0)+1,
IF($AY86=Lookup!$A$3,($AZ86+1)^BC86,
IF($AY86=Lookup!$A$4,BD86*$AZ86+1,"Error")))</f>
        <v>1</v>
      </c>
      <c r="BM86" s="229">
        <f>IF($AY86=Lookup!$A$2,$AZ86*ROUNDUP(BE86/10,0)+1,
IF($AY86=Lookup!$A$3,($AZ86+1)^BD86,
IF($AY86=Lookup!$A$4,BE86*$AZ86+1,"Error")))</f>
        <v>1</v>
      </c>
      <c r="BN86" s="229">
        <f>IF($AY86=Lookup!$A$2,$AZ86*ROUNDUP(BF86/10,0)+1,
IF($AY86=Lookup!$A$3,($AZ86+1)^BE86,
IF($AY86=Lookup!$A$4,BF86*$AZ86+1,"Error")))</f>
        <v>1</v>
      </c>
      <c r="BO86" s="229">
        <f>IF($AY86=Lookup!$A$2,$AZ86*ROUNDUP(BG86/10,0)+1,
IF($AY86=Lookup!$A$3,($AZ86+1)^BF86,
IF($AY86=Lookup!$A$4,BG86*$AZ86+1,"Error")))</f>
        <v>1</v>
      </c>
      <c r="BP86" s="249">
        <f>IF($AY86=Lookup!$A$2,$AZ86*ROUNDUP(BH86/10,0)+1,
IF($AY86=Lookup!$A$3,($AZ86+1)^BG86,
IF($AY86=Lookup!$A$4,BH86*$AZ86+1,"Error")))</f>
        <v>1</v>
      </c>
      <c r="BQ86" s="320"/>
      <c r="BR86" s="321"/>
      <c r="BS86" s="321"/>
      <c r="BT86" s="321"/>
      <c r="BU86" s="321"/>
      <c r="BV86" s="321"/>
      <c r="BW86" s="321"/>
      <c r="BX86" s="277"/>
      <c r="BY86" s="382" t="s">
        <v>292</v>
      </c>
      <c r="BZ86" s="383">
        <f>HLOOKUP($BY86,$AH$6:$AJ$132,ROWS(BZ$6:BZ86),0)</f>
        <v>0</v>
      </c>
      <c r="CA86" s="234">
        <f t="shared" si="70"/>
        <v>0</v>
      </c>
      <c r="CB86" s="96">
        <f t="shared" si="70"/>
        <v>0</v>
      </c>
      <c r="CC86" s="96">
        <f t="shared" si="70"/>
        <v>0</v>
      </c>
      <c r="CD86" s="96">
        <f t="shared" si="70"/>
        <v>0</v>
      </c>
      <c r="CE86" s="96">
        <f t="shared" si="41"/>
        <v>0</v>
      </c>
      <c r="CF86" s="96">
        <f t="shared" si="41"/>
        <v>0</v>
      </c>
      <c r="CG86" s="96">
        <f t="shared" si="41"/>
        <v>0</v>
      </c>
      <c r="CH86" s="286">
        <f t="shared" si="41"/>
        <v>0</v>
      </c>
      <c r="CI86" s="305" t="s">
        <v>293</v>
      </c>
      <c r="CJ86" s="315">
        <v>0.05</v>
      </c>
      <c r="CK86" s="306"/>
      <c r="CL86" s="307" t="str">
        <f>IF($CK86&lt;&gt;"",$CK86,HLOOKUP($CI86,$AU$6:$AW$132,ROWS(CL$6:CL86),0))</f>
        <v/>
      </c>
      <c r="CM86" s="97"/>
      <c r="CN86" s="97"/>
      <c r="CO86" s="97"/>
      <c r="CP86" s="97"/>
      <c r="CQ86" s="97"/>
      <c r="CR86" s="97"/>
      <c r="CS86" s="97"/>
      <c r="CT86" s="98"/>
      <c r="CU86" s="392"/>
    </row>
    <row r="87" spans="1:99" x14ac:dyDescent="0.25">
      <c r="A87" s="81" t="s">
        <v>138</v>
      </c>
      <c r="B87" s="82" t="s">
        <v>177</v>
      </c>
      <c r="C87" s="83" t="s">
        <v>377</v>
      </c>
      <c r="D87" s="84"/>
      <c r="E87" s="85"/>
      <c r="F87" s="85"/>
      <c r="G87" s="85"/>
      <c r="H87" s="85"/>
      <c r="I87" s="85"/>
      <c r="J87" s="85"/>
      <c r="K87" s="85"/>
      <c r="L87" s="85"/>
      <c r="M87" s="201"/>
      <c r="N87" s="560">
        <f t="shared" si="63"/>
        <v>0</v>
      </c>
      <c r="O87" s="561">
        <f t="shared" si="43"/>
        <v>0</v>
      </c>
      <c r="P87" s="561">
        <f t="shared" si="44"/>
        <v>0</v>
      </c>
      <c r="Q87" s="561">
        <f t="shared" si="45"/>
        <v>0</v>
      </c>
      <c r="R87" s="561">
        <f t="shared" si="46"/>
        <v>0</v>
      </c>
      <c r="S87" s="561">
        <f t="shared" si="47"/>
        <v>0</v>
      </c>
      <c r="T87" s="561">
        <f t="shared" si="48"/>
        <v>0</v>
      </c>
      <c r="U87" s="561">
        <f t="shared" si="49"/>
        <v>0</v>
      </c>
      <c r="V87" s="561">
        <f t="shared" si="50"/>
        <v>0</v>
      </c>
      <c r="W87" s="562">
        <f t="shared" si="51"/>
        <v>0</v>
      </c>
      <c r="X87" s="86"/>
      <c r="Y87" s="87"/>
      <c r="Z87" s="87"/>
      <c r="AA87" s="87"/>
      <c r="AB87" s="87"/>
      <c r="AC87" s="87"/>
      <c r="AD87" s="87"/>
      <c r="AE87" s="87"/>
      <c r="AF87" s="87"/>
      <c r="AG87" s="194"/>
      <c r="AH87" s="88">
        <f t="shared" si="64"/>
        <v>0</v>
      </c>
      <c r="AI87" s="89" t="str" cm="1">
        <f t="array" aca="1" ref="AI87" ca="1">IFERROR(IF($AJ$4="N",SSUM(AD87:AF87)/3,SUM(AE87:AG87)/3),"")</f>
        <v/>
      </c>
      <c r="AJ87" s="90">
        <f t="shared" si="65"/>
        <v>0</v>
      </c>
      <c r="AK87" s="91" t="str">
        <f t="shared" si="52"/>
        <v/>
      </c>
      <c r="AL87" s="92" t="str">
        <f t="shared" si="53"/>
        <v/>
      </c>
      <c r="AM87" s="92" t="str">
        <f t="shared" si="54"/>
        <v/>
      </c>
      <c r="AN87" s="92" t="str">
        <f t="shared" si="55"/>
        <v/>
      </c>
      <c r="AO87" s="92" t="str">
        <f t="shared" si="56"/>
        <v/>
      </c>
      <c r="AP87" s="92" t="str">
        <f t="shared" si="57"/>
        <v/>
      </c>
      <c r="AQ87" s="92" t="str">
        <f t="shared" si="58"/>
        <v/>
      </c>
      <c r="AR87" s="92" t="str">
        <f t="shared" si="59"/>
        <v/>
      </c>
      <c r="AS87" s="92" t="str">
        <f t="shared" si="60"/>
        <v/>
      </c>
      <c r="AT87" s="217" t="str">
        <f t="shared" si="61"/>
        <v/>
      </c>
      <c r="AU87" s="93" t="str">
        <f t="shared" si="66"/>
        <v/>
      </c>
      <c r="AV87" s="94" t="str">
        <f t="shared" si="67"/>
        <v/>
      </c>
      <c r="AW87" s="95" t="str">
        <f t="shared" si="68"/>
        <v/>
      </c>
      <c r="AX87" s="248" t="s">
        <v>422</v>
      </c>
      <c r="AY87" s="229" t="s">
        <v>433</v>
      </c>
      <c r="AZ87" s="249">
        <v>0</v>
      </c>
      <c r="BA87" s="267">
        <f t="shared" si="69"/>
        <v>0</v>
      </c>
      <c r="BB87" s="268">
        <f t="shared" ref="BB87:BH102" si="71">IF(BB$6=$AX87,1,
IF(BA87&lt;&gt;0,BA87+1,0
))</f>
        <v>0</v>
      </c>
      <c r="BC87" s="268">
        <f t="shared" si="71"/>
        <v>0</v>
      </c>
      <c r="BD87" s="268">
        <f t="shared" si="71"/>
        <v>1</v>
      </c>
      <c r="BE87" s="268">
        <f t="shared" si="71"/>
        <v>2</v>
      </c>
      <c r="BF87" s="268">
        <f t="shared" si="71"/>
        <v>3</v>
      </c>
      <c r="BG87" s="268">
        <f t="shared" si="71"/>
        <v>4</v>
      </c>
      <c r="BH87" s="269">
        <f t="shared" si="71"/>
        <v>5</v>
      </c>
      <c r="BI87" s="256">
        <f>IF($AY87=Lookup!$A$2,$AZ87*ROUNDUP(BA87/10,0)+1,
IF($AY87=Lookup!$A$3,($AZ87+1)^AZ87,
IF($AY87=Lookup!$A$4,BA87*$AZ87+1,"Error")))</f>
        <v>1</v>
      </c>
      <c r="BJ87" s="229">
        <f>IF($AY87=Lookup!$A$2,$AZ87*ROUNDUP(BB87/10,0)+1,
IF($AY87=Lookup!$A$3,($AZ87+1)^BA87,
IF($AY87=Lookup!$A$4,BB87*$AZ87+1,"Error")))</f>
        <v>1</v>
      </c>
      <c r="BK87" s="229">
        <f>IF($AY87=Lookup!$A$2,$AZ87*ROUNDUP(BC87/10,0)+1,
IF($AY87=Lookup!$A$3,($AZ87+1)^BB87,
IF($AY87=Lookup!$A$4,BC87*$AZ87+1,"Error")))</f>
        <v>1</v>
      </c>
      <c r="BL87" s="229">
        <f>IF($AY87=Lookup!$A$2,$AZ87*ROUNDUP(BD87/10,0)+1,
IF($AY87=Lookup!$A$3,($AZ87+1)^BC87,
IF($AY87=Lookup!$A$4,BD87*$AZ87+1,"Error")))</f>
        <v>1</v>
      </c>
      <c r="BM87" s="229">
        <f>IF($AY87=Lookup!$A$2,$AZ87*ROUNDUP(BE87/10,0)+1,
IF($AY87=Lookup!$A$3,($AZ87+1)^BD87,
IF($AY87=Lookup!$A$4,BE87*$AZ87+1,"Error")))</f>
        <v>1</v>
      </c>
      <c r="BN87" s="229">
        <f>IF($AY87=Lookup!$A$2,$AZ87*ROUNDUP(BF87/10,0)+1,
IF($AY87=Lookup!$A$3,($AZ87+1)^BE87,
IF($AY87=Lookup!$A$4,BF87*$AZ87+1,"Error")))</f>
        <v>1</v>
      </c>
      <c r="BO87" s="229">
        <f>IF($AY87=Lookup!$A$2,$AZ87*ROUNDUP(BG87/10,0)+1,
IF($AY87=Lookup!$A$3,($AZ87+1)^BF87,
IF($AY87=Lookup!$A$4,BG87*$AZ87+1,"Error")))</f>
        <v>1</v>
      </c>
      <c r="BP87" s="249">
        <f>IF($AY87=Lookup!$A$2,$AZ87*ROUNDUP(BH87/10,0)+1,
IF($AY87=Lookup!$A$3,($AZ87+1)^BG87,
IF($AY87=Lookup!$A$4,BH87*$AZ87+1,"Error")))</f>
        <v>1</v>
      </c>
      <c r="BQ87" s="320"/>
      <c r="BR87" s="321"/>
      <c r="BS87" s="321"/>
      <c r="BT87" s="321"/>
      <c r="BU87" s="321"/>
      <c r="BV87" s="321"/>
      <c r="BW87" s="321"/>
      <c r="BX87" s="277"/>
      <c r="BY87" s="382" t="s">
        <v>292</v>
      </c>
      <c r="BZ87" s="383">
        <f>HLOOKUP($BY87,$AH$6:$AJ$132,ROWS(BZ$6:BZ87),0)</f>
        <v>0</v>
      </c>
      <c r="CA87" s="234">
        <f t="shared" si="70"/>
        <v>0</v>
      </c>
      <c r="CB87" s="96">
        <f t="shared" si="70"/>
        <v>0</v>
      </c>
      <c r="CC87" s="96">
        <f t="shared" si="70"/>
        <v>0</v>
      </c>
      <c r="CD87" s="96">
        <f t="shared" si="70"/>
        <v>0</v>
      </c>
      <c r="CE87" s="96">
        <f t="shared" si="41"/>
        <v>0</v>
      </c>
      <c r="CF87" s="96">
        <f t="shared" si="41"/>
        <v>0</v>
      </c>
      <c r="CG87" s="96">
        <f t="shared" si="41"/>
        <v>0</v>
      </c>
      <c r="CH87" s="286">
        <f t="shared" si="41"/>
        <v>0</v>
      </c>
      <c r="CI87" s="305" t="s">
        <v>293</v>
      </c>
      <c r="CJ87" s="315">
        <v>0.05</v>
      </c>
      <c r="CK87" s="306"/>
      <c r="CL87" s="307" t="str">
        <f>IF($CK87&lt;&gt;"",$CK87,HLOOKUP($CI87,$AU$6:$AW$132,ROWS(CL$6:CL87),0))</f>
        <v/>
      </c>
      <c r="CM87" s="97"/>
      <c r="CN87" s="97"/>
      <c r="CO87" s="97"/>
      <c r="CP87" s="97"/>
      <c r="CQ87" s="97"/>
      <c r="CR87" s="97"/>
      <c r="CS87" s="97"/>
      <c r="CT87" s="98"/>
      <c r="CU87" s="392"/>
    </row>
    <row r="88" spans="1:99" x14ac:dyDescent="0.25">
      <c r="A88" s="81" t="s">
        <v>138</v>
      </c>
      <c r="B88" s="82" t="s">
        <v>179</v>
      </c>
      <c r="C88" s="83" t="s">
        <v>378</v>
      </c>
      <c r="D88" s="84"/>
      <c r="E88" s="85"/>
      <c r="F88" s="85"/>
      <c r="G88" s="85"/>
      <c r="H88" s="85"/>
      <c r="I88" s="85"/>
      <c r="J88" s="85"/>
      <c r="K88" s="85"/>
      <c r="L88" s="85"/>
      <c r="M88" s="201"/>
      <c r="N88" s="560">
        <f t="shared" si="63"/>
        <v>0</v>
      </c>
      <c r="O88" s="561">
        <f t="shared" si="43"/>
        <v>0</v>
      </c>
      <c r="P88" s="561">
        <f t="shared" si="44"/>
        <v>0</v>
      </c>
      <c r="Q88" s="561">
        <f t="shared" si="45"/>
        <v>0</v>
      </c>
      <c r="R88" s="561">
        <f t="shared" si="46"/>
        <v>0</v>
      </c>
      <c r="S88" s="561">
        <f t="shared" si="47"/>
        <v>0</v>
      </c>
      <c r="T88" s="561">
        <f t="shared" si="48"/>
        <v>0</v>
      </c>
      <c r="U88" s="561">
        <f t="shared" si="49"/>
        <v>0</v>
      </c>
      <c r="V88" s="561">
        <f t="shared" si="50"/>
        <v>0</v>
      </c>
      <c r="W88" s="562">
        <f t="shared" si="51"/>
        <v>0</v>
      </c>
      <c r="X88" s="86"/>
      <c r="Y88" s="87"/>
      <c r="Z88" s="87"/>
      <c r="AA88" s="87"/>
      <c r="AB88" s="87"/>
      <c r="AC88" s="87"/>
      <c r="AD88" s="87"/>
      <c r="AE88" s="87"/>
      <c r="AF88" s="87"/>
      <c r="AG88" s="194"/>
      <c r="AH88" s="88">
        <f t="shared" si="64"/>
        <v>0</v>
      </c>
      <c r="AI88" s="89" t="str" cm="1">
        <f t="array" aca="1" ref="AI88" ca="1">IFERROR(IF($AJ$4="N",SSUM(AD88:AF88)/3,SUM(AE88:AG88)/3),"")</f>
        <v/>
      </c>
      <c r="AJ88" s="90">
        <f t="shared" si="65"/>
        <v>0</v>
      </c>
      <c r="AK88" s="91" t="str">
        <f t="shared" si="52"/>
        <v/>
      </c>
      <c r="AL88" s="92" t="str">
        <f t="shared" si="53"/>
        <v/>
      </c>
      <c r="AM88" s="92" t="str">
        <f t="shared" si="54"/>
        <v/>
      </c>
      <c r="AN88" s="92" t="str">
        <f t="shared" si="55"/>
        <v/>
      </c>
      <c r="AO88" s="92" t="str">
        <f t="shared" si="56"/>
        <v/>
      </c>
      <c r="AP88" s="92" t="str">
        <f t="shared" si="57"/>
        <v/>
      </c>
      <c r="AQ88" s="92" t="str">
        <f t="shared" si="58"/>
        <v/>
      </c>
      <c r="AR88" s="92" t="str">
        <f t="shared" si="59"/>
        <v/>
      </c>
      <c r="AS88" s="92" t="str">
        <f t="shared" si="60"/>
        <v/>
      </c>
      <c r="AT88" s="217" t="str">
        <f t="shared" si="61"/>
        <v/>
      </c>
      <c r="AU88" s="93" t="str">
        <f t="shared" si="66"/>
        <v/>
      </c>
      <c r="AV88" s="94" t="str">
        <f t="shared" si="67"/>
        <v/>
      </c>
      <c r="AW88" s="95" t="str">
        <f t="shared" si="68"/>
        <v/>
      </c>
      <c r="AX88" s="248" t="s">
        <v>422</v>
      </c>
      <c r="AY88" s="229" t="s">
        <v>433</v>
      </c>
      <c r="AZ88" s="249">
        <v>0</v>
      </c>
      <c r="BA88" s="267">
        <f t="shared" si="69"/>
        <v>0</v>
      </c>
      <c r="BB88" s="268">
        <f t="shared" si="71"/>
        <v>0</v>
      </c>
      <c r="BC88" s="268">
        <f t="shared" si="71"/>
        <v>0</v>
      </c>
      <c r="BD88" s="268">
        <f t="shared" si="71"/>
        <v>1</v>
      </c>
      <c r="BE88" s="268">
        <f t="shared" si="71"/>
        <v>2</v>
      </c>
      <c r="BF88" s="268">
        <f t="shared" si="71"/>
        <v>3</v>
      </c>
      <c r="BG88" s="268">
        <f t="shared" si="71"/>
        <v>4</v>
      </c>
      <c r="BH88" s="269">
        <f t="shared" si="71"/>
        <v>5</v>
      </c>
      <c r="BI88" s="256">
        <f>IF($AY88=Lookup!$A$2,$AZ88*ROUNDUP(BA88/10,0)+1,
IF($AY88=Lookup!$A$3,($AZ88+1)^AZ88,
IF($AY88=Lookup!$A$4,BA88*$AZ88+1,"Error")))</f>
        <v>1</v>
      </c>
      <c r="BJ88" s="229">
        <f>IF($AY88=Lookup!$A$2,$AZ88*ROUNDUP(BB88/10,0)+1,
IF($AY88=Lookup!$A$3,($AZ88+1)^BA88,
IF($AY88=Lookup!$A$4,BB88*$AZ88+1,"Error")))</f>
        <v>1</v>
      </c>
      <c r="BK88" s="229">
        <f>IF($AY88=Lookup!$A$2,$AZ88*ROUNDUP(BC88/10,0)+1,
IF($AY88=Lookup!$A$3,($AZ88+1)^BB88,
IF($AY88=Lookup!$A$4,BC88*$AZ88+1,"Error")))</f>
        <v>1</v>
      </c>
      <c r="BL88" s="229">
        <f>IF($AY88=Lookup!$A$2,$AZ88*ROUNDUP(BD88/10,0)+1,
IF($AY88=Lookup!$A$3,($AZ88+1)^BC88,
IF($AY88=Lookup!$A$4,BD88*$AZ88+1,"Error")))</f>
        <v>1</v>
      </c>
      <c r="BM88" s="229">
        <f>IF($AY88=Lookup!$A$2,$AZ88*ROUNDUP(BE88/10,0)+1,
IF($AY88=Lookup!$A$3,($AZ88+1)^BD88,
IF($AY88=Lookup!$A$4,BE88*$AZ88+1,"Error")))</f>
        <v>1</v>
      </c>
      <c r="BN88" s="229">
        <f>IF($AY88=Lookup!$A$2,$AZ88*ROUNDUP(BF88/10,0)+1,
IF($AY88=Lookup!$A$3,($AZ88+1)^BE88,
IF($AY88=Lookup!$A$4,BF88*$AZ88+1,"Error")))</f>
        <v>1</v>
      </c>
      <c r="BO88" s="229">
        <f>IF($AY88=Lookup!$A$2,$AZ88*ROUNDUP(BG88/10,0)+1,
IF($AY88=Lookup!$A$3,($AZ88+1)^BF88,
IF($AY88=Lookup!$A$4,BG88*$AZ88+1,"Error")))</f>
        <v>1</v>
      </c>
      <c r="BP88" s="249">
        <f>IF($AY88=Lookup!$A$2,$AZ88*ROUNDUP(BH88/10,0)+1,
IF($AY88=Lookup!$A$3,($AZ88+1)^BG88,
IF($AY88=Lookup!$A$4,BH88*$AZ88+1,"Error")))</f>
        <v>1</v>
      </c>
      <c r="BQ88" s="320"/>
      <c r="BR88" s="321"/>
      <c r="BS88" s="321"/>
      <c r="BT88" s="321"/>
      <c r="BU88" s="321"/>
      <c r="BV88" s="321"/>
      <c r="BW88" s="321"/>
      <c r="BX88" s="277"/>
      <c r="BY88" s="382" t="s">
        <v>292</v>
      </c>
      <c r="BZ88" s="383">
        <f>HLOOKUP($BY88,$AH$6:$AJ$132,ROWS(BZ$6:BZ88),0)</f>
        <v>0</v>
      </c>
      <c r="CA88" s="234">
        <f t="shared" si="70"/>
        <v>0</v>
      </c>
      <c r="CB88" s="96">
        <f t="shared" si="70"/>
        <v>0</v>
      </c>
      <c r="CC88" s="96">
        <f t="shared" si="70"/>
        <v>0</v>
      </c>
      <c r="CD88" s="96">
        <f t="shared" si="70"/>
        <v>0</v>
      </c>
      <c r="CE88" s="96">
        <f t="shared" si="41"/>
        <v>0</v>
      </c>
      <c r="CF88" s="96">
        <f t="shared" si="41"/>
        <v>0</v>
      </c>
      <c r="CG88" s="96">
        <f t="shared" si="41"/>
        <v>0</v>
      </c>
      <c r="CH88" s="286">
        <f t="shared" si="41"/>
        <v>0</v>
      </c>
      <c r="CI88" s="305" t="s">
        <v>293</v>
      </c>
      <c r="CJ88" s="315">
        <v>0.05</v>
      </c>
      <c r="CK88" s="306"/>
      <c r="CL88" s="307" t="str">
        <f>IF($CK88&lt;&gt;"",$CK88,HLOOKUP($CI88,$AU$6:$AW$132,ROWS(CL$6:CL88),0))</f>
        <v/>
      </c>
      <c r="CM88" s="97"/>
      <c r="CN88" s="97"/>
      <c r="CO88" s="97"/>
      <c r="CP88" s="97"/>
      <c r="CQ88" s="97"/>
      <c r="CR88" s="97"/>
      <c r="CS88" s="97"/>
      <c r="CT88" s="98"/>
      <c r="CU88" s="392"/>
    </row>
    <row r="89" spans="1:99" x14ac:dyDescent="0.25">
      <c r="A89" s="81" t="s">
        <v>138</v>
      </c>
      <c r="B89" s="82" t="s">
        <v>181</v>
      </c>
      <c r="C89" s="83" t="s">
        <v>379</v>
      </c>
      <c r="D89" s="84"/>
      <c r="E89" s="85"/>
      <c r="F89" s="85"/>
      <c r="G89" s="85"/>
      <c r="H89" s="85"/>
      <c r="I89" s="85"/>
      <c r="J89" s="85"/>
      <c r="K89" s="85"/>
      <c r="L89" s="85"/>
      <c r="M89" s="201"/>
      <c r="N89" s="560">
        <f t="shared" si="63"/>
        <v>0</v>
      </c>
      <c r="O89" s="561">
        <f t="shared" si="43"/>
        <v>0</v>
      </c>
      <c r="P89" s="561">
        <f t="shared" si="44"/>
        <v>0</v>
      </c>
      <c r="Q89" s="561">
        <f t="shared" si="45"/>
        <v>0</v>
      </c>
      <c r="R89" s="561">
        <f t="shared" si="46"/>
        <v>0</v>
      </c>
      <c r="S89" s="561">
        <f t="shared" si="47"/>
        <v>0</v>
      </c>
      <c r="T89" s="561">
        <f t="shared" si="48"/>
        <v>0</v>
      </c>
      <c r="U89" s="561">
        <f t="shared" si="49"/>
        <v>0</v>
      </c>
      <c r="V89" s="561">
        <f t="shared" si="50"/>
        <v>0</v>
      </c>
      <c r="W89" s="562">
        <f t="shared" si="51"/>
        <v>0</v>
      </c>
      <c r="X89" s="86"/>
      <c r="Y89" s="87"/>
      <c r="Z89" s="87"/>
      <c r="AA89" s="87"/>
      <c r="AB89" s="87"/>
      <c r="AC89" s="87"/>
      <c r="AD89" s="87"/>
      <c r="AE89" s="87"/>
      <c r="AF89" s="87"/>
      <c r="AG89" s="194"/>
      <c r="AH89" s="88">
        <f t="shared" si="64"/>
        <v>0</v>
      </c>
      <c r="AI89" s="89" t="str" cm="1">
        <f t="array" aca="1" ref="AI89" ca="1">IFERROR(IF($AJ$4="N",SSUM(AD89:AF89)/3,SUM(AE89:AG89)/3),"")</f>
        <v/>
      </c>
      <c r="AJ89" s="90">
        <f t="shared" si="65"/>
        <v>0</v>
      </c>
      <c r="AK89" s="91" t="str">
        <f t="shared" si="52"/>
        <v/>
      </c>
      <c r="AL89" s="92" t="str">
        <f t="shared" si="53"/>
        <v/>
      </c>
      <c r="AM89" s="92" t="str">
        <f t="shared" si="54"/>
        <v/>
      </c>
      <c r="AN89" s="92" t="str">
        <f t="shared" si="55"/>
        <v/>
      </c>
      <c r="AO89" s="92" t="str">
        <f t="shared" si="56"/>
        <v/>
      </c>
      <c r="AP89" s="92" t="str">
        <f t="shared" si="57"/>
        <v/>
      </c>
      <c r="AQ89" s="92" t="str">
        <f t="shared" si="58"/>
        <v/>
      </c>
      <c r="AR89" s="92" t="str">
        <f t="shared" si="59"/>
        <v/>
      </c>
      <c r="AS89" s="92" t="str">
        <f t="shared" si="60"/>
        <v/>
      </c>
      <c r="AT89" s="217" t="str">
        <f t="shared" si="61"/>
        <v/>
      </c>
      <c r="AU89" s="93" t="str">
        <f t="shared" si="66"/>
        <v/>
      </c>
      <c r="AV89" s="94" t="str">
        <f t="shared" si="67"/>
        <v/>
      </c>
      <c r="AW89" s="95" t="str">
        <f t="shared" si="68"/>
        <v/>
      </c>
      <c r="AX89" s="248" t="s">
        <v>422</v>
      </c>
      <c r="AY89" s="229" t="s">
        <v>433</v>
      </c>
      <c r="AZ89" s="249">
        <v>0</v>
      </c>
      <c r="BA89" s="267">
        <f t="shared" si="69"/>
        <v>0</v>
      </c>
      <c r="BB89" s="268">
        <f t="shared" si="71"/>
        <v>0</v>
      </c>
      <c r="BC89" s="268">
        <f t="shared" si="71"/>
        <v>0</v>
      </c>
      <c r="BD89" s="268">
        <f t="shared" si="71"/>
        <v>1</v>
      </c>
      <c r="BE89" s="268">
        <f t="shared" si="71"/>
        <v>2</v>
      </c>
      <c r="BF89" s="268">
        <f t="shared" si="71"/>
        <v>3</v>
      </c>
      <c r="BG89" s="268">
        <f t="shared" si="71"/>
        <v>4</v>
      </c>
      <c r="BH89" s="269">
        <f t="shared" si="71"/>
        <v>5</v>
      </c>
      <c r="BI89" s="256">
        <f>IF($AY89=Lookup!$A$2,$AZ89*ROUNDUP(BA89/10,0)+1,
IF($AY89=Lookup!$A$3,($AZ89+1)^AZ89,
IF($AY89=Lookup!$A$4,BA89*$AZ89+1,"Error")))</f>
        <v>1</v>
      </c>
      <c r="BJ89" s="229">
        <f>IF($AY89=Lookup!$A$2,$AZ89*ROUNDUP(BB89/10,0)+1,
IF($AY89=Lookup!$A$3,($AZ89+1)^BA89,
IF($AY89=Lookup!$A$4,BB89*$AZ89+1,"Error")))</f>
        <v>1</v>
      </c>
      <c r="BK89" s="229">
        <f>IF($AY89=Lookup!$A$2,$AZ89*ROUNDUP(BC89/10,0)+1,
IF($AY89=Lookup!$A$3,($AZ89+1)^BB89,
IF($AY89=Lookup!$A$4,BC89*$AZ89+1,"Error")))</f>
        <v>1</v>
      </c>
      <c r="BL89" s="229">
        <f>IF($AY89=Lookup!$A$2,$AZ89*ROUNDUP(BD89/10,0)+1,
IF($AY89=Lookup!$A$3,($AZ89+1)^BC89,
IF($AY89=Lookup!$A$4,BD89*$AZ89+1,"Error")))</f>
        <v>1</v>
      </c>
      <c r="BM89" s="229">
        <f>IF($AY89=Lookup!$A$2,$AZ89*ROUNDUP(BE89/10,0)+1,
IF($AY89=Lookup!$A$3,($AZ89+1)^BD89,
IF($AY89=Lookup!$A$4,BE89*$AZ89+1,"Error")))</f>
        <v>1</v>
      </c>
      <c r="BN89" s="229">
        <f>IF($AY89=Lookup!$A$2,$AZ89*ROUNDUP(BF89/10,0)+1,
IF($AY89=Lookup!$A$3,($AZ89+1)^BE89,
IF($AY89=Lookup!$A$4,BF89*$AZ89+1,"Error")))</f>
        <v>1</v>
      </c>
      <c r="BO89" s="229">
        <f>IF($AY89=Lookup!$A$2,$AZ89*ROUNDUP(BG89/10,0)+1,
IF($AY89=Lookup!$A$3,($AZ89+1)^BF89,
IF($AY89=Lookup!$A$4,BG89*$AZ89+1,"Error")))</f>
        <v>1</v>
      </c>
      <c r="BP89" s="249">
        <f>IF($AY89=Lookup!$A$2,$AZ89*ROUNDUP(BH89/10,0)+1,
IF($AY89=Lookup!$A$3,($AZ89+1)^BG89,
IF($AY89=Lookup!$A$4,BH89*$AZ89+1,"Error")))</f>
        <v>1</v>
      </c>
      <c r="BQ89" s="320"/>
      <c r="BR89" s="321"/>
      <c r="BS89" s="321"/>
      <c r="BT89" s="321"/>
      <c r="BU89" s="321"/>
      <c r="BV89" s="321"/>
      <c r="BW89" s="321"/>
      <c r="BX89" s="277"/>
      <c r="BY89" s="382" t="s">
        <v>292</v>
      </c>
      <c r="BZ89" s="383">
        <f>HLOOKUP($BY89,$AH$6:$AJ$132,ROWS(BZ$6:BZ89),0)</f>
        <v>0</v>
      </c>
      <c r="CA89" s="234">
        <f t="shared" si="70"/>
        <v>0</v>
      </c>
      <c r="CB89" s="96">
        <f t="shared" si="70"/>
        <v>0</v>
      </c>
      <c r="CC89" s="96">
        <f t="shared" si="70"/>
        <v>0</v>
      </c>
      <c r="CD89" s="96">
        <f t="shared" si="70"/>
        <v>0</v>
      </c>
      <c r="CE89" s="96">
        <f t="shared" si="41"/>
        <v>0</v>
      </c>
      <c r="CF89" s="96">
        <f t="shared" si="41"/>
        <v>0</v>
      </c>
      <c r="CG89" s="96">
        <f t="shared" si="41"/>
        <v>0</v>
      </c>
      <c r="CH89" s="286">
        <f t="shared" si="41"/>
        <v>0</v>
      </c>
      <c r="CI89" s="305" t="s">
        <v>293</v>
      </c>
      <c r="CJ89" s="315">
        <v>0.05</v>
      </c>
      <c r="CK89" s="306"/>
      <c r="CL89" s="307" t="str">
        <f>IF($CK89&lt;&gt;"",$CK89,HLOOKUP($CI89,$AU$6:$AW$132,ROWS(CL$6:CL89),0))</f>
        <v/>
      </c>
      <c r="CM89" s="97"/>
      <c r="CN89" s="97"/>
      <c r="CO89" s="97"/>
      <c r="CP89" s="97"/>
      <c r="CQ89" s="97"/>
      <c r="CR89" s="97"/>
      <c r="CS89" s="97"/>
      <c r="CT89" s="98"/>
      <c r="CU89" s="392"/>
    </row>
    <row r="90" spans="1:99" x14ac:dyDescent="0.25">
      <c r="A90" s="81" t="s">
        <v>138</v>
      </c>
      <c r="B90" s="82" t="s">
        <v>183</v>
      </c>
      <c r="C90" s="83" t="s">
        <v>380</v>
      </c>
      <c r="D90" s="84"/>
      <c r="E90" s="85"/>
      <c r="F90" s="85"/>
      <c r="G90" s="85"/>
      <c r="H90" s="85"/>
      <c r="I90" s="85"/>
      <c r="J90" s="85"/>
      <c r="K90" s="85"/>
      <c r="L90" s="85"/>
      <c r="M90" s="201"/>
      <c r="N90" s="560">
        <f t="shared" si="63"/>
        <v>0</v>
      </c>
      <c r="O90" s="561">
        <f t="shared" si="43"/>
        <v>0</v>
      </c>
      <c r="P90" s="561">
        <f t="shared" si="44"/>
        <v>0</v>
      </c>
      <c r="Q90" s="561">
        <f t="shared" si="45"/>
        <v>0</v>
      </c>
      <c r="R90" s="561">
        <f t="shared" si="46"/>
        <v>0</v>
      </c>
      <c r="S90" s="561">
        <f t="shared" si="47"/>
        <v>0</v>
      </c>
      <c r="T90" s="561">
        <f t="shared" si="48"/>
        <v>0</v>
      </c>
      <c r="U90" s="561">
        <f t="shared" si="49"/>
        <v>0</v>
      </c>
      <c r="V90" s="561">
        <f t="shared" si="50"/>
        <v>0</v>
      </c>
      <c r="W90" s="562">
        <f t="shared" si="51"/>
        <v>0</v>
      </c>
      <c r="X90" s="86"/>
      <c r="Y90" s="87"/>
      <c r="Z90" s="87"/>
      <c r="AA90" s="87"/>
      <c r="AB90" s="87"/>
      <c r="AC90" s="87"/>
      <c r="AD90" s="87"/>
      <c r="AE90" s="87"/>
      <c r="AF90" s="87"/>
      <c r="AG90" s="194"/>
      <c r="AH90" s="88">
        <f t="shared" si="64"/>
        <v>0</v>
      </c>
      <c r="AI90" s="89" t="str" cm="1">
        <f t="array" aca="1" ref="AI90" ca="1">IFERROR(IF($AJ$4="N",SSUM(AD90:AF90)/3,SUM(AE90:AG90)/3),"")</f>
        <v/>
      </c>
      <c r="AJ90" s="90">
        <f t="shared" si="65"/>
        <v>0</v>
      </c>
      <c r="AK90" s="91" t="str">
        <f t="shared" si="52"/>
        <v/>
      </c>
      <c r="AL90" s="92" t="str">
        <f t="shared" si="53"/>
        <v/>
      </c>
      <c r="AM90" s="92" t="str">
        <f t="shared" si="54"/>
        <v/>
      </c>
      <c r="AN90" s="92" t="str">
        <f t="shared" si="55"/>
        <v/>
      </c>
      <c r="AO90" s="92" t="str">
        <f t="shared" si="56"/>
        <v/>
      </c>
      <c r="AP90" s="92" t="str">
        <f t="shared" si="57"/>
        <v/>
      </c>
      <c r="AQ90" s="92" t="str">
        <f t="shared" si="58"/>
        <v/>
      </c>
      <c r="AR90" s="92" t="str">
        <f t="shared" si="59"/>
        <v/>
      </c>
      <c r="AS90" s="92" t="str">
        <f t="shared" si="60"/>
        <v/>
      </c>
      <c r="AT90" s="217" t="str">
        <f t="shared" si="61"/>
        <v/>
      </c>
      <c r="AU90" s="93" t="str">
        <f t="shared" si="66"/>
        <v/>
      </c>
      <c r="AV90" s="94" t="str">
        <f t="shared" si="67"/>
        <v/>
      </c>
      <c r="AW90" s="95" t="str">
        <f t="shared" si="68"/>
        <v/>
      </c>
      <c r="AX90" s="248" t="s">
        <v>422</v>
      </c>
      <c r="AY90" s="229" t="s">
        <v>433</v>
      </c>
      <c r="AZ90" s="249">
        <v>0</v>
      </c>
      <c r="BA90" s="267">
        <f t="shared" si="69"/>
        <v>0</v>
      </c>
      <c r="BB90" s="268">
        <f t="shared" si="71"/>
        <v>0</v>
      </c>
      <c r="BC90" s="268">
        <f t="shared" si="71"/>
        <v>0</v>
      </c>
      <c r="BD90" s="268">
        <f t="shared" si="71"/>
        <v>1</v>
      </c>
      <c r="BE90" s="268">
        <f t="shared" si="71"/>
        <v>2</v>
      </c>
      <c r="BF90" s="268">
        <f t="shared" si="71"/>
        <v>3</v>
      </c>
      <c r="BG90" s="268">
        <f t="shared" si="71"/>
        <v>4</v>
      </c>
      <c r="BH90" s="269">
        <f t="shared" si="71"/>
        <v>5</v>
      </c>
      <c r="BI90" s="256">
        <f>IF($AY90=Lookup!$A$2,$AZ90*ROUNDUP(BA90/10,0)+1,
IF($AY90=Lookup!$A$3,($AZ90+1)^AZ90,
IF($AY90=Lookup!$A$4,BA90*$AZ90+1,"Error")))</f>
        <v>1</v>
      </c>
      <c r="BJ90" s="229">
        <f>IF($AY90=Lookup!$A$2,$AZ90*ROUNDUP(BB90/10,0)+1,
IF($AY90=Lookup!$A$3,($AZ90+1)^BA90,
IF($AY90=Lookup!$A$4,BB90*$AZ90+1,"Error")))</f>
        <v>1</v>
      </c>
      <c r="BK90" s="229">
        <f>IF($AY90=Lookup!$A$2,$AZ90*ROUNDUP(BC90/10,0)+1,
IF($AY90=Lookup!$A$3,($AZ90+1)^BB90,
IF($AY90=Lookup!$A$4,BC90*$AZ90+1,"Error")))</f>
        <v>1</v>
      </c>
      <c r="BL90" s="229">
        <f>IF($AY90=Lookup!$A$2,$AZ90*ROUNDUP(BD90/10,0)+1,
IF($AY90=Lookup!$A$3,($AZ90+1)^BC90,
IF($AY90=Lookup!$A$4,BD90*$AZ90+1,"Error")))</f>
        <v>1</v>
      </c>
      <c r="BM90" s="229">
        <f>IF($AY90=Lookup!$A$2,$AZ90*ROUNDUP(BE90/10,0)+1,
IF($AY90=Lookup!$A$3,($AZ90+1)^BD90,
IF($AY90=Lookup!$A$4,BE90*$AZ90+1,"Error")))</f>
        <v>1</v>
      </c>
      <c r="BN90" s="229">
        <f>IF($AY90=Lookup!$A$2,$AZ90*ROUNDUP(BF90/10,0)+1,
IF($AY90=Lookup!$A$3,($AZ90+1)^BE90,
IF($AY90=Lookup!$A$4,BF90*$AZ90+1,"Error")))</f>
        <v>1</v>
      </c>
      <c r="BO90" s="229">
        <f>IF($AY90=Lookup!$A$2,$AZ90*ROUNDUP(BG90/10,0)+1,
IF($AY90=Lookup!$A$3,($AZ90+1)^BF90,
IF($AY90=Lookup!$A$4,BG90*$AZ90+1,"Error")))</f>
        <v>1</v>
      </c>
      <c r="BP90" s="249">
        <f>IF($AY90=Lookup!$A$2,$AZ90*ROUNDUP(BH90/10,0)+1,
IF($AY90=Lookup!$A$3,($AZ90+1)^BG90,
IF($AY90=Lookup!$A$4,BH90*$AZ90+1,"Error")))</f>
        <v>1</v>
      </c>
      <c r="BQ90" s="320"/>
      <c r="BR90" s="321"/>
      <c r="BS90" s="321"/>
      <c r="BT90" s="321"/>
      <c r="BU90" s="321"/>
      <c r="BV90" s="321"/>
      <c r="BW90" s="321"/>
      <c r="BX90" s="277"/>
      <c r="BY90" s="382" t="s">
        <v>292</v>
      </c>
      <c r="BZ90" s="383">
        <f>HLOOKUP($BY90,$AH$6:$AJ$132,ROWS(BZ$6:BZ90),0)</f>
        <v>0</v>
      </c>
      <c r="CA90" s="234">
        <f t="shared" si="70"/>
        <v>0</v>
      </c>
      <c r="CB90" s="96">
        <f t="shared" si="70"/>
        <v>0</v>
      </c>
      <c r="CC90" s="96">
        <f t="shared" si="70"/>
        <v>0</v>
      </c>
      <c r="CD90" s="96">
        <f t="shared" si="70"/>
        <v>0</v>
      </c>
      <c r="CE90" s="96">
        <f t="shared" si="41"/>
        <v>0</v>
      </c>
      <c r="CF90" s="96">
        <f t="shared" si="41"/>
        <v>0</v>
      </c>
      <c r="CG90" s="96">
        <f t="shared" si="41"/>
        <v>0</v>
      </c>
      <c r="CH90" s="286">
        <f t="shared" si="41"/>
        <v>0</v>
      </c>
      <c r="CI90" s="305" t="s">
        <v>293</v>
      </c>
      <c r="CJ90" s="315">
        <v>0.05</v>
      </c>
      <c r="CK90" s="306"/>
      <c r="CL90" s="307" t="str">
        <f>IF($CK90&lt;&gt;"",$CK90,HLOOKUP($CI90,$AU$6:$AW$132,ROWS(CL$6:CL90),0))</f>
        <v/>
      </c>
      <c r="CM90" s="97"/>
      <c r="CN90" s="97"/>
      <c r="CO90" s="97"/>
      <c r="CP90" s="97"/>
      <c r="CQ90" s="97"/>
      <c r="CR90" s="97"/>
      <c r="CS90" s="97"/>
      <c r="CT90" s="98"/>
      <c r="CU90" s="392"/>
    </row>
    <row r="91" spans="1:99" x14ac:dyDescent="0.25">
      <c r="A91" s="81" t="s">
        <v>138</v>
      </c>
      <c r="B91" s="82" t="s">
        <v>185</v>
      </c>
      <c r="C91" s="83" t="s">
        <v>381</v>
      </c>
      <c r="D91" s="84"/>
      <c r="E91" s="85"/>
      <c r="F91" s="85"/>
      <c r="G91" s="85"/>
      <c r="H91" s="85"/>
      <c r="I91" s="85"/>
      <c r="J91" s="85"/>
      <c r="K91" s="85"/>
      <c r="L91" s="85"/>
      <c r="M91" s="201"/>
      <c r="N91" s="560">
        <f t="shared" si="63"/>
        <v>0</v>
      </c>
      <c r="O91" s="561">
        <f t="shared" si="43"/>
        <v>0</v>
      </c>
      <c r="P91" s="561">
        <f t="shared" si="44"/>
        <v>0</v>
      </c>
      <c r="Q91" s="561">
        <f t="shared" si="45"/>
        <v>0</v>
      </c>
      <c r="R91" s="561">
        <f t="shared" si="46"/>
        <v>0</v>
      </c>
      <c r="S91" s="561">
        <f t="shared" si="47"/>
        <v>0</v>
      </c>
      <c r="T91" s="561">
        <f t="shared" si="48"/>
        <v>0</v>
      </c>
      <c r="U91" s="561">
        <f t="shared" si="49"/>
        <v>0</v>
      </c>
      <c r="V91" s="561">
        <f t="shared" si="50"/>
        <v>0</v>
      </c>
      <c r="W91" s="562">
        <f t="shared" si="51"/>
        <v>0</v>
      </c>
      <c r="X91" s="86"/>
      <c r="Y91" s="87"/>
      <c r="Z91" s="87"/>
      <c r="AA91" s="87"/>
      <c r="AB91" s="87"/>
      <c r="AC91" s="87"/>
      <c r="AD91" s="87"/>
      <c r="AE91" s="87"/>
      <c r="AF91" s="87"/>
      <c r="AG91" s="194"/>
      <c r="AH91" s="88">
        <f t="shared" si="64"/>
        <v>0</v>
      </c>
      <c r="AI91" s="89" t="str" cm="1">
        <f t="array" aca="1" ref="AI91" ca="1">IFERROR(IF($AJ$4="N",SSUM(AD91:AF91)/3,SUM(AE91:AG91)/3),"")</f>
        <v/>
      </c>
      <c r="AJ91" s="90">
        <f t="shared" si="65"/>
        <v>0</v>
      </c>
      <c r="AK91" s="91" t="str">
        <f t="shared" si="52"/>
        <v/>
      </c>
      <c r="AL91" s="92" t="str">
        <f t="shared" si="53"/>
        <v/>
      </c>
      <c r="AM91" s="92" t="str">
        <f t="shared" si="54"/>
        <v/>
      </c>
      <c r="AN91" s="92" t="str">
        <f t="shared" si="55"/>
        <v/>
      </c>
      <c r="AO91" s="92" t="str">
        <f t="shared" si="56"/>
        <v/>
      </c>
      <c r="AP91" s="92" t="str">
        <f t="shared" si="57"/>
        <v/>
      </c>
      <c r="AQ91" s="92" t="str">
        <f t="shared" si="58"/>
        <v/>
      </c>
      <c r="AR91" s="92" t="str">
        <f t="shared" si="59"/>
        <v/>
      </c>
      <c r="AS91" s="92" t="str">
        <f t="shared" si="60"/>
        <v/>
      </c>
      <c r="AT91" s="217" t="str">
        <f t="shared" si="61"/>
        <v/>
      </c>
      <c r="AU91" s="93" t="str">
        <f t="shared" si="66"/>
        <v/>
      </c>
      <c r="AV91" s="94" t="str">
        <f t="shared" si="67"/>
        <v/>
      </c>
      <c r="AW91" s="95" t="str">
        <f t="shared" si="68"/>
        <v/>
      </c>
      <c r="AX91" s="248" t="s">
        <v>422</v>
      </c>
      <c r="AY91" s="229" t="s">
        <v>433</v>
      </c>
      <c r="AZ91" s="249">
        <v>0</v>
      </c>
      <c r="BA91" s="267">
        <f t="shared" si="69"/>
        <v>0</v>
      </c>
      <c r="BB91" s="268">
        <f t="shared" si="71"/>
        <v>0</v>
      </c>
      <c r="BC91" s="268">
        <f t="shared" si="71"/>
        <v>0</v>
      </c>
      <c r="BD91" s="268">
        <f t="shared" si="71"/>
        <v>1</v>
      </c>
      <c r="BE91" s="268">
        <f t="shared" si="71"/>
        <v>2</v>
      </c>
      <c r="BF91" s="268">
        <f t="shared" si="71"/>
        <v>3</v>
      </c>
      <c r="BG91" s="268">
        <f t="shared" si="71"/>
        <v>4</v>
      </c>
      <c r="BH91" s="269">
        <f t="shared" si="71"/>
        <v>5</v>
      </c>
      <c r="BI91" s="256">
        <f>IF($AY91=Lookup!$A$2,$AZ91*ROUNDUP(BA91/10,0)+1,
IF($AY91=Lookup!$A$3,($AZ91+1)^AZ91,
IF($AY91=Lookup!$A$4,BA91*$AZ91+1,"Error")))</f>
        <v>1</v>
      </c>
      <c r="BJ91" s="229">
        <f>IF($AY91=Lookup!$A$2,$AZ91*ROUNDUP(BB91/10,0)+1,
IF($AY91=Lookup!$A$3,($AZ91+1)^BA91,
IF($AY91=Lookup!$A$4,BB91*$AZ91+1,"Error")))</f>
        <v>1</v>
      </c>
      <c r="BK91" s="229">
        <f>IF($AY91=Lookup!$A$2,$AZ91*ROUNDUP(BC91/10,0)+1,
IF($AY91=Lookup!$A$3,($AZ91+1)^BB91,
IF($AY91=Lookup!$A$4,BC91*$AZ91+1,"Error")))</f>
        <v>1</v>
      </c>
      <c r="BL91" s="229">
        <f>IF($AY91=Lookup!$A$2,$AZ91*ROUNDUP(BD91/10,0)+1,
IF($AY91=Lookup!$A$3,($AZ91+1)^BC91,
IF($AY91=Lookup!$A$4,BD91*$AZ91+1,"Error")))</f>
        <v>1</v>
      </c>
      <c r="BM91" s="229">
        <f>IF($AY91=Lookup!$A$2,$AZ91*ROUNDUP(BE91/10,0)+1,
IF($AY91=Lookup!$A$3,($AZ91+1)^BD91,
IF($AY91=Lookup!$A$4,BE91*$AZ91+1,"Error")))</f>
        <v>1</v>
      </c>
      <c r="BN91" s="229">
        <f>IF($AY91=Lookup!$A$2,$AZ91*ROUNDUP(BF91/10,0)+1,
IF($AY91=Lookup!$A$3,($AZ91+1)^BE91,
IF($AY91=Lookup!$A$4,BF91*$AZ91+1,"Error")))</f>
        <v>1</v>
      </c>
      <c r="BO91" s="229">
        <f>IF($AY91=Lookup!$A$2,$AZ91*ROUNDUP(BG91/10,0)+1,
IF($AY91=Lookup!$A$3,($AZ91+1)^BF91,
IF($AY91=Lookup!$A$4,BG91*$AZ91+1,"Error")))</f>
        <v>1</v>
      </c>
      <c r="BP91" s="249">
        <f>IF($AY91=Lookup!$A$2,$AZ91*ROUNDUP(BH91/10,0)+1,
IF($AY91=Lookup!$A$3,($AZ91+1)^BG91,
IF($AY91=Lookup!$A$4,BH91*$AZ91+1,"Error")))</f>
        <v>1</v>
      </c>
      <c r="BQ91" s="320"/>
      <c r="BR91" s="321"/>
      <c r="BS91" s="321"/>
      <c r="BT91" s="321"/>
      <c r="BU91" s="321"/>
      <c r="BV91" s="321"/>
      <c r="BW91" s="321"/>
      <c r="BX91" s="277"/>
      <c r="BY91" s="382" t="s">
        <v>292</v>
      </c>
      <c r="BZ91" s="383">
        <f>HLOOKUP($BY91,$AH$6:$AJ$132,ROWS(BZ$6:BZ91),0)</f>
        <v>0</v>
      </c>
      <c r="CA91" s="234">
        <f t="shared" si="70"/>
        <v>0</v>
      </c>
      <c r="CB91" s="96">
        <f t="shared" si="70"/>
        <v>0</v>
      </c>
      <c r="CC91" s="96">
        <f t="shared" si="70"/>
        <v>0</v>
      </c>
      <c r="CD91" s="96">
        <f t="shared" si="70"/>
        <v>0</v>
      </c>
      <c r="CE91" s="96">
        <f t="shared" si="41"/>
        <v>0</v>
      </c>
      <c r="CF91" s="96">
        <f t="shared" si="41"/>
        <v>0</v>
      </c>
      <c r="CG91" s="96">
        <f t="shared" si="41"/>
        <v>0</v>
      </c>
      <c r="CH91" s="286">
        <f t="shared" si="41"/>
        <v>0</v>
      </c>
      <c r="CI91" s="305" t="s">
        <v>293</v>
      </c>
      <c r="CJ91" s="315">
        <v>0.05</v>
      </c>
      <c r="CK91" s="306"/>
      <c r="CL91" s="307" t="str">
        <f>IF($CK91&lt;&gt;"",$CK91,HLOOKUP($CI91,$AU$6:$AW$132,ROWS(CL$6:CL91),0))</f>
        <v/>
      </c>
      <c r="CM91" s="97"/>
      <c r="CN91" s="97"/>
      <c r="CO91" s="97"/>
      <c r="CP91" s="97"/>
      <c r="CQ91" s="97"/>
      <c r="CR91" s="97"/>
      <c r="CS91" s="97"/>
      <c r="CT91" s="98"/>
      <c r="CU91" s="392"/>
    </row>
    <row r="92" spans="1:99" x14ac:dyDescent="0.25">
      <c r="A92" s="81" t="s">
        <v>138</v>
      </c>
      <c r="B92" s="82" t="s">
        <v>187</v>
      </c>
      <c r="C92" s="83" t="s">
        <v>382</v>
      </c>
      <c r="D92" s="84"/>
      <c r="E92" s="85"/>
      <c r="F92" s="85"/>
      <c r="G92" s="85"/>
      <c r="H92" s="85"/>
      <c r="I92" s="85"/>
      <c r="J92" s="85"/>
      <c r="K92" s="85"/>
      <c r="L92" s="85"/>
      <c r="M92" s="201"/>
      <c r="N92" s="560">
        <f t="shared" si="63"/>
        <v>0</v>
      </c>
      <c r="O92" s="561">
        <f t="shared" si="43"/>
        <v>0</v>
      </c>
      <c r="P92" s="561">
        <f t="shared" si="44"/>
        <v>0</v>
      </c>
      <c r="Q92" s="561">
        <f t="shared" si="45"/>
        <v>0</v>
      </c>
      <c r="R92" s="561">
        <f t="shared" si="46"/>
        <v>0</v>
      </c>
      <c r="S92" s="561">
        <f t="shared" si="47"/>
        <v>0</v>
      </c>
      <c r="T92" s="561">
        <f t="shared" si="48"/>
        <v>0</v>
      </c>
      <c r="U92" s="561">
        <f t="shared" si="49"/>
        <v>0</v>
      </c>
      <c r="V92" s="561">
        <f t="shared" si="50"/>
        <v>0</v>
      </c>
      <c r="W92" s="562">
        <f t="shared" si="51"/>
        <v>0</v>
      </c>
      <c r="X92" s="86"/>
      <c r="Y92" s="87"/>
      <c r="Z92" s="87"/>
      <c r="AA92" s="87"/>
      <c r="AB92" s="87"/>
      <c r="AC92" s="87"/>
      <c r="AD92" s="87"/>
      <c r="AE92" s="87"/>
      <c r="AF92" s="87"/>
      <c r="AG92" s="194"/>
      <c r="AH92" s="88">
        <f t="shared" si="64"/>
        <v>0</v>
      </c>
      <c r="AI92" s="89" t="str" cm="1">
        <f t="array" aca="1" ref="AI92" ca="1">IFERROR(IF($AJ$4="N",SSUM(AD92:AF92)/3,SUM(AE92:AG92)/3),"")</f>
        <v/>
      </c>
      <c r="AJ92" s="90">
        <f t="shared" si="65"/>
        <v>0</v>
      </c>
      <c r="AK92" s="91" t="str">
        <f t="shared" si="52"/>
        <v/>
      </c>
      <c r="AL92" s="92" t="str">
        <f t="shared" si="53"/>
        <v/>
      </c>
      <c r="AM92" s="92" t="str">
        <f t="shared" si="54"/>
        <v/>
      </c>
      <c r="AN92" s="92" t="str">
        <f t="shared" si="55"/>
        <v/>
      </c>
      <c r="AO92" s="92" t="str">
        <f t="shared" si="56"/>
        <v/>
      </c>
      <c r="AP92" s="92" t="str">
        <f t="shared" si="57"/>
        <v/>
      </c>
      <c r="AQ92" s="92" t="str">
        <f t="shared" si="58"/>
        <v/>
      </c>
      <c r="AR92" s="92" t="str">
        <f t="shared" si="59"/>
        <v/>
      </c>
      <c r="AS92" s="92" t="str">
        <f t="shared" si="60"/>
        <v/>
      </c>
      <c r="AT92" s="217" t="str">
        <f t="shared" si="61"/>
        <v/>
      </c>
      <c r="AU92" s="93" t="str">
        <f t="shared" si="66"/>
        <v/>
      </c>
      <c r="AV92" s="94" t="str">
        <f t="shared" si="67"/>
        <v/>
      </c>
      <c r="AW92" s="95" t="str">
        <f t="shared" si="68"/>
        <v/>
      </c>
      <c r="AX92" s="248" t="s">
        <v>422</v>
      </c>
      <c r="AY92" s="229" t="s">
        <v>433</v>
      </c>
      <c r="AZ92" s="249">
        <v>0</v>
      </c>
      <c r="BA92" s="267">
        <f t="shared" si="69"/>
        <v>0</v>
      </c>
      <c r="BB92" s="268">
        <f t="shared" si="71"/>
        <v>0</v>
      </c>
      <c r="BC92" s="268">
        <f t="shared" si="71"/>
        <v>0</v>
      </c>
      <c r="BD92" s="268">
        <f t="shared" si="71"/>
        <v>1</v>
      </c>
      <c r="BE92" s="268">
        <f t="shared" si="71"/>
        <v>2</v>
      </c>
      <c r="BF92" s="268">
        <f t="shared" si="71"/>
        <v>3</v>
      </c>
      <c r="BG92" s="268">
        <f t="shared" si="71"/>
        <v>4</v>
      </c>
      <c r="BH92" s="269">
        <f t="shared" si="71"/>
        <v>5</v>
      </c>
      <c r="BI92" s="256">
        <f>IF($AY92=Lookup!$A$2,$AZ92*ROUNDUP(BA92/10,0)+1,
IF($AY92=Lookup!$A$3,($AZ92+1)^AZ92,
IF($AY92=Lookup!$A$4,BA92*$AZ92+1,"Error")))</f>
        <v>1</v>
      </c>
      <c r="BJ92" s="229">
        <f>IF($AY92=Lookup!$A$2,$AZ92*ROUNDUP(BB92/10,0)+1,
IF($AY92=Lookup!$A$3,($AZ92+1)^BA92,
IF($AY92=Lookup!$A$4,BB92*$AZ92+1,"Error")))</f>
        <v>1</v>
      </c>
      <c r="BK92" s="229">
        <f>IF($AY92=Lookup!$A$2,$AZ92*ROUNDUP(BC92/10,0)+1,
IF($AY92=Lookup!$A$3,($AZ92+1)^BB92,
IF($AY92=Lookup!$A$4,BC92*$AZ92+1,"Error")))</f>
        <v>1</v>
      </c>
      <c r="BL92" s="229">
        <f>IF($AY92=Lookup!$A$2,$AZ92*ROUNDUP(BD92/10,0)+1,
IF($AY92=Lookup!$A$3,($AZ92+1)^BC92,
IF($AY92=Lookup!$A$4,BD92*$AZ92+1,"Error")))</f>
        <v>1</v>
      </c>
      <c r="BM92" s="229">
        <f>IF($AY92=Lookup!$A$2,$AZ92*ROUNDUP(BE92/10,0)+1,
IF($AY92=Lookup!$A$3,($AZ92+1)^BD92,
IF($AY92=Lookup!$A$4,BE92*$AZ92+1,"Error")))</f>
        <v>1</v>
      </c>
      <c r="BN92" s="229">
        <f>IF($AY92=Lookup!$A$2,$AZ92*ROUNDUP(BF92/10,0)+1,
IF($AY92=Lookup!$A$3,($AZ92+1)^BE92,
IF($AY92=Lookup!$A$4,BF92*$AZ92+1,"Error")))</f>
        <v>1</v>
      </c>
      <c r="BO92" s="229">
        <f>IF($AY92=Lookup!$A$2,$AZ92*ROUNDUP(BG92/10,0)+1,
IF($AY92=Lookup!$A$3,($AZ92+1)^BF92,
IF($AY92=Lookup!$A$4,BG92*$AZ92+1,"Error")))</f>
        <v>1</v>
      </c>
      <c r="BP92" s="249">
        <f>IF($AY92=Lookup!$A$2,$AZ92*ROUNDUP(BH92/10,0)+1,
IF($AY92=Lookup!$A$3,($AZ92+1)^BG92,
IF($AY92=Lookup!$A$4,BH92*$AZ92+1,"Error")))</f>
        <v>1</v>
      </c>
      <c r="BQ92" s="320"/>
      <c r="BR92" s="321"/>
      <c r="BS92" s="321"/>
      <c r="BT92" s="321"/>
      <c r="BU92" s="321"/>
      <c r="BV92" s="321"/>
      <c r="BW92" s="321"/>
      <c r="BX92" s="277"/>
      <c r="BY92" s="382" t="s">
        <v>292</v>
      </c>
      <c r="BZ92" s="383">
        <f>HLOOKUP($BY92,$AH$6:$AJ$132,ROWS(BZ$6:BZ92),0)</f>
        <v>0</v>
      </c>
      <c r="CA92" s="234">
        <f t="shared" si="70"/>
        <v>0</v>
      </c>
      <c r="CB92" s="96">
        <f t="shared" si="70"/>
        <v>0</v>
      </c>
      <c r="CC92" s="96">
        <f t="shared" si="70"/>
        <v>0</v>
      </c>
      <c r="CD92" s="96">
        <f t="shared" si="70"/>
        <v>0</v>
      </c>
      <c r="CE92" s="96">
        <f t="shared" si="41"/>
        <v>0</v>
      </c>
      <c r="CF92" s="96">
        <f t="shared" si="41"/>
        <v>0</v>
      </c>
      <c r="CG92" s="96">
        <f t="shared" si="41"/>
        <v>0</v>
      </c>
      <c r="CH92" s="286">
        <f t="shared" si="41"/>
        <v>0</v>
      </c>
      <c r="CI92" s="305" t="s">
        <v>293</v>
      </c>
      <c r="CJ92" s="315">
        <v>0.05</v>
      </c>
      <c r="CK92" s="306"/>
      <c r="CL92" s="307" t="str">
        <f>IF($CK92&lt;&gt;"",$CK92,HLOOKUP($CI92,$AU$6:$AW$132,ROWS(CL$6:CL92),0))</f>
        <v/>
      </c>
      <c r="CM92" s="97"/>
      <c r="CN92" s="97"/>
      <c r="CO92" s="97"/>
      <c r="CP92" s="97"/>
      <c r="CQ92" s="97"/>
      <c r="CR92" s="97"/>
      <c r="CS92" s="97"/>
      <c r="CT92" s="98"/>
      <c r="CU92" s="392"/>
    </row>
    <row r="93" spans="1:99" x14ac:dyDescent="0.25">
      <c r="A93" s="81" t="s">
        <v>138</v>
      </c>
      <c r="B93" s="82" t="s">
        <v>189</v>
      </c>
      <c r="C93" s="83" t="s">
        <v>383</v>
      </c>
      <c r="D93" s="84"/>
      <c r="E93" s="85"/>
      <c r="F93" s="85"/>
      <c r="G93" s="85"/>
      <c r="H93" s="85"/>
      <c r="I93" s="85"/>
      <c r="J93" s="85"/>
      <c r="K93" s="85"/>
      <c r="L93" s="85"/>
      <c r="M93" s="201"/>
      <c r="N93" s="560">
        <f t="shared" si="63"/>
        <v>0</v>
      </c>
      <c r="O93" s="561">
        <f t="shared" si="43"/>
        <v>0</v>
      </c>
      <c r="P93" s="561">
        <f t="shared" si="44"/>
        <v>0</v>
      </c>
      <c r="Q93" s="561">
        <f t="shared" si="45"/>
        <v>0</v>
      </c>
      <c r="R93" s="561">
        <f t="shared" si="46"/>
        <v>0</v>
      </c>
      <c r="S93" s="561">
        <f t="shared" si="47"/>
        <v>0</v>
      </c>
      <c r="T93" s="561">
        <f t="shared" si="48"/>
        <v>0</v>
      </c>
      <c r="U93" s="561">
        <f t="shared" si="49"/>
        <v>0</v>
      </c>
      <c r="V93" s="561">
        <f t="shared" si="50"/>
        <v>0</v>
      </c>
      <c r="W93" s="562">
        <f t="shared" si="51"/>
        <v>0</v>
      </c>
      <c r="X93" s="86"/>
      <c r="Y93" s="87"/>
      <c r="Z93" s="87"/>
      <c r="AA93" s="87"/>
      <c r="AB93" s="87"/>
      <c r="AC93" s="87"/>
      <c r="AD93" s="87"/>
      <c r="AE93" s="87"/>
      <c r="AF93" s="87"/>
      <c r="AG93" s="194"/>
      <c r="AH93" s="88">
        <f t="shared" si="64"/>
        <v>0</v>
      </c>
      <c r="AI93" s="89" t="str" cm="1">
        <f t="array" aca="1" ref="AI93" ca="1">IFERROR(IF($AJ$4="N",SSUM(AD93:AF93)/3,SUM(AE93:AG93)/3),"")</f>
        <v/>
      </c>
      <c r="AJ93" s="90">
        <f t="shared" si="65"/>
        <v>0</v>
      </c>
      <c r="AK93" s="91" t="str">
        <f t="shared" si="52"/>
        <v/>
      </c>
      <c r="AL93" s="92" t="str">
        <f t="shared" si="53"/>
        <v/>
      </c>
      <c r="AM93" s="92" t="str">
        <f t="shared" si="54"/>
        <v/>
      </c>
      <c r="AN93" s="92" t="str">
        <f t="shared" si="55"/>
        <v/>
      </c>
      <c r="AO93" s="92" t="str">
        <f t="shared" si="56"/>
        <v/>
      </c>
      <c r="AP93" s="92" t="str">
        <f t="shared" si="57"/>
        <v/>
      </c>
      <c r="AQ93" s="92" t="str">
        <f t="shared" si="58"/>
        <v/>
      </c>
      <c r="AR93" s="92" t="str">
        <f t="shared" si="59"/>
        <v/>
      </c>
      <c r="AS93" s="92" t="str">
        <f t="shared" si="60"/>
        <v/>
      </c>
      <c r="AT93" s="217" t="str">
        <f t="shared" si="61"/>
        <v/>
      </c>
      <c r="AU93" s="93" t="str">
        <f t="shared" si="66"/>
        <v/>
      </c>
      <c r="AV93" s="94" t="str">
        <f t="shared" si="67"/>
        <v/>
      </c>
      <c r="AW93" s="95" t="str">
        <f t="shared" si="68"/>
        <v/>
      </c>
      <c r="AX93" s="248" t="s">
        <v>422</v>
      </c>
      <c r="AY93" s="229" t="s">
        <v>433</v>
      </c>
      <c r="AZ93" s="249">
        <v>0</v>
      </c>
      <c r="BA93" s="267">
        <f t="shared" si="69"/>
        <v>0</v>
      </c>
      <c r="BB93" s="268">
        <f t="shared" si="71"/>
        <v>0</v>
      </c>
      <c r="BC93" s="268">
        <f t="shared" si="71"/>
        <v>0</v>
      </c>
      <c r="BD93" s="268">
        <f t="shared" si="71"/>
        <v>1</v>
      </c>
      <c r="BE93" s="268">
        <f t="shared" si="71"/>
        <v>2</v>
      </c>
      <c r="BF93" s="268">
        <f t="shared" si="71"/>
        <v>3</v>
      </c>
      <c r="BG93" s="268">
        <f t="shared" si="71"/>
        <v>4</v>
      </c>
      <c r="BH93" s="269">
        <f t="shared" si="71"/>
        <v>5</v>
      </c>
      <c r="BI93" s="256">
        <f>IF($AY93=Lookup!$A$2,$AZ93*ROUNDUP(BA93/10,0)+1,
IF($AY93=Lookup!$A$3,($AZ93+1)^AZ93,
IF($AY93=Lookup!$A$4,BA93*$AZ93+1,"Error")))</f>
        <v>1</v>
      </c>
      <c r="BJ93" s="229">
        <f>IF($AY93=Lookup!$A$2,$AZ93*ROUNDUP(BB93/10,0)+1,
IF($AY93=Lookup!$A$3,($AZ93+1)^BA93,
IF($AY93=Lookup!$A$4,BB93*$AZ93+1,"Error")))</f>
        <v>1</v>
      </c>
      <c r="BK93" s="229">
        <f>IF($AY93=Lookup!$A$2,$AZ93*ROUNDUP(BC93/10,0)+1,
IF($AY93=Lookup!$A$3,($AZ93+1)^BB93,
IF($AY93=Lookup!$A$4,BC93*$AZ93+1,"Error")))</f>
        <v>1</v>
      </c>
      <c r="BL93" s="229">
        <f>IF($AY93=Lookup!$A$2,$AZ93*ROUNDUP(BD93/10,0)+1,
IF($AY93=Lookup!$A$3,($AZ93+1)^BC93,
IF($AY93=Lookup!$A$4,BD93*$AZ93+1,"Error")))</f>
        <v>1</v>
      </c>
      <c r="BM93" s="229">
        <f>IF($AY93=Lookup!$A$2,$AZ93*ROUNDUP(BE93/10,0)+1,
IF($AY93=Lookup!$A$3,($AZ93+1)^BD93,
IF($AY93=Lookup!$A$4,BE93*$AZ93+1,"Error")))</f>
        <v>1</v>
      </c>
      <c r="BN93" s="229">
        <f>IF($AY93=Lookup!$A$2,$AZ93*ROUNDUP(BF93/10,0)+1,
IF($AY93=Lookup!$A$3,($AZ93+1)^BE93,
IF($AY93=Lookup!$A$4,BF93*$AZ93+1,"Error")))</f>
        <v>1</v>
      </c>
      <c r="BO93" s="229">
        <f>IF($AY93=Lookup!$A$2,$AZ93*ROUNDUP(BG93/10,0)+1,
IF($AY93=Lookup!$A$3,($AZ93+1)^BF93,
IF($AY93=Lookup!$A$4,BG93*$AZ93+1,"Error")))</f>
        <v>1</v>
      </c>
      <c r="BP93" s="249">
        <f>IF($AY93=Lookup!$A$2,$AZ93*ROUNDUP(BH93/10,0)+1,
IF($AY93=Lookup!$A$3,($AZ93+1)^BG93,
IF($AY93=Lookup!$A$4,BH93*$AZ93+1,"Error")))</f>
        <v>1</v>
      </c>
      <c r="BQ93" s="320"/>
      <c r="BR93" s="321"/>
      <c r="BS93" s="321"/>
      <c r="BT93" s="321"/>
      <c r="BU93" s="321"/>
      <c r="BV93" s="321"/>
      <c r="BW93" s="321"/>
      <c r="BX93" s="277"/>
      <c r="BY93" s="382" t="s">
        <v>292</v>
      </c>
      <c r="BZ93" s="383">
        <f>HLOOKUP($BY93,$AH$6:$AJ$132,ROWS(BZ$6:BZ93),0)</f>
        <v>0</v>
      </c>
      <c r="CA93" s="234">
        <f t="shared" si="70"/>
        <v>0</v>
      </c>
      <c r="CB93" s="96">
        <f t="shared" si="70"/>
        <v>0</v>
      </c>
      <c r="CC93" s="96">
        <f t="shared" si="70"/>
        <v>0</v>
      </c>
      <c r="CD93" s="96">
        <f t="shared" si="70"/>
        <v>0</v>
      </c>
      <c r="CE93" s="96">
        <f t="shared" si="41"/>
        <v>0</v>
      </c>
      <c r="CF93" s="96">
        <f t="shared" si="41"/>
        <v>0</v>
      </c>
      <c r="CG93" s="96">
        <f t="shared" si="41"/>
        <v>0</v>
      </c>
      <c r="CH93" s="286">
        <f t="shared" si="41"/>
        <v>0</v>
      </c>
      <c r="CI93" s="305" t="s">
        <v>293</v>
      </c>
      <c r="CJ93" s="315">
        <v>0.05</v>
      </c>
      <c r="CK93" s="306"/>
      <c r="CL93" s="307" t="str">
        <f>IF($CK93&lt;&gt;"",$CK93,HLOOKUP($CI93,$AU$6:$AW$132,ROWS(CL$6:CL93),0))</f>
        <v/>
      </c>
      <c r="CM93" s="97"/>
      <c r="CN93" s="97"/>
      <c r="CO93" s="97"/>
      <c r="CP93" s="97"/>
      <c r="CQ93" s="97"/>
      <c r="CR93" s="97"/>
      <c r="CS93" s="97"/>
      <c r="CT93" s="98"/>
      <c r="CU93" s="392"/>
    </row>
    <row r="94" spans="1:99" x14ac:dyDescent="0.25">
      <c r="A94" s="81" t="s">
        <v>138</v>
      </c>
      <c r="B94" s="82" t="s">
        <v>191</v>
      </c>
      <c r="C94" s="83" t="s">
        <v>384</v>
      </c>
      <c r="D94" s="84"/>
      <c r="E94" s="85"/>
      <c r="F94" s="85"/>
      <c r="G94" s="85"/>
      <c r="H94" s="85"/>
      <c r="I94" s="85"/>
      <c r="J94" s="85"/>
      <c r="K94" s="85"/>
      <c r="L94" s="85"/>
      <c r="M94" s="201"/>
      <c r="N94" s="560">
        <f t="shared" si="63"/>
        <v>0</v>
      </c>
      <c r="O94" s="561">
        <f t="shared" si="43"/>
        <v>0</v>
      </c>
      <c r="P94" s="561">
        <f t="shared" si="44"/>
        <v>0</v>
      </c>
      <c r="Q94" s="561">
        <f t="shared" si="45"/>
        <v>0</v>
      </c>
      <c r="R94" s="561">
        <f t="shared" si="46"/>
        <v>0</v>
      </c>
      <c r="S94" s="561">
        <f t="shared" si="47"/>
        <v>0</v>
      </c>
      <c r="T94" s="561">
        <f t="shared" si="48"/>
        <v>0</v>
      </c>
      <c r="U94" s="561">
        <f t="shared" si="49"/>
        <v>0</v>
      </c>
      <c r="V94" s="561">
        <f t="shared" si="50"/>
        <v>0</v>
      </c>
      <c r="W94" s="562">
        <f t="shared" si="51"/>
        <v>0</v>
      </c>
      <c r="X94" s="86"/>
      <c r="Y94" s="87"/>
      <c r="Z94" s="87"/>
      <c r="AA94" s="87"/>
      <c r="AB94" s="87"/>
      <c r="AC94" s="87"/>
      <c r="AD94" s="87"/>
      <c r="AE94" s="87"/>
      <c r="AF94" s="87"/>
      <c r="AG94" s="194"/>
      <c r="AH94" s="88">
        <f t="shared" si="64"/>
        <v>0</v>
      </c>
      <c r="AI94" s="89" t="str" cm="1">
        <f t="array" aca="1" ref="AI94" ca="1">IFERROR(IF($AJ$4="N",SSUM(AD94:AF94)/3,SUM(AE94:AG94)/3),"")</f>
        <v/>
      </c>
      <c r="AJ94" s="90">
        <f t="shared" si="65"/>
        <v>0</v>
      </c>
      <c r="AK94" s="91" t="str">
        <f t="shared" si="52"/>
        <v/>
      </c>
      <c r="AL94" s="92" t="str">
        <f t="shared" si="53"/>
        <v/>
      </c>
      <c r="AM94" s="92" t="str">
        <f t="shared" si="54"/>
        <v/>
      </c>
      <c r="AN94" s="92" t="str">
        <f t="shared" si="55"/>
        <v/>
      </c>
      <c r="AO94" s="92" t="str">
        <f t="shared" si="56"/>
        <v/>
      </c>
      <c r="AP94" s="92" t="str">
        <f t="shared" si="57"/>
        <v/>
      </c>
      <c r="AQ94" s="92" t="str">
        <f t="shared" si="58"/>
        <v/>
      </c>
      <c r="AR94" s="92" t="str">
        <f t="shared" si="59"/>
        <v/>
      </c>
      <c r="AS94" s="92" t="str">
        <f t="shared" si="60"/>
        <v/>
      </c>
      <c r="AT94" s="217" t="str">
        <f t="shared" si="61"/>
        <v/>
      </c>
      <c r="AU94" s="93" t="str">
        <f t="shared" si="66"/>
        <v/>
      </c>
      <c r="AV94" s="94" t="str">
        <f t="shared" si="67"/>
        <v/>
      </c>
      <c r="AW94" s="95" t="str">
        <f t="shared" si="68"/>
        <v/>
      </c>
      <c r="AX94" s="248" t="s">
        <v>422</v>
      </c>
      <c r="AY94" s="229" t="s">
        <v>433</v>
      </c>
      <c r="AZ94" s="249">
        <v>0</v>
      </c>
      <c r="BA94" s="267">
        <f t="shared" si="69"/>
        <v>0</v>
      </c>
      <c r="BB94" s="268">
        <f t="shared" si="71"/>
        <v>0</v>
      </c>
      <c r="BC94" s="268">
        <f t="shared" si="71"/>
        <v>0</v>
      </c>
      <c r="BD94" s="268">
        <f t="shared" si="71"/>
        <v>1</v>
      </c>
      <c r="BE94" s="268">
        <f t="shared" si="71"/>
        <v>2</v>
      </c>
      <c r="BF94" s="268">
        <f t="shared" si="71"/>
        <v>3</v>
      </c>
      <c r="BG94" s="268">
        <f t="shared" si="71"/>
        <v>4</v>
      </c>
      <c r="BH94" s="269">
        <f t="shared" si="71"/>
        <v>5</v>
      </c>
      <c r="BI94" s="256">
        <f>IF($AY94=Lookup!$A$2,$AZ94*ROUNDUP(BA94/10,0)+1,
IF($AY94=Lookup!$A$3,($AZ94+1)^AZ94,
IF($AY94=Lookup!$A$4,BA94*$AZ94+1,"Error")))</f>
        <v>1</v>
      </c>
      <c r="BJ94" s="229">
        <f>IF($AY94=Lookup!$A$2,$AZ94*ROUNDUP(BB94/10,0)+1,
IF($AY94=Lookup!$A$3,($AZ94+1)^BA94,
IF($AY94=Lookup!$A$4,BB94*$AZ94+1,"Error")))</f>
        <v>1</v>
      </c>
      <c r="BK94" s="229">
        <f>IF($AY94=Lookup!$A$2,$AZ94*ROUNDUP(BC94/10,0)+1,
IF($AY94=Lookup!$A$3,($AZ94+1)^BB94,
IF($AY94=Lookup!$A$4,BC94*$AZ94+1,"Error")))</f>
        <v>1</v>
      </c>
      <c r="BL94" s="229">
        <f>IF($AY94=Lookup!$A$2,$AZ94*ROUNDUP(BD94/10,0)+1,
IF($AY94=Lookup!$A$3,($AZ94+1)^BC94,
IF($AY94=Lookup!$A$4,BD94*$AZ94+1,"Error")))</f>
        <v>1</v>
      </c>
      <c r="BM94" s="229">
        <f>IF($AY94=Lookup!$A$2,$AZ94*ROUNDUP(BE94/10,0)+1,
IF($AY94=Lookup!$A$3,($AZ94+1)^BD94,
IF($AY94=Lookup!$A$4,BE94*$AZ94+1,"Error")))</f>
        <v>1</v>
      </c>
      <c r="BN94" s="229">
        <f>IF($AY94=Lookup!$A$2,$AZ94*ROUNDUP(BF94/10,0)+1,
IF($AY94=Lookup!$A$3,($AZ94+1)^BE94,
IF($AY94=Lookup!$A$4,BF94*$AZ94+1,"Error")))</f>
        <v>1</v>
      </c>
      <c r="BO94" s="229">
        <f>IF($AY94=Lookup!$A$2,$AZ94*ROUNDUP(BG94/10,0)+1,
IF($AY94=Lookup!$A$3,($AZ94+1)^BF94,
IF($AY94=Lookup!$A$4,BG94*$AZ94+1,"Error")))</f>
        <v>1</v>
      </c>
      <c r="BP94" s="249">
        <f>IF($AY94=Lookup!$A$2,$AZ94*ROUNDUP(BH94/10,0)+1,
IF($AY94=Lookup!$A$3,($AZ94+1)^BG94,
IF($AY94=Lookup!$A$4,BH94*$AZ94+1,"Error")))</f>
        <v>1</v>
      </c>
      <c r="BQ94" s="320"/>
      <c r="BR94" s="321"/>
      <c r="BS94" s="321"/>
      <c r="BT94" s="321"/>
      <c r="BU94" s="321"/>
      <c r="BV94" s="321"/>
      <c r="BW94" s="321"/>
      <c r="BX94" s="277"/>
      <c r="BY94" s="382" t="s">
        <v>292</v>
      </c>
      <c r="BZ94" s="383">
        <f>HLOOKUP($BY94,$AH$6:$AJ$132,ROWS(BZ$6:BZ94),0)</f>
        <v>0</v>
      </c>
      <c r="CA94" s="234">
        <f t="shared" si="70"/>
        <v>0</v>
      </c>
      <c r="CB94" s="96">
        <f t="shared" si="70"/>
        <v>0</v>
      </c>
      <c r="CC94" s="96">
        <f t="shared" si="70"/>
        <v>0</v>
      </c>
      <c r="CD94" s="96">
        <f t="shared" si="70"/>
        <v>0</v>
      </c>
      <c r="CE94" s="96">
        <f t="shared" si="41"/>
        <v>0</v>
      </c>
      <c r="CF94" s="96">
        <f t="shared" si="41"/>
        <v>0</v>
      </c>
      <c r="CG94" s="96">
        <f t="shared" si="41"/>
        <v>0</v>
      </c>
      <c r="CH94" s="286">
        <f t="shared" si="41"/>
        <v>0</v>
      </c>
      <c r="CI94" s="305" t="s">
        <v>293</v>
      </c>
      <c r="CJ94" s="315">
        <v>0.05</v>
      </c>
      <c r="CK94" s="306"/>
      <c r="CL94" s="307" t="str">
        <f>IF($CK94&lt;&gt;"",$CK94,HLOOKUP($CI94,$AU$6:$AW$132,ROWS(CL$6:CL94),0))</f>
        <v/>
      </c>
      <c r="CM94" s="97"/>
      <c r="CN94" s="97"/>
      <c r="CO94" s="97"/>
      <c r="CP94" s="97"/>
      <c r="CQ94" s="97"/>
      <c r="CR94" s="97"/>
      <c r="CS94" s="97"/>
      <c r="CT94" s="98"/>
      <c r="CU94" s="392"/>
    </row>
    <row r="95" spans="1:99" ht="15.75" thickBot="1" x14ac:dyDescent="0.3">
      <c r="A95" s="100" t="s">
        <v>138</v>
      </c>
      <c r="B95" s="101" t="s">
        <v>385</v>
      </c>
      <c r="C95" s="102" t="s">
        <v>386</v>
      </c>
      <c r="D95" s="103"/>
      <c r="E95" s="104"/>
      <c r="F95" s="104"/>
      <c r="G95" s="104"/>
      <c r="H95" s="104"/>
      <c r="I95" s="104"/>
      <c r="J95" s="104"/>
      <c r="K95" s="104"/>
      <c r="L95" s="104"/>
      <c r="M95" s="202"/>
      <c r="N95" s="563">
        <f t="shared" si="63"/>
        <v>0</v>
      </c>
      <c r="O95" s="564">
        <f t="shared" si="43"/>
        <v>0</v>
      </c>
      <c r="P95" s="564">
        <f t="shared" si="44"/>
        <v>0</v>
      </c>
      <c r="Q95" s="564">
        <f t="shared" si="45"/>
        <v>0</v>
      </c>
      <c r="R95" s="564">
        <f t="shared" si="46"/>
        <v>0</v>
      </c>
      <c r="S95" s="564">
        <f t="shared" si="47"/>
        <v>0</v>
      </c>
      <c r="T95" s="564">
        <f t="shared" si="48"/>
        <v>0</v>
      </c>
      <c r="U95" s="564">
        <f t="shared" si="49"/>
        <v>0</v>
      </c>
      <c r="V95" s="564">
        <f t="shared" si="50"/>
        <v>0</v>
      </c>
      <c r="W95" s="565">
        <f t="shared" si="51"/>
        <v>0</v>
      </c>
      <c r="X95" s="105"/>
      <c r="Y95" s="106"/>
      <c r="Z95" s="106"/>
      <c r="AA95" s="106"/>
      <c r="AB95" s="106"/>
      <c r="AC95" s="106"/>
      <c r="AD95" s="106"/>
      <c r="AE95" s="106"/>
      <c r="AF95" s="106"/>
      <c r="AG95" s="195"/>
      <c r="AH95" s="107">
        <f t="shared" si="64"/>
        <v>0</v>
      </c>
      <c r="AI95" s="108" t="str" cm="1">
        <f t="array" aca="1" ref="AI95" ca="1">IFERROR(IF($AJ$4="N",SSUM(AD95:AF95)/3,SUM(AE95:AG95)/3),"")</f>
        <v/>
      </c>
      <c r="AJ95" s="109">
        <f t="shared" si="65"/>
        <v>0</v>
      </c>
      <c r="AK95" s="110" t="str">
        <f t="shared" si="52"/>
        <v/>
      </c>
      <c r="AL95" s="111" t="str">
        <f t="shared" si="53"/>
        <v/>
      </c>
      <c r="AM95" s="111" t="str">
        <f t="shared" si="54"/>
        <v/>
      </c>
      <c r="AN95" s="111" t="str">
        <f t="shared" si="55"/>
        <v/>
      </c>
      <c r="AO95" s="111" t="str">
        <f t="shared" si="56"/>
        <v/>
      </c>
      <c r="AP95" s="111" t="str">
        <f t="shared" si="57"/>
        <v/>
      </c>
      <c r="AQ95" s="111" t="str">
        <f t="shared" si="58"/>
        <v/>
      </c>
      <c r="AR95" s="111" t="str">
        <f t="shared" si="59"/>
        <v/>
      </c>
      <c r="AS95" s="111" t="str">
        <f t="shared" si="60"/>
        <v/>
      </c>
      <c r="AT95" s="218" t="str">
        <f t="shared" si="61"/>
        <v/>
      </c>
      <c r="AU95" s="112" t="str">
        <f t="shared" si="66"/>
        <v/>
      </c>
      <c r="AV95" s="113" t="str">
        <f t="shared" si="67"/>
        <v/>
      </c>
      <c r="AW95" s="114" t="str">
        <f t="shared" si="68"/>
        <v/>
      </c>
      <c r="AX95" s="250" t="s">
        <v>422</v>
      </c>
      <c r="AY95" s="230" t="s">
        <v>433</v>
      </c>
      <c r="AZ95" s="251">
        <v>0</v>
      </c>
      <c r="BA95" s="270">
        <f t="shared" si="69"/>
        <v>0</v>
      </c>
      <c r="BB95" s="271">
        <f t="shared" si="71"/>
        <v>0</v>
      </c>
      <c r="BC95" s="271">
        <f t="shared" si="71"/>
        <v>0</v>
      </c>
      <c r="BD95" s="271">
        <f t="shared" si="71"/>
        <v>1</v>
      </c>
      <c r="BE95" s="271">
        <f t="shared" si="71"/>
        <v>2</v>
      </c>
      <c r="BF95" s="271">
        <f t="shared" si="71"/>
        <v>3</v>
      </c>
      <c r="BG95" s="271">
        <f t="shared" si="71"/>
        <v>4</v>
      </c>
      <c r="BH95" s="272">
        <f t="shared" si="71"/>
        <v>5</v>
      </c>
      <c r="BI95" s="257">
        <f>IF($AY95=Lookup!$A$2,$AZ95*ROUNDUP(BA95/10,0)+1,
IF($AY95=Lookup!$A$3,($AZ95+1)^AZ95,
IF($AY95=Lookup!$A$4,BA95*$AZ95+1,"Error")))</f>
        <v>1</v>
      </c>
      <c r="BJ95" s="230">
        <f>IF($AY95=Lookup!$A$2,$AZ95*ROUNDUP(BB95/10,0)+1,
IF($AY95=Lookup!$A$3,($AZ95+1)^BA95,
IF($AY95=Lookup!$A$4,BB95*$AZ95+1,"Error")))</f>
        <v>1</v>
      </c>
      <c r="BK95" s="230">
        <f>IF($AY95=Lookup!$A$2,$AZ95*ROUNDUP(BC95/10,0)+1,
IF($AY95=Lookup!$A$3,($AZ95+1)^BB95,
IF($AY95=Lookup!$A$4,BC95*$AZ95+1,"Error")))</f>
        <v>1</v>
      </c>
      <c r="BL95" s="230">
        <f>IF($AY95=Lookup!$A$2,$AZ95*ROUNDUP(BD95/10,0)+1,
IF($AY95=Lookup!$A$3,($AZ95+1)^BC95,
IF($AY95=Lookup!$A$4,BD95*$AZ95+1,"Error")))</f>
        <v>1</v>
      </c>
      <c r="BM95" s="230">
        <f>IF($AY95=Lookup!$A$2,$AZ95*ROUNDUP(BE95/10,0)+1,
IF($AY95=Lookup!$A$3,($AZ95+1)^BD95,
IF($AY95=Lookup!$A$4,BE95*$AZ95+1,"Error")))</f>
        <v>1</v>
      </c>
      <c r="BN95" s="230">
        <f>IF($AY95=Lookup!$A$2,$AZ95*ROUNDUP(BF95/10,0)+1,
IF($AY95=Lookup!$A$3,($AZ95+1)^BE95,
IF($AY95=Lookup!$A$4,BF95*$AZ95+1,"Error")))</f>
        <v>1</v>
      </c>
      <c r="BO95" s="230">
        <f>IF($AY95=Lookup!$A$2,$AZ95*ROUNDUP(BG95/10,0)+1,
IF($AY95=Lookup!$A$3,($AZ95+1)^BF95,
IF($AY95=Lookup!$A$4,BG95*$AZ95+1,"Error")))</f>
        <v>1</v>
      </c>
      <c r="BP95" s="251">
        <f>IF($AY95=Lookup!$A$2,$AZ95*ROUNDUP(BH95/10,0)+1,
IF($AY95=Lookup!$A$3,($AZ95+1)^BG95,
IF($AY95=Lookup!$A$4,BH95*$AZ95+1,"Error")))</f>
        <v>1</v>
      </c>
      <c r="BQ95" s="322"/>
      <c r="BR95" s="323"/>
      <c r="BS95" s="323"/>
      <c r="BT95" s="323"/>
      <c r="BU95" s="323"/>
      <c r="BV95" s="323"/>
      <c r="BW95" s="323"/>
      <c r="BX95" s="278"/>
      <c r="BY95" s="384" t="s">
        <v>292</v>
      </c>
      <c r="BZ95" s="385">
        <f>HLOOKUP($BY95,$AH$6:$AJ$132,ROWS(BZ$6:BZ95),0)</f>
        <v>0</v>
      </c>
      <c r="CA95" s="240">
        <f t="shared" si="70"/>
        <v>0</v>
      </c>
      <c r="CB95" s="141">
        <f t="shared" si="70"/>
        <v>0</v>
      </c>
      <c r="CC95" s="141">
        <f t="shared" si="70"/>
        <v>0</v>
      </c>
      <c r="CD95" s="141">
        <f t="shared" si="70"/>
        <v>0</v>
      </c>
      <c r="CE95" s="141">
        <f t="shared" si="41"/>
        <v>0</v>
      </c>
      <c r="CF95" s="141">
        <f t="shared" si="41"/>
        <v>0</v>
      </c>
      <c r="CG95" s="141">
        <f t="shared" si="41"/>
        <v>0</v>
      </c>
      <c r="CH95" s="292">
        <f t="shared" si="41"/>
        <v>0</v>
      </c>
      <c r="CI95" s="308" t="s">
        <v>293</v>
      </c>
      <c r="CJ95" s="316">
        <v>0.05</v>
      </c>
      <c r="CK95" s="309"/>
      <c r="CL95" s="310" t="str">
        <f>IF($CK95&lt;&gt;"",$CK95,HLOOKUP($CI95,$AU$6:$AW$132,ROWS(CL$6:CL95),0))</f>
        <v/>
      </c>
      <c r="CM95" s="117"/>
      <c r="CN95" s="117"/>
      <c r="CO95" s="117"/>
      <c r="CP95" s="117"/>
      <c r="CQ95" s="117"/>
      <c r="CR95" s="117"/>
      <c r="CS95" s="117"/>
      <c r="CT95" s="118"/>
      <c r="CU95" s="393"/>
    </row>
    <row r="96" spans="1:99" x14ac:dyDescent="0.25">
      <c r="A96" s="63" t="s">
        <v>196</v>
      </c>
      <c r="B96" s="64" t="s">
        <v>193</v>
      </c>
      <c r="C96" s="65" t="s">
        <v>387</v>
      </c>
      <c r="D96" s="66"/>
      <c r="E96" s="67"/>
      <c r="F96" s="67"/>
      <c r="G96" s="67"/>
      <c r="H96" s="67"/>
      <c r="I96" s="67"/>
      <c r="J96" s="67"/>
      <c r="K96" s="67"/>
      <c r="L96" s="67"/>
      <c r="M96" s="200"/>
      <c r="N96" s="557">
        <f t="shared" si="63"/>
        <v>0</v>
      </c>
      <c r="O96" s="558">
        <f t="shared" si="43"/>
        <v>0</v>
      </c>
      <c r="P96" s="558">
        <f t="shared" si="44"/>
        <v>0</v>
      </c>
      <c r="Q96" s="558">
        <f t="shared" si="45"/>
        <v>0</v>
      </c>
      <c r="R96" s="558">
        <f t="shared" si="46"/>
        <v>0</v>
      </c>
      <c r="S96" s="558">
        <f t="shared" si="47"/>
        <v>0</v>
      </c>
      <c r="T96" s="558">
        <f t="shared" si="48"/>
        <v>0</v>
      </c>
      <c r="U96" s="558">
        <f t="shared" si="49"/>
        <v>0</v>
      </c>
      <c r="V96" s="558">
        <f t="shared" si="50"/>
        <v>0</v>
      </c>
      <c r="W96" s="559">
        <f t="shared" si="51"/>
        <v>0</v>
      </c>
      <c r="X96" s="68"/>
      <c r="Y96" s="69"/>
      <c r="Z96" s="69"/>
      <c r="AA96" s="69"/>
      <c r="AB96" s="69"/>
      <c r="AC96" s="69"/>
      <c r="AD96" s="69"/>
      <c r="AE96" s="69"/>
      <c r="AF96" s="69"/>
      <c r="AG96" s="193"/>
      <c r="AH96" s="70">
        <f t="shared" si="64"/>
        <v>0</v>
      </c>
      <c r="AI96" s="71" t="str" cm="1">
        <f t="array" aca="1" ref="AI96" ca="1">IFERROR(IF($AJ$4="N",SSUM(AD96:AF96)/3,SUM(AE96:AG96)/3),"")</f>
        <v/>
      </c>
      <c r="AJ96" s="72">
        <f t="shared" si="65"/>
        <v>0</v>
      </c>
      <c r="AK96" s="73" t="str">
        <f t="shared" si="52"/>
        <v/>
      </c>
      <c r="AL96" s="74" t="str">
        <f t="shared" si="53"/>
        <v/>
      </c>
      <c r="AM96" s="74" t="str">
        <f t="shared" si="54"/>
        <v/>
      </c>
      <c r="AN96" s="74" t="str">
        <f t="shared" si="55"/>
        <v/>
      </c>
      <c r="AO96" s="74" t="str">
        <f t="shared" si="56"/>
        <v/>
      </c>
      <c r="AP96" s="74" t="str">
        <f t="shared" si="57"/>
        <v/>
      </c>
      <c r="AQ96" s="74" t="str">
        <f t="shared" si="58"/>
        <v/>
      </c>
      <c r="AR96" s="74" t="str">
        <f t="shared" si="59"/>
        <v/>
      </c>
      <c r="AS96" s="74" t="str">
        <f t="shared" si="60"/>
        <v/>
      </c>
      <c r="AT96" s="216" t="str">
        <f t="shared" si="61"/>
        <v/>
      </c>
      <c r="AU96" s="75" t="str">
        <f t="shared" si="66"/>
        <v/>
      </c>
      <c r="AV96" s="76" t="str">
        <f t="shared" si="67"/>
        <v/>
      </c>
      <c r="AW96" s="77" t="str">
        <f t="shared" si="68"/>
        <v/>
      </c>
      <c r="AX96" s="246" t="s">
        <v>422</v>
      </c>
      <c r="AY96" s="228" t="s">
        <v>433</v>
      </c>
      <c r="AZ96" s="247">
        <v>0</v>
      </c>
      <c r="BA96" s="264">
        <f t="shared" si="69"/>
        <v>0</v>
      </c>
      <c r="BB96" s="265">
        <f t="shared" si="71"/>
        <v>0</v>
      </c>
      <c r="BC96" s="265">
        <f t="shared" si="71"/>
        <v>0</v>
      </c>
      <c r="BD96" s="265">
        <f t="shared" si="71"/>
        <v>1</v>
      </c>
      <c r="BE96" s="265">
        <f t="shared" si="71"/>
        <v>2</v>
      </c>
      <c r="BF96" s="265">
        <f t="shared" si="71"/>
        <v>3</v>
      </c>
      <c r="BG96" s="265">
        <f t="shared" si="71"/>
        <v>4</v>
      </c>
      <c r="BH96" s="266">
        <f t="shared" si="71"/>
        <v>5</v>
      </c>
      <c r="BI96" s="255">
        <f>IF($AY96=Lookup!$A$2,$AZ96*ROUNDUP(BA96/10,0)+1,
IF($AY96=Lookup!$A$3,($AZ96+1)^AZ96,
IF($AY96=Lookup!$A$4,BA96*$AZ96+1,"Error")))</f>
        <v>1</v>
      </c>
      <c r="BJ96" s="228">
        <f>IF($AY96=Lookup!$A$2,$AZ96*ROUNDUP(BB96/10,0)+1,
IF($AY96=Lookup!$A$3,($AZ96+1)^BA96,
IF($AY96=Lookup!$A$4,BB96*$AZ96+1,"Error")))</f>
        <v>1</v>
      </c>
      <c r="BK96" s="228">
        <f>IF($AY96=Lookup!$A$2,$AZ96*ROUNDUP(BC96/10,0)+1,
IF($AY96=Lookup!$A$3,($AZ96+1)^BB96,
IF($AY96=Lookup!$A$4,BC96*$AZ96+1,"Error")))</f>
        <v>1</v>
      </c>
      <c r="BL96" s="228">
        <f>IF($AY96=Lookup!$A$2,$AZ96*ROUNDUP(BD96/10,0)+1,
IF($AY96=Lookup!$A$3,($AZ96+1)^BC96,
IF($AY96=Lookup!$A$4,BD96*$AZ96+1,"Error")))</f>
        <v>1</v>
      </c>
      <c r="BM96" s="228">
        <f>IF($AY96=Lookup!$A$2,$AZ96*ROUNDUP(BE96/10,0)+1,
IF($AY96=Lookup!$A$3,($AZ96+1)^BD96,
IF($AY96=Lookup!$A$4,BE96*$AZ96+1,"Error")))</f>
        <v>1</v>
      </c>
      <c r="BN96" s="228">
        <f>IF($AY96=Lookup!$A$2,$AZ96*ROUNDUP(BF96/10,0)+1,
IF($AY96=Lookup!$A$3,($AZ96+1)^BE96,
IF($AY96=Lookup!$A$4,BF96*$AZ96+1,"Error")))</f>
        <v>1</v>
      </c>
      <c r="BO96" s="228">
        <f>IF($AY96=Lookup!$A$2,$AZ96*ROUNDUP(BG96/10,0)+1,
IF($AY96=Lookup!$A$3,($AZ96+1)^BF96,
IF($AY96=Lookup!$A$4,BG96*$AZ96+1,"Error")))</f>
        <v>1</v>
      </c>
      <c r="BP96" s="247">
        <f>IF($AY96=Lookup!$A$2,$AZ96*ROUNDUP(BH96/10,0)+1,
IF($AY96=Lookup!$A$3,($AZ96+1)^BG96,
IF($AY96=Lookup!$A$4,BH96*$AZ96+1,"Error")))</f>
        <v>1</v>
      </c>
      <c r="BQ96" s="318"/>
      <c r="BR96" s="319"/>
      <c r="BS96" s="319"/>
      <c r="BT96" s="319"/>
      <c r="BU96" s="319"/>
      <c r="BV96" s="319"/>
      <c r="BW96" s="319"/>
      <c r="BX96" s="276"/>
      <c r="BY96" s="380" t="s">
        <v>292</v>
      </c>
      <c r="BZ96" s="381">
        <f>HLOOKUP($BY96,$AH$6:$AJ$132,ROWS(BZ$6:BZ96),0)</f>
        <v>0</v>
      </c>
      <c r="CA96" s="233">
        <f t="shared" si="70"/>
        <v>0</v>
      </c>
      <c r="CB96" s="78">
        <f t="shared" si="70"/>
        <v>0</v>
      </c>
      <c r="CC96" s="78">
        <f t="shared" si="70"/>
        <v>0</v>
      </c>
      <c r="CD96" s="78">
        <f t="shared" si="70"/>
        <v>0</v>
      </c>
      <c r="CE96" s="78">
        <f t="shared" si="41"/>
        <v>0</v>
      </c>
      <c r="CF96" s="78">
        <f t="shared" si="41"/>
        <v>0</v>
      </c>
      <c r="CG96" s="78">
        <f t="shared" si="41"/>
        <v>0</v>
      </c>
      <c r="CH96" s="285">
        <f t="shared" si="41"/>
        <v>0</v>
      </c>
      <c r="CI96" s="302" t="s">
        <v>293</v>
      </c>
      <c r="CJ96" s="314">
        <v>0.05</v>
      </c>
      <c r="CK96" s="303"/>
      <c r="CL96" s="304" t="str">
        <f>IF($CK96&lt;&gt;"",$CK96,HLOOKUP($CI96,$AU$6:$AW$132,ROWS(CL$6:CL96),0))</f>
        <v/>
      </c>
      <c r="CM96" s="79"/>
      <c r="CN96" s="79"/>
      <c r="CO96" s="79"/>
      <c r="CP96" s="79"/>
      <c r="CQ96" s="79"/>
      <c r="CR96" s="79"/>
      <c r="CS96" s="79"/>
      <c r="CT96" s="80"/>
      <c r="CU96" s="391"/>
    </row>
    <row r="97" spans="1:99" x14ac:dyDescent="0.25">
      <c r="A97" s="81" t="s">
        <v>196</v>
      </c>
      <c r="B97" s="82" t="s">
        <v>197</v>
      </c>
      <c r="C97" s="83" t="s">
        <v>388</v>
      </c>
      <c r="D97" s="84"/>
      <c r="E97" s="85"/>
      <c r="F97" s="85"/>
      <c r="G97" s="85"/>
      <c r="H97" s="85"/>
      <c r="I97" s="85"/>
      <c r="J97" s="85"/>
      <c r="K97" s="85"/>
      <c r="L97" s="85"/>
      <c r="M97" s="201"/>
      <c r="N97" s="560">
        <f t="shared" si="63"/>
        <v>0</v>
      </c>
      <c r="O97" s="561">
        <f t="shared" si="43"/>
        <v>0</v>
      </c>
      <c r="P97" s="561">
        <f t="shared" si="44"/>
        <v>0</v>
      </c>
      <c r="Q97" s="561">
        <f t="shared" si="45"/>
        <v>0</v>
      </c>
      <c r="R97" s="561">
        <f t="shared" si="46"/>
        <v>0</v>
      </c>
      <c r="S97" s="561">
        <f t="shared" si="47"/>
        <v>0</v>
      </c>
      <c r="T97" s="561">
        <f t="shared" si="48"/>
        <v>0</v>
      </c>
      <c r="U97" s="561">
        <f t="shared" si="49"/>
        <v>0</v>
      </c>
      <c r="V97" s="561">
        <f t="shared" si="50"/>
        <v>0</v>
      </c>
      <c r="W97" s="562">
        <f t="shared" si="51"/>
        <v>0</v>
      </c>
      <c r="X97" s="86"/>
      <c r="Y97" s="87"/>
      <c r="Z97" s="87"/>
      <c r="AA97" s="87"/>
      <c r="AB97" s="87"/>
      <c r="AC97" s="87"/>
      <c r="AD97" s="87"/>
      <c r="AE97" s="87"/>
      <c r="AF97" s="87"/>
      <c r="AG97" s="194"/>
      <c r="AH97" s="88">
        <f t="shared" si="64"/>
        <v>0</v>
      </c>
      <c r="AI97" s="89" t="str" cm="1">
        <f t="array" aca="1" ref="AI97" ca="1">IFERROR(IF($AJ$4="N",SSUM(AD97:AF97)/3,SUM(AE97:AG97)/3),"")</f>
        <v/>
      </c>
      <c r="AJ97" s="90">
        <f t="shared" si="65"/>
        <v>0</v>
      </c>
      <c r="AK97" s="91" t="str">
        <f t="shared" si="52"/>
        <v/>
      </c>
      <c r="AL97" s="92" t="str">
        <f t="shared" si="53"/>
        <v/>
      </c>
      <c r="AM97" s="92" t="str">
        <f t="shared" si="54"/>
        <v/>
      </c>
      <c r="AN97" s="92" t="str">
        <f t="shared" si="55"/>
        <v/>
      </c>
      <c r="AO97" s="92" t="str">
        <f t="shared" si="56"/>
        <v/>
      </c>
      <c r="AP97" s="92" t="str">
        <f t="shared" si="57"/>
        <v/>
      </c>
      <c r="AQ97" s="92" t="str">
        <f t="shared" si="58"/>
        <v/>
      </c>
      <c r="AR97" s="92" t="str">
        <f t="shared" si="59"/>
        <v/>
      </c>
      <c r="AS97" s="92" t="str">
        <f t="shared" si="60"/>
        <v/>
      </c>
      <c r="AT97" s="217" t="str">
        <f t="shared" si="61"/>
        <v/>
      </c>
      <c r="AU97" s="93" t="str">
        <f t="shared" si="66"/>
        <v/>
      </c>
      <c r="AV97" s="94" t="str">
        <f t="shared" si="67"/>
        <v/>
      </c>
      <c r="AW97" s="95" t="str">
        <f t="shared" si="68"/>
        <v/>
      </c>
      <c r="AX97" s="248" t="s">
        <v>422</v>
      </c>
      <c r="AY97" s="229" t="s">
        <v>433</v>
      </c>
      <c r="AZ97" s="249">
        <v>0</v>
      </c>
      <c r="BA97" s="267">
        <f t="shared" si="69"/>
        <v>0</v>
      </c>
      <c r="BB97" s="268">
        <f t="shared" si="71"/>
        <v>0</v>
      </c>
      <c r="BC97" s="268">
        <f t="shared" si="71"/>
        <v>0</v>
      </c>
      <c r="BD97" s="268">
        <f t="shared" si="71"/>
        <v>1</v>
      </c>
      <c r="BE97" s="268">
        <f t="shared" si="71"/>
        <v>2</v>
      </c>
      <c r="BF97" s="268">
        <f t="shared" si="71"/>
        <v>3</v>
      </c>
      <c r="BG97" s="268">
        <f t="shared" si="71"/>
        <v>4</v>
      </c>
      <c r="BH97" s="269">
        <f t="shared" si="71"/>
        <v>5</v>
      </c>
      <c r="BI97" s="256">
        <f>IF($AY97=Lookup!$A$2,$AZ97*ROUNDUP(BA97/10,0)+1,
IF($AY97=Lookup!$A$3,($AZ97+1)^AZ97,
IF($AY97=Lookup!$A$4,BA97*$AZ97+1,"Error")))</f>
        <v>1</v>
      </c>
      <c r="BJ97" s="229">
        <f>IF($AY97=Lookup!$A$2,$AZ97*ROUNDUP(BB97/10,0)+1,
IF($AY97=Lookup!$A$3,($AZ97+1)^BA97,
IF($AY97=Lookup!$A$4,BB97*$AZ97+1,"Error")))</f>
        <v>1</v>
      </c>
      <c r="BK97" s="229">
        <f>IF($AY97=Lookup!$A$2,$AZ97*ROUNDUP(BC97/10,0)+1,
IF($AY97=Lookup!$A$3,($AZ97+1)^BB97,
IF($AY97=Lookup!$A$4,BC97*$AZ97+1,"Error")))</f>
        <v>1</v>
      </c>
      <c r="BL97" s="229">
        <f>IF($AY97=Lookup!$A$2,$AZ97*ROUNDUP(BD97/10,0)+1,
IF($AY97=Lookup!$A$3,($AZ97+1)^BC97,
IF($AY97=Lookup!$A$4,BD97*$AZ97+1,"Error")))</f>
        <v>1</v>
      </c>
      <c r="BM97" s="229">
        <f>IF($AY97=Lookup!$A$2,$AZ97*ROUNDUP(BE97/10,0)+1,
IF($AY97=Lookup!$A$3,($AZ97+1)^BD97,
IF($AY97=Lookup!$A$4,BE97*$AZ97+1,"Error")))</f>
        <v>1</v>
      </c>
      <c r="BN97" s="229">
        <f>IF($AY97=Lookup!$A$2,$AZ97*ROUNDUP(BF97/10,0)+1,
IF($AY97=Lookup!$A$3,($AZ97+1)^BE97,
IF($AY97=Lookup!$A$4,BF97*$AZ97+1,"Error")))</f>
        <v>1</v>
      </c>
      <c r="BO97" s="229">
        <f>IF($AY97=Lookup!$A$2,$AZ97*ROUNDUP(BG97/10,0)+1,
IF($AY97=Lookup!$A$3,($AZ97+1)^BF97,
IF($AY97=Lookup!$A$4,BG97*$AZ97+1,"Error")))</f>
        <v>1</v>
      </c>
      <c r="BP97" s="249">
        <f>IF($AY97=Lookup!$A$2,$AZ97*ROUNDUP(BH97/10,0)+1,
IF($AY97=Lookup!$A$3,($AZ97+1)^BG97,
IF($AY97=Lookup!$A$4,BH97*$AZ97+1,"Error")))</f>
        <v>1</v>
      </c>
      <c r="BQ97" s="320"/>
      <c r="BR97" s="321"/>
      <c r="BS97" s="321"/>
      <c r="BT97" s="321"/>
      <c r="BU97" s="321"/>
      <c r="BV97" s="321"/>
      <c r="BW97" s="321"/>
      <c r="BX97" s="277"/>
      <c r="BY97" s="382" t="s">
        <v>292</v>
      </c>
      <c r="BZ97" s="383">
        <f>HLOOKUP($BY97,$AH$6:$AJ$132,ROWS(BZ$6:BZ97),0)</f>
        <v>0</v>
      </c>
      <c r="CA97" s="234">
        <f t="shared" si="70"/>
        <v>0</v>
      </c>
      <c r="CB97" s="96">
        <f t="shared" si="70"/>
        <v>0</v>
      </c>
      <c r="CC97" s="96">
        <f t="shared" si="70"/>
        <v>0</v>
      </c>
      <c r="CD97" s="96">
        <f t="shared" si="70"/>
        <v>0</v>
      </c>
      <c r="CE97" s="96">
        <f t="shared" si="41"/>
        <v>0</v>
      </c>
      <c r="CF97" s="96">
        <f t="shared" si="41"/>
        <v>0</v>
      </c>
      <c r="CG97" s="96">
        <f t="shared" si="41"/>
        <v>0</v>
      </c>
      <c r="CH97" s="286">
        <f t="shared" si="41"/>
        <v>0</v>
      </c>
      <c r="CI97" s="305" t="s">
        <v>293</v>
      </c>
      <c r="CJ97" s="315">
        <v>0.05</v>
      </c>
      <c r="CK97" s="306"/>
      <c r="CL97" s="307" t="str">
        <f>IF($CK97&lt;&gt;"",$CK97,HLOOKUP($CI97,$AU$6:$AW$132,ROWS(CL$6:CL97),0))</f>
        <v/>
      </c>
      <c r="CM97" s="97"/>
      <c r="CN97" s="97"/>
      <c r="CO97" s="97"/>
      <c r="CP97" s="97"/>
      <c r="CQ97" s="97"/>
      <c r="CR97" s="97"/>
      <c r="CS97" s="97"/>
      <c r="CT97" s="98"/>
      <c r="CU97" s="392"/>
    </row>
    <row r="98" spans="1:99" x14ac:dyDescent="0.25">
      <c r="A98" s="81" t="s">
        <v>196</v>
      </c>
      <c r="B98" s="82" t="s">
        <v>199</v>
      </c>
      <c r="C98" s="83" t="s">
        <v>389</v>
      </c>
      <c r="D98" s="84"/>
      <c r="E98" s="85"/>
      <c r="F98" s="85"/>
      <c r="G98" s="85"/>
      <c r="H98" s="85"/>
      <c r="I98" s="85"/>
      <c r="J98" s="85"/>
      <c r="K98" s="85"/>
      <c r="L98" s="85"/>
      <c r="M98" s="201"/>
      <c r="N98" s="560">
        <f t="shared" si="63"/>
        <v>0</v>
      </c>
      <c r="O98" s="561">
        <f t="shared" si="43"/>
        <v>0</v>
      </c>
      <c r="P98" s="561">
        <f t="shared" si="44"/>
        <v>0</v>
      </c>
      <c r="Q98" s="561">
        <f t="shared" si="45"/>
        <v>0</v>
      </c>
      <c r="R98" s="561">
        <f t="shared" si="46"/>
        <v>0</v>
      </c>
      <c r="S98" s="561">
        <f t="shared" si="47"/>
        <v>0</v>
      </c>
      <c r="T98" s="561">
        <f t="shared" si="48"/>
        <v>0</v>
      </c>
      <c r="U98" s="561">
        <f t="shared" si="49"/>
        <v>0</v>
      </c>
      <c r="V98" s="561">
        <f t="shared" si="50"/>
        <v>0</v>
      </c>
      <c r="W98" s="562">
        <f t="shared" si="51"/>
        <v>0</v>
      </c>
      <c r="X98" s="86"/>
      <c r="Y98" s="87"/>
      <c r="Z98" s="87"/>
      <c r="AA98" s="87"/>
      <c r="AB98" s="87"/>
      <c r="AC98" s="87"/>
      <c r="AD98" s="87"/>
      <c r="AE98" s="87"/>
      <c r="AF98" s="87"/>
      <c r="AG98" s="194"/>
      <c r="AH98" s="88">
        <f t="shared" si="64"/>
        <v>0</v>
      </c>
      <c r="AI98" s="89" t="str" cm="1">
        <f t="array" aca="1" ref="AI98" ca="1">IFERROR(IF($AJ$4="N",SSUM(AD98:AF98)/3,SUM(AE98:AG98)/3),"")</f>
        <v/>
      </c>
      <c r="AJ98" s="90">
        <f t="shared" si="65"/>
        <v>0</v>
      </c>
      <c r="AK98" s="91" t="str">
        <f t="shared" si="52"/>
        <v/>
      </c>
      <c r="AL98" s="92" t="str">
        <f t="shared" si="53"/>
        <v/>
      </c>
      <c r="AM98" s="92" t="str">
        <f t="shared" si="54"/>
        <v/>
      </c>
      <c r="AN98" s="92" t="str">
        <f t="shared" si="55"/>
        <v/>
      </c>
      <c r="AO98" s="92" t="str">
        <f t="shared" si="56"/>
        <v/>
      </c>
      <c r="AP98" s="92" t="str">
        <f t="shared" si="57"/>
        <v/>
      </c>
      <c r="AQ98" s="92" t="str">
        <f t="shared" si="58"/>
        <v/>
      </c>
      <c r="AR98" s="92" t="str">
        <f t="shared" si="59"/>
        <v/>
      </c>
      <c r="AS98" s="92" t="str">
        <f t="shared" si="60"/>
        <v/>
      </c>
      <c r="AT98" s="217" t="str">
        <f t="shared" si="61"/>
        <v/>
      </c>
      <c r="AU98" s="93" t="str">
        <f t="shared" si="66"/>
        <v/>
      </c>
      <c r="AV98" s="94" t="str">
        <f t="shared" si="67"/>
        <v/>
      </c>
      <c r="AW98" s="95" t="str">
        <f t="shared" si="68"/>
        <v/>
      </c>
      <c r="AX98" s="248" t="s">
        <v>422</v>
      </c>
      <c r="AY98" s="229" t="s">
        <v>433</v>
      </c>
      <c r="AZ98" s="249">
        <v>0</v>
      </c>
      <c r="BA98" s="267">
        <f t="shared" si="69"/>
        <v>0</v>
      </c>
      <c r="BB98" s="268">
        <f t="shared" si="71"/>
        <v>0</v>
      </c>
      <c r="BC98" s="268">
        <f t="shared" si="71"/>
        <v>0</v>
      </c>
      <c r="BD98" s="268">
        <f t="shared" si="71"/>
        <v>1</v>
      </c>
      <c r="BE98" s="268">
        <f t="shared" si="71"/>
        <v>2</v>
      </c>
      <c r="BF98" s="268">
        <f t="shared" si="71"/>
        <v>3</v>
      </c>
      <c r="BG98" s="268">
        <f t="shared" si="71"/>
        <v>4</v>
      </c>
      <c r="BH98" s="269">
        <f t="shared" si="71"/>
        <v>5</v>
      </c>
      <c r="BI98" s="256">
        <f>IF($AY98=Lookup!$A$2,$AZ98*ROUNDUP(BA98/10,0)+1,
IF($AY98=Lookup!$A$3,($AZ98+1)^AZ98,
IF($AY98=Lookup!$A$4,BA98*$AZ98+1,"Error")))</f>
        <v>1</v>
      </c>
      <c r="BJ98" s="229">
        <f>IF($AY98=Lookup!$A$2,$AZ98*ROUNDUP(BB98/10,0)+1,
IF($AY98=Lookup!$A$3,($AZ98+1)^BA98,
IF($AY98=Lookup!$A$4,BB98*$AZ98+1,"Error")))</f>
        <v>1</v>
      </c>
      <c r="BK98" s="229">
        <f>IF($AY98=Lookup!$A$2,$AZ98*ROUNDUP(BC98/10,0)+1,
IF($AY98=Lookup!$A$3,($AZ98+1)^BB98,
IF($AY98=Lookup!$A$4,BC98*$AZ98+1,"Error")))</f>
        <v>1</v>
      </c>
      <c r="BL98" s="229">
        <f>IF($AY98=Lookup!$A$2,$AZ98*ROUNDUP(BD98/10,0)+1,
IF($AY98=Lookup!$A$3,($AZ98+1)^BC98,
IF($AY98=Lookup!$A$4,BD98*$AZ98+1,"Error")))</f>
        <v>1</v>
      </c>
      <c r="BM98" s="229">
        <f>IF($AY98=Lookup!$A$2,$AZ98*ROUNDUP(BE98/10,0)+1,
IF($AY98=Lookup!$A$3,($AZ98+1)^BD98,
IF($AY98=Lookup!$A$4,BE98*$AZ98+1,"Error")))</f>
        <v>1</v>
      </c>
      <c r="BN98" s="229">
        <f>IF($AY98=Lookup!$A$2,$AZ98*ROUNDUP(BF98/10,0)+1,
IF($AY98=Lookup!$A$3,($AZ98+1)^BE98,
IF($AY98=Lookup!$A$4,BF98*$AZ98+1,"Error")))</f>
        <v>1</v>
      </c>
      <c r="BO98" s="229">
        <f>IF($AY98=Lookup!$A$2,$AZ98*ROUNDUP(BG98/10,0)+1,
IF($AY98=Lookup!$A$3,($AZ98+1)^BF98,
IF($AY98=Lookup!$A$4,BG98*$AZ98+1,"Error")))</f>
        <v>1</v>
      </c>
      <c r="BP98" s="249">
        <f>IF($AY98=Lookup!$A$2,$AZ98*ROUNDUP(BH98/10,0)+1,
IF($AY98=Lookup!$A$3,($AZ98+1)^BG98,
IF($AY98=Lookup!$A$4,BH98*$AZ98+1,"Error")))</f>
        <v>1</v>
      </c>
      <c r="BQ98" s="320"/>
      <c r="BR98" s="321"/>
      <c r="BS98" s="321"/>
      <c r="BT98" s="321"/>
      <c r="BU98" s="321"/>
      <c r="BV98" s="321"/>
      <c r="BW98" s="321"/>
      <c r="BX98" s="277"/>
      <c r="BY98" s="382" t="s">
        <v>292</v>
      </c>
      <c r="BZ98" s="383">
        <f>HLOOKUP($BY98,$AH$6:$AJ$132,ROWS(BZ$6:BZ98),0)</f>
        <v>0</v>
      </c>
      <c r="CA98" s="234">
        <f t="shared" si="70"/>
        <v>0</v>
      </c>
      <c r="CB98" s="96">
        <f t="shared" si="70"/>
        <v>0</v>
      </c>
      <c r="CC98" s="96">
        <f t="shared" si="70"/>
        <v>0</v>
      </c>
      <c r="CD98" s="96">
        <f t="shared" si="70"/>
        <v>0</v>
      </c>
      <c r="CE98" s="96">
        <f t="shared" si="41"/>
        <v>0</v>
      </c>
      <c r="CF98" s="96">
        <f t="shared" si="41"/>
        <v>0</v>
      </c>
      <c r="CG98" s="96">
        <f t="shared" si="41"/>
        <v>0</v>
      </c>
      <c r="CH98" s="286">
        <f t="shared" si="41"/>
        <v>0</v>
      </c>
      <c r="CI98" s="305" t="s">
        <v>293</v>
      </c>
      <c r="CJ98" s="315">
        <v>0.05</v>
      </c>
      <c r="CK98" s="306"/>
      <c r="CL98" s="307" t="str">
        <f>IF($CK98&lt;&gt;"",$CK98,HLOOKUP($CI98,$AU$6:$AW$132,ROWS(CL$6:CL98),0))</f>
        <v/>
      </c>
      <c r="CM98" s="97"/>
      <c r="CN98" s="97"/>
      <c r="CO98" s="97"/>
      <c r="CP98" s="97"/>
      <c r="CQ98" s="97"/>
      <c r="CR98" s="97"/>
      <c r="CS98" s="97"/>
      <c r="CT98" s="98"/>
      <c r="CU98" s="392"/>
    </row>
    <row r="99" spans="1:99" x14ac:dyDescent="0.25">
      <c r="A99" s="81" t="s">
        <v>196</v>
      </c>
      <c r="B99" s="82" t="s">
        <v>201</v>
      </c>
      <c r="C99" s="83" t="s">
        <v>390</v>
      </c>
      <c r="D99" s="84"/>
      <c r="E99" s="85"/>
      <c r="F99" s="85"/>
      <c r="G99" s="85"/>
      <c r="H99" s="85"/>
      <c r="I99" s="85"/>
      <c r="J99" s="85"/>
      <c r="K99" s="85"/>
      <c r="L99" s="85"/>
      <c r="M99" s="201"/>
      <c r="N99" s="560">
        <f t="shared" si="63"/>
        <v>0</v>
      </c>
      <c r="O99" s="561">
        <f t="shared" si="43"/>
        <v>0</v>
      </c>
      <c r="P99" s="561">
        <f t="shared" si="44"/>
        <v>0</v>
      </c>
      <c r="Q99" s="561">
        <f t="shared" si="45"/>
        <v>0</v>
      </c>
      <c r="R99" s="561">
        <f t="shared" si="46"/>
        <v>0</v>
      </c>
      <c r="S99" s="561">
        <f t="shared" si="47"/>
        <v>0</v>
      </c>
      <c r="T99" s="561">
        <f t="shared" si="48"/>
        <v>0</v>
      </c>
      <c r="U99" s="561">
        <f t="shared" si="49"/>
        <v>0</v>
      </c>
      <c r="V99" s="561">
        <f t="shared" si="50"/>
        <v>0</v>
      </c>
      <c r="W99" s="562">
        <f t="shared" si="51"/>
        <v>0</v>
      </c>
      <c r="X99" s="86"/>
      <c r="Y99" s="87"/>
      <c r="Z99" s="87"/>
      <c r="AA99" s="87"/>
      <c r="AB99" s="87"/>
      <c r="AC99" s="87"/>
      <c r="AD99" s="87"/>
      <c r="AE99" s="87"/>
      <c r="AF99" s="87"/>
      <c r="AG99" s="194"/>
      <c r="AH99" s="88">
        <f t="shared" si="64"/>
        <v>0</v>
      </c>
      <c r="AI99" s="89" t="str" cm="1">
        <f t="array" aca="1" ref="AI99" ca="1">IFERROR(IF($AJ$4="N",SSUM(AD99:AF99)/3,SUM(AE99:AG99)/3),"")</f>
        <v/>
      </c>
      <c r="AJ99" s="90">
        <f t="shared" si="65"/>
        <v>0</v>
      </c>
      <c r="AK99" s="91" t="str">
        <f t="shared" si="52"/>
        <v/>
      </c>
      <c r="AL99" s="92" t="str">
        <f t="shared" si="53"/>
        <v/>
      </c>
      <c r="AM99" s="92" t="str">
        <f t="shared" si="54"/>
        <v/>
      </c>
      <c r="AN99" s="92" t="str">
        <f t="shared" si="55"/>
        <v/>
      </c>
      <c r="AO99" s="92" t="str">
        <f t="shared" si="56"/>
        <v/>
      </c>
      <c r="AP99" s="92" t="str">
        <f t="shared" si="57"/>
        <v/>
      </c>
      <c r="AQ99" s="92" t="str">
        <f t="shared" si="58"/>
        <v/>
      </c>
      <c r="AR99" s="92" t="str">
        <f t="shared" si="59"/>
        <v/>
      </c>
      <c r="AS99" s="92" t="str">
        <f t="shared" si="60"/>
        <v/>
      </c>
      <c r="AT99" s="217" t="str">
        <f t="shared" si="61"/>
        <v/>
      </c>
      <c r="AU99" s="93" t="str">
        <f t="shared" si="66"/>
        <v/>
      </c>
      <c r="AV99" s="94" t="str">
        <f t="shared" si="67"/>
        <v/>
      </c>
      <c r="AW99" s="95" t="str">
        <f t="shared" si="68"/>
        <v/>
      </c>
      <c r="AX99" s="248" t="s">
        <v>422</v>
      </c>
      <c r="AY99" s="229" t="s">
        <v>433</v>
      </c>
      <c r="AZ99" s="249">
        <v>0</v>
      </c>
      <c r="BA99" s="267">
        <f t="shared" si="69"/>
        <v>0</v>
      </c>
      <c r="BB99" s="268">
        <f t="shared" si="71"/>
        <v>0</v>
      </c>
      <c r="BC99" s="268">
        <f t="shared" si="71"/>
        <v>0</v>
      </c>
      <c r="BD99" s="268">
        <f t="shared" si="71"/>
        <v>1</v>
      </c>
      <c r="BE99" s="268">
        <f t="shared" si="71"/>
        <v>2</v>
      </c>
      <c r="BF99" s="268">
        <f t="shared" si="71"/>
        <v>3</v>
      </c>
      <c r="BG99" s="268">
        <f t="shared" si="71"/>
        <v>4</v>
      </c>
      <c r="BH99" s="269">
        <f t="shared" si="71"/>
        <v>5</v>
      </c>
      <c r="BI99" s="256">
        <f>IF($AY99=Lookup!$A$2,$AZ99*ROUNDUP(BA99/10,0)+1,
IF($AY99=Lookup!$A$3,($AZ99+1)^AZ99,
IF($AY99=Lookup!$A$4,BA99*$AZ99+1,"Error")))</f>
        <v>1</v>
      </c>
      <c r="BJ99" s="229">
        <f>IF($AY99=Lookup!$A$2,$AZ99*ROUNDUP(BB99/10,0)+1,
IF($AY99=Lookup!$A$3,($AZ99+1)^BA99,
IF($AY99=Lookup!$A$4,BB99*$AZ99+1,"Error")))</f>
        <v>1</v>
      </c>
      <c r="BK99" s="229">
        <f>IF($AY99=Lookup!$A$2,$AZ99*ROUNDUP(BC99/10,0)+1,
IF($AY99=Lookup!$A$3,($AZ99+1)^BB99,
IF($AY99=Lookup!$A$4,BC99*$AZ99+1,"Error")))</f>
        <v>1</v>
      </c>
      <c r="BL99" s="229">
        <f>IF($AY99=Lookup!$A$2,$AZ99*ROUNDUP(BD99/10,0)+1,
IF($AY99=Lookup!$A$3,($AZ99+1)^BC99,
IF($AY99=Lookup!$A$4,BD99*$AZ99+1,"Error")))</f>
        <v>1</v>
      </c>
      <c r="BM99" s="229">
        <f>IF($AY99=Lookup!$A$2,$AZ99*ROUNDUP(BE99/10,0)+1,
IF($AY99=Lookup!$A$3,($AZ99+1)^BD99,
IF($AY99=Lookup!$A$4,BE99*$AZ99+1,"Error")))</f>
        <v>1</v>
      </c>
      <c r="BN99" s="229">
        <f>IF($AY99=Lookup!$A$2,$AZ99*ROUNDUP(BF99/10,0)+1,
IF($AY99=Lookup!$A$3,($AZ99+1)^BE99,
IF($AY99=Lookup!$A$4,BF99*$AZ99+1,"Error")))</f>
        <v>1</v>
      </c>
      <c r="BO99" s="229">
        <f>IF($AY99=Lookup!$A$2,$AZ99*ROUNDUP(BG99/10,0)+1,
IF($AY99=Lookup!$A$3,($AZ99+1)^BF99,
IF($AY99=Lookup!$A$4,BG99*$AZ99+1,"Error")))</f>
        <v>1</v>
      </c>
      <c r="BP99" s="249">
        <f>IF($AY99=Lookup!$A$2,$AZ99*ROUNDUP(BH99/10,0)+1,
IF($AY99=Lookup!$A$3,($AZ99+1)^BG99,
IF($AY99=Lookup!$A$4,BH99*$AZ99+1,"Error")))</f>
        <v>1</v>
      </c>
      <c r="BQ99" s="320"/>
      <c r="BR99" s="321"/>
      <c r="BS99" s="321"/>
      <c r="BT99" s="321"/>
      <c r="BU99" s="321"/>
      <c r="BV99" s="321"/>
      <c r="BW99" s="321"/>
      <c r="BX99" s="277"/>
      <c r="BY99" s="382" t="s">
        <v>292</v>
      </c>
      <c r="BZ99" s="383">
        <f>HLOOKUP($BY99,$AH$6:$AJ$132,ROWS(BZ$6:BZ99),0)</f>
        <v>0</v>
      </c>
      <c r="CA99" s="234">
        <f t="shared" si="70"/>
        <v>0</v>
      </c>
      <c r="CB99" s="96">
        <f t="shared" si="70"/>
        <v>0</v>
      </c>
      <c r="CC99" s="96">
        <f t="shared" si="70"/>
        <v>0</v>
      </c>
      <c r="CD99" s="96">
        <f t="shared" si="70"/>
        <v>0</v>
      </c>
      <c r="CE99" s="96">
        <f t="shared" si="41"/>
        <v>0</v>
      </c>
      <c r="CF99" s="96">
        <f t="shared" si="41"/>
        <v>0</v>
      </c>
      <c r="CG99" s="96">
        <f t="shared" si="41"/>
        <v>0</v>
      </c>
      <c r="CH99" s="286">
        <f t="shared" si="41"/>
        <v>0</v>
      </c>
      <c r="CI99" s="305" t="s">
        <v>293</v>
      </c>
      <c r="CJ99" s="315">
        <v>0.05</v>
      </c>
      <c r="CK99" s="306"/>
      <c r="CL99" s="307" t="str">
        <f>IF($CK99&lt;&gt;"",$CK99,HLOOKUP($CI99,$AU$6:$AW$132,ROWS(CL$6:CL99),0))</f>
        <v/>
      </c>
      <c r="CM99" s="97"/>
      <c r="CN99" s="97"/>
      <c r="CO99" s="97"/>
      <c r="CP99" s="97"/>
      <c r="CQ99" s="97"/>
      <c r="CR99" s="97"/>
      <c r="CS99" s="97"/>
      <c r="CT99" s="98"/>
      <c r="CU99" s="392"/>
    </row>
    <row r="100" spans="1:99" x14ac:dyDescent="0.25">
      <c r="A100" s="81" t="s">
        <v>196</v>
      </c>
      <c r="B100" s="82" t="s">
        <v>203</v>
      </c>
      <c r="C100" s="83" t="s">
        <v>391</v>
      </c>
      <c r="D100" s="84"/>
      <c r="E100" s="85"/>
      <c r="F100" s="85"/>
      <c r="G100" s="85"/>
      <c r="H100" s="85"/>
      <c r="I100" s="85"/>
      <c r="J100" s="85"/>
      <c r="K100" s="85"/>
      <c r="L100" s="85"/>
      <c r="M100" s="201"/>
      <c r="N100" s="560">
        <f t="shared" si="63"/>
        <v>0</v>
      </c>
      <c r="O100" s="561">
        <f t="shared" si="43"/>
        <v>0</v>
      </c>
      <c r="P100" s="561">
        <f t="shared" si="44"/>
        <v>0</v>
      </c>
      <c r="Q100" s="561">
        <f t="shared" si="45"/>
        <v>0</v>
      </c>
      <c r="R100" s="561">
        <f t="shared" si="46"/>
        <v>0</v>
      </c>
      <c r="S100" s="561">
        <f t="shared" si="47"/>
        <v>0</v>
      </c>
      <c r="T100" s="561">
        <f t="shared" si="48"/>
        <v>0</v>
      </c>
      <c r="U100" s="561">
        <f t="shared" si="49"/>
        <v>0</v>
      </c>
      <c r="V100" s="561">
        <f t="shared" si="50"/>
        <v>0</v>
      </c>
      <c r="W100" s="562">
        <f t="shared" si="51"/>
        <v>0</v>
      </c>
      <c r="X100" s="86"/>
      <c r="Y100" s="87"/>
      <c r="Z100" s="87"/>
      <c r="AA100" s="87"/>
      <c r="AB100" s="87"/>
      <c r="AC100" s="87"/>
      <c r="AD100" s="87"/>
      <c r="AE100" s="87"/>
      <c r="AF100" s="87"/>
      <c r="AG100" s="194"/>
      <c r="AH100" s="88">
        <f t="shared" si="64"/>
        <v>0</v>
      </c>
      <c r="AI100" s="89" t="str" cm="1">
        <f t="array" aca="1" ref="AI100" ca="1">IFERROR(IF($AJ$4="N",SSUM(AD100:AF100)/3,SUM(AE100:AG100)/3),"")</f>
        <v/>
      </c>
      <c r="AJ100" s="90">
        <f t="shared" si="65"/>
        <v>0</v>
      </c>
      <c r="AK100" s="91" t="str">
        <f t="shared" si="52"/>
        <v/>
      </c>
      <c r="AL100" s="92" t="str">
        <f t="shared" si="53"/>
        <v/>
      </c>
      <c r="AM100" s="92" t="str">
        <f t="shared" si="54"/>
        <v/>
      </c>
      <c r="AN100" s="92" t="str">
        <f t="shared" si="55"/>
        <v/>
      </c>
      <c r="AO100" s="92" t="str">
        <f t="shared" si="56"/>
        <v/>
      </c>
      <c r="AP100" s="92" t="str">
        <f t="shared" si="57"/>
        <v/>
      </c>
      <c r="AQ100" s="92" t="str">
        <f t="shared" si="58"/>
        <v/>
      </c>
      <c r="AR100" s="92" t="str">
        <f t="shared" si="59"/>
        <v/>
      </c>
      <c r="AS100" s="92" t="str">
        <f t="shared" si="60"/>
        <v/>
      </c>
      <c r="AT100" s="217" t="str">
        <f t="shared" si="61"/>
        <v/>
      </c>
      <c r="AU100" s="93" t="str">
        <f t="shared" si="66"/>
        <v/>
      </c>
      <c r="AV100" s="94" t="str">
        <f t="shared" si="67"/>
        <v/>
      </c>
      <c r="AW100" s="95" t="str">
        <f t="shared" si="68"/>
        <v/>
      </c>
      <c r="AX100" s="248" t="s">
        <v>422</v>
      </c>
      <c r="AY100" s="229" t="s">
        <v>433</v>
      </c>
      <c r="AZ100" s="249">
        <v>0</v>
      </c>
      <c r="BA100" s="267">
        <f t="shared" si="69"/>
        <v>0</v>
      </c>
      <c r="BB100" s="268">
        <f t="shared" si="71"/>
        <v>0</v>
      </c>
      <c r="BC100" s="268">
        <f t="shared" si="71"/>
        <v>0</v>
      </c>
      <c r="BD100" s="268">
        <f t="shared" si="71"/>
        <v>1</v>
      </c>
      <c r="BE100" s="268">
        <f t="shared" si="71"/>
        <v>2</v>
      </c>
      <c r="BF100" s="268">
        <f t="shared" si="71"/>
        <v>3</v>
      </c>
      <c r="BG100" s="268">
        <f t="shared" si="71"/>
        <v>4</v>
      </c>
      <c r="BH100" s="269">
        <f t="shared" si="71"/>
        <v>5</v>
      </c>
      <c r="BI100" s="256">
        <f>IF($AY100=Lookup!$A$2,$AZ100*ROUNDUP(BA100/10,0)+1,
IF($AY100=Lookup!$A$3,($AZ100+1)^AZ100,
IF($AY100=Lookup!$A$4,BA100*$AZ100+1,"Error")))</f>
        <v>1</v>
      </c>
      <c r="BJ100" s="229">
        <f>IF($AY100=Lookup!$A$2,$AZ100*ROUNDUP(BB100/10,0)+1,
IF($AY100=Lookup!$A$3,($AZ100+1)^BA100,
IF($AY100=Lookup!$A$4,BB100*$AZ100+1,"Error")))</f>
        <v>1</v>
      </c>
      <c r="BK100" s="229">
        <f>IF($AY100=Lookup!$A$2,$AZ100*ROUNDUP(BC100/10,0)+1,
IF($AY100=Lookup!$A$3,($AZ100+1)^BB100,
IF($AY100=Lookup!$A$4,BC100*$AZ100+1,"Error")))</f>
        <v>1</v>
      </c>
      <c r="BL100" s="229">
        <f>IF($AY100=Lookup!$A$2,$AZ100*ROUNDUP(BD100/10,0)+1,
IF($AY100=Lookup!$A$3,($AZ100+1)^BC100,
IF($AY100=Lookup!$A$4,BD100*$AZ100+1,"Error")))</f>
        <v>1</v>
      </c>
      <c r="BM100" s="229">
        <f>IF($AY100=Lookup!$A$2,$AZ100*ROUNDUP(BE100/10,0)+1,
IF($AY100=Lookup!$A$3,($AZ100+1)^BD100,
IF($AY100=Lookup!$A$4,BE100*$AZ100+1,"Error")))</f>
        <v>1</v>
      </c>
      <c r="BN100" s="229">
        <f>IF($AY100=Lookup!$A$2,$AZ100*ROUNDUP(BF100/10,0)+1,
IF($AY100=Lookup!$A$3,($AZ100+1)^BE100,
IF($AY100=Lookup!$A$4,BF100*$AZ100+1,"Error")))</f>
        <v>1</v>
      </c>
      <c r="BO100" s="229">
        <f>IF($AY100=Lookup!$A$2,$AZ100*ROUNDUP(BG100/10,0)+1,
IF($AY100=Lookup!$A$3,($AZ100+1)^BF100,
IF($AY100=Lookup!$A$4,BG100*$AZ100+1,"Error")))</f>
        <v>1</v>
      </c>
      <c r="BP100" s="249">
        <f>IF($AY100=Lookup!$A$2,$AZ100*ROUNDUP(BH100/10,0)+1,
IF($AY100=Lookup!$A$3,($AZ100+1)^BG100,
IF($AY100=Lookup!$A$4,BH100*$AZ100+1,"Error")))</f>
        <v>1</v>
      </c>
      <c r="BQ100" s="320"/>
      <c r="BR100" s="321"/>
      <c r="BS100" s="321"/>
      <c r="BT100" s="321"/>
      <c r="BU100" s="321"/>
      <c r="BV100" s="321"/>
      <c r="BW100" s="321"/>
      <c r="BX100" s="277"/>
      <c r="BY100" s="382" t="s">
        <v>292</v>
      </c>
      <c r="BZ100" s="383">
        <f>HLOOKUP($BY100,$AH$6:$AJ$132,ROWS(BZ$6:BZ100),0)</f>
        <v>0</v>
      </c>
      <c r="CA100" s="234">
        <f t="shared" si="70"/>
        <v>0</v>
      </c>
      <c r="CB100" s="96">
        <f t="shared" si="70"/>
        <v>0</v>
      </c>
      <c r="CC100" s="96">
        <f t="shared" si="70"/>
        <v>0</v>
      </c>
      <c r="CD100" s="96">
        <f t="shared" si="70"/>
        <v>0</v>
      </c>
      <c r="CE100" s="96">
        <f t="shared" si="41"/>
        <v>0</v>
      </c>
      <c r="CF100" s="96">
        <f t="shared" si="41"/>
        <v>0</v>
      </c>
      <c r="CG100" s="96">
        <f t="shared" si="41"/>
        <v>0</v>
      </c>
      <c r="CH100" s="286">
        <f t="shared" si="41"/>
        <v>0</v>
      </c>
      <c r="CI100" s="305" t="s">
        <v>293</v>
      </c>
      <c r="CJ100" s="315">
        <v>0.05</v>
      </c>
      <c r="CK100" s="306"/>
      <c r="CL100" s="307" t="str">
        <f>IF($CK100&lt;&gt;"",$CK100,HLOOKUP($CI100,$AU$6:$AW$132,ROWS(CL$6:CL100),0))</f>
        <v/>
      </c>
      <c r="CM100" s="97"/>
      <c r="CN100" s="97"/>
      <c r="CO100" s="97"/>
      <c r="CP100" s="97"/>
      <c r="CQ100" s="97"/>
      <c r="CR100" s="97"/>
      <c r="CS100" s="97"/>
      <c r="CT100" s="98"/>
      <c r="CU100" s="392"/>
    </row>
    <row r="101" spans="1:99" x14ac:dyDescent="0.25">
      <c r="A101" s="81" t="s">
        <v>196</v>
      </c>
      <c r="B101" s="82" t="s">
        <v>205</v>
      </c>
      <c r="C101" s="83" t="s">
        <v>206</v>
      </c>
      <c r="D101" s="84"/>
      <c r="E101" s="85"/>
      <c r="F101" s="85"/>
      <c r="G101" s="85"/>
      <c r="H101" s="85"/>
      <c r="I101" s="85"/>
      <c r="J101" s="85"/>
      <c r="K101" s="85"/>
      <c r="L101" s="85"/>
      <c r="M101" s="201"/>
      <c r="N101" s="560">
        <f t="shared" si="63"/>
        <v>0</v>
      </c>
      <c r="O101" s="561">
        <f t="shared" si="43"/>
        <v>0</v>
      </c>
      <c r="P101" s="561">
        <f t="shared" si="44"/>
        <v>0</v>
      </c>
      <c r="Q101" s="561">
        <f t="shared" si="45"/>
        <v>0</v>
      </c>
      <c r="R101" s="561">
        <f t="shared" si="46"/>
        <v>0</v>
      </c>
      <c r="S101" s="561">
        <f t="shared" si="47"/>
        <v>0</v>
      </c>
      <c r="T101" s="561">
        <f t="shared" si="48"/>
        <v>0</v>
      </c>
      <c r="U101" s="561">
        <f t="shared" si="49"/>
        <v>0</v>
      </c>
      <c r="V101" s="561">
        <f t="shared" si="50"/>
        <v>0</v>
      </c>
      <c r="W101" s="562">
        <f t="shared" si="51"/>
        <v>0</v>
      </c>
      <c r="X101" s="86"/>
      <c r="Y101" s="87"/>
      <c r="Z101" s="87"/>
      <c r="AA101" s="87"/>
      <c r="AB101" s="87"/>
      <c r="AC101" s="87"/>
      <c r="AD101" s="87"/>
      <c r="AE101" s="87"/>
      <c r="AF101" s="87"/>
      <c r="AG101" s="194"/>
      <c r="AH101" s="88">
        <f t="shared" si="64"/>
        <v>0</v>
      </c>
      <c r="AI101" s="89" t="str" cm="1">
        <f t="array" aca="1" ref="AI101" ca="1">IFERROR(IF($AJ$4="N",SSUM(AD101:AF101)/3,SUM(AE101:AG101)/3),"")</f>
        <v/>
      </c>
      <c r="AJ101" s="90">
        <f t="shared" si="65"/>
        <v>0</v>
      </c>
      <c r="AK101" s="91" t="str">
        <f t="shared" si="52"/>
        <v/>
      </c>
      <c r="AL101" s="92" t="str">
        <f t="shared" si="53"/>
        <v/>
      </c>
      <c r="AM101" s="92" t="str">
        <f t="shared" si="54"/>
        <v/>
      </c>
      <c r="AN101" s="92" t="str">
        <f t="shared" si="55"/>
        <v/>
      </c>
      <c r="AO101" s="92" t="str">
        <f t="shared" si="56"/>
        <v/>
      </c>
      <c r="AP101" s="92" t="str">
        <f t="shared" si="57"/>
        <v/>
      </c>
      <c r="AQ101" s="92" t="str">
        <f t="shared" si="58"/>
        <v/>
      </c>
      <c r="AR101" s="92" t="str">
        <f t="shared" si="59"/>
        <v/>
      </c>
      <c r="AS101" s="92" t="str">
        <f t="shared" si="60"/>
        <v/>
      </c>
      <c r="AT101" s="217" t="str">
        <f t="shared" si="61"/>
        <v/>
      </c>
      <c r="AU101" s="93" t="str">
        <f t="shared" si="66"/>
        <v/>
      </c>
      <c r="AV101" s="94" t="str">
        <f t="shared" si="67"/>
        <v/>
      </c>
      <c r="AW101" s="95" t="str">
        <f t="shared" si="68"/>
        <v/>
      </c>
      <c r="AX101" s="248" t="s">
        <v>422</v>
      </c>
      <c r="AY101" s="229" t="s">
        <v>433</v>
      </c>
      <c r="AZ101" s="249">
        <v>0</v>
      </c>
      <c r="BA101" s="267">
        <f t="shared" si="69"/>
        <v>0</v>
      </c>
      <c r="BB101" s="268">
        <f t="shared" si="71"/>
        <v>0</v>
      </c>
      <c r="BC101" s="268">
        <f t="shared" si="71"/>
        <v>0</v>
      </c>
      <c r="BD101" s="268">
        <f t="shared" si="71"/>
        <v>1</v>
      </c>
      <c r="BE101" s="268">
        <f t="shared" si="71"/>
        <v>2</v>
      </c>
      <c r="BF101" s="268">
        <f t="shared" si="71"/>
        <v>3</v>
      </c>
      <c r="BG101" s="268">
        <f t="shared" si="71"/>
        <v>4</v>
      </c>
      <c r="BH101" s="269">
        <f t="shared" si="71"/>
        <v>5</v>
      </c>
      <c r="BI101" s="256">
        <f>IF($AY101=Lookup!$A$2,$AZ101*ROUNDUP(BA101/10,0)+1,
IF($AY101=Lookup!$A$3,($AZ101+1)^AZ101,
IF($AY101=Lookup!$A$4,BA101*$AZ101+1,"Error")))</f>
        <v>1</v>
      </c>
      <c r="BJ101" s="229">
        <f>IF($AY101=Lookup!$A$2,$AZ101*ROUNDUP(BB101/10,0)+1,
IF($AY101=Lookup!$A$3,($AZ101+1)^BA101,
IF($AY101=Lookup!$A$4,BB101*$AZ101+1,"Error")))</f>
        <v>1</v>
      </c>
      <c r="BK101" s="229">
        <f>IF($AY101=Lookup!$A$2,$AZ101*ROUNDUP(BC101/10,0)+1,
IF($AY101=Lookup!$A$3,($AZ101+1)^BB101,
IF($AY101=Lookup!$A$4,BC101*$AZ101+1,"Error")))</f>
        <v>1</v>
      </c>
      <c r="BL101" s="229">
        <f>IF($AY101=Lookup!$A$2,$AZ101*ROUNDUP(BD101/10,0)+1,
IF($AY101=Lookup!$A$3,($AZ101+1)^BC101,
IF($AY101=Lookup!$A$4,BD101*$AZ101+1,"Error")))</f>
        <v>1</v>
      </c>
      <c r="BM101" s="229">
        <f>IF($AY101=Lookup!$A$2,$AZ101*ROUNDUP(BE101/10,0)+1,
IF($AY101=Lookup!$A$3,($AZ101+1)^BD101,
IF($AY101=Lookup!$A$4,BE101*$AZ101+1,"Error")))</f>
        <v>1</v>
      </c>
      <c r="BN101" s="229">
        <f>IF($AY101=Lookup!$A$2,$AZ101*ROUNDUP(BF101/10,0)+1,
IF($AY101=Lookup!$A$3,($AZ101+1)^BE101,
IF($AY101=Lookup!$A$4,BF101*$AZ101+1,"Error")))</f>
        <v>1</v>
      </c>
      <c r="BO101" s="229">
        <f>IF($AY101=Lookup!$A$2,$AZ101*ROUNDUP(BG101/10,0)+1,
IF($AY101=Lookup!$A$3,($AZ101+1)^BF101,
IF($AY101=Lookup!$A$4,BG101*$AZ101+1,"Error")))</f>
        <v>1</v>
      </c>
      <c r="BP101" s="249">
        <f>IF($AY101=Lookup!$A$2,$AZ101*ROUNDUP(BH101/10,0)+1,
IF($AY101=Lookup!$A$3,($AZ101+1)^BG101,
IF($AY101=Lookup!$A$4,BH101*$AZ101+1,"Error")))</f>
        <v>1</v>
      </c>
      <c r="BQ101" s="320"/>
      <c r="BR101" s="321"/>
      <c r="BS101" s="321"/>
      <c r="BT101" s="321"/>
      <c r="BU101" s="321"/>
      <c r="BV101" s="321"/>
      <c r="BW101" s="321"/>
      <c r="BX101" s="277"/>
      <c r="BY101" s="382" t="s">
        <v>292</v>
      </c>
      <c r="BZ101" s="383">
        <f>HLOOKUP($BY101,$AH$6:$AJ$132,ROWS(BZ$6:BZ101),0)</f>
        <v>0</v>
      </c>
      <c r="CA101" s="234">
        <f t="shared" si="70"/>
        <v>0</v>
      </c>
      <c r="CB101" s="96">
        <f t="shared" si="70"/>
        <v>0</v>
      </c>
      <c r="CC101" s="96">
        <f t="shared" si="70"/>
        <v>0</v>
      </c>
      <c r="CD101" s="96">
        <f t="shared" si="70"/>
        <v>0</v>
      </c>
      <c r="CE101" s="96">
        <f t="shared" si="41"/>
        <v>0</v>
      </c>
      <c r="CF101" s="96">
        <f t="shared" si="41"/>
        <v>0</v>
      </c>
      <c r="CG101" s="96">
        <f t="shared" si="41"/>
        <v>0</v>
      </c>
      <c r="CH101" s="286">
        <f t="shared" si="41"/>
        <v>0</v>
      </c>
      <c r="CI101" s="305" t="s">
        <v>293</v>
      </c>
      <c r="CJ101" s="315">
        <v>0.05</v>
      </c>
      <c r="CK101" s="306"/>
      <c r="CL101" s="307" t="str">
        <f>IF($CK101&lt;&gt;"",$CK101,HLOOKUP($CI101,$AU$6:$AW$132,ROWS(CL$6:CL101),0))</f>
        <v/>
      </c>
      <c r="CM101" s="97"/>
      <c r="CN101" s="97"/>
      <c r="CO101" s="97"/>
      <c r="CP101" s="97"/>
      <c r="CQ101" s="97"/>
      <c r="CR101" s="97"/>
      <c r="CS101" s="97"/>
      <c r="CT101" s="98"/>
      <c r="CU101" s="392"/>
    </row>
    <row r="102" spans="1:99" x14ac:dyDescent="0.25">
      <c r="A102" s="81" t="s">
        <v>196</v>
      </c>
      <c r="B102" s="82" t="s">
        <v>207</v>
      </c>
      <c r="C102" s="83" t="s">
        <v>208</v>
      </c>
      <c r="D102" s="84"/>
      <c r="E102" s="85"/>
      <c r="F102" s="85"/>
      <c r="G102" s="85"/>
      <c r="H102" s="85"/>
      <c r="I102" s="85"/>
      <c r="J102" s="85"/>
      <c r="K102" s="85"/>
      <c r="L102" s="85"/>
      <c r="M102" s="201"/>
      <c r="N102" s="560">
        <f t="shared" si="63"/>
        <v>0</v>
      </c>
      <c r="O102" s="561">
        <f t="shared" si="43"/>
        <v>0</v>
      </c>
      <c r="P102" s="561">
        <f t="shared" si="44"/>
        <v>0</v>
      </c>
      <c r="Q102" s="561">
        <f t="shared" si="45"/>
        <v>0</v>
      </c>
      <c r="R102" s="561">
        <f t="shared" si="46"/>
        <v>0</v>
      </c>
      <c r="S102" s="561">
        <f t="shared" si="47"/>
        <v>0</v>
      </c>
      <c r="T102" s="561">
        <f t="shared" si="48"/>
        <v>0</v>
      </c>
      <c r="U102" s="561">
        <f t="shared" si="49"/>
        <v>0</v>
      </c>
      <c r="V102" s="561">
        <f t="shared" si="50"/>
        <v>0</v>
      </c>
      <c r="W102" s="562">
        <f t="shared" si="51"/>
        <v>0</v>
      </c>
      <c r="X102" s="86"/>
      <c r="Y102" s="87"/>
      <c r="Z102" s="87"/>
      <c r="AA102" s="87"/>
      <c r="AB102" s="87"/>
      <c r="AC102" s="87"/>
      <c r="AD102" s="87"/>
      <c r="AE102" s="87"/>
      <c r="AF102" s="87"/>
      <c r="AG102" s="194"/>
      <c r="AH102" s="88">
        <f t="shared" si="64"/>
        <v>0</v>
      </c>
      <c r="AI102" s="89" t="str" cm="1">
        <f t="array" aca="1" ref="AI102" ca="1">IFERROR(IF($AJ$4="N",SSUM(AD102:AF102)/3,SUM(AE102:AG102)/3),"")</f>
        <v/>
      </c>
      <c r="AJ102" s="90">
        <f t="shared" si="65"/>
        <v>0</v>
      </c>
      <c r="AK102" s="91" t="str">
        <f t="shared" si="52"/>
        <v/>
      </c>
      <c r="AL102" s="92" t="str">
        <f t="shared" si="53"/>
        <v/>
      </c>
      <c r="AM102" s="92" t="str">
        <f t="shared" si="54"/>
        <v/>
      </c>
      <c r="AN102" s="92" t="str">
        <f t="shared" si="55"/>
        <v/>
      </c>
      <c r="AO102" s="92" t="str">
        <f t="shared" si="56"/>
        <v/>
      </c>
      <c r="AP102" s="92" t="str">
        <f t="shared" si="57"/>
        <v/>
      </c>
      <c r="AQ102" s="92" t="str">
        <f t="shared" si="58"/>
        <v/>
      </c>
      <c r="AR102" s="92" t="str">
        <f t="shared" si="59"/>
        <v/>
      </c>
      <c r="AS102" s="92" t="str">
        <f t="shared" si="60"/>
        <v/>
      </c>
      <c r="AT102" s="217" t="str">
        <f t="shared" si="61"/>
        <v/>
      </c>
      <c r="AU102" s="93" t="str">
        <f t="shared" si="66"/>
        <v/>
      </c>
      <c r="AV102" s="94" t="str">
        <f t="shared" si="67"/>
        <v/>
      </c>
      <c r="AW102" s="95" t="str">
        <f t="shared" si="68"/>
        <v/>
      </c>
      <c r="AX102" s="248" t="s">
        <v>422</v>
      </c>
      <c r="AY102" s="229" t="s">
        <v>433</v>
      </c>
      <c r="AZ102" s="249">
        <v>0</v>
      </c>
      <c r="BA102" s="267">
        <f t="shared" si="69"/>
        <v>0</v>
      </c>
      <c r="BB102" s="268">
        <f t="shared" si="71"/>
        <v>0</v>
      </c>
      <c r="BC102" s="268">
        <f t="shared" si="71"/>
        <v>0</v>
      </c>
      <c r="BD102" s="268">
        <f t="shared" si="71"/>
        <v>1</v>
      </c>
      <c r="BE102" s="268">
        <f t="shared" si="71"/>
        <v>2</v>
      </c>
      <c r="BF102" s="268">
        <f t="shared" si="71"/>
        <v>3</v>
      </c>
      <c r="BG102" s="268">
        <f t="shared" si="71"/>
        <v>4</v>
      </c>
      <c r="BH102" s="269">
        <f t="shared" si="71"/>
        <v>5</v>
      </c>
      <c r="BI102" s="256">
        <f>IF($AY102=Lookup!$A$2,$AZ102*ROUNDUP(BA102/10,0)+1,
IF($AY102=Lookup!$A$3,($AZ102+1)^AZ102,
IF($AY102=Lookup!$A$4,BA102*$AZ102+1,"Error")))</f>
        <v>1</v>
      </c>
      <c r="BJ102" s="229">
        <f>IF($AY102=Lookup!$A$2,$AZ102*ROUNDUP(BB102/10,0)+1,
IF($AY102=Lookup!$A$3,($AZ102+1)^BA102,
IF($AY102=Lookup!$A$4,BB102*$AZ102+1,"Error")))</f>
        <v>1</v>
      </c>
      <c r="BK102" s="229">
        <f>IF($AY102=Lookup!$A$2,$AZ102*ROUNDUP(BC102/10,0)+1,
IF($AY102=Lookup!$A$3,($AZ102+1)^BB102,
IF($AY102=Lookup!$A$4,BC102*$AZ102+1,"Error")))</f>
        <v>1</v>
      </c>
      <c r="BL102" s="229">
        <f>IF($AY102=Lookup!$A$2,$AZ102*ROUNDUP(BD102/10,0)+1,
IF($AY102=Lookup!$A$3,($AZ102+1)^BC102,
IF($AY102=Lookup!$A$4,BD102*$AZ102+1,"Error")))</f>
        <v>1</v>
      </c>
      <c r="BM102" s="229">
        <f>IF($AY102=Lookup!$A$2,$AZ102*ROUNDUP(BE102/10,0)+1,
IF($AY102=Lookup!$A$3,($AZ102+1)^BD102,
IF($AY102=Lookup!$A$4,BE102*$AZ102+1,"Error")))</f>
        <v>1</v>
      </c>
      <c r="BN102" s="229">
        <f>IF($AY102=Lookup!$A$2,$AZ102*ROUNDUP(BF102/10,0)+1,
IF($AY102=Lookup!$A$3,($AZ102+1)^BE102,
IF($AY102=Lookup!$A$4,BF102*$AZ102+1,"Error")))</f>
        <v>1</v>
      </c>
      <c r="BO102" s="229">
        <f>IF($AY102=Lookup!$A$2,$AZ102*ROUNDUP(BG102/10,0)+1,
IF($AY102=Lookup!$A$3,($AZ102+1)^BF102,
IF($AY102=Lookup!$A$4,BG102*$AZ102+1,"Error")))</f>
        <v>1</v>
      </c>
      <c r="BP102" s="249">
        <f>IF($AY102=Lookup!$A$2,$AZ102*ROUNDUP(BH102/10,0)+1,
IF($AY102=Lookup!$A$3,($AZ102+1)^BG102,
IF($AY102=Lookup!$A$4,BH102*$AZ102+1,"Error")))</f>
        <v>1</v>
      </c>
      <c r="BQ102" s="320"/>
      <c r="BR102" s="321"/>
      <c r="BS102" s="321"/>
      <c r="BT102" s="321"/>
      <c r="BU102" s="321"/>
      <c r="BV102" s="321"/>
      <c r="BW102" s="321"/>
      <c r="BX102" s="277"/>
      <c r="BY102" s="382" t="s">
        <v>292</v>
      </c>
      <c r="BZ102" s="383">
        <f>HLOOKUP($BY102,$AH$6:$AJ$132,ROWS(BZ$6:BZ102),0)</f>
        <v>0</v>
      </c>
      <c r="CA102" s="234">
        <f t="shared" si="70"/>
        <v>0</v>
      </c>
      <c r="CB102" s="96">
        <f t="shared" si="70"/>
        <v>0</v>
      </c>
      <c r="CC102" s="96">
        <f t="shared" si="70"/>
        <v>0</v>
      </c>
      <c r="CD102" s="96">
        <f t="shared" si="70"/>
        <v>0</v>
      </c>
      <c r="CE102" s="96">
        <f t="shared" si="41"/>
        <v>0</v>
      </c>
      <c r="CF102" s="96">
        <f t="shared" si="41"/>
        <v>0</v>
      </c>
      <c r="CG102" s="96">
        <f t="shared" si="41"/>
        <v>0</v>
      </c>
      <c r="CH102" s="286">
        <f t="shared" si="41"/>
        <v>0</v>
      </c>
      <c r="CI102" s="305" t="s">
        <v>293</v>
      </c>
      <c r="CJ102" s="315">
        <v>0.05</v>
      </c>
      <c r="CK102" s="306"/>
      <c r="CL102" s="307" t="str">
        <f>IF($CK102&lt;&gt;"",$CK102,HLOOKUP($CI102,$AU$6:$AW$132,ROWS(CL$6:CL102),0))</f>
        <v/>
      </c>
      <c r="CM102" s="97"/>
      <c r="CN102" s="97"/>
      <c r="CO102" s="97"/>
      <c r="CP102" s="97"/>
      <c r="CQ102" s="97"/>
      <c r="CR102" s="97"/>
      <c r="CS102" s="97"/>
      <c r="CT102" s="98"/>
      <c r="CU102" s="392"/>
    </row>
    <row r="103" spans="1:99" x14ac:dyDescent="0.25">
      <c r="A103" s="81" t="s">
        <v>196</v>
      </c>
      <c r="B103" s="82" t="s">
        <v>209</v>
      </c>
      <c r="C103" s="83" t="s">
        <v>210</v>
      </c>
      <c r="D103" s="84"/>
      <c r="E103" s="85"/>
      <c r="F103" s="85"/>
      <c r="G103" s="85"/>
      <c r="H103" s="85"/>
      <c r="I103" s="85"/>
      <c r="J103" s="85"/>
      <c r="K103" s="85"/>
      <c r="L103" s="85"/>
      <c r="M103" s="201"/>
      <c r="N103" s="560">
        <f t="shared" si="63"/>
        <v>0</v>
      </c>
      <c r="O103" s="561">
        <f t="shared" si="43"/>
        <v>0</v>
      </c>
      <c r="P103" s="561">
        <f t="shared" si="44"/>
        <v>0</v>
      </c>
      <c r="Q103" s="561">
        <f t="shared" si="45"/>
        <v>0</v>
      </c>
      <c r="R103" s="561">
        <f t="shared" si="46"/>
        <v>0</v>
      </c>
      <c r="S103" s="561">
        <f t="shared" si="47"/>
        <v>0</v>
      </c>
      <c r="T103" s="561">
        <f t="shared" si="48"/>
        <v>0</v>
      </c>
      <c r="U103" s="561">
        <f t="shared" si="49"/>
        <v>0</v>
      </c>
      <c r="V103" s="561">
        <f t="shared" si="50"/>
        <v>0</v>
      </c>
      <c r="W103" s="562">
        <f t="shared" si="51"/>
        <v>0</v>
      </c>
      <c r="X103" s="86"/>
      <c r="Y103" s="87"/>
      <c r="Z103" s="87"/>
      <c r="AA103" s="87"/>
      <c r="AB103" s="87"/>
      <c r="AC103" s="87"/>
      <c r="AD103" s="87"/>
      <c r="AE103" s="87"/>
      <c r="AF103" s="87"/>
      <c r="AG103" s="194"/>
      <c r="AH103" s="88">
        <f t="shared" si="64"/>
        <v>0</v>
      </c>
      <c r="AI103" s="89" t="str" cm="1">
        <f t="array" aca="1" ref="AI103" ca="1">IFERROR(IF($AJ$4="N",SSUM(AD103:AF103)/3,SUM(AE103:AG103)/3),"")</f>
        <v/>
      </c>
      <c r="AJ103" s="90">
        <f t="shared" si="65"/>
        <v>0</v>
      </c>
      <c r="AK103" s="91" t="str">
        <f t="shared" ref="AK103:AK132" si="72">IFERROR(D103/X103,"")</f>
        <v/>
      </c>
      <c r="AL103" s="92" t="str">
        <f t="shared" ref="AL103:AL132" si="73">IFERROR(E103/Y103,"")</f>
        <v/>
      </c>
      <c r="AM103" s="92" t="str">
        <f t="shared" ref="AM103:AM132" si="74">IFERROR(F103/Z103,"")</f>
        <v/>
      </c>
      <c r="AN103" s="92" t="str">
        <f t="shared" ref="AN103:AN132" si="75">IFERROR(G103/AA103,"")</f>
        <v/>
      </c>
      <c r="AO103" s="92" t="str">
        <f t="shared" ref="AO103:AO132" si="76">IFERROR(H103/AB103,"")</f>
        <v/>
      </c>
      <c r="AP103" s="92" t="str">
        <f t="shared" ref="AP103:AP132" si="77">IFERROR(I103/AC103,"")</f>
        <v/>
      </c>
      <c r="AQ103" s="92" t="str">
        <f t="shared" ref="AQ103:AQ132" si="78">IFERROR(J103/AD103,"")</f>
        <v/>
      </c>
      <c r="AR103" s="92" t="str">
        <f t="shared" ref="AR103:AR132" si="79">IFERROR(K103/AE103,"")</f>
        <v/>
      </c>
      <c r="AS103" s="92" t="str">
        <f t="shared" ref="AS103:AS132" si="80">IFERROR(L103/AF103,"")</f>
        <v/>
      </c>
      <c r="AT103" s="217" t="str">
        <f t="shared" ref="AT103:AT132" si="81">IFERROR(M103/AG103,"")</f>
        <v/>
      </c>
      <c r="AU103" s="93" t="str">
        <f t="shared" si="66"/>
        <v/>
      </c>
      <c r="AV103" s="94" t="str">
        <f t="shared" si="67"/>
        <v/>
      </c>
      <c r="AW103" s="95" t="str">
        <f t="shared" si="68"/>
        <v/>
      </c>
      <c r="AX103" s="248" t="s">
        <v>422</v>
      </c>
      <c r="AY103" s="229" t="s">
        <v>433</v>
      </c>
      <c r="AZ103" s="249">
        <v>0</v>
      </c>
      <c r="BA103" s="267">
        <f t="shared" si="69"/>
        <v>0</v>
      </c>
      <c r="BB103" s="268">
        <f t="shared" ref="BB103:BH118" si="82">IF(BB$6=$AX103,1,
IF(BA103&lt;&gt;0,BA103+1,0
))</f>
        <v>0</v>
      </c>
      <c r="BC103" s="268">
        <f t="shared" si="82"/>
        <v>0</v>
      </c>
      <c r="BD103" s="268">
        <f t="shared" si="82"/>
        <v>1</v>
      </c>
      <c r="BE103" s="268">
        <f t="shared" si="82"/>
        <v>2</v>
      </c>
      <c r="BF103" s="268">
        <f t="shared" si="82"/>
        <v>3</v>
      </c>
      <c r="BG103" s="268">
        <f t="shared" si="82"/>
        <v>4</v>
      </c>
      <c r="BH103" s="269">
        <f t="shared" si="82"/>
        <v>5</v>
      </c>
      <c r="BI103" s="256">
        <f>IF($AY103=Lookup!$A$2,$AZ103*ROUNDUP(BA103/10,0)+1,
IF($AY103=Lookup!$A$3,($AZ103+1)^AZ103,
IF($AY103=Lookup!$A$4,BA103*$AZ103+1,"Error")))</f>
        <v>1</v>
      </c>
      <c r="BJ103" s="229">
        <f>IF($AY103=Lookup!$A$2,$AZ103*ROUNDUP(BB103/10,0)+1,
IF($AY103=Lookup!$A$3,($AZ103+1)^BA103,
IF($AY103=Lookup!$A$4,BB103*$AZ103+1,"Error")))</f>
        <v>1</v>
      </c>
      <c r="BK103" s="229">
        <f>IF($AY103=Lookup!$A$2,$AZ103*ROUNDUP(BC103/10,0)+1,
IF($AY103=Lookup!$A$3,($AZ103+1)^BB103,
IF($AY103=Lookup!$A$4,BC103*$AZ103+1,"Error")))</f>
        <v>1</v>
      </c>
      <c r="BL103" s="229">
        <f>IF($AY103=Lookup!$A$2,$AZ103*ROUNDUP(BD103/10,0)+1,
IF($AY103=Lookup!$A$3,($AZ103+1)^BC103,
IF($AY103=Lookup!$A$4,BD103*$AZ103+1,"Error")))</f>
        <v>1</v>
      </c>
      <c r="BM103" s="229">
        <f>IF($AY103=Lookup!$A$2,$AZ103*ROUNDUP(BE103/10,0)+1,
IF($AY103=Lookup!$A$3,($AZ103+1)^BD103,
IF($AY103=Lookup!$A$4,BE103*$AZ103+1,"Error")))</f>
        <v>1</v>
      </c>
      <c r="BN103" s="229">
        <f>IF($AY103=Lookup!$A$2,$AZ103*ROUNDUP(BF103/10,0)+1,
IF($AY103=Lookup!$A$3,($AZ103+1)^BE103,
IF($AY103=Lookup!$A$4,BF103*$AZ103+1,"Error")))</f>
        <v>1</v>
      </c>
      <c r="BO103" s="229">
        <f>IF($AY103=Lookup!$A$2,$AZ103*ROUNDUP(BG103/10,0)+1,
IF($AY103=Lookup!$A$3,($AZ103+1)^BF103,
IF($AY103=Lookup!$A$4,BG103*$AZ103+1,"Error")))</f>
        <v>1</v>
      </c>
      <c r="BP103" s="249">
        <f>IF($AY103=Lookup!$A$2,$AZ103*ROUNDUP(BH103/10,0)+1,
IF($AY103=Lookup!$A$3,($AZ103+1)^BG103,
IF($AY103=Lookup!$A$4,BH103*$AZ103+1,"Error")))</f>
        <v>1</v>
      </c>
      <c r="BQ103" s="320"/>
      <c r="BR103" s="321"/>
      <c r="BS103" s="321"/>
      <c r="BT103" s="321"/>
      <c r="BU103" s="321"/>
      <c r="BV103" s="321"/>
      <c r="BW103" s="321"/>
      <c r="BX103" s="277"/>
      <c r="BY103" s="382" t="s">
        <v>292</v>
      </c>
      <c r="BZ103" s="383">
        <f>HLOOKUP($BY103,$AH$6:$AJ$132,ROWS(BZ$6:BZ103),0)</f>
        <v>0</v>
      </c>
      <c r="CA103" s="234">
        <f t="shared" si="70"/>
        <v>0</v>
      </c>
      <c r="CB103" s="96">
        <f t="shared" si="70"/>
        <v>0</v>
      </c>
      <c r="CC103" s="96">
        <f t="shared" si="70"/>
        <v>0</v>
      </c>
      <c r="CD103" s="96">
        <f t="shared" si="70"/>
        <v>0</v>
      </c>
      <c r="CE103" s="96">
        <f t="shared" si="41"/>
        <v>0</v>
      </c>
      <c r="CF103" s="96">
        <f t="shared" si="41"/>
        <v>0</v>
      </c>
      <c r="CG103" s="96">
        <f t="shared" si="41"/>
        <v>0</v>
      </c>
      <c r="CH103" s="286">
        <f t="shared" si="41"/>
        <v>0</v>
      </c>
      <c r="CI103" s="305" t="s">
        <v>293</v>
      </c>
      <c r="CJ103" s="315">
        <v>0.05</v>
      </c>
      <c r="CK103" s="306"/>
      <c r="CL103" s="307" t="str">
        <f>IF($CK103&lt;&gt;"",$CK103,HLOOKUP($CI103,$AU$6:$AW$132,ROWS(CL$6:CL103),0))</f>
        <v/>
      </c>
      <c r="CM103" s="97"/>
      <c r="CN103" s="97"/>
      <c r="CO103" s="97"/>
      <c r="CP103" s="97"/>
      <c r="CQ103" s="97"/>
      <c r="CR103" s="97"/>
      <c r="CS103" s="97"/>
      <c r="CT103" s="98"/>
      <c r="CU103" s="392"/>
    </row>
    <row r="104" spans="1:99" x14ac:dyDescent="0.25">
      <c r="A104" s="81" t="s">
        <v>196</v>
      </c>
      <c r="B104" s="82" t="s">
        <v>211</v>
      </c>
      <c r="C104" s="83" t="s">
        <v>212</v>
      </c>
      <c r="D104" s="84"/>
      <c r="E104" s="85"/>
      <c r="F104" s="85"/>
      <c r="G104" s="85"/>
      <c r="H104" s="85"/>
      <c r="I104" s="85"/>
      <c r="J104" s="85"/>
      <c r="K104" s="85"/>
      <c r="L104" s="85"/>
      <c r="M104" s="201"/>
      <c r="N104" s="560">
        <f t="shared" si="63"/>
        <v>0</v>
      </c>
      <c r="O104" s="561">
        <f t="shared" si="43"/>
        <v>0</v>
      </c>
      <c r="P104" s="561">
        <f t="shared" si="44"/>
        <v>0</v>
      </c>
      <c r="Q104" s="561">
        <f t="shared" si="45"/>
        <v>0</v>
      </c>
      <c r="R104" s="561">
        <f t="shared" si="46"/>
        <v>0</v>
      </c>
      <c r="S104" s="561">
        <f t="shared" si="47"/>
        <v>0</v>
      </c>
      <c r="T104" s="561">
        <f t="shared" si="48"/>
        <v>0</v>
      </c>
      <c r="U104" s="561">
        <f t="shared" si="49"/>
        <v>0</v>
      </c>
      <c r="V104" s="561">
        <f t="shared" si="50"/>
        <v>0</v>
      </c>
      <c r="W104" s="562">
        <f t="shared" si="51"/>
        <v>0</v>
      </c>
      <c r="X104" s="86"/>
      <c r="Y104" s="87"/>
      <c r="Z104" s="87"/>
      <c r="AA104" s="87"/>
      <c r="AB104" s="87"/>
      <c r="AC104" s="87"/>
      <c r="AD104" s="87"/>
      <c r="AE104" s="87"/>
      <c r="AF104" s="87"/>
      <c r="AG104" s="194"/>
      <c r="AH104" s="88">
        <f t="shared" si="64"/>
        <v>0</v>
      </c>
      <c r="AI104" s="89" t="str" cm="1">
        <f t="array" aca="1" ref="AI104" ca="1">IFERROR(IF($AJ$4="N",SSUM(AD104:AF104)/3,SUM(AE104:AG104)/3),"")</f>
        <v/>
      </c>
      <c r="AJ104" s="90">
        <f t="shared" si="65"/>
        <v>0</v>
      </c>
      <c r="AK104" s="91" t="str">
        <f t="shared" si="72"/>
        <v/>
      </c>
      <c r="AL104" s="92" t="str">
        <f t="shared" si="73"/>
        <v/>
      </c>
      <c r="AM104" s="92" t="str">
        <f t="shared" si="74"/>
        <v/>
      </c>
      <c r="AN104" s="92" t="str">
        <f t="shared" si="75"/>
        <v/>
      </c>
      <c r="AO104" s="92" t="str">
        <f t="shared" si="76"/>
        <v/>
      </c>
      <c r="AP104" s="92" t="str">
        <f t="shared" si="77"/>
        <v/>
      </c>
      <c r="AQ104" s="92" t="str">
        <f t="shared" si="78"/>
        <v/>
      </c>
      <c r="AR104" s="92" t="str">
        <f t="shared" si="79"/>
        <v/>
      </c>
      <c r="AS104" s="92" t="str">
        <f t="shared" si="80"/>
        <v/>
      </c>
      <c r="AT104" s="217" t="str">
        <f t="shared" si="81"/>
        <v/>
      </c>
      <c r="AU104" s="93" t="str">
        <f t="shared" si="66"/>
        <v/>
      </c>
      <c r="AV104" s="94" t="str">
        <f t="shared" si="67"/>
        <v/>
      </c>
      <c r="AW104" s="95" t="str">
        <f t="shared" si="68"/>
        <v/>
      </c>
      <c r="AX104" s="248" t="s">
        <v>422</v>
      </c>
      <c r="AY104" s="229" t="s">
        <v>433</v>
      </c>
      <c r="AZ104" s="249">
        <v>0</v>
      </c>
      <c r="BA104" s="267">
        <f t="shared" si="69"/>
        <v>0</v>
      </c>
      <c r="BB104" s="268">
        <f t="shared" si="82"/>
        <v>0</v>
      </c>
      <c r="BC104" s="268">
        <f t="shared" si="82"/>
        <v>0</v>
      </c>
      <c r="BD104" s="268">
        <f t="shared" si="82"/>
        <v>1</v>
      </c>
      <c r="BE104" s="268">
        <f t="shared" si="82"/>
        <v>2</v>
      </c>
      <c r="BF104" s="268">
        <f t="shared" si="82"/>
        <v>3</v>
      </c>
      <c r="BG104" s="268">
        <f t="shared" si="82"/>
        <v>4</v>
      </c>
      <c r="BH104" s="269">
        <f t="shared" si="82"/>
        <v>5</v>
      </c>
      <c r="BI104" s="256">
        <f>IF($AY104=Lookup!$A$2,$AZ104*ROUNDUP(BA104/10,0)+1,
IF($AY104=Lookup!$A$3,($AZ104+1)^AZ104,
IF($AY104=Lookup!$A$4,BA104*$AZ104+1,"Error")))</f>
        <v>1</v>
      </c>
      <c r="BJ104" s="229">
        <f>IF($AY104=Lookup!$A$2,$AZ104*ROUNDUP(BB104/10,0)+1,
IF($AY104=Lookup!$A$3,($AZ104+1)^BA104,
IF($AY104=Lookup!$A$4,BB104*$AZ104+1,"Error")))</f>
        <v>1</v>
      </c>
      <c r="BK104" s="229">
        <f>IF($AY104=Lookup!$A$2,$AZ104*ROUNDUP(BC104/10,0)+1,
IF($AY104=Lookup!$A$3,($AZ104+1)^BB104,
IF($AY104=Lookup!$A$4,BC104*$AZ104+1,"Error")))</f>
        <v>1</v>
      </c>
      <c r="BL104" s="229">
        <f>IF($AY104=Lookup!$A$2,$AZ104*ROUNDUP(BD104/10,0)+1,
IF($AY104=Lookup!$A$3,($AZ104+1)^BC104,
IF($AY104=Lookup!$A$4,BD104*$AZ104+1,"Error")))</f>
        <v>1</v>
      </c>
      <c r="BM104" s="229">
        <f>IF($AY104=Lookup!$A$2,$AZ104*ROUNDUP(BE104/10,0)+1,
IF($AY104=Lookup!$A$3,($AZ104+1)^BD104,
IF($AY104=Lookup!$A$4,BE104*$AZ104+1,"Error")))</f>
        <v>1</v>
      </c>
      <c r="BN104" s="229">
        <f>IF($AY104=Lookup!$A$2,$AZ104*ROUNDUP(BF104/10,0)+1,
IF($AY104=Lookup!$A$3,($AZ104+1)^BE104,
IF($AY104=Lookup!$A$4,BF104*$AZ104+1,"Error")))</f>
        <v>1</v>
      </c>
      <c r="BO104" s="229">
        <f>IF($AY104=Lookup!$A$2,$AZ104*ROUNDUP(BG104/10,0)+1,
IF($AY104=Lookup!$A$3,($AZ104+1)^BF104,
IF($AY104=Lookup!$A$4,BG104*$AZ104+1,"Error")))</f>
        <v>1</v>
      </c>
      <c r="BP104" s="249">
        <f>IF($AY104=Lookup!$A$2,$AZ104*ROUNDUP(BH104/10,0)+1,
IF($AY104=Lookup!$A$3,($AZ104+1)^BG104,
IF($AY104=Lookup!$A$4,BH104*$AZ104+1,"Error")))</f>
        <v>1</v>
      </c>
      <c r="BQ104" s="320"/>
      <c r="BR104" s="321"/>
      <c r="BS104" s="321"/>
      <c r="BT104" s="321"/>
      <c r="BU104" s="321"/>
      <c r="BV104" s="321"/>
      <c r="BW104" s="321"/>
      <c r="BX104" s="277"/>
      <c r="BY104" s="382" t="s">
        <v>292</v>
      </c>
      <c r="BZ104" s="383">
        <f>HLOOKUP($BY104,$AH$6:$AJ$132,ROWS(BZ$6:BZ104),0)</f>
        <v>0</v>
      </c>
      <c r="CA104" s="234">
        <f t="shared" si="70"/>
        <v>0</v>
      </c>
      <c r="CB104" s="96">
        <f t="shared" si="70"/>
        <v>0</v>
      </c>
      <c r="CC104" s="96">
        <f t="shared" si="70"/>
        <v>0</v>
      </c>
      <c r="CD104" s="96">
        <f t="shared" si="70"/>
        <v>0</v>
      </c>
      <c r="CE104" s="96">
        <f t="shared" si="41"/>
        <v>0</v>
      </c>
      <c r="CF104" s="96">
        <f t="shared" si="41"/>
        <v>0</v>
      </c>
      <c r="CG104" s="96">
        <f t="shared" si="41"/>
        <v>0</v>
      </c>
      <c r="CH104" s="286">
        <f t="shared" si="41"/>
        <v>0</v>
      </c>
      <c r="CI104" s="305" t="s">
        <v>293</v>
      </c>
      <c r="CJ104" s="315">
        <v>0.05</v>
      </c>
      <c r="CK104" s="306"/>
      <c r="CL104" s="307" t="str">
        <f>IF($CK104&lt;&gt;"",$CK104,HLOOKUP($CI104,$AU$6:$AW$132,ROWS(CL$6:CL104),0))</f>
        <v/>
      </c>
      <c r="CM104" s="97"/>
      <c r="CN104" s="97"/>
      <c r="CO104" s="97"/>
      <c r="CP104" s="97"/>
      <c r="CQ104" s="97"/>
      <c r="CR104" s="97"/>
      <c r="CS104" s="97"/>
      <c r="CT104" s="98"/>
      <c r="CU104" s="392"/>
    </row>
    <row r="105" spans="1:99" x14ac:dyDescent="0.25">
      <c r="A105" s="81" t="s">
        <v>196</v>
      </c>
      <c r="B105" s="82" t="s">
        <v>213</v>
      </c>
      <c r="C105" s="83" t="s">
        <v>214</v>
      </c>
      <c r="D105" s="84"/>
      <c r="E105" s="85"/>
      <c r="F105" s="85"/>
      <c r="G105" s="85"/>
      <c r="H105" s="85"/>
      <c r="I105" s="85"/>
      <c r="J105" s="85"/>
      <c r="K105" s="85"/>
      <c r="L105" s="85"/>
      <c r="M105" s="201"/>
      <c r="N105" s="560">
        <f t="shared" si="63"/>
        <v>0</v>
      </c>
      <c r="O105" s="561">
        <f t="shared" si="43"/>
        <v>0</v>
      </c>
      <c r="P105" s="561">
        <f t="shared" si="44"/>
        <v>0</v>
      </c>
      <c r="Q105" s="561">
        <f t="shared" si="45"/>
        <v>0</v>
      </c>
      <c r="R105" s="561">
        <f t="shared" si="46"/>
        <v>0</v>
      </c>
      <c r="S105" s="561">
        <f t="shared" si="47"/>
        <v>0</v>
      </c>
      <c r="T105" s="561">
        <f t="shared" si="48"/>
        <v>0</v>
      </c>
      <c r="U105" s="561">
        <f t="shared" si="49"/>
        <v>0</v>
      </c>
      <c r="V105" s="561">
        <f t="shared" si="50"/>
        <v>0</v>
      </c>
      <c r="W105" s="562">
        <f t="shared" si="51"/>
        <v>0</v>
      </c>
      <c r="X105" s="86"/>
      <c r="Y105" s="87"/>
      <c r="Z105" s="87"/>
      <c r="AA105" s="87"/>
      <c r="AB105" s="87"/>
      <c r="AC105" s="87"/>
      <c r="AD105" s="87"/>
      <c r="AE105" s="87"/>
      <c r="AF105" s="87"/>
      <c r="AG105" s="194"/>
      <c r="AH105" s="88">
        <f t="shared" si="64"/>
        <v>0</v>
      </c>
      <c r="AI105" s="89" t="str" cm="1">
        <f t="array" aca="1" ref="AI105" ca="1">IFERROR(IF($AJ$4="N",SSUM(AD105:AF105)/3,SUM(AE105:AG105)/3),"")</f>
        <v/>
      </c>
      <c r="AJ105" s="90">
        <f t="shared" si="65"/>
        <v>0</v>
      </c>
      <c r="AK105" s="91" t="str">
        <f t="shared" si="72"/>
        <v/>
      </c>
      <c r="AL105" s="92" t="str">
        <f t="shared" si="73"/>
        <v/>
      </c>
      <c r="AM105" s="92" t="str">
        <f t="shared" si="74"/>
        <v/>
      </c>
      <c r="AN105" s="92" t="str">
        <f t="shared" si="75"/>
        <v/>
      </c>
      <c r="AO105" s="92" t="str">
        <f t="shared" si="76"/>
        <v/>
      </c>
      <c r="AP105" s="92" t="str">
        <f t="shared" si="77"/>
        <v/>
      </c>
      <c r="AQ105" s="92" t="str">
        <f t="shared" si="78"/>
        <v/>
      </c>
      <c r="AR105" s="92" t="str">
        <f t="shared" si="79"/>
        <v/>
      </c>
      <c r="AS105" s="92" t="str">
        <f t="shared" si="80"/>
        <v/>
      </c>
      <c r="AT105" s="217" t="str">
        <f t="shared" si="81"/>
        <v/>
      </c>
      <c r="AU105" s="93" t="str">
        <f t="shared" si="66"/>
        <v/>
      </c>
      <c r="AV105" s="94" t="str">
        <f t="shared" si="67"/>
        <v/>
      </c>
      <c r="AW105" s="95" t="str">
        <f t="shared" si="68"/>
        <v/>
      </c>
      <c r="AX105" s="248" t="s">
        <v>422</v>
      </c>
      <c r="AY105" s="229" t="s">
        <v>433</v>
      </c>
      <c r="AZ105" s="249">
        <v>0</v>
      </c>
      <c r="BA105" s="267">
        <f t="shared" si="69"/>
        <v>0</v>
      </c>
      <c r="BB105" s="268">
        <f t="shared" si="82"/>
        <v>0</v>
      </c>
      <c r="BC105" s="268">
        <f t="shared" si="82"/>
        <v>0</v>
      </c>
      <c r="BD105" s="268">
        <f t="shared" si="82"/>
        <v>1</v>
      </c>
      <c r="BE105" s="268">
        <f t="shared" si="82"/>
        <v>2</v>
      </c>
      <c r="BF105" s="268">
        <f t="shared" si="82"/>
        <v>3</v>
      </c>
      <c r="BG105" s="268">
        <f t="shared" si="82"/>
        <v>4</v>
      </c>
      <c r="BH105" s="269">
        <f t="shared" si="82"/>
        <v>5</v>
      </c>
      <c r="BI105" s="256">
        <f>IF($AY105=Lookup!$A$2,$AZ105*ROUNDUP(BA105/10,0)+1,
IF($AY105=Lookup!$A$3,($AZ105+1)^AZ105,
IF($AY105=Lookup!$A$4,BA105*$AZ105+1,"Error")))</f>
        <v>1</v>
      </c>
      <c r="BJ105" s="229">
        <f>IF($AY105=Lookup!$A$2,$AZ105*ROUNDUP(BB105/10,0)+1,
IF($AY105=Lookup!$A$3,($AZ105+1)^BA105,
IF($AY105=Lookup!$A$4,BB105*$AZ105+1,"Error")))</f>
        <v>1</v>
      </c>
      <c r="BK105" s="229">
        <f>IF($AY105=Lookup!$A$2,$AZ105*ROUNDUP(BC105/10,0)+1,
IF($AY105=Lookup!$A$3,($AZ105+1)^BB105,
IF($AY105=Lookup!$A$4,BC105*$AZ105+1,"Error")))</f>
        <v>1</v>
      </c>
      <c r="BL105" s="229">
        <f>IF($AY105=Lookup!$A$2,$AZ105*ROUNDUP(BD105/10,0)+1,
IF($AY105=Lookup!$A$3,($AZ105+1)^BC105,
IF($AY105=Lookup!$A$4,BD105*$AZ105+1,"Error")))</f>
        <v>1</v>
      </c>
      <c r="BM105" s="229">
        <f>IF($AY105=Lookup!$A$2,$AZ105*ROUNDUP(BE105/10,0)+1,
IF($AY105=Lookup!$A$3,($AZ105+1)^BD105,
IF($AY105=Lookup!$A$4,BE105*$AZ105+1,"Error")))</f>
        <v>1</v>
      </c>
      <c r="BN105" s="229">
        <f>IF($AY105=Lookup!$A$2,$AZ105*ROUNDUP(BF105/10,0)+1,
IF($AY105=Lookup!$A$3,($AZ105+1)^BE105,
IF($AY105=Lookup!$A$4,BF105*$AZ105+1,"Error")))</f>
        <v>1</v>
      </c>
      <c r="BO105" s="229">
        <f>IF($AY105=Lookup!$A$2,$AZ105*ROUNDUP(BG105/10,0)+1,
IF($AY105=Lookup!$A$3,($AZ105+1)^BF105,
IF($AY105=Lookup!$A$4,BG105*$AZ105+1,"Error")))</f>
        <v>1</v>
      </c>
      <c r="BP105" s="249">
        <f>IF($AY105=Lookup!$A$2,$AZ105*ROUNDUP(BH105/10,0)+1,
IF($AY105=Lookup!$A$3,($AZ105+1)^BG105,
IF($AY105=Lookup!$A$4,BH105*$AZ105+1,"Error")))</f>
        <v>1</v>
      </c>
      <c r="BQ105" s="320"/>
      <c r="BR105" s="321"/>
      <c r="BS105" s="321"/>
      <c r="BT105" s="321"/>
      <c r="BU105" s="321"/>
      <c r="BV105" s="321"/>
      <c r="BW105" s="321"/>
      <c r="BX105" s="277"/>
      <c r="BY105" s="382" t="s">
        <v>292</v>
      </c>
      <c r="BZ105" s="383">
        <f>HLOOKUP($BY105,$AH$6:$AJ$132,ROWS(BZ$6:BZ105),0)</f>
        <v>0</v>
      </c>
      <c r="CA105" s="234">
        <f t="shared" si="70"/>
        <v>0</v>
      </c>
      <c r="CB105" s="96">
        <f t="shared" si="70"/>
        <v>0</v>
      </c>
      <c r="CC105" s="96">
        <f t="shared" si="70"/>
        <v>0</v>
      </c>
      <c r="CD105" s="96">
        <f t="shared" si="70"/>
        <v>0</v>
      </c>
      <c r="CE105" s="96">
        <f t="shared" si="41"/>
        <v>0</v>
      </c>
      <c r="CF105" s="96">
        <f t="shared" si="41"/>
        <v>0</v>
      </c>
      <c r="CG105" s="96">
        <f t="shared" si="41"/>
        <v>0</v>
      </c>
      <c r="CH105" s="286">
        <f t="shared" si="41"/>
        <v>0</v>
      </c>
      <c r="CI105" s="305" t="s">
        <v>293</v>
      </c>
      <c r="CJ105" s="315">
        <v>0.05</v>
      </c>
      <c r="CK105" s="306"/>
      <c r="CL105" s="307" t="str">
        <f>IF($CK105&lt;&gt;"",$CK105,HLOOKUP($CI105,$AU$6:$AW$132,ROWS(CL$6:CL105),0))</f>
        <v/>
      </c>
      <c r="CM105" s="97"/>
      <c r="CN105" s="97"/>
      <c r="CO105" s="97"/>
      <c r="CP105" s="97"/>
      <c r="CQ105" s="97"/>
      <c r="CR105" s="97"/>
      <c r="CS105" s="97"/>
      <c r="CT105" s="98"/>
      <c r="CU105" s="392"/>
    </row>
    <row r="106" spans="1:99" x14ac:dyDescent="0.25">
      <c r="A106" s="81" t="s">
        <v>196</v>
      </c>
      <c r="B106" s="82" t="s">
        <v>215</v>
      </c>
      <c r="C106" s="83" t="s">
        <v>392</v>
      </c>
      <c r="D106" s="84"/>
      <c r="E106" s="85"/>
      <c r="F106" s="85"/>
      <c r="G106" s="85"/>
      <c r="H106" s="85"/>
      <c r="I106" s="85"/>
      <c r="J106" s="85"/>
      <c r="K106" s="85"/>
      <c r="L106" s="85"/>
      <c r="M106" s="201"/>
      <c r="N106" s="560">
        <f t="shared" si="63"/>
        <v>0</v>
      </c>
      <c r="O106" s="561">
        <f t="shared" si="43"/>
        <v>0</v>
      </c>
      <c r="P106" s="561">
        <f t="shared" si="44"/>
        <v>0</v>
      </c>
      <c r="Q106" s="561">
        <f t="shared" si="45"/>
        <v>0</v>
      </c>
      <c r="R106" s="561">
        <f t="shared" si="46"/>
        <v>0</v>
      </c>
      <c r="S106" s="561">
        <f t="shared" si="47"/>
        <v>0</v>
      </c>
      <c r="T106" s="561">
        <f t="shared" si="48"/>
        <v>0</v>
      </c>
      <c r="U106" s="561">
        <f t="shared" si="49"/>
        <v>0</v>
      </c>
      <c r="V106" s="561">
        <f t="shared" si="50"/>
        <v>0</v>
      </c>
      <c r="W106" s="562">
        <f t="shared" si="51"/>
        <v>0</v>
      </c>
      <c r="X106" s="86"/>
      <c r="Y106" s="87"/>
      <c r="Z106" s="87"/>
      <c r="AA106" s="87"/>
      <c r="AB106" s="87"/>
      <c r="AC106" s="87"/>
      <c r="AD106" s="87"/>
      <c r="AE106" s="87"/>
      <c r="AF106" s="87"/>
      <c r="AG106" s="194"/>
      <c r="AH106" s="88">
        <f t="shared" si="64"/>
        <v>0</v>
      </c>
      <c r="AI106" s="89" t="str" cm="1">
        <f t="array" aca="1" ref="AI106" ca="1">IFERROR(IF($AJ$4="N",SSUM(AD106:AF106)/3,SUM(AE106:AG106)/3),"")</f>
        <v/>
      </c>
      <c r="AJ106" s="90">
        <f t="shared" si="65"/>
        <v>0</v>
      </c>
      <c r="AK106" s="91" t="str">
        <f t="shared" si="72"/>
        <v/>
      </c>
      <c r="AL106" s="92" t="str">
        <f t="shared" si="73"/>
        <v/>
      </c>
      <c r="AM106" s="92" t="str">
        <f t="shared" si="74"/>
        <v/>
      </c>
      <c r="AN106" s="92" t="str">
        <f t="shared" si="75"/>
        <v/>
      </c>
      <c r="AO106" s="92" t="str">
        <f t="shared" si="76"/>
        <v/>
      </c>
      <c r="AP106" s="92" t="str">
        <f t="shared" si="77"/>
        <v/>
      </c>
      <c r="AQ106" s="92" t="str">
        <f t="shared" si="78"/>
        <v/>
      </c>
      <c r="AR106" s="92" t="str">
        <f t="shared" si="79"/>
        <v/>
      </c>
      <c r="AS106" s="92" t="str">
        <f t="shared" si="80"/>
        <v/>
      </c>
      <c r="AT106" s="217" t="str">
        <f t="shared" si="81"/>
        <v/>
      </c>
      <c r="AU106" s="93" t="str">
        <f t="shared" si="66"/>
        <v/>
      </c>
      <c r="AV106" s="94" t="str">
        <f t="shared" si="67"/>
        <v/>
      </c>
      <c r="AW106" s="95" t="str">
        <f t="shared" si="68"/>
        <v/>
      </c>
      <c r="AX106" s="248" t="s">
        <v>422</v>
      </c>
      <c r="AY106" s="229" t="s">
        <v>433</v>
      </c>
      <c r="AZ106" s="249">
        <v>0</v>
      </c>
      <c r="BA106" s="267">
        <f t="shared" si="69"/>
        <v>0</v>
      </c>
      <c r="BB106" s="268">
        <f t="shared" si="82"/>
        <v>0</v>
      </c>
      <c r="BC106" s="268">
        <f t="shared" si="82"/>
        <v>0</v>
      </c>
      <c r="BD106" s="268">
        <f t="shared" si="82"/>
        <v>1</v>
      </c>
      <c r="BE106" s="268">
        <f t="shared" si="82"/>
        <v>2</v>
      </c>
      <c r="BF106" s="268">
        <f t="shared" si="82"/>
        <v>3</v>
      </c>
      <c r="BG106" s="268">
        <f t="shared" si="82"/>
        <v>4</v>
      </c>
      <c r="BH106" s="269">
        <f t="shared" si="82"/>
        <v>5</v>
      </c>
      <c r="BI106" s="256">
        <f>IF($AY106=Lookup!$A$2,$AZ106*ROUNDUP(BA106/10,0)+1,
IF($AY106=Lookup!$A$3,($AZ106+1)^AZ106,
IF($AY106=Lookup!$A$4,BA106*$AZ106+1,"Error")))</f>
        <v>1</v>
      </c>
      <c r="BJ106" s="229">
        <f>IF($AY106=Lookup!$A$2,$AZ106*ROUNDUP(BB106/10,0)+1,
IF($AY106=Lookup!$A$3,($AZ106+1)^BA106,
IF($AY106=Lookup!$A$4,BB106*$AZ106+1,"Error")))</f>
        <v>1</v>
      </c>
      <c r="BK106" s="229">
        <f>IF($AY106=Lookup!$A$2,$AZ106*ROUNDUP(BC106/10,0)+1,
IF($AY106=Lookup!$A$3,($AZ106+1)^BB106,
IF($AY106=Lookup!$A$4,BC106*$AZ106+1,"Error")))</f>
        <v>1</v>
      </c>
      <c r="BL106" s="229">
        <f>IF($AY106=Lookup!$A$2,$AZ106*ROUNDUP(BD106/10,0)+1,
IF($AY106=Lookup!$A$3,($AZ106+1)^BC106,
IF($AY106=Lookup!$A$4,BD106*$AZ106+1,"Error")))</f>
        <v>1</v>
      </c>
      <c r="BM106" s="229">
        <f>IF($AY106=Lookup!$A$2,$AZ106*ROUNDUP(BE106/10,0)+1,
IF($AY106=Lookup!$A$3,($AZ106+1)^BD106,
IF($AY106=Lookup!$A$4,BE106*$AZ106+1,"Error")))</f>
        <v>1</v>
      </c>
      <c r="BN106" s="229">
        <f>IF($AY106=Lookup!$A$2,$AZ106*ROUNDUP(BF106/10,0)+1,
IF($AY106=Lookup!$A$3,($AZ106+1)^BE106,
IF($AY106=Lookup!$A$4,BF106*$AZ106+1,"Error")))</f>
        <v>1</v>
      </c>
      <c r="BO106" s="229">
        <f>IF($AY106=Lookup!$A$2,$AZ106*ROUNDUP(BG106/10,0)+1,
IF($AY106=Lookup!$A$3,($AZ106+1)^BF106,
IF($AY106=Lookup!$A$4,BG106*$AZ106+1,"Error")))</f>
        <v>1</v>
      </c>
      <c r="BP106" s="249">
        <f>IF($AY106=Lookup!$A$2,$AZ106*ROUNDUP(BH106/10,0)+1,
IF($AY106=Lookup!$A$3,($AZ106+1)^BG106,
IF($AY106=Lookup!$A$4,BH106*$AZ106+1,"Error")))</f>
        <v>1</v>
      </c>
      <c r="BQ106" s="320"/>
      <c r="BR106" s="321"/>
      <c r="BS106" s="321"/>
      <c r="BT106" s="321"/>
      <c r="BU106" s="321"/>
      <c r="BV106" s="321"/>
      <c r="BW106" s="321"/>
      <c r="BX106" s="277"/>
      <c r="BY106" s="382" t="s">
        <v>292</v>
      </c>
      <c r="BZ106" s="383">
        <f>HLOOKUP($BY106,$AH$6:$AJ$132,ROWS(BZ$6:BZ106),0)</f>
        <v>0</v>
      </c>
      <c r="CA106" s="234">
        <f t="shared" si="70"/>
        <v>0</v>
      </c>
      <c r="CB106" s="96">
        <f t="shared" si="70"/>
        <v>0</v>
      </c>
      <c r="CC106" s="96">
        <f t="shared" si="70"/>
        <v>0</v>
      </c>
      <c r="CD106" s="96">
        <f t="shared" si="70"/>
        <v>0</v>
      </c>
      <c r="CE106" s="96">
        <f t="shared" si="41"/>
        <v>0</v>
      </c>
      <c r="CF106" s="96">
        <f t="shared" si="41"/>
        <v>0</v>
      </c>
      <c r="CG106" s="96">
        <f t="shared" si="41"/>
        <v>0</v>
      </c>
      <c r="CH106" s="286">
        <f t="shared" ref="CH106:CH132" si="83">IFERROR(IF(BX106&lt;&gt;"",BX106,BP106*$BZ106),"")</f>
        <v>0</v>
      </c>
      <c r="CI106" s="305" t="s">
        <v>293</v>
      </c>
      <c r="CJ106" s="315">
        <v>0.05</v>
      </c>
      <c r="CK106" s="306"/>
      <c r="CL106" s="307" t="str">
        <f>IF($CK106&lt;&gt;"",$CK106,HLOOKUP($CI106,$AU$6:$AW$132,ROWS(CL$6:CL106),0))</f>
        <v/>
      </c>
      <c r="CM106" s="97"/>
      <c r="CN106" s="97"/>
      <c r="CO106" s="97"/>
      <c r="CP106" s="97"/>
      <c r="CQ106" s="97"/>
      <c r="CR106" s="97"/>
      <c r="CS106" s="97"/>
      <c r="CT106" s="98"/>
      <c r="CU106" s="392"/>
    </row>
    <row r="107" spans="1:99" x14ac:dyDescent="0.25">
      <c r="A107" s="81" t="s">
        <v>196</v>
      </c>
      <c r="B107" s="82" t="s">
        <v>217</v>
      </c>
      <c r="C107" s="83" t="s">
        <v>218</v>
      </c>
      <c r="D107" s="84"/>
      <c r="E107" s="85"/>
      <c r="F107" s="85"/>
      <c r="G107" s="85"/>
      <c r="H107" s="85"/>
      <c r="I107" s="85"/>
      <c r="J107" s="85"/>
      <c r="K107" s="85"/>
      <c r="L107" s="85"/>
      <c r="M107" s="201"/>
      <c r="N107" s="560">
        <f t="shared" si="63"/>
        <v>0</v>
      </c>
      <c r="O107" s="561">
        <f t="shared" si="43"/>
        <v>0</v>
      </c>
      <c r="P107" s="561">
        <f t="shared" si="44"/>
        <v>0</v>
      </c>
      <c r="Q107" s="561">
        <f t="shared" si="45"/>
        <v>0</v>
      </c>
      <c r="R107" s="561">
        <f t="shared" si="46"/>
        <v>0</v>
      </c>
      <c r="S107" s="561">
        <f t="shared" si="47"/>
        <v>0</v>
      </c>
      <c r="T107" s="561">
        <f t="shared" si="48"/>
        <v>0</v>
      </c>
      <c r="U107" s="561">
        <f t="shared" si="49"/>
        <v>0</v>
      </c>
      <c r="V107" s="561">
        <f t="shared" si="50"/>
        <v>0</v>
      </c>
      <c r="W107" s="562">
        <f t="shared" si="51"/>
        <v>0</v>
      </c>
      <c r="X107" s="86"/>
      <c r="Y107" s="87"/>
      <c r="Z107" s="87"/>
      <c r="AA107" s="87"/>
      <c r="AB107" s="87"/>
      <c r="AC107" s="87"/>
      <c r="AD107" s="87"/>
      <c r="AE107" s="87"/>
      <c r="AF107" s="87"/>
      <c r="AG107" s="194"/>
      <c r="AH107" s="88">
        <f t="shared" si="64"/>
        <v>0</v>
      </c>
      <c r="AI107" s="89" t="str" cm="1">
        <f t="array" aca="1" ref="AI107" ca="1">IFERROR(IF($AJ$4="N",SSUM(AD107:AF107)/3,SUM(AE107:AG107)/3),"")</f>
        <v/>
      </c>
      <c r="AJ107" s="90">
        <f t="shared" si="65"/>
        <v>0</v>
      </c>
      <c r="AK107" s="91" t="str">
        <f t="shared" si="72"/>
        <v/>
      </c>
      <c r="AL107" s="92" t="str">
        <f t="shared" si="73"/>
        <v/>
      </c>
      <c r="AM107" s="92" t="str">
        <f t="shared" si="74"/>
        <v/>
      </c>
      <c r="AN107" s="92" t="str">
        <f t="shared" si="75"/>
        <v/>
      </c>
      <c r="AO107" s="92" t="str">
        <f t="shared" si="76"/>
        <v/>
      </c>
      <c r="AP107" s="92" t="str">
        <f t="shared" si="77"/>
        <v/>
      </c>
      <c r="AQ107" s="92" t="str">
        <f t="shared" si="78"/>
        <v/>
      </c>
      <c r="AR107" s="92" t="str">
        <f t="shared" si="79"/>
        <v/>
      </c>
      <c r="AS107" s="92" t="str">
        <f t="shared" si="80"/>
        <v/>
      </c>
      <c r="AT107" s="217" t="str">
        <f t="shared" si="81"/>
        <v/>
      </c>
      <c r="AU107" s="93" t="str">
        <f t="shared" si="66"/>
        <v/>
      </c>
      <c r="AV107" s="94" t="str">
        <f t="shared" si="67"/>
        <v/>
      </c>
      <c r="AW107" s="95" t="str">
        <f t="shared" si="68"/>
        <v/>
      </c>
      <c r="AX107" s="248" t="s">
        <v>422</v>
      </c>
      <c r="AY107" s="229" t="s">
        <v>433</v>
      </c>
      <c r="AZ107" s="249">
        <v>0</v>
      </c>
      <c r="BA107" s="267">
        <f t="shared" si="69"/>
        <v>0</v>
      </c>
      <c r="BB107" s="268">
        <f t="shared" si="82"/>
        <v>0</v>
      </c>
      <c r="BC107" s="268">
        <f t="shared" si="82"/>
        <v>0</v>
      </c>
      <c r="BD107" s="268">
        <f t="shared" si="82"/>
        <v>1</v>
      </c>
      <c r="BE107" s="268">
        <f t="shared" si="82"/>
        <v>2</v>
      </c>
      <c r="BF107" s="268">
        <f t="shared" si="82"/>
        <v>3</v>
      </c>
      <c r="BG107" s="268">
        <f t="shared" si="82"/>
        <v>4</v>
      </c>
      <c r="BH107" s="269">
        <f t="shared" si="82"/>
        <v>5</v>
      </c>
      <c r="BI107" s="256">
        <f>IF($AY107=Lookup!$A$2,$AZ107*ROUNDUP(BA107/10,0)+1,
IF($AY107=Lookup!$A$3,($AZ107+1)^AZ107,
IF($AY107=Lookup!$A$4,BA107*$AZ107+1,"Error")))</f>
        <v>1</v>
      </c>
      <c r="BJ107" s="229">
        <f>IF($AY107=Lookup!$A$2,$AZ107*ROUNDUP(BB107/10,0)+1,
IF($AY107=Lookup!$A$3,($AZ107+1)^BA107,
IF($AY107=Lookup!$A$4,BB107*$AZ107+1,"Error")))</f>
        <v>1</v>
      </c>
      <c r="BK107" s="229">
        <f>IF($AY107=Lookup!$A$2,$AZ107*ROUNDUP(BC107/10,0)+1,
IF($AY107=Lookup!$A$3,($AZ107+1)^BB107,
IF($AY107=Lookup!$A$4,BC107*$AZ107+1,"Error")))</f>
        <v>1</v>
      </c>
      <c r="BL107" s="229">
        <f>IF($AY107=Lookup!$A$2,$AZ107*ROUNDUP(BD107/10,0)+1,
IF($AY107=Lookup!$A$3,($AZ107+1)^BC107,
IF($AY107=Lookup!$A$4,BD107*$AZ107+1,"Error")))</f>
        <v>1</v>
      </c>
      <c r="BM107" s="229">
        <f>IF($AY107=Lookup!$A$2,$AZ107*ROUNDUP(BE107/10,0)+1,
IF($AY107=Lookup!$A$3,($AZ107+1)^BD107,
IF($AY107=Lookup!$A$4,BE107*$AZ107+1,"Error")))</f>
        <v>1</v>
      </c>
      <c r="BN107" s="229">
        <f>IF($AY107=Lookup!$A$2,$AZ107*ROUNDUP(BF107/10,0)+1,
IF($AY107=Lookup!$A$3,($AZ107+1)^BE107,
IF($AY107=Lookup!$A$4,BF107*$AZ107+1,"Error")))</f>
        <v>1</v>
      </c>
      <c r="BO107" s="229">
        <f>IF($AY107=Lookup!$A$2,$AZ107*ROUNDUP(BG107/10,0)+1,
IF($AY107=Lookup!$A$3,($AZ107+1)^BF107,
IF($AY107=Lookup!$A$4,BG107*$AZ107+1,"Error")))</f>
        <v>1</v>
      </c>
      <c r="BP107" s="249">
        <f>IF($AY107=Lookup!$A$2,$AZ107*ROUNDUP(BH107/10,0)+1,
IF($AY107=Lookup!$A$3,($AZ107+1)^BG107,
IF($AY107=Lookup!$A$4,BH107*$AZ107+1,"Error")))</f>
        <v>1</v>
      </c>
      <c r="BQ107" s="320"/>
      <c r="BR107" s="321"/>
      <c r="BS107" s="321"/>
      <c r="BT107" s="321"/>
      <c r="BU107" s="321"/>
      <c r="BV107" s="321"/>
      <c r="BW107" s="321"/>
      <c r="BX107" s="277"/>
      <c r="BY107" s="382" t="s">
        <v>292</v>
      </c>
      <c r="BZ107" s="383">
        <f>HLOOKUP($BY107,$AH$6:$AJ$132,ROWS(BZ$6:BZ107),0)</f>
        <v>0</v>
      </c>
      <c r="CA107" s="234">
        <f t="shared" si="70"/>
        <v>0</v>
      </c>
      <c r="CB107" s="96">
        <f t="shared" si="70"/>
        <v>0</v>
      </c>
      <c r="CC107" s="96">
        <f t="shared" si="70"/>
        <v>0</v>
      </c>
      <c r="CD107" s="96">
        <f t="shared" si="70"/>
        <v>0</v>
      </c>
      <c r="CE107" s="96">
        <f t="shared" si="70"/>
        <v>0</v>
      </c>
      <c r="CF107" s="96">
        <f t="shared" si="70"/>
        <v>0</v>
      </c>
      <c r="CG107" s="96">
        <f t="shared" si="70"/>
        <v>0</v>
      </c>
      <c r="CH107" s="286">
        <f t="shared" si="83"/>
        <v>0</v>
      </c>
      <c r="CI107" s="305" t="s">
        <v>293</v>
      </c>
      <c r="CJ107" s="315">
        <v>0.05</v>
      </c>
      <c r="CK107" s="306"/>
      <c r="CL107" s="307" t="str">
        <f>IF($CK107&lt;&gt;"",$CK107,HLOOKUP($CI107,$AU$6:$AW$132,ROWS(CL$6:CL107),0))</f>
        <v/>
      </c>
      <c r="CM107" s="97"/>
      <c r="CN107" s="97"/>
      <c r="CO107" s="97"/>
      <c r="CP107" s="97"/>
      <c r="CQ107" s="97"/>
      <c r="CR107" s="97"/>
      <c r="CS107" s="97"/>
      <c r="CT107" s="98"/>
      <c r="CU107" s="392"/>
    </row>
    <row r="108" spans="1:99" x14ac:dyDescent="0.25">
      <c r="A108" s="81" t="s">
        <v>196</v>
      </c>
      <c r="B108" s="82" t="s">
        <v>219</v>
      </c>
      <c r="C108" s="83" t="s">
        <v>220</v>
      </c>
      <c r="D108" s="84"/>
      <c r="E108" s="85"/>
      <c r="F108" s="85"/>
      <c r="G108" s="85"/>
      <c r="H108" s="85"/>
      <c r="I108" s="85"/>
      <c r="J108" s="85"/>
      <c r="K108" s="85"/>
      <c r="L108" s="85"/>
      <c r="M108" s="201"/>
      <c r="N108" s="560">
        <f t="shared" si="63"/>
        <v>0</v>
      </c>
      <c r="O108" s="561">
        <f t="shared" si="43"/>
        <v>0</v>
      </c>
      <c r="P108" s="561">
        <f t="shared" si="44"/>
        <v>0</v>
      </c>
      <c r="Q108" s="561">
        <f t="shared" si="45"/>
        <v>0</v>
      </c>
      <c r="R108" s="561">
        <f t="shared" si="46"/>
        <v>0</v>
      </c>
      <c r="S108" s="561">
        <f t="shared" si="47"/>
        <v>0</v>
      </c>
      <c r="T108" s="561">
        <f t="shared" si="48"/>
        <v>0</v>
      </c>
      <c r="U108" s="561">
        <f t="shared" si="49"/>
        <v>0</v>
      </c>
      <c r="V108" s="561">
        <f t="shared" si="50"/>
        <v>0</v>
      </c>
      <c r="W108" s="562">
        <f t="shared" si="51"/>
        <v>0</v>
      </c>
      <c r="X108" s="86"/>
      <c r="Y108" s="87"/>
      <c r="Z108" s="87"/>
      <c r="AA108" s="87"/>
      <c r="AB108" s="87"/>
      <c r="AC108" s="87"/>
      <c r="AD108" s="87"/>
      <c r="AE108" s="87"/>
      <c r="AF108" s="87"/>
      <c r="AG108" s="194"/>
      <c r="AH108" s="88">
        <f t="shared" si="64"/>
        <v>0</v>
      </c>
      <c r="AI108" s="89" t="str" cm="1">
        <f t="array" aca="1" ref="AI108" ca="1">IFERROR(IF($AJ$4="N",SSUM(AD108:AF108)/3,SUM(AE108:AG108)/3),"")</f>
        <v/>
      </c>
      <c r="AJ108" s="90">
        <f t="shared" si="65"/>
        <v>0</v>
      </c>
      <c r="AK108" s="91" t="str">
        <f t="shared" si="72"/>
        <v/>
      </c>
      <c r="AL108" s="92" t="str">
        <f t="shared" si="73"/>
        <v/>
      </c>
      <c r="AM108" s="92" t="str">
        <f t="shared" si="74"/>
        <v/>
      </c>
      <c r="AN108" s="92" t="str">
        <f t="shared" si="75"/>
        <v/>
      </c>
      <c r="AO108" s="92" t="str">
        <f t="shared" si="76"/>
        <v/>
      </c>
      <c r="AP108" s="92" t="str">
        <f t="shared" si="77"/>
        <v/>
      </c>
      <c r="AQ108" s="92" t="str">
        <f t="shared" si="78"/>
        <v/>
      </c>
      <c r="AR108" s="92" t="str">
        <f t="shared" si="79"/>
        <v/>
      </c>
      <c r="AS108" s="92" t="str">
        <f t="shared" si="80"/>
        <v/>
      </c>
      <c r="AT108" s="217" t="str">
        <f t="shared" si="81"/>
        <v/>
      </c>
      <c r="AU108" s="93" t="str">
        <f t="shared" si="66"/>
        <v/>
      </c>
      <c r="AV108" s="94" t="str">
        <f t="shared" si="67"/>
        <v/>
      </c>
      <c r="AW108" s="95" t="str">
        <f t="shared" si="68"/>
        <v/>
      </c>
      <c r="AX108" s="248" t="s">
        <v>422</v>
      </c>
      <c r="AY108" s="229" t="s">
        <v>433</v>
      </c>
      <c r="AZ108" s="249">
        <v>0</v>
      </c>
      <c r="BA108" s="267">
        <f t="shared" si="69"/>
        <v>0</v>
      </c>
      <c r="BB108" s="268">
        <f t="shared" si="82"/>
        <v>0</v>
      </c>
      <c r="BC108" s="268">
        <f t="shared" si="82"/>
        <v>0</v>
      </c>
      <c r="BD108" s="268">
        <f t="shared" si="82"/>
        <v>1</v>
      </c>
      <c r="BE108" s="268">
        <f t="shared" si="82"/>
        <v>2</v>
      </c>
      <c r="BF108" s="268">
        <f t="shared" si="82"/>
        <v>3</v>
      </c>
      <c r="BG108" s="268">
        <f t="shared" si="82"/>
        <v>4</v>
      </c>
      <c r="BH108" s="269">
        <f t="shared" si="82"/>
        <v>5</v>
      </c>
      <c r="BI108" s="256">
        <f>IF($AY108=Lookup!$A$2,$AZ108*ROUNDUP(BA108/10,0)+1,
IF($AY108=Lookup!$A$3,($AZ108+1)^AZ108,
IF($AY108=Lookup!$A$4,BA108*$AZ108+1,"Error")))</f>
        <v>1</v>
      </c>
      <c r="BJ108" s="229">
        <f>IF($AY108=Lookup!$A$2,$AZ108*ROUNDUP(BB108/10,0)+1,
IF($AY108=Lookup!$A$3,($AZ108+1)^BA108,
IF($AY108=Lookup!$A$4,BB108*$AZ108+1,"Error")))</f>
        <v>1</v>
      </c>
      <c r="BK108" s="229">
        <f>IF($AY108=Lookup!$A$2,$AZ108*ROUNDUP(BC108/10,0)+1,
IF($AY108=Lookup!$A$3,($AZ108+1)^BB108,
IF($AY108=Lookup!$A$4,BC108*$AZ108+1,"Error")))</f>
        <v>1</v>
      </c>
      <c r="BL108" s="229">
        <f>IF($AY108=Lookup!$A$2,$AZ108*ROUNDUP(BD108/10,0)+1,
IF($AY108=Lookup!$A$3,($AZ108+1)^BC108,
IF($AY108=Lookup!$A$4,BD108*$AZ108+1,"Error")))</f>
        <v>1</v>
      </c>
      <c r="BM108" s="229">
        <f>IF($AY108=Lookup!$A$2,$AZ108*ROUNDUP(BE108/10,0)+1,
IF($AY108=Lookup!$A$3,($AZ108+1)^BD108,
IF($AY108=Lookup!$A$4,BE108*$AZ108+1,"Error")))</f>
        <v>1</v>
      </c>
      <c r="BN108" s="229">
        <f>IF($AY108=Lookup!$A$2,$AZ108*ROUNDUP(BF108/10,0)+1,
IF($AY108=Lookup!$A$3,($AZ108+1)^BE108,
IF($AY108=Lookup!$A$4,BF108*$AZ108+1,"Error")))</f>
        <v>1</v>
      </c>
      <c r="BO108" s="229">
        <f>IF($AY108=Lookup!$A$2,$AZ108*ROUNDUP(BG108/10,0)+1,
IF($AY108=Lookup!$A$3,($AZ108+1)^BF108,
IF($AY108=Lookup!$A$4,BG108*$AZ108+1,"Error")))</f>
        <v>1</v>
      </c>
      <c r="BP108" s="249">
        <f>IF($AY108=Lookup!$A$2,$AZ108*ROUNDUP(BH108/10,0)+1,
IF($AY108=Lookup!$A$3,($AZ108+1)^BG108,
IF($AY108=Lookup!$A$4,BH108*$AZ108+1,"Error")))</f>
        <v>1</v>
      </c>
      <c r="BQ108" s="320"/>
      <c r="BR108" s="321"/>
      <c r="BS108" s="321"/>
      <c r="BT108" s="321"/>
      <c r="BU108" s="321"/>
      <c r="BV108" s="321"/>
      <c r="BW108" s="321"/>
      <c r="BX108" s="277"/>
      <c r="BY108" s="382" t="s">
        <v>292</v>
      </c>
      <c r="BZ108" s="383">
        <f>HLOOKUP($BY108,$AH$6:$AJ$132,ROWS(BZ$6:BZ108),0)</f>
        <v>0</v>
      </c>
      <c r="CA108" s="234">
        <f t="shared" si="70"/>
        <v>0</v>
      </c>
      <c r="CB108" s="96">
        <f t="shared" si="70"/>
        <v>0</v>
      </c>
      <c r="CC108" s="96">
        <f t="shared" si="70"/>
        <v>0</v>
      </c>
      <c r="CD108" s="96">
        <f t="shared" si="70"/>
        <v>0</v>
      </c>
      <c r="CE108" s="96">
        <f t="shared" si="70"/>
        <v>0</v>
      </c>
      <c r="CF108" s="96">
        <f t="shared" si="70"/>
        <v>0</v>
      </c>
      <c r="CG108" s="96">
        <f t="shared" si="70"/>
        <v>0</v>
      </c>
      <c r="CH108" s="286">
        <f t="shared" si="83"/>
        <v>0</v>
      </c>
      <c r="CI108" s="305" t="s">
        <v>293</v>
      </c>
      <c r="CJ108" s="315">
        <v>0.05</v>
      </c>
      <c r="CK108" s="306"/>
      <c r="CL108" s="307" t="str">
        <f>IF($CK108&lt;&gt;"",$CK108,HLOOKUP($CI108,$AU$6:$AW$132,ROWS(CL$6:CL108),0))</f>
        <v/>
      </c>
      <c r="CM108" s="97"/>
      <c r="CN108" s="97"/>
      <c r="CO108" s="97"/>
      <c r="CP108" s="97"/>
      <c r="CQ108" s="97"/>
      <c r="CR108" s="97"/>
      <c r="CS108" s="97"/>
      <c r="CT108" s="98"/>
      <c r="CU108" s="392"/>
    </row>
    <row r="109" spans="1:99" ht="15.75" thickBot="1" x14ac:dyDescent="0.3">
      <c r="A109" s="100" t="s">
        <v>196</v>
      </c>
      <c r="B109" s="101" t="s">
        <v>393</v>
      </c>
      <c r="C109" s="102" t="s">
        <v>394</v>
      </c>
      <c r="D109" s="103"/>
      <c r="E109" s="104"/>
      <c r="F109" s="104"/>
      <c r="G109" s="104"/>
      <c r="H109" s="104"/>
      <c r="I109" s="104"/>
      <c r="J109" s="104"/>
      <c r="K109" s="104"/>
      <c r="L109" s="104"/>
      <c r="M109" s="202"/>
      <c r="N109" s="563">
        <f t="shared" si="63"/>
        <v>0</v>
      </c>
      <c r="O109" s="564">
        <f t="shared" si="43"/>
        <v>0</v>
      </c>
      <c r="P109" s="564">
        <f t="shared" si="44"/>
        <v>0</v>
      </c>
      <c r="Q109" s="564">
        <f t="shared" si="45"/>
        <v>0</v>
      </c>
      <c r="R109" s="564">
        <f t="shared" si="46"/>
        <v>0</v>
      </c>
      <c r="S109" s="564">
        <f t="shared" si="47"/>
        <v>0</v>
      </c>
      <c r="T109" s="564">
        <f t="shared" si="48"/>
        <v>0</v>
      </c>
      <c r="U109" s="564">
        <f t="shared" si="49"/>
        <v>0</v>
      </c>
      <c r="V109" s="564">
        <f t="shared" si="50"/>
        <v>0</v>
      </c>
      <c r="W109" s="565">
        <f t="shared" si="51"/>
        <v>0</v>
      </c>
      <c r="X109" s="105"/>
      <c r="Y109" s="106"/>
      <c r="Z109" s="106"/>
      <c r="AA109" s="106"/>
      <c r="AB109" s="106"/>
      <c r="AC109" s="106"/>
      <c r="AD109" s="106"/>
      <c r="AE109" s="106"/>
      <c r="AF109" s="106"/>
      <c r="AG109" s="195"/>
      <c r="AH109" s="107">
        <f t="shared" si="64"/>
        <v>0</v>
      </c>
      <c r="AI109" s="108" t="str" cm="1">
        <f t="array" aca="1" ref="AI109" ca="1">IFERROR(IF($AJ$4="N",SSUM(AD109:AF109)/3,SUM(AE109:AG109)/3),"")</f>
        <v/>
      </c>
      <c r="AJ109" s="109">
        <f t="shared" si="65"/>
        <v>0</v>
      </c>
      <c r="AK109" s="110" t="str">
        <f t="shared" si="72"/>
        <v/>
      </c>
      <c r="AL109" s="111" t="str">
        <f t="shared" si="73"/>
        <v/>
      </c>
      <c r="AM109" s="111" t="str">
        <f t="shared" si="74"/>
        <v/>
      </c>
      <c r="AN109" s="111" t="str">
        <f t="shared" si="75"/>
        <v/>
      </c>
      <c r="AO109" s="111" t="str">
        <f t="shared" si="76"/>
        <v/>
      </c>
      <c r="AP109" s="111" t="str">
        <f t="shared" si="77"/>
        <v/>
      </c>
      <c r="AQ109" s="111" t="str">
        <f t="shared" si="78"/>
        <v/>
      </c>
      <c r="AR109" s="111" t="str">
        <f t="shared" si="79"/>
        <v/>
      </c>
      <c r="AS109" s="111" t="str">
        <f t="shared" si="80"/>
        <v/>
      </c>
      <c r="AT109" s="218" t="str">
        <f t="shared" si="81"/>
        <v/>
      </c>
      <c r="AU109" s="112" t="str">
        <f t="shared" si="66"/>
        <v/>
      </c>
      <c r="AV109" s="113" t="str">
        <f t="shared" si="67"/>
        <v/>
      </c>
      <c r="AW109" s="114" t="str">
        <f t="shared" si="68"/>
        <v/>
      </c>
      <c r="AX109" s="250" t="s">
        <v>422</v>
      </c>
      <c r="AY109" s="230" t="s">
        <v>433</v>
      </c>
      <c r="AZ109" s="251">
        <v>0</v>
      </c>
      <c r="BA109" s="270">
        <f t="shared" si="69"/>
        <v>0</v>
      </c>
      <c r="BB109" s="271">
        <f t="shared" si="82"/>
        <v>0</v>
      </c>
      <c r="BC109" s="271">
        <f t="shared" si="82"/>
        <v>0</v>
      </c>
      <c r="BD109" s="271">
        <f t="shared" si="82"/>
        <v>1</v>
      </c>
      <c r="BE109" s="271">
        <f t="shared" si="82"/>
        <v>2</v>
      </c>
      <c r="BF109" s="271">
        <f t="shared" si="82"/>
        <v>3</v>
      </c>
      <c r="BG109" s="271">
        <f t="shared" si="82"/>
        <v>4</v>
      </c>
      <c r="BH109" s="272">
        <f t="shared" si="82"/>
        <v>5</v>
      </c>
      <c r="BI109" s="257">
        <f>IF($AY109=Lookup!$A$2,$AZ109*ROUNDUP(BA109/10,0)+1,
IF($AY109=Lookup!$A$3,($AZ109+1)^AZ109,
IF($AY109=Lookup!$A$4,BA109*$AZ109+1,"Error")))</f>
        <v>1</v>
      </c>
      <c r="BJ109" s="230">
        <f>IF($AY109=Lookup!$A$2,$AZ109*ROUNDUP(BB109/10,0)+1,
IF($AY109=Lookup!$A$3,($AZ109+1)^BA109,
IF($AY109=Lookup!$A$4,BB109*$AZ109+1,"Error")))</f>
        <v>1</v>
      </c>
      <c r="BK109" s="230">
        <f>IF($AY109=Lookup!$A$2,$AZ109*ROUNDUP(BC109/10,0)+1,
IF($AY109=Lookup!$A$3,($AZ109+1)^BB109,
IF($AY109=Lookup!$A$4,BC109*$AZ109+1,"Error")))</f>
        <v>1</v>
      </c>
      <c r="BL109" s="230">
        <f>IF($AY109=Lookup!$A$2,$AZ109*ROUNDUP(BD109/10,0)+1,
IF($AY109=Lookup!$A$3,($AZ109+1)^BC109,
IF($AY109=Lookup!$A$4,BD109*$AZ109+1,"Error")))</f>
        <v>1</v>
      </c>
      <c r="BM109" s="230">
        <f>IF($AY109=Lookup!$A$2,$AZ109*ROUNDUP(BE109/10,0)+1,
IF($AY109=Lookup!$A$3,($AZ109+1)^BD109,
IF($AY109=Lookup!$A$4,BE109*$AZ109+1,"Error")))</f>
        <v>1</v>
      </c>
      <c r="BN109" s="230">
        <f>IF($AY109=Lookup!$A$2,$AZ109*ROUNDUP(BF109/10,0)+1,
IF($AY109=Lookup!$A$3,($AZ109+1)^BE109,
IF($AY109=Lookup!$A$4,BF109*$AZ109+1,"Error")))</f>
        <v>1</v>
      </c>
      <c r="BO109" s="230">
        <f>IF($AY109=Lookup!$A$2,$AZ109*ROUNDUP(BG109/10,0)+1,
IF($AY109=Lookup!$A$3,($AZ109+1)^BF109,
IF($AY109=Lookup!$A$4,BG109*$AZ109+1,"Error")))</f>
        <v>1</v>
      </c>
      <c r="BP109" s="251">
        <f>IF($AY109=Lookup!$A$2,$AZ109*ROUNDUP(BH109/10,0)+1,
IF($AY109=Lookup!$A$3,($AZ109+1)^BG109,
IF($AY109=Lookup!$A$4,BH109*$AZ109+1,"Error")))</f>
        <v>1</v>
      </c>
      <c r="BQ109" s="322"/>
      <c r="BR109" s="323"/>
      <c r="BS109" s="323"/>
      <c r="BT109" s="323"/>
      <c r="BU109" s="323"/>
      <c r="BV109" s="323"/>
      <c r="BW109" s="323"/>
      <c r="BX109" s="278"/>
      <c r="BY109" s="384" t="s">
        <v>292</v>
      </c>
      <c r="BZ109" s="385">
        <f>HLOOKUP($BY109,$AH$6:$AJ$132,ROWS(BZ$6:BZ109),0)</f>
        <v>0</v>
      </c>
      <c r="CA109" s="235">
        <f t="shared" si="70"/>
        <v>0</v>
      </c>
      <c r="CB109" s="115">
        <f t="shared" si="70"/>
        <v>0</v>
      </c>
      <c r="CC109" s="115">
        <f t="shared" si="70"/>
        <v>0</v>
      </c>
      <c r="CD109" s="115">
        <f t="shared" si="70"/>
        <v>0</v>
      </c>
      <c r="CE109" s="115">
        <f t="shared" si="70"/>
        <v>0</v>
      </c>
      <c r="CF109" s="115">
        <f t="shared" si="70"/>
        <v>0</v>
      </c>
      <c r="CG109" s="115">
        <f t="shared" si="70"/>
        <v>0</v>
      </c>
      <c r="CH109" s="287">
        <f t="shared" si="83"/>
        <v>0</v>
      </c>
      <c r="CI109" s="308" t="s">
        <v>293</v>
      </c>
      <c r="CJ109" s="316">
        <v>0.05</v>
      </c>
      <c r="CK109" s="309"/>
      <c r="CL109" s="310" t="str">
        <f>IF($CK109&lt;&gt;"",$CK109,HLOOKUP($CI109,$AU$6:$AW$132,ROWS(CL$6:CL109),0))</f>
        <v/>
      </c>
      <c r="CM109" s="117"/>
      <c r="CN109" s="117"/>
      <c r="CO109" s="117"/>
      <c r="CP109" s="117"/>
      <c r="CQ109" s="117"/>
      <c r="CR109" s="117"/>
      <c r="CS109" s="117"/>
      <c r="CT109" s="118"/>
      <c r="CU109" s="393"/>
    </row>
    <row r="110" spans="1:99" x14ac:dyDescent="0.25">
      <c r="A110" s="63" t="s">
        <v>224</v>
      </c>
      <c r="B110" s="64" t="s">
        <v>221</v>
      </c>
      <c r="C110" s="65" t="s">
        <v>395</v>
      </c>
      <c r="D110" s="66"/>
      <c r="E110" s="67"/>
      <c r="F110" s="67"/>
      <c r="G110" s="67"/>
      <c r="H110" s="67"/>
      <c r="I110" s="67"/>
      <c r="J110" s="67"/>
      <c r="K110" s="67"/>
      <c r="L110" s="67"/>
      <c r="M110" s="200"/>
      <c r="N110" s="557">
        <f t="shared" si="63"/>
        <v>0</v>
      </c>
      <c r="O110" s="558">
        <f t="shared" si="43"/>
        <v>0</v>
      </c>
      <c r="P110" s="558">
        <f t="shared" si="44"/>
        <v>0</v>
      </c>
      <c r="Q110" s="558">
        <f t="shared" si="45"/>
        <v>0</v>
      </c>
      <c r="R110" s="558">
        <f t="shared" si="46"/>
        <v>0</v>
      </c>
      <c r="S110" s="558">
        <f t="shared" si="47"/>
        <v>0</v>
      </c>
      <c r="T110" s="558">
        <f t="shared" si="48"/>
        <v>0</v>
      </c>
      <c r="U110" s="558">
        <f t="shared" si="49"/>
        <v>0</v>
      </c>
      <c r="V110" s="558">
        <f t="shared" si="50"/>
        <v>0</v>
      </c>
      <c r="W110" s="559">
        <f t="shared" si="51"/>
        <v>0</v>
      </c>
      <c r="X110" s="68"/>
      <c r="Y110" s="69"/>
      <c r="Z110" s="69"/>
      <c r="AA110" s="69"/>
      <c r="AB110" s="69"/>
      <c r="AC110" s="69"/>
      <c r="AD110" s="69"/>
      <c r="AE110" s="69"/>
      <c r="AF110" s="69"/>
      <c r="AG110" s="193"/>
      <c r="AH110" s="70">
        <f t="shared" si="64"/>
        <v>0</v>
      </c>
      <c r="AI110" s="71" t="str" cm="1">
        <f t="array" aca="1" ref="AI110" ca="1">IFERROR(IF($AJ$4="N",SSUM(AD110:AF110)/3,SUM(AE110:AG110)/3),"")</f>
        <v/>
      </c>
      <c r="AJ110" s="72">
        <f t="shared" si="65"/>
        <v>0</v>
      </c>
      <c r="AK110" s="73" t="str">
        <f t="shared" si="72"/>
        <v/>
      </c>
      <c r="AL110" s="74" t="str">
        <f t="shared" si="73"/>
        <v/>
      </c>
      <c r="AM110" s="74" t="str">
        <f t="shared" si="74"/>
        <v/>
      </c>
      <c r="AN110" s="74" t="str">
        <f t="shared" si="75"/>
        <v/>
      </c>
      <c r="AO110" s="74" t="str">
        <f t="shared" si="76"/>
        <v/>
      </c>
      <c r="AP110" s="74" t="str">
        <f t="shared" si="77"/>
        <v/>
      </c>
      <c r="AQ110" s="74" t="str">
        <f t="shared" si="78"/>
        <v/>
      </c>
      <c r="AR110" s="74" t="str">
        <f t="shared" si="79"/>
        <v/>
      </c>
      <c r="AS110" s="74" t="str">
        <f t="shared" si="80"/>
        <v/>
      </c>
      <c r="AT110" s="216" t="str">
        <f t="shared" si="81"/>
        <v/>
      </c>
      <c r="AU110" s="75" t="str">
        <f t="shared" si="66"/>
        <v/>
      </c>
      <c r="AV110" s="76" t="str">
        <f t="shared" si="67"/>
        <v/>
      </c>
      <c r="AW110" s="77" t="str">
        <f t="shared" si="68"/>
        <v/>
      </c>
      <c r="AX110" s="246" t="s">
        <v>422</v>
      </c>
      <c r="AY110" s="228" t="s">
        <v>433</v>
      </c>
      <c r="AZ110" s="247">
        <v>0</v>
      </c>
      <c r="BA110" s="264">
        <f t="shared" si="69"/>
        <v>0</v>
      </c>
      <c r="BB110" s="265">
        <f t="shared" si="82"/>
        <v>0</v>
      </c>
      <c r="BC110" s="265">
        <f t="shared" si="82"/>
        <v>0</v>
      </c>
      <c r="BD110" s="265">
        <f t="shared" si="82"/>
        <v>1</v>
      </c>
      <c r="BE110" s="265">
        <f t="shared" si="82"/>
        <v>2</v>
      </c>
      <c r="BF110" s="265">
        <f t="shared" si="82"/>
        <v>3</v>
      </c>
      <c r="BG110" s="265">
        <f t="shared" si="82"/>
        <v>4</v>
      </c>
      <c r="BH110" s="266">
        <f t="shared" si="82"/>
        <v>5</v>
      </c>
      <c r="BI110" s="255">
        <f>IF($AY110=Lookup!$A$2,$AZ110*ROUNDUP(BA110/10,0)+1,
IF($AY110=Lookup!$A$3,($AZ110+1)^AZ110,
IF($AY110=Lookup!$A$4,BA110*$AZ110+1,"Error")))</f>
        <v>1</v>
      </c>
      <c r="BJ110" s="228">
        <f>IF($AY110=Lookup!$A$2,$AZ110*ROUNDUP(BB110/10,0)+1,
IF($AY110=Lookup!$A$3,($AZ110+1)^BA110,
IF($AY110=Lookup!$A$4,BB110*$AZ110+1,"Error")))</f>
        <v>1</v>
      </c>
      <c r="BK110" s="228">
        <f>IF($AY110=Lookup!$A$2,$AZ110*ROUNDUP(BC110/10,0)+1,
IF($AY110=Lookup!$A$3,($AZ110+1)^BB110,
IF($AY110=Lookup!$A$4,BC110*$AZ110+1,"Error")))</f>
        <v>1</v>
      </c>
      <c r="BL110" s="228">
        <f>IF($AY110=Lookup!$A$2,$AZ110*ROUNDUP(BD110/10,0)+1,
IF($AY110=Lookup!$A$3,($AZ110+1)^BC110,
IF($AY110=Lookup!$A$4,BD110*$AZ110+1,"Error")))</f>
        <v>1</v>
      </c>
      <c r="BM110" s="228">
        <f>IF($AY110=Lookup!$A$2,$AZ110*ROUNDUP(BE110/10,0)+1,
IF($AY110=Lookup!$A$3,($AZ110+1)^BD110,
IF($AY110=Lookup!$A$4,BE110*$AZ110+1,"Error")))</f>
        <v>1</v>
      </c>
      <c r="BN110" s="228">
        <f>IF($AY110=Lookup!$A$2,$AZ110*ROUNDUP(BF110/10,0)+1,
IF($AY110=Lookup!$A$3,($AZ110+1)^BE110,
IF($AY110=Lookup!$A$4,BF110*$AZ110+1,"Error")))</f>
        <v>1</v>
      </c>
      <c r="BO110" s="228">
        <f>IF($AY110=Lookup!$A$2,$AZ110*ROUNDUP(BG110/10,0)+1,
IF($AY110=Lookup!$A$3,($AZ110+1)^BF110,
IF($AY110=Lookup!$A$4,BG110*$AZ110+1,"Error")))</f>
        <v>1</v>
      </c>
      <c r="BP110" s="247">
        <f>IF($AY110=Lookup!$A$2,$AZ110*ROUNDUP(BH110/10,0)+1,
IF($AY110=Lookup!$A$3,($AZ110+1)^BG110,
IF($AY110=Lookup!$A$4,BH110*$AZ110+1,"Error")))</f>
        <v>1</v>
      </c>
      <c r="BQ110" s="318"/>
      <c r="BR110" s="319"/>
      <c r="BS110" s="319"/>
      <c r="BT110" s="319"/>
      <c r="BU110" s="319"/>
      <c r="BV110" s="319"/>
      <c r="BW110" s="319"/>
      <c r="BX110" s="276"/>
      <c r="BY110" s="380" t="s">
        <v>292</v>
      </c>
      <c r="BZ110" s="381">
        <f>HLOOKUP($BY110,$AH$6:$AJ$132,ROWS(BZ$6:BZ110),0)</f>
        <v>0</v>
      </c>
      <c r="CA110" s="233">
        <f t="shared" si="70"/>
        <v>0</v>
      </c>
      <c r="CB110" s="78">
        <f t="shared" si="70"/>
        <v>0</v>
      </c>
      <c r="CC110" s="78">
        <f t="shared" si="70"/>
        <v>0</v>
      </c>
      <c r="CD110" s="78">
        <f t="shared" si="70"/>
        <v>0</v>
      </c>
      <c r="CE110" s="78">
        <f t="shared" si="70"/>
        <v>0</v>
      </c>
      <c r="CF110" s="78">
        <f t="shared" si="70"/>
        <v>0</v>
      </c>
      <c r="CG110" s="78">
        <f t="shared" si="70"/>
        <v>0</v>
      </c>
      <c r="CH110" s="285">
        <f t="shared" si="83"/>
        <v>0</v>
      </c>
      <c r="CI110" s="302" t="s">
        <v>293</v>
      </c>
      <c r="CJ110" s="314">
        <v>0.05</v>
      </c>
      <c r="CK110" s="303"/>
      <c r="CL110" s="304" t="str">
        <f>IF($CK110&lt;&gt;"",$CK110,HLOOKUP($CI110,$AU$6:$AW$132,ROWS(CL$6:CL110),0))</f>
        <v/>
      </c>
      <c r="CM110" s="79"/>
      <c r="CN110" s="79"/>
      <c r="CO110" s="79"/>
      <c r="CP110" s="79"/>
      <c r="CQ110" s="79"/>
      <c r="CR110" s="79"/>
      <c r="CS110" s="79"/>
      <c r="CT110" s="80"/>
      <c r="CU110" s="391"/>
    </row>
    <row r="111" spans="1:99" x14ac:dyDescent="0.25">
      <c r="A111" s="81" t="s">
        <v>224</v>
      </c>
      <c r="B111" s="82" t="s">
        <v>225</v>
      </c>
      <c r="C111" s="83" t="s">
        <v>396</v>
      </c>
      <c r="D111" s="84"/>
      <c r="E111" s="85"/>
      <c r="F111" s="85"/>
      <c r="G111" s="85"/>
      <c r="H111" s="85"/>
      <c r="I111" s="85"/>
      <c r="J111" s="85"/>
      <c r="K111" s="85"/>
      <c r="L111" s="85"/>
      <c r="M111" s="201"/>
      <c r="N111" s="560">
        <f t="shared" si="63"/>
        <v>0</v>
      </c>
      <c r="O111" s="561">
        <f t="shared" si="43"/>
        <v>0</v>
      </c>
      <c r="P111" s="561">
        <f t="shared" si="44"/>
        <v>0</v>
      </c>
      <c r="Q111" s="561">
        <f t="shared" si="45"/>
        <v>0</v>
      </c>
      <c r="R111" s="561">
        <f t="shared" si="46"/>
        <v>0</v>
      </c>
      <c r="S111" s="561">
        <f t="shared" si="47"/>
        <v>0</v>
      </c>
      <c r="T111" s="561">
        <f t="shared" si="48"/>
        <v>0</v>
      </c>
      <c r="U111" s="561">
        <f t="shared" si="49"/>
        <v>0</v>
      </c>
      <c r="V111" s="561">
        <f t="shared" si="50"/>
        <v>0</v>
      </c>
      <c r="W111" s="562">
        <f t="shared" si="51"/>
        <v>0</v>
      </c>
      <c r="X111" s="86"/>
      <c r="Y111" s="87"/>
      <c r="Z111" s="87"/>
      <c r="AA111" s="87"/>
      <c r="AB111" s="87"/>
      <c r="AC111" s="87"/>
      <c r="AD111" s="87"/>
      <c r="AE111" s="87"/>
      <c r="AF111" s="87"/>
      <c r="AG111" s="194"/>
      <c r="AH111" s="88">
        <f t="shared" si="64"/>
        <v>0</v>
      </c>
      <c r="AI111" s="89" t="str" cm="1">
        <f t="array" aca="1" ref="AI111" ca="1">IFERROR(IF($AJ$4="N",SSUM(AD111:AF111)/3,SUM(AE111:AG111)/3),"")</f>
        <v/>
      </c>
      <c r="AJ111" s="90">
        <f t="shared" si="65"/>
        <v>0</v>
      </c>
      <c r="AK111" s="91" t="str">
        <f t="shared" si="72"/>
        <v/>
      </c>
      <c r="AL111" s="92" t="str">
        <f t="shared" si="73"/>
        <v/>
      </c>
      <c r="AM111" s="92" t="str">
        <f t="shared" si="74"/>
        <v/>
      </c>
      <c r="AN111" s="92" t="str">
        <f t="shared" si="75"/>
        <v/>
      </c>
      <c r="AO111" s="92" t="str">
        <f t="shared" si="76"/>
        <v/>
      </c>
      <c r="AP111" s="92" t="str">
        <f t="shared" si="77"/>
        <v/>
      </c>
      <c r="AQ111" s="92" t="str">
        <f t="shared" si="78"/>
        <v/>
      </c>
      <c r="AR111" s="92" t="str">
        <f t="shared" si="79"/>
        <v/>
      </c>
      <c r="AS111" s="92" t="str">
        <f t="shared" si="80"/>
        <v/>
      </c>
      <c r="AT111" s="217" t="str">
        <f t="shared" si="81"/>
        <v/>
      </c>
      <c r="AU111" s="93" t="str">
        <f t="shared" si="66"/>
        <v/>
      </c>
      <c r="AV111" s="94" t="str">
        <f t="shared" si="67"/>
        <v/>
      </c>
      <c r="AW111" s="95" t="str">
        <f t="shared" si="68"/>
        <v/>
      </c>
      <c r="AX111" s="248" t="s">
        <v>422</v>
      </c>
      <c r="AY111" s="229" t="s">
        <v>433</v>
      </c>
      <c r="AZ111" s="249">
        <v>0</v>
      </c>
      <c r="BA111" s="267">
        <f t="shared" si="69"/>
        <v>0</v>
      </c>
      <c r="BB111" s="268">
        <f t="shared" si="82"/>
        <v>0</v>
      </c>
      <c r="BC111" s="268">
        <f t="shared" si="82"/>
        <v>0</v>
      </c>
      <c r="BD111" s="268">
        <f t="shared" si="82"/>
        <v>1</v>
      </c>
      <c r="BE111" s="268">
        <f t="shared" si="82"/>
        <v>2</v>
      </c>
      <c r="BF111" s="268">
        <f t="shared" si="82"/>
        <v>3</v>
      </c>
      <c r="BG111" s="268">
        <f t="shared" si="82"/>
        <v>4</v>
      </c>
      <c r="BH111" s="269">
        <f t="shared" si="82"/>
        <v>5</v>
      </c>
      <c r="BI111" s="256">
        <f>IF($AY111=Lookup!$A$2,$AZ111*ROUNDUP(BA111/10,0)+1,
IF($AY111=Lookup!$A$3,($AZ111+1)^AZ111,
IF($AY111=Lookup!$A$4,BA111*$AZ111+1,"Error")))</f>
        <v>1</v>
      </c>
      <c r="BJ111" s="229">
        <f>IF($AY111=Lookup!$A$2,$AZ111*ROUNDUP(BB111/10,0)+1,
IF($AY111=Lookup!$A$3,($AZ111+1)^BA111,
IF($AY111=Lookup!$A$4,BB111*$AZ111+1,"Error")))</f>
        <v>1</v>
      </c>
      <c r="BK111" s="229">
        <f>IF($AY111=Lookup!$A$2,$AZ111*ROUNDUP(BC111/10,0)+1,
IF($AY111=Lookup!$A$3,($AZ111+1)^BB111,
IF($AY111=Lookup!$A$4,BC111*$AZ111+1,"Error")))</f>
        <v>1</v>
      </c>
      <c r="BL111" s="229">
        <f>IF($AY111=Lookup!$A$2,$AZ111*ROUNDUP(BD111/10,0)+1,
IF($AY111=Lookup!$A$3,($AZ111+1)^BC111,
IF($AY111=Lookup!$A$4,BD111*$AZ111+1,"Error")))</f>
        <v>1</v>
      </c>
      <c r="BM111" s="229">
        <f>IF($AY111=Lookup!$A$2,$AZ111*ROUNDUP(BE111/10,0)+1,
IF($AY111=Lookup!$A$3,($AZ111+1)^BD111,
IF($AY111=Lookup!$A$4,BE111*$AZ111+1,"Error")))</f>
        <v>1</v>
      </c>
      <c r="BN111" s="229">
        <f>IF($AY111=Lookup!$A$2,$AZ111*ROUNDUP(BF111/10,0)+1,
IF($AY111=Lookup!$A$3,($AZ111+1)^BE111,
IF($AY111=Lookup!$A$4,BF111*$AZ111+1,"Error")))</f>
        <v>1</v>
      </c>
      <c r="BO111" s="229">
        <f>IF($AY111=Lookup!$A$2,$AZ111*ROUNDUP(BG111/10,0)+1,
IF($AY111=Lookup!$A$3,($AZ111+1)^BF111,
IF($AY111=Lookup!$A$4,BG111*$AZ111+1,"Error")))</f>
        <v>1</v>
      </c>
      <c r="BP111" s="249">
        <f>IF($AY111=Lookup!$A$2,$AZ111*ROUNDUP(BH111/10,0)+1,
IF($AY111=Lookup!$A$3,($AZ111+1)^BG111,
IF($AY111=Lookup!$A$4,BH111*$AZ111+1,"Error")))</f>
        <v>1</v>
      </c>
      <c r="BQ111" s="320"/>
      <c r="BR111" s="321"/>
      <c r="BS111" s="321"/>
      <c r="BT111" s="321"/>
      <c r="BU111" s="321"/>
      <c r="BV111" s="321"/>
      <c r="BW111" s="321"/>
      <c r="BX111" s="277"/>
      <c r="BY111" s="382" t="s">
        <v>292</v>
      </c>
      <c r="BZ111" s="383">
        <f>HLOOKUP($BY111,$AH$6:$AJ$132,ROWS(BZ$6:BZ111),0)</f>
        <v>0</v>
      </c>
      <c r="CA111" s="234">
        <f t="shared" si="70"/>
        <v>0</v>
      </c>
      <c r="CB111" s="96">
        <f t="shared" si="70"/>
        <v>0</v>
      </c>
      <c r="CC111" s="96">
        <f t="shared" si="70"/>
        <v>0</v>
      </c>
      <c r="CD111" s="96">
        <f t="shared" si="70"/>
        <v>0</v>
      </c>
      <c r="CE111" s="96">
        <f t="shared" si="70"/>
        <v>0</v>
      </c>
      <c r="CF111" s="96">
        <f t="shared" si="70"/>
        <v>0</v>
      </c>
      <c r="CG111" s="96">
        <f t="shared" si="70"/>
        <v>0</v>
      </c>
      <c r="CH111" s="286">
        <f t="shared" si="83"/>
        <v>0</v>
      </c>
      <c r="CI111" s="305" t="s">
        <v>293</v>
      </c>
      <c r="CJ111" s="315">
        <v>0.05</v>
      </c>
      <c r="CK111" s="306"/>
      <c r="CL111" s="307" t="str">
        <f>IF($CK111&lt;&gt;"",$CK111,HLOOKUP($CI111,$AU$6:$AW$132,ROWS(CL$6:CL111),0))</f>
        <v/>
      </c>
      <c r="CM111" s="97"/>
      <c r="CN111" s="97"/>
      <c r="CO111" s="97"/>
      <c r="CP111" s="97"/>
      <c r="CQ111" s="97"/>
      <c r="CR111" s="97"/>
      <c r="CS111" s="97"/>
      <c r="CT111" s="98"/>
      <c r="CU111" s="392"/>
    </row>
    <row r="112" spans="1:99" x14ac:dyDescent="0.25">
      <c r="A112" s="81" t="s">
        <v>224</v>
      </c>
      <c r="B112" s="82" t="s">
        <v>227</v>
      </c>
      <c r="C112" s="83" t="s">
        <v>228</v>
      </c>
      <c r="D112" s="84"/>
      <c r="E112" s="85"/>
      <c r="F112" s="85"/>
      <c r="G112" s="85"/>
      <c r="H112" s="85"/>
      <c r="I112" s="85"/>
      <c r="J112" s="85"/>
      <c r="K112" s="85"/>
      <c r="L112" s="85"/>
      <c r="M112" s="201"/>
      <c r="N112" s="560">
        <f t="shared" si="63"/>
        <v>0</v>
      </c>
      <c r="O112" s="561">
        <f t="shared" si="43"/>
        <v>0</v>
      </c>
      <c r="P112" s="561">
        <f t="shared" si="44"/>
        <v>0</v>
      </c>
      <c r="Q112" s="561">
        <f t="shared" si="45"/>
        <v>0</v>
      </c>
      <c r="R112" s="561">
        <f t="shared" si="46"/>
        <v>0</v>
      </c>
      <c r="S112" s="561">
        <f t="shared" si="47"/>
        <v>0</v>
      </c>
      <c r="T112" s="561">
        <f t="shared" si="48"/>
        <v>0</v>
      </c>
      <c r="U112" s="561">
        <f t="shared" si="49"/>
        <v>0</v>
      </c>
      <c r="V112" s="561">
        <f t="shared" si="50"/>
        <v>0</v>
      </c>
      <c r="W112" s="562">
        <f t="shared" si="51"/>
        <v>0</v>
      </c>
      <c r="X112" s="86"/>
      <c r="Y112" s="87"/>
      <c r="Z112" s="87"/>
      <c r="AA112" s="87"/>
      <c r="AB112" s="87"/>
      <c r="AC112" s="87"/>
      <c r="AD112" s="87"/>
      <c r="AE112" s="87"/>
      <c r="AF112" s="87"/>
      <c r="AG112" s="194"/>
      <c r="AH112" s="88">
        <f t="shared" si="64"/>
        <v>0</v>
      </c>
      <c r="AI112" s="89" t="str" cm="1">
        <f t="array" aca="1" ref="AI112" ca="1">IFERROR(IF($AJ$4="N",SSUM(AD112:AF112)/3,SUM(AE112:AG112)/3),"")</f>
        <v/>
      </c>
      <c r="AJ112" s="90">
        <f t="shared" si="65"/>
        <v>0</v>
      </c>
      <c r="AK112" s="91" t="str">
        <f t="shared" si="72"/>
        <v/>
      </c>
      <c r="AL112" s="92" t="str">
        <f t="shared" si="73"/>
        <v/>
      </c>
      <c r="AM112" s="92" t="str">
        <f t="shared" si="74"/>
        <v/>
      </c>
      <c r="AN112" s="92" t="str">
        <f t="shared" si="75"/>
        <v/>
      </c>
      <c r="AO112" s="92" t="str">
        <f t="shared" si="76"/>
        <v/>
      </c>
      <c r="AP112" s="92" t="str">
        <f t="shared" si="77"/>
        <v/>
      </c>
      <c r="AQ112" s="92" t="str">
        <f t="shared" si="78"/>
        <v/>
      </c>
      <c r="AR112" s="92" t="str">
        <f t="shared" si="79"/>
        <v/>
      </c>
      <c r="AS112" s="92" t="str">
        <f t="shared" si="80"/>
        <v/>
      </c>
      <c r="AT112" s="217" t="str">
        <f t="shared" si="81"/>
        <v/>
      </c>
      <c r="AU112" s="93" t="str">
        <f t="shared" si="66"/>
        <v/>
      </c>
      <c r="AV112" s="94" t="str">
        <f t="shared" si="67"/>
        <v/>
      </c>
      <c r="AW112" s="95" t="str">
        <f t="shared" si="68"/>
        <v/>
      </c>
      <c r="AX112" s="248" t="s">
        <v>422</v>
      </c>
      <c r="AY112" s="229" t="s">
        <v>433</v>
      </c>
      <c r="AZ112" s="249">
        <v>0</v>
      </c>
      <c r="BA112" s="267">
        <f t="shared" si="69"/>
        <v>0</v>
      </c>
      <c r="BB112" s="268">
        <f t="shared" si="82"/>
        <v>0</v>
      </c>
      <c r="BC112" s="268">
        <f t="shared" si="82"/>
        <v>0</v>
      </c>
      <c r="BD112" s="268">
        <f t="shared" si="82"/>
        <v>1</v>
      </c>
      <c r="BE112" s="268">
        <f t="shared" si="82"/>
        <v>2</v>
      </c>
      <c r="BF112" s="268">
        <f t="shared" si="82"/>
        <v>3</v>
      </c>
      <c r="BG112" s="268">
        <f t="shared" si="82"/>
        <v>4</v>
      </c>
      <c r="BH112" s="269">
        <f t="shared" si="82"/>
        <v>5</v>
      </c>
      <c r="BI112" s="256">
        <f>IF($AY112=Lookup!$A$2,$AZ112*ROUNDUP(BA112/10,0)+1,
IF($AY112=Lookup!$A$3,($AZ112+1)^AZ112,
IF($AY112=Lookup!$A$4,BA112*$AZ112+1,"Error")))</f>
        <v>1</v>
      </c>
      <c r="BJ112" s="229">
        <f>IF($AY112=Lookup!$A$2,$AZ112*ROUNDUP(BB112/10,0)+1,
IF($AY112=Lookup!$A$3,($AZ112+1)^BA112,
IF($AY112=Lookup!$A$4,BB112*$AZ112+1,"Error")))</f>
        <v>1</v>
      </c>
      <c r="BK112" s="229">
        <f>IF($AY112=Lookup!$A$2,$AZ112*ROUNDUP(BC112/10,0)+1,
IF($AY112=Lookup!$A$3,($AZ112+1)^BB112,
IF($AY112=Lookup!$A$4,BC112*$AZ112+1,"Error")))</f>
        <v>1</v>
      </c>
      <c r="BL112" s="229">
        <f>IF($AY112=Lookup!$A$2,$AZ112*ROUNDUP(BD112/10,0)+1,
IF($AY112=Lookup!$A$3,($AZ112+1)^BC112,
IF($AY112=Lookup!$A$4,BD112*$AZ112+1,"Error")))</f>
        <v>1</v>
      </c>
      <c r="BM112" s="229">
        <f>IF($AY112=Lookup!$A$2,$AZ112*ROUNDUP(BE112/10,0)+1,
IF($AY112=Lookup!$A$3,($AZ112+1)^BD112,
IF($AY112=Lookup!$A$4,BE112*$AZ112+1,"Error")))</f>
        <v>1</v>
      </c>
      <c r="BN112" s="229">
        <f>IF($AY112=Lookup!$A$2,$AZ112*ROUNDUP(BF112/10,0)+1,
IF($AY112=Lookup!$A$3,($AZ112+1)^BE112,
IF($AY112=Lookup!$A$4,BF112*$AZ112+1,"Error")))</f>
        <v>1</v>
      </c>
      <c r="BO112" s="229">
        <f>IF($AY112=Lookup!$A$2,$AZ112*ROUNDUP(BG112/10,0)+1,
IF($AY112=Lookup!$A$3,($AZ112+1)^BF112,
IF($AY112=Lookup!$A$4,BG112*$AZ112+1,"Error")))</f>
        <v>1</v>
      </c>
      <c r="BP112" s="249">
        <f>IF($AY112=Lookup!$A$2,$AZ112*ROUNDUP(BH112/10,0)+1,
IF($AY112=Lookup!$A$3,($AZ112+1)^BG112,
IF($AY112=Lookup!$A$4,BH112*$AZ112+1,"Error")))</f>
        <v>1</v>
      </c>
      <c r="BQ112" s="320"/>
      <c r="BR112" s="321"/>
      <c r="BS112" s="321"/>
      <c r="BT112" s="321"/>
      <c r="BU112" s="321"/>
      <c r="BV112" s="321"/>
      <c r="BW112" s="321"/>
      <c r="BX112" s="277"/>
      <c r="BY112" s="382" t="s">
        <v>292</v>
      </c>
      <c r="BZ112" s="383">
        <f>HLOOKUP($BY112,$AH$6:$AJ$132,ROWS(BZ$6:BZ112),0)</f>
        <v>0</v>
      </c>
      <c r="CA112" s="234">
        <f t="shared" si="70"/>
        <v>0</v>
      </c>
      <c r="CB112" s="96">
        <f t="shared" si="70"/>
        <v>0</v>
      </c>
      <c r="CC112" s="96">
        <f t="shared" si="70"/>
        <v>0</v>
      </c>
      <c r="CD112" s="96">
        <f t="shared" si="70"/>
        <v>0</v>
      </c>
      <c r="CE112" s="96">
        <f t="shared" si="70"/>
        <v>0</v>
      </c>
      <c r="CF112" s="96">
        <f t="shared" si="70"/>
        <v>0</v>
      </c>
      <c r="CG112" s="96">
        <f t="shared" si="70"/>
        <v>0</v>
      </c>
      <c r="CH112" s="286">
        <f t="shared" si="83"/>
        <v>0</v>
      </c>
      <c r="CI112" s="305" t="s">
        <v>293</v>
      </c>
      <c r="CJ112" s="315">
        <v>0.05</v>
      </c>
      <c r="CK112" s="306"/>
      <c r="CL112" s="307" t="str">
        <f>IF($CK112&lt;&gt;"",$CK112,HLOOKUP($CI112,$AU$6:$AW$132,ROWS(CL$6:CL112),0))</f>
        <v/>
      </c>
      <c r="CM112" s="97"/>
      <c r="CN112" s="97"/>
      <c r="CO112" s="97"/>
      <c r="CP112" s="97"/>
      <c r="CQ112" s="97"/>
      <c r="CR112" s="97"/>
      <c r="CS112" s="97"/>
      <c r="CT112" s="98"/>
      <c r="CU112" s="392"/>
    </row>
    <row r="113" spans="1:99" x14ac:dyDescent="0.25">
      <c r="A113" s="81" t="s">
        <v>224</v>
      </c>
      <c r="B113" s="82" t="s">
        <v>229</v>
      </c>
      <c r="C113" s="83" t="s">
        <v>230</v>
      </c>
      <c r="D113" s="84"/>
      <c r="E113" s="85"/>
      <c r="F113" s="85"/>
      <c r="G113" s="85"/>
      <c r="H113" s="85"/>
      <c r="I113" s="85"/>
      <c r="J113" s="85"/>
      <c r="K113" s="85"/>
      <c r="L113" s="85"/>
      <c r="M113" s="201"/>
      <c r="N113" s="560">
        <f t="shared" si="63"/>
        <v>0</v>
      </c>
      <c r="O113" s="561">
        <f t="shared" si="43"/>
        <v>0</v>
      </c>
      <c r="P113" s="561">
        <f t="shared" si="44"/>
        <v>0</v>
      </c>
      <c r="Q113" s="561">
        <f t="shared" si="45"/>
        <v>0</v>
      </c>
      <c r="R113" s="561">
        <f t="shared" si="46"/>
        <v>0</v>
      </c>
      <c r="S113" s="561">
        <f t="shared" si="47"/>
        <v>0</v>
      </c>
      <c r="T113" s="561">
        <f t="shared" si="48"/>
        <v>0</v>
      </c>
      <c r="U113" s="561">
        <f t="shared" si="49"/>
        <v>0</v>
      </c>
      <c r="V113" s="561">
        <f t="shared" si="50"/>
        <v>0</v>
      </c>
      <c r="W113" s="562">
        <f t="shared" si="51"/>
        <v>0</v>
      </c>
      <c r="X113" s="86"/>
      <c r="Y113" s="87"/>
      <c r="Z113" s="87"/>
      <c r="AA113" s="87"/>
      <c r="AB113" s="87"/>
      <c r="AC113" s="87"/>
      <c r="AD113" s="87"/>
      <c r="AE113" s="87"/>
      <c r="AF113" s="87"/>
      <c r="AG113" s="194"/>
      <c r="AH113" s="88">
        <f t="shared" si="64"/>
        <v>0</v>
      </c>
      <c r="AI113" s="89" t="str" cm="1">
        <f t="array" aca="1" ref="AI113" ca="1">IFERROR(IF($AJ$4="N",SSUM(AD113:AF113)/3,SUM(AE113:AG113)/3),"")</f>
        <v/>
      </c>
      <c r="AJ113" s="90">
        <f t="shared" si="65"/>
        <v>0</v>
      </c>
      <c r="AK113" s="91" t="str">
        <f t="shared" si="72"/>
        <v/>
      </c>
      <c r="AL113" s="92" t="str">
        <f t="shared" si="73"/>
        <v/>
      </c>
      <c r="AM113" s="92" t="str">
        <f t="shared" si="74"/>
        <v/>
      </c>
      <c r="AN113" s="92" t="str">
        <f t="shared" si="75"/>
        <v/>
      </c>
      <c r="AO113" s="92" t="str">
        <f t="shared" si="76"/>
        <v/>
      </c>
      <c r="AP113" s="92" t="str">
        <f t="shared" si="77"/>
        <v/>
      </c>
      <c r="AQ113" s="92" t="str">
        <f t="shared" si="78"/>
        <v/>
      </c>
      <c r="AR113" s="92" t="str">
        <f t="shared" si="79"/>
        <v/>
      </c>
      <c r="AS113" s="92" t="str">
        <f t="shared" si="80"/>
        <v/>
      </c>
      <c r="AT113" s="217" t="str">
        <f t="shared" si="81"/>
        <v/>
      </c>
      <c r="AU113" s="93" t="str">
        <f t="shared" si="66"/>
        <v/>
      </c>
      <c r="AV113" s="94" t="str">
        <f t="shared" si="67"/>
        <v/>
      </c>
      <c r="AW113" s="95" t="str">
        <f t="shared" si="68"/>
        <v/>
      </c>
      <c r="AX113" s="248" t="s">
        <v>422</v>
      </c>
      <c r="AY113" s="229" t="s">
        <v>433</v>
      </c>
      <c r="AZ113" s="249">
        <v>0</v>
      </c>
      <c r="BA113" s="267">
        <f t="shared" si="69"/>
        <v>0</v>
      </c>
      <c r="BB113" s="268">
        <f t="shared" si="82"/>
        <v>0</v>
      </c>
      <c r="BC113" s="268">
        <f t="shared" si="82"/>
        <v>0</v>
      </c>
      <c r="BD113" s="268">
        <f t="shared" si="82"/>
        <v>1</v>
      </c>
      <c r="BE113" s="268">
        <f t="shared" si="82"/>
        <v>2</v>
      </c>
      <c r="BF113" s="268">
        <f t="shared" si="82"/>
        <v>3</v>
      </c>
      <c r="BG113" s="268">
        <f t="shared" si="82"/>
        <v>4</v>
      </c>
      <c r="BH113" s="269">
        <f t="shared" si="82"/>
        <v>5</v>
      </c>
      <c r="BI113" s="256">
        <f>IF($AY113=Lookup!$A$2,$AZ113*ROUNDUP(BA113/10,0)+1,
IF($AY113=Lookup!$A$3,($AZ113+1)^AZ113,
IF($AY113=Lookup!$A$4,BA113*$AZ113+1,"Error")))</f>
        <v>1</v>
      </c>
      <c r="BJ113" s="229">
        <f>IF($AY113=Lookup!$A$2,$AZ113*ROUNDUP(BB113/10,0)+1,
IF($AY113=Lookup!$A$3,($AZ113+1)^BA113,
IF($AY113=Lookup!$A$4,BB113*$AZ113+1,"Error")))</f>
        <v>1</v>
      </c>
      <c r="BK113" s="229">
        <f>IF($AY113=Lookup!$A$2,$AZ113*ROUNDUP(BC113/10,0)+1,
IF($AY113=Lookup!$A$3,($AZ113+1)^BB113,
IF($AY113=Lookup!$A$4,BC113*$AZ113+1,"Error")))</f>
        <v>1</v>
      </c>
      <c r="BL113" s="229">
        <f>IF($AY113=Lookup!$A$2,$AZ113*ROUNDUP(BD113/10,0)+1,
IF($AY113=Lookup!$A$3,($AZ113+1)^BC113,
IF($AY113=Lookup!$A$4,BD113*$AZ113+1,"Error")))</f>
        <v>1</v>
      </c>
      <c r="BM113" s="229">
        <f>IF($AY113=Lookup!$A$2,$AZ113*ROUNDUP(BE113/10,0)+1,
IF($AY113=Lookup!$A$3,($AZ113+1)^BD113,
IF($AY113=Lookup!$A$4,BE113*$AZ113+1,"Error")))</f>
        <v>1</v>
      </c>
      <c r="BN113" s="229">
        <f>IF($AY113=Lookup!$A$2,$AZ113*ROUNDUP(BF113/10,0)+1,
IF($AY113=Lookup!$A$3,($AZ113+1)^BE113,
IF($AY113=Lookup!$A$4,BF113*$AZ113+1,"Error")))</f>
        <v>1</v>
      </c>
      <c r="BO113" s="229">
        <f>IF($AY113=Lookup!$A$2,$AZ113*ROUNDUP(BG113/10,0)+1,
IF($AY113=Lookup!$A$3,($AZ113+1)^BF113,
IF($AY113=Lookup!$A$4,BG113*$AZ113+1,"Error")))</f>
        <v>1</v>
      </c>
      <c r="BP113" s="249">
        <f>IF($AY113=Lookup!$A$2,$AZ113*ROUNDUP(BH113/10,0)+1,
IF($AY113=Lookup!$A$3,($AZ113+1)^BG113,
IF($AY113=Lookup!$A$4,BH113*$AZ113+1,"Error")))</f>
        <v>1</v>
      </c>
      <c r="BQ113" s="320"/>
      <c r="BR113" s="321"/>
      <c r="BS113" s="321"/>
      <c r="BT113" s="321"/>
      <c r="BU113" s="321"/>
      <c r="BV113" s="321"/>
      <c r="BW113" s="321"/>
      <c r="BX113" s="277"/>
      <c r="BY113" s="382" t="s">
        <v>292</v>
      </c>
      <c r="BZ113" s="383">
        <f>HLOOKUP($BY113,$AH$6:$AJ$132,ROWS(BZ$6:BZ113),0)</f>
        <v>0</v>
      </c>
      <c r="CA113" s="234">
        <f t="shared" si="70"/>
        <v>0</v>
      </c>
      <c r="CB113" s="96">
        <f t="shared" si="70"/>
        <v>0</v>
      </c>
      <c r="CC113" s="96">
        <f t="shared" si="70"/>
        <v>0</v>
      </c>
      <c r="CD113" s="96">
        <f t="shared" si="70"/>
        <v>0</v>
      </c>
      <c r="CE113" s="96">
        <f t="shared" si="70"/>
        <v>0</v>
      </c>
      <c r="CF113" s="96">
        <f t="shared" si="70"/>
        <v>0</v>
      </c>
      <c r="CG113" s="96">
        <f t="shared" si="70"/>
        <v>0</v>
      </c>
      <c r="CH113" s="286">
        <f t="shared" si="83"/>
        <v>0</v>
      </c>
      <c r="CI113" s="305" t="s">
        <v>293</v>
      </c>
      <c r="CJ113" s="315">
        <v>0.05</v>
      </c>
      <c r="CK113" s="306"/>
      <c r="CL113" s="307" t="str">
        <f>IF($CK113&lt;&gt;"",$CK113,HLOOKUP($CI113,$AU$6:$AW$132,ROWS(CL$6:CL113),0))</f>
        <v/>
      </c>
      <c r="CM113" s="97"/>
      <c r="CN113" s="97"/>
      <c r="CO113" s="97"/>
      <c r="CP113" s="97"/>
      <c r="CQ113" s="97"/>
      <c r="CR113" s="97"/>
      <c r="CS113" s="97"/>
      <c r="CT113" s="98"/>
      <c r="CU113" s="392"/>
    </row>
    <row r="114" spans="1:99" x14ac:dyDescent="0.25">
      <c r="A114" s="81" t="s">
        <v>224</v>
      </c>
      <c r="B114" s="82" t="s">
        <v>231</v>
      </c>
      <c r="C114" s="83" t="s">
        <v>232</v>
      </c>
      <c r="D114" s="84"/>
      <c r="E114" s="85"/>
      <c r="F114" s="85"/>
      <c r="G114" s="85"/>
      <c r="H114" s="85"/>
      <c r="I114" s="85"/>
      <c r="J114" s="85"/>
      <c r="K114" s="85"/>
      <c r="L114" s="85"/>
      <c r="M114" s="201"/>
      <c r="N114" s="560">
        <f t="shared" si="63"/>
        <v>0</v>
      </c>
      <c r="O114" s="561">
        <f t="shared" si="43"/>
        <v>0</v>
      </c>
      <c r="P114" s="561">
        <f t="shared" si="44"/>
        <v>0</v>
      </c>
      <c r="Q114" s="561">
        <f t="shared" si="45"/>
        <v>0</v>
      </c>
      <c r="R114" s="561">
        <f t="shared" si="46"/>
        <v>0</v>
      </c>
      <c r="S114" s="561">
        <f t="shared" si="47"/>
        <v>0</v>
      </c>
      <c r="T114" s="561">
        <f t="shared" si="48"/>
        <v>0</v>
      </c>
      <c r="U114" s="561">
        <f t="shared" si="49"/>
        <v>0</v>
      </c>
      <c r="V114" s="561">
        <f t="shared" si="50"/>
        <v>0</v>
      </c>
      <c r="W114" s="562">
        <f t="shared" si="51"/>
        <v>0</v>
      </c>
      <c r="X114" s="86"/>
      <c r="Y114" s="87"/>
      <c r="Z114" s="87"/>
      <c r="AA114" s="87"/>
      <c r="AB114" s="87"/>
      <c r="AC114" s="87"/>
      <c r="AD114" s="87"/>
      <c r="AE114" s="87"/>
      <c r="AF114" s="87"/>
      <c r="AG114" s="194"/>
      <c r="AH114" s="88">
        <f t="shared" si="64"/>
        <v>0</v>
      </c>
      <c r="AI114" s="89" t="str" cm="1">
        <f t="array" aca="1" ref="AI114" ca="1">IFERROR(IF($AJ$4="N",SSUM(AD114:AF114)/3,SUM(AE114:AG114)/3),"")</f>
        <v/>
      </c>
      <c r="AJ114" s="90">
        <f t="shared" si="65"/>
        <v>0</v>
      </c>
      <c r="AK114" s="91" t="str">
        <f t="shared" si="72"/>
        <v/>
      </c>
      <c r="AL114" s="92" t="str">
        <f t="shared" si="73"/>
        <v/>
      </c>
      <c r="AM114" s="92" t="str">
        <f t="shared" si="74"/>
        <v/>
      </c>
      <c r="AN114" s="92" t="str">
        <f t="shared" si="75"/>
        <v/>
      </c>
      <c r="AO114" s="92" t="str">
        <f t="shared" si="76"/>
        <v/>
      </c>
      <c r="AP114" s="92" t="str">
        <f t="shared" si="77"/>
        <v/>
      </c>
      <c r="AQ114" s="92" t="str">
        <f t="shared" si="78"/>
        <v/>
      </c>
      <c r="AR114" s="92" t="str">
        <f t="shared" si="79"/>
        <v/>
      </c>
      <c r="AS114" s="92" t="str">
        <f t="shared" si="80"/>
        <v/>
      </c>
      <c r="AT114" s="217" t="str">
        <f t="shared" si="81"/>
        <v/>
      </c>
      <c r="AU114" s="93" t="str">
        <f t="shared" si="66"/>
        <v/>
      </c>
      <c r="AV114" s="94" t="str">
        <f t="shared" si="67"/>
        <v/>
      </c>
      <c r="AW114" s="95" t="str">
        <f t="shared" si="68"/>
        <v/>
      </c>
      <c r="AX114" s="248" t="s">
        <v>422</v>
      </c>
      <c r="AY114" s="229" t="s">
        <v>433</v>
      </c>
      <c r="AZ114" s="249">
        <v>0</v>
      </c>
      <c r="BA114" s="267">
        <f t="shared" si="69"/>
        <v>0</v>
      </c>
      <c r="BB114" s="268">
        <f t="shared" si="82"/>
        <v>0</v>
      </c>
      <c r="BC114" s="268">
        <f t="shared" si="82"/>
        <v>0</v>
      </c>
      <c r="BD114" s="268">
        <f t="shared" si="82"/>
        <v>1</v>
      </c>
      <c r="BE114" s="268">
        <f t="shared" si="82"/>
        <v>2</v>
      </c>
      <c r="BF114" s="268">
        <f t="shared" si="82"/>
        <v>3</v>
      </c>
      <c r="BG114" s="268">
        <f t="shared" si="82"/>
        <v>4</v>
      </c>
      <c r="BH114" s="269">
        <f t="shared" si="82"/>
        <v>5</v>
      </c>
      <c r="BI114" s="256">
        <f>IF($AY114=Lookup!$A$2,$AZ114*ROUNDUP(BA114/10,0)+1,
IF($AY114=Lookup!$A$3,($AZ114+1)^AZ114,
IF($AY114=Lookup!$A$4,BA114*$AZ114+1,"Error")))</f>
        <v>1</v>
      </c>
      <c r="BJ114" s="229">
        <f>IF($AY114=Lookup!$A$2,$AZ114*ROUNDUP(BB114/10,0)+1,
IF($AY114=Lookup!$A$3,($AZ114+1)^BA114,
IF($AY114=Lookup!$A$4,BB114*$AZ114+1,"Error")))</f>
        <v>1</v>
      </c>
      <c r="BK114" s="229">
        <f>IF($AY114=Lookup!$A$2,$AZ114*ROUNDUP(BC114/10,0)+1,
IF($AY114=Lookup!$A$3,($AZ114+1)^BB114,
IF($AY114=Lookup!$A$4,BC114*$AZ114+1,"Error")))</f>
        <v>1</v>
      </c>
      <c r="BL114" s="229">
        <f>IF($AY114=Lookup!$A$2,$AZ114*ROUNDUP(BD114/10,0)+1,
IF($AY114=Lookup!$A$3,($AZ114+1)^BC114,
IF($AY114=Lookup!$A$4,BD114*$AZ114+1,"Error")))</f>
        <v>1</v>
      </c>
      <c r="BM114" s="229">
        <f>IF($AY114=Lookup!$A$2,$AZ114*ROUNDUP(BE114/10,0)+1,
IF($AY114=Lookup!$A$3,($AZ114+1)^BD114,
IF($AY114=Lookup!$A$4,BE114*$AZ114+1,"Error")))</f>
        <v>1</v>
      </c>
      <c r="BN114" s="229">
        <f>IF($AY114=Lookup!$A$2,$AZ114*ROUNDUP(BF114/10,0)+1,
IF($AY114=Lookup!$A$3,($AZ114+1)^BE114,
IF($AY114=Lookup!$A$4,BF114*$AZ114+1,"Error")))</f>
        <v>1</v>
      </c>
      <c r="BO114" s="229">
        <f>IF($AY114=Lookup!$A$2,$AZ114*ROUNDUP(BG114/10,0)+1,
IF($AY114=Lookup!$A$3,($AZ114+1)^BF114,
IF($AY114=Lookup!$A$4,BG114*$AZ114+1,"Error")))</f>
        <v>1</v>
      </c>
      <c r="BP114" s="249">
        <f>IF($AY114=Lookup!$A$2,$AZ114*ROUNDUP(BH114/10,0)+1,
IF($AY114=Lookup!$A$3,($AZ114+1)^BG114,
IF($AY114=Lookup!$A$4,BH114*$AZ114+1,"Error")))</f>
        <v>1</v>
      </c>
      <c r="BQ114" s="320"/>
      <c r="BR114" s="321"/>
      <c r="BS114" s="321"/>
      <c r="BT114" s="321"/>
      <c r="BU114" s="321"/>
      <c r="BV114" s="321"/>
      <c r="BW114" s="321"/>
      <c r="BX114" s="277"/>
      <c r="BY114" s="382" t="s">
        <v>292</v>
      </c>
      <c r="BZ114" s="383">
        <f>HLOOKUP($BY114,$AH$6:$AJ$132,ROWS(BZ$6:BZ114),0)</f>
        <v>0</v>
      </c>
      <c r="CA114" s="234">
        <f t="shared" si="70"/>
        <v>0</v>
      </c>
      <c r="CB114" s="96">
        <f t="shared" si="70"/>
        <v>0</v>
      </c>
      <c r="CC114" s="96">
        <f t="shared" si="70"/>
        <v>0</v>
      </c>
      <c r="CD114" s="96">
        <f t="shared" si="70"/>
        <v>0</v>
      </c>
      <c r="CE114" s="96">
        <f t="shared" si="70"/>
        <v>0</v>
      </c>
      <c r="CF114" s="96">
        <f t="shared" si="70"/>
        <v>0</v>
      </c>
      <c r="CG114" s="96">
        <f t="shared" si="70"/>
        <v>0</v>
      </c>
      <c r="CH114" s="286">
        <f t="shared" si="83"/>
        <v>0</v>
      </c>
      <c r="CI114" s="305" t="s">
        <v>293</v>
      </c>
      <c r="CJ114" s="315">
        <v>0.05</v>
      </c>
      <c r="CK114" s="306"/>
      <c r="CL114" s="307" t="str">
        <f>IF($CK114&lt;&gt;"",$CK114,HLOOKUP($CI114,$AU$6:$AW$132,ROWS(CL$6:CL114),0))</f>
        <v/>
      </c>
      <c r="CM114" s="97"/>
      <c r="CN114" s="97"/>
      <c r="CO114" s="97"/>
      <c r="CP114" s="97"/>
      <c r="CQ114" s="97"/>
      <c r="CR114" s="97"/>
      <c r="CS114" s="97"/>
      <c r="CT114" s="98"/>
      <c r="CU114" s="392"/>
    </row>
    <row r="115" spans="1:99" x14ac:dyDescent="0.25">
      <c r="A115" s="81" t="s">
        <v>224</v>
      </c>
      <c r="B115" s="82" t="s">
        <v>233</v>
      </c>
      <c r="C115" s="83" t="s">
        <v>234</v>
      </c>
      <c r="D115" s="84"/>
      <c r="E115" s="85"/>
      <c r="F115" s="85"/>
      <c r="G115" s="85"/>
      <c r="H115" s="85"/>
      <c r="I115" s="85"/>
      <c r="J115" s="85"/>
      <c r="K115" s="85"/>
      <c r="L115" s="85"/>
      <c r="M115" s="201"/>
      <c r="N115" s="560">
        <f t="shared" si="63"/>
        <v>0</v>
      </c>
      <c r="O115" s="561">
        <f t="shared" si="43"/>
        <v>0</v>
      </c>
      <c r="P115" s="561">
        <f t="shared" si="44"/>
        <v>0</v>
      </c>
      <c r="Q115" s="561">
        <f t="shared" si="45"/>
        <v>0</v>
      </c>
      <c r="R115" s="561">
        <f t="shared" si="46"/>
        <v>0</v>
      </c>
      <c r="S115" s="561">
        <f t="shared" si="47"/>
        <v>0</v>
      </c>
      <c r="T115" s="561">
        <f t="shared" si="48"/>
        <v>0</v>
      </c>
      <c r="U115" s="561">
        <f t="shared" si="49"/>
        <v>0</v>
      </c>
      <c r="V115" s="561">
        <f t="shared" si="50"/>
        <v>0</v>
      </c>
      <c r="W115" s="562">
        <f t="shared" si="51"/>
        <v>0</v>
      </c>
      <c r="X115" s="86"/>
      <c r="Y115" s="87"/>
      <c r="Z115" s="87"/>
      <c r="AA115" s="87"/>
      <c r="AB115" s="87"/>
      <c r="AC115" s="87"/>
      <c r="AD115" s="87"/>
      <c r="AE115" s="87"/>
      <c r="AF115" s="87"/>
      <c r="AG115" s="194"/>
      <c r="AH115" s="88">
        <f t="shared" si="64"/>
        <v>0</v>
      </c>
      <c r="AI115" s="89" t="str" cm="1">
        <f t="array" aca="1" ref="AI115" ca="1">IFERROR(IF($AJ$4="N",SSUM(AD115:AF115)/3,SUM(AE115:AG115)/3),"")</f>
        <v/>
      </c>
      <c r="AJ115" s="90">
        <f t="shared" si="65"/>
        <v>0</v>
      </c>
      <c r="AK115" s="91" t="str">
        <f t="shared" si="72"/>
        <v/>
      </c>
      <c r="AL115" s="92" t="str">
        <f t="shared" si="73"/>
        <v/>
      </c>
      <c r="AM115" s="92" t="str">
        <f t="shared" si="74"/>
        <v/>
      </c>
      <c r="AN115" s="92" t="str">
        <f t="shared" si="75"/>
        <v/>
      </c>
      <c r="AO115" s="92" t="str">
        <f t="shared" si="76"/>
        <v/>
      </c>
      <c r="AP115" s="92" t="str">
        <f t="shared" si="77"/>
        <v/>
      </c>
      <c r="AQ115" s="92" t="str">
        <f t="shared" si="78"/>
        <v/>
      </c>
      <c r="AR115" s="92" t="str">
        <f t="shared" si="79"/>
        <v/>
      </c>
      <c r="AS115" s="92" t="str">
        <f t="shared" si="80"/>
        <v/>
      </c>
      <c r="AT115" s="217" t="str">
        <f t="shared" si="81"/>
        <v/>
      </c>
      <c r="AU115" s="93" t="str">
        <f t="shared" si="66"/>
        <v/>
      </c>
      <c r="AV115" s="94" t="str">
        <f t="shared" si="67"/>
        <v/>
      </c>
      <c r="AW115" s="95" t="str">
        <f t="shared" si="68"/>
        <v/>
      </c>
      <c r="AX115" s="248" t="s">
        <v>422</v>
      </c>
      <c r="AY115" s="229" t="s">
        <v>433</v>
      </c>
      <c r="AZ115" s="249">
        <v>0</v>
      </c>
      <c r="BA115" s="267">
        <f t="shared" si="69"/>
        <v>0</v>
      </c>
      <c r="BB115" s="268">
        <f t="shared" si="82"/>
        <v>0</v>
      </c>
      <c r="BC115" s="268">
        <f t="shared" si="82"/>
        <v>0</v>
      </c>
      <c r="BD115" s="268">
        <f t="shared" si="82"/>
        <v>1</v>
      </c>
      <c r="BE115" s="268">
        <f t="shared" si="82"/>
        <v>2</v>
      </c>
      <c r="BF115" s="268">
        <f t="shared" si="82"/>
        <v>3</v>
      </c>
      <c r="BG115" s="268">
        <f t="shared" si="82"/>
        <v>4</v>
      </c>
      <c r="BH115" s="269">
        <f t="shared" si="82"/>
        <v>5</v>
      </c>
      <c r="BI115" s="256">
        <f>IF($AY115=Lookup!$A$2,$AZ115*ROUNDUP(BA115/10,0)+1,
IF($AY115=Lookup!$A$3,($AZ115+1)^AZ115,
IF($AY115=Lookup!$A$4,BA115*$AZ115+1,"Error")))</f>
        <v>1</v>
      </c>
      <c r="BJ115" s="229">
        <f>IF($AY115=Lookup!$A$2,$AZ115*ROUNDUP(BB115/10,0)+1,
IF($AY115=Lookup!$A$3,($AZ115+1)^BA115,
IF($AY115=Lookup!$A$4,BB115*$AZ115+1,"Error")))</f>
        <v>1</v>
      </c>
      <c r="BK115" s="229">
        <f>IF($AY115=Lookup!$A$2,$AZ115*ROUNDUP(BC115/10,0)+1,
IF($AY115=Lookup!$A$3,($AZ115+1)^BB115,
IF($AY115=Lookup!$A$4,BC115*$AZ115+1,"Error")))</f>
        <v>1</v>
      </c>
      <c r="BL115" s="229">
        <f>IF($AY115=Lookup!$A$2,$AZ115*ROUNDUP(BD115/10,0)+1,
IF($AY115=Lookup!$A$3,($AZ115+1)^BC115,
IF($AY115=Lookup!$A$4,BD115*$AZ115+1,"Error")))</f>
        <v>1</v>
      </c>
      <c r="BM115" s="229">
        <f>IF($AY115=Lookup!$A$2,$AZ115*ROUNDUP(BE115/10,0)+1,
IF($AY115=Lookup!$A$3,($AZ115+1)^BD115,
IF($AY115=Lookup!$A$4,BE115*$AZ115+1,"Error")))</f>
        <v>1</v>
      </c>
      <c r="BN115" s="229">
        <f>IF($AY115=Lookup!$A$2,$AZ115*ROUNDUP(BF115/10,0)+1,
IF($AY115=Lookup!$A$3,($AZ115+1)^BE115,
IF($AY115=Lookup!$A$4,BF115*$AZ115+1,"Error")))</f>
        <v>1</v>
      </c>
      <c r="BO115" s="229">
        <f>IF($AY115=Lookup!$A$2,$AZ115*ROUNDUP(BG115/10,0)+1,
IF($AY115=Lookup!$A$3,($AZ115+1)^BF115,
IF($AY115=Lookup!$A$4,BG115*$AZ115+1,"Error")))</f>
        <v>1</v>
      </c>
      <c r="BP115" s="249">
        <f>IF($AY115=Lookup!$A$2,$AZ115*ROUNDUP(BH115/10,0)+1,
IF($AY115=Lookup!$A$3,($AZ115+1)^BG115,
IF($AY115=Lookup!$A$4,BH115*$AZ115+1,"Error")))</f>
        <v>1</v>
      </c>
      <c r="BQ115" s="320"/>
      <c r="BR115" s="321"/>
      <c r="BS115" s="321"/>
      <c r="BT115" s="321"/>
      <c r="BU115" s="321"/>
      <c r="BV115" s="321"/>
      <c r="BW115" s="321"/>
      <c r="BX115" s="277"/>
      <c r="BY115" s="382" t="s">
        <v>292</v>
      </c>
      <c r="BZ115" s="383">
        <f>HLOOKUP($BY115,$AH$6:$AJ$132,ROWS(BZ$6:BZ115),0)</f>
        <v>0</v>
      </c>
      <c r="CA115" s="234">
        <f t="shared" si="70"/>
        <v>0</v>
      </c>
      <c r="CB115" s="96">
        <f t="shared" si="70"/>
        <v>0</v>
      </c>
      <c r="CC115" s="96">
        <f t="shared" si="70"/>
        <v>0</v>
      </c>
      <c r="CD115" s="96">
        <f t="shared" si="70"/>
        <v>0</v>
      </c>
      <c r="CE115" s="96">
        <f t="shared" si="70"/>
        <v>0</v>
      </c>
      <c r="CF115" s="96">
        <f t="shared" si="70"/>
        <v>0</v>
      </c>
      <c r="CG115" s="96">
        <f t="shared" si="70"/>
        <v>0</v>
      </c>
      <c r="CH115" s="286">
        <f t="shared" si="83"/>
        <v>0</v>
      </c>
      <c r="CI115" s="305" t="s">
        <v>293</v>
      </c>
      <c r="CJ115" s="315">
        <v>0.05</v>
      </c>
      <c r="CK115" s="306"/>
      <c r="CL115" s="307" t="str">
        <f>IF($CK115&lt;&gt;"",$CK115,HLOOKUP($CI115,$AU$6:$AW$132,ROWS(CL$6:CL115),0))</f>
        <v/>
      </c>
      <c r="CM115" s="97"/>
      <c r="CN115" s="97"/>
      <c r="CO115" s="97"/>
      <c r="CP115" s="97"/>
      <c r="CQ115" s="97"/>
      <c r="CR115" s="97"/>
      <c r="CS115" s="97"/>
      <c r="CT115" s="98"/>
      <c r="CU115" s="392"/>
    </row>
    <row r="116" spans="1:99" x14ac:dyDescent="0.25">
      <c r="A116" s="81" t="s">
        <v>224</v>
      </c>
      <c r="B116" s="82" t="s">
        <v>235</v>
      </c>
      <c r="C116" s="83" t="s">
        <v>236</v>
      </c>
      <c r="D116" s="84"/>
      <c r="E116" s="85"/>
      <c r="F116" s="85"/>
      <c r="G116" s="85"/>
      <c r="H116" s="85"/>
      <c r="I116" s="85"/>
      <c r="J116" s="85"/>
      <c r="K116" s="85"/>
      <c r="L116" s="85"/>
      <c r="M116" s="201"/>
      <c r="N116" s="560">
        <f t="shared" si="63"/>
        <v>0</v>
      </c>
      <c r="O116" s="561">
        <f t="shared" si="43"/>
        <v>0</v>
      </c>
      <c r="P116" s="561">
        <f t="shared" si="44"/>
        <v>0</v>
      </c>
      <c r="Q116" s="561">
        <f t="shared" si="45"/>
        <v>0</v>
      </c>
      <c r="R116" s="561">
        <f t="shared" si="46"/>
        <v>0</v>
      </c>
      <c r="S116" s="561">
        <f t="shared" si="47"/>
        <v>0</v>
      </c>
      <c r="T116" s="561">
        <f t="shared" si="48"/>
        <v>0</v>
      </c>
      <c r="U116" s="561">
        <f t="shared" si="49"/>
        <v>0</v>
      </c>
      <c r="V116" s="561">
        <f t="shared" si="50"/>
        <v>0</v>
      </c>
      <c r="W116" s="562">
        <f t="shared" si="51"/>
        <v>0</v>
      </c>
      <c r="X116" s="86"/>
      <c r="Y116" s="87"/>
      <c r="Z116" s="87"/>
      <c r="AA116" s="87"/>
      <c r="AB116" s="87"/>
      <c r="AC116" s="87"/>
      <c r="AD116" s="87"/>
      <c r="AE116" s="87"/>
      <c r="AF116" s="87"/>
      <c r="AG116" s="194"/>
      <c r="AH116" s="88">
        <f t="shared" si="64"/>
        <v>0</v>
      </c>
      <c r="AI116" s="89" t="str" cm="1">
        <f t="array" aca="1" ref="AI116" ca="1">IFERROR(IF($AJ$4="N",SSUM(AD116:AF116)/3,SUM(AE116:AG116)/3),"")</f>
        <v/>
      </c>
      <c r="AJ116" s="90">
        <f t="shared" si="65"/>
        <v>0</v>
      </c>
      <c r="AK116" s="91" t="str">
        <f t="shared" si="72"/>
        <v/>
      </c>
      <c r="AL116" s="92" t="str">
        <f t="shared" si="73"/>
        <v/>
      </c>
      <c r="AM116" s="92" t="str">
        <f t="shared" si="74"/>
        <v/>
      </c>
      <c r="AN116" s="92" t="str">
        <f t="shared" si="75"/>
        <v/>
      </c>
      <c r="AO116" s="92" t="str">
        <f t="shared" si="76"/>
        <v/>
      </c>
      <c r="AP116" s="92" t="str">
        <f t="shared" si="77"/>
        <v/>
      </c>
      <c r="AQ116" s="92" t="str">
        <f t="shared" si="78"/>
        <v/>
      </c>
      <c r="AR116" s="92" t="str">
        <f t="shared" si="79"/>
        <v/>
      </c>
      <c r="AS116" s="92" t="str">
        <f t="shared" si="80"/>
        <v/>
      </c>
      <c r="AT116" s="217" t="str">
        <f t="shared" si="81"/>
        <v/>
      </c>
      <c r="AU116" s="93" t="str">
        <f t="shared" si="66"/>
        <v/>
      </c>
      <c r="AV116" s="94" t="str">
        <f t="shared" si="67"/>
        <v/>
      </c>
      <c r="AW116" s="95" t="str">
        <f t="shared" si="68"/>
        <v/>
      </c>
      <c r="AX116" s="248" t="s">
        <v>422</v>
      </c>
      <c r="AY116" s="229" t="s">
        <v>433</v>
      </c>
      <c r="AZ116" s="249">
        <v>0</v>
      </c>
      <c r="BA116" s="267">
        <f t="shared" si="69"/>
        <v>0</v>
      </c>
      <c r="BB116" s="268">
        <f t="shared" si="82"/>
        <v>0</v>
      </c>
      <c r="BC116" s="268">
        <f t="shared" si="82"/>
        <v>0</v>
      </c>
      <c r="BD116" s="268">
        <f t="shared" si="82"/>
        <v>1</v>
      </c>
      <c r="BE116" s="268">
        <f t="shared" si="82"/>
        <v>2</v>
      </c>
      <c r="BF116" s="268">
        <f t="shared" si="82"/>
        <v>3</v>
      </c>
      <c r="BG116" s="268">
        <f t="shared" si="82"/>
        <v>4</v>
      </c>
      <c r="BH116" s="269">
        <f t="shared" si="82"/>
        <v>5</v>
      </c>
      <c r="BI116" s="256">
        <f>IF($AY116=Lookup!$A$2,$AZ116*ROUNDUP(BA116/10,0)+1,
IF($AY116=Lookup!$A$3,($AZ116+1)^AZ116,
IF($AY116=Lookup!$A$4,BA116*$AZ116+1,"Error")))</f>
        <v>1</v>
      </c>
      <c r="BJ116" s="229">
        <f>IF($AY116=Lookup!$A$2,$AZ116*ROUNDUP(BB116/10,0)+1,
IF($AY116=Lookup!$A$3,($AZ116+1)^BA116,
IF($AY116=Lookup!$A$4,BB116*$AZ116+1,"Error")))</f>
        <v>1</v>
      </c>
      <c r="BK116" s="229">
        <f>IF($AY116=Lookup!$A$2,$AZ116*ROUNDUP(BC116/10,0)+1,
IF($AY116=Lookup!$A$3,($AZ116+1)^BB116,
IF($AY116=Lookup!$A$4,BC116*$AZ116+1,"Error")))</f>
        <v>1</v>
      </c>
      <c r="BL116" s="229">
        <f>IF($AY116=Lookup!$A$2,$AZ116*ROUNDUP(BD116/10,0)+1,
IF($AY116=Lookup!$A$3,($AZ116+1)^BC116,
IF($AY116=Lookup!$A$4,BD116*$AZ116+1,"Error")))</f>
        <v>1</v>
      </c>
      <c r="BM116" s="229">
        <f>IF($AY116=Lookup!$A$2,$AZ116*ROUNDUP(BE116/10,0)+1,
IF($AY116=Lookup!$A$3,($AZ116+1)^BD116,
IF($AY116=Lookup!$A$4,BE116*$AZ116+1,"Error")))</f>
        <v>1</v>
      </c>
      <c r="BN116" s="229">
        <f>IF($AY116=Lookup!$A$2,$AZ116*ROUNDUP(BF116/10,0)+1,
IF($AY116=Lookup!$A$3,($AZ116+1)^BE116,
IF($AY116=Lookup!$A$4,BF116*$AZ116+1,"Error")))</f>
        <v>1</v>
      </c>
      <c r="BO116" s="229">
        <f>IF($AY116=Lookup!$A$2,$AZ116*ROUNDUP(BG116/10,0)+1,
IF($AY116=Lookup!$A$3,($AZ116+1)^BF116,
IF($AY116=Lookup!$A$4,BG116*$AZ116+1,"Error")))</f>
        <v>1</v>
      </c>
      <c r="BP116" s="249">
        <f>IF($AY116=Lookup!$A$2,$AZ116*ROUNDUP(BH116/10,0)+1,
IF($AY116=Lookup!$A$3,($AZ116+1)^BG116,
IF($AY116=Lookup!$A$4,BH116*$AZ116+1,"Error")))</f>
        <v>1</v>
      </c>
      <c r="BQ116" s="320"/>
      <c r="BR116" s="321"/>
      <c r="BS116" s="321"/>
      <c r="BT116" s="321"/>
      <c r="BU116" s="321"/>
      <c r="BV116" s="321"/>
      <c r="BW116" s="321"/>
      <c r="BX116" s="277"/>
      <c r="BY116" s="382" t="s">
        <v>292</v>
      </c>
      <c r="BZ116" s="383">
        <f>HLOOKUP($BY116,$AH$6:$AJ$132,ROWS(BZ$6:BZ116),0)</f>
        <v>0</v>
      </c>
      <c r="CA116" s="234">
        <f t="shared" si="70"/>
        <v>0</v>
      </c>
      <c r="CB116" s="96">
        <f t="shared" si="70"/>
        <v>0</v>
      </c>
      <c r="CC116" s="96">
        <f t="shared" si="70"/>
        <v>0</v>
      </c>
      <c r="CD116" s="96">
        <f t="shared" si="70"/>
        <v>0</v>
      </c>
      <c r="CE116" s="96">
        <f t="shared" si="70"/>
        <v>0</v>
      </c>
      <c r="CF116" s="96">
        <f t="shared" si="70"/>
        <v>0</v>
      </c>
      <c r="CG116" s="96">
        <f t="shared" si="70"/>
        <v>0</v>
      </c>
      <c r="CH116" s="286">
        <f t="shared" si="83"/>
        <v>0</v>
      </c>
      <c r="CI116" s="305" t="s">
        <v>293</v>
      </c>
      <c r="CJ116" s="315">
        <v>0.05</v>
      </c>
      <c r="CK116" s="306"/>
      <c r="CL116" s="307" t="str">
        <f>IF($CK116&lt;&gt;"",$CK116,HLOOKUP($CI116,$AU$6:$AW$132,ROWS(CL$6:CL116),0))</f>
        <v/>
      </c>
      <c r="CM116" s="97"/>
      <c r="CN116" s="97"/>
      <c r="CO116" s="97"/>
      <c r="CP116" s="97"/>
      <c r="CQ116" s="97"/>
      <c r="CR116" s="97"/>
      <c r="CS116" s="97"/>
      <c r="CT116" s="98"/>
      <c r="CU116" s="392"/>
    </row>
    <row r="117" spans="1:99" x14ac:dyDescent="0.25">
      <c r="A117" s="81" t="s">
        <v>224</v>
      </c>
      <c r="B117" s="82" t="s">
        <v>237</v>
      </c>
      <c r="C117" s="83" t="s">
        <v>238</v>
      </c>
      <c r="D117" s="84"/>
      <c r="E117" s="85"/>
      <c r="F117" s="85"/>
      <c r="G117" s="85"/>
      <c r="H117" s="85"/>
      <c r="I117" s="85"/>
      <c r="J117" s="85"/>
      <c r="K117" s="85"/>
      <c r="L117" s="85"/>
      <c r="M117" s="201"/>
      <c r="N117" s="560">
        <f t="shared" si="63"/>
        <v>0</v>
      </c>
      <c r="O117" s="561">
        <f t="shared" si="43"/>
        <v>0</v>
      </c>
      <c r="P117" s="561">
        <f t="shared" si="44"/>
        <v>0</v>
      </c>
      <c r="Q117" s="561">
        <f t="shared" si="45"/>
        <v>0</v>
      </c>
      <c r="R117" s="561">
        <f t="shared" si="46"/>
        <v>0</v>
      </c>
      <c r="S117" s="561">
        <f t="shared" si="47"/>
        <v>0</v>
      </c>
      <c r="T117" s="561">
        <f t="shared" si="48"/>
        <v>0</v>
      </c>
      <c r="U117" s="561">
        <f t="shared" si="49"/>
        <v>0</v>
      </c>
      <c r="V117" s="561">
        <f t="shared" si="50"/>
        <v>0</v>
      </c>
      <c r="W117" s="562">
        <f t="shared" si="51"/>
        <v>0</v>
      </c>
      <c r="X117" s="86"/>
      <c r="Y117" s="87"/>
      <c r="Z117" s="87"/>
      <c r="AA117" s="87"/>
      <c r="AB117" s="87"/>
      <c r="AC117" s="87"/>
      <c r="AD117" s="87"/>
      <c r="AE117" s="87"/>
      <c r="AF117" s="87"/>
      <c r="AG117" s="194"/>
      <c r="AH117" s="88">
        <f t="shared" si="64"/>
        <v>0</v>
      </c>
      <c r="AI117" s="89" t="str" cm="1">
        <f t="array" aca="1" ref="AI117" ca="1">IFERROR(IF($AJ$4="N",SSUM(AD117:AF117)/3,SUM(AE117:AG117)/3),"")</f>
        <v/>
      </c>
      <c r="AJ117" s="90">
        <f t="shared" si="65"/>
        <v>0</v>
      </c>
      <c r="AK117" s="91" t="str">
        <f t="shared" si="72"/>
        <v/>
      </c>
      <c r="AL117" s="92" t="str">
        <f t="shared" si="73"/>
        <v/>
      </c>
      <c r="AM117" s="92" t="str">
        <f t="shared" si="74"/>
        <v/>
      </c>
      <c r="AN117" s="92" t="str">
        <f t="shared" si="75"/>
        <v/>
      </c>
      <c r="AO117" s="92" t="str">
        <f t="shared" si="76"/>
        <v/>
      </c>
      <c r="AP117" s="92" t="str">
        <f t="shared" si="77"/>
        <v/>
      </c>
      <c r="AQ117" s="92" t="str">
        <f t="shared" si="78"/>
        <v/>
      </c>
      <c r="AR117" s="92" t="str">
        <f t="shared" si="79"/>
        <v/>
      </c>
      <c r="AS117" s="92" t="str">
        <f t="shared" si="80"/>
        <v/>
      </c>
      <c r="AT117" s="217" t="str">
        <f t="shared" si="81"/>
        <v/>
      </c>
      <c r="AU117" s="93" t="str">
        <f t="shared" si="66"/>
        <v/>
      </c>
      <c r="AV117" s="94" t="str">
        <f t="shared" si="67"/>
        <v/>
      </c>
      <c r="AW117" s="95" t="str">
        <f t="shared" si="68"/>
        <v/>
      </c>
      <c r="AX117" s="248" t="s">
        <v>422</v>
      </c>
      <c r="AY117" s="229" t="s">
        <v>433</v>
      </c>
      <c r="AZ117" s="249">
        <v>0</v>
      </c>
      <c r="BA117" s="267">
        <f t="shared" si="69"/>
        <v>0</v>
      </c>
      <c r="BB117" s="268">
        <f t="shared" si="82"/>
        <v>0</v>
      </c>
      <c r="BC117" s="268">
        <f t="shared" si="82"/>
        <v>0</v>
      </c>
      <c r="BD117" s="268">
        <f t="shared" si="82"/>
        <v>1</v>
      </c>
      <c r="BE117" s="268">
        <f t="shared" si="82"/>
        <v>2</v>
      </c>
      <c r="BF117" s="268">
        <f t="shared" si="82"/>
        <v>3</v>
      </c>
      <c r="BG117" s="268">
        <f t="shared" si="82"/>
        <v>4</v>
      </c>
      <c r="BH117" s="269">
        <f t="shared" si="82"/>
        <v>5</v>
      </c>
      <c r="BI117" s="256">
        <f>IF($AY117=Lookup!$A$2,$AZ117*ROUNDUP(BA117/10,0)+1,
IF($AY117=Lookup!$A$3,($AZ117+1)^AZ117,
IF($AY117=Lookup!$A$4,BA117*$AZ117+1,"Error")))</f>
        <v>1</v>
      </c>
      <c r="BJ117" s="229">
        <f>IF($AY117=Lookup!$A$2,$AZ117*ROUNDUP(BB117/10,0)+1,
IF($AY117=Lookup!$A$3,($AZ117+1)^BA117,
IF($AY117=Lookup!$A$4,BB117*$AZ117+1,"Error")))</f>
        <v>1</v>
      </c>
      <c r="BK117" s="229">
        <f>IF($AY117=Lookup!$A$2,$AZ117*ROUNDUP(BC117/10,0)+1,
IF($AY117=Lookup!$A$3,($AZ117+1)^BB117,
IF($AY117=Lookup!$A$4,BC117*$AZ117+1,"Error")))</f>
        <v>1</v>
      </c>
      <c r="BL117" s="229">
        <f>IF($AY117=Lookup!$A$2,$AZ117*ROUNDUP(BD117/10,0)+1,
IF($AY117=Lookup!$A$3,($AZ117+1)^BC117,
IF($AY117=Lookup!$A$4,BD117*$AZ117+1,"Error")))</f>
        <v>1</v>
      </c>
      <c r="BM117" s="229">
        <f>IF($AY117=Lookup!$A$2,$AZ117*ROUNDUP(BE117/10,0)+1,
IF($AY117=Lookup!$A$3,($AZ117+1)^BD117,
IF($AY117=Lookup!$A$4,BE117*$AZ117+1,"Error")))</f>
        <v>1</v>
      </c>
      <c r="BN117" s="229">
        <f>IF($AY117=Lookup!$A$2,$AZ117*ROUNDUP(BF117/10,0)+1,
IF($AY117=Lookup!$A$3,($AZ117+1)^BE117,
IF($AY117=Lookup!$A$4,BF117*$AZ117+1,"Error")))</f>
        <v>1</v>
      </c>
      <c r="BO117" s="229">
        <f>IF($AY117=Lookup!$A$2,$AZ117*ROUNDUP(BG117/10,0)+1,
IF($AY117=Lookup!$A$3,($AZ117+1)^BF117,
IF($AY117=Lookup!$A$4,BG117*$AZ117+1,"Error")))</f>
        <v>1</v>
      </c>
      <c r="BP117" s="249">
        <f>IF($AY117=Lookup!$A$2,$AZ117*ROUNDUP(BH117/10,0)+1,
IF($AY117=Lookup!$A$3,($AZ117+1)^BG117,
IF($AY117=Lookup!$A$4,BH117*$AZ117+1,"Error")))</f>
        <v>1</v>
      </c>
      <c r="BQ117" s="320"/>
      <c r="BR117" s="321"/>
      <c r="BS117" s="321"/>
      <c r="BT117" s="321"/>
      <c r="BU117" s="321"/>
      <c r="BV117" s="321"/>
      <c r="BW117" s="321"/>
      <c r="BX117" s="277"/>
      <c r="BY117" s="382" t="s">
        <v>292</v>
      </c>
      <c r="BZ117" s="383">
        <f>HLOOKUP($BY117,$AH$6:$AJ$132,ROWS(BZ$6:BZ117),0)</f>
        <v>0</v>
      </c>
      <c r="CA117" s="234">
        <f t="shared" si="70"/>
        <v>0</v>
      </c>
      <c r="CB117" s="96">
        <f t="shared" si="70"/>
        <v>0</v>
      </c>
      <c r="CC117" s="96">
        <f t="shared" si="70"/>
        <v>0</v>
      </c>
      <c r="CD117" s="96">
        <f t="shared" si="70"/>
        <v>0</v>
      </c>
      <c r="CE117" s="96">
        <f t="shared" si="70"/>
        <v>0</v>
      </c>
      <c r="CF117" s="96">
        <f t="shared" si="70"/>
        <v>0</v>
      </c>
      <c r="CG117" s="96">
        <f t="shared" si="70"/>
        <v>0</v>
      </c>
      <c r="CH117" s="286">
        <f t="shared" si="83"/>
        <v>0</v>
      </c>
      <c r="CI117" s="305" t="s">
        <v>293</v>
      </c>
      <c r="CJ117" s="315">
        <v>0.05</v>
      </c>
      <c r="CK117" s="306"/>
      <c r="CL117" s="307" t="str">
        <f>IF($CK117&lt;&gt;"",$CK117,HLOOKUP($CI117,$AU$6:$AW$132,ROWS(CL$6:CL117),0))</f>
        <v/>
      </c>
      <c r="CM117" s="97"/>
      <c r="CN117" s="97"/>
      <c r="CO117" s="97"/>
      <c r="CP117" s="97"/>
      <c r="CQ117" s="97"/>
      <c r="CR117" s="97"/>
      <c r="CS117" s="97"/>
      <c r="CT117" s="98"/>
      <c r="CU117" s="392"/>
    </row>
    <row r="118" spans="1:99" ht="15.75" thickBot="1" x14ac:dyDescent="0.3">
      <c r="A118" s="100" t="s">
        <v>224</v>
      </c>
      <c r="B118" s="101" t="s">
        <v>397</v>
      </c>
      <c r="C118" s="102" t="s">
        <v>398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202"/>
      <c r="N118" s="563">
        <f t="shared" si="63"/>
        <v>0</v>
      </c>
      <c r="O118" s="564">
        <f t="shared" si="43"/>
        <v>0</v>
      </c>
      <c r="P118" s="564">
        <f t="shared" si="44"/>
        <v>0</v>
      </c>
      <c r="Q118" s="564">
        <f t="shared" si="45"/>
        <v>0</v>
      </c>
      <c r="R118" s="564">
        <f t="shared" si="46"/>
        <v>0</v>
      </c>
      <c r="S118" s="564">
        <f t="shared" si="47"/>
        <v>0</v>
      </c>
      <c r="T118" s="564">
        <f t="shared" si="48"/>
        <v>0</v>
      </c>
      <c r="U118" s="564">
        <f t="shared" si="49"/>
        <v>0</v>
      </c>
      <c r="V118" s="564">
        <f t="shared" si="50"/>
        <v>0</v>
      </c>
      <c r="W118" s="565">
        <f t="shared" si="51"/>
        <v>0</v>
      </c>
      <c r="X118" s="105"/>
      <c r="Y118" s="106"/>
      <c r="Z118" s="106"/>
      <c r="AA118" s="106"/>
      <c r="AB118" s="106"/>
      <c r="AC118" s="106"/>
      <c r="AD118" s="106"/>
      <c r="AE118" s="106"/>
      <c r="AF118" s="106"/>
      <c r="AG118" s="195"/>
      <c r="AH118" s="107">
        <f t="shared" si="64"/>
        <v>0</v>
      </c>
      <c r="AI118" s="108" t="str" cm="1">
        <f t="array" aca="1" ref="AI118" ca="1">IFERROR(IF($AJ$4="N",SSUM(AD118:AF118)/3,SUM(AE118:AG118)/3),"")</f>
        <v/>
      </c>
      <c r="AJ118" s="109">
        <f t="shared" si="65"/>
        <v>0</v>
      </c>
      <c r="AK118" s="110" t="str">
        <f t="shared" si="72"/>
        <v/>
      </c>
      <c r="AL118" s="111" t="str">
        <f t="shared" si="73"/>
        <v/>
      </c>
      <c r="AM118" s="111" t="str">
        <f t="shared" si="74"/>
        <v/>
      </c>
      <c r="AN118" s="111" t="str">
        <f t="shared" si="75"/>
        <v/>
      </c>
      <c r="AO118" s="111" t="str">
        <f t="shared" si="76"/>
        <v/>
      </c>
      <c r="AP118" s="111" t="str">
        <f t="shared" si="77"/>
        <v/>
      </c>
      <c r="AQ118" s="111" t="str">
        <f t="shared" si="78"/>
        <v/>
      </c>
      <c r="AR118" s="111" t="str">
        <f t="shared" si="79"/>
        <v/>
      </c>
      <c r="AS118" s="111" t="str">
        <f t="shared" si="80"/>
        <v/>
      </c>
      <c r="AT118" s="218" t="str">
        <f t="shared" si="81"/>
        <v/>
      </c>
      <c r="AU118" s="112" t="str">
        <f t="shared" si="66"/>
        <v/>
      </c>
      <c r="AV118" s="113" t="str">
        <f t="shared" si="67"/>
        <v/>
      </c>
      <c r="AW118" s="114" t="str">
        <f t="shared" si="68"/>
        <v/>
      </c>
      <c r="AX118" s="250" t="s">
        <v>422</v>
      </c>
      <c r="AY118" s="230" t="s">
        <v>433</v>
      </c>
      <c r="AZ118" s="251">
        <v>0</v>
      </c>
      <c r="BA118" s="270">
        <f t="shared" si="69"/>
        <v>0</v>
      </c>
      <c r="BB118" s="271">
        <f t="shared" si="82"/>
        <v>0</v>
      </c>
      <c r="BC118" s="271">
        <f t="shared" si="82"/>
        <v>0</v>
      </c>
      <c r="BD118" s="271">
        <f t="shared" si="82"/>
        <v>1</v>
      </c>
      <c r="BE118" s="271">
        <f t="shared" si="82"/>
        <v>2</v>
      </c>
      <c r="BF118" s="271">
        <f t="shared" si="82"/>
        <v>3</v>
      </c>
      <c r="BG118" s="271">
        <f t="shared" si="82"/>
        <v>4</v>
      </c>
      <c r="BH118" s="272">
        <f t="shared" si="82"/>
        <v>5</v>
      </c>
      <c r="BI118" s="257">
        <f>IF($AY118=Lookup!$A$2,$AZ118*ROUNDUP(BA118/10,0)+1,
IF($AY118=Lookup!$A$3,($AZ118+1)^AZ118,
IF($AY118=Lookup!$A$4,BA118*$AZ118+1,"Error")))</f>
        <v>1</v>
      </c>
      <c r="BJ118" s="230">
        <f>IF($AY118=Lookup!$A$2,$AZ118*ROUNDUP(BB118/10,0)+1,
IF($AY118=Lookup!$A$3,($AZ118+1)^BA118,
IF($AY118=Lookup!$A$4,BB118*$AZ118+1,"Error")))</f>
        <v>1</v>
      </c>
      <c r="BK118" s="230">
        <f>IF($AY118=Lookup!$A$2,$AZ118*ROUNDUP(BC118/10,0)+1,
IF($AY118=Lookup!$A$3,($AZ118+1)^BB118,
IF($AY118=Lookup!$A$4,BC118*$AZ118+1,"Error")))</f>
        <v>1</v>
      </c>
      <c r="BL118" s="230">
        <f>IF($AY118=Lookup!$A$2,$AZ118*ROUNDUP(BD118/10,0)+1,
IF($AY118=Lookup!$A$3,($AZ118+1)^BC118,
IF($AY118=Lookup!$A$4,BD118*$AZ118+1,"Error")))</f>
        <v>1</v>
      </c>
      <c r="BM118" s="230">
        <f>IF($AY118=Lookup!$A$2,$AZ118*ROUNDUP(BE118/10,0)+1,
IF($AY118=Lookup!$A$3,($AZ118+1)^BD118,
IF($AY118=Lookup!$A$4,BE118*$AZ118+1,"Error")))</f>
        <v>1</v>
      </c>
      <c r="BN118" s="230">
        <f>IF($AY118=Lookup!$A$2,$AZ118*ROUNDUP(BF118/10,0)+1,
IF($AY118=Lookup!$A$3,($AZ118+1)^BE118,
IF($AY118=Lookup!$A$4,BF118*$AZ118+1,"Error")))</f>
        <v>1</v>
      </c>
      <c r="BO118" s="230">
        <f>IF($AY118=Lookup!$A$2,$AZ118*ROUNDUP(BG118/10,0)+1,
IF($AY118=Lookup!$A$3,($AZ118+1)^BF118,
IF($AY118=Lookup!$A$4,BG118*$AZ118+1,"Error")))</f>
        <v>1</v>
      </c>
      <c r="BP118" s="251">
        <f>IF($AY118=Lookup!$A$2,$AZ118*ROUNDUP(BH118/10,0)+1,
IF($AY118=Lookup!$A$3,($AZ118+1)^BG118,
IF($AY118=Lookup!$A$4,BH118*$AZ118+1,"Error")))</f>
        <v>1</v>
      </c>
      <c r="BQ118" s="322"/>
      <c r="BR118" s="323"/>
      <c r="BS118" s="323"/>
      <c r="BT118" s="323"/>
      <c r="BU118" s="323"/>
      <c r="BV118" s="323"/>
      <c r="BW118" s="323"/>
      <c r="BX118" s="278"/>
      <c r="BY118" s="384" t="s">
        <v>292</v>
      </c>
      <c r="BZ118" s="385">
        <f>HLOOKUP($BY118,$AH$6:$AJ$132,ROWS(BZ$6:BZ118),0)</f>
        <v>0</v>
      </c>
      <c r="CA118" s="235">
        <f t="shared" si="70"/>
        <v>0</v>
      </c>
      <c r="CB118" s="115">
        <f t="shared" si="70"/>
        <v>0</v>
      </c>
      <c r="CC118" s="115">
        <f t="shared" si="70"/>
        <v>0</v>
      </c>
      <c r="CD118" s="115">
        <f t="shared" si="70"/>
        <v>0</v>
      </c>
      <c r="CE118" s="115">
        <f t="shared" si="70"/>
        <v>0</v>
      </c>
      <c r="CF118" s="115">
        <f t="shared" si="70"/>
        <v>0</v>
      </c>
      <c r="CG118" s="115">
        <f t="shared" si="70"/>
        <v>0</v>
      </c>
      <c r="CH118" s="287">
        <f t="shared" si="83"/>
        <v>0</v>
      </c>
      <c r="CI118" s="308" t="s">
        <v>293</v>
      </c>
      <c r="CJ118" s="316">
        <v>0.05</v>
      </c>
      <c r="CK118" s="309"/>
      <c r="CL118" s="310" t="str">
        <f>IF($CK118&lt;&gt;"",$CK118,HLOOKUP($CI118,$AU$6:$AW$132,ROWS(CL$6:CL118),0))</f>
        <v/>
      </c>
      <c r="CM118" s="117"/>
      <c r="CN118" s="117"/>
      <c r="CO118" s="117"/>
      <c r="CP118" s="117"/>
      <c r="CQ118" s="117"/>
      <c r="CR118" s="117"/>
      <c r="CS118" s="117"/>
      <c r="CT118" s="118"/>
      <c r="CU118" s="393"/>
    </row>
    <row r="119" spans="1:99" x14ac:dyDescent="0.25">
      <c r="A119" s="63" t="s">
        <v>242</v>
      </c>
      <c r="B119" s="64" t="s">
        <v>239</v>
      </c>
      <c r="C119" s="65" t="s">
        <v>241</v>
      </c>
      <c r="D119" s="66"/>
      <c r="E119" s="67"/>
      <c r="F119" s="67"/>
      <c r="G119" s="67"/>
      <c r="H119" s="67"/>
      <c r="I119" s="67"/>
      <c r="J119" s="67"/>
      <c r="K119" s="67"/>
      <c r="L119" s="67"/>
      <c r="M119" s="200"/>
      <c r="N119" s="557">
        <f t="shared" si="63"/>
        <v>0</v>
      </c>
      <c r="O119" s="558">
        <f t="shared" si="43"/>
        <v>0</v>
      </c>
      <c r="P119" s="558">
        <f t="shared" si="44"/>
        <v>0</v>
      </c>
      <c r="Q119" s="558">
        <f t="shared" si="45"/>
        <v>0</v>
      </c>
      <c r="R119" s="558">
        <f t="shared" si="46"/>
        <v>0</v>
      </c>
      <c r="S119" s="558">
        <f t="shared" si="47"/>
        <v>0</v>
      </c>
      <c r="T119" s="558">
        <f t="shared" si="48"/>
        <v>0</v>
      </c>
      <c r="U119" s="558">
        <f t="shared" si="49"/>
        <v>0</v>
      </c>
      <c r="V119" s="558">
        <f t="shared" si="50"/>
        <v>0</v>
      </c>
      <c r="W119" s="559">
        <f t="shared" si="51"/>
        <v>0</v>
      </c>
      <c r="X119" s="68"/>
      <c r="Y119" s="69"/>
      <c r="Z119" s="69"/>
      <c r="AA119" s="69"/>
      <c r="AB119" s="69"/>
      <c r="AC119" s="69"/>
      <c r="AD119" s="69"/>
      <c r="AE119" s="69"/>
      <c r="AF119" s="69"/>
      <c r="AG119" s="193"/>
      <c r="AH119" s="70">
        <f t="shared" si="64"/>
        <v>0</v>
      </c>
      <c r="AI119" s="71" t="str" cm="1">
        <f t="array" aca="1" ref="AI119" ca="1">IFERROR(IF($AJ$4="N",SSUM(AD119:AF119)/3,SUM(AE119:AG119)/3),"")</f>
        <v/>
      </c>
      <c r="AJ119" s="72">
        <f t="shared" si="65"/>
        <v>0</v>
      </c>
      <c r="AK119" s="73" t="str">
        <f t="shared" si="72"/>
        <v/>
      </c>
      <c r="AL119" s="74" t="str">
        <f t="shared" si="73"/>
        <v/>
      </c>
      <c r="AM119" s="74" t="str">
        <f t="shared" si="74"/>
        <v/>
      </c>
      <c r="AN119" s="74" t="str">
        <f t="shared" si="75"/>
        <v/>
      </c>
      <c r="AO119" s="74" t="str">
        <f t="shared" si="76"/>
        <v/>
      </c>
      <c r="AP119" s="74" t="str">
        <f t="shared" si="77"/>
        <v/>
      </c>
      <c r="AQ119" s="74" t="str">
        <f t="shared" si="78"/>
        <v/>
      </c>
      <c r="AR119" s="74" t="str">
        <f t="shared" si="79"/>
        <v/>
      </c>
      <c r="AS119" s="74" t="str">
        <f t="shared" si="80"/>
        <v/>
      </c>
      <c r="AT119" s="216" t="str">
        <f t="shared" si="81"/>
        <v/>
      </c>
      <c r="AU119" s="75" t="str">
        <f t="shared" si="66"/>
        <v/>
      </c>
      <c r="AV119" s="76" t="str">
        <f t="shared" si="67"/>
        <v/>
      </c>
      <c r="AW119" s="77" t="str">
        <f t="shared" si="68"/>
        <v/>
      </c>
      <c r="AX119" s="252" t="s">
        <v>422</v>
      </c>
      <c r="AY119" s="231" t="s">
        <v>433</v>
      </c>
      <c r="AZ119" s="253">
        <v>0</v>
      </c>
      <c r="BA119" s="273">
        <f t="shared" si="69"/>
        <v>0</v>
      </c>
      <c r="BB119" s="274">
        <f t="shared" ref="BB119:BH132" si="84">IF(BB$6=$AX119,1,
IF(BA119&lt;&gt;0,BA119+1,0
))</f>
        <v>0</v>
      </c>
      <c r="BC119" s="274">
        <f t="shared" si="84"/>
        <v>0</v>
      </c>
      <c r="BD119" s="274">
        <f t="shared" si="84"/>
        <v>1</v>
      </c>
      <c r="BE119" s="274">
        <f t="shared" si="84"/>
        <v>2</v>
      </c>
      <c r="BF119" s="274">
        <f t="shared" si="84"/>
        <v>3</v>
      </c>
      <c r="BG119" s="274">
        <f t="shared" si="84"/>
        <v>4</v>
      </c>
      <c r="BH119" s="275">
        <f t="shared" si="84"/>
        <v>5</v>
      </c>
      <c r="BI119" s="258">
        <f>IF($AY119=Lookup!$A$2,$AZ119*ROUNDUP(BA119/10,0)+1,
IF($AY119=Lookup!$A$3,($AZ119+1)^AZ119,
IF($AY119=Lookup!$A$4,BA119*$AZ119+1,"Error")))</f>
        <v>1</v>
      </c>
      <c r="BJ119" s="231">
        <f>IF($AY119=Lookup!$A$2,$AZ119*ROUNDUP(BB119/10,0)+1,
IF($AY119=Lookup!$A$3,($AZ119+1)^BA119,
IF($AY119=Lookup!$A$4,BB119*$AZ119+1,"Error")))</f>
        <v>1</v>
      </c>
      <c r="BK119" s="231">
        <f>IF($AY119=Lookup!$A$2,$AZ119*ROUNDUP(BC119/10,0)+1,
IF($AY119=Lookup!$A$3,($AZ119+1)^BB119,
IF($AY119=Lookup!$A$4,BC119*$AZ119+1,"Error")))</f>
        <v>1</v>
      </c>
      <c r="BL119" s="231">
        <f>IF($AY119=Lookup!$A$2,$AZ119*ROUNDUP(BD119/10,0)+1,
IF($AY119=Lookup!$A$3,($AZ119+1)^BC119,
IF($AY119=Lookup!$A$4,BD119*$AZ119+1,"Error")))</f>
        <v>1</v>
      </c>
      <c r="BM119" s="231">
        <f>IF($AY119=Lookup!$A$2,$AZ119*ROUNDUP(BE119/10,0)+1,
IF($AY119=Lookup!$A$3,($AZ119+1)^BD119,
IF($AY119=Lookup!$A$4,BE119*$AZ119+1,"Error")))</f>
        <v>1</v>
      </c>
      <c r="BN119" s="231">
        <f>IF($AY119=Lookup!$A$2,$AZ119*ROUNDUP(BF119/10,0)+1,
IF($AY119=Lookup!$A$3,($AZ119+1)^BE119,
IF($AY119=Lookup!$A$4,BF119*$AZ119+1,"Error")))</f>
        <v>1</v>
      </c>
      <c r="BO119" s="231">
        <f>IF($AY119=Lookup!$A$2,$AZ119*ROUNDUP(BG119/10,0)+1,
IF($AY119=Lookup!$A$3,($AZ119+1)^BF119,
IF($AY119=Lookup!$A$4,BG119*$AZ119+1,"Error")))</f>
        <v>1</v>
      </c>
      <c r="BP119" s="253">
        <f>IF($AY119=Lookup!$A$2,$AZ119*ROUNDUP(BH119/10,0)+1,
IF($AY119=Lookup!$A$3,($AZ119+1)^BG119,
IF($AY119=Lookup!$A$4,BH119*$AZ119+1,"Error")))</f>
        <v>1</v>
      </c>
      <c r="BQ119" s="324"/>
      <c r="BR119" s="325"/>
      <c r="BS119" s="325"/>
      <c r="BT119" s="325"/>
      <c r="BU119" s="325"/>
      <c r="BV119" s="325"/>
      <c r="BW119" s="325"/>
      <c r="BX119" s="279"/>
      <c r="BY119" s="386" t="s">
        <v>292</v>
      </c>
      <c r="BZ119" s="387">
        <f>HLOOKUP($BY119,$AH$6:$AJ$132,ROWS(BZ$6:BZ119),0)</f>
        <v>0</v>
      </c>
      <c r="CA119" s="241">
        <f t="shared" si="70"/>
        <v>0</v>
      </c>
      <c r="CB119" s="144">
        <f t="shared" si="70"/>
        <v>0</v>
      </c>
      <c r="CC119" s="144">
        <f t="shared" si="70"/>
        <v>0</v>
      </c>
      <c r="CD119" s="144">
        <f t="shared" si="70"/>
        <v>0</v>
      </c>
      <c r="CE119" s="144">
        <f t="shared" si="70"/>
        <v>0</v>
      </c>
      <c r="CF119" s="144">
        <f t="shared" si="70"/>
        <v>0</v>
      </c>
      <c r="CG119" s="144">
        <f t="shared" si="70"/>
        <v>0</v>
      </c>
      <c r="CH119" s="293">
        <f t="shared" si="83"/>
        <v>0</v>
      </c>
      <c r="CI119" s="302" t="s">
        <v>293</v>
      </c>
      <c r="CJ119" s="314">
        <v>0.05</v>
      </c>
      <c r="CK119" s="303"/>
      <c r="CL119" s="304" t="str">
        <f>IF($CK119&lt;&gt;"",$CK119,HLOOKUP($CI119,$AU$6:$AW$132,ROWS(CL$6:CL119),0))</f>
        <v/>
      </c>
      <c r="CM119" s="79"/>
      <c r="CN119" s="79"/>
      <c r="CO119" s="79"/>
      <c r="CP119" s="79"/>
      <c r="CQ119" s="79"/>
      <c r="CR119" s="79"/>
      <c r="CS119" s="79"/>
      <c r="CT119" s="80"/>
      <c r="CU119" s="394"/>
    </row>
    <row r="120" spans="1:99" x14ac:dyDescent="0.25">
      <c r="A120" s="81" t="s">
        <v>242</v>
      </c>
      <c r="B120" s="82" t="s">
        <v>243</v>
      </c>
      <c r="C120" s="83" t="s">
        <v>244</v>
      </c>
      <c r="D120" s="84"/>
      <c r="E120" s="85"/>
      <c r="F120" s="85"/>
      <c r="G120" s="85"/>
      <c r="H120" s="85"/>
      <c r="I120" s="85"/>
      <c r="J120" s="85"/>
      <c r="K120" s="85"/>
      <c r="L120" s="85"/>
      <c r="M120" s="201"/>
      <c r="N120" s="560">
        <f t="shared" si="63"/>
        <v>0</v>
      </c>
      <c r="O120" s="561">
        <f t="shared" si="43"/>
        <v>0</v>
      </c>
      <c r="P120" s="561">
        <f t="shared" si="44"/>
        <v>0</v>
      </c>
      <c r="Q120" s="561">
        <f t="shared" si="45"/>
        <v>0</v>
      </c>
      <c r="R120" s="561">
        <f t="shared" si="46"/>
        <v>0</v>
      </c>
      <c r="S120" s="561">
        <f t="shared" si="47"/>
        <v>0</v>
      </c>
      <c r="T120" s="561">
        <f t="shared" si="48"/>
        <v>0</v>
      </c>
      <c r="U120" s="561">
        <f t="shared" si="49"/>
        <v>0</v>
      </c>
      <c r="V120" s="561">
        <f t="shared" si="50"/>
        <v>0</v>
      </c>
      <c r="W120" s="562">
        <f t="shared" si="51"/>
        <v>0</v>
      </c>
      <c r="X120" s="86"/>
      <c r="Y120" s="87"/>
      <c r="Z120" s="87"/>
      <c r="AA120" s="87"/>
      <c r="AB120" s="87"/>
      <c r="AC120" s="87"/>
      <c r="AD120" s="87"/>
      <c r="AE120" s="87"/>
      <c r="AF120" s="87"/>
      <c r="AG120" s="194"/>
      <c r="AH120" s="88">
        <f t="shared" si="64"/>
        <v>0</v>
      </c>
      <c r="AI120" s="89" t="str" cm="1">
        <f t="array" aca="1" ref="AI120" ca="1">IFERROR(IF($AJ$4="N",SSUM(AD120:AF120)/3,SUM(AE120:AG120)/3),"")</f>
        <v/>
      </c>
      <c r="AJ120" s="90">
        <f t="shared" si="65"/>
        <v>0</v>
      </c>
      <c r="AK120" s="91" t="str">
        <f t="shared" si="72"/>
        <v/>
      </c>
      <c r="AL120" s="92" t="str">
        <f t="shared" si="73"/>
        <v/>
      </c>
      <c r="AM120" s="92" t="str">
        <f t="shared" si="74"/>
        <v/>
      </c>
      <c r="AN120" s="92" t="str">
        <f t="shared" si="75"/>
        <v/>
      </c>
      <c r="AO120" s="92" t="str">
        <f t="shared" si="76"/>
        <v/>
      </c>
      <c r="AP120" s="92" t="str">
        <f t="shared" si="77"/>
        <v/>
      </c>
      <c r="AQ120" s="92" t="str">
        <f t="shared" si="78"/>
        <v/>
      </c>
      <c r="AR120" s="92" t="str">
        <f t="shared" si="79"/>
        <v/>
      </c>
      <c r="AS120" s="92" t="str">
        <f t="shared" si="80"/>
        <v/>
      </c>
      <c r="AT120" s="217" t="str">
        <f t="shared" si="81"/>
        <v/>
      </c>
      <c r="AU120" s="93" t="str">
        <f t="shared" si="66"/>
        <v/>
      </c>
      <c r="AV120" s="94" t="str">
        <f t="shared" si="67"/>
        <v/>
      </c>
      <c r="AW120" s="95" t="str">
        <f t="shared" si="68"/>
        <v/>
      </c>
      <c r="AX120" s="248" t="s">
        <v>422</v>
      </c>
      <c r="AY120" s="229" t="s">
        <v>433</v>
      </c>
      <c r="AZ120" s="249">
        <v>0</v>
      </c>
      <c r="BA120" s="267">
        <f t="shared" si="69"/>
        <v>0</v>
      </c>
      <c r="BB120" s="268">
        <f t="shared" si="84"/>
        <v>0</v>
      </c>
      <c r="BC120" s="268">
        <f t="shared" si="84"/>
        <v>0</v>
      </c>
      <c r="BD120" s="268">
        <f t="shared" si="84"/>
        <v>1</v>
      </c>
      <c r="BE120" s="268">
        <f t="shared" si="84"/>
        <v>2</v>
      </c>
      <c r="BF120" s="268">
        <f t="shared" si="84"/>
        <v>3</v>
      </c>
      <c r="BG120" s="268">
        <f t="shared" si="84"/>
        <v>4</v>
      </c>
      <c r="BH120" s="269">
        <f t="shared" si="84"/>
        <v>5</v>
      </c>
      <c r="BI120" s="256">
        <f>IF($AY120=Lookup!$A$2,$AZ120*ROUNDUP(BA120/10,0)+1,
IF($AY120=Lookup!$A$3,($AZ120+1)^AZ120,
IF($AY120=Lookup!$A$4,BA120*$AZ120+1,"Error")))</f>
        <v>1</v>
      </c>
      <c r="BJ120" s="229">
        <f>IF($AY120=Lookup!$A$2,$AZ120*ROUNDUP(BB120/10,0)+1,
IF($AY120=Lookup!$A$3,($AZ120+1)^BA120,
IF($AY120=Lookup!$A$4,BB120*$AZ120+1,"Error")))</f>
        <v>1</v>
      </c>
      <c r="BK120" s="229">
        <f>IF($AY120=Lookup!$A$2,$AZ120*ROUNDUP(BC120/10,0)+1,
IF($AY120=Lookup!$A$3,($AZ120+1)^BB120,
IF($AY120=Lookup!$A$4,BC120*$AZ120+1,"Error")))</f>
        <v>1</v>
      </c>
      <c r="BL120" s="229">
        <f>IF($AY120=Lookup!$A$2,$AZ120*ROUNDUP(BD120/10,0)+1,
IF($AY120=Lookup!$A$3,($AZ120+1)^BC120,
IF($AY120=Lookup!$A$4,BD120*$AZ120+1,"Error")))</f>
        <v>1</v>
      </c>
      <c r="BM120" s="229">
        <f>IF($AY120=Lookup!$A$2,$AZ120*ROUNDUP(BE120/10,0)+1,
IF($AY120=Lookup!$A$3,($AZ120+1)^BD120,
IF($AY120=Lookup!$A$4,BE120*$AZ120+1,"Error")))</f>
        <v>1</v>
      </c>
      <c r="BN120" s="229">
        <f>IF($AY120=Lookup!$A$2,$AZ120*ROUNDUP(BF120/10,0)+1,
IF($AY120=Lookup!$A$3,($AZ120+1)^BE120,
IF($AY120=Lookup!$A$4,BF120*$AZ120+1,"Error")))</f>
        <v>1</v>
      </c>
      <c r="BO120" s="229">
        <f>IF($AY120=Lookup!$A$2,$AZ120*ROUNDUP(BG120/10,0)+1,
IF($AY120=Lookup!$A$3,($AZ120+1)^BF120,
IF($AY120=Lookup!$A$4,BG120*$AZ120+1,"Error")))</f>
        <v>1</v>
      </c>
      <c r="BP120" s="249">
        <f>IF($AY120=Lookup!$A$2,$AZ120*ROUNDUP(BH120/10,0)+1,
IF($AY120=Lookup!$A$3,($AZ120+1)^BG120,
IF($AY120=Lookup!$A$4,BH120*$AZ120+1,"Error")))</f>
        <v>1</v>
      </c>
      <c r="BQ120" s="320"/>
      <c r="BR120" s="321"/>
      <c r="BS120" s="321"/>
      <c r="BT120" s="321"/>
      <c r="BU120" s="321"/>
      <c r="BV120" s="321"/>
      <c r="BW120" s="321"/>
      <c r="BX120" s="277"/>
      <c r="BY120" s="382" t="s">
        <v>292</v>
      </c>
      <c r="BZ120" s="383">
        <f>HLOOKUP($BY120,$AH$6:$AJ$132,ROWS(BZ$6:BZ120),0)</f>
        <v>0</v>
      </c>
      <c r="CA120" s="234">
        <f t="shared" si="70"/>
        <v>0</v>
      </c>
      <c r="CB120" s="96">
        <f t="shared" si="70"/>
        <v>0</v>
      </c>
      <c r="CC120" s="96">
        <f t="shared" si="70"/>
        <v>0</v>
      </c>
      <c r="CD120" s="96">
        <f t="shared" si="70"/>
        <v>0</v>
      </c>
      <c r="CE120" s="96">
        <f t="shared" si="70"/>
        <v>0</v>
      </c>
      <c r="CF120" s="96">
        <f t="shared" si="70"/>
        <v>0</v>
      </c>
      <c r="CG120" s="96">
        <f t="shared" si="70"/>
        <v>0</v>
      </c>
      <c r="CH120" s="286">
        <f t="shared" si="83"/>
        <v>0</v>
      </c>
      <c r="CI120" s="305" t="s">
        <v>293</v>
      </c>
      <c r="CJ120" s="315">
        <v>0.05</v>
      </c>
      <c r="CK120" s="306"/>
      <c r="CL120" s="307" t="str">
        <f>IF($CK120&lt;&gt;"",$CK120,HLOOKUP($CI120,$AU$6:$AW$132,ROWS(CL$6:CL120),0))</f>
        <v/>
      </c>
      <c r="CM120" s="97"/>
      <c r="CN120" s="97"/>
      <c r="CO120" s="97"/>
      <c r="CP120" s="97"/>
      <c r="CQ120" s="97"/>
      <c r="CR120" s="97"/>
      <c r="CS120" s="97"/>
      <c r="CT120" s="98"/>
      <c r="CU120" s="392"/>
    </row>
    <row r="121" spans="1:99" x14ac:dyDescent="0.25">
      <c r="A121" s="81" t="s">
        <v>242</v>
      </c>
      <c r="B121" s="82" t="s">
        <v>245</v>
      </c>
      <c r="C121" s="83" t="s">
        <v>246</v>
      </c>
      <c r="D121" s="84"/>
      <c r="E121" s="85"/>
      <c r="F121" s="85"/>
      <c r="G121" s="85"/>
      <c r="H121" s="85"/>
      <c r="I121" s="85"/>
      <c r="J121" s="85"/>
      <c r="K121" s="85"/>
      <c r="L121" s="85"/>
      <c r="M121" s="201"/>
      <c r="N121" s="560">
        <f t="shared" si="63"/>
        <v>0</v>
      </c>
      <c r="O121" s="561">
        <f t="shared" si="43"/>
        <v>0</v>
      </c>
      <c r="P121" s="561">
        <f t="shared" si="44"/>
        <v>0</v>
      </c>
      <c r="Q121" s="561">
        <f t="shared" si="45"/>
        <v>0</v>
      </c>
      <c r="R121" s="561">
        <f t="shared" si="46"/>
        <v>0</v>
      </c>
      <c r="S121" s="561">
        <f t="shared" si="47"/>
        <v>0</v>
      </c>
      <c r="T121" s="561">
        <f t="shared" si="48"/>
        <v>0</v>
      </c>
      <c r="U121" s="561">
        <f t="shared" si="49"/>
        <v>0</v>
      </c>
      <c r="V121" s="561">
        <f t="shared" si="50"/>
        <v>0</v>
      </c>
      <c r="W121" s="562">
        <f t="shared" si="51"/>
        <v>0</v>
      </c>
      <c r="X121" s="86"/>
      <c r="Y121" s="87"/>
      <c r="Z121" s="87"/>
      <c r="AA121" s="87"/>
      <c r="AB121" s="87"/>
      <c r="AC121" s="87"/>
      <c r="AD121" s="87"/>
      <c r="AE121" s="87"/>
      <c r="AF121" s="87"/>
      <c r="AG121" s="194"/>
      <c r="AH121" s="88">
        <f t="shared" si="64"/>
        <v>0</v>
      </c>
      <c r="AI121" s="89" t="str" cm="1">
        <f t="array" aca="1" ref="AI121" ca="1">IFERROR(IF($AJ$4="N",SSUM(AD121:AF121)/3,SUM(AE121:AG121)/3),"")</f>
        <v/>
      </c>
      <c r="AJ121" s="90">
        <f t="shared" si="65"/>
        <v>0</v>
      </c>
      <c r="AK121" s="91" t="str">
        <f t="shared" si="72"/>
        <v/>
      </c>
      <c r="AL121" s="92" t="str">
        <f t="shared" si="73"/>
        <v/>
      </c>
      <c r="AM121" s="92" t="str">
        <f t="shared" si="74"/>
        <v/>
      </c>
      <c r="AN121" s="92" t="str">
        <f t="shared" si="75"/>
        <v/>
      </c>
      <c r="AO121" s="92" t="str">
        <f t="shared" si="76"/>
        <v/>
      </c>
      <c r="AP121" s="92" t="str">
        <f t="shared" si="77"/>
        <v/>
      </c>
      <c r="AQ121" s="92" t="str">
        <f t="shared" si="78"/>
        <v/>
      </c>
      <c r="AR121" s="92" t="str">
        <f t="shared" si="79"/>
        <v/>
      </c>
      <c r="AS121" s="92" t="str">
        <f t="shared" si="80"/>
        <v/>
      </c>
      <c r="AT121" s="217" t="str">
        <f t="shared" si="81"/>
        <v/>
      </c>
      <c r="AU121" s="93" t="str">
        <f t="shared" si="66"/>
        <v/>
      </c>
      <c r="AV121" s="94" t="str">
        <f t="shared" si="67"/>
        <v/>
      </c>
      <c r="AW121" s="95" t="str">
        <f t="shared" si="68"/>
        <v/>
      </c>
      <c r="AX121" s="248" t="s">
        <v>422</v>
      </c>
      <c r="AY121" s="229" t="s">
        <v>433</v>
      </c>
      <c r="AZ121" s="249">
        <v>0</v>
      </c>
      <c r="BA121" s="267">
        <f t="shared" si="69"/>
        <v>0</v>
      </c>
      <c r="BB121" s="268">
        <f t="shared" si="84"/>
        <v>0</v>
      </c>
      <c r="BC121" s="268">
        <f t="shared" si="84"/>
        <v>0</v>
      </c>
      <c r="BD121" s="268">
        <f t="shared" si="84"/>
        <v>1</v>
      </c>
      <c r="BE121" s="268">
        <f t="shared" si="84"/>
        <v>2</v>
      </c>
      <c r="BF121" s="268">
        <f t="shared" si="84"/>
        <v>3</v>
      </c>
      <c r="BG121" s="268">
        <f t="shared" si="84"/>
        <v>4</v>
      </c>
      <c r="BH121" s="269">
        <f t="shared" si="84"/>
        <v>5</v>
      </c>
      <c r="BI121" s="256">
        <f>IF($AY121=Lookup!$A$2,$AZ121*ROUNDUP(BA121/10,0)+1,
IF($AY121=Lookup!$A$3,($AZ121+1)^AZ121,
IF($AY121=Lookup!$A$4,BA121*$AZ121+1,"Error")))</f>
        <v>1</v>
      </c>
      <c r="BJ121" s="229">
        <f>IF($AY121=Lookup!$A$2,$AZ121*ROUNDUP(BB121/10,0)+1,
IF($AY121=Lookup!$A$3,($AZ121+1)^BA121,
IF($AY121=Lookup!$A$4,BB121*$AZ121+1,"Error")))</f>
        <v>1</v>
      </c>
      <c r="BK121" s="229">
        <f>IF($AY121=Lookup!$A$2,$AZ121*ROUNDUP(BC121/10,0)+1,
IF($AY121=Lookup!$A$3,($AZ121+1)^BB121,
IF($AY121=Lookup!$A$4,BC121*$AZ121+1,"Error")))</f>
        <v>1</v>
      </c>
      <c r="BL121" s="229">
        <f>IF($AY121=Lookup!$A$2,$AZ121*ROUNDUP(BD121/10,0)+1,
IF($AY121=Lookup!$A$3,($AZ121+1)^BC121,
IF($AY121=Lookup!$A$4,BD121*$AZ121+1,"Error")))</f>
        <v>1</v>
      </c>
      <c r="BM121" s="229">
        <f>IF($AY121=Lookup!$A$2,$AZ121*ROUNDUP(BE121/10,0)+1,
IF($AY121=Lookup!$A$3,($AZ121+1)^BD121,
IF($AY121=Lookup!$A$4,BE121*$AZ121+1,"Error")))</f>
        <v>1</v>
      </c>
      <c r="BN121" s="229">
        <f>IF($AY121=Lookup!$A$2,$AZ121*ROUNDUP(BF121/10,0)+1,
IF($AY121=Lookup!$A$3,($AZ121+1)^BE121,
IF($AY121=Lookup!$A$4,BF121*$AZ121+1,"Error")))</f>
        <v>1</v>
      </c>
      <c r="BO121" s="229">
        <f>IF($AY121=Lookup!$A$2,$AZ121*ROUNDUP(BG121/10,0)+1,
IF($AY121=Lookup!$A$3,($AZ121+1)^BF121,
IF($AY121=Lookup!$A$4,BG121*$AZ121+1,"Error")))</f>
        <v>1</v>
      </c>
      <c r="BP121" s="249">
        <f>IF($AY121=Lookup!$A$2,$AZ121*ROUNDUP(BH121/10,0)+1,
IF($AY121=Lookup!$A$3,($AZ121+1)^BG121,
IF($AY121=Lookup!$A$4,BH121*$AZ121+1,"Error")))</f>
        <v>1</v>
      </c>
      <c r="BQ121" s="320"/>
      <c r="BR121" s="321"/>
      <c r="BS121" s="321"/>
      <c r="BT121" s="321"/>
      <c r="BU121" s="321"/>
      <c r="BV121" s="321"/>
      <c r="BW121" s="321"/>
      <c r="BX121" s="277"/>
      <c r="BY121" s="382" t="s">
        <v>292</v>
      </c>
      <c r="BZ121" s="383">
        <f>HLOOKUP($BY121,$AH$6:$AJ$132,ROWS(BZ$6:BZ121),0)</f>
        <v>0</v>
      </c>
      <c r="CA121" s="234">
        <f t="shared" si="70"/>
        <v>0</v>
      </c>
      <c r="CB121" s="96">
        <f t="shared" si="70"/>
        <v>0</v>
      </c>
      <c r="CC121" s="96">
        <f t="shared" si="70"/>
        <v>0</v>
      </c>
      <c r="CD121" s="96">
        <f t="shared" si="70"/>
        <v>0</v>
      </c>
      <c r="CE121" s="96">
        <f t="shared" si="70"/>
        <v>0</v>
      </c>
      <c r="CF121" s="96">
        <f t="shared" si="70"/>
        <v>0</v>
      </c>
      <c r="CG121" s="96">
        <f t="shared" si="70"/>
        <v>0</v>
      </c>
      <c r="CH121" s="286">
        <f t="shared" si="83"/>
        <v>0</v>
      </c>
      <c r="CI121" s="305" t="s">
        <v>293</v>
      </c>
      <c r="CJ121" s="315">
        <v>0.05</v>
      </c>
      <c r="CK121" s="306"/>
      <c r="CL121" s="307" t="str">
        <f>IF($CK121&lt;&gt;"",$CK121,HLOOKUP($CI121,$AU$6:$AW$132,ROWS(CL$6:CL121),0))</f>
        <v/>
      </c>
      <c r="CM121" s="97"/>
      <c r="CN121" s="97"/>
      <c r="CO121" s="97"/>
      <c r="CP121" s="97"/>
      <c r="CQ121" s="97"/>
      <c r="CR121" s="97"/>
      <c r="CS121" s="97"/>
      <c r="CT121" s="98"/>
      <c r="CU121" s="392"/>
    </row>
    <row r="122" spans="1:99" x14ac:dyDescent="0.25">
      <c r="A122" s="81" t="s">
        <v>242</v>
      </c>
      <c r="B122" s="82" t="s">
        <v>247</v>
      </c>
      <c r="C122" s="83" t="s">
        <v>248</v>
      </c>
      <c r="D122" s="84"/>
      <c r="E122" s="85"/>
      <c r="F122" s="85"/>
      <c r="G122" s="85"/>
      <c r="H122" s="85"/>
      <c r="I122" s="85"/>
      <c r="J122" s="85"/>
      <c r="K122" s="85"/>
      <c r="L122" s="85"/>
      <c r="M122" s="201"/>
      <c r="N122" s="560">
        <f t="shared" si="63"/>
        <v>0</v>
      </c>
      <c r="O122" s="561">
        <f t="shared" si="43"/>
        <v>0</v>
      </c>
      <c r="P122" s="561">
        <f t="shared" si="44"/>
        <v>0</v>
      </c>
      <c r="Q122" s="561">
        <f t="shared" si="45"/>
        <v>0</v>
      </c>
      <c r="R122" s="561">
        <f t="shared" si="46"/>
        <v>0</v>
      </c>
      <c r="S122" s="561">
        <f t="shared" si="47"/>
        <v>0</v>
      </c>
      <c r="T122" s="561">
        <f t="shared" si="48"/>
        <v>0</v>
      </c>
      <c r="U122" s="561">
        <f t="shared" si="49"/>
        <v>0</v>
      </c>
      <c r="V122" s="561">
        <f t="shared" si="50"/>
        <v>0</v>
      </c>
      <c r="W122" s="562">
        <f t="shared" si="51"/>
        <v>0</v>
      </c>
      <c r="X122" s="86"/>
      <c r="Y122" s="87"/>
      <c r="Z122" s="87"/>
      <c r="AA122" s="87"/>
      <c r="AB122" s="87"/>
      <c r="AC122" s="87"/>
      <c r="AD122" s="87"/>
      <c r="AE122" s="87"/>
      <c r="AF122" s="87"/>
      <c r="AG122" s="194"/>
      <c r="AH122" s="88">
        <f t="shared" si="64"/>
        <v>0</v>
      </c>
      <c r="AI122" s="89" t="str" cm="1">
        <f t="array" aca="1" ref="AI122" ca="1">IFERROR(IF($AJ$4="N",SSUM(AD122:AF122)/3,SUM(AE122:AG122)/3),"")</f>
        <v/>
      </c>
      <c r="AJ122" s="90">
        <f t="shared" si="65"/>
        <v>0</v>
      </c>
      <c r="AK122" s="91" t="str">
        <f t="shared" si="72"/>
        <v/>
      </c>
      <c r="AL122" s="92" t="str">
        <f t="shared" si="73"/>
        <v/>
      </c>
      <c r="AM122" s="92" t="str">
        <f t="shared" si="74"/>
        <v/>
      </c>
      <c r="AN122" s="92" t="str">
        <f t="shared" si="75"/>
        <v/>
      </c>
      <c r="AO122" s="92" t="str">
        <f t="shared" si="76"/>
        <v/>
      </c>
      <c r="AP122" s="92" t="str">
        <f t="shared" si="77"/>
        <v/>
      </c>
      <c r="AQ122" s="92" t="str">
        <f t="shared" si="78"/>
        <v/>
      </c>
      <c r="AR122" s="92" t="str">
        <f t="shared" si="79"/>
        <v/>
      </c>
      <c r="AS122" s="92" t="str">
        <f t="shared" si="80"/>
        <v/>
      </c>
      <c r="AT122" s="217" t="str">
        <f t="shared" si="81"/>
        <v/>
      </c>
      <c r="AU122" s="93" t="str">
        <f t="shared" si="66"/>
        <v/>
      </c>
      <c r="AV122" s="94" t="str">
        <f t="shared" si="67"/>
        <v/>
      </c>
      <c r="AW122" s="95" t="str">
        <f t="shared" si="68"/>
        <v/>
      </c>
      <c r="AX122" s="248" t="s">
        <v>422</v>
      </c>
      <c r="AY122" s="229" t="s">
        <v>433</v>
      </c>
      <c r="AZ122" s="249">
        <v>0</v>
      </c>
      <c r="BA122" s="267">
        <f t="shared" si="69"/>
        <v>0</v>
      </c>
      <c r="BB122" s="268">
        <f t="shared" si="84"/>
        <v>0</v>
      </c>
      <c r="BC122" s="268">
        <f t="shared" si="84"/>
        <v>0</v>
      </c>
      <c r="BD122" s="268">
        <f t="shared" si="84"/>
        <v>1</v>
      </c>
      <c r="BE122" s="268">
        <f t="shared" si="84"/>
        <v>2</v>
      </c>
      <c r="BF122" s="268">
        <f t="shared" si="84"/>
        <v>3</v>
      </c>
      <c r="BG122" s="268">
        <f t="shared" si="84"/>
        <v>4</v>
      </c>
      <c r="BH122" s="269">
        <f t="shared" si="84"/>
        <v>5</v>
      </c>
      <c r="BI122" s="256">
        <f>IF($AY122=Lookup!$A$2,$AZ122*ROUNDUP(BA122/10,0)+1,
IF($AY122=Lookup!$A$3,($AZ122+1)^AZ122,
IF($AY122=Lookup!$A$4,BA122*$AZ122+1,"Error")))</f>
        <v>1</v>
      </c>
      <c r="BJ122" s="229">
        <f>IF($AY122=Lookup!$A$2,$AZ122*ROUNDUP(BB122/10,0)+1,
IF($AY122=Lookup!$A$3,($AZ122+1)^BA122,
IF($AY122=Lookup!$A$4,BB122*$AZ122+1,"Error")))</f>
        <v>1</v>
      </c>
      <c r="BK122" s="229">
        <f>IF($AY122=Lookup!$A$2,$AZ122*ROUNDUP(BC122/10,0)+1,
IF($AY122=Lookup!$A$3,($AZ122+1)^BB122,
IF($AY122=Lookup!$A$4,BC122*$AZ122+1,"Error")))</f>
        <v>1</v>
      </c>
      <c r="BL122" s="229">
        <f>IF($AY122=Lookup!$A$2,$AZ122*ROUNDUP(BD122/10,0)+1,
IF($AY122=Lookup!$A$3,($AZ122+1)^BC122,
IF($AY122=Lookup!$A$4,BD122*$AZ122+1,"Error")))</f>
        <v>1</v>
      </c>
      <c r="BM122" s="229">
        <f>IF($AY122=Lookup!$A$2,$AZ122*ROUNDUP(BE122/10,0)+1,
IF($AY122=Lookup!$A$3,($AZ122+1)^BD122,
IF($AY122=Lookup!$A$4,BE122*$AZ122+1,"Error")))</f>
        <v>1</v>
      </c>
      <c r="BN122" s="229">
        <f>IF($AY122=Lookup!$A$2,$AZ122*ROUNDUP(BF122/10,0)+1,
IF($AY122=Lookup!$A$3,($AZ122+1)^BE122,
IF($AY122=Lookup!$A$4,BF122*$AZ122+1,"Error")))</f>
        <v>1</v>
      </c>
      <c r="BO122" s="229">
        <f>IF($AY122=Lookup!$A$2,$AZ122*ROUNDUP(BG122/10,0)+1,
IF($AY122=Lookup!$A$3,($AZ122+1)^BF122,
IF($AY122=Lookup!$A$4,BG122*$AZ122+1,"Error")))</f>
        <v>1</v>
      </c>
      <c r="BP122" s="249">
        <f>IF($AY122=Lookup!$A$2,$AZ122*ROUNDUP(BH122/10,0)+1,
IF($AY122=Lookup!$A$3,($AZ122+1)^BG122,
IF($AY122=Lookup!$A$4,BH122*$AZ122+1,"Error")))</f>
        <v>1</v>
      </c>
      <c r="BQ122" s="320"/>
      <c r="BR122" s="321"/>
      <c r="BS122" s="321"/>
      <c r="BT122" s="321"/>
      <c r="BU122" s="321"/>
      <c r="BV122" s="321"/>
      <c r="BW122" s="321"/>
      <c r="BX122" s="277"/>
      <c r="BY122" s="382" t="s">
        <v>292</v>
      </c>
      <c r="BZ122" s="383">
        <f>HLOOKUP($BY122,$AH$6:$AJ$132,ROWS(BZ$6:BZ122),0)</f>
        <v>0</v>
      </c>
      <c r="CA122" s="234">
        <f t="shared" si="70"/>
        <v>0</v>
      </c>
      <c r="CB122" s="96">
        <f t="shared" si="70"/>
        <v>0</v>
      </c>
      <c r="CC122" s="96">
        <f t="shared" si="70"/>
        <v>0</v>
      </c>
      <c r="CD122" s="96">
        <f t="shared" si="70"/>
        <v>0</v>
      </c>
      <c r="CE122" s="96">
        <f t="shared" si="70"/>
        <v>0</v>
      </c>
      <c r="CF122" s="96">
        <f t="shared" si="70"/>
        <v>0</v>
      </c>
      <c r="CG122" s="96">
        <f t="shared" si="70"/>
        <v>0</v>
      </c>
      <c r="CH122" s="286">
        <f t="shared" si="83"/>
        <v>0</v>
      </c>
      <c r="CI122" s="305" t="s">
        <v>293</v>
      </c>
      <c r="CJ122" s="315">
        <v>0.05</v>
      </c>
      <c r="CK122" s="306"/>
      <c r="CL122" s="307" t="str">
        <f>IF($CK122&lt;&gt;"",$CK122,HLOOKUP($CI122,$AU$6:$AW$132,ROWS(CL$6:CL122),0))</f>
        <v/>
      </c>
      <c r="CM122" s="97"/>
      <c r="CN122" s="97"/>
      <c r="CO122" s="97"/>
      <c r="CP122" s="97"/>
      <c r="CQ122" s="97"/>
      <c r="CR122" s="97"/>
      <c r="CS122" s="97"/>
      <c r="CT122" s="98"/>
      <c r="CU122" s="392"/>
    </row>
    <row r="123" spans="1:99" x14ac:dyDescent="0.25">
      <c r="A123" s="81" t="s">
        <v>242</v>
      </c>
      <c r="B123" s="82" t="s">
        <v>249</v>
      </c>
      <c r="C123" s="83" t="s">
        <v>250</v>
      </c>
      <c r="D123" s="84"/>
      <c r="E123" s="85"/>
      <c r="F123" s="85"/>
      <c r="G123" s="85"/>
      <c r="H123" s="85"/>
      <c r="I123" s="85"/>
      <c r="J123" s="85"/>
      <c r="K123" s="85"/>
      <c r="L123" s="85"/>
      <c r="M123" s="201"/>
      <c r="N123" s="560">
        <f t="shared" si="63"/>
        <v>0</v>
      </c>
      <c r="O123" s="561">
        <f t="shared" si="43"/>
        <v>0</v>
      </c>
      <c r="P123" s="561">
        <f t="shared" si="44"/>
        <v>0</v>
      </c>
      <c r="Q123" s="561">
        <f t="shared" si="45"/>
        <v>0</v>
      </c>
      <c r="R123" s="561">
        <f t="shared" si="46"/>
        <v>0</v>
      </c>
      <c r="S123" s="561">
        <f t="shared" si="47"/>
        <v>0</v>
      </c>
      <c r="T123" s="561">
        <f t="shared" si="48"/>
        <v>0</v>
      </c>
      <c r="U123" s="561">
        <f t="shared" si="49"/>
        <v>0</v>
      </c>
      <c r="V123" s="561">
        <f t="shared" si="50"/>
        <v>0</v>
      </c>
      <c r="W123" s="562">
        <f t="shared" si="51"/>
        <v>0</v>
      </c>
      <c r="X123" s="86"/>
      <c r="Y123" s="87"/>
      <c r="Z123" s="87"/>
      <c r="AA123" s="87"/>
      <c r="AB123" s="87"/>
      <c r="AC123" s="87"/>
      <c r="AD123" s="87"/>
      <c r="AE123" s="87"/>
      <c r="AF123" s="87"/>
      <c r="AG123" s="194"/>
      <c r="AH123" s="88">
        <f t="shared" si="64"/>
        <v>0</v>
      </c>
      <c r="AI123" s="89" t="str" cm="1">
        <f t="array" aca="1" ref="AI123" ca="1">IFERROR(IF($AJ$4="N",SSUM(AD123:AF123)/3,SUM(AE123:AG123)/3),"")</f>
        <v/>
      </c>
      <c r="AJ123" s="90">
        <f t="shared" si="65"/>
        <v>0</v>
      </c>
      <c r="AK123" s="91" t="str">
        <f t="shared" si="72"/>
        <v/>
      </c>
      <c r="AL123" s="92" t="str">
        <f t="shared" si="73"/>
        <v/>
      </c>
      <c r="AM123" s="92" t="str">
        <f t="shared" si="74"/>
        <v/>
      </c>
      <c r="AN123" s="92" t="str">
        <f t="shared" si="75"/>
        <v/>
      </c>
      <c r="AO123" s="92" t="str">
        <f t="shared" si="76"/>
        <v/>
      </c>
      <c r="AP123" s="92" t="str">
        <f t="shared" si="77"/>
        <v/>
      </c>
      <c r="AQ123" s="92" t="str">
        <f t="shared" si="78"/>
        <v/>
      </c>
      <c r="AR123" s="92" t="str">
        <f t="shared" si="79"/>
        <v/>
      </c>
      <c r="AS123" s="92" t="str">
        <f t="shared" si="80"/>
        <v/>
      </c>
      <c r="AT123" s="217" t="str">
        <f t="shared" si="81"/>
        <v/>
      </c>
      <c r="AU123" s="93" t="str">
        <f t="shared" si="66"/>
        <v/>
      </c>
      <c r="AV123" s="94" t="str">
        <f t="shared" si="67"/>
        <v/>
      </c>
      <c r="AW123" s="95" t="str">
        <f t="shared" si="68"/>
        <v/>
      </c>
      <c r="AX123" s="248" t="s">
        <v>422</v>
      </c>
      <c r="AY123" s="229" t="s">
        <v>433</v>
      </c>
      <c r="AZ123" s="249">
        <v>0</v>
      </c>
      <c r="BA123" s="267">
        <f t="shared" si="69"/>
        <v>0</v>
      </c>
      <c r="BB123" s="268">
        <f t="shared" si="84"/>
        <v>0</v>
      </c>
      <c r="BC123" s="268">
        <f t="shared" si="84"/>
        <v>0</v>
      </c>
      <c r="BD123" s="268">
        <f t="shared" si="84"/>
        <v>1</v>
      </c>
      <c r="BE123" s="268">
        <f t="shared" si="84"/>
        <v>2</v>
      </c>
      <c r="BF123" s="268">
        <f t="shared" si="84"/>
        <v>3</v>
      </c>
      <c r="BG123" s="268">
        <f t="shared" si="84"/>
        <v>4</v>
      </c>
      <c r="BH123" s="269">
        <f t="shared" si="84"/>
        <v>5</v>
      </c>
      <c r="BI123" s="256">
        <f>IF($AY123=Lookup!$A$2,$AZ123*ROUNDUP(BA123/10,0)+1,
IF($AY123=Lookup!$A$3,($AZ123+1)^AZ123,
IF($AY123=Lookup!$A$4,BA123*$AZ123+1,"Error")))</f>
        <v>1</v>
      </c>
      <c r="BJ123" s="229">
        <f>IF($AY123=Lookup!$A$2,$AZ123*ROUNDUP(BB123/10,0)+1,
IF($AY123=Lookup!$A$3,($AZ123+1)^BA123,
IF($AY123=Lookup!$A$4,BB123*$AZ123+1,"Error")))</f>
        <v>1</v>
      </c>
      <c r="BK123" s="229">
        <f>IF($AY123=Lookup!$A$2,$AZ123*ROUNDUP(BC123/10,0)+1,
IF($AY123=Lookup!$A$3,($AZ123+1)^BB123,
IF($AY123=Lookup!$A$4,BC123*$AZ123+1,"Error")))</f>
        <v>1</v>
      </c>
      <c r="BL123" s="229">
        <f>IF($AY123=Lookup!$A$2,$AZ123*ROUNDUP(BD123/10,0)+1,
IF($AY123=Lookup!$A$3,($AZ123+1)^BC123,
IF($AY123=Lookup!$A$4,BD123*$AZ123+1,"Error")))</f>
        <v>1</v>
      </c>
      <c r="BM123" s="229">
        <f>IF($AY123=Lookup!$A$2,$AZ123*ROUNDUP(BE123/10,0)+1,
IF($AY123=Lookup!$A$3,($AZ123+1)^BD123,
IF($AY123=Lookup!$A$4,BE123*$AZ123+1,"Error")))</f>
        <v>1</v>
      </c>
      <c r="BN123" s="229">
        <f>IF($AY123=Lookup!$A$2,$AZ123*ROUNDUP(BF123/10,0)+1,
IF($AY123=Lookup!$A$3,($AZ123+1)^BE123,
IF($AY123=Lookup!$A$4,BF123*$AZ123+1,"Error")))</f>
        <v>1</v>
      </c>
      <c r="BO123" s="229">
        <f>IF($AY123=Lookup!$A$2,$AZ123*ROUNDUP(BG123/10,0)+1,
IF($AY123=Lookup!$A$3,($AZ123+1)^BF123,
IF($AY123=Lookup!$A$4,BG123*$AZ123+1,"Error")))</f>
        <v>1</v>
      </c>
      <c r="BP123" s="249">
        <f>IF($AY123=Lookup!$A$2,$AZ123*ROUNDUP(BH123/10,0)+1,
IF($AY123=Lookup!$A$3,($AZ123+1)^BG123,
IF($AY123=Lookup!$A$4,BH123*$AZ123+1,"Error")))</f>
        <v>1</v>
      </c>
      <c r="BQ123" s="320"/>
      <c r="BR123" s="321"/>
      <c r="BS123" s="321"/>
      <c r="BT123" s="321"/>
      <c r="BU123" s="321"/>
      <c r="BV123" s="321"/>
      <c r="BW123" s="321"/>
      <c r="BX123" s="277"/>
      <c r="BY123" s="382" t="s">
        <v>292</v>
      </c>
      <c r="BZ123" s="383">
        <f>HLOOKUP($BY123,$AH$6:$AJ$132,ROWS(BZ$6:BZ123),0)</f>
        <v>0</v>
      </c>
      <c r="CA123" s="234">
        <f t="shared" si="70"/>
        <v>0</v>
      </c>
      <c r="CB123" s="96">
        <f t="shared" si="70"/>
        <v>0</v>
      </c>
      <c r="CC123" s="96">
        <f t="shared" si="70"/>
        <v>0</v>
      </c>
      <c r="CD123" s="96">
        <f t="shared" ref="CD123:CG132" si="85">IFERROR(IF(BT123&lt;&gt;"",BT123,BL123*$BZ123),"")</f>
        <v>0</v>
      </c>
      <c r="CE123" s="96">
        <f t="shared" si="85"/>
        <v>0</v>
      </c>
      <c r="CF123" s="96">
        <f t="shared" si="85"/>
        <v>0</v>
      </c>
      <c r="CG123" s="96">
        <f t="shared" si="85"/>
        <v>0</v>
      </c>
      <c r="CH123" s="286">
        <f t="shared" si="83"/>
        <v>0</v>
      </c>
      <c r="CI123" s="305" t="s">
        <v>293</v>
      </c>
      <c r="CJ123" s="315">
        <v>0.05</v>
      </c>
      <c r="CK123" s="306"/>
      <c r="CL123" s="307" t="str">
        <f>IF($CK123&lt;&gt;"",$CK123,HLOOKUP($CI123,$AU$6:$AW$132,ROWS(CL$6:CL123),0))</f>
        <v/>
      </c>
      <c r="CM123" s="97"/>
      <c r="CN123" s="97"/>
      <c r="CO123" s="97"/>
      <c r="CP123" s="97"/>
      <c r="CQ123" s="97"/>
      <c r="CR123" s="97"/>
      <c r="CS123" s="97"/>
      <c r="CT123" s="98"/>
      <c r="CU123" s="392"/>
    </row>
    <row r="124" spans="1:99" x14ac:dyDescent="0.25">
      <c r="A124" s="81" t="s">
        <v>242</v>
      </c>
      <c r="B124" s="82" t="s">
        <v>251</v>
      </c>
      <c r="C124" s="83" t="s">
        <v>252</v>
      </c>
      <c r="D124" s="84"/>
      <c r="E124" s="85"/>
      <c r="F124" s="85"/>
      <c r="G124" s="85"/>
      <c r="H124" s="85"/>
      <c r="I124" s="85"/>
      <c r="J124" s="85"/>
      <c r="K124" s="85"/>
      <c r="L124" s="85"/>
      <c r="M124" s="201"/>
      <c r="N124" s="560">
        <f t="shared" si="63"/>
        <v>0</v>
      </c>
      <c r="O124" s="561">
        <f t="shared" si="43"/>
        <v>0</v>
      </c>
      <c r="P124" s="561">
        <f t="shared" si="44"/>
        <v>0</v>
      </c>
      <c r="Q124" s="561">
        <f t="shared" si="45"/>
        <v>0</v>
      </c>
      <c r="R124" s="561">
        <f t="shared" si="46"/>
        <v>0</v>
      </c>
      <c r="S124" s="561">
        <f t="shared" si="47"/>
        <v>0</v>
      </c>
      <c r="T124" s="561">
        <f t="shared" si="48"/>
        <v>0</v>
      </c>
      <c r="U124" s="561">
        <f t="shared" si="49"/>
        <v>0</v>
      </c>
      <c r="V124" s="561">
        <f t="shared" si="50"/>
        <v>0</v>
      </c>
      <c r="W124" s="562">
        <f t="shared" si="51"/>
        <v>0</v>
      </c>
      <c r="X124" s="86"/>
      <c r="Y124" s="87"/>
      <c r="Z124" s="87"/>
      <c r="AA124" s="87"/>
      <c r="AB124" s="87"/>
      <c r="AC124" s="87"/>
      <c r="AD124" s="87"/>
      <c r="AE124" s="87"/>
      <c r="AF124" s="87"/>
      <c r="AG124" s="194"/>
      <c r="AH124" s="88">
        <f t="shared" si="64"/>
        <v>0</v>
      </c>
      <c r="AI124" s="89" t="str" cm="1">
        <f t="array" aca="1" ref="AI124" ca="1">IFERROR(IF($AJ$4="N",SSUM(AD124:AF124)/3,SUM(AE124:AG124)/3),"")</f>
        <v/>
      </c>
      <c r="AJ124" s="90">
        <f t="shared" si="65"/>
        <v>0</v>
      </c>
      <c r="AK124" s="91" t="str">
        <f t="shared" si="72"/>
        <v/>
      </c>
      <c r="AL124" s="92" t="str">
        <f t="shared" si="73"/>
        <v/>
      </c>
      <c r="AM124" s="92" t="str">
        <f t="shared" si="74"/>
        <v/>
      </c>
      <c r="AN124" s="92" t="str">
        <f t="shared" si="75"/>
        <v/>
      </c>
      <c r="AO124" s="92" t="str">
        <f t="shared" si="76"/>
        <v/>
      </c>
      <c r="AP124" s="92" t="str">
        <f t="shared" si="77"/>
        <v/>
      </c>
      <c r="AQ124" s="92" t="str">
        <f t="shared" si="78"/>
        <v/>
      </c>
      <c r="AR124" s="92" t="str">
        <f t="shared" si="79"/>
        <v/>
      </c>
      <c r="AS124" s="92" t="str">
        <f t="shared" si="80"/>
        <v/>
      </c>
      <c r="AT124" s="217" t="str">
        <f t="shared" si="81"/>
        <v/>
      </c>
      <c r="AU124" s="93" t="str">
        <f t="shared" si="66"/>
        <v/>
      </c>
      <c r="AV124" s="94" t="str">
        <f t="shared" si="67"/>
        <v/>
      </c>
      <c r="AW124" s="95" t="str">
        <f t="shared" si="68"/>
        <v/>
      </c>
      <c r="AX124" s="248" t="s">
        <v>422</v>
      </c>
      <c r="AY124" s="229" t="s">
        <v>433</v>
      </c>
      <c r="AZ124" s="249">
        <v>0</v>
      </c>
      <c r="BA124" s="267">
        <f t="shared" si="69"/>
        <v>0</v>
      </c>
      <c r="BB124" s="268">
        <f t="shared" si="84"/>
        <v>0</v>
      </c>
      <c r="BC124" s="268">
        <f t="shared" si="84"/>
        <v>0</v>
      </c>
      <c r="BD124" s="268">
        <f t="shared" si="84"/>
        <v>1</v>
      </c>
      <c r="BE124" s="268">
        <f t="shared" si="84"/>
        <v>2</v>
      </c>
      <c r="BF124" s="268">
        <f t="shared" si="84"/>
        <v>3</v>
      </c>
      <c r="BG124" s="268">
        <f t="shared" si="84"/>
        <v>4</v>
      </c>
      <c r="BH124" s="269">
        <f t="shared" si="84"/>
        <v>5</v>
      </c>
      <c r="BI124" s="256">
        <f>IF($AY124=Lookup!$A$2,$AZ124*ROUNDUP(BA124/10,0)+1,
IF($AY124=Lookup!$A$3,($AZ124+1)^AZ124,
IF($AY124=Lookup!$A$4,BA124*$AZ124+1,"Error")))</f>
        <v>1</v>
      </c>
      <c r="BJ124" s="229">
        <f>IF($AY124=Lookup!$A$2,$AZ124*ROUNDUP(BB124/10,0)+1,
IF($AY124=Lookup!$A$3,($AZ124+1)^BA124,
IF($AY124=Lookup!$A$4,BB124*$AZ124+1,"Error")))</f>
        <v>1</v>
      </c>
      <c r="BK124" s="229">
        <f>IF($AY124=Lookup!$A$2,$AZ124*ROUNDUP(BC124/10,0)+1,
IF($AY124=Lookup!$A$3,($AZ124+1)^BB124,
IF($AY124=Lookup!$A$4,BC124*$AZ124+1,"Error")))</f>
        <v>1</v>
      </c>
      <c r="BL124" s="229">
        <f>IF($AY124=Lookup!$A$2,$AZ124*ROUNDUP(BD124/10,0)+1,
IF($AY124=Lookup!$A$3,($AZ124+1)^BC124,
IF($AY124=Lookup!$A$4,BD124*$AZ124+1,"Error")))</f>
        <v>1</v>
      </c>
      <c r="BM124" s="229">
        <f>IF($AY124=Lookup!$A$2,$AZ124*ROUNDUP(BE124/10,0)+1,
IF($AY124=Lookup!$A$3,($AZ124+1)^BD124,
IF($AY124=Lookup!$A$4,BE124*$AZ124+1,"Error")))</f>
        <v>1</v>
      </c>
      <c r="BN124" s="229">
        <f>IF($AY124=Lookup!$A$2,$AZ124*ROUNDUP(BF124/10,0)+1,
IF($AY124=Lookup!$A$3,($AZ124+1)^BE124,
IF($AY124=Lookup!$A$4,BF124*$AZ124+1,"Error")))</f>
        <v>1</v>
      </c>
      <c r="BO124" s="229">
        <f>IF($AY124=Lookup!$A$2,$AZ124*ROUNDUP(BG124/10,0)+1,
IF($AY124=Lookup!$A$3,($AZ124+1)^BF124,
IF($AY124=Lookup!$A$4,BG124*$AZ124+1,"Error")))</f>
        <v>1</v>
      </c>
      <c r="BP124" s="249">
        <f>IF($AY124=Lookup!$A$2,$AZ124*ROUNDUP(BH124/10,0)+1,
IF($AY124=Lookup!$A$3,($AZ124+1)^BG124,
IF($AY124=Lookup!$A$4,BH124*$AZ124+1,"Error")))</f>
        <v>1</v>
      </c>
      <c r="BQ124" s="320"/>
      <c r="BR124" s="321"/>
      <c r="BS124" s="321"/>
      <c r="BT124" s="321"/>
      <c r="BU124" s="321"/>
      <c r="BV124" s="321"/>
      <c r="BW124" s="321"/>
      <c r="BX124" s="277"/>
      <c r="BY124" s="382" t="s">
        <v>292</v>
      </c>
      <c r="BZ124" s="383">
        <f>HLOOKUP($BY124,$AH$6:$AJ$132,ROWS(BZ$6:BZ124),0)</f>
        <v>0</v>
      </c>
      <c r="CA124" s="234">
        <f t="shared" ref="CA124:CC132" si="86">IFERROR(IF(BQ124&lt;&gt;"",BQ124,BI124*$BZ124),"")</f>
        <v>0</v>
      </c>
      <c r="CB124" s="96">
        <f t="shared" si="86"/>
        <v>0</v>
      </c>
      <c r="CC124" s="96">
        <f t="shared" si="86"/>
        <v>0</v>
      </c>
      <c r="CD124" s="96">
        <f t="shared" si="85"/>
        <v>0</v>
      </c>
      <c r="CE124" s="96">
        <f t="shared" si="85"/>
        <v>0</v>
      </c>
      <c r="CF124" s="96">
        <f t="shared" si="85"/>
        <v>0</v>
      </c>
      <c r="CG124" s="96">
        <f t="shared" si="85"/>
        <v>0</v>
      </c>
      <c r="CH124" s="286">
        <f t="shared" si="83"/>
        <v>0</v>
      </c>
      <c r="CI124" s="305" t="s">
        <v>293</v>
      </c>
      <c r="CJ124" s="315">
        <v>0.05</v>
      </c>
      <c r="CK124" s="306"/>
      <c r="CL124" s="307" t="str">
        <f>IF($CK124&lt;&gt;"",$CK124,HLOOKUP($CI124,$AU$6:$AW$132,ROWS(CL$6:CL124),0))</f>
        <v/>
      </c>
      <c r="CM124" s="97"/>
      <c r="CN124" s="97"/>
      <c r="CO124" s="97"/>
      <c r="CP124" s="97"/>
      <c r="CQ124" s="97"/>
      <c r="CR124" s="97"/>
      <c r="CS124" s="97"/>
      <c r="CT124" s="98"/>
      <c r="CU124" s="392"/>
    </row>
    <row r="125" spans="1:99" x14ac:dyDescent="0.25">
      <c r="A125" s="81" t="s">
        <v>242</v>
      </c>
      <c r="B125" s="82" t="s">
        <v>253</v>
      </c>
      <c r="C125" s="83" t="s">
        <v>254</v>
      </c>
      <c r="D125" s="84"/>
      <c r="E125" s="85"/>
      <c r="F125" s="85"/>
      <c r="G125" s="85"/>
      <c r="H125" s="85"/>
      <c r="I125" s="85"/>
      <c r="J125" s="85"/>
      <c r="K125" s="85"/>
      <c r="L125" s="85"/>
      <c r="M125" s="201"/>
      <c r="N125" s="560">
        <f t="shared" si="63"/>
        <v>0</v>
      </c>
      <c r="O125" s="561">
        <f t="shared" si="43"/>
        <v>0</v>
      </c>
      <c r="P125" s="561">
        <f t="shared" si="44"/>
        <v>0</v>
      </c>
      <c r="Q125" s="561">
        <f t="shared" si="45"/>
        <v>0</v>
      </c>
      <c r="R125" s="561">
        <f t="shared" si="46"/>
        <v>0</v>
      </c>
      <c r="S125" s="561">
        <f t="shared" si="47"/>
        <v>0</v>
      </c>
      <c r="T125" s="561">
        <f t="shared" si="48"/>
        <v>0</v>
      </c>
      <c r="U125" s="561">
        <f t="shared" si="49"/>
        <v>0</v>
      </c>
      <c r="V125" s="561">
        <f t="shared" si="50"/>
        <v>0</v>
      </c>
      <c r="W125" s="562">
        <f t="shared" si="51"/>
        <v>0</v>
      </c>
      <c r="X125" s="86"/>
      <c r="Y125" s="87"/>
      <c r="Z125" s="87"/>
      <c r="AA125" s="87"/>
      <c r="AB125" s="87"/>
      <c r="AC125" s="87"/>
      <c r="AD125" s="87"/>
      <c r="AE125" s="87"/>
      <c r="AF125" s="87"/>
      <c r="AG125" s="194"/>
      <c r="AH125" s="88">
        <f t="shared" si="64"/>
        <v>0</v>
      </c>
      <c r="AI125" s="89" t="str" cm="1">
        <f t="array" aca="1" ref="AI125" ca="1">IFERROR(IF($AJ$4="N",SSUM(AD125:AF125)/3,SUM(AE125:AG125)/3),"")</f>
        <v/>
      </c>
      <c r="AJ125" s="90">
        <f t="shared" si="65"/>
        <v>0</v>
      </c>
      <c r="AK125" s="91" t="str">
        <f t="shared" si="72"/>
        <v/>
      </c>
      <c r="AL125" s="92" t="str">
        <f t="shared" si="73"/>
        <v/>
      </c>
      <c r="AM125" s="92" t="str">
        <f t="shared" si="74"/>
        <v/>
      </c>
      <c r="AN125" s="92" t="str">
        <f t="shared" si="75"/>
        <v/>
      </c>
      <c r="AO125" s="92" t="str">
        <f t="shared" si="76"/>
        <v/>
      </c>
      <c r="AP125" s="92" t="str">
        <f t="shared" si="77"/>
        <v/>
      </c>
      <c r="AQ125" s="92" t="str">
        <f t="shared" si="78"/>
        <v/>
      </c>
      <c r="AR125" s="92" t="str">
        <f t="shared" si="79"/>
        <v/>
      </c>
      <c r="AS125" s="92" t="str">
        <f t="shared" si="80"/>
        <v/>
      </c>
      <c r="AT125" s="217" t="str">
        <f t="shared" si="81"/>
        <v/>
      </c>
      <c r="AU125" s="93" t="str">
        <f t="shared" si="66"/>
        <v/>
      </c>
      <c r="AV125" s="94" t="str">
        <f t="shared" si="67"/>
        <v/>
      </c>
      <c r="AW125" s="95" t="str">
        <f t="shared" si="68"/>
        <v/>
      </c>
      <c r="AX125" s="248" t="s">
        <v>422</v>
      </c>
      <c r="AY125" s="229" t="s">
        <v>433</v>
      </c>
      <c r="AZ125" s="249">
        <v>0</v>
      </c>
      <c r="BA125" s="267">
        <f t="shared" si="69"/>
        <v>0</v>
      </c>
      <c r="BB125" s="268">
        <f t="shared" si="84"/>
        <v>0</v>
      </c>
      <c r="BC125" s="268">
        <f t="shared" si="84"/>
        <v>0</v>
      </c>
      <c r="BD125" s="268">
        <f t="shared" si="84"/>
        <v>1</v>
      </c>
      <c r="BE125" s="268">
        <f t="shared" si="84"/>
        <v>2</v>
      </c>
      <c r="BF125" s="268">
        <f t="shared" si="84"/>
        <v>3</v>
      </c>
      <c r="BG125" s="268">
        <f t="shared" si="84"/>
        <v>4</v>
      </c>
      <c r="BH125" s="269">
        <f t="shared" si="84"/>
        <v>5</v>
      </c>
      <c r="BI125" s="256">
        <f>IF($AY125=Lookup!$A$2,$AZ125*ROUNDUP(BA125/10,0)+1,
IF($AY125=Lookup!$A$3,($AZ125+1)^AZ125,
IF($AY125=Lookup!$A$4,BA125*$AZ125+1,"Error")))</f>
        <v>1</v>
      </c>
      <c r="BJ125" s="229">
        <f>IF($AY125=Lookup!$A$2,$AZ125*ROUNDUP(BB125/10,0)+1,
IF($AY125=Lookup!$A$3,($AZ125+1)^BA125,
IF($AY125=Lookup!$A$4,BB125*$AZ125+1,"Error")))</f>
        <v>1</v>
      </c>
      <c r="BK125" s="229">
        <f>IF($AY125=Lookup!$A$2,$AZ125*ROUNDUP(BC125/10,0)+1,
IF($AY125=Lookup!$A$3,($AZ125+1)^BB125,
IF($AY125=Lookup!$A$4,BC125*$AZ125+1,"Error")))</f>
        <v>1</v>
      </c>
      <c r="BL125" s="229">
        <f>IF($AY125=Lookup!$A$2,$AZ125*ROUNDUP(BD125/10,0)+1,
IF($AY125=Lookup!$A$3,($AZ125+1)^BC125,
IF($AY125=Lookup!$A$4,BD125*$AZ125+1,"Error")))</f>
        <v>1</v>
      </c>
      <c r="BM125" s="229">
        <f>IF($AY125=Lookup!$A$2,$AZ125*ROUNDUP(BE125/10,0)+1,
IF($AY125=Lookup!$A$3,($AZ125+1)^BD125,
IF($AY125=Lookup!$A$4,BE125*$AZ125+1,"Error")))</f>
        <v>1</v>
      </c>
      <c r="BN125" s="229">
        <f>IF($AY125=Lookup!$A$2,$AZ125*ROUNDUP(BF125/10,0)+1,
IF($AY125=Lookup!$A$3,($AZ125+1)^BE125,
IF($AY125=Lookup!$A$4,BF125*$AZ125+1,"Error")))</f>
        <v>1</v>
      </c>
      <c r="BO125" s="229">
        <f>IF($AY125=Lookup!$A$2,$AZ125*ROUNDUP(BG125/10,0)+1,
IF($AY125=Lookup!$A$3,($AZ125+1)^BF125,
IF($AY125=Lookup!$A$4,BG125*$AZ125+1,"Error")))</f>
        <v>1</v>
      </c>
      <c r="BP125" s="249">
        <f>IF($AY125=Lookup!$A$2,$AZ125*ROUNDUP(BH125/10,0)+1,
IF($AY125=Lookup!$A$3,($AZ125+1)^BG125,
IF($AY125=Lookup!$A$4,BH125*$AZ125+1,"Error")))</f>
        <v>1</v>
      </c>
      <c r="BQ125" s="320"/>
      <c r="BR125" s="321"/>
      <c r="BS125" s="321"/>
      <c r="BT125" s="321"/>
      <c r="BU125" s="321"/>
      <c r="BV125" s="321"/>
      <c r="BW125" s="321"/>
      <c r="BX125" s="277"/>
      <c r="BY125" s="382" t="s">
        <v>292</v>
      </c>
      <c r="BZ125" s="383">
        <f>HLOOKUP($BY125,$AH$6:$AJ$132,ROWS(BZ$6:BZ125),0)</f>
        <v>0</v>
      </c>
      <c r="CA125" s="234">
        <f t="shared" si="86"/>
        <v>0</v>
      </c>
      <c r="CB125" s="96">
        <f t="shared" si="86"/>
        <v>0</v>
      </c>
      <c r="CC125" s="96">
        <f t="shared" si="86"/>
        <v>0</v>
      </c>
      <c r="CD125" s="96">
        <f t="shared" si="85"/>
        <v>0</v>
      </c>
      <c r="CE125" s="96">
        <f t="shared" si="85"/>
        <v>0</v>
      </c>
      <c r="CF125" s="96">
        <f t="shared" si="85"/>
        <v>0</v>
      </c>
      <c r="CG125" s="96">
        <f t="shared" si="85"/>
        <v>0</v>
      </c>
      <c r="CH125" s="286">
        <f t="shared" si="83"/>
        <v>0</v>
      </c>
      <c r="CI125" s="305" t="s">
        <v>293</v>
      </c>
      <c r="CJ125" s="315">
        <v>0.05</v>
      </c>
      <c r="CK125" s="306"/>
      <c r="CL125" s="307" t="str">
        <f>IF($CK125&lt;&gt;"",$CK125,HLOOKUP($CI125,$AU$6:$AW$132,ROWS(CL$6:CL125),0))</f>
        <v/>
      </c>
      <c r="CM125" s="97"/>
      <c r="CN125" s="97"/>
      <c r="CO125" s="97"/>
      <c r="CP125" s="97"/>
      <c r="CQ125" s="97"/>
      <c r="CR125" s="97"/>
      <c r="CS125" s="97"/>
      <c r="CT125" s="98"/>
      <c r="CU125" s="392"/>
    </row>
    <row r="126" spans="1:99" ht="15.75" thickBot="1" x14ac:dyDescent="0.3">
      <c r="A126" s="81" t="s">
        <v>242</v>
      </c>
      <c r="B126" s="82" t="s">
        <v>399</v>
      </c>
      <c r="C126" s="102" t="s">
        <v>400</v>
      </c>
      <c r="D126" s="103"/>
      <c r="E126" s="104"/>
      <c r="F126" s="104"/>
      <c r="G126" s="104"/>
      <c r="H126" s="104"/>
      <c r="I126" s="104"/>
      <c r="J126" s="104"/>
      <c r="K126" s="104"/>
      <c r="L126" s="104"/>
      <c r="M126" s="202"/>
      <c r="N126" s="563">
        <f t="shared" si="63"/>
        <v>0</v>
      </c>
      <c r="O126" s="564">
        <f t="shared" si="43"/>
        <v>0</v>
      </c>
      <c r="P126" s="564">
        <f t="shared" si="44"/>
        <v>0</v>
      </c>
      <c r="Q126" s="564">
        <f t="shared" si="45"/>
        <v>0</v>
      </c>
      <c r="R126" s="564">
        <f t="shared" si="46"/>
        <v>0</v>
      </c>
      <c r="S126" s="564">
        <f t="shared" si="47"/>
        <v>0</v>
      </c>
      <c r="T126" s="564">
        <f t="shared" si="48"/>
        <v>0</v>
      </c>
      <c r="U126" s="564">
        <f t="shared" si="49"/>
        <v>0</v>
      </c>
      <c r="V126" s="564">
        <f t="shared" si="50"/>
        <v>0</v>
      </c>
      <c r="W126" s="565">
        <f t="shared" si="51"/>
        <v>0</v>
      </c>
      <c r="X126" s="105"/>
      <c r="Y126" s="106"/>
      <c r="Z126" s="106"/>
      <c r="AA126" s="106"/>
      <c r="AB126" s="106"/>
      <c r="AC126" s="106"/>
      <c r="AD126" s="106"/>
      <c r="AE126" s="106"/>
      <c r="AF126" s="106"/>
      <c r="AG126" s="195"/>
      <c r="AH126" s="107">
        <f t="shared" si="64"/>
        <v>0</v>
      </c>
      <c r="AI126" s="108" t="str" cm="1">
        <f t="array" aca="1" ref="AI126" ca="1">IFERROR(IF($AJ$4="N",SSUM(AD126:AF126)/3,SUM(AE126:AG126)/3),"")</f>
        <v/>
      </c>
      <c r="AJ126" s="109">
        <f t="shared" si="65"/>
        <v>0</v>
      </c>
      <c r="AK126" s="110" t="str">
        <f t="shared" si="72"/>
        <v/>
      </c>
      <c r="AL126" s="111" t="str">
        <f t="shared" si="73"/>
        <v/>
      </c>
      <c r="AM126" s="111" t="str">
        <f t="shared" si="74"/>
        <v/>
      </c>
      <c r="AN126" s="111" t="str">
        <f t="shared" si="75"/>
        <v/>
      </c>
      <c r="AO126" s="111" t="str">
        <f t="shared" si="76"/>
        <v/>
      </c>
      <c r="AP126" s="111" t="str">
        <f t="shared" si="77"/>
        <v/>
      </c>
      <c r="AQ126" s="111" t="str">
        <f t="shared" si="78"/>
        <v/>
      </c>
      <c r="AR126" s="111" t="str">
        <f t="shared" si="79"/>
        <v/>
      </c>
      <c r="AS126" s="111" t="str">
        <f t="shared" si="80"/>
        <v/>
      </c>
      <c r="AT126" s="218" t="str">
        <f t="shared" si="81"/>
        <v/>
      </c>
      <c r="AU126" s="112" t="str">
        <f t="shared" si="66"/>
        <v/>
      </c>
      <c r="AV126" s="113" t="str">
        <f t="shared" si="67"/>
        <v/>
      </c>
      <c r="AW126" s="114" t="str">
        <f t="shared" si="68"/>
        <v/>
      </c>
      <c r="AX126" s="250" t="s">
        <v>422</v>
      </c>
      <c r="AY126" s="230" t="s">
        <v>433</v>
      </c>
      <c r="AZ126" s="251">
        <v>0</v>
      </c>
      <c r="BA126" s="270">
        <f t="shared" si="69"/>
        <v>0</v>
      </c>
      <c r="BB126" s="271">
        <f t="shared" si="84"/>
        <v>0</v>
      </c>
      <c r="BC126" s="271">
        <f t="shared" si="84"/>
        <v>0</v>
      </c>
      <c r="BD126" s="271">
        <f t="shared" si="84"/>
        <v>1</v>
      </c>
      <c r="BE126" s="271">
        <f t="shared" si="84"/>
        <v>2</v>
      </c>
      <c r="BF126" s="271">
        <f t="shared" si="84"/>
        <v>3</v>
      </c>
      <c r="BG126" s="271">
        <f t="shared" si="84"/>
        <v>4</v>
      </c>
      <c r="BH126" s="272">
        <f t="shared" si="84"/>
        <v>5</v>
      </c>
      <c r="BI126" s="257">
        <f>IF($AY126=Lookup!$A$2,$AZ126*ROUNDUP(BA126/10,0)+1,
IF($AY126=Lookup!$A$3,($AZ126+1)^AZ126,
IF($AY126=Lookup!$A$4,BA126*$AZ126+1,"Error")))</f>
        <v>1</v>
      </c>
      <c r="BJ126" s="230">
        <f>IF($AY126=Lookup!$A$2,$AZ126*ROUNDUP(BB126/10,0)+1,
IF($AY126=Lookup!$A$3,($AZ126+1)^BA126,
IF($AY126=Lookup!$A$4,BB126*$AZ126+1,"Error")))</f>
        <v>1</v>
      </c>
      <c r="BK126" s="230">
        <f>IF($AY126=Lookup!$A$2,$AZ126*ROUNDUP(BC126/10,0)+1,
IF($AY126=Lookup!$A$3,($AZ126+1)^BB126,
IF($AY126=Lookup!$A$4,BC126*$AZ126+1,"Error")))</f>
        <v>1</v>
      </c>
      <c r="BL126" s="230">
        <f>IF($AY126=Lookup!$A$2,$AZ126*ROUNDUP(BD126/10,0)+1,
IF($AY126=Lookup!$A$3,($AZ126+1)^BC126,
IF($AY126=Lookup!$A$4,BD126*$AZ126+1,"Error")))</f>
        <v>1</v>
      </c>
      <c r="BM126" s="230">
        <f>IF($AY126=Lookup!$A$2,$AZ126*ROUNDUP(BE126/10,0)+1,
IF($AY126=Lookup!$A$3,($AZ126+1)^BD126,
IF($AY126=Lookup!$A$4,BE126*$AZ126+1,"Error")))</f>
        <v>1</v>
      </c>
      <c r="BN126" s="230">
        <f>IF($AY126=Lookup!$A$2,$AZ126*ROUNDUP(BF126/10,0)+1,
IF($AY126=Lookup!$A$3,($AZ126+1)^BE126,
IF($AY126=Lookup!$A$4,BF126*$AZ126+1,"Error")))</f>
        <v>1</v>
      </c>
      <c r="BO126" s="230">
        <f>IF($AY126=Lookup!$A$2,$AZ126*ROUNDUP(BG126/10,0)+1,
IF($AY126=Lookup!$A$3,($AZ126+1)^BF126,
IF($AY126=Lookup!$A$4,BG126*$AZ126+1,"Error")))</f>
        <v>1</v>
      </c>
      <c r="BP126" s="251">
        <f>IF($AY126=Lookup!$A$2,$AZ126*ROUNDUP(BH126/10,0)+1,
IF($AY126=Lookup!$A$3,($AZ126+1)^BG126,
IF($AY126=Lookup!$A$4,BH126*$AZ126+1,"Error")))</f>
        <v>1</v>
      </c>
      <c r="BQ126" s="322"/>
      <c r="BR126" s="323"/>
      <c r="BS126" s="323"/>
      <c r="BT126" s="323"/>
      <c r="BU126" s="323"/>
      <c r="BV126" s="323"/>
      <c r="BW126" s="323"/>
      <c r="BX126" s="278"/>
      <c r="BY126" s="384" t="s">
        <v>292</v>
      </c>
      <c r="BZ126" s="385">
        <f>HLOOKUP($BY126,$AH$6:$AJ$132,ROWS(BZ$6:BZ126),0)</f>
        <v>0</v>
      </c>
      <c r="CA126" s="235">
        <f t="shared" si="86"/>
        <v>0</v>
      </c>
      <c r="CB126" s="115">
        <f t="shared" si="86"/>
        <v>0</v>
      </c>
      <c r="CC126" s="115">
        <f t="shared" si="86"/>
        <v>0</v>
      </c>
      <c r="CD126" s="115">
        <f t="shared" si="85"/>
        <v>0</v>
      </c>
      <c r="CE126" s="115">
        <f t="shared" si="85"/>
        <v>0</v>
      </c>
      <c r="CF126" s="115">
        <f t="shared" si="85"/>
        <v>0</v>
      </c>
      <c r="CG126" s="115">
        <f t="shared" si="85"/>
        <v>0</v>
      </c>
      <c r="CH126" s="287">
        <f t="shared" si="83"/>
        <v>0</v>
      </c>
      <c r="CI126" s="308" t="s">
        <v>293</v>
      </c>
      <c r="CJ126" s="316">
        <v>0.05</v>
      </c>
      <c r="CK126" s="309"/>
      <c r="CL126" s="310" t="str">
        <f>IF($CK126&lt;&gt;"",$CK126,HLOOKUP($CI126,$AU$6:$AW$132,ROWS(CL$6:CL126),0))</f>
        <v/>
      </c>
      <c r="CM126" s="117"/>
      <c r="CN126" s="117"/>
      <c r="CO126" s="117"/>
      <c r="CP126" s="117"/>
      <c r="CQ126" s="117"/>
      <c r="CR126" s="117"/>
      <c r="CS126" s="117"/>
      <c r="CT126" s="118"/>
      <c r="CU126" s="393"/>
    </row>
    <row r="127" spans="1:99" x14ac:dyDescent="0.25">
      <c r="A127" s="81" t="s">
        <v>258</v>
      </c>
      <c r="B127" s="82" t="s">
        <v>255</v>
      </c>
      <c r="C127" s="145" t="s">
        <v>401</v>
      </c>
      <c r="D127" s="146"/>
      <c r="E127" s="147"/>
      <c r="F127" s="147"/>
      <c r="G127" s="147"/>
      <c r="H127" s="147"/>
      <c r="I127" s="147"/>
      <c r="J127" s="147"/>
      <c r="K127" s="147"/>
      <c r="L127" s="147"/>
      <c r="M127" s="203"/>
      <c r="N127" s="566">
        <f t="shared" si="63"/>
        <v>0</v>
      </c>
      <c r="O127" s="567">
        <f t="shared" si="43"/>
        <v>0</v>
      </c>
      <c r="P127" s="567">
        <f t="shared" si="44"/>
        <v>0</v>
      </c>
      <c r="Q127" s="567">
        <f t="shared" si="45"/>
        <v>0</v>
      </c>
      <c r="R127" s="567">
        <f t="shared" si="46"/>
        <v>0</v>
      </c>
      <c r="S127" s="567">
        <f t="shared" si="47"/>
        <v>0</v>
      </c>
      <c r="T127" s="567">
        <f t="shared" si="48"/>
        <v>0</v>
      </c>
      <c r="U127" s="567">
        <f t="shared" si="49"/>
        <v>0</v>
      </c>
      <c r="V127" s="567">
        <f t="shared" si="50"/>
        <v>0</v>
      </c>
      <c r="W127" s="568">
        <f t="shared" si="51"/>
        <v>0</v>
      </c>
      <c r="X127" s="148"/>
      <c r="Y127" s="149"/>
      <c r="Z127" s="149"/>
      <c r="AA127" s="149"/>
      <c r="AB127" s="149"/>
      <c r="AC127" s="149"/>
      <c r="AD127" s="149"/>
      <c r="AE127" s="149"/>
      <c r="AF127" s="149"/>
      <c r="AG127" s="199"/>
      <c r="AH127" s="150">
        <f t="shared" si="64"/>
        <v>0</v>
      </c>
      <c r="AI127" s="151" t="str" cm="1">
        <f t="array" aca="1" ref="AI127" ca="1">IFERROR(IF($AJ$4="N",SSUM(AD127:AF127)/3,SUM(AE127:AG127)/3),"")</f>
        <v/>
      </c>
      <c r="AJ127" s="152">
        <f t="shared" si="65"/>
        <v>0</v>
      </c>
      <c r="AK127" s="153" t="str">
        <f t="shared" si="72"/>
        <v/>
      </c>
      <c r="AL127" s="154" t="str">
        <f t="shared" si="73"/>
        <v/>
      </c>
      <c r="AM127" s="154" t="str">
        <f t="shared" si="74"/>
        <v/>
      </c>
      <c r="AN127" s="154" t="str">
        <f t="shared" si="75"/>
        <v/>
      </c>
      <c r="AO127" s="154" t="str">
        <f t="shared" si="76"/>
        <v/>
      </c>
      <c r="AP127" s="154" t="str">
        <f t="shared" si="77"/>
        <v/>
      </c>
      <c r="AQ127" s="154" t="str">
        <f t="shared" si="78"/>
        <v/>
      </c>
      <c r="AR127" s="154" t="str">
        <f t="shared" si="79"/>
        <v/>
      </c>
      <c r="AS127" s="154" t="str">
        <f t="shared" si="80"/>
        <v/>
      </c>
      <c r="AT127" s="219" t="str">
        <f t="shared" si="81"/>
        <v/>
      </c>
      <c r="AU127" s="155" t="str">
        <f t="shared" si="66"/>
        <v/>
      </c>
      <c r="AV127" s="156" t="str">
        <f t="shared" si="67"/>
        <v/>
      </c>
      <c r="AW127" s="157" t="str">
        <f t="shared" si="68"/>
        <v/>
      </c>
      <c r="AX127" s="246" t="s">
        <v>422</v>
      </c>
      <c r="AY127" s="228" t="s">
        <v>433</v>
      </c>
      <c r="AZ127" s="247">
        <v>0</v>
      </c>
      <c r="BA127" s="264">
        <f t="shared" si="69"/>
        <v>0</v>
      </c>
      <c r="BB127" s="265">
        <f t="shared" si="84"/>
        <v>0</v>
      </c>
      <c r="BC127" s="265">
        <f t="shared" si="84"/>
        <v>0</v>
      </c>
      <c r="BD127" s="265">
        <f t="shared" si="84"/>
        <v>1</v>
      </c>
      <c r="BE127" s="265">
        <f t="shared" si="84"/>
        <v>2</v>
      </c>
      <c r="BF127" s="265">
        <f t="shared" si="84"/>
        <v>3</v>
      </c>
      <c r="BG127" s="265">
        <f t="shared" si="84"/>
        <v>4</v>
      </c>
      <c r="BH127" s="266">
        <f t="shared" si="84"/>
        <v>5</v>
      </c>
      <c r="BI127" s="255">
        <f>IF($AY127=Lookup!$A$2,$AZ127*ROUNDUP(BA127/10,0)+1,
IF($AY127=Lookup!$A$3,($AZ127+1)^AZ127,
IF($AY127=Lookup!$A$4,BA127*$AZ127+1,"Error")))</f>
        <v>1</v>
      </c>
      <c r="BJ127" s="228">
        <f>IF($AY127=Lookup!$A$2,$AZ127*ROUNDUP(BB127/10,0)+1,
IF($AY127=Lookup!$A$3,($AZ127+1)^BA127,
IF($AY127=Lookup!$A$4,BB127*$AZ127+1,"Error")))</f>
        <v>1</v>
      </c>
      <c r="BK127" s="228">
        <f>IF($AY127=Lookup!$A$2,$AZ127*ROUNDUP(BC127/10,0)+1,
IF($AY127=Lookup!$A$3,($AZ127+1)^BB127,
IF($AY127=Lookup!$A$4,BC127*$AZ127+1,"Error")))</f>
        <v>1</v>
      </c>
      <c r="BL127" s="228">
        <f>IF($AY127=Lookup!$A$2,$AZ127*ROUNDUP(BD127/10,0)+1,
IF($AY127=Lookup!$A$3,($AZ127+1)^BC127,
IF($AY127=Lookup!$A$4,BD127*$AZ127+1,"Error")))</f>
        <v>1</v>
      </c>
      <c r="BM127" s="228">
        <f>IF($AY127=Lookup!$A$2,$AZ127*ROUNDUP(BE127/10,0)+1,
IF($AY127=Lookup!$A$3,($AZ127+1)^BD127,
IF($AY127=Lookup!$A$4,BE127*$AZ127+1,"Error")))</f>
        <v>1</v>
      </c>
      <c r="BN127" s="228">
        <f>IF($AY127=Lookup!$A$2,$AZ127*ROUNDUP(BF127/10,0)+1,
IF($AY127=Lookup!$A$3,($AZ127+1)^BE127,
IF($AY127=Lookup!$A$4,BF127*$AZ127+1,"Error")))</f>
        <v>1</v>
      </c>
      <c r="BO127" s="228">
        <f>IF($AY127=Lookup!$A$2,$AZ127*ROUNDUP(BG127/10,0)+1,
IF($AY127=Lookup!$A$3,($AZ127+1)^BF127,
IF($AY127=Lookup!$A$4,BG127*$AZ127+1,"Error")))</f>
        <v>1</v>
      </c>
      <c r="BP127" s="247">
        <f>IF($AY127=Lookup!$A$2,$AZ127*ROUNDUP(BH127/10,0)+1,
IF($AY127=Lookup!$A$3,($AZ127+1)^BG127,
IF($AY127=Lookup!$A$4,BH127*$AZ127+1,"Error")))</f>
        <v>1</v>
      </c>
      <c r="BQ127" s="318"/>
      <c r="BR127" s="319"/>
      <c r="BS127" s="319"/>
      <c r="BT127" s="319"/>
      <c r="BU127" s="319"/>
      <c r="BV127" s="319"/>
      <c r="BW127" s="319"/>
      <c r="BX127" s="276"/>
      <c r="BY127" s="380" t="s">
        <v>292</v>
      </c>
      <c r="BZ127" s="381">
        <f>HLOOKUP($BY127,$AH$6:$AJ$132,ROWS(BZ$6:BZ127),0)</f>
        <v>0</v>
      </c>
      <c r="CA127" s="233">
        <f t="shared" si="86"/>
        <v>0</v>
      </c>
      <c r="CB127" s="78">
        <f t="shared" si="86"/>
        <v>0</v>
      </c>
      <c r="CC127" s="78">
        <f t="shared" si="86"/>
        <v>0</v>
      </c>
      <c r="CD127" s="78">
        <f t="shared" si="85"/>
        <v>0</v>
      </c>
      <c r="CE127" s="78">
        <f t="shared" si="85"/>
        <v>0</v>
      </c>
      <c r="CF127" s="78">
        <f t="shared" si="85"/>
        <v>0</v>
      </c>
      <c r="CG127" s="78">
        <f t="shared" si="85"/>
        <v>0</v>
      </c>
      <c r="CH127" s="285">
        <f t="shared" si="83"/>
        <v>0</v>
      </c>
      <c r="CI127" s="311" t="s">
        <v>293</v>
      </c>
      <c r="CJ127" s="317">
        <v>0.05</v>
      </c>
      <c r="CK127" s="312"/>
      <c r="CL127" s="313" t="str">
        <f>IF($CK127&lt;&gt;"",$CK127,HLOOKUP($CI127,$AU$6:$AW$132,ROWS(CL$6:CL127),0))</f>
        <v/>
      </c>
      <c r="CM127" s="79"/>
      <c r="CN127" s="79"/>
      <c r="CO127" s="79"/>
      <c r="CP127" s="79"/>
      <c r="CQ127" s="79"/>
      <c r="CR127" s="79"/>
      <c r="CS127" s="79"/>
      <c r="CT127" s="80"/>
      <c r="CU127" s="391"/>
    </row>
    <row r="128" spans="1:99" x14ac:dyDescent="0.25">
      <c r="A128" s="81" t="s">
        <v>258</v>
      </c>
      <c r="B128" s="82" t="s">
        <v>259</v>
      </c>
      <c r="C128" s="83" t="s">
        <v>257</v>
      </c>
      <c r="D128" s="84"/>
      <c r="E128" s="85"/>
      <c r="F128" s="85"/>
      <c r="G128" s="85"/>
      <c r="H128" s="85"/>
      <c r="I128" s="85"/>
      <c r="J128" s="85"/>
      <c r="K128" s="85"/>
      <c r="L128" s="85"/>
      <c r="M128" s="201"/>
      <c r="N128" s="560">
        <f t="shared" si="63"/>
        <v>0</v>
      </c>
      <c r="O128" s="561">
        <f t="shared" si="43"/>
        <v>0</v>
      </c>
      <c r="P128" s="561">
        <f t="shared" si="44"/>
        <v>0</v>
      </c>
      <c r="Q128" s="561">
        <f t="shared" si="45"/>
        <v>0</v>
      </c>
      <c r="R128" s="561">
        <f t="shared" si="46"/>
        <v>0</v>
      </c>
      <c r="S128" s="561">
        <f t="shared" si="47"/>
        <v>0</v>
      </c>
      <c r="T128" s="561">
        <f t="shared" si="48"/>
        <v>0</v>
      </c>
      <c r="U128" s="561">
        <f t="shared" si="49"/>
        <v>0</v>
      </c>
      <c r="V128" s="561">
        <f t="shared" si="50"/>
        <v>0</v>
      </c>
      <c r="W128" s="562">
        <f t="shared" si="51"/>
        <v>0</v>
      </c>
      <c r="X128" s="86"/>
      <c r="Y128" s="87"/>
      <c r="Z128" s="87"/>
      <c r="AA128" s="87"/>
      <c r="AB128" s="87"/>
      <c r="AC128" s="87"/>
      <c r="AD128" s="87"/>
      <c r="AE128" s="87"/>
      <c r="AF128" s="87"/>
      <c r="AG128" s="194"/>
      <c r="AH128" s="88">
        <f t="shared" si="64"/>
        <v>0</v>
      </c>
      <c r="AI128" s="89" t="str" cm="1">
        <f t="array" aca="1" ref="AI128" ca="1">IFERROR(IF($AJ$4="N",SSUM(AD128:AF128)/3,SUM(AE128:AG128)/3),"")</f>
        <v/>
      </c>
      <c r="AJ128" s="90">
        <f t="shared" si="65"/>
        <v>0</v>
      </c>
      <c r="AK128" s="91" t="str">
        <f t="shared" si="72"/>
        <v/>
      </c>
      <c r="AL128" s="92" t="str">
        <f t="shared" si="73"/>
        <v/>
      </c>
      <c r="AM128" s="92" t="str">
        <f t="shared" si="74"/>
        <v/>
      </c>
      <c r="AN128" s="92" t="str">
        <f t="shared" si="75"/>
        <v/>
      </c>
      <c r="AO128" s="92" t="str">
        <f t="shared" si="76"/>
        <v/>
      </c>
      <c r="AP128" s="92" t="str">
        <f t="shared" si="77"/>
        <v/>
      </c>
      <c r="AQ128" s="92" t="str">
        <f t="shared" si="78"/>
        <v/>
      </c>
      <c r="AR128" s="92" t="str">
        <f t="shared" si="79"/>
        <v/>
      </c>
      <c r="AS128" s="92" t="str">
        <f t="shared" si="80"/>
        <v/>
      </c>
      <c r="AT128" s="217" t="str">
        <f t="shared" si="81"/>
        <v/>
      </c>
      <c r="AU128" s="93" t="str">
        <f t="shared" si="66"/>
        <v/>
      </c>
      <c r="AV128" s="94" t="str">
        <f t="shared" si="67"/>
        <v/>
      </c>
      <c r="AW128" s="95" t="str">
        <f t="shared" si="68"/>
        <v/>
      </c>
      <c r="AX128" s="248" t="s">
        <v>422</v>
      </c>
      <c r="AY128" s="229" t="s">
        <v>433</v>
      </c>
      <c r="AZ128" s="249">
        <v>0</v>
      </c>
      <c r="BA128" s="267">
        <f t="shared" si="69"/>
        <v>0</v>
      </c>
      <c r="BB128" s="268">
        <f t="shared" si="84"/>
        <v>0</v>
      </c>
      <c r="BC128" s="268">
        <f t="shared" si="84"/>
        <v>0</v>
      </c>
      <c r="BD128" s="268">
        <f t="shared" si="84"/>
        <v>1</v>
      </c>
      <c r="BE128" s="268">
        <f t="shared" si="84"/>
        <v>2</v>
      </c>
      <c r="BF128" s="268">
        <f t="shared" si="84"/>
        <v>3</v>
      </c>
      <c r="BG128" s="268">
        <f t="shared" si="84"/>
        <v>4</v>
      </c>
      <c r="BH128" s="269">
        <f t="shared" si="84"/>
        <v>5</v>
      </c>
      <c r="BI128" s="256">
        <f>IF($AY128=Lookup!$A$2,$AZ128*ROUNDUP(BA128/10,0)+1,
IF($AY128=Lookup!$A$3,($AZ128+1)^AZ128,
IF($AY128=Lookup!$A$4,BA128*$AZ128+1,"Error")))</f>
        <v>1</v>
      </c>
      <c r="BJ128" s="229">
        <f>IF($AY128=Lookup!$A$2,$AZ128*ROUNDUP(BB128/10,0)+1,
IF($AY128=Lookup!$A$3,($AZ128+1)^BA128,
IF($AY128=Lookup!$A$4,BB128*$AZ128+1,"Error")))</f>
        <v>1</v>
      </c>
      <c r="BK128" s="229">
        <f>IF($AY128=Lookup!$A$2,$AZ128*ROUNDUP(BC128/10,0)+1,
IF($AY128=Lookup!$A$3,($AZ128+1)^BB128,
IF($AY128=Lookup!$A$4,BC128*$AZ128+1,"Error")))</f>
        <v>1</v>
      </c>
      <c r="BL128" s="229">
        <f>IF($AY128=Lookup!$A$2,$AZ128*ROUNDUP(BD128/10,0)+1,
IF($AY128=Lookup!$A$3,($AZ128+1)^BC128,
IF($AY128=Lookup!$A$4,BD128*$AZ128+1,"Error")))</f>
        <v>1</v>
      </c>
      <c r="BM128" s="229">
        <f>IF($AY128=Lookup!$A$2,$AZ128*ROUNDUP(BE128/10,0)+1,
IF($AY128=Lookup!$A$3,($AZ128+1)^BD128,
IF($AY128=Lookup!$A$4,BE128*$AZ128+1,"Error")))</f>
        <v>1</v>
      </c>
      <c r="BN128" s="229">
        <f>IF($AY128=Lookup!$A$2,$AZ128*ROUNDUP(BF128/10,0)+1,
IF($AY128=Lookup!$A$3,($AZ128+1)^BE128,
IF($AY128=Lookup!$A$4,BF128*$AZ128+1,"Error")))</f>
        <v>1</v>
      </c>
      <c r="BO128" s="229">
        <f>IF($AY128=Lookup!$A$2,$AZ128*ROUNDUP(BG128/10,0)+1,
IF($AY128=Lookup!$A$3,($AZ128+1)^BF128,
IF($AY128=Lookup!$A$4,BG128*$AZ128+1,"Error")))</f>
        <v>1</v>
      </c>
      <c r="BP128" s="249">
        <f>IF($AY128=Lookup!$A$2,$AZ128*ROUNDUP(BH128/10,0)+1,
IF($AY128=Lookup!$A$3,($AZ128+1)^BG128,
IF($AY128=Lookup!$A$4,BH128*$AZ128+1,"Error")))</f>
        <v>1</v>
      </c>
      <c r="BQ128" s="320"/>
      <c r="BR128" s="321"/>
      <c r="BS128" s="321"/>
      <c r="BT128" s="321"/>
      <c r="BU128" s="321"/>
      <c r="BV128" s="321"/>
      <c r="BW128" s="321"/>
      <c r="BX128" s="277"/>
      <c r="BY128" s="382" t="s">
        <v>292</v>
      </c>
      <c r="BZ128" s="383">
        <f>HLOOKUP($BY128,$AH$6:$AJ$132,ROWS(BZ$6:BZ128),0)</f>
        <v>0</v>
      </c>
      <c r="CA128" s="234">
        <f t="shared" si="86"/>
        <v>0</v>
      </c>
      <c r="CB128" s="96">
        <f t="shared" si="86"/>
        <v>0</v>
      </c>
      <c r="CC128" s="96">
        <f t="shared" si="86"/>
        <v>0</v>
      </c>
      <c r="CD128" s="96">
        <f t="shared" si="85"/>
        <v>0</v>
      </c>
      <c r="CE128" s="96">
        <f t="shared" si="85"/>
        <v>0</v>
      </c>
      <c r="CF128" s="96">
        <f t="shared" si="85"/>
        <v>0</v>
      </c>
      <c r="CG128" s="96">
        <f t="shared" si="85"/>
        <v>0</v>
      </c>
      <c r="CH128" s="286">
        <f t="shared" si="83"/>
        <v>0</v>
      </c>
      <c r="CI128" s="305" t="s">
        <v>293</v>
      </c>
      <c r="CJ128" s="315">
        <v>0.05</v>
      </c>
      <c r="CK128" s="306"/>
      <c r="CL128" s="307" t="str">
        <f>IF($CK128&lt;&gt;"",$CK128,HLOOKUP($CI128,$AU$6:$AW$132,ROWS(CL$6:CL128),0))</f>
        <v/>
      </c>
      <c r="CM128" s="97"/>
      <c r="CN128" s="97"/>
      <c r="CO128" s="97"/>
      <c r="CP128" s="97"/>
      <c r="CQ128" s="97"/>
      <c r="CR128" s="97"/>
      <c r="CS128" s="97"/>
      <c r="CT128" s="98"/>
      <c r="CU128" s="392"/>
    </row>
    <row r="129" spans="1:99" x14ac:dyDescent="0.25">
      <c r="A129" s="81" t="s">
        <v>258</v>
      </c>
      <c r="B129" s="82" t="s">
        <v>261</v>
      </c>
      <c r="C129" s="83" t="s">
        <v>402</v>
      </c>
      <c r="D129" s="84"/>
      <c r="E129" s="85"/>
      <c r="F129" s="85"/>
      <c r="G129" s="85"/>
      <c r="H129" s="85"/>
      <c r="I129" s="85"/>
      <c r="J129" s="85"/>
      <c r="K129" s="85"/>
      <c r="L129" s="85"/>
      <c r="M129" s="201"/>
      <c r="N129" s="560">
        <f t="shared" si="63"/>
        <v>0</v>
      </c>
      <c r="O129" s="561">
        <f t="shared" si="43"/>
        <v>0</v>
      </c>
      <c r="P129" s="561">
        <f t="shared" si="44"/>
        <v>0</v>
      </c>
      <c r="Q129" s="561">
        <f t="shared" si="45"/>
        <v>0</v>
      </c>
      <c r="R129" s="561">
        <f t="shared" si="46"/>
        <v>0</v>
      </c>
      <c r="S129" s="561">
        <f t="shared" si="47"/>
        <v>0</v>
      </c>
      <c r="T129" s="561">
        <f t="shared" si="48"/>
        <v>0</v>
      </c>
      <c r="U129" s="561">
        <f t="shared" si="49"/>
        <v>0</v>
      </c>
      <c r="V129" s="561">
        <f t="shared" si="50"/>
        <v>0</v>
      </c>
      <c r="W129" s="562">
        <f t="shared" si="51"/>
        <v>0</v>
      </c>
      <c r="X129" s="86"/>
      <c r="Y129" s="87"/>
      <c r="Z129" s="87"/>
      <c r="AA129" s="87"/>
      <c r="AB129" s="87"/>
      <c r="AC129" s="87"/>
      <c r="AD129" s="87"/>
      <c r="AE129" s="87"/>
      <c r="AF129" s="87"/>
      <c r="AG129" s="194"/>
      <c r="AH129" s="88">
        <f t="shared" si="64"/>
        <v>0</v>
      </c>
      <c r="AI129" s="89" t="str" cm="1">
        <f t="array" aca="1" ref="AI129" ca="1">IFERROR(IF($AJ$4="N",SSUM(AD129:AF129)/3,SUM(AE129:AG129)/3),"")</f>
        <v/>
      </c>
      <c r="AJ129" s="90">
        <f t="shared" si="65"/>
        <v>0</v>
      </c>
      <c r="AK129" s="91" t="str">
        <f t="shared" si="72"/>
        <v/>
      </c>
      <c r="AL129" s="92" t="str">
        <f t="shared" si="73"/>
        <v/>
      </c>
      <c r="AM129" s="92" t="str">
        <f t="shared" si="74"/>
        <v/>
      </c>
      <c r="AN129" s="92" t="str">
        <f t="shared" si="75"/>
        <v/>
      </c>
      <c r="AO129" s="92" t="str">
        <f t="shared" si="76"/>
        <v/>
      </c>
      <c r="AP129" s="92" t="str">
        <f t="shared" si="77"/>
        <v/>
      </c>
      <c r="AQ129" s="92" t="str">
        <f t="shared" si="78"/>
        <v/>
      </c>
      <c r="AR129" s="92" t="str">
        <f t="shared" si="79"/>
        <v/>
      </c>
      <c r="AS129" s="92" t="str">
        <f t="shared" si="80"/>
        <v/>
      </c>
      <c r="AT129" s="217" t="str">
        <f t="shared" si="81"/>
        <v/>
      </c>
      <c r="AU129" s="93" t="str">
        <f t="shared" si="66"/>
        <v/>
      </c>
      <c r="AV129" s="94" t="str">
        <f t="shared" si="67"/>
        <v/>
      </c>
      <c r="AW129" s="95" t="str">
        <f t="shared" si="68"/>
        <v/>
      </c>
      <c r="AX129" s="248" t="s">
        <v>422</v>
      </c>
      <c r="AY129" s="229" t="s">
        <v>433</v>
      </c>
      <c r="AZ129" s="249">
        <v>0</v>
      </c>
      <c r="BA129" s="267">
        <f t="shared" si="69"/>
        <v>0</v>
      </c>
      <c r="BB129" s="268">
        <f t="shared" si="84"/>
        <v>0</v>
      </c>
      <c r="BC129" s="268">
        <f t="shared" si="84"/>
        <v>0</v>
      </c>
      <c r="BD129" s="268">
        <f t="shared" si="84"/>
        <v>1</v>
      </c>
      <c r="BE129" s="268">
        <f t="shared" si="84"/>
        <v>2</v>
      </c>
      <c r="BF129" s="268">
        <f t="shared" si="84"/>
        <v>3</v>
      </c>
      <c r="BG129" s="268">
        <f t="shared" si="84"/>
        <v>4</v>
      </c>
      <c r="BH129" s="269">
        <f t="shared" si="84"/>
        <v>5</v>
      </c>
      <c r="BI129" s="256">
        <f>IF($AY129=Lookup!$A$2,$AZ129*ROUNDUP(BA129/10,0)+1,
IF($AY129=Lookup!$A$3,($AZ129+1)^AZ129,
IF($AY129=Lookup!$A$4,BA129*$AZ129+1,"Error")))</f>
        <v>1</v>
      </c>
      <c r="BJ129" s="229">
        <f>IF($AY129=Lookup!$A$2,$AZ129*ROUNDUP(BB129/10,0)+1,
IF($AY129=Lookup!$A$3,($AZ129+1)^BA129,
IF($AY129=Lookup!$A$4,BB129*$AZ129+1,"Error")))</f>
        <v>1</v>
      </c>
      <c r="BK129" s="229">
        <f>IF($AY129=Lookup!$A$2,$AZ129*ROUNDUP(BC129/10,0)+1,
IF($AY129=Lookup!$A$3,($AZ129+1)^BB129,
IF($AY129=Lookup!$A$4,BC129*$AZ129+1,"Error")))</f>
        <v>1</v>
      </c>
      <c r="BL129" s="229">
        <f>IF($AY129=Lookup!$A$2,$AZ129*ROUNDUP(BD129/10,0)+1,
IF($AY129=Lookup!$A$3,($AZ129+1)^BC129,
IF($AY129=Lookup!$A$4,BD129*$AZ129+1,"Error")))</f>
        <v>1</v>
      </c>
      <c r="BM129" s="229">
        <f>IF($AY129=Lookup!$A$2,$AZ129*ROUNDUP(BE129/10,0)+1,
IF($AY129=Lookup!$A$3,($AZ129+1)^BD129,
IF($AY129=Lookup!$A$4,BE129*$AZ129+1,"Error")))</f>
        <v>1</v>
      </c>
      <c r="BN129" s="229">
        <f>IF($AY129=Lookup!$A$2,$AZ129*ROUNDUP(BF129/10,0)+1,
IF($AY129=Lookup!$A$3,($AZ129+1)^BE129,
IF($AY129=Lookup!$A$4,BF129*$AZ129+1,"Error")))</f>
        <v>1</v>
      </c>
      <c r="BO129" s="229">
        <f>IF($AY129=Lookup!$A$2,$AZ129*ROUNDUP(BG129/10,0)+1,
IF($AY129=Lookup!$A$3,($AZ129+1)^BF129,
IF($AY129=Lookup!$A$4,BG129*$AZ129+1,"Error")))</f>
        <v>1</v>
      </c>
      <c r="BP129" s="249">
        <f>IF($AY129=Lookup!$A$2,$AZ129*ROUNDUP(BH129/10,0)+1,
IF($AY129=Lookup!$A$3,($AZ129+1)^BG129,
IF($AY129=Lookup!$A$4,BH129*$AZ129+1,"Error")))</f>
        <v>1</v>
      </c>
      <c r="BQ129" s="320"/>
      <c r="BR129" s="321"/>
      <c r="BS129" s="321"/>
      <c r="BT129" s="321"/>
      <c r="BU129" s="321"/>
      <c r="BV129" s="321"/>
      <c r="BW129" s="321"/>
      <c r="BX129" s="277"/>
      <c r="BY129" s="382" t="s">
        <v>292</v>
      </c>
      <c r="BZ129" s="383">
        <f>HLOOKUP($BY129,$AH$6:$AJ$132,ROWS(BZ$6:BZ129),0)</f>
        <v>0</v>
      </c>
      <c r="CA129" s="234">
        <f t="shared" si="86"/>
        <v>0</v>
      </c>
      <c r="CB129" s="96">
        <f t="shared" si="86"/>
        <v>0</v>
      </c>
      <c r="CC129" s="96">
        <f t="shared" si="86"/>
        <v>0</v>
      </c>
      <c r="CD129" s="96">
        <f t="shared" si="85"/>
        <v>0</v>
      </c>
      <c r="CE129" s="96">
        <f t="shared" si="85"/>
        <v>0</v>
      </c>
      <c r="CF129" s="96">
        <f t="shared" si="85"/>
        <v>0</v>
      </c>
      <c r="CG129" s="96">
        <f t="shared" si="85"/>
        <v>0</v>
      </c>
      <c r="CH129" s="286">
        <f t="shared" si="83"/>
        <v>0</v>
      </c>
      <c r="CI129" s="305" t="s">
        <v>293</v>
      </c>
      <c r="CJ129" s="315">
        <v>0.05</v>
      </c>
      <c r="CK129" s="306"/>
      <c r="CL129" s="307" t="str">
        <f>IF($CK129&lt;&gt;"",$CK129,HLOOKUP($CI129,$AU$6:$AW$132,ROWS(CL$6:CL129),0))</f>
        <v/>
      </c>
      <c r="CM129" s="97"/>
      <c r="CN129" s="97"/>
      <c r="CO129" s="97"/>
      <c r="CP129" s="97"/>
      <c r="CQ129" s="97"/>
      <c r="CR129" s="97"/>
      <c r="CS129" s="97"/>
      <c r="CT129" s="98"/>
      <c r="CU129" s="392"/>
    </row>
    <row r="130" spans="1:99" x14ac:dyDescent="0.25">
      <c r="A130" s="81" t="s">
        <v>258</v>
      </c>
      <c r="B130" s="82" t="s">
        <v>263</v>
      </c>
      <c r="C130" s="83" t="s">
        <v>403</v>
      </c>
      <c r="D130" s="84"/>
      <c r="E130" s="85"/>
      <c r="F130" s="85"/>
      <c r="G130" s="85"/>
      <c r="H130" s="85"/>
      <c r="I130" s="85"/>
      <c r="J130" s="85"/>
      <c r="K130" s="85"/>
      <c r="L130" s="85"/>
      <c r="M130" s="201"/>
      <c r="N130" s="560">
        <f t="shared" si="63"/>
        <v>0</v>
      </c>
      <c r="O130" s="561">
        <f t="shared" si="43"/>
        <v>0</v>
      </c>
      <c r="P130" s="561">
        <f t="shared" si="44"/>
        <v>0</v>
      </c>
      <c r="Q130" s="561">
        <f t="shared" si="45"/>
        <v>0</v>
      </c>
      <c r="R130" s="561">
        <f t="shared" si="46"/>
        <v>0</v>
      </c>
      <c r="S130" s="561">
        <f t="shared" si="47"/>
        <v>0</v>
      </c>
      <c r="T130" s="561">
        <f t="shared" si="48"/>
        <v>0</v>
      </c>
      <c r="U130" s="561">
        <f t="shared" si="49"/>
        <v>0</v>
      </c>
      <c r="V130" s="561">
        <f t="shared" si="50"/>
        <v>0</v>
      </c>
      <c r="W130" s="562">
        <f t="shared" si="51"/>
        <v>0</v>
      </c>
      <c r="X130" s="86"/>
      <c r="Y130" s="87"/>
      <c r="Z130" s="87"/>
      <c r="AA130" s="87"/>
      <c r="AB130" s="87"/>
      <c r="AC130" s="87"/>
      <c r="AD130" s="87"/>
      <c r="AE130" s="87"/>
      <c r="AF130" s="87"/>
      <c r="AG130" s="194"/>
      <c r="AH130" s="88">
        <f t="shared" si="64"/>
        <v>0</v>
      </c>
      <c r="AI130" s="89" t="str" cm="1">
        <f t="array" aca="1" ref="AI130" ca="1">IFERROR(IF($AJ$4="N",SSUM(AD130:AF130)/3,SUM(AE130:AG130)/3),"")</f>
        <v/>
      </c>
      <c r="AJ130" s="90">
        <f t="shared" si="65"/>
        <v>0</v>
      </c>
      <c r="AK130" s="91" t="str">
        <f t="shared" si="72"/>
        <v/>
      </c>
      <c r="AL130" s="92" t="str">
        <f t="shared" si="73"/>
        <v/>
      </c>
      <c r="AM130" s="92" t="str">
        <f t="shared" si="74"/>
        <v/>
      </c>
      <c r="AN130" s="92" t="str">
        <f t="shared" si="75"/>
        <v/>
      </c>
      <c r="AO130" s="92" t="str">
        <f t="shared" si="76"/>
        <v/>
      </c>
      <c r="AP130" s="92" t="str">
        <f t="shared" si="77"/>
        <v/>
      </c>
      <c r="AQ130" s="92" t="str">
        <f t="shared" si="78"/>
        <v/>
      </c>
      <c r="AR130" s="92" t="str">
        <f t="shared" si="79"/>
        <v/>
      </c>
      <c r="AS130" s="92" t="str">
        <f t="shared" si="80"/>
        <v/>
      </c>
      <c r="AT130" s="217" t="str">
        <f t="shared" si="81"/>
        <v/>
      </c>
      <c r="AU130" s="93" t="str">
        <f t="shared" si="66"/>
        <v/>
      </c>
      <c r="AV130" s="94" t="str">
        <f t="shared" si="67"/>
        <v/>
      </c>
      <c r="AW130" s="95" t="str">
        <f t="shared" si="68"/>
        <v/>
      </c>
      <c r="AX130" s="248" t="s">
        <v>422</v>
      </c>
      <c r="AY130" s="229" t="s">
        <v>433</v>
      </c>
      <c r="AZ130" s="249">
        <v>0</v>
      </c>
      <c r="BA130" s="267">
        <f t="shared" si="69"/>
        <v>0</v>
      </c>
      <c r="BB130" s="268">
        <f t="shared" si="84"/>
        <v>0</v>
      </c>
      <c r="BC130" s="268">
        <f t="shared" si="84"/>
        <v>0</v>
      </c>
      <c r="BD130" s="268">
        <f t="shared" si="84"/>
        <v>1</v>
      </c>
      <c r="BE130" s="268">
        <f t="shared" si="84"/>
        <v>2</v>
      </c>
      <c r="BF130" s="268">
        <f t="shared" si="84"/>
        <v>3</v>
      </c>
      <c r="BG130" s="268">
        <f t="shared" si="84"/>
        <v>4</v>
      </c>
      <c r="BH130" s="269">
        <f t="shared" si="84"/>
        <v>5</v>
      </c>
      <c r="BI130" s="256">
        <f>IF($AY130=Lookup!$A$2,$AZ130*ROUNDUP(BA130/10,0)+1,
IF($AY130=Lookup!$A$3,($AZ130+1)^AZ130,
IF($AY130=Lookup!$A$4,BA130*$AZ130+1,"Error")))</f>
        <v>1</v>
      </c>
      <c r="BJ130" s="229">
        <f>IF($AY130=Lookup!$A$2,$AZ130*ROUNDUP(BB130/10,0)+1,
IF($AY130=Lookup!$A$3,($AZ130+1)^BA130,
IF($AY130=Lookup!$A$4,BB130*$AZ130+1,"Error")))</f>
        <v>1</v>
      </c>
      <c r="BK130" s="229">
        <f>IF($AY130=Lookup!$A$2,$AZ130*ROUNDUP(BC130/10,0)+1,
IF($AY130=Lookup!$A$3,($AZ130+1)^BB130,
IF($AY130=Lookup!$A$4,BC130*$AZ130+1,"Error")))</f>
        <v>1</v>
      </c>
      <c r="BL130" s="229">
        <f>IF($AY130=Lookup!$A$2,$AZ130*ROUNDUP(BD130/10,0)+1,
IF($AY130=Lookup!$A$3,($AZ130+1)^BC130,
IF($AY130=Lookup!$A$4,BD130*$AZ130+1,"Error")))</f>
        <v>1</v>
      </c>
      <c r="BM130" s="229">
        <f>IF($AY130=Lookup!$A$2,$AZ130*ROUNDUP(BE130/10,0)+1,
IF($AY130=Lookup!$A$3,($AZ130+1)^BD130,
IF($AY130=Lookup!$A$4,BE130*$AZ130+1,"Error")))</f>
        <v>1</v>
      </c>
      <c r="BN130" s="229">
        <f>IF($AY130=Lookup!$A$2,$AZ130*ROUNDUP(BF130/10,0)+1,
IF($AY130=Lookup!$A$3,($AZ130+1)^BE130,
IF($AY130=Lookup!$A$4,BF130*$AZ130+1,"Error")))</f>
        <v>1</v>
      </c>
      <c r="BO130" s="229">
        <f>IF($AY130=Lookup!$A$2,$AZ130*ROUNDUP(BG130/10,0)+1,
IF($AY130=Lookup!$A$3,($AZ130+1)^BF130,
IF($AY130=Lookup!$A$4,BG130*$AZ130+1,"Error")))</f>
        <v>1</v>
      </c>
      <c r="BP130" s="249">
        <f>IF($AY130=Lookup!$A$2,$AZ130*ROUNDUP(BH130/10,0)+1,
IF($AY130=Lookup!$A$3,($AZ130+1)^BG130,
IF($AY130=Lookup!$A$4,BH130*$AZ130+1,"Error")))</f>
        <v>1</v>
      </c>
      <c r="BQ130" s="320"/>
      <c r="BR130" s="321"/>
      <c r="BS130" s="321"/>
      <c r="BT130" s="321"/>
      <c r="BU130" s="321"/>
      <c r="BV130" s="321"/>
      <c r="BW130" s="321"/>
      <c r="BX130" s="277"/>
      <c r="BY130" s="382" t="s">
        <v>292</v>
      </c>
      <c r="BZ130" s="383">
        <f>HLOOKUP($BY130,$AH$6:$AJ$132,ROWS(BZ$6:BZ130),0)</f>
        <v>0</v>
      </c>
      <c r="CA130" s="234">
        <f t="shared" si="86"/>
        <v>0</v>
      </c>
      <c r="CB130" s="96">
        <f t="shared" si="86"/>
        <v>0</v>
      </c>
      <c r="CC130" s="96">
        <f t="shared" si="86"/>
        <v>0</v>
      </c>
      <c r="CD130" s="96">
        <f t="shared" si="85"/>
        <v>0</v>
      </c>
      <c r="CE130" s="96">
        <f t="shared" si="85"/>
        <v>0</v>
      </c>
      <c r="CF130" s="96">
        <f t="shared" si="85"/>
        <v>0</v>
      </c>
      <c r="CG130" s="96">
        <f t="shared" si="85"/>
        <v>0</v>
      </c>
      <c r="CH130" s="286">
        <f t="shared" si="83"/>
        <v>0</v>
      </c>
      <c r="CI130" s="305" t="s">
        <v>293</v>
      </c>
      <c r="CJ130" s="315">
        <v>0.05</v>
      </c>
      <c r="CK130" s="306"/>
      <c r="CL130" s="307" t="str">
        <f>IF($CK130&lt;&gt;"",$CK130,HLOOKUP($CI130,$AU$6:$AW$132,ROWS(CL$6:CL130),0))</f>
        <v/>
      </c>
      <c r="CM130" s="97"/>
      <c r="CN130" s="97"/>
      <c r="CO130" s="97"/>
      <c r="CP130" s="97"/>
      <c r="CQ130" s="97"/>
      <c r="CR130" s="97"/>
      <c r="CS130" s="97"/>
      <c r="CT130" s="98"/>
      <c r="CU130" s="392"/>
    </row>
    <row r="131" spans="1:99" x14ac:dyDescent="0.25">
      <c r="A131" s="81" t="s">
        <v>258</v>
      </c>
      <c r="B131" s="82" t="s">
        <v>404</v>
      </c>
      <c r="C131" s="83" t="s">
        <v>405</v>
      </c>
      <c r="D131" s="84"/>
      <c r="E131" s="85"/>
      <c r="F131" s="85"/>
      <c r="G131" s="85"/>
      <c r="H131" s="85"/>
      <c r="I131" s="85"/>
      <c r="J131" s="85"/>
      <c r="K131" s="85"/>
      <c r="L131" s="85"/>
      <c r="M131" s="201"/>
      <c r="N131" s="560">
        <f t="shared" si="63"/>
        <v>0</v>
      </c>
      <c r="O131" s="561">
        <f t="shared" si="43"/>
        <v>0</v>
      </c>
      <c r="P131" s="561">
        <f t="shared" si="44"/>
        <v>0</v>
      </c>
      <c r="Q131" s="561">
        <f t="shared" si="45"/>
        <v>0</v>
      </c>
      <c r="R131" s="561">
        <f t="shared" si="46"/>
        <v>0</v>
      </c>
      <c r="S131" s="561">
        <f t="shared" si="47"/>
        <v>0</v>
      </c>
      <c r="T131" s="561">
        <f t="shared" si="48"/>
        <v>0</v>
      </c>
      <c r="U131" s="561">
        <f t="shared" si="49"/>
        <v>0</v>
      </c>
      <c r="V131" s="561">
        <f t="shared" si="50"/>
        <v>0</v>
      </c>
      <c r="W131" s="562">
        <f t="shared" si="51"/>
        <v>0</v>
      </c>
      <c r="X131" s="86"/>
      <c r="Y131" s="87"/>
      <c r="Z131" s="87"/>
      <c r="AA131" s="87"/>
      <c r="AB131" s="87"/>
      <c r="AC131" s="87"/>
      <c r="AD131" s="87"/>
      <c r="AE131" s="87"/>
      <c r="AF131" s="87"/>
      <c r="AG131" s="194"/>
      <c r="AH131" s="88">
        <f t="shared" si="64"/>
        <v>0</v>
      </c>
      <c r="AI131" s="89" t="str" cm="1">
        <f t="array" aca="1" ref="AI131" ca="1">IFERROR(IF($AJ$4="N",SSUM(AD131:AF131)/3,SUM(AE131:AG131)/3),"")</f>
        <v/>
      </c>
      <c r="AJ131" s="90">
        <f t="shared" si="65"/>
        <v>0</v>
      </c>
      <c r="AK131" s="91" t="str">
        <f t="shared" si="72"/>
        <v/>
      </c>
      <c r="AL131" s="92" t="str">
        <f t="shared" si="73"/>
        <v/>
      </c>
      <c r="AM131" s="92" t="str">
        <f t="shared" si="74"/>
        <v/>
      </c>
      <c r="AN131" s="92" t="str">
        <f t="shared" si="75"/>
        <v/>
      </c>
      <c r="AO131" s="92" t="str">
        <f t="shared" si="76"/>
        <v/>
      </c>
      <c r="AP131" s="92" t="str">
        <f t="shared" si="77"/>
        <v/>
      </c>
      <c r="AQ131" s="92" t="str">
        <f t="shared" si="78"/>
        <v/>
      </c>
      <c r="AR131" s="92" t="str">
        <f t="shared" si="79"/>
        <v/>
      </c>
      <c r="AS131" s="92" t="str">
        <f t="shared" si="80"/>
        <v/>
      </c>
      <c r="AT131" s="217" t="str">
        <f t="shared" si="81"/>
        <v/>
      </c>
      <c r="AU131" s="93" t="str">
        <f t="shared" si="66"/>
        <v/>
      </c>
      <c r="AV131" s="94" t="str">
        <f t="shared" si="67"/>
        <v/>
      </c>
      <c r="AW131" s="95" t="str">
        <f t="shared" si="68"/>
        <v/>
      </c>
      <c r="AX131" s="248" t="s">
        <v>422</v>
      </c>
      <c r="AY131" s="229" t="s">
        <v>433</v>
      </c>
      <c r="AZ131" s="249">
        <v>0</v>
      </c>
      <c r="BA131" s="267">
        <f t="shared" si="69"/>
        <v>0</v>
      </c>
      <c r="BB131" s="268">
        <f t="shared" si="84"/>
        <v>0</v>
      </c>
      <c r="BC131" s="268">
        <f t="shared" si="84"/>
        <v>0</v>
      </c>
      <c r="BD131" s="268">
        <f t="shared" si="84"/>
        <v>1</v>
      </c>
      <c r="BE131" s="268">
        <f t="shared" si="84"/>
        <v>2</v>
      </c>
      <c r="BF131" s="268">
        <f t="shared" si="84"/>
        <v>3</v>
      </c>
      <c r="BG131" s="268">
        <f t="shared" si="84"/>
        <v>4</v>
      </c>
      <c r="BH131" s="269">
        <f t="shared" si="84"/>
        <v>5</v>
      </c>
      <c r="BI131" s="256">
        <f>IF($AY131=Lookup!$A$2,$AZ131*ROUNDUP(BA131/10,0)+1,
IF($AY131=Lookup!$A$3,($AZ131+1)^AZ131,
IF($AY131=Lookup!$A$4,BA131*$AZ131+1,"Error")))</f>
        <v>1</v>
      </c>
      <c r="BJ131" s="229">
        <f>IF($AY131=Lookup!$A$2,$AZ131*ROUNDUP(BB131/10,0)+1,
IF($AY131=Lookup!$A$3,($AZ131+1)^BA131,
IF($AY131=Lookup!$A$4,BB131*$AZ131+1,"Error")))</f>
        <v>1</v>
      </c>
      <c r="BK131" s="229">
        <f>IF($AY131=Lookup!$A$2,$AZ131*ROUNDUP(BC131/10,0)+1,
IF($AY131=Lookup!$A$3,($AZ131+1)^BB131,
IF($AY131=Lookup!$A$4,BC131*$AZ131+1,"Error")))</f>
        <v>1</v>
      </c>
      <c r="BL131" s="229">
        <f>IF($AY131=Lookup!$A$2,$AZ131*ROUNDUP(BD131/10,0)+1,
IF($AY131=Lookup!$A$3,($AZ131+1)^BC131,
IF($AY131=Lookup!$A$4,BD131*$AZ131+1,"Error")))</f>
        <v>1</v>
      </c>
      <c r="BM131" s="229">
        <f>IF($AY131=Lookup!$A$2,$AZ131*ROUNDUP(BE131/10,0)+1,
IF($AY131=Lookup!$A$3,($AZ131+1)^BD131,
IF($AY131=Lookup!$A$4,BE131*$AZ131+1,"Error")))</f>
        <v>1</v>
      </c>
      <c r="BN131" s="229">
        <f>IF($AY131=Lookup!$A$2,$AZ131*ROUNDUP(BF131/10,0)+1,
IF($AY131=Lookup!$A$3,($AZ131+1)^BE131,
IF($AY131=Lookup!$A$4,BF131*$AZ131+1,"Error")))</f>
        <v>1</v>
      </c>
      <c r="BO131" s="229">
        <f>IF($AY131=Lookup!$A$2,$AZ131*ROUNDUP(BG131/10,0)+1,
IF($AY131=Lookup!$A$3,($AZ131+1)^BF131,
IF($AY131=Lookup!$A$4,BG131*$AZ131+1,"Error")))</f>
        <v>1</v>
      </c>
      <c r="BP131" s="249">
        <f>IF($AY131=Lookup!$A$2,$AZ131*ROUNDUP(BH131/10,0)+1,
IF($AY131=Lookup!$A$3,($AZ131+1)^BG131,
IF($AY131=Lookup!$A$4,BH131*$AZ131+1,"Error")))</f>
        <v>1</v>
      </c>
      <c r="BQ131" s="320"/>
      <c r="BR131" s="321"/>
      <c r="BS131" s="321"/>
      <c r="BT131" s="321"/>
      <c r="BU131" s="321"/>
      <c r="BV131" s="321"/>
      <c r="BW131" s="321"/>
      <c r="BX131" s="277"/>
      <c r="BY131" s="382" t="s">
        <v>292</v>
      </c>
      <c r="BZ131" s="383">
        <f>HLOOKUP($BY131,$AH$6:$AJ$132,ROWS(BZ$6:BZ131),0)</f>
        <v>0</v>
      </c>
      <c r="CA131" s="234">
        <f t="shared" si="86"/>
        <v>0</v>
      </c>
      <c r="CB131" s="96">
        <f t="shared" si="86"/>
        <v>0</v>
      </c>
      <c r="CC131" s="96">
        <f t="shared" si="86"/>
        <v>0</v>
      </c>
      <c r="CD131" s="96">
        <f t="shared" si="85"/>
        <v>0</v>
      </c>
      <c r="CE131" s="96">
        <f t="shared" si="85"/>
        <v>0</v>
      </c>
      <c r="CF131" s="96">
        <f t="shared" si="85"/>
        <v>0</v>
      </c>
      <c r="CG131" s="96">
        <f t="shared" si="85"/>
        <v>0</v>
      </c>
      <c r="CH131" s="286">
        <f t="shared" si="83"/>
        <v>0</v>
      </c>
      <c r="CI131" s="305" t="s">
        <v>293</v>
      </c>
      <c r="CJ131" s="315">
        <v>0.05</v>
      </c>
      <c r="CK131" s="306"/>
      <c r="CL131" s="307" t="str">
        <f>IF($CK131&lt;&gt;"",$CK131,HLOOKUP($CI131,$AU$6:$AW$132,ROWS(CL$6:CL131),0))</f>
        <v/>
      </c>
      <c r="CM131" s="97"/>
      <c r="CN131" s="97"/>
      <c r="CO131" s="97"/>
      <c r="CP131" s="97"/>
      <c r="CQ131" s="97"/>
      <c r="CR131" s="97"/>
      <c r="CS131" s="97"/>
      <c r="CT131" s="98"/>
      <c r="CU131" s="392"/>
    </row>
    <row r="132" spans="1:99" ht="15.75" thickBot="1" x14ac:dyDescent="0.3">
      <c r="A132" s="100" t="s">
        <v>258</v>
      </c>
      <c r="B132" s="101" t="s">
        <v>265</v>
      </c>
      <c r="C132" s="159" t="s">
        <v>406</v>
      </c>
      <c r="D132" s="103"/>
      <c r="E132" s="104"/>
      <c r="F132" s="104"/>
      <c r="G132" s="104"/>
      <c r="H132" s="104"/>
      <c r="I132" s="104"/>
      <c r="J132" s="104"/>
      <c r="K132" s="104"/>
      <c r="L132" s="104"/>
      <c r="M132" s="202"/>
      <c r="N132" s="563">
        <f t="shared" si="63"/>
        <v>0</v>
      </c>
      <c r="O132" s="564">
        <f t="shared" si="43"/>
        <v>0</v>
      </c>
      <c r="P132" s="564">
        <f t="shared" si="44"/>
        <v>0</v>
      </c>
      <c r="Q132" s="564">
        <f t="shared" si="45"/>
        <v>0</v>
      </c>
      <c r="R132" s="564">
        <f t="shared" si="46"/>
        <v>0</v>
      </c>
      <c r="S132" s="564">
        <f t="shared" si="47"/>
        <v>0</v>
      </c>
      <c r="T132" s="564">
        <f t="shared" si="48"/>
        <v>0</v>
      </c>
      <c r="U132" s="564">
        <f t="shared" si="49"/>
        <v>0</v>
      </c>
      <c r="V132" s="564">
        <f t="shared" si="50"/>
        <v>0</v>
      </c>
      <c r="W132" s="565">
        <f t="shared" si="51"/>
        <v>0</v>
      </c>
      <c r="X132" s="105"/>
      <c r="Y132" s="106"/>
      <c r="Z132" s="106"/>
      <c r="AA132" s="106"/>
      <c r="AB132" s="106"/>
      <c r="AC132" s="106"/>
      <c r="AD132" s="106"/>
      <c r="AE132" s="106"/>
      <c r="AF132" s="106"/>
      <c r="AG132" s="195"/>
      <c r="AH132" s="107">
        <f t="shared" si="64"/>
        <v>0</v>
      </c>
      <c r="AI132" s="108" t="str" cm="1">
        <f t="array" aca="1" ref="AI132" ca="1">IFERROR(IF($AJ$4="N",SSUM(AD132:AF132)/3,SUM(AE132:AG132)/3),"")</f>
        <v/>
      </c>
      <c r="AJ132" s="109">
        <f t="shared" si="65"/>
        <v>0</v>
      </c>
      <c r="AK132" s="110" t="str">
        <f t="shared" si="72"/>
        <v/>
      </c>
      <c r="AL132" s="111" t="str">
        <f t="shared" si="73"/>
        <v/>
      </c>
      <c r="AM132" s="111" t="str">
        <f t="shared" si="74"/>
        <v/>
      </c>
      <c r="AN132" s="111" t="str">
        <f t="shared" si="75"/>
        <v/>
      </c>
      <c r="AO132" s="111" t="str">
        <f t="shared" si="76"/>
        <v/>
      </c>
      <c r="AP132" s="111" t="str">
        <f t="shared" si="77"/>
        <v/>
      </c>
      <c r="AQ132" s="111" t="str">
        <f t="shared" si="78"/>
        <v/>
      </c>
      <c r="AR132" s="111" t="str">
        <f t="shared" si="79"/>
        <v/>
      </c>
      <c r="AS132" s="111" t="str">
        <f t="shared" si="80"/>
        <v/>
      </c>
      <c r="AT132" s="218" t="str">
        <f t="shared" si="81"/>
        <v/>
      </c>
      <c r="AU132" s="112" t="str">
        <f t="shared" si="66"/>
        <v/>
      </c>
      <c r="AV132" s="113" t="str">
        <f t="shared" si="67"/>
        <v/>
      </c>
      <c r="AW132" s="114" t="str">
        <f t="shared" si="68"/>
        <v/>
      </c>
      <c r="AX132" s="250" t="s">
        <v>422</v>
      </c>
      <c r="AY132" s="230" t="s">
        <v>433</v>
      </c>
      <c r="AZ132" s="251">
        <v>0</v>
      </c>
      <c r="BA132" s="270">
        <f t="shared" si="69"/>
        <v>0</v>
      </c>
      <c r="BB132" s="271">
        <f t="shared" si="84"/>
        <v>0</v>
      </c>
      <c r="BC132" s="271">
        <f t="shared" si="84"/>
        <v>0</v>
      </c>
      <c r="BD132" s="271">
        <f t="shared" si="84"/>
        <v>1</v>
      </c>
      <c r="BE132" s="271">
        <f t="shared" si="84"/>
        <v>2</v>
      </c>
      <c r="BF132" s="271">
        <f t="shared" si="84"/>
        <v>3</v>
      </c>
      <c r="BG132" s="271">
        <f t="shared" si="84"/>
        <v>4</v>
      </c>
      <c r="BH132" s="272">
        <f t="shared" si="84"/>
        <v>5</v>
      </c>
      <c r="BI132" s="257">
        <f>IF($AY132=Lookup!$A$2,$AZ132*ROUNDUP(BA132/10,0)+1,
IF($AY132=Lookup!$A$3,($AZ132+1)^AZ132,
IF($AY132=Lookup!$A$4,BA132*$AZ132+1,"Error")))</f>
        <v>1</v>
      </c>
      <c r="BJ132" s="230">
        <f>IF($AY132=Lookup!$A$2,$AZ132*ROUNDUP(BB132/10,0)+1,
IF($AY132=Lookup!$A$3,($AZ132+1)^BA132,
IF($AY132=Lookup!$A$4,BB132*$AZ132+1,"Error")))</f>
        <v>1</v>
      </c>
      <c r="BK132" s="230">
        <f>IF($AY132=Lookup!$A$2,$AZ132*ROUNDUP(BC132/10,0)+1,
IF($AY132=Lookup!$A$3,($AZ132+1)^BB132,
IF($AY132=Lookup!$A$4,BC132*$AZ132+1,"Error")))</f>
        <v>1</v>
      </c>
      <c r="BL132" s="230">
        <f>IF($AY132=Lookup!$A$2,$AZ132*ROUNDUP(BD132/10,0)+1,
IF($AY132=Lookup!$A$3,($AZ132+1)^BC132,
IF($AY132=Lookup!$A$4,BD132*$AZ132+1,"Error")))</f>
        <v>1</v>
      </c>
      <c r="BM132" s="230">
        <f>IF($AY132=Lookup!$A$2,$AZ132*ROUNDUP(BE132/10,0)+1,
IF($AY132=Lookup!$A$3,($AZ132+1)^BD132,
IF($AY132=Lookup!$A$4,BE132*$AZ132+1,"Error")))</f>
        <v>1</v>
      </c>
      <c r="BN132" s="230">
        <f>IF($AY132=Lookup!$A$2,$AZ132*ROUNDUP(BF132/10,0)+1,
IF($AY132=Lookup!$A$3,($AZ132+1)^BE132,
IF($AY132=Lookup!$A$4,BF132*$AZ132+1,"Error")))</f>
        <v>1</v>
      </c>
      <c r="BO132" s="230">
        <f>IF($AY132=Lookup!$A$2,$AZ132*ROUNDUP(BG132/10,0)+1,
IF($AY132=Lookup!$A$3,($AZ132+1)^BF132,
IF($AY132=Lookup!$A$4,BG132*$AZ132+1,"Error")))</f>
        <v>1</v>
      </c>
      <c r="BP132" s="251">
        <f>IF($AY132=Lookup!$A$2,$AZ132*ROUNDUP(BH132/10,0)+1,
IF($AY132=Lookup!$A$3,($AZ132+1)^BG132,
IF($AY132=Lookup!$A$4,BH132*$AZ132+1,"Error")))</f>
        <v>1</v>
      </c>
      <c r="BQ132" s="322"/>
      <c r="BR132" s="323"/>
      <c r="BS132" s="323"/>
      <c r="BT132" s="323"/>
      <c r="BU132" s="323"/>
      <c r="BV132" s="323"/>
      <c r="BW132" s="323"/>
      <c r="BX132" s="278"/>
      <c r="BY132" s="384" t="s">
        <v>292</v>
      </c>
      <c r="BZ132" s="385">
        <f>HLOOKUP($BY132,$AH$6:$AJ$132,ROWS(BZ$6:BZ132),0)</f>
        <v>0</v>
      </c>
      <c r="CA132" s="235">
        <f t="shared" si="86"/>
        <v>0</v>
      </c>
      <c r="CB132" s="115">
        <f t="shared" si="86"/>
        <v>0</v>
      </c>
      <c r="CC132" s="115">
        <f t="shared" si="86"/>
        <v>0</v>
      </c>
      <c r="CD132" s="115">
        <f t="shared" si="85"/>
        <v>0</v>
      </c>
      <c r="CE132" s="115">
        <f t="shared" si="85"/>
        <v>0</v>
      </c>
      <c r="CF132" s="115">
        <f t="shared" si="85"/>
        <v>0</v>
      </c>
      <c r="CG132" s="115">
        <f t="shared" si="85"/>
        <v>0</v>
      </c>
      <c r="CH132" s="287">
        <f t="shared" si="83"/>
        <v>0</v>
      </c>
      <c r="CI132" s="308" t="s">
        <v>293</v>
      </c>
      <c r="CJ132" s="316">
        <v>0.05</v>
      </c>
      <c r="CK132" s="309"/>
      <c r="CL132" s="310" t="str">
        <f>IF($CK132&lt;&gt;"",$CK132,HLOOKUP($CI132,$AU$6:$AW$132,ROWS(CL$6:CL132),0))</f>
        <v/>
      </c>
      <c r="CM132" s="117"/>
      <c r="CN132" s="117"/>
      <c r="CO132" s="117"/>
      <c r="CP132" s="117"/>
      <c r="CQ132" s="117"/>
      <c r="CR132" s="117"/>
      <c r="CS132" s="117"/>
      <c r="CT132" s="118"/>
      <c r="CU132" s="393"/>
    </row>
    <row r="133" spans="1:99" ht="15.75" thickBot="1" x14ac:dyDescent="0.3">
      <c r="A133" s="19"/>
      <c r="B133" s="19"/>
      <c r="C133" s="160" t="s">
        <v>407</v>
      </c>
      <c r="D133" s="161">
        <f>SUM(D7:D132)</f>
        <v>0</v>
      </c>
      <c r="E133" s="162">
        <f t="shared" ref="E133:W133" si="87">SUM(E7:E132)</f>
        <v>0</v>
      </c>
      <c r="F133" s="162">
        <f t="shared" si="87"/>
        <v>0</v>
      </c>
      <c r="G133" s="162">
        <f t="shared" si="87"/>
        <v>0</v>
      </c>
      <c r="H133" s="162">
        <f t="shared" si="87"/>
        <v>0</v>
      </c>
      <c r="I133" s="162">
        <f t="shared" si="87"/>
        <v>0</v>
      </c>
      <c r="J133" s="162">
        <f t="shared" si="87"/>
        <v>0</v>
      </c>
      <c r="K133" s="162">
        <f t="shared" si="87"/>
        <v>0</v>
      </c>
      <c r="L133" s="162">
        <f t="shared" si="87"/>
        <v>0</v>
      </c>
      <c r="M133" s="204">
        <f t="shared" si="87"/>
        <v>0</v>
      </c>
      <c r="N133" s="569">
        <f t="shared" si="87"/>
        <v>0</v>
      </c>
      <c r="O133" s="570">
        <f t="shared" si="87"/>
        <v>0</v>
      </c>
      <c r="P133" s="570">
        <f t="shared" si="87"/>
        <v>0</v>
      </c>
      <c r="Q133" s="570">
        <f t="shared" si="87"/>
        <v>0</v>
      </c>
      <c r="R133" s="570">
        <f t="shared" si="87"/>
        <v>0</v>
      </c>
      <c r="S133" s="570">
        <f t="shared" si="87"/>
        <v>0</v>
      </c>
      <c r="T133" s="570">
        <f t="shared" si="87"/>
        <v>0</v>
      </c>
      <c r="U133" s="570">
        <f t="shared" si="87"/>
        <v>0</v>
      </c>
      <c r="V133" s="570">
        <f t="shared" si="87"/>
        <v>0</v>
      </c>
      <c r="W133" s="571">
        <f t="shared" si="87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207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282"/>
      <c r="CI133" s="282"/>
      <c r="CJ133" s="282"/>
      <c r="CK133" s="282"/>
      <c r="CL133" s="19"/>
      <c r="CM133" s="206">
        <f t="shared" ref="CM133:CT133" si="88">SUM(CM7:CM132)</f>
        <v>0</v>
      </c>
      <c r="CN133" s="205">
        <f t="shared" si="88"/>
        <v>0</v>
      </c>
      <c r="CO133" s="163">
        <f t="shared" si="88"/>
        <v>0</v>
      </c>
      <c r="CP133" s="163">
        <f t="shared" si="88"/>
        <v>0</v>
      </c>
      <c r="CQ133" s="163">
        <f t="shared" si="88"/>
        <v>0</v>
      </c>
      <c r="CR133" s="163">
        <f t="shared" si="88"/>
        <v>0</v>
      </c>
      <c r="CS133" s="163">
        <f t="shared" si="88"/>
        <v>0</v>
      </c>
      <c r="CT133" s="164">
        <f t="shared" si="88"/>
        <v>0</v>
      </c>
    </row>
    <row r="134" spans="1:99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07"/>
      <c r="N134" s="19"/>
      <c r="O134" s="19"/>
      <c r="P134" s="19"/>
      <c r="Q134" s="19"/>
      <c r="R134" s="19"/>
      <c r="S134" s="19"/>
      <c r="T134" s="19"/>
      <c r="U134" s="19"/>
      <c r="V134" s="19"/>
      <c r="W134" s="207"/>
      <c r="X134" s="19"/>
      <c r="Y134" s="19"/>
      <c r="Z134" s="19"/>
      <c r="AA134" s="19"/>
      <c r="AB134" s="19"/>
      <c r="AC134" s="19"/>
      <c r="AD134" s="19"/>
      <c r="AE134" s="19"/>
      <c r="AF134" s="19"/>
      <c r="AG134" s="207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282"/>
      <c r="CI134" s="282"/>
      <c r="CJ134" s="282"/>
      <c r="CK134" s="282"/>
      <c r="CL134" s="19"/>
      <c r="CM134" s="19"/>
      <c r="CN134" s="19"/>
      <c r="CO134" s="19"/>
      <c r="CP134" s="19"/>
      <c r="CQ134" s="19"/>
      <c r="CR134" s="19"/>
      <c r="CS134" s="19"/>
      <c r="CT134" s="19"/>
    </row>
    <row r="135" spans="1:99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07"/>
      <c r="N135" s="19"/>
      <c r="O135" s="19"/>
      <c r="P135" s="19"/>
      <c r="Q135" s="19"/>
      <c r="R135" s="19"/>
      <c r="S135" s="19"/>
      <c r="T135" s="19"/>
      <c r="U135" s="19"/>
      <c r="V135" s="19"/>
      <c r="W135" s="207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212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65"/>
      <c r="CB135" s="165"/>
      <c r="CC135" s="165"/>
      <c r="CD135" s="165"/>
      <c r="CE135" s="165"/>
      <c r="CF135" s="165"/>
      <c r="CG135" s="165"/>
      <c r="CH135" s="294"/>
      <c r="CI135" s="294"/>
      <c r="CJ135" s="294"/>
      <c r="CK135" s="294"/>
      <c r="CL135" s="19"/>
      <c r="CM135" s="19"/>
      <c r="CN135" s="19"/>
      <c r="CO135" s="19"/>
      <c r="CP135" s="19"/>
      <c r="CQ135" s="19"/>
      <c r="CR135" s="19"/>
      <c r="CS135" s="19"/>
      <c r="CT135" s="19"/>
    </row>
    <row r="136" spans="1:99" x14ac:dyDescent="0.25">
      <c r="A136" s="63" t="s">
        <v>296</v>
      </c>
      <c r="B136" s="166"/>
      <c r="C136" s="64" t="s">
        <v>409</v>
      </c>
      <c r="D136" s="167">
        <f>SUMIF($A$7:$A$132,$A136,D$7:D$132)</f>
        <v>0</v>
      </c>
      <c r="E136" s="168">
        <f t="shared" ref="E136:AD146" si="89">SUMIF($A$7:$A$132,$A136,E$7:E$132)</f>
        <v>0</v>
      </c>
      <c r="F136" s="168">
        <f t="shared" si="89"/>
        <v>0</v>
      </c>
      <c r="G136" s="168">
        <f t="shared" si="89"/>
        <v>0</v>
      </c>
      <c r="H136" s="168">
        <f t="shared" si="89"/>
        <v>0</v>
      </c>
      <c r="I136" s="168">
        <f t="shared" si="89"/>
        <v>0</v>
      </c>
      <c r="J136" s="168">
        <f t="shared" si="89"/>
        <v>0</v>
      </c>
      <c r="K136" s="168">
        <f t="shared" si="89"/>
        <v>0</v>
      </c>
      <c r="L136" s="168">
        <f t="shared" si="89"/>
        <v>0</v>
      </c>
      <c r="M136" s="208">
        <f t="shared" si="89"/>
        <v>0</v>
      </c>
      <c r="N136" s="578">
        <f>SUMIF($A$7:$A$132,$A136,N$7:N$132)</f>
        <v>0</v>
      </c>
      <c r="O136" s="575">
        <f t="shared" si="89"/>
        <v>0</v>
      </c>
      <c r="P136" s="575">
        <f t="shared" si="89"/>
        <v>0</v>
      </c>
      <c r="Q136" s="575">
        <f t="shared" si="89"/>
        <v>0</v>
      </c>
      <c r="R136" s="575">
        <f t="shared" si="89"/>
        <v>0</v>
      </c>
      <c r="S136" s="575">
        <f t="shared" si="89"/>
        <v>0</v>
      </c>
      <c r="T136" s="575">
        <f t="shared" si="89"/>
        <v>0</v>
      </c>
      <c r="U136" s="575">
        <f t="shared" si="89"/>
        <v>0</v>
      </c>
      <c r="V136" s="575">
        <f t="shared" si="89"/>
        <v>0</v>
      </c>
      <c r="W136" s="579">
        <f t="shared" si="89"/>
        <v>0</v>
      </c>
      <c r="X136" s="169">
        <f t="shared" si="89"/>
        <v>0</v>
      </c>
      <c r="Y136" s="170">
        <f t="shared" si="89"/>
        <v>0</v>
      </c>
      <c r="Z136" s="170">
        <f t="shared" si="89"/>
        <v>0</v>
      </c>
      <c r="AA136" s="170">
        <f t="shared" si="89"/>
        <v>0</v>
      </c>
      <c r="AB136" s="170">
        <f t="shared" si="89"/>
        <v>0</v>
      </c>
      <c r="AC136" s="170">
        <f t="shared" si="89"/>
        <v>0</v>
      </c>
      <c r="AD136" s="170">
        <f t="shared" si="89"/>
        <v>0</v>
      </c>
      <c r="AE136" s="170">
        <f t="shared" ref="AE136:AG146" si="90">SUMIF($A$7:$A$132,$A136,AE$7:AE$132)</f>
        <v>0</v>
      </c>
      <c r="AF136" s="170">
        <f t="shared" si="90"/>
        <v>0</v>
      </c>
      <c r="AG136" s="213">
        <f t="shared" si="90"/>
        <v>0</v>
      </c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420">
        <f t="shared" ref="CA136:CH146" si="91">SUMIF($A$7:$A$132,$A136,CA$7:CA$132)</f>
        <v>0</v>
      </c>
      <c r="CB136" s="144">
        <f t="shared" si="91"/>
        <v>0</v>
      </c>
      <c r="CC136" s="144">
        <f t="shared" si="91"/>
        <v>0</v>
      </c>
      <c r="CD136" s="144">
        <f t="shared" si="91"/>
        <v>0</v>
      </c>
      <c r="CE136" s="144">
        <f t="shared" si="91"/>
        <v>0</v>
      </c>
      <c r="CF136" s="144">
        <f t="shared" si="91"/>
        <v>0</v>
      </c>
      <c r="CG136" s="144">
        <f t="shared" si="91"/>
        <v>0</v>
      </c>
      <c r="CH136" s="293">
        <f t="shared" si="91"/>
        <v>0</v>
      </c>
      <c r="CI136" s="294"/>
      <c r="CJ136" s="294"/>
      <c r="CK136" s="294"/>
      <c r="CL136" s="19"/>
      <c r="CM136" s="415">
        <f t="shared" ref="CM136:CT146" si="92">SUMIF($A$7:$A$132,$A136,CM$7:CM$132)</f>
        <v>0</v>
      </c>
      <c r="CN136" s="79">
        <f t="shared" si="92"/>
        <v>0</v>
      </c>
      <c r="CO136" s="79">
        <f t="shared" si="92"/>
        <v>0</v>
      </c>
      <c r="CP136" s="79">
        <f t="shared" si="92"/>
        <v>0</v>
      </c>
      <c r="CQ136" s="79">
        <f t="shared" si="92"/>
        <v>0</v>
      </c>
      <c r="CR136" s="79">
        <f t="shared" si="92"/>
        <v>0</v>
      </c>
      <c r="CS136" s="79">
        <f t="shared" si="92"/>
        <v>0</v>
      </c>
      <c r="CT136" s="80">
        <f t="shared" si="92"/>
        <v>0</v>
      </c>
    </row>
    <row r="137" spans="1:99" x14ac:dyDescent="0.25">
      <c r="A137" s="81" t="s">
        <v>27</v>
      </c>
      <c r="B137" s="171"/>
      <c r="C137" s="82" t="s">
        <v>410</v>
      </c>
      <c r="D137" s="172">
        <f t="shared" ref="D137:D146" si="93">SUMIF($A$7:$A$132,$A137,D$7:D$132)</f>
        <v>0</v>
      </c>
      <c r="E137" s="173">
        <f t="shared" si="89"/>
        <v>0</v>
      </c>
      <c r="F137" s="173">
        <f t="shared" si="89"/>
        <v>0</v>
      </c>
      <c r="G137" s="173">
        <f t="shared" si="89"/>
        <v>0</v>
      </c>
      <c r="H137" s="173">
        <f t="shared" si="89"/>
        <v>0</v>
      </c>
      <c r="I137" s="173">
        <f t="shared" si="89"/>
        <v>0</v>
      </c>
      <c r="J137" s="173">
        <f t="shared" si="89"/>
        <v>0</v>
      </c>
      <c r="K137" s="173">
        <f t="shared" si="89"/>
        <v>0</v>
      </c>
      <c r="L137" s="173">
        <f t="shared" si="89"/>
        <v>0</v>
      </c>
      <c r="M137" s="209">
        <f t="shared" si="89"/>
        <v>0</v>
      </c>
      <c r="N137" s="580">
        <f t="shared" si="89"/>
        <v>0</v>
      </c>
      <c r="O137" s="576">
        <f t="shared" si="89"/>
        <v>0</v>
      </c>
      <c r="P137" s="576">
        <f t="shared" si="89"/>
        <v>0</v>
      </c>
      <c r="Q137" s="576">
        <f t="shared" si="89"/>
        <v>0</v>
      </c>
      <c r="R137" s="576">
        <f t="shared" si="89"/>
        <v>0</v>
      </c>
      <c r="S137" s="576">
        <f t="shared" si="89"/>
        <v>0</v>
      </c>
      <c r="T137" s="576">
        <f t="shared" si="89"/>
        <v>0</v>
      </c>
      <c r="U137" s="576">
        <f t="shared" si="89"/>
        <v>0</v>
      </c>
      <c r="V137" s="576">
        <f t="shared" si="89"/>
        <v>0</v>
      </c>
      <c r="W137" s="581">
        <f t="shared" si="89"/>
        <v>0</v>
      </c>
      <c r="X137" s="174">
        <f t="shared" si="89"/>
        <v>0</v>
      </c>
      <c r="Y137" s="175">
        <f t="shared" si="89"/>
        <v>0</v>
      </c>
      <c r="Z137" s="175">
        <f t="shared" si="89"/>
        <v>0</v>
      </c>
      <c r="AA137" s="175">
        <f t="shared" si="89"/>
        <v>0</v>
      </c>
      <c r="AB137" s="175">
        <f t="shared" si="89"/>
        <v>0</v>
      </c>
      <c r="AC137" s="175">
        <f t="shared" si="89"/>
        <v>0</v>
      </c>
      <c r="AD137" s="175">
        <f t="shared" si="89"/>
        <v>0</v>
      </c>
      <c r="AE137" s="175">
        <f t="shared" si="90"/>
        <v>0</v>
      </c>
      <c r="AF137" s="175">
        <f t="shared" si="90"/>
        <v>0</v>
      </c>
      <c r="AG137" s="214">
        <f t="shared" si="90"/>
        <v>0</v>
      </c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421">
        <f t="shared" si="91"/>
        <v>0</v>
      </c>
      <c r="CB137" s="96">
        <f t="shared" si="91"/>
        <v>0</v>
      </c>
      <c r="CC137" s="96">
        <f t="shared" si="91"/>
        <v>0</v>
      </c>
      <c r="CD137" s="96">
        <f t="shared" si="91"/>
        <v>0</v>
      </c>
      <c r="CE137" s="96">
        <f t="shared" si="91"/>
        <v>0</v>
      </c>
      <c r="CF137" s="96">
        <f t="shared" si="91"/>
        <v>0</v>
      </c>
      <c r="CG137" s="96">
        <f t="shared" si="91"/>
        <v>0</v>
      </c>
      <c r="CH137" s="286">
        <f t="shared" si="91"/>
        <v>0</v>
      </c>
      <c r="CI137" s="294"/>
      <c r="CJ137" s="294"/>
      <c r="CK137" s="294"/>
      <c r="CL137" s="19"/>
      <c r="CM137" s="416">
        <f t="shared" si="92"/>
        <v>0</v>
      </c>
      <c r="CN137" s="97">
        <f t="shared" si="92"/>
        <v>0</v>
      </c>
      <c r="CO137" s="97">
        <f t="shared" si="92"/>
        <v>0</v>
      </c>
      <c r="CP137" s="97">
        <f t="shared" si="92"/>
        <v>0</v>
      </c>
      <c r="CQ137" s="97">
        <f t="shared" si="92"/>
        <v>0</v>
      </c>
      <c r="CR137" s="97">
        <f t="shared" si="92"/>
        <v>0</v>
      </c>
      <c r="CS137" s="97">
        <f t="shared" si="92"/>
        <v>0</v>
      </c>
      <c r="CT137" s="98">
        <f t="shared" si="92"/>
        <v>0</v>
      </c>
    </row>
    <row r="138" spans="1:99" x14ac:dyDescent="0.25">
      <c r="A138" s="81" t="s">
        <v>68</v>
      </c>
      <c r="B138" s="171"/>
      <c r="C138" s="82" t="s">
        <v>411</v>
      </c>
      <c r="D138" s="172">
        <f t="shared" si="93"/>
        <v>0</v>
      </c>
      <c r="E138" s="173">
        <f t="shared" si="89"/>
        <v>0</v>
      </c>
      <c r="F138" s="173">
        <f t="shared" si="89"/>
        <v>0</v>
      </c>
      <c r="G138" s="173">
        <f t="shared" si="89"/>
        <v>0</v>
      </c>
      <c r="H138" s="173">
        <f t="shared" si="89"/>
        <v>0</v>
      </c>
      <c r="I138" s="173">
        <f t="shared" si="89"/>
        <v>0</v>
      </c>
      <c r="J138" s="173">
        <f t="shared" si="89"/>
        <v>0</v>
      </c>
      <c r="K138" s="173">
        <f t="shared" si="89"/>
        <v>0</v>
      </c>
      <c r="L138" s="173">
        <f t="shared" si="89"/>
        <v>0</v>
      </c>
      <c r="M138" s="209">
        <f t="shared" si="89"/>
        <v>0</v>
      </c>
      <c r="N138" s="580">
        <f t="shared" si="89"/>
        <v>0</v>
      </c>
      <c r="O138" s="576">
        <f t="shared" si="89"/>
        <v>0</v>
      </c>
      <c r="P138" s="576">
        <f t="shared" si="89"/>
        <v>0</v>
      </c>
      <c r="Q138" s="576">
        <f t="shared" si="89"/>
        <v>0</v>
      </c>
      <c r="R138" s="576">
        <f t="shared" si="89"/>
        <v>0</v>
      </c>
      <c r="S138" s="576">
        <f t="shared" si="89"/>
        <v>0</v>
      </c>
      <c r="T138" s="576">
        <f t="shared" si="89"/>
        <v>0</v>
      </c>
      <c r="U138" s="576">
        <f t="shared" si="89"/>
        <v>0</v>
      </c>
      <c r="V138" s="576">
        <f t="shared" si="89"/>
        <v>0</v>
      </c>
      <c r="W138" s="581">
        <f t="shared" si="89"/>
        <v>0</v>
      </c>
      <c r="X138" s="174">
        <f t="shared" si="89"/>
        <v>0</v>
      </c>
      <c r="Y138" s="175">
        <f t="shared" si="89"/>
        <v>0</v>
      </c>
      <c r="Z138" s="175">
        <f t="shared" si="89"/>
        <v>0</v>
      </c>
      <c r="AA138" s="175">
        <f t="shared" si="89"/>
        <v>0</v>
      </c>
      <c r="AB138" s="175">
        <f t="shared" si="89"/>
        <v>0</v>
      </c>
      <c r="AC138" s="175">
        <f t="shared" si="89"/>
        <v>0</v>
      </c>
      <c r="AD138" s="175">
        <f t="shared" si="89"/>
        <v>0</v>
      </c>
      <c r="AE138" s="175">
        <f t="shared" si="90"/>
        <v>0</v>
      </c>
      <c r="AF138" s="175">
        <f t="shared" si="90"/>
        <v>0</v>
      </c>
      <c r="AG138" s="214">
        <f t="shared" si="90"/>
        <v>0</v>
      </c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421">
        <f t="shared" si="91"/>
        <v>0</v>
      </c>
      <c r="CB138" s="96">
        <f t="shared" si="91"/>
        <v>0</v>
      </c>
      <c r="CC138" s="96">
        <f t="shared" si="91"/>
        <v>0</v>
      </c>
      <c r="CD138" s="96">
        <f t="shared" si="91"/>
        <v>0</v>
      </c>
      <c r="CE138" s="96">
        <f t="shared" si="91"/>
        <v>0</v>
      </c>
      <c r="CF138" s="96">
        <f t="shared" si="91"/>
        <v>0</v>
      </c>
      <c r="CG138" s="96">
        <f t="shared" si="91"/>
        <v>0</v>
      </c>
      <c r="CH138" s="286">
        <f t="shared" si="91"/>
        <v>0</v>
      </c>
      <c r="CI138" s="294"/>
      <c r="CJ138" s="294"/>
      <c r="CK138" s="294"/>
      <c r="CL138" s="19"/>
      <c r="CM138" s="416">
        <f t="shared" si="92"/>
        <v>0</v>
      </c>
      <c r="CN138" s="97">
        <f t="shared" si="92"/>
        <v>0</v>
      </c>
      <c r="CO138" s="97">
        <f t="shared" si="92"/>
        <v>0</v>
      </c>
      <c r="CP138" s="97">
        <f t="shared" si="92"/>
        <v>0</v>
      </c>
      <c r="CQ138" s="97">
        <f t="shared" si="92"/>
        <v>0</v>
      </c>
      <c r="CR138" s="97">
        <f t="shared" si="92"/>
        <v>0</v>
      </c>
      <c r="CS138" s="97">
        <f t="shared" si="92"/>
        <v>0</v>
      </c>
      <c r="CT138" s="98">
        <f t="shared" si="92"/>
        <v>0</v>
      </c>
    </row>
    <row r="139" spans="1:99" x14ac:dyDescent="0.25">
      <c r="A139" s="81" t="s">
        <v>81</v>
      </c>
      <c r="B139" s="171"/>
      <c r="C139" s="82" t="s">
        <v>270</v>
      </c>
      <c r="D139" s="172">
        <f t="shared" si="93"/>
        <v>0</v>
      </c>
      <c r="E139" s="173">
        <f t="shared" si="89"/>
        <v>0</v>
      </c>
      <c r="F139" s="173">
        <f t="shared" si="89"/>
        <v>0</v>
      </c>
      <c r="G139" s="173">
        <f t="shared" si="89"/>
        <v>0</v>
      </c>
      <c r="H139" s="173">
        <f t="shared" si="89"/>
        <v>0</v>
      </c>
      <c r="I139" s="173">
        <f t="shared" si="89"/>
        <v>0</v>
      </c>
      <c r="J139" s="173">
        <f t="shared" si="89"/>
        <v>0</v>
      </c>
      <c r="K139" s="173">
        <f t="shared" si="89"/>
        <v>0</v>
      </c>
      <c r="L139" s="173">
        <f t="shared" si="89"/>
        <v>0</v>
      </c>
      <c r="M139" s="209">
        <f t="shared" si="89"/>
        <v>0</v>
      </c>
      <c r="N139" s="580">
        <f t="shared" si="89"/>
        <v>0</v>
      </c>
      <c r="O139" s="576">
        <f t="shared" si="89"/>
        <v>0</v>
      </c>
      <c r="P139" s="576">
        <f t="shared" si="89"/>
        <v>0</v>
      </c>
      <c r="Q139" s="576">
        <f t="shared" si="89"/>
        <v>0</v>
      </c>
      <c r="R139" s="576">
        <f t="shared" si="89"/>
        <v>0</v>
      </c>
      <c r="S139" s="576">
        <f t="shared" si="89"/>
        <v>0</v>
      </c>
      <c r="T139" s="576">
        <f t="shared" si="89"/>
        <v>0</v>
      </c>
      <c r="U139" s="576">
        <f t="shared" si="89"/>
        <v>0</v>
      </c>
      <c r="V139" s="576">
        <f t="shared" si="89"/>
        <v>0</v>
      </c>
      <c r="W139" s="581">
        <f t="shared" si="89"/>
        <v>0</v>
      </c>
      <c r="X139" s="174">
        <f t="shared" si="89"/>
        <v>0</v>
      </c>
      <c r="Y139" s="175">
        <f t="shared" si="89"/>
        <v>0</v>
      </c>
      <c r="Z139" s="175">
        <f t="shared" si="89"/>
        <v>0</v>
      </c>
      <c r="AA139" s="175">
        <f t="shared" si="89"/>
        <v>0</v>
      </c>
      <c r="AB139" s="175">
        <f t="shared" si="89"/>
        <v>0</v>
      </c>
      <c r="AC139" s="175">
        <f t="shared" si="89"/>
        <v>0</v>
      </c>
      <c r="AD139" s="175">
        <f t="shared" si="89"/>
        <v>0</v>
      </c>
      <c r="AE139" s="175">
        <f t="shared" si="90"/>
        <v>0</v>
      </c>
      <c r="AF139" s="175">
        <f t="shared" si="90"/>
        <v>0</v>
      </c>
      <c r="AG139" s="214">
        <f t="shared" si="90"/>
        <v>0</v>
      </c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421">
        <f t="shared" si="91"/>
        <v>0</v>
      </c>
      <c r="CB139" s="96">
        <f t="shared" si="91"/>
        <v>0</v>
      </c>
      <c r="CC139" s="96">
        <f t="shared" si="91"/>
        <v>0</v>
      </c>
      <c r="CD139" s="96">
        <f t="shared" si="91"/>
        <v>0</v>
      </c>
      <c r="CE139" s="96">
        <f t="shared" si="91"/>
        <v>0</v>
      </c>
      <c r="CF139" s="96">
        <f t="shared" si="91"/>
        <v>0</v>
      </c>
      <c r="CG139" s="96">
        <f t="shared" si="91"/>
        <v>0</v>
      </c>
      <c r="CH139" s="286">
        <f t="shared" si="91"/>
        <v>0</v>
      </c>
      <c r="CI139" s="294"/>
      <c r="CJ139" s="294"/>
      <c r="CK139" s="294"/>
      <c r="CL139" s="19"/>
      <c r="CM139" s="416">
        <f t="shared" si="92"/>
        <v>0</v>
      </c>
      <c r="CN139" s="97">
        <f t="shared" si="92"/>
        <v>0</v>
      </c>
      <c r="CO139" s="97">
        <f t="shared" si="92"/>
        <v>0</v>
      </c>
      <c r="CP139" s="97">
        <f t="shared" si="92"/>
        <v>0</v>
      </c>
      <c r="CQ139" s="97">
        <f t="shared" si="92"/>
        <v>0</v>
      </c>
      <c r="CR139" s="97">
        <f t="shared" si="92"/>
        <v>0</v>
      </c>
      <c r="CS139" s="97">
        <f t="shared" si="92"/>
        <v>0</v>
      </c>
      <c r="CT139" s="98">
        <f t="shared" si="92"/>
        <v>0</v>
      </c>
    </row>
    <row r="140" spans="1:99" x14ac:dyDescent="0.25">
      <c r="A140" s="81" t="s">
        <v>94</v>
      </c>
      <c r="B140" s="171"/>
      <c r="C140" s="82" t="s">
        <v>412</v>
      </c>
      <c r="D140" s="172">
        <f t="shared" si="93"/>
        <v>0</v>
      </c>
      <c r="E140" s="173">
        <f t="shared" si="89"/>
        <v>0</v>
      </c>
      <c r="F140" s="173">
        <f t="shared" si="89"/>
        <v>0</v>
      </c>
      <c r="G140" s="173">
        <f t="shared" si="89"/>
        <v>0</v>
      </c>
      <c r="H140" s="173">
        <f t="shared" si="89"/>
        <v>0</v>
      </c>
      <c r="I140" s="173">
        <f t="shared" si="89"/>
        <v>0</v>
      </c>
      <c r="J140" s="173">
        <f t="shared" si="89"/>
        <v>0</v>
      </c>
      <c r="K140" s="173">
        <f t="shared" si="89"/>
        <v>0</v>
      </c>
      <c r="L140" s="173">
        <f t="shared" si="89"/>
        <v>0</v>
      </c>
      <c r="M140" s="209">
        <f t="shared" si="89"/>
        <v>0</v>
      </c>
      <c r="N140" s="580">
        <f t="shared" si="89"/>
        <v>0</v>
      </c>
      <c r="O140" s="576">
        <f t="shared" si="89"/>
        <v>0</v>
      </c>
      <c r="P140" s="576">
        <f t="shared" si="89"/>
        <v>0</v>
      </c>
      <c r="Q140" s="576">
        <f t="shared" si="89"/>
        <v>0</v>
      </c>
      <c r="R140" s="576">
        <f t="shared" si="89"/>
        <v>0</v>
      </c>
      <c r="S140" s="576">
        <f t="shared" si="89"/>
        <v>0</v>
      </c>
      <c r="T140" s="576">
        <f t="shared" si="89"/>
        <v>0</v>
      </c>
      <c r="U140" s="576">
        <f t="shared" si="89"/>
        <v>0</v>
      </c>
      <c r="V140" s="576">
        <f t="shared" si="89"/>
        <v>0</v>
      </c>
      <c r="W140" s="581">
        <f t="shared" si="89"/>
        <v>0</v>
      </c>
      <c r="X140" s="174">
        <f t="shared" si="89"/>
        <v>0</v>
      </c>
      <c r="Y140" s="175">
        <f t="shared" si="89"/>
        <v>0</v>
      </c>
      <c r="Z140" s="175">
        <f t="shared" si="89"/>
        <v>0</v>
      </c>
      <c r="AA140" s="175">
        <f t="shared" si="89"/>
        <v>0</v>
      </c>
      <c r="AB140" s="175">
        <f t="shared" si="89"/>
        <v>0</v>
      </c>
      <c r="AC140" s="175">
        <f t="shared" si="89"/>
        <v>0</v>
      </c>
      <c r="AD140" s="175">
        <f t="shared" si="89"/>
        <v>0</v>
      </c>
      <c r="AE140" s="175">
        <f t="shared" si="90"/>
        <v>0</v>
      </c>
      <c r="AF140" s="175">
        <f t="shared" si="90"/>
        <v>0</v>
      </c>
      <c r="AG140" s="214">
        <f t="shared" si="90"/>
        <v>0</v>
      </c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421">
        <f t="shared" si="91"/>
        <v>0</v>
      </c>
      <c r="CB140" s="96">
        <f t="shared" si="91"/>
        <v>0</v>
      </c>
      <c r="CC140" s="96">
        <f t="shared" si="91"/>
        <v>0</v>
      </c>
      <c r="CD140" s="96">
        <f t="shared" si="91"/>
        <v>0</v>
      </c>
      <c r="CE140" s="96">
        <f t="shared" si="91"/>
        <v>0</v>
      </c>
      <c r="CF140" s="96">
        <f t="shared" si="91"/>
        <v>0</v>
      </c>
      <c r="CG140" s="96">
        <f t="shared" si="91"/>
        <v>0</v>
      </c>
      <c r="CH140" s="286">
        <f t="shared" si="91"/>
        <v>0</v>
      </c>
      <c r="CI140" s="294"/>
      <c r="CJ140" s="294"/>
      <c r="CK140" s="294"/>
      <c r="CL140" s="19"/>
      <c r="CM140" s="416">
        <f t="shared" si="92"/>
        <v>0</v>
      </c>
      <c r="CN140" s="97">
        <f t="shared" si="92"/>
        <v>0</v>
      </c>
      <c r="CO140" s="97">
        <f t="shared" si="92"/>
        <v>0</v>
      </c>
      <c r="CP140" s="97">
        <f t="shared" si="92"/>
        <v>0</v>
      </c>
      <c r="CQ140" s="97">
        <f t="shared" si="92"/>
        <v>0</v>
      </c>
      <c r="CR140" s="97">
        <f t="shared" si="92"/>
        <v>0</v>
      </c>
      <c r="CS140" s="97">
        <f t="shared" si="92"/>
        <v>0</v>
      </c>
      <c r="CT140" s="98">
        <f t="shared" si="92"/>
        <v>0</v>
      </c>
    </row>
    <row r="141" spans="1:99" x14ac:dyDescent="0.25">
      <c r="A141" s="81" t="s">
        <v>106</v>
      </c>
      <c r="B141" s="171"/>
      <c r="C141" s="82" t="s">
        <v>272</v>
      </c>
      <c r="D141" s="172">
        <f t="shared" si="93"/>
        <v>0</v>
      </c>
      <c r="E141" s="173">
        <f t="shared" si="89"/>
        <v>0</v>
      </c>
      <c r="F141" s="173">
        <f t="shared" si="89"/>
        <v>0</v>
      </c>
      <c r="G141" s="173">
        <f t="shared" si="89"/>
        <v>0</v>
      </c>
      <c r="H141" s="173">
        <f t="shared" si="89"/>
        <v>0</v>
      </c>
      <c r="I141" s="173">
        <f t="shared" si="89"/>
        <v>0</v>
      </c>
      <c r="J141" s="173">
        <f t="shared" si="89"/>
        <v>0</v>
      </c>
      <c r="K141" s="173">
        <f t="shared" si="89"/>
        <v>0</v>
      </c>
      <c r="L141" s="173">
        <f t="shared" si="89"/>
        <v>0</v>
      </c>
      <c r="M141" s="209">
        <f t="shared" si="89"/>
        <v>0</v>
      </c>
      <c r="N141" s="580">
        <f t="shared" si="89"/>
        <v>0</v>
      </c>
      <c r="O141" s="576">
        <f t="shared" si="89"/>
        <v>0</v>
      </c>
      <c r="P141" s="576">
        <f t="shared" si="89"/>
        <v>0</v>
      </c>
      <c r="Q141" s="576">
        <f t="shared" si="89"/>
        <v>0</v>
      </c>
      <c r="R141" s="576">
        <f t="shared" si="89"/>
        <v>0</v>
      </c>
      <c r="S141" s="576">
        <f t="shared" si="89"/>
        <v>0</v>
      </c>
      <c r="T141" s="576">
        <f t="shared" si="89"/>
        <v>0</v>
      </c>
      <c r="U141" s="576">
        <f t="shared" si="89"/>
        <v>0</v>
      </c>
      <c r="V141" s="576">
        <f t="shared" si="89"/>
        <v>0</v>
      </c>
      <c r="W141" s="581">
        <f t="shared" si="89"/>
        <v>0</v>
      </c>
      <c r="X141" s="174">
        <f t="shared" si="89"/>
        <v>0</v>
      </c>
      <c r="Y141" s="175">
        <f t="shared" si="89"/>
        <v>0</v>
      </c>
      <c r="Z141" s="175">
        <f t="shared" si="89"/>
        <v>0</v>
      </c>
      <c r="AA141" s="175">
        <f t="shared" si="89"/>
        <v>0</v>
      </c>
      <c r="AB141" s="175">
        <f t="shared" si="89"/>
        <v>0</v>
      </c>
      <c r="AC141" s="175">
        <f t="shared" si="89"/>
        <v>0</v>
      </c>
      <c r="AD141" s="175">
        <f t="shared" si="89"/>
        <v>0</v>
      </c>
      <c r="AE141" s="175">
        <f t="shared" si="90"/>
        <v>0</v>
      </c>
      <c r="AF141" s="175">
        <f t="shared" si="90"/>
        <v>0</v>
      </c>
      <c r="AG141" s="214">
        <f t="shared" si="90"/>
        <v>0</v>
      </c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421">
        <f t="shared" si="91"/>
        <v>0</v>
      </c>
      <c r="CB141" s="96">
        <f t="shared" si="91"/>
        <v>0</v>
      </c>
      <c r="CC141" s="96">
        <f t="shared" si="91"/>
        <v>0</v>
      </c>
      <c r="CD141" s="96">
        <f t="shared" si="91"/>
        <v>0</v>
      </c>
      <c r="CE141" s="96">
        <f t="shared" si="91"/>
        <v>0</v>
      </c>
      <c r="CF141" s="96">
        <f t="shared" si="91"/>
        <v>0</v>
      </c>
      <c r="CG141" s="96">
        <f t="shared" si="91"/>
        <v>0</v>
      </c>
      <c r="CH141" s="286">
        <f t="shared" si="91"/>
        <v>0</v>
      </c>
      <c r="CI141" s="294"/>
      <c r="CJ141" s="294"/>
      <c r="CK141" s="294"/>
      <c r="CL141" s="19"/>
      <c r="CM141" s="416">
        <f t="shared" si="92"/>
        <v>0</v>
      </c>
      <c r="CN141" s="97">
        <f t="shared" si="92"/>
        <v>0</v>
      </c>
      <c r="CO141" s="97">
        <f t="shared" si="92"/>
        <v>0</v>
      </c>
      <c r="CP141" s="97">
        <f t="shared" si="92"/>
        <v>0</v>
      </c>
      <c r="CQ141" s="97">
        <f t="shared" si="92"/>
        <v>0</v>
      </c>
      <c r="CR141" s="97">
        <f t="shared" si="92"/>
        <v>0</v>
      </c>
      <c r="CS141" s="97">
        <f t="shared" si="92"/>
        <v>0</v>
      </c>
      <c r="CT141" s="98">
        <f t="shared" si="92"/>
        <v>0</v>
      </c>
    </row>
    <row r="142" spans="1:99" x14ac:dyDescent="0.25">
      <c r="A142" s="81" t="s">
        <v>138</v>
      </c>
      <c r="B142" s="171"/>
      <c r="C142" s="82" t="s">
        <v>413</v>
      </c>
      <c r="D142" s="172">
        <f t="shared" si="93"/>
        <v>0</v>
      </c>
      <c r="E142" s="173">
        <f t="shared" si="89"/>
        <v>0</v>
      </c>
      <c r="F142" s="173">
        <f t="shared" si="89"/>
        <v>0</v>
      </c>
      <c r="G142" s="173">
        <f t="shared" si="89"/>
        <v>0</v>
      </c>
      <c r="H142" s="173">
        <f t="shared" si="89"/>
        <v>0</v>
      </c>
      <c r="I142" s="173">
        <f t="shared" si="89"/>
        <v>0</v>
      </c>
      <c r="J142" s="173">
        <f t="shared" si="89"/>
        <v>0</v>
      </c>
      <c r="K142" s="173">
        <f t="shared" si="89"/>
        <v>0</v>
      </c>
      <c r="L142" s="173">
        <f t="shared" si="89"/>
        <v>0</v>
      </c>
      <c r="M142" s="209">
        <f t="shared" si="89"/>
        <v>0</v>
      </c>
      <c r="N142" s="580">
        <f t="shared" si="89"/>
        <v>0</v>
      </c>
      <c r="O142" s="576">
        <f t="shared" si="89"/>
        <v>0</v>
      </c>
      <c r="P142" s="576">
        <f t="shared" si="89"/>
        <v>0</v>
      </c>
      <c r="Q142" s="576">
        <f t="shared" si="89"/>
        <v>0</v>
      </c>
      <c r="R142" s="576">
        <f t="shared" si="89"/>
        <v>0</v>
      </c>
      <c r="S142" s="576">
        <f t="shared" si="89"/>
        <v>0</v>
      </c>
      <c r="T142" s="576">
        <f t="shared" si="89"/>
        <v>0</v>
      </c>
      <c r="U142" s="576">
        <f t="shared" si="89"/>
        <v>0</v>
      </c>
      <c r="V142" s="576">
        <f t="shared" si="89"/>
        <v>0</v>
      </c>
      <c r="W142" s="581">
        <f t="shared" si="89"/>
        <v>0</v>
      </c>
      <c r="X142" s="174">
        <f t="shared" si="89"/>
        <v>0</v>
      </c>
      <c r="Y142" s="175">
        <f t="shared" si="89"/>
        <v>0</v>
      </c>
      <c r="Z142" s="175">
        <f t="shared" si="89"/>
        <v>0</v>
      </c>
      <c r="AA142" s="175">
        <f t="shared" si="89"/>
        <v>0</v>
      </c>
      <c r="AB142" s="175">
        <f t="shared" si="89"/>
        <v>0</v>
      </c>
      <c r="AC142" s="175">
        <f t="shared" si="89"/>
        <v>0</v>
      </c>
      <c r="AD142" s="175">
        <f t="shared" si="89"/>
        <v>0</v>
      </c>
      <c r="AE142" s="175">
        <f t="shared" si="90"/>
        <v>0</v>
      </c>
      <c r="AF142" s="175">
        <f t="shared" si="90"/>
        <v>0</v>
      </c>
      <c r="AG142" s="214">
        <f t="shared" si="90"/>
        <v>0</v>
      </c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421">
        <f t="shared" si="91"/>
        <v>0</v>
      </c>
      <c r="CB142" s="96">
        <f t="shared" si="91"/>
        <v>0</v>
      </c>
      <c r="CC142" s="96">
        <f t="shared" si="91"/>
        <v>0</v>
      </c>
      <c r="CD142" s="96">
        <f t="shared" si="91"/>
        <v>0</v>
      </c>
      <c r="CE142" s="96">
        <f t="shared" si="91"/>
        <v>0</v>
      </c>
      <c r="CF142" s="96">
        <f t="shared" si="91"/>
        <v>0</v>
      </c>
      <c r="CG142" s="96">
        <f t="shared" si="91"/>
        <v>0</v>
      </c>
      <c r="CH142" s="286">
        <f t="shared" si="91"/>
        <v>0</v>
      </c>
      <c r="CI142" s="294"/>
      <c r="CJ142" s="294"/>
      <c r="CK142" s="294"/>
      <c r="CL142" s="19"/>
      <c r="CM142" s="416">
        <f t="shared" si="92"/>
        <v>0</v>
      </c>
      <c r="CN142" s="97">
        <f t="shared" si="92"/>
        <v>0</v>
      </c>
      <c r="CO142" s="97">
        <f t="shared" si="92"/>
        <v>0</v>
      </c>
      <c r="CP142" s="97">
        <f t="shared" si="92"/>
        <v>0</v>
      </c>
      <c r="CQ142" s="97">
        <f t="shared" si="92"/>
        <v>0</v>
      </c>
      <c r="CR142" s="97">
        <f t="shared" si="92"/>
        <v>0</v>
      </c>
      <c r="CS142" s="97">
        <f t="shared" si="92"/>
        <v>0</v>
      </c>
      <c r="CT142" s="98">
        <f t="shared" si="92"/>
        <v>0</v>
      </c>
    </row>
    <row r="143" spans="1:99" x14ac:dyDescent="0.25">
      <c r="A143" s="81" t="s">
        <v>196</v>
      </c>
      <c r="B143" s="171"/>
      <c r="C143" s="82" t="s">
        <v>274</v>
      </c>
      <c r="D143" s="172">
        <f t="shared" si="93"/>
        <v>0</v>
      </c>
      <c r="E143" s="173">
        <f t="shared" si="89"/>
        <v>0</v>
      </c>
      <c r="F143" s="173">
        <f t="shared" si="89"/>
        <v>0</v>
      </c>
      <c r="G143" s="173">
        <f t="shared" si="89"/>
        <v>0</v>
      </c>
      <c r="H143" s="173">
        <f t="shared" si="89"/>
        <v>0</v>
      </c>
      <c r="I143" s="173">
        <f t="shared" si="89"/>
        <v>0</v>
      </c>
      <c r="J143" s="173">
        <f t="shared" si="89"/>
        <v>0</v>
      </c>
      <c r="K143" s="173">
        <f t="shared" si="89"/>
        <v>0</v>
      </c>
      <c r="L143" s="173">
        <f t="shared" si="89"/>
        <v>0</v>
      </c>
      <c r="M143" s="209">
        <f t="shared" si="89"/>
        <v>0</v>
      </c>
      <c r="N143" s="580">
        <f t="shared" si="89"/>
        <v>0</v>
      </c>
      <c r="O143" s="576">
        <f t="shared" si="89"/>
        <v>0</v>
      </c>
      <c r="P143" s="576">
        <f t="shared" si="89"/>
        <v>0</v>
      </c>
      <c r="Q143" s="576">
        <f t="shared" si="89"/>
        <v>0</v>
      </c>
      <c r="R143" s="576">
        <f t="shared" si="89"/>
        <v>0</v>
      </c>
      <c r="S143" s="576">
        <f t="shared" si="89"/>
        <v>0</v>
      </c>
      <c r="T143" s="576">
        <f t="shared" si="89"/>
        <v>0</v>
      </c>
      <c r="U143" s="576">
        <f t="shared" si="89"/>
        <v>0</v>
      </c>
      <c r="V143" s="576">
        <f t="shared" si="89"/>
        <v>0</v>
      </c>
      <c r="W143" s="581">
        <f t="shared" si="89"/>
        <v>0</v>
      </c>
      <c r="X143" s="174">
        <f t="shared" si="89"/>
        <v>0</v>
      </c>
      <c r="Y143" s="175">
        <f t="shared" si="89"/>
        <v>0</v>
      </c>
      <c r="Z143" s="175">
        <f t="shared" si="89"/>
        <v>0</v>
      </c>
      <c r="AA143" s="175">
        <f t="shared" si="89"/>
        <v>0</v>
      </c>
      <c r="AB143" s="175">
        <f t="shared" si="89"/>
        <v>0</v>
      </c>
      <c r="AC143" s="175">
        <f t="shared" si="89"/>
        <v>0</v>
      </c>
      <c r="AD143" s="175">
        <f t="shared" si="89"/>
        <v>0</v>
      </c>
      <c r="AE143" s="175">
        <f t="shared" si="90"/>
        <v>0</v>
      </c>
      <c r="AF143" s="175">
        <f t="shared" si="90"/>
        <v>0</v>
      </c>
      <c r="AG143" s="214">
        <f t="shared" si="90"/>
        <v>0</v>
      </c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421">
        <f t="shared" si="91"/>
        <v>0</v>
      </c>
      <c r="CB143" s="96">
        <f t="shared" si="91"/>
        <v>0</v>
      </c>
      <c r="CC143" s="96">
        <f t="shared" si="91"/>
        <v>0</v>
      </c>
      <c r="CD143" s="96">
        <f t="shared" si="91"/>
        <v>0</v>
      </c>
      <c r="CE143" s="96">
        <f t="shared" si="91"/>
        <v>0</v>
      </c>
      <c r="CF143" s="96">
        <f t="shared" si="91"/>
        <v>0</v>
      </c>
      <c r="CG143" s="96">
        <f t="shared" si="91"/>
        <v>0</v>
      </c>
      <c r="CH143" s="286">
        <f t="shared" si="91"/>
        <v>0</v>
      </c>
      <c r="CI143" s="294"/>
      <c r="CJ143" s="294"/>
      <c r="CK143" s="294"/>
      <c r="CL143" s="19"/>
      <c r="CM143" s="416">
        <f t="shared" si="92"/>
        <v>0</v>
      </c>
      <c r="CN143" s="97">
        <f t="shared" si="92"/>
        <v>0</v>
      </c>
      <c r="CO143" s="97">
        <f t="shared" si="92"/>
        <v>0</v>
      </c>
      <c r="CP143" s="97">
        <f t="shared" si="92"/>
        <v>0</v>
      </c>
      <c r="CQ143" s="97">
        <f t="shared" si="92"/>
        <v>0</v>
      </c>
      <c r="CR143" s="97">
        <f t="shared" si="92"/>
        <v>0</v>
      </c>
      <c r="CS143" s="97">
        <f t="shared" si="92"/>
        <v>0</v>
      </c>
      <c r="CT143" s="98">
        <f t="shared" si="92"/>
        <v>0</v>
      </c>
    </row>
    <row r="144" spans="1:99" x14ac:dyDescent="0.25">
      <c r="A144" s="81" t="s">
        <v>224</v>
      </c>
      <c r="B144" s="171"/>
      <c r="C144" s="82" t="s">
        <v>414</v>
      </c>
      <c r="D144" s="172">
        <f t="shared" si="93"/>
        <v>0</v>
      </c>
      <c r="E144" s="173">
        <f t="shared" si="89"/>
        <v>0</v>
      </c>
      <c r="F144" s="173">
        <f t="shared" si="89"/>
        <v>0</v>
      </c>
      <c r="G144" s="173">
        <f t="shared" si="89"/>
        <v>0</v>
      </c>
      <c r="H144" s="173">
        <f t="shared" si="89"/>
        <v>0</v>
      </c>
      <c r="I144" s="173">
        <f t="shared" si="89"/>
        <v>0</v>
      </c>
      <c r="J144" s="173">
        <f t="shared" si="89"/>
        <v>0</v>
      </c>
      <c r="K144" s="173">
        <f t="shared" si="89"/>
        <v>0</v>
      </c>
      <c r="L144" s="173">
        <f t="shared" si="89"/>
        <v>0</v>
      </c>
      <c r="M144" s="209">
        <f t="shared" si="89"/>
        <v>0</v>
      </c>
      <c r="N144" s="580">
        <f t="shared" ref="N144:W146" si="94">SUMIF($A$7:$A$132,$A144,N$7:N$132)</f>
        <v>0</v>
      </c>
      <c r="O144" s="576">
        <f t="shared" si="94"/>
        <v>0</v>
      </c>
      <c r="P144" s="576">
        <f t="shared" si="94"/>
        <v>0</v>
      </c>
      <c r="Q144" s="576">
        <f t="shared" si="94"/>
        <v>0</v>
      </c>
      <c r="R144" s="576">
        <f t="shared" si="94"/>
        <v>0</v>
      </c>
      <c r="S144" s="576">
        <f t="shared" si="94"/>
        <v>0</v>
      </c>
      <c r="T144" s="576">
        <f t="shared" si="94"/>
        <v>0</v>
      </c>
      <c r="U144" s="576">
        <f t="shared" si="94"/>
        <v>0</v>
      </c>
      <c r="V144" s="576">
        <f t="shared" si="94"/>
        <v>0</v>
      </c>
      <c r="W144" s="581">
        <f t="shared" si="94"/>
        <v>0</v>
      </c>
      <c r="X144" s="174">
        <f t="shared" si="89"/>
        <v>0</v>
      </c>
      <c r="Y144" s="175">
        <f t="shared" si="89"/>
        <v>0</v>
      </c>
      <c r="Z144" s="175">
        <f t="shared" si="89"/>
        <v>0</v>
      </c>
      <c r="AA144" s="175">
        <f t="shared" si="89"/>
        <v>0</v>
      </c>
      <c r="AB144" s="175">
        <f t="shared" si="89"/>
        <v>0</v>
      </c>
      <c r="AC144" s="175">
        <f t="shared" si="89"/>
        <v>0</v>
      </c>
      <c r="AD144" s="175">
        <f t="shared" si="89"/>
        <v>0</v>
      </c>
      <c r="AE144" s="175">
        <f t="shared" si="90"/>
        <v>0</v>
      </c>
      <c r="AF144" s="175">
        <f t="shared" si="90"/>
        <v>0</v>
      </c>
      <c r="AG144" s="214">
        <f t="shared" si="90"/>
        <v>0</v>
      </c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421">
        <f t="shared" si="91"/>
        <v>0</v>
      </c>
      <c r="CB144" s="96">
        <f t="shared" si="91"/>
        <v>0</v>
      </c>
      <c r="CC144" s="96">
        <f t="shared" si="91"/>
        <v>0</v>
      </c>
      <c r="CD144" s="96">
        <f t="shared" si="91"/>
        <v>0</v>
      </c>
      <c r="CE144" s="96">
        <f t="shared" si="91"/>
        <v>0</v>
      </c>
      <c r="CF144" s="96">
        <f t="shared" si="91"/>
        <v>0</v>
      </c>
      <c r="CG144" s="96">
        <f t="shared" si="91"/>
        <v>0</v>
      </c>
      <c r="CH144" s="286">
        <f t="shared" si="91"/>
        <v>0</v>
      </c>
      <c r="CI144" s="294"/>
      <c r="CJ144" s="294"/>
      <c r="CK144" s="294"/>
      <c r="CL144" s="19"/>
      <c r="CM144" s="416">
        <f t="shared" si="92"/>
        <v>0</v>
      </c>
      <c r="CN144" s="97">
        <f t="shared" si="92"/>
        <v>0</v>
      </c>
      <c r="CO144" s="97">
        <f t="shared" si="92"/>
        <v>0</v>
      </c>
      <c r="CP144" s="97">
        <f t="shared" si="92"/>
        <v>0</v>
      </c>
      <c r="CQ144" s="97">
        <f t="shared" si="92"/>
        <v>0</v>
      </c>
      <c r="CR144" s="97">
        <f t="shared" si="92"/>
        <v>0</v>
      </c>
      <c r="CS144" s="97">
        <f t="shared" si="92"/>
        <v>0</v>
      </c>
      <c r="CT144" s="98">
        <f t="shared" si="92"/>
        <v>0</v>
      </c>
    </row>
    <row r="145" spans="1:98" x14ac:dyDescent="0.25">
      <c r="A145" s="81" t="s">
        <v>242</v>
      </c>
      <c r="B145" s="171"/>
      <c r="C145" s="82" t="s">
        <v>415</v>
      </c>
      <c r="D145" s="172">
        <f t="shared" si="93"/>
        <v>0</v>
      </c>
      <c r="E145" s="173">
        <f t="shared" si="89"/>
        <v>0</v>
      </c>
      <c r="F145" s="173">
        <f t="shared" si="89"/>
        <v>0</v>
      </c>
      <c r="G145" s="173">
        <f t="shared" si="89"/>
        <v>0</v>
      </c>
      <c r="H145" s="173">
        <f t="shared" si="89"/>
        <v>0</v>
      </c>
      <c r="I145" s="173">
        <f t="shared" si="89"/>
        <v>0</v>
      </c>
      <c r="J145" s="173">
        <f t="shared" si="89"/>
        <v>0</v>
      </c>
      <c r="K145" s="173">
        <f t="shared" si="89"/>
        <v>0</v>
      </c>
      <c r="L145" s="173">
        <f t="shared" si="89"/>
        <v>0</v>
      </c>
      <c r="M145" s="209">
        <f t="shared" si="89"/>
        <v>0</v>
      </c>
      <c r="N145" s="580">
        <f t="shared" si="94"/>
        <v>0</v>
      </c>
      <c r="O145" s="576">
        <f t="shared" si="94"/>
        <v>0</v>
      </c>
      <c r="P145" s="576">
        <f t="shared" si="94"/>
        <v>0</v>
      </c>
      <c r="Q145" s="576">
        <f t="shared" si="94"/>
        <v>0</v>
      </c>
      <c r="R145" s="576">
        <f t="shared" si="94"/>
        <v>0</v>
      </c>
      <c r="S145" s="576">
        <f t="shared" si="94"/>
        <v>0</v>
      </c>
      <c r="T145" s="576">
        <f t="shared" si="94"/>
        <v>0</v>
      </c>
      <c r="U145" s="576">
        <f t="shared" si="94"/>
        <v>0</v>
      </c>
      <c r="V145" s="576">
        <f t="shared" si="94"/>
        <v>0</v>
      </c>
      <c r="W145" s="581">
        <f t="shared" si="94"/>
        <v>0</v>
      </c>
      <c r="X145" s="174">
        <f t="shared" si="89"/>
        <v>0</v>
      </c>
      <c r="Y145" s="175">
        <f t="shared" si="89"/>
        <v>0</v>
      </c>
      <c r="Z145" s="175">
        <f t="shared" si="89"/>
        <v>0</v>
      </c>
      <c r="AA145" s="175">
        <f t="shared" si="89"/>
        <v>0</v>
      </c>
      <c r="AB145" s="175">
        <f t="shared" si="89"/>
        <v>0</v>
      </c>
      <c r="AC145" s="175">
        <f t="shared" si="89"/>
        <v>0</v>
      </c>
      <c r="AD145" s="175">
        <f t="shared" si="89"/>
        <v>0</v>
      </c>
      <c r="AE145" s="175">
        <f t="shared" si="90"/>
        <v>0</v>
      </c>
      <c r="AF145" s="175">
        <f t="shared" si="90"/>
        <v>0</v>
      </c>
      <c r="AG145" s="214">
        <f t="shared" si="90"/>
        <v>0</v>
      </c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421">
        <f t="shared" si="91"/>
        <v>0</v>
      </c>
      <c r="CB145" s="96">
        <f t="shared" si="91"/>
        <v>0</v>
      </c>
      <c r="CC145" s="96">
        <f t="shared" si="91"/>
        <v>0</v>
      </c>
      <c r="CD145" s="96">
        <f t="shared" si="91"/>
        <v>0</v>
      </c>
      <c r="CE145" s="96">
        <f t="shared" si="91"/>
        <v>0</v>
      </c>
      <c r="CF145" s="96">
        <f t="shared" si="91"/>
        <v>0</v>
      </c>
      <c r="CG145" s="96">
        <f t="shared" si="91"/>
        <v>0</v>
      </c>
      <c r="CH145" s="286">
        <f t="shared" si="91"/>
        <v>0</v>
      </c>
      <c r="CI145" s="294"/>
      <c r="CJ145" s="294"/>
      <c r="CK145" s="294"/>
      <c r="CL145" s="19"/>
      <c r="CM145" s="416">
        <f t="shared" si="92"/>
        <v>0</v>
      </c>
      <c r="CN145" s="97">
        <f t="shared" si="92"/>
        <v>0</v>
      </c>
      <c r="CO145" s="97">
        <f t="shared" si="92"/>
        <v>0</v>
      </c>
      <c r="CP145" s="97">
        <f t="shared" si="92"/>
        <v>0</v>
      </c>
      <c r="CQ145" s="97">
        <f t="shared" si="92"/>
        <v>0</v>
      </c>
      <c r="CR145" s="97">
        <f t="shared" si="92"/>
        <v>0</v>
      </c>
      <c r="CS145" s="97">
        <f t="shared" si="92"/>
        <v>0</v>
      </c>
      <c r="CT145" s="98">
        <f t="shared" si="92"/>
        <v>0</v>
      </c>
    </row>
    <row r="146" spans="1:98" ht="15.75" thickBot="1" x14ac:dyDescent="0.3">
      <c r="A146" s="100" t="s">
        <v>258</v>
      </c>
      <c r="B146" s="176"/>
      <c r="C146" s="101" t="s">
        <v>64</v>
      </c>
      <c r="D146" s="177">
        <f t="shared" si="93"/>
        <v>0</v>
      </c>
      <c r="E146" s="178">
        <f t="shared" si="89"/>
        <v>0</v>
      </c>
      <c r="F146" s="178">
        <f t="shared" si="89"/>
        <v>0</v>
      </c>
      <c r="G146" s="178">
        <f t="shared" si="89"/>
        <v>0</v>
      </c>
      <c r="H146" s="178">
        <f t="shared" si="89"/>
        <v>0</v>
      </c>
      <c r="I146" s="178">
        <f t="shared" si="89"/>
        <v>0</v>
      </c>
      <c r="J146" s="178">
        <f t="shared" si="89"/>
        <v>0</v>
      </c>
      <c r="K146" s="178">
        <f t="shared" si="89"/>
        <v>0</v>
      </c>
      <c r="L146" s="178">
        <f t="shared" si="89"/>
        <v>0</v>
      </c>
      <c r="M146" s="210">
        <f t="shared" si="89"/>
        <v>0</v>
      </c>
      <c r="N146" s="582">
        <f t="shared" si="94"/>
        <v>0</v>
      </c>
      <c r="O146" s="577">
        <f t="shared" si="94"/>
        <v>0</v>
      </c>
      <c r="P146" s="577">
        <f t="shared" si="94"/>
        <v>0</v>
      </c>
      <c r="Q146" s="577">
        <f t="shared" si="94"/>
        <v>0</v>
      </c>
      <c r="R146" s="577">
        <f t="shared" si="94"/>
        <v>0</v>
      </c>
      <c r="S146" s="577">
        <f t="shared" si="94"/>
        <v>0</v>
      </c>
      <c r="T146" s="577">
        <f t="shared" si="94"/>
        <v>0</v>
      </c>
      <c r="U146" s="577">
        <f t="shared" si="94"/>
        <v>0</v>
      </c>
      <c r="V146" s="577">
        <f t="shared" si="94"/>
        <v>0</v>
      </c>
      <c r="W146" s="583">
        <f t="shared" si="94"/>
        <v>0</v>
      </c>
      <c r="X146" s="179">
        <f t="shared" si="89"/>
        <v>0</v>
      </c>
      <c r="Y146" s="180">
        <f t="shared" si="89"/>
        <v>0</v>
      </c>
      <c r="Z146" s="180">
        <f t="shared" si="89"/>
        <v>0</v>
      </c>
      <c r="AA146" s="180">
        <f t="shared" si="89"/>
        <v>0</v>
      </c>
      <c r="AB146" s="180">
        <f t="shared" si="89"/>
        <v>0</v>
      </c>
      <c r="AC146" s="180">
        <f t="shared" si="89"/>
        <v>0</v>
      </c>
      <c r="AD146" s="180">
        <f t="shared" si="89"/>
        <v>0</v>
      </c>
      <c r="AE146" s="180">
        <f t="shared" si="90"/>
        <v>0</v>
      </c>
      <c r="AF146" s="180">
        <f t="shared" si="90"/>
        <v>0</v>
      </c>
      <c r="AG146" s="215">
        <f t="shared" si="90"/>
        <v>0</v>
      </c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422">
        <f t="shared" si="91"/>
        <v>0</v>
      </c>
      <c r="CB146" s="115">
        <f t="shared" si="91"/>
        <v>0</v>
      </c>
      <c r="CC146" s="115">
        <f t="shared" si="91"/>
        <v>0</v>
      </c>
      <c r="CD146" s="115">
        <f t="shared" si="91"/>
        <v>0</v>
      </c>
      <c r="CE146" s="115">
        <f t="shared" si="91"/>
        <v>0</v>
      </c>
      <c r="CF146" s="115">
        <f t="shared" si="91"/>
        <v>0</v>
      </c>
      <c r="CG146" s="115">
        <f t="shared" si="91"/>
        <v>0</v>
      </c>
      <c r="CH146" s="287">
        <f t="shared" si="91"/>
        <v>0</v>
      </c>
      <c r="CI146" s="294"/>
      <c r="CJ146" s="294"/>
      <c r="CK146" s="294"/>
      <c r="CL146" s="19"/>
      <c r="CM146" s="417">
        <f t="shared" si="92"/>
        <v>0</v>
      </c>
      <c r="CN146" s="181">
        <f t="shared" si="92"/>
        <v>0</v>
      </c>
      <c r="CO146" s="181">
        <f t="shared" si="92"/>
        <v>0</v>
      </c>
      <c r="CP146" s="181">
        <f t="shared" si="92"/>
        <v>0</v>
      </c>
      <c r="CQ146" s="181">
        <f t="shared" si="92"/>
        <v>0</v>
      </c>
      <c r="CR146" s="181">
        <f t="shared" si="92"/>
        <v>0</v>
      </c>
      <c r="CS146" s="181">
        <f t="shared" si="92"/>
        <v>0</v>
      </c>
      <c r="CT146" s="182">
        <f t="shared" si="92"/>
        <v>0</v>
      </c>
    </row>
    <row r="147" spans="1:98" ht="15.75" thickBot="1" x14ac:dyDescent="0.3">
      <c r="D147" s="183">
        <f>SUM(D136:D146)</f>
        <v>0</v>
      </c>
      <c r="E147" s="184">
        <f t="shared" ref="E147:M147" si="95">SUM(E136:E146)</f>
        <v>0</v>
      </c>
      <c r="F147" s="184">
        <f t="shared" si="95"/>
        <v>0</v>
      </c>
      <c r="G147" s="184">
        <f t="shared" si="95"/>
        <v>0</v>
      </c>
      <c r="H147" s="184">
        <f t="shared" si="95"/>
        <v>0</v>
      </c>
      <c r="I147" s="184">
        <f t="shared" si="95"/>
        <v>0</v>
      </c>
      <c r="J147" s="184">
        <f t="shared" si="95"/>
        <v>0</v>
      </c>
      <c r="K147" s="184">
        <f t="shared" si="95"/>
        <v>0</v>
      </c>
      <c r="L147" s="184">
        <f t="shared" si="95"/>
        <v>0</v>
      </c>
      <c r="M147" s="211">
        <f t="shared" si="95"/>
        <v>0</v>
      </c>
      <c r="N147" s="183">
        <f>SUM(N136:N146)</f>
        <v>0</v>
      </c>
      <c r="O147" s="184">
        <f t="shared" ref="O147:W147" si="96">SUM(O136:O146)</f>
        <v>0</v>
      </c>
      <c r="P147" s="184">
        <f t="shared" si="96"/>
        <v>0</v>
      </c>
      <c r="Q147" s="184">
        <f t="shared" si="96"/>
        <v>0</v>
      </c>
      <c r="R147" s="184">
        <f t="shared" si="96"/>
        <v>0</v>
      </c>
      <c r="S147" s="184">
        <f t="shared" si="96"/>
        <v>0</v>
      </c>
      <c r="T147" s="184">
        <f t="shared" si="96"/>
        <v>0</v>
      </c>
      <c r="U147" s="184">
        <f t="shared" si="96"/>
        <v>0</v>
      </c>
      <c r="V147" s="184">
        <f t="shared" si="96"/>
        <v>0</v>
      </c>
      <c r="W147" s="211">
        <f t="shared" si="96"/>
        <v>0</v>
      </c>
      <c r="CA147" s="19"/>
      <c r="CB147" s="19"/>
      <c r="CC147" s="19"/>
      <c r="CD147" s="19"/>
      <c r="CE147" s="19"/>
      <c r="CF147" s="19"/>
      <c r="CG147" s="19"/>
      <c r="CH147" s="282"/>
      <c r="CI147" s="294"/>
      <c r="CJ147" s="294"/>
      <c r="CK147" s="294"/>
      <c r="CL147" s="19"/>
      <c r="CM147" s="183">
        <f>SUM(CM136:CM146)</f>
        <v>0</v>
      </c>
      <c r="CN147" s="184">
        <f t="shared" ref="CN147:CT147" si="97">SUM(CN136:CN146)</f>
        <v>0</v>
      </c>
      <c r="CO147" s="184">
        <f t="shared" si="97"/>
        <v>0</v>
      </c>
      <c r="CP147" s="184">
        <f t="shared" si="97"/>
        <v>0</v>
      </c>
      <c r="CQ147" s="184">
        <f t="shared" si="97"/>
        <v>0</v>
      </c>
      <c r="CR147" s="184">
        <f t="shared" si="97"/>
        <v>0</v>
      </c>
      <c r="CS147" s="184">
        <f t="shared" si="97"/>
        <v>0</v>
      </c>
      <c r="CT147" s="185">
        <f t="shared" si="97"/>
        <v>0</v>
      </c>
    </row>
  </sheetData>
  <autoFilter ref="A6:CV133" xr:uid="{5EA616FE-DA93-49A9-BE51-5B095A1FCAC7}"/>
  <dataValidations count="1">
    <dataValidation type="list" allowBlank="1" showInputMessage="1" showErrorMessage="1" sqref="BY7:BY132 CI7:CI132" xr:uid="{42EB3688-3004-4985-B8E6-6516DDA46A2A}">
      <formula1>$AU$6:$AW$6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F799BF3-70F1-44CF-B958-3F75BBA6FF83}">
          <x14:formula1>
            <xm:f>Lookup!$B$2:$B$9</xm:f>
          </x14:formula1>
          <xm:sqref>AX7:AX132</xm:sqref>
        </x14:dataValidation>
        <x14:dataValidation type="list" allowBlank="1" showInputMessage="1" showErrorMessage="1" xr:uid="{BEBBA66D-961D-470C-A80F-E77FF30D9905}">
          <x14:formula1>
            <xm:f>Lookup!$A$2:$A$4</xm:f>
          </x14:formula1>
          <xm:sqref>AY7:AY132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1646F-51CB-4431-89A4-64B53F9B80C9}">
  <sheetPr codeName="Sheet14"/>
  <dimension ref="A1:AW152"/>
  <sheetViews>
    <sheetView zoomScaleNormal="100" workbookViewId="0">
      <pane xSplit="3" ySplit="7" topLeftCell="AB124" activePane="bottomRight" state="frozen"/>
      <selection activeCell="AW3" sqref="AW3"/>
      <selection pane="topRight" activeCell="AW3" sqref="AW3"/>
      <selection pane="bottomLeft" activeCell="AW3" sqref="AW3"/>
      <selection pane="bottomRight" activeCell="AT141" sqref="AT141"/>
    </sheetView>
  </sheetViews>
  <sheetFormatPr defaultRowHeight="15" x14ac:dyDescent="0.25"/>
  <cols>
    <col min="1" max="1" width="5.7109375" bestFit="1" customWidth="1"/>
    <col min="3" max="3" width="30.5703125" customWidth="1"/>
    <col min="4" max="4" width="6.85546875" style="280" customWidth="1"/>
    <col min="5" max="5" width="7" style="280" customWidth="1"/>
    <col min="6" max="6" width="9.140625" style="280" customWidth="1"/>
    <col min="9" max="9" width="6.85546875" style="280" customWidth="1"/>
    <col min="10" max="10" width="7" style="280" customWidth="1"/>
    <col min="11" max="11" width="9.140625" style="280" customWidth="1"/>
    <col min="14" max="14" width="6.85546875" style="280" customWidth="1"/>
    <col min="15" max="15" width="7" style="280" customWidth="1"/>
    <col min="16" max="16" width="9.140625" style="280" customWidth="1"/>
    <col min="19" max="19" width="6.85546875" style="280" customWidth="1"/>
    <col min="20" max="20" width="7" style="280" customWidth="1"/>
    <col min="21" max="21" width="9.140625" style="280"/>
    <col min="24" max="24" width="6.85546875" style="280" customWidth="1"/>
    <col min="25" max="25" width="7" style="280" customWidth="1"/>
    <col min="26" max="26" width="9.140625" style="280"/>
    <col min="29" max="29" width="6.85546875" style="280" hidden="1" customWidth="1"/>
    <col min="30" max="30" width="7" style="280" hidden="1" customWidth="1"/>
    <col min="31" max="31" width="0" style="280" hidden="1" customWidth="1"/>
    <col min="32" max="32" width="0" hidden="1" customWidth="1"/>
    <col min="33" max="33" width="36.7109375" hidden="1" customWidth="1"/>
    <col min="34" max="34" width="10.85546875" customWidth="1"/>
    <col min="35" max="39" width="11.85546875" customWidth="1"/>
    <col min="40" max="41" width="13.42578125" customWidth="1"/>
  </cols>
  <sheetData>
    <row r="1" spans="1:49" ht="15.75" thickBot="1" x14ac:dyDescent="0.3">
      <c r="A1" t="s">
        <v>525</v>
      </c>
      <c r="F1"/>
      <c r="K1"/>
      <c r="P1"/>
      <c r="U1"/>
      <c r="Z1"/>
      <c r="AE1"/>
    </row>
    <row r="2" spans="1:49" ht="15.75" thickBot="1" x14ac:dyDescent="0.3">
      <c r="F2"/>
      <c r="K2"/>
      <c r="P2"/>
      <c r="U2"/>
      <c r="Z2"/>
      <c r="AE2"/>
      <c r="AN2" s="474" t="s">
        <v>544</v>
      </c>
    </row>
    <row r="3" spans="1:49" ht="15.75" thickBot="1" x14ac:dyDescent="0.3">
      <c r="C3" s="23"/>
      <c r="D3" s="281"/>
      <c r="E3" s="281"/>
      <c r="F3"/>
      <c r="I3" s="281"/>
      <c r="J3" s="281"/>
      <c r="K3"/>
      <c r="N3" s="281"/>
      <c r="O3" s="281"/>
      <c r="P3"/>
      <c r="S3" s="281"/>
      <c r="T3" s="281"/>
      <c r="U3"/>
      <c r="X3" s="281"/>
      <c r="Y3" s="281"/>
      <c r="Z3"/>
      <c r="AC3" s="281"/>
      <c r="AD3" s="281"/>
      <c r="AE3"/>
      <c r="AN3" s="475">
        <v>112</v>
      </c>
      <c r="AU3" s="599" t="str">
        <f>"Escalated to "&amp;O2</f>
        <v xml:space="preserve">Escalated to </v>
      </c>
      <c r="AV3" s="600"/>
      <c r="AW3" s="603" t="s">
        <v>428</v>
      </c>
    </row>
    <row r="4" spans="1:49" ht="15.75" thickBot="1" x14ac:dyDescent="0.3">
      <c r="D4" s="425" t="s">
        <v>278</v>
      </c>
      <c r="E4" s="426"/>
      <c r="F4" s="427"/>
      <c r="G4" s="428"/>
      <c r="H4" s="189"/>
      <c r="I4" s="425" t="s">
        <v>417</v>
      </c>
      <c r="J4" s="426"/>
      <c r="K4" s="427"/>
      <c r="L4" s="428"/>
      <c r="M4" s="189"/>
      <c r="N4" s="426" t="s">
        <v>418</v>
      </c>
      <c r="O4" s="426"/>
      <c r="P4" s="427"/>
      <c r="Q4" s="428"/>
      <c r="R4" s="189"/>
      <c r="S4" s="425" t="s">
        <v>420</v>
      </c>
      <c r="T4" s="426"/>
      <c r="U4" s="427"/>
      <c r="V4" s="428"/>
      <c r="W4" s="189"/>
      <c r="X4" s="425" t="s">
        <v>504</v>
      </c>
      <c r="Y4" s="426"/>
      <c r="Z4" s="427"/>
      <c r="AA4" s="428"/>
      <c r="AB4" s="470"/>
      <c r="AC4" s="425" t="s">
        <v>448</v>
      </c>
      <c r="AD4" s="426"/>
      <c r="AE4" s="427"/>
      <c r="AF4" s="428"/>
      <c r="AH4" s="425" t="s">
        <v>547</v>
      </c>
      <c r="AI4" s="427"/>
      <c r="AJ4" s="427"/>
      <c r="AK4" s="427"/>
      <c r="AL4" s="427"/>
      <c r="AM4" s="427"/>
      <c r="AN4" s="427"/>
      <c r="AO4" s="428"/>
    </row>
    <row r="5" spans="1:49" s="186" customFormat="1" x14ac:dyDescent="0.25">
      <c r="A5" s="27" t="s">
        <v>281</v>
      </c>
      <c r="B5" s="27" t="s">
        <v>282</v>
      </c>
      <c r="C5" s="424"/>
      <c r="D5" s="412" t="s">
        <v>484</v>
      </c>
      <c r="E5" s="296"/>
      <c r="F5" s="296"/>
      <c r="G5" s="297"/>
      <c r="H5" s="189" t="s">
        <v>510</v>
      </c>
      <c r="I5" s="412" t="s">
        <v>484</v>
      </c>
      <c r="J5" s="296"/>
      <c r="K5" s="296"/>
      <c r="L5" s="297"/>
      <c r="M5" s="189" t="s">
        <v>510</v>
      </c>
      <c r="N5" s="412" t="s">
        <v>484</v>
      </c>
      <c r="O5" s="296"/>
      <c r="P5" s="296"/>
      <c r="Q5" s="297"/>
      <c r="R5" s="189" t="s">
        <v>510</v>
      </c>
      <c r="S5" s="412" t="s">
        <v>484</v>
      </c>
      <c r="T5" s="296"/>
      <c r="U5" s="296"/>
      <c r="V5" s="297"/>
      <c r="W5" s="189" t="s">
        <v>510</v>
      </c>
      <c r="X5" s="412" t="s">
        <v>484</v>
      </c>
      <c r="Y5" s="296"/>
      <c r="Z5" s="296"/>
      <c r="AA5" s="297"/>
      <c r="AB5" s="189" t="s">
        <v>510</v>
      </c>
      <c r="AC5" s="412" t="s">
        <v>484</v>
      </c>
      <c r="AD5" s="296"/>
      <c r="AE5" s="296"/>
      <c r="AF5" s="297"/>
      <c r="AG5" s="389" t="s">
        <v>464</v>
      </c>
      <c r="AH5" s="192" t="s">
        <v>514</v>
      </c>
      <c r="AI5" s="477" t="s">
        <v>516</v>
      </c>
      <c r="AJ5" s="191" t="s">
        <v>540</v>
      </c>
      <c r="AK5" s="191"/>
      <c r="AL5" s="191"/>
      <c r="AM5" s="192"/>
      <c r="AN5" s="479"/>
      <c r="AO5" s="480" t="s">
        <v>545</v>
      </c>
    </row>
    <row r="6" spans="1:49" ht="15.75" thickBot="1" x14ac:dyDescent="0.3">
      <c r="A6" s="43" t="s">
        <v>290</v>
      </c>
      <c r="B6" s="43" t="s">
        <v>290</v>
      </c>
      <c r="C6" s="44" t="s">
        <v>291</v>
      </c>
      <c r="D6" s="298" t="s">
        <v>444</v>
      </c>
      <c r="E6" s="301" t="s">
        <v>445</v>
      </c>
      <c r="F6" s="299" t="s">
        <v>443</v>
      </c>
      <c r="G6" s="300" t="s">
        <v>295</v>
      </c>
      <c r="H6" s="59"/>
      <c r="I6" s="298" t="s">
        <v>444</v>
      </c>
      <c r="J6" s="301" t="s">
        <v>445</v>
      </c>
      <c r="K6" s="299" t="s">
        <v>443</v>
      </c>
      <c r="L6" s="300" t="s">
        <v>295</v>
      </c>
      <c r="M6" s="59"/>
      <c r="N6" s="298" t="s">
        <v>444</v>
      </c>
      <c r="O6" s="301" t="s">
        <v>445</v>
      </c>
      <c r="P6" s="299" t="s">
        <v>443</v>
      </c>
      <c r="Q6" s="300" t="s">
        <v>295</v>
      </c>
      <c r="R6" s="59"/>
      <c r="S6" s="298" t="s">
        <v>444</v>
      </c>
      <c r="T6" s="301" t="s">
        <v>445</v>
      </c>
      <c r="U6" s="299" t="s">
        <v>443</v>
      </c>
      <c r="V6" s="300" t="s">
        <v>295</v>
      </c>
      <c r="W6" s="59"/>
      <c r="X6" s="298" t="s">
        <v>444</v>
      </c>
      <c r="Y6" s="301" t="s">
        <v>445</v>
      </c>
      <c r="Z6" s="299" t="s">
        <v>443</v>
      </c>
      <c r="AA6" s="300" t="s">
        <v>295</v>
      </c>
      <c r="AB6" s="59"/>
      <c r="AC6" s="298" t="s">
        <v>444</v>
      </c>
      <c r="AD6" s="301" t="s">
        <v>445</v>
      </c>
      <c r="AE6" s="299" t="s">
        <v>443</v>
      </c>
      <c r="AF6" s="300" t="s">
        <v>295</v>
      </c>
      <c r="AG6" s="390"/>
      <c r="AH6" s="429" t="s">
        <v>515</v>
      </c>
      <c r="AI6" s="478" t="s">
        <v>517</v>
      </c>
      <c r="AJ6" s="476" t="s">
        <v>541</v>
      </c>
      <c r="AK6" s="466" t="s">
        <v>542</v>
      </c>
      <c r="AL6" s="466" t="s">
        <v>530</v>
      </c>
      <c r="AM6" s="429" t="s">
        <v>406</v>
      </c>
      <c r="AN6" s="481" t="s">
        <v>546</v>
      </c>
      <c r="AO6" s="482" t="s">
        <v>548</v>
      </c>
    </row>
    <row r="7" spans="1:49" x14ac:dyDescent="0.25">
      <c r="A7" s="63" t="s">
        <v>296</v>
      </c>
      <c r="B7" s="64" t="s">
        <v>22</v>
      </c>
      <c r="C7" s="65" t="s">
        <v>24</v>
      </c>
      <c r="D7" s="302" t="str">
        <f>'Defect P1'!CM7</f>
        <v>Avg 3 Yr</v>
      </c>
      <c r="E7" s="314">
        <f>'Defect P1'!CN7</f>
        <v>0.05</v>
      </c>
      <c r="F7" s="303" t="str">
        <f>IF('Defect P1'!CO7=0,"",'Defect P1'!CO7)</f>
        <v/>
      </c>
      <c r="G7" s="304" t="str">
        <f>'Defect P1'!CP7</f>
        <v/>
      </c>
      <c r="H7" s="78">
        <f>'Defect P1'!CL7</f>
        <v>0</v>
      </c>
      <c r="I7" s="302" t="str">
        <f>'Defect P2'!CM7</f>
        <v>Avg 3 Yr</v>
      </c>
      <c r="J7" s="314">
        <f>'Defect P2'!CN7</f>
        <v>0</v>
      </c>
      <c r="K7" s="303">
        <f>IF('Defect P2'!CO7=0,"",'Defect P2'!CO7)</f>
        <v>1800</v>
      </c>
      <c r="L7" s="304">
        <f>'Defect P2'!CP7</f>
        <v>1800</v>
      </c>
      <c r="M7" s="78">
        <f>'Defect P2'!CL7</f>
        <v>4658</v>
      </c>
      <c r="N7" s="302" t="str">
        <f>RTS!CM7</f>
        <v>Avg 3 Yr</v>
      </c>
      <c r="O7" s="314">
        <f>RTS!CN7</f>
        <v>0.05</v>
      </c>
      <c r="P7" s="303" t="str">
        <f>IF(RTS!CO7=0,"",RTS!CO7)</f>
        <v/>
      </c>
      <c r="Q7" s="304" t="str">
        <f>RTS!CP7</f>
        <v/>
      </c>
      <c r="R7" s="78">
        <f>RTS!CL7</f>
        <v>0</v>
      </c>
      <c r="S7" s="302" t="str">
        <f>Planned!CM7</f>
        <v>Avg 3 Yr</v>
      </c>
      <c r="T7" s="314">
        <f>Planned!CN7</f>
        <v>0.05</v>
      </c>
      <c r="U7" s="303" t="str">
        <f>IF(Planned!CO7=0,"",Planned!CO7)</f>
        <v/>
      </c>
      <c r="V7" s="304" t="str">
        <f>Planned!CP7</f>
        <v/>
      </c>
      <c r="W7" s="78">
        <f>Planned!CL7</f>
        <v>0</v>
      </c>
      <c r="X7" s="302" t="str">
        <f>Reconductor!CM7</f>
        <v>Avg 3 Yr</v>
      </c>
      <c r="Y7" s="314">
        <f>Reconductor!CN7</f>
        <v>0.05</v>
      </c>
      <c r="Z7" s="303" t="str">
        <f>IF(Reconductor!CO7=0,"",Reconductor!CO7)</f>
        <v/>
      </c>
      <c r="AA7" s="304" t="str">
        <f>Reconductor!CP7</f>
        <v/>
      </c>
      <c r="AB7" s="78">
        <f>Reconductor!CL7</f>
        <v>0</v>
      </c>
      <c r="AC7" s="302" t="str">
        <f>CTGS!CM7</f>
        <v>Avg 5 Yr</v>
      </c>
      <c r="AD7" s="314">
        <f>CTGS!CN7</f>
        <v>0.05</v>
      </c>
      <c r="AE7" s="303" t="str">
        <f>IF(CTGS!CO7=0,"",CTGS!CO7)</f>
        <v/>
      </c>
      <c r="AF7" s="304" t="str">
        <f>CTGS!CP7</f>
        <v/>
      </c>
      <c r="AG7" s="391" t="s">
        <v>505</v>
      </c>
      <c r="AH7" s="80">
        <f t="shared" ref="AH7:AH38" si="0">SUM(IFERROR(G7*H7,0),IFERROR(L7*M7,0),IFERROR(Q7*R7,0),IFERROR(V7*W7,0),IFERROR(AA7*AB7,0))</f>
        <v>8384400</v>
      </c>
      <c r="AI7" s="304">
        <f t="shared" ref="AI7:AI38" si="1">IFERROR(AH7/SUM(H7,M7,R7,W7,AB7),"")</f>
        <v>1800</v>
      </c>
      <c r="AJ7" s="415"/>
      <c r="AK7" s="79"/>
      <c r="AL7" s="79">
        <f>AH7</f>
        <v>8384400</v>
      </c>
      <c r="AM7" s="80"/>
      <c r="AN7" s="483">
        <f>IFERROR(AK7/$AN$3,"")</f>
        <v>0</v>
      </c>
      <c r="AO7" s="484">
        <f t="shared" ref="AO7:AO38" si="2">IFERROR(AN7/SUM(AB7,W7,R7,M7,H7),"")</f>
        <v>0</v>
      </c>
    </row>
    <row r="8" spans="1:49" x14ac:dyDescent="0.25">
      <c r="A8" s="81" t="s">
        <v>27</v>
      </c>
      <c r="B8" s="82" t="s">
        <v>25</v>
      </c>
      <c r="C8" s="83" t="s">
        <v>297</v>
      </c>
      <c r="D8" s="305" t="str">
        <f>'Defect P1'!CM8</f>
        <v>Avg 3 Yr</v>
      </c>
      <c r="E8" s="315">
        <f>'Defect P1'!CN8</f>
        <v>0.05</v>
      </c>
      <c r="F8" s="306" t="str">
        <f>IF('Defect P1'!CO8=0,"",'Defect P1'!CO8)</f>
        <v/>
      </c>
      <c r="G8" s="307">
        <f>'Defect P1'!CP8</f>
        <v>7145.125912255</v>
      </c>
      <c r="H8" s="96">
        <f>'Defect P1'!CL8</f>
        <v>63</v>
      </c>
      <c r="I8" s="305" t="str">
        <f>'Defect P2'!CM8</f>
        <v>Avg 3 Yr</v>
      </c>
      <c r="J8" s="315">
        <f>'Defect P2'!CN8</f>
        <v>0</v>
      </c>
      <c r="K8" s="306" t="str">
        <f>IF('Defect P2'!CO8=0,"",'Defect P2'!CO8)</f>
        <v/>
      </c>
      <c r="L8" s="307">
        <f>'Defect P2'!CP8</f>
        <v>4154.6159615260594</v>
      </c>
      <c r="M8" s="96">
        <f>'Defect P2'!CL8</f>
        <v>2528.6666666666665</v>
      </c>
      <c r="N8" s="305" t="str">
        <f>RTS!CM8</f>
        <v>Avg 3 Yr</v>
      </c>
      <c r="O8" s="315">
        <f>RTS!CN8</f>
        <v>0.05</v>
      </c>
      <c r="P8" s="306">
        <f>IF(RTS!CO8=0,"",RTS!CO8)</f>
        <v>14290.25182451</v>
      </c>
      <c r="Q8" s="307">
        <f>RTS!CP8</f>
        <v>14290.25182451</v>
      </c>
      <c r="R8" s="96">
        <f>RTS!CL8</f>
        <v>7</v>
      </c>
      <c r="S8" s="305" t="str">
        <f>Planned!CM8</f>
        <v>Avg 3 Yr</v>
      </c>
      <c r="T8" s="315">
        <f>Planned!CN8</f>
        <v>0.05</v>
      </c>
      <c r="U8" s="306" t="str">
        <f>IF(Planned!CO8=0,"",Planned!CO8)</f>
        <v/>
      </c>
      <c r="V8" s="307">
        <f>Planned!CP8</f>
        <v>14543.978213587876</v>
      </c>
      <c r="W8" s="96">
        <f>Planned!CL8</f>
        <v>0</v>
      </c>
      <c r="X8" s="305" t="str">
        <f>Reconductor!CM8</f>
        <v>Avg 3 Yr</v>
      </c>
      <c r="Y8" s="315">
        <f>Reconductor!CN8</f>
        <v>0.05</v>
      </c>
      <c r="Z8" s="306" t="str">
        <f>IF(Reconductor!CO8=0,"",Reconductor!CO8)</f>
        <v/>
      </c>
      <c r="AA8" s="307">
        <f>Reconductor!CP8</f>
        <v>6740.9921853629903</v>
      </c>
      <c r="AB8" s="96">
        <f>Reconductor!CL8</f>
        <v>1072.3663402993177</v>
      </c>
      <c r="AC8" s="305" t="str">
        <f>CTGS!CM8</f>
        <v>Avg 5 Yr</v>
      </c>
      <c r="AD8" s="315">
        <f>CTGS!CN8</f>
        <v>0.05</v>
      </c>
      <c r="AE8" s="306" t="str">
        <f>IF(CTGS!CO8=0,"",CTGS!CO8)</f>
        <v/>
      </c>
      <c r="AF8" s="307">
        <f>CTGS!CP8</f>
        <v>5216.0769009196338</v>
      </c>
      <c r="AG8" s="392" t="s">
        <v>505</v>
      </c>
      <c r="AH8" s="98">
        <f t="shared" si="0"/>
        <v>18284626.709759872</v>
      </c>
      <c r="AI8" s="307">
        <f t="shared" si="1"/>
        <v>4980.7851564025177</v>
      </c>
      <c r="AJ8" s="416">
        <f>$AH8*SUMIFS('RIN 2.12 2022-2023 REPEX'!J$6:J$15,'RIN 2.12 2022-2023 REPEX'!$A$6:$A$15,$A8)</f>
        <v>3868119.0078705591</v>
      </c>
      <c r="AK8" s="97">
        <f>$AH8*SUMIFS('RIN 2.12 2022-2023 REPEX'!K$6:K$15,'RIN 2.12 2022-2023 REPEX'!$A$6:$A$15,'Unit Cost Rate Summary'!$A8)</f>
        <v>4776499.4675662033</v>
      </c>
      <c r="AL8" s="97">
        <f>$AH8*SUMIFS('RIN 2.12 2022-2023 REPEX'!L$6:L$15,'RIN 2.12 2022-2023 REPEX'!$A$6:$A$15,'Unit Cost Rate Summary'!$A8)</f>
        <v>9417404.3490867093</v>
      </c>
      <c r="AM8" s="98">
        <f>$AH8*SUMIFS('RIN 2.12 2022-2023 REPEX'!M$6:M$15,'RIN 2.12 2022-2023 REPEX'!$A$6:$A$15,'Unit Cost Rate Summary'!$A8)</f>
        <v>222603.88523639747</v>
      </c>
      <c r="AN8" s="485">
        <f t="shared" ref="AN8:AN71" si="3">IFERROR(AK8/$AN$3,"")</f>
        <v>42647.316674698246</v>
      </c>
      <c r="AO8" s="844">
        <f t="shared" si="2"/>
        <v>11.617252308484465</v>
      </c>
    </row>
    <row r="9" spans="1:49" x14ac:dyDescent="0.25">
      <c r="A9" s="81" t="s">
        <v>27</v>
      </c>
      <c r="B9" s="82" t="s">
        <v>28</v>
      </c>
      <c r="C9" s="83" t="s">
        <v>29</v>
      </c>
      <c r="D9" s="305" t="str">
        <f>'Defect P1'!CM9</f>
        <v>Avg 3 Yr</v>
      </c>
      <c r="E9" s="315">
        <f>'Defect P1'!CN9</f>
        <v>0.05</v>
      </c>
      <c r="F9" s="306" t="str">
        <f>IF('Defect P1'!CO9=0,"",'Defect P1'!CO9)</f>
        <v/>
      </c>
      <c r="G9" s="307" t="str">
        <f>'Defect P1'!CP9</f>
        <v/>
      </c>
      <c r="H9" s="96">
        <f>'Defect P1'!CL9</f>
        <v>147.19999999999999</v>
      </c>
      <c r="I9" s="305" t="str">
        <f>'Defect P2'!CM9</f>
        <v>Avg 3 Yr</v>
      </c>
      <c r="J9" s="315">
        <f>'Defect P2'!CN9</f>
        <v>0</v>
      </c>
      <c r="K9" s="306" t="str">
        <f>IF('Defect P2'!CO9=0,"",'Defect P2'!CO9)</f>
        <v/>
      </c>
      <c r="L9" s="307">
        <f>'Defect P2'!CP9</f>
        <v>6397.6176425124941</v>
      </c>
      <c r="M9" s="96">
        <f>'Defect P2'!CL9</f>
        <v>8867.6666666666661</v>
      </c>
      <c r="N9" s="305" t="str">
        <f>RTS!CM9</f>
        <v>Avg 3 Yr</v>
      </c>
      <c r="O9" s="315">
        <f>RTS!CN9</f>
        <v>0.05</v>
      </c>
      <c r="P9" s="306" t="e">
        <f>IF(RTS!CO9=0,"",RTS!CO9)</f>
        <v>#VALUE!</v>
      </c>
      <c r="Q9" s="307" t="e">
        <f>RTS!CP9</f>
        <v>#VALUE!</v>
      </c>
      <c r="R9" s="96">
        <f>RTS!CL9</f>
        <v>74.666666666666671</v>
      </c>
      <c r="S9" s="305" t="str">
        <f>Planned!CM9</f>
        <v>Avg 3 Yr</v>
      </c>
      <c r="T9" s="315">
        <f>Planned!CN9</f>
        <v>0.05</v>
      </c>
      <c r="U9" s="306" t="str">
        <f>IF(Planned!CO9=0,"",Planned!CO9)</f>
        <v/>
      </c>
      <c r="V9" s="307">
        <f>Planned!CP9</f>
        <v>24001.920824910405</v>
      </c>
      <c r="W9" s="96">
        <f>Planned!CL9</f>
        <v>0</v>
      </c>
      <c r="X9" s="305" t="str">
        <f>Reconductor!CM9</f>
        <v>Avg 3 Yr</v>
      </c>
      <c r="Y9" s="315">
        <f>Reconductor!CN9</f>
        <v>0.05</v>
      </c>
      <c r="Z9" s="306" t="str">
        <f>IF(Reconductor!CO9=0,"",Reconductor!CO9)</f>
        <v/>
      </c>
      <c r="AA9" s="307">
        <f>Reconductor!CP9</f>
        <v>7275.4921370729007</v>
      </c>
      <c r="AB9" s="96">
        <f>Reconductor!CL9</f>
        <v>1314.777401361488</v>
      </c>
      <c r="AC9" s="305" t="str">
        <f>CTGS!CM9</f>
        <v>Avg 5 Yr</v>
      </c>
      <c r="AD9" s="315">
        <f>CTGS!CN9</f>
        <v>0.05</v>
      </c>
      <c r="AE9" s="306" t="str">
        <f>IF(CTGS!CO9=0,"",CTGS!CO9)</f>
        <v/>
      </c>
      <c r="AF9" s="307">
        <f>CTGS!CP9</f>
        <v>7877.1388722774009</v>
      </c>
      <c r="AG9" s="392" t="s">
        <v>505</v>
      </c>
      <c r="AH9" s="98">
        <f t="shared" si="0"/>
        <v>66297593.360193267</v>
      </c>
      <c r="AI9" s="307">
        <f t="shared" si="1"/>
        <v>6372.1273855377513</v>
      </c>
      <c r="AJ9" s="416">
        <f>$AH9*SUMIFS('RIN 2.12 2022-2023 REPEX'!J$6:J$15,'RIN 2.12 2022-2023 REPEX'!$A$6:$A$15,'Unit Cost Rate Summary'!$A9)</f>
        <v>14025278.455138033</v>
      </c>
      <c r="AK9" s="97">
        <f>$AH9*SUMIFS('RIN 2.12 2022-2023 REPEX'!K$6:K$15,'RIN 2.12 2022-2023 REPEX'!$A$6:$A$15,'Unit Cost Rate Summary'!$A9)</f>
        <v>17318943.635685664</v>
      </c>
      <c r="AL9" s="97">
        <f>$AH9*SUMIFS('RIN 2.12 2022-2023 REPEX'!L$6:L$15,'RIN 2.12 2022-2023 REPEX'!$A$6:$A$15,'Unit Cost Rate Summary'!$A9)</f>
        <v>34146239.568074055</v>
      </c>
      <c r="AM9" s="98">
        <f>$AH9*SUMIFS('RIN 2.12 2022-2023 REPEX'!M$6:M$15,'RIN 2.12 2022-2023 REPEX'!$A$6:$A$15,'Unit Cost Rate Summary'!$A9)</f>
        <v>807131.70129550993</v>
      </c>
      <c r="AN9" s="485">
        <f t="shared" si="3"/>
        <v>154633.425318622</v>
      </c>
      <c r="AO9" s="486">
        <f t="shared" si="2"/>
        <v>14.862438201021078</v>
      </c>
    </row>
    <row r="10" spans="1:49" x14ac:dyDescent="0.25">
      <c r="A10" s="81" t="s">
        <v>27</v>
      </c>
      <c r="B10" s="82" t="s">
        <v>30</v>
      </c>
      <c r="C10" s="83" t="s">
        <v>298</v>
      </c>
      <c r="D10" s="305" t="str">
        <f>'Defect P1'!CM10</f>
        <v>Avg 5 Yr</v>
      </c>
      <c r="E10" s="315">
        <f>'Defect P1'!CN10</f>
        <v>0.05</v>
      </c>
      <c r="F10" s="306" t="str">
        <f>IF('Defect P1'!CO10=0,"",'Defect P1'!CO10)</f>
        <v/>
      </c>
      <c r="G10" s="307">
        <f>'Defect P1'!CP10</f>
        <v>9334.5164167033199</v>
      </c>
      <c r="H10" s="96">
        <f>'Defect P1'!CL10</f>
        <v>6.8</v>
      </c>
      <c r="I10" s="305" t="str">
        <f>'Defect P2'!CM10</f>
        <v>Avg 5 Yr</v>
      </c>
      <c r="J10" s="315">
        <f>'Defect P2'!CN10</f>
        <v>0</v>
      </c>
      <c r="K10" s="306" t="str">
        <f>IF('Defect P2'!CO10=0,"",'Defect P2'!CO10)</f>
        <v/>
      </c>
      <c r="L10" s="307">
        <f>'Defect P2'!CP10</f>
        <v>12937.757948371664</v>
      </c>
      <c r="M10" s="96">
        <f>'Defect P2'!CL10</f>
        <v>0</v>
      </c>
      <c r="N10" s="305" t="str">
        <f>RTS!CM10</f>
        <v>Avg 5 Yr</v>
      </c>
      <c r="O10" s="315">
        <f>RTS!CN10</f>
        <v>0.05</v>
      </c>
      <c r="P10" s="306">
        <f>IF(RTS!CO10=0,"",RTS!CO10)</f>
        <v>14001.774625054979</v>
      </c>
      <c r="Q10" s="307">
        <f>RTS!CP10</f>
        <v>14001.774625054979</v>
      </c>
      <c r="R10" s="96">
        <f>RTS!CL10</f>
        <v>0</v>
      </c>
      <c r="S10" s="305" t="str">
        <f>Planned!CM10</f>
        <v>Avg 3 Yr</v>
      </c>
      <c r="T10" s="315">
        <f>Planned!CN10</f>
        <v>0.05</v>
      </c>
      <c r="U10" s="306" t="str">
        <f>IF(Planned!CO10=0,"",Planned!CO10)</f>
        <v/>
      </c>
      <c r="V10" s="307" t="str">
        <f>Planned!CP10</f>
        <v/>
      </c>
      <c r="W10" s="96">
        <f>Planned!CL10</f>
        <v>0</v>
      </c>
      <c r="X10" s="305" t="str">
        <f>Reconductor!CM10</f>
        <v>Avg 5 Yr</v>
      </c>
      <c r="Y10" s="315">
        <f>Reconductor!CN10</f>
        <v>0.05</v>
      </c>
      <c r="Z10" s="306" t="str">
        <f>IF(Reconductor!CO10=0,"",Reconductor!CO10)</f>
        <v/>
      </c>
      <c r="AA10" s="307">
        <f>Reconductor!CP10</f>
        <v>6480.4683104660444</v>
      </c>
      <c r="AB10" s="96">
        <f>Reconductor!CL10</f>
        <v>7.1970895322101862</v>
      </c>
      <c r="AC10" s="305" t="str">
        <f>CTGS!CM10</f>
        <v>Avg 5 Yr</v>
      </c>
      <c r="AD10" s="315">
        <f>CTGS!CN10</f>
        <v>0.05</v>
      </c>
      <c r="AE10" s="306" t="str">
        <f>IF(CTGS!CO10=0,"",CTGS!CO10)</f>
        <v/>
      </c>
      <c r="AF10" s="307">
        <f>CTGS!CP10</f>
        <v>13826.65890131868</v>
      </c>
      <c r="AG10" s="392" t="s">
        <v>505</v>
      </c>
      <c r="AH10" s="98">
        <f t="shared" si="0"/>
        <v>110115.22227465757</v>
      </c>
      <c r="AI10" s="307">
        <f t="shared" si="1"/>
        <v>7867.0084963920362</v>
      </c>
      <c r="AJ10" s="416">
        <f>$AH10*SUMIFS('RIN 2.12 2022-2023 REPEX'!J$6:J$15,'RIN 2.12 2022-2023 REPEX'!$A$6:$A$15,'Unit Cost Rate Summary'!$A10)</f>
        <v>23294.912775503322</v>
      </c>
      <c r="AK10" s="97">
        <f>$AH10*SUMIFS('RIN 2.12 2022-2023 REPEX'!K$6:K$15,'RIN 2.12 2022-2023 REPEX'!$A$6:$A$15,'Unit Cost Rate Summary'!$A10)</f>
        <v>28765.438251199794</v>
      </c>
      <c r="AL10" s="97">
        <f>$AH10*SUMIFS('RIN 2.12 2022-2023 REPEX'!L$6:L$15,'RIN 2.12 2022-2023 REPEX'!$A$6:$A$15,'Unit Cost Rate Summary'!$A10)</f>
        <v>56714.287341534058</v>
      </c>
      <c r="AM10" s="98">
        <f>$AH10*SUMIFS('RIN 2.12 2022-2023 REPEX'!M$6:M$15,'RIN 2.12 2022-2023 REPEX'!$A$6:$A$15,'Unit Cost Rate Summary'!$A10)</f>
        <v>1340.5839064203778</v>
      </c>
      <c r="AN10" s="485">
        <f t="shared" si="3"/>
        <v>256.83427009999815</v>
      </c>
      <c r="AO10" s="486">
        <f t="shared" si="2"/>
        <v>18.349119615829391</v>
      </c>
    </row>
    <row r="11" spans="1:49" x14ac:dyDescent="0.25">
      <c r="A11" s="81" t="s">
        <v>27</v>
      </c>
      <c r="B11" s="82" t="s">
        <v>32</v>
      </c>
      <c r="C11" s="83" t="s">
        <v>33</v>
      </c>
      <c r="D11" s="305" t="str">
        <f>'Defect P1'!CM11</f>
        <v>Avg 3 Yr</v>
      </c>
      <c r="E11" s="315">
        <f>'Defect P1'!CN11</f>
        <v>0.05</v>
      </c>
      <c r="F11" s="306" t="str">
        <f>IF('Defect P1'!CO11=0,"",'Defect P1'!CO11)</f>
        <v/>
      </c>
      <c r="G11" s="307" t="str">
        <f>'Defect P1'!CP11</f>
        <v/>
      </c>
      <c r="H11" s="96">
        <f>'Defect P1'!CL11</f>
        <v>5.2</v>
      </c>
      <c r="I11" s="305" t="str">
        <f>'Defect P2'!CM11</f>
        <v>Avg 3 Yr</v>
      </c>
      <c r="J11" s="315">
        <f>'Defect P2'!CN11</f>
        <v>0</v>
      </c>
      <c r="K11" s="306" t="str">
        <f>IF('Defect P2'!CO11=0,"",'Defect P2'!CO11)</f>
        <v/>
      </c>
      <c r="L11" s="307">
        <f>'Defect P2'!CP11</f>
        <v>11006.993701516269</v>
      </c>
      <c r="M11" s="96">
        <f>'Defect P2'!CL11</f>
        <v>580.66666666666663</v>
      </c>
      <c r="N11" s="305" t="str">
        <f>RTS!CM11</f>
        <v>Avg 3 Yr</v>
      </c>
      <c r="O11" s="315">
        <f>RTS!CN11</f>
        <v>0.05</v>
      </c>
      <c r="P11" s="306" t="e">
        <f>IF(RTS!CO11=0,"",RTS!CO11)</f>
        <v>#VALUE!</v>
      </c>
      <c r="Q11" s="307" t="e">
        <f>RTS!CP11</f>
        <v>#VALUE!</v>
      </c>
      <c r="R11" s="96">
        <f>RTS!CL11</f>
        <v>4.666666666666667</v>
      </c>
      <c r="S11" s="305" t="str">
        <f>Planned!CM11</f>
        <v>Avg 3 Yr</v>
      </c>
      <c r="T11" s="315">
        <f>Planned!CN11</f>
        <v>0.05</v>
      </c>
      <c r="U11" s="306" t="str">
        <f>IF(Planned!CO11=0,"",Planned!CO11)</f>
        <v/>
      </c>
      <c r="V11" s="307">
        <f>Planned!CP11</f>
        <v>19346.164553370563</v>
      </c>
      <c r="W11" s="96">
        <f>Planned!CL11</f>
        <v>0</v>
      </c>
      <c r="X11" s="305" t="str">
        <f>Reconductor!CM11</f>
        <v>Avg 3 Yr</v>
      </c>
      <c r="Y11" s="315">
        <f>Reconductor!CN11</f>
        <v>0.05</v>
      </c>
      <c r="Z11" s="306" t="str">
        <f>IF(Reconductor!CO11=0,"",Reconductor!CO11)</f>
        <v/>
      </c>
      <c r="AA11" s="307">
        <f>Reconductor!CP11</f>
        <v>12012.191691436736</v>
      </c>
      <c r="AB11" s="96">
        <f>Reconductor!CL11</f>
        <v>80.476546587441177</v>
      </c>
      <c r="AC11" s="305" t="str">
        <f>CTGS!CM11</f>
        <v>Avg 5 Yr</v>
      </c>
      <c r="AD11" s="315">
        <f>CTGS!CN11</f>
        <v>0.05</v>
      </c>
      <c r="AE11" s="306" t="str">
        <f>IF(CTGS!CO11=0,"",CTGS!CO11)</f>
        <v/>
      </c>
      <c r="AF11" s="307">
        <f>CTGS!CP11</f>
        <v>11664.103258969364</v>
      </c>
      <c r="AG11" s="392" t="s">
        <v>505</v>
      </c>
      <c r="AH11" s="98">
        <f t="shared" si="0"/>
        <v>7358094.0469536278</v>
      </c>
      <c r="AI11" s="307">
        <f t="shared" si="1"/>
        <v>10965.701500285497</v>
      </c>
      <c r="AJ11" s="416">
        <f>$AH11*SUMIFS('RIN 2.12 2022-2023 REPEX'!J$6:J$15,'RIN 2.12 2022-2023 REPEX'!$A$6:$A$15,'Unit Cost Rate Summary'!$A11)</f>
        <v>1556607.3016698912</v>
      </c>
      <c r="AK11" s="97">
        <f>$AH11*SUMIFS('RIN 2.12 2022-2023 REPEX'!K$6:K$15,'RIN 2.12 2022-2023 REPEX'!$A$6:$A$15,'Unit Cost Rate Summary'!$A11)</f>
        <v>1922157.4963199026</v>
      </c>
      <c r="AL11" s="97">
        <f>$AH11*SUMIFS('RIN 2.12 2022-2023 REPEX'!L$6:L$15,'RIN 2.12 2022-2023 REPEX'!$A$6:$A$15,'Unit Cost Rate Summary'!$A11)</f>
        <v>3789749.0596175338</v>
      </c>
      <c r="AM11" s="98">
        <f>$AH11*SUMIFS('RIN 2.12 2022-2023 REPEX'!M$6:M$15,'RIN 2.12 2022-2023 REPEX'!$A$6:$A$15,'Unit Cost Rate Summary'!$A11)</f>
        <v>89580.189346298968</v>
      </c>
      <c r="AN11" s="485">
        <f t="shared" si="3"/>
        <v>17162.120502856273</v>
      </c>
      <c r="AO11" s="486">
        <f t="shared" si="2"/>
        <v>25.576554111069999</v>
      </c>
    </row>
    <row r="12" spans="1:49" x14ac:dyDescent="0.25">
      <c r="A12" s="81" t="s">
        <v>27</v>
      </c>
      <c r="B12" s="82" t="s">
        <v>34</v>
      </c>
      <c r="C12" s="83" t="s">
        <v>35</v>
      </c>
      <c r="D12" s="305" t="str">
        <f>'Defect P1'!CM12</f>
        <v>Avg 3 Yr</v>
      </c>
      <c r="E12" s="315">
        <f>'Defect P1'!CN12</f>
        <v>0.05</v>
      </c>
      <c r="F12" s="306" t="str">
        <f>IF('Defect P1'!CO12=0,"",'Defect P1'!CO12)</f>
        <v/>
      </c>
      <c r="G12" s="307" t="str">
        <f>'Defect P1'!CP12</f>
        <v/>
      </c>
      <c r="H12" s="96">
        <f>'Defect P1'!CL12</f>
        <v>0.2</v>
      </c>
      <c r="I12" s="305" t="str">
        <f>'Defect P2'!CM12</f>
        <v>Avg 3 Yr</v>
      </c>
      <c r="J12" s="315">
        <f>'Defect P2'!CN12</f>
        <v>0</v>
      </c>
      <c r="K12" s="306" t="str">
        <f>IF('Defect P2'!CO12=0,"",'Defect P2'!CO12)</f>
        <v/>
      </c>
      <c r="L12" s="307">
        <f>'Defect P2'!CP12</f>
        <v>13372.412205365217</v>
      </c>
      <c r="M12" s="96">
        <f>'Defect P2'!CL12</f>
        <v>8.6666666666666661</v>
      </c>
      <c r="N12" s="305" t="str">
        <f>RTS!CM12</f>
        <v>Avg 5 Yr</v>
      </c>
      <c r="O12" s="315">
        <f>RTS!CN12</f>
        <v>0.05</v>
      </c>
      <c r="P12" s="306" t="e">
        <f>IF(RTS!CO12=0,"",RTS!CO12)</f>
        <v>#VALUE!</v>
      </c>
      <c r="Q12" s="307" t="e">
        <f>RTS!CP12</f>
        <v>#VALUE!</v>
      </c>
      <c r="R12" s="96">
        <f>RTS!CL12</f>
        <v>0</v>
      </c>
      <c r="S12" s="305" t="str">
        <f>Planned!CM12</f>
        <v>Avg 3 Yr</v>
      </c>
      <c r="T12" s="315">
        <f>Planned!CN12</f>
        <v>0.05</v>
      </c>
      <c r="U12" s="306" t="str">
        <f>IF(Planned!CO12=0,"",Planned!CO12)</f>
        <v/>
      </c>
      <c r="V12" s="307">
        <f>Planned!CP12</f>
        <v>91531.66</v>
      </c>
      <c r="W12" s="96">
        <f>Planned!CL12</f>
        <v>0</v>
      </c>
      <c r="X12" s="305" t="str">
        <f>Reconductor!CM12</f>
        <v>Avg 5 Yr</v>
      </c>
      <c r="Y12" s="315">
        <f>Reconductor!CN12</f>
        <v>0.05</v>
      </c>
      <c r="Z12" s="306" t="str">
        <f>IF(Reconductor!CO12=0,"",Reconductor!CO12)</f>
        <v/>
      </c>
      <c r="AA12" s="307" t="str">
        <f>Reconductor!CP12</f>
        <v/>
      </c>
      <c r="AB12" s="96">
        <f>Reconductor!CL12</f>
        <v>0</v>
      </c>
      <c r="AC12" s="305" t="str">
        <f>CTGS!CM12</f>
        <v>Avg 5 Yr</v>
      </c>
      <c r="AD12" s="315">
        <f>CTGS!CN12</f>
        <v>0.05</v>
      </c>
      <c r="AE12" s="306" t="str">
        <f>IF(CTGS!CO12=0,"",CTGS!CO12)</f>
        <v/>
      </c>
      <c r="AF12" s="307">
        <f>CTGS!CP12</f>
        <v>2748.3362832156467</v>
      </c>
      <c r="AG12" s="392" t="s">
        <v>505</v>
      </c>
      <c r="AH12" s="98">
        <f t="shared" si="0"/>
        <v>115894.23911316521</v>
      </c>
      <c r="AI12" s="307">
        <f t="shared" si="1"/>
        <v>13070.778847349462</v>
      </c>
      <c r="AJ12" s="416">
        <f>$AH12*SUMIFS('RIN 2.12 2022-2023 REPEX'!J$6:J$15,'RIN 2.12 2022-2023 REPEX'!$A$6:$A$15,'Unit Cost Rate Summary'!$A12)</f>
        <v>24517.465755920664</v>
      </c>
      <c r="AK12" s="97">
        <f>$AH12*SUMIFS('RIN 2.12 2022-2023 REPEX'!K$6:K$15,'RIN 2.12 2022-2023 REPEX'!$A$6:$A$15,'Unit Cost Rate Summary'!$A12)</f>
        <v>30275.092852868736</v>
      </c>
      <c r="AL12" s="97">
        <f>$AH12*SUMIFS('RIN 2.12 2022-2023 REPEX'!L$6:L$15,'RIN 2.12 2022-2023 REPEX'!$A$6:$A$15,'Unit Cost Rate Summary'!$A12)</f>
        <v>59690.740685225093</v>
      </c>
      <c r="AM12" s="98">
        <f>$AH12*SUMIFS('RIN 2.12 2022-2023 REPEX'!M$6:M$15,'RIN 2.12 2022-2023 REPEX'!$A$6:$A$15,'Unit Cost Rate Summary'!$A12)</f>
        <v>1410.9398191506989</v>
      </c>
      <c r="AN12" s="485">
        <f t="shared" si="3"/>
        <v>270.31332904347084</v>
      </c>
      <c r="AO12" s="486">
        <f t="shared" si="2"/>
        <v>30.48646568159446</v>
      </c>
    </row>
    <row r="13" spans="1:49" x14ac:dyDescent="0.25">
      <c r="A13" s="81" t="s">
        <v>27</v>
      </c>
      <c r="B13" s="82" t="s">
        <v>36</v>
      </c>
      <c r="C13" s="83" t="s">
        <v>37</v>
      </c>
      <c r="D13" s="305" t="str">
        <f>'Defect P1'!CM13</f>
        <v>Avg 3 Yr</v>
      </c>
      <c r="E13" s="315">
        <f>'Defect P1'!CN13</f>
        <v>0.05</v>
      </c>
      <c r="F13" s="306" t="str">
        <f>IF('Defect P1'!CO13=0,"",'Defect P1'!CO13)</f>
        <v/>
      </c>
      <c r="G13" s="307" t="str">
        <f>'Defect P1'!CP13</f>
        <v/>
      </c>
      <c r="H13" s="96">
        <f>'Defect P1'!CL13</f>
        <v>0</v>
      </c>
      <c r="I13" s="305" t="str">
        <f>'Defect P2'!CM13</f>
        <v>Avg 3 Yr</v>
      </c>
      <c r="J13" s="315">
        <f>'Defect P2'!CN13</f>
        <v>0</v>
      </c>
      <c r="K13" s="306" t="str">
        <f>IF('Defect P2'!CO13=0,"",'Defect P2'!CO13)</f>
        <v/>
      </c>
      <c r="L13" s="307" t="str">
        <f>'Defect P2'!CP13</f>
        <v/>
      </c>
      <c r="M13" s="96">
        <f>'Defect P2'!CL13</f>
        <v>0</v>
      </c>
      <c r="N13" s="305" t="str">
        <f>RTS!CM13</f>
        <v>Avg 3 Yr</v>
      </c>
      <c r="O13" s="315">
        <f>RTS!CN13</f>
        <v>0.05</v>
      </c>
      <c r="P13" s="306" t="str">
        <f>IF(RTS!CO13=0,"",RTS!CO13)</f>
        <v/>
      </c>
      <c r="Q13" s="307" t="str">
        <f>RTS!CP13</f>
        <v/>
      </c>
      <c r="R13" s="96">
        <f>RTS!CL13</f>
        <v>0</v>
      </c>
      <c r="S13" s="305" t="str">
        <f>Planned!CM13</f>
        <v>Avg 3 Yr</v>
      </c>
      <c r="T13" s="315">
        <f>Planned!CN13</f>
        <v>0.05</v>
      </c>
      <c r="U13" s="306" t="str">
        <f>IF(Planned!CO13=0,"",Planned!CO13)</f>
        <v/>
      </c>
      <c r="V13" s="307" t="str">
        <f>Planned!CP13</f>
        <v/>
      </c>
      <c r="W13" s="96">
        <f>Planned!CL13</f>
        <v>0</v>
      </c>
      <c r="X13" s="305" t="str">
        <f>Reconductor!CM13</f>
        <v>Avg 3 Yr</v>
      </c>
      <c r="Y13" s="315">
        <f>Reconductor!CN13</f>
        <v>0.05</v>
      </c>
      <c r="Z13" s="306" t="str">
        <f>IF(Reconductor!CO13=0,"",Reconductor!CO13)</f>
        <v/>
      </c>
      <c r="AA13" s="307" t="str">
        <f>Reconductor!CP13</f>
        <v/>
      </c>
      <c r="AB13" s="96">
        <f>Reconductor!CL13</f>
        <v>0</v>
      </c>
      <c r="AC13" s="305" t="str">
        <f>CTGS!CM13</f>
        <v>Avg 5 Yr</v>
      </c>
      <c r="AD13" s="315">
        <f>CTGS!CN13</f>
        <v>0.05</v>
      </c>
      <c r="AE13" s="306" t="str">
        <f>IF(CTGS!CO13=0,"",CTGS!CO13)</f>
        <v/>
      </c>
      <c r="AF13" s="307" t="str">
        <f>CTGS!CP13</f>
        <v/>
      </c>
      <c r="AG13" s="392" t="s">
        <v>505</v>
      </c>
      <c r="AH13" s="98">
        <f t="shared" si="0"/>
        <v>0</v>
      </c>
      <c r="AI13" s="307" t="str">
        <f t="shared" si="1"/>
        <v/>
      </c>
      <c r="AJ13" s="416">
        <f>$AH13*SUMIFS('RIN 2.12 2022-2023 REPEX'!J$6:J$15,'RIN 2.12 2022-2023 REPEX'!$A$6:$A$15,'Unit Cost Rate Summary'!$A13)</f>
        <v>0</v>
      </c>
      <c r="AK13" s="97">
        <f>$AH13*SUMIFS('RIN 2.12 2022-2023 REPEX'!K$6:K$15,'RIN 2.12 2022-2023 REPEX'!$A$6:$A$15,'Unit Cost Rate Summary'!$A13)</f>
        <v>0</v>
      </c>
      <c r="AL13" s="97">
        <f>$AH13*SUMIFS('RIN 2.12 2022-2023 REPEX'!L$6:L$15,'RIN 2.12 2022-2023 REPEX'!$A$6:$A$15,'Unit Cost Rate Summary'!$A13)</f>
        <v>0</v>
      </c>
      <c r="AM13" s="98">
        <f>$AH13*SUMIFS('RIN 2.12 2022-2023 REPEX'!M$6:M$15,'RIN 2.12 2022-2023 REPEX'!$A$6:$A$15,'Unit Cost Rate Summary'!$A13)</f>
        <v>0</v>
      </c>
      <c r="AN13" s="485">
        <f t="shared" si="3"/>
        <v>0</v>
      </c>
      <c r="AO13" s="486" t="str">
        <f t="shared" si="2"/>
        <v/>
      </c>
    </row>
    <row r="14" spans="1:49" x14ac:dyDescent="0.25">
      <c r="A14" s="81" t="s">
        <v>27</v>
      </c>
      <c r="B14" s="82" t="s">
        <v>39</v>
      </c>
      <c r="C14" s="83" t="s">
        <v>299</v>
      </c>
      <c r="D14" s="305" t="str">
        <f>'Defect P1'!CM14</f>
        <v>Avg 3 Yr</v>
      </c>
      <c r="E14" s="315">
        <f>'Defect P1'!CN14</f>
        <v>0.05</v>
      </c>
      <c r="F14" s="306" t="str">
        <f>IF('Defect P1'!CO14=0,"",'Defect P1'!CO14)</f>
        <v/>
      </c>
      <c r="G14" s="307" t="str">
        <f>'Defect P1'!CP14</f>
        <v/>
      </c>
      <c r="H14" s="96">
        <f>'Defect P1'!CL14</f>
        <v>0</v>
      </c>
      <c r="I14" s="305" t="str">
        <f>'Defect P2'!CM14</f>
        <v>Avg 3 Yr</v>
      </c>
      <c r="J14" s="315">
        <f>'Defect P2'!CN14</f>
        <v>0</v>
      </c>
      <c r="K14" s="306" t="str">
        <f>IF('Defect P2'!CO14=0,"",'Defect P2'!CO14)</f>
        <v/>
      </c>
      <c r="L14" s="307" t="str">
        <f>'Defect P2'!CP14</f>
        <v/>
      </c>
      <c r="M14" s="96">
        <f>'Defect P2'!CL14</f>
        <v>0</v>
      </c>
      <c r="N14" s="305" t="str">
        <f>RTS!CM14</f>
        <v>Avg 3 Yr</v>
      </c>
      <c r="O14" s="315">
        <f>RTS!CN14</f>
        <v>0.05</v>
      </c>
      <c r="P14" s="306" t="str">
        <f>IF(RTS!CO14=0,"",RTS!CO14)</f>
        <v/>
      </c>
      <c r="Q14" s="307" t="str">
        <f>RTS!CP14</f>
        <v/>
      </c>
      <c r="R14" s="96">
        <f>RTS!CL14</f>
        <v>0</v>
      </c>
      <c r="S14" s="305" t="str">
        <f>Planned!CM14</f>
        <v>Avg 3 Yr</v>
      </c>
      <c r="T14" s="315">
        <f>Planned!CN14</f>
        <v>0.05</v>
      </c>
      <c r="U14" s="306" t="str">
        <f>IF(Planned!CO14=0,"",Planned!CO14)</f>
        <v/>
      </c>
      <c r="V14" s="307" t="str">
        <f>Planned!CP14</f>
        <v/>
      </c>
      <c r="W14" s="96">
        <f>Planned!CL14</f>
        <v>0</v>
      </c>
      <c r="X14" s="305" t="str">
        <f>Reconductor!CM14</f>
        <v>Avg 3 Yr</v>
      </c>
      <c r="Y14" s="315">
        <f>Reconductor!CN14</f>
        <v>0.05</v>
      </c>
      <c r="Z14" s="306" t="str">
        <f>IF(Reconductor!CO14=0,"",Reconductor!CO14)</f>
        <v/>
      </c>
      <c r="AA14" s="307" t="str">
        <f>Reconductor!CP14</f>
        <v/>
      </c>
      <c r="AB14" s="96">
        <f>Reconductor!CL14</f>
        <v>0</v>
      </c>
      <c r="AC14" s="305" t="str">
        <f>CTGS!CM14</f>
        <v>Avg 5 Yr</v>
      </c>
      <c r="AD14" s="315">
        <f>CTGS!CN14</f>
        <v>0.05</v>
      </c>
      <c r="AE14" s="306" t="str">
        <f>IF(CTGS!CO14=0,"",CTGS!CO14)</f>
        <v/>
      </c>
      <c r="AF14" s="307" t="str">
        <f>CTGS!CP14</f>
        <v/>
      </c>
      <c r="AG14" s="392" t="s">
        <v>505</v>
      </c>
      <c r="AH14" s="98">
        <f t="shared" si="0"/>
        <v>0</v>
      </c>
      <c r="AI14" s="307" t="str">
        <f t="shared" si="1"/>
        <v/>
      </c>
      <c r="AJ14" s="416">
        <f>$AH14*SUMIFS('RIN 2.12 2022-2023 REPEX'!J$6:J$15,'RIN 2.12 2022-2023 REPEX'!$A$6:$A$15,'Unit Cost Rate Summary'!$A14)</f>
        <v>0</v>
      </c>
      <c r="AK14" s="97">
        <f>$AH14*SUMIFS('RIN 2.12 2022-2023 REPEX'!K$6:K$15,'RIN 2.12 2022-2023 REPEX'!$A$6:$A$15,'Unit Cost Rate Summary'!$A14)</f>
        <v>0</v>
      </c>
      <c r="AL14" s="97">
        <f>$AH14*SUMIFS('RIN 2.12 2022-2023 REPEX'!L$6:L$15,'RIN 2.12 2022-2023 REPEX'!$A$6:$A$15,'Unit Cost Rate Summary'!$A14)</f>
        <v>0</v>
      </c>
      <c r="AM14" s="98">
        <f>$AH14*SUMIFS('RIN 2.12 2022-2023 REPEX'!M$6:M$15,'RIN 2.12 2022-2023 REPEX'!$A$6:$A$15,'Unit Cost Rate Summary'!$A14)</f>
        <v>0</v>
      </c>
      <c r="AN14" s="485">
        <f t="shared" si="3"/>
        <v>0</v>
      </c>
      <c r="AO14" s="486" t="str">
        <f t="shared" si="2"/>
        <v/>
      </c>
    </row>
    <row r="15" spans="1:49" x14ac:dyDescent="0.25">
      <c r="A15" s="81" t="s">
        <v>27</v>
      </c>
      <c r="B15" s="82" t="s">
        <v>41</v>
      </c>
      <c r="C15" s="83" t="s">
        <v>42</v>
      </c>
      <c r="D15" s="305" t="str">
        <f>'Defect P1'!CM15</f>
        <v>Avg 3 Yr</v>
      </c>
      <c r="E15" s="315">
        <f>'Defect P1'!CN15</f>
        <v>0.05</v>
      </c>
      <c r="F15" s="306" t="str">
        <f>IF('Defect P1'!CO15=0,"",'Defect P1'!CO15)</f>
        <v/>
      </c>
      <c r="G15" s="307" t="str">
        <f>'Defect P1'!CP15</f>
        <v/>
      </c>
      <c r="H15" s="96">
        <f>'Defect P1'!CL15</f>
        <v>0</v>
      </c>
      <c r="I15" s="305" t="str">
        <f>'Defect P2'!CM15</f>
        <v>Avg 3 Yr</v>
      </c>
      <c r="J15" s="315">
        <f>'Defect P2'!CN15</f>
        <v>0</v>
      </c>
      <c r="K15" s="306" t="str">
        <f>IF('Defect P2'!CO15=0,"",'Defect P2'!CO15)</f>
        <v/>
      </c>
      <c r="L15" s="307">
        <f>'Defect P2'!CP15</f>
        <v>6595.4642303443843</v>
      </c>
      <c r="M15" s="96">
        <f>'Defect P2'!CL15</f>
        <v>8.6666666666666661</v>
      </c>
      <c r="N15" s="305" t="str">
        <f>RTS!CM15</f>
        <v>Avg 3 Yr</v>
      </c>
      <c r="O15" s="315">
        <f>RTS!CN15</f>
        <v>0.05</v>
      </c>
      <c r="P15" s="306" t="str">
        <f>IF(RTS!CO15=0,"",RTS!CO15)</f>
        <v/>
      </c>
      <c r="Q15" s="307" t="str">
        <f>RTS!CP15</f>
        <v/>
      </c>
      <c r="R15" s="96">
        <f>RTS!CL15</f>
        <v>0</v>
      </c>
      <c r="S15" s="305" t="str">
        <f>Planned!CM15</f>
        <v>Avg 3 Yr</v>
      </c>
      <c r="T15" s="315">
        <f>Planned!CN15</f>
        <v>0.05</v>
      </c>
      <c r="U15" s="306" t="str">
        <f>IF(Planned!CO15=0,"",Planned!CO15)</f>
        <v/>
      </c>
      <c r="V15" s="307" t="str">
        <f>Planned!CP15</f>
        <v/>
      </c>
      <c r="W15" s="96">
        <f>Planned!CL15</f>
        <v>0</v>
      </c>
      <c r="X15" s="305" t="str">
        <f>Reconductor!CM15</f>
        <v>Avg 3 Yr</v>
      </c>
      <c r="Y15" s="315">
        <f>Reconductor!CN15</f>
        <v>0.05</v>
      </c>
      <c r="Z15" s="306" t="str">
        <f>IF(Reconductor!CO15=0,"",Reconductor!CO15)</f>
        <v/>
      </c>
      <c r="AA15" s="307">
        <f>Reconductor!CP15</f>
        <v>9840.6775660880267</v>
      </c>
      <c r="AB15" s="96">
        <f>Reconductor!CL15</f>
        <v>12.758476898008967</v>
      </c>
      <c r="AC15" s="305" t="str">
        <f>CTGS!CM15</f>
        <v>Avg 5 Yr</v>
      </c>
      <c r="AD15" s="315">
        <f>CTGS!CN15</f>
        <v>0.05</v>
      </c>
      <c r="AE15" s="306" t="str">
        <f>IF(CTGS!CO15=0,"",CTGS!CO15)</f>
        <v/>
      </c>
      <c r="AF15" s="307">
        <f>CTGS!CP15</f>
        <v>5977.3722315485002</v>
      </c>
      <c r="AG15" s="392" t="s">
        <v>505</v>
      </c>
      <c r="AH15" s="98">
        <f t="shared" si="0"/>
        <v>182712.74738400721</v>
      </c>
      <c r="AI15" s="307">
        <f t="shared" si="1"/>
        <v>8527.9590697936783</v>
      </c>
      <c r="AJ15" s="416">
        <f>$AH15*SUMIFS('RIN 2.12 2022-2023 REPEX'!J$6:J$15,'RIN 2.12 2022-2023 REPEX'!$A$6:$A$15,'Unit Cost Rate Summary'!$A15)</f>
        <v>38652.943937820848</v>
      </c>
      <c r="AK15" s="97">
        <f>$AH15*SUMIFS('RIN 2.12 2022-2023 REPEX'!K$6:K$15,'RIN 2.12 2022-2023 REPEX'!$A$6:$A$15,'Unit Cost Rate Summary'!$A15)</f>
        <v>47730.115273910887</v>
      </c>
      <c r="AL15" s="97">
        <f>$AH15*SUMIFS('RIN 2.12 2022-2023 REPEX'!L$6:L$15,'RIN 2.12 2022-2023 REPEX'!$A$6:$A$15,'Unit Cost Rate Summary'!$A15)</f>
        <v>94105.274838850019</v>
      </c>
      <c r="AM15" s="98">
        <f>$AH15*SUMIFS('RIN 2.12 2022-2023 REPEX'!M$6:M$15,'RIN 2.12 2022-2023 REPEX'!$A$6:$A$15,'Unit Cost Rate Summary'!$A15)</f>
        <v>2224.4133334254198</v>
      </c>
      <c r="AN15" s="485">
        <f t="shared" si="3"/>
        <v>426.1617435170615</v>
      </c>
      <c r="AO15" s="486">
        <f t="shared" si="2"/>
        <v>19.890729890822712</v>
      </c>
    </row>
    <row r="16" spans="1:49" x14ac:dyDescent="0.25">
      <c r="A16" s="81" t="s">
        <v>27</v>
      </c>
      <c r="B16" s="82" t="s">
        <v>43</v>
      </c>
      <c r="C16" s="83" t="s">
        <v>300</v>
      </c>
      <c r="D16" s="305" t="str">
        <f>'Defect P1'!CM16</f>
        <v>Avg 3 Yr</v>
      </c>
      <c r="E16" s="315">
        <f>'Defect P1'!CN16</f>
        <v>0.05</v>
      </c>
      <c r="F16" s="306" t="str">
        <f>IF('Defect P1'!CO16=0,"",'Defect P1'!CO16)</f>
        <v/>
      </c>
      <c r="G16" s="307" t="str">
        <f>'Defect P1'!CP16</f>
        <v/>
      </c>
      <c r="H16" s="96">
        <f>'Defect P1'!CL16</f>
        <v>0</v>
      </c>
      <c r="I16" s="305" t="str">
        <f>'Defect P2'!CM16</f>
        <v>Avg 3 Yr</v>
      </c>
      <c r="J16" s="315">
        <f>'Defect P2'!CN16</f>
        <v>0</v>
      </c>
      <c r="K16" s="306" t="str">
        <f>IF('Defect P2'!CO16=0,"",'Defect P2'!CO16)</f>
        <v/>
      </c>
      <c r="L16" s="307" t="str">
        <f>'Defect P2'!CP16</f>
        <v/>
      </c>
      <c r="M16" s="96">
        <f>'Defect P2'!CL16</f>
        <v>0</v>
      </c>
      <c r="N16" s="305" t="str">
        <f>RTS!CM16</f>
        <v>Avg 3 Yr</v>
      </c>
      <c r="O16" s="315">
        <f>RTS!CN16</f>
        <v>0.05</v>
      </c>
      <c r="P16" s="306" t="str">
        <f>IF(RTS!CO16=0,"",RTS!CO16)</f>
        <v/>
      </c>
      <c r="Q16" s="307" t="str">
        <f>RTS!CP16</f>
        <v/>
      </c>
      <c r="R16" s="96">
        <f>RTS!CL16</f>
        <v>0</v>
      </c>
      <c r="S16" s="305" t="str">
        <f>Planned!CM16</f>
        <v>Avg 3 Yr</v>
      </c>
      <c r="T16" s="315">
        <f>Planned!CN16</f>
        <v>0.05</v>
      </c>
      <c r="U16" s="306" t="str">
        <f>IF(Planned!CO16=0,"",Planned!CO16)</f>
        <v/>
      </c>
      <c r="V16" s="307" t="str">
        <f>Planned!CP16</f>
        <v/>
      </c>
      <c r="W16" s="96">
        <f>Planned!CL16</f>
        <v>0</v>
      </c>
      <c r="X16" s="305" t="str">
        <f>Reconductor!CM16</f>
        <v>Avg 3 Yr</v>
      </c>
      <c r="Y16" s="315">
        <f>Reconductor!CN16</f>
        <v>0.05</v>
      </c>
      <c r="Z16" s="306" t="str">
        <f>IF(Reconductor!CO16=0,"",Reconductor!CO16)</f>
        <v/>
      </c>
      <c r="AA16" s="307">
        <f>Reconductor!CP16</f>
        <v>14789.323703455668</v>
      </c>
      <c r="AB16" s="96">
        <f>Reconductor!CL16</f>
        <v>0.98142129984684345</v>
      </c>
      <c r="AC16" s="305" t="str">
        <f>CTGS!CM16</f>
        <v>Avg 5 Yr</v>
      </c>
      <c r="AD16" s="315">
        <f>CTGS!CN16</f>
        <v>0.05</v>
      </c>
      <c r="AE16" s="306" t="str">
        <f>IF(CTGS!CO16=0,"",CTGS!CO16)</f>
        <v/>
      </c>
      <c r="AF16" s="307" t="str">
        <f>CTGS!CP16</f>
        <v/>
      </c>
      <c r="AG16" s="392" t="s">
        <v>505</v>
      </c>
      <c r="AH16" s="98">
        <f t="shared" si="0"/>
        <v>14514.557292901194</v>
      </c>
      <c r="AI16" s="307">
        <f t="shared" si="1"/>
        <v>14789.323703455668</v>
      </c>
      <c r="AJ16" s="416">
        <f>$AH16*SUMIFS('RIN 2.12 2022-2023 REPEX'!J$6:J$15,'RIN 2.12 2022-2023 REPEX'!$A$6:$A$15,'Unit Cost Rate Summary'!$A16)</f>
        <v>3070.5595387150611</v>
      </c>
      <c r="AK16" s="97">
        <f>$AH16*SUMIFS('RIN 2.12 2022-2023 REPEX'!K$6:K$15,'RIN 2.12 2022-2023 REPEX'!$A$6:$A$15,'Unit Cost Rate Summary'!$A16)</f>
        <v>3791.6429075632022</v>
      </c>
      <c r="AL16" s="97">
        <f>$AH16*SUMIFS('RIN 2.12 2022-2023 REPEX'!L$6:L$15,'RIN 2.12 2022-2023 REPEX'!$A$6:$A$15,'Unit Cost Rate Summary'!$A16)</f>
        <v>7475.6491967251668</v>
      </c>
      <c r="AM16" s="98">
        <f>$AH16*SUMIFS('RIN 2.12 2022-2023 REPEX'!M$6:M$15,'RIN 2.12 2022-2023 REPEX'!$A$6:$A$15,'Unit Cost Rate Summary'!$A16)</f>
        <v>176.70564989776184</v>
      </c>
      <c r="AN16" s="485">
        <f t="shared" si="3"/>
        <v>33.853954531814303</v>
      </c>
      <c r="AO16" s="486">
        <f t="shared" si="2"/>
        <v>34.494823514730534</v>
      </c>
    </row>
    <row r="17" spans="1:41" x14ac:dyDescent="0.25">
      <c r="A17" s="81" t="s">
        <v>27</v>
      </c>
      <c r="B17" s="82" t="s">
        <v>45</v>
      </c>
      <c r="C17" s="83" t="s">
        <v>46</v>
      </c>
      <c r="D17" s="305" t="str">
        <f>'Defect P1'!CM17</f>
        <v>Avg 3 Yr</v>
      </c>
      <c r="E17" s="315">
        <f>'Defect P1'!CN17</f>
        <v>0.05</v>
      </c>
      <c r="F17" s="306" t="str">
        <f>IF('Defect P1'!CO17=0,"",'Defect P1'!CO17)</f>
        <v/>
      </c>
      <c r="G17" s="307" t="str">
        <f>'Defect P1'!CP17</f>
        <v/>
      </c>
      <c r="H17" s="96">
        <f>'Defect P1'!CL17</f>
        <v>0</v>
      </c>
      <c r="I17" s="305" t="str">
        <f>'Defect P2'!CM17</f>
        <v>Avg 3 Yr</v>
      </c>
      <c r="J17" s="315">
        <f>'Defect P2'!CN17</f>
        <v>0</v>
      </c>
      <c r="K17" s="306" t="str">
        <f>IF('Defect P2'!CO17=0,"",'Defect P2'!CO17)</f>
        <v/>
      </c>
      <c r="L17" s="307" t="str">
        <f>'Defect P2'!CP17</f>
        <v/>
      </c>
      <c r="M17" s="96">
        <f>'Defect P2'!CL17</f>
        <v>0</v>
      </c>
      <c r="N17" s="305" t="str">
        <f>RTS!CM17</f>
        <v>Avg 3 Yr</v>
      </c>
      <c r="O17" s="315">
        <f>RTS!CN17</f>
        <v>0.05</v>
      </c>
      <c r="P17" s="306" t="str">
        <f>IF(RTS!CO17=0,"",RTS!CO17)</f>
        <v/>
      </c>
      <c r="Q17" s="307" t="str">
        <f>RTS!CP17</f>
        <v/>
      </c>
      <c r="R17" s="96">
        <f>RTS!CL17</f>
        <v>0</v>
      </c>
      <c r="S17" s="305" t="str">
        <f>Planned!CM17</f>
        <v>Avg 3 Yr</v>
      </c>
      <c r="T17" s="315">
        <f>Planned!CN17</f>
        <v>0.05</v>
      </c>
      <c r="U17" s="306" t="str">
        <f>IF(Planned!CO17=0,"",Planned!CO17)</f>
        <v/>
      </c>
      <c r="V17" s="307" t="str">
        <f>Planned!CP17</f>
        <v/>
      </c>
      <c r="W17" s="96">
        <f>Planned!CL17</f>
        <v>0</v>
      </c>
      <c r="X17" s="305" t="str">
        <f>Reconductor!CM17</f>
        <v>Avg 3 Yr</v>
      </c>
      <c r="Y17" s="315">
        <f>Reconductor!CN17</f>
        <v>0.05</v>
      </c>
      <c r="Z17" s="306" t="str">
        <f>IF(Reconductor!CO17=0,"",Reconductor!CO17)</f>
        <v/>
      </c>
      <c r="AA17" s="307" t="str">
        <f>Reconductor!CP17</f>
        <v/>
      </c>
      <c r="AB17" s="96">
        <f>Reconductor!CL17</f>
        <v>0</v>
      </c>
      <c r="AC17" s="305" t="str">
        <f>CTGS!CM17</f>
        <v>Avg 5 Yr</v>
      </c>
      <c r="AD17" s="315">
        <f>CTGS!CN17</f>
        <v>0.05</v>
      </c>
      <c r="AE17" s="306" t="str">
        <f>IF(CTGS!CO17=0,"",CTGS!CO17)</f>
        <v/>
      </c>
      <c r="AF17" s="307">
        <f>CTGS!CP17</f>
        <v>73037.651892931739</v>
      </c>
      <c r="AG17" s="392" t="s">
        <v>505</v>
      </c>
      <c r="AH17" s="98">
        <f t="shared" si="0"/>
        <v>0</v>
      </c>
      <c r="AI17" s="307" t="str">
        <f t="shared" si="1"/>
        <v/>
      </c>
      <c r="AJ17" s="416">
        <f>$AH17*SUMIFS('RIN 2.12 2022-2023 REPEX'!J$6:J$15,'RIN 2.12 2022-2023 REPEX'!$A$6:$A$15,'Unit Cost Rate Summary'!$A17)</f>
        <v>0</v>
      </c>
      <c r="AK17" s="97">
        <f>$AH17*SUMIFS('RIN 2.12 2022-2023 REPEX'!K$6:K$15,'RIN 2.12 2022-2023 REPEX'!$A$6:$A$15,'Unit Cost Rate Summary'!$A17)</f>
        <v>0</v>
      </c>
      <c r="AL17" s="97">
        <f>$AH17*SUMIFS('RIN 2.12 2022-2023 REPEX'!L$6:L$15,'RIN 2.12 2022-2023 REPEX'!$A$6:$A$15,'Unit Cost Rate Summary'!$A17)</f>
        <v>0</v>
      </c>
      <c r="AM17" s="98">
        <f>$AH17*SUMIFS('RIN 2.12 2022-2023 REPEX'!M$6:M$15,'RIN 2.12 2022-2023 REPEX'!$A$6:$A$15,'Unit Cost Rate Summary'!$A17)</f>
        <v>0</v>
      </c>
      <c r="AN17" s="485">
        <f t="shared" si="3"/>
        <v>0</v>
      </c>
      <c r="AO17" s="486" t="str">
        <f t="shared" si="2"/>
        <v/>
      </c>
    </row>
    <row r="18" spans="1:41" x14ac:dyDescent="0.25">
      <c r="A18" s="81" t="s">
        <v>27</v>
      </c>
      <c r="B18" s="82" t="s">
        <v>47</v>
      </c>
      <c r="C18" s="83" t="s">
        <v>48</v>
      </c>
      <c r="D18" s="305" t="str">
        <f>'Defect P1'!CM18</f>
        <v>Avg 3 Yr</v>
      </c>
      <c r="E18" s="315">
        <f>'Defect P1'!CN18</f>
        <v>0.05</v>
      </c>
      <c r="F18" s="306" t="str">
        <f>IF('Defect P1'!CO18=0,"",'Defect P1'!CO18)</f>
        <v/>
      </c>
      <c r="G18" s="307" t="str">
        <f>'Defect P1'!CP18</f>
        <v/>
      </c>
      <c r="H18" s="96">
        <f>'Defect P1'!CL18</f>
        <v>0</v>
      </c>
      <c r="I18" s="305" t="str">
        <f>'Defect P2'!CM18</f>
        <v>Avg 3 Yr</v>
      </c>
      <c r="J18" s="315">
        <f>'Defect P2'!CN18</f>
        <v>0</v>
      </c>
      <c r="K18" s="306" t="str">
        <f>IF('Defect P2'!CO18=0,"",'Defect P2'!CO18)</f>
        <v/>
      </c>
      <c r="L18" s="307" t="str">
        <f>'Defect P2'!CP18</f>
        <v/>
      </c>
      <c r="M18" s="96">
        <f>'Defect P2'!CL18</f>
        <v>0</v>
      </c>
      <c r="N18" s="305" t="str">
        <f>RTS!CM18</f>
        <v>Avg 3 Yr</v>
      </c>
      <c r="O18" s="315">
        <f>RTS!CN18</f>
        <v>0.05</v>
      </c>
      <c r="P18" s="306" t="str">
        <f>IF(RTS!CO18=0,"",RTS!CO18)</f>
        <v/>
      </c>
      <c r="Q18" s="307" t="str">
        <f>RTS!CP18</f>
        <v/>
      </c>
      <c r="R18" s="96">
        <f>RTS!CL18</f>
        <v>0</v>
      </c>
      <c r="S18" s="305" t="str">
        <f>Planned!CM18</f>
        <v>Avg 3 Yr</v>
      </c>
      <c r="T18" s="315">
        <f>Planned!CN18</f>
        <v>0.05</v>
      </c>
      <c r="U18" s="306" t="str">
        <f>IF(Planned!CO18=0,"",Planned!CO18)</f>
        <v/>
      </c>
      <c r="V18" s="307" t="str">
        <f>Planned!CP18</f>
        <v/>
      </c>
      <c r="W18" s="96">
        <f>Planned!CL18</f>
        <v>0</v>
      </c>
      <c r="X18" s="305" t="str">
        <f>Reconductor!CM18</f>
        <v>Avg 3 Yr</v>
      </c>
      <c r="Y18" s="315">
        <f>Reconductor!CN18</f>
        <v>0.05</v>
      </c>
      <c r="Z18" s="306" t="str">
        <f>IF(Reconductor!CO18=0,"",Reconductor!CO18)</f>
        <v/>
      </c>
      <c r="AA18" s="307" t="str">
        <f>Reconductor!CP18</f>
        <v/>
      </c>
      <c r="AB18" s="96">
        <f>Reconductor!CL18</f>
        <v>0</v>
      </c>
      <c r="AC18" s="305" t="str">
        <f>CTGS!CM18</f>
        <v>Avg 5 Yr</v>
      </c>
      <c r="AD18" s="315">
        <f>CTGS!CN18</f>
        <v>0.05</v>
      </c>
      <c r="AE18" s="306" t="str">
        <f>IF(CTGS!CO18=0,"",CTGS!CO18)</f>
        <v/>
      </c>
      <c r="AF18" s="307" t="str">
        <f>CTGS!CP18</f>
        <v/>
      </c>
      <c r="AG18" s="392" t="s">
        <v>505</v>
      </c>
      <c r="AH18" s="98">
        <f t="shared" si="0"/>
        <v>0</v>
      </c>
      <c r="AI18" s="307" t="str">
        <f t="shared" si="1"/>
        <v/>
      </c>
      <c r="AJ18" s="416">
        <f>$AH18*SUMIFS('RIN 2.12 2022-2023 REPEX'!J$6:J$15,'RIN 2.12 2022-2023 REPEX'!$A$6:$A$15,'Unit Cost Rate Summary'!$A18)</f>
        <v>0</v>
      </c>
      <c r="AK18" s="97">
        <f>$AH18*SUMIFS('RIN 2.12 2022-2023 REPEX'!K$6:K$15,'RIN 2.12 2022-2023 REPEX'!$A$6:$A$15,'Unit Cost Rate Summary'!$A18)</f>
        <v>0</v>
      </c>
      <c r="AL18" s="97">
        <f>$AH18*SUMIFS('RIN 2.12 2022-2023 REPEX'!L$6:L$15,'RIN 2.12 2022-2023 REPEX'!$A$6:$A$15,'Unit Cost Rate Summary'!$A18)</f>
        <v>0</v>
      </c>
      <c r="AM18" s="98">
        <f>$AH18*SUMIFS('RIN 2.12 2022-2023 REPEX'!M$6:M$15,'RIN 2.12 2022-2023 REPEX'!$A$6:$A$15,'Unit Cost Rate Summary'!$A18)</f>
        <v>0</v>
      </c>
      <c r="AN18" s="485">
        <f t="shared" si="3"/>
        <v>0</v>
      </c>
      <c r="AO18" s="486" t="str">
        <f t="shared" si="2"/>
        <v/>
      </c>
    </row>
    <row r="19" spans="1:41" x14ac:dyDescent="0.25">
      <c r="A19" s="81" t="s">
        <v>27</v>
      </c>
      <c r="B19" s="82" t="s">
        <v>49</v>
      </c>
      <c r="C19" s="83" t="s">
        <v>50</v>
      </c>
      <c r="D19" s="305" t="str">
        <f>'Defect P1'!CM19</f>
        <v>Avg 3 Yr</v>
      </c>
      <c r="E19" s="315">
        <f>'Defect P1'!CN19</f>
        <v>0.05</v>
      </c>
      <c r="F19" s="306" t="str">
        <f>IF('Defect P1'!CO19=0,"",'Defect P1'!CO19)</f>
        <v/>
      </c>
      <c r="G19" s="307" t="str">
        <f>'Defect P1'!CP19</f>
        <v/>
      </c>
      <c r="H19" s="96">
        <f>'Defect P1'!CL19</f>
        <v>0</v>
      </c>
      <c r="I19" s="305" t="str">
        <f>'Defect P2'!CM19</f>
        <v>Avg 3 Yr</v>
      </c>
      <c r="J19" s="315">
        <f>'Defect P2'!CN19</f>
        <v>0</v>
      </c>
      <c r="K19" s="306" t="str">
        <f>IF('Defect P2'!CO19=0,"",'Defect P2'!CO19)</f>
        <v/>
      </c>
      <c r="L19" s="307" t="str">
        <f>'Defect P2'!CP19</f>
        <v/>
      </c>
      <c r="M19" s="96">
        <f>'Defect P2'!CL19</f>
        <v>0</v>
      </c>
      <c r="N19" s="305" t="str">
        <f>RTS!CM19</f>
        <v>Avg 3 Yr</v>
      </c>
      <c r="O19" s="315">
        <f>RTS!CN19</f>
        <v>0.05</v>
      </c>
      <c r="P19" s="306" t="str">
        <f>IF(RTS!CO19=0,"",RTS!CO19)</f>
        <v/>
      </c>
      <c r="Q19" s="307" t="str">
        <f>RTS!CP19</f>
        <v/>
      </c>
      <c r="R19" s="96">
        <f>RTS!CL19</f>
        <v>0</v>
      </c>
      <c r="S19" s="305" t="str">
        <f>Planned!CM19</f>
        <v>Avg 3 Yr</v>
      </c>
      <c r="T19" s="315">
        <f>Planned!CN19</f>
        <v>0.05</v>
      </c>
      <c r="U19" s="306" t="str">
        <f>IF(Planned!CO19=0,"",Planned!CO19)</f>
        <v/>
      </c>
      <c r="V19" s="307" t="str">
        <f>Planned!CP19</f>
        <v/>
      </c>
      <c r="W19" s="96">
        <f>Planned!CL19</f>
        <v>0</v>
      </c>
      <c r="X19" s="305" t="str">
        <f>Reconductor!CM19</f>
        <v>Avg 3 Yr</v>
      </c>
      <c r="Y19" s="315">
        <f>Reconductor!CN19</f>
        <v>0.05</v>
      </c>
      <c r="Z19" s="306" t="str">
        <f>IF(Reconductor!CO19=0,"",Reconductor!CO19)</f>
        <v/>
      </c>
      <c r="AA19" s="307" t="str">
        <f>Reconductor!CP19</f>
        <v/>
      </c>
      <c r="AB19" s="96">
        <f>Reconductor!CL19</f>
        <v>0</v>
      </c>
      <c r="AC19" s="305" t="str">
        <f>CTGS!CM19</f>
        <v>Avg 5 Yr</v>
      </c>
      <c r="AD19" s="315">
        <f>CTGS!CN19</f>
        <v>0.05</v>
      </c>
      <c r="AE19" s="306" t="str">
        <f>IF(CTGS!CO19=0,"",CTGS!CO19)</f>
        <v/>
      </c>
      <c r="AF19" s="307" t="str">
        <f>CTGS!CP19</f>
        <v/>
      </c>
      <c r="AG19" s="392" t="s">
        <v>505</v>
      </c>
      <c r="AH19" s="98">
        <f t="shared" si="0"/>
        <v>0</v>
      </c>
      <c r="AI19" s="307" t="str">
        <f t="shared" si="1"/>
        <v/>
      </c>
      <c r="AJ19" s="416">
        <f>$AH19*SUMIFS('RIN 2.12 2022-2023 REPEX'!J$6:J$15,'RIN 2.12 2022-2023 REPEX'!$A$6:$A$15,'Unit Cost Rate Summary'!$A19)</f>
        <v>0</v>
      </c>
      <c r="AK19" s="97">
        <f>$AH19*SUMIFS('RIN 2.12 2022-2023 REPEX'!K$6:K$15,'RIN 2.12 2022-2023 REPEX'!$A$6:$A$15,'Unit Cost Rate Summary'!$A19)</f>
        <v>0</v>
      </c>
      <c r="AL19" s="97">
        <f>$AH19*SUMIFS('RIN 2.12 2022-2023 REPEX'!L$6:L$15,'RIN 2.12 2022-2023 REPEX'!$A$6:$A$15,'Unit Cost Rate Summary'!$A19)</f>
        <v>0</v>
      </c>
      <c r="AM19" s="98">
        <f>$AH19*SUMIFS('RIN 2.12 2022-2023 REPEX'!M$6:M$15,'RIN 2.12 2022-2023 REPEX'!$A$6:$A$15,'Unit Cost Rate Summary'!$A19)</f>
        <v>0</v>
      </c>
      <c r="AN19" s="485">
        <f t="shared" si="3"/>
        <v>0</v>
      </c>
      <c r="AO19" s="486" t="str">
        <f t="shared" si="2"/>
        <v/>
      </c>
    </row>
    <row r="20" spans="1:41" x14ac:dyDescent="0.25">
      <c r="A20" s="81" t="s">
        <v>27</v>
      </c>
      <c r="B20" s="82" t="s">
        <v>51</v>
      </c>
      <c r="C20" s="83" t="s">
        <v>301</v>
      </c>
      <c r="D20" s="305" t="str">
        <f>'Defect P1'!CM20</f>
        <v>Avg 3 Yr</v>
      </c>
      <c r="E20" s="315">
        <f>'Defect P1'!CN20</f>
        <v>0.05</v>
      </c>
      <c r="F20" s="306" t="str">
        <f>IF('Defect P1'!CO20=0,"",'Defect P1'!CO20)</f>
        <v/>
      </c>
      <c r="G20" s="307" t="str">
        <f>'Defect P1'!CP20</f>
        <v/>
      </c>
      <c r="H20" s="96">
        <f>'Defect P1'!CL20</f>
        <v>0</v>
      </c>
      <c r="I20" s="305" t="str">
        <f>'Defect P2'!CM20</f>
        <v>Avg 3 Yr</v>
      </c>
      <c r="J20" s="315">
        <f>'Defect P2'!CN20</f>
        <v>0</v>
      </c>
      <c r="K20" s="306" t="str">
        <f>IF('Defect P2'!CO20=0,"",'Defect P2'!CO20)</f>
        <v/>
      </c>
      <c r="L20" s="307" t="str">
        <f>'Defect P2'!CP20</f>
        <v/>
      </c>
      <c r="M20" s="96">
        <f>'Defect P2'!CL20</f>
        <v>0</v>
      </c>
      <c r="N20" s="305" t="str">
        <f>RTS!CM20</f>
        <v>Avg 3 Yr</v>
      </c>
      <c r="O20" s="315">
        <f>RTS!CN20</f>
        <v>0.05</v>
      </c>
      <c r="P20" s="306" t="str">
        <f>IF(RTS!CO20=0,"",RTS!CO20)</f>
        <v/>
      </c>
      <c r="Q20" s="307" t="str">
        <f>RTS!CP20</f>
        <v/>
      </c>
      <c r="R20" s="96">
        <f>RTS!CL20</f>
        <v>0</v>
      </c>
      <c r="S20" s="305" t="str">
        <f>Planned!CM20</f>
        <v>Avg 3 Yr</v>
      </c>
      <c r="T20" s="315">
        <f>Planned!CN20</f>
        <v>0.05</v>
      </c>
      <c r="U20" s="306" t="str">
        <f>IF(Planned!CO20=0,"",Planned!CO20)</f>
        <v/>
      </c>
      <c r="V20" s="307" t="str">
        <f>Planned!CP20</f>
        <v/>
      </c>
      <c r="W20" s="96">
        <f>Planned!CL20</f>
        <v>0</v>
      </c>
      <c r="X20" s="305" t="str">
        <f>Reconductor!CM20</f>
        <v>Avg 3 Yr</v>
      </c>
      <c r="Y20" s="315">
        <f>Reconductor!CN20</f>
        <v>0.05</v>
      </c>
      <c r="Z20" s="306" t="str">
        <f>IF(Reconductor!CO20=0,"",Reconductor!CO20)</f>
        <v/>
      </c>
      <c r="AA20" s="307" t="str">
        <f>Reconductor!CP20</f>
        <v/>
      </c>
      <c r="AB20" s="96">
        <f>Reconductor!CL20</f>
        <v>0</v>
      </c>
      <c r="AC20" s="305" t="str">
        <f>CTGS!CM20</f>
        <v>Avg 5 Yr</v>
      </c>
      <c r="AD20" s="315">
        <f>CTGS!CN20</f>
        <v>0.05</v>
      </c>
      <c r="AE20" s="306" t="str">
        <f>IF(CTGS!CO20=0,"",CTGS!CO20)</f>
        <v/>
      </c>
      <c r="AF20" s="307" t="str">
        <f>CTGS!CP20</f>
        <v/>
      </c>
      <c r="AG20" s="392" t="s">
        <v>505</v>
      </c>
      <c r="AH20" s="98">
        <f t="shared" si="0"/>
        <v>0</v>
      </c>
      <c r="AI20" s="307" t="str">
        <f t="shared" si="1"/>
        <v/>
      </c>
      <c r="AJ20" s="416">
        <f>$AH20*SUMIFS('RIN 2.12 2022-2023 REPEX'!J$6:J$15,'RIN 2.12 2022-2023 REPEX'!$A$6:$A$15,'Unit Cost Rate Summary'!$A20)</f>
        <v>0</v>
      </c>
      <c r="AK20" s="97">
        <f>$AH20*SUMIFS('RIN 2.12 2022-2023 REPEX'!K$6:K$15,'RIN 2.12 2022-2023 REPEX'!$A$6:$A$15,'Unit Cost Rate Summary'!$A20)</f>
        <v>0</v>
      </c>
      <c r="AL20" s="97">
        <f>$AH20*SUMIFS('RIN 2.12 2022-2023 REPEX'!L$6:L$15,'RIN 2.12 2022-2023 REPEX'!$A$6:$A$15,'Unit Cost Rate Summary'!$A20)</f>
        <v>0</v>
      </c>
      <c r="AM20" s="98">
        <f>$AH20*SUMIFS('RIN 2.12 2022-2023 REPEX'!M$6:M$15,'RIN 2.12 2022-2023 REPEX'!$A$6:$A$15,'Unit Cost Rate Summary'!$A20)</f>
        <v>0</v>
      </c>
      <c r="AN20" s="485">
        <f t="shared" si="3"/>
        <v>0</v>
      </c>
      <c r="AO20" s="486" t="str">
        <f t="shared" si="2"/>
        <v/>
      </c>
    </row>
    <row r="21" spans="1:41" x14ac:dyDescent="0.25">
      <c r="A21" s="81" t="s">
        <v>27</v>
      </c>
      <c r="B21" s="82" t="s">
        <v>53</v>
      </c>
      <c r="C21" s="83" t="s">
        <v>54</v>
      </c>
      <c r="D21" s="305" t="str">
        <f>'Defect P1'!CM21</f>
        <v>Avg 3 Yr</v>
      </c>
      <c r="E21" s="315">
        <f>'Defect P1'!CN21</f>
        <v>0.05</v>
      </c>
      <c r="F21" s="306" t="str">
        <f>IF('Defect P1'!CO21=0,"",'Defect P1'!CO21)</f>
        <v/>
      </c>
      <c r="G21" s="307" t="str">
        <f>'Defect P1'!CP21</f>
        <v/>
      </c>
      <c r="H21" s="96">
        <f>'Defect P1'!CL21</f>
        <v>0</v>
      </c>
      <c r="I21" s="305" t="str">
        <f>'Defect P2'!CM21</f>
        <v>Avg 3 Yr</v>
      </c>
      <c r="J21" s="315">
        <f>'Defect P2'!CN21</f>
        <v>0</v>
      </c>
      <c r="K21" s="306" t="str">
        <f>IF('Defect P2'!CO21=0,"",'Defect P2'!CO21)</f>
        <v/>
      </c>
      <c r="L21" s="307" t="str">
        <f>'Defect P2'!CP21</f>
        <v/>
      </c>
      <c r="M21" s="96">
        <f>'Defect P2'!CL21</f>
        <v>0</v>
      </c>
      <c r="N21" s="305" t="str">
        <f>RTS!CM21</f>
        <v>Avg 3 Yr</v>
      </c>
      <c r="O21" s="315">
        <f>RTS!CN21</f>
        <v>0.05</v>
      </c>
      <c r="P21" s="306" t="str">
        <f>IF(RTS!CO21=0,"",RTS!CO21)</f>
        <v/>
      </c>
      <c r="Q21" s="307" t="str">
        <f>RTS!CP21</f>
        <v/>
      </c>
      <c r="R21" s="96">
        <f>RTS!CL21</f>
        <v>0</v>
      </c>
      <c r="S21" s="305" t="str">
        <f>Planned!CM21</f>
        <v>Avg 3 Yr</v>
      </c>
      <c r="T21" s="315">
        <f>Planned!CN21</f>
        <v>0.05</v>
      </c>
      <c r="U21" s="306" t="str">
        <f>IF(Planned!CO21=0,"",Planned!CO21)</f>
        <v/>
      </c>
      <c r="V21" s="307" t="str">
        <f>Planned!CP21</f>
        <v/>
      </c>
      <c r="W21" s="96">
        <f>Planned!CL21</f>
        <v>0</v>
      </c>
      <c r="X21" s="305" t="str">
        <f>Reconductor!CM21</f>
        <v>Avg 3 Yr</v>
      </c>
      <c r="Y21" s="315">
        <f>Reconductor!CN21</f>
        <v>0.05</v>
      </c>
      <c r="Z21" s="306" t="str">
        <f>IF(Reconductor!CO21=0,"",Reconductor!CO21)</f>
        <v/>
      </c>
      <c r="AA21" s="307" t="str">
        <f>Reconductor!CP21</f>
        <v/>
      </c>
      <c r="AB21" s="96">
        <f>Reconductor!CL21</f>
        <v>0</v>
      </c>
      <c r="AC21" s="305" t="str">
        <f>CTGS!CM21</f>
        <v>Avg 5 Yr</v>
      </c>
      <c r="AD21" s="315">
        <f>CTGS!CN21</f>
        <v>0.05</v>
      </c>
      <c r="AE21" s="306" t="str">
        <f>IF(CTGS!CO21=0,"",CTGS!CO21)</f>
        <v/>
      </c>
      <c r="AF21" s="307" t="str">
        <f>CTGS!CP21</f>
        <v/>
      </c>
      <c r="AG21" s="392" t="s">
        <v>505</v>
      </c>
      <c r="AH21" s="98">
        <f t="shared" si="0"/>
        <v>0</v>
      </c>
      <c r="AI21" s="307" t="str">
        <f t="shared" si="1"/>
        <v/>
      </c>
      <c r="AJ21" s="416">
        <f>$AH21*SUMIFS('RIN 2.12 2022-2023 REPEX'!J$6:J$15,'RIN 2.12 2022-2023 REPEX'!$A$6:$A$15,'Unit Cost Rate Summary'!$A21)</f>
        <v>0</v>
      </c>
      <c r="AK21" s="97">
        <f>$AH21*SUMIFS('RIN 2.12 2022-2023 REPEX'!K$6:K$15,'RIN 2.12 2022-2023 REPEX'!$A$6:$A$15,'Unit Cost Rate Summary'!$A21)</f>
        <v>0</v>
      </c>
      <c r="AL21" s="97">
        <f>$AH21*SUMIFS('RIN 2.12 2022-2023 REPEX'!L$6:L$15,'RIN 2.12 2022-2023 REPEX'!$A$6:$A$15,'Unit Cost Rate Summary'!$A21)</f>
        <v>0</v>
      </c>
      <c r="AM21" s="98">
        <f>$AH21*SUMIFS('RIN 2.12 2022-2023 REPEX'!M$6:M$15,'RIN 2.12 2022-2023 REPEX'!$A$6:$A$15,'Unit Cost Rate Summary'!$A21)</f>
        <v>0</v>
      </c>
      <c r="AN21" s="485">
        <f t="shared" si="3"/>
        <v>0</v>
      </c>
      <c r="AO21" s="486" t="str">
        <f t="shared" si="2"/>
        <v/>
      </c>
    </row>
    <row r="22" spans="1:41" x14ac:dyDescent="0.25">
      <c r="A22" s="81" t="s">
        <v>27</v>
      </c>
      <c r="B22" s="82" t="s">
        <v>55</v>
      </c>
      <c r="C22" s="83" t="s">
        <v>302</v>
      </c>
      <c r="D22" s="305" t="str">
        <f>'Defect P1'!CM22</f>
        <v>Avg 3 Yr</v>
      </c>
      <c r="E22" s="315">
        <f>'Defect P1'!CN22</f>
        <v>0.05</v>
      </c>
      <c r="F22" s="306" t="str">
        <f>IF('Defect P1'!CO22=0,"",'Defect P1'!CO22)</f>
        <v/>
      </c>
      <c r="G22" s="307" t="str">
        <f>'Defect P1'!CP22</f>
        <v/>
      </c>
      <c r="H22" s="96">
        <f>'Defect P1'!CL22</f>
        <v>0</v>
      </c>
      <c r="I22" s="305" t="str">
        <f>'Defect P2'!CM22</f>
        <v>Avg 3 Yr</v>
      </c>
      <c r="J22" s="315">
        <f>'Defect P2'!CN22</f>
        <v>0</v>
      </c>
      <c r="K22" s="306" t="str">
        <f>IF('Defect P2'!CO22=0,"",'Defect P2'!CO22)</f>
        <v/>
      </c>
      <c r="L22" s="307" t="str">
        <f>'Defect P2'!CP22</f>
        <v/>
      </c>
      <c r="M22" s="96">
        <f>'Defect P2'!CL22</f>
        <v>0</v>
      </c>
      <c r="N22" s="305" t="str">
        <f>RTS!CM22</f>
        <v>Avg 3 Yr</v>
      </c>
      <c r="O22" s="315">
        <f>RTS!CN22</f>
        <v>0.05</v>
      </c>
      <c r="P22" s="306" t="str">
        <f>IF(RTS!CO22=0,"",RTS!CO22)</f>
        <v/>
      </c>
      <c r="Q22" s="307" t="str">
        <f>RTS!CP22</f>
        <v/>
      </c>
      <c r="R22" s="96">
        <f>RTS!CL22</f>
        <v>0</v>
      </c>
      <c r="S22" s="305" t="str">
        <f>Planned!CM22</f>
        <v>Avg 3 Yr</v>
      </c>
      <c r="T22" s="315">
        <f>Planned!CN22</f>
        <v>0.05</v>
      </c>
      <c r="U22" s="306" t="str">
        <f>IF(Planned!CO22=0,"",Planned!CO22)</f>
        <v/>
      </c>
      <c r="V22" s="307" t="str">
        <f>Planned!CP22</f>
        <v/>
      </c>
      <c r="W22" s="96">
        <f>Planned!CL22</f>
        <v>0</v>
      </c>
      <c r="X22" s="305" t="str">
        <f>Reconductor!CM22</f>
        <v>Avg 3 Yr</v>
      </c>
      <c r="Y22" s="315">
        <f>Reconductor!CN22</f>
        <v>0.05</v>
      </c>
      <c r="Z22" s="306" t="str">
        <f>IF(Reconductor!CO22=0,"",Reconductor!CO22)</f>
        <v/>
      </c>
      <c r="AA22" s="307" t="str">
        <f>Reconductor!CP22</f>
        <v/>
      </c>
      <c r="AB22" s="96">
        <f>Reconductor!CL22</f>
        <v>0</v>
      </c>
      <c r="AC22" s="305" t="str">
        <f>CTGS!CM22</f>
        <v>Avg 5 Yr</v>
      </c>
      <c r="AD22" s="315">
        <f>CTGS!CN22</f>
        <v>0.05</v>
      </c>
      <c r="AE22" s="306" t="str">
        <f>IF(CTGS!CO22=0,"",CTGS!CO22)</f>
        <v/>
      </c>
      <c r="AF22" s="307" t="str">
        <f>CTGS!CP22</f>
        <v/>
      </c>
      <c r="AG22" s="392" t="s">
        <v>505</v>
      </c>
      <c r="AH22" s="98">
        <f t="shared" si="0"/>
        <v>0</v>
      </c>
      <c r="AI22" s="307" t="str">
        <f t="shared" si="1"/>
        <v/>
      </c>
      <c r="AJ22" s="416">
        <f>$AH22*SUMIFS('RIN 2.12 2022-2023 REPEX'!J$6:J$15,'RIN 2.12 2022-2023 REPEX'!$A$6:$A$15,'Unit Cost Rate Summary'!$A22)</f>
        <v>0</v>
      </c>
      <c r="AK22" s="97">
        <f>$AH22*SUMIFS('RIN 2.12 2022-2023 REPEX'!K$6:K$15,'RIN 2.12 2022-2023 REPEX'!$A$6:$A$15,'Unit Cost Rate Summary'!$A22)</f>
        <v>0</v>
      </c>
      <c r="AL22" s="97">
        <f>$AH22*SUMIFS('RIN 2.12 2022-2023 REPEX'!L$6:L$15,'RIN 2.12 2022-2023 REPEX'!$A$6:$A$15,'Unit Cost Rate Summary'!$A22)</f>
        <v>0</v>
      </c>
      <c r="AM22" s="98">
        <f>$AH22*SUMIFS('RIN 2.12 2022-2023 REPEX'!M$6:M$15,'RIN 2.12 2022-2023 REPEX'!$A$6:$A$15,'Unit Cost Rate Summary'!$A22)</f>
        <v>0</v>
      </c>
      <c r="AN22" s="485">
        <f t="shared" si="3"/>
        <v>0</v>
      </c>
      <c r="AO22" s="486" t="str">
        <f t="shared" si="2"/>
        <v/>
      </c>
    </row>
    <row r="23" spans="1:41" x14ac:dyDescent="0.25">
      <c r="A23" s="81" t="s">
        <v>27</v>
      </c>
      <c r="B23" s="82" t="s">
        <v>57</v>
      </c>
      <c r="C23" s="83" t="s">
        <v>58</v>
      </c>
      <c r="D23" s="305" t="str">
        <f>'Defect P1'!CM23</f>
        <v>Avg 3 Yr</v>
      </c>
      <c r="E23" s="315">
        <f>'Defect P1'!CN23</f>
        <v>0.05</v>
      </c>
      <c r="F23" s="306" t="str">
        <f>IF('Defect P1'!CO23=0,"",'Defect P1'!CO23)</f>
        <v/>
      </c>
      <c r="G23" s="307" t="str">
        <f>'Defect P1'!CP23</f>
        <v/>
      </c>
      <c r="H23" s="96">
        <f>'Defect P1'!CL23</f>
        <v>0</v>
      </c>
      <c r="I23" s="305" t="str">
        <f>'Defect P2'!CM23</f>
        <v>Avg 3 Yr</v>
      </c>
      <c r="J23" s="315">
        <f>'Defect P2'!CN23</f>
        <v>0</v>
      </c>
      <c r="K23" s="306" t="str">
        <f>IF('Defect P2'!CO23=0,"",'Defect P2'!CO23)</f>
        <v/>
      </c>
      <c r="L23" s="307" t="str">
        <f>'Defect P2'!CP23</f>
        <v/>
      </c>
      <c r="M23" s="96">
        <f>'Defect P2'!CL23</f>
        <v>0</v>
      </c>
      <c r="N23" s="305" t="str">
        <f>RTS!CM23</f>
        <v>Avg 3 Yr</v>
      </c>
      <c r="O23" s="315">
        <f>RTS!CN23</f>
        <v>0.05</v>
      </c>
      <c r="P23" s="306" t="str">
        <f>IF(RTS!CO23=0,"",RTS!CO23)</f>
        <v/>
      </c>
      <c r="Q23" s="307" t="str">
        <f>RTS!CP23</f>
        <v/>
      </c>
      <c r="R23" s="96">
        <f>RTS!CL23</f>
        <v>0</v>
      </c>
      <c r="S23" s="305" t="str">
        <f>Planned!CM23</f>
        <v>Avg 3 Yr</v>
      </c>
      <c r="T23" s="315">
        <f>Planned!CN23</f>
        <v>0.05</v>
      </c>
      <c r="U23" s="306" t="str">
        <f>IF(Planned!CO23=0,"",Planned!CO23)</f>
        <v/>
      </c>
      <c r="V23" s="307" t="str">
        <f>Planned!CP23</f>
        <v/>
      </c>
      <c r="W23" s="96">
        <f>Planned!CL23</f>
        <v>0</v>
      </c>
      <c r="X23" s="305" t="str">
        <f>Reconductor!CM23</f>
        <v>Avg 3 Yr</v>
      </c>
      <c r="Y23" s="315">
        <f>Reconductor!CN23</f>
        <v>0.05</v>
      </c>
      <c r="Z23" s="306" t="str">
        <f>IF(Reconductor!CO23=0,"",Reconductor!CO23)</f>
        <v/>
      </c>
      <c r="AA23" s="307" t="str">
        <f>Reconductor!CP23</f>
        <v/>
      </c>
      <c r="AB23" s="96">
        <f>Reconductor!CL23</f>
        <v>0</v>
      </c>
      <c r="AC23" s="305" t="str">
        <f>CTGS!CM23</f>
        <v>Avg 5 Yr</v>
      </c>
      <c r="AD23" s="315">
        <f>CTGS!CN23</f>
        <v>0.05</v>
      </c>
      <c r="AE23" s="306" t="str">
        <f>IF(CTGS!CO23=0,"",CTGS!CO23)</f>
        <v/>
      </c>
      <c r="AF23" s="307" t="str">
        <f>CTGS!CP23</f>
        <v/>
      </c>
      <c r="AG23" s="392" t="s">
        <v>505</v>
      </c>
      <c r="AH23" s="98">
        <f t="shared" si="0"/>
        <v>0</v>
      </c>
      <c r="AI23" s="307" t="str">
        <f t="shared" si="1"/>
        <v/>
      </c>
      <c r="AJ23" s="416">
        <f>$AH23*SUMIFS('RIN 2.12 2022-2023 REPEX'!J$6:J$15,'RIN 2.12 2022-2023 REPEX'!$A$6:$A$15,'Unit Cost Rate Summary'!$A23)</f>
        <v>0</v>
      </c>
      <c r="AK23" s="97">
        <f>$AH23*SUMIFS('RIN 2.12 2022-2023 REPEX'!K$6:K$15,'RIN 2.12 2022-2023 REPEX'!$A$6:$A$15,'Unit Cost Rate Summary'!$A23)</f>
        <v>0</v>
      </c>
      <c r="AL23" s="97">
        <f>$AH23*SUMIFS('RIN 2.12 2022-2023 REPEX'!L$6:L$15,'RIN 2.12 2022-2023 REPEX'!$A$6:$A$15,'Unit Cost Rate Summary'!$A23)</f>
        <v>0</v>
      </c>
      <c r="AM23" s="98">
        <f>$AH23*SUMIFS('RIN 2.12 2022-2023 REPEX'!M$6:M$15,'RIN 2.12 2022-2023 REPEX'!$A$6:$A$15,'Unit Cost Rate Summary'!$A23)</f>
        <v>0</v>
      </c>
      <c r="AN23" s="485">
        <f t="shared" si="3"/>
        <v>0</v>
      </c>
      <c r="AO23" s="486" t="str">
        <f t="shared" si="2"/>
        <v/>
      </c>
    </row>
    <row r="24" spans="1:41" x14ac:dyDescent="0.25">
      <c r="A24" s="81" t="s">
        <v>27</v>
      </c>
      <c r="B24" s="82" t="s">
        <v>59</v>
      </c>
      <c r="C24" s="83" t="s">
        <v>60</v>
      </c>
      <c r="D24" s="305" t="str">
        <f>'Defect P1'!CM24</f>
        <v>Avg 3 Yr</v>
      </c>
      <c r="E24" s="315">
        <f>'Defect P1'!CN24</f>
        <v>0.05</v>
      </c>
      <c r="F24" s="306" t="str">
        <f>IF('Defect P1'!CO24=0,"",'Defect P1'!CO24)</f>
        <v/>
      </c>
      <c r="G24" s="307" t="str">
        <f>'Defect P1'!CP24</f>
        <v/>
      </c>
      <c r="H24" s="96">
        <f>'Defect P1'!CL24</f>
        <v>0</v>
      </c>
      <c r="I24" s="305" t="str">
        <f>'Defect P2'!CM24</f>
        <v>Avg 3 Yr</v>
      </c>
      <c r="J24" s="315">
        <f>'Defect P2'!CN24</f>
        <v>0</v>
      </c>
      <c r="K24" s="306" t="str">
        <f>IF('Defect P2'!CO24=0,"",'Defect P2'!CO24)</f>
        <v/>
      </c>
      <c r="L24" s="307" t="str">
        <f>'Defect P2'!CP24</f>
        <v/>
      </c>
      <c r="M24" s="96">
        <f>'Defect P2'!CL24</f>
        <v>0</v>
      </c>
      <c r="N24" s="305" t="str">
        <f>RTS!CM24</f>
        <v>Avg 3 Yr</v>
      </c>
      <c r="O24" s="315">
        <f>RTS!CN24</f>
        <v>0.05</v>
      </c>
      <c r="P24" s="306" t="str">
        <f>IF(RTS!CO24=0,"",RTS!CO24)</f>
        <v/>
      </c>
      <c r="Q24" s="307" t="str">
        <f>RTS!CP24</f>
        <v/>
      </c>
      <c r="R24" s="96">
        <f>RTS!CL24</f>
        <v>0</v>
      </c>
      <c r="S24" s="305" t="str">
        <f>Planned!CM24</f>
        <v>Avg 3 Yr</v>
      </c>
      <c r="T24" s="315">
        <f>Planned!CN24</f>
        <v>0.05</v>
      </c>
      <c r="U24" s="306" t="str">
        <f>IF(Planned!CO24=0,"",Planned!CO24)</f>
        <v/>
      </c>
      <c r="V24" s="307" t="str">
        <f>Planned!CP24</f>
        <v/>
      </c>
      <c r="W24" s="96">
        <f>Planned!CL24</f>
        <v>0</v>
      </c>
      <c r="X24" s="305" t="str">
        <f>Reconductor!CM24</f>
        <v>Avg 3 Yr</v>
      </c>
      <c r="Y24" s="315">
        <f>Reconductor!CN24</f>
        <v>0.05</v>
      </c>
      <c r="Z24" s="306" t="str">
        <f>IF(Reconductor!CO24=0,"",Reconductor!CO24)</f>
        <v/>
      </c>
      <c r="AA24" s="307" t="str">
        <f>Reconductor!CP24</f>
        <v/>
      </c>
      <c r="AB24" s="96">
        <f>Reconductor!CL24</f>
        <v>0</v>
      </c>
      <c r="AC24" s="305" t="str">
        <f>CTGS!CM24</f>
        <v>Avg 5 Yr</v>
      </c>
      <c r="AD24" s="315">
        <f>CTGS!CN24</f>
        <v>0.05</v>
      </c>
      <c r="AE24" s="306" t="str">
        <f>IF(CTGS!CO24=0,"",CTGS!CO24)</f>
        <v/>
      </c>
      <c r="AF24" s="307" t="str">
        <f>CTGS!CP24</f>
        <v/>
      </c>
      <c r="AG24" s="392" t="s">
        <v>505</v>
      </c>
      <c r="AH24" s="98">
        <f t="shared" si="0"/>
        <v>0</v>
      </c>
      <c r="AI24" s="307" t="str">
        <f t="shared" si="1"/>
        <v/>
      </c>
      <c r="AJ24" s="416">
        <f>$AH24*SUMIFS('RIN 2.12 2022-2023 REPEX'!J$6:J$15,'RIN 2.12 2022-2023 REPEX'!$A$6:$A$15,'Unit Cost Rate Summary'!$A24)</f>
        <v>0</v>
      </c>
      <c r="AK24" s="97">
        <f>$AH24*SUMIFS('RIN 2.12 2022-2023 REPEX'!K$6:K$15,'RIN 2.12 2022-2023 REPEX'!$A$6:$A$15,'Unit Cost Rate Summary'!$A24)</f>
        <v>0</v>
      </c>
      <c r="AL24" s="97">
        <f>$AH24*SUMIFS('RIN 2.12 2022-2023 REPEX'!L$6:L$15,'RIN 2.12 2022-2023 REPEX'!$A$6:$A$15,'Unit Cost Rate Summary'!$A24)</f>
        <v>0</v>
      </c>
      <c r="AM24" s="98">
        <f>$AH24*SUMIFS('RIN 2.12 2022-2023 REPEX'!M$6:M$15,'RIN 2.12 2022-2023 REPEX'!$A$6:$A$15,'Unit Cost Rate Summary'!$A24)</f>
        <v>0</v>
      </c>
      <c r="AN24" s="485">
        <f t="shared" si="3"/>
        <v>0</v>
      </c>
      <c r="AO24" s="486" t="str">
        <f t="shared" si="2"/>
        <v/>
      </c>
    </row>
    <row r="25" spans="1:41" x14ac:dyDescent="0.25">
      <c r="A25" s="81" t="s">
        <v>27</v>
      </c>
      <c r="B25" s="82" t="s">
        <v>61</v>
      </c>
      <c r="C25" s="83" t="s">
        <v>62</v>
      </c>
      <c r="D25" s="305" t="str">
        <f>'Defect P1'!CM25</f>
        <v>Avg 3 Yr</v>
      </c>
      <c r="E25" s="315">
        <f>'Defect P1'!CN25</f>
        <v>0.05</v>
      </c>
      <c r="F25" s="306" t="str">
        <f>IF('Defect P1'!CO25=0,"",'Defect P1'!CO25)</f>
        <v/>
      </c>
      <c r="G25" s="307" t="str">
        <f>'Defect P1'!CP25</f>
        <v/>
      </c>
      <c r="H25" s="96">
        <f>'Defect P1'!CL25</f>
        <v>0</v>
      </c>
      <c r="I25" s="305" t="str">
        <f>'Defect P2'!CM25</f>
        <v>Avg 3 Yr</v>
      </c>
      <c r="J25" s="315">
        <f>'Defect P2'!CN25</f>
        <v>0</v>
      </c>
      <c r="K25" s="306" t="str">
        <f>IF('Defect P2'!CO25=0,"",'Defect P2'!CO25)</f>
        <v/>
      </c>
      <c r="L25" s="307" t="str">
        <f>'Defect P2'!CP25</f>
        <v/>
      </c>
      <c r="M25" s="96">
        <f>'Defect P2'!CL25</f>
        <v>0</v>
      </c>
      <c r="N25" s="305" t="str">
        <f>RTS!CM25</f>
        <v>Avg 3 Yr</v>
      </c>
      <c r="O25" s="315">
        <f>RTS!CN25</f>
        <v>0.05</v>
      </c>
      <c r="P25" s="306" t="str">
        <f>IF(RTS!CO25=0,"",RTS!CO25)</f>
        <v/>
      </c>
      <c r="Q25" s="307" t="str">
        <f>RTS!CP25</f>
        <v/>
      </c>
      <c r="R25" s="96">
        <f>RTS!CL25</f>
        <v>0</v>
      </c>
      <c r="S25" s="305" t="str">
        <f>Planned!CM25</f>
        <v>Avg 3 Yr</v>
      </c>
      <c r="T25" s="315">
        <f>Planned!CN25</f>
        <v>0.05</v>
      </c>
      <c r="U25" s="306" t="str">
        <f>IF(Planned!CO25=0,"",Planned!CO25)</f>
        <v/>
      </c>
      <c r="V25" s="307" t="str">
        <f>Planned!CP25</f>
        <v/>
      </c>
      <c r="W25" s="96">
        <f>Planned!CL25</f>
        <v>0</v>
      </c>
      <c r="X25" s="305" t="str">
        <f>Reconductor!CM25</f>
        <v>Avg 3 Yr</v>
      </c>
      <c r="Y25" s="315">
        <f>Reconductor!CN25</f>
        <v>0.05</v>
      </c>
      <c r="Z25" s="306" t="str">
        <f>IF(Reconductor!CO25=0,"",Reconductor!CO25)</f>
        <v/>
      </c>
      <c r="AA25" s="307" t="str">
        <f>Reconductor!CP25</f>
        <v/>
      </c>
      <c r="AB25" s="96">
        <f>Reconductor!CL25</f>
        <v>0</v>
      </c>
      <c r="AC25" s="305" t="str">
        <f>CTGS!CM25</f>
        <v>Avg 5 Yr</v>
      </c>
      <c r="AD25" s="315">
        <f>CTGS!CN25</f>
        <v>0.05</v>
      </c>
      <c r="AE25" s="306" t="str">
        <f>IF(CTGS!CO25=0,"",CTGS!CO25)</f>
        <v/>
      </c>
      <c r="AF25" s="307" t="str">
        <f>CTGS!CP25</f>
        <v/>
      </c>
      <c r="AG25" s="392" t="s">
        <v>505</v>
      </c>
      <c r="AH25" s="98">
        <f t="shared" si="0"/>
        <v>0</v>
      </c>
      <c r="AI25" s="307" t="str">
        <f t="shared" si="1"/>
        <v/>
      </c>
      <c r="AJ25" s="416">
        <f>$AH25*SUMIFS('RIN 2.12 2022-2023 REPEX'!J$6:J$15,'RIN 2.12 2022-2023 REPEX'!$A$6:$A$15,'Unit Cost Rate Summary'!$A25)</f>
        <v>0</v>
      </c>
      <c r="AK25" s="97">
        <f>$AH25*SUMIFS('RIN 2.12 2022-2023 REPEX'!K$6:K$15,'RIN 2.12 2022-2023 REPEX'!$A$6:$A$15,'Unit Cost Rate Summary'!$A25)</f>
        <v>0</v>
      </c>
      <c r="AL25" s="97">
        <f>$AH25*SUMIFS('RIN 2.12 2022-2023 REPEX'!L$6:L$15,'RIN 2.12 2022-2023 REPEX'!$A$6:$A$15,'Unit Cost Rate Summary'!$A25)</f>
        <v>0</v>
      </c>
      <c r="AM25" s="98">
        <f>$AH25*SUMIFS('RIN 2.12 2022-2023 REPEX'!M$6:M$15,'RIN 2.12 2022-2023 REPEX'!$A$6:$A$15,'Unit Cost Rate Summary'!$A25)</f>
        <v>0</v>
      </c>
      <c r="AN25" s="485">
        <f t="shared" si="3"/>
        <v>0</v>
      </c>
      <c r="AO25" s="486" t="str">
        <f t="shared" si="2"/>
        <v/>
      </c>
    </row>
    <row r="26" spans="1:41" ht="15.75" thickBot="1" x14ac:dyDescent="0.3">
      <c r="A26" s="100" t="s">
        <v>27</v>
      </c>
      <c r="B26" s="101" t="s">
        <v>303</v>
      </c>
      <c r="C26" s="102" t="s">
        <v>304</v>
      </c>
      <c r="D26" s="308" t="str">
        <f>'Defect P1'!CM26</f>
        <v>Avg 3 Yr</v>
      </c>
      <c r="E26" s="316">
        <f>'Defect P1'!CN26</f>
        <v>0.05</v>
      </c>
      <c r="F26" s="309" t="str">
        <f>IF('Defect P1'!CO26=0,"",'Defect P1'!CO26)</f>
        <v/>
      </c>
      <c r="G26" s="310" t="str">
        <f>'Defect P1'!CP26</f>
        <v/>
      </c>
      <c r="H26" s="115">
        <f>'Defect P1'!CL26</f>
        <v>0</v>
      </c>
      <c r="I26" s="308" t="str">
        <f>'Defect P2'!CM26</f>
        <v>Avg 3 Yr</v>
      </c>
      <c r="J26" s="316">
        <f>'Defect P2'!CN26</f>
        <v>0</v>
      </c>
      <c r="K26" s="309" t="str">
        <f>IF('Defect P2'!CO26=0,"",'Defect P2'!CO26)</f>
        <v/>
      </c>
      <c r="L26" s="310" t="str">
        <f>'Defect P2'!CP26</f>
        <v/>
      </c>
      <c r="M26" s="115">
        <f>'Defect P2'!CL26</f>
        <v>0</v>
      </c>
      <c r="N26" s="308" t="str">
        <f>RTS!CM26</f>
        <v>Avg 3 Yr</v>
      </c>
      <c r="O26" s="316">
        <f>RTS!CN26</f>
        <v>0.05</v>
      </c>
      <c r="P26" s="309" t="str">
        <f>IF(RTS!CO26=0,"",RTS!CO26)</f>
        <v/>
      </c>
      <c r="Q26" s="310" t="str">
        <f>RTS!CP26</f>
        <v/>
      </c>
      <c r="R26" s="115">
        <f>RTS!CL26</f>
        <v>0</v>
      </c>
      <c r="S26" s="308" t="str">
        <f>Planned!CM26</f>
        <v>Avg 3 Yr</v>
      </c>
      <c r="T26" s="316">
        <f>Planned!CN26</f>
        <v>0.05</v>
      </c>
      <c r="U26" s="309" t="str">
        <f>IF(Planned!CO26=0,"",Planned!CO26)</f>
        <v/>
      </c>
      <c r="V26" s="310" t="str">
        <f>Planned!CP26</f>
        <v/>
      </c>
      <c r="W26" s="115">
        <f>Planned!CL26</f>
        <v>0</v>
      </c>
      <c r="X26" s="308" t="str">
        <f>Reconductor!CM26</f>
        <v>Avg 3 Yr</v>
      </c>
      <c r="Y26" s="316">
        <f>Reconductor!CN26</f>
        <v>0.05</v>
      </c>
      <c r="Z26" s="309" t="str">
        <f>IF(Reconductor!CO26=0,"",Reconductor!CO26)</f>
        <v/>
      </c>
      <c r="AA26" s="310" t="str">
        <f>Reconductor!CP26</f>
        <v/>
      </c>
      <c r="AB26" s="115">
        <f>Reconductor!CL26</f>
        <v>0</v>
      </c>
      <c r="AC26" s="308" t="str">
        <f>CTGS!CM26</f>
        <v>Avg 5 Yr</v>
      </c>
      <c r="AD26" s="316">
        <f>CTGS!CN26</f>
        <v>0.05</v>
      </c>
      <c r="AE26" s="309" t="str">
        <f>IF(CTGS!CO26=0,"",CTGS!CO26)</f>
        <v/>
      </c>
      <c r="AF26" s="310" t="str">
        <f>CTGS!CP26</f>
        <v/>
      </c>
      <c r="AG26" s="393" t="s">
        <v>505</v>
      </c>
      <c r="AH26" s="118">
        <f t="shared" si="0"/>
        <v>0</v>
      </c>
      <c r="AI26" s="310" t="str">
        <f t="shared" si="1"/>
        <v/>
      </c>
      <c r="AJ26" s="467">
        <f>$AH26*SUMIFS('RIN 2.12 2022-2023 REPEX'!J$6:J$15,'RIN 2.12 2022-2023 REPEX'!$A$6:$A$15,'Unit Cost Rate Summary'!$A26)</f>
        <v>0</v>
      </c>
      <c r="AK26" s="117">
        <f>$AH26*SUMIFS('RIN 2.12 2022-2023 REPEX'!K$6:K$15,'RIN 2.12 2022-2023 REPEX'!$A$6:$A$15,'Unit Cost Rate Summary'!$A26)</f>
        <v>0</v>
      </c>
      <c r="AL26" s="117">
        <f>$AH26*SUMIFS('RIN 2.12 2022-2023 REPEX'!L$6:L$15,'RIN 2.12 2022-2023 REPEX'!$A$6:$A$15,'Unit Cost Rate Summary'!$A26)</f>
        <v>0</v>
      </c>
      <c r="AM26" s="118">
        <f>$AH26*SUMIFS('RIN 2.12 2022-2023 REPEX'!M$6:M$15,'RIN 2.12 2022-2023 REPEX'!$A$6:$A$15,'Unit Cost Rate Summary'!$A26)</f>
        <v>0</v>
      </c>
      <c r="AN26" s="487">
        <f t="shared" si="3"/>
        <v>0</v>
      </c>
      <c r="AO26" s="488" t="str">
        <f t="shared" si="2"/>
        <v/>
      </c>
    </row>
    <row r="27" spans="1:41" x14ac:dyDescent="0.25">
      <c r="A27" s="63" t="s">
        <v>68</v>
      </c>
      <c r="B27" s="64" t="s">
        <v>65</v>
      </c>
      <c r="C27" s="65" t="s">
        <v>305</v>
      </c>
      <c r="D27" s="302" t="str">
        <f>'Defect P1'!CM27</f>
        <v>Avg 3 Yr</v>
      </c>
      <c r="E27" s="314">
        <f>'Defect P1'!CN27</f>
        <v>0.05</v>
      </c>
      <c r="F27" s="303" t="str">
        <f>IF('Defect P1'!CO27=0,"",'Defect P1'!CO27)</f>
        <v/>
      </c>
      <c r="G27" s="304">
        <f>'Defect P1'!CP27</f>
        <v>1439.6952894061376</v>
      </c>
      <c r="H27" s="78">
        <f>'Defect P1'!CL27</f>
        <v>262.23433239360003</v>
      </c>
      <c r="I27" s="302" t="str">
        <f>'Defect P2'!CM27</f>
        <v>Avg 3 Yr</v>
      </c>
      <c r="J27" s="314">
        <f>'Defect P2'!CN27</f>
        <v>0</v>
      </c>
      <c r="K27" s="303" t="str">
        <f>IF('Defect P2'!CO27=0,"",'Defect P2'!CO27)</f>
        <v/>
      </c>
      <c r="L27" s="304">
        <f>'Defect P2'!CP27</f>
        <v>2479.8118912590398</v>
      </c>
      <c r="M27" s="78">
        <f>'Defect P2'!CL27</f>
        <v>4529.7233148333335</v>
      </c>
      <c r="N27" s="302" t="str">
        <f>RTS!CM27</f>
        <v>Avg 3 Yr</v>
      </c>
      <c r="O27" s="314">
        <f>RTS!CN27</f>
        <v>0.05</v>
      </c>
      <c r="P27" s="303">
        <f>IF(RTS!CO27=0,"",RTS!CO27)</f>
        <v>1439.6952894061376</v>
      </c>
      <c r="Q27" s="304">
        <f>RTS!CP27</f>
        <v>1439.6952894061376</v>
      </c>
      <c r="R27" s="78">
        <f>RTS!CL27</f>
        <v>27.307692299999996</v>
      </c>
      <c r="S27" s="302" t="str">
        <f>Planned!CM27</f>
        <v>Avg 3 Yr</v>
      </c>
      <c r="T27" s="314">
        <f>Planned!CN27</f>
        <v>0.05</v>
      </c>
      <c r="U27" s="303">
        <f>IF(Planned!CO27=0,"",Planned!CO27)</f>
        <v>2479.8118912590398</v>
      </c>
      <c r="V27" s="304">
        <f>Planned!CP27</f>
        <v>2479.8118912590398</v>
      </c>
      <c r="W27" s="78">
        <f>Planned!CL27</f>
        <v>2468.4210526315787</v>
      </c>
      <c r="X27" s="302" t="str">
        <f>Reconductor!CM27</f>
        <v>Avg 3 Yr</v>
      </c>
      <c r="Y27" s="314">
        <f>Reconductor!CN27</f>
        <v>0.05</v>
      </c>
      <c r="Z27" s="303" t="str">
        <f>IF(Reconductor!CO27=0,"",Reconductor!CO27)</f>
        <v/>
      </c>
      <c r="AA27" s="304">
        <f>Reconductor!CP27</f>
        <v>1982.2728169393154</v>
      </c>
      <c r="AB27" s="78">
        <f>Reconductor!CL27</f>
        <v>2499.0253307285557</v>
      </c>
      <c r="AC27" s="302" t="str">
        <f>CTGS!CM27</f>
        <v>Avg 5 Yr</v>
      </c>
      <c r="AD27" s="314">
        <f>CTGS!CN27</f>
        <v>0.05</v>
      </c>
      <c r="AE27" s="303" t="str">
        <f>IF(CTGS!CO27=0,"",CTGS!CO27)</f>
        <v/>
      </c>
      <c r="AF27" s="304">
        <f>CTGS!CP27</f>
        <v>2499.9733589840143</v>
      </c>
      <c r="AG27" s="391" t="s">
        <v>505</v>
      </c>
      <c r="AH27" s="80">
        <f t="shared" si="0"/>
        <v>22724683.890169453</v>
      </c>
      <c r="AI27" s="304">
        <f t="shared" si="1"/>
        <v>2321.9937946088498</v>
      </c>
      <c r="AJ27" s="415">
        <f>$AH27*SUMIFS('RIN 2.12 2022-2023 REPEX'!J$6:J$15,'RIN 2.12 2022-2023 REPEX'!$A$6:$A$15,'Unit Cost Rate Summary'!$A27)</f>
        <v>4577368.5657099662</v>
      </c>
      <c r="AK27" s="79">
        <f>$AH27*SUMIFS('RIN 2.12 2022-2023 REPEX'!K$6:K$15,'RIN 2.12 2022-2023 REPEX'!$A$6:$A$15,'Unit Cost Rate Summary'!$A27)</f>
        <v>7603201.2997182347</v>
      </c>
      <c r="AL27" s="79">
        <f>$AH27*SUMIFS('RIN 2.12 2022-2023 REPEX'!L$6:L$15,'RIN 2.12 2022-2023 REPEX'!$A$6:$A$15,'Unit Cost Rate Summary'!$A27)</f>
        <v>10143041.313655918</v>
      </c>
      <c r="AM27" s="80">
        <f>$AH27*SUMIFS('RIN 2.12 2022-2023 REPEX'!M$6:M$15,'RIN 2.12 2022-2023 REPEX'!$A$6:$A$15,'Unit Cost Rate Summary'!$A27)</f>
        <v>401072.71108533349</v>
      </c>
      <c r="AN27" s="483">
        <f t="shared" si="3"/>
        <v>67885.725890341375</v>
      </c>
      <c r="AO27" s="484">
        <f t="shared" si="2"/>
        <v>6.9365204383802128</v>
      </c>
    </row>
    <row r="28" spans="1:41" x14ac:dyDescent="0.25">
      <c r="A28" s="81" t="s">
        <v>68</v>
      </c>
      <c r="B28" s="82" t="s">
        <v>69</v>
      </c>
      <c r="C28" s="83" t="s">
        <v>70</v>
      </c>
      <c r="D28" s="305" t="str">
        <f>'Defect P1'!CM28</f>
        <v>Avg 3 Yr</v>
      </c>
      <c r="E28" s="315">
        <f>'Defect P1'!CN28</f>
        <v>0.05</v>
      </c>
      <c r="F28" s="306" t="str">
        <f>IF('Defect P1'!CO28=0,"",'Defect P1'!CO28)</f>
        <v/>
      </c>
      <c r="G28" s="307">
        <f>'Defect P1'!CP28</f>
        <v>4385.1235149255681</v>
      </c>
      <c r="H28" s="96">
        <f>'Defect P1'!CL28</f>
        <v>353.13351494400001</v>
      </c>
      <c r="I28" s="305" t="str">
        <f>'Defect P2'!CM28</f>
        <v>Avg 3 Yr</v>
      </c>
      <c r="J28" s="315">
        <f>'Defect P2'!CN28</f>
        <v>0</v>
      </c>
      <c r="K28" s="306" t="str">
        <f>IF('Defect P2'!CO28=0,"",'Defect P2'!CO28)</f>
        <v/>
      </c>
      <c r="L28" s="307">
        <f>'Defect P2'!CP28</f>
        <v>2733.2759043501219</v>
      </c>
      <c r="M28" s="96">
        <f>'Defect P2'!CL28</f>
        <v>6894.983248526667</v>
      </c>
      <c r="N28" s="305" t="str">
        <f>RTS!CM28</f>
        <v>Avg 3 Yr</v>
      </c>
      <c r="O28" s="315">
        <f>RTS!CN28</f>
        <v>0.05</v>
      </c>
      <c r="P28" s="306">
        <f>IF(RTS!CO28=0,"",RTS!CO28)</f>
        <v>4385.1235149255681</v>
      </c>
      <c r="Q28" s="307">
        <f>RTS!CP28</f>
        <v>4385.1235149255681</v>
      </c>
      <c r="R28" s="96">
        <f>RTS!CL28</f>
        <v>141.63589739599996</v>
      </c>
      <c r="S28" s="305" t="str">
        <f>Planned!CM28</f>
        <v>Avg 3 Yr</v>
      </c>
      <c r="T28" s="315">
        <f>Planned!CN28</f>
        <v>0.05</v>
      </c>
      <c r="U28" s="306">
        <f>IF(Planned!CO28=0,"",Planned!CO28)</f>
        <v>2733.2759043501219</v>
      </c>
      <c r="V28" s="307">
        <f>Planned!CP28</f>
        <v>2733.2759043501219</v>
      </c>
      <c r="W28" s="96">
        <f>Planned!CL28</f>
        <v>1372.3684210526319</v>
      </c>
      <c r="X28" s="305" t="str">
        <f>Reconductor!CM28</f>
        <v>Avg 3 Yr</v>
      </c>
      <c r="Y28" s="315">
        <f>Reconductor!CN28</f>
        <v>0.05</v>
      </c>
      <c r="Z28" s="306" t="str">
        <f>IF(Reconductor!CO28=0,"",Reconductor!CO28)</f>
        <v/>
      </c>
      <c r="AA28" s="307">
        <f>Reconductor!CP28</f>
        <v>2113.1803981281359</v>
      </c>
      <c r="AB28" s="96">
        <f>Reconductor!CL28</f>
        <v>2023.8769656999514</v>
      </c>
      <c r="AC28" s="305" t="str">
        <f>CTGS!CM28</f>
        <v>Avg 5 Yr</v>
      </c>
      <c r="AD28" s="315">
        <f>CTGS!CN28</f>
        <v>0.05</v>
      </c>
      <c r="AE28" s="306" t="str">
        <f>IF(CTGS!CO28=0,"",CTGS!CO28)</f>
        <v/>
      </c>
      <c r="AF28" s="307">
        <f>CTGS!CP28</f>
        <v>2218.5911103104977</v>
      </c>
      <c r="AG28" s="392" t="s">
        <v>505</v>
      </c>
      <c r="AH28" s="98">
        <f t="shared" si="0"/>
        <v>29043395.227908071</v>
      </c>
      <c r="AI28" s="307">
        <f t="shared" si="1"/>
        <v>2692.694278237766</v>
      </c>
      <c r="AJ28" s="416">
        <f>$AH28*SUMIFS('RIN 2.12 2022-2023 REPEX'!J$6:J$15,'RIN 2.12 2022-2023 REPEX'!$A$6:$A$15,'Unit Cost Rate Summary'!$A28)</f>
        <v>5850128.6530646626</v>
      </c>
      <c r="AK28" s="97">
        <f>$AH28*SUMIFS('RIN 2.12 2022-2023 REPEX'!K$6:K$15,'RIN 2.12 2022-2023 REPEX'!$A$6:$A$15,'Unit Cost Rate Summary'!$A28)</f>
        <v>9717309.2225316931</v>
      </c>
      <c r="AL28" s="97">
        <f>$AH28*SUMIFS('RIN 2.12 2022-2023 REPEX'!L$6:L$15,'RIN 2.12 2022-2023 REPEX'!$A$6:$A$15,'Unit Cost Rate Summary'!$A28)</f>
        <v>12963364.379864737</v>
      </c>
      <c r="AM28" s="98">
        <f>$AH28*SUMIFS('RIN 2.12 2022-2023 REPEX'!M$6:M$15,'RIN 2.12 2022-2023 REPEX'!$A$6:$A$15,'Unit Cost Rate Summary'!$A28)</f>
        <v>512592.97244697856</v>
      </c>
      <c r="AN28" s="485">
        <f t="shared" si="3"/>
        <v>86761.689486890114</v>
      </c>
      <c r="AO28" s="486">
        <f t="shared" si="2"/>
        <v>8.0439185232414054</v>
      </c>
    </row>
    <row r="29" spans="1:41" x14ac:dyDescent="0.25">
      <c r="A29" s="81" t="s">
        <v>68</v>
      </c>
      <c r="B29" s="82" t="s">
        <v>71</v>
      </c>
      <c r="C29" s="83" t="s">
        <v>306</v>
      </c>
      <c r="D29" s="305" t="str">
        <f>'Defect P1'!CM29</f>
        <v>Avg 3 Yr</v>
      </c>
      <c r="E29" s="315">
        <f>'Defect P1'!CN29</f>
        <v>0.05</v>
      </c>
      <c r="F29" s="306" t="str">
        <f>IF('Defect P1'!CO29=0,"",'Defect P1'!CO29)</f>
        <v/>
      </c>
      <c r="G29" s="307" t="str">
        <f>'Defect P1'!CP29</f>
        <v/>
      </c>
      <c r="H29" s="96">
        <f>'Defect P1'!CL29</f>
        <v>153.46049044480003</v>
      </c>
      <c r="I29" s="305" t="str">
        <f>'Defect P2'!CM29</f>
        <v>Avg 3 Yr</v>
      </c>
      <c r="J29" s="315">
        <f>'Defect P2'!CN29</f>
        <v>0</v>
      </c>
      <c r="K29" s="306" t="str">
        <f>IF('Defect P2'!CO29=0,"",'Defect P2'!CO29)</f>
        <v/>
      </c>
      <c r="L29" s="307">
        <f>'Defect P2'!CP29</f>
        <v>2814.5422385689408</v>
      </c>
      <c r="M29" s="96">
        <f>'Defect P2'!CL29</f>
        <v>4920.0601936666671</v>
      </c>
      <c r="N29" s="305" t="str">
        <f>RTS!CM29</f>
        <v>Avg 3 Yr</v>
      </c>
      <c r="O29" s="315">
        <f>RTS!CN29</f>
        <v>0.05</v>
      </c>
      <c r="P29" s="306" t="str">
        <f>IF(RTS!CO29=0,"",RTS!CO29)</f>
        <v/>
      </c>
      <c r="Q29" s="307">
        <f>RTS!CP29</f>
        <v>1116.4389784228147</v>
      </c>
      <c r="R29" s="96">
        <f>RTS!CL29</f>
        <v>101.94871791999998</v>
      </c>
      <c r="S29" s="305" t="str">
        <f>Planned!CM29</f>
        <v>Avg 3 Yr</v>
      </c>
      <c r="T29" s="315">
        <f>Planned!CN29</f>
        <v>0.05</v>
      </c>
      <c r="U29" s="306">
        <f>IF(Planned!CO29=0,"",Planned!CO29)</f>
        <v>2814.5422385689408</v>
      </c>
      <c r="V29" s="307">
        <f>Planned!CP29</f>
        <v>2814.5422385689408</v>
      </c>
      <c r="W29" s="96">
        <f>Planned!CL29</f>
        <v>405.26315789473682</v>
      </c>
      <c r="X29" s="305" t="str">
        <f>Reconductor!CM29</f>
        <v>Avg 3 Yr</v>
      </c>
      <c r="Y29" s="315">
        <f>Reconductor!CN29</f>
        <v>0.05</v>
      </c>
      <c r="Z29" s="306" t="str">
        <f>IF(Reconductor!CO29=0,"",Reconductor!CO29)</f>
        <v/>
      </c>
      <c r="AA29" s="307">
        <f>Reconductor!CP29</f>
        <v>1847.4137662271521</v>
      </c>
      <c r="AB29" s="96">
        <f>Reconductor!CL29</f>
        <v>408.43792699292925</v>
      </c>
      <c r="AC29" s="305" t="str">
        <f>CTGS!CM29</f>
        <v>Avg 5 Yr</v>
      </c>
      <c r="AD29" s="315">
        <f>CTGS!CN29</f>
        <v>0.05</v>
      </c>
      <c r="AE29" s="306" t="str">
        <f>IF(CTGS!CO29=0,"",CTGS!CO29)</f>
        <v/>
      </c>
      <c r="AF29" s="307">
        <f>CTGS!CP29</f>
        <v>3327.2285028361225</v>
      </c>
      <c r="AG29" s="392" t="s">
        <v>505</v>
      </c>
      <c r="AH29" s="98">
        <f t="shared" si="0"/>
        <v>15856720.878469227</v>
      </c>
      <c r="AI29" s="307">
        <f t="shared" si="1"/>
        <v>2647.5654538640501</v>
      </c>
      <c r="AJ29" s="416">
        <f>$AH29*SUMIFS('RIN 2.12 2022-2023 REPEX'!J$6:J$15,'RIN 2.12 2022-2023 REPEX'!$A$6:$A$15,'Unit Cost Rate Summary'!$A29)</f>
        <v>3193974.2728716452</v>
      </c>
      <c r="AK29" s="97">
        <f>$AH29*SUMIFS('RIN 2.12 2022-2023 REPEX'!K$6:K$15,'RIN 2.12 2022-2023 REPEX'!$A$6:$A$15,'Unit Cost Rate Summary'!$A29)</f>
        <v>5305325.3182809176</v>
      </c>
      <c r="AL29" s="97">
        <f>$AH29*SUMIFS('RIN 2.12 2022-2023 REPEX'!L$6:L$15,'RIN 2.12 2022-2023 REPEX'!$A$6:$A$15,'Unit Cost Rate Summary'!$A29)</f>
        <v>7077562.6955585526</v>
      </c>
      <c r="AM29" s="98">
        <f>$AH29*SUMIFS('RIN 2.12 2022-2023 REPEX'!M$6:M$15,'RIN 2.12 2022-2023 REPEX'!$A$6:$A$15,'Unit Cost Rate Summary'!$A29)</f>
        <v>279858.59175811143</v>
      </c>
      <c r="AN29" s="485">
        <f t="shared" si="3"/>
        <v>47368.97605607962</v>
      </c>
      <c r="AO29" s="486">
        <f t="shared" si="2"/>
        <v>7.9091046346965026</v>
      </c>
    </row>
    <row r="30" spans="1:41" x14ac:dyDescent="0.25">
      <c r="A30" s="81" t="s">
        <v>68</v>
      </c>
      <c r="B30" s="82" t="s">
        <v>73</v>
      </c>
      <c r="C30" s="83" t="s">
        <v>307</v>
      </c>
      <c r="D30" s="305" t="str">
        <f>'Defect P1'!CM30</f>
        <v>Avg 3 Yr</v>
      </c>
      <c r="E30" s="315">
        <f>'Defect P1'!CN30</f>
        <v>0.05</v>
      </c>
      <c r="F30" s="306">
        <f>IF('Defect P1'!CO30=0,"",'Defect P1'!CO30)</f>
        <v>4402.2875599705612</v>
      </c>
      <c r="G30" s="307">
        <f>'Defect P1'!CP30</f>
        <v>4402.2875599705612</v>
      </c>
      <c r="H30" s="96">
        <f>'Defect P1'!CL30</f>
        <v>31.389645772800002</v>
      </c>
      <c r="I30" s="305" t="str">
        <f>'Defect P2'!CM30</f>
        <v>Avg 3 Yr</v>
      </c>
      <c r="J30" s="315">
        <f>'Defect P2'!CN30</f>
        <v>0</v>
      </c>
      <c r="K30" s="306" t="str">
        <f>IF('Defect P2'!CO30=0,"",'Defect P2'!CO30)</f>
        <v/>
      </c>
      <c r="L30" s="307">
        <f>'Defect P2'!CP30</f>
        <v>4402.2875599705612</v>
      </c>
      <c r="M30" s="96">
        <f>'Defect P2'!CL30</f>
        <v>1246.5362837533332</v>
      </c>
      <c r="N30" s="305" t="str">
        <f>RTS!CM30</f>
        <v>Avg 3 Yr</v>
      </c>
      <c r="O30" s="315">
        <f>RTS!CN30</f>
        <v>0.05</v>
      </c>
      <c r="P30" s="306">
        <f>IF(RTS!CO30=0,"",RTS!CO30)</f>
        <v>4402.2875599705612</v>
      </c>
      <c r="Q30" s="307">
        <f>RTS!CP30</f>
        <v>4402.2875599705612</v>
      </c>
      <c r="R30" s="96">
        <f>RTS!CL30</f>
        <v>84.107692283999995</v>
      </c>
      <c r="S30" s="305" t="str">
        <f>Planned!CM30</f>
        <v>Avg 3 Yr</v>
      </c>
      <c r="T30" s="315">
        <f>Planned!CN30</f>
        <v>0.05</v>
      </c>
      <c r="U30" s="306">
        <f>IF(Planned!CO30=0,"",Planned!CO30)</f>
        <v>4402.2875599705612</v>
      </c>
      <c r="V30" s="307">
        <f>Planned!CP30</f>
        <v>4402.2875599705612</v>
      </c>
      <c r="W30" s="96">
        <f>Planned!CL30</f>
        <v>2753.9473684210529</v>
      </c>
      <c r="X30" s="305" t="str">
        <f>Reconductor!CM30</f>
        <v>Avg 3 Yr</v>
      </c>
      <c r="Y30" s="315">
        <f>Reconductor!CN30</f>
        <v>0.05</v>
      </c>
      <c r="Z30" s="306" t="str">
        <f>IF(Reconductor!CO30=0,"",Reconductor!CO30)</f>
        <v/>
      </c>
      <c r="AA30" s="307">
        <f>Reconductor!CP30</f>
        <v>5893.8299257306699</v>
      </c>
      <c r="AB30" s="96">
        <f>Reconductor!CL30</f>
        <v>67.691473889140397</v>
      </c>
      <c r="AC30" s="305" t="str">
        <f>CTGS!CM30</f>
        <v>Avg 5 Yr</v>
      </c>
      <c r="AD30" s="315">
        <f>CTGS!CN30</f>
        <v>0.05</v>
      </c>
      <c r="AE30" s="306" t="str">
        <f>IF(CTGS!CO30=0,"",CTGS!CO30)</f>
        <v/>
      </c>
      <c r="AF30" s="307">
        <f>CTGS!CP30</f>
        <v>4476.7916342051549</v>
      </c>
      <c r="AG30" s="392" t="s">
        <v>505</v>
      </c>
      <c r="AH30" s="98">
        <f t="shared" si="0"/>
        <v>18518693.944894694</v>
      </c>
      <c r="AI30" s="307">
        <f t="shared" si="1"/>
        <v>4426.4205918874432</v>
      </c>
      <c r="AJ30" s="416">
        <f>$AH30*SUMIFS('RIN 2.12 2022-2023 REPEX'!J$6:J$15,'RIN 2.12 2022-2023 REPEX'!$A$6:$A$15,'Unit Cost Rate Summary'!$A30)</f>
        <v>3730167.9508965164</v>
      </c>
      <c r="AK30" s="97">
        <f>$AH30*SUMIFS('RIN 2.12 2022-2023 REPEX'!K$6:K$15,'RIN 2.12 2022-2023 REPEX'!$A$6:$A$15,'Unit Cost Rate Summary'!$A30)</f>
        <v>6195965.5215189708</v>
      </c>
      <c r="AL30" s="97">
        <f>$AH30*SUMIFS('RIN 2.12 2022-2023 REPEX'!L$6:L$15,'RIN 2.12 2022-2023 REPEX'!$A$6:$A$15,'Unit Cost Rate Summary'!$A30)</f>
        <v>8265720.1598862773</v>
      </c>
      <c r="AM30" s="98">
        <f>$AH30*SUMIFS('RIN 2.12 2022-2023 REPEX'!M$6:M$15,'RIN 2.12 2022-2023 REPEX'!$A$6:$A$15,'Unit Cost Rate Summary'!$A30)</f>
        <v>326840.31259292824</v>
      </c>
      <c r="AN30" s="485">
        <f t="shared" si="3"/>
        <v>55321.120727847956</v>
      </c>
      <c r="AO30" s="486">
        <f t="shared" si="2"/>
        <v>13.223100326875127</v>
      </c>
    </row>
    <row r="31" spans="1:41" x14ac:dyDescent="0.25">
      <c r="A31" s="81" t="s">
        <v>68</v>
      </c>
      <c r="B31" s="82" t="s">
        <v>75</v>
      </c>
      <c r="C31" s="83" t="s">
        <v>76</v>
      </c>
      <c r="D31" s="305" t="str">
        <f>'Defect P1'!CM31</f>
        <v>Avg 3 Yr</v>
      </c>
      <c r="E31" s="315">
        <f>'Defect P1'!CN31</f>
        <v>0.05</v>
      </c>
      <c r="F31" s="306" t="str">
        <f>IF('Defect P1'!CO31=0,"",'Defect P1'!CO31)</f>
        <v/>
      </c>
      <c r="G31" s="307" t="str">
        <f>'Defect P1'!CP31</f>
        <v/>
      </c>
      <c r="H31" s="96">
        <f>'Defect P1'!CL31</f>
        <v>0.21798365120000002</v>
      </c>
      <c r="I31" s="305" t="str">
        <f>'Defect P2'!CM31</f>
        <v>Avg 3 Yr</v>
      </c>
      <c r="J31" s="315">
        <f>'Defect P2'!CN31</f>
        <v>0</v>
      </c>
      <c r="K31" s="306" t="str">
        <f>IF('Defect P2'!CO31=0,"",'Defect P2'!CO31)</f>
        <v/>
      </c>
      <c r="L31" s="307">
        <f>'Defect P2'!CP31</f>
        <v>6951.0325334767031</v>
      </c>
      <c r="M31" s="96">
        <f>'Defect P2'!CL31</f>
        <v>21.060036253333333</v>
      </c>
      <c r="N31" s="305" t="str">
        <f>RTS!CM31</f>
        <v>Avg 3 Yr</v>
      </c>
      <c r="O31" s="315">
        <f>RTS!CN31</f>
        <v>0.05</v>
      </c>
      <c r="P31" s="306" t="str">
        <f>IF(RTS!CO31=0,"",RTS!CO31)</f>
        <v/>
      </c>
      <c r="Q31" s="307" t="str">
        <f>RTS!CP31</f>
        <v/>
      </c>
      <c r="R31" s="96">
        <f>RTS!CL31</f>
        <v>0</v>
      </c>
      <c r="S31" s="305" t="str">
        <f>Planned!CM31</f>
        <v>Avg 3 Yr</v>
      </c>
      <c r="T31" s="315">
        <f>Planned!CN31</f>
        <v>0.05</v>
      </c>
      <c r="U31" s="306">
        <f>IF(Planned!CO31=0,"",Planned!CO31)</f>
        <v>6951.0325334767031</v>
      </c>
      <c r="V31" s="307">
        <f>Planned!CP31</f>
        <v>6951.0325334767031</v>
      </c>
      <c r="W31" s="96">
        <f>Planned!CL31</f>
        <v>0</v>
      </c>
      <c r="X31" s="305" t="str">
        <f>Reconductor!CM31</f>
        <v>Avg 3 Yr</v>
      </c>
      <c r="Y31" s="315">
        <f>Reconductor!CN31</f>
        <v>0.05</v>
      </c>
      <c r="Z31" s="306" t="str">
        <f>IF(Reconductor!CO31=0,"",Reconductor!CO31)</f>
        <v/>
      </c>
      <c r="AA31" s="307" t="str">
        <f>Reconductor!CP31</f>
        <v/>
      </c>
      <c r="AB31" s="96">
        <f>Reconductor!CL31</f>
        <v>0</v>
      </c>
      <c r="AC31" s="305" t="str">
        <f>CTGS!CM31</f>
        <v>Avg 5 Yr</v>
      </c>
      <c r="AD31" s="315">
        <f>CTGS!CN31</f>
        <v>0.05</v>
      </c>
      <c r="AE31" s="306" t="str">
        <f>IF(CTGS!CO31=0,"",CTGS!CO31)</f>
        <v/>
      </c>
      <c r="AF31" s="307" t="str">
        <f>CTGS!CP31</f>
        <v/>
      </c>
      <c r="AG31" s="392" t="s">
        <v>505</v>
      </c>
      <c r="AH31" s="98">
        <f t="shared" si="0"/>
        <v>146388.99715311881</v>
      </c>
      <c r="AI31" s="307">
        <f t="shared" si="1"/>
        <v>6879.822361756992</v>
      </c>
      <c r="AJ31" s="416">
        <f>$AH31*SUMIFS('RIN 2.12 2022-2023 REPEX'!J$6:J$15,'RIN 2.12 2022-2023 REPEX'!$A$6:$A$15,'Unit Cost Rate Summary'!$A31)</f>
        <v>29486.720130983311</v>
      </c>
      <c r="AK31" s="97">
        <f>$AH31*SUMIFS('RIN 2.12 2022-2023 REPEX'!K$6:K$15,'RIN 2.12 2022-2023 REPEX'!$A$6:$A$15,'Unit Cost Rate Summary'!$A31)</f>
        <v>48978.679694661412</v>
      </c>
      <c r="AL31" s="97">
        <f>$AH31*SUMIFS('RIN 2.12 2022-2023 REPEX'!L$6:L$15,'RIN 2.12 2022-2023 REPEX'!$A$6:$A$15,'Unit Cost Rate Summary'!$A31)</f>
        <v>65339.947220611066</v>
      </c>
      <c r="AM31" s="98">
        <f>$AH31*SUMIFS('RIN 2.12 2022-2023 REPEX'!M$6:M$15,'RIN 2.12 2022-2023 REPEX'!$A$6:$A$15,'Unit Cost Rate Summary'!$A31)</f>
        <v>2583.6501068630146</v>
      </c>
      <c r="AN31" s="485">
        <f t="shared" si="3"/>
        <v>437.30964013090545</v>
      </c>
      <c r="AO31" s="486">
        <f t="shared" si="2"/>
        <v>20.552177415612604</v>
      </c>
    </row>
    <row r="32" spans="1:41" x14ac:dyDescent="0.25">
      <c r="A32" s="81" t="s">
        <v>68</v>
      </c>
      <c r="B32" s="82" t="s">
        <v>77</v>
      </c>
      <c r="C32" s="83" t="s">
        <v>78</v>
      </c>
      <c r="D32" s="305" t="str">
        <f>'Defect P1'!CM32</f>
        <v>Avg 3 Yr</v>
      </c>
      <c r="E32" s="315">
        <f>'Defect P1'!CN32</f>
        <v>0.05</v>
      </c>
      <c r="F32" s="306" t="str">
        <f>IF('Defect P1'!CO32=0,"",'Defect P1'!CO32)</f>
        <v/>
      </c>
      <c r="G32" s="307" t="str">
        <f>'Defect P1'!CP32</f>
        <v/>
      </c>
      <c r="H32" s="96">
        <f>'Defect P1'!CL32</f>
        <v>0</v>
      </c>
      <c r="I32" s="305" t="str">
        <f>'Defect P2'!CM32</f>
        <v>Avg 3 Yr</v>
      </c>
      <c r="J32" s="315">
        <f>'Defect P2'!CN32</f>
        <v>0</v>
      </c>
      <c r="K32" s="306" t="str">
        <f>IF('Defect P2'!CO32=0,"",'Defect P2'!CO32)</f>
        <v/>
      </c>
      <c r="L32" s="307" t="str">
        <f>'Defect P2'!CP32</f>
        <v/>
      </c>
      <c r="M32" s="96">
        <f>'Defect P2'!CL32</f>
        <v>0</v>
      </c>
      <c r="N32" s="305" t="str">
        <f>RTS!CM32</f>
        <v>Avg 3 Yr</v>
      </c>
      <c r="O32" s="315">
        <f>RTS!CN32</f>
        <v>0.05</v>
      </c>
      <c r="P32" s="306" t="str">
        <f>IF(RTS!CO32=0,"",RTS!CO32)</f>
        <v/>
      </c>
      <c r="Q32" s="307" t="str">
        <f>RTS!CP32</f>
        <v/>
      </c>
      <c r="R32" s="96">
        <f>RTS!CL32</f>
        <v>0</v>
      </c>
      <c r="S32" s="305" t="str">
        <f>Planned!CM32</f>
        <v>Avg 3 Yr</v>
      </c>
      <c r="T32" s="315">
        <f>Planned!CN32</f>
        <v>0.05</v>
      </c>
      <c r="U32" s="306" t="str">
        <f>IF(Planned!CO32=0,"",Planned!CO32)</f>
        <v/>
      </c>
      <c r="V32" s="307" t="str">
        <f>Planned!CP32</f>
        <v/>
      </c>
      <c r="W32" s="96">
        <f>Planned!CL32</f>
        <v>0</v>
      </c>
      <c r="X32" s="305" t="str">
        <f>Reconductor!CM32</f>
        <v>Avg 3 Yr</v>
      </c>
      <c r="Y32" s="315">
        <f>Reconductor!CN32</f>
        <v>0.05</v>
      </c>
      <c r="Z32" s="306" t="str">
        <f>IF(Reconductor!CO32=0,"",Reconductor!CO32)</f>
        <v/>
      </c>
      <c r="AA32" s="307" t="str">
        <f>Reconductor!CP32</f>
        <v/>
      </c>
      <c r="AB32" s="96">
        <f>Reconductor!CL32</f>
        <v>0</v>
      </c>
      <c r="AC32" s="305" t="str">
        <f>CTGS!CM32</f>
        <v>Avg 5 Yr</v>
      </c>
      <c r="AD32" s="315">
        <f>CTGS!CN32</f>
        <v>0.05</v>
      </c>
      <c r="AE32" s="306" t="str">
        <f>IF(CTGS!CO32=0,"",CTGS!CO32)</f>
        <v/>
      </c>
      <c r="AF32" s="307" t="str">
        <f>CTGS!CP32</f>
        <v/>
      </c>
      <c r="AG32" s="392" t="s">
        <v>505</v>
      </c>
      <c r="AH32" s="98">
        <f t="shared" si="0"/>
        <v>0</v>
      </c>
      <c r="AI32" s="307" t="str">
        <f t="shared" si="1"/>
        <v/>
      </c>
      <c r="AJ32" s="416">
        <f>$AH32*SUMIFS('RIN 2.12 2022-2023 REPEX'!J$6:J$15,'RIN 2.12 2022-2023 REPEX'!$A$6:$A$15,'Unit Cost Rate Summary'!$A32)</f>
        <v>0</v>
      </c>
      <c r="AK32" s="97">
        <f>$AH32*SUMIFS('RIN 2.12 2022-2023 REPEX'!K$6:K$15,'RIN 2.12 2022-2023 REPEX'!$A$6:$A$15,'Unit Cost Rate Summary'!$A32)</f>
        <v>0</v>
      </c>
      <c r="AL32" s="97">
        <f>$AH32*SUMIFS('RIN 2.12 2022-2023 REPEX'!L$6:L$15,'RIN 2.12 2022-2023 REPEX'!$A$6:$A$15,'Unit Cost Rate Summary'!$A32)</f>
        <v>0</v>
      </c>
      <c r="AM32" s="98">
        <f>$AH32*SUMIFS('RIN 2.12 2022-2023 REPEX'!M$6:M$15,'RIN 2.12 2022-2023 REPEX'!$A$6:$A$15,'Unit Cost Rate Summary'!$A32)</f>
        <v>0</v>
      </c>
      <c r="AN32" s="485">
        <f t="shared" si="3"/>
        <v>0</v>
      </c>
      <c r="AO32" s="486" t="str">
        <f t="shared" si="2"/>
        <v/>
      </c>
    </row>
    <row r="33" spans="1:41" ht="15.75" thickBot="1" x14ac:dyDescent="0.3">
      <c r="A33" s="100" t="s">
        <v>68</v>
      </c>
      <c r="B33" s="101" t="s">
        <v>308</v>
      </c>
      <c r="C33" s="102" t="s">
        <v>309</v>
      </c>
      <c r="D33" s="308" t="str">
        <f>'Defect P1'!CM33</f>
        <v>Avg 3 Yr</v>
      </c>
      <c r="E33" s="316">
        <f>'Defect P1'!CN33</f>
        <v>0.05</v>
      </c>
      <c r="F33" s="309" t="str">
        <f>IF('Defect P1'!CO33=0,"",'Defect P1'!CO33)</f>
        <v/>
      </c>
      <c r="G33" s="310" t="str">
        <f>'Defect P1'!CP33</f>
        <v/>
      </c>
      <c r="H33" s="115">
        <f>'Defect P1'!CL33</f>
        <v>0</v>
      </c>
      <c r="I33" s="308" t="str">
        <f>'Defect P2'!CM33</f>
        <v>Avg 3 Yr</v>
      </c>
      <c r="J33" s="316">
        <f>'Defect P2'!CN33</f>
        <v>0</v>
      </c>
      <c r="K33" s="309" t="str">
        <f>IF('Defect P2'!CO33=0,"",'Defect P2'!CO33)</f>
        <v/>
      </c>
      <c r="L33" s="310" t="str">
        <f>'Defect P2'!CP33</f>
        <v/>
      </c>
      <c r="M33" s="115">
        <f>'Defect P2'!CL33</f>
        <v>0</v>
      </c>
      <c r="N33" s="308" t="str">
        <f>RTS!CM33</f>
        <v>Avg 3 Yr</v>
      </c>
      <c r="O33" s="316">
        <f>RTS!CN33</f>
        <v>0.05</v>
      </c>
      <c r="P33" s="309" t="str">
        <f>IF(RTS!CO33=0,"",RTS!CO33)</f>
        <v/>
      </c>
      <c r="Q33" s="310" t="str">
        <f>RTS!CP33</f>
        <v/>
      </c>
      <c r="R33" s="115">
        <f>RTS!CL33</f>
        <v>0</v>
      </c>
      <c r="S33" s="308" t="str">
        <f>Planned!CM33</f>
        <v>Avg 3 Yr</v>
      </c>
      <c r="T33" s="316">
        <f>Planned!CN33</f>
        <v>0.05</v>
      </c>
      <c r="U33" s="309" t="str">
        <f>IF(Planned!CO33=0,"",Planned!CO33)</f>
        <v/>
      </c>
      <c r="V33" s="310" t="str">
        <f>Planned!CP33</f>
        <v/>
      </c>
      <c r="W33" s="115">
        <f>Planned!CL33</f>
        <v>0</v>
      </c>
      <c r="X33" s="308" t="str">
        <f>Reconductor!CM33</f>
        <v>Avg 3 Yr</v>
      </c>
      <c r="Y33" s="316">
        <f>Reconductor!CN33</f>
        <v>0.05</v>
      </c>
      <c r="Z33" s="309" t="str">
        <f>IF(Reconductor!CO33=0,"",Reconductor!CO33)</f>
        <v/>
      </c>
      <c r="AA33" s="310" t="str">
        <f>Reconductor!CP33</f>
        <v/>
      </c>
      <c r="AB33" s="115">
        <f>Reconductor!CL33</f>
        <v>0</v>
      </c>
      <c r="AC33" s="308" t="str">
        <f>CTGS!CM33</f>
        <v>Avg 5 Yr</v>
      </c>
      <c r="AD33" s="316">
        <f>CTGS!CN33</f>
        <v>0.05</v>
      </c>
      <c r="AE33" s="309" t="str">
        <f>IF(CTGS!CO33=0,"",CTGS!CO33)</f>
        <v/>
      </c>
      <c r="AF33" s="310" t="str">
        <f>CTGS!CP33</f>
        <v/>
      </c>
      <c r="AG33" s="393" t="s">
        <v>505</v>
      </c>
      <c r="AH33" s="118">
        <f t="shared" si="0"/>
        <v>0</v>
      </c>
      <c r="AI33" s="310" t="str">
        <f t="shared" si="1"/>
        <v/>
      </c>
      <c r="AJ33" s="467">
        <f>$AH33*SUMIFS('RIN 2.12 2022-2023 REPEX'!J$6:J$15,'RIN 2.12 2022-2023 REPEX'!$A$6:$A$15,'Unit Cost Rate Summary'!$A33)</f>
        <v>0</v>
      </c>
      <c r="AK33" s="117">
        <f>$AH33*SUMIFS('RIN 2.12 2022-2023 REPEX'!K$6:K$15,'RIN 2.12 2022-2023 REPEX'!$A$6:$A$15,'Unit Cost Rate Summary'!$A33)</f>
        <v>0</v>
      </c>
      <c r="AL33" s="117">
        <f>$AH33*SUMIFS('RIN 2.12 2022-2023 REPEX'!L$6:L$15,'RIN 2.12 2022-2023 REPEX'!$A$6:$A$15,'Unit Cost Rate Summary'!$A33)</f>
        <v>0</v>
      </c>
      <c r="AM33" s="118">
        <f>$AH33*SUMIFS('RIN 2.12 2022-2023 REPEX'!M$6:M$15,'RIN 2.12 2022-2023 REPEX'!$A$6:$A$15,'Unit Cost Rate Summary'!$A33)</f>
        <v>0</v>
      </c>
      <c r="AN33" s="487">
        <f t="shared" si="3"/>
        <v>0</v>
      </c>
      <c r="AO33" s="488" t="str">
        <f t="shared" si="2"/>
        <v/>
      </c>
    </row>
    <row r="34" spans="1:41" x14ac:dyDescent="0.25">
      <c r="A34" s="63" t="s">
        <v>81</v>
      </c>
      <c r="B34" s="334" t="s">
        <v>79</v>
      </c>
      <c r="C34" s="65" t="s">
        <v>305</v>
      </c>
      <c r="D34" s="302" t="str">
        <f>'Defect P1'!CM34</f>
        <v>Avg 3 Yr</v>
      </c>
      <c r="E34" s="314">
        <f>'Defect P1'!CN34</f>
        <v>0.05</v>
      </c>
      <c r="F34" s="303" t="str">
        <f>IF('Defect P1'!CO34=0,"",'Defect P1'!CO34)</f>
        <v/>
      </c>
      <c r="G34" s="304">
        <f>'Defect P1'!CP34</f>
        <v>9093.333333333374</v>
      </c>
      <c r="H34" s="360">
        <f>'Defect P1'!CL34</f>
        <v>-0.14741723865264994</v>
      </c>
      <c r="I34" s="302" t="str">
        <f>'Defect P2'!CM34</f>
        <v>Avg 3 Yr</v>
      </c>
      <c r="J34" s="314">
        <f>'Defect P2'!CN34</f>
        <v>0</v>
      </c>
      <c r="K34" s="303" t="str">
        <f>IF('Defect P2'!CO34=0,"",'Defect P2'!CO34)</f>
        <v/>
      </c>
      <c r="L34" s="304">
        <f>'Defect P2'!CP34</f>
        <v>212425.16522787631</v>
      </c>
      <c r="M34" s="360">
        <f>'Defect P2'!CL34</f>
        <v>33.258888960666525</v>
      </c>
      <c r="N34" s="302" t="str">
        <f>RTS!CM34</f>
        <v>Avg 3 Yr</v>
      </c>
      <c r="O34" s="314">
        <f>RTS!CN34</f>
        <v>0.05</v>
      </c>
      <c r="P34" s="303" t="str">
        <f>IF(RTS!CO34=0,"",RTS!CO34)</f>
        <v/>
      </c>
      <c r="Q34" s="304">
        <f>RTS!CP34</f>
        <v>97570.285261534431</v>
      </c>
      <c r="R34" s="360">
        <f>RTS!CL34</f>
        <v>0.84677379481935722</v>
      </c>
      <c r="S34" s="302" t="str">
        <f>Planned!CM34</f>
        <v>Avg 3 Yr</v>
      </c>
      <c r="T34" s="314">
        <f>Planned!CN34</f>
        <v>0.05</v>
      </c>
      <c r="U34" s="303" t="str">
        <f>IF(Planned!CO34=0,"",Planned!CO34)</f>
        <v/>
      </c>
      <c r="V34" s="304">
        <f>Planned!CP34</f>
        <v>2738394.9485642235</v>
      </c>
      <c r="W34" s="360">
        <f>Planned!CL34</f>
        <v>0</v>
      </c>
      <c r="X34" s="302" t="str">
        <f>Reconductor!CM34</f>
        <v>Avg 3 Yr</v>
      </c>
      <c r="Y34" s="314">
        <f>Reconductor!CN34</f>
        <v>0.05</v>
      </c>
      <c r="Z34" s="303" t="str">
        <f>IF(Reconductor!CO34=0,"",Reconductor!CO34)</f>
        <v/>
      </c>
      <c r="AA34" s="304">
        <f>Reconductor!CP34</f>
        <v>43546.660806634274</v>
      </c>
      <c r="AB34" s="360">
        <f>Reconductor!CL34</f>
        <v>334.88028084744997</v>
      </c>
      <c r="AC34" s="302" t="str">
        <f>CTGS!CM34</f>
        <v>Avg 5 Yr</v>
      </c>
      <c r="AD34" s="314">
        <f>CTGS!CN34</f>
        <v>0.05</v>
      </c>
      <c r="AE34" s="303" t="str">
        <f>IF(CTGS!CO34=0,"",CTGS!CO34)</f>
        <v/>
      </c>
      <c r="AF34" s="304">
        <f>CTGS!CP34</f>
        <v>54166.132786060691</v>
      </c>
      <c r="AG34" s="391" t="s">
        <v>520</v>
      </c>
      <c r="AH34" s="80">
        <f t="shared" si="0"/>
        <v>21729222.430281878</v>
      </c>
      <c r="AI34" s="304">
        <f t="shared" si="1"/>
        <v>58912.561668845352</v>
      </c>
      <c r="AJ34" s="415">
        <f>$AH34*SUMIFS('RIN 2.12 2022-2023 REPEX'!J$6:J$15,'RIN 2.12 2022-2023 REPEX'!$A$6:$A$15,'Unit Cost Rate Summary'!$A34)</f>
        <v>4649688.7704171697</v>
      </c>
      <c r="AK34" s="79">
        <f>$AH34*SUMIFS('RIN 2.12 2022-2023 REPEX'!K$6:K$15,'RIN 2.12 2022-2023 REPEX'!$A$6:$A$15,'Unit Cost Rate Summary'!$A34)</f>
        <v>5483805.1011436293</v>
      </c>
      <c r="AL34" s="79">
        <f>$AH34*SUMIFS('RIN 2.12 2022-2023 REPEX'!L$6:L$15,'RIN 2.12 2022-2023 REPEX'!$A$6:$A$15,'Unit Cost Rate Summary'!$A34)</f>
        <v>11215800.669141345</v>
      </c>
      <c r="AM34" s="80">
        <f>$AH34*SUMIFS('RIN 2.12 2022-2023 REPEX'!M$6:M$15,'RIN 2.12 2022-2023 REPEX'!$A$6:$A$15,'Unit Cost Rate Summary'!$A34)</f>
        <v>379927.88957973215</v>
      </c>
      <c r="AN34" s="483">
        <f t="shared" si="3"/>
        <v>48962.545545925263</v>
      </c>
      <c r="AO34" s="484">
        <f t="shared" si="2"/>
        <v>132.74791554060008</v>
      </c>
    </row>
    <row r="35" spans="1:41" x14ac:dyDescent="0.25">
      <c r="A35" s="81" t="s">
        <v>81</v>
      </c>
      <c r="B35" s="82" t="s">
        <v>82</v>
      </c>
      <c r="C35" s="83" t="s">
        <v>70</v>
      </c>
      <c r="D35" s="305" t="str">
        <f>'Defect P1'!CM35</f>
        <v>Avg 3 Yr</v>
      </c>
      <c r="E35" s="315">
        <f>'Defect P1'!CN35</f>
        <v>0.05</v>
      </c>
      <c r="F35" s="306" t="str">
        <f>IF('Defect P1'!CO35=0,"",'Defect P1'!CO35)</f>
        <v/>
      </c>
      <c r="G35" s="307">
        <f>'Defect P1'!CP35</f>
        <v>6014.2105263157955</v>
      </c>
      <c r="H35" s="363">
        <f>'Defect P1'!CL35</f>
        <v>-0.27098242278167056</v>
      </c>
      <c r="I35" s="305" t="str">
        <f>'Defect P2'!CM35</f>
        <v>Avg 3 Yr</v>
      </c>
      <c r="J35" s="315">
        <f>'Defect P2'!CN35</f>
        <v>0</v>
      </c>
      <c r="K35" s="306" t="str">
        <f>IF('Defect P2'!CO35=0,"",'Defect P2'!CO35)</f>
        <v/>
      </c>
      <c r="L35" s="307">
        <f>'Defect P2'!CP35</f>
        <v>111794.71009441669</v>
      </c>
      <c r="M35" s="363">
        <f>'Defect P2'!CL35</f>
        <v>15.639722079444439</v>
      </c>
      <c r="N35" s="305" t="str">
        <f>RTS!CM35</f>
        <v>Avg 3 Yr</v>
      </c>
      <c r="O35" s="315">
        <f>RTS!CN35</f>
        <v>0.05</v>
      </c>
      <c r="P35" s="306" t="str">
        <f>IF(RTS!CO35=0,"",RTS!CO35)</f>
        <v/>
      </c>
      <c r="Q35" s="307">
        <f>RTS!CP35</f>
        <v>14533.129929279125</v>
      </c>
      <c r="R35" s="363">
        <f>RTS!CL35</f>
        <v>3.2609617026448356</v>
      </c>
      <c r="S35" s="305" t="str">
        <f>Planned!CM35</f>
        <v>Avg 3 Yr</v>
      </c>
      <c r="T35" s="315">
        <f>Planned!CN35</f>
        <v>0.05</v>
      </c>
      <c r="U35" s="306" t="str">
        <f>IF(Planned!CO35=0,"",Planned!CO35)</f>
        <v/>
      </c>
      <c r="V35" s="307">
        <f>Planned!CP35</f>
        <v>11281494.476788428</v>
      </c>
      <c r="W35" s="363">
        <f>Planned!CL35</f>
        <v>0</v>
      </c>
      <c r="X35" s="305" t="str">
        <f>Reconductor!CM35</f>
        <v>Avg 3 Yr</v>
      </c>
      <c r="Y35" s="315">
        <f>Reconductor!CN35</f>
        <v>0.05</v>
      </c>
      <c r="Z35" s="306" t="str">
        <f>IF(Reconductor!CO35=0,"",Reconductor!CO35)</f>
        <v/>
      </c>
      <c r="AA35" s="307">
        <f>Reconductor!CP35</f>
        <v>46893.867621045465</v>
      </c>
      <c r="AB35" s="363">
        <f>Reconductor!CL35</f>
        <v>221.5046279789712</v>
      </c>
      <c r="AC35" s="305" t="str">
        <f>CTGS!CM35</f>
        <v>Avg 5 Yr</v>
      </c>
      <c r="AD35" s="315">
        <f>CTGS!CN35</f>
        <v>0.05</v>
      </c>
      <c r="AE35" s="306" t="str">
        <f>IF(CTGS!CO35=0,"",CTGS!CO35)</f>
        <v/>
      </c>
      <c r="AF35" s="307">
        <f>CTGS!CP35</f>
        <v>31638.071325796151</v>
      </c>
      <c r="AG35" s="392" t="s">
        <v>521</v>
      </c>
      <c r="AH35" s="98">
        <f t="shared" si="0"/>
        <v>12181409.13250294</v>
      </c>
      <c r="AI35" s="307">
        <f t="shared" si="1"/>
        <v>50727.478932605714</v>
      </c>
      <c r="AJ35" s="416">
        <f>$AH35*SUMIFS('RIN 2.12 2022-2023 REPEX'!J$6:J$15,'RIN 2.12 2022-2023 REPEX'!$A$6:$A$15,'Unit Cost Rate Summary'!$A35)</f>
        <v>2606617.0307282978</v>
      </c>
      <c r="AK35" s="97">
        <f>$AH35*SUMIFS('RIN 2.12 2022-2023 REPEX'!K$6:K$15,'RIN 2.12 2022-2023 REPEX'!$A$6:$A$15,'Unit Cost Rate Summary'!$A35)</f>
        <v>3074222.9159035147</v>
      </c>
      <c r="AL35" s="97">
        <f>$AH35*SUMIFS('RIN 2.12 2022-2023 REPEX'!L$6:L$15,'RIN 2.12 2022-2023 REPEX'!$A$6:$A$15,'Unit Cost Rate Summary'!$A35)</f>
        <v>6287581.4879142279</v>
      </c>
      <c r="AM35" s="98">
        <f>$AH35*SUMIFS('RIN 2.12 2022-2023 REPEX'!M$6:M$15,'RIN 2.12 2022-2023 REPEX'!$A$6:$A$15,'Unit Cost Rate Summary'!$A35)</f>
        <v>212987.69795689746</v>
      </c>
      <c r="AN35" s="485">
        <f t="shared" si="3"/>
        <v>27448.418891995669</v>
      </c>
      <c r="AO35" s="486">
        <f t="shared" si="2"/>
        <v>114.30443522020917</v>
      </c>
    </row>
    <row r="36" spans="1:41" x14ac:dyDescent="0.25">
      <c r="A36" s="81" t="s">
        <v>81</v>
      </c>
      <c r="B36" s="82" t="s">
        <v>83</v>
      </c>
      <c r="C36" s="83" t="s">
        <v>312</v>
      </c>
      <c r="D36" s="305" t="str">
        <f>'Defect P1'!CM36</f>
        <v>Avg 3 Yr</v>
      </c>
      <c r="E36" s="315">
        <f>'Defect P1'!CN36</f>
        <v>0.05</v>
      </c>
      <c r="F36" s="306" t="str">
        <f>IF('Defect P1'!CO36=0,"",'Defect P1'!CO36)</f>
        <v/>
      </c>
      <c r="G36" s="307">
        <f>'Defect P1'!CP36</f>
        <v>1935.9453151050368</v>
      </c>
      <c r="H36" s="363">
        <f>'Defect P1'!CL36</f>
        <v>0.85497280664138764</v>
      </c>
      <c r="I36" s="305" t="str">
        <f>'Defect P2'!CM36</f>
        <v>Avg 3 Yr</v>
      </c>
      <c r="J36" s="315">
        <f>'Defect P2'!CN36</f>
        <v>0</v>
      </c>
      <c r="K36" s="306" t="str">
        <f>IF('Defect P2'!CO36=0,"",'Defect P2'!CO36)</f>
        <v/>
      </c>
      <c r="L36" s="307">
        <f>'Defect P2'!CP36</f>
        <v>49620.98911768222</v>
      </c>
      <c r="M36" s="363">
        <f>'Defect P2'!CL36</f>
        <v>27.108999606555557</v>
      </c>
      <c r="N36" s="305" t="str">
        <f>RTS!CM36</f>
        <v>Avg 3 Yr</v>
      </c>
      <c r="O36" s="315">
        <f>RTS!CN36</f>
        <v>0.05</v>
      </c>
      <c r="P36" s="306" t="str">
        <f>IF(RTS!CO36=0,"",RTS!CO36)</f>
        <v/>
      </c>
      <c r="Q36" s="307">
        <f>RTS!CP36</f>
        <v>11051.883462949212</v>
      </c>
      <c r="R36" s="363">
        <f>RTS!CL36</f>
        <v>2.964847127429588</v>
      </c>
      <c r="S36" s="305" t="str">
        <f>Planned!CM36</f>
        <v>Avg 3 Yr</v>
      </c>
      <c r="T36" s="315">
        <f>Planned!CN36</f>
        <v>0.05</v>
      </c>
      <c r="U36" s="306" t="str">
        <f>IF(Planned!CO36=0,"",Planned!CO36)</f>
        <v/>
      </c>
      <c r="V36" s="307">
        <f>Planned!CP36</f>
        <v>1152188.2003799104</v>
      </c>
      <c r="W36" s="363">
        <f>Planned!CL36</f>
        <v>0</v>
      </c>
      <c r="X36" s="305" t="str">
        <f>Reconductor!CM36</f>
        <v>Avg 3 Yr</v>
      </c>
      <c r="Y36" s="315">
        <f>Reconductor!CN36</f>
        <v>0.05</v>
      </c>
      <c r="Z36" s="306" t="str">
        <f>IF(Reconductor!CO36=0,"",Reconductor!CO36)</f>
        <v/>
      </c>
      <c r="AA36" s="307">
        <f>Reconductor!CP36</f>
        <v>20519.886571372816</v>
      </c>
      <c r="AB36" s="363">
        <f>Reconductor!CL36</f>
        <v>64.63474762797749</v>
      </c>
      <c r="AC36" s="305" t="str">
        <f>CTGS!CM36</f>
        <v>Avg 5 Yr</v>
      </c>
      <c r="AD36" s="315">
        <f>CTGS!CN36</f>
        <v>0.05</v>
      </c>
      <c r="AE36" s="306" t="str">
        <f>IF(CTGS!CO36=0,"",CTGS!CO36)</f>
        <v/>
      </c>
      <c r="AF36" s="307">
        <f>CTGS!CP36</f>
        <v>21872.21237624557</v>
      </c>
      <c r="AG36" s="392" t="s">
        <v>522</v>
      </c>
      <c r="AH36" s="98">
        <f t="shared" si="0"/>
        <v>2705895.3899009223</v>
      </c>
      <c r="AI36" s="307">
        <f t="shared" si="1"/>
        <v>28315.135883603805</v>
      </c>
      <c r="AJ36" s="416">
        <f>$AH36*SUMIFS('RIN 2.12 2022-2023 REPEX'!J$6:J$15,'RIN 2.12 2022-2023 REPEX'!$A$6:$A$15,'Unit Cost Rate Summary'!$A36)</f>
        <v>579016.18195100303</v>
      </c>
      <c r="AK36" s="97">
        <f>$AH36*SUMIFS('RIN 2.12 2022-2023 REPEX'!K$6:K$15,'RIN 2.12 2022-2023 REPEX'!$A$6:$A$15,'Unit Cost Rate Summary'!$A36)</f>
        <v>682886.97351731313</v>
      </c>
      <c r="AL36" s="97">
        <f>$AH36*SUMIFS('RIN 2.12 2022-2023 REPEX'!L$6:L$15,'RIN 2.12 2022-2023 REPEX'!$A$6:$A$15,'Unit Cost Rate Summary'!$A36)</f>
        <v>1396680.5955459839</v>
      </c>
      <c r="AM36" s="98">
        <f>$AH36*SUMIFS('RIN 2.12 2022-2023 REPEX'!M$6:M$15,'RIN 2.12 2022-2023 REPEX'!$A$6:$A$15,'Unit Cost Rate Summary'!$A36)</f>
        <v>47311.638886622037</v>
      </c>
      <c r="AN36" s="485">
        <f t="shared" si="3"/>
        <v>6097.2051206902961</v>
      </c>
      <c r="AO36" s="486">
        <f t="shared" si="2"/>
        <v>63.802611197350124</v>
      </c>
    </row>
    <row r="37" spans="1:41" x14ac:dyDescent="0.25">
      <c r="A37" s="81" t="s">
        <v>81</v>
      </c>
      <c r="B37" s="82" t="s">
        <v>85</v>
      </c>
      <c r="C37" s="83" t="s">
        <v>314</v>
      </c>
      <c r="D37" s="305" t="str">
        <f>'Defect P1'!CM37</f>
        <v>Avg 3 Yr</v>
      </c>
      <c r="E37" s="315">
        <f>'Defect P1'!CN37</f>
        <v>0.05</v>
      </c>
      <c r="F37" s="306" t="str">
        <f>IF('Defect P1'!CO37=0,"",'Defect P1'!CO37)</f>
        <v/>
      </c>
      <c r="G37" s="307" t="str">
        <f>'Defect P1'!CP37</f>
        <v/>
      </c>
      <c r="H37" s="363">
        <f>'Defect P1'!CL37</f>
        <v>0</v>
      </c>
      <c r="I37" s="305" t="str">
        <f>'Defect P2'!CM37</f>
        <v>Avg 3 Yr</v>
      </c>
      <c r="J37" s="315">
        <f>'Defect P2'!CN37</f>
        <v>0</v>
      </c>
      <c r="K37" s="306" t="str">
        <f>IF('Defect P2'!CO37=0,"",'Defect P2'!CO37)</f>
        <v/>
      </c>
      <c r="L37" s="307" t="str">
        <f>'Defect P2'!CP37</f>
        <v/>
      </c>
      <c r="M37" s="363">
        <f>'Defect P2'!CL37</f>
        <v>0</v>
      </c>
      <c r="N37" s="305" t="str">
        <f>RTS!CM37</f>
        <v>Avg 3 Yr</v>
      </c>
      <c r="O37" s="315">
        <f>RTS!CN37</f>
        <v>0.05</v>
      </c>
      <c r="P37" s="306" t="str">
        <f>IF(RTS!CO37=0,"",RTS!CO37)</f>
        <v/>
      </c>
      <c r="Q37" s="307" t="str">
        <f>RTS!CP37</f>
        <v/>
      </c>
      <c r="R37" s="363">
        <f>RTS!CL37</f>
        <v>0</v>
      </c>
      <c r="S37" s="305" t="str">
        <f>Planned!CM37</f>
        <v>Avg 3 Yr</v>
      </c>
      <c r="T37" s="315">
        <f>Planned!CN37</f>
        <v>0.05</v>
      </c>
      <c r="U37" s="306" t="str">
        <f>IF(Planned!CO37=0,"",Planned!CO37)</f>
        <v/>
      </c>
      <c r="V37" s="307" t="str">
        <f>Planned!CP37</f>
        <v/>
      </c>
      <c r="W37" s="363">
        <f>Planned!CL37</f>
        <v>0</v>
      </c>
      <c r="X37" s="305" t="str">
        <f>Reconductor!CM37</f>
        <v>Avg 3 Yr</v>
      </c>
      <c r="Y37" s="315">
        <f>Reconductor!CN37</f>
        <v>0.05</v>
      </c>
      <c r="Z37" s="306" t="str">
        <f>IF(Reconductor!CO37=0,"",Reconductor!CO37)</f>
        <v/>
      </c>
      <c r="AA37" s="307" t="str">
        <f>Reconductor!CP37</f>
        <v/>
      </c>
      <c r="AB37" s="363">
        <f>Reconductor!CL37</f>
        <v>0</v>
      </c>
      <c r="AC37" s="305" t="str">
        <f>CTGS!CM37</f>
        <v>Avg 5 Yr</v>
      </c>
      <c r="AD37" s="315">
        <f>CTGS!CN37</f>
        <v>0.05</v>
      </c>
      <c r="AE37" s="306" t="str">
        <f>IF(CTGS!CO37=0,"",CTGS!CO37)</f>
        <v/>
      </c>
      <c r="AF37" s="307" t="str">
        <f>CTGS!CP37</f>
        <v/>
      </c>
      <c r="AG37" s="392"/>
      <c r="AH37" s="98">
        <f t="shared" si="0"/>
        <v>0</v>
      </c>
      <c r="AI37" s="307" t="str">
        <f t="shared" si="1"/>
        <v/>
      </c>
      <c r="AJ37" s="416">
        <f>$AH37*SUMIFS('RIN 2.12 2022-2023 REPEX'!J$6:J$15,'RIN 2.12 2022-2023 REPEX'!$A$6:$A$15,'Unit Cost Rate Summary'!$A37)</f>
        <v>0</v>
      </c>
      <c r="AK37" s="97">
        <f>$AH37*SUMIFS('RIN 2.12 2022-2023 REPEX'!K$6:K$15,'RIN 2.12 2022-2023 REPEX'!$A$6:$A$15,'Unit Cost Rate Summary'!$A37)</f>
        <v>0</v>
      </c>
      <c r="AL37" s="97">
        <f>$AH37*SUMIFS('RIN 2.12 2022-2023 REPEX'!L$6:L$15,'RIN 2.12 2022-2023 REPEX'!$A$6:$A$15,'Unit Cost Rate Summary'!$A37)</f>
        <v>0</v>
      </c>
      <c r="AM37" s="98">
        <f>$AH37*SUMIFS('RIN 2.12 2022-2023 REPEX'!M$6:M$15,'RIN 2.12 2022-2023 REPEX'!$A$6:$A$15,'Unit Cost Rate Summary'!$A37)</f>
        <v>0</v>
      </c>
      <c r="AN37" s="485">
        <f t="shared" si="3"/>
        <v>0</v>
      </c>
      <c r="AO37" s="486" t="str">
        <f t="shared" si="2"/>
        <v/>
      </c>
    </row>
    <row r="38" spans="1:41" x14ac:dyDescent="0.25">
      <c r="A38" s="81" t="s">
        <v>81</v>
      </c>
      <c r="B38" s="82" t="s">
        <v>87</v>
      </c>
      <c r="C38" s="83" t="s">
        <v>315</v>
      </c>
      <c r="D38" s="305" t="str">
        <f>'Defect P1'!CM38</f>
        <v>Avg 3 Yr</v>
      </c>
      <c r="E38" s="315">
        <f>'Defect P1'!CN38</f>
        <v>0.05</v>
      </c>
      <c r="F38" s="306" t="str">
        <f>IF('Defect P1'!CO38=0,"",'Defect P1'!CO38)</f>
        <v/>
      </c>
      <c r="G38" s="307" t="str">
        <f>'Defect P1'!CP38</f>
        <v/>
      </c>
      <c r="H38" s="363">
        <f>'Defect P1'!CL38</f>
        <v>2.8776002000000002E-2</v>
      </c>
      <c r="I38" s="305" t="str">
        <f>'Defect P2'!CM38</f>
        <v>Avg 3 Yr</v>
      </c>
      <c r="J38" s="315">
        <f>'Defect P2'!CN38</f>
        <v>0</v>
      </c>
      <c r="K38" s="306" t="str">
        <f>IF('Defect P2'!CO38=0,"",'Defect P2'!CO38)</f>
        <v/>
      </c>
      <c r="L38" s="307">
        <f>'Defect P2'!CP38</f>
        <v>272884.11937145836</v>
      </c>
      <c r="M38" s="363">
        <f>'Defect P2'!CL38</f>
        <v>4.4827777358888854</v>
      </c>
      <c r="N38" s="305" t="str">
        <f>RTS!CM38</f>
        <v>Avg 3 Yr</v>
      </c>
      <c r="O38" s="315">
        <f>RTS!CN38</f>
        <v>0.05</v>
      </c>
      <c r="P38" s="306" t="str">
        <f>IF(RTS!CO38=0,"",RTS!CO38)</f>
        <v/>
      </c>
      <c r="Q38" s="307">
        <f>RTS!CP38</f>
        <v>8663.1969078521888</v>
      </c>
      <c r="R38" s="363">
        <f>RTS!CL38</f>
        <v>1.7744096075549154</v>
      </c>
      <c r="S38" s="305" t="str">
        <f>Planned!CM38</f>
        <v>Avg 3 Yr</v>
      </c>
      <c r="T38" s="315">
        <f>Planned!CN38</f>
        <v>0.05</v>
      </c>
      <c r="U38" s="306" t="str">
        <f>IF(Planned!CO38=0,"",Planned!CO38)</f>
        <v/>
      </c>
      <c r="V38" s="307" t="str">
        <f>Planned!CP38</f>
        <v/>
      </c>
      <c r="W38" s="363">
        <f>Planned!CL38</f>
        <v>0</v>
      </c>
      <c r="X38" s="305" t="str">
        <f>Reconductor!CM38</f>
        <v>Avg 3 Yr</v>
      </c>
      <c r="Y38" s="315">
        <f>Reconductor!CN38</f>
        <v>0.05</v>
      </c>
      <c r="Z38" s="306" t="str">
        <f>IF(Reconductor!CO38=0,"",Reconductor!CO38)</f>
        <v/>
      </c>
      <c r="AA38" s="307">
        <f>Reconductor!CP38</f>
        <v>26749.450667867586</v>
      </c>
      <c r="AB38" s="363">
        <f>Reconductor!CL38</f>
        <v>55.135535987177576</v>
      </c>
      <c r="AC38" s="305" t="str">
        <f>CTGS!CM38</f>
        <v>Avg 5 Yr</v>
      </c>
      <c r="AD38" s="315">
        <f>CTGS!CN38</f>
        <v>0.05</v>
      </c>
      <c r="AE38" s="306" t="str">
        <f>IF(CTGS!CO38=0,"",CTGS!CO38)</f>
        <v/>
      </c>
      <c r="AF38" s="307">
        <f>CTGS!CP38</f>
        <v>26446.18575206658</v>
      </c>
      <c r="AG38" s="392"/>
      <c r="AH38" s="98">
        <f t="shared" si="0"/>
        <v>2713496.2145568961</v>
      </c>
      <c r="AI38" s="307">
        <f t="shared" si="1"/>
        <v>44178.280309672278</v>
      </c>
      <c r="AJ38" s="416">
        <f>$AH38*SUMIFS('RIN 2.12 2022-2023 REPEX'!J$6:J$15,'RIN 2.12 2022-2023 REPEX'!$A$6:$A$15,'Unit Cost Rate Summary'!$A38)</f>
        <v>580642.63081092818</v>
      </c>
      <c r="AK38" s="97">
        <f>$AH38*SUMIFS('RIN 2.12 2022-2023 REPEX'!K$6:K$15,'RIN 2.12 2022-2023 REPEX'!$A$6:$A$15,'Unit Cost Rate Summary'!$A38)</f>
        <v>684805.19406823535</v>
      </c>
      <c r="AL38" s="97">
        <f>$AH38*SUMIFS('RIN 2.12 2022-2023 REPEX'!L$6:L$15,'RIN 2.12 2022-2023 REPEX'!$A$6:$A$15,'Unit Cost Rate Summary'!$A38)</f>
        <v>1400603.8530180824</v>
      </c>
      <c r="AM38" s="98">
        <f>$AH38*SUMIFS('RIN 2.12 2022-2023 REPEX'!M$6:M$15,'RIN 2.12 2022-2023 REPEX'!$A$6:$A$15,'Unit Cost Rate Summary'!$A38)</f>
        <v>47444.536659649821</v>
      </c>
      <c r="AN38" s="485">
        <f t="shared" si="3"/>
        <v>6114.3320898949587</v>
      </c>
      <c r="AO38" s="486">
        <f t="shared" si="2"/>
        <v>99.54709924587587</v>
      </c>
    </row>
    <row r="39" spans="1:41" x14ac:dyDescent="0.25">
      <c r="A39" s="81" t="s">
        <v>81</v>
      </c>
      <c r="B39" s="82" t="s">
        <v>89</v>
      </c>
      <c r="C39" s="83" t="s">
        <v>74</v>
      </c>
      <c r="D39" s="305" t="str">
        <f>'Defect P1'!CM39</f>
        <v>Avg 5 Yr</v>
      </c>
      <c r="E39" s="315">
        <f>'Defect P1'!CN39</f>
        <v>0.05</v>
      </c>
      <c r="F39" s="306" t="str">
        <f>IF('Defect P1'!CO39=0,"",'Defect P1'!CO39)</f>
        <v/>
      </c>
      <c r="G39" s="307">
        <f>'Defect P1'!CP39</f>
        <v>36672.009145455675</v>
      </c>
      <c r="H39" s="363">
        <f>'Defect P1'!CL39</f>
        <v>0.67769183551031198</v>
      </c>
      <c r="I39" s="305" t="str">
        <f>'Defect P2'!CM39</f>
        <v>Avg 3 Yr</v>
      </c>
      <c r="J39" s="315">
        <f>'Defect P2'!CN39</f>
        <v>0</v>
      </c>
      <c r="K39" s="306" t="str">
        <f>IF('Defect P2'!CO39=0,"",'Defect P2'!CO39)</f>
        <v/>
      </c>
      <c r="L39" s="307">
        <f>'Defect P2'!CP39</f>
        <v>80946.242444530115</v>
      </c>
      <c r="M39" s="363">
        <f>'Defect P2'!CL39</f>
        <v>2.9658889039999994</v>
      </c>
      <c r="N39" s="305" t="str">
        <f>RTS!CM39</f>
        <v>Avg 3 Yr</v>
      </c>
      <c r="O39" s="315">
        <f>RTS!CN39</f>
        <v>0.05</v>
      </c>
      <c r="P39" s="306" t="str">
        <f>IF(RTS!CO39=0,"",RTS!CO39)</f>
        <v/>
      </c>
      <c r="Q39" s="307">
        <f>RTS!CP39</f>
        <v>20882.647062540273</v>
      </c>
      <c r="R39" s="363">
        <f>RTS!CL39</f>
        <v>7.4028646437523313E-2</v>
      </c>
      <c r="S39" s="305" t="str">
        <f>Planned!CM39</f>
        <v>Avg 3 Yr</v>
      </c>
      <c r="T39" s="315">
        <f>Planned!CN39</f>
        <v>0.05</v>
      </c>
      <c r="U39" s="306" t="str">
        <f>IF(Planned!CO39=0,"",Planned!CO39)</f>
        <v/>
      </c>
      <c r="V39" s="307">
        <f>Planned!CP39</f>
        <v>65712919.948304243</v>
      </c>
      <c r="W39" s="363">
        <f>Planned!CL39</f>
        <v>0</v>
      </c>
      <c r="X39" s="305" t="str">
        <f>Reconductor!CM39</f>
        <v>Avg 3 Yr</v>
      </c>
      <c r="Y39" s="315">
        <f>Reconductor!CN39</f>
        <v>0.05</v>
      </c>
      <c r="Z39" s="306" t="str">
        <f>IF(Reconductor!CO39=0,"",Reconductor!CO39)</f>
        <v/>
      </c>
      <c r="AA39" s="307">
        <f>Reconductor!CP39</f>
        <v>424507.35583476507</v>
      </c>
      <c r="AB39" s="363">
        <f>Reconductor!CL39</f>
        <v>10.353244412264809</v>
      </c>
      <c r="AC39" s="305" t="str">
        <f>CTGS!CM39</f>
        <v>Avg 5 Yr</v>
      </c>
      <c r="AD39" s="315">
        <f>CTGS!CN39</f>
        <v>0.05</v>
      </c>
      <c r="AE39" s="306" t="str">
        <f>IF(CTGS!CO39=0,"",CTGS!CO39)</f>
        <v/>
      </c>
      <c r="AF39" s="307">
        <f>CTGS!CP39</f>
        <v>26895.933188366958</v>
      </c>
      <c r="AG39" s="392"/>
      <c r="AH39" s="98">
        <f t="shared" ref="AH39:AH70" si="4">SUM(IFERROR(G39*H39,0),IFERROR(L39*M39,0),IFERROR(Q39*R39,0),IFERROR(V39*W39,0),IFERROR(AA39*AB39,0))</f>
        <v>4661504.2073340239</v>
      </c>
      <c r="AI39" s="307">
        <f t="shared" ref="AI39:AI70" si="5">IFERROR(AH39/SUM(H39,M39,R39,W39,AB39),"")</f>
        <v>331287.94273494289</v>
      </c>
      <c r="AJ39" s="416">
        <f>$AH39*SUMIFS('RIN 2.12 2022-2023 REPEX'!J$6:J$15,'RIN 2.12 2022-2023 REPEX'!$A$6:$A$15,'Unit Cost Rate Summary'!$A39)</f>
        <v>997483.6345679689</v>
      </c>
      <c r="AK39" s="97">
        <f>$AH39*SUMIFS('RIN 2.12 2022-2023 REPEX'!K$6:K$15,'RIN 2.12 2022-2023 REPEX'!$A$6:$A$15,'Unit Cost Rate Summary'!$A39)</f>
        <v>1176424.0820489039</v>
      </c>
      <c r="AL39" s="97">
        <f>$AH39*SUMIFS('RIN 2.12 2022-2023 REPEX'!L$6:L$15,'RIN 2.12 2022-2023 REPEX'!$A$6:$A$15,'Unit Cost Rate Summary'!$A39)</f>
        <v>2406091.712465567</v>
      </c>
      <c r="AM39" s="98">
        <f>$AH39*SUMIFS('RIN 2.12 2022-2023 REPEX'!M$6:M$15,'RIN 2.12 2022-2023 REPEX'!$A$6:$A$15,'Unit Cost Rate Summary'!$A39)</f>
        <v>81504.77825158347</v>
      </c>
      <c r="AN39" s="485">
        <f t="shared" si="3"/>
        <v>10503.786446865213</v>
      </c>
      <c r="AO39" s="486">
        <f t="shared" ref="AO39:AO70" si="6">IFERROR(AN39/SUM(AB39,W39,R39,M39,H39),"")</f>
        <v>746.49247284478645</v>
      </c>
    </row>
    <row r="40" spans="1:41" x14ac:dyDescent="0.25">
      <c r="A40" s="81" t="s">
        <v>81</v>
      </c>
      <c r="B40" s="82" t="s">
        <v>90</v>
      </c>
      <c r="C40" s="83" t="s">
        <v>76</v>
      </c>
      <c r="D40" s="305" t="str">
        <f>'Defect P1'!CM40</f>
        <v>Avg 3 Yr</v>
      </c>
      <c r="E40" s="315">
        <f>'Defect P1'!CN40</f>
        <v>0.05</v>
      </c>
      <c r="F40" s="306" t="str">
        <f>IF('Defect P1'!CO40=0,"",'Defect P1'!CO40)</f>
        <v/>
      </c>
      <c r="G40" s="307" t="str">
        <f>'Defect P1'!CP40</f>
        <v/>
      </c>
      <c r="H40" s="363">
        <f>'Defect P1'!CL40</f>
        <v>0</v>
      </c>
      <c r="I40" s="305" t="str">
        <f>'Defect P2'!CM40</f>
        <v>Avg 3 Yr</v>
      </c>
      <c r="J40" s="315">
        <f>'Defect P2'!CN40</f>
        <v>0</v>
      </c>
      <c r="K40" s="306" t="str">
        <f>IF('Defect P2'!CO40=0,"",'Defect P2'!CO40)</f>
        <v/>
      </c>
      <c r="L40" s="307" t="str">
        <f>'Defect P2'!CP40</f>
        <v/>
      </c>
      <c r="M40" s="363">
        <f>'Defect P2'!CL40</f>
        <v>0</v>
      </c>
      <c r="N40" s="305" t="str">
        <f>RTS!CM40</f>
        <v>Avg 3 Yr</v>
      </c>
      <c r="O40" s="315">
        <f>RTS!CN40</f>
        <v>0.05</v>
      </c>
      <c r="P40" s="306" t="str">
        <f>IF(RTS!CO40=0,"",RTS!CO40)</f>
        <v/>
      </c>
      <c r="Q40" s="307" t="str">
        <f>RTS!CP40</f>
        <v/>
      </c>
      <c r="R40" s="363">
        <f>RTS!CL40</f>
        <v>0</v>
      </c>
      <c r="S40" s="305" t="str">
        <f>Planned!CM40</f>
        <v>Avg 3 Yr</v>
      </c>
      <c r="T40" s="315">
        <f>Planned!CN40</f>
        <v>0.05</v>
      </c>
      <c r="U40" s="306" t="str">
        <f>IF(Planned!CO40=0,"",Planned!CO40)</f>
        <v/>
      </c>
      <c r="V40" s="307" t="str">
        <f>Planned!CP40</f>
        <v/>
      </c>
      <c r="W40" s="363">
        <f>Planned!CL40</f>
        <v>0</v>
      </c>
      <c r="X40" s="305" t="str">
        <f>Reconductor!CM40</f>
        <v>Avg 3 Yr</v>
      </c>
      <c r="Y40" s="315">
        <f>Reconductor!CN40</f>
        <v>0.05</v>
      </c>
      <c r="Z40" s="306" t="str">
        <f>IF(Reconductor!CO40=0,"",Reconductor!CO40)</f>
        <v/>
      </c>
      <c r="AA40" s="307" t="str">
        <f>Reconductor!CP40</f>
        <v/>
      </c>
      <c r="AB40" s="363">
        <f>Reconductor!CL40</f>
        <v>0</v>
      </c>
      <c r="AC40" s="305" t="str">
        <f>CTGS!CM40</f>
        <v>Avg 5 Yr</v>
      </c>
      <c r="AD40" s="315">
        <f>CTGS!CN40</f>
        <v>0.05</v>
      </c>
      <c r="AE40" s="306" t="str">
        <f>IF(CTGS!CO40=0,"",CTGS!CO40)</f>
        <v/>
      </c>
      <c r="AF40" s="307">
        <f>CTGS!CP40</f>
        <v>27906.383612877707</v>
      </c>
      <c r="AG40" s="392"/>
      <c r="AH40" s="98">
        <f t="shared" si="4"/>
        <v>0</v>
      </c>
      <c r="AI40" s="307" t="str">
        <f t="shared" si="5"/>
        <v/>
      </c>
      <c r="AJ40" s="416">
        <f>$AH40*SUMIFS('RIN 2.12 2022-2023 REPEX'!J$6:J$15,'RIN 2.12 2022-2023 REPEX'!$A$6:$A$15,'Unit Cost Rate Summary'!$A40)</f>
        <v>0</v>
      </c>
      <c r="AK40" s="97">
        <f>$AH40*SUMIFS('RIN 2.12 2022-2023 REPEX'!K$6:K$15,'RIN 2.12 2022-2023 REPEX'!$A$6:$A$15,'Unit Cost Rate Summary'!$A40)</f>
        <v>0</v>
      </c>
      <c r="AL40" s="97">
        <f>$AH40*SUMIFS('RIN 2.12 2022-2023 REPEX'!L$6:L$15,'RIN 2.12 2022-2023 REPEX'!$A$6:$A$15,'Unit Cost Rate Summary'!$A40)</f>
        <v>0</v>
      </c>
      <c r="AM40" s="98">
        <f>$AH40*SUMIFS('RIN 2.12 2022-2023 REPEX'!M$6:M$15,'RIN 2.12 2022-2023 REPEX'!$A$6:$A$15,'Unit Cost Rate Summary'!$A40)</f>
        <v>0</v>
      </c>
      <c r="AN40" s="485">
        <f t="shared" si="3"/>
        <v>0</v>
      </c>
      <c r="AO40" s="486" t="str">
        <f t="shared" si="6"/>
        <v/>
      </c>
    </row>
    <row r="41" spans="1:41" x14ac:dyDescent="0.25">
      <c r="A41" s="81" t="s">
        <v>81</v>
      </c>
      <c r="B41" s="82" t="s">
        <v>91</v>
      </c>
      <c r="C41" s="83" t="s">
        <v>78</v>
      </c>
      <c r="D41" s="305" t="str">
        <f>'Defect P1'!CM41</f>
        <v>Avg 3 Yr</v>
      </c>
      <c r="E41" s="315">
        <f>'Defect P1'!CN41</f>
        <v>0.05</v>
      </c>
      <c r="F41" s="306" t="str">
        <f>IF('Defect P1'!CO41=0,"",'Defect P1'!CO41)</f>
        <v/>
      </c>
      <c r="G41" s="307" t="str">
        <f>'Defect P1'!CP41</f>
        <v/>
      </c>
      <c r="H41" s="363">
        <f>'Defect P1'!CL41</f>
        <v>0</v>
      </c>
      <c r="I41" s="305" t="str">
        <f>'Defect P2'!CM41</f>
        <v>Avg 3 Yr</v>
      </c>
      <c r="J41" s="315">
        <f>'Defect P2'!CN41</f>
        <v>0</v>
      </c>
      <c r="K41" s="306" t="str">
        <f>IF('Defect P2'!CO41=0,"",'Defect P2'!CO41)</f>
        <v/>
      </c>
      <c r="L41" s="307" t="str">
        <f>'Defect P2'!CP41</f>
        <v/>
      </c>
      <c r="M41" s="363">
        <f>'Defect P2'!CL41</f>
        <v>0</v>
      </c>
      <c r="N41" s="305" t="str">
        <f>RTS!CM41</f>
        <v>Avg 3 Yr</v>
      </c>
      <c r="O41" s="315">
        <f>RTS!CN41</f>
        <v>0.05</v>
      </c>
      <c r="P41" s="306" t="str">
        <f>IF(RTS!CO41=0,"",RTS!CO41)</f>
        <v/>
      </c>
      <c r="Q41" s="307" t="str">
        <f>RTS!CP41</f>
        <v/>
      </c>
      <c r="R41" s="363">
        <f>RTS!CL41</f>
        <v>0</v>
      </c>
      <c r="S41" s="305" t="str">
        <f>Planned!CM41</f>
        <v>Avg 3 Yr</v>
      </c>
      <c r="T41" s="315">
        <f>Planned!CN41</f>
        <v>0.05</v>
      </c>
      <c r="U41" s="306" t="str">
        <f>IF(Planned!CO41=0,"",Planned!CO41)</f>
        <v/>
      </c>
      <c r="V41" s="307" t="str">
        <f>Planned!CP41</f>
        <v/>
      </c>
      <c r="W41" s="363">
        <f>Planned!CL41</f>
        <v>0</v>
      </c>
      <c r="X41" s="305" t="str">
        <f>Reconductor!CM41</f>
        <v>Avg 3 Yr</v>
      </c>
      <c r="Y41" s="315">
        <f>Reconductor!CN41</f>
        <v>0.05</v>
      </c>
      <c r="Z41" s="306" t="str">
        <f>IF(Reconductor!CO41=0,"",Reconductor!CO41)</f>
        <v/>
      </c>
      <c r="AA41" s="307" t="str">
        <f>Reconductor!CP41</f>
        <v/>
      </c>
      <c r="AB41" s="363">
        <f>Reconductor!CL41</f>
        <v>0</v>
      </c>
      <c r="AC41" s="305" t="str">
        <f>CTGS!CM41</f>
        <v>Avg 5 Yr</v>
      </c>
      <c r="AD41" s="315">
        <f>CTGS!CN41</f>
        <v>0.05</v>
      </c>
      <c r="AE41" s="306" t="str">
        <f>IF(CTGS!CO41=0,"",CTGS!CO41)</f>
        <v/>
      </c>
      <c r="AF41" s="307" t="str">
        <f>CTGS!CP41</f>
        <v/>
      </c>
      <c r="AG41" s="392"/>
      <c r="AH41" s="98">
        <f t="shared" si="4"/>
        <v>0</v>
      </c>
      <c r="AI41" s="307" t="str">
        <f t="shared" si="5"/>
        <v/>
      </c>
      <c r="AJ41" s="416">
        <f>$AH41*SUMIFS('RIN 2.12 2022-2023 REPEX'!J$6:J$15,'RIN 2.12 2022-2023 REPEX'!$A$6:$A$15,'Unit Cost Rate Summary'!$A41)</f>
        <v>0</v>
      </c>
      <c r="AK41" s="97">
        <f>$AH41*SUMIFS('RIN 2.12 2022-2023 REPEX'!K$6:K$15,'RIN 2.12 2022-2023 REPEX'!$A$6:$A$15,'Unit Cost Rate Summary'!$A41)</f>
        <v>0</v>
      </c>
      <c r="AL41" s="97">
        <f>$AH41*SUMIFS('RIN 2.12 2022-2023 REPEX'!L$6:L$15,'RIN 2.12 2022-2023 REPEX'!$A$6:$A$15,'Unit Cost Rate Summary'!$A41)</f>
        <v>0</v>
      </c>
      <c r="AM41" s="98">
        <f>$AH41*SUMIFS('RIN 2.12 2022-2023 REPEX'!M$6:M$15,'RIN 2.12 2022-2023 REPEX'!$A$6:$A$15,'Unit Cost Rate Summary'!$A41)</f>
        <v>0</v>
      </c>
      <c r="AN41" s="485">
        <f t="shared" si="3"/>
        <v>0</v>
      </c>
      <c r="AO41" s="486" t="str">
        <f t="shared" si="6"/>
        <v/>
      </c>
    </row>
    <row r="42" spans="1:41" ht="15.75" thickBot="1" x14ac:dyDescent="0.3">
      <c r="A42" s="100" t="s">
        <v>81</v>
      </c>
      <c r="B42" s="101" t="s">
        <v>460</v>
      </c>
      <c r="C42" s="102" t="s">
        <v>320</v>
      </c>
      <c r="D42" s="308" t="str">
        <f>'Defect P1'!CM42</f>
        <v>Avg 3 Yr</v>
      </c>
      <c r="E42" s="316">
        <f>'Defect P1'!CN42</f>
        <v>0.05</v>
      </c>
      <c r="F42" s="309" t="str">
        <f>IF('Defect P1'!CO42=0,"",'Defect P1'!CO42)</f>
        <v/>
      </c>
      <c r="G42" s="310" t="str">
        <f>'Defect P1'!CP42</f>
        <v/>
      </c>
      <c r="H42" s="366">
        <f>'Defect P1'!CL42</f>
        <v>0</v>
      </c>
      <c r="I42" s="308" t="str">
        <f>'Defect P2'!CM42</f>
        <v>Avg 3 Yr</v>
      </c>
      <c r="J42" s="316">
        <f>'Defect P2'!CN42</f>
        <v>0</v>
      </c>
      <c r="K42" s="309" t="str">
        <f>IF('Defect P2'!CO42=0,"",'Defect P2'!CO42)</f>
        <v/>
      </c>
      <c r="L42" s="310" t="str">
        <f>'Defect P2'!CP42</f>
        <v/>
      </c>
      <c r="M42" s="366">
        <f>'Defect P2'!CL42</f>
        <v>0</v>
      </c>
      <c r="N42" s="308" t="str">
        <f>RTS!CM42</f>
        <v>Avg 3 Yr</v>
      </c>
      <c r="O42" s="316">
        <f>RTS!CN42</f>
        <v>0.05</v>
      </c>
      <c r="P42" s="309" t="str">
        <f>IF(RTS!CO42=0,"",RTS!CO42)</f>
        <v/>
      </c>
      <c r="Q42" s="310" t="str">
        <f>RTS!CP42</f>
        <v/>
      </c>
      <c r="R42" s="366">
        <f>RTS!CL42</f>
        <v>0</v>
      </c>
      <c r="S42" s="308" t="str">
        <f>Planned!CM42</f>
        <v>Avg 3 Yr</v>
      </c>
      <c r="T42" s="316">
        <f>Planned!CN42</f>
        <v>0.05</v>
      </c>
      <c r="U42" s="309" t="str">
        <f>IF(Planned!CO42=0,"",Planned!CO42)</f>
        <v/>
      </c>
      <c r="V42" s="310" t="str">
        <f>Planned!CP42</f>
        <v/>
      </c>
      <c r="W42" s="366">
        <f>Planned!CL42</f>
        <v>0</v>
      </c>
      <c r="X42" s="308" t="str">
        <f>Reconductor!CM42</f>
        <v>Avg 3 Yr</v>
      </c>
      <c r="Y42" s="316">
        <f>Reconductor!CN42</f>
        <v>0.05</v>
      </c>
      <c r="Z42" s="309" t="str">
        <f>IF(Reconductor!CO42=0,"",Reconductor!CO42)</f>
        <v/>
      </c>
      <c r="AA42" s="310" t="str">
        <f>Reconductor!CP42</f>
        <v/>
      </c>
      <c r="AB42" s="366">
        <f>Reconductor!CL42</f>
        <v>0</v>
      </c>
      <c r="AC42" s="308" t="str">
        <f>CTGS!CM42</f>
        <v>Avg 5 Yr</v>
      </c>
      <c r="AD42" s="316">
        <f>CTGS!CN42</f>
        <v>0.05</v>
      </c>
      <c r="AE42" s="309" t="str">
        <f>IF(CTGS!CO42=0,"",CTGS!CO42)</f>
        <v/>
      </c>
      <c r="AF42" s="310" t="str">
        <f>CTGS!CP42</f>
        <v/>
      </c>
      <c r="AG42" s="393"/>
      <c r="AH42" s="118">
        <f t="shared" si="4"/>
        <v>0</v>
      </c>
      <c r="AI42" s="310" t="str">
        <f t="shared" si="5"/>
        <v/>
      </c>
      <c r="AJ42" s="467">
        <f>$AH42*SUMIFS('RIN 2.12 2022-2023 REPEX'!J$6:J$15,'RIN 2.12 2022-2023 REPEX'!$A$6:$A$15,'Unit Cost Rate Summary'!$A42)</f>
        <v>0</v>
      </c>
      <c r="AK42" s="117">
        <f>$AH42*SUMIFS('RIN 2.12 2022-2023 REPEX'!K$6:K$15,'RIN 2.12 2022-2023 REPEX'!$A$6:$A$15,'Unit Cost Rate Summary'!$A42)</f>
        <v>0</v>
      </c>
      <c r="AL42" s="117">
        <f>$AH42*SUMIFS('RIN 2.12 2022-2023 REPEX'!L$6:L$15,'RIN 2.12 2022-2023 REPEX'!$A$6:$A$15,'Unit Cost Rate Summary'!$A42)</f>
        <v>0</v>
      </c>
      <c r="AM42" s="118">
        <f>$AH42*SUMIFS('RIN 2.12 2022-2023 REPEX'!M$6:M$15,'RIN 2.12 2022-2023 REPEX'!$A$6:$A$15,'Unit Cost Rate Summary'!$A42)</f>
        <v>0</v>
      </c>
      <c r="AN42" s="487">
        <f t="shared" si="3"/>
        <v>0</v>
      </c>
      <c r="AO42" s="488" t="str">
        <f t="shared" si="6"/>
        <v/>
      </c>
    </row>
    <row r="43" spans="1:41" x14ac:dyDescent="0.25">
      <c r="A43" s="63" t="s">
        <v>94</v>
      </c>
      <c r="B43" s="334" t="s">
        <v>92</v>
      </c>
      <c r="C43" s="65" t="s">
        <v>305</v>
      </c>
      <c r="D43" s="302" t="str">
        <f>'Defect P1'!CM43</f>
        <v>Avg 3 Yr</v>
      </c>
      <c r="E43" s="314">
        <f>'Defect P1'!CN43</f>
        <v>0.05</v>
      </c>
      <c r="F43" s="303" t="str">
        <f>IF('Defect P1'!CO43=0,"",'Defect P1'!CO43)</f>
        <v/>
      </c>
      <c r="G43" s="304">
        <f>'Defect P1'!CP43</f>
        <v>321951.72161288117</v>
      </c>
      <c r="H43" s="137">
        <f>'Defect P1'!CL43</f>
        <v>0.40880266786666664</v>
      </c>
      <c r="I43" s="302" t="str">
        <f>'Defect P2'!CM43</f>
        <v>Avg 3 Yr</v>
      </c>
      <c r="J43" s="314">
        <f>'Defect P2'!CN43</f>
        <v>0</v>
      </c>
      <c r="K43" s="303">
        <f>IF('Defect P2'!CO43=0,"",'Defect P2'!CO43)</f>
        <v>300000</v>
      </c>
      <c r="L43" s="304">
        <f>'Defect P2'!CP43</f>
        <v>300000</v>
      </c>
      <c r="M43" s="137">
        <f>'Defect P2'!CL43</f>
        <v>18</v>
      </c>
      <c r="N43" s="302" t="str">
        <f>RTS!CM43</f>
        <v>Avg 3 Yr</v>
      </c>
      <c r="O43" s="314">
        <f>RTS!CN43</f>
        <v>0.05</v>
      </c>
      <c r="P43" s="303" t="str">
        <f>IF(RTS!CO43=0,"",RTS!CO43)</f>
        <v/>
      </c>
      <c r="Q43" s="304">
        <f>RTS!CP43</f>
        <v>211860.15598176201</v>
      </c>
      <c r="R43" s="137">
        <f>RTS!CL43</f>
        <v>1.3013333279999992</v>
      </c>
      <c r="S43" s="302" t="str">
        <f>Planned!CM43</f>
        <v>Avg 3 Yr</v>
      </c>
      <c r="T43" s="314">
        <f>Planned!CN43</f>
        <v>0.05</v>
      </c>
      <c r="U43" s="303" t="str">
        <f>IF(Planned!CO43=0,"",Planned!CO43)</f>
        <v/>
      </c>
      <c r="V43" s="304">
        <f>Planned!CP43</f>
        <v>221541.50864093984</v>
      </c>
      <c r="W43" s="137">
        <f>Planned!CL43</f>
        <v>0</v>
      </c>
      <c r="X43" s="302" t="str">
        <f>Reconductor!CM43</f>
        <v>Avg 3 Yr</v>
      </c>
      <c r="Y43" s="314">
        <f>Reconductor!CN43</f>
        <v>0.05</v>
      </c>
      <c r="Z43" s="303" t="str">
        <f>IF(Reconductor!CO43=0,"",Reconductor!CO43)</f>
        <v/>
      </c>
      <c r="AA43" s="304">
        <f>Reconductor!CP43</f>
        <v>200868.71251262137</v>
      </c>
      <c r="AB43" s="137">
        <f>Reconductor!CL43</f>
        <v>0</v>
      </c>
      <c r="AC43" s="302" t="str">
        <f>CTGS!CM43</f>
        <v>Avg 5 Yr</v>
      </c>
      <c r="AD43" s="314">
        <f>CTGS!CN43</f>
        <v>0.05</v>
      </c>
      <c r="AE43" s="303" t="str">
        <f>IF(CTGS!CO43=0,"",CTGS!CO43)</f>
        <v/>
      </c>
      <c r="AF43" s="304">
        <f>CTGS!CP43</f>
        <v>179108.50983931706</v>
      </c>
      <c r="AG43" s="391" t="s">
        <v>518</v>
      </c>
      <c r="AH43" s="80">
        <f t="shared" si="4"/>
        <v>5807315.4045739574</v>
      </c>
      <c r="AI43" s="304">
        <f t="shared" si="5"/>
        <v>294635.98859956051</v>
      </c>
      <c r="AJ43" s="415">
        <f>$AH43*SUMIFS('RIN 2.12 2022-2023 REPEX'!J$6:J$15,'RIN 2.12 2022-2023 REPEX'!$A$6:$A$15,'Unit Cost Rate Summary'!$A43)</f>
        <v>1148400.6089157229</v>
      </c>
      <c r="AK43" s="79">
        <f>$AH43*SUMIFS('RIN 2.12 2022-2023 REPEX'!K$6:K$15,'RIN 2.12 2022-2023 REPEX'!$A$6:$A$15,'Unit Cost Rate Summary'!$A43)</f>
        <v>3081652.0671162591</v>
      </c>
      <c r="AL43" s="79">
        <f>$AH43*SUMIFS('RIN 2.12 2022-2023 REPEX'!L$6:L$15,'RIN 2.12 2022-2023 REPEX'!$A$6:$A$15,'Unit Cost Rate Summary'!$A43)</f>
        <v>1513087.9509676509</v>
      </c>
      <c r="AM43" s="80">
        <f>$AH43*SUMIFS('RIN 2.12 2022-2023 REPEX'!M$6:M$15,'RIN 2.12 2022-2023 REPEX'!$A$6:$A$15,'Unit Cost Rate Summary'!$A43)</f>
        <v>64174.777574324035</v>
      </c>
      <c r="AN43" s="483">
        <f t="shared" si="3"/>
        <v>27514.750599252315</v>
      </c>
      <c r="AO43" s="484">
        <f t="shared" si="6"/>
        <v>1395.9695968116266</v>
      </c>
    </row>
    <row r="44" spans="1:41" x14ac:dyDescent="0.25">
      <c r="A44" s="81" t="s">
        <v>94</v>
      </c>
      <c r="B44" s="82" t="s">
        <v>95</v>
      </c>
      <c r="C44" s="83" t="s">
        <v>70</v>
      </c>
      <c r="D44" s="305" t="str">
        <f>'Defect P1'!CM44</f>
        <v>Avg 3 Yr</v>
      </c>
      <c r="E44" s="315">
        <f>'Defect P1'!CN44</f>
        <v>0.05</v>
      </c>
      <c r="F44" s="306" t="str">
        <f>IF('Defect P1'!CO44=0,"",'Defect P1'!CO44)</f>
        <v/>
      </c>
      <c r="G44" s="307" t="str">
        <f>'Defect P1'!CP44</f>
        <v/>
      </c>
      <c r="H44" s="130">
        <f>'Defect P1'!CL44</f>
        <v>7.2200000799999997E-2</v>
      </c>
      <c r="I44" s="305" t="str">
        <f>'Defect P2'!CM44</f>
        <v>Avg 3 Yr</v>
      </c>
      <c r="J44" s="315">
        <f>'Defect P2'!CN44</f>
        <v>0</v>
      </c>
      <c r="K44" s="306">
        <f>IF('Defect P2'!CO44=0,"",'Defect P2'!CO44)</f>
        <v>518000</v>
      </c>
      <c r="L44" s="307">
        <f>'Defect P2'!CP44</f>
        <v>518000</v>
      </c>
      <c r="M44" s="130">
        <f>'Defect P2'!CL44</f>
        <v>1.5</v>
      </c>
      <c r="N44" s="305" t="str">
        <f>RTS!CM44</f>
        <v>Avg 3 Yr</v>
      </c>
      <c r="O44" s="315">
        <f>RTS!CN44</f>
        <v>0.05</v>
      </c>
      <c r="P44" s="306" t="str">
        <f>IF(RTS!CO44=0,"",RTS!CO44)</f>
        <v/>
      </c>
      <c r="Q44" s="307">
        <f>RTS!CP44</f>
        <v>299989.57340682932</v>
      </c>
      <c r="R44" s="130">
        <f>RTS!CL44</f>
        <v>9.7000000777777776E-2</v>
      </c>
      <c r="S44" s="305" t="str">
        <f>Planned!CM44</f>
        <v>Avg 3 Yr</v>
      </c>
      <c r="T44" s="315">
        <f>Planned!CN44</f>
        <v>0.05</v>
      </c>
      <c r="U44" s="306" t="str">
        <f>IF(Planned!CO44=0,"",Planned!CO44)</f>
        <v/>
      </c>
      <c r="V44" s="307">
        <f>Planned!CP44</f>
        <v>502612.26889833779</v>
      </c>
      <c r="W44" s="130">
        <f>Planned!CL44</f>
        <v>0</v>
      </c>
      <c r="X44" s="305" t="str">
        <f>Reconductor!CM44</f>
        <v>Avg 3 Yr</v>
      </c>
      <c r="Y44" s="315">
        <f>Reconductor!CN44</f>
        <v>0.05</v>
      </c>
      <c r="Z44" s="306" t="str">
        <f>IF(Reconductor!CO44=0,"",Reconductor!CO44)</f>
        <v/>
      </c>
      <c r="AA44" s="307">
        <f>Reconductor!CP44</f>
        <v>458348.76590598578</v>
      </c>
      <c r="AB44" s="130">
        <f>Reconductor!CL44</f>
        <v>0</v>
      </c>
      <c r="AC44" s="305" t="str">
        <f>CTGS!CM44</f>
        <v>Avg 5 Yr</v>
      </c>
      <c r="AD44" s="315">
        <f>CTGS!CN44</f>
        <v>0.05</v>
      </c>
      <c r="AE44" s="306" t="str">
        <f>IF(CTGS!CO44=0,"",CTGS!CO44)</f>
        <v/>
      </c>
      <c r="AF44" s="307">
        <f>CTGS!CP44</f>
        <v>1674090.4360744038</v>
      </c>
      <c r="AG44" s="392"/>
      <c r="AH44" s="98">
        <f t="shared" si="4"/>
        <v>806098.98885378765</v>
      </c>
      <c r="AI44" s="307">
        <f t="shared" si="5"/>
        <v>482925.3463286836</v>
      </c>
      <c r="AJ44" s="416">
        <f>$AH44*SUMIFS('RIN 2.12 2022-2023 REPEX'!J$6:J$15,'RIN 2.12 2022-2023 REPEX'!$A$6:$A$15,'Unit Cost Rate Summary'!$A44)</f>
        <v>159406.62856316005</v>
      </c>
      <c r="AK44" s="97">
        <f>$AH44*SUMIFS('RIN 2.12 2022-2023 REPEX'!K$6:K$15,'RIN 2.12 2022-2023 REPEX'!$A$6:$A$15,'Unit Cost Rate Summary'!$A44)</f>
        <v>427756.44893422892</v>
      </c>
      <c r="AL44" s="97">
        <f>$AH44*SUMIFS('RIN 2.12 2022-2023 REPEX'!L$6:L$15,'RIN 2.12 2022-2023 REPEX'!$A$6:$A$15,'Unit Cost Rate Summary'!$A44)</f>
        <v>210027.97030125378</v>
      </c>
      <c r="AM44" s="98">
        <f>$AH44*SUMIFS('RIN 2.12 2022-2023 REPEX'!M$6:M$15,'RIN 2.12 2022-2023 REPEX'!$A$6:$A$15,'Unit Cost Rate Summary'!$A44)</f>
        <v>8907.9410551448254</v>
      </c>
      <c r="AN44" s="485">
        <f t="shared" si="3"/>
        <v>3819.2540083413296</v>
      </c>
      <c r="AO44" s="486">
        <f t="shared" si="6"/>
        <v>2288.0745295538318</v>
      </c>
    </row>
    <row r="45" spans="1:41" x14ac:dyDescent="0.25">
      <c r="A45" s="81" t="s">
        <v>94</v>
      </c>
      <c r="B45" s="82" t="s">
        <v>96</v>
      </c>
      <c r="C45" s="83" t="s">
        <v>72</v>
      </c>
      <c r="D45" s="305" t="str">
        <f>'Defect P1'!CM45</f>
        <v>Avg 3 Yr</v>
      </c>
      <c r="E45" s="315">
        <f>'Defect P1'!CN45</f>
        <v>0.05</v>
      </c>
      <c r="F45" s="306" t="str">
        <f>IF('Defect P1'!CO45=0,"",'Defect P1'!CO45)</f>
        <v/>
      </c>
      <c r="G45" s="307" t="str">
        <f>'Defect P1'!CP45</f>
        <v/>
      </c>
      <c r="H45" s="130">
        <f>'Defect P1'!CL45</f>
        <v>1.14666666E-2</v>
      </c>
      <c r="I45" s="305" t="str">
        <f>'Defect P2'!CM45</f>
        <v>Avg 3 Yr</v>
      </c>
      <c r="J45" s="315">
        <f>'Defect P2'!CN45</f>
        <v>0</v>
      </c>
      <c r="K45" s="306" t="str">
        <f>IF('Defect P2'!CO45=0,"",'Defect P2'!CO45)</f>
        <v/>
      </c>
      <c r="L45" s="307">
        <f>'Defect P2'!CP45</f>
        <v>388504.25472578331</v>
      </c>
      <c r="M45" s="130">
        <f>'Defect P2'!CL45</f>
        <v>0.1283333332222221</v>
      </c>
      <c r="N45" s="305" t="str">
        <f>RTS!CM45</f>
        <v>Avg 3 Yr</v>
      </c>
      <c r="O45" s="315">
        <f>RTS!CN45</f>
        <v>0.05</v>
      </c>
      <c r="P45" s="306" t="str">
        <f>IF(RTS!CO45=0,"",RTS!CO45)</f>
        <v/>
      </c>
      <c r="Q45" s="307">
        <f>RTS!CP45</f>
        <v>893336.92872879794</v>
      </c>
      <c r="R45" s="130">
        <f>RTS!CL45</f>
        <v>0.46155555266666665</v>
      </c>
      <c r="S45" s="305" t="str">
        <f>Planned!CM45</f>
        <v>Avg 3 Yr</v>
      </c>
      <c r="T45" s="315">
        <f>Planned!CN45</f>
        <v>0.05</v>
      </c>
      <c r="U45" s="306" t="str">
        <f>IF(Planned!CO45=0,"",Planned!CO45)</f>
        <v/>
      </c>
      <c r="V45" s="307">
        <f>Planned!CP45</f>
        <v>7168337.7639173856</v>
      </c>
      <c r="W45" s="130">
        <f>Planned!CL45</f>
        <v>0</v>
      </c>
      <c r="X45" s="305" t="str">
        <f>Reconductor!CM45</f>
        <v>Avg 3 Yr</v>
      </c>
      <c r="Y45" s="315">
        <f>Reconductor!CN45</f>
        <v>0.05</v>
      </c>
      <c r="Z45" s="306" t="str">
        <f>IF(Reconductor!CO45=0,"",Reconductor!CO45)</f>
        <v/>
      </c>
      <c r="AA45" s="307">
        <f>Reconductor!CP45</f>
        <v>496874.80538199394</v>
      </c>
      <c r="AB45" s="130">
        <f>Reconductor!CL45</f>
        <v>0</v>
      </c>
      <c r="AC45" s="305" t="str">
        <f>CTGS!CM45</f>
        <v>Avg 5 Yr</v>
      </c>
      <c r="AD45" s="315">
        <f>CTGS!CN45</f>
        <v>0.05</v>
      </c>
      <c r="AE45" s="306" t="str">
        <f>IF(CTGS!CO45=0,"",CTGS!CO45)</f>
        <v/>
      </c>
      <c r="AF45" s="307">
        <f>CTGS!CP45</f>
        <v>1785913.8339671507</v>
      </c>
      <c r="AG45" s="392"/>
      <c r="AH45" s="98">
        <f t="shared" si="4"/>
        <v>462182.66583693796</v>
      </c>
      <c r="AI45" s="307">
        <f t="shared" si="5"/>
        <v>768568.05250081688</v>
      </c>
      <c r="AJ45" s="416">
        <f>$AH45*SUMIFS('RIN 2.12 2022-2023 REPEX'!J$6:J$15,'RIN 2.12 2022-2023 REPEX'!$A$6:$A$15,'Unit Cost Rate Summary'!$A45)</f>
        <v>91396.939532401841</v>
      </c>
      <c r="AK45" s="97">
        <f>$AH45*SUMIFS('RIN 2.12 2022-2023 REPEX'!K$6:K$15,'RIN 2.12 2022-2023 REPEX'!$A$6:$A$15,'Unit Cost Rate Summary'!$A45)</f>
        <v>245257.24337960134</v>
      </c>
      <c r="AL45" s="97">
        <f>$AH45*SUMIFS('RIN 2.12 2022-2023 REPEX'!L$6:L$15,'RIN 2.12 2022-2023 REPEX'!$A$6:$A$15,'Unit Cost Rate Summary'!$A45)</f>
        <v>120421.0507101402</v>
      </c>
      <c r="AM45" s="98">
        <f>$AH45*SUMIFS('RIN 2.12 2022-2023 REPEX'!M$6:M$15,'RIN 2.12 2022-2023 REPEX'!$A$6:$A$15,'Unit Cost Rate Summary'!$A45)</f>
        <v>5107.4322147945413</v>
      </c>
      <c r="AN45" s="485">
        <f t="shared" si="3"/>
        <v>2189.7968158892977</v>
      </c>
      <c r="AO45" s="486">
        <f t="shared" si="6"/>
        <v>3641.4344339653517</v>
      </c>
    </row>
    <row r="46" spans="1:41" x14ac:dyDescent="0.25">
      <c r="A46" s="81" t="s">
        <v>94</v>
      </c>
      <c r="B46" s="82" t="s">
        <v>97</v>
      </c>
      <c r="C46" s="83" t="s">
        <v>98</v>
      </c>
      <c r="D46" s="305" t="str">
        <f>'Defect P1'!CM46</f>
        <v>Avg 3 Yr</v>
      </c>
      <c r="E46" s="315">
        <f>'Defect P1'!CN46</f>
        <v>0.05</v>
      </c>
      <c r="F46" s="306" t="str">
        <f>IF('Defect P1'!CO46=0,"",'Defect P1'!CO46)</f>
        <v/>
      </c>
      <c r="G46" s="307" t="str">
        <f>'Defect P1'!CP46</f>
        <v/>
      </c>
      <c r="H46" s="130">
        <f>'Defect P1'!CL46</f>
        <v>0</v>
      </c>
      <c r="I46" s="305" t="str">
        <f>'Defect P2'!CM46</f>
        <v>Avg 3 Yr</v>
      </c>
      <c r="J46" s="315">
        <f>'Defect P2'!CN46</f>
        <v>0</v>
      </c>
      <c r="K46" s="306" t="str">
        <f>IF('Defect P2'!CO46=0,"",'Defect P2'!CO46)</f>
        <v/>
      </c>
      <c r="L46" s="307" t="str">
        <f>'Defect P2'!CP46</f>
        <v/>
      </c>
      <c r="M46" s="130">
        <f>'Defect P2'!CL46</f>
        <v>0</v>
      </c>
      <c r="N46" s="305" t="str">
        <f>RTS!CM46</f>
        <v>Avg 3 Yr</v>
      </c>
      <c r="O46" s="315">
        <f>RTS!CN46</f>
        <v>0.05</v>
      </c>
      <c r="P46" s="306" t="str">
        <f>IF(RTS!CO46=0,"",RTS!CO46)</f>
        <v/>
      </c>
      <c r="Q46" s="307" t="str">
        <f>RTS!CP46</f>
        <v/>
      </c>
      <c r="R46" s="130">
        <f>RTS!CL46</f>
        <v>0</v>
      </c>
      <c r="S46" s="305" t="str">
        <f>Planned!CM46</f>
        <v>Avg 3 Yr</v>
      </c>
      <c r="T46" s="315">
        <f>Planned!CN46</f>
        <v>0.05</v>
      </c>
      <c r="U46" s="306" t="str">
        <f>IF(Planned!CO46=0,"",Planned!CO46)</f>
        <v/>
      </c>
      <c r="V46" s="307" t="str">
        <f>Planned!CP46</f>
        <v/>
      </c>
      <c r="W46" s="130">
        <f>Planned!CL46</f>
        <v>0</v>
      </c>
      <c r="X46" s="305" t="str">
        <f>Reconductor!CM46</f>
        <v>Avg 3 Yr</v>
      </c>
      <c r="Y46" s="315">
        <f>Reconductor!CN46</f>
        <v>0.05</v>
      </c>
      <c r="Z46" s="306" t="str">
        <f>IF(Reconductor!CO46=0,"",Reconductor!CO46)</f>
        <v/>
      </c>
      <c r="AA46" s="307" t="str">
        <f>Reconductor!CP46</f>
        <v/>
      </c>
      <c r="AB46" s="130">
        <f>Reconductor!CL46</f>
        <v>0</v>
      </c>
      <c r="AC46" s="305" t="str">
        <f>CTGS!CM46</f>
        <v>Avg 5 Yr</v>
      </c>
      <c r="AD46" s="315">
        <f>CTGS!CN46</f>
        <v>0.05</v>
      </c>
      <c r="AE46" s="306" t="str">
        <f>IF(CTGS!CO46=0,"",CTGS!CO46)</f>
        <v/>
      </c>
      <c r="AF46" s="307" t="str">
        <f>CTGS!CP46</f>
        <v/>
      </c>
      <c r="AG46" s="392"/>
      <c r="AH46" s="98">
        <f t="shared" si="4"/>
        <v>0</v>
      </c>
      <c r="AI46" s="307" t="str">
        <f t="shared" si="5"/>
        <v/>
      </c>
      <c r="AJ46" s="416">
        <f>$AH46*SUMIFS('RIN 2.12 2022-2023 REPEX'!J$6:J$15,'RIN 2.12 2022-2023 REPEX'!$A$6:$A$15,'Unit Cost Rate Summary'!$A46)</f>
        <v>0</v>
      </c>
      <c r="AK46" s="97">
        <f>$AH46*SUMIFS('RIN 2.12 2022-2023 REPEX'!K$6:K$15,'RIN 2.12 2022-2023 REPEX'!$A$6:$A$15,'Unit Cost Rate Summary'!$A46)</f>
        <v>0</v>
      </c>
      <c r="AL46" s="97">
        <f>$AH46*SUMIFS('RIN 2.12 2022-2023 REPEX'!L$6:L$15,'RIN 2.12 2022-2023 REPEX'!$A$6:$A$15,'Unit Cost Rate Summary'!$A46)</f>
        <v>0</v>
      </c>
      <c r="AM46" s="98">
        <f>$AH46*SUMIFS('RIN 2.12 2022-2023 REPEX'!M$6:M$15,'RIN 2.12 2022-2023 REPEX'!$A$6:$A$15,'Unit Cost Rate Summary'!$A46)</f>
        <v>0</v>
      </c>
      <c r="AN46" s="485">
        <f t="shared" si="3"/>
        <v>0</v>
      </c>
      <c r="AO46" s="486" t="str">
        <f t="shared" si="6"/>
        <v/>
      </c>
    </row>
    <row r="47" spans="1:41" x14ac:dyDescent="0.25">
      <c r="A47" s="81" t="s">
        <v>94</v>
      </c>
      <c r="B47" s="82" t="s">
        <v>99</v>
      </c>
      <c r="C47" s="83" t="s">
        <v>100</v>
      </c>
      <c r="D47" s="305" t="str">
        <f>'Defect P1'!CM47</f>
        <v>Avg 3 Yr</v>
      </c>
      <c r="E47" s="315">
        <f>'Defect P1'!CN47</f>
        <v>0.05</v>
      </c>
      <c r="F47" s="306" t="str">
        <f>IF('Defect P1'!CO47=0,"",'Defect P1'!CO47)</f>
        <v/>
      </c>
      <c r="G47" s="307" t="str">
        <f>'Defect P1'!CP47</f>
        <v/>
      </c>
      <c r="H47" s="130">
        <f>'Defect P1'!CL47</f>
        <v>0</v>
      </c>
      <c r="I47" s="305" t="str">
        <f>'Defect P2'!CM47</f>
        <v>Avg 3 Yr</v>
      </c>
      <c r="J47" s="315">
        <f>'Defect P2'!CN47</f>
        <v>0</v>
      </c>
      <c r="K47" s="306" t="str">
        <f>IF('Defect P2'!CO47=0,"",'Defect P2'!CO47)</f>
        <v/>
      </c>
      <c r="L47" s="307" t="str">
        <f>'Defect P2'!CP47</f>
        <v/>
      </c>
      <c r="M47" s="130">
        <f>'Defect P2'!CL47</f>
        <v>0</v>
      </c>
      <c r="N47" s="305" t="str">
        <f>RTS!CM47</f>
        <v>Avg 3 Yr</v>
      </c>
      <c r="O47" s="315">
        <f>RTS!CN47</f>
        <v>0.05</v>
      </c>
      <c r="P47" s="306" t="str">
        <f>IF(RTS!CO47=0,"",RTS!CO47)</f>
        <v/>
      </c>
      <c r="Q47" s="307" t="str">
        <f>RTS!CP47</f>
        <v/>
      </c>
      <c r="R47" s="130">
        <f>RTS!CL47</f>
        <v>0</v>
      </c>
      <c r="S47" s="305" t="str">
        <f>Planned!CM47</f>
        <v>Avg 3 Yr</v>
      </c>
      <c r="T47" s="315">
        <f>Planned!CN47</f>
        <v>0.05</v>
      </c>
      <c r="U47" s="306" t="str">
        <f>IF(Planned!CO47=0,"",Planned!CO47)</f>
        <v/>
      </c>
      <c r="V47" s="307" t="str">
        <f>Planned!CP47</f>
        <v/>
      </c>
      <c r="W47" s="130">
        <f>Planned!CL47</f>
        <v>0</v>
      </c>
      <c r="X47" s="305" t="str">
        <f>Reconductor!CM47</f>
        <v>Avg 3 Yr</v>
      </c>
      <c r="Y47" s="315">
        <f>Reconductor!CN47</f>
        <v>0.05</v>
      </c>
      <c r="Z47" s="306" t="str">
        <f>IF(Reconductor!CO47=0,"",Reconductor!CO47)</f>
        <v/>
      </c>
      <c r="AA47" s="307" t="str">
        <f>Reconductor!CP47</f>
        <v/>
      </c>
      <c r="AB47" s="130">
        <f>Reconductor!CL47</f>
        <v>0</v>
      </c>
      <c r="AC47" s="305" t="str">
        <f>CTGS!CM47</f>
        <v>Avg 5 Yr</v>
      </c>
      <c r="AD47" s="315">
        <f>CTGS!CN47</f>
        <v>0.05</v>
      </c>
      <c r="AE47" s="306" t="str">
        <f>IF(CTGS!CO47=0,"",CTGS!CO47)</f>
        <v/>
      </c>
      <c r="AF47" s="307" t="str">
        <f>CTGS!CP47</f>
        <v/>
      </c>
      <c r="AG47" s="392"/>
      <c r="AH47" s="98">
        <f t="shared" si="4"/>
        <v>0</v>
      </c>
      <c r="AI47" s="307" t="str">
        <f t="shared" si="5"/>
        <v/>
      </c>
      <c r="AJ47" s="416">
        <f>$AH47*SUMIFS('RIN 2.12 2022-2023 REPEX'!J$6:J$15,'RIN 2.12 2022-2023 REPEX'!$A$6:$A$15,'Unit Cost Rate Summary'!$A47)</f>
        <v>0</v>
      </c>
      <c r="AK47" s="97">
        <f>$AH47*SUMIFS('RIN 2.12 2022-2023 REPEX'!K$6:K$15,'RIN 2.12 2022-2023 REPEX'!$A$6:$A$15,'Unit Cost Rate Summary'!$A47)</f>
        <v>0</v>
      </c>
      <c r="AL47" s="97">
        <f>$AH47*SUMIFS('RIN 2.12 2022-2023 REPEX'!L$6:L$15,'RIN 2.12 2022-2023 REPEX'!$A$6:$A$15,'Unit Cost Rate Summary'!$A47)</f>
        <v>0</v>
      </c>
      <c r="AM47" s="98">
        <f>$AH47*SUMIFS('RIN 2.12 2022-2023 REPEX'!M$6:M$15,'RIN 2.12 2022-2023 REPEX'!$A$6:$A$15,'Unit Cost Rate Summary'!$A47)</f>
        <v>0</v>
      </c>
      <c r="AN47" s="485">
        <f t="shared" si="3"/>
        <v>0</v>
      </c>
      <c r="AO47" s="486" t="str">
        <f t="shared" si="6"/>
        <v/>
      </c>
    </row>
    <row r="48" spans="1:41" x14ac:dyDescent="0.25">
      <c r="A48" s="81" t="s">
        <v>94</v>
      </c>
      <c r="B48" s="82" t="s">
        <v>101</v>
      </c>
      <c r="C48" s="83" t="s">
        <v>76</v>
      </c>
      <c r="D48" s="305" t="str">
        <f>'Defect P1'!CM48</f>
        <v>Avg 3 Yr</v>
      </c>
      <c r="E48" s="315">
        <f>'Defect P1'!CN48</f>
        <v>0.05</v>
      </c>
      <c r="F48" s="306" t="str">
        <f>IF('Defect P1'!CO48=0,"",'Defect P1'!CO48)</f>
        <v/>
      </c>
      <c r="G48" s="307" t="str">
        <f>'Defect P1'!CP48</f>
        <v/>
      </c>
      <c r="H48" s="130">
        <f>'Defect P1'!CL48</f>
        <v>0</v>
      </c>
      <c r="I48" s="305" t="str">
        <f>'Defect P2'!CM48</f>
        <v>Avg 3 Yr</v>
      </c>
      <c r="J48" s="315">
        <f>'Defect P2'!CN48</f>
        <v>0</v>
      </c>
      <c r="K48" s="306" t="str">
        <f>IF('Defect P2'!CO48=0,"",'Defect P2'!CO48)</f>
        <v/>
      </c>
      <c r="L48" s="307" t="str">
        <f>'Defect P2'!CP48</f>
        <v/>
      </c>
      <c r="M48" s="130">
        <f>'Defect P2'!CL48</f>
        <v>0</v>
      </c>
      <c r="N48" s="305" t="str">
        <f>RTS!CM48</f>
        <v>Avg 3 Yr</v>
      </c>
      <c r="O48" s="315">
        <f>RTS!CN48</f>
        <v>0.05</v>
      </c>
      <c r="P48" s="306" t="str">
        <f>IF(RTS!CO48=0,"",RTS!CO48)</f>
        <v/>
      </c>
      <c r="Q48" s="307" t="str">
        <f>RTS!CP48</f>
        <v/>
      </c>
      <c r="R48" s="130">
        <f>RTS!CL48</f>
        <v>0</v>
      </c>
      <c r="S48" s="305" t="str">
        <f>Planned!CM48</f>
        <v>Avg 3 Yr</v>
      </c>
      <c r="T48" s="315">
        <f>Planned!CN48</f>
        <v>0.05</v>
      </c>
      <c r="U48" s="306" t="str">
        <f>IF(Planned!CO48=0,"",Planned!CO48)</f>
        <v/>
      </c>
      <c r="V48" s="307" t="str">
        <f>Planned!CP48</f>
        <v/>
      </c>
      <c r="W48" s="130">
        <f>Planned!CL48</f>
        <v>0</v>
      </c>
      <c r="X48" s="305" t="str">
        <f>Reconductor!CM48</f>
        <v>Avg 3 Yr</v>
      </c>
      <c r="Y48" s="315">
        <f>Reconductor!CN48</f>
        <v>0.05</v>
      </c>
      <c r="Z48" s="306" t="str">
        <f>IF(Reconductor!CO48=0,"",Reconductor!CO48)</f>
        <v/>
      </c>
      <c r="AA48" s="307" t="str">
        <f>Reconductor!CP48</f>
        <v/>
      </c>
      <c r="AB48" s="130">
        <f>Reconductor!CL48</f>
        <v>0</v>
      </c>
      <c r="AC48" s="305" t="str">
        <f>CTGS!CM48</f>
        <v>Avg 5 Yr</v>
      </c>
      <c r="AD48" s="315">
        <f>CTGS!CN48</f>
        <v>0.05</v>
      </c>
      <c r="AE48" s="306" t="str">
        <f>IF(CTGS!CO48=0,"",CTGS!CO48)</f>
        <v/>
      </c>
      <c r="AF48" s="307" t="str">
        <f>CTGS!CP48</f>
        <v/>
      </c>
      <c r="AG48" s="392"/>
      <c r="AH48" s="98">
        <f t="shared" si="4"/>
        <v>0</v>
      </c>
      <c r="AI48" s="307" t="str">
        <f t="shared" si="5"/>
        <v/>
      </c>
      <c r="AJ48" s="416">
        <f>$AH48*SUMIFS('RIN 2.12 2022-2023 REPEX'!J$6:J$15,'RIN 2.12 2022-2023 REPEX'!$A$6:$A$15,'Unit Cost Rate Summary'!$A48)</f>
        <v>0</v>
      </c>
      <c r="AK48" s="97">
        <f>$AH48*SUMIFS('RIN 2.12 2022-2023 REPEX'!K$6:K$15,'RIN 2.12 2022-2023 REPEX'!$A$6:$A$15,'Unit Cost Rate Summary'!$A48)</f>
        <v>0</v>
      </c>
      <c r="AL48" s="97">
        <f>$AH48*SUMIFS('RIN 2.12 2022-2023 REPEX'!L$6:L$15,'RIN 2.12 2022-2023 REPEX'!$A$6:$A$15,'Unit Cost Rate Summary'!$A48)</f>
        <v>0</v>
      </c>
      <c r="AM48" s="98">
        <f>$AH48*SUMIFS('RIN 2.12 2022-2023 REPEX'!M$6:M$15,'RIN 2.12 2022-2023 REPEX'!$A$6:$A$15,'Unit Cost Rate Summary'!$A48)</f>
        <v>0</v>
      </c>
      <c r="AN48" s="485">
        <f t="shared" si="3"/>
        <v>0</v>
      </c>
      <c r="AO48" s="486" t="str">
        <f t="shared" si="6"/>
        <v/>
      </c>
    </row>
    <row r="49" spans="1:41" x14ac:dyDescent="0.25">
      <c r="A49" s="81" t="s">
        <v>94</v>
      </c>
      <c r="B49" s="82" t="s">
        <v>102</v>
      </c>
      <c r="C49" s="83" t="s">
        <v>323</v>
      </c>
      <c r="D49" s="305" t="str">
        <f>'Defect P1'!CM49</f>
        <v>Avg 3 Yr</v>
      </c>
      <c r="E49" s="315">
        <f>'Defect P1'!CN49</f>
        <v>0.05</v>
      </c>
      <c r="F49" s="306" t="str">
        <f>IF('Defect P1'!CO49=0,"",'Defect P1'!CO49)</f>
        <v/>
      </c>
      <c r="G49" s="307" t="str">
        <f>'Defect P1'!CP49</f>
        <v/>
      </c>
      <c r="H49" s="130">
        <f>'Defect P1'!CL49</f>
        <v>0</v>
      </c>
      <c r="I49" s="305" t="str">
        <f>'Defect P2'!CM49</f>
        <v>Avg 3 Yr</v>
      </c>
      <c r="J49" s="315">
        <f>'Defect P2'!CN49</f>
        <v>0</v>
      </c>
      <c r="K49" s="306" t="str">
        <f>IF('Defect P2'!CO49=0,"",'Defect P2'!CO49)</f>
        <v/>
      </c>
      <c r="L49" s="307" t="str">
        <f>'Defect P2'!CP49</f>
        <v/>
      </c>
      <c r="M49" s="130">
        <f>'Defect P2'!CL49</f>
        <v>0</v>
      </c>
      <c r="N49" s="305" t="str">
        <f>RTS!CM49</f>
        <v>Avg 3 Yr</v>
      </c>
      <c r="O49" s="315">
        <f>RTS!CN49</f>
        <v>0.05</v>
      </c>
      <c r="P49" s="306" t="str">
        <f>IF(RTS!CO49=0,"",RTS!CO49)</f>
        <v/>
      </c>
      <c r="Q49" s="307" t="str">
        <f>RTS!CP49</f>
        <v/>
      </c>
      <c r="R49" s="130">
        <f>RTS!CL49</f>
        <v>0</v>
      </c>
      <c r="S49" s="305" t="str">
        <f>Planned!CM49</f>
        <v>Avg 3 Yr</v>
      </c>
      <c r="T49" s="315">
        <f>Planned!CN49</f>
        <v>0.05</v>
      </c>
      <c r="U49" s="306" t="str">
        <f>IF(Planned!CO49=0,"",Planned!CO49)</f>
        <v/>
      </c>
      <c r="V49" s="307" t="str">
        <f>Planned!CP49</f>
        <v/>
      </c>
      <c r="W49" s="130">
        <f>Planned!CL49</f>
        <v>0</v>
      </c>
      <c r="X49" s="305" t="str">
        <f>Reconductor!CM49</f>
        <v>Avg 3 Yr</v>
      </c>
      <c r="Y49" s="315">
        <f>Reconductor!CN49</f>
        <v>0.05</v>
      </c>
      <c r="Z49" s="306" t="str">
        <f>IF(Reconductor!CO49=0,"",Reconductor!CO49)</f>
        <v/>
      </c>
      <c r="AA49" s="307" t="str">
        <f>Reconductor!CP49</f>
        <v/>
      </c>
      <c r="AB49" s="130">
        <f>Reconductor!CL49</f>
        <v>0</v>
      </c>
      <c r="AC49" s="305" t="str">
        <f>CTGS!CM49</f>
        <v>Avg 5 Yr</v>
      </c>
      <c r="AD49" s="315">
        <f>CTGS!CN49</f>
        <v>0.05</v>
      </c>
      <c r="AE49" s="306" t="str">
        <f>IF(CTGS!CO49=0,"",CTGS!CO49)</f>
        <v/>
      </c>
      <c r="AF49" s="307" t="str">
        <f>CTGS!CP49</f>
        <v/>
      </c>
      <c r="AG49" s="392"/>
      <c r="AH49" s="98">
        <f t="shared" si="4"/>
        <v>0</v>
      </c>
      <c r="AI49" s="307" t="str">
        <f t="shared" si="5"/>
        <v/>
      </c>
      <c r="AJ49" s="416">
        <f>$AH49*SUMIFS('RIN 2.12 2022-2023 REPEX'!J$6:J$15,'RIN 2.12 2022-2023 REPEX'!$A$6:$A$15,'Unit Cost Rate Summary'!$A49)</f>
        <v>0</v>
      </c>
      <c r="AK49" s="97">
        <f>$AH49*SUMIFS('RIN 2.12 2022-2023 REPEX'!K$6:K$15,'RIN 2.12 2022-2023 REPEX'!$A$6:$A$15,'Unit Cost Rate Summary'!$A49)</f>
        <v>0</v>
      </c>
      <c r="AL49" s="97">
        <f>$AH49*SUMIFS('RIN 2.12 2022-2023 REPEX'!L$6:L$15,'RIN 2.12 2022-2023 REPEX'!$A$6:$A$15,'Unit Cost Rate Summary'!$A49)</f>
        <v>0</v>
      </c>
      <c r="AM49" s="98">
        <f>$AH49*SUMIFS('RIN 2.12 2022-2023 REPEX'!M$6:M$15,'RIN 2.12 2022-2023 REPEX'!$A$6:$A$15,'Unit Cost Rate Summary'!$A49)</f>
        <v>0</v>
      </c>
      <c r="AN49" s="485">
        <f t="shared" si="3"/>
        <v>0</v>
      </c>
      <c r="AO49" s="486" t="str">
        <f t="shared" si="6"/>
        <v/>
      </c>
    </row>
    <row r="50" spans="1:41" ht="15.75" thickBot="1" x14ac:dyDescent="0.3">
      <c r="A50" s="138" t="s">
        <v>94</v>
      </c>
      <c r="B50" s="139" t="s">
        <v>461</v>
      </c>
      <c r="C50" s="102" t="s">
        <v>325</v>
      </c>
      <c r="D50" s="308" t="str">
        <f>'Defect P1'!CM50</f>
        <v>Avg 3 Yr</v>
      </c>
      <c r="E50" s="316">
        <f>'Defect P1'!CN50</f>
        <v>0.05</v>
      </c>
      <c r="F50" s="309" t="str">
        <f>IF('Defect P1'!CO50=0,"",'Defect P1'!CO50)</f>
        <v/>
      </c>
      <c r="G50" s="310" t="str">
        <f>'Defect P1'!CP50</f>
        <v/>
      </c>
      <c r="H50" s="136">
        <f>'Defect P1'!CL50</f>
        <v>0</v>
      </c>
      <c r="I50" s="308" t="str">
        <f>'Defect P2'!CM50</f>
        <v>Avg 3 Yr</v>
      </c>
      <c r="J50" s="316">
        <f>'Defect P2'!CN50</f>
        <v>0</v>
      </c>
      <c r="K50" s="309" t="str">
        <f>IF('Defect P2'!CO50=0,"",'Defect P2'!CO50)</f>
        <v/>
      </c>
      <c r="L50" s="310" t="str">
        <f>'Defect P2'!CP50</f>
        <v/>
      </c>
      <c r="M50" s="136">
        <f>'Defect P2'!CL50</f>
        <v>0</v>
      </c>
      <c r="N50" s="308" t="str">
        <f>RTS!CM50</f>
        <v>Avg 3 Yr</v>
      </c>
      <c r="O50" s="316">
        <f>RTS!CN50</f>
        <v>0.05</v>
      </c>
      <c r="P50" s="309" t="str">
        <f>IF(RTS!CO50=0,"",RTS!CO50)</f>
        <v/>
      </c>
      <c r="Q50" s="310" t="str">
        <f>RTS!CP50</f>
        <v/>
      </c>
      <c r="R50" s="136">
        <f>RTS!CL50</f>
        <v>0</v>
      </c>
      <c r="S50" s="308" t="str">
        <f>Planned!CM50</f>
        <v>Avg 3 Yr</v>
      </c>
      <c r="T50" s="316">
        <f>Planned!CN50</f>
        <v>0.05</v>
      </c>
      <c r="U50" s="309" t="str">
        <f>IF(Planned!CO50=0,"",Planned!CO50)</f>
        <v/>
      </c>
      <c r="V50" s="310" t="str">
        <f>Planned!CP50</f>
        <v/>
      </c>
      <c r="W50" s="136">
        <f>Planned!CL50</f>
        <v>0</v>
      </c>
      <c r="X50" s="308" t="str">
        <f>Reconductor!CM50</f>
        <v>Avg 3 Yr</v>
      </c>
      <c r="Y50" s="316">
        <f>Reconductor!CN50</f>
        <v>0.05</v>
      </c>
      <c r="Z50" s="309" t="str">
        <f>IF(Reconductor!CO50=0,"",Reconductor!CO50)</f>
        <v/>
      </c>
      <c r="AA50" s="310" t="str">
        <f>Reconductor!CP50</f>
        <v/>
      </c>
      <c r="AB50" s="136">
        <f>Reconductor!CL50</f>
        <v>0</v>
      </c>
      <c r="AC50" s="308" t="str">
        <f>CTGS!CM50</f>
        <v>Avg 5 Yr</v>
      </c>
      <c r="AD50" s="316">
        <f>CTGS!CN50</f>
        <v>0.05</v>
      </c>
      <c r="AE50" s="309" t="str">
        <f>IF(CTGS!CO50=0,"",CTGS!CO50)</f>
        <v/>
      </c>
      <c r="AF50" s="310" t="str">
        <f>CTGS!CP50</f>
        <v/>
      </c>
      <c r="AG50" s="393"/>
      <c r="AH50" s="118">
        <f t="shared" si="4"/>
        <v>0</v>
      </c>
      <c r="AI50" s="310" t="str">
        <f t="shared" si="5"/>
        <v/>
      </c>
      <c r="AJ50" s="467">
        <f>$AH50*SUMIFS('RIN 2.12 2022-2023 REPEX'!J$6:J$15,'RIN 2.12 2022-2023 REPEX'!$A$6:$A$15,'Unit Cost Rate Summary'!$A50)</f>
        <v>0</v>
      </c>
      <c r="AK50" s="117">
        <f>$AH50*SUMIFS('RIN 2.12 2022-2023 REPEX'!K$6:K$15,'RIN 2.12 2022-2023 REPEX'!$A$6:$A$15,'Unit Cost Rate Summary'!$A50)</f>
        <v>0</v>
      </c>
      <c r="AL50" s="117">
        <f>$AH50*SUMIFS('RIN 2.12 2022-2023 REPEX'!L$6:L$15,'RIN 2.12 2022-2023 REPEX'!$A$6:$A$15,'Unit Cost Rate Summary'!$A50)</f>
        <v>0</v>
      </c>
      <c r="AM50" s="118">
        <f>$AH50*SUMIFS('RIN 2.12 2022-2023 REPEX'!M$6:M$15,'RIN 2.12 2022-2023 REPEX'!$A$6:$A$15,'Unit Cost Rate Summary'!$A50)</f>
        <v>0</v>
      </c>
      <c r="AN50" s="487">
        <f t="shared" si="3"/>
        <v>0</v>
      </c>
      <c r="AO50" s="488" t="str">
        <f t="shared" si="6"/>
        <v/>
      </c>
    </row>
    <row r="51" spans="1:41" x14ac:dyDescent="0.25">
      <c r="A51" s="63" t="s">
        <v>106</v>
      </c>
      <c r="B51" s="64" t="s">
        <v>103</v>
      </c>
      <c r="C51" s="65" t="s">
        <v>326</v>
      </c>
      <c r="D51" s="302" t="str">
        <f>'Defect P1'!CM51</f>
        <v>Avg 3 Yr</v>
      </c>
      <c r="E51" s="314">
        <f>'Defect P1'!CN51</f>
        <v>0.05</v>
      </c>
      <c r="F51" s="303" t="str">
        <f>IF('Defect P1'!CO51=0,"",'Defect P1'!CO51)</f>
        <v/>
      </c>
      <c r="G51" s="304" t="str">
        <f>'Defect P1'!CP51</f>
        <v/>
      </c>
      <c r="H51" s="78">
        <f>'Defect P1'!CL51</f>
        <v>194.74993720160006</v>
      </c>
      <c r="I51" s="302" t="str">
        <f>'Defect P2'!CM51</f>
        <v>Avg 3 Yr</v>
      </c>
      <c r="J51" s="314">
        <f>'Defect P2'!CN51</f>
        <v>0</v>
      </c>
      <c r="K51" s="303" t="str">
        <f>IF('Defect P2'!CO51=0,"",'Defect P2'!CO51)</f>
        <v/>
      </c>
      <c r="L51" s="304">
        <f>'Defect P2'!CP51</f>
        <v>937.79568262729481</v>
      </c>
      <c r="M51" s="78">
        <f>'Defect P2'!CL51</f>
        <v>6285.4436938569952</v>
      </c>
      <c r="N51" s="302" t="str">
        <f>RTS!CM51</f>
        <v>Avg 3 Yr</v>
      </c>
      <c r="O51" s="314">
        <f>RTS!CN51</f>
        <v>0.05</v>
      </c>
      <c r="P51" s="303" t="str">
        <f>IF(RTS!CO51=0,"",RTS!CO51)</f>
        <v/>
      </c>
      <c r="Q51" s="304">
        <f>RTS!CP51</f>
        <v>387.69369470358703</v>
      </c>
      <c r="R51" s="78">
        <f>RTS!CL51</f>
        <v>55.728584999666658</v>
      </c>
      <c r="S51" s="302" t="str">
        <f>Planned!CM51</f>
        <v>Avg 3 Yr</v>
      </c>
      <c r="T51" s="314">
        <f>Planned!CN51</f>
        <v>0.05</v>
      </c>
      <c r="U51" s="303" t="str">
        <f>IF(Planned!CO51=0,"",Planned!CO51)</f>
        <v/>
      </c>
      <c r="V51" s="304">
        <f>Planned!CP51</f>
        <v>1109.1288164693719</v>
      </c>
      <c r="W51" s="78">
        <f>Planned!CL51</f>
        <v>8500</v>
      </c>
      <c r="X51" s="302" t="str">
        <f>Reconductor!CM51</f>
        <v>Avg 3 Yr</v>
      </c>
      <c r="Y51" s="314">
        <f>Reconductor!CN51</f>
        <v>0.05</v>
      </c>
      <c r="Z51" s="303" t="str">
        <f>IF(Reconductor!CO51=0,"",Reconductor!CO51)</f>
        <v/>
      </c>
      <c r="AA51" s="304">
        <f>Reconductor!CP51</f>
        <v>1269.1448477066265</v>
      </c>
      <c r="AB51" s="78">
        <f>Reconductor!CL51</f>
        <v>2580.5661490619032</v>
      </c>
      <c r="AC51" s="302" t="str">
        <f>CTGS!CM51</f>
        <v>Avg 5 Yr</v>
      </c>
      <c r="AD51" s="314">
        <f>CTGS!CN51</f>
        <v>0.05</v>
      </c>
      <c r="AE51" s="303" t="str">
        <f>IF(CTGS!CO51=0,"",CTGS!CO51)</f>
        <v/>
      </c>
      <c r="AF51" s="304">
        <f>CTGS!CP51</f>
        <v>705.32490198603239</v>
      </c>
      <c r="AG51" s="391" t="s">
        <v>512</v>
      </c>
      <c r="AH51" s="80">
        <f t="shared" si="4"/>
        <v>18618774.752752878</v>
      </c>
      <c r="AI51" s="304">
        <f t="shared" si="5"/>
        <v>1056.8947889533533</v>
      </c>
      <c r="AJ51" s="415">
        <f>$AH51*SUMIFS('RIN 2.12 2022-2023 REPEX'!J$6:J$15,'RIN 2.12 2022-2023 REPEX'!$A$6:$A$15,'Unit Cost Rate Summary'!$A51)</f>
        <v>3188861.4843256171</v>
      </c>
      <c r="AK51" s="79">
        <f>$AH51*SUMIFS('RIN 2.12 2022-2023 REPEX'!K$6:K$15,'RIN 2.12 2022-2023 REPEX'!$A$6:$A$15,'Unit Cost Rate Summary'!$A51)</f>
        <v>6681796.7880762257</v>
      </c>
      <c r="AL51" s="79">
        <f>$AH51*SUMIFS('RIN 2.12 2022-2023 REPEX'!L$6:L$15,'RIN 2.12 2022-2023 REPEX'!$A$6:$A$15,'Unit Cost Rate Summary'!$A51)</f>
        <v>8349799.2147852676</v>
      </c>
      <c r="AM51" s="80">
        <f>$AH51*SUMIFS('RIN 2.12 2022-2023 REPEX'!M$6:M$15,'RIN 2.12 2022-2023 REPEX'!$A$6:$A$15,'Unit Cost Rate Summary'!$A51)</f>
        <v>398317.26556576544</v>
      </c>
      <c r="AN51" s="483">
        <f t="shared" si="3"/>
        <v>59658.899893537731</v>
      </c>
      <c r="AO51" s="484">
        <f t="shared" si="6"/>
        <v>3.3865375809891605</v>
      </c>
    </row>
    <row r="52" spans="1:41" x14ac:dyDescent="0.25">
      <c r="A52" s="81" t="s">
        <v>106</v>
      </c>
      <c r="B52" s="82" t="s">
        <v>327</v>
      </c>
      <c r="C52" s="83" t="s">
        <v>328</v>
      </c>
      <c r="D52" s="305" t="str">
        <f>'Defect P1'!CM52</f>
        <v>Avg 3 Yr</v>
      </c>
      <c r="E52" s="315">
        <f>'Defect P1'!CN52</f>
        <v>0.05</v>
      </c>
      <c r="F52" s="306" t="str">
        <f>IF('Defect P1'!CO52=0,"",'Defect P1'!CO52)</f>
        <v/>
      </c>
      <c r="G52" s="307">
        <f>'Defect P1'!CP52</f>
        <v>5940.3671946240474</v>
      </c>
      <c r="H52" s="96">
        <f>'Defect P1'!CL52</f>
        <v>0.39696971920000002</v>
      </c>
      <c r="I52" s="305" t="str">
        <f>'Defect P2'!CM52</f>
        <v>Avg 3 Yr</v>
      </c>
      <c r="J52" s="315">
        <f>'Defect P2'!CN52</f>
        <v>0</v>
      </c>
      <c r="K52" s="306" t="str">
        <f>IF('Defect P2'!CO52=0,"",'Defect P2'!CO52)</f>
        <v/>
      </c>
      <c r="L52" s="307">
        <f>'Defect P2'!CP52</f>
        <v>7958.6338307811702</v>
      </c>
      <c r="M52" s="96">
        <f>'Defect P2'!CL52</f>
        <v>638.33548266300124</v>
      </c>
      <c r="N52" s="305" t="str">
        <f>RTS!CM52</f>
        <v>Avg 3 Yr</v>
      </c>
      <c r="O52" s="315">
        <f>RTS!CN52</f>
        <v>0.05</v>
      </c>
      <c r="P52" s="306" t="str">
        <f>IF(RTS!CO52=0,"",RTS!CO52)</f>
        <v/>
      </c>
      <c r="Q52" s="307">
        <f>RTS!CP52</f>
        <v>2807.9258739647398</v>
      </c>
      <c r="R52" s="96">
        <f>RTS!CL52</f>
        <v>17.20959657233335</v>
      </c>
      <c r="S52" s="305" t="str">
        <f>Planned!CM52</f>
        <v>Avg 3 Yr</v>
      </c>
      <c r="T52" s="315">
        <f>Planned!CN52</f>
        <v>0.05</v>
      </c>
      <c r="U52" s="306" t="str">
        <f>IF(Planned!CO52=0,"",Planned!CO52)</f>
        <v/>
      </c>
      <c r="V52" s="307">
        <f>Planned!CP52</f>
        <v>26242.282464530828</v>
      </c>
      <c r="W52" s="96">
        <f>Planned!CL52</f>
        <v>0</v>
      </c>
      <c r="X52" s="305" t="str">
        <f>Reconductor!CM52</f>
        <v>Avg 3 Yr</v>
      </c>
      <c r="Y52" s="315">
        <f>Reconductor!CN52</f>
        <v>0.05</v>
      </c>
      <c r="Z52" s="306" t="str">
        <f>IF(Reconductor!CO52=0,"",Reconductor!CO52)</f>
        <v/>
      </c>
      <c r="AA52" s="307">
        <f>Reconductor!CP52</f>
        <v>7853.3948605681635</v>
      </c>
      <c r="AB52" s="96">
        <f>Reconductor!CL52</f>
        <v>115.15122644949064</v>
      </c>
      <c r="AC52" s="305" t="str">
        <f>CTGS!CM52</f>
        <v>Avg 5 Yr</v>
      </c>
      <c r="AD52" s="315">
        <f>CTGS!CN52</f>
        <v>0.05</v>
      </c>
      <c r="AE52" s="306" t="str">
        <f>IF(CTGS!CO52=0,"",CTGS!CO52)</f>
        <v/>
      </c>
      <c r="AF52" s="307">
        <f>CTGS!CP52</f>
        <v>7222.4165970840477</v>
      </c>
      <c r="AG52" s="392"/>
      <c r="AH52" s="98">
        <f t="shared" si="4"/>
        <v>6035287.8350894833</v>
      </c>
      <c r="AI52" s="307">
        <f t="shared" si="5"/>
        <v>7826.9231850416654</v>
      </c>
      <c r="AJ52" s="416">
        <f>$AH52*SUMIFS('RIN 2.12 2022-2023 REPEX'!J$6:J$15,'RIN 2.12 2022-2023 REPEX'!$A$6:$A$15,'Unit Cost Rate Summary'!$A52)</f>
        <v>1033671.5052256711</v>
      </c>
      <c r="AK52" s="97">
        <f>$AH52*SUMIFS('RIN 2.12 2022-2023 REPEX'!K$6:K$15,'RIN 2.12 2022-2023 REPEX'!$A$6:$A$15,'Unit Cost Rate Summary'!$A52)</f>
        <v>2165908.7349802083</v>
      </c>
      <c r="AL52" s="97">
        <f>$AH52*SUMIFS('RIN 2.12 2022-2023 REPEX'!L$6:L$15,'RIN 2.12 2022-2023 REPEX'!$A$6:$A$15,'Unit Cost Rate Summary'!$A52)</f>
        <v>2706592.7965524332</v>
      </c>
      <c r="AM52" s="98">
        <f>$AH52*SUMIFS('RIN 2.12 2022-2023 REPEX'!M$6:M$15,'RIN 2.12 2022-2023 REPEX'!$A$6:$A$15,'Unit Cost Rate Summary'!$A52)</f>
        <v>129114.79833117021</v>
      </c>
      <c r="AN52" s="485">
        <f t="shared" si="3"/>
        <v>19338.470848037574</v>
      </c>
      <c r="AO52" s="486">
        <f t="shared" si="6"/>
        <v>25.079288673481049</v>
      </c>
    </row>
    <row r="53" spans="1:41" x14ac:dyDescent="0.25">
      <c r="A53" s="81" t="s">
        <v>106</v>
      </c>
      <c r="B53" s="82" t="s">
        <v>454</v>
      </c>
      <c r="C53" s="83" t="s">
        <v>329</v>
      </c>
      <c r="D53" s="305" t="str">
        <f>'Defect P1'!CM53</f>
        <v>Avg 3 Yr</v>
      </c>
      <c r="E53" s="315">
        <f>'Defect P1'!CN53</f>
        <v>0.05</v>
      </c>
      <c r="F53" s="306" t="str">
        <f>IF('Defect P1'!CO53=0,"",'Defect P1'!CO53)</f>
        <v/>
      </c>
      <c r="G53" s="307" t="str">
        <f>'Defect P1'!CP53</f>
        <v/>
      </c>
      <c r="H53" s="96">
        <f>'Defect P1'!CL53</f>
        <v>0</v>
      </c>
      <c r="I53" s="305" t="str">
        <f>'Defect P2'!CM53</f>
        <v>Avg 5 Yr</v>
      </c>
      <c r="J53" s="315">
        <f>'Defect P2'!CN53</f>
        <v>0</v>
      </c>
      <c r="K53" s="306" t="str">
        <f>IF('Defect P2'!CO53=0,"",'Defect P2'!CO53)</f>
        <v/>
      </c>
      <c r="L53" s="307" t="str">
        <f>'Defect P2'!CP53</f>
        <v/>
      </c>
      <c r="M53" s="96">
        <f>'Defect P2'!CL53</f>
        <v>0</v>
      </c>
      <c r="N53" s="305" t="str">
        <f>RTS!CM53</f>
        <v>Avg 5 Yr</v>
      </c>
      <c r="O53" s="315">
        <f>RTS!CN53</f>
        <v>0.05</v>
      </c>
      <c r="P53" s="306" t="str">
        <f>IF(RTS!CO53=0,"",RTS!CO53)</f>
        <v/>
      </c>
      <c r="Q53" s="307" t="str">
        <f>RTS!CP53</f>
        <v/>
      </c>
      <c r="R53" s="96">
        <f>RTS!CL53</f>
        <v>0</v>
      </c>
      <c r="S53" s="305" t="str">
        <f>Planned!CM53</f>
        <v>Avg 3 Yr</v>
      </c>
      <c r="T53" s="315">
        <f>Planned!CN53</f>
        <v>0.05</v>
      </c>
      <c r="U53" s="306" t="str">
        <f>IF(Planned!CO53=0,"",Planned!CO53)</f>
        <v/>
      </c>
      <c r="V53" s="307" t="str">
        <f>Planned!CP53</f>
        <v/>
      </c>
      <c r="W53" s="96">
        <f>Planned!CL53</f>
        <v>0</v>
      </c>
      <c r="X53" s="305" t="str">
        <f>Reconductor!CM53</f>
        <v>Avg 3 Yr</v>
      </c>
      <c r="Y53" s="315">
        <f>Reconductor!CN53</f>
        <v>0.05</v>
      </c>
      <c r="Z53" s="306" t="str">
        <f>IF(Reconductor!CO53=0,"",Reconductor!CO53)</f>
        <v/>
      </c>
      <c r="AA53" s="307" t="str">
        <f>Reconductor!CP53</f>
        <v/>
      </c>
      <c r="AB53" s="96">
        <f>Reconductor!CL53</f>
        <v>0</v>
      </c>
      <c r="AC53" s="305" t="str">
        <f>CTGS!CM53</f>
        <v>Avg 5 Yr</v>
      </c>
      <c r="AD53" s="315">
        <f>CTGS!CN53</f>
        <v>0.05</v>
      </c>
      <c r="AE53" s="306" t="str">
        <f>IF(CTGS!CO53=0,"",CTGS!CO53)</f>
        <v/>
      </c>
      <c r="AF53" s="307" t="str">
        <f>CTGS!CP53</f>
        <v/>
      </c>
      <c r="AG53" s="392"/>
      <c r="AH53" s="98">
        <f t="shared" si="4"/>
        <v>0</v>
      </c>
      <c r="AI53" s="307" t="str">
        <f t="shared" si="5"/>
        <v/>
      </c>
      <c r="AJ53" s="416">
        <f>$AH53*SUMIFS('RIN 2.12 2022-2023 REPEX'!J$6:J$15,'RIN 2.12 2022-2023 REPEX'!$A$6:$A$15,'Unit Cost Rate Summary'!$A53)</f>
        <v>0</v>
      </c>
      <c r="AK53" s="97">
        <f>$AH53*SUMIFS('RIN 2.12 2022-2023 REPEX'!K$6:K$15,'RIN 2.12 2022-2023 REPEX'!$A$6:$A$15,'Unit Cost Rate Summary'!$A53)</f>
        <v>0</v>
      </c>
      <c r="AL53" s="97">
        <f>$AH53*SUMIFS('RIN 2.12 2022-2023 REPEX'!L$6:L$15,'RIN 2.12 2022-2023 REPEX'!$A$6:$A$15,'Unit Cost Rate Summary'!$A53)</f>
        <v>0</v>
      </c>
      <c r="AM53" s="98">
        <f>$AH53*SUMIFS('RIN 2.12 2022-2023 REPEX'!M$6:M$15,'RIN 2.12 2022-2023 REPEX'!$A$6:$A$15,'Unit Cost Rate Summary'!$A53)</f>
        <v>0</v>
      </c>
      <c r="AN53" s="485">
        <f t="shared" si="3"/>
        <v>0</v>
      </c>
      <c r="AO53" s="486" t="str">
        <f t="shared" si="6"/>
        <v/>
      </c>
    </row>
    <row r="54" spans="1:41" x14ac:dyDescent="0.25">
      <c r="A54" s="81" t="s">
        <v>106</v>
      </c>
      <c r="B54" s="82" t="s">
        <v>330</v>
      </c>
      <c r="C54" s="83" t="s">
        <v>331</v>
      </c>
      <c r="D54" s="305" t="str">
        <f>'Defect P1'!CM54</f>
        <v>Avg 3 Yr</v>
      </c>
      <c r="E54" s="315">
        <f>'Defect P1'!CN54</f>
        <v>0.05</v>
      </c>
      <c r="F54" s="306" t="str">
        <f>IF('Defect P1'!CO54=0,"",'Defect P1'!CO54)</f>
        <v/>
      </c>
      <c r="G54" s="307" t="str">
        <f>'Defect P1'!CP54</f>
        <v/>
      </c>
      <c r="H54" s="96">
        <f>'Defect P1'!CL54</f>
        <v>0</v>
      </c>
      <c r="I54" s="305" t="str">
        <f>'Defect P2'!CM54</f>
        <v>Avg 3 Yr</v>
      </c>
      <c r="J54" s="315">
        <f>'Defect P2'!CN54</f>
        <v>0</v>
      </c>
      <c r="K54" s="306" t="str">
        <f>IF('Defect P2'!CO54=0,"",'Defect P2'!CO54)</f>
        <v/>
      </c>
      <c r="L54" s="307" t="str">
        <f>'Defect P2'!CP54</f>
        <v/>
      </c>
      <c r="M54" s="96">
        <f>'Defect P2'!CL54</f>
        <v>0</v>
      </c>
      <c r="N54" s="305" t="str">
        <f>RTS!CM54</f>
        <v>Avg 3 Yr</v>
      </c>
      <c r="O54" s="315">
        <f>RTS!CN54</f>
        <v>0.05</v>
      </c>
      <c r="P54" s="306" t="str">
        <f>IF(RTS!CO54=0,"",RTS!CO54)</f>
        <v/>
      </c>
      <c r="Q54" s="307" t="str">
        <f>RTS!CP54</f>
        <v/>
      </c>
      <c r="R54" s="96">
        <f>RTS!CL54</f>
        <v>0</v>
      </c>
      <c r="S54" s="305" t="str">
        <f>Planned!CM54</f>
        <v>Avg 3 Yr</v>
      </c>
      <c r="T54" s="315">
        <f>Planned!CN54</f>
        <v>0.05</v>
      </c>
      <c r="U54" s="306" t="str">
        <f>IF(Planned!CO54=0,"",Planned!CO54)</f>
        <v/>
      </c>
      <c r="V54" s="307" t="str">
        <f>Planned!CP54</f>
        <v/>
      </c>
      <c r="W54" s="96">
        <f>Planned!CL54</f>
        <v>0</v>
      </c>
      <c r="X54" s="305" t="str">
        <f>Reconductor!CM54</f>
        <v>Avg 3 Yr</v>
      </c>
      <c r="Y54" s="315">
        <f>Reconductor!CN54</f>
        <v>0.05</v>
      </c>
      <c r="Z54" s="306" t="str">
        <f>IF(Reconductor!CO54=0,"",Reconductor!CO54)</f>
        <v/>
      </c>
      <c r="AA54" s="307" t="str">
        <f>Reconductor!CP54</f>
        <v/>
      </c>
      <c r="AB54" s="96">
        <f>Reconductor!CL54</f>
        <v>0</v>
      </c>
      <c r="AC54" s="305" t="str">
        <f>CTGS!CM54</f>
        <v>Avg 5 Yr</v>
      </c>
      <c r="AD54" s="315">
        <f>CTGS!CN54</f>
        <v>0.05</v>
      </c>
      <c r="AE54" s="306" t="str">
        <f>IF(CTGS!CO54=0,"",CTGS!CO54)</f>
        <v/>
      </c>
      <c r="AF54" s="307" t="str">
        <f>CTGS!CP54</f>
        <v/>
      </c>
      <c r="AG54" s="392"/>
      <c r="AH54" s="98">
        <f t="shared" si="4"/>
        <v>0</v>
      </c>
      <c r="AI54" s="307" t="str">
        <f t="shared" si="5"/>
        <v/>
      </c>
      <c r="AJ54" s="416">
        <f>$AH54*SUMIFS('RIN 2.12 2022-2023 REPEX'!J$6:J$15,'RIN 2.12 2022-2023 REPEX'!$A$6:$A$15,'Unit Cost Rate Summary'!$A54)</f>
        <v>0</v>
      </c>
      <c r="AK54" s="97">
        <f>$AH54*SUMIFS('RIN 2.12 2022-2023 REPEX'!K$6:K$15,'RIN 2.12 2022-2023 REPEX'!$A$6:$A$15,'Unit Cost Rate Summary'!$A54)</f>
        <v>0</v>
      </c>
      <c r="AL54" s="97">
        <f>$AH54*SUMIFS('RIN 2.12 2022-2023 REPEX'!L$6:L$15,'RIN 2.12 2022-2023 REPEX'!$A$6:$A$15,'Unit Cost Rate Summary'!$A54)</f>
        <v>0</v>
      </c>
      <c r="AM54" s="98">
        <f>$AH54*SUMIFS('RIN 2.12 2022-2023 REPEX'!M$6:M$15,'RIN 2.12 2022-2023 REPEX'!$A$6:$A$15,'Unit Cost Rate Summary'!$A54)</f>
        <v>0</v>
      </c>
      <c r="AN54" s="485">
        <f t="shared" si="3"/>
        <v>0</v>
      </c>
      <c r="AO54" s="486" t="str">
        <f t="shared" si="6"/>
        <v/>
      </c>
    </row>
    <row r="55" spans="1:41" x14ac:dyDescent="0.25">
      <c r="A55" s="81" t="s">
        <v>106</v>
      </c>
      <c r="B55" s="82" t="s">
        <v>332</v>
      </c>
      <c r="C55" s="83" t="s">
        <v>333</v>
      </c>
      <c r="D55" s="305" t="str">
        <f>'Defect P1'!CM55</f>
        <v>Avg 3 Yr</v>
      </c>
      <c r="E55" s="315">
        <f>'Defect P1'!CN55</f>
        <v>0.05</v>
      </c>
      <c r="F55" s="306" t="str">
        <f>IF('Defect P1'!CO55=0,"",'Defect P1'!CO55)</f>
        <v/>
      </c>
      <c r="G55" s="307" t="str">
        <f>'Defect P1'!CP55</f>
        <v/>
      </c>
      <c r="H55" s="96">
        <f>'Defect P1'!CL55</f>
        <v>0</v>
      </c>
      <c r="I55" s="305" t="str">
        <f>'Defect P2'!CM55</f>
        <v>Avg 3 Yr</v>
      </c>
      <c r="J55" s="315">
        <f>'Defect P2'!CN55</f>
        <v>0</v>
      </c>
      <c r="K55" s="306" t="str">
        <f>IF('Defect P2'!CO55=0,"",'Defect P2'!CO55)</f>
        <v/>
      </c>
      <c r="L55" s="307" t="str">
        <f>'Defect P2'!CP55</f>
        <v/>
      </c>
      <c r="M55" s="96">
        <f>'Defect P2'!CL55</f>
        <v>0</v>
      </c>
      <c r="N55" s="305" t="str">
        <f>RTS!CM55</f>
        <v>Avg 3 Yr</v>
      </c>
      <c r="O55" s="315">
        <f>RTS!CN55</f>
        <v>0.05</v>
      </c>
      <c r="P55" s="306" t="str">
        <f>IF(RTS!CO55=0,"",RTS!CO55)</f>
        <v/>
      </c>
      <c r="Q55" s="307" t="str">
        <f>RTS!CP55</f>
        <v/>
      </c>
      <c r="R55" s="96">
        <f>RTS!CL55</f>
        <v>0</v>
      </c>
      <c r="S55" s="305" t="str">
        <f>Planned!CM55</f>
        <v>Avg 3 Yr</v>
      </c>
      <c r="T55" s="315">
        <f>Planned!CN55</f>
        <v>0.05</v>
      </c>
      <c r="U55" s="306" t="str">
        <f>IF(Planned!CO55=0,"",Planned!CO55)</f>
        <v/>
      </c>
      <c r="V55" s="307" t="str">
        <f>Planned!CP55</f>
        <v/>
      </c>
      <c r="W55" s="96">
        <f>Planned!CL55</f>
        <v>0</v>
      </c>
      <c r="X55" s="305" t="str">
        <f>Reconductor!CM55</f>
        <v>Avg 3 Yr</v>
      </c>
      <c r="Y55" s="315">
        <f>Reconductor!CN55</f>
        <v>0.05</v>
      </c>
      <c r="Z55" s="306" t="str">
        <f>IF(Reconductor!CO55=0,"",Reconductor!CO55)</f>
        <v/>
      </c>
      <c r="AA55" s="307" t="str">
        <f>Reconductor!CP55</f>
        <v/>
      </c>
      <c r="AB55" s="96">
        <f>Reconductor!CL55</f>
        <v>0</v>
      </c>
      <c r="AC55" s="305" t="str">
        <f>CTGS!CM55</f>
        <v>Avg 5 Yr</v>
      </c>
      <c r="AD55" s="315">
        <f>CTGS!CN55</f>
        <v>0.05</v>
      </c>
      <c r="AE55" s="306" t="str">
        <f>IF(CTGS!CO55=0,"",CTGS!CO55)</f>
        <v/>
      </c>
      <c r="AF55" s="307" t="str">
        <f>CTGS!CP55</f>
        <v/>
      </c>
      <c r="AG55" s="392"/>
      <c r="AH55" s="98">
        <f t="shared" si="4"/>
        <v>0</v>
      </c>
      <c r="AI55" s="307" t="str">
        <f t="shared" si="5"/>
        <v/>
      </c>
      <c r="AJ55" s="416">
        <f>$AH55*SUMIFS('RIN 2.12 2022-2023 REPEX'!J$6:J$15,'RIN 2.12 2022-2023 REPEX'!$A$6:$A$15,'Unit Cost Rate Summary'!$A55)</f>
        <v>0</v>
      </c>
      <c r="AK55" s="97">
        <f>$AH55*SUMIFS('RIN 2.12 2022-2023 REPEX'!K$6:K$15,'RIN 2.12 2022-2023 REPEX'!$A$6:$A$15,'Unit Cost Rate Summary'!$A55)</f>
        <v>0</v>
      </c>
      <c r="AL55" s="97">
        <f>$AH55*SUMIFS('RIN 2.12 2022-2023 REPEX'!L$6:L$15,'RIN 2.12 2022-2023 REPEX'!$A$6:$A$15,'Unit Cost Rate Summary'!$A55)</f>
        <v>0</v>
      </c>
      <c r="AM55" s="98">
        <f>$AH55*SUMIFS('RIN 2.12 2022-2023 REPEX'!M$6:M$15,'RIN 2.12 2022-2023 REPEX'!$A$6:$A$15,'Unit Cost Rate Summary'!$A55)</f>
        <v>0</v>
      </c>
      <c r="AN55" s="485">
        <f t="shared" si="3"/>
        <v>0</v>
      </c>
      <c r="AO55" s="486" t="str">
        <f t="shared" si="6"/>
        <v/>
      </c>
    </row>
    <row r="56" spans="1:41" x14ac:dyDescent="0.25">
      <c r="A56" s="81" t="s">
        <v>106</v>
      </c>
      <c r="B56" s="82" t="s">
        <v>334</v>
      </c>
      <c r="C56" s="83" t="s">
        <v>335</v>
      </c>
      <c r="D56" s="305" t="str">
        <f>'Defect P1'!CM56</f>
        <v>Avg 3 Yr</v>
      </c>
      <c r="E56" s="315">
        <f>'Defect P1'!CN56</f>
        <v>0.05</v>
      </c>
      <c r="F56" s="306" t="str">
        <f>IF('Defect P1'!CO56=0,"",'Defect P1'!CO56)</f>
        <v/>
      </c>
      <c r="G56" s="307" t="str">
        <f>'Defect P1'!CP56</f>
        <v/>
      </c>
      <c r="H56" s="140">
        <f>'Defect P1'!CL56</f>
        <v>0</v>
      </c>
      <c r="I56" s="305" t="str">
        <f>'Defect P2'!CM56</f>
        <v>Avg 3 Yr</v>
      </c>
      <c r="J56" s="315">
        <f>'Defect P2'!CN56</f>
        <v>0</v>
      </c>
      <c r="K56" s="306" t="str">
        <f>IF('Defect P2'!CO56=0,"",'Defect P2'!CO56)</f>
        <v/>
      </c>
      <c r="L56" s="307" t="str">
        <f>'Defect P2'!CP56</f>
        <v/>
      </c>
      <c r="M56" s="140">
        <f>'Defect P2'!CL56</f>
        <v>0</v>
      </c>
      <c r="N56" s="305" t="str">
        <f>RTS!CM56</f>
        <v>Avg 3 Yr</v>
      </c>
      <c r="O56" s="315">
        <f>RTS!CN56</f>
        <v>0.05</v>
      </c>
      <c r="P56" s="306" t="str">
        <f>IF(RTS!CO56=0,"",RTS!CO56)</f>
        <v/>
      </c>
      <c r="Q56" s="307" t="str">
        <f>RTS!CP56</f>
        <v/>
      </c>
      <c r="R56" s="140">
        <f>RTS!CL56</f>
        <v>0</v>
      </c>
      <c r="S56" s="305" t="str">
        <f>Planned!CM56</f>
        <v>Avg 3 Yr</v>
      </c>
      <c r="T56" s="315">
        <f>Planned!CN56</f>
        <v>0.05</v>
      </c>
      <c r="U56" s="306" t="str">
        <f>IF(Planned!CO56=0,"",Planned!CO56)</f>
        <v/>
      </c>
      <c r="V56" s="307" t="str">
        <f>Planned!CP56</f>
        <v/>
      </c>
      <c r="W56" s="140">
        <f>Planned!CL56</f>
        <v>0</v>
      </c>
      <c r="X56" s="305" t="str">
        <f>Reconductor!CM56</f>
        <v>Avg 3 Yr</v>
      </c>
      <c r="Y56" s="315">
        <f>Reconductor!CN56</f>
        <v>0.05</v>
      </c>
      <c r="Z56" s="306" t="str">
        <f>IF(Reconductor!CO56=0,"",Reconductor!CO56)</f>
        <v/>
      </c>
      <c r="AA56" s="307" t="str">
        <f>Reconductor!CP56</f>
        <v/>
      </c>
      <c r="AB56" s="140">
        <f>Reconductor!CL56</f>
        <v>0</v>
      </c>
      <c r="AC56" s="305" t="str">
        <f>CTGS!CM56</f>
        <v>Avg 5 Yr</v>
      </c>
      <c r="AD56" s="315">
        <f>CTGS!CN56</f>
        <v>0.05</v>
      </c>
      <c r="AE56" s="306" t="str">
        <f>IF(CTGS!CO56=0,"",CTGS!CO56)</f>
        <v/>
      </c>
      <c r="AF56" s="307" t="str">
        <f>CTGS!CP56</f>
        <v/>
      </c>
      <c r="AG56" s="392"/>
      <c r="AH56" s="98">
        <f t="shared" si="4"/>
        <v>0</v>
      </c>
      <c r="AI56" s="307" t="str">
        <f t="shared" si="5"/>
        <v/>
      </c>
      <c r="AJ56" s="416">
        <f>$AH56*SUMIFS('RIN 2.12 2022-2023 REPEX'!J$6:J$15,'RIN 2.12 2022-2023 REPEX'!$A$6:$A$15,'Unit Cost Rate Summary'!$A56)</f>
        <v>0</v>
      </c>
      <c r="AK56" s="97">
        <f>$AH56*SUMIFS('RIN 2.12 2022-2023 REPEX'!K$6:K$15,'RIN 2.12 2022-2023 REPEX'!$A$6:$A$15,'Unit Cost Rate Summary'!$A56)</f>
        <v>0</v>
      </c>
      <c r="AL56" s="97">
        <f>$AH56*SUMIFS('RIN 2.12 2022-2023 REPEX'!L$6:L$15,'RIN 2.12 2022-2023 REPEX'!$A$6:$A$15,'Unit Cost Rate Summary'!$A56)</f>
        <v>0</v>
      </c>
      <c r="AM56" s="98">
        <f>$AH56*SUMIFS('RIN 2.12 2022-2023 REPEX'!M$6:M$15,'RIN 2.12 2022-2023 REPEX'!$A$6:$A$15,'Unit Cost Rate Summary'!$A56)</f>
        <v>0</v>
      </c>
      <c r="AN56" s="485">
        <f t="shared" si="3"/>
        <v>0</v>
      </c>
      <c r="AO56" s="486" t="str">
        <f t="shared" si="6"/>
        <v/>
      </c>
    </row>
    <row r="57" spans="1:41" x14ac:dyDescent="0.25">
      <c r="A57" s="81" t="s">
        <v>106</v>
      </c>
      <c r="B57" s="82" t="s">
        <v>336</v>
      </c>
      <c r="C57" s="83" t="s">
        <v>337</v>
      </c>
      <c r="D57" s="305" t="str">
        <f>'Defect P1'!CM57</f>
        <v>Avg 3 Yr</v>
      </c>
      <c r="E57" s="315">
        <f>'Defect P1'!CN57</f>
        <v>0.05</v>
      </c>
      <c r="F57" s="306" t="str">
        <f>IF('Defect P1'!CO57=0,"",'Defect P1'!CO57)</f>
        <v/>
      </c>
      <c r="G57" s="307" t="str">
        <f>'Defect P1'!CP57</f>
        <v/>
      </c>
      <c r="H57" s="140">
        <f>'Defect P1'!CL57</f>
        <v>0</v>
      </c>
      <c r="I57" s="305" t="str">
        <f>'Defect P2'!CM57</f>
        <v>Avg 3 Yr</v>
      </c>
      <c r="J57" s="315">
        <f>'Defect P2'!CN57</f>
        <v>0</v>
      </c>
      <c r="K57" s="306" t="str">
        <f>IF('Defect P2'!CO57=0,"",'Defect P2'!CO57)</f>
        <v/>
      </c>
      <c r="L57" s="307" t="str">
        <f>'Defect P2'!CP57</f>
        <v/>
      </c>
      <c r="M57" s="140">
        <f>'Defect P2'!CL57</f>
        <v>0</v>
      </c>
      <c r="N57" s="305" t="str">
        <f>RTS!CM57</f>
        <v>Avg 3 Yr</v>
      </c>
      <c r="O57" s="315">
        <f>RTS!CN57</f>
        <v>0.05</v>
      </c>
      <c r="P57" s="306" t="str">
        <f>IF(RTS!CO57=0,"",RTS!CO57)</f>
        <v/>
      </c>
      <c r="Q57" s="307" t="str">
        <f>RTS!CP57</f>
        <v/>
      </c>
      <c r="R57" s="140">
        <f>RTS!CL57</f>
        <v>0</v>
      </c>
      <c r="S57" s="305" t="str">
        <f>Planned!CM57</f>
        <v>Avg 3 Yr</v>
      </c>
      <c r="T57" s="315">
        <f>Planned!CN57</f>
        <v>0.05</v>
      </c>
      <c r="U57" s="306" t="str">
        <f>IF(Planned!CO57=0,"",Planned!CO57)</f>
        <v/>
      </c>
      <c r="V57" s="307" t="str">
        <f>Planned!CP57</f>
        <v/>
      </c>
      <c r="W57" s="140">
        <f>Planned!CL57</f>
        <v>0</v>
      </c>
      <c r="X57" s="305" t="str">
        <f>Reconductor!CM57</f>
        <v>Avg 3 Yr</v>
      </c>
      <c r="Y57" s="315">
        <f>Reconductor!CN57</f>
        <v>0.05</v>
      </c>
      <c r="Z57" s="306" t="str">
        <f>IF(Reconductor!CO57=0,"",Reconductor!CO57)</f>
        <v/>
      </c>
      <c r="AA57" s="307" t="str">
        <f>Reconductor!CP57</f>
        <v/>
      </c>
      <c r="AB57" s="140">
        <f>Reconductor!CL57</f>
        <v>0</v>
      </c>
      <c r="AC57" s="305" t="str">
        <f>CTGS!CM57</f>
        <v>Avg 5 Yr</v>
      </c>
      <c r="AD57" s="315">
        <f>CTGS!CN57</f>
        <v>0.05</v>
      </c>
      <c r="AE57" s="306" t="str">
        <f>IF(CTGS!CO57=0,"",CTGS!CO57)</f>
        <v/>
      </c>
      <c r="AF57" s="307" t="str">
        <f>CTGS!CP57</f>
        <v/>
      </c>
      <c r="AG57" s="392"/>
      <c r="AH57" s="98">
        <f t="shared" si="4"/>
        <v>0</v>
      </c>
      <c r="AI57" s="307" t="str">
        <f t="shared" si="5"/>
        <v/>
      </c>
      <c r="AJ57" s="416">
        <f>$AH57*SUMIFS('RIN 2.12 2022-2023 REPEX'!J$6:J$15,'RIN 2.12 2022-2023 REPEX'!$A$6:$A$15,'Unit Cost Rate Summary'!$A57)</f>
        <v>0</v>
      </c>
      <c r="AK57" s="97">
        <f>$AH57*SUMIFS('RIN 2.12 2022-2023 REPEX'!K$6:K$15,'RIN 2.12 2022-2023 REPEX'!$A$6:$A$15,'Unit Cost Rate Summary'!$A57)</f>
        <v>0</v>
      </c>
      <c r="AL57" s="97">
        <f>$AH57*SUMIFS('RIN 2.12 2022-2023 REPEX'!L$6:L$15,'RIN 2.12 2022-2023 REPEX'!$A$6:$A$15,'Unit Cost Rate Summary'!$A57)</f>
        <v>0</v>
      </c>
      <c r="AM57" s="98">
        <f>$AH57*SUMIFS('RIN 2.12 2022-2023 REPEX'!M$6:M$15,'RIN 2.12 2022-2023 REPEX'!$A$6:$A$15,'Unit Cost Rate Summary'!$A57)</f>
        <v>0</v>
      </c>
      <c r="AN57" s="485">
        <f t="shared" si="3"/>
        <v>0</v>
      </c>
      <c r="AO57" s="486" t="str">
        <f t="shared" si="6"/>
        <v/>
      </c>
    </row>
    <row r="58" spans="1:41" x14ac:dyDescent="0.25">
      <c r="A58" s="81" t="s">
        <v>106</v>
      </c>
      <c r="B58" s="82" t="s">
        <v>338</v>
      </c>
      <c r="C58" s="83" t="s">
        <v>339</v>
      </c>
      <c r="D58" s="305" t="str">
        <f>'Defect P1'!CM58</f>
        <v>Avg 3 Yr</v>
      </c>
      <c r="E58" s="315">
        <f>'Defect P1'!CN58</f>
        <v>0.05</v>
      </c>
      <c r="F58" s="306" t="str">
        <f>IF('Defect P1'!CO58=0,"",'Defect P1'!CO58)</f>
        <v/>
      </c>
      <c r="G58" s="307" t="str">
        <f>'Defect P1'!CP58</f>
        <v/>
      </c>
      <c r="H58" s="140">
        <f>'Defect P1'!CL58</f>
        <v>0</v>
      </c>
      <c r="I58" s="305" t="str">
        <f>'Defect P2'!CM58</f>
        <v>Avg 3 Yr</v>
      </c>
      <c r="J58" s="315">
        <f>'Defect P2'!CN58</f>
        <v>0</v>
      </c>
      <c r="K58" s="306" t="str">
        <f>IF('Defect P2'!CO58=0,"",'Defect P2'!CO58)</f>
        <v/>
      </c>
      <c r="L58" s="307" t="str">
        <f>'Defect P2'!CP58</f>
        <v/>
      </c>
      <c r="M58" s="140">
        <f>'Defect P2'!CL58</f>
        <v>0</v>
      </c>
      <c r="N58" s="305" t="str">
        <f>RTS!CM58</f>
        <v>Avg 3 Yr</v>
      </c>
      <c r="O58" s="315">
        <f>RTS!CN58</f>
        <v>0.05</v>
      </c>
      <c r="P58" s="306" t="str">
        <f>IF(RTS!CO58=0,"",RTS!CO58)</f>
        <v/>
      </c>
      <c r="Q58" s="307" t="str">
        <f>RTS!CP58</f>
        <v/>
      </c>
      <c r="R58" s="140">
        <f>RTS!CL58</f>
        <v>0</v>
      </c>
      <c r="S58" s="305" t="str">
        <f>Planned!CM58</f>
        <v>Avg 3 Yr</v>
      </c>
      <c r="T58" s="315">
        <f>Planned!CN58</f>
        <v>0.05</v>
      </c>
      <c r="U58" s="306" t="str">
        <f>IF(Planned!CO58=0,"",Planned!CO58)</f>
        <v/>
      </c>
      <c r="V58" s="307" t="str">
        <f>Planned!CP58</f>
        <v/>
      </c>
      <c r="W58" s="140">
        <f>Planned!CL58</f>
        <v>0</v>
      </c>
      <c r="X58" s="305" t="str">
        <f>Reconductor!CM58</f>
        <v>Avg 3 Yr</v>
      </c>
      <c r="Y58" s="315">
        <f>Reconductor!CN58</f>
        <v>0.05</v>
      </c>
      <c r="Z58" s="306" t="str">
        <f>IF(Reconductor!CO58=0,"",Reconductor!CO58)</f>
        <v/>
      </c>
      <c r="AA58" s="307" t="str">
        <f>Reconductor!CP58</f>
        <v/>
      </c>
      <c r="AB58" s="140">
        <f>Reconductor!CL58</f>
        <v>0</v>
      </c>
      <c r="AC58" s="305" t="str">
        <f>CTGS!CM58</f>
        <v>Avg 5 Yr</v>
      </c>
      <c r="AD58" s="315">
        <f>CTGS!CN58</f>
        <v>0.05</v>
      </c>
      <c r="AE58" s="306" t="str">
        <f>IF(CTGS!CO58=0,"",CTGS!CO58)</f>
        <v/>
      </c>
      <c r="AF58" s="307" t="str">
        <f>CTGS!CP58</f>
        <v/>
      </c>
      <c r="AG58" s="392"/>
      <c r="AH58" s="98">
        <f t="shared" si="4"/>
        <v>0</v>
      </c>
      <c r="AI58" s="307" t="str">
        <f t="shared" si="5"/>
        <v/>
      </c>
      <c r="AJ58" s="416">
        <f>$AH58*SUMIFS('RIN 2.12 2022-2023 REPEX'!J$6:J$15,'RIN 2.12 2022-2023 REPEX'!$A$6:$A$15,'Unit Cost Rate Summary'!$A58)</f>
        <v>0</v>
      </c>
      <c r="AK58" s="97">
        <f>$AH58*SUMIFS('RIN 2.12 2022-2023 REPEX'!K$6:K$15,'RIN 2.12 2022-2023 REPEX'!$A$6:$A$15,'Unit Cost Rate Summary'!$A58)</f>
        <v>0</v>
      </c>
      <c r="AL58" s="97">
        <f>$AH58*SUMIFS('RIN 2.12 2022-2023 REPEX'!L$6:L$15,'RIN 2.12 2022-2023 REPEX'!$A$6:$A$15,'Unit Cost Rate Summary'!$A58)</f>
        <v>0</v>
      </c>
      <c r="AM58" s="98">
        <f>$AH58*SUMIFS('RIN 2.12 2022-2023 REPEX'!M$6:M$15,'RIN 2.12 2022-2023 REPEX'!$A$6:$A$15,'Unit Cost Rate Summary'!$A58)</f>
        <v>0</v>
      </c>
      <c r="AN58" s="485">
        <f t="shared" si="3"/>
        <v>0</v>
      </c>
      <c r="AO58" s="486" t="str">
        <f t="shared" si="6"/>
        <v/>
      </c>
    </row>
    <row r="59" spans="1:41" x14ac:dyDescent="0.25">
      <c r="A59" s="81" t="s">
        <v>106</v>
      </c>
      <c r="B59" s="82" t="s">
        <v>340</v>
      </c>
      <c r="C59" s="83" t="s">
        <v>341</v>
      </c>
      <c r="D59" s="305" t="str">
        <f>'Defect P1'!CM59</f>
        <v>Avg 3 Yr</v>
      </c>
      <c r="E59" s="315">
        <f>'Defect P1'!CN59</f>
        <v>0.05</v>
      </c>
      <c r="F59" s="306" t="str">
        <f>IF('Defect P1'!CO59=0,"",'Defect P1'!CO59)</f>
        <v/>
      </c>
      <c r="G59" s="307" t="str">
        <f>'Defect P1'!CP59</f>
        <v/>
      </c>
      <c r="H59" s="140">
        <f>'Defect P1'!CL59</f>
        <v>0</v>
      </c>
      <c r="I59" s="305" t="str">
        <f>'Defect P2'!CM59</f>
        <v>Avg 3 Yr</v>
      </c>
      <c r="J59" s="315">
        <f>'Defect P2'!CN59</f>
        <v>0</v>
      </c>
      <c r="K59" s="306" t="str">
        <f>IF('Defect P2'!CO59=0,"",'Defect P2'!CO59)</f>
        <v/>
      </c>
      <c r="L59" s="307" t="str">
        <f>'Defect P2'!CP59</f>
        <v/>
      </c>
      <c r="M59" s="140">
        <f>'Defect P2'!CL59</f>
        <v>0</v>
      </c>
      <c r="N59" s="305" t="str">
        <f>RTS!CM59</f>
        <v>Avg 3 Yr</v>
      </c>
      <c r="O59" s="315">
        <f>RTS!CN59</f>
        <v>0.05</v>
      </c>
      <c r="P59" s="306" t="str">
        <f>IF(RTS!CO59=0,"",RTS!CO59)</f>
        <v/>
      </c>
      <c r="Q59" s="307" t="str">
        <f>RTS!CP59</f>
        <v/>
      </c>
      <c r="R59" s="140">
        <f>RTS!CL59</f>
        <v>0</v>
      </c>
      <c r="S59" s="305" t="str">
        <f>Planned!CM59</f>
        <v>Avg 3 Yr</v>
      </c>
      <c r="T59" s="315">
        <f>Planned!CN59</f>
        <v>0.05</v>
      </c>
      <c r="U59" s="306" t="str">
        <f>IF(Planned!CO59=0,"",Planned!CO59)</f>
        <v/>
      </c>
      <c r="V59" s="307" t="str">
        <f>Planned!CP59</f>
        <v/>
      </c>
      <c r="W59" s="140">
        <f>Planned!CL59</f>
        <v>0</v>
      </c>
      <c r="X59" s="305" t="str">
        <f>Reconductor!CM59</f>
        <v>Avg 3 Yr</v>
      </c>
      <c r="Y59" s="315">
        <f>Reconductor!CN59</f>
        <v>0.05</v>
      </c>
      <c r="Z59" s="306" t="str">
        <f>IF(Reconductor!CO59=0,"",Reconductor!CO59)</f>
        <v/>
      </c>
      <c r="AA59" s="307" t="str">
        <f>Reconductor!CP59</f>
        <v/>
      </c>
      <c r="AB59" s="140">
        <f>Reconductor!CL59</f>
        <v>0</v>
      </c>
      <c r="AC59" s="305" t="str">
        <f>CTGS!CM59</f>
        <v>Avg 5 Yr</v>
      </c>
      <c r="AD59" s="315">
        <f>CTGS!CN59</f>
        <v>0.05</v>
      </c>
      <c r="AE59" s="306" t="str">
        <f>IF(CTGS!CO59=0,"",CTGS!CO59)</f>
        <v/>
      </c>
      <c r="AF59" s="307" t="str">
        <f>CTGS!CP59</f>
        <v/>
      </c>
      <c r="AG59" s="392"/>
      <c r="AH59" s="98">
        <f t="shared" si="4"/>
        <v>0</v>
      </c>
      <c r="AI59" s="307" t="str">
        <f t="shared" si="5"/>
        <v/>
      </c>
      <c r="AJ59" s="416">
        <f>$AH59*SUMIFS('RIN 2.12 2022-2023 REPEX'!J$6:J$15,'RIN 2.12 2022-2023 REPEX'!$A$6:$A$15,'Unit Cost Rate Summary'!$A59)</f>
        <v>0</v>
      </c>
      <c r="AK59" s="97">
        <f>$AH59*SUMIFS('RIN 2.12 2022-2023 REPEX'!K$6:K$15,'RIN 2.12 2022-2023 REPEX'!$A$6:$A$15,'Unit Cost Rate Summary'!$A59)</f>
        <v>0</v>
      </c>
      <c r="AL59" s="97">
        <f>$AH59*SUMIFS('RIN 2.12 2022-2023 REPEX'!L$6:L$15,'RIN 2.12 2022-2023 REPEX'!$A$6:$A$15,'Unit Cost Rate Summary'!$A59)</f>
        <v>0</v>
      </c>
      <c r="AM59" s="98">
        <f>$AH59*SUMIFS('RIN 2.12 2022-2023 REPEX'!M$6:M$15,'RIN 2.12 2022-2023 REPEX'!$A$6:$A$15,'Unit Cost Rate Summary'!$A59)</f>
        <v>0</v>
      </c>
      <c r="AN59" s="485">
        <f t="shared" si="3"/>
        <v>0</v>
      </c>
      <c r="AO59" s="486" t="str">
        <f t="shared" si="6"/>
        <v/>
      </c>
    </row>
    <row r="60" spans="1:41" x14ac:dyDescent="0.25">
      <c r="A60" s="81" t="s">
        <v>106</v>
      </c>
      <c r="B60" s="82" t="s">
        <v>342</v>
      </c>
      <c r="C60" s="83" t="s">
        <v>343</v>
      </c>
      <c r="D60" s="305" t="str">
        <f>'Defect P1'!CM60</f>
        <v>Avg 3 Yr</v>
      </c>
      <c r="E60" s="315">
        <f>'Defect P1'!CN60</f>
        <v>0.05</v>
      </c>
      <c r="F60" s="306" t="str">
        <f>IF('Defect P1'!CO60=0,"",'Defect P1'!CO60)</f>
        <v/>
      </c>
      <c r="G60" s="307" t="str">
        <f>'Defect P1'!CP60</f>
        <v/>
      </c>
      <c r="H60" s="140">
        <f>'Defect P1'!CL60</f>
        <v>0</v>
      </c>
      <c r="I60" s="305" t="str">
        <f>'Defect P2'!CM60</f>
        <v>Avg 3 Yr</v>
      </c>
      <c r="J60" s="315">
        <f>'Defect P2'!CN60</f>
        <v>0</v>
      </c>
      <c r="K60" s="306" t="str">
        <f>IF('Defect P2'!CO60=0,"",'Defect P2'!CO60)</f>
        <v/>
      </c>
      <c r="L60" s="307" t="str">
        <f>'Defect P2'!CP60</f>
        <v/>
      </c>
      <c r="M60" s="140">
        <f>'Defect P2'!CL60</f>
        <v>0</v>
      </c>
      <c r="N60" s="305" t="str">
        <f>RTS!CM60</f>
        <v>Avg 3 Yr</v>
      </c>
      <c r="O60" s="315">
        <f>RTS!CN60</f>
        <v>0.05</v>
      </c>
      <c r="P60" s="306" t="str">
        <f>IF(RTS!CO60=0,"",RTS!CO60)</f>
        <v/>
      </c>
      <c r="Q60" s="307" t="str">
        <f>RTS!CP60</f>
        <v/>
      </c>
      <c r="R60" s="140">
        <f>RTS!CL60</f>
        <v>0</v>
      </c>
      <c r="S60" s="305" t="str">
        <f>Planned!CM60</f>
        <v>Avg 3 Yr</v>
      </c>
      <c r="T60" s="315">
        <f>Planned!CN60</f>
        <v>0.05</v>
      </c>
      <c r="U60" s="306" t="str">
        <f>IF(Planned!CO60=0,"",Planned!CO60)</f>
        <v/>
      </c>
      <c r="V60" s="307" t="str">
        <f>Planned!CP60</f>
        <v/>
      </c>
      <c r="W60" s="140">
        <f>Planned!CL60</f>
        <v>0</v>
      </c>
      <c r="X60" s="305" t="str">
        <f>Reconductor!CM60</f>
        <v>Avg 3 Yr</v>
      </c>
      <c r="Y60" s="315">
        <f>Reconductor!CN60</f>
        <v>0.05</v>
      </c>
      <c r="Z60" s="306" t="str">
        <f>IF(Reconductor!CO60=0,"",Reconductor!CO60)</f>
        <v/>
      </c>
      <c r="AA60" s="307" t="str">
        <f>Reconductor!CP60</f>
        <v/>
      </c>
      <c r="AB60" s="140">
        <f>Reconductor!CL60</f>
        <v>0</v>
      </c>
      <c r="AC60" s="305" t="str">
        <f>CTGS!CM60</f>
        <v>Avg 5 Yr</v>
      </c>
      <c r="AD60" s="315">
        <f>CTGS!CN60</f>
        <v>0.05</v>
      </c>
      <c r="AE60" s="306" t="str">
        <f>IF(CTGS!CO60=0,"",CTGS!CO60)</f>
        <v/>
      </c>
      <c r="AF60" s="307" t="str">
        <f>CTGS!CP60</f>
        <v/>
      </c>
      <c r="AG60" s="392"/>
      <c r="AH60" s="98">
        <f t="shared" si="4"/>
        <v>0</v>
      </c>
      <c r="AI60" s="307" t="str">
        <f t="shared" si="5"/>
        <v/>
      </c>
      <c r="AJ60" s="416">
        <f>$AH60*SUMIFS('RIN 2.12 2022-2023 REPEX'!J$6:J$15,'RIN 2.12 2022-2023 REPEX'!$A$6:$A$15,'Unit Cost Rate Summary'!$A60)</f>
        <v>0</v>
      </c>
      <c r="AK60" s="97">
        <f>$AH60*SUMIFS('RIN 2.12 2022-2023 REPEX'!K$6:K$15,'RIN 2.12 2022-2023 REPEX'!$A$6:$A$15,'Unit Cost Rate Summary'!$A60)</f>
        <v>0</v>
      </c>
      <c r="AL60" s="97">
        <f>$AH60*SUMIFS('RIN 2.12 2022-2023 REPEX'!L$6:L$15,'RIN 2.12 2022-2023 REPEX'!$A$6:$A$15,'Unit Cost Rate Summary'!$A60)</f>
        <v>0</v>
      </c>
      <c r="AM60" s="98">
        <f>$AH60*SUMIFS('RIN 2.12 2022-2023 REPEX'!M$6:M$15,'RIN 2.12 2022-2023 REPEX'!$A$6:$A$15,'Unit Cost Rate Summary'!$A60)</f>
        <v>0</v>
      </c>
      <c r="AN60" s="485">
        <f t="shared" si="3"/>
        <v>0</v>
      </c>
      <c r="AO60" s="486" t="str">
        <f t="shared" si="6"/>
        <v/>
      </c>
    </row>
    <row r="61" spans="1:41" x14ac:dyDescent="0.25">
      <c r="A61" s="81" t="s">
        <v>106</v>
      </c>
      <c r="B61" s="82" t="s">
        <v>344</v>
      </c>
      <c r="C61" s="83" t="s">
        <v>345</v>
      </c>
      <c r="D61" s="305" t="str">
        <f>'Defect P1'!CM61</f>
        <v>Avg 3 Yr</v>
      </c>
      <c r="E61" s="315">
        <f>'Defect P1'!CN61</f>
        <v>0.05</v>
      </c>
      <c r="F61" s="306" t="str">
        <f>IF('Defect P1'!CO61=0,"",'Defect P1'!CO61)</f>
        <v/>
      </c>
      <c r="G61" s="307" t="str">
        <f>'Defect P1'!CP61</f>
        <v/>
      </c>
      <c r="H61" s="140">
        <f>'Defect P1'!CL61</f>
        <v>0</v>
      </c>
      <c r="I61" s="305" t="str">
        <f>'Defect P2'!CM61</f>
        <v>Avg 3 Yr</v>
      </c>
      <c r="J61" s="315">
        <f>'Defect P2'!CN61</f>
        <v>0</v>
      </c>
      <c r="K61" s="306" t="str">
        <f>IF('Defect P2'!CO61=0,"",'Defect P2'!CO61)</f>
        <v/>
      </c>
      <c r="L61" s="307" t="str">
        <f>'Defect P2'!CP61</f>
        <v/>
      </c>
      <c r="M61" s="140">
        <f>'Defect P2'!CL61</f>
        <v>0</v>
      </c>
      <c r="N61" s="305" t="str">
        <f>RTS!CM61</f>
        <v>Avg 3 Yr</v>
      </c>
      <c r="O61" s="315">
        <f>RTS!CN61</f>
        <v>0.05</v>
      </c>
      <c r="P61" s="306" t="str">
        <f>IF(RTS!CO61=0,"",RTS!CO61)</f>
        <v/>
      </c>
      <c r="Q61" s="307" t="str">
        <f>RTS!CP61</f>
        <v/>
      </c>
      <c r="R61" s="140">
        <f>RTS!CL61</f>
        <v>0</v>
      </c>
      <c r="S61" s="305" t="str">
        <f>Planned!CM61</f>
        <v>Avg 3 Yr</v>
      </c>
      <c r="T61" s="315">
        <f>Planned!CN61</f>
        <v>0.05</v>
      </c>
      <c r="U61" s="306" t="str">
        <f>IF(Planned!CO61=0,"",Planned!CO61)</f>
        <v/>
      </c>
      <c r="V61" s="307" t="str">
        <f>Planned!CP61</f>
        <v/>
      </c>
      <c r="W61" s="140">
        <f>Planned!CL61</f>
        <v>0</v>
      </c>
      <c r="X61" s="305" t="str">
        <f>Reconductor!CM61</f>
        <v>Avg 3 Yr</v>
      </c>
      <c r="Y61" s="315">
        <f>Reconductor!CN61</f>
        <v>0.05</v>
      </c>
      <c r="Z61" s="306" t="str">
        <f>IF(Reconductor!CO61=0,"",Reconductor!CO61)</f>
        <v/>
      </c>
      <c r="AA61" s="307" t="str">
        <f>Reconductor!CP61</f>
        <v/>
      </c>
      <c r="AB61" s="140">
        <f>Reconductor!CL61</f>
        <v>0</v>
      </c>
      <c r="AC61" s="305" t="str">
        <f>CTGS!CM61</f>
        <v>Avg 5 Yr</v>
      </c>
      <c r="AD61" s="315">
        <f>CTGS!CN61</f>
        <v>0.05</v>
      </c>
      <c r="AE61" s="306" t="str">
        <f>IF(CTGS!CO61=0,"",CTGS!CO61)</f>
        <v/>
      </c>
      <c r="AF61" s="307" t="str">
        <f>CTGS!CP61</f>
        <v/>
      </c>
      <c r="AG61" s="392"/>
      <c r="AH61" s="98">
        <f t="shared" si="4"/>
        <v>0</v>
      </c>
      <c r="AI61" s="307" t="str">
        <f t="shared" si="5"/>
        <v/>
      </c>
      <c r="AJ61" s="416">
        <f>$AH61*SUMIFS('RIN 2.12 2022-2023 REPEX'!J$6:J$15,'RIN 2.12 2022-2023 REPEX'!$A$6:$A$15,'Unit Cost Rate Summary'!$A61)</f>
        <v>0</v>
      </c>
      <c r="AK61" s="97">
        <f>$AH61*SUMIFS('RIN 2.12 2022-2023 REPEX'!K$6:K$15,'RIN 2.12 2022-2023 REPEX'!$A$6:$A$15,'Unit Cost Rate Summary'!$A61)</f>
        <v>0</v>
      </c>
      <c r="AL61" s="97">
        <f>$AH61*SUMIFS('RIN 2.12 2022-2023 REPEX'!L$6:L$15,'RIN 2.12 2022-2023 REPEX'!$A$6:$A$15,'Unit Cost Rate Summary'!$A61)</f>
        <v>0</v>
      </c>
      <c r="AM61" s="98">
        <f>$AH61*SUMIFS('RIN 2.12 2022-2023 REPEX'!M$6:M$15,'RIN 2.12 2022-2023 REPEX'!$A$6:$A$15,'Unit Cost Rate Summary'!$A61)</f>
        <v>0</v>
      </c>
      <c r="AN61" s="485">
        <f t="shared" si="3"/>
        <v>0</v>
      </c>
      <c r="AO61" s="486" t="str">
        <f t="shared" si="6"/>
        <v/>
      </c>
    </row>
    <row r="62" spans="1:41" x14ac:dyDescent="0.25">
      <c r="A62" s="81" t="s">
        <v>106</v>
      </c>
      <c r="B62" s="82" t="s">
        <v>346</v>
      </c>
      <c r="C62" s="83" t="s">
        <v>347</v>
      </c>
      <c r="D62" s="305" t="str">
        <f>'Defect P1'!CM62</f>
        <v>Avg 3 Yr</v>
      </c>
      <c r="E62" s="315">
        <f>'Defect P1'!CN62</f>
        <v>0.05</v>
      </c>
      <c r="F62" s="306" t="str">
        <f>IF('Defect P1'!CO62=0,"",'Defect P1'!CO62)</f>
        <v/>
      </c>
      <c r="G62" s="307" t="str">
        <f>'Defect P1'!CP62</f>
        <v/>
      </c>
      <c r="H62" s="140">
        <f>'Defect P1'!CL62</f>
        <v>0</v>
      </c>
      <c r="I62" s="305" t="str">
        <f>'Defect P2'!CM62</f>
        <v>Avg 3 Yr</v>
      </c>
      <c r="J62" s="315">
        <f>'Defect P2'!CN62</f>
        <v>0</v>
      </c>
      <c r="K62" s="306" t="str">
        <f>IF('Defect P2'!CO62=0,"",'Defect P2'!CO62)</f>
        <v/>
      </c>
      <c r="L62" s="307" t="str">
        <f>'Defect P2'!CP62</f>
        <v/>
      </c>
      <c r="M62" s="140">
        <f>'Defect P2'!CL62</f>
        <v>0</v>
      </c>
      <c r="N62" s="305" t="str">
        <f>RTS!CM62</f>
        <v>Avg 3 Yr</v>
      </c>
      <c r="O62" s="315">
        <f>RTS!CN62</f>
        <v>0.05</v>
      </c>
      <c r="P62" s="306" t="str">
        <f>IF(RTS!CO62=0,"",RTS!CO62)</f>
        <v/>
      </c>
      <c r="Q62" s="307" t="str">
        <f>RTS!CP62</f>
        <v/>
      </c>
      <c r="R62" s="140">
        <f>RTS!CL62</f>
        <v>0</v>
      </c>
      <c r="S62" s="305" t="str">
        <f>Planned!CM62</f>
        <v>Avg 3 Yr</v>
      </c>
      <c r="T62" s="315">
        <f>Planned!CN62</f>
        <v>0.05</v>
      </c>
      <c r="U62" s="306" t="str">
        <f>IF(Planned!CO62=0,"",Planned!CO62)</f>
        <v/>
      </c>
      <c r="V62" s="307" t="str">
        <f>Planned!CP62</f>
        <v/>
      </c>
      <c r="W62" s="140">
        <f>Planned!CL62</f>
        <v>0</v>
      </c>
      <c r="X62" s="305" t="str">
        <f>Reconductor!CM62</f>
        <v>Avg 3 Yr</v>
      </c>
      <c r="Y62" s="315">
        <f>Reconductor!CN62</f>
        <v>0.05</v>
      </c>
      <c r="Z62" s="306" t="str">
        <f>IF(Reconductor!CO62=0,"",Reconductor!CO62)</f>
        <v/>
      </c>
      <c r="AA62" s="307" t="str">
        <f>Reconductor!CP62</f>
        <v/>
      </c>
      <c r="AB62" s="140">
        <f>Reconductor!CL62</f>
        <v>0</v>
      </c>
      <c r="AC62" s="305" t="str">
        <f>CTGS!CM62</f>
        <v>Avg 5 Yr</v>
      </c>
      <c r="AD62" s="315">
        <f>CTGS!CN62</f>
        <v>0.05</v>
      </c>
      <c r="AE62" s="306" t="str">
        <f>IF(CTGS!CO62=0,"",CTGS!CO62)</f>
        <v/>
      </c>
      <c r="AF62" s="307" t="str">
        <f>CTGS!CP62</f>
        <v/>
      </c>
      <c r="AG62" s="392"/>
      <c r="AH62" s="98">
        <f t="shared" si="4"/>
        <v>0</v>
      </c>
      <c r="AI62" s="307" t="str">
        <f t="shared" si="5"/>
        <v/>
      </c>
      <c r="AJ62" s="416">
        <f>$AH62*SUMIFS('RIN 2.12 2022-2023 REPEX'!J$6:J$15,'RIN 2.12 2022-2023 REPEX'!$A$6:$A$15,'Unit Cost Rate Summary'!$A62)</f>
        <v>0</v>
      </c>
      <c r="AK62" s="97">
        <f>$AH62*SUMIFS('RIN 2.12 2022-2023 REPEX'!K$6:K$15,'RIN 2.12 2022-2023 REPEX'!$A$6:$A$15,'Unit Cost Rate Summary'!$A62)</f>
        <v>0</v>
      </c>
      <c r="AL62" s="97">
        <f>$AH62*SUMIFS('RIN 2.12 2022-2023 REPEX'!L$6:L$15,'RIN 2.12 2022-2023 REPEX'!$A$6:$A$15,'Unit Cost Rate Summary'!$A62)</f>
        <v>0</v>
      </c>
      <c r="AM62" s="98">
        <f>$AH62*SUMIFS('RIN 2.12 2022-2023 REPEX'!M$6:M$15,'RIN 2.12 2022-2023 REPEX'!$A$6:$A$15,'Unit Cost Rate Summary'!$A62)</f>
        <v>0</v>
      </c>
      <c r="AN62" s="485">
        <f t="shared" si="3"/>
        <v>0</v>
      </c>
      <c r="AO62" s="486" t="str">
        <f t="shared" si="6"/>
        <v/>
      </c>
    </row>
    <row r="63" spans="1:41" x14ac:dyDescent="0.25">
      <c r="A63" s="81" t="s">
        <v>106</v>
      </c>
      <c r="B63" s="82" t="s">
        <v>348</v>
      </c>
      <c r="C63" s="83" t="s">
        <v>349</v>
      </c>
      <c r="D63" s="305" t="str">
        <f>'Defect P1'!CM63</f>
        <v>Avg 3 Yr</v>
      </c>
      <c r="E63" s="315">
        <f>'Defect P1'!CN63</f>
        <v>0.05</v>
      </c>
      <c r="F63" s="306" t="str">
        <f>IF('Defect P1'!CO63=0,"",'Defect P1'!CO63)</f>
        <v/>
      </c>
      <c r="G63" s="307" t="str">
        <f>'Defect P1'!CP63</f>
        <v/>
      </c>
      <c r="H63" s="140">
        <f>'Defect P1'!CL63</f>
        <v>0</v>
      </c>
      <c r="I63" s="305" t="str">
        <f>'Defect P2'!CM63</f>
        <v>Avg 3 Yr</v>
      </c>
      <c r="J63" s="315">
        <f>'Defect P2'!CN63</f>
        <v>0</v>
      </c>
      <c r="K63" s="306" t="str">
        <f>IF('Defect P2'!CO63=0,"",'Defect P2'!CO63)</f>
        <v/>
      </c>
      <c r="L63" s="307" t="str">
        <f>'Defect P2'!CP63</f>
        <v/>
      </c>
      <c r="M63" s="140">
        <f>'Defect P2'!CL63</f>
        <v>0</v>
      </c>
      <c r="N63" s="305" t="str">
        <f>RTS!CM63</f>
        <v>Avg 3 Yr</v>
      </c>
      <c r="O63" s="315">
        <f>RTS!CN63</f>
        <v>0.05</v>
      </c>
      <c r="P63" s="306" t="str">
        <f>IF(RTS!CO63=0,"",RTS!CO63)</f>
        <v/>
      </c>
      <c r="Q63" s="307" t="str">
        <f>RTS!CP63</f>
        <v/>
      </c>
      <c r="R63" s="140">
        <f>RTS!CL63</f>
        <v>0</v>
      </c>
      <c r="S63" s="305" t="str">
        <f>Planned!CM63</f>
        <v>Avg 3 Yr</v>
      </c>
      <c r="T63" s="315">
        <f>Planned!CN63</f>
        <v>0.05</v>
      </c>
      <c r="U63" s="306" t="str">
        <f>IF(Planned!CO63=0,"",Planned!CO63)</f>
        <v/>
      </c>
      <c r="V63" s="307" t="str">
        <f>Planned!CP63</f>
        <v/>
      </c>
      <c r="W63" s="140">
        <f>Planned!CL63</f>
        <v>0</v>
      </c>
      <c r="X63" s="305" t="str">
        <f>Reconductor!CM63</f>
        <v>Avg 3 Yr</v>
      </c>
      <c r="Y63" s="315">
        <f>Reconductor!CN63</f>
        <v>0.05</v>
      </c>
      <c r="Z63" s="306" t="str">
        <f>IF(Reconductor!CO63=0,"",Reconductor!CO63)</f>
        <v/>
      </c>
      <c r="AA63" s="307" t="str">
        <f>Reconductor!CP63</f>
        <v/>
      </c>
      <c r="AB63" s="140">
        <f>Reconductor!CL63</f>
        <v>0</v>
      </c>
      <c r="AC63" s="305" t="str">
        <f>CTGS!CM63</f>
        <v>Avg 5 Yr</v>
      </c>
      <c r="AD63" s="315">
        <f>CTGS!CN63</f>
        <v>0.05</v>
      </c>
      <c r="AE63" s="306" t="str">
        <f>IF(CTGS!CO63=0,"",CTGS!CO63)</f>
        <v/>
      </c>
      <c r="AF63" s="307" t="str">
        <f>CTGS!CP63</f>
        <v/>
      </c>
      <c r="AG63" s="392"/>
      <c r="AH63" s="98">
        <f t="shared" si="4"/>
        <v>0</v>
      </c>
      <c r="AI63" s="307" t="str">
        <f t="shared" si="5"/>
        <v/>
      </c>
      <c r="AJ63" s="416">
        <f>$AH63*SUMIFS('RIN 2.12 2022-2023 REPEX'!J$6:J$15,'RIN 2.12 2022-2023 REPEX'!$A$6:$A$15,'Unit Cost Rate Summary'!$A63)</f>
        <v>0</v>
      </c>
      <c r="AK63" s="97">
        <f>$AH63*SUMIFS('RIN 2.12 2022-2023 REPEX'!K$6:K$15,'RIN 2.12 2022-2023 REPEX'!$A$6:$A$15,'Unit Cost Rate Summary'!$A63)</f>
        <v>0</v>
      </c>
      <c r="AL63" s="97">
        <f>$AH63*SUMIFS('RIN 2.12 2022-2023 REPEX'!L$6:L$15,'RIN 2.12 2022-2023 REPEX'!$A$6:$A$15,'Unit Cost Rate Summary'!$A63)</f>
        <v>0</v>
      </c>
      <c r="AM63" s="98">
        <f>$AH63*SUMIFS('RIN 2.12 2022-2023 REPEX'!M$6:M$15,'RIN 2.12 2022-2023 REPEX'!$A$6:$A$15,'Unit Cost Rate Summary'!$A63)</f>
        <v>0</v>
      </c>
      <c r="AN63" s="485">
        <f t="shared" si="3"/>
        <v>0</v>
      </c>
      <c r="AO63" s="486" t="str">
        <f t="shared" si="6"/>
        <v/>
      </c>
    </row>
    <row r="64" spans="1:41" x14ac:dyDescent="0.25">
      <c r="A64" s="81" t="s">
        <v>106</v>
      </c>
      <c r="B64" s="82" t="s">
        <v>350</v>
      </c>
      <c r="C64" s="83" t="s">
        <v>351</v>
      </c>
      <c r="D64" s="305" t="str">
        <f>'Defect P1'!CM64</f>
        <v>Avg 3 Yr</v>
      </c>
      <c r="E64" s="315">
        <f>'Defect P1'!CN64</f>
        <v>0.05</v>
      </c>
      <c r="F64" s="306" t="str">
        <f>IF('Defect P1'!CO64=0,"",'Defect P1'!CO64)</f>
        <v/>
      </c>
      <c r="G64" s="307" t="str">
        <f>'Defect P1'!CP64</f>
        <v/>
      </c>
      <c r="H64" s="140">
        <f>'Defect P1'!CL64</f>
        <v>0</v>
      </c>
      <c r="I64" s="305" t="str">
        <f>'Defect P2'!CM64</f>
        <v>Avg 3 Yr</v>
      </c>
      <c r="J64" s="315">
        <f>'Defect P2'!CN64</f>
        <v>0</v>
      </c>
      <c r="K64" s="306" t="str">
        <f>IF('Defect P2'!CO64=0,"",'Defect P2'!CO64)</f>
        <v/>
      </c>
      <c r="L64" s="307" t="str">
        <f>'Defect P2'!CP64</f>
        <v/>
      </c>
      <c r="M64" s="140">
        <f>'Defect P2'!CL64</f>
        <v>0</v>
      </c>
      <c r="N64" s="305" t="str">
        <f>RTS!CM64</f>
        <v>Avg 3 Yr</v>
      </c>
      <c r="O64" s="315">
        <f>RTS!CN64</f>
        <v>0.05</v>
      </c>
      <c r="P64" s="306" t="str">
        <f>IF(RTS!CO64=0,"",RTS!CO64)</f>
        <v/>
      </c>
      <c r="Q64" s="307" t="str">
        <f>RTS!CP64</f>
        <v/>
      </c>
      <c r="R64" s="140">
        <f>RTS!CL64</f>
        <v>0</v>
      </c>
      <c r="S64" s="305" t="str">
        <f>Planned!CM64</f>
        <v>Avg 3 Yr</v>
      </c>
      <c r="T64" s="315">
        <f>Planned!CN64</f>
        <v>0.05</v>
      </c>
      <c r="U64" s="306" t="str">
        <f>IF(Planned!CO64=0,"",Planned!CO64)</f>
        <v/>
      </c>
      <c r="V64" s="307" t="str">
        <f>Planned!CP64</f>
        <v/>
      </c>
      <c r="W64" s="140">
        <f>Planned!CL64</f>
        <v>0</v>
      </c>
      <c r="X64" s="305" t="str">
        <f>Reconductor!CM64</f>
        <v>Avg 3 Yr</v>
      </c>
      <c r="Y64" s="315">
        <f>Reconductor!CN64</f>
        <v>0.05</v>
      </c>
      <c r="Z64" s="306" t="str">
        <f>IF(Reconductor!CO64=0,"",Reconductor!CO64)</f>
        <v/>
      </c>
      <c r="AA64" s="307" t="str">
        <f>Reconductor!CP64</f>
        <v/>
      </c>
      <c r="AB64" s="140">
        <f>Reconductor!CL64</f>
        <v>0</v>
      </c>
      <c r="AC64" s="305" t="str">
        <f>CTGS!CM64</f>
        <v>Avg 5 Yr</v>
      </c>
      <c r="AD64" s="315">
        <f>CTGS!CN64</f>
        <v>0.05</v>
      </c>
      <c r="AE64" s="306" t="str">
        <f>IF(CTGS!CO64=0,"",CTGS!CO64)</f>
        <v/>
      </c>
      <c r="AF64" s="307" t="str">
        <f>CTGS!CP64</f>
        <v/>
      </c>
      <c r="AG64" s="392"/>
      <c r="AH64" s="98">
        <f t="shared" si="4"/>
        <v>0</v>
      </c>
      <c r="AI64" s="307" t="str">
        <f t="shared" si="5"/>
        <v/>
      </c>
      <c r="AJ64" s="416">
        <f>$AH64*SUMIFS('RIN 2.12 2022-2023 REPEX'!J$6:J$15,'RIN 2.12 2022-2023 REPEX'!$A$6:$A$15,'Unit Cost Rate Summary'!$A64)</f>
        <v>0</v>
      </c>
      <c r="AK64" s="97">
        <f>$AH64*SUMIFS('RIN 2.12 2022-2023 REPEX'!K$6:K$15,'RIN 2.12 2022-2023 REPEX'!$A$6:$A$15,'Unit Cost Rate Summary'!$A64)</f>
        <v>0</v>
      </c>
      <c r="AL64" s="97">
        <f>$AH64*SUMIFS('RIN 2.12 2022-2023 REPEX'!L$6:L$15,'RIN 2.12 2022-2023 REPEX'!$A$6:$A$15,'Unit Cost Rate Summary'!$A64)</f>
        <v>0</v>
      </c>
      <c r="AM64" s="98">
        <f>$AH64*SUMIFS('RIN 2.12 2022-2023 REPEX'!M$6:M$15,'RIN 2.12 2022-2023 REPEX'!$A$6:$A$15,'Unit Cost Rate Summary'!$A64)</f>
        <v>0</v>
      </c>
      <c r="AN64" s="485">
        <f t="shared" si="3"/>
        <v>0</v>
      </c>
      <c r="AO64" s="486" t="str">
        <f t="shared" si="6"/>
        <v/>
      </c>
    </row>
    <row r="65" spans="1:41" x14ac:dyDescent="0.25">
      <c r="A65" s="81" t="s">
        <v>106</v>
      </c>
      <c r="B65" s="82" t="s">
        <v>352</v>
      </c>
      <c r="C65" s="83" t="s">
        <v>353</v>
      </c>
      <c r="D65" s="305" t="str">
        <f>'Defect P1'!CM65</f>
        <v>Avg 3 Yr</v>
      </c>
      <c r="E65" s="315">
        <f>'Defect P1'!CN65</f>
        <v>0.05</v>
      </c>
      <c r="F65" s="306" t="str">
        <f>IF('Defect P1'!CO65=0,"",'Defect P1'!CO65)</f>
        <v/>
      </c>
      <c r="G65" s="307" t="str">
        <f>'Defect P1'!CP65</f>
        <v/>
      </c>
      <c r="H65" s="140">
        <f>'Defect P1'!CL65</f>
        <v>0</v>
      </c>
      <c r="I65" s="305" t="str">
        <f>'Defect P2'!CM65</f>
        <v>Avg 3 Yr</v>
      </c>
      <c r="J65" s="315">
        <f>'Defect P2'!CN65</f>
        <v>0</v>
      </c>
      <c r="K65" s="306" t="str">
        <f>IF('Defect P2'!CO65=0,"",'Defect P2'!CO65)</f>
        <v/>
      </c>
      <c r="L65" s="307" t="str">
        <f>'Defect P2'!CP65</f>
        <v/>
      </c>
      <c r="M65" s="140">
        <f>'Defect P2'!CL65</f>
        <v>0</v>
      </c>
      <c r="N65" s="305" t="str">
        <f>RTS!CM65</f>
        <v>Avg 3 Yr</v>
      </c>
      <c r="O65" s="315">
        <f>RTS!CN65</f>
        <v>0.05</v>
      </c>
      <c r="P65" s="306" t="str">
        <f>IF(RTS!CO65=0,"",RTS!CO65)</f>
        <v/>
      </c>
      <c r="Q65" s="307" t="str">
        <f>RTS!CP65</f>
        <v/>
      </c>
      <c r="R65" s="140">
        <f>RTS!CL65</f>
        <v>0</v>
      </c>
      <c r="S65" s="305" t="str">
        <f>Planned!CM65</f>
        <v>Avg 3 Yr</v>
      </c>
      <c r="T65" s="315">
        <f>Planned!CN65</f>
        <v>0.05</v>
      </c>
      <c r="U65" s="306" t="str">
        <f>IF(Planned!CO65=0,"",Planned!CO65)</f>
        <v/>
      </c>
      <c r="V65" s="307" t="str">
        <f>Planned!CP65</f>
        <v/>
      </c>
      <c r="W65" s="140">
        <f>Planned!CL65</f>
        <v>0</v>
      </c>
      <c r="X65" s="305" t="str">
        <f>Reconductor!CM65</f>
        <v>Avg 3 Yr</v>
      </c>
      <c r="Y65" s="315">
        <f>Reconductor!CN65</f>
        <v>0.05</v>
      </c>
      <c r="Z65" s="306" t="str">
        <f>IF(Reconductor!CO65=0,"",Reconductor!CO65)</f>
        <v/>
      </c>
      <c r="AA65" s="307" t="str">
        <f>Reconductor!CP65</f>
        <v/>
      </c>
      <c r="AB65" s="140">
        <f>Reconductor!CL65</f>
        <v>0</v>
      </c>
      <c r="AC65" s="305" t="str">
        <f>CTGS!CM65</f>
        <v>Avg 5 Yr</v>
      </c>
      <c r="AD65" s="315">
        <f>CTGS!CN65</f>
        <v>0.05</v>
      </c>
      <c r="AE65" s="306" t="str">
        <f>IF(CTGS!CO65=0,"",CTGS!CO65)</f>
        <v/>
      </c>
      <c r="AF65" s="307" t="str">
        <f>CTGS!CP65</f>
        <v/>
      </c>
      <c r="AG65" s="392"/>
      <c r="AH65" s="98">
        <f t="shared" si="4"/>
        <v>0</v>
      </c>
      <c r="AI65" s="307" t="str">
        <f t="shared" si="5"/>
        <v/>
      </c>
      <c r="AJ65" s="416">
        <f>$AH65*SUMIFS('RIN 2.12 2022-2023 REPEX'!J$6:J$15,'RIN 2.12 2022-2023 REPEX'!$A$6:$A$15,'Unit Cost Rate Summary'!$A65)</f>
        <v>0</v>
      </c>
      <c r="AK65" s="97">
        <f>$AH65*SUMIFS('RIN 2.12 2022-2023 REPEX'!K$6:K$15,'RIN 2.12 2022-2023 REPEX'!$A$6:$A$15,'Unit Cost Rate Summary'!$A65)</f>
        <v>0</v>
      </c>
      <c r="AL65" s="97">
        <f>$AH65*SUMIFS('RIN 2.12 2022-2023 REPEX'!L$6:L$15,'RIN 2.12 2022-2023 REPEX'!$A$6:$A$15,'Unit Cost Rate Summary'!$A65)</f>
        <v>0</v>
      </c>
      <c r="AM65" s="98">
        <f>$AH65*SUMIFS('RIN 2.12 2022-2023 REPEX'!M$6:M$15,'RIN 2.12 2022-2023 REPEX'!$A$6:$A$15,'Unit Cost Rate Summary'!$A65)</f>
        <v>0</v>
      </c>
      <c r="AN65" s="485">
        <f t="shared" si="3"/>
        <v>0</v>
      </c>
      <c r="AO65" s="486" t="str">
        <f t="shared" si="6"/>
        <v/>
      </c>
    </row>
    <row r="66" spans="1:41" ht="15.75" thickBot="1" x14ac:dyDescent="0.3">
      <c r="A66" s="100" t="s">
        <v>106</v>
      </c>
      <c r="B66" s="101" t="s">
        <v>354</v>
      </c>
      <c r="C66" s="102" t="s">
        <v>355</v>
      </c>
      <c r="D66" s="308" t="str">
        <f>'Defect P1'!CM66</f>
        <v>Avg 3 Yr</v>
      </c>
      <c r="E66" s="316">
        <f>'Defect P1'!CN66</f>
        <v>0.05</v>
      </c>
      <c r="F66" s="309" t="str">
        <f>IF('Defect P1'!CO66=0,"",'Defect P1'!CO66)</f>
        <v/>
      </c>
      <c r="G66" s="310" t="str">
        <f>'Defect P1'!CP66</f>
        <v/>
      </c>
      <c r="H66" s="141">
        <f>'Defect P1'!CL66</f>
        <v>0</v>
      </c>
      <c r="I66" s="308" t="str">
        <f>'Defect P2'!CM66</f>
        <v>Avg 3 Yr</v>
      </c>
      <c r="J66" s="316">
        <f>'Defect P2'!CN66</f>
        <v>0</v>
      </c>
      <c r="K66" s="309" t="str">
        <f>IF('Defect P2'!CO66=0,"",'Defect P2'!CO66)</f>
        <v/>
      </c>
      <c r="L66" s="310" t="str">
        <f>'Defect P2'!CP66</f>
        <v/>
      </c>
      <c r="M66" s="141">
        <f>'Defect P2'!CL66</f>
        <v>0</v>
      </c>
      <c r="N66" s="308" t="str">
        <f>RTS!CM66</f>
        <v>Avg 3 Yr</v>
      </c>
      <c r="O66" s="316">
        <f>RTS!CN66</f>
        <v>0.05</v>
      </c>
      <c r="P66" s="309" t="str">
        <f>IF(RTS!CO66=0,"",RTS!CO66)</f>
        <v/>
      </c>
      <c r="Q66" s="310" t="str">
        <f>RTS!CP66</f>
        <v/>
      </c>
      <c r="R66" s="141">
        <f>RTS!CL66</f>
        <v>0</v>
      </c>
      <c r="S66" s="308" t="str">
        <f>Planned!CM66</f>
        <v>Avg 3 Yr</v>
      </c>
      <c r="T66" s="316">
        <f>Planned!CN66</f>
        <v>0.05</v>
      </c>
      <c r="U66" s="309" t="str">
        <f>IF(Planned!CO66=0,"",Planned!CO66)</f>
        <v/>
      </c>
      <c r="V66" s="310" t="str">
        <f>Planned!CP66</f>
        <v/>
      </c>
      <c r="W66" s="141">
        <f>Planned!CL66</f>
        <v>0</v>
      </c>
      <c r="X66" s="308" t="str">
        <f>Reconductor!CM66</f>
        <v>Avg 3 Yr</v>
      </c>
      <c r="Y66" s="316">
        <f>Reconductor!CN66</f>
        <v>0.05</v>
      </c>
      <c r="Z66" s="309" t="str">
        <f>IF(Reconductor!CO66=0,"",Reconductor!CO66)</f>
        <v/>
      </c>
      <c r="AA66" s="310" t="str">
        <f>Reconductor!CP66</f>
        <v/>
      </c>
      <c r="AB66" s="141">
        <f>Reconductor!CL66</f>
        <v>0</v>
      </c>
      <c r="AC66" s="308" t="str">
        <f>CTGS!CM66</f>
        <v>Avg 5 Yr</v>
      </c>
      <c r="AD66" s="316">
        <f>CTGS!CN66</f>
        <v>0.05</v>
      </c>
      <c r="AE66" s="309" t="str">
        <f>IF(CTGS!CO66=0,"",CTGS!CO66)</f>
        <v/>
      </c>
      <c r="AF66" s="310" t="str">
        <f>CTGS!CP66</f>
        <v/>
      </c>
      <c r="AG66" s="393"/>
      <c r="AH66" s="118">
        <f t="shared" si="4"/>
        <v>0</v>
      </c>
      <c r="AI66" s="310" t="str">
        <f t="shared" si="5"/>
        <v/>
      </c>
      <c r="AJ66" s="467">
        <f>$AH66*SUMIFS('RIN 2.12 2022-2023 REPEX'!J$6:J$15,'RIN 2.12 2022-2023 REPEX'!$A$6:$A$15,'Unit Cost Rate Summary'!$A66)</f>
        <v>0</v>
      </c>
      <c r="AK66" s="117">
        <f>$AH66*SUMIFS('RIN 2.12 2022-2023 REPEX'!K$6:K$15,'RIN 2.12 2022-2023 REPEX'!$A$6:$A$15,'Unit Cost Rate Summary'!$A66)</f>
        <v>0</v>
      </c>
      <c r="AL66" s="117">
        <f>$AH66*SUMIFS('RIN 2.12 2022-2023 REPEX'!L$6:L$15,'RIN 2.12 2022-2023 REPEX'!$A$6:$A$15,'Unit Cost Rate Summary'!$A66)</f>
        <v>0</v>
      </c>
      <c r="AM66" s="118">
        <f>$AH66*SUMIFS('RIN 2.12 2022-2023 REPEX'!M$6:M$15,'RIN 2.12 2022-2023 REPEX'!$A$6:$A$15,'Unit Cost Rate Summary'!$A66)</f>
        <v>0</v>
      </c>
      <c r="AN66" s="487">
        <f t="shared" si="3"/>
        <v>0</v>
      </c>
      <c r="AO66" s="488" t="str">
        <f t="shared" si="6"/>
        <v/>
      </c>
    </row>
    <row r="67" spans="1:41" x14ac:dyDescent="0.25">
      <c r="A67" s="142" t="s">
        <v>138</v>
      </c>
      <c r="B67" s="143" t="s">
        <v>135</v>
      </c>
      <c r="C67" s="65" t="s">
        <v>356</v>
      </c>
      <c r="D67" s="302" t="str">
        <f>'Defect P1'!CM67</f>
        <v>Avg 3 Yr</v>
      </c>
      <c r="E67" s="314">
        <f>'Defect P1'!CN67</f>
        <v>0.05</v>
      </c>
      <c r="F67" s="303" t="str">
        <f>IF('Defect P1'!CO67=0,"",'Defect P1'!CO67)</f>
        <v/>
      </c>
      <c r="G67" s="304" t="str">
        <f>'Defect P1'!CP67</f>
        <v/>
      </c>
      <c r="H67" s="78">
        <f>'Defect P1'!CL67</f>
        <v>14.700000000000001</v>
      </c>
      <c r="I67" s="302" t="str">
        <f>'Defect P2'!CM67</f>
        <v>Avg 3 Yr</v>
      </c>
      <c r="J67" s="314">
        <f>'Defect P2'!CN67</f>
        <v>0</v>
      </c>
      <c r="K67" s="303" t="str">
        <f>IF('Defect P2'!CO67=0,"",'Defect P2'!CO67)</f>
        <v/>
      </c>
      <c r="L67" s="304">
        <f>'Defect P2'!CP67</f>
        <v>15382.488085140852</v>
      </c>
      <c r="M67" s="78">
        <f>'Defect P2'!CL67</f>
        <v>149.57791236430029</v>
      </c>
      <c r="N67" s="302" t="str">
        <f>RTS!CM67</f>
        <v>Avg 3 Yr</v>
      </c>
      <c r="O67" s="314">
        <f>RTS!CN67</f>
        <v>0.05</v>
      </c>
      <c r="P67" s="303" t="str">
        <f>IF(RTS!CO67=0,"",RTS!CO67)</f>
        <v/>
      </c>
      <c r="Q67" s="304">
        <f>RTS!CP67</f>
        <v>7772.527790158797</v>
      </c>
      <c r="R67" s="78">
        <f>RTS!CL67</f>
        <v>163.70769230772001</v>
      </c>
      <c r="S67" s="302" t="str">
        <f>Planned!CM67</f>
        <v>Avg 3 Yr</v>
      </c>
      <c r="T67" s="314">
        <f>Planned!CN67</f>
        <v>0.05</v>
      </c>
      <c r="U67" s="303" t="str">
        <f>IF(Planned!CO67=0,"",Planned!CO67)</f>
        <v/>
      </c>
      <c r="V67" s="304">
        <f>Planned!CP67</f>
        <v>89308.40357408741</v>
      </c>
      <c r="W67" s="78">
        <f>Planned!CL67</f>
        <v>0</v>
      </c>
      <c r="X67" s="302" t="str">
        <f>Reconductor!CM67</f>
        <v>Avg 3 Yr</v>
      </c>
      <c r="Y67" s="314">
        <f>Reconductor!CN67</f>
        <v>0.05</v>
      </c>
      <c r="Z67" s="303" t="str">
        <f>IF(Reconductor!CO67=0,"",Reconductor!CO67)</f>
        <v/>
      </c>
      <c r="AA67" s="304">
        <f>Reconductor!CP67</f>
        <v>17810.161238002627</v>
      </c>
      <c r="AB67" s="78">
        <f>Reconductor!CL67</f>
        <v>59.824225951394823</v>
      </c>
      <c r="AC67" s="302" t="str">
        <f>CTGS!CM67</f>
        <v>Avg 5 Yr</v>
      </c>
      <c r="AD67" s="314">
        <f>CTGS!CN67</f>
        <v>0.05</v>
      </c>
      <c r="AE67" s="303" t="str">
        <f>IF(CTGS!CO67=0,"",CTGS!CO67)</f>
        <v/>
      </c>
      <c r="AF67" s="304">
        <f>CTGS!CP67</f>
        <v>17405.888200738391</v>
      </c>
      <c r="AG67" s="391" t="s">
        <v>513</v>
      </c>
      <c r="AH67" s="80">
        <f t="shared" si="4"/>
        <v>4638782.1528016534</v>
      </c>
      <c r="AI67" s="304">
        <f t="shared" si="5"/>
        <v>11961.486755878988</v>
      </c>
      <c r="AJ67" s="415">
        <f>$AH67*SUMIFS('RIN 2.12 2022-2023 REPEX'!J$6:J$15,'RIN 2.12 2022-2023 REPEX'!$A$6:$A$15,'Unit Cost Rate Summary'!$A67)</f>
        <v>1480389.5518527504</v>
      </c>
      <c r="AK67" s="79">
        <f>$AH67*SUMIFS('RIN 2.12 2022-2023 REPEX'!K$6:K$15,'RIN 2.12 2022-2023 REPEX'!$A$6:$A$15,'Unit Cost Rate Summary'!$A67)</f>
        <v>1716620.415696389</v>
      </c>
      <c r="AL67" s="79">
        <f>$AH67*SUMIFS('RIN 2.12 2022-2023 REPEX'!L$6:L$15,'RIN 2.12 2022-2023 REPEX'!$A$6:$A$15,'Unit Cost Rate Summary'!$A67)</f>
        <v>1395442.7636218027</v>
      </c>
      <c r="AM67" s="80">
        <f>$AH67*SUMIFS('RIN 2.12 2022-2023 REPEX'!M$6:M$15,'RIN 2.12 2022-2023 REPEX'!$A$6:$A$15,'Unit Cost Rate Summary'!$A67)</f>
        <v>46329.421630711768</v>
      </c>
      <c r="AN67" s="483">
        <f t="shared" si="3"/>
        <v>15326.967997289188</v>
      </c>
      <c r="AO67" s="484">
        <f t="shared" si="6"/>
        <v>39.521865582031943</v>
      </c>
    </row>
    <row r="68" spans="1:41" x14ac:dyDescent="0.25">
      <c r="A68" s="81" t="s">
        <v>138</v>
      </c>
      <c r="B68" s="82" t="s">
        <v>139</v>
      </c>
      <c r="C68" s="83" t="s">
        <v>357</v>
      </c>
      <c r="D68" s="305" t="str">
        <f>'Defect P1'!CM68</f>
        <v>Avg 3 Yr</v>
      </c>
      <c r="E68" s="315">
        <f>'Defect P1'!CN68</f>
        <v>0.05</v>
      </c>
      <c r="F68" s="306" t="str">
        <f>IF('Defect P1'!CO68=0,"",'Defect P1'!CO68)</f>
        <v/>
      </c>
      <c r="G68" s="307" t="str">
        <f>'Defect P1'!CP68</f>
        <v/>
      </c>
      <c r="H68" s="96">
        <f>'Defect P1'!CL68</f>
        <v>0</v>
      </c>
      <c r="I68" s="305" t="str">
        <f>'Defect P2'!CM68</f>
        <v>Avg 3 Yr</v>
      </c>
      <c r="J68" s="315">
        <f>'Defect P2'!CN68</f>
        <v>0</v>
      </c>
      <c r="K68" s="306" t="str">
        <f>IF('Defect P2'!CO68=0,"",'Defect P2'!CO68)</f>
        <v/>
      </c>
      <c r="L68" s="307">
        <f>'Defect P2'!CP68</f>
        <v>96119.480492259463</v>
      </c>
      <c r="M68" s="96">
        <f>'Defect P2'!CL68</f>
        <v>2.0905368604374606</v>
      </c>
      <c r="N68" s="305" t="str">
        <f>RTS!CM68</f>
        <v>Avg 3 Yr</v>
      </c>
      <c r="O68" s="315">
        <f>RTS!CN68</f>
        <v>0.05</v>
      </c>
      <c r="P68" s="306" t="str">
        <f>IF(RTS!CO68=0,"",RTS!CO68)</f>
        <v/>
      </c>
      <c r="Q68" s="307">
        <f>RTS!CP68</f>
        <v>34064.044442757418</v>
      </c>
      <c r="R68" s="96">
        <f>RTS!CL68</f>
        <v>14.882517482519999</v>
      </c>
      <c r="S68" s="305" t="str">
        <f>Planned!CM68</f>
        <v>Avg 3 Yr</v>
      </c>
      <c r="T68" s="315">
        <f>Planned!CN68</f>
        <v>0.05</v>
      </c>
      <c r="U68" s="306" t="str">
        <f>IF(Planned!CO68=0,"",Planned!CO68)</f>
        <v/>
      </c>
      <c r="V68" s="307" t="str">
        <f>Planned!CP68</f>
        <v/>
      </c>
      <c r="W68" s="96">
        <f>Planned!CL68</f>
        <v>0</v>
      </c>
      <c r="X68" s="305" t="str">
        <f>Reconductor!CM68</f>
        <v>Avg 3 Yr</v>
      </c>
      <c r="Y68" s="315">
        <f>Reconductor!CN68</f>
        <v>0.05</v>
      </c>
      <c r="Z68" s="306" t="str">
        <f>IF(Reconductor!CO68=0,"",Reconductor!CO68)</f>
        <v/>
      </c>
      <c r="AA68" s="307">
        <f>Reconductor!CP68</f>
        <v>28278.046518267001</v>
      </c>
      <c r="AB68" s="96">
        <f>Reconductor!CL68</f>
        <v>0.34781526715927225</v>
      </c>
      <c r="AC68" s="305" t="str">
        <f>CTGS!CM68</f>
        <v>Avg 5 Yr</v>
      </c>
      <c r="AD68" s="315">
        <f>CTGS!CN68</f>
        <v>0.05</v>
      </c>
      <c r="AE68" s="306" t="str">
        <f>IF(CTGS!CO68=0,"",CTGS!CO68)</f>
        <v/>
      </c>
      <c r="AF68" s="307" t="str">
        <f>CTGS!CP68</f>
        <v/>
      </c>
      <c r="AG68" s="392" t="s">
        <v>513</v>
      </c>
      <c r="AH68" s="98">
        <f t="shared" si="4"/>
        <v>717735.59022433672</v>
      </c>
      <c r="AI68" s="307">
        <f t="shared" si="5"/>
        <v>41437.618686600086</v>
      </c>
      <c r="AJ68" s="416">
        <f>$AH68*SUMIFS('RIN 2.12 2022-2023 REPEX'!J$6:J$15,'RIN 2.12 2022-2023 REPEX'!$A$6:$A$15,'Unit Cost Rate Summary'!$A68)</f>
        <v>229053.28031393912</v>
      </c>
      <c r="AK68" s="97">
        <f>$AH68*SUMIFS('RIN 2.12 2022-2023 REPEX'!K$6:K$15,'RIN 2.12 2022-2023 REPEX'!$A$6:$A$15,'Unit Cost Rate Summary'!$A68)</f>
        <v>265604.10182376497</v>
      </c>
      <c r="AL68" s="97">
        <f>$AH68*SUMIFS('RIN 2.12 2022-2023 REPEX'!L$6:L$15,'RIN 2.12 2022-2023 REPEX'!$A$6:$A$15,'Unit Cost Rate Summary'!$A68)</f>
        <v>215909.88810877214</v>
      </c>
      <c r="AM68" s="98">
        <f>$AH68*SUMIFS('RIN 2.12 2022-2023 REPEX'!M$6:M$15,'RIN 2.12 2022-2023 REPEX'!$A$6:$A$15,'Unit Cost Rate Summary'!$A68)</f>
        <v>7168.3199778605504</v>
      </c>
      <c r="AN68" s="485">
        <f t="shared" si="3"/>
        <v>2371.4651948550445</v>
      </c>
      <c r="AO68" s="486">
        <f t="shared" si="6"/>
        <v>136.91374903428203</v>
      </c>
    </row>
    <row r="69" spans="1:41" x14ac:dyDescent="0.25">
      <c r="A69" s="81" t="s">
        <v>138</v>
      </c>
      <c r="B69" s="82" t="s">
        <v>141</v>
      </c>
      <c r="C69" s="83" t="s">
        <v>358</v>
      </c>
      <c r="D69" s="305" t="str">
        <f>'Defect P1'!CM69</f>
        <v>Avg 3 Yr</v>
      </c>
      <c r="E69" s="315">
        <f>'Defect P1'!CN69</f>
        <v>0.05</v>
      </c>
      <c r="F69" s="306" t="str">
        <f>IF('Defect P1'!CO69=0,"",'Defect P1'!CO69)</f>
        <v/>
      </c>
      <c r="G69" s="307" t="str">
        <f>'Defect P1'!CP69</f>
        <v/>
      </c>
      <c r="H69" s="96">
        <f>'Defect P1'!CL69</f>
        <v>0</v>
      </c>
      <c r="I69" s="305" t="str">
        <f>'Defect P2'!CM69</f>
        <v>Avg 3 Yr</v>
      </c>
      <c r="J69" s="315">
        <f>'Defect P2'!CN69</f>
        <v>0</v>
      </c>
      <c r="K69" s="306" t="str">
        <f>IF('Defect P2'!CO69=0,"",'Defect P2'!CO69)</f>
        <v/>
      </c>
      <c r="L69" s="307" t="str">
        <f>'Defect P2'!CP69</f>
        <v/>
      </c>
      <c r="M69" s="96">
        <f>'Defect P2'!CL69</f>
        <v>0</v>
      </c>
      <c r="N69" s="305" t="str">
        <f>RTS!CM69</f>
        <v>Avg 3 Yr</v>
      </c>
      <c r="O69" s="315">
        <f>RTS!CN69</f>
        <v>0.05</v>
      </c>
      <c r="P69" s="306" t="str">
        <f>IF(RTS!CO69=0,"",RTS!CO69)</f>
        <v/>
      </c>
      <c r="Q69" s="307" t="str">
        <f>RTS!CP69</f>
        <v/>
      </c>
      <c r="R69" s="96">
        <f>RTS!CL69</f>
        <v>0</v>
      </c>
      <c r="S69" s="305" t="str">
        <f>Planned!CM69</f>
        <v>Avg 3 Yr</v>
      </c>
      <c r="T69" s="315">
        <f>Planned!CN69</f>
        <v>0.05</v>
      </c>
      <c r="U69" s="306" t="str">
        <f>IF(Planned!CO69=0,"",Planned!CO69)</f>
        <v/>
      </c>
      <c r="V69" s="307" t="str">
        <f>Planned!CP69</f>
        <v/>
      </c>
      <c r="W69" s="96">
        <f>Planned!CL69</f>
        <v>0</v>
      </c>
      <c r="X69" s="305" t="str">
        <f>Reconductor!CM69</f>
        <v>Avg 3 Yr</v>
      </c>
      <c r="Y69" s="315">
        <f>Reconductor!CN69</f>
        <v>0.05</v>
      </c>
      <c r="Z69" s="306" t="str">
        <f>IF(Reconductor!CO69=0,"",Reconductor!CO69)</f>
        <v/>
      </c>
      <c r="AA69" s="307" t="str">
        <f>Reconductor!CP69</f>
        <v/>
      </c>
      <c r="AB69" s="96">
        <f>Reconductor!CL69</f>
        <v>0</v>
      </c>
      <c r="AC69" s="305" t="str">
        <f>CTGS!CM69</f>
        <v>Avg 5 Yr</v>
      </c>
      <c r="AD69" s="315">
        <f>CTGS!CN69</f>
        <v>0.05</v>
      </c>
      <c r="AE69" s="306" t="str">
        <f>IF(CTGS!CO69=0,"",CTGS!CO69)</f>
        <v/>
      </c>
      <c r="AF69" s="307" t="str">
        <f>CTGS!CP69</f>
        <v/>
      </c>
      <c r="AG69" s="392"/>
      <c r="AH69" s="98">
        <f t="shared" si="4"/>
        <v>0</v>
      </c>
      <c r="AI69" s="307" t="str">
        <f t="shared" si="5"/>
        <v/>
      </c>
      <c r="AJ69" s="416">
        <f>$AH69*SUMIFS('RIN 2.12 2022-2023 REPEX'!J$6:J$15,'RIN 2.12 2022-2023 REPEX'!$A$6:$A$15,'Unit Cost Rate Summary'!$A69)</f>
        <v>0</v>
      </c>
      <c r="AK69" s="97">
        <f>$AH69*SUMIFS('RIN 2.12 2022-2023 REPEX'!K$6:K$15,'RIN 2.12 2022-2023 REPEX'!$A$6:$A$15,'Unit Cost Rate Summary'!$A69)</f>
        <v>0</v>
      </c>
      <c r="AL69" s="97">
        <f>$AH69*SUMIFS('RIN 2.12 2022-2023 REPEX'!L$6:L$15,'RIN 2.12 2022-2023 REPEX'!$A$6:$A$15,'Unit Cost Rate Summary'!$A69)</f>
        <v>0</v>
      </c>
      <c r="AM69" s="98">
        <f>$AH69*SUMIFS('RIN 2.12 2022-2023 REPEX'!M$6:M$15,'RIN 2.12 2022-2023 REPEX'!$A$6:$A$15,'Unit Cost Rate Summary'!$A69)</f>
        <v>0</v>
      </c>
      <c r="AN69" s="485">
        <f t="shared" si="3"/>
        <v>0</v>
      </c>
      <c r="AO69" s="486" t="str">
        <f t="shared" si="6"/>
        <v/>
      </c>
    </row>
    <row r="70" spans="1:41" x14ac:dyDescent="0.25">
      <c r="A70" s="81" t="s">
        <v>138</v>
      </c>
      <c r="B70" s="82" t="s">
        <v>143</v>
      </c>
      <c r="C70" s="83" t="s">
        <v>359</v>
      </c>
      <c r="D70" s="305" t="str">
        <f>'Defect P1'!CM70</f>
        <v>Avg 3 Yr</v>
      </c>
      <c r="E70" s="315">
        <f>'Defect P1'!CN70</f>
        <v>0.05</v>
      </c>
      <c r="F70" s="306" t="str">
        <f>IF('Defect P1'!CO70=0,"",'Defect P1'!CO70)</f>
        <v/>
      </c>
      <c r="G70" s="307" t="str">
        <f>'Defect P1'!CP70</f>
        <v/>
      </c>
      <c r="H70" s="96">
        <f>'Defect P1'!CL70</f>
        <v>5.4249999999999998</v>
      </c>
      <c r="I70" s="305" t="str">
        <f>'Defect P2'!CM70</f>
        <v>Avg 3 Yr</v>
      </c>
      <c r="J70" s="315">
        <f>'Defect P2'!CN70</f>
        <v>0</v>
      </c>
      <c r="K70" s="306" t="str">
        <f>IF('Defect P2'!CO70=0,"",'Defect P2'!CO70)</f>
        <v/>
      </c>
      <c r="L70" s="307">
        <f>'Defect P2'!CP70</f>
        <v>24521.116325702962</v>
      </c>
      <c r="M70" s="96">
        <f>'Defect P2'!CL70</f>
        <v>47.246133045886602</v>
      </c>
      <c r="N70" s="305" t="str">
        <f>RTS!CM70</f>
        <v>Avg 3 Yr</v>
      </c>
      <c r="O70" s="315">
        <f>RTS!CN70</f>
        <v>0.05</v>
      </c>
      <c r="P70" s="306" t="str">
        <f>IF(RTS!CO70=0,"",RTS!CO70)</f>
        <v/>
      </c>
      <c r="Q70" s="307">
        <f>RTS!CP70</f>
        <v>11911.725120744015</v>
      </c>
      <c r="R70" s="96">
        <f>RTS!CL70</f>
        <v>43.655384615392002</v>
      </c>
      <c r="S70" s="305" t="str">
        <f>Planned!CM70</f>
        <v>Avg 3 Yr</v>
      </c>
      <c r="T70" s="315">
        <f>Planned!CN70</f>
        <v>0.05</v>
      </c>
      <c r="U70" s="306" t="str">
        <f>IF(Planned!CO70=0,"",Planned!CO70)</f>
        <v/>
      </c>
      <c r="V70" s="307">
        <f>Planned!CP70</f>
        <v>104924.05162456073</v>
      </c>
      <c r="W70" s="96">
        <f>Planned!CL70</f>
        <v>0</v>
      </c>
      <c r="X70" s="305" t="str">
        <f>Reconductor!CM70</f>
        <v>Avg 3 Yr</v>
      </c>
      <c r="Y70" s="315">
        <f>Reconductor!CN70</f>
        <v>0.05</v>
      </c>
      <c r="Z70" s="306" t="str">
        <f>IF(Reconductor!CO70=0,"",Reconductor!CO70)</f>
        <v/>
      </c>
      <c r="AA70" s="307">
        <f>Reconductor!CP70</f>
        <v>22927.301215160289</v>
      </c>
      <c r="AB70" s="96">
        <f>Reconductor!CL70</f>
        <v>35.651064883825406</v>
      </c>
      <c r="AC70" s="305" t="str">
        <f>CTGS!CM70</f>
        <v>Avg 5 Yr</v>
      </c>
      <c r="AD70" s="315">
        <f>CTGS!CN70</f>
        <v>0.05</v>
      </c>
      <c r="AE70" s="306" t="str">
        <f>IF(CTGS!CO70=0,"",CTGS!CO70)</f>
        <v/>
      </c>
      <c r="AF70" s="307">
        <f>CTGS!CP70</f>
        <v>20416.906680597789</v>
      </c>
      <c r="AG70" s="392" t="s">
        <v>513</v>
      </c>
      <c r="AH70" s="98">
        <f t="shared" si="4"/>
        <v>2495921.5691694194</v>
      </c>
      <c r="AI70" s="307">
        <f t="shared" si="5"/>
        <v>18911.708496527623</v>
      </c>
      <c r="AJ70" s="416">
        <f>$AH70*SUMIFS('RIN 2.12 2022-2023 REPEX'!J$6:J$15,'RIN 2.12 2022-2023 REPEX'!$A$6:$A$15,'Unit Cost Rate Summary'!$A70)</f>
        <v>796531.52304441051</v>
      </c>
      <c r="AK70" s="97">
        <f>$AH70*SUMIFS('RIN 2.12 2022-2023 REPEX'!K$6:K$15,'RIN 2.12 2022-2023 REPEX'!$A$6:$A$15,'Unit Cost Rate Summary'!$A70)</f>
        <v>923636.80390239542</v>
      </c>
      <c r="AL70" s="97">
        <f>$AH70*SUMIFS('RIN 2.12 2022-2023 REPEX'!L$6:L$15,'RIN 2.12 2022-2023 REPEX'!$A$6:$A$15,'Unit Cost Rate Summary'!$A70)</f>
        <v>750825.44890828466</v>
      </c>
      <c r="AM70" s="98">
        <f>$AH70*SUMIFS('RIN 2.12 2022-2023 REPEX'!M$6:M$15,'RIN 2.12 2022-2023 REPEX'!$A$6:$A$15,'Unit Cost Rate Summary'!$A70)</f>
        <v>24927.793314329003</v>
      </c>
      <c r="AN70" s="485">
        <f t="shared" si="3"/>
        <v>8246.7571776999594</v>
      </c>
      <c r="AO70" s="486">
        <f t="shared" si="6"/>
        <v>62.486045119682259</v>
      </c>
    </row>
    <row r="71" spans="1:41" x14ac:dyDescent="0.25">
      <c r="A71" s="81" t="s">
        <v>138</v>
      </c>
      <c r="B71" s="82" t="s">
        <v>145</v>
      </c>
      <c r="C71" s="83" t="s">
        <v>360</v>
      </c>
      <c r="D71" s="305" t="str">
        <f>'Defect P1'!CM71</f>
        <v>Avg 3 Yr</v>
      </c>
      <c r="E71" s="315">
        <f>'Defect P1'!CN71</f>
        <v>0.05</v>
      </c>
      <c r="F71" s="306" t="str">
        <f>IF('Defect P1'!CO71=0,"",'Defect P1'!CO71)</f>
        <v/>
      </c>
      <c r="G71" s="307" t="str">
        <f>'Defect P1'!CP71</f>
        <v/>
      </c>
      <c r="H71" s="96">
        <f>'Defect P1'!CL71</f>
        <v>14.525000000000002</v>
      </c>
      <c r="I71" s="305" t="str">
        <f>'Defect P2'!CM71</f>
        <v>Avg 3 Yr</v>
      </c>
      <c r="J71" s="315">
        <f>'Defect P2'!CN71</f>
        <v>0</v>
      </c>
      <c r="K71" s="306" t="str">
        <f>IF('Defect P2'!CO71=0,"",'Defect P2'!CO71)</f>
        <v/>
      </c>
      <c r="L71" s="307">
        <f>'Defect P2'!CP71</f>
        <v>46298.057857387066</v>
      </c>
      <c r="M71" s="96">
        <f>'Defect P2'!CL71</f>
        <v>119.99681578911023</v>
      </c>
      <c r="N71" s="305" t="str">
        <f>RTS!CM71</f>
        <v>Avg 3 Yr</v>
      </c>
      <c r="O71" s="315">
        <f>RTS!CN71</f>
        <v>0.05</v>
      </c>
      <c r="P71" s="306" t="str">
        <f>IF(RTS!CO71=0,"",RTS!CO71)</f>
        <v/>
      </c>
      <c r="Q71" s="307">
        <f>RTS!CP71</f>
        <v>23376.039553807863</v>
      </c>
      <c r="R71" s="96">
        <f>RTS!CL71</f>
        <v>109.46918414920266</v>
      </c>
      <c r="S71" s="305" t="str">
        <f>Planned!CM71</f>
        <v>Avg 3 Yr</v>
      </c>
      <c r="T71" s="315">
        <f>Planned!CN71</f>
        <v>0.05</v>
      </c>
      <c r="U71" s="306" t="str">
        <f>IF(Planned!CO71=0,"",Planned!CO71)</f>
        <v/>
      </c>
      <c r="V71" s="307">
        <f>Planned!CP71</f>
        <v>99813.123098463475</v>
      </c>
      <c r="W71" s="96">
        <f>Planned!CL71</f>
        <v>0</v>
      </c>
      <c r="X71" s="305" t="str">
        <f>Reconductor!CM71</f>
        <v>Avg 3 Yr</v>
      </c>
      <c r="Y71" s="315">
        <f>Reconductor!CN71</f>
        <v>0.05</v>
      </c>
      <c r="Z71" s="306" t="str">
        <f>IF(Reconductor!CO71=0,"",Reconductor!CO71)</f>
        <v/>
      </c>
      <c r="AA71" s="307">
        <f>Reconductor!CP71</f>
        <v>39262.797150850034</v>
      </c>
      <c r="AB71" s="96">
        <f>Reconductor!CL71</f>
        <v>47.302876333661025</v>
      </c>
      <c r="AC71" s="305" t="str">
        <f>CTGS!CM71</f>
        <v>Avg 5 Yr</v>
      </c>
      <c r="AD71" s="315">
        <f>CTGS!CN71</f>
        <v>0.05</v>
      </c>
      <c r="AE71" s="306" t="str">
        <f>IF(CTGS!CO71=0,"",CTGS!CO71)</f>
        <v/>
      </c>
      <c r="AF71" s="307">
        <f>CTGS!CP71</f>
        <v>40712.243233229798</v>
      </c>
      <c r="AG71" s="392" t="s">
        <v>513</v>
      </c>
      <c r="AH71" s="98">
        <f t="shared" ref="AH71:AH102" si="7">SUM(IFERROR(G71*H71,0),IFERROR(L71*M71,0),IFERROR(Q71*R71,0),IFERROR(V71*W71,0),IFERROR(AA71*AB71,0))</f>
        <v>9971818.7368415594</v>
      </c>
      <c r="AI71" s="307">
        <f t="shared" ref="AI71:AI102" si="8">IFERROR(AH71/SUM(H71,M71,R71,W71,AB71),"")</f>
        <v>34232.847131778079</v>
      </c>
      <c r="AJ71" s="416">
        <f>$AH71*SUMIFS('RIN 2.12 2022-2023 REPEX'!J$6:J$15,'RIN 2.12 2022-2023 REPEX'!$A$6:$A$15,'Unit Cost Rate Summary'!$A71)</f>
        <v>3182338.7658060049</v>
      </c>
      <c r="AK71" s="97">
        <f>$AH71*SUMIFS('RIN 2.12 2022-2023 REPEX'!K$6:K$15,'RIN 2.12 2022-2023 REPEX'!$A$6:$A$15,'Unit Cost Rate Summary'!$A71)</f>
        <v>3690155.5325135202</v>
      </c>
      <c r="AL71" s="97">
        <f>$AH71*SUMIFS('RIN 2.12 2022-2023 REPEX'!L$6:L$15,'RIN 2.12 2022-2023 REPEX'!$A$6:$A$15,'Unit Cost Rate Summary'!$A71)</f>
        <v>2999731.7912568171</v>
      </c>
      <c r="AM71" s="98">
        <f>$AH71*SUMIFS('RIN 2.12 2022-2023 REPEX'!M$6:M$15,'RIN 2.12 2022-2023 REPEX'!$A$6:$A$15,'Unit Cost Rate Summary'!$A71)</f>
        <v>99592.647265218126</v>
      </c>
      <c r="AN71" s="485">
        <f t="shared" si="3"/>
        <v>32947.817254585003</v>
      </c>
      <c r="AO71" s="486">
        <f t="shared" ref="AO71:AO102" si="9">IFERROR(AN71/SUM(AB71,W71,R71,M71,H71),"")</f>
        <v>113.10851321784205</v>
      </c>
    </row>
    <row r="72" spans="1:41" x14ac:dyDescent="0.25">
      <c r="A72" s="81" t="s">
        <v>138</v>
      </c>
      <c r="B72" s="82" t="s">
        <v>147</v>
      </c>
      <c r="C72" s="83" t="s">
        <v>362</v>
      </c>
      <c r="D72" s="305" t="str">
        <f>'Defect P1'!CM72</f>
        <v>Avg 3 Yr</v>
      </c>
      <c r="E72" s="315">
        <f>'Defect P1'!CN72</f>
        <v>0.05</v>
      </c>
      <c r="F72" s="306" t="str">
        <f>IF('Defect P1'!CO72=0,"",'Defect P1'!CO72)</f>
        <v/>
      </c>
      <c r="G72" s="307" t="str">
        <f>'Defect P1'!CP72</f>
        <v/>
      </c>
      <c r="H72" s="96">
        <f>'Defect P1'!CL72</f>
        <v>0</v>
      </c>
      <c r="I72" s="305" t="str">
        <f>'Defect P2'!CM72</f>
        <v>Avg 3 Yr</v>
      </c>
      <c r="J72" s="315">
        <f>'Defect P2'!CN72</f>
        <v>0</v>
      </c>
      <c r="K72" s="306" t="str">
        <f>IF('Defect P2'!CO72=0,"",'Defect P2'!CO72)</f>
        <v/>
      </c>
      <c r="L72" s="307">
        <f>'Defect P2'!CP72</f>
        <v>120394.79483006209</v>
      </c>
      <c r="M72" s="96">
        <f>'Defect P2'!CL72</f>
        <v>3.553912662743683</v>
      </c>
      <c r="N72" s="305" t="str">
        <f>RTS!CM72</f>
        <v>Avg 3 Yr</v>
      </c>
      <c r="O72" s="315">
        <f>RTS!CN72</f>
        <v>0.05</v>
      </c>
      <c r="P72" s="306" t="str">
        <f>IF(RTS!CO72=0,"",RTS!CO72)</f>
        <v/>
      </c>
      <c r="Q72" s="307">
        <f>RTS!CP72</f>
        <v>47150.080672693039</v>
      </c>
      <c r="R72" s="96">
        <f>RTS!CL72</f>
        <v>54.238508158517327</v>
      </c>
      <c r="S72" s="305" t="str">
        <f>Planned!CM72</f>
        <v>Avg 3 Yr</v>
      </c>
      <c r="T72" s="315">
        <f>Planned!CN72</f>
        <v>0.05</v>
      </c>
      <c r="U72" s="306" t="str">
        <f>IF(Planned!CO72=0,"",Planned!CO72)</f>
        <v/>
      </c>
      <c r="V72" s="307" t="str">
        <f>Planned!CP72</f>
        <v/>
      </c>
      <c r="W72" s="96">
        <f>Planned!CL72</f>
        <v>0</v>
      </c>
      <c r="X72" s="305" t="str">
        <f>Reconductor!CM72</f>
        <v>Avg 3 Yr</v>
      </c>
      <c r="Y72" s="315">
        <f>Reconductor!CN72</f>
        <v>0.05</v>
      </c>
      <c r="Z72" s="306" t="str">
        <f>IF(Reconductor!CO72=0,"",Reconductor!CO72)</f>
        <v/>
      </c>
      <c r="AA72" s="307" t="str">
        <f>Reconductor!CP72</f>
        <v/>
      </c>
      <c r="AB72" s="96">
        <f>Reconductor!CL72</f>
        <v>0</v>
      </c>
      <c r="AC72" s="305" t="str">
        <f>CTGS!CM72</f>
        <v>Avg 5 Yr</v>
      </c>
      <c r="AD72" s="315">
        <f>CTGS!CN72</f>
        <v>0.05</v>
      </c>
      <c r="AE72" s="306" t="str">
        <f>IF(CTGS!CO72=0,"",CTGS!CO72)</f>
        <v/>
      </c>
      <c r="AF72" s="307" t="str">
        <f>CTGS!CP72</f>
        <v/>
      </c>
      <c r="AG72" s="392" t="s">
        <v>513</v>
      </c>
      <c r="AH72" s="98">
        <f t="shared" si="7"/>
        <v>2985222.621115597</v>
      </c>
      <c r="AI72" s="307">
        <f t="shared" si="8"/>
        <v>51654.223489758646</v>
      </c>
      <c r="AJ72" s="416">
        <f>$AH72*SUMIFS('RIN 2.12 2022-2023 REPEX'!J$6:J$15,'RIN 2.12 2022-2023 REPEX'!$A$6:$A$15,'Unit Cost Rate Summary'!$A72)</f>
        <v>952683.75032117462</v>
      </c>
      <c r="AK72" s="97">
        <f>$AH72*SUMIFS('RIN 2.12 2022-2023 REPEX'!K$6:K$15,'RIN 2.12 2022-2023 REPEX'!$A$6:$A$15,'Unit Cost Rate Summary'!$A72)</f>
        <v>1104706.7803584426</v>
      </c>
      <c r="AL72" s="97">
        <f>$AH72*SUMIFS('RIN 2.12 2022-2023 REPEX'!L$6:L$15,'RIN 2.12 2022-2023 REPEX'!$A$6:$A$15,'Unit Cost Rate Summary'!$A72)</f>
        <v>898017.44665244443</v>
      </c>
      <c r="AM72" s="98">
        <f>$AH72*SUMIFS('RIN 2.12 2022-2023 REPEX'!M$6:M$15,'RIN 2.12 2022-2023 REPEX'!$A$6:$A$15,'Unit Cost Rate Summary'!$A72)</f>
        <v>29814.643783535455</v>
      </c>
      <c r="AN72" s="485">
        <f t="shared" ref="AN72:AN132" si="10">IFERROR(AK72/$AN$3,"")</f>
        <v>9863.4533960575227</v>
      </c>
      <c r="AO72" s="486">
        <f t="shared" si="9"/>
        <v>170.67036223595773</v>
      </c>
    </row>
    <row r="73" spans="1:41" x14ac:dyDescent="0.25">
      <c r="A73" s="81" t="s">
        <v>138</v>
      </c>
      <c r="B73" s="82" t="s">
        <v>149</v>
      </c>
      <c r="C73" s="83" t="s">
        <v>363</v>
      </c>
      <c r="D73" s="305" t="str">
        <f>'Defect P1'!CM73</f>
        <v>Avg 3 Yr</v>
      </c>
      <c r="E73" s="315">
        <f>'Defect P1'!CN73</f>
        <v>0.05</v>
      </c>
      <c r="F73" s="306" t="str">
        <f>IF('Defect P1'!CO73=0,"",'Defect P1'!CO73)</f>
        <v/>
      </c>
      <c r="G73" s="307" t="str">
        <f>'Defect P1'!CP73</f>
        <v/>
      </c>
      <c r="H73" s="96">
        <f>'Defect P1'!CL73</f>
        <v>0</v>
      </c>
      <c r="I73" s="305" t="str">
        <f>'Defect P2'!CM73</f>
        <v>Avg 3 Yr</v>
      </c>
      <c r="J73" s="315">
        <f>'Defect P2'!CN73</f>
        <v>0</v>
      </c>
      <c r="K73" s="306" t="str">
        <f>IF('Defect P2'!CO73=0,"",'Defect P2'!CO73)</f>
        <v/>
      </c>
      <c r="L73" s="307" t="str">
        <f>'Defect P2'!CP73</f>
        <v/>
      </c>
      <c r="M73" s="96">
        <f>'Defect P2'!CL73</f>
        <v>0</v>
      </c>
      <c r="N73" s="305" t="str">
        <f>RTS!CM73</f>
        <v>Avg 3 Yr</v>
      </c>
      <c r="O73" s="315">
        <f>RTS!CN73</f>
        <v>0.05</v>
      </c>
      <c r="P73" s="306" t="str">
        <f>IF(RTS!CO73=0,"",RTS!CO73)</f>
        <v/>
      </c>
      <c r="Q73" s="307" t="str">
        <f>RTS!CP73</f>
        <v/>
      </c>
      <c r="R73" s="96">
        <f>RTS!CL73</f>
        <v>0</v>
      </c>
      <c r="S73" s="305" t="str">
        <f>Planned!CM73</f>
        <v>Avg 3 Yr</v>
      </c>
      <c r="T73" s="315">
        <f>Planned!CN73</f>
        <v>0.05</v>
      </c>
      <c r="U73" s="306" t="str">
        <f>IF(Planned!CO73=0,"",Planned!CO73)</f>
        <v/>
      </c>
      <c r="V73" s="307" t="str">
        <f>Planned!CP73</f>
        <v/>
      </c>
      <c r="W73" s="96">
        <f>Planned!CL73</f>
        <v>0</v>
      </c>
      <c r="X73" s="305" t="str">
        <f>Reconductor!CM73</f>
        <v>Avg 3 Yr</v>
      </c>
      <c r="Y73" s="315">
        <f>Reconductor!CN73</f>
        <v>0.05</v>
      </c>
      <c r="Z73" s="306" t="str">
        <f>IF(Reconductor!CO73=0,"",Reconductor!CO73)</f>
        <v/>
      </c>
      <c r="AA73" s="307" t="str">
        <f>Reconductor!CP73</f>
        <v/>
      </c>
      <c r="AB73" s="96">
        <f>Reconductor!CL73</f>
        <v>0</v>
      </c>
      <c r="AC73" s="305" t="str">
        <f>CTGS!CM73</f>
        <v>Avg 5 Yr</v>
      </c>
      <c r="AD73" s="315">
        <f>CTGS!CN73</f>
        <v>0.05</v>
      </c>
      <c r="AE73" s="306" t="str">
        <f>IF(CTGS!CO73=0,"",CTGS!CO73)</f>
        <v/>
      </c>
      <c r="AF73" s="307" t="str">
        <f>CTGS!CP73</f>
        <v/>
      </c>
      <c r="AG73" s="392"/>
      <c r="AH73" s="98">
        <f t="shared" si="7"/>
        <v>0</v>
      </c>
      <c r="AI73" s="307" t="str">
        <f t="shared" si="8"/>
        <v/>
      </c>
      <c r="AJ73" s="416">
        <f>$AH73*SUMIFS('RIN 2.12 2022-2023 REPEX'!J$6:J$15,'RIN 2.12 2022-2023 REPEX'!$A$6:$A$15,'Unit Cost Rate Summary'!$A73)</f>
        <v>0</v>
      </c>
      <c r="AK73" s="97">
        <f>$AH73*SUMIFS('RIN 2.12 2022-2023 REPEX'!K$6:K$15,'RIN 2.12 2022-2023 REPEX'!$A$6:$A$15,'Unit Cost Rate Summary'!$A73)</f>
        <v>0</v>
      </c>
      <c r="AL73" s="97">
        <f>$AH73*SUMIFS('RIN 2.12 2022-2023 REPEX'!L$6:L$15,'RIN 2.12 2022-2023 REPEX'!$A$6:$A$15,'Unit Cost Rate Summary'!$A73)</f>
        <v>0</v>
      </c>
      <c r="AM73" s="98">
        <f>$AH73*SUMIFS('RIN 2.12 2022-2023 REPEX'!M$6:M$15,'RIN 2.12 2022-2023 REPEX'!$A$6:$A$15,'Unit Cost Rate Summary'!$A73)</f>
        <v>0</v>
      </c>
      <c r="AN73" s="485">
        <f t="shared" si="10"/>
        <v>0</v>
      </c>
      <c r="AO73" s="486" t="str">
        <f t="shared" si="9"/>
        <v/>
      </c>
    </row>
    <row r="74" spans="1:41" x14ac:dyDescent="0.25">
      <c r="A74" s="81" t="s">
        <v>138</v>
      </c>
      <c r="B74" s="82" t="s">
        <v>151</v>
      </c>
      <c r="C74" s="83" t="s">
        <v>364</v>
      </c>
      <c r="D74" s="305" t="str">
        <f>'Defect P1'!CM74</f>
        <v>Avg 3 Yr</v>
      </c>
      <c r="E74" s="315">
        <f>'Defect P1'!CN74</f>
        <v>0.05</v>
      </c>
      <c r="F74" s="306" t="str">
        <f>IF('Defect P1'!CO74=0,"",'Defect P1'!CO74)</f>
        <v/>
      </c>
      <c r="G74" s="307" t="str">
        <f>'Defect P1'!CP74</f>
        <v/>
      </c>
      <c r="H74" s="96">
        <f>'Defect P1'!CL74</f>
        <v>0</v>
      </c>
      <c r="I74" s="305" t="str">
        <f>'Defect P2'!CM74</f>
        <v>Avg 3 Yr</v>
      </c>
      <c r="J74" s="315">
        <f>'Defect P2'!CN74</f>
        <v>0</v>
      </c>
      <c r="K74" s="306" t="str">
        <f>IF('Defect P2'!CO74=0,"",'Defect P2'!CO74)</f>
        <v/>
      </c>
      <c r="L74" s="307" t="str">
        <f>'Defect P2'!CP74</f>
        <v/>
      </c>
      <c r="M74" s="96">
        <f>'Defect P2'!CL74</f>
        <v>0</v>
      </c>
      <c r="N74" s="305" t="str">
        <f>RTS!CM74</f>
        <v>Avg 3 Yr</v>
      </c>
      <c r="O74" s="315">
        <f>RTS!CN74</f>
        <v>0.05</v>
      </c>
      <c r="P74" s="306" t="str">
        <f>IF(RTS!CO74=0,"",RTS!CO74)</f>
        <v/>
      </c>
      <c r="Q74" s="307" t="str">
        <f>RTS!CP74</f>
        <v/>
      </c>
      <c r="R74" s="96">
        <f>RTS!CL74</f>
        <v>0</v>
      </c>
      <c r="S74" s="305" t="str">
        <f>Planned!CM74</f>
        <v>Avg 3 Yr</v>
      </c>
      <c r="T74" s="315">
        <f>Planned!CN74</f>
        <v>0.05</v>
      </c>
      <c r="U74" s="306" t="str">
        <f>IF(Planned!CO74=0,"",Planned!CO74)</f>
        <v/>
      </c>
      <c r="V74" s="307" t="str">
        <f>Planned!CP74</f>
        <v/>
      </c>
      <c r="W74" s="96">
        <f>Planned!CL74</f>
        <v>0</v>
      </c>
      <c r="X74" s="305" t="str">
        <f>Reconductor!CM74</f>
        <v>Avg 3 Yr</v>
      </c>
      <c r="Y74" s="315">
        <f>Reconductor!CN74</f>
        <v>0.05</v>
      </c>
      <c r="Z74" s="306" t="str">
        <f>IF(Reconductor!CO74=0,"",Reconductor!CO74)</f>
        <v/>
      </c>
      <c r="AA74" s="307" t="str">
        <f>Reconductor!CP74</f>
        <v/>
      </c>
      <c r="AB74" s="96">
        <f>Reconductor!CL74</f>
        <v>0</v>
      </c>
      <c r="AC74" s="305" t="str">
        <f>CTGS!CM74</f>
        <v>Avg 5 Yr</v>
      </c>
      <c r="AD74" s="315">
        <f>CTGS!CN74</f>
        <v>0.05</v>
      </c>
      <c r="AE74" s="306" t="str">
        <f>IF(CTGS!CO74=0,"",CTGS!CO74)</f>
        <v/>
      </c>
      <c r="AF74" s="307" t="str">
        <f>CTGS!CP74</f>
        <v/>
      </c>
      <c r="AG74" s="392"/>
      <c r="AH74" s="98">
        <f t="shared" si="7"/>
        <v>0</v>
      </c>
      <c r="AI74" s="307" t="str">
        <f t="shared" si="8"/>
        <v/>
      </c>
      <c r="AJ74" s="416">
        <f>$AH74*SUMIFS('RIN 2.12 2022-2023 REPEX'!J$6:J$15,'RIN 2.12 2022-2023 REPEX'!$A$6:$A$15,'Unit Cost Rate Summary'!$A74)</f>
        <v>0</v>
      </c>
      <c r="AK74" s="97">
        <f>$AH74*SUMIFS('RIN 2.12 2022-2023 REPEX'!K$6:K$15,'RIN 2.12 2022-2023 REPEX'!$A$6:$A$15,'Unit Cost Rate Summary'!$A74)</f>
        <v>0</v>
      </c>
      <c r="AL74" s="97">
        <f>$AH74*SUMIFS('RIN 2.12 2022-2023 REPEX'!L$6:L$15,'RIN 2.12 2022-2023 REPEX'!$A$6:$A$15,'Unit Cost Rate Summary'!$A74)</f>
        <v>0</v>
      </c>
      <c r="AM74" s="98">
        <f>$AH74*SUMIFS('RIN 2.12 2022-2023 REPEX'!M$6:M$15,'RIN 2.12 2022-2023 REPEX'!$A$6:$A$15,'Unit Cost Rate Summary'!$A74)</f>
        <v>0</v>
      </c>
      <c r="AN74" s="485">
        <f t="shared" si="10"/>
        <v>0</v>
      </c>
      <c r="AO74" s="486" t="str">
        <f t="shared" si="9"/>
        <v/>
      </c>
    </row>
    <row r="75" spans="1:41" x14ac:dyDescent="0.25">
      <c r="A75" s="81" t="s">
        <v>138</v>
      </c>
      <c r="B75" s="82" t="s">
        <v>153</v>
      </c>
      <c r="C75" s="83" t="s">
        <v>365</v>
      </c>
      <c r="D75" s="305" t="str">
        <f>'Defect P1'!CM75</f>
        <v>Avg 3 Yr</v>
      </c>
      <c r="E75" s="315">
        <f>'Defect P1'!CN75</f>
        <v>0.05</v>
      </c>
      <c r="F75" s="306" t="str">
        <f>IF('Defect P1'!CO75=0,"",'Defect P1'!CO75)</f>
        <v/>
      </c>
      <c r="G75" s="307" t="str">
        <f>'Defect P1'!CP75</f>
        <v/>
      </c>
      <c r="H75" s="96">
        <f>'Defect P1'!CL75</f>
        <v>0</v>
      </c>
      <c r="I75" s="305" t="str">
        <f>'Defect P2'!CM75</f>
        <v>Avg 3 Yr</v>
      </c>
      <c r="J75" s="315">
        <f>'Defect P2'!CN75</f>
        <v>0</v>
      </c>
      <c r="K75" s="306" t="str">
        <f>IF('Defect P2'!CO75=0,"",'Defect P2'!CO75)</f>
        <v/>
      </c>
      <c r="L75" s="307" t="str">
        <f>'Defect P2'!CP75</f>
        <v/>
      </c>
      <c r="M75" s="96">
        <f>'Defect P2'!CL75</f>
        <v>0</v>
      </c>
      <c r="N75" s="305" t="str">
        <f>RTS!CM75</f>
        <v>Avg 3 Yr</v>
      </c>
      <c r="O75" s="315">
        <f>RTS!CN75</f>
        <v>0.05</v>
      </c>
      <c r="P75" s="306" t="str">
        <f>IF(RTS!CO75=0,"",RTS!CO75)</f>
        <v/>
      </c>
      <c r="Q75" s="307" t="str">
        <f>RTS!CP75</f>
        <v/>
      </c>
      <c r="R75" s="96">
        <f>RTS!CL75</f>
        <v>0</v>
      </c>
      <c r="S75" s="305" t="str">
        <f>Planned!CM75</f>
        <v>Avg 3 Yr</v>
      </c>
      <c r="T75" s="315">
        <f>Planned!CN75</f>
        <v>0.05</v>
      </c>
      <c r="U75" s="306" t="str">
        <f>IF(Planned!CO75=0,"",Planned!CO75)</f>
        <v/>
      </c>
      <c r="V75" s="307" t="str">
        <f>Planned!CP75</f>
        <v/>
      </c>
      <c r="W75" s="96">
        <f>Planned!CL75</f>
        <v>0</v>
      </c>
      <c r="X75" s="305" t="str">
        <f>Reconductor!CM75</f>
        <v>Avg 3 Yr</v>
      </c>
      <c r="Y75" s="315">
        <f>Reconductor!CN75</f>
        <v>0.05</v>
      </c>
      <c r="Z75" s="306" t="str">
        <f>IF(Reconductor!CO75=0,"",Reconductor!CO75)</f>
        <v/>
      </c>
      <c r="AA75" s="307" t="str">
        <f>Reconductor!CP75</f>
        <v/>
      </c>
      <c r="AB75" s="96">
        <f>Reconductor!CL75</f>
        <v>0</v>
      </c>
      <c r="AC75" s="305" t="str">
        <f>CTGS!CM75</f>
        <v>Avg 5 Yr</v>
      </c>
      <c r="AD75" s="315">
        <f>CTGS!CN75</f>
        <v>0.05</v>
      </c>
      <c r="AE75" s="306" t="str">
        <f>IF(CTGS!CO75=0,"",CTGS!CO75)</f>
        <v/>
      </c>
      <c r="AF75" s="307" t="str">
        <f>CTGS!CP75</f>
        <v/>
      </c>
      <c r="AG75" s="392"/>
      <c r="AH75" s="98">
        <f t="shared" si="7"/>
        <v>0</v>
      </c>
      <c r="AI75" s="307" t="str">
        <f t="shared" si="8"/>
        <v/>
      </c>
      <c r="AJ75" s="416">
        <f>$AH75*SUMIFS('RIN 2.12 2022-2023 REPEX'!J$6:J$15,'RIN 2.12 2022-2023 REPEX'!$A$6:$A$15,'Unit Cost Rate Summary'!$A75)</f>
        <v>0</v>
      </c>
      <c r="AK75" s="97">
        <f>$AH75*SUMIFS('RIN 2.12 2022-2023 REPEX'!K$6:K$15,'RIN 2.12 2022-2023 REPEX'!$A$6:$A$15,'Unit Cost Rate Summary'!$A75)</f>
        <v>0</v>
      </c>
      <c r="AL75" s="97">
        <f>$AH75*SUMIFS('RIN 2.12 2022-2023 REPEX'!L$6:L$15,'RIN 2.12 2022-2023 REPEX'!$A$6:$A$15,'Unit Cost Rate Summary'!$A75)</f>
        <v>0</v>
      </c>
      <c r="AM75" s="98">
        <f>$AH75*SUMIFS('RIN 2.12 2022-2023 REPEX'!M$6:M$15,'RIN 2.12 2022-2023 REPEX'!$A$6:$A$15,'Unit Cost Rate Summary'!$A75)</f>
        <v>0</v>
      </c>
      <c r="AN75" s="485">
        <f t="shared" si="10"/>
        <v>0</v>
      </c>
      <c r="AO75" s="486" t="str">
        <f t="shared" si="9"/>
        <v/>
      </c>
    </row>
    <row r="76" spans="1:41" x14ac:dyDescent="0.25">
      <c r="A76" s="81" t="s">
        <v>138</v>
      </c>
      <c r="B76" s="82" t="s">
        <v>155</v>
      </c>
      <c r="C76" s="83" t="s">
        <v>366</v>
      </c>
      <c r="D76" s="305" t="str">
        <f>'Defect P1'!CM76</f>
        <v>Avg 3 Yr</v>
      </c>
      <c r="E76" s="315">
        <f>'Defect P1'!CN76</f>
        <v>0.05</v>
      </c>
      <c r="F76" s="306" t="str">
        <f>IF('Defect P1'!CO76=0,"",'Defect P1'!CO76)</f>
        <v/>
      </c>
      <c r="G76" s="307" t="str">
        <f>'Defect P1'!CP76</f>
        <v/>
      </c>
      <c r="H76" s="96">
        <f>'Defect P1'!CL76</f>
        <v>0</v>
      </c>
      <c r="I76" s="305" t="str">
        <f>'Defect P2'!CM76</f>
        <v>Avg 3 Yr</v>
      </c>
      <c r="J76" s="315">
        <f>'Defect P2'!CN76</f>
        <v>0</v>
      </c>
      <c r="K76" s="306" t="str">
        <f>IF('Defect P2'!CO76=0,"",'Defect P2'!CO76)</f>
        <v/>
      </c>
      <c r="L76" s="307" t="str">
        <f>'Defect P2'!CP76</f>
        <v/>
      </c>
      <c r="M76" s="96">
        <f>'Defect P2'!CL76</f>
        <v>0</v>
      </c>
      <c r="N76" s="305" t="str">
        <f>RTS!CM76</f>
        <v>Avg 3 Yr</v>
      </c>
      <c r="O76" s="315">
        <f>RTS!CN76</f>
        <v>0.05</v>
      </c>
      <c r="P76" s="306" t="str">
        <f>IF(RTS!CO76=0,"",RTS!CO76)</f>
        <v/>
      </c>
      <c r="Q76" s="307" t="str">
        <f>RTS!CP76</f>
        <v/>
      </c>
      <c r="R76" s="96">
        <f>RTS!CL76</f>
        <v>0</v>
      </c>
      <c r="S76" s="305" t="str">
        <f>Planned!CM76</f>
        <v>Avg 3 Yr</v>
      </c>
      <c r="T76" s="315">
        <f>Planned!CN76</f>
        <v>0.05</v>
      </c>
      <c r="U76" s="306" t="str">
        <f>IF(Planned!CO76=0,"",Planned!CO76)</f>
        <v/>
      </c>
      <c r="V76" s="307" t="str">
        <f>Planned!CP76</f>
        <v/>
      </c>
      <c r="W76" s="96">
        <f>Planned!CL76</f>
        <v>0</v>
      </c>
      <c r="X76" s="305" t="str">
        <f>Reconductor!CM76</f>
        <v>Avg 3 Yr</v>
      </c>
      <c r="Y76" s="315">
        <f>Reconductor!CN76</f>
        <v>0.05</v>
      </c>
      <c r="Z76" s="306" t="str">
        <f>IF(Reconductor!CO76=0,"",Reconductor!CO76)</f>
        <v/>
      </c>
      <c r="AA76" s="307" t="str">
        <f>Reconductor!CP76</f>
        <v/>
      </c>
      <c r="AB76" s="96">
        <f>Reconductor!CL76</f>
        <v>0</v>
      </c>
      <c r="AC76" s="305" t="str">
        <f>CTGS!CM76</f>
        <v>Avg 5 Yr</v>
      </c>
      <c r="AD76" s="315">
        <f>CTGS!CN76</f>
        <v>0.05</v>
      </c>
      <c r="AE76" s="306" t="str">
        <f>IF(CTGS!CO76=0,"",CTGS!CO76)</f>
        <v/>
      </c>
      <c r="AF76" s="307" t="str">
        <f>CTGS!CP76</f>
        <v/>
      </c>
      <c r="AG76" s="392"/>
      <c r="AH76" s="98">
        <f t="shared" si="7"/>
        <v>0</v>
      </c>
      <c r="AI76" s="307" t="str">
        <f t="shared" si="8"/>
        <v/>
      </c>
      <c r="AJ76" s="416">
        <f>$AH76*SUMIFS('RIN 2.12 2022-2023 REPEX'!J$6:J$15,'RIN 2.12 2022-2023 REPEX'!$A$6:$A$15,'Unit Cost Rate Summary'!$A76)</f>
        <v>0</v>
      </c>
      <c r="AK76" s="97">
        <f>$AH76*SUMIFS('RIN 2.12 2022-2023 REPEX'!K$6:K$15,'RIN 2.12 2022-2023 REPEX'!$A$6:$A$15,'Unit Cost Rate Summary'!$A76)</f>
        <v>0</v>
      </c>
      <c r="AL76" s="97">
        <f>$AH76*SUMIFS('RIN 2.12 2022-2023 REPEX'!L$6:L$15,'RIN 2.12 2022-2023 REPEX'!$A$6:$A$15,'Unit Cost Rate Summary'!$A76)</f>
        <v>0</v>
      </c>
      <c r="AM76" s="98">
        <f>$AH76*SUMIFS('RIN 2.12 2022-2023 REPEX'!M$6:M$15,'RIN 2.12 2022-2023 REPEX'!$A$6:$A$15,'Unit Cost Rate Summary'!$A76)</f>
        <v>0</v>
      </c>
      <c r="AN76" s="485">
        <f t="shared" si="10"/>
        <v>0</v>
      </c>
      <c r="AO76" s="486" t="str">
        <f t="shared" si="9"/>
        <v/>
      </c>
    </row>
    <row r="77" spans="1:41" x14ac:dyDescent="0.25">
      <c r="A77" s="81" t="s">
        <v>138</v>
      </c>
      <c r="B77" s="82" t="s">
        <v>157</v>
      </c>
      <c r="C77" s="83" t="s">
        <v>367</v>
      </c>
      <c r="D77" s="305" t="str">
        <f>'Defect P1'!CM77</f>
        <v>Avg 3 Yr</v>
      </c>
      <c r="E77" s="315">
        <f>'Defect P1'!CN77</f>
        <v>0.05</v>
      </c>
      <c r="F77" s="306" t="str">
        <f>IF('Defect P1'!CO77=0,"",'Defect P1'!CO77)</f>
        <v/>
      </c>
      <c r="G77" s="307" t="str">
        <f>'Defect P1'!CP77</f>
        <v/>
      </c>
      <c r="H77" s="96">
        <f>'Defect P1'!CL77</f>
        <v>0.17500000000000002</v>
      </c>
      <c r="I77" s="305" t="str">
        <f>'Defect P2'!CM77</f>
        <v>Avg 3 Yr</v>
      </c>
      <c r="J77" s="315">
        <f>'Defect P2'!CN77</f>
        <v>0</v>
      </c>
      <c r="K77" s="306" t="str">
        <f>IF('Defect P2'!CO77=0,"",'Defect P2'!CO77)</f>
        <v/>
      </c>
      <c r="L77" s="307">
        <f>'Defect P2'!CP77</f>
        <v>131893.99485999838</v>
      </c>
      <c r="M77" s="96">
        <f>'Defect P2'!CL77</f>
        <v>21.063333333333333</v>
      </c>
      <c r="N77" s="305" t="str">
        <f>RTS!CM77</f>
        <v>Avg 3 Yr</v>
      </c>
      <c r="O77" s="315">
        <f>RTS!CN77</f>
        <v>0.05</v>
      </c>
      <c r="P77" s="306" t="str">
        <f>IF(RTS!CO77=0,"",RTS!CO77)</f>
        <v/>
      </c>
      <c r="Q77" s="307">
        <f>RTS!CP77</f>
        <v>69560.017596978098</v>
      </c>
      <c r="R77" s="96">
        <f>RTS!CL77</f>
        <v>32.08009324009867</v>
      </c>
      <c r="S77" s="305" t="str">
        <f>Planned!CM77</f>
        <v>Avg 3 Yr</v>
      </c>
      <c r="T77" s="315">
        <f>Planned!CN77</f>
        <v>0.05</v>
      </c>
      <c r="U77" s="306" t="str">
        <f>IF(Planned!CO77=0,"",Planned!CO77)</f>
        <v/>
      </c>
      <c r="V77" s="307">
        <f>Planned!CP77</f>
        <v>65846.162907515478</v>
      </c>
      <c r="W77" s="96">
        <f>Planned!CL77</f>
        <v>0</v>
      </c>
      <c r="X77" s="305" t="str">
        <f>Reconductor!CM77</f>
        <v>Avg 3 Yr</v>
      </c>
      <c r="Y77" s="315">
        <f>Reconductor!CN77</f>
        <v>0.05</v>
      </c>
      <c r="Z77" s="306" t="str">
        <f>IF(Reconductor!CO77=0,"",Reconductor!CO77)</f>
        <v/>
      </c>
      <c r="AA77" s="307">
        <f>Reconductor!CP77</f>
        <v>102226.62940142635</v>
      </c>
      <c r="AB77" s="96">
        <f>Reconductor!CL77</f>
        <v>1</v>
      </c>
      <c r="AC77" s="305" t="str">
        <f>CTGS!CM77</f>
        <v>Avg 5 Yr</v>
      </c>
      <c r="AD77" s="315">
        <f>CTGS!CN77</f>
        <v>0.05</v>
      </c>
      <c r="AE77" s="306" t="str">
        <f>IF(CTGS!CO77=0,"",CTGS!CO77)</f>
        <v/>
      </c>
      <c r="AF77" s="307" t="str">
        <f>CTGS!CP77</f>
        <v/>
      </c>
      <c r="AG77" s="392" t="s">
        <v>513</v>
      </c>
      <c r="AH77" s="98">
        <f t="shared" si="7"/>
        <v>5111845.6580964867</v>
      </c>
      <c r="AI77" s="307">
        <f t="shared" si="8"/>
        <v>94108.868400042542</v>
      </c>
      <c r="AJ77" s="416">
        <f>$AH77*SUMIFS('RIN 2.12 2022-2023 REPEX'!J$6:J$15,'RIN 2.12 2022-2023 REPEX'!$A$6:$A$15,'Unit Cost Rate Summary'!$A77)</f>
        <v>1631359.8383488178</v>
      </c>
      <c r="AK77" s="97">
        <f>$AH77*SUMIFS('RIN 2.12 2022-2023 REPEX'!K$6:K$15,'RIN 2.12 2022-2023 REPEX'!$A$6:$A$15,'Unit Cost Rate Summary'!$A77)</f>
        <v>1891681.5512186827</v>
      </c>
      <c r="AL77" s="97">
        <f>$AH77*SUMIFS('RIN 2.12 2022-2023 REPEX'!L$6:L$15,'RIN 2.12 2022-2023 REPEX'!$A$6:$A$15,'Unit Cost Rate Summary'!$A77)</f>
        <v>1537750.1674731656</v>
      </c>
      <c r="AM77" s="98">
        <f>$AH77*SUMIFS('RIN 2.12 2022-2023 REPEX'!M$6:M$15,'RIN 2.12 2022-2023 REPEX'!$A$6:$A$15,'Unit Cost Rate Summary'!$A77)</f>
        <v>51054.101055821193</v>
      </c>
      <c r="AN77" s="485">
        <f t="shared" si="10"/>
        <v>16890.013850166808</v>
      </c>
      <c r="AO77" s="486">
        <f t="shared" si="9"/>
        <v>310.94446057515188</v>
      </c>
    </row>
    <row r="78" spans="1:41" x14ac:dyDescent="0.25">
      <c r="A78" s="81" t="s">
        <v>138</v>
      </c>
      <c r="B78" s="82" t="s">
        <v>159</v>
      </c>
      <c r="C78" s="83" t="s">
        <v>368</v>
      </c>
      <c r="D78" s="305" t="str">
        <f>'Defect P1'!CM78</f>
        <v>Avg 3 Yr</v>
      </c>
      <c r="E78" s="315">
        <f>'Defect P1'!CN78</f>
        <v>0.05</v>
      </c>
      <c r="F78" s="306" t="str">
        <f>IF('Defect P1'!CO78=0,"",'Defect P1'!CO78)</f>
        <v/>
      </c>
      <c r="G78" s="307" t="str">
        <f>'Defect P1'!CP78</f>
        <v/>
      </c>
      <c r="H78" s="96">
        <f>'Defect P1'!CL78</f>
        <v>0</v>
      </c>
      <c r="I78" s="305" t="str">
        <f>'Defect P2'!CM78</f>
        <v>Avg 3 Yr</v>
      </c>
      <c r="J78" s="315">
        <f>'Defect P2'!CN78</f>
        <v>0</v>
      </c>
      <c r="K78" s="306" t="str">
        <f>IF('Defect P2'!CO78=0,"",'Defect P2'!CO78)</f>
        <v/>
      </c>
      <c r="L78" s="307">
        <f>'Defect P2'!CP78</f>
        <v>122343.11015671158</v>
      </c>
      <c r="M78" s="96">
        <f>'Defect P2'!CL78</f>
        <v>4.26</v>
      </c>
      <c r="N78" s="305" t="str">
        <f>RTS!CM78</f>
        <v>Avg 3 Yr</v>
      </c>
      <c r="O78" s="315">
        <f>RTS!CN78</f>
        <v>0.05</v>
      </c>
      <c r="P78" s="306" t="str">
        <f>IF(RTS!CO78=0,"",RTS!CO78)</f>
        <v/>
      </c>
      <c r="Q78" s="307">
        <f>RTS!CP78</f>
        <v>101972.91044288228</v>
      </c>
      <c r="R78" s="96">
        <f>RTS!CL78</f>
        <v>5.9530069930079996</v>
      </c>
      <c r="S78" s="305" t="str">
        <f>Planned!CM78</f>
        <v>Avg 3 Yr</v>
      </c>
      <c r="T78" s="315">
        <f>Planned!CN78</f>
        <v>0.05</v>
      </c>
      <c r="U78" s="306" t="str">
        <f>IF(Planned!CO78=0,"",Planned!CO78)</f>
        <v/>
      </c>
      <c r="V78" s="307">
        <f>Planned!CP78</f>
        <v>63221.017088988752</v>
      </c>
      <c r="W78" s="96">
        <f>Planned!CL78</f>
        <v>0</v>
      </c>
      <c r="X78" s="305" t="str">
        <f>Reconductor!CM78</f>
        <v>Avg 3 Yr</v>
      </c>
      <c r="Y78" s="315">
        <f>Reconductor!CN78</f>
        <v>0.05</v>
      </c>
      <c r="Z78" s="306" t="str">
        <f>IF(Reconductor!CO78=0,"",Reconductor!CO78)</f>
        <v/>
      </c>
      <c r="AA78" s="307" t="str">
        <f>Reconductor!CP78</f>
        <v/>
      </c>
      <c r="AB78" s="96">
        <f>Reconductor!CL78</f>
        <v>0</v>
      </c>
      <c r="AC78" s="305" t="str">
        <f>CTGS!CM78</f>
        <v>Avg 5 Yr</v>
      </c>
      <c r="AD78" s="315">
        <f>CTGS!CN78</f>
        <v>0.05</v>
      </c>
      <c r="AE78" s="306" t="str">
        <f>IF(CTGS!CO78=0,"",CTGS!CO78)</f>
        <v/>
      </c>
      <c r="AF78" s="307" t="str">
        <f>CTGS!CP78</f>
        <v/>
      </c>
      <c r="AG78" s="392" t="s">
        <v>513</v>
      </c>
      <c r="AH78" s="98">
        <f t="shared" si="7"/>
        <v>1128227.0982314479</v>
      </c>
      <c r="AI78" s="307">
        <f t="shared" si="8"/>
        <v>110469.62946406005</v>
      </c>
      <c r="AJ78" s="416">
        <f>$AH78*SUMIFS('RIN 2.12 2022-2023 REPEX'!J$6:J$15,'RIN 2.12 2022-2023 REPEX'!$A$6:$A$15,'Unit Cost Rate Summary'!$A78)</f>
        <v>360054.76293605065</v>
      </c>
      <c r="AK78" s="97">
        <f>$AH78*SUMIFS('RIN 2.12 2022-2023 REPEX'!K$6:K$15,'RIN 2.12 2022-2023 REPEX'!$A$6:$A$15,'Unit Cost Rate Summary'!$A78)</f>
        <v>417509.94260342245</v>
      </c>
      <c r="AL78" s="97">
        <f>$AH78*SUMIFS('RIN 2.12 2022-2023 REPEX'!L$6:L$15,'RIN 2.12 2022-2023 REPEX'!$A$6:$A$15,'Unit Cost Rate Summary'!$A78)</f>
        <v>339394.32551240484</v>
      </c>
      <c r="AM78" s="98">
        <f>$AH78*SUMIFS('RIN 2.12 2022-2023 REPEX'!M$6:M$15,'RIN 2.12 2022-2023 REPEX'!$A$6:$A$15,'Unit Cost Rate Summary'!$A78)</f>
        <v>11268.067179569964</v>
      </c>
      <c r="AN78" s="485">
        <f t="shared" si="10"/>
        <v>3727.7673446734148</v>
      </c>
      <c r="AO78" s="486">
        <f t="shared" si="9"/>
        <v>365.00193794300822</v>
      </c>
    </row>
    <row r="79" spans="1:41" x14ac:dyDescent="0.25">
      <c r="A79" s="81" t="s">
        <v>138</v>
      </c>
      <c r="B79" s="82" t="s">
        <v>161</v>
      </c>
      <c r="C79" s="83" t="s">
        <v>369</v>
      </c>
      <c r="D79" s="305" t="str">
        <f>'Defect P1'!CM79</f>
        <v>Avg 3 Yr</v>
      </c>
      <c r="E79" s="315">
        <f>'Defect P1'!CN79</f>
        <v>0.05</v>
      </c>
      <c r="F79" s="306" t="str">
        <f>IF('Defect P1'!CO79=0,"",'Defect P1'!CO79)</f>
        <v/>
      </c>
      <c r="G79" s="307" t="str">
        <f>'Defect P1'!CP79</f>
        <v/>
      </c>
      <c r="H79" s="96">
        <f>'Defect P1'!CL79</f>
        <v>0</v>
      </c>
      <c r="I79" s="305" t="str">
        <f>'Defect P2'!CM79</f>
        <v>Avg 3 Yr</v>
      </c>
      <c r="J79" s="315">
        <f>'Defect P2'!CN79</f>
        <v>0</v>
      </c>
      <c r="K79" s="306" t="str">
        <f>IF('Defect P2'!CO79=0,"",'Defect P2'!CO79)</f>
        <v/>
      </c>
      <c r="L79" s="307" t="str">
        <f>'Defect P2'!CP79</f>
        <v/>
      </c>
      <c r="M79" s="96">
        <f>'Defect P2'!CL79</f>
        <v>0</v>
      </c>
      <c r="N79" s="305" t="str">
        <f>RTS!CM79</f>
        <v>Avg 3 Yr</v>
      </c>
      <c r="O79" s="315">
        <f>RTS!CN79</f>
        <v>0.05</v>
      </c>
      <c r="P79" s="306" t="str">
        <f>IF(RTS!CO79=0,"",RTS!CO79)</f>
        <v/>
      </c>
      <c r="Q79" s="307" t="str">
        <f>RTS!CP79</f>
        <v/>
      </c>
      <c r="R79" s="96">
        <f>RTS!CL79</f>
        <v>0</v>
      </c>
      <c r="S79" s="305" t="str">
        <f>Planned!CM79</f>
        <v>Avg 3 Yr</v>
      </c>
      <c r="T79" s="315">
        <f>Planned!CN79</f>
        <v>0.05</v>
      </c>
      <c r="U79" s="306" t="str">
        <f>IF(Planned!CO79=0,"",Planned!CO79)</f>
        <v/>
      </c>
      <c r="V79" s="307" t="str">
        <f>Planned!CP79</f>
        <v/>
      </c>
      <c r="W79" s="96">
        <f>Planned!CL79</f>
        <v>0</v>
      </c>
      <c r="X79" s="305" t="str">
        <f>Reconductor!CM79</f>
        <v>Avg 3 Yr</v>
      </c>
      <c r="Y79" s="315">
        <f>Reconductor!CN79</f>
        <v>0.05</v>
      </c>
      <c r="Z79" s="306" t="str">
        <f>IF(Reconductor!CO79=0,"",Reconductor!CO79)</f>
        <v/>
      </c>
      <c r="AA79" s="307" t="str">
        <f>Reconductor!CP79</f>
        <v/>
      </c>
      <c r="AB79" s="96">
        <f>Reconductor!CL79</f>
        <v>0</v>
      </c>
      <c r="AC79" s="305" t="str">
        <f>CTGS!CM79</f>
        <v>Avg 5 Yr</v>
      </c>
      <c r="AD79" s="315">
        <f>CTGS!CN79</f>
        <v>0.05</v>
      </c>
      <c r="AE79" s="306" t="str">
        <f>IF(CTGS!CO79=0,"",CTGS!CO79)</f>
        <v/>
      </c>
      <c r="AF79" s="307" t="str">
        <f>CTGS!CP79</f>
        <v/>
      </c>
      <c r="AG79" s="392"/>
      <c r="AH79" s="98">
        <f t="shared" si="7"/>
        <v>0</v>
      </c>
      <c r="AI79" s="307" t="str">
        <f t="shared" si="8"/>
        <v/>
      </c>
      <c r="AJ79" s="416">
        <f>$AH79*SUMIFS('RIN 2.12 2022-2023 REPEX'!J$6:J$15,'RIN 2.12 2022-2023 REPEX'!$A$6:$A$15,'Unit Cost Rate Summary'!$A79)</f>
        <v>0</v>
      </c>
      <c r="AK79" s="97">
        <f>$AH79*SUMIFS('RIN 2.12 2022-2023 REPEX'!K$6:K$15,'RIN 2.12 2022-2023 REPEX'!$A$6:$A$15,'Unit Cost Rate Summary'!$A79)</f>
        <v>0</v>
      </c>
      <c r="AL79" s="97">
        <f>$AH79*SUMIFS('RIN 2.12 2022-2023 REPEX'!L$6:L$15,'RIN 2.12 2022-2023 REPEX'!$A$6:$A$15,'Unit Cost Rate Summary'!$A79)</f>
        <v>0</v>
      </c>
      <c r="AM79" s="98">
        <f>$AH79*SUMIFS('RIN 2.12 2022-2023 REPEX'!M$6:M$15,'RIN 2.12 2022-2023 REPEX'!$A$6:$A$15,'Unit Cost Rate Summary'!$A79)</f>
        <v>0</v>
      </c>
      <c r="AN79" s="485">
        <f t="shared" si="10"/>
        <v>0</v>
      </c>
      <c r="AO79" s="486" t="str">
        <f t="shared" si="9"/>
        <v/>
      </c>
    </row>
    <row r="80" spans="1:41" x14ac:dyDescent="0.25">
      <c r="A80" s="81" t="s">
        <v>138</v>
      </c>
      <c r="B80" s="82" t="s">
        <v>163</v>
      </c>
      <c r="C80" s="83" t="s">
        <v>370</v>
      </c>
      <c r="D80" s="305" t="str">
        <f>'Defect P1'!CM80</f>
        <v>Avg 3 Yr</v>
      </c>
      <c r="E80" s="315">
        <f>'Defect P1'!CN80</f>
        <v>0.05</v>
      </c>
      <c r="F80" s="306" t="str">
        <f>IF('Defect P1'!CO80=0,"",'Defect P1'!CO80)</f>
        <v/>
      </c>
      <c r="G80" s="307" t="str">
        <f>'Defect P1'!CP80</f>
        <v/>
      </c>
      <c r="H80" s="96">
        <f>'Defect P1'!CL80</f>
        <v>0</v>
      </c>
      <c r="I80" s="305" t="str">
        <f>'Defect P2'!CM80</f>
        <v>Avg 3 Yr</v>
      </c>
      <c r="J80" s="315">
        <f>'Defect P2'!CN80</f>
        <v>0</v>
      </c>
      <c r="K80" s="306" t="str">
        <f>IF('Defect P2'!CO80=0,"",'Defect P2'!CO80)</f>
        <v/>
      </c>
      <c r="L80" s="307" t="str">
        <f>'Defect P2'!CP80</f>
        <v/>
      </c>
      <c r="M80" s="96">
        <f>'Defect P2'!CL80</f>
        <v>0</v>
      </c>
      <c r="N80" s="305" t="str">
        <f>RTS!CM80</f>
        <v>Avg 3 Yr</v>
      </c>
      <c r="O80" s="315">
        <f>RTS!CN80</f>
        <v>0.05</v>
      </c>
      <c r="P80" s="306" t="str">
        <f>IF(RTS!CO80=0,"",RTS!CO80)</f>
        <v/>
      </c>
      <c r="Q80" s="307" t="str">
        <f>RTS!CP80</f>
        <v/>
      </c>
      <c r="R80" s="96">
        <f>RTS!CL80</f>
        <v>0</v>
      </c>
      <c r="S80" s="305" t="str">
        <f>Planned!CM80</f>
        <v>Avg 3 Yr</v>
      </c>
      <c r="T80" s="315">
        <f>Planned!CN80</f>
        <v>0.05</v>
      </c>
      <c r="U80" s="306" t="str">
        <f>IF(Planned!CO80=0,"",Planned!CO80)</f>
        <v/>
      </c>
      <c r="V80" s="307" t="str">
        <f>Planned!CP80</f>
        <v/>
      </c>
      <c r="W80" s="96">
        <f>Planned!CL80</f>
        <v>0</v>
      </c>
      <c r="X80" s="305" t="str">
        <f>Reconductor!CM80</f>
        <v>Avg 3 Yr</v>
      </c>
      <c r="Y80" s="315">
        <f>Reconductor!CN80</f>
        <v>0.05</v>
      </c>
      <c r="Z80" s="306" t="str">
        <f>IF(Reconductor!CO80=0,"",Reconductor!CO80)</f>
        <v/>
      </c>
      <c r="AA80" s="307" t="str">
        <f>Reconductor!CP80</f>
        <v/>
      </c>
      <c r="AB80" s="96">
        <f>Reconductor!CL80</f>
        <v>0</v>
      </c>
      <c r="AC80" s="305" t="str">
        <f>CTGS!CM80</f>
        <v>Avg 5 Yr</v>
      </c>
      <c r="AD80" s="315">
        <f>CTGS!CN80</f>
        <v>0.05</v>
      </c>
      <c r="AE80" s="306" t="str">
        <f>IF(CTGS!CO80=0,"",CTGS!CO80)</f>
        <v/>
      </c>
      <c r="AF80" s="307" t="str">
        <f>CTGS!CP80</f>
        <v/>
      </c>
      <c r="AG80" s="392"/>
      <c r="AH80" s="98">
        <f t="shared" si="7"/>
        <v>0</v>
      </c>
      <c r="AI80" s="307" t="str">
        <f t="shared" si="8"/>
        <v/>
      </c>
      <c r="AJ80" s="416">
        <f>$AH80*SUMIFS('RIN 2.12 2022-2023 REPEX'!J$6:J$15,'RIN 2.12 2022-2023 REPEX'!$A$6:$A$15,'Unit Cost Rate Summary'!$A80)</f>
        <v>0</v>
      </c>
      <c r="AK80" s="97">
        <f>$AH80*SUMIFS('RIN 2.12 2022-2023 REPEX'!K$6:K$15,'RIN 2.12 2022-2023 REPEX'!$A$6:$A$15,'Unit Cost Rate Summary'!$A80)</f>
        <v>0</v>
      </c>
      <c r="AL80" s="97">
        <f>$AH80*SUMIFS('RIN 2.12 2022-2023 REPEX'!L$6:L$15,'RIN 2.12 2022-2023 REPEX'!$A$6:$A$15,'Unit Cost Rate Summary'!$A80)</f>
        <v>0</v>
      </c>
      <c r="AM80" s="98">
        <f>$AH80*SUMIFS('RIN 2.12 2022-2023 REPEX'!M$6:M$15,'RIN 2.12 2022-2023 REPEX'!$A$6:$A$15,'Unit Cost Rate Summary'!$A80)</f>
        <v>0</v>
      </c>
      <c r="AN80" s="485">
        <f t="shared" si="10"/>
        <v>0</v>
      </c>
      <c r="AO80" s="486" t="str">
        <f t="shared" si="9"/>
        <v/>
      </c>
    </row>
    <row r="81" spans="1:41" x14ac:dyDescent="0.25">
      <c r="A81" s="81" t="s">
        <v>138</v>
      </c>
      <c r="B81" s="82" t="s">
        <v>165</v>
      </c>
      <c r="C81" s="83" t="s">
        <v>371</v>
      </c>
      <c r="D81" s="305" t="str">
        <f>'Defect P1'!CM81</f>
        <v>Avg 3 Yr</v>
      </c>
      <c r="E81" s="315">
        <f>'Defect P1'!CN81</f>
        <v>0.05</v>
      </c>
      <c r="F81" s="306" t="str">
        <f>IF('Defect P1'!CO81=0,"",'Defect P1'!CO81)</f>
        <v/>
      </c>
      <c r="G81" s="307" t="str">
        <f>'Defect P1'!CP81</f>
        <v/>
      </c>
      <c r="H81" s="96">
        <f>'Defect P1'!CL81</f>
        <v>0</v>
      </c>
      <c r="I81" s="305" t="str">
        <f>'Defect P2'!CM81</f>
        <v>Avg 3 Yr</v>
      </c>
      <c r="J81" s="315">
        <f>'Defect P2'!CN81</f>
        <v>0</v>
      </c>
      <c r="K81" s="306" t="str">
        <f>IF('Defect P2'!CO81=0,"",'Defect P2'!CO81)</f>
        <v/>
      </c>
      <c r="L81" s="307" t="str">
        <f>'Defect P2'!CP81</f>
        <v/>
      </c>
      <c r="M81" s="96">
        <f>'Defect P2'!CL81</f>
        <v>0</v>
      </c>
      <c r="N81" s="305" t="str">
        <f>RTS!CM81</f>
        <v>Avg 3 Yr</v>
      </c>
      <c r="O81" s="315">
        <f>RTS!CN81</f>
        <v>0.05</v>
      </c>
      <c r="P81" s="306" t="str">
        <f>IF(RTS!CO81=0,"",RTS!CO81)</f>
        <v/>
      </c>
      <c r="Q81" s="307" t="str">
        <f>RTS!CP81</f>
        <v/>
      </c>
      <c r="R81" s="96">
        <f>RTS!CL81</f>
        <v>0</v>
      </c>
      <c r="S81" s="305" t="str">
        <f>Planned!CM81</f>
        <v>Avg 3 Yr</v>
      </c>
      <c r="T81" s="315">
        <f>Planned!CN81</f>
        <v>0.05</v>
      </c>
      <c r="U81" s="306" t="str">
        <f>IF(Planned!CO81=0,"",Planned!CO81)</f>
        <v/>
      </c>
      <c r="V81" s="307" t="str">
        <f>Planned!CP81</f>
        <v/>
      </c>
      <c r="W81" s="96">
        <f>Planned!CL81</f>
        <v>0</v>
      </c>
      <c r="X81" s="305" t="str">
        <f>Reconductor!CM81</f>
        <v>Avg 3 Yr</v>
      </c>
      <c r="Y81" s="315">
        <f>Reconductor!CN81</f>
        <v>0.05</v>
      </c>
      <c r="Z81" s="306" t="str">
        <f>IF(Reconductor!CO81=0,"",Reconductor!CO81)</f>
        <v/>
      </c>
      <c r="AA81" s="307" t="str">
        <f>Reconductor!CP81</f>
        <v/>
      </c>
      <c r="AB81" s="96">
        <f>Reconductor!CL81</f>
        <v>0</v>
      </c>
      <c r="AC81" s="305" t="str">
        <f>CTGS!CM81</f>
        <v>Avg 5 Yr</v>
      </c>
      <c r="AD81" s="315">
        <f>CTGS!CN81</f>
        <v>0.05</v>
      </c>
      <c r="AE81" s="306" t="str">
        <f>IF(CTGS!CO81=0,"",CTGS!CO81)</f>
        <v/>
      </c>
      <c r="AF81" s="307" t="str">
        <f>CTGS!CP81</f>
        <v/>
      </c>
      <c r="AG81" s="392"/>
      <c r="AH81" s="98">
        <f t="shared" si="7"/>
        <v>0</v>
      </c>
      <c r="AI81" s="307" t="str">
        <f t="shared" si="8"/>
        <v/>
      </c>
      <c r="AJ81" s="416">
        <f>$AH81*SUMIFS('RIN 2.12 2022-2023 REPEX'!J$6:J$15,'RIN 2.12 2022-2023 REPEX'!$A$6:$A$15,'Unit Cost Rate Summary'!$A81)</f>
        <v>0</v>
      </c>
      <c r="AK81" s="97">
        <f>$AH81*SUMIFS('RIN 2.12 2022-2023 REPEX'!K$6:K$15,'RIN 2.12 2022-2023 REPEX'!$A$6:$A$15,'Unit Cost Rate Summary'!$A81)</f>
        <v>0</v>
      </c>
      <c r="AL81" s="97">
        <f>$AH81*SUMIFS('RIN 2.12 2022-2023 REPEX'!L$6:L$15,'RIN 2.12 2022-2023 REPEX'!$A$6:$A$15,'Unit Cost Rate Summary'!$A81)</f>
        <v>0</v>
      </c>
      <c r="AM81" s="98">
        <f>$AH81*SUMIFS('RIN 2.12 2022-2023 REPEX'!M$6:M$15,'RIN 2.12 2022-2023 REPEX'!$A$6:$A$15,'Unit Cost Rate Summary'!$A81)</f>
        <v>0</v>
      </c>
      <c r="AN81" s="485">
        <f t="shared" si="10"/>
        <v>0</v>
      </c>
      <c r="AO81" s="486" t="str">
        <f t="shared" si="9"/>
        <v/>
      </c>
    </row>
    <row r="82" spans="1:41" x14ac:dyDescent="0.25">
      <c r="A82" s="81" t="s">
        <v>138</v>
      </c>
      <c r="B82" s="82" t="s">
        <v>167</v>
      </c>
      <c r="C82" s="83" t="s">
        <v>372</v>
      </c>
      <c r="D82" s="305" t="str">
        <f>'Defect P1'!CM82</f>
        <v>Avg 3 Yr</v>
      </c>
      <c r="E82" s="315">
        <f>'Defect P1'!CN82</f>
        <v>0.05</v>
      </c>
      <c r="F82" s="306" t="str">
        <f>IF('Defect P1'!CO82=0,"",'Defect P1'!CO82)</f>
        <v/>
      </c>
      <c r="G82" s="307" t="str">
        <f>'Defect P1'!CP82</f>
        <v/>
      </c>
      <c r="H82" s="96">
        <f>'Defect P1'!CL82</f>
        <v>0</v>
      </c>
      <c r="I82" s="305" t="str">
        <f>'Defect P2'!CM82</f>
        <v>Avg 3 Yr</v>
      </c>
      <c r="J82" s="315">
        <f>'Defect P2'!CN82</f>
        <v>0</v>
      </c>
      <c r="K82" s="306" t="str">
        <f>IF('Defect P2'!CO82=0,"",'Defect P2'!CO82)</f>
        <v/>
      </c>
      <c r="L82" s="307" t="str">
        <f>'Defect P2'!CP82</f>
        <v/>
      </c>
      <c r="M82" s="96">
        <f>'Defect P2'!CL82</f>
        <v>0</v>
      </c>
      <c r="N82" s="305" t="str">
        <f>RTS!CM82</f>
        <v>Avg 3 Yr</v>
      </c>
      <c r="O82" s="315">
        <f>RTS!CN82</f>
        <v>0.05</v>
      </c>
      <c r="P82" s="306" t="str">
        <f>IF(RTS!CO82=0,"",RTS!CO82)</f>
        <v/>
      </c>
      <c r="Q82" s="307" t="str">
        <f>RTS!CP82</f>
        <v/>
      </c>
      <c r="R82" s="96">
        <f>RTS!CL82</f>
        <v>0</v>
      </c>
      <c r="S82" s="305" t="str">
        <f>Planned!CM82</f>
        <v>Avg 3 Yr</v>
      </c>
      <c r="T82" s="315">
        <f>Planned!CN82</f>
        <v>0.05</v>
      </c>
      <c r="U82" s="306" t="str">
        <f>IF(Planned!CO82=0,"",Planned!CO82)</f>
        <v/>
      </c>
      <c r="V82" s="307" t="str">
        <f>Planned!CP82</f>
        <v/>
      </c>
      <c r="W82" s="96">
        <f>Planned!CL82</f>
        <v>0</v>
      </c>
      <c r="X82" s="305" t="str">
        <f>Reconductor!CM82</f>
        <v>Avg 3 Yr</v>
      </c>
      <c r="Y82" s="315">
        <f>Reconductor!CN82</f>
        <v>0.05</v>
      </c>
      <c r="Z82" s="306" t="str">
        <f>IF(Reconductor!CO82=0,"",Reconductor!CO82)</f>
        <v/>
      </c>
      <c r="AA82" s="307" t="str">
        <f>Reconductor!CP82</f>
        <v/>
      </c>
      <c r="AB82" s="96">
        <f>Reconductor!CL82</f>
        <v>0</v>
      </c>
      <c r="AC82" s="305" t="str">
        <f>CTGS!CM82</f>
        <v>Avg 5 Yr</v>
      </c>
      <c r="AD82" s="315">
        <f>CTGS!CN82</f>
        <v>0.05</v>
      </c>
      <c r="AE82" s="306" t="str">
        <f>IF(CTGS!CO82=0,"",CTGS!CO82)</f>
        <v/>
      </c>
      <c r="AF82" s="307" t="str">
        <f>CTGS!CP82</f>
        <v/>
      </c>
      <c r="AG82" s="392"/>
      <c r="AH82" s="98">
        <f t="shared" si="7"/>
        <v>0</v>
      </c>
      <c r="AI82" s="307" t="str">
        <f t="shared" si="8"/>
        <v/>
      </c>
      <c r="AJ82" s="416">
        <f>$AH82*SUMIFS('RIN 2.12 2022-2023 REPEX'!J$6:J$15,'RIN 2.12 2022-2023 REPEX'!$A$6:$A$15,'Unit Cost Rate Summary'!$A82)</f>
        <v>0</v>
      </c>
      <c r="AK82" s="97">
        <f>$AH82*SUMIFS('RIN 2.12 2022-2023 REPEX'!K$6:K$15,'RIN 2.12 2022-2023 REPEX'!$A$6:$A$15,'Unit Cost Rate Summary'!$A82)</f>
        <v>0</v>
      </c>
      <c r="AL82" s="97">
        <f>$AH82*SUMIFS('RIN 2.12 2022-2023 REPEX'!L$6:L$15,'RIN 2.12 2022-2023 REPEX'!$A$6:$A$15,'Unit Cost Rate Summary'!$A82)</f>
        <v>0</v>
      </c>
      <c r="AM82" s="98">
        <f>$AH82*SUMIFS('RIN 2.12 2022-2023 REPEX'!M$6:M$15,'RIN 2.12 2022-2023 REPEX'!$A$6:$A$15,'Unit Cost Rate Summary'!$A82)</f>
        <v>0</v>
      </c>
      <c r="AN82" s="485">
        <f t="shared" si="10"/>
        <v>0</v>
      </c>
      <c r="AO82" s="486" t="str">
        <f t="shared" si="9"/>
        <v/>
      </c>
    </row>
    <row r="83" spans="1:41" x14ac:dyDescent="0.25">
      <c r="A83" s="81" t="s">
        <v>138</v>
      </c>
      <c r="B83" s="82" t="s">
        <v>169</v>
      </c>
      <c r="C83" s="83" t="s">
        <v>373</v>
      </c>
      <c r="D83" s="305" t="str">
        <f>'Defect P1'!CM83</f>
        <v>Avg 3 Yr</v>
      </c>
      <c r="E83" s="315">
        <f>'Defect P1'!CN83</f>
        <v>0.05</v>
      </c>
      <c r="F83" s="306" t="str">
        <f>IF('Defect P1'!CO83=0,"",'Defect P1'!CO83)</f>
        <v/>
      </c>
      <c r="G83" s="307" t="str">
        <f>'Defect P1'!CP83</f>
        <v/>
      </c>
      <c r="H83" s="96">
        <f>'Defect P1'!CL83</f>
        <v>0</v>
      </c>
      <c r="I83" s="305" t="str">
        <f>'Defect P2'!CM83</f>
        <v>Avg 3 Yr</v>
      </c>
      <c r="J83" s="315">
        <f>'Defect P2'!CN83</f>
        <v>0</v>
      </c>
      <c r="K83" s="306" t="str">
        <f>IF('Defect P2'!CO83=0,"",'Defect P2'!CO83)</f>
        <v/>
      </c>
      <c r="L83" s="307">
        <f>'Defect P2'!CP83</f>
        <v>39408.870000000003</v>
      </c>
      <c r="M83" s="96">
        <f>'Defect P2'!CL83</f>
        <v>0.94666666666666655</v>
      </c>
      <c r="N83" s="305" t="str">
        <f>RTS!CM83</f>
        <v>Avg 3 Yr</v>
      </c>
      <c r="O83" s="315">
        <f>RTS!CN83</f>
        <v>0.05</v>
      </c>
      <c r="P83" s="306" t="str">
        <f>IF(RTS!CO83=0,"",RTS!CO83)</f>
        <v/>
      </c>
      <c r="Q83" s="307">
        <f>RTS!CP83</f>
        <v>19430.509999999998</v>
      </c>
      <c r="R83" s="96">
        <f>RTS!CL83</f>
        <v>0.66144522144533324</v>
      </c>
      <c r="S83" s="305" t="str">
        <f>Planned!CM83</f>
        <v>Avg 3 Yr</v>
      </c>
      <c r="T83" s="315">
        <f>Planned!CN83</f>
        <v>0.05</v>
      </c>
      <c r="U83" s="306" t="str">
        <f>IF(Planned!CO83=0,"",Planned!CO83)</f>
        <v/>
      </c>
      <c r="V83" s="307" t="str">
        <f>Planned!CP83</f>
        <v/>
      </c>
      <c r="W83" s="96">
        <f>Planned!CL83</f>
        <v>0</v>
      </c>
      <c r="X83" s="305" t="str">
        <f>Reconductor!CM83</f>
        <v>Avg 3 Yr</v>
      </c>
      <c r="Y83" s="315">
        <f>Reconductor!CN83</f>
        <v>0.05</v>
      </c>
      <c r="Z83" s="306" t="str">
        <f>IF(Reconductor!CO83=0,"",Reconductor!CO83)</f>
        <v/>
      </c>
      <c r="AA83" s="307" t="str">
        <f>Reconductor!CP83</f>
        <v/>
      </c>
      <c r="AB83" s="96">
        <f>Reconductor!CL83</f>
        <v>0</v>
      </c>
      <c r="AC83" s="305" t="str">
        <f>CTGS!CM83</f>
        <v>Avg 5 Yr</v>
      </c>
      <c r="AD83" s="315">
        <f>CTGS!CN83</f>
        <v>0.05</v>
      </c>
      <c r="AE83" s="306" t="str">
        <f>IF(CTGS!CO83=0,"",CTGS!CO83)</f>
        <v/>
      </c>
      <c r="AF83" s="307" t="str">
        <f>CTGS!CP83</f>
        <v/>
      </c>
      <c r="AG83" s="392" t="s">
        <v>519</v>
      </c>
      <c r="AH83" s="98">
        <f t="shared" si="7"/>
        <v>50159.281589745762</v>
      </c>
      <c r="AI83" s="307">
        <f t="shared" si="8"/>
        <v>31191.412712354955</v>
      </c>
      <c r="AJ83" s="416">
        <f>$AH83*SUMIFS('RIN 2.12 2022-2023 REPEX'!J$6:J$15,'RIN 2.12 2022-2023 REPEX'!$A$6:$A$15,'Unit Cost Rate Summary'!$A83)</f>
        <v>16007.493766236077</v>
      </c>
      <c r="AK83" s="97">
        <f>$AH83*SUMIFS('RIN 2.12 2022-2023 REPEX'!K$6:K$15,'RIN 2.12 2022-2023 REPEX'!$A$6:$A$15,'Unit Cost Rate Summary'!$A83)</f>
        <v>18561.864725985826</v>
      </c>
      <c r="AL83" s="97">
        <f>$AH83*SUMIFS('RIN 2.12 2022-2023 REPEX'!L$6:L$15,'RIN 2.12 2022-2023 REPEX'!$A$6:$A$15,'Unit Cost Rate Summary'!$A83)</f>
        <v>15088.961761354753</v>
      </c>
      <c r="AM83" s="98">
        <f>$AH83*SUMIFS('RIN 2.12 2022-2023 REPEX'!M$6:M$15,'RIN 2.12 2022-2023 REPEX'!$A$6:$A$15,'Unit Cost Rate Summary'!$A83)</f>
        <v>500.96133616910851</v>
      </c>
      <c r="AN83" s="485">
        <f t="shared" si="10"/>
        <v>165.73093505344488</v>
      </c>
      <c r="AO83" s="486">
        <f t="shared" si="9"/>
        <v>103.05933080814478</v>
      </c>
    </row>
    <row r="84" spans="1:41" x14ac:dyDescent="0.25">
      <c r="A84" s="81" t="s">
        <v>138</v>
      </c>
      <c r="B84" s="82" t="s">
        <v>171</v>
      </c>
      <c r="C84" s="83" t="s">
        <v>374</v>
      </c>
      <c r="D84" s="305" t="str">
        <f>'Defect P1'!CM84</f>
        <v>Avg 3 Yr</v>
      </c>
      <c r="E84" s="315">
        <f>'Defect P1'!CN84</f>
        <v>0.05</v>
      </c>
      <c r="F84" s="306" t="str">
        <f>IF('Defect P1'!CO84=0,"",'Defect P1'!CO84)</f>
        <v/>
      </c>
      <c r="G84" s="307" t="str">
        <f>'Defect P1'!CP84</f>
        <v/>
      </c>
      <c r="H84" s="96">
        <f>'Defect P1'!CL84</f>
        <v>0</v>
      </c>
      <c r="I84" s="305" t="str">
        <f>'Defect P2'!CM84</f>
        <v>Avg 3 Yr</v>
      </c>
      <c r="J84" s="315">
        <f>'Defect P2'!CN84</f>
        <v>0</v>
      </c>
      <c r="K84" s="306" t="str">
        <f>IF('Defect P2'!CO84=0,"",'Defect P2'!CO84)</f>
        <v/>
      </c>
      <c r="L84" s="307">
        <f>'Defect P2'!CP84</f>
        <v>35982.062007584747</v>
      </c>
      <c r="M84" s="96">
        <f>'Defect P2'!CL84</f>
        <v>0.94666666666666655</v>
      </c>
      <c r="N84" s="305" t="str">
        <f>RTS!CM84</f>
        <v>Avg 3 Yr</v>
      </c>
      <c r="O84" s="315">
        <f>RTS!CN84</f>
        <v>0.05</v>
      </c>
      <c r="P84" s="306" t="str">
        <f>IF(RTS!CO84=0,"",RTS!CO84)</f>
        <v/>
      </c>
      <c r="Q84" s="307">
        <f>RTS!CP84</f>
        <v>49276.197030715019</v>
      </c>
      <c r="R84" s="96">
        <f>RTS!CL84</f>
        <v>0.66144522144533324</v>
      </c>
      <c r="S84" s="305" t="str">
        <f>Planned!CM84</f>
        <v>Avg 3 Yr</v>
      </c>
      <c r="T84" s="315">
        <f>Planned!CN84</f>
        <v>0.05</v>
      </c>
      <c r="U84" s="306" t="str">
        <f>IF(Planned!CO84=0,"",Planned!CO84)</f>
        <v/>
      </c>
      <c r="V84" s="307" t="str">
        <f>Planned!CP84</f>
        <v/>
      </c>
      <c r="W84" s="96">
        <f>Planned!CL84</f>
        <v>0</v>
      </c>
      <c r="X84" s="305" t="str">
        <f>Reconductor!CM84</f>
        <v>Avg 3 Yr</v>
      </c>
      <c r="Y84" s="315">
        <f>Reconductor!CN84</f>
        <v>0.05</v>
      </c>
      <c r="Z84" s="306" t="str">
        <f>IF(Reconductor!CO84=0,"",Reconductor!CO84)</f>
        <v/>
      </c>
      <c r="AA84" s="307" t="str">
        <f>Reconductor!CP84</f>
        <v/>
      </c>
      <c r="AB84" s="96">
        <f>Reconductor!CL84</f>
        <v>0</v>
      </c>
      <c r="AC84" s="305" t="str">
        <f>CTGS!CM84</f>
        <v>Avg 5 Yr</v>
      </c>
      <c r="AD84" s="315">
        <f>CTGS!CN84</f>
        <v>0.05</v>
      </c>
      <c r="AE84" s="306" t="str">
        <f>IF(CTGS!CO84=0,"",CTGS!CO84)</f>
        <v/>
      </c>
      <c r="AF84" s="307" t="str">
        <f>CTGS!CP84</f>
        <v/>
      </c>
      <c r="AG84" s="392" t="s">
        <v>519</v>
      </c>
      <c r="AH84" s="98">
        <f t="shared" si="7"/>
        <v>66656.523757478732</v>
      </c>
      <c r="AI84" s="307">
        <f t="shared" si="8"/>
        <v>41450.177845359176</v>
      </c>
      <c r="AJ84" s="416">
        <f>$AH84*SUMIFS('RIN 2.12 2022-2023 REPEX'!J$6:J$15,'RIN 2.12 2022-2023 REPEX'!$A$6:$A$15,'Unit Cost Rate Summary'!$A84)</f>
        <v>21272.312017023371</v>
      </c>
      <c r="AK84" s="97">
        <f>$AH84*SUMIFS('RIN 2.12 2022-2023 REPEX'!K$6:K$15,'RIN 2.12 2022-2023 REPEX'!$A$6:$A$15,'Unit Cost Rate Summary'!$A84)</f>
        <v>24666.808173419293</v>
      </c>
      <c r="AL84" s="97">
        <f>$AH84*SUMIFS('RIN 2.12 2022-2023 REPEX'!L$6:L$15,'RIN 2.12 2022-2023 REPEX'!$A$6:$A$15,'Unit Cost Rate Summary'!$A84)</f>
        <v>20051.677501039925</v>
      </c>
      <c r="AM84" s="98">
        <f>$AH84*SUMIFS('RIN 2.12 2022-2023 REPEX'!M$6:M$15,'RIN 2.12 2022-2023 REPEX'!$A$6:$A$15,'Unit Cost Rate Summary'!$A84)</f>
        <v>665.72606599614824</v>
      </c>
      <c r="AN84" s="485">
        <f t="shared" si="10"/>
        <v>220.23935869124369</v>
      </c>
      <c r="AO84" s="486">
        <f t="shared" si="9"/>
        <v>136.95524566379223</v>
      </c>
    </row>
    <row r="85" spans="1:41" x14ac:dyDescent="0.25">
      <c r="A85" s="81" t="s">
        <v>138</v>
      </c>
      <c r="B85" s="82" t="s">
        <v>173</v>
      </c>
      <c r="C85" s="83" t="s">
        <v>375</v>
      </c>
      <c r="D85" s="305" t="str">
        <f>'Defect P1'!CM85</f>
        <v>Avg 3 Yr</v>
      </c>
      <c r="E85" s="315">
        <f>'Defect P1'!CN85</f>
        <v>0.05</v>
      </c>
      <c r="F85" s="306" t="str">
        <f>IF('Defect P1'!CO85=0,"",'Defect P1'!CO85)</f>
        <v/>
      </c>
      <c r="G85" s="307" t="str">
        <f>'Defect P1'!CP85</f>
        <v/>
      </c>
      <c r="H85" s="96">
        <f>'Defect P1'!CL85</f>
        <v>0</v>
      </c>
      <c r="I85" s="305" t="str">
        <f>'Defect P2'!CM85</f>
        <v>Avg 3 Yr</v>
      </c>
      <c r="J85" s="315">
        <f>'Defect P2'!CN85</f>
        <v>0</v>
      </c>
      <c r="K85" s="306" t="str">
        <f>IF('Defect P2'!CO85=0,"",'Defect P2'!CO85)</f>
        <v/>
      </c>
      <c r="L85" s="307">
        <f>'Defect P2'!CP85</f>
        <v>25809.87</v>
      </c>
      <c r="M85" s="96">
        <f>'Defect P2'!CL85</f>
        <v>0.23666666666666664</v>
      </c>
      <c r="N85" s="305" t="str">
        <f>RTS!CM85</f>
        <v>Avg 3 Yr</v>
      </c>
      <c r="O85" s="315">
        <f>RTS!CN85</f>
        <v>0.05</v>
      </c>
      <c r="P85" s="306" t="str">
        <f>IF(RTS!CO85=0,"",RTS!CO85)</f>
        <v/>
      </c>
      <c r="Q85" s="307">
        <f>RTS!CP85</f>
        <v>155591.02701398701</v>
      </c>
      <c r="R85" s="96">
        <f>RTS!CL85</f>
        <v>0.33072261072266662</v>
      </c>
      <c r="S85" s="305" t="str">
        <f>Planned!CM85</f>
        <v>Avg 3 Yr</v>
      </c>
      <c r="T85" s="315">
        <f>Planned!CN85</f>
        <v>0.05</v>
      </c>
      <c r="U85" s="306" t="str">
        <f>IF(Planned!CO85=0,"",Planned!CO85)</f>
        <v/>
      </c>
      <c r="V85" s="307" t="str">
        <f>Planned!CP85</f>
        <v/>
      </c>
      <c r="W85" s="96">
        <f>Planned!CL85</f>
        <v>0</v>
      </c>
      <c r="X85" s="305" t="str">
        <f>Reconductor!CM85</f>
        <v>Avg 3 Yr</v>
      </c>
      <c r="Y85" s="315">
        <f>Reconductor!CN85</f>
        <v>0.05</v>
      </c>
      <c r="Z85" s="306" t="str">
        <f>IF(Reconductor!CO85=0,"",Reconductor!CO85)</f>
        <v/>
      </c>
      <c r="AA85" s="307" t="str">
        <f>Reconductor!CP85</f>
        <v/>
      </c>
      <c r="AB85" s="96">
        <f>Reconductor!CL85</f>
        <v>0</v>
      </c>
      <c r="AC85" s="305" t="str">
        <f>CTGS!CM85</f>
        <v>Avg 5 Yr</v>
      </c>
      <c r="AD85" s="315">
        <f>CTGS!CN85</f>
        <v>0.05</v>
      </c>
      <c r="AE85" s="306" t="str">
        <f>IF(CTGS!CO85=0,"",CTGS!CO85)</f>
        <v/>
      </c>
      <c r="AF85" s="307" t="str">
        <f>CTGS!CP85</f>
        <v/>
      </c>
      <c r="AG85" s="392" t="s">
        <v>519</v>
      </c>
      <c r="AH85" s="98">
        <f t="shared" si="7"/>
        <v>57565.806559086734</v>
      </c>
      <c r="AI85" s="307">
        <f t="shared" si="8"/>
        <v>101457.33952526921</v>
      </c>
      <c r="AJ85" s="416">
        <f>$AH85*SUMIFS('RIN 2.12 2022-2023 REPEX'!J$6:J$15,'RIN 2.12 2022-2023 REPEX'!$A$6:$A$15,'Unit Cost Rate Summary'!$A85)</f>
        <v>18371.162034970515</v>
      </c>
      <c r="AK85" s="97">
        <f>$AH85*SUMIFS('RIN 2.12 2022-2023 REPEX'!K$6:K$15,'RIN 2.12 2022-2023 REPEX'!$A$6:$A$15,'Unit Cost Rate Summary'!$A85)</f>
        <v>21302.711688168965</v>
      </c>
      <c r="AL85" s="97">
        <f>$AH85*SUMIFS('RIN 2.12 2022-2023 REPEX'!L$6:L$15,'RIN 2.12 2022-2023 REPEX'!$A$6:$A$15,'Unit Cost Rate Summary'!$A85)</f>
        <v>17316.999494450036</v>
      </c>
      <c r="AM85" s="98">
        <f>$AH85*SUMIFS('RIN 2.12 2022-2023 REPEX'!M$6:M$15,'RIN 2.12 2022-2023 REPEX'!$A$6:$A$15,'Unit Cost Rate Summary'!$A85)</f>
        <v>574.93334149722</v>
      </c>
      <c r="AN85" s="485">
        <f t="shared" si="10"/>
        <v>190.20278293008005</v>
      </c>
      <c r="AO85" s="486">
        <f t="shared" si="9"/>
        <v>335.22449314734939</v>
      </c>
    </row>
    <row r="86" spans="1:41" x14ac:dyDescent="0.25">
      <c r="A86" s="81" t="s">
        <v>138</v>
      </c>
      <c r="B86" s="82" t="s">
        <v>175</v>
      </c>
      <c r="C86" s="83" t="s">
        <v>376</v>
      </c>
      <c r="D86" s="305" t="str">
        <f>'Defect P1'!CM86</f>
        <v>Avg 3 Yr</v>
      </c>
      <c r="E86" s="315">
        <f>'Defect P1'!CN86</f>
        <v>0.05</v>
      </c>
      <c r="F86" s="306" t="str">
        <f>IF('Defect P1'!CO86=0,"",'Defect P1'!CO86)</f>
        <v/>
      </c>
      <c r="G86" s="307" t="str">
        <f>'Defect P1'!CP86</f>
        <v/>
      </c>
      <c r="H86" s="96">
        <f>'Defect P1'!CL86</f>
        <v>0</v>
      </c>
      <c r="I86" s="305" t="str">
        <f>'Defect P2'!CM86</f>
        <v>Avg 3 Yr</v>
      </c>
      <c r="J86" s="315">
        <f>'Defect P2'!CN86</f>
        <v>0</v>
      </c>
      <c r="K86" s="306" t="str">
        <f>IF('Defect P2'!CO86=0,"",'Defect P2'!CO86)</f>
        <v/>
      </c>
      <c r="L86" s="307" t="str">
        <f>'Defect P2'!CP86</f>
        <v/>
      </c>
      <c r="M86" s="96">
        <f>'Defect P2'!CL86</f>
        <v>0</v>
      </c>
      <c r="N86" s="305" t="str">
        <f>RTS!CM86</f>
        <v>Avg 3 Yr</v>
      </c>
      <c r="O86" s="315">
        <f>RTS!CN86</f>
        <v>0.05</v>
      </c>
      <c r="P86" s="306" t="str">
        <f>IF(RTS!CO86=0,"",RTS!CO86)</f>
        <v/>
      </c>
      <c r="Q86" s="307" t="str">
        <f>RTS!CP86</f>
        <v/>
      </c>
      <c r="R86" s="96">
        <f>RTS!CL86</f>
        <v>0</v>
      </c>
      <c r="S86" s="305" t="str">
        <f>Planned!CM86</f>
        <v>Avg 3 Yr</v>
      </c>
      <c r="T86" s="315">
        <f>Planned!CN86</f>
        <v>0.05</v>
      </c>
      <c r="U86" s="306" t="str">
        <f>IF(Planned!CO86=0,"",Planned!CO86)</f>
        <v/>
      </c>
      <c r="V86" s="307" t="str">
        <f>Planned!CP86</f>
        <v/>
      </c>
      <c r="W86" s="96">
        <f>Planned!CL86</f>
        <v>0</v>
      </c>
      <c r="X86" s="305" t="str">
        <f>Reconductor!CM86</f>
        <v>Avg 3 Yr</v>
      </c>
      <c r="Y86" s="315">
        <f>Reconductor!CN86</f>
        <v>0.05</v>
      </c>
      <c r="Z86" s="306" t="str">
        <f>IF(Reconductor!CO86=0,"",Reconductor!CO86)</f>
        <v/>
      </c>
      <c r="AA86" s="307" t="str">
        <f>Reconductor!CP86</f>
        <v/>
      </c>
      <c r="AB86" s="96">
        <f>Reconductor!CL86</f>
        <v>0</v>
      </c>
      <c r="AC86" s="305" t="str">
        <f>CTGS!CM86</f>
        <v>Avg 5 Yr</v>
      </c>
      <c r="AD86" s="315">
        <f>CTGS!CN86</f>
        <v>0.05</v>
      </c>
      <c r="AE86" s="306" t="str">
        <f>IF(CTGS!CO86=0,"",CTGS!CO86)</f>
        <v/>
      </c>
      <c r="AF86" s="307" t="str">
        <f>CTGS!CP86</f>
        <v/>
      </c>
      <c r="AG86" s="392"/>
      <c r="AH86" s="98">
        <f t="shared" si="7"/>
        <v>0</v>
      </c>
      <c r="AI86" s="307" t="str">
        <f t="shared" si="8"/>
        <v/>
      </c>
      <c r="AJ86" s="416">
        <f>$AH86*SUMIFS('RIN 2.12 2022-2023 REPEX'!J$6:J$15,'RIN 2.12 2022-2023 REPEX'!$A$6:$A$15,'Unit Cost Rate Summary'!$A86)</f>
        <v>0</v>
      </c>
      <c r="AK86" s="97">
        <f>$AH86*SUMIFS('RIN 2.12 2022-2023 REPEX'!K$6:K$15,'RIN 2.12 2022-2023 REPEX'!$A$6:$A$15,'Unit Cost Rate Summary'!$A86)</f>
        <v>0</v>
      </c>
      <c r="AL86" s="97">
        <f>$AH86*SUMIFS('RIN 2.12 2022-2023 REPEX'!L$6:L$15,'RIN 2.12 2022-2023 REPEX'!$A$6:$A$15,'Unit Cost Rate Summary'!$A86)</f>
        <v>0</v>
      </c>
      <c r="AM86" s="98">
        <f>$AH86*SUMIFS('RIN 2.12 2022-2023 REPEX'!M$6:M$15,'RIN 2.12 2022-2023 REPEX'!$A$6:$A$15,'Unit Cost Rate Summary'!$A86)</f>
        <v>0</v>
      </c>
      <c r="AN86" s="485">
        <f t="shared" si="10"/>
        <v>0</v>
      </c>
      <c r="AO86" s="486" t="str">
        <f t="shared" si="9"/>
        <v/>
      </c>
    </row>
    <row r="87" spans="1:41" x14ac:dyDescent="0.25">
      <c r="A87" s="81" t="s">
        <v>138</v>
      </c>
      <c r="B87" s="82" t="s">
        <v>177</v>
      </c>
      <c r="C87" s="83" t="s">
        <v>377</v>
      </c>
      <c r="D87" s="305" t="str">
        <f>'Defect P1'!CM87</f>
        <v>Avg 3 Yr</v>
      </c>
      <c r="E87" s="315">
        <f>'Defect P1'!CN87</f>
        <v>0.05</v>
      </c>
      <c r="F87" s="306" t="str">
        <f>IF('Defect P1'!CO87=0,"",'Defect P1'!CO87)</f>
        <v/>
      </c>
      <c r="G87" s="307" t="str">
        <f>'Defect P1'!CP87</f>
        <v/>
      </c>
      <c r="H87" s="96">
        <f>'Defect P1'!CL87</f>
        <v>0</v>
      </c>
      <c r="I87" s="305" t="str">
        <f>'Defect P2'!CM87</f>
        <v>Avg 3 Yr</v>
      </c>
      <c r="J87" s="315">
        <f>'Defect P2'!CN87</f>
        <v>0</v>
      </c>
      <c r="K87" s="306" t="str">
        <f>IF('Defect P2'!CO87=0,"",'Defect P2'!CO87)</f>
        <v/>
      </c>
      <c r="L87" s="307" t="str">
        <f>'Defect P2'!CP87</f>
        <v/>
      </c>
      <c r="M87" s="96">
        <f>'Defect P2'!CL87</f>
        <v>0</v>
      </c>
      <c r="N87" s="305" t="str">
        <f>RTS!CM87</f>
        <v>Avg 3 Yr</v>
      </c>
      <c r="O87" s="315">
        <f>RTS!CN87</f>
        <v>0.05</v>
      </c>
      <c r="P87" s="306" t="str">
        <f>IF(RTS!CO87=0,"",RTS!CO87)</f>
        <v/>
      </c>
      <c r="Q87" s="307" t="str">
        <f>RTS!CP87</f>
        <v/>
      </c>
      <c r="R87" s="96">
        <f>RTS!CL87</f>
        <v>0</v>
      </c>
      <c r="S87" s="305" t="str">
        <f>Planned!CM87</f>
        <v>Avg 3 Yr</v>
      </c>
      <c r="T87" s="315">
        <f>Planned!CN87</f>
        <v>0.05</v>
      </c>
      <c r="U87" s="306" t="str">
        <f>IF(Planned!CO87=0,"",Planned!CO87)</f>
        <v/>
      </c>
      <c r="V87" s="307" t="str">
        <f>Planned!CP87</f>
        <v/>
      </c>
      <c r="W87" s="96">
        <f>Planned!CL87</f>
        <v>0</v>
      </c>
      <c r="X87" s="305" t="str">
        <f>Reconductor!CM87</f>
        <v>Avg 3 Yr</v>
      </c>
      <c r="Y87" s="315">
        <f>Reconductor!CN87</f>
        <v>0.05</v>
      </c>
      <c r="Z87" s="306" t="str">
        <f>IF(Reconductor!CO87=0,"",Reconductor!CO87)</f>
        <v/>
      </c>
      <c r="AA87" s="307" t="str">
        <f>Reconductor!CP87</f>
        <v/>
      </c>
      <c r="AB87" s="96">
        <f>Reconductor!CL87</f>
        <v>0</v>
      </c>
      <c r="AC87" s="305" t="str">
        <f>CTGS!CM87</f>
        <v>Avg 5 Yr</v>
      </c>
      <c r="AD87" s="315">
        <f>CTGS!CN87</f>
        <v>0.05</v>
      </c>
      <c r="AE87" s="306" t="str">
        <f>IF(CTGS!CO87=0,"",CTGS!CO87)</f>
        <v/>
      </c>
      <c r="AF87" s="307" t="str">
        <f>CTGS!CP87</f>
        <v/>
      </c>
      <c r="AG87" s="392"/>
      <c r="AH87" s="98">
        <f t="shared" si="7"/>
        <v>0</v>
      </c>
      <c r="AI87" s="307" t="str">
        <f t="shared" si="8"/>
        <v/>
      </c>
      <c r="AJ87" s="416">
        <f>$AH87*SUMIFS('RIN 2.12 2022-2023 REPEX'!J$6:J$15,'RIN 2.12 2022-2023 REPEX'!$A$6:$A$15,'Unit Cost Rate Summary'!$A87)</f>
        <v>0</v>
      </c>
      <c r="AK87" s="97">
        <f>$AH87*SUMIFS('RIN 2.12 2022-2023 REPEX'!K$6:K$15,'RIN 2.12 2022-2023 REPEX'!$A$6:$A$15,'Unit Cost Rate Summary'!$A87)</f>
        <v>0</v>
      </c>
      <c r="AL87" s="97">
        <f>$AH87*SUMIFS('RIN 2.12 2022-2023 REPEX'!L$6:L$15,'RIN 2.12 2022-2023 REPEX'!$A$6:$A$15,'Unit Cost Rate Summary'!$A87)</f>
        <v>0</v>
      </c>
      <c r="AM87" s="98">
        <f>$AH87*SUMIFS('RIN 2.12 2022-2023 REPEX'!M$6:M$15,'RIN 2.12 2022-2023 REPEX'!$A$6:$A$15,'Unit Cost Rate Summary'!$A87)</f>
        <v>0</v>
      </c>
      <c r="AN87" s="485">
        <f t="shared" si="10"/>
        <v>0</v>
      </c>
      <c r="AO87" s="486" t="str">
        <f t="shared" si="9"/>
        <v/>
      </c>
    </row>
    <row r="88" spans="1:41" x14ac:dyDescent="0.25">
      <c r="A88" s="81" t="s">
        <v>138</v>
      </c>
      <c r="B88" s="82" t="s">
        <v>179</v>
      </c>
      <c r="C88" s="83" t="s">
        <v>378</v>
      </c>
      <c r="D88" s="305" t="str">
        <f>'Defect P1'!CM88</f>
        <v>Avg 3 Yr</v>
      </c>
      <c r="E88" s="315">
        <f>'Defect P1'!CN88</f>
        <v>0.05</v>
      </c>
      <c r="F88" s="306" t="str">
        <f>IF('Defect P1'!CO88=0,"",'Defect P1'!CO88)</f>
        <v/>
      </c>
      <c r="G88" s="307" t="str">
        <f>'Defect P1'!CP88</f>
        <v/>
      </c>
      <c r="H88" s="96">
        <f>'Defect P1'!CL88</f>
        <v>0</v>
      </c>
      <c r="I88" s="305" t="str">
        <f>'Defect P2'!CM88</f>
        <v>Avg 3 Yr</v>
      </c>
      <c r="J88" s="315">
        <f>'Defect P2'!CN88</f>
        <v>0</v>
      </c>
      <c r="K88" s="306" t="str">
        <f>IF('Defect P2'!CO88=0,"",'Defect P2'!CO88)</f>
        <v/>
      </c>
      <c r="L88" s="307" t="str">
        <f>'Defect P2'!CP88</f>
        <v/>
      </c>
      <c r="M88" s="96">
        <f>'Defect P2'!CL88</f>
        <v>0</v>
      </c>
      <c r="N88" s="305" t="str">
        <f>RTS!CM88</f>
        <v>Avg 3 Yr</v>
      </c>
      <c r="O88" s="315">
        <f>RTS!CN88</f>
        <v>0.05</v>
      </c>
      <c r="P88" s="306" t="str">
        <f>IF(RTS!CO88=0,"",RTS!CO88)</f>
        <v/>
      </c>
      <c r="Q88" s="307" t="str">
        <f>RTS!CP88</f>
        <v/>
      </c>
      <c r="R88" s="96">
        <f>RTS!CL88</f>
        <v>0</v>
      </c>
      <c r="S88" s="305" t="str">
        <f>Planned!CM88</f>
        <v>Avg 3 Yr</v>
      </c>
      <c r="T88" s="315">
        <f>Planned!CN88</f>
        <v>0.05</v>
      </c>
      <c r="U88" s="306" t="str">
        <f>IF(Planned!CO88=0,"",Planned!CO88)</f>
        <v/>
      </c>
      <c r="V88" s="307" t="str">
        <f>Planned!CP88</f>
        <v/>
      </c>
      <c r="W88" s="96">
        <f>Planned!CL88</f>
        <v>0</v>
      </c>
      <c r="X88" s="305" t="str">
        <f>Reconductor!CM88</f>
        <v>Avg 3 Yr</v>
      </c>
      <c r="Y88" s="315">
        <f>Reconductor!CN88</f>
        <v>0.05</v>
      </c>
      <c r="Z88" s="306" t="str">
        <f>IF(Reconductor!CO88=0,"",Reconductor!CO88)</f>
        <v/>
      </c>
      <c r="AA88" s="307" t="str">
        <f>Reconductor!CP88</f>
        <v/>
      </c>
      <c r="AB88" s="96">
        <f>Reconductor!CL88</f>
        <v>0</v>
      </c>
      <c r="AC88" s="305" t="str">
        <f>CTGS!CM88</f>
        <v>Avg 5 Yr</v>
      </c>
      <c r="AD88" s="315">
        <f>CTGS!CN88</f>
        <v>0.05</v>
      </c>
      <c r="AE88" s="306" t="str">
        <f>IF(CTGS!CO88=0,"",CTGS!CO88)</f>
        <v/>
      </c>
      <c r="AF88" s="307" t="str">
        <f>CTGS!CP88</f>
        <v/>
      </c>
      <c r="AG88" s="392"/>
      <c r="AH88" s="98">
        <f t="shared" si="7"/>
        <v>0</v>
      </c>
      <c r="AI88" s="307" t="str">
        <f t="shared" si="8"/>
        <v/>
      </c>
      <c r="AJ88" s="416">
        <f>$AH88*SUMIFS('RIN 2.12 2022-2023 REPEX'!J$6:J$15,'RIN 2.12 2022-2023 REPEX'!$A$6:$A$15,'Unit Cost Rate Summary'!$A88)</f>
        <v>0</v>
      </c>
      <c r="AK88" s="97">
        <f>$AH88*SUMIFS('RIN 2.12 2022-2023 REPEX'!K$6:K$15,'RIN 2.12 2022-2023 REPEX'!$A$6:$A$15,'Unit Cost Rate Summary'!$A88)</f>
        <v>0</v>
      </c>
      <c r="AL88" s="97">
        <f>$AH88*SUMIFS('RIN 2.12 2022-2023 REPEX'!L$6:L$15,'RIN 2.12 2022-2023 REPEX'!$A$6:$A$15,'Unit Cost Rate Summary'!$A88)</f>
        <v>0</v>
      </c>
      <c r="AM88" s="98">
        <f>$AH88*SUMIFS('RIN 2.12 2022-2023 REPEX'!M$6:M$15,'RIN 2.12 2022-2023 REPEX'!$A$6:$A$15,'Unit Cost Rate Summary'!$A88)</f>
        <v>0</v>
      </c>
      <c r="AN88" s="485">
        <f t="shared" si="10"/>
        <v>0</v>
      </c>
      <c r="AO88" s="486" t="str">
        <f t="shared" si="9"/>
        <v/>
      </c>
    </row>
    <row r="89" spans="1:41" x14ac:dyDescent="0.25">
      <c r="A89" s="81" t="s">
        <v>138</v>
      </c>
      <c r="B89" s="82" t="s">
        <v>181</v>
      </c>
      <c r="C89" s="83" t="s">
        <v>379</v>
      </c>
      <c r="D89" s="305" t="str">
        <f>'Defect P1'!CM89</f>
        <v>Avg 3 Yr</v>
      </c>
      <c r="E89" s="315">
        <f>'Defect P1'!CN89</f>
        <v>0.05</v>
      </c>
      <c r="F89" s="306" t="str">
        <f>IF('Defect P1'!CO89=0,"",'Defect P1'!CO89)</f>
        <v/>
      </c>
      <c r="G89" s="307" t="str">
        <f>'Defect P1'!CP89</f>
        <v/>
      </c>
      <c r="H89" s="96">
        <f>'Defect P1'!CL89</f>
        <v>0</v>
      </c>
      <c r="I89" s="305" t="str">
        <f>'Defect P2'!CM89</f>
        <v>Avg 3 Yr</v>
      </c>
      <c r="J89" s="315">
        <f>'Defect P2'!CN89</f>
        <v>0</v>
      </c>
      <c r="K89" s="306" t="str">
        <f>IF('Defect P2'!CO89=0,"",'Defect P2'!CO89)</f>
        <v/>
      </c>
      <c r="L89" s="307" t="str">
        <f>'Defect P2'!CP89</f>
        <v/>
      </c>
      <c r="M89" s="96">
        <f>'Defect P2'!CL89</f>
        <v>0</v>
      </c>
      <c r="N89" s="305" t="str">
        <f>RTS!CM89</f>
        <v>Avg 3 Yr</v>
      </c>
      <c r="O89" s="315">
        <f>RTS!CN89</f>
        <v>0.05</v>
      </c>
      <c r="P89" s="306" t="str">
        <f>IF(RTS!CO89=0,"",RTS!CO89)</f>
        <v/>
      </c>
      <c r="Q89" s="307" t="str">
        <f>RTS!CP89</f>
        <v/>
      </c>
      <c r="R89" s="96">
        <f>RTS!CL89</f>
        <v>0</v>
      </c>
      <c r="S89" s="305" t="str">
        <f>Planned!CM89</f>
        <v>Avg 3 Yr</v>
      </c>
      <c r="T89" s="315">
        <f>Planned!CN89</f>
        <v>0.05</v>
      </c>
      <c r="U89" s="306" t="str">
        <f>IF(Planned!CO89=0,"",Planned!CO89)</f>
        <v/>
      </c>
      <c r="V89" s="307" t="str">
        <f>Planned!CP89</f>
        <v/>
      </c>
      <c r="W89" s="96">
        <f>Planned!CL89</f>
        <v>0</v>
      </c>
      <c r="X89" s="305" t="str">
        <f>Reconductor!CM89</f>
        <v>Avg 3 Yr</v>
      </c>
      <c r="Y89" s="315">
        <f>Reconductor!CN89</f>
        <v>0.05</v>
      </c>
      <c r="Z89" s="306" t="str">
        <f>IF(Reconductor!CO89=0,"",Reconductor!CO89)</f>
        <v/>
      </c>
      <c r="AA89" s="307" t="str">
        <f>Reconductor!CP89</f>
        <v/>
      </c>
      <c r="AB89" s="96">
        <f>Reconductor!CL89</f>
        <v>0</v>
      </c>
      <c r="AC89" s="305" t="str">
        <f>CTGS!CM89</f>
        <v>Avg 5 Yr</v>
      </c>
      <c r="AD89" s="315">
        <f>CTGS!CN89</f>
        <v>0.05</v>
      </c>
      <c r="AE89" s="306" t="str">
        <f>IF(CTGS!CO89=0,"",CTGS!CO89)</f>
        <v/>
      </c>
      <c r="AF89" s="307" t="str">
        <f>CTGS!CP89</f>
        <v/>
      </c>
      <c r="AG89" s="392"/>
      <c r="AH89" s="98">
        <f t="shared" si="7"/>
        <v>0</v>
      </c>
      <c r="AI89" s="307" t="str">
        <f t="shared" si="8"/>
        <v/>
      </c>
      <c r="AJ89" s="416">
        <f>$AH89*SUMIFS('RIN 2.12 2022-2023 REPEX'!J$6:J$15,'RIN 2.12 2022-2023 REPEX'!$A$6:$A$15,'Unit Cost Rate Summary'!$A89)</f>
        <v>0</v>
      </c>
      <c r="AK89" s="97">
        <f>$AH89*SUMIFS('RIN 2.12 2022-2023 REPEX'!K$6:K$15,'RIN 2.12 2022-2023 REPEX'!$A$6:$A$15,'Unit Cost Rate Summary'!$A89)</f>
        <v>0</v>
      </c>
      <c r="AL89" s="97">
        <f>$AH89*SUMIFS('RIN 2.12 2022-2023 REPEX'!L$6:L$15,'RIN 2.12 2022-2023 REPEX'!$A$6:$A$15,'Unit Cost Rate Summary'!$A89)</f>
        <v>0</v>
      </c>
      <c r="AM89" s="98">
        <f>$AH89*SUMIFS('RIN 2.12 2022-2023 REPEX'!M$6:M$15,'RIN 2.12 2022-2023 REPEX'!$A$6:$A$15,'Unit Cost Rate Summary'!$A89)</f>
        <v>0</v>
      </c>
      <c r="AN89" s="485">
        <f t="shared" si="10"/>
        <v>0</v>
      </c>
      <c r="AO89" s="486" t="str">
        <f t="shared" si="9"/>
        <v/>
      </c>
    </row>
    <row r="90" spans="1:41" x14ac:dyDescent="0.25">
      <c r="A90" s="81" t="s">
        <v>138</v>
      </c>
      <c r="B90" s="82" t="s">
        <v>183</v>
      </c>
      <c r="C90" s="83" t="s">
        <v>380</v>
      </c>
      <c r="D90" s="305" t="str">
        <f>'Defect P1'!CM90</f>
        <v>Avg 3 Yr</v>
      </c>
      <c r="E90" s="315">
        <f>'Defect P1'!CN90</f>
        <v>0.05</v>
      </c>
      <c r="F90" s="306" t="str">
        <f>IF('Defect P1'!CO90=0,"",'Defect P1'!CO90)</f>
        <v/>
      </c>
      <c r="G90" s="307" t="str">
        <f>'Defect P1'!CP90</f>
        <v/>
      </c>
      <c r="H90" s="96">
        <f>'Defect P1'!CL90</f>
        <v>0</v>
      </c>
      <c r="I90" s="305" t="str">
        <f>'Defect P2'!CM90</f>
        <v>Avg 3 Yr</v>
      </c>
      <c r="J90" s="315">
        <f>'Defect P2'!CN90</f>
        <v>0</v>
      </c>
      <c r="K90" s="306" t="str">
        <f>IF('Defect P2'!CO90=0,"",'Defect P2'!CO90)</f>
        <v/>
      </c>
      <c r="L90" s="307" t="str">
        <f>'Defect P2'!CP90</f>
        <v/>
      </c>
      <c r="M90" s="96">
        <f>'Defect P2'!CL90</f>
        <v>0</v>
      </c>
      <c r="N90" s="305" t="str">
        <f>RTS!CM90</f>
        <v>Avg 3 Yr</v>
      </c>
      <c r="O90" s="315">
        <f>RTS!CN90</f>
        <v>0.05</v>
      </c>
      <c r="P90" s="306" t="str">
        <f>IF(RTS!CO90=0,"",RTS!CO90)</f>
        <v/>
      </c>
      <c r="Q90" s="307" t="str">
        <f>RTS!CP90</f>
        <v/>
      </c>
      <c r="R90" s="96">
        <f>RTS!CL90</f>
        <v>0</v>
      </c>
      <c r="S90" s="305" t="str">
        <f>Planned!CM90</f>
        <v>Avg 3 Yr</v>
      </c>
      <c r="T90" s="315">
        <f>Planned!CN90</f>
        <v>0.05</v>
      </c>
      <c r="U90" s="306" t="str">
        <f>IF(Planned!CO90=0,"",Planned!CO90)</f>
        <v/>
      </c>
      <c r="V90" s="307" t="str">
        <f>Planned!CP90</f>
        <v/>
      </c>
      <c r="W90" s="96">
        <f>Planned!CL90</f>
        <v>0</v>
      </c>
      <c r="X90" s="305" t="str">
        <f>Reconductor!CM90</f>
        <v>Avg 3 Yr</v>
      </c>
      <c r="Y90" s="315">
        <f>Reconductor!CN90</f>
        <v>0.05</v>
      </c>
      <c r="Z90" s="306" t="str">
        <f>IF(Reconductor!CO90=0,"",Reconductor!CO90)</f>
        <v/>
      </c>
      <c r="AA90" s="307" t="str">
        <f>Reconductor!CP90</f>
        <v/>
      </c>
      <c r="AB90" s="96">
        <f>Reconductor!CL90</f>
        <v>0</v>
      </c>
      <c r="AC90" s="305" t="str">
        <f>CTGS!CM90</f>
        <v>Avg 5 Yr</v>
      </c>
      <c r="AD90" s="315">
        <f>CTGS!CN90</f>
        <v>0.05</v>
      </c>
      <c r="AE90" s="306" t="str">
        <f>IF(CTGS!CO90=0,"",CTGS!CO90)</f>
        <v/>
      </c>
      <c r="AF90" s="307" t="str">
        <f>CTGS!CP90</f>
        <v/>
      </c>
      <c r="AG90" s="392"/>
      <c r="AH90" s="98">
        <f t="shared" si="7"/>
        <v>0</v>
      </c>
      <c r="AI90" s="307" t="str">
        <f t="shared" si="8"/>
        <v/>
      </c>
      <c r="AJ90" s="416">
        <f>$AH90*SUMIFS('RIN 2.12 2022-2023 REPEX'!J$6:J$15,'RIN 2.12 2022-2023 REPEX'!$A$6:$A$15,'Unit Cost Rate Summary'!$A90)</f>
        <v>0</v>
      </c>
      <c r="AK90" s="97">
        <f>$AH90*SUMIFS('RIN 2.12 2022-2023 REPEX'!K$6:K$15,'RIN 2.12 2022-2023 REPEX'!$A$6:$A$15,'Unit Cost Rate Summary'!$A90)</f>
        <v>0</v>
      </c>
      <c r="AL90" s="97">
        <f>$AH90*SUMIFS('RIN 2.12 2022-2023 REPEX'!L$6:L$15,'RIN 2.12 2022-2023 REPEX'!$A$6:$A$15,'Unit Cost Rate Summary'!$A90)</f>
        <v>0</v>
      </c>
      <c r="AM90" s="98">
        <f>$AH90*SUMIFS('RIN 2.12 2022-2023 REPEX'!M$6:M$15,'RIN 2.12 2022-2023 REPEX'!$A$6:$A$15,'Unit Cost Rate Summary'!$A90)</f>
        <v>0</v>
      </c>
      <c r="AN90" s="485">
        <f t="shared" si="10"/>
        <v>0</v>
      </c>
      <c r="AO90" s="486" t="str">
        <f t="shared" si="9"/>
        <v/>
      </c>
    </row>
    <row r="91" spans="1:41" x14ac:dyDescent="0.25">
      <c r="A91" s="81" t="s">
        <v>138</v>
      </c>
      <c r="B91" s="82" t="s">
        <v>185</v>
      </c>
      <c r="C91" s="83" t="s">
        <v>381</v>
      </c>
      <c r="D91" s="305" t="str">
        <f>'Defect P1'!CM91</f>
        <v>Avg 3 Yr</v>
      </c>
      <c r="E91" s="315">
        <f>'Defect P1'!CN91</f>
        <v>0.05</v>
      </c>
      <c r="F91" s="306" t="str">
        <f>IF('Defect P1'!CO91=0,"",'Defect P1'!CO91)</f>
        <v/>
      </c>
      <c r="G91" s="307" t="str">
        <f>'Defect P1'!CP91</f>
        <v/>
      </c>
      <c r="H91" s="96">
        <f>'Defect P1'!CL91</f>
        <v>0</v>
      </c>
      <c r="I91" s="305" t="str">
        <f>'Defect P2'!CM91</f>
        <v>Avg 3 Yr</v>
      </c>
      <c r="J91" s="315">
        <f>'Defect P2'!CN91</f>
        <v>0</v>
      </c>
      <c r="K91" s="306" t="str">
        <f>IF('Defect P2'!CO91=0,"",'Defect P2'!CO91)</f>
        <v/>
      </c>
      <c r="L91" s="307" t="str">
        <f>'Defect P2'!CP91</f>
        <v/>
      </c>
      <c r="M91" s="96">
        <f>'Defect P2'!CL91</f>
        <v>0</v>
      </c>
      <c r="N91" s="305" t="str">
        <f>RTS!CM91</f>
        <v>Avg 3 Yr</v>
      </c>
      <c r="O91" s="315">
        <f>RTS!CN91</f>
        <v>0.05</v>
      </c>
      <c r="P91" s="306" t="str">
        <f>IF(RTS!CO91=0,"",RTS!CO91)</f>
        <v/>
      </c>
      <c r="Q91" s="307" t="str">
        <f>RTS!CP91</f>
        <v/>
      </c>
      <c r="R91" s="96">
        <f>RTS!CL91</f>
        <v>0</v>
      </c>
      <c r="S91" s="305" t="str">
        <f>Planned!CM91</f>
        <v>Avg 3 Yr</v>
      </c>
      <c r="T91" s="315">
        <f>Planned!CN91</f>
        <v>0.05</v>
      </c>
      <c r="U91" s="306" t="str">
        <f>IF(Planned!CO91=0,"",Planned!CO91)</f>
        <v/>
      </c>
      <c r="V91" s="307" t="str">
        <f>Planned!CP91</f>
        <v/>
      </c>
      <c r="W91" s="96">
        <f>Planned!CL91</f>
        <v>0</v>
      </c>
      <c r="X91" s="305" t="str">
        <f>Reconductor!CM91</f>
        <v>Avg 3 Yr</v>
      </c>
      <c r="Y91" s="315">
        <f>Reconductor!CN91</f>
        <v>0.05</v>
      </c>
      <c r="Z91" s="306" t="str">
        <f>IF(Reconductor!CO91=0,"",Reconductor!CO91)</f>
        <v/>
      </c>
      <c r="AA91" s="307" t="str">
        <f>Reconductor!CP91</f>
        <v/>
      </c>
      <c r="AB91" s="96">
        <f>Reconductor!CL91</f>
        <v>0</v>
      </c>
      <c r="AC91" s="305" t="str">
        <f>CTGS!CM91</f>
        <v>Avg 5 Yr</v>
      </c>
      <c r="AD91" s="315">
        <f>CTGS!CN91</f>
        <v>0.05</v>
      </c>
      <c r="AE91" s="306" t="str">
        <f>IF(CTGS!CO91=0,"",CTGS!CO91)</f>
        <v/>
      </c>
      <c r="AF91" s="307" t="str">
        <f>CTGS!CP91</f>
        <v/>
      </c>
      <c r="AG91" s="392"/>
      <c r="AH91" s="98">
        <f t="shared" si="7"/>
        <v>0</v>
      </c>
      <c r="AI91" s="307" t="str">
        <f t="shared" si="8"/>
        <v/>
      </c>
      <c r="AJ91" s="416">
        <f>$AH91*SUMIFS('RIN 2.12 2022-2023 REPEX'!J$6:J$15,'RIN 2.12 2022-2023 REPEX'!$A$6:$A$15,'Unit Cost Rate Summary'!$A91)</f>
        <v>0</v>
      </c>
      <c r="AK91" s="97">
        <f>$AH91*SUMIFS('RIN 2.12 2022-2023 REPEX'!K$6:K$15,'RIN 2.12 2022-2023 REPEX'!$A$6:$A$15,'Unit Cost Rate Summary'!$A91)</f>
        <v>0</v>
      </c>
      <c r="AL91" s="97">
        <f>$AH91*SUMIFS('RIN 2.12 2022-2023 REPEX'!L$6:L$15,'RIN 2.12 2022-2023 REPEX'!$A$6:$A$15,'Unit Cost Rate Summary'!$A91)</f>
        <v>0</v>
      </c>
      <c r="AM91" s="98">
        <f>$AH91*SUMIFS('RIN 2.12 2022-2023 REPEX'!M$6:M$15,'RIN 2.12 2022-2023 REPEX'!$A$6:$A$15,'Unit Cost Rate Summary'!$A91)</f>
        <v>0</v>
      </c>
      <c r="AN91" s="485">
        <f t="shared" si="10"/>
        <v>0</v>
      </c>
      <c r="AO91" s="486" t="str">
        <f t="shared" si="9"/>
        <v/>
      </c>
    </row>
    <row r="92" spans="1:41" x14ac:dyDescent="0.25">
      <c r="A92" s="81" t="s">
        <v>138</v>
      </c>
      <c r="B92" s="82" t="s">
        <v>187</v>
      </c>
      <c r="C92" s="83" t="s">
        <v>382</v>
      </c>
      <c r="D92" s="305" t="str">
        <f>'Defect P1'!CM92</f>
        <v>Avg 3 Yr</v>
      </c>
      <c r="E92" s="315">
        <f>'Defect P1'!CN92</f>
        <v>0.05</v>
      </c>
      <c r="F92" s="306" t="str">
        <f>IF('Defect P1'!CO92=0,"",'Defect P1'!CO92)</f>
        <v/>
      </c>
      <c r="G92" s="307" t="str">
        <f>'Defect P1'!CP92</f>
        <v/>
      </c>
      <c r="H92" s="96">
        <f>'Defect P1'!CL92</f>
        <v>0</v>
      </c>
      <c r="I92" s="305" t="str">
        <f>'Defect P2'!CM92</f>
        <v>Avg 3 Yr</v>
      </c>
      <c r="J92" s="315">
        <f>'Defect P2'!CN92</f>
        <v>0</v>
      </c>
      <c r="K92" s="306" t="str">
        <f>IF('Defect P2'!CO92=0,"",'Defect P2'!CO92)</f>
        <v/>
      </c>
      <c r="L92" s="307" t="str">
        <f>'Defect P2'!CP92</f>
        <v/>
      </c>
      <c r="M92" s="96">
        <f>'Defect P2'!CL92</f>
        <v>0</v>
      </c>
      <c r="N92" s="305" t="str">
        <f>RTS!CM92</f>
        <v>Avg 3 Yr</v>
      </c>
      <c r="O92" s="315">
        <f>RTS!CN92</f>
        <v>0.05</v>
      </c>
      <c r="P92" s="306" t="str">
        <f>IF(RTS!CO92=0,"",RTS!CO92)</f>
        <v/>
      </c>
      <c r="Q92" s="307" t="str">
        <f>RTS!CP92</f>
        <v/>
      </c>
      <c r="R92" s="96">
        <f>RTS!CL92</f>
        <v>0</v>
      </c>
      <c r="S92" s="305" t="str">
        <f>Planned!CM92</f>
        <v>Avg 3 Yr</v>
      </c>
      <c r="T92" s="315">
        <f>Planned!CN92</f>
        <v>0.05</v>
      </c>
      <c r="U92" s="306" t="str">
        <f>IF(Planned!CO92=0,"",Planned!CO92)</f>
        <v/>
      </c>
      <c r="V92" s="307" t="str">
        <f>Planned!CP92</f>
        <v/>
      </c>
      <c r="W92" s="96">
        <f>Planned!CL92</f>
        <v>0</v>
      </c>
      <c r="X92" s="305" t="str">
        <f>Reconductor!CM92</f>
        <v>Avg 3 Yr</v>
      </c>
      <c r="Y92" s="315">
        <f>Reconductor!CN92</f>
        <v>0.05</v>
      </c>
      <c r="Z92" s="306" t="str">
        <f>IF(Reconductor!CO92=0,"",Reconductor!CO92)</f>
        <v/>
      </c>
      <c r="AA92" s="307" t="str">
        <f>Reconductor!CP92</f>
        <v/>
      </c>
      <c r="AB92" s="96">
        <f>Reconductor!CL92</f>
        <v>0</v>
      </c>
      <c r="AC92" s="305" t="str">
        <f>CTGS!CM92</f>
        <v>Avg 5 Yr</v>
      </c>
      <c r="AD92" s="315">
        <f>CTGS!CN92</f>
        <v>0.05</v>
      </c>
      <c r="AE92" s="306" t="str">
        <f>IF(CTGS!CO92=0,"",CTGS!CO92)</f>
        <v/>
      </c>
      <c r="AF92" s="307" t="str">
        <f>CTGS!CP92</f>
        <v/>
      </c>
      <c r="AG92" s="392"/>
      <c r="AH92" s="98">
        <f t="shared" si="7"/>
        <v>0</v>
      </c>
      <c r="AI92" s="307" t="str">
        <f t="shared" si="8"/>
        <v/>
      </c>
      <c r="AJ92" s="416">
        <f>$AH92*SUMIFS('RIN 2.12 2022-2023 REPEX'!J$6:J$15,'RIN 2.12 2022-2023 REPEX'!$A$6:$A$15,'Unit Cost Rate Summary'!$A92)</f>
        <v>0</v>
      </c>
      <c r="AK92" s="97">
        <f>$AH92*SUMIFS('RIN 2.12 2022-2023 REPEX'!K$6:K$15,'RIN 2.12 2022-2023 REPEX'!$A$6:$A$15,'Unit Cost Rate Summary'!$A92)</f>
        <v>0</v>
      </c>
      <c r="AL92" s="97">
        <f>$AH92*SUMIFS('RIN 2.12 2022-2023 REPEX'!L$6:L$15,'RIN 2.12 2022-2023 REPEX'!$A$6:$A$15,'Unit Cost Rate Summary'!$A92)</f>
        <v>0</v>
      </c>
      <c r="AM92" s="98">
        <f>$AH92*SUMIFS('RIN 2.12 2022-2023 REPEX'!M$6:M$15,'RIN 2.12 2022-2023 REPEX'!$A$6:$A$15,'Unit Cost Rate Summary'!$A92)</f>
        <v>0</v>
      </c>
      <c r="AN92" s="485">
        <f t="shared" si="10"/>
        <v>0</v>
      </c>
      <c r="AO92" s="486" t="str">
        <f t="shared" si="9"/>
        <v/>
      </c>
    </row>
    <row r="93" spans="1:41" x14ac:dyDescent="0.25">
      <c r="A93" s="81" t="s">
        <v>138</v>
      </c>
      <c r="B93" s="82" t="s">
        <v>189</v>
      </c>
      <c r="C93" s="83" t="s">
        <v>383</v>
      </c>
      <c r="D93" s="305" t="str">
        <f>'Defect P1'!CM93</f>
        <v>Avg 3 Yr</v>
      </c>
      <c r="E93" s="315">
        <f>'Defect P1'!CN93</f>
        <v>0.05</v>
      </c>
      <c r="F93" s="306" t="str">
        <f>IF('Defect P1'!CO93=0,"",'Defect P1'!CO93)</f>
        <v/>
      </c>
      <c r="G93" s="307" t="str">
        <f>'Defect P1'!CP93</f>
        <v/>
      </c>
      <c r="H93" s="96">
        <f>'Defect P1'!CL93</f>
        <v>0</v>
      </c>
      <c r="I93" s="305" t="str">
        <f>'Defect P2'!CM93</f>
        <v>Avg 3 Yr</v>
      </c>
      <c r="J93" s="315">
        <f>'Defect P2'!CN93</f>
        <v>0</v>
      </c>
      <c r="K93" s="306" t="str">
        <f>IF('Defect P2'!CO93=0,"",'Defect P2'!CO93)</f>
        <v/>
      </c>
      <c r="L93" s="307" t="str">
        <f>'Defect P2'!CP93</f>
        <v/>
      </c>
      <c r="M93" s="96">
        <f>'Defect P2'!CL93</f>
        <v>0</v>
      </c>
      <c r="N93" s="305" t="str">
        <f>RTS!CM93</f>
        <v>Avg 3 Yr</v>
      </c>
      <c r="O93" s="315">
        <f>RTS!CN93</f>
        <v>0.05</v>
      </c>
      <c r="P93" s="306" t="str">
        <f>IF(RTS!CO93=0,"",RTS!CO93)</f>
        <v/>
      </c>
      <c r="Q93" s="307" t="str">
        <f>RTS!CP93</f>
        <v/>
      </c>
      <c r="R93" s="96">
        <f>RTS!CL93</f>
        <v>0</v>
      </c>
      <c r="S93" s="305" t="str">
        <f>Planned!CM93</f>
        <v>Avg 3 Yr</v>
      </c>
      <c r="T93" s="315">
        <f>Planned!CN93</f>
        <v>0.05</v>
      </c>
      <c r="U93" s="306" t="str">
        <f>IF(Planned!CO93=0,"",Planned!CO93)</f>
        <v/>
      </c>
      <c r="V93" s="307" t="str">
        <f>Planned!CP93</f>
        <v/>
      </c>
      <c r="W93" s="96">
        <f>Planned!CL93</f>
        <v>0</v>
      </c>
      <c r="X93" s="305" t="str">
        <f>Reconductor!CM93</f>
        <v>Avg 3 Yr</v>
      </c>
      <c r="Y93" s="315">
        <f>Reconductor!CN93</f>
        <v>0.05</v>
      </c>
      <c r="Z93" s="306" t="str">
        <f>IF(Reconductor!CO93=0,"",Reconductor!CO93)</f>
        <v/>
      </c>
      <c r="AA93" s="307" t="str">
        <f>Reconductor!CP93</f>
        <v/>
      </c>
      <c r="AB93" s="96">
        <f>Reconductor!CL93</f>
        <v>0</v>
      </c>
      <c r="AC93" s="305" t="str">
        <f>CTGS!CM93</f>
        <v>Avg 5 Yr</v>
      </c>
      <c r="AD93" s="315">
        <f>CTGS!CN93</f>
        <v>0.05</v>
      </c>
      <c r="AE93" s="306" t="str">
        <f>IF(CTGS!CO93=0,"",CTGS!CO93)</f>
        <v/>
      </c>
      <c r="AF93" s="307" t="str">
        <f>CTGS!CP93</f>
        <v/>
      </c>
      <c r="AG93" s="392"/>
      <c r="AH93" s="98">
        <f t="shared" si="7"/>
        <v>0</v>
      </c>
      <c r="AI93" s="307" t="str">
        <f t="shared" si="8"/>
        <v/>
      </c>
      <c r="AJ93" s="416">
        <f>$AH93*SUMIFS('RIN 2.12 2022-2023 REPEX'!J$6:J$15,'RIN 2.12 2022-2023 REPEX'!$A$6:$A$15,'Unit Cost Rate Summary'!$A93)</f>
        <v>0</v>
      </c>
      <c r="AK93" s="97">
        <f>$AH93*SUMIFS('RIN 2.12 2022-2023 REPEX'!K$6:K$15,'RIN 2.12 2022-2023 REPEX'!$A$6:$A$15,'Unit Cost Rate Summary'!$A93)</f>
        <v>0</v>
      </c>
      <c r="AL93" s="97">
        <f>$AH93*SUMIFS('RIN 2.12 2022-2023 REPEX'!L$6:L$15,'RIN 2.12 2022-2023 REPEX'!$A$6:$A$15,'Unit Cost Rate Summary'!$A93)</f>
        <v>0</v>
      </c>
      <c r="AM93" s="98">
        <f>$AH93*SUMIFS('RIN 2.12 2022-2023 REPEX'!M$6:M$15,'RIN 2.12 2022-2023 REPEX'!$A$6:$A$15,'Unit Cost Rate Summary'!$A93)</f>
        <v>0</v>
      </c>
      <c r="AN93" s="485">
        <f t="shared" si="10"/>
        <v>0</v>
      </c>
      <c r="AO93" s="486" t="str">
        <f t="shared" si="9"/>
        <v/>
      </c>
    </row>
    <row r="94" spans="1:41" x14ac:dyDescent="0.25">
      <c r="A94" s="81" t="s">
        <v>138</v>
      </c>
      <c r="B94" s="82" t="s">
        <v>191</v>
      </c>
      <c r="C94" s="83" t="s">
        <v>384</v>
      </c>
      <c r="D94" s="305" t="str">
        <f>'Defect P1'!CM94</f>
        <v>Avg 3 Yr</v>
      </c>
      <c r="E94" s="315">
        <f>'Defect P1'!CN94</f>
        <v>0.05</v>
      </c>
      <c r="F94" s="306" t="str">
        <f>IF('Defect P1'!CO94=0,"",'Defect P1'!CO94)</f>
        <v/>
      </c>
      <c r="G94" s="307" t="str">
        <f>'Defect P1'!CP94</f>
        <v/>
      </c>
      <c r="H94" s="96">
        <f>'Defect P1'!CL94</f>
        <v>0</v>
      </c>
      <c r="I94" s="305" t="str">
        <f>'Defect P2'!CM94</f>
        <v>Avg 3 Yr</v>
      </c>
      <c r="J94" s="315">
        <f>'Defect P2'!CN94</f>
        <v>0</v>
      </c>
      <c r="K94" s="306" t="str">
        <f>IF('Defect P2'!CO94=0,"",'Defect P2'!CO94)</f>
        <v/>
      </c>
      <c r="L94" s="307" t="str">
        <f>'Defect P2'!CP94</f>
        <v/>
      </c>
      <c r="M94" s="96">
        <f>'Defect P2'!CL94</f>
        <v>0</v>
      </c>
      <c r="N94" s="305" t="str">
        <f>RTS!CM94</f>
        <v>Avg 3 Yr</v>
      </c>
      <c r="O94" s="315">
        <f>RTS!CN94</f>
        <v>0.05</v>
      </c>
      <c r="P94" s="306" t="str">
        <f>IF(RTS!CO94=0,"",RTS!CO94)</f>
        <v/>
      </c>
      <c r="Q94" s="307" t="str">
        <f>RTS!CP94</f>
        <v/>
      </c>
      <c r="R94" s="96">
        <f>RTS!CL94</f>
        <v>0</v>
      </c>
      <c r="S94" s="305" t="str">
        <f>Planned!CM94</f>
        <v>Avg 3 Yr</v>
      </c>
      <c r="T94" s="315">
        <f>Planned!CN94</f>
        <v>0.05</v>
      </c>
      <c r="U94" s="306" t="str">
        <f>IF(Planned!CO94=0,"",Planned!CO94)</f>
        <v/>
      </c>
      <c r="V94" s="307" t="str">
        <f>Planned!CP94</f>
        <v/>
      </c>
      <c r="W94" s="96">
        <f>Planned!CL94</f>
        <v>0</v>
      </c>
      <c r="X94" s="305" t="str">
        <f>Reconductor!CM94</f>
        <v>Avg 3 Yr</v>
      </c>
      <c r="Y94" s="315">
        <f>Reconductor!CN94</f>
        <v>0.05</v>
      </c>
      <c r="Z94" s="306" t="str">
        <f>IF(Reconductor!CO94=0,"",Reconductor!CO94)</f>
        <v/>
      </c>
      <c r="AA94" s="307" t="str">
        <f>Reconductor!CP94</f>
        <v/>
      </c>
      <c r="AB94" s="96">
        <f>Reconductor!CL94</f>
        <v>0</v>
      </c>
      <c r="AC94" s="305" t="str">
        <f>CTGS!CM94</f>
        <v>Avg 5 Yr</v>
      </c>
      <c r="AD94" s="315">
        <f>CTGS!CN94</f>
        <v>0.05</v>
      </c>
      <c r="AE94" s="306" t="str">
        <f>IF(CTGS!CO94=0,"",CTGS!CO94)</f>
        <v/>
      </c>
      <c r="AF94" s="307" t="str">
        <f>CTGS!CP94</f>
        <v/>
      </c>
      <c r="AG94" s="392"/>
      <c r="AH94" s="98">
        <f t="shared" si="7"/>
        <v>0</v>
      </c>
      <c r="AI94" s="307" t="str">
        <f t="shared" si="8"/>
        <v/>
      </c>
      <c r="AJ94" s="416">
        <f>$AH94*SUMIFS('RIN 2.12 2022-2023 REPEX'!J$6:J$15,'RIN 2.12 2022-2023 REPEX'!$A$6:$A$15,'Unit Cost Rate Summary'!$A94)</f>
        <v>0</v>
      </c>
      <c r="AK94" s="97">
        <f>$AH94*SUMIFS('RIN 2.12 2022-2023 REPEX'!K$6:K$15,'RIN 2.12 2022-2023 REPEX'!$A$6:$A$15,'Unit Cost Rate Summary'!$A94)</f>
        <v>0</v>
      </c>
      <c r="AL94" s="97">
        <f>$AH94*SUMIFS('RIN 2.12 2022-2023 REPEX'!L$6:L$15,'RIN 2.12 2022-2023 REPEX'!$A$6:$A$15,'Unit Cost Rate Summary'!$A94)</f>
        <v>0</v>
      </c>
      <c r="AM94" s="98">
        <f>$AH94*SUMIFS('RIN 2.12 2022-2023 REPEX'!M$6:M$15,'RIN 2.12 2022-2023 REPEX'!$A$6:$A$15,'Unit Cost Rate Summary'!$A94)</f>
        <v>0</v>
      </c>
      <c r="AN94" s="485">
        <f t="shared" si="10"/>
        <v>0</v>
      </c>
      <c r="AO94" s="486" t="str">
        <f t="shared" si="9"/>
        <v/>
      </c>
    </row>
    <row r="95" spans="1:41" ht="15.75" thickBot="1" x14ac:dyDescent="0.3">
      <c r="A95" s="100" t="s">
        <v>138</v>
      </c>
      <c r="B95" s="101" t="s">
        <v>385</v>
      </c>
      <c r="C95" s="102" t="s">
        <v>386</v>
      </c>
      <c r="D95" s="308" t="str">
        <f>'Defect P1'!CM95</f>
        <v>Avg 3 Yr</v>
      </c>
      <c r="E95" s="316">
        <f>'Defect P1'!CN95</f>
        <v>0.05</v>
      </c>
      <c r="F95" s="309" t="str">
        <f>IF('Defect P1'!CO95=0,"",'Defect P1'!CO95)</f>
        <v/>
      </c>
      <c r="G95" s="310" t="str">
        <f>'Defect P1'!CP95</f>
        <v/>
      </c>
      <c r="H95" s="141">
        <f>'Defect P1'!CL95</f>
        <v>0</v>
      </c>
      <c r="I95" s="308" t="str">
        <f>'Defect P2'!CM95</f>
        <v>Avg 3 Yr</v>
      </c>
      <c r="J95" s="316">
        <f>'Defect P2'!CN95</f>
        <v>0</v>
      </c>
      <c r="K95" s="309" t="str">
        <f>IF('Defect P2'!CO95=0,"",'Defect P2'!CO95)</f>
        <v/>
      </c>
      <c r="L95" s="310">
        <f>'Defect P2'!CP95</f>
        <v>5757.8777173810004</v>
      </c>
      <c r="M95" s="141">
        <f>'Defect P2'!CL95</f>
        <v>0.47333333333333327</v>
      </c>
      <c r="N95" s="308" t="str">
        <f>RTS!CM95</f>
        <v>Avg 5 Yr</v>
      </c>
      <c r="O95" s="316">
        <f>RTS!CN95</f>
        <v>0.05</v>
      </c>
      <c r="P95" s="309" t="str">
        <f>IF(RTS!CO95=0,"",RTS!CO95)</f>
        <v/>
      </c>
      <c r="Q95" s="310">
        <f>RTS!CP95</f>
        <v>29709.836920557962</v>
      </c>
      <c r="R95" s="141">
        <f>RTS!CL95</f>
        <v>0</v>
      </c>
      <c r="S95" s="308" t="str">
        <f>Planned!CM95</f>
        <v>Avg 3 Yr</v>
      </c>
      <c r="T95" s="316">
        <f>Planned!CN95</f>
        <v>0.05</v>
      </c>
      <c r="U95" s="309" t="str">
        <f>IF(Planned!CO95=0,"",Planned!CO95)</f>
        <v/>
      </c>
      <c r="V95" s="310" t="str">
        <f>Planned!CP95</f>
        <v/>
      </c>
      <c r="W95" s="141">
        <f>Planned!CL95</f>
        <v>0</v>
      </c>
      <c r="X95" s="308" t="str">
        <f>Reconductor!CM95</f>
        <v>Avg 3 Yr</v>
      </c>
      <c r="Y95" s="316">
        <f>Reconductor!CN95</f>
        <v>0.05</v>
      </c>
      <c r="Z95" s="309" t="str">
        <f>IF(Reconductor!CO95=0,"",Reconductor!CO95)</f>
        <v/>
      </c>
      <c r="AA95" s="310" t="str">
        <f>Reconductor!CP95</f>
        <v/>
      </c>
      <c r="AB95" s="141">
        <f>Reconductor!CL95</f>
        <v>0</v>
      </c>
      <c r="AC95" s="308" t="str">
        <f>CTGS!CM95</f>
        <v>Avg 5 Yr</v>
      </c>
      <c r="AD95" s="316">
        <f>CTGS!CN95</f>
        <v>0.05</v>
      </c>
      <c r="AE95" s="309" t="str">
        <f>IF(CTGS!CO95=0,"",CTGS!CO95)</f>
        <v/>
      </c>
      <c r="AF95" s="310">
        <f>CTGS!CP95</f>
        <v>34759.322245210002</v>
      </c>
      <c r="AG95" s="393"/>
      <c r="AH95" s="118">
        <f t="shared" si="7"/>
        <v>2725.3954528936733</v>
      </c>
      <c r="AI95" s="310">
        <f t="shared" si="8"/>
        <v>5757.8777173810004</v>
      </c>
      <c r="AJ95" s="467">
        <f>$AH95*SUMIFS('RIN 2.12 2022-2023 REPEX'!J$6:J$15,'RIN 2.12 2022-2023 REPEX'!$A$6:$A$15,'Unit Cost Rate Summary'!$A95)</f>
        <v>869.76426575540108</v>
      </c>
      <c r="AK95" s="117">
        <f>$AH95*SUMIFS('RIN 2.12 2022-2023 REPEX'!K$6:K$15,'RIN 2.12 2022-2023 REPEX'!$A$6:$A$15,'Unit Cost Rate Summary'!$A95)</f>
        <v>1008.5555478085478</v>
      </c>
      <c r="AL95" s="117">
        <f>$AH95*SUMIFS('RIN 2.12 2022-2023 REPEX'!L$6:L$15,'RIN 2.12 2022-2023 REPEX'!$A$6:$A$15,'Unit Cost Rate Summary'!$A95)</f>
        <v>819.85599613710883</v>
      </c>
      <c r="AM95" s="118">
        <f>$AH95*SUMIFS('RIN 2.12 2022-2023 REPEX'!M$6:M$15,'RIN 2.12 2022-2023 REPEX'!$A$6:$A$15,'Unit Cost Rate Summary'!$A95)</f>
        <v>27.219643192615898</v>
      </c>
      <c r="AN95" s="487">
        <f t="shared" si="10"/>
        <v>9.0049602482906046</v>
      </c>
      <c r="AO95" s="488">
        <f t="shared" si="9"/>
        <v>19.024563904839308</v>
      </c>
    </row>
    <row r="96" spans="1:41" x14ac:dyDescent="0.25">
      <c r="A96" s="63" t="s">
        <v>196</v>
      </c>
      <c r="B96" s="64" t="s">
        <v>193</v>
      </c>
      <c r="C96" s="65" t="s">
        <v>387</v>
      </c>
      <c r="D96" s="302" t="str">
        <f>'Defect P1'!CM96</f>
        <v>Avg 3 Yr</v>
      </c>
      <c r="E96" s="314">
        <f>'Defect P1'!CN96</f>
        <v>0.05</v>
      </c>
      <c r="F96" s="303" t="str">
        <f>IF('Defect P1'!CO96=0,"",'Defect P1'!CO96)</f>
        <v/>
      </c>
      <c r="G96" s="304">
        <f>'Defect P1'!CP96</f>
        <v>22628.972684689805</v>
      </c>
      <c r="H96" s="78">
        <f>'Defect P1'!CL96</f>
        <v>0.9106812101666667</v>
      </c>
      <c r="I96" s="302" t="str">
        <f>'Defect P2'!CM96</f>
        <v>Avg 3 Yr</v>
      </c>
      <c r="J96" s="314">
        <f>'Defect P2'!CN96</f>
        <v>0</v>
      </c>
      <c r="K96" s="303" t="str">
        <f>IF('Defect P2'!CO96=0,"",'Defect P2'!CO96)</f>
        <v/>
      </c>
      <c r="L96" s="304">
        <f>'Defect P2'!CP96</f>
        <v>12847.296617046522</v>
      </c>
      <c r="M96" s="78">
        <f>'Defect P2'!CL96</f>
        <v>1208.9385</v>
      </c>
      <c r="N96" s="302" t="str">
        <f>RTS!CM96</f>
        <v>Avg 3 Yr</v>
      </c>
      <c r="O96" s="314">
        <f>RTS!CN96</f>
        <v>0.05</v>
      </c>
      <c r="P96" s="303" t="str">
        <f>IF(RTS!CO96=0,"",RTS!CO96)</f>
        <v/>
      </c>
      <c r="Q96" s="304">
        <f>RTS!CP96</f>
        <v>8074.4809591137046</v>
      </c>
      <c r="R96" s="78">
        <f>RTS!CL96</f>
        <v>59.558551144900001</v>
      </c>
      <c r="S96" s="302" t="str">
        <f>Planned!CM96</f>
        <v>Avg 3 Yr</v>
      </c>
      <c r="T96" s="314">
        <f>Planned!CN96</f>
        <v>0.05</v>
      </c>
      <c r="U96" s="303" t="str">
        <f>IF(Planned!CO96=0,"",Planned!CO96)</f>
        <v/>
      </c>
      <c r="V96" s="304">
        <f>Planned!CP96</f>
        <v>54826.214423351899</v>
      </c>
      <c r="W96" s="78">
        <f>Planned!CL96</f>
        <v>0</v>
      </c>
      <c r="X96" s="302" t="str">
        <f>Reconductor!CM96</f>
        <v>Avg 3 Yr</v>
      </c>
      <c r="Y96" s="314">
        <f>Reconductor!CN96</f>
        <v>0.05</v>
      </c>
      <c r="Z96" s="303">
        <f>IF(Reconductor!CO96=0,"",Reconductor!CO96)</f>
        <v>12617.154686797503</v>
      </c>
      <c r="AA96" s="304">
        <f>Reconductor!CP96</f>
        <v>12617.154686797503</v>
      </c>
      <c r="AB96" s="78">
        <f>Reconductor!CL96</f>
        <v>286.25196487208103</v>
      </c>
      <c r="AC96" s="302" t="str">
        <f>CTGS!CM96</f>
        <v>Avg 5 Yr</v>
      </c>
      <c r="AD96" s="314">
        <f>CTGS!CN96</f>
        <v>0.05</v>
      </c>
      <c r="AE96" s="303" t="str">
        <f>IF(CTGS!CO96=0,"",CTGS!CO96)</f>
        <v/>
      </c>
      <c r="AF96" s="304">
        <f>CTGS!CP96</f>
        <v>1271.9267606197359</v>
      </c>
      <c r="AG96" s="391" t="s">
        <v>523</v>
      </c>
      <c r="AH96" s="80">
        <f t="shared" si="7"/>
        <v>19644788.988859285</v>
      </c>
      <c r="AI96" s="304">
        <f t="shared" si="8"/>
        <v>12627.947502834146</v>
      </c>
      <c r="AJ96" s="415">
        <f>$AH96*SUMIFS('RIN 2.12 2022-2023 REPEX'!J$6:J$15,'RIN 2.12 2022-2023 REPEX'!$A$6:$A$15,'Unit Cost Rate Summary'!$A96)</f>
        <v>4963012.7158881566</v>
      </c>
      <c r="AK96" s="79">
        <f>$AH96*SUMIFS('RIN 2.12 2022-2023 REPEX'!K$6:K$15,'RIN 2.12 2022-2023 REPEX'!$A$6:$A$15,'Unit Cost Rate Summary'!$A96)</f>
        <v>7413390.2741024029</v>
      </c>
      <c r="AL96" s="79">
        <f>$AH96*SUMIFS('RIN 2.12 2022-2023 REPEX'!L$6:L$15,'RIN 2.12 2022-2023 REPEX'!$A$6:$A$15,'Unit Cost Rate Summary'!$A96)</f>
        <v>6895020.9376748418</v>
      </c>
      <c r="AM96" s="80">
        <f>$AH96*SUMIFS('RIN 2.12 2022-2023 REPEX'!M$6:M$15,'RIN 2.12 2022-2023 REPEX'!$A$6:$A$15,'Unit Cost Rate Summary'!$A96)</f>
        <v>373365.06119388365</v>
      </c>
      <c r="AN96" s="846">
        <f>AO96*AB96</f>
        <v>2290.0157189766483</v>
      </c>
      <c r="AO96" s="845">
        <v>8</v>
      </c>
    </row>
    <row r="97" spans="1:41" x14ac:dyDescent="0.25">
      <c r="A97" s="81" t="s">
        <v>196</v>
      </c>
      <c r="B97" s="82" t="s">
        <v>197</v>
      </c>
      <c r="C97" s="83" t="s">
        <v>388</v>
      </c>
      <c r="D97" s="305" t="str">
        <f>'Defect P1'!CM97</f>
        <v>Avg 3 Yr</v>
      </c>
      <c r="E97" s="315">
        <f>'Defect P1'!CN97</f>
        <v>0.05</v>
      </c>
      <c r="F97" s="306" t="str">
        <f>IF('Defect P1'!CO97=0,"",'Defect P1'!CO97)</f>
        <v/>
      </c>
      <c r="G97" s="307" t="str">
        <f>'Defect P1'!CP97</f>
        <v/>
      </c>
      <c r="H97" s="96">
        <f>'Defect P1'!CL97</f>
        <v>5.1362142856200004</v>
      </c>
      <c r="I97" s="305" t="str">
        <f>'Defect P2'!CM97</f>
        <v>Avg 3 Yr</v>
      </c>
      <c r="J97" s="315">
        <f>'Defect P2'!CN97</f>
        <v>0</v>
      </c>
      <c r="K97" s="306" t="str">
        <f>IF('Defect P2'!CO97=0,"",'Defect P2'!CO97)</f>
        <v/>
      </c>
      <c r="L97" s="307">
        <f>'Defect P2'!CP97</f>
        <v>34813.420538899118</v>
      </c>
      <c r="M97" s="96">
        <f>'Defect P2'!CL97</f>
        <v>18.345195070098363</v>
      </c>
      <c r="N97" s="305" t="str">
        <f>RTS!CM97</f>
        <v>Avg 3 Yr</v>
      </c>
      <c r="O97" s="315">
        <f>RTS!CN97</f>
        <v>0.05</v>
      </c>
      <c r="P97" s="306" t="str">
        <f>IF(RTS!CO97=0,"",RTS!CO97)</f>
        <v/>
      </c>
      <c r="Q97" s="307">
        <f>RTS!CP97</f>
        <v>17835.166976361816</v>
      </c>
      <c r="R97" s="96">
        <f>RTS!CL97</f>
        <v>155.07550000000001</v>
      </c>
      <c r="S97" s="305" t="str">
        <f>Planned!CM97</f>
        <v>Avg 3 Yr</v>
      </c>
      <c r="T97" s="315">
        <f>Planned!CN97</f>
        <v>0.05</v>
      </c>
      <c r="U97" s="306" t="str">
        <f>IF(Planned!CO97=0,"",Planned!CO97)</f>
        <v/>
      </c>
      <c r="V97" s="307">
        <f>Planned!CP97</f>
        <v>42406.17471437098</v>
      </c>
      <c r="W97" s="96">
        <f>Planned!CL97</f>
        <v>0</v>
      </c>
      <c r="X97" s="305" t="str">
        <f>Reconductor!CM97</f>
        <v>Avg 3 Yr</v>
      </c>
      <c r="Y97" s="315">
        <f>Reconductor!CN97</f>
        <v>0.05</v>
      </c>
      <c r="Z97" s="306" t="str">
        <f>IF(Reconductor!CO97=0,"",Reconductor!CO97)</f>
        <v/>
      </c>
      <c r="AA97" s="307">
        <f>Reconductor!CP97</f>
        <v>49862.426929305839</v>
      </c>
      <c r="AB97" s="96">
        <f>Reconductor!CL97</f>
        <v>22.445814440326036</v>
      </c>
      <c r="AC97" s="305" t="str">
        <f>CTGS!CM97</f>
        <v>Avg 5 Yr</v>
      </c>
      <c r="AD97" s="315">
        <f>CTGS!CN97</f>
        <v>0.05</v>
      </c>
      <c r="AE97" s="306" t="str">
        <f>IF(CTGS!CO97=0,"",CTGS!CO97)</f>
        <v/>
      </c>
      <c r="AF97" s="307">
        <f>CTGS!CP97</f>
        <v>29332.027251417483</v>
      </c>
      <c r="AG97" s="392" t="s">
        <v>524</v>
      </c>
      <c r="AH97" s="98">
        <f t="shared" si="7"/>
        <v>4523659.2096857848</v>
      </c>
      <c r="AI97" s="307">
        <f t="shared" si="8"/>
        <v>22505.462235804822</v>
      </c>
      <c r="AJ97" s="416">
        <f>$AH97*SUMIFS('RIN 2.12 2022-2023 REPEX'!J$6:J$15,'RIN 2.12 2022-2023 REPEX'!$A$6:$A$15,'Unit Cost Rate Summary'!$A97)</f>
        <v>1142846.4918990601</v>
      </c>
      <c r="AK97" s="97">
        <f>$AH97*SUMIFS('RIN 2.12 2022-2023 REPEX'!K$6:K$15,'RIN 2.12 2022-2023 REPEX'!$A$6:$A$15,'Unit Cost Rate Summary'!$A97)</f>
        <v>1707101.6241231551</v>
      </c>
      <c r="AL97" s="97">
        <f>$AH97*SUMIFS('RIN 2.12 2022-2023 REPEX'!L$6:L$15,'RIN 2.12 2022-2023 REPEX'!$A$6:$A$15,'Unit Cost Rate Summary'!$A97)</f>
        <v>1587735.3013757297</v>
      </c>
      <c r="AM97" s="98">
        <f>$AH97*SUMIFS('RIN 2.12 2022-2023 REPEX'!M$6:M$15,'RIN 2.12 2022-2023 REPEX'!$A$6:$A$15,'Unit Cost Rate Summary'!$A97)</f>
        <v>85975.792287839795</v>
      </c>
      <c r="AN97" s="485">
        <f t="shared" si="10"/>
        <v>15241.978786813885</v>
      </c>
      <c r="AO97" s="486">
        <f t="shared" si="9"/>
        <v>75.829712647475247</v>
      </c>
    </row>
    <row r="98" spans="1:41" x14ac:dyDescent="0.25">
      <c r="A98" s="81" t="s">
        <v>196</v>
      </c>
      <c r="B98" s="82" t="s">
        <v>199</v>
      </c>
      <c r="C98" s="83" t="s">
        <v>389</v>
      </c>
      <c r="D98" s="305" t="str">
        <f>'Defect P1'!CM98</f>
        <v>Avg 3 Yr</v>
      </c>
      <c r="E98" s="315">
        <f>'Defect P1'!CN98</f>
        <v>0.05</v>
      </c>
      <c r="F98" s="306" t="str">
        <f>IF('Defect P1'!CO98=0,"",'Defect P1'!CO98)</f>
        <v/>
      </c>
      <c r="G98" s="307" t="str">
        <f>'Defect P1'!CP98</f>
        <v/>
      </c>
      <c r="H98" s="96">
        <f>'Defect P1'!CL98</f>
        <v>0</v>
      </c>
      <c r="I98" s="305" t="str">
        <f>'Defect P2'!CM98</f>
        <v>Avg 3 Yr</v>
      </c>
      <c r="J98" s="315">
        <f>'Defect P2'!CN98</f>
        <v>0</v>
      </c>
      <c r="K98" s="306" t="str">
        <f>IF('Defect P2'!CO98=0,"",'Defect P2'!CO98)</f>
        <v/>
      </c>
      <c r="L98" s="307">
        <f>'Defect P2'!CP98</f>
        <v>15400.01</v>
      </c>
      <c r="M98" s="96">
        <f>'Defect P2'!CL98</f>
        <v>0</v>
      </c>
      <c r="N98" s="305" t="str">
        <f>RTS!CM98</f>
        <v>Avg 3 Yr</v>
      </c>
      <c r="O98" s="315">
        <f>RTS!CN98</f>
        <v>0.05</v>
      </c>
      <c r="P98" s="306" t="str">
        <f>IF(RTS!CO98=0,"",RTS!CO98)</f>
        <v/>
      </c>
      <c r="Q98" s="307">
        <f>RTS!CP98</f>
        <v>23311.647664314001</v>
      </c>
      <c r="R98" s="96">
        <f>RTS!CL98</f>
        <v>0.26783333333333331</v>
      </c>
      <c r="S98" s="305" t="str">
        <f>Planned!CM98</f>
        <v>Avg 3 Yr</v>
      </c>
      <c r="T98" s="315">
        <f>Planned!CN98</f>
        <v>0.05</v>
      </c>
      <c r="U98" s="306" t="str">
        <f>IF(Planned!CO98=0,"",Planned!CO98)</f>
        <v/>
      </c>
      <c r="V98" s="307" t="str">
        <f>Planned!CP98</f>
        <v/>
      </c>
      <c r="W98" s="96">
        <f>Planned!CL98</f>
        <v>0</v>
      </c>
      <c r="X98" s="305" t="str">
        <f>Reconductor!CM98</f>
        <v>Avg 3 Yr</v>
      </c>
      <c r="Y98" s="315">
        <f>Reconductor!CN98</f>
        <v>0.05</v>
      </c>
      <c r="Z98" s="306" t="str">
        <f>IF(Reconductor!CO98=0,"",Reconductor!CO98)</f>
        <v/>
      </c>
      <c r="AA98" s="307" t="str">
        <f>Reconductor!CP98</f>
        <v/>
      </c>
      <c r="AB98" s="96">
        <f>Reconductor!CL98</f>
        <v>0</v>
      </c>
      <c r="AC98" s="305" t="str">
        <f>CTGS!CM98</f>
        <v>Avg 5 Yr</v>
      </c>
      <c r="AD98" s="315">
        <f>CTGS!CN98</f>
        <v>0.05</v>
      </c>
      <c r="AE98" s="306" t="str">
        <f>IF(CTGS!CO98=0,"",CTGS!CO98)</f>
        <v/>
      </c>
      <c r="AF98" s="307" t="str">
        <f>CTGS!CP98</f>
        <v/>
      </c>
      <c r="AG98" s="392"/>
      <c r="AH98" s="98">
        <f t="shared" si="7"/>
        <v>6243.6362994254332</v>
      </c>
      <c r="AI98" s="307">
        <f t="shared" si="8"/>
        <v>23311.647664314001</v>
      </c>
      <c r="AJ98" s="416">
        <f>$AH98*SUMIFS('RIN 2.12 2022-2023 REPEX'!J$6:J$15,'RIN 2.12 2022-2023 REPEX'!$A$6:$A$15,'Unit Cost Rate Summary'!$A98)</f>
        <v>1577.3774085841496</v>
      </c>
      <c r="AK98" s="97">
        <f>$AH98*SUMIFS('RIN 2.12 2022-2023 REPEX'!K$6:K$15,'RIN 2.12 2022-2023 REPEX'!$A$6:$A$15,'Unit Cost Rate Summary'!$A98)</f>
        <v>2356.1725526012356</v>
      </c>
      <c r="AL98" s="97">
        <f>$AH98*SUMIFS('RIN 2.12 2022-2023 REPEX'!L$6:L$15,'RIN 2.12 2022-2023 REPEX'!$A$6:$A$15,'Unit Cost Rate Summary'!$A98)</f>
        <v>2191.4209939429243</v>
      </c>
      <c r="AM98" s="98">
        <f>$AH98*SUMIFS('RIN 2.12 2022-2023 REPEX'!M$6:M$15,'RIN 2.12 2022-2023 REPEX'!$A$6:$A$15,'Unit Cost Rate Summary'!$A98)</f>
        <v>118.66534429712362</v>
      </c>
      <c r="AN98" s="485">
        <f t="shared" si="10"/>
        <v>21.037254933939604</v>
      </c>
      <c r="AO98" s="486">
        <f t="shared" si="9"/>
        <v>78.546066959326467</v>
      </c>
    </row>
    <row r="99" spans="1:41" x14ac:dyDescent="0.25">
      <c r="A99" s="81" t="s">
        <v>196</v>
      </c>
      <c r="B99" s="82" t="s">
        <v>201</v>
      </c>
      <c r="C99" s="83" t="s">
        <v>390</v>
      </c>
      <c r="D99" s="305" t="str">
        <f>'Defect P1'!CM99</f>
        <v>Avg 3 Yr</v>
      </c>
      <c r="E99" s="315">
        <f>'Defect P1'!CN99</f>
        <v>0.05</v>
      </c>
      <c r="F99" s="306" t="str">
        <f>IF('Defect P1'!CO99=0,"",'Defect P1'!CO99)</f>
        <v/>
      </c>
      <c r="G99" s="307">
        <f>'Defect P1'!CP99</f>
        <v>2838.8688632312146</v>
      </c>
      <c r="H99" s="96">
        <f>'Defect P1'!CL99</f>
        <v>57.74349999894001</v>
      </c>
      <c r="I99" s="305" t="str">
        <f>'Defect P2'!CM99</f>
        <v>Avg 3 Yr</v>
      </c>
      <c r="J99" s="315">
        <f>'Defect P2'!CN99</f>
        <v>0</v>
      </c>
      <c r="K99" s="306" t="str">
        <f>IF('Defect P2'!CO99=0,"",'Defect P2'!CO99)</f>
        <v/>
      </c>
      <c r="L99" s="307">
        <f>'Defect P2'!CP99</f>
        <v>5065.5523795959471</v>
      </c>
      <c r="M99" s="96">
        <f>'Defect P2'!CL99</f>
        <v>172.88270251244961</v>
      </c>
      <c r="N99" s="305" t="str">
        <f>RTS!CM99</f>
        <v>Avg 3 Yr</v>
      </c>
      <c r="O99" s="315">
        <f>RTS!CN99</f>
        <v>0.05</v>
      </c>
      <c r="P99" s="306" t="str">
        <f>IF(RTS!CO99=0,"",RTS!CO99)</f>
        <v/>
      </c>
      <c r="Q99" s="307">
        <f>RTS!CP99</f>
        <v>6067.0068653857252</v>
      </c>
      <c r="R99" s="96">
        <f>RTS!CL99</f>
        <v>291.93833333333333</v>
      </c>
      <c r="S99" s="305" t="str">
        <f>Planned!CM99</f>
        <v>Avg 3 Yr</v>
      </c>
      <c r="T99" s="315">
        <f>Planned!CN99</f>
        <v>0.05</v>
      </c>
      <c r="U99" s="306" t="str">
        <f>IF(Planned!CO99=0,"",Planned!CO99)</f>
        <v/>
      </c>
      <c r="V99" s="307">
        <f>Planned!CP99</f>
        <v>22022.539581089837</v>
      </c>
      <c r="W99" s="96">
        <f>Planned!CL99</f>
        <v>0</v>
      </c>
      <c r="X99" s="305" t="str">
        <f>Reconductor!CM99</f>
        <v>Avg 3 Yr</v>
      </c>
      <c r="Y99" s="315">
        <f>Reconductor!CN99</f>
        <v>0.05</v>
      </c>
      <c r="Z99" s="306" t="str">
        <f>IF(Reconductor!CO99=0,"",Reconductor!CO99)</f>
        <v/>
      </c>
      <c r="AA99" s="307">
        <f>Reconductor!CP99</f>
        <v>3789.8395508688809</v>
      </c>
      <c r="AB99" s="96">
        <f>Reconductor!CL99</f>
        <v>130.06547831938929</v>
      </c>
      <c r="AC99" s="305" t="str">
        <f>CTGS!CM99</f>
        <v>Avg 5 Yr</v>
      </c>
      <c r="AD99" s="315">
        <f>CTGS!CN99</f>
        <v>0.05</v>
      </c>
      <c r="AE99" s="306" t="str">
        <f>IF(CTGS!CO99=0,"",CTGS!CO99)</f>
        <v/>
      </c>
      <c r="AF99" s="307">
        <f>CTGS!CP99</f>
        <v>4382.4802645673162</v>
      </c>
      <c r="AG99" s="392"/>
      <c r="AH99" s="98">
        <f t="shared" si="7"/>
        <v>3303791.7758440003</v>
      </c>
      <c r="AI99" s="307">
        <f t="shared" si="8"/>
        <v>5062.2737295885672</v>
      </c>
      <c r="AJ99" s="416">
        <f>$AH99*SUMIFS('RIN 2.12 2022-2023 REPEX'!J$6:J$15,'RIN 2.12 2022-2023 REPEX'!$A$6:$A$15,'Unit Cost Rate Summary'!$A99)</f>
        <v>834662.08791854267</v>
      </c>
      <c r="AK99" s="97">
        <f>$AH99*SUMIFS('RIN 2.12 2022-2023 REPEX'!K$6:K$15,'RIN 2.12 2022-2023 REPEX'!$A$6:$A$15,'Unit Cost Rate Summary'!$A99)</f>
        <v>1246757.9994160892</v>
      </c>
      <c r="AL99" s="97">
        <f>$AH99*SUMIFS('RIN 2.12 2022-2023 REPEX'!L$6:L$15,'RIN 2.12 2022-2023 REPEX'!$A$6:$A$15,'Unit Cost Rate Summary'!$A99)</f>
        <v>1159580.4608072343</v>
      </c>
      <c r="AM99" s="98">
        <f>$AH99*SUMIFS('RIN 2.12 2022-2023 REPEX'!M$6:M$15,'RIN 2.12 2022-2023 REPEX'!$A$6:$A$15,'Unit Cost Rate Summary'!$A99)</f>
        <v>62791.227702134333</v>
      </c>
      <c r="AN99" s="485">
        <f t="shared" si="10"/>
        <v>11131.767851929368</v>
      </c>
      <c r="AO99" s="486">
        <f t="shared" si="9"/>
        <v>17.056781959663503</v>
      </c>
    </row>
    <row r="100" spans="1:41" x14ac:dyDescent="0.25">
      <c r="A100" s="81" t="s">
        <v>196</v>
      </c>
      <c r="B100" s="82" t="s">
        <v>203</v>
      </c>
      <c r="C100" s="83" t="s">
        <v>391</v>
      </c>
      <c r="D100" s="305" t="str">
        <f>'Defect P1'!CM100</f>
        <v>Avg 3 Yr</v>
      </c>
      <c r="E100" s="315">
        <f>'Defect P1'!CN100</f>
        <v>0.05</v>
      </c>
      <c r="F100" s="306" t="str">
        <f>IF('Defect P1'!CO100=0,"",'Defect P1'!CO100)</f>
        <v/>
      </c>
      <c r="G100" s="307" t="str">
        <f>'Defect P1'!CP100</f>
        <v/>
      </c>
      <c r="H100" s="96">
        <f>'Defect P1'!CL100</f>
        <v>0.15564285714000003</v>
      </c>
      <c r="I100" s="305" t="str">
        <f>'Defect P2'!CM100</f>
        <v>Avg 3 Yr</v>
      </c>
      <c r="J100" s="315">
        <f>'Defect P2'!CN100</f>
        <v>0</v>
      </c>
      <c r="K100" s="306" t="str">
        <f>IF('Defect P2'!CO100=0,"",'Defect P2'!CO100)</f>
        <v/>
      </c>
      <c r="L100" s="307">
        <f>'Defect P2'!CP100</f>
        <v>36169.623968694039</v>
      </c>
      <c r="M100" s="96">
        <f>'Defect P2'!CL100</f>
        <v>9</v>
      </c>
      <c r="N100" s="305" t="str">
        <f>RTS!CM100</f>
        <v>Avg 3 Yr</v>
      </c>
      <c r="O100" s="315">
        <f>RTS!CN100</f>
        <v>0.05</v>
      </c>
      <c r="P100" s="306" t="str">
        <f>IF(RTS!CO100=0,"",RTS!CO100)</f>
        <v/>
      </c>
      <c r="Q100" s="307">
        <f>RTS!CP100</f>
        <v>17215.097968276281</v>
      </c>
      <c r="R100" s="96">
        <f>RTS!CL100</f>
        <v>29.461666666666666</v>
      </c>
      <c r="S100" s="305" t="str">
        <f>Planned!CM100</f>
        <v>Avg 3 Yr</v>
      </c>
      <c r="T100" s="315">
        <f>Planned!CN100</f>
        <v>0.05</v>
      </c>
      <c r="U100" s="306" t="str">
        <f>IF(Planned!CO100=0,"",Planned!CO100)</f>
        <v/>
      </c>
      <c r="V100" s="307">
        <f>Planned!CP100</f>
        <v>32046.976280028666</v>
      </c>
      <c r="W100" s="96">
        <f>Planned!CL100</f>
        <v>0</v>
      </c>
      <c r="X100" s="305" t="str">
        <f>Reconductor!CM100</f>
        <v>Avg 3 Yr</v>
      </c>
      <c r="Y100" s="315">
        <f>Reconductor!CN100</f>
        <v>0.05</v>
      </c>
      <c r="Z100" s="306" t="str">
        <f>IF(Reconductor!CO100=0,"",Reconductor!CO100)</f>
        <v/>
      </c>
      <c r="AA100" s="307">
        <f>Reconductor!CP100</f>
        <v>72676.746944802493</v>
      </c>
      <c r="AB100" s="96">
        <f>Reconductor!CL100</f>
        <v>0</v>
      </c>
      <c r="AC100" s="305" t="str">
        <f>CTGS!CM100</f>
        <v>Avg 5 Yr</v>
      </c>
      <c r="AD100" s="315">
        <f>CTGS!CN100</f>
        <v>0.05</v>
      </c>
      <c r="AE100" s="306" t="str">
        <f>IF(CTGS!CO100=0,"",CTGS!CO100)</f>
        <v/>
      </c>
      <c r="AF100" s="307">
        <f>CTGS!CP100</f>
        <v>32096.207928963999</v>
      </c>
      <c r="AG100" s="392"/>
      <c r="AH100" s="98">
        <f t="shared" si="7"/>
        <v>832712.09369361261</v>
      </c>
      <c r="AI100" s="307">
        <f t="shared" si="8"/>
        <v>21563.182520011269</v>
      </c>
      <c r="AJ100" s="416">
        <f>$AH100*SUMIFS('RIN 2.12 2022-2023 REPEX'!J$6:J$15,'RIN 2.12 2022-2023 REPEX'!$A$6:$A$15,'Unit Cost Rate Summary'!$A100)</f>
        <v>210374.40066263732</v>
      </c>
      <c r="AK100" s="97">
        <f>$AH100*SUMIFS('RIN 2.12 2022-2023 REPEX'!K$6:K$15,'RIN 2.12 2022-2023 REPEX'!$A$6:$A$15,'Unit Cost Rate Summary'!$A100)</f>
        <v>314242.09952148423</v>
      </c>
      <c r="AL100" s="97">
        <f>$AH100*SUMIFS('RIN 2.12 2022-2023 REPEX'!L$6:L$15,'RIN 2.12 2022-2023 REPEX'!$A$6:$A$15,'Unit Cost Rate Summary'!$A100)</f>
        <v>292269.22846199072</v>
      </c>
      <c r="AM100" s="98">
        <f>$AH100*SUMIFS('RIN 2.12 2022-2023 REPEX'!M$6:M$15,'RIN 2.12 2022-2023 REPEX'!$A$6:$A$15,'Unit Cost Rate Summary'!$A100)</f>
        <v>15826.365047500365</v>
      </c>
      <c r="AN100" s="485">
        <f t="shared" si="10"/>
        <v>2805.7330314418236</v>
      </c>
      <c r="AO100" s="486">
        <f t="shared" si="9"/>
        <v>72.654803403954247</v>
      </c>
    </row>
    <row r="101" spans="1:41" x14ac:dyDescent="0.25">
      <c r="A101" s="81" t="s">
        <v>196</v>
      </c>
      <c r="B101" s="82" t="s">
        <v>205</v>
      </c>
      <c r="C101" s="83" t="s">
        <v>206</v>
      </c>
      <c r="D101" s="305" t="str">
        <f>'Defect P1'!CM101</f>
        <v>Avg 3 Yr</v>
      </c>
      <c r="E101" s="315">
        <f>'Defect P1'!CN101</f>
        <v>0.05</v>
      </c>
      <c r="F101" s="306" t="str">
        <f>IF('Defect P1'!CO101=0,"",'Defect P1'!CO101)</f>
        <v/>
      </c>
      <c r="G101" s="307" t="str">
        <f>'Defect P1'!CP101</f>
        <v/>
      </c>
      <c r="H101" s="96">
        <f>'Defect P1'!CL101</f>
        <v>0.93385714283999999</v>
      </c>
      <c r="I101" s="305" t="str">
        <f>'Defect P2'!CM101</f>
        <v>Avg 3 Yr</v>
      </c>
      <c r="J101" s="315">
        <f>'Defect P2'!CN101</f>
        <v>0</v>
      </c>
      <c r="K101" s="306" t="str">
        <f>IF('Defect P2'!CO101=0,"",'Defect P2'!CO101)</f>
        <v/>
      </c>
      <c r="L101" s="307">
        <f>'Defect P2'!CP101</f>
        <v>11284.328460724433</v>
      </c>
      <c r="M101" s="96">
        <f>'Defect P2'!CL101</f>
        <v>4.6806670549222167</v>
      </c>
      <c r="N101" s="305" t="str">
        <f>RTS!CM101</f>
        <v>Avg 3 Yr</v>
      </c>
      <c r="O101" s="315">
        <f>RTS!CN101</f>
        <v>0.05</v>
      </c>
      <c r="P101" s="306" t="str">
        <f>IF(RTS!CO101=0,"",RTS!CO101)</f>
        <v/>
      </c>
      <c r="Q101" s="307">
        <f>RTS!CP101</f>
        <v>2573.9710035676926</v>
      </c>
      <c r="R101" s="96">
        <f>RTS!CL101</f>
        <v>7.7671666666666663</v>
      </c>
      <c r="S101" s="305" t="str">
        <f>Planned!CM101</f>
        <v>Avg 3 Yr</v>
      </c>
      <c r="T101" s="315">
        <f>Planned!CN101</f>
        <v>0.05</v>
      </c>
      <c r="U101" s="306" t="str">
        <f>IF(Planned!CO101=0,"",Planned!CO101)</f>
        <v/>
      </c>
      <c r="V101" s="307">
        <f>Planned!CP101</f>
        <v>5684.0279594342228</v>
      </c>
      <c r="W101" s="96">
        <f>Planned!CL101</f>
        <v>0</v>
      </c>
      <c r="X101" s="305" t="str">
        <f>Reconductor!CM101</f>
        <v>Avg 3 Yr</v>
      </c>
      <c r="Y101" s="315">
        <f>Reconductor!CN101</f>
        <v>0.05</v>
      </c>
      <c r="Z101" s="306" t="str">
        <f>IF(Reconductor!CO101=0,"",Reconductor!CO101)</f>
        <v/>
      </c>
      <c r="AA101" s="307" t="str">
        <f>Reconductor!CP101</f>
        <v/>
      </c>
      <c r="AB101" s="96">
        <f>Reconductor!CL101</f>
        <v>0</v>
      </c>
      <c r="AC101" s="305" t="str">
        <f>CTGS!CM101</f>
        <v>Avg 5 Yr</v>
      </c>
      <c r="AD101" s="315">
        <f>CTGS!CN101</f>
        <v>0.05</v>
      </c>
      <c r="AE101" s="306" t="str">
        <f>IF(CTGS!CO101=0,"",CTGS!CO101)</f>
        <v/>
      </c>
      <c r="AF101" s="307">
        <f>CTGS!CP101</f>
        <v>5781.0675158779995</v>
      </c>
      <c r="AG101" s="392"/>
      <c r="AH101" s="98">
        <f t="shared" si="7"/>
        <v>72810.64624291152</v>
      </c>
      <c r="AI101" s="307">
        <f t="shared" si="8"/>
        <v>5441.0647339385396</v>
      </c>
      <c r="AJ101" s="416">
        <f>$AH101*SUMIFS('RIN 2.12 2022-2023 REPEX'!J$6:J$15,'RIN 2.12 2022-2023 REPEX'!$A$6:$A$15,'Unit Cost Rate Summary'!$A101)</f>
        <v>18394.708304606087</v>
      </c>
      <c r="AK101" s="97">
        <f>$AH101*SUMIFS('RIN 2.12 2022-2023 REPEX'!K$6:K$15,'RIN 2.12 2022-2023 REPEX'!$A$6:$A$15,'Unit Cost Rate Summary'!$A101)</f>
        <v>27476.687940726719</v>
      </c>
      <c r="AL101" s="97">
        <f>$AH101*SUMIFS('RIN 2.12 2022-2023 REPEX'!L$6:L$15,'RIN 2.12 2022-2023 REPEX'!$A$6:$A$15,'Unit Cost Rate Summary'!$A101)</f>
        <v>25555.424933055616</v>
      </c>
      <c r="AM101" s="98">
        <f>$AH101*SUMIFS('RIN 2.12 2022-2023 REPEX'!M$6:M$15,'RIN 2.12 2022-2023 REPEX'!$A$6:$A$15,'Unit Cost Rate Summary'!$A101)</f>
        <v>1383.8250645230994</v>
      </c>
      <c r="AN101" s="485">
        <f t="shared" si="10"/>
        <v>245.32757089934572</v>
      </c>
      <c r="AO101" s="486">
        <f t="shared" si="9"/>
        <v>18.333077141355414</v>
      </c>
    </row>
    <row r="102" spans="1:41" x14ac:dyDescent="0.25">
      <c r="A102" s="81" t="s">
        <v>196</v>
      </c>
      <c r="B102" s="82" t="s">
        <v>207</v>
      </c>
      <c r="C102" s="83" t="s">
        <v>208</v>
      </c>
      <c r="D102" s="305" t="str">
        <f>'Defect P1'!CM102</f>
        <v>Avg 3 Yr</v>
      </c>
      <c r="E102" s="315">
        <f>'Defect P1'!CN102</f>
        <v>0.05</v>
      </c>
      <c r="F102" s="306" t="str">
        <f>IF('Defect P1'!CO102=0,"",'Defect P1'!CO102)</f>
        <v/>
      </c>
      <c r="G102" s="307" t="str">
        <f>'Defect P1'!CP102</f>
        <v/>
      </c>
      <c r="H102" s="96">
        <f>'Defect P1'!CL102</f>
        <v>0</v>
      </c>
      <c r="I102" s="305" t="str">
        <f>'Defect P2'!CM102</f>
        <v>Avg 3 Yr</v>
      </c>
      <c r="J102" s="315">
        <f>'Defect P2'!CN102</f>
        <v>0</v>
      </c>
      <c r="K102" s="306" t="str">
        <f>IF('Defect P2'!CO102=0,"",'Defect P2'!CO102)</f>
        <v/>
      </c>
      <c r="L102" s="307" t="str">
        <f>'Defect P2'!CP102</f>
        <v/>
      </c>
      <c r="M102" s="96">
        <f>'Defect P2'!CL102</f>
        <v>0</v>
      </c>
      <c r="N102" s="305" t="str">
        <f>RTS!CM102</f>
        <v>Avg 3 Yr</v>
      </c>
      <c r="O102" s="315">
        <f>RTS!CN102</f>
        <v>0.05</v>
      </c>
      <c r="P102" s="306" t="str">
        <f>IF(RTS!CO102=0,"",RTS!CO102)</f>
        <v/>
      </c>
      <c r="Q102" s="307" t="str">
        <f>RTS!CP102</f>
        <v/>
      </c>
      <c r="R102" s="96">
        <f>RTS!CL102</f>
        <v>0</v>
      </c>
      <c r="S102" s="305" t="str">
        <f>Planned!CM102</f>
        <v>Avg 3 Yr</v>
      </c>
      <c r="T102" s="315">
        <f>Planned!CN102</f>
        <v>0.05</v>
      </c>
      <c r="U102" s="306" t="str">
        <f>IF(Planned!CO102=0,"",Planned!CO102)</f>
        <v/>
      </c>
      <c r="V102" s="307" t="str">
        <f>Planned!CP102</f>
        <v/>
      </c>
      <c r="W102" s="96">
        <f>Planned!CL102</f>
        <v>0</v>
      </c>
      <c r="X102" s="305" t="str">
        <f>Reconductor!CM102</f>
        <v>Avg 3 Yr</v>
      </c>
      <c r="Y102" s="315">
        <f>Reconductor!CN102</f>
        <v>0.05</v>
      </c>
      <c r="Z102" s="306" t="str">
        <f>IF(Reconductor!CO102=0,"",Reconductor!CO102)</f>
        <v/>
      </c>
      <c r="AA102" s="307" t="str">
        <f>Reconductor!CP102</f>
        <v/>
      </c>
      <c r="AB102" s="96">
        <f>Reconductor!CL102</f>
        <v>0</v>
      </c>
      <c r="AC102" s="305" t="str">
        <f>CTGS!CM102</f>
        <v>Avg 5 Yr</v>
      </c>
      <c r="AD102" s="315">
        <f>CTGS!CN102</f>
        <v>0.05</v>
      </c>
      <c r="AE102" s="306" t="str">
        <f>IF(CTGS!CO102=0,"",CTGS!CO102)</f>
        <v/>
      </c>
      <c r="AF102" s="307" t="str">
        <f>CTGS!CP102</f>
        <v/>
      </c>
      <c r="AG102" s="392"/>
      <c r="AH102" s="98">
        <f t="shared" si="7"/>
        <v>0</v>
      </c>
      <c r="AI102" s="307" t="str">
        <f t="shared" si="8"/>
        <v/>
      </c>
      <c r="AJ102" s="416">
        <f>$AH102*SUMIFS('RIN 2.12 2022-2023 REPEX'!J$6:J$15,'RIN 2.12 2022-2023 REPEX'!$A$6:$A$15,'Unit Cost Rate Summary'!$A102)</f>
        <v>0</v>
      </c>
      <c r="AK102" s="97">
        <f>$AH102*SUMIFS('RIN 2.12 2022-2023 REPEX'!K$6:K$15,'RIN 2.12 2022-2023 REPEX'!$A$6:$A$15,'Unit Cost Rate Summary'!$A102)</f>
        <v>0</v>
      </c>
      <c r="AL102" s="97">
        <f>$AH102*SUMIFS('RIN 2.12 2022-2023 REPEX'!L$6:L$15,'RIN 2.12 2022-2023 REPEX'!$A$6:$A$15,'Unit Cost Rate Summary'!$A102)</f>
        <v>0</v>
      </c>
      <c r="AM102" s="98">
        <f>$AH102*SUMIFS('RIN 2.12 2022-2023 REPEX'!M$6:M$15,'RIN 2.12 2022-2023 REPEX'!$A$6:$A$15,'Unit Cost Rate Summary'!$A102)</f>
        <v>0</v>
      </c>
      <c r="AN102" s="485">
        <f t="shared" si="10"/>
        <v>0</v>
      </c>
      <c r="AO102" s="486" t="str">
        <f t="shared" si="9"/>
        <v/>
      </c>
    </row>
    <row r="103" spans="1:41" x14ac:dyDescent="0.25">
      <c r="A103" s="81" t="s">
        <v>196</v>
      </c>
      <c r="B103" s="82" t="s">
        <v>209</v>
      </c>
      <c r="C103" s="83" t="s">
        <v>210</v>
      </c>
      <c r="D103" s="305" t="str">
        <f>'Defect P1'!CM103</f>
        <v>Avg 3 Yr</v>
      </c>
      <c r="E103" s="315">
        <f>'Defect P1'!CN103</f>
        <v>0.05</v>
      </c>
      <c r="F103" s="306" t="str">
        <f>IF('Defect P1'!CO103=0,"",'Defect P1'!CO103)</f>
        <v/>
      </c>
      <c r="G103" s="307" t="str">
        <f>'Defect P1'!CP103</f>
        <v/>
      </c>
      <c r="H103" s="96">
        <f>'Defect P1'!CL103</f>
        <v>0</v>
      </c>
      <c r="I103" s="305" t="str">
        <f>'Defect P2'!CM103</f>
        <v>Avg 3 Yr</v>
      </c>
      <c r="J103" s="315">
        <f>'Defect P2'!CN103</f>
        <v>0</v>
      </c>
      <c r="K103" s="306" t="str">
        <f>IF('Defect P2'!CO103=0,"",'Defect P2'!CO103)</f>
        <v/>
      </c>
      <c r="L103" s="307" t="str">
        <f>'Defect P2'!CP103</f>
        <v/>
      </c>
      <c r="M103" s="96">
        <f>'Defect P2'!CL103</f>
        <v>0</v>
      </c>
      <c r="N103" s="305" t="str">
        <f>RTS!CM103</f>
        <v>Avg 3 Yr</v>
      </c>
      <c r="O103" s="315">
        <f>RTS!CN103</f>
        <v>0.05</v>
      </c>
      <c r="P103" s="306" t="str">
        <f>IF(RTS!CO103=0,"",RTS!CO103)</f>
        <v/>
      </c>
      <c r="Q103" s="307">
        <f>RTS!CP103</f>
        <v>51185.198267749503</v>
      </c>
      <c r="R103" s="96">
        <f>RTS!CL103</f>
        <v>0</v>
      </c>
      <c r="S103" s="305" t="str">
        <f>Planned!CM103</f>
        <v>Avg 3 Yr</v>
      </c>
      <c r="T103" s="315">
        <f>Planned!CN103</f>
        <v>0.05</v>
      </c>
      <c r="U103" s="306" t="str">
        <f>IF(Planned!CO103=0,"",Planned!CO103)</f>
        <v/>
      </c>
      <c r="V103" s="307">
        <f>Planned!CP103</f>
        <v>992499.98289851705</v>
      </c>
      <c r="W103" s="96">
        <f>Planned!CL103</f>
        <v>0</v>
      </c>
      <c r="X103" s="305" t="str">
        <f>Reconductor!CM103</f>
        <v>Avg 3 Yr</v>
      </c>
      <c r="Y103" s="315">
        <f>Reconductor!CN103</f>
        <v>0.05</v>
      </c>
      <c r="Z103" s="306" t="str">
        <f>IF(Reconductor!CO103=0,"",Reconductor!CO103)</f>
        <v/>
      </c>
      <c r="AA103" s="307" t="str">
        <f>Reconductor!CP103</f>
        <v/>
      </c>
      <c r="AB103" s="96">
        <f>Reconductor!CL103</f>
        <v>0</v>
      </c>
      <c r="AC103" s="305" t="str">
        <f>CTGS!CM103</f>
        <v>Avg 5 Yr</v>
      </c>
      <c r="AD103" s="315">
        <f>CTGS!CN103</f>
        <v>0.05</v>
      </c>
      <c r="AE103" s="306" t="str">
        <f>IF(CTGS!CO103=0,"",CTGS!CO103)</f>
        <v/>
      </c>
      <c r="AF103" s="307" t="str">
        <f>CTGS!CP103</f>
        <v/>
      </c>
      <c r="AG103" s="392"/>
      <c r="AH103" s="98">
        <f t="shared" ref="AH103:AH132" si="11">SUM(IFERROR(G103*H103,0),IFERROR(L103*M103,0),IFERROR(Q103*R103,0),IFERROR(V103*W103,0),IFERROR(AA103*AB103,0))</f>
        <v>0</v>
      </c>
      <c r="AI103" s="307" t="str">
        <f t="shared" ref="AI103:AI132" si="12">IFERROR(AH103/SUM(H103,M103,R103,W103,AB103),"")</f>
        <v/>
      </c>
      <c r="AJ103" s="416">
        <f>$AH103*SUMIFS('RIN 2.12 2022-2023 REPEX'!J$6:J$15,'RIN 2.12 2022-2023 REPEX'!$A$6:$A$15,'Unit Cost Rate Summary'!$A103)</f>
        <v>0</v>
      </c>
      <c r="AK103" s="97">
        <f>$AH103*SUMIFS('RIN 2.12 2022-2023 REPEX'!K$6:K$15,'RIN 2.12 2022-2023 REPEX'!$A$6:$A$15,'Unit Cost Rate Summary'!$A103)</f>
        <v>0</v>
      </c>
      <c r="AL103" s="97">
        <f>$AH103*SUMIFS('RIN 2.12 2022-2023 REPEX'!L$6:L$15,'RIN 2.12 2022-2023 REPEX'!$A$6:$A$15,'Unit Cost Rate Summary'!$A103)</f>
        <v>0</v>
      </c>
      <c r="AM103" s="98">
        <f>$AH103*SUMIFS('RIN 2.12 2022-2023 REPEX'!M$6:M$15,'RIN 2.12 2022-2023 REPEX'!$A$6:$A$15,'Unit Cost Rate Summary'!$A103)</f>
        <v>0</v>
      </c>
      <c r="AN103" s="485">
        <f t="shared" si="10"/>
        <v>0</v>
      </c>
      <c r="AO103" s="486" t="str">
        <f t="shared" ref="AO103:AO132" si="13">IFERROR(AN103/SUM(AB103,W103,R103,M103,H103),"")</f>
        <v/>
      </c>
    </row>
    <row r="104" spans="1:41" x14ac:dyDescent="0.25">
      <c r="A104" s="81" t="s">
        <v>196</v>
      </c>
      <c r="B104" s="82" t="s">
        <v>211</v>
      </c>
      <c r="C104" s="83" t="s">
        <v>212</v>
      </c>
      <c r="D104" s="305" t="str">
        <f>'Defect P1'!CM104</f>
        <v>Avg 3 Yr</v>
      </c>
      <c r="E104" s="315">
        <f>'Defect P1'!CN104</f>
        <v>0.05</v>
      </c>
      <c r="F104" s="306" t="str">
        <f>IF('Defect P1'!CO104=0,"",'Defect P1'!CO104)</f>
        <v/>
      </c>
      <c r="G104" s="307" t="str">
        <f>'Defect P1'!CP104</f>
        <v/>
      </c>
      <c r="H104" s="96">
        <f>'Defect P1'!CL104</f>
        <v>0</v>
      </c>
      <c r="I104" s="305" t="str">
        <f>'Defect P2'!CM104</f>
        <v>Avg 3 Yr</v>
      </c>
      <c r="J104" s="315">
        <f>'Defect P2'!CN104</f>
        <v>0</v>
      </c>
      <c r="K104" s="306" t="str">
        <f>IF('Defect P2'!CO104=0,"",'Defect P2'!CO104)</f>
        <v/>
      </c>
      <c r="L104" s="307" t="str">
        <f>'Defect P2'!CP104</f>
        <v/>
      </c>
      <c r="M104" s="96">
        <f>'Defect P2'!CL104</f>
        <v>0</v>
      </c>
      <c r="N104" s="305" t="str">
        <f>RTS!CM104</f>
        <v>Avg 3 Yr</v>
      </c>
      <c r="O104" s="315">
        <f>RTS!CN104</f>
        <v>0.05</v>
      </c>
      <c r="P104" s="306" t="str">
        <f>IF(RTS!CO104=0,"",RTS!CO104)</f>
        <v/>
      </c>
      <c r="Q104" s="307" t="str">
        <f>RTS!CP104</f>
        <v/>
      </c>
      <c r="R104" s="96">
        <f>RTS!CL104</f>
        <v>0</v>
      </c>
      <c r="S104" s="305" t="str">
        <f>Planned!CM104</f>
        <v>Avg 3 Yr</v>
      </c>
      <c r="T104" s="315">
        <f>Planned!CN104</f>
        <v>0.05</v>
      </c>
      <c r="U104" s="306" t="str">
        <f>IF(Planned!CO104=0,"",Planned!CO104)</f>
        <v/>
      </c>
      <c r="V104" s="307" t="str">
        <f>Planned!CP104</f>
        <v/>
      </c>
      <c r="W104" s="96">
        <f>Planned!CL104</f>
        <v>0</v>
      </c>
      <c r="X104" s="305" t="str">
        <f>Reconductor!CM104</f>
        <v>Avg 3 Yr</v>
      </c>
      <c r="Y104" s="315">
        <f>Reconductor!CN104</f>
        <v>0.05</v>
      </c>
      <c r="Z104" s="306" t="str">
        <f>IF(Reconductor!CO104=0,"",Reconductor!CO104)</f>
        <v/>
      </c>
      <c r="AA104" s="307" t="str">
        <f>Reconductor!CP104</f>
        <v/>
      </c>
      <c r="AB104" s="96">
        <f>Reconductor!CL104</f>
        <v>0</v>
      </c>
      <c r="AC104" s="305" t="str">
        <f>CTGS!CM104</f>
        <v>Avg 5 Yr</v>
      </c>
      <c r="AD104" s="315">
        <f>CTGS!CN104</f>
        <v>0.05</v>
      </c>
      <c r="AE104" s="306" t="str">
        <f>IF(CTGS!CO104=0,"",CTGS!CO104)</f>
        <v/>
      </c>
      <c r="AF104" s="307" t="str">
        <f>CTGS!CP104</f>
        <v/>
      </c>
      <c r="AG104" s="392"/>
      <c r="AH104" s="98">
        <f t="shared" si="11"/>
        <v>0</v>
      </c>
      <c r="AI104" s="307" t="str">
        <f t="shared" si="12"/>
        <v/>
      </c>
      <c r="AJ104" s="416">
        <f>$AH104*SUMIFS('RIN 2.12 2022-2023 REPEX'!J$6:J$15,'RIN 2.12 2022-2023 REPEX'!$A$6:$A$15,'Unit Cost Rate Summary'!$A104)</f>
        <v>0</v>
      </c>
      <c r="AK104" s="97">
        <f>$AH104*SUMIFS('RIN 2.12 2022-2023 REPEX'!K$6:K$15,'RIN 2.12 2022-2023 REPEX'!$A$6:$A$15,'Unit Cost Rate Summary'!$A104)</f>
        <v>0</v>
      </c>
      <c r="AL104" s="97">
        <f>$AH104*SUMIFS('RIN 2.12 2022-2023 REPEX'!L$6:L$15,'RIN 2.12 2022-2023 REPEX'!$A$6:$A$15,'Unit Cost Rate Summary'!$A104)</f>
        <v>0</v>
      </c>
      <c r="AM104" s="98">
        <f>$AH104*SUMIFS('RIN 2.12 2022-2023 REPEX'!M$6:M$15,'RIN 2.12 2022-2023 REPEX'!$A$6:$A$15,'Unit Cost Rate Summary'!$A104)</f>
        <v>0</v>
      </c>
      <c r="AN104" s="485">
        <f t="shared" si="10"/>
        <v>0</v>
      </c>
      <c r="AO104" s="486" t="str">
        <f t="shared" si="13"/>
        <v/>
      </c>
    </row>
    <row r="105" spans="1:41" x14ac:dyDescent="0.25">
      <c r="A105" s="81" t="s">
        <v>196</v>
      </c>
      <c r="B105" s="82" t="s">
        <v>213</v>
      </c>
      <c r="C105" s="83" t="s">
        <v>214</v>
      </c>
      <c r="D105" s="305" t="str">
        <f>'Defect P1'!CM105</f>
        <v>Avg 3 Yr</v>
      </c>
      <c r="E105" s="315">
        <f>'Defect P1'!CN105</f>
        <v>0.05</v>
      </c>
      <c r="F105" s="306" t="str">
        <f>IF('Defect P1'!CO105=0,"",'Defect P1'!CO105)</f>
        <v/>
      </c>
      <c r="G105" s="307" t="str">
        <f>'Defect P1'!CP105</f>
        <v/>
      </c>
      <c r="H105" s="96">
        <f>'Defect P1'!CL105</f>
        <v>0</v>
      </c>
      <c r="I105" s="305" t="str">
        <f>'Defect P2'!CM105</f>
        <v>Avg 3 Yr</v>
      </c>
      <c r="J105" s="315">
        <f>'Defect P2'!CN105</f>
        <v>0</v>
      </c>
      <c r="K105" s="306" t="str">
        <f>IF('Defect P2'!CO105=0,"",'Defect P2'!CO105)</f>
        <v/>
      </c>
      <c r="L105" s="307" t="str">
        <f>'Defect P2'!CP105</f>
        <v/>
      </c>
      <c r="M105" s="96">
        <f>'Defect P2'!CL105</f>
        <v>0</v>
      </c>
      <c r="N105" s="305" t="str">
        <f>RTS!CM105</f>
        <v>Avg 3 Yr</v>
      </c>
      <c r="O105" s="315">
        <f>RTS!CN105</f>
        <v>0.05</v>
      </c>
      <c r="P105" s="306" t="str">
        <f>IF(RTS!CO105=0,"",RTS!CO105)</f>
        <v/>
      </c>
      <c r="Q105" s="307" t="str">
        <f>RTS!CP105</f>
        <v/>
      </c>
      <c r="R105" s="96">
        <f>RTS!CL105</f>
        <v>0</v>
      </c>
      <c r="S105" s="305" t="str">
        <f>Planned!CM105</f>
        <v>Avg 3 Yr</v>
      </c>
      <c r="T105" s="315">
        <f>Planned!CN105</f>
        <v>0.05</v>
      </c>
      <c r="U105" s="306" t="str">
        <f>IF(Planned!CO105=0,"",Planned!CO105)</f>
        <v/>
      </c>
      <c r="V105" s="307" t="str">
        <f>Planned!CP105</f>
        <v/>
      </c>
      <c r="W105" s="96">
        <f>Planned!CL105</f>
        <v>0</v>
      </c>
      <c r="X105" s="305" t="str">
        <f>Reconductor!CM105</f>
        <v>Avg 3 Yr</v>
      </c>
      <c r="Y105" s="315">
        <f>Reconductor!CN105</f>
        <v>0.05</v>
      </c>
      <c r="Z105" s="306" t="str">
        <f>IF(Reconductor!CO105=0,"",Reconductor!CO105)</f>
        <v/>
      </c>
      <c r="AA105" s="307" t="str">
        <f>Reconductor!CP105</f>
        <v/>
      </c>
      <c r="AB105" s="96">
        <f>Reconductor!CL105</f>
        <v>0</v>
      </c>
      <c r="AC105" s="305" t="str">
        <f>CTGS!CM105</f>
        <v>Avg 5 Yr</v>
      </c>
      <c r="AD105" s="315">
        <f>CTGS!CN105</f>
        <v>0.05</v>
      </c>
      <c r="AE105" s="306" t="str">
        <f>IF(CTGS!CO105=0,"",CTGS!CO105)</f>
        <v/>
      </c>
      <c r="AF105" s="307" t="str">
        <f>CTGS!CP105</f>
        <v/>
      </c>
      <c r="AG105" s="392"/>
      <c r="AH105" s="98">
        <f t="shared" si="11"/>
        <v>0</v>
      </c>
      <c r="AI105" s="307" t="str">
        <f t="shared" si="12"/>
        <v/>
      </c>
      <c r="AJ105" s="416">
        <f>$AH105*SUMIFS('RIN 2.12 2022-2023 REPEX'!J$6:J$15,'RIN 2.12 2022-2023 REPEX'!$A$6:$A$15,'Unit Cost Rate Summary'!$A105)</f>
        <v>0</v>
      </c>
      <c r="AK105" s="97">
        <f>$AH105*SUMIFS('RIN 2.12 2022-2023 REPEX'!K$6:K$15,'RIN 2.12 2022-2023 REPEX'!$A$6:$A$15,'Unit Cost Rate Summary'!$A105)</f>
        <v>0</v>
      </c>
      <c r="AL105" s="97">
        <f>$AH105*SUMIFS('RIN 2.12 2022-2023 REPEX'!L$6:L$15,'RIN 2.12 2022-2023 REPEX'!$A$6:$A$15,'Unit Cost Rate Summary'!$A105)</f>
        <v>0</v>
      </c>
      <c r="AM105" s="98">
        <f>$AH105*SUMIFS('RIN 2.12 2022-2023 REPEX'!M$6:M$15,'RIN 2.12 2022-2023 REPEX'!$A$6:$A$15,'Unit Cost Rate Summary'!$A105)</f>
        <v>0</v>
      </c>
      <c r="AN105" s="485">
        <f t="shared" si="10"/>
        <v>0</v>
      </c>
      <c r="AO105" s="486" t="str">
        <f t="shared" si="13"/>
        <v/>
      </c>
    </row>
    <row r="106" spans="1:41" x14ac:dyDescent="0.25">
      <c r="A106" s="81" t="s">
        <v>196</v>
      </c>
      <c r="B106" s="82" t="s">
        <v>215</v>
      </c>
      <c r="C106" s="83" t="s">
        <v>392</v>
      </c>
      <c r="D106" s="305" t="str">
        <f>'Defect P1'!CM106</f>
        <v>Avg 3 Yr</v>
      </c>
      <c r="E106" s="315">
        <f>'Defect P1'!CN106</f>
        <v>0.05</v>
      </c>
      <c r="F106" s="306" t="str">
        <f>IF('Defect P1'!CO106=0,"",'Defect P1'!CO106)</f>
        <v/>
      </c>
      <c r="G106" s="307" t="str">
        <f>'Defect P1'!CP106</f>
        <v/>
      </c>
      <c r="H106" s="96">
        <f>'Defect P1'!CL106</f>
        <v>0</v>
      </c>
      <c r="I106" s="305" t="str">
        <f>'Defect P2'!CM106</f>
        <v>Avg 3 Yr</v>
      </c>
      <c r="J106" s="315">
        <f>'Defect P2'!CN106</f>
        <v>0</v>
      </c>
      <c r="K106" s="306" t="str">
        <f>IF('Defect P2'!CO106=0,"",'Defect P2'!CO106)</f>
        <v/>
      </c>
      <c r="L106" s="307" t="str">
        <f>'Defect P2'!CP106</f>
        <v/>
      </c>
      <c r="M106" s="96">
        <f>'Defect P2'!CL106</f>
        <v>0</v>
      </c>
      <c r="N106" s="305" t="str">
        <f>RTS!CM106</f>
        <v>Avg 3 Yr</v>
      </c>
      <c r="O106" s="315">
        <f>RTS!CN106</f>
        <v>0.05</v>
      </c>
      <c r="P106" s="306" t="str">
        <f>IF(RTS!CO106=0,"",RTS!CO106)</f>
        <v/>
      </c>
      <c r="Q106" s="307" t="str">
        <f>RTS!CP106</f>
        <v/>
      </c>
      <c r="R106" s="96">
        <f>RTS!CL106</f>
        <v>0</v>
      </c>
      <c r="S106" s="305" t="str">
        <f>Planned!CM106</f>
        <v>Avg 3 Yr</v>
      </c>
      <c r="T106" s="315">
        <f>Planned!CN106</f>
        <v>0.05</v>
      </c>
      <c r="U106" s="306" t="str">
        <f>IF(Planned!CO106=0,"",Planned!CO106)</f>
        <v/>
      </c>
      <c r="V106" s="307" t="str">
        <f>Planned!CP106</f>
        <v/>
      </c>
      <c r="W106" s="96">
        <f>Planned!CL106</f>
        <v>0</v>
      </c>
      <c r="X106" s="305" t="str">
        <f>Reconductor!CM106</f>
        <v>Avg 3 Yr</v>
      </c>
      <c r="Y106" s="315">
        <f>Reconductor!CN106</f>
        <v>0.05</v>
      </c>
      <c r="Z106" s="306" t="str">
        <f>IF(Reconductor!CO106=0,"",Reconductor!CO106)</f>
        <v/>
      </c>
      <c r="AA106" s="307" t="str">
        <f>Reconductor!CP106</f>
        <v/>
      </c>
      <c r="AB106" s="96">
        <f>Reconductor!CL106</f>
        <v>0</v>
      </c>
      <c r="AC106" s="305" t="str">
        <f>CTGS!CM106</f>
        <v>Avg 5 Yr</v>
      </c>
      <c r="AD106" s="315">
        <f>CTGS!CN106</f>
        <v>0.05</v>
      </c>
      <c r="AE106" s="306" t="str">
        <f>IF(CTGS!CO106=0,"",CTGS!CO106)</f>
        <v/>
      </c>
      <c r="AF106" s="307" t="str">
        <f>CTGS!CP106</f>
        <v/>
      </c>
      <c r="AG106" s="392"/>
      <c r="AH106" s="98">
        <f t="shared" si="11"/>
        <v>0</v>
      </c>
      <c r="AI106" s="307" t="str">
        <f t="shared" si="12"/>
        <v/>
      </c>
      <c r="AJ106" s="416">
        <f>$AH106*SUMIFS('RIN 2.12 2022-2023 REPEX'!J$6:J$15,'RIN 2.12 2022-2023 REPEX'!$A$6:$A$15,'Unit Cost Rate Summary'!$A106)</f>
        <v>0</v>
      </c>
      <c r="AK106" s="97">
        <f>$AH106*SUMIFS('RIN 2.12 2022-2023 REPEX'!K$6:K$15,'RIN 2.12 2022-2023 REPEX'!$A$6:$A$15,'Unit Cost Rate Summary'!$A106)</f>
        <v>0</v>
      </c>
      <c r="AL106" s="97">
        <f>$AH106*SUMIFS('RIN 2.12 2022-2023 REPEX'!L$6:L$15,'RIN 2.12 2022-2023 REPEX'!$A$6:$A$15,'Unit Cost Rate Summary'!$A106)</f>
        <v>0</v>
      </c>
      <c r="AM106" s="98">
        <f>$AH106*SUMIFS('RIN 2.12 2022-2023 REPEX'!M$6:M$15,'RIN 2.12 2022-2023 REPEX'!$A$6:$A$15,'Unit Cost Rate Summary'!$A106)</f>
        <v>0</v>
      </c>
      <c r="AN106" s="485">
        <f t="shared" si="10"/>
        <v>0</v>
      </c>
      <c r="AO106" s="486" t="str">
        <f t="shared" si="13"/>
        <v/>
      </c>
    </row>
    <row r="107" spans="1:41" x14ac:dyDescent="0.25">
      <c r="A107" s="81" t="s">
        <v>196</v>
      </c>
      <c r="B107" s="82" t="s">
        <v>217</v>
      </c>
      <c r="C107" s="83" t="s">
        <v>218</v>
      </c>
      <c r="D107" s="305" t="str">
        <f>'Defect P1'!CM107</f>
        <v>Avg 3 Yr</v>
      </c>
      <c r="E107" s="315">
        <f>'Defect P1'!CN107</f>
        <v>0.05</v>
      </c>
      <c r="F107" s="306" t="str">
        <f>IF('Defect P1'!CO107=0,"",'Defect P1'!CO107)</f>
        <v/>
      </c>
      <c r="G107" s="307" t="str">
        <f>'Defect P1'!CP107</f>
        <v/>
      </c>
      <c r="H107" s="96">
        <f>'Defect P1'!CL107</f>
        <v>0</v>
      </c>
      <c r="I107" s="305" t="str">
        <f>'Defect P2'!CM107</f>
        <v>Avg 3 Yr</v>
      </c>
      <c r="J107" s="315">
        <f>'Defect P2'!CN107</f>
        <v>0</v>
      </c>
      <c r="K107" s="306" t="str">
        <f>IF('Defect P2'!CO107=0,"",'Defect P2'!CO107)</f>
        <v/>
      </c>
      <c r="L107" s="307" t="str">
        <f>'Defect P2'!CP107</f>
        <v/>
      </c>
      <c r="M107" s="96">
        <f>'Defect P2'!CL107</f>
        <v>0</v>
      </c>
      <c r="N107" s="305" t="str">
        <f>RTS!CM107</f>
        <v>Avg 3 Yr</v>
      </c>
      <c r="O107" s="315">
        <f>RTS!CN107</f>
        <v>0.05</v>
      </c>
      <c r="P107" s="306" t="str">
        <f>IF(RTS!CO107=0,"",RTS!CO107)</f>
        <v/>
      </c>
      <c r="Q107" s="307" t="str">
        <f>RTS!CP107</f>
        <v/>
      </c>
      <c r="R107" s="96">
        <f>RTS!CL107</f>
        <v>0</v>
      </c>
      <c r="S107" s="305" t="str">
        <f>Planned!CM107</f>
        <v>Avg 3 Yr</v>
      </c>
      <c r="T107" s="315">
        <f>Planned!CN107</f>
        <v>0.05</v>
      </c>
      <c r="U107" s="306" t="str">
        <f>IF(Planned!CO107=0,"",Planned!CO107)</f>
        <v/>
      </c>
      <c r="V107" s="307" t="str">
        <f>Planned!CP107</f>
        <v/>
      </c>
      <c r="W107" s="96">
        <f>Planned!CL107</f>
        <v>0</v>
      </c>
      <c r="X107" s="305" t="str">
        <f>Reconductor!CM107</f>
        <v>Avg 3 Yr</v>
      </c>
      <c r="Y107" s="315">
        <f>Reconductor!CN107</f>
        <v>0.05</v>
      </c>
      <c r="Z107" s="306" t="str">
        <f>IF(Reconductor!CO107=0,"",Reconductor!CO107)</f>
        <v/>
      </c>
      <c r="AA107" s="307" t="str">
        <f>Reconductor!CP107</f>
        <v/>
      </c>
      <c r="AB107" s="96">
        <f>Reconductor!CL107</f>
        <v>0</v>
      </c>
      <c r="AC107" s="305" t="str">
        <f>CTGS!CM107</f>
        <v>Avg 5 Yr</v>
      </c>
      <c r="AD107" s="315">
        <f>CTGS!CN107</f>
        <v>0.05</v>
      </c>
      <c r="AE107" s="306" t="str">
        <f>IF(CTGS!CO107=0,"",CTGS!CO107)</f>
        <v/>
      </c>
      <c r="AF107" s="307" t="str">
        <f>CTGS!CP107</f>
        <v/>
      </c>
      <c r="AG107" s="392"/>
      <c r="AH107" s="98">
        <f t="shared" si="11"/>
        <v>0</v>
      </c>
      <c r="AI107" s="307" t="str">
        <f t="shared" si="12"/>
        <v/>
      </c>
      <c r="AJ107" s="416">
        <f>$AH107*SUMIFS('RIN 2.12 2022-2023 REPEX'!J$6:J$15,'RIN 2.12 2022-2023 REPEX'!$A$6:$A$15,'Unit Cost Rate Summary'!$A107)</f>
        <v>0</v>
      </c>
      <c r="AK107" s="97">
        <f>$AH107*SUMIFS('RIN 2.12 2022-2023 REPEX'!K$6:K$15,'RIN 2.12 2022-2023 REPEX'!$A$6:$A$15,'Unit Cost Rate Summary'!$A107)</f>
        <v>0</v>
      </c>
      <c r="AL107" s="97">
        <f>$AH107*SUMIFS('RIN 2.12 2022-2023 REPEX'!L$6:L$15,'RIN 2.12 2022-2023 REPEX'!$A$6:$A$15,'Unit Cost Rate Summary'!$A107)</f>
        <v>0</v>
      </c>
      <c r="AM107" s="98">
        <f>$AH107*SUMIFS('RIN 2.12 2022-2023 REPEX'!M$6:M$15,'RIN 2.12 2022-2023 REPEX'!$A$6:$A$15,'Unit Cost Rate Summary'!$A107)</f>
        <v>0</v>
      </c>
      <c r="AN107" s="485">
        <f t="shared" si="10"/>
        <v>0</v>
      </c>
      <c r="AO107" s="486" t="str">
        <f t="shared" si="13"/>
        <v/>
      </c>
    </row>
    <row r="108" spans="1:41" x14ac:dyDescent="0.25">
      <c r="A108" s="81" t="s">
        <v>196</v>
      </c>
      <c r="B108" s="82" t="s">
        <v>219</v>
      </c>
      <c r="C108" s="83" t="s">
        <v>220</v>
      </c>
      <c r="D108" s="305" t="str">
        <f>'Defect P1'!CM108</f>
        <v>Avg 3 Yr</v>
      </c>
      <c r="E108" s="315">
        <f>'Defect P1'!CN108</f>
        <v>0.05</v>
      </c>
      <c r="F108" s="306" t="str">
        <f>IF('Defect P1'!CO108=0,"",'Defect P1'!CO108)</f>
        <v/>
      </c>
      <c r="G108" s="307" t="str">
        <f>'Defect P1'!CP108</f>
        <v/>
      </c>
      <c r="H108" s="96">
        <f>'Defect P1'!CL108</f>
        <v>0</v>
      </c>
      <c r="I108" s="305" t="str">
        <f>'Defect P2'!CM108</f>
        <v>Avg 3 Yr</v>
      </c>
      <c r="J108" s="315">
        <f>'Defect P2'!CN108</f>
        <v>0</v>
      </c>
      <c r="K108" s="306" t="str">
        <f>IF('Defect P2'!CO108=0,"",'Defect P2'!CO108)</f>
        <v/>
      </c>
      <c r="L108" s="307" t="str">
        <f>'Defect P2'!CP108</f>
        <v/>
      </c>
      <c r="M108" s="96">
        <f>'Defect P2'!CL108</f>
        <v>0</v>
      </c>
      <c r="N108" s="305" t="str">
        <f>RTS!CM108</f>
        <v>Avg 3 Yr</v>
      </c>
      <c r="O108" s="315">
        <f>RTS!CN108</f>
        <v>0.05</v>
      </c>
      <c r="P108" s="306" t="str">
        <f>IF(RTS!CO108=0,"",RTS!CO108)</f>
        <v/>
      </c>
      <c r="Q108" s="307" t="str">
        <f>RTS!CP108</f>
        <v/>
      </c>
      <c r="R108" s="96">
        <f>RTS!CL108</f>
        <v>0</v>
      </c>
      <c r="S108" s="305" t="str">
        <f>Planned!CM108</f>
        <v>Avg 3 Yr</v>
      </c>
      <c r="T108" s="315">
        <f>Planned!CN108</f>
        <v>0.05</v>
      </c>
      <c r="U108" s="306" t="str">
        <f>IF(Planned!CO108=0,"",Planned!CO108)</f>
        <v/>
      </c>
      <c r="V108" s="307" t="str">
        <f>Planned!CP108</f>
        <v/>
      </c>
      <c r="W108" s="96">
        <f>Planned!CL108</f>
        <v>0</v>
      </c>
      <c r="X108" s="305" t="str">
        <f>Reconductor!CM108</f>
        <v>Avg 3 Yr</v>
      </c>
      <c r="Y108" s="315">
        <f>Reconductor!CN108</f>
        <v>0.05</v>
      </c>
      <c r="Z108" s="306" t="str">
        <f>IF(Reconductor!CO108=0,"",Reconductor!CO108)</f>
        <v/>
      </c>
      <c r="AA108" s="307" t="str">
        <f>Reconductor!CP108</f>
        <v/>
      </c>
      <c r="AB108" s="96">
        <f>Reconductor!CL108</f>
        <v>0</v>
      </c>
      <c r="AC108" s="305" t="str">
        <f>CTGS!CM108</f>
        <v>Avg 5 Yr</v>
      </c>
      <c r="AD108" s="315">
        <f>CTGS!CN108</f>
        <v>0.05</v>
      </c>
      <c r="AE108" s="306" t="str">
        <f>IF(CTGS!CO108=0,"",CTGS!CO108)</f>
        <v/>
      </c>
      <c r="AF108" s="307" t="str">
        <f>CTGS!CP108</f>
        <v/>
      </c>
      <c r="AG108" s="392"/>
      <c r="AH108" s="98">
        <f t="shared" si="11"/>
        <v>0</v>
      </c>
      <c r="AI108" s="307" t="str">
        <f t="shared" si="12"/>
        <v/>
      </c>
      <c r="AJ108" s="416">
        <f>$AH108*SUMIFS('RIN 2.12 2022-2023 REPEX'!J$6:J$15,'RIN 2.12 2022-2023 REPEX'!$A$6:$A$15,'Unit Cost Rate Summary'!$A108)</f>
        <v>0</v>
      </c>
      <c r="AK108" s="97">
        <f>$AH108*SUMIFS('RIN 2.12 2022-2023 REPEX'!K$6:K$15,'RIN 2.12 2022-2023 REPEX'!$A$6:$A$15,'Unit Cost Rate Summary'!$A108)</f>
        <v>0</v>
      </c>
      <c r="AL108" s="97">
        <f>$AH108*SUMIFS('RIN 2.12 2022-2023 REPEX'!L$6:L$15,'RIN 2.12 2022-2023 REPEX'!$A$6:$A$15,'Unit Cost Rate Summary'!$A108)</f>
        <v>0</v>
      </c>
      <c r="AM108" s="98">
        <f>$AH108*SUMIFS('RIN 2.12 2022-2023 REPEX'!M$6:M$15,'RIN 2.12 2022-2023 REPEX'!$A$6:$A$15,'Unit Cost Rate Summary'!$A108)</f>
        <v>0</v>
      </c>
      <c r="AN108" s="485">
        <f t="shared" si="10"/>
        <v>0</v>
      </c>
      <c r="AO108" s="486" t="str">
        <f t="shared" si="13"/>
        <v/>
      </c>
    </row>
    <row r="109" spans="1:41" ht="15.75" thickBot="1" x14ac:dyDescent="0.3">
      <c r="A109" s="100" t="s">
        <v>196</v>
      </c>
      <c r="B109" s="101" t="s">
        <v>393</v>
      </c>
      <c r="C109" s="102" t="s">
        <v>394</v>
      </c>
      <c r="D109" s="308" t="str">
        <f>'Defect P1'!CM109</f>
        <v>Avg 3 Yr</v>
      </c>
      <c r="E109" s="316">
        <f>'Defect P1'!CN109</f>
        <v>0.05</v>
      </c>
      <c r="F109" s="309" t="str">
        <f>IF('Defect P1'!CO109=0,"",'Defect P1'!CO109)</f>
        <v/>
      </c>
      <c r="G109" s="310" t="str">
        <f>'Defect P1'!CP109</f>
        <v/>
      </c>
      <c r="H109" s="115">
        <f>'Defect P1'!CL109</f>
        <v>0</v>
      </c>
      <c r="I109" s="308" t="str">
        <f>'Defect P2'!CM109</f>
        <v>Avg 3 Yr</v>
      </c>
      <c r="J109" s="316">
        <f>'Defect P2'!CN109</f>
        <v>0</v>
      </c>
      <c r="K109" s="309" t="str">
        <f>IF('Defect P2'!CO109=0,"",'Defect P2'!CO109)</f>
        <v/>
      </c>
      <c r="L109" s="310" t="str">
        <f>'Defect P2'!CP109</f>
        <v/>
      </c>
      <c r="M109" s="115">
        <f>'Defect P2'!CL109</f>
        <v>0</v>
      </c>
      <c r="N109" s="308" t="str">
        <f>RTS!CM109</f>
        <v>Avg 3 Yr</v>
      </c>
      <c r="O109" s="316">
        <f>RTS!CN109</f>
        <v>0.05</v>
      </c>
      <c r="P109" s="309" t="str">
        <f>IF(RTS!CO109=0,"",RTS!CO109)</f>
        <v/>
      </c>
      <c r="Q109" s="310" t="str">
        <f>RTS!CP109</f>
        <v/>
      </c>
      <c r="R109" s="115">
        <f>RTS!CL109</f>
        <v>0</v>
      </c>
      <c r="S109" s="308" t="str">
        <f>Planned!CM109</f>
        <v>Avg 3 Yr</v>
      </c>
      <c r="T109" s="316">
        <f>Planned!CN109</f>
        <v>0.05</v>
      </c>
      <c r="U109" s="309" t="str">
        <f>IF(Planned!CO109=0,"",Planned!CO109)</f>
        <v/>
      </c>
      <c r="V109" s="310" t="str">
        <f>Planned!CP109</f>
        <v/>
      </c>
      <c r="W109" s="115">
        <f>Planned!CL109</f>
        <v>0</v>
      </c>
      <c r="X109" s="308" t="str">
        <f>Reconductor!CM109</f>
        <v>Avg 3 Yr</v>
      </c>
      <c r="Y109" s="316">
        <f>Reconductor!CN109</f>
        <v>0.05</v>
      </c>
      <c r="Z109" s="309" t="str">
        <f>IF(Reconductor!CO109=0,"",Reconductor!CO109)</f>
        <v/>
      </c>
      <c r="AA109" s="310" t="str">
        <f>Reconductor!CP109</f>
        <v/>
      </c>
      <c r="AB109" s="115">
        <f>Reconductor!CL109</f>
        <v>0</v>
      </c>
      <c r="AC109" s="308" t="str">
        <f>CTGS!CM109</f>
        <v>Avg 5 Yr</v>
      </c>
      <c r="AD109" s="316">
        <f>CTGS!CN109</f>
        <v>0.05</v>
      </c>
      <c r="AE109" s="309" t="str">
        <f>IF(CTGS!CO109=0,"",CTGS!CO109)</f>
        <v/>
      </c>
      <c r="AF109" s="310" t="str">
        <f>CTGS!CP109</f>
        <v/>
      </c>
      <c r="AG109" s="393"/>
      <c r="AH109" s="118">
        <f t="shared" si="11"/>
        <v>0</v>
      </c>
      <c r="AI109" s="310" t="str">
        <f t="shared" si="12"/>
        <v/>
      </c>
      <c r="AJ109" s="467">
        <f>$AH109*SUMIFS('RIN 2.12 2022-2023 REPEX'!J$6:J$15,'RIN 2.12 2022-2023 REPEX'!$A$6:$A$15,'Unit Cost Rate Summary'!$A109)</f>
        <v>0</v>
      </c>
      <c r="AK109" s="117">
        <f>$AH109*SUMIFS('RIN 2.12 2022-2023 REPEX'!K$6:K$15,'RIN 2.12 2022-2023 REPEX'!$A$6:$A$15,'Unit Cost Rate Summary'!$A109)</f>
        <v>0</v>
      </c>
      <c r="AL109" s="117">
        <f>$AH109*SUMIFS('RIN 2.12 2022-2023 REPEX'!L$6:L$15,'RIN 2.12 2022-2023 REPEX'!$A$6:$A$15,'Unit Cost Rate Summary'!$A109)</f>
        <v>0</v>
      </c>
      <c r="AM109" s="118">
        <f>$AH109*SUMIFS('RIN 2.12 2022-2023 REPEX'!M$6:M$15,'RIN 2.12 2022-2023 REPEX'!$A$6:$A$15,'Unit Cost Rate Summary'!$A109)</f>
        <v>0</v>
      </c>
      <c r="AN109" s="487">
        <f t="shared" si="10"/>
        <v>0</v>
      </c>
      <c r="AO109" s="488" t="str">
        <f t="shared" si="13"/>
        <v/>
      </c>
    </row>
    <row r="110" spans="1:41" x14ac:dyDescent="0.25">
      <c r="A110" s="63" t="s">
        <v>224</v>
      </c>
      <c r="B110" s="64" t="s">
        <v>221</v>
      </c>
      <c r="C110" s="65" t="s">
        <v>395</v>
      </c>
      <c r="D110" s="302" t="str">
        <f>'Defect P1'!CM110</f>
        <v>Avg 3 Yr</v>
      </c>
      <c r="E110" s="314">
        <f>'Defect P1'!CN110</f>
        <v>0.05</v>
      </c>
      <c r="F110" s="303" t="str">
        <f>IF('Defect P1'!CO110=0,"",'Defect P1'!CO110)</f>
        <v/>
      </c>
      <c r="G110" s="304" t="str">
        <f>'Defect P1'!CP110</f>
        <v/>
      </c>
      <c r="H110" s="78">
        <f>'Defect P1'!CL110</f>
        <v>0</v>
      </c>
      <c r="I110" s="302" t="str">
        <f>'Defect P2'!CM110</f>
        <v>Avg 3 Yr</v>
      </c>
      <c r="J110" s="314">
        <f>'Defect P2'!CN110</f>
        <v>0</v>
      </c>
      <c r="K110" s="303" t="str">
        <f>IF('Defect P2'!CO110=0,"",'Defect P2'!CO110)</f>
        <v/>
      </c>
      <c r="L110" s="304">
        <f>'Defect P2'!CP110</f>
        <v>3801.8177602446317</v>
      </c>
      <c r="M110" s="78">
        <f>'Defect P2'!CL110</f>
        <v>0</v>
      </c>
      <c r="N110" s="302" t="str">
        <f>RTS!CM110</f>
        <v>Avg 3 Yr</v>
      </c>
      <c r="O110" s="314">
        <f>RTS!CN110</f>
        <v>0.05</v>
      </c>
      <c r="P110" s="303" t="str">
        <f>IF(RTS!CO110=0,"",RTS!CO110)</f>
        <v/>
      </c>
      <c r="Q110" s="304">
        <f>RTS!CP110</f>
        <v>1237.742527465889</v>
      </c>
      <c r="R110" s="78">
        <f>RTS!CL110</f>
        <v>0</v>
      </c>
      <c r="S110" s="302" t="str">
        <f>Planned!CM110</f>
        <v>Avg 3 Yr</v>
      </c>
      <c r="T110" s="314">
        <f>Planned!CN110</f>
        <v>0.05</v>
      </c>
      <c r="U110" s="303" t="str">
        <f>IF(Planned!CO110=0,"",Planned!CO110)</f>
        <v/>
      </c>
      <c r="V110" s="304">
        <f>Planned!CP110</f>
        <v>3581.5066294946969</v>
      </c>
      <c r="W110" s="78">
        <f>Planned!CL110</f>
        <v>0</v>
      </c>
      <c r="X110" s="302" t="str">
        <f>Reconductor!CM110</f>
        <v>Avg 3 Yr</v>
      </c>
      <c r="Y110" s="314">
        <f>Reconductor!CN110</f>
        <v>0.05</v>
      </c>
      <c r="Z110" s="303" t="str">
        <f>IF(Reconductor!CO110=0,"",Reconductor!CO110)</f>
        <v/>
      </c>
      <c r="AA110" s="304">
        <f>Reconductor!CP110</f>
        <v>1716.6873998768249</v>
      </c>
      <c r="AB110" s="78">
        <f>Reconductor!CL110</f>
        <v>0</v>
      </c>
      <c r="AC110" s="302" t="str">
        <f>CTGS!CM110</f>
        <v>Avg 5 Yr</v>
      </c>
      <c r="AD110" s="314">
        <f>CTGS!CN110</f>
        <v>0.05</v>
      </c>
      <c r="AE110" s="303" t="str">
        <f>IF(CTGS!CO110=0,"",CTGS!CO110)</f>
        <v/>
      </c>
      <c r="AF110" s="304">
        <f>CTGS!CP110</f>
        <v>2748.1033515563786</v>
      </c>
      <c r="AG110" s="391"/>
      <c r="AH110" s="80">
        <f t="shared" si="11"/>
        <v>0</v>
      </c>
      <c r="AI110" s="304" t="str">
        <f t="shared" si="12"/>
        <v/>
      </c>
      <c r="AJ110" s="415" t="e">
        <f>$AH110*SUMIFS('RIN 2.12 2022-2023 REPEX'!J$6:J$15,'RIN 2.12 2022-2023 REPEX'!$A$6:$A$15,'Unit Cost Rate Summary'!$A110)</f>
        <v>#DIV/0!</v>
      </c>
      <c r="AK110" s="79" t="e">
        <f>$AH110*SUMIFS('RIN 2.12 2022-2023 REPEX'!K$6:K$15,'RIN 2.12 2022-2023 REPEX'!$A$6:$A$15,'Unit Cost Rate Summary'!$A110)</f>
        <v>#DIV/0!</v>
      </c>
      <c r="AL110" s="79" t="e">
        <f>$AH110*SUMIFS('RIN 2.12 2022-2023 REPEX'!L$6:L$15,'RIN 2.12 2022-2023 REPEX'!$A$6:$A$15,'Unit Cost Rate Summary'!$A110)</f>
        <v>#DIV/0!</v>
      </c>
      <c r="AM110" s="80" t="e">
        <f>$AH110*SUMIFS('RIN 2.12 2022-2023 REPEX'!M$6:M$15,'RIN 2.12 2022-2023 REPEX'!$A$6:$A$15,'Unit Cost Rate Summary'!$A110)</f>
        <v>#DIV/0!</v>
      </c>
      <c r="AN110" s="483" t="str">
        <f t="shared" si="10"/>
        <v/>
      </c>
      <c r="AO110" s="484" t="str">
        <f t="shared" si="13"/>
        <v/>
      </c>
    </row>
    <row r="111" spans="1:41" x14ac:dyDescent="0.25">
      <c r="A111" s="81" t="s">
        <v>224</v>
      </c>
      <c r="B111" s="82" t="s">
        <v>225</v>
      </c>
      <c r="C111" s="83" t="s">
        <v>396</v>
      </c>
      <c r="D111" s="305" t="str">
        <f>'Defect P1'!CM111</f>
        <v>Avg 3 Yr</v>
      </c>
      <c r="E111" s="315">
        <f>'Defect P1'!CN111</f>
        <v>0.05</v>
      </c>
      <c r="F111" s="306" t="str">
        <f>IF('Defect P1'!CO111=0,"",'Defect P1'!CO111)</f>
        <v/>
      </c>
      <c r="G111" s="307">
        <f>'Defect P1'!CP111</f>
        <v>-90.433750000000003</v>
      </c>
      <c r="H111" s="96">
        <f>'Defect P1'!CL111</f>
        <v>0</v>
      </c>
      <c r="I111" s="305" t="str">
        <f>'Defect P2'!CM111</f>
        <v>Avg 3 Yr</v>
      </c>
      <c r="J111" s="315">
        <f>'Defect P2'!CN111</f>
        <v>0</v>
      </c>
      <c r="K111" s="306" t="str">
        <f>IF('Defect P2'!CO111=0,"",'Defect P2'!CO111)</f>
        <v/>
      </c>
      <c r="L111" s="307">
        <f>'Defect P2'!CP111</f>
        <v>3871.9504411535654</v>
      </c>
      <c r="M111" s="96">
        <f>'Defect P2'!CL111</f>
        <v>0</v>
      </c>
      <c r="N111" s="305" t="str">
        <f>RTS!CM111</f>
        <v>Avg 3 Yr</v>
      </c>
      <c r="O111" s="315">
        <f>RTS!CN111</f>
        <v>0.05</v>
      </c>
      <c r="P111" s="306" t="str">
        <f>IF(RTS!CO111=0,"",RTS!CO111)</f>
        <v/>
      </c>
      <c r="Q111" s="307">
        <f>RTS!CP111</f>
        <v>1231.5608377822</v>
      </c>
      <c r="R111" s="96">
        <f>RTS!CL111</f>
        <v>0</v>
      </c>
      <c r="S111" s="305" t="str">
        <f>Planned!CM111</f>
        <v>Avg 3 Yr</v>
      </c>
      <c r="T111" s="315">
        <f>Planned!CN111</f>
        <v>0.05</v>
      </c>
      <c r="U111" s="306" t="str">
        <f>IF(Planned!CO111=0,"",Planned!CO111)</f>
        <v/>
      </c>
      <c r="V111" s="307">
        <f>Planned!CP111</f>
        <v>6350.5308482316286</v>
      </c>
      <c r="W111" s="96">
        <f>Planned!CL111</f>
        <v>0</v>
      </c>
      <c r="X111" s="305" t="str">
        <f>Reconductor!CM111</f>
        <v>Avg 3 Yr</v>
      </c>
      <c r="Y111" s="315">
        <f>Reconductor!CN111</f>
        <v>0.05</v>
      </c>
      <c r="Z111" s="306" t="str">
        <f>IF(Reconductor!CO111=0,"",Reconductor!CO111)</f>
        <v/>
      </c>
      <c r="AA111" s="307">
        <f>Reconductor!CP111</f>
        <v>2723.183792539628</v>
      </c>
      <c r="AB111" s="96">
        <f>Reconductor!CL111</f>
        <v>0</v>
      </c>
      <c r="AC111" s="305" t="str">
        <f>CTGS!CM111</f>
        <v>Avg 5 Yr</v>
      </c>
      <c r="AD111" s="315">
        <f>CTGS!CN111</f>
        <v>0.05</v>
      </c>
      <c r="AE111" s="306" t="str">
        <f>IF(CTGS!CO111=0,"",CTGS!CO111)</f>
        <v/>
      </c>
      <c r="AF111" s="307">
        <f>CTGS!CP111</f>
        <v>2832.0394495561386</v>
      </c>
      <c r="AG111" s="392"/>
      <c r="AH111" s="98">
        <f t="shared" si="11"/>
        <v>0</v>
      </c>
      <c r="AI111" s="307" t="str">
        <f t="shared" si="12"/>
        <v/>
      </c>
      <c r="AJ111" s="416" t="e">
        <f>$AH111*SUMIFS('RIN 2.12 2022-2023 REPEX'!J$6:J$15,'RIN 2.12 2022-2023 REPEX'!$A$6:$A$15,'Unit Cost Rate Summary'!$A111)</f>
        <v>#DIV/0!</v>
      </c>
      <c r="AK111" s="97" t="e">
        <f>$AH111*SUMIFS('RIN 2.12 2022-2023 REPEX'!K$6:K$15,'RIN 2.12 2022-2023 REPEX'!$A$6:$A$15,'Unit Cost Rate Summary'!$A111)</f>
        <v>#DIV/0!</v>
      </c>
      <c r="AL111" s="97" t="e">
        <f>$AH111*SUMIFS('RIN 2.12 2022-2023 REPEX'!L$6:L$15,'RIN 2.12 2022-2023 REPEX'!$A$6:$A$15,'Unit Cost Rate Summary'!$A111)</f>
        <v>#DIV/0!</v>
      </c>
      <c r="AM111" s="98" t="e">
        <f>$AH111*SUMIFS('RIN 2.12 2022-2023 REPEX'!M$6:M$15,'RIN 2.12 2022-2023 REPEX'!$A$6:$A$15,'Unit Cost Rate Summary'!$A111)</f>
        <v>#DIV/0!</v>
      </c>
      <c r="AN111" s="485" t="str">
        <f t="shared" si="10"/>
        <v/>
      </c>
      <c r="AO111" s="486" t="str">
        <f t="shared" si="13"/>
        <v/>
      </c>
    </row>
    <row r="112" spans="1:41" x14ac:dyDescent="0.25">
      <c r="A112" s="81" t="s">
        <v>224</v>
      </c>
      <c r="B112" s="82" t="s">
        <v>227</v>
      </c>
      <c r="C112" s="83" t="s">
        <v>228</v>
      </c>
      <c r="D112" s="305" t="str">
        <f>'Defect P1'!CM112</f>
        <v>Avg 3 Yr</v>
      </c>
      <c r="E112" s="315">
        <f>'Defect P1'!CN112</f>
        <v>0.05</v>
      </c>
      <c r="F112" s="306" t="str">
        <f>IF('Defect P1'!CO112=0,"",'Defect P1'!CO112)</f>
        <v/>
      </c>
      <c r="G112" s="307">
        <f>'Defect P1'!CP112</f>
        <v>2540.8938800810001</v>
      </c>
      <c r="H112" s="96">
        <f>'Defect P1'!CL112</f>
        <v>0</v>
      </c>
      <c r="I112" s="305" t="str">
        <f>'Defect P2'!CM112</f>
        <v>Avg 3 Yr</v>
      </c>
      <c r="J112" s="315">
        <f>'Defect P2'!CN112</f>
        <v>0</v>
      </c>
      <c r="K112" s="306" t="str">
        <f>IF('Defect P2'!CO112=0,"",'Defect P2'!CO112)</f>
        <v/>
      </c>
      <c r="L112" s="307">
        <f>'Defect P2'!CP112</f>
        <v>1921.3357842978985</v>
      </c>
      <c r="M112" s="96">
        <f>'Defect P2'!CL112</f>
        <v>0</v>
      </c>
      <c r="N112" s="305" t="str">
        <f>RTS!CM112</f>
        <v>Avg 3 Yr</v>
      </c>
      <c r="O112" s="315">
        <f>RTS!CN112</f>
        <v>0.05</v>
      </c>
      <c r="P112" s="306" t="str">
        <f>IF(RTS!CO112=0,"",RTS!CO112)</f>
        <v/>
      </c>
      <c r="Q112" s="307">
        <f>RTS!CP112</f>
        <v>1211.2513709935004</v>
      </c>
      <c r="R112" s="96">
        <f>RTS!CL112</f>
        <v>0</v>
      </c>
      <c r="S112" s="305" t="str">
        <f>Planned!CM112</f>
        <v>Avg 3 Yr</v>
      </c>
      <c r="T112" s="315">
        <f>Planned!CN112</f>
        <v>0.05</v>
      </c>
      <c r="U112" s="306" t="str">
        <f>IF(Planned!CO112=0,"",Planned!CO112)</f>
        <v/>
      </c>
      <c r="V112" s="307">
        <f>Planned!CP112</f>
        <v>2292.5245393360556</v>
      </c>
      <c r="W112" s="96">
        <f>Planned!CL112</f>
        <v>0</v>
      </c>
      <c r="X112" s="305" t="str">
        <f>Reconductor!CM112</f>
        <v>Avg 3 Yr</v>
      </c>
      <c r="Y112" s="315">
        <f>Reconductor!CN112</f>
        <v>0.05</v>
      </c>
      <c r="Z112" s="306" t="str">
        <f>IF(Reconductor!CO112=0,"",Reconductor!CO112)</f>
        <v/>
      </c>
      <c r="AA112" s="307">
        <f>Reconductor!CP112</f>
        <v>2576.1597825819863</v>
      </c>
      <c r="AB112" s="96">
        <f>Reconductor!CL112</f>
        <v>0</v>
      </c>
      <c r="AC112" s="305" t="str">
        <f>CTGS!CM112</f>
        <v>Avg 5 Yr</v>
      </c>
      <c r="AD112" s="315">
        <f>CTGS!CN112</f>
        <v>0.05</v>
      </c>
      <c r="AE112" s="306" t="str">
        <f>IF(CTGS!CO112=0,"",CTGS!CO112)</f>
        <v/>
      </c>
      <c r="AF112" s="307">
        <f>CTGS!CP112</f>
        <v>2482.8516395303132</v>
      </c>
      <c r="AG112" s="392"/>
      <c r="AH112" s="98">
        <f t="shared" si="11"/>
        <v>0</v>
      </c>
      <c r="AI112" s="307" t="str">
        <f t="shared" si="12"/>
        <v/>
      </c>
      <c r="AJ112" s="416" t="e">
        <f>$AH112*SUMIFS('RIN 2.12 2022-2023 REPEX'!J$6:J$15,'RIN 2.12 2022-2023 REPEX'!$A$6:$A$15,'Unit Cost Rate Summary'!$A112)</f>
        <v>#DIV/0!</v>
      </c>
      <c r="AK112" s="97" t="e">
        <f>$AH112*SUMIFS('RIN 2.12 2022-2023 REPEX'!K$6:K$15,'RIN 2.12 2022-2023 REPEX'!$A$6:$A$15,'Unit Cost Rate Summary'!$A112)</f>
        <v>#DIV/0!</v>
      </c>
      <c r="AL112" s="97" t="e">
        <f>$AH112*SUMIFS('RIN 2.12 2022-2023 REPEX'!L$6:L$15,'RIN 2.12 2022-2023 REPEX'!$A$6:$A$15,'Unit Cost Rate Summary'!$A112)</f>
        <v>#DIV/0!</v>
      </c>
      <c r="AM112" s="98" t="e">
        <f>$AH112*SUMIFS('RIN 2.12 2022-2023 REPEX'!M$6:M$15,'RIN 2.12 2022-2023 REPEX'!$A$6:$A$15,'Unit Cost Rate Summary'!$A112)</f>
        <v>#DIV/0!</v>
      </c>
      <c r="AN112" s="485" t="str">
        <f t="shared" si="10"/>
        <v/>
      </c>
      <c r="AO112" s="486" t="str">
        <f t="shared" si="13"/>
        <v/>
      </c>
    </row>
    <row r="113" spans="1:41" x14ac:dyDescent="0.25">
      <c r="A113" s="81" t="s">
        <v>224</v>
      </c>
      <c r="B113" s="82" t="s">
        <v>229</v>
      </c>
      <c r="C113" s="83" t="s">
        <v>230</v>
      </c>
      <c r="D113" s="305" t="str">
        <f>'Defect P1'!CM113</f>
        <v>Avg 3 Yr</v>
      </c>
      <c r="E113" s="315">
        <f>'Defect P1'!CN113</f>
        <v>0.05</v>
      </c>
      <c r="F113" s="306" t="str">
        <f>IF('Defect P1'!CO113=0,"",'Defect P1'!CO113)</f>
        <v/>
      </c>
      <c r="G113" s="307">
        <f>'Defect P1'!CP113</f>
        <v>221.37064688633333</v>
      </c>
      <c r="H113" s="96">
        <f>'Defect P1'!CL113</f>
        <v>0</v>
      </c>
      <c r="I113" s="305" t="str">
        <f>'Defect P2'!CM113</f>
        <v>Avg 3 Yr</v>
      </c>
      <c r="J113" s="315">
        <f>'Defect P2'!CN113</f>
        <v>0</v>
      </c>
      <c r="K113" s="306" t="str">
        <f>IF('Defect P2'!CO113=0,"",'Defect P2'!CO113)</f>
        <v/>
      </c>
      <c r="L113" s="307">
        <f>'Defect P2'!CP113</f>
        <v>871.53123306192288</v>
      </c>
      <c r="M113" s="96">
        <f>'Defect P2'!CL113</f>
        <v>0</v>
      </c>
      <c r="N113" s="305" t="str">
        <f>RTS!CM113</f>
        <v>Avg 3 Yr</v>
      </c>
      <c r="O113" s="315">
        <f>RTS!CN113</f>
        <v>0.05</v>
      </c>
      <c r="P113" s="306" t="str">
        <f>IF(RTS!CO113=0,"",RTS!CO113)</f>
        <v/>
      </c>
      <c r="Q113" s="307">
        <f>RTS!CP113</f>
        <v>390.6578866948422</v>
      </c>
      <c r="R113" s="96">
        <f>RTS!CL113</f>
        <v>0</v>
      </c>
      <c r="S113" s="305" t="str">
        <f>Planned!CM113</f>
        <v>Avg 3 Yr</v>
      </c>
      <c r="T113" s="315">
        <f>Planned!CN113</f>
        <v>0.05</v>
      </c>
      <c r="U113" s="306" t="str">
        <f>IF(Planned!CO113=0,"",Planned!CO113)</f>
        <v/>
      </c>
      <c r="V113" s="307">
        <f>Planned!CP113</f>
        <v>434.0441091487931</v>
      </c>
      <c r="W113" s="96">
        <f>Planned!CL113</f>
        <v>0</v>
      </c>
      <c r="X113" s="305" t="str">
        <f>Reconductor!CM113</f>
        <v>Avg 3 Yr</v>
      </c>
      <c r="Y113" s="315">
        <f>Reconductor!CN113</f>
        <v>0.05</v>
      </c>
      <c r="Z113" s="306" t="str">
        <f>IF(Reconductor!CO113=0,"",Reconductor!CO113)</f>
        <v/>
      </c>
      <c r="AA113" s="307">
        <f>Reconductor!CP113</f>
        <v>626.89095289066256</v>
      </c>
      <c r="AB113" s="96">
        <f>Reconductor!CL113</f>
        <v>0</v>
      </c>
      <c r="AC113" s="305" t="str">
        <f>CTGS!CM113</f>
        <v>Avg 5 Yr</v>
      </c>
      <c r="AD113" s="315">
        <f>CTGS!CN113</f>
        <v>0.05</v>
      </c>
      <c r="AE113" s="306" t="str">
        <f>IF(CTGS!CO113=0,"",CTGS!CO113)</f>
        <v/>
      </c>
      <c r="AF113" s="307">
        <f>CTGS!CP113</f>
        <v>705.8217555455127</v>
      </c>
      <c r="AG113" s="392"/>
      <c r="AH113" s="98">
        <f t="shared" si="11"/>
        <v>0</v>
      </c>
      <c r="AI113" s="307" t="str">
        <f t="shared" si="12"/>
        <v/>
      </c>
      <c r="AJ113" s="416" t="e">
        <f>$AH113*SUMIFS('RIN 2.12 2022-2023 REPEX'!J$6:J$15,'RIN 2.12 2022-2023 REPEX'!$A$6:$A$15,'Unit Cost Rate Summary'!$A113)</f>
        <v>#DIV/0!</v>
      </c>
      <c r="AK113" s="97" t="e">
        <f>$AH113*SUMIFS('RIN 2.12 2022-2023 REPEX'!K$6:K$15,'RIN 2.12 2022-2023 REPEX'!$A$6:$A$15,'Unit Cost Rate Summary'!$A113)</f>
        <v>#DIV/0!</v>
      </c>
      <c r="AL113" s="97" t="e">
        <f>$AH113*SUMIFS('RIN 2.12 2022-2023 REPEX'!L$6:L$15,'RIN 2.12 2022-2023 REPEX'!$A$6:$A$15,'Unit Cost Rate Summary'!$A113)</f>
        <v>#DIV/0!</v>
      </c>
      <c r="AM113" s="98" t="e">
        <f>$AH113*SUMIFS('RIN 2.12 2022-2023 REPEX'!M$6:M$15,'RIN 2.12 2022-2023 REPEX'!$A$6:$A$15,'Unit Cost Rate Summary'!$A113)</f>
        <v>#DIV/0!</v>
      </c>
      <c r="AN113" s="485" t="str">
        <f t="shared" si="10"/>
        <v/>
      </c>
      <c r="AO113" s="486" t="str">
        <f t="shared" si="13"/>
        <v/>
      </c>
    </row>
    <row r="114" spans="1:41" x14ac:dyDescent="0.25">
      <c r="A114" s="81" t="s">
        <v>224</v>
      </c>
      <c r="B114" s="82" t="s">
        <v>231</v>
      </c>
      <c r="C114" s="83" t="s">
        <v>232</v>
      </c>
      <c r="D114" s="305" t="str">
        <f>'Defect P1'!CM114</f>
        <v>Avg 3 Yr</v>
      </c>
      <c r="E114" s="315">
        <f>'Defect P1'!CN114</f>
        <v>0.05</v>
      </c>
      <c r="F114" s="306" t="str">
        <f>IF('Defect P1'!CO114=0,"",'Defect P1'!CO114)</f>
        <v/>
      </c>
      <c r="G114" s="307">
        <f>'Defect P1'!CP114</f>
        <v>6.9231999999999996</v>
      </c>
      <c r="H114" s="96">
        <f>'Defect P1'!CL114</f>
        <v>0</v>
      </c>
      <c r="I114" s="305" t="str">
        <f>'Defect P2'!CM114</f>
        <v>Avg 3 Yr</v>
      </c>
      <c r="J114" s="315">
        <f>'Defect P2'!CN114</f>
        <v>0</v>
      </c>
      <c r="K114" s="306" t="str">
        <f>IF('Defect P2'!CO114=0,"",'Defect P2'!CO114)</f>
        <v/>
      </c>
      <c r="L114" s="307">
        <f>'Defect P2'!CP114</f>
        <v>185.0411964502926</v>
      </c>
      <c r="M114" s="96">
        <f>'Defect P2'!CL114</f>
        <v>0</v>
      </c>
      <c r="N114" s="305" t="str">
        <f>RTS!CM114</f>
        <v>Avg 3 Yr</v>
      </c>
      <c r="O114" s="315">
        <f>RTS!CN114</f>
        <v>0.05</v>
      </c>
      <c r="P114" s="306" t="str">
        <f>IF(RTS!CO114=0,"",RTS!CO114)</f>
        <v/>
      </c>
      <c r="Q114" s="307">
        <f>RTS!CP114</f>
        <v>55.156391250000006</v>
      </c>
      <c r="R114" s="96">
        <f>RTS!CL114</f>
        <v>0</v>
      </c>
      <c r="S114" s="305" t="str">
        <f>Planned!CM114</f>
        <v>Avg 3 Yr</v>
      </c>
      <c r="T114" s="315">
        <f>Planned!CN114</f>
        <v>0.05</v>
      </c>
      <c r="U114" s="306" t="str">
        <f>IF(Planned!CO114=0,"",Planned!CO114)</f>
        <v/>
      </c>
      <c r="V114" s="307">
        <f>Planned!CP114</f>
        <v>145.2056422049796</v>
      </c>
      <c r="W114" s="96">
        <f>Planned!CL114</f>
        <v>0</v>
      </c>
      <c r="X114" s="305" t="str">
        <f>Reconductor!CM114</f>
        <v>Avg 3 Yr</v>
      </c>
      <c r="Y114" s="315">
        <f>Reconductor!CN114</f>
        <v>0.05</v>
      </c>
      <c r="Z114" s="306" t="str">
        <f>IF(Reconductor!CO114=0,"",Reconductor!CO114)</f>
        <v/>
      </c>
      <c r="AA114" s="307">
        <f>Reconductor!CP114</f>
        <v>76.096876981180841</v>
      </c>
      <c r="AB114" s="96">
        <f>Reconductor!CL114</f>
        <v>0</v>
      </c>
      <c r="AC114" s="305" t="str">
        <f>CTGS!CM114</f>
        <v>Avg 5 Yr</v>
      </c>
      <c r="AD114" s="315">
        <f>CTGS!CN114</f>
        <v>0.05</v>
      </c>
      <c r="AE114" s="306" t="str">
        <f>IF(CTGS!CO114=0,"",CTGS!CO114)</f>
        <v/>
      </c>
      <c r="AF114" s="307">
        <f>CTGS!CP114</f>
        <v>188.2262269292641</v>
      </c>
      <c r="AG114" s="392"/>
      <c r="AH114" s="98">
        <f t="shared" si="11"/>
        <v>0</v>
      </c>
      <c r="AI114" s="307" t="str">
        <f t="shared" si="12"/>
        <v/>
      </c>
      <c r="AJ114" s="416" t="e">
        <f>$AH114*SUMIFS('RIN 2.12 2022-2023 REPEX'!J$6:J$15,'RIN 2.12 2022-2023 REPEX'!$A$6:$A$15,'Unit Cost Rate Summary'!$A114)</f>
        <v>#DIV/0!</v>
      </c>
      <c r="AK114" s="97" t="e">
        <f>$AH114*SUMIFS('RIN 2.12 2022-2023 REPEX'!K$6:K$15,'RIN 2.12 2022-2023 REPEX'!$A$6:$A$15,'Unit Cost Rate Summary'!$A114)</f>
        <v>#DIV/0!</v>
      </c>
      <c r="AL114" s="97" t="e">
        <f>$AH114*SUMIFS('RIN 2.12 2022-2023 REPEX'!L$6:L$15,'RIN 2.12 2022-2023 REPEX'!$A$6:$A$15,'Unit Cost Rate Summary'!$A114)</f>
        <v>#DIV/0!</v>
      </c>
      <c r="AM114" s="98" t="e">
        <f>$AH114*SUMIFS('RIN 2.12 2022-2023 REPEX'!M$6:M$15,'RIN 2.12 2022-2023 REPEX'!$A$6:$A$15,'Unit Cost Rate Summary'!$A114)</f>
        <v>#DIV/0!</v>
      </c>
      <c r="AN114" s="485" t="str">
        <f t="shared" si="10"/>
        <v/>
      </c>
      <c r="AO114" s="486" t="str">
        <f t="shared" si="13"/>
        <v/>
      </c>
    </row>
    <row r="115" spans="1:41" x14ac:dyDescent="0.25">
      <c r="A115" s="81" t="s">
        <v>224</v>
      </c>
      <c r="B115" s="82" t="s">
        <v>233</v>
      </c>
      <c r="C115" s="83" t="s">
        <v>234</v>
      </c>
      <c r="D115" s="305" t="str">
        <f>'Defect P1'!CM115</f>
        <v>Avg 3 Yr</v>
      </c>
      <c r="E115" s="315">
        <f>'Defect P1'!CN115</f>
        <v>0.05</v>
      </c>
      <c r="F115" s="306" t="str">
        <f>IF('Defect P1'!CO115=0,"",'Defect P1'!CO115)</f>
        <v/>
      </c>
      <c r="G115" s="307">
        <f>'Defect P1'!CP115</f>
        <v>9.1731722769756097</v>
      </c>
      <c r="H115" s="96">
        <f>'Defect P1'!CL115</f>
        <v>0</v>
      </c>
      <c r="I115" s="305" t="str">
        <f>'Defect P2'!CM115</f>
        <v>Avg 3 Yr</v>
      </c>
      <c r="J115" s="315">
        <f>'Defect P2'!CN115</f>
        <v>0</v>
      </c>
      <c r="K115" s="306" t="str">
        <f>IF('Defect P2'!CO115=0,"",'Defect P2'!CO115)</f>
        <v/>
      </c>
      <c r="L115" s="307">
        <f>'Defect P2'!CP115</f>
        <v>141.1422596633814</v>
      </c>
      <c r="M115" s="96">
        <f>'Defect P2'!CL115</f>
        <v>0</v>
      </c>
      <c r="N115" s="305" t="str">
        <f>RTS!CM115</f>
        <v>Avg 3 Yr</v>
      </c>
      <c r="O115" s="315">
        <f>RTS!CN115</f>
        <v>0.05</v>
      </c>
      <c r="P115" s="306" t="str">
        <f>IF(RTS!CO115=0,"",RTS!CO115)</f>
        <v/>
      </c>
      <c r="Q115" s="307">
        <f>RTS!CP115</f>
        <v>188.98121128254999</v>
      </c>
      <c r="R115" s="96">
        <f>RTS!CL115</f>
        <v>0</v>
      </c>
      <c r="S115" s="305" t="str">
        <f>Planned!CM115</f>
        <v>Avg 3 Yr</v>
      </c>
      <c r="T115" s="315">
        <f>Planned!CN115</f>
        <v>0.05</v>
      </c>
      <c r="U115" s="306" t="str">
        <f>IF(Planned!CO115=0,"",Planned!CO115)</f>
        <v/>
      </c>
      <c r="V115" s="307">
        <f>Planned!CP115</f>
        <v>55.749233363499997</v>
      </c>
      <c r="W115" s="96">
        <f>Planned!CL115</f>
        <v>0</v>
      </c>
      <c r="X115" s="305" t="str">
        <f>Reconductor!CM115</f>
        <v>Avg 3 Yr</v>
      </c>
      <c r="Y115" s="315">
        <f>Reconductor!CN115</f>
        <v>0.05</v>
      </c>
      <c r="Z115" s="306" t="str">
        <f>IF(Reconductor!CO115=0,"",Reconductor!CO115)</f>
        <v/>
      </c>
      <c r="AA115" s="307">
        <f>Reconductor!CP115</f>
        <v>23.856817718615392</v>
      </c>
      <c r="AB115" s="96">
        <f>Reconductor!CL115</f>
        <v>0</v>
      </c>
      <c r="AC115" s="305" t="str">
        <f>CTGS!CM115</f>
        <v>Avg 5 Yr</v>
      </c>
      <c r="AD115" s="315">
        <f>CTGS!CN115</f>
        <v>0.05</v>
      </c>
      <c r="AE115" s="306" t="str">
        <f>IF(CTGS!CO115=0,"",CTGS!CO115)</f>
        <v/>
      </c>
      <c r="AF115" s="307">
        <f>CTGS!CP115</f>
        <v>56.60436291739024</v>
      </c>
      <c r="AG115" s="392"/>
      <c r="AH115" s="98">
        <f t="shared" si="11"/>
        <v>0</v>
      </c>
      <c r="AI115" s="307" t="str">
        <f t="shared" si="12"/>
        <v/>
      </c>
      <c r="AJ115" s="416" t="e">
        <f>$AH115*SUMIFS('RIN 2.12 2022-2023 REPEX'!J$6:J$15,'RIN 2.12 2022-2023 REPEX'!$A$6:$A$15,'Unit Cost Rate Summary'!$A115)</f>
        <v>#DIV/0!</v>
      </c>
      <c r="AK115" s="97" t="e">
        <f>$AH115*SUMIFS('RIN 2.12 2022-2023 REPEX'!K$6:K$15,'RIN 2.12 2022-2023 REPEX'!$A$6:$A$15,'Unit Cost Rate Summary'!$A115)</f>
        <v>#DIV/0!</v>
      </c>
      <c r="AL115" s="97" t="e">
        <f>$AH115*SUMIFS('RIN 2.12 2022-2023 REPEX'!L$6:L$15,'RIN 2.12 2022-2023 REPEX'!$A$6:$A$15,'Unit Cost Rate Summary'!$A115)</f>
        <v>#DIV/0!</v>
      </c>
      <c r="AM115" s="98" t="e">
        <f>$AH115*SUMIFS('RIN 2.12 2022-2023 REPEX'!M$6:M$15,'RIN 2.12 2022-2023 REPEX'!$A$6:$A$15,'Unit Cost Rate Summary'!$A115)</f>
        <v>#DIV/0!</v>
      </c>
      <c r="AN115" s="485" t="str">
        <f t="shared" si="10"/>
        <v/>
      </c>
      <c r="AO115" s="486" t="str">
        <f t="shared" si="13"/>
        <v/>
      </c>
    </row>
    <row r="116" spans="1:41" x14ac:dyDescent="0.25">
      <c r="A116" s="81" t="s">
        <v>224</v>
      </c>
      <c r="B116" s="82" t="s">
        <v>235</v>
      </c>
      <c r="C116" s="83" t="s">
        <v>236</v>
      </c>
      <c r="D116" s="305" t="str">
        <f>'Defect P1'!CM116</f>
        <v>Avg 3 Yr</v>
      </c>
      <c r="E116" s="315">
        <f>'Defect P1'!CN116</f>
        <v>0.05</v>
      </c>
      <c r="F116" s="306" t="str">
        <f>IF('Defect P1'!CO116=0,"",'Defect P1'!CO116)</f>
        <v/>
      </c>
      <c r="G116" s="307">
        <f>'Defect P1'!CP116</f>
        <v>9865.5191885460008</v>
      </c>
      <c r="H116" s="96">
        <f>'Defect P1'!CL116</f>
        <v>0</v>
      </c>
      <c r="I116" s="305" t="str">
        <f>'Defect P2'!CM116</f>
        <v>Avg 3 Yr</v>
      </c>
      <c r="J116" s="315">
        <f>'Defect P2'!CN116</f>
        <v>0</v>
      </c>
      <c r="K116" s="306" t="str">
        <f>IF('Defect P2'!CO116=0,"",'Defect P2'!CO116)</f>
        <v/>
      </c>
      <c r="L116" s="307">
        <f>'Defect P2'!CP116</f>
        <v>10166.677381557487</v>
      </c>
      <c r="M116" s="96">
        <f>'Defect P2'!CL116</f>
        <v>0</v>
      </c>
      <c r="N116" s="305" t="str">
        <f>RTS!CM116</f>
        <v>Avg 3 Yr</v>
      </c>
      <c r="O116" s="315">
        <f>RTS!CN116</f>
        <v>0.05</v>
      </c>
      <c r="P116" s="306" t="str">
        <f>IF(RTS!CO116=0,"",RTS!CO116)</f>
        <v/>
      </c>
      <c r="Q116" s="307">
        <f>RTS!CP116</f>
        <v>2780.087338024</v>
      </c>
      <c r="R116" s="96">
        <f>RTS!CL116</f>
        <v>0</v>
      </c>
      <c r="S116" s="305" t="str">
        <f>Planned!CM116</f>
        <v>Avg 3 Yr</v>
      </c>
      <c r="T116" s="315">
        <f>Planned!CN116</f>
        <v>0.05</v>
      </c>
      <c r="U116" s="306" t="str">
        <f>IF(Planned!CO116=0,"",Planned!CO116)</f>
        <v/>
      </c>
      <c r="V116" s="307">
        <f>Planned!CP116</f>
        <v>2058.9481397576669</v>
      </c>
      <c r="W116" s="96">
        <f>Planned!CL116</f>
        <v>0</v>
      </c>
      <c r="X116" s="305" t="str">
        <f>Reconductor!CM116</f>
        <v>Avg 3 Yr</v>
      </c>
      <c r="Y116" s="315">
        <f>Reconductor!CN116</f>
        <v>0.05</v>
      </c>
      <c r="Z116" s="306" t="str">
        <f>IF(Reconductor!CO116=0,"",Reconductor!CO116)</f>
        <v/>
      </c>
      <c r="AA116" s="307" t="str">
        <f>Reconductor!CP116</f>
        <v/>
      </c>
      <c r="AB116" s="96">
        <f>Reconductor!CL116</f>
        <v>0</v>
      </c>
      <c r="AC116" s="305" t="str">
        <f>CTGS!CM116</f>
        <v>Avg 5 Yr</v>
      </c>
      <c r="AD116" s="315">
        <f>CTGS!CN116</f>
        <v>0.05</v>
      </c>
      <c r="AE116" s="306" t="str">
        <f>IF(CTGS!CO116=0,"",CTGS!CO116)</f>
        <v/>
      </c>
      <c r="AF116" s="307">
        <f>CTGS!CP116</f>
        <v>6443.55433185525</v>
      </c>
      <c r="AG116" s="392"/>
      <c r="AH116" s="98">
        <f t="shared" si="11"/>
        <v>0</v>
      </c>
      <c r="AI116" s="307" t="str">
        <f t="shared" si="12"/>
        <v/>
      </c>
      <c r="AJ116" s="416" t="e">
        <f>$AH116*SUMIFS('RIN 2.12 2022-2023 REPEX'!J$6:J$15,'RIN 2.12 2022-2023 REPEX'!$A$6:$A$15,'Unit Cost Rate Summary'!$A116)</f>
        <v>#DIV/0!</v>
      </c>
      <c r="AK116" s="97" t="e">
        <f>$AH116*SUMIFS('RIN 2.12 2022-2023 REPEX'!K$6:K$15,'RIN 2.12 2022-2023 REPEX'!$A$6:$A$15,'Unit Cost Rate Summary'!$A116)</f>
        <v>#DIV/0!</v>
      </c>
      <c r="AL116" s="97" t="e">
        <f>$AH116*SUMIFS('RIN 2.12 2022-2023 REPEX'!L$6:L$15,'RIN 2.12 2022-2023 REPEX'!$A$6:$A$15,'Unit Cost Rate Summary'!$A116)</f>
        <v>#DIV/0!</v>
      </c>
      <c r="AM116" s="98" t="e">
        <f>$AH116*SUMIFS('RIN 2.12 2022-2023 REPEX'!M$6:M$15,'RIN 2.12 2022-2023 REPEX'!$A$6:$A$15,'Unit Cost Rate Summary'!$A116)</f>
        <v>#DIV/0!</v>
      </c>
      <c r="AN116" s="485" t="str">
        <f t="shared" si="10"/>
        <v/>
      </c>
      <c r="AO116" s="486" t="str">
        <f t="shared" si="13"/>
        <v/>
      </c>
    </row>
    <row r="117" spans="1:41" x14ac:dyDescent="0.25">
      <c r="A117" s="81" t="s">
        <v>224</v>
      </c>
      <c r="B117" s="82" t="s">
        <v>237</v>
      </c>
      <c r="C117" s="83" t="s">
        <v>238</v>
      </c>
      <c r="D117" s="305" t="str">
        <f>'Defect P1'!CM117</f>
        <v>Avg 3 Yr</v>
      </c>
      <c r="E117" s="315">
        <f>'Defect P1'!CN117</f>
        <v>0.05</v>
      </c>
      <c r="F117" s="306" t="str">
        <f>IF('Defect P1'!CO117=0,"",'Defect P1'!CO117)</f>
        <v/>
      </c>
      <c r="G117" s="307" t="str">
        <f>'Defect P1'!CP117</f>
        <v/>
      </c>
      <c r="H117" s="96">
        <f>'Defect P1'!CL117</f>
        <v>0</v>
      </c>
      <c r="I117" s="305" t="str">
        <f>'Defect P2'!CM117</f>
        <v>Avg 3 Yr</v>
      </c>
      <c r="J117" s="315">
        <f>'Defect P2'!CN117</f>
        <v>0</v>
      </c>
      <c r="K117" s="306" t="str">
        <f>IF('Defect P2'!CO117=0,"",'Defect P2'!CO117)</f>
        <v/>
      </c>
      <c r="L117" s="307">
        <f>'Defect P2'!CP117</f>
        <v>6579.7523415900532</v>
      </c>
      <c r="M117" s="96">
        <f>'Defect P2'!CL117</f>
        <v>0</v>
      </c>
      <c r="N117" s="305" t="str">
        <f>RTS!CM117</f>
        <v>Avg 3 Yr</v>
      </c>
      <c r="O117" s="315">
        <f>RTS!CN117</f>
        <v>0.05</v>
      </c>
      <c r="P117" s="306" t="str">
        <f>IF(RTS!CO117=0,"",RTS!CO117)</f>
        <v/>
      </c>
      <c r="Q117" s="307">
        <f>RTS!CP117</f>
        <v>2728.2679893299996</v>
      </c>
      <c r="R117" s="96">
        <f>RTS!CL117</f>
        <v>0</v>
      </c>
      <c r="S117" s="305" t="str">
        <f>Planned!CM117</f>
        <v>Avg 3 Yr</v>
      </c>
      <c r="T117" s="315">
        <f>Planned!CN117</f>
        <v>0.05</v>
      </c>
      <c r="U117" s="306" t="str">
        <f>IF(Planned!CO117=0,"",Planned!CO117)</f>
        <v/>
      </c>
      <c r="V117" s="307">
        <f>Planned!CP117</f>
        <v>799.43735562337201</v>
      </c>
      <c r="W117" s="96">
        <f>Planned!CL117</f>
        <v>0</v>
      </c>
      <c r="X117" s="305" t="str">
        <f>Reconductor!CM117</f>
        <v>Avg 3 Yr</v>
      </c>
      <c r="Y117" s="315">
        <f>Reconductor!CN117</f>
        <v>0.05</v>
      </c>
      <c r="Z117" s="306" t="str">
        <f>IF(Reconductor!CO117=0,"",Reconductor!CO117)</f>
        <v/>
      </c>
      <c r="AA117" s="307" t="str">
        <f>Reconductor!CP117</f>
        <v/>
      </c>
      <c r="AB117" s="96">
        <f>Reconductor!CL117</f>
        <v>0</v>
      </c>
      <c r="AC117" s="305" t="str">
        <f>CTGS!CM117</f>
        <v>Avg 5 Yr</v>
      </c>
      <c r="AD117" s="315">
        <f>CTGS!CN117</f>
        <v>0.05</v>
      </c>
      <c r="AE117" s="306" t="str">
        <f>IF(CTGS!CO117=0,"",CTGS!CO117)</f>
        <v/>
      </c>
      <c r="AF117" s="307">
        <f>CTGS!CP117</f>
        <v>8630.1166794717501</v>
      </c>
      <c r="AG117" s="392"/>
      <c r="AH117" s="98">
        <f t="shared" si="11"/>
        <v>0</v>
      </c>
      <c r="AI117" s="307" t="str">
        <f t="shared" si="12"/>
        <v/>
      </c>
      <c r="AJ117" s="416" t="e">
        <f>$AH117*SUMIFS('RIN 2.12 2022-2023 REPEX'!J$6:J$15,'RIN 2.12 2022-2023 REPEX'!$A$6:$A$15,'Unit Cost Rate Summary'!$A117)</f>
        <v>#DIV/0!</v>
      </c>
      <c r="AK117" s="97" t="e">
        <f>$AH117*SUMIFS('RIN 2.12 2022-2023 REPEX'!K$6:K$15,'RIN 2.12 2022-2023 REPEX'!$A$6:$A$15,'Unit Cost Rate Summary'!$A117)</f>
        <v>#DIV/0!</v>
      </c>
      <c r="AL117" s="97" t="e">
        <f>$AH117*SUMIFS('RIN 2.12 2022-2023 REPEX'!L$6:L$15,'RIN 2.12 2022-2023 REPEX'!$A$6:$A$15,'Unit Cost Rate Summary'!$A117)</f>
        <v>#DIV/0!</v>
      </c>
      <c r="AM117" s="98" t="e">
        <f>$AH117*SUMIFS('RIN 2.12 2022-2023 REPEX'!M$6:M$15,'RIN 2.12 2022-2023 REPEX'!$A$6:$A$15,'Unit Cost Rate Summary'!$A117)</f>
        <v>#DIV/0!</v>
      </c>
      <c r="AN117" s="485" t="str">
        <f t="shared" si="10"/>
        <v/>
      </c>
      <c r="AO117" s="486" t="str">
        <f t="shared" si="13"/>
        <v/>
      </c>
    </row>
    <row r="118" spans="1:41" ht="15.75" thickBot="1" x14ac:dyDescent="0.3">
      <c r="A118" s="100" t="s">
        <v>224</v>
      </c>
      <c r="B118" s="101" t="s">
        <v>397</v>
      </c>
      <c r="C118" s="102" t="s">
        <v>398</v>
      </c>
      <c r="D118" s="308" t="str">
        <f>'Defect P1'!CM118</f>
        <v>Avg 3 Yr</v>
      </c>
      <c r="E118" s="316">
        <f>'Defect P1'!CN118</f>
        <v>0.05</v>
      </c>
      <c r="F118" s="309" t="str">
        <f>IF('Defect P1'!CO118=0,"",'Defect P1'!CO118)</f>
        <v/>
      </c>
      <c r="G118" s="310" t="str">
        <f>'Defect P1'!CP118</f>
        <v/>
      </c>
      <c r="H118" s="115">
        <f>'Defect P1'!CL118</f>
        <v>0</v>
      </c>
      <c r="I118" s="308" t="str">
        <f>'Defect P2'!CM118</f>
        <v>Avg 3 Yr</v>
      </c>
      <c r="J118" s="316">
        <f>'Defect P2'!CN118</f>
        <v>0</v>
      </c>
      <c r="K118" s="309" t="str">
        <f>IF('Defect P2'!CO118=0,"",'Defect P2'!CO118)</f>
        <v/>
      </c>
      <c r="L118" s="310" t="str">
        <f>'Defect P2'!CP118</f>
        <v/>
      </c>
      <c r="M118" s="115">
        <f>'Defect P2'!CL118</f>
        <v>0</v>
      </c>
      <c r="N118" s="308" t="str">
        <f>RTS!CM118</f>
        <v>Avg 3 Yr</v>
      </c>
      <c r="O118" s="316">
        <f>RTS!CN118</f>
        <v>0.05</v>
      </c>
      <c r="P118" s="309" t="str">
        <f>IF(RTS!CO118=0,"",RTS!CO118)</f>
        <v/>
      </c>
      <c r="Q118" s="310" t="str">
        <f>RTS!CP118</f>
        <v/>
      </c>
      <c r="R118" s="115">
        <f>RTS!CL118</f>
        <v>0</v>
      </c>
      <c r="S118" s="308" t="str">
        <f>Planned!CM118</f>
        <v>Avg 3 Yr</v>
      </c>
      <c r="T118" s="316">
        <f>Planned!CN118</f>
        <v>0.05</v>
      </c>
      <c r="U118" s="309" t="str">
        <f>IF(Planned!CO118=0,"",Planned!CO118)</f>
        <v/>
      </c>
      <c r="V118" s="310" t="str">
        <f>Planned!CP118</f>
        <v/>
      </c>
      <c r="W118" s="115">
        <f>Planned!CL118</f>
        <v>0</v>
      </c>
      <c r="X118" s="308" t="str">
        <f>Reconductor!CM118</f>
        <v>Avg 3 Yr</v>
      </c>
      <c r="Y118" s="316">
        <f>Reconductor!CN118</f>
        <v>0.05</v>
      </c>
      <c r="Z118" s="309" t="str">
        <f>IF(Reconductor!CO118=0,"",Reconductor!CO118)</f>
        <v/>
      </c>
      <c r="AA118" s="310" t="str">
        <f>Reconductor!CP118</f>
        <v/>
      </c>
      <c r="AB118" s="115">
        <f>Reconductor!CL118</f>
        <v>0</v>
      </c>
      <c r="AC118" s="308" t="str">
        <f>CTGS!CM118</f>
        <v>Avg 5 Yr</v>
      </c>
      <c r="AD118" s="316">
        <f>CTGS!CN118</f>
        <v>0.05</v>
      </c>
      <c r="AE118" s="309" t="str">
        <f>IF(CTGS!CO118=0,"",CTGS!CO118)</f>
        <v/>
      </c>
      <c r="AF118" s="310" t="str">
        <f>CTGS!CP118</f>
        <v/>
      </c>
      <c r="AG118" s="393"/>
      <c r="AH118" s="118">
        <f t="shared" si="11"/>
        <v>0</v>
      </c>
      <c r="AI118" s="310" t="str">
        <f t="shared" si="12"/>
        <v/>
      </c>
      <c r="AJ118" s="467" t="e">
        <f>$AH118*SUMIFS('RIN 2.12 2022-2023 REPEX'!J$6:J$15,'RIN 2.12 2022-2023 REPEX'!$A$6:$A$15,'Unit Cost Rate Summary'!$A118)</f>
        <v>#DIV/0!</v>
      </c>
      <c r="AK118" s="117" t="e">
        <f>$AH118*SUMIFS('RIN 2.12 2022-2023 REPEX'!K$6:K$15,'RIN 2.12 2022-2023 REPEX'!$A$6:$A$15,'Unit Cost Rate Summary'!$A118)</f>
        <v>#DIV/0!</v>
      </c>
      <c r="AL118" s="117" t="e">
        <f>$AH118*SUMIFS('RIN 2.12 2022-2023 REPEX'!L$6:L$15,'RIN 2.12 2022-2023 REPEX'!$A$6:$A$15,'Unit Cost Rate Summary'!$A118)</f>
        <v>#DIV/0!</v>
      </c>
      <c r="AM118" s="118" t="e">
        <f>$AH118*SUMIFS('RIN 2.12 2022-2023 REPEX'!M$6:M$15,'RIN 2.12 2022-2023 REPEX'!$A$6:$A$15,'Unit Cost Rate Summary'!$A118)</f>
        <v>#DIV/0!</v>
      </c>
      <c r="AN118" s="487" t="str">
        <f t="shared" si="10"/>
        <v/>
      </c>
      <c r="AO118" s="488" t="str">
        <f t="shared" si="13"/>
        <v/>
      </c>
    </row>
    <row r="119" spans="1:41" x14ac:dyDescent="0.25">
      <c r="A119" s="63" t="s">
        <v>242</v>
      </c>
      <c r="B119" s="64" t="s">
        <v>239</v>
      </c>
      <c r="C119" s="65" t="s">
        <v>241</v>
      </c>
      <c r="D119" s="302" t="str">
        <f>'Defect P1'!CM119</f>
        <v>Avg 3 Yr</v>
      </c>
      <c r="E119" s="314">
        <f>'Defect P1'!CN119</f>
        <v>0.05</v>
      </c>
      <c r="F119" s="303" t="str">
        <f>IF('Defect P1'!CO119=0,"",'Defect P1'!CO119)</f>
        <v/>
      </c>
      <c r="G119" s="304" t="str">
        <f>'Defect P1'!CP119</f>
        <v/>
      </c>
      <c r="H119" s="144">
        <f>'Defect P1'!CL119</f>
        <v>0</v>
      </c>
      <c r="I119" s="302" t="str">
        <f>'Defect P2'!CM119</f>
        <v>Avg 3 Yr</v>
      </c>
      <c r="J119" s="314">
        <f>'Defect P2'!CN119</f>
        <v>0</v>
      </c>
      <c r="K119" s="303" t="str">
        <f>IF('Defect P2'!CO119=0,"",'Defect P2'!CO119)</f>
        <v/>
      </c>
      <c r="L119" s="304" t="str">
        <f>'Defect P2'!CP119</f>
        <v/>
      </c>
      <c r="M119" s="144">
        <f>'Defect P2'!CL119</f>
        <v>0</v>
      </c>
      <c r="N119" s="302" t="str">
        <f>RTS!CM119</f>
        <v>Avg 3 Yr</v>
      </c>
      <c r="O119" s="314">
        <f>RTS!CN119</f>
        <v>0.05</v>
      </c>
      <c r="P119" s="303" t="str">
        <f>IF(RTS!CO119=0,"",RTS!CO119)</f>
        <v/>
      </c>
      <c r="Q119" s="304" t="str">
        <f>RTS!CP119</f>
        <v/>
      </c>
      <c r="R119" s="144">
        <f>RTS!CL119</f>
        <v>0</v>
      </c>
      <c r="S119" s="302" t="str">
        <f>Planned!CM119</f>
        <v>Avg 3 Yr</v>
      </c>
      <c r="T119" s="314">
        <f>Planned!CN119</f>
        <v>0.05</v>
      </c>
      <c r="U119" s="303" t="str">
        <f>IF(Planned!CO119=0,"",Planned!CO119)</f>
        <v/>
      </c>
      <c r="V119" s="304" t="str">
        <f>Planned!CP119</f>
        <v/>
      </c>
      <c r="W119" s="144">
        <f>Planned!CL119</f>
        <v>0</v>
      </c>
      <c r="X119" s="302" t="str">
        <f>Reconductor!CM119</f>
        <v>Avg 3 Yr</v>
      </c>
      <c r="Y119" s="314">
        <f>Reconductor!CN119</f>
        <v>0.05</v>
      </c>
      <c r="Z119" s="303" t="str">
        <f>IF(Reconductor!CO119=0,"",Reconductor!CO119)</f>
        <v/>
      </c>
      <c r="AA119" s="304" t="str">
        <f>Reconductor!CP119</f>
        <v/>
      </c>
      <c r="AB119" s="144">
        <f>Reconductor!CL119</f>
        <v>0</v>
      </c>
      <c r="AC119" s="302" t="str">
        <f>CTGS!CM119</f>
        <v>Avg 5 Yr</v>
      </c>
      <c r="AD119" s="314">
        <f>CTGS!CN119</f>
        <v>0.05</v>
      </c>
      <c r="AE119" s="303" t="str">
        <f>IF(CTGS!CO119=0,"",CTGS!CO119)</f>
        <v/>
      </c>
      <c r="AF119" s="304" t="str">
        <f>CTGS!CP119</f>
        <v/>
      </c>
      <c r="AG119" s="394"/>
      <c r="AH119" s="80">
        <f t="shared" si="11"/>
        <v>0</v>
      </c>
      <c r="AI119" s="304" t="str">
        <f t="shared" si="12"/>
        <v/>
      </c>
      <c r="AJ119" s="415">
        <f>$AH119*SUMIFS('RIN 2.12 2022-2023 REPEX'!J$6:J$15,'RIN 2.12 2022-2023 REPEX'!$A$6:$A$15,'Unit Cost Rate Summary'!$A119)</f>
        <v>0</v>
      </c>
      <c r="AK119" s="79">
        <f>$AH119*SUMIFS('RIN 2.12 2022-2023 REPEX'!K$6:K$15,'RIN 2.12 2022-2023 REPEX'!$A$6:$A$15,'Unit Cost Rate Summary'!$A119)</f>
        <v>0</v>
      </c>
      <c r="AL119" s="79">
        <f>$AH119*SUMIFS('RIN 2.12 2022-2023 REPEX'!L$6:L$15,'RIN 2.12 2022-2023 REPEX'!$A$6:$A$15,'Unit Cost Rate Summary'!$A119)</f>
        <v>0</v>
      </c>
      <c r="AM119" s="80">
        <f>$AH119*SUMIFS('RIN 2.12 2022-2023 REPEX'!M$6:M$15,'RIN 2.12 2022-2023 REPEX'!$A$6:$A$15,'Unit Cost Rate Summary'!$A119)</f>
        <v>0</v>
      </c>
      <c r="AN119" s="483">
        <f t="shared" si="10"/>
        <v>0</v>
      </c>
      <c r="AO119" s="484" t="str">
        <f t="shared" si="13"/>
        <v/>
      </c>
    </row>
    <row r="120" spans="1:41" x14ac:dyDescent="0.25">
      <c r="A120" s="81" t="s">
        <v>242</v>
      </c>
      <c r="B120" s="82" t="s">
        <v>243</v>
      </c>
      <c r="C120" s="83" t="s">
        <v>244</v>
      </c>
      <c r="D120" s="305" t="str">
        <f>'Defect P1'!CM120</f>
        <v>Avg 3 Yr</v>
      </c>
      <c r="E120" s="315">
        <f>'Defect P1'!CN120</f>
        <v>0.05</v>
      </c>
      <c r="F120" s="306" t="str">
        <f>IF('Defect P1'!CO120=0,"",'Defect P1'!CO120)</f>
        <v/>
      </c>
      <c r="G120" s="307" t="str">
        <f>'Defect P1'!CP120</f>
        <v/>
      </c>
      <c r="H120" s="96">
        <f>'Defect P1'!CL120</f>
        <v>0</v>
      </c>
      <c r="I120" s="305" t="str">
        <f>'Defect P2'!CM120</f>
        <v>Avg 3 Yr</v>
      </c>
      <c r="J120" s="315">
        <f>'Defect P2'!CN120</f>
        <v>0</v>
      </c>
      <c r="K120" s="306" t="str">
        <f>IF('Defect P2'!CO120=0,"",'Defect P2'!CO120)</f>
        <v/>
      </c>
      <c r="L120" s="307" t="str">
        <f>'Defect P2'!CP120</f>
        <v/>
      </c>
      <c r="M120" s="96">
        <f>'Defect P2'!CL120</f>
        <v>0</v>
      </c>
      <c r="N120" s="305" t="str">
        <f>RTS!CM120</f>
        <v>Avg 3 Yr</v>
      </c>
      <c r="O120" s="315">
        <f>RTS!CN120</f>
        <v>0.05</v>
      </c>
      <c r="P120" s="306" t="str">
        <f>IF(RTS!CO120=0,"",RTS!CO120)</f>
        <v/>
      </c>
      <c r="Q120" s="307" t="str">
        <f>RTS!CP120</f>
        <v/>
      </c>
      <c r="R120" s="96">
        <f>RTS!CL120</f>
        <v>0</v>
      </c>
      <c r="S120" s="305" t="str">
        <f>Planned!CM120</f>
        <v>Avg 3 Yr</v>
      </c>
      <c r="T120" s="315">
        <f>Planned!CN120</f>
        <v>0.05</v>
      </c>
      <c r="U120" s="306" t="str">
        <f>IF(Planned!CO120=0,"",Planned!CO120)</f>
        <v/>
      </c>
      <c r="V120" s="307" t="str">
        <f>Planned!CP120</f>
        <v/>
      </c>
      <c r="W120" s="96">
        <f>Planned!CL120</f>
        <v>0</v>
      </c>
      <c r="X120" s="305" t="str">
        <f>Reconductor!CM120</f>
        <v>Avg 3 Yr</v>
      </c>
      <c r="Y120" s="315">
        <f>Reconductor!CN120</f>
        <v>0.05</v>
      </c>
      <c r="Z120" s="306" t="str">
        <f>IF(Reconductor!CO120=0,"",Reconductor!CO120)</f>
        <v/>
      </c>
      <c r="AA120" s="307" t="str">
        <f>Reconductor!CP120</f>
        <v/>
      </c>
      <c r="AB120" s="96">
        <f>Reconductor!CL120</f>
        <v>0</v>
      </c>
      <c r="AC120" s="305" t="str">
        <f>CTGS!CM120</f>
        <v>Avg 5 Yr</v>
      </c>
      <c r="AD120" s="315">
        <f>CTGS!CN120</f>
        <v>0.05</v>
      </c>
      <c r="AE120" s="306" t="str">
        <f>IF(CTGS!CO120=0,"",CTGS!CO120)</f>
        <v/>
      </c>
      <c r="AF120" s="307" t="str">
        <f>CTGS!CP120</f>
        <v/>
      </c>
      <c r="AG120" s="392"/>
      <c r="AH120" s="98">
        <f t="shared" si="11"/>
        <v>0</v>
      </c>
      <c r="AI120" s="307" t="str">
        <f t="shared" si="12"/>
        <v/>
      </c>
      <c r="AJ120" s="416">
        <f>$AH120*SUMIFS('RIN 2.12 2022-2023 REPEX'!J$6:J$15,'RIN 2.12 2022-2023 REPEX'!$A$6:$A$15,'Unit Cost Rate Summary'!$A120)</f>
        <v>0</v>
      </c>
      <c r="AK120" s="97">
        <f>$AH120*SUMIFS('RIN 2.12 2022-2023 REPEX'!K$6:K$15,'RIN 2.12 2022-2023 REPEX'!$A$6:$A$15,'Unit Cost Rate Summary'!$A120)</f>
        <v>0</v>
      </c>
      <c r="AL120" s="97">
        <f>$AH120*SUMIFS('RIN 2.12 2022-2023 REPEX'!L$6:L$15,'RIN 2.12 2022-2023 REPEX'!$A$6:$A$15,'Unit Cost Rate Summary'!$A120)</f>
        <v>0</v>
      </c>
      <c r="AM120" s="98">
        <f>$AH120*SUMIFS('RIN 2.12 2022-2023 REPEX'!M$6:M$15,'RIN 2.12 2022-2023 REPEX'!$A$6:$A$15,'Unit Cost Rate Summary'!$A120)</f>
        <v>0</v>
      </c>
      <c r="AN120" s="485">
        <f t="shared" si="10"/>
        <v>0</v>
      </c>
      <c r="AO120" s="486" t="str">
        <f t="shared" si="13"/>
        <v/>
      </c>
    </row>
    <row r="121" spans="1:41" x14ac:dyDescent="0.25">
      <c r="A121" s="81" t="s">
        <v>242</v>
      </c>
      <c r="B121" s="82" t="s">
        <v>245</v>
      </c>
      <c r="C121" s="83" t="s">
        <v>246</v>
      </c>
      <c r="D121" s="305" t="str">
        <f>'Defect P1'!CM121</f>
        <v>Avg 3 Yr</v>
      </c>
      <c r="E121" s="315">
        <f>'Defect P1'!CN121</f>
        <v>0.05</v>
      </c>
      <c r="F121" s="306" t="str">
        <f>IF('Defect P1'!CO121=0,"",'Defect P1'!CO121)</f>
        <v/>
      </c>
      <c r="G121" s="307" t="str">
        <f>'Defect P1'!CP121</f>
        <v/>
      </c>
      <c r="H121" s="96">
        <f>'Defect P1'!CL121</f>
        <v>0</v>
      </c>
      <c r="I121" s="305" t="str">
        <f>'Defect P2'!CM121</f>
        <v>Avg 3 Yr</v>
      </c>
      <c r="J121" s="315">
        <f>'Defect P2'!CN121</f>
        <v>0</v>
      </c>
      <c r="K121" s="306" t="str">
        <f>IF('Defect P2'!CO121=0,"",'Defect P2'!CO121)</f>
        <v/>
      </c>
      <c r="L121" s="307" t="str">
        <f>'Defect P2'!CP121</f>
        <v/>
      </c>
      <c r="M121" s="96">
        <f>'Defect P2'!CL121</f>
        <v>0</v>
      </c>
      <c r="N121" s="305" t="str">
        <f>RTS!CM121</f>
        <v>Avg 3 Yr</v>
      </c>
      <c r="O121" s="315">
        <f>RTS!CN121</f>
        <v>0.05</v>
      </c>
      <c r="P121" s="306" t="str">
        <f>IF(RTS!CO121=0,"",RTS!CO121)</f>
        <v/>
      </c>
      <c r="Q121" s="307" t="str">
        <f>RTS!CP121</f>
        <v/>
      </c>
      <c r="R121" s="96">
        <f>RTS!CL121</f>
        <v>0</v>
      </c>
      <c r="S121" s="305" t="str">
        <f>Planned!CM121</f>
        <v>Avg 3 Yr</v>
      </c>
      <c r="T121" s="315">
        <f>Planned!CN121</f>
        <v>0.05</v>
      </c>
      <c r="U121" s="306" t="str">
        <f>IF(Planned!CO121=0,"",Planned!CO121)</f>
        <v/>
      </c>
      <c r="V121" s="307" t="str">
        <f>Planned!CP121</f>
        <v/>
      </c>
      <c r="W121" s="96">
        <f>Planned!CL121</f>
        <v>0</v>
      </c>
      <c r="X121" s="305" t="str">
        <f>Reconductor!CM121</f>
        <v>Avg 3 Yr</v>
      </c>
      <c r="Y121" s="315">
        <f>Reconductor!CN121</f>
        <v>0.05</v>
      </c>
      <c r="Z121" s="306" t="str">
        <f>IF(Reconductor!CO121=0,"",Reconductor!CO121)</f>
        <v/>
      </c>
      <c r="AA121" s="307" t="str">
        <f>Reconductor!CP121</f>
        <v/>
      </c>
      <c r="AB121" s="96">
        <f>Reconductor!CL121</f>
        <v>0</v>
      </c>
      <c r="AC121" s="305" t="str">
        <f>CTGS!CM121</f>
        <v>Avg 5 Yr</v>
      </c>
      <c r="AD121" s="315">
        <f>CTGS!CN121</f>
        <v>0.05</v>
      </c>
      <c r="AE121" s="306" t="str">
        <f>IF(CTGS!CO121=0,"",CTGS!CO121)</f>
        <v/>
      </c>
      <c r="AF121" s="307" t="str">
        <f>CTGS!CP121</f>
        <v/>
      </c>
      <c r="AG121" s="392"/>
      <c r="AH121" s="98">
        <f t="shared" si="11"/>
        <v>0</v>
      </c>
      <c r="AI121" s="307" t="str">
        <f t="shared" si="12"/>
        <v/>
      </c>
      <c r="AJ121" s="416">
        <f>$AH121*SUMIFS('RIN 2.12 2022-2023 REPEX'!J$6:J$15,'RIN 2.12 2022-2023 REPEX'!$A$6:$A$15,'Unit Cost Rate Summary'!$A121)</f>
        <v>0</v>
      </c>
      <c r="AK121" s="97">
        <f>$AH121*SUMIFS('RIN 2.12 2022-2023 REPEX'!K$6:K$15,'RIN 2.12 2022-2023 REPEX'!$A$6:$A$15,'Unit Cost Rate Summary'!$A121)</f>
        <v>0</v>
      </c>
      <c r="AL121" s="97">
        <f>$AH121*SUMIFS('RIN 2.12 2022-2023 REPEX'!L$6:L$15,'RIN 2.12 2022-2023 REPEX'!$A$6:$A$15,'Unit Cost Rate Summary'!$A121)</f>
        <v>0</v>
      </c>
      <c r="AM121" s="98">
        <f>$AH121*SUMIFS('RIN 2.12 2022-2023 REPEX'!M$6:M$15,'RIN 2.12 2022-2023 REPEX'!$A$6:$A$15,'Unit Cost Rate Summary'!$A121)</f>
        <v>0</v>
      </c>
      <c r="AN121" s="485">
        <f t="shared" si="10"/>
        <v>0</v>
      </c>
      <c r="AO121" s="486" t="str">
        <f t="shared" si="13"/>
        <v/>
      </c>
    </row>
    <row r="122" spans="1:41" x14ac:dyDescent="0.25">
      <c r="A122" s="81" t="s">
        <v>242</v>
      </c>
      <c r="B122" s="82" t="s">
        <v>247</v>
      </c>
      <c r="C122" s="83" t="s">
        <v>248</v>
      </c>
      <c r="D122" s="305" t="str">
        <f>'Defect P1'!CM122</f>
        <v>Avg 3 Yr</v>
      </c>
      <c r="E122" s="315">
        <f>'Defect P1'!CN122</f>
        <v>0.05</v>
      </c>
      <c r="F122" s="306" t="str">
        <f>IF('Defect P1'!CO122=0,"",'Defect P1'!CO122)</f>
        <v/>
      </c>
      <c r="G122" s="307" t="str">
        <f>'Defect P1'!CP122</f>
        <v/>
      </c>
      <c r="H122" s="96">
        <f>'Defect P1'!CL122</f>
        <v>0</v>
      </c>
      <c r="I122" s="305" t="str">
        <f>'Defect P2'!CM122</f>
        <v>Avg 3 Yr</v>
      </c>
      <c r="J122" s="315">
        <f>'Defect P2'!CN122</f>
        <v>0</v>
      </c>
      <c r="K122" s="306" t="str">
        <f>IF('Defect P2'!CO122=0,"",'Defect P2'!CO122)</f>
        <v/>
      </c>
      <c r="L122" s="307" t="str">
        <f>'Defect P2'!CP122</f>
        <v/>
      </c>
      <c r="M122" s="96">
        <f>'Defect P2'!CL122</f>
        <v>0</v>
      </c>
      <c r="N122" s="305" t="str">
        <f>RTS!CM122</f>
        <v>Avg 3 Yr</v>
      </c>
      <c r="O122" s="315">
        <f>RTS!CN122</f>
        <v>0.05</v>
      </c>
      <c r="P122" s="306" t="str">
        <f>IF(RTS!CO122=0,"",RTS!CO122)</f>
        <v/>
      </c>
      <c r="Q122" s="307" t="str">
        <f>RTS!CP122</f>
        <v/>
      </c>
      <c r="R122" s="96">
        <f>RTS!CL122</f>
        <v>0</v>
      </c>
      <c r="S122" s="305" t="str">
        <f>Planned!CM122</f>
        <v>Avg 3 Yr</v>
      </c>
      <c r="T122" s="315">
        <f>Planned!CN122</f>
        <v>0.05</v>
      </c>
      <c r="U122" s="306" t="str">
        <f>IF(Planned!CO122=0,"",Planned!CO122)</f>
        <v/>
      </c>
      <c r="V122" s="307" t="str">
        <f>Planned!CP122</f>
        <v/>
      </c>
      <c r="W122" s="96">
        <f>Planned!CL122</f>
        <v>0</v>
      </c>
      <c r="X122" s="305" t="str">
        <f>Reconductor!CM122</f>
        <v>Avg 3 Yr</v>
      </c>
      <c r="Y122" s="315">
        <f>Reconductor!CN122</f>
        <v>0.05</v>
      </c>
      <c r="Z122" s="306" t="str">
        <f>IF(Reconductor!CO122=0,"",Reconductor!CO122)</f>
        <v/>
      </c>
      <c r="AA122" s="307" t="str">
        <f>Reconductor!CP122</f>
        <v/>
      </c>
      <c r="AB122" s="96">
        <f>Reconductor!CL122</f>
        <v>0</v>
      </c>
      <c r="AC122" s="305" t="str">
        <f>CTGS!CM122</f>
        <v>Avg 5 Yr</v>
      </c>
      <c r="AD122" s="315">
        <f>CTGS!CN122</f>
        <v>0.05</v>
      </c>
      <c r="AE122" s="306" t="str">
        <f>IF(CTGS!CO122=0,"",CTGS!CO122)</f>
        <v/>
      </c>
      <c r="AF122" s="307" t="str">
        <f>CTGS!CP122</f>
        <v/>
      </c>
      <c r="AG122" s="392"/>
      <c r="AH122" s="98">
        <f t="shared" si="11"/>
        <v>0</v>
      </c>
      <c r="AI122" s="307" t="str">
        <f t="shared" si="12"/>
        <v/>
      </c>
      <c r="AJ122" s="416">
        <f>$AH122*SUMIFS('RIN 2.12 2022-2023 REPEX'!J$6:J$15,'RIN 2.12 2022-2023 REPEX'!$A$6:$A$15,'Unit Cost Rate Summary'!$A122)</f>
        <v>0</v>
      </c>
      <c r="AK122" s="97">
        <f>$AH122*SUMIFS('RIN 2.12 2022-2023 REPEX'!K$6:K$15,'RIN 2.12 2022-2023 REPEX'!$A$6:$A$15,'Unit Cost Rate Summary'!$A122)</f>
        <v>0</v>
      </c>
      <c r="AL122" s="97">
        <f>$AH122*SUMIFS('RIN 2.12 2022-2023 REPEX'!L$6:L$15,'RIN 2.12 2022-2023 REPEX'!$A$6:$A$15,'Unit Cost Rate Summary'!$A122)</f>
        <v>0</v>
      </c>
      <c r="AM122" s="98">
        <f>$AH122*SUMIFS('RIN 2.12 2022-2023 REPEX'!M$6:M$15,'RIN 2.12 2022-2023 REPEX'!$A$6:$A$15,'Unit Cost Rate Summary'!$A122)</f>
        <v>0</v>
      </c>
      <c r="AN122" s="485">
        <f t="shared" si="10"/>
        <v>0</v>
      </c>
      <c r="AO122" s="486" t="str">
        <f t="shared" si="13"/>
        <v/>
      </c>
    </row>
    <row r="123" spans="1:41" x14ac:dyDescent="0.25">
      <c r="A123" s="81" t="s">
        <v>242</v>
      </c>
      <c r="B123" s="82" t="s">
        <v>249</v>
      </c>
      <c r="C123" s="83" t="s">
        <v>250</v>
      </c>
      <c r="D123" s="305" t="str">
        <f>'Defect P1'!CM123</f>
        <v>Avg 3 Yr</v>
      </c>
      <c r="E123" s="315">
        <f>'Defect P1'!CN123</f>
        <v>0.05</v>
      </c>
      <c r="F123" s="306" t="str">
        <f>IF('Defect P1'!CO123=0,"",'Defect P1'!CO123)</f>
        <v/>
      </c>
      <c r="G123" s="307" t="str">
        <f>'Defect P1'!CP123</f>
        <v/>
      </c>
      <c r="H123" s="96">
        <f>'Defect P1'!CL123</f>
        <v>0</v>
      </c>
      <c r="I123" s="305" t="str">
        <f>'Defect P2'!CM123</f>
        <v>Avg 3 Yr</v>
      </c>
      <c r="J123" s="315">
        <f>'Defect P2'!CN123</f>
        <v>0</v>
      </c>
      <c r="K123" s="306" t="str">
        <f>IF('Defect P2'!CO123=0,"",'Defect P2'!CO123)</f>
        <v/>
      </c>
      <c r="L123" s="307" t="str">
        <f>'Defect P2'!CP123</f>
        <v/>
      </c>
      <c r="M123" s="96">
        <f>'Defect P2'!CL123</f>
        <v>0</v>
      </c>
      <c r="N123" s="305" t="str">
        <f>RTS!CM123</f>
        <v>Avg 3 Yr</v>
      </c>
      <c r="O123" s="315">
        <f>RTS!CN123</f>
        <v>0.05</v>
      </c>
      <c r="P123" s="306" t="str">
        <f>IF(RTS!CO123=0,"",RTS!CO123)</f>
        <v/>
      </c>
      <c r="Q123" s="307" t="str">
        <f>RTS!CP123</f>
        <v/>
      </c>
      <c r="R123" s="96">
        <f>RTS!CL123</f>
        <v>0</v>
      </c>
      <c r="S123" s="305" t="str">
        <f>Planned!CM123</f>
        <v>Avg 3 Yr</v>
      </c>
      <c r="T123" s="315">
        <f>Planned!CN123</f>
        <v>0.05</v>
      </c>
      <c r="U123" s="306" t="str">
        <f>IF(Planned!CO123=0,"",Planned!CO123)</f>
        <v/>
      </c>
      <c r="V123" s="307" t="str">
        <f>Planned!CP123</f>
        <v/>
      </c>
      <c r="W123" s="96">
        <f>Planned!CL123</f>
        <v>0</v>
      </c>
      <c r="X123" s="305" t="str">
        <f>Reconductor!CM123</f>
        <v>Avg 3 Yr</v>
      </c>
      <c r="Y123" s="315">
        <f>Reconductor!CN123</f>
        <v>0.05</v>
      </c>
      <c r="Z123" s="306" t="str">
        <f>IF(Reconductor!CO123=0,"",Reconductor!CO123)</f>
        <v/>
      </c>
      <c r="AA123" s="307" t="str">
        <f>Reconductor!CP123</f>
        <v/>
      </c>
      <c r="AB123" s="96">
        <f>Reconductor!CL123</f>
        <v>0</v>
      </c>
      <c r="AC123" s="305" t="str">
        <f>CTGS!CM123</f>
        <v>Avg 5 Yr</v>
      </c>
      <c r="AD123" s="315">
        <f>CTGS!CN123</f>
        <v>0.05</v>
      </c>
      <c r="AE123" s="306" t="str">
        <f>IF(CTGS!CO123=0,"",CTGS!CO123)</f>
        <v/>
      </c>
      <c r="AF123" s="307" t="str">
        <f>CTGS!CP123</f>
        <v/>
      </c>
      <c r="AG123" s="392"/>
      <c r="AH123" s="98">
        <f t="shared" si="11"/>
        <v>0</v>
      </c>
      <c r="AI123" s="307" t="str">
        <f t="shared" si="12"/>
        <v/>
      </c>
      <c r="AJ123" s="416">
        <f>$AH123*SUMIFS('RIN 2.12 2022-2023 REPEX'!J$6:J$15,'RIN 2.12 2022-2023 REPEX'!$A$6:$A$15,'Unit Cost Rate Summary'!$A123)</f>
        <v>0</v>
      </c>
      <c r="AK123" s="97">
        <f>$AH123*SUMIFS('RIN 2.12 2022-2023 REPEX'!K$6:K$15,'RIN 2.12 2022-2023 REPEX'!$A$6:$A$15,'Unit Cost Rate Summary'!$A123)</f>
        <v>0</v>
      </c>
      <c r="AL123" s="97">
        <f>$AH123*SUMIFS('RIN 2.12 2022-2023 REPEX'!L$6:L$15,'RIN 2.12 2022-2023 REPEX'!$A$6:$A$15,'Unit Cost Rate Summary'!$A123)</f>
        <v>0</v>
      </c>
      <c r="AM123" s="98">
        <f>$AH123*SUMIFS('RIN 2.12 2022-2023 REPEX'!M$6:M$15,'RIN 2.12 2022-2023 REPEX'!$A$6:$A$15,'Unit Cost Rate Summary'!$A123)</f>
        <v>0</v>
      </c>
      <c r="AN123" s="485">
        <f t="shared" si="10"/>
        <v>0</v>
      </c>
      <c r="AO123" s="486" t="str">
        <f t="shared" si="13"/>
        <v/>
      </c>
    </row>
    <row r="124" spans="1:41" x14ac:dyDescent="0.25">
      <c r="A124" s="81" t="s">
        <v>242</v>
      </c>
      <c r="B124" s="82" t="s">
        <v>251</v>
      </c>
      <c r="C124" s="83" t="s">
        <v>252</v>
      </c>
      <c r="D124" s="305" t="str">
        <f>'Defect P1'!CM124</f>
        <v>Avg 3 Yr</v>
      </c>
      <c r="E124" s="315">
        <f>'Defect P1'!CN124</f>
        <v>0.05</v>
      </c>
      <c r="F124" s="306" t="str">
        <f>IF('Defect P1'!CO124=0,"",'Defect P1'!CO124)</f>
        <v/>
      </c>
      <c r="G124" s="307" t="str">
        <f>'Defect P1'!CP124</f>
        <v/>
      </c>
      <c r="H124" s="96">
        <f>'Defect P1'!CL124</f>
        <v>0</v>
      </c>
      <c r="I124" s="305" t="str">
        <f>'Defect P2'!CM124</f>
        <v>Avg 3 Yr</v>
      </c>
      <c r="J124" s="315">
        <f>'Defect P2'!CN124</f>
        <v>0</v>
      </c>
      <c r="K124" s="306" t="str">
        <f>IF('Defect P2'!CO124=0,"",'Defect P2'!CO124)</f>
        <v/>
      </c>
      <c r="L124" s="307">
        <f>'Defect P2'!CP124</f>
        <v>7717.7866599694007</v>
      </c>
      <c r="M124" s="96">
        <f>'Defect P2'!CL124</f>
        <v>0</v>
      </c>
      <c r="N124" s="305" t="str">
        <f>RTS!CM124</f>
        <v>Avg 3 Yr</v>
      </c>
      <c r="O124" s="315">
        <f>RTS!CN124</f>
        <v>0.05</v>
      </c>
      <c r="P124" s="306" t="str">
        <f>IF(RTS!CO124=0,"",RTS!CO124)</f>
        <v/>
      </c>
      <c r="Q124" s="307">
        <f>RTS!CP124</f>
        <v>76.765924486541266</v>
      </c>
      <c r="R124" s="96">
        <f>RTS!CL124</f>
        <v>0</v>
      </c>
      <c r="S124" s="305" t="str">
        <f>Planned!CM124</f>
        <v>Avg 3 Yr</v>
      </c>
      <c r="T124" s="315">
        <f>Planned!CN124</f>
        <v>0.05</v>
      </c>
      <c r="U124" s="306" t="str">
        <f>IF(Planned!CO124=0,"",Planned!CO124)</f>
        <v/>
      </c>
      <c r="V124" s="307" t="str">
        <f>Planned!CP124</f>
        <v/>
      </c>
      <c r="W124" s="96">
        <f>Planned!CL124</f>
        <v>0</v>
      </c>
      <c r="X124" s="305" t="str">
        <f>Reconductor!CM124</f>
        <v>Avg 3 Yr</v>
      </c>
      <c r="Y124" s="315">
        <f>Reconductor!CN124</f>
        <v>0.05</v>
      </c>
      <c r="Z124" s="306" t="str">
        <f>IF(Reconductor!CO124=0,"",Reconductor!CO124)</f>
        <v/>
      </c>
      <c r="AA124" s="307">
        <f>Reconductor!CP124</f>
        <v>682.37224914959927</v>
      </c>
      <c r="AB124" s="96">
        <f>Reconductor!CL124</f>
        <v>0</v>
      </c>
      <c r="AC124" s="305" t="str">
        <f>CTGS!CM124</f>
        <v>Avg 5 Yr</v>
      </c>
      <c r="AD124" s="315">
        <f>CTGS!CN124</f>
        <v>0.05</v>
      </c>
      <c r="AE124" s="306" t="str">
        <f>IF(CTGS!CO124=0,"",CTGS!CO124)</f>
        <v/>
      </c>
      <c r="AF124" s="307">
        <f>CTGS!CP124</f>
        <v>27.671824396592687</v>
      </c>
      <c r="AG124" s="392"/>
      <c r="AH124" s="98">
        <f t="shared" si="11"/>
        <v>0</v>
      </c>
      <c r="AI124" s="307" t="str">
        <f t="shared" si="12"/>
        <v/>
      </c>
      <c r="AJ124" s="416">
        <f>$AH124*SUMIFS('RIN 2.12 2022-2023 REPEX'!J$6:J$15,'RIN 2.12 2022-2023 REPEX'!$A$6:$A$15,'Unit Cost Rate Summary'!$A124)</f>
        <v>0</v>
      </c>
      <c r="AK124" s="97">
        <f>$AH124*SUMIFS('RIN 2.12 2022-2023 REPEX'!K$6:K$15,'RIN 2.12 2022-2023 REPEX'!$A$6:$A$15,'Unit Cost Rate Summary'!$A124)</f>
        <v>0</v>
      </c>
      <c r="AL124" s="97">
        <f>$AH124*SUMIFS('RIN 2.12 2022-2023 REPEX'!L$6:L$15,'RIN 2.12 2022-2023 REPEX'!$A$6:$A$15,'Unit Cost Rate Summary'!$A124)</f>
        <v>0</v>
      </c>
      <c r="AM124" s="98">
        <f>$AH124*SUMIFS('RIN 2.12 2022-2023 REPEX'!M$6:M$15,'RIN 2.12 2022-2023 REPEX'!$A$6:$A$15,'Unit Cost Rate Summary'!$A124)</f>
        <v>0</v>
      </c>
      <c r="AN124" s="485">
        <f t="shared" si="10"/>
        <v>0</v>
      </c>
      <c r="AO124" s="486" t="str">
        <f t="shared" si="13"/>
        <v/>
      </c>
    </row>
    <row r="125" spans="1:41" x14ac:dyDescent="0.25">
      <c r="A125" s="81" t="s">
        <v>242</v>
      </c>
      <c r="B125" s="82" t="s">
        <v>253</v>
      </c>
      <c r="C125" s="83" t="s">
        <v>254</v>
      </c>
      <c r="D125" s="305" t="str">
        <f>'Defect P1'!CM125</f>
        <v>Avg 3 Yr</v>
      </c>
      <c r="E125" s="315">
        <f>'Defect P1'!CN125</f>
        <v>0.05</v>
      </c>
      <c r="F125" s="306" t="str">
        <f>IF('Defect P1'!CO125=0,"",'Defect P1'!CO125)</f>
        <v/>
      </c>
      <c r="G125" s="307" t="str">
        <f>'Defect P1'!CP125</f>
        <v/>
      </c>
      <c r="H125" s="96">
        <f>'Defect P1'!CL125</f>
        <v>0</v>
      </c>
      <c r="I125" s="305" t="str">
        <f>'Defect P2'!CM125</f>
        <v>Avg 3 Yr</v>
      </c>
      <c r="J125" s="315">
        <f>'Defect P2'!CN125</f>
        <v>0</v>
      </c>
      <c r="K125" s="306" t="str">
        <f>IF('Defect P2'!CO125=0,"",'Defect P2'!CO125)</f>
        <v/>
      </c>
      <c r="L125" s="307" t="str">
        <f>'Defect P2'!CP125</f>
        <v/>
      </c>
      <c r="M125" s="96">
        <f>'Defect P2'!CL125</f>
        <v>0</v>
      </c>
      <c r="N125" s="305" t="str">
        <f>RTS!CM125</f>
        <v>Avg 3 Yr</v>
      </c>
      <c r="O125" s="315">
        <f>RTS!CN125</f>
        <v>0.05</v>
      </c>
      <c r="P125" s="306" t="str">
        <f>IF(RTS!CO125=0,"",RTS!CO125)</f>
        <v/>
      </c>
      <c r="Q125" s="307" t="str">
        <f>RTS!CP125</f>
        <v/>
      </c>
      <c r="R125" s="96">
        <f>RTS!CL125</f>
        <v>0</v>
      </c>
      <c r="S125" s="305" t="str">
        <f>Planned!CM125</f>
        <v>Avg 3 Yr</v>
      </c>
      <c r="T125" s="315">
        <f>Planned!CN125</f>
        <v>0.05</v>
      </c>
      <c r="U125" s="306" t="str">
        <f>IF(Planned!CO125=0,"",Planned!CO125)</f>
        <v/>
      </c>
      <c r="V125" s="307" t="str">
        <f>Planned!CP125</f>
        <v/>
      </c>
      <c r="W125" s="96">
        <f>Planned!CL125</f>
        <v>0</v>
      </c>
      <c r="X125" s="305" t="str">
        <f>Reconductor!CM125</f>
        <v>Avg 3 Yr</v>
      </c>
      <c r="Y125" s="315">
        <f>Reconductor!CN125</f>
        <v>0.05</v>
      </c>
      <c r="Z125" s="306" t="str">
        <f>IF(Reconductor!CO125=0,"",Reconductor!CO125)</f>
        <v/>
      </c>
      <c r="AA125" s="307" t="str">
        <f>Reconductor!CP125</f>
        <v/>
      </c>
      <c r="AB125" s="96">
        <f>Reconductor!CL125</f>
        <v>0</v>
      </c>
      <c r="AC125" s="305" t="str">
        <f>CTGS!CM125</f>
        <v>Avg 5 Yr</v>
      </c>
      <c r="AD125" s="315">
        <f>CTGS!CN125</f>
        <v>0.05</v>
      </c>
      <c r="AE125" s="306" t="str">
        <f>IF(CTGS!CO125=0,"",CTGS!CO125)</f>
        <v/>
      </c>
      <c r="AF125" s="307" t="str">
        <f>CTGS!CP125</f>
        <v/>
      </c>
      <c r="AG125" s="392"/>
      <c r="AH125" s="98">
        <f t="shared" si="11"/>
        <v>0</v>
      </c>
      <c r="AI125" s="307" t="str">
        <f t="shared" si="12"/>
        <v/>
      </c>
      <c r="AJ125" s="416">
        <f>$AH125*SUMIFS('RIN 2.12 2022-2023 REPEX'!J$6:J$15,'RIN 2.12 2022-2023 REPEX'!$A$6:$A$15,'Unit Cost Rate Summary'!$A125)</f>
        <v>0</v>
      </c>
      <c r="AK125" s="97">
        <f>$AH125*SUMIFS('RIN 2.12 2022-2023 REPEX'!K$6:K$15,'RIN 2.12 2022-2023 REPEX'!$A$6:$A$15,'Unit Cost Rate Summary'!$A125)</f>
        <v>0</v>
      </c>
      <c r="AL125" s="97">
        <f>$AH125*SUMIFS('RIN 2.12 2022-2023 REPEX'!L$6:L$15,'RIN 2.12 2022-2023 REPEX'!$A$6:$A$15,'Unit Cost Rate Summary'!$A125)</f>
        <v>0</v>
      </c>
      <c r="AM125" s="98">
        <f>$AH125*SUMIFS('RIN 2.12 2022-2023 REPEX'!M$6:M$15,'RIN 2.12 2022-2023 REPEX'!$A$6:$A$15,'Unit Cost Rate Summary'!$A125)</f>
        <v>0</v>
      </c>
      <c r="AN125" s="485">
        <f t="shared" si="10"/>
        <v>0</v>
      </c>
      <c r="AO125" s="486" t="str">
        <f t="shared" si="13"/>
        <v/>
      </c>
    </row>
    <row r="126" spans="1:41" ht="15.75" thickBot="1" x14ac:dyDescent="0.3">
      <c r="A126" s="81" t="s">
        <v>242</v>
      </c>
      <c r="B126" s="82" t="s">
        <v>399</v>
      </c>
      <c r="C126" s="102" t="s">
        <v>400</v>
      </c>
      <c r="D126" s="308" t="str">
        <f>'Defect P1'!CM126</f>
        <v>Avg 3 Yr</v>
      </c>
      <c r="E126" s="316">
        <f>'Defect P1'!CN126</f>
        <v>0.05</v>
      </c>
      <c r="F126" s="309" t="str">
        <f>IF('Defect P1'!CO126=0,"",'Defect P1'!CO126)</f>
        <v/>
      </c>
      <c r="G126" s="310" t="str">
        <f>'Defect P1'!CP126</f>
        <v/>
      </c>
      <c r="H126" s="115">
        <f>'Defect P1'!CL126</f>
        <v>0</v>
      </c>
      <c r="I126" s="308" t="str">
        <f>'Defect P2'!CM126</f>
        <v>Avg 3 Yr</v>
      </c>
      <c r="J126" s="316">
        <f>'Defect P2'!CN126</f>
        <v>0</v>
      </c>
      <c r="K126" s="309" t="str">
        <f>IF('Defect P2'!CO126=0,"",'Defect P2'!CO126)</f>
        <v/>
      </c>
      <c r="L126" s="310" t="str">
        <f>'Defect P2'!CP126</f>
        <v/>
      </c>
      <c r="M126" s="115">
        <f>'Defect P2'!CL126</f>
        <v>0</v>
      </c>
      <c r="N126" s="308" t="str">
        <f>RTS!CM126</f>
        <v>Avg 3 Yr</v>
      </c>
      <c r="O126" s="316">
        <f>RTS!CN126</f>
        <v>0.05</v>
      </c>
      <c r="P126" s="309" t="str">
        <f>IF(RTS!CO126=0,"",RTS!CO126)</f>
        <v/>
      </c>
      <c r="Q126" s="310" t="str">
        <f>RTS!CP126</f>
        <v/>
      </c>
      <c r="R126" s="115">
        <f>RTS!CL126</f>
        <v>0</v>
      </c>
      <c r="S126" s="308" t="str">
        <f>Planned!CM126</f>
        <v>Avg 3 Yr</v>
      </c>
      <c r="T126" s="316">
        <f>Planned!CN126</f>
        <v>0.05</v>
      </c>
      <c r="U126" s="309" t="str">
        <f>IF(Planned!CO126=0,"",Planned!CO126)</f>
        <v/>
      </c>
      <c r="V126" s="310" t="str">
        <f>Planned!CP126</f>
        <v/>
      </c>
      <c r="W126" s="115">
        <f>Planned!CL126</f>
        <v>0</v>
      </c>
      <c r="X126" s="308" t="str">
        <f>Reconductor!CM126</f>
        <v>Avg 3 Yr</v>
      </c>
      <c r="Y126" s="316">
        <f>Reconductor!CN126</f>
        <v>0.05</v>
      </c>
      <c r="Z126" s="309" t="str">
        <f>IF(Reconductor!CO126=0,"",Reconductor!CO126)</f>
        <v/>
      </c>
      <c r="AA126" s="310" t="str">
        <f>Reconductor!CP126</f>
        <v/>
      </c>
      <c r="AB126" s="115">
        <f>Reconductor!CL126</f>
        <v>0</v>
      </c>
      <c r="AC126" s="308" t="str">
        <f>CTGS!CM126</f>
        <v>Avg 5 Yr</v>
      </c>
      <c r="AD126" s="316">
        <f>CTGS!CN126</f>
        <v>0.05</v>
      </c>
      <c r="AE126" s="309" t="str">
        <f>IF(CTGS!CO126=0,"",CTGS!CO126)</f>
        <v/>
      </c>
      <c r="AF126" s="310" t="str">
        <f>CTGS!CP126</f>
        <v/>
      </c>
      <c r="AG126" s="393"/>
      <c r="AH126" s="118">
        <f t="shared" si="11"/>
        <v>0</v>
      </c>
      <c r="AI126" s="310" t="str">
        <f t="shared" si="12"/>
        <v/>
      </c>
      <c r="AJ126" s="467">
        <f>$AH126*SUMIFS('RIN 2.12 2022-2023 REPEX'!J$6:J$15,'RIN 2.12 2022-2023 REPEX'!$A$6:$A$15,'Unit Cost Rate Summary'!$A126)</f>
        <v>0</v>
      </c>
      <c r="AK126" s="117">
        <f>$AH126*SUMIFS('RIN 2.12 2022-2023 REPEX'!K$6:K$15,'RIN 2.12 2022-2023 REPEX'!$A$6:$A$15,'Unit Cost Rate Summary'!$A126)</f>
        <v>0</v>
      </c>
      <c r="AL126" s="117">
        <f>$AH126*SUMIFS('RIN 2.12 2022-2023 REPEX'!L$6:L$15,'RIN 2.12 2022-2023 REPEX'!$A$6:$A$15,'Unit Cost Rate Summary'!$A126)</f>
        <v>0</v>
      </c>
      <c r="AM126" s="118">
        <f>$AH126*SUMIFS('RIN 2.12 2022-2023 REPEX'!M$6:M$15,'RIN 2.12 2022-2023 REPEX'!$A$6:$A$15,'Unit Cost Rate Summary'!$A126)</f>
        <v>0</v>
      </c>
      <c r="AN126" s="487">
        <f t="shared" si="10"/>
        <v>0</v>
      </c>
      <c r="AO126" s="488" t="str">
        <f t="shared" si="13"/>
        <v/>
      </c>
    </row>
    <row r="127" spans="1:41" x14ac:dyDescent="0.25">
      <c r="A127" s="81" t="s">
        <v>258</v>
      </c>
      <c r="B127" s="82" t="s">
        <v>255</v>
      </c>
      <c r="C127" s="145" t="s">
        <v>401</v>
      </c>
      <c r="D127" s="311" t="str">
        <f>'Defect P1'!CM127</f>
        <v>Avg 3 Yr</v>
      </c>
      <c r="E127" s="317">
        <f>'Defect P1'!CN127</f>
        <v>0.05</v>
      </c>
      <c r="F127" s="312" t="str">
        <f>IF('Defect P1'!CO127=0,"",'Defect P1'!CO127)</f>
        <v/>
      </c>
      <c r="G127" s="313" t="str">
        <f>'Defect P1'!CP127</f>
        <v/>
      </c>
      <c r="H127" s="78">
        <f>'Defect P1'!CL127</f>
        <v>0</v>
      </c>
      <c r="I127" s="311" t="str">
        <f>'Defect P2'!CM127</f>
        <v>Avg 3 Yr</v>
      </c>
      <c r="J127" s="317">
        <f>'Defect P2'!CN127</f>
        <v>0</v>
      </c>
      <c r="K127" s="312" t="str">
        <f>IF('Defect P2'!CO127=0,"",'Defect P2'!CO127)</f>
        <v/>
      </c>
      <c r="L127" s="313" t="str">
        <f>'Defect P2'!CP127</f>
        <v/>
      </c>
      <c r="M127" s="78">
        <f>'Defect P2'!CL127</f>
        <v>0</v>
      </c>
      <c r="N127" s="311" t="str">
        <f>RTS!CM127</f>
        <v>Avg 3 Yr</v>
      </c>
      <c r="O127" s="317">
        <f>RTS!CN127</f>
        <v>0.05</v>
      </c>
      <c r="P127" s="312" t="str">
        <f>IF(RTS!CO127=0,"",RTS!CO127)</f>
        <v/>
      </c>
      <c r="Q127" s="313" t="str">
        <f>RTS!CP127</f>
        <v/>
      </c>
      <c r="R127" s="78">
        <f>RTS!CL127</f>
        <v>0</v>
      </c>
      <c r="S127" s="311" t="str">
        <f>Planned!CM127</f>
        <v>Avg 3 Yr</v>
      </c>
      <c r="T127" s="317">
        <f>Planned!CN127</f>
        <v>0.05</v>
      </c>
      <c r="U127" s="312" t="str">
        <f>IF(Planned!CO127=0,"",Planned!CO127)</f>
        <v/>
      </c>
      <c r="V127" s="313" t="str">
        <f>Planned!CP127</f>
        <v/>
      </c>
      <c r="W127" s="78">
        <f>Planned!CL127</f>
        <v>0</v>
      </c>
      <c r="X127" s="311" t="str">
        <f>Reconductor!CM127</f>
        <v>Avg 3 Yr</v>
      </c>
      <c r="Y127" s="317">
        <f>Reconductor!CN127</f>
        <v>0.05</v>
      </c>
      <c r="Z127" s="312" t="str">
        <f>IF(Reconductor!CO127=0,"",Reconductor!CO127)</f>
        <v/>
      </c>
      <c r="AA127" s="313" t="str">
        <f>Reconductor!CP127</f>
        <v/>
      </c>
      <c r="AB127" s="78">
        <f>Reconductor!CL127</f>
        <v>0</v>
      </c>
      <c r="AC127" s="311" t="str">
        <f>CTGS!CM127</f>
        <v>Avg 5 Yr</v>
      </c>
      <c r="AD127" s="317">
        <f>CTGS!CN127</f>
        <v>0.05</v>
      </c>
      <c r="AE127" s="312" t="str">
        <f>IF(CTGS!CO127=0,"",CTGS!CO127)</f>
        <v/>
      </c>
      <c r="AF127" s="313" t="str">
        <f>CTGS!CP127</f>
        <v/>
      </c>
      <c r="AG127" s="391"/>
      <c r="AH127" s="80">
        <f t="shared" si="11"/>
        <v>0</v>
      </c>
      <c r="AI127" s="313" t="str">
        <f t="shared" si="12"/>
        <v/>
      </c>
      <c r="AJ127" s="415">
        <f>$AH127*SUMIFS('RIN 2.12 2022-2023 REPEX'!J$6:J$15,'RIN 2.12 2022-2023 REPEX'!$A$6:$A$15,'Unit Cost Rate Summary'!$A127)</f>
        <v>0</v>
      </c>
      <c r="AK127" s="79">
        <f>$AH127*SUMIFS('RIN 2.12 2022-2023 REPEX'!K$6:K$15,'RIN 2.12 2022-2023 REPEX'!$A$6:$A$15,'Unit Cost Rate Summary'!$A127)</f>
        <v>0</v>
      </c>
      <c r="AL127" s="79">
        <f>$AH127*SUMIFS('RIN 2.12 2022-2023 REPEX'!L$6:L$15,'RIN 2.12 2022-2023 REPEX'!$A$6:$A$15,'Unit Cost Rate Summary'!$A127)</f>
        <v>0</v>
      </c>
      <c r="AM127" s="80">
        <f>$AH127*SUMIFS('RIN 2.12 2022-2023 REPEX'!M$6:M$15,'RIN 2.12 2022-2023 REPEX'!$A$6:$A$15,'Unit Cost Rate Summary'!$A127)</f>
        <v>0</v>
      </c>
      <c r="AN127" s="483">
        <f t="shared" si="10"/>
        <v>0</v>
      </c>
      <c r="AO127" s="484" t="str">
        <f t="shared" si="13"/>
        <v/>
      </c>
    </row>
    <row r="128" spans="1:41" x14ac:dyDescent="0.25">
      <c r="A128" s="81" t="s">
        <v>258</v>
      </c>
      <c r="B128" s="82" t="s">
        <v>259</v>
      </c>
      <c r="C128" s="83" t="s">
        <v>257</v>
      </c>
      <c r="D128" s="305" t="str">
        <f>'Defect P1'!CM128</f>
        <v>Avg 3 Yr</v>
      </c>
      <c r="E128" s="315">
        <f>'Defect P1'!CN128</f>
        <v>0.05</v>
      </c>
      <c r="F128" s="306" t="str">
        <f>IF('Defect P1'!CO128=0,"",'Defect P1'!CO128)</f>
        <v/>
      </c>
      <c r="G128" s="307" t="str">
        <f>'Defect P1'!CP128</f>
        <v/>
      </c>
      <c r="H128" s="96">
        <f>'Defect P1'!CL128</f>
        <v>0</v>
      </c>
      <c r="I128" s="305" t="str">
        <f>'Defect P2'!CM128</f>
        <v>Avg 3 Yr</v>
      </c>
      <c r="J128" s="315">
        <f>'Defect P2'!CN128</f>
        <v>0</v>
      </c>
      <c r="K128" s="306" t="str">
        <f>IF('Defect P2'!CO128=0,"",'Defect P2'!CO128)</f>
        <v/>
      </c>
      <c r="L128" s="307">
        <f>'Defect P2'!CP128</f>
        <v>65547.995060949004</v>
      </c>
      <c r="M128" s="96">
        <f>'Defect P2'!CL128</f>
        <v>1</v>
      </c>
      <c r="N128" s="305" t="str">
        <f>RTS!CM128</f>
        <v>Avg 3 Yr</v>
      </c>
      <c r="O128" s="315">
        <f>RTS!CN128</f>
        <v>0.05</v>
      </c>
      <c r="P128" s="306" t="str">
        <f>IF(RTS!CO128=0,"",RTS!CO128)</f>
        <v/>
      </c>
      <c r="Q128" s="307">
        <f>RTS!CP128</f>
        <v>7210.0018848436257</v>
      </c>
      <c r="R128" s="96">
        <f>RTS!CL128</f>
        <v>16</v>
      </c>
      <c r="S128" s="305" t="str">
        <f>Planned!CM128</f>
        <v>Avg 3 Yr</v>
      </c>
      <c r="T128" s="315">
        <f>Planned!CN128</f>
        <v>0.05</v>
      </c>
      <c r="U128" s="306" t="str">
        <f>IF(Planned!CO128=0,"",Planned!CO128)</f>
        <v/>
      </c>
      <c r="V128" s="307">
        <f>Planned!CP128</f>
        <v>8041.8914072696007</v>
      </c>
      <c r="W128" s="96">
        <f>Planned!CL128</f>
        <v>0</v>
      </c>
      <c r="X128" s="305" t="str">
        <f>Reconductor!CM128</f>
        <v>Avg 3 Yr</v>
      </c>
      <c r="Y128" s="315">
        <f>Reconductor!CN128</f>
        <v>0.05</v>
      </c>
      <c r="Z128" s="306" t="str">
        <f>IF(Reconductor!CO128=0,"",Reconductor!CO128)</f>
        <v/>
      </c>
      <c r="AA128" s="307">
        <f>Reconductor!CP128</f>
        <v>60286.629791534004</v>
      </c>
      <c r="AB128" s="96">
        <f>Reconductor!CL128</f>
        <v>0</v>
      </c>
      <c r="AC128" s="305" t="str">
        <f>CTGS!CM128</f>
        <v>Avg 5 Yr</v>
      </c>
      <c r="AD128" s="315">
        <f>CTGS!CN128</f>
        <v>0.05</v>
      </c>
      <c r="AE128" s="306" t="str">
        <f>IF(CTGS!CO128=0,"",CTGS!CO128)</f>
        <v/>
      </c>
      <c r="AF128" s="307" t="str">
        <f>CTGS!CP128</f>
        <v/>
      </c>
      <c r="AG128" s="392"/>
      <c r="AH128" s="98">
        <f t="shared" si="11"/>
        <v>180908.02521844703</v>
      </c>
      <c r="AI128" s="307">
        <f t="shared" si="12"/>
        <v>10641.64854226159</v>
      </c>
      <c r="AJ128" s="416">
        <f>$AH128*SUMIFS('RIN 2.12 2022-2023 REPEX'!J$6:J$15,'RIN 2.12 2022-2023 REPEX'!$A$6:$A$15,'Unit Cost Rate Summary'!$A128)</f>
        <v>56487.898141298043</v>
      </c>
      <c r="AK128" s="97">
        <f>$AH128*SUMIFS('RIN 2.12 2022-2023 REPEX'!K$6:K$15,'RIN 2.12 2022-2023 REPEX'!$A$6:$A$15,'Unit Cost Rate Summary'!$A128)</f>
        <v>55517.239340910259</v>
      </c>
      <c r="AL128" s="97">
        <f>$AH128*SUMIFS('RIN 2.12 2022-2023 REPEX'!L$6:L$15,'RIN 2.12 2022-2023 REPEX'!$A$6:$A$15,'Unit Cost Rate Summary'!$A128)</f>
        <v>108426.91494025555</v>
      </c>
      <c r="AM128" s="98">
        <f>$AH128*SUMIFS('RIN 2.12 2022-2023 REPEX'!M$6:M$15,'RIN 2.12 2022-2023 REPEX'!$A$6:$A$15,'Unit Cost Rate Summary'!$A128)</f>
        <v>-39524.027204016813</v>
      </c>
      <c r="AN128" s="485">
        <f t="shared" si="10"/>
        <v>495.68963697241304</v>
      </c>
      <c r="AO128" s="486">
        <f t="shared" si="13"/>
        <v>29.158213939553708</v>
      </c>
    </row>
    <row r="129" spans="1:41" x14ac:dyDescent="0.25">
      <c r="A129" s="81" t="s">
        <v>258</v>
      </c>
      <c r="B129" s="82" t="s">
        <v>261</v>
      </c>
      <c r="C129" s="83" t="s">
        <v>402</v>
      </c>
      <c r="D129" s="305" t="str">
        <f>'Defect P1'!CM129</f>
        <v>Avg 3 Yr</v>
      </c>
      <c r="E129" s="315">
        <f>'Defect P1'!CN129</f>
        <v>0.05</v>
      </c>
      <c r="F129" s="306" t="str">
        <f>IF('Defect P1'!CO129=0,"",'Defect P1'!CO129)</f>
        <v/>
      </c>
      <c r="G129" s="307" t="str">
        <f>'Defect P1'!CP129</f>
        <v/>
      </c>
      <c r="H129" s="96">
        <f>'Defect P1'!CL129</f>
        <v>0</v>
      </c>
      <c r="I129" s="305" t="str">
        <f>'Defect P2'!CM129</f>
        <v>Avg 3 Yr</v>
      </c>
      <c r="J129" s="315">
        <f>'Defect P2'!CN129</f>
        <v>0</v>
      </c>
      <c r="K129" s="306" t="str">
        <f>IF('Defect P2'!CO129=0,"",'Defect P2'!CO129)</f>
        <v/>
      </c>
      <c r="L129" s="307" t="str">
        <f>'Defect P2'!CP129</f>
        <v/>
      </c>
      <c r="M129" s="96">
        <f>'Defect P2'!CL129</f>
        <v>0</v>
      </c>
      <c r="N129" s="305" t="str">
        <f>RTS!CM129</f>
        <v>Avg 3 Yr</v>
      </c>
      <c r="O129" s="315">
        <f>RTS!CN129</f>
        <v>0.05</v>
      </c>
      <c r="P129" s="306" t="str">
        <f>IF(RTS!CO129=0,"",RTS!CO129)</f>
        <v/>
      </c>
      <c r="Q129" s="307" t="str">
        <f>RTS!CP129</f>
        <v/>
      </c>
      <c r="R129" s="96">
        <f>RTS!CL129</f>
        <v>0</v>
      </c>
      <c r="S129" s="305" t="str">
        <f>Planned!CM129</f>
        <v>Avg 3 Yr</v>
      </c>
      <c r="T129" s="315">
        <f>Planned!CN129</f>
        <v>0.05</v>
      </c>
      <c r="U129" s="306" t="str">
        <f>IF(Planned!CO129=0,"",Planned!CO129)</f>
        <v/>
      </c>
      <c r="V129" s="307" t="str">
        <f>Planned!CP129</f>
        <v/>
      </c>
      <c r="W129" s="96">
        <f>Planned!CL129</f>
        <v>0</v>
      </c>
      <c r="X129" s="305" t="str">
        <f>Reconductor!CM129</f>
        <v>Avg 3 Yr</v>
      </c>
      <c r="Y129" s="315">
        <f>Reconductor!CN129</f>
        <v>0.05</v>
      </c>
      <c r="Z129" s="306" t="str">
        <f>IF(Reconductor!CO129=0,"",Reconductor!CO129)</f>
        <v/>
      </c>
      <c r="AA129" s="307" t="str">
        <f>Reconductor!CP129</f>
        <v/>
      </c>
      <c r="AB129" s="96">
        <f>Reconductor!CL129</f>
        <v>0</v>
      </c>
      <c r="AC129" s="305" t="str">
        <f>CTGS!CM129</f>
        <v>Avg 5 Yr</v>
      </c>
      <c r="AD129" s="315">
        <f>CTGS!CN129</f>
        <v>0.05</v>
      </c>
      <c r="AE129" s="306" t="str">
        <f>IF(CTGS!CO129=0,"",CTGS!CO129)</f>
        <v/>
      </c>
      <c r="AF129" s="307" t="str">
        <f>CTGS!CP129</f>
        <v/>
      </c>
      <c r="AG129" s="392"/>
      <c r="AH129" s="98">
        <f t="shared" si="11"/>
        <v>0</v>
      </c>
      <c r="AI129" s="307" t="str">
        <f t="shared" si="12"/>
        <v/>
      </c>
      <c r="AJ129" s="416">
        <f>$AH129*SUMIFS('RIN 2.12 2022-2023 REPEX'!J$6:J$15,'RIN 2.12 2022-2023 REPEX'!$A$6:$A$15,'Unit Cost Rate Summary'!$A129)</f>
        <v>0</v>
      </c>
      <c r="AK129" s="97">
        <f>$AH129*SUMIFS('RIN 2.12 2022-2023 REPEX'!K$6:K$15,'RIN 2.12 2022-2023 REPEX'!$A$6:$A$15,'Unit Cost Rate Summary'!$A129)</f>
        <v>0</v>
      </c>
      <c r="AL129" s="97">
        <f>$AH129*SUMIFS('RIN 2.12 2022-2023 REPEX'!L$6:L$15,'RIN 2.12 2022-2023 REPEX'!$A$6:$A$15,'Unit Cost Rate Summary'!$A129)</f>
        <v>0</v>
      </c>
      <c r="AM129" s="98">
        <f>$AH129*SUMIFS('RIN 2.12 2022-2023 REPEX'!M$6:M$15,'RIN 2.12 2022-2023 REPEX'!$A$6:$A$15,'Unit Cost Rate Summary'!$A129)</f>
        <v>0</v>
      </c>
      <c r="AN129" s="485">
        <f t="shared" si="10"/>
        <v>0</v>
      </c>
      <c r="AO129" s="486" t="str">
        <f t="shared" si="13"/>
        <v/>
      </c>
    </row>
    <row r="130" spans="1:41" x14ac:dyDescent="0.25">
      <c r="A130" s="81" t="s">
        <v>258</v>
      </c>
      <c r="B130" s="82" t="s">
        <v>263</v>
      </c>
      <c r="C130" s="83" t="s">
        <v>403</v>
      </c>
      <c r="D130" s="305" t="str">
        <f>'Defect P1'!CM130</f>
        <v>Avg 3 Yr</v>
      </c>
      <c r="E130" s="315">
        <f>'Defect P1'!CN130</f>
        <v>0.05</v>
      </c>
      <c r="F130" s="306" t="str">
        <f>IF('Defect P1'!CO130=0,"",'Defect P1'!CO130)</f>
        <v/>
      </c>
      <c r="G130" s="307" t="str">
        <f>'Defect P1'!CP130</f>
        <v/>
      </c>
      <c r="H130" s="96">
        <f>'Defect P1'!CL130</f>
        <v>0</v>
      </c>
      <c r="I130" s="305" t="str">
        <f>'Defect P2'!CM130</f>
        <v>Avg 3 Yr</v>
      </c>
      <c r="J130" s="315">
        <f>'Defect P2'!CN130</f>
        <v>0</v>
      </c>
      <c r="K130" s="306" t="str">
        <f>IF('Defect P2'!CO130=0,"",'Defect P2'!CO130)</f>
        <v/>
      </c>
      <c r="L130" s="307" t="str">
        <f>'Defect P2'!CP130</f>
        <v/>
      </c>
      <c r="M130" s="96">
        <f>'Defect P2'!CL130</f>
        <v>0</v>
      </c>
      <c r="N130" s="305" t="str">
        <f>RTS!CM130</f>
        <v>Avg 3 Yr</v>
      </c>
      <c r="O130" s="315">
        <f>RTS!CN130</f>
        <v>0.05</v>
      </c>
      <c r="P130" s="306" t="str">
        <f>IF(RTS!CO130=0,"",RTS!CO130)</f>
        <v/>
      </c>
      <c r="Q130" s="307" t="str">
        <f>RTS!CP130</f>
        <v/>
      </c>
      <c r="R130" s="96">
        <f>RTS!CL130</f>
        <v>0</v>
      </c>
      <c r="S130" s="305" t="str">
        <f>Planned!CM130</f>
        <v>Avg 3 Yr</v>
      </c>
      <c r="T130" s="315">
        <f>Planned!CN130</f>
        <v>0.05</v>
      </c>
      <c r="U130" s="306" t="str">
        <f>IF(Planned!CO130=0,"",Planned!CO130)</f>
        <v/>
      </c>
      <c r="V130" s="307" t="str">
        <f>Planned!CP130</f>
        <v/>
      </c>
      <c r="W130" s="96">
        <f>Planned!CL130</f>
        <v>0</v>
      </c>
      <c r="X130" s="305" t="str">
        <f>Reconductor!CM130</f>
        <v>Avg 3 Yr</v>
      </c>
      <c r="Y130" s="315">
        <f>Reconductor!CN130</f>
        <v>0.05</v>
      </c>
      <c r="Z130" s="306" t="str">
        <f>IF(Reconductor!CO130=0,"",Reconductor!CO130)</f>
        <v/>
      </c>
      <c r="AA130" s="307" t="str">
        <f>Reconductor!CP130</f>
        <v/>
      </c>
      <c r="AB130" s="96">
        <f>Reconductor!CL130</f>
        <v>0</v>
      </c>
      <c r="AC130" s="305" t="str">
        <f>CTGS!CM130</f>
        <v>Avg 5 Yr</v>
      </c>
      <c r="AD130" s="315">
        <f>CTGS!CN130</f>
        <v>0.05</v>
      </c>
      <c r="AE130" s="306" t="str">
        <f>IF(CTGS!CO130=0,"",CTGS!CO130)</f>
        <v/>
      </c>
      <c r="AF130" s="307" t="str">
        <f>CTGS!CP130</f>
        <v/>
      </c>
      <c r="AG130" s="392"/>
      <c r="AH130" s="98">
        <f t="shared" si="11"/>
        <v>0</v>
      </c>
      <c r="AI130" s="307" t="str">
        <f t="shared" si="12"/>
        <v/>
      </c>
      <c r="AJ130" s="416">
        <f>$AH130*SUMIFS('RIN 2.12 2022-2023 REPEX'!J$6:J$15,'RIN 2.12 2022-2023 REPEX'!$A$6:$A$15,'Unit Cost Rate Summary'!$A130)</f>
        <v>0</v>
      </c>
      <c r="AK130" s="97">
        <f>$AH130*SUMIFS('RIN 2.12 2022-2023 REPEX'!K$6:K$15,'RIN 2.12 2022-2023 REPEX'!$A$6:$A$15,'Unit Cost Rate Summary'!$A130)</f>
        <v>0</v>
      </c>
      <c r="AL130" s="97">
        <f>$AH130*SUMIFS('RIN 2.12 2022-2023 REPEX'!L$6:L$15,'RIN 2.12 2022-2023 REPEX'!$A$6:$A$15,'Unit Cost Rate Summary'!$A130)</f>
        <v>0</v>
      </c>
      <c r="AM130" s="98">
        <f>$AH130*SUMIFS('RIN 2.12 2022-2023 REPEX'!M$6:M$15,'RIN 2.12 2022-2023 REPEX'!$A$6:$A$15,'Unit Cost Rate Summary'!$A130)</f>
        <v>0</v>
      </c>
      <c r="AN130" s="485">
        <f t="shared" si="10"/>
        <v>0</v>
      </c>
      <c r="AO130" s="486" t="str">
        <f t="shared" si="13"/>
        <v/>
      </c>
    </row>
    <row r="131" spans="1:41" x14ac:dyDescent="0.25">
      <c r="A131" s="81" t="s">
        <v>258</v>
      </c>
      <c r="B131" s="82" t="s">
        <v>404</v>
      </c>
      <c r="C131" s="83" t="s">
        <v>405</v>
      </c>
      <c r="D131" s="305" t="str">
        <f>'Defect P1'!CM131</f>
        <v>Avg 3 Yr</v>
      </c>
      <c r="E131" s="315">
        <f>'Defect P1'!CN131</f>
        <v>0.05</v>
      </c>
      <c r="F131" s="306" t="str">
        <f>IF('Defect P1'!CO131=0,"",'Defect P1'!CO131)</f>
        <v/>
      </c>
      <c r="G131" s="307" t="str">
        <f>'Defect P1'!CP131</f>
        <v/>
      </c>
      <c r="H131" s="96">
        <f>'Defect P1'!CL131</f>
        <v>0</v>
      </c>
      <c r="I131" s="305" t="str">
        <f>'Defect P2'!CM131</f>
        <v>Avg 3 Yr</v>
      </c>
      <c r="J131" s="315">
        <f>'Defect P2'!CN131</f>
        <v>0</v>
      </c>
      <c r="K131" s="306" t="str">
        <f>IF('Defect P2'!CO131=0,"",'Defect P2'!CO131)</f>
        <v/>
      </c>
      <c r="L131" s="307" t="str">
        <f>'Defect P2'!CP131</f>
        <v/>
      </c>
      <c r="M131" s="96">
        <f>'Defect P2'!CL131</f>
        <v>0</v>
      </c>
      <c r="N131" s="305" t="str">
        <f>RTS!CM131</f>
        <v>Avg 3 Yr</v>
      </c>
      <c r="O131" s="315">
        <f>RTS!CN131</f>
        <v>0.05</v>
      </c>
      <c r="P131" s="306" t="str">
        <f>IF(RTS!CO131=0,"",RTS!CO131)</f>
        <v/>
      </c>
      <c r="Q131" s="307">
        <f>RTS!CP131</f>
        <v>2961.4</v>
      </c>
      <c r="R131" s="96">
        <f>RTS!CL131</f>
        <v>1.3333333333333333</v>
      </c>
      <c r="S131" s="305" t="str">
        <f>Planned!CM131</f>
        <v>Avg 3 Yr</v>
      </c>
      <c r="T131" s="315">
        <f>Planned!CN131</f>
        <v>0.05</v>
      </c>
      <c r="U131" s="306" t="str">
        <f>IF(Planned!CO131=0,"",Planned!CO131)</f>
        <v/>
      </c>
      <c r="V131" s="307" t="str">
        <f>Planned!CP131</f>
        <v/>
      </c>
      <c r="W131" s="96">
        <f>Planned!CL131</f>
        <v>0</v>
      </c>
      <c r="X131" s="305" t="str">
        <f>Reconductor!CM131</f>
        <v>Avg 3 Yr</v>
      </c>
      <c r="Y131" s="315">
        <f>Reconductor!CN131</f>
        <v>0.05</v>
      </c>
      <c r="Z131" s="306" t="str">
        <f>IF(Reconductor!CO131=0,"",Reconductor!CO131)</f>
        <v/>
      </c>
      <c r="AA131" s="307" t="str">
        <f>Reconductor!CP131</f>
        <v/>
      </c>
      <c r="AB131" s="96">
        <f>Reconductor!CL131</f>
        <v>0</v>
      </c>
      <c r="AC131" s="305" t="str">
        <f>CTGS!CM131</f>
        <v>Avg 5 Yr</v>
      </c>
      <c r="AD131" s="315">
        <f>CTGS!CN131</f>
        <v>0.05</v>
      </c>
      <c r="AE131" s="306" t="str">
        <f>IF(CTGS!CO131=0,"",CTGS!CO131)</f>
        <v/>
      </c>
      <c r="AF131" s="307" t="str">
        <f>CTGS!CP131</f>
        <v/>
      </c>
      <c r="AG131" s="392"/>
      <c r="AH131" s="98">
        <f t="shared" si="11"/>
        <v>3948.5333333333333</v>
      </c>
      <c r="AI131" s="307">
        <f t="shared" si="12"/>
        <v>2961.4</v>
      </c>
      <c r="AJ131" s="416">
        <f>$AH131*SUMIFS('RIN 2.12 2022-2023 REPEX'!J$6:J$15,'RIN 2.12 2022-2023 REPEX'!$A$6:$A$15,'Unit Cost Rate Summary'!$A131)</f>
        <v>1232.9157231777119</v>
      </c>
      <c r="AK131" s="97">
        <f>$AH131*SUMIFS('RIN 2.12 2022-2023 REPEX'!K$6:K$15,'RIN 2.12 2022-2023 REPEX'!$A$6:$A$15,'Unit Cost Rate Summary'!$A131)</f>
        <v>1211.7299376162557</v>
      </c>
      <c r="AL131" s="97">
        <f>$AH131*SUMIFS('RIN 2.12 2022-2023 REPEX'!L$6:L$15,'RIN 2.12 2022-2023 REPEX'!$A$6:$A$15,'Unit Cost Rate Summary'!$A131)</f>
        <v>2366.5466877720432</v>
      </c>
      <c r="AM131" s="98">
        <f>$AH131*SUMIFS('RIN 2.12 2022-2023 REPEX'!M$6:M$15,'RIN 2.12 2022-2023 REPEX'!$A$6:$A$15,'Unit Cost Rate Summary'!$A131)</f>
        <v>-862.65901523267723</v>
      </c>
      <c r="AN131" s="485">
        <f t="shared" si="10"/>
        <v>10.81901730014514</v>
      </c>
      <c r="AO131" s="486">
        <f t="shared" si="13"/>
        <v>8.114262975108856</v>
      </c>
    </row>
    <row r="132" spans="1:41" ht="15.75" thickBot="1" x14ac:dyDescent="0.3">
      <c r="A132" s="100" t="s">
        <v>258</v>
      </c>
      <c r="B132" s="101" t="s">
        <v>265</v>
      </c>
      <c r="C132" s="159" t="s">
        <v>406</v>
      </c>
      <c r="D132" s="308" t="str">
        <f>'Defect P1'!CM132</f>
        <v>Avg 3 Yr</v>
      </c>
      <c r="E132" s="316">
        <f>'Defect P1'!CN132</f>
        <v>0.05</v>
      </c>
      <c r="F132" s="309" t="str">
        <f>IF('Defect P1'!CO132=0,"",'Defect P1'!CO132)</f>
        <v/>
      </c>
      <c r="G132" s="310">
        <f>'Defect P1'!CP132</f>
        <v>0</v>
      </c>
      <c r="H132" s="115">
        <f>'Defect P1'!CL132</f>
        <v>163</v>
      </c>
      <c r="I132" s="308" t="str">
        <f>'Defect P2'!CM132</f>
        <v>Avg 3 Yr</v>
      </c>
      <c r="J132" s="316">
        <f>'Defect P2'!CN132</f>
        <v>0</v>
      </c>
      <c r="K132" s="309" t="str">
        <f>IF('Defect P2'!CO132=0,"",'Defect P2'!CO132)</f>
        <v/>
      </c>
      <c r="L132" s="310">
        <f>'Defect P2'!CP132</f>
        <v>115.74195310344831</v>
      </c>
      <c r="M132" s="115">
        <f>'Defect P2'!CL132</f>
        <v>1208.3333333333333</v>
      </c>
      <c r="N132" s="308" t="str">
        <f>RTS!CM132</f>
        <v>Avg 3 Yr</v>
      </c>
      <c r="O132" s="316">
        <f>RTS!CN132</f>
        <v>0.05</v>
      </c>
      <c r="P132" s="309" t="str">
        <f>IF(RTS!CO132=0,"",RTS!CO132)</f>
        <v/>
      </c>
      <c r="Q132" s="310">
        <f>RTS!CP132</f>
        <v>885.1032894736843</v>
      </c>
      <c r="R132" s="115">
        <f>RTS!CL132</f>
        <v>25.333333333333332</v>
      </c>
      <c r="S132" s="308" t="str">
        <f>Planned!CM132</f>
        <v>Avg 3 Yr</v>
      </c>
      <c r="T132" s="316">
        <f>Planned!CN132</f>
        <v>0.05</v>
      </c>
      <c r="U132" s="309">
        <f>IF(Planned!CO132=0,"",Planned!CO132)</f>
        <v>30000</v>
      </c>
      <c r="V132" s="310">
        <f>Planned!CP132</f>
        <v>30000</v>
      </c>
      <c r="W132" s="115">
        <f>Planned!CL132</f>
        <v>412.92522796535678</v>
      </c>
      <c r="X132" s="308" t="str">
        <f>Reconductor!CM132</f>
        <v>Avg 3 Yr</v>
      </c>
      <c r="Y132" s="316">
        <f>Reconductor!CN132</f>
        <v>0.05</v>
      </c>
      <c r="Z132" s="309" t="str">
        <f>IF(Reconductor!CO132=0,"",Reconductor!CO132)</f>
        <v/>
      </c>
      <c r="AA132" s="310">
        <f>Reconductor!CP132</f>
        <v>416.3575862068966</v>
      </c>
      <c r="AB132" s="115">
        <f>Reconductor!CL132</f>
        <v>0</v>
      </c>
      <c r="AC132" s="308" t="str">
        <f>CTGS!CM132</f>
        <v>Avg 5 Yr</v>
      </c>
      <c r="AD132" s="316">
        <f>CTGS!CN132</f>
        <v>0.05</v>
      </c>
      <c r="AE132" s="309" t="str">
        <f>IF(CTGS!CO132=0,"",CTGS!CO132)</f>
        <v/>
      </c>
      <c r="AF132" s="310">
        <f>CTGS!CP132</f>
        <v>-208.56280487804872</v>
      </c>
      <c r="AG132" s="393"/>
      <c r="AH132" s="118">
        <f t="shared" si="11"/>
        <v>12550034.31562737</v>
      </c>
      <c r="AI132" s="310">
        <f t="shared" si="12"/>
        <v>6935.2843328132794</v>
      </c>
      <c r="AJ132" s="467">
        <f>$AH132*SUMIFS('RIN 2.12 2022-2023 REPEX'!J$6:J$15,'RIN 2.12 2022-2023 REPEX'!$A$6:$A$15,'Unit Cost Rate Summary'!$A132)</f>
        <v>3918704.320800167</v>
      </c>
      <c r="AK132" s="117">
        <f>$AH132*SUMIFS('RIN 2.12 2022-2023 REPEX'!K$6:K$15,'RIN 2.12 2022-2023 REPEX'!$A$6:$A$15,'Unit Cost Rate Summary'!$A132)</f>
        <v>3851367.3342904598</v>
      </c>
      <c r="AL132" s="117">
        <f>$AH132*SUMIFS('RIN 2.12 2022-2023 REPEX'!L$6:L$15,'RIN 2.12 2022-2023 REPEX'!$A$6:$A$15,'Unit Cost Rate Summary'!$A132)</f>
        <v>7521841.5633838978</v>
      </c>
      <c r="AM132" s="118">
        <f>$AH132*SUMIFS('RIN 2.12 2022-2023 REPEX'!M$6:M$15,'RIN 2.12 2022-2023 REPEX'!$A$6:$A$15,'Unit Cost Rate Summary'!$A132)</f>
        <v>-2741878.9028471531</v>
      </c>
      <c r="AN132" s="487">
        <f t="shared" si="10"/>
        <v>34387.208341879108</v>
      </c>
      <c r="AO132" s="488">
        <f t="shared" si="13"/>
        <v>19.002742244748877</v>
      </c>
    </row>
    <row r="133" spans="1:41" ht="15.75" thickBot="1" x14ac:dyDescent="0.3">
      <c r="A133" s="19"/>
      <c r="B133" s="19"/>
      <c r="C133" s="160" t="s">
        <v>407</v>
      </c>
      <c r="D133" s="282"/>
      <c r="E133" s="282"/>
      <c r="F133" s="282"/>
      <c r="G133" s="19"/>
      <c r="H133" s="19"/>
      <c r="I133" s="282"/>
      <c r="J133" s="282"/>
      <c r="K133" s="282"/>
      <c r="L133" s="19"/>
      <c r="M133" s="19"/>
      <c r="N133" s="282"/>
      <c r="O133" s="282"/>
      <c r="P133" s="282"/>
      <c r="Q133" s="19"/>
      <c r="R133" s="19"/>
      <c r="S133" s="282"/>
      <c r="T133" s="282"/>
      <c r="U133" s="282"/>
      <c r="V133" s="19"/>
      <c r="W133" s="19"/>
      <c r="X133" s="282"/>
      <c r="Y133" s="282"/>
      <c r="Z133" s="282"/>
      <c r="AA133" s="19"/>
      <c r="AB133" s="19"/>
      <c r="AC133" s="282"/>
      <c r="AD133" s="282"/>
      <c r="AE133" s="282"/>
      <c r="AF133" s="19"/>
      <c r="AH133" s="430">
        <f>SUM(AH7:AH132)</f>
        <v>331104578.5018937</v>
      </c>
    </row>
    <row r="134" spans="1:41" ht="15.75" thickBo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282"/>
      <c r="O134" s="282"/>
      <c r="P134" s="282"/>
      <c r="Q134" s="19"/>
      <c r="R134" s="19"/>
      <c r="S134" s="282"/>
      <c r="T134" s="282"/>
      <c r="U134" s="282"/>
      <c r="V134" s="19"/>
      <c r="W134" s="19"/>
      <c r="X134" s="282"/>
      <c r="Y134" s="282"/>
      <c r="Z134" s="282"/>
      <c r="AA134" s="19"/>
      <c r="AB134" s="19"/>
      <c r="AC134" s="282"/>
      <c r="AD134" s="282"/>
      <c r="AE134" s="282"/>
      <c r="AF134" s="19"/>
      <c r="AH134" s="507"/>
    </row>
    <row r="135" spans="1:41" ht="15.75" thickBot="1" x14ac:dyDescent="0.3">
      <c r="D135" s="425" t="s">
        <v>278</v>
      </c>
      <c r="E135" s="426"/>
      <c r="F135" s="427"/>
      <c r="G135" s="428"/>
      <c r="H135" s="189"/>
      <c r="I135" s="425" t="s">
        <v>417</v>
      </c>
      <c r="J135" s="426"/>
      <c r="K135" s="427"/>
      <c r="L135" s="428"/>
      <c r="M135" s="189"/>
      <c r="N135" s="425" t="s">
        <v>418</v>
      </c>
      <c r="O135" s="426"/>
      <c r="P135" s="427"/>
      <c r="Q135" s="428"/>
      <c r="R135" s="189"/>
      <c r="S135" s="425" t="s">
        <v>420</v>
      </c>
      <c r="T135" s="426"/>
      <c r="U135" s="427"/>
      <c r="V135" s="428"/>
      <c r="W135" s="189"/>
      <c r="X135" s="425" t="s">
        <v>504</v>
      </c>
      <c r="Y135" s="426"/>
      <c r="Z135" s="427"/>
      <c r="AA135" s="428"/>
      <c r="AB135" s="470"/>
      <c r="AC135" s="425" t="s">
        <v>448</v>
      </c>
      <c r="AD135" s="426"/>
      <c r="AE135" s="427"/>
      <c r="AF135" s="428"/>
      <c r="AH135" s="425" t="s">
        <v>547</v>
      </c>
      <c r="AI135" s="427"/>
      <c r="AJ135" s="427"/>
      <c r="AK135" s="427"/>
      <c r="AL135" s="427"/>
      <c r="AM135" s="427"/>
      <c r="AN135" s="427"/>
      <c r="AO135" s="428"/>
    </row>
    <row r="136" spans="1:41" x14ac:dyDescent="0.25">
      <c r="A136" s="27" t="s">
        <v>281</v>
      </c>
      <c r="B136" s="27" t="s">
        <v>282</v>
      </c>
      <c r="C136" s="424"/>
      <c r="D136" s="412" t="s">
        <v>484</v>
      </c>
      <c r="E136" s="296"/>
      <c r="F136" s="296"/>
      <c r="G136" s="297"/>
      <c r="H136" s="189" t="s">
        <v>510</v>
      </c>
      <c r="I136" s="412"/>
      <c r="J136" s="296"/>
      <c r="K136" s="296"/>
      <c r="L136" s="297"/>
      <c r="M136" s="189" t="s">
        <v>510</v>
      </c>
      <c r="N136" s="412"/>
      <c r="O136" s="296"/>
      <c r="P136" s="296"/>
      <c r="Q136" s="297"/>
      <c r="R136" s="189" t="s">
        <v>510</v>
      </c>
      <c r="S136" s="412"/>
      <c r="T136" s="296"/>
      <c r="U136" s="296"/>
      <c r="V136" s="297"/>
      <c r="W136" s="189" t="s">
        <v>510</v>
      </c>
      <c r="X136" s="412"/>
      <c r="Y136" s="296"/>
      <c r="Z136" s="296"/>
      <c r="AA136" s="297"/>
      <c r="AB136" s="189" t="s">
        <v>510</v>
      </c>
      <c r="AC136" s="412" t="s">
        <v>484</v>
      </c>
      <c r="AD136" s="296"/>
      <c r="AE136" s="296"/>
      <c r="AF136" s="297"/>
      <c r="AG136" s="28"/>
      <c r="AH136" s="192" t="s">
        <v>514</v>
      </c>
      <c r="AI136" s="534" t="s">
        <v>510</v>
      </c>
      <c r="AJ136" s="191" t="s">
        <v>540</v>
      </c>
      <c r="AK136" s="191"/>
      <c r="AL136" s="191"/>
      <c r="AM136" s="192"/>
      <c r="AN136" s="479"/>
      <c r="AO136" s="480" t="s">
        <v>545</v>
      </c>
    </row>
    <row r="137" spans="1:41" ht="15.75" thickBot="1" x14ac:dyDescent="0.3">
      <c r="A137" s="43" t="s">
        <v>290</v>
      </c>
      <c r="B137" s="43" t="s">
        <v>290</v>
      </c>
      <c r="C137" s="44" t="s">
        <v>549</v>
      </c>
      <c r="D137" s="298" t="s">
        <v>444</v>
      </c>
      <c r="E137" s="301" t="s">
        <v>445</v>
      </c>
      <c r="F137" s="299" t="s">
        <v>443</v>
      </c>
      <c r="G137" s="300" t="s">
        <v>295</v>
      </c>
      <c r="H137" s="59"/>
      <c r="I137" s="298"/>
      <c r="J137" s="301"/>
      <c r="K137" s="299"/>
      <c r="L137" s="300"/>
      <c r="M137" s="59"/>
      <c r="N137" s="298"/>
      <c r="O137" s="301"/>
      <c r="P137" s="299"/>
      <c r="Q137" s="300"/>
      <c r="R137" s="59"/>
      <c r="S137" s="298"/>
      <c r="T137" s="301"/>
      <c r="U137" s="299"/>
      <c r="V137" s="300"/>
      <c r="W137" s="59"/>
      <c r="X137" s="298"/>
      <c r="Y137" s="301"/>
      <c r="Z137" s="299"/>
      <c r="AA137" s="300"/>
      <c r="AB137" s="59"/>
      <c r="AC137" s="298" t="s">
        <v>444</v>
      </c>
      <c r="AD137" s="301" t="s">
        <v>445</v>
      </c>
      <c r="AE137" s="299" t="s">
        <v>443</v>
      </c>
      <c r="AF137" s="300" t="s">
        <v>295</v>
      </c>
      <c r="AG137" s="44" t="s">
        <v>549</v>
      </c>
      <c r="AH137" s="533" t="s">
        <v>515</v>
      </c>
      <c r="AI137" s="535"/>
      <c r="AJ137" s="476" t="s">
        <v>541</v>
      </c>
      <c r="AK137" s="466" t="s">
        <v>542</v>
      </c>
      <c r="AL137" s="466" t="s">
        <v>530</v>
      </c>
      <c r="AM137" s="429" t="s">
        <v>406</v>
      </c>
      <c r="AN137" s="481" t="s">
        <v>546</v>
      </c>
      <c r="AO137" s="482" t="s">
        <v>548</v>
      </c>
    </row>
    <row r="138" spans="1:41" x14ac:dyDescent="0.25">
      <c r="A138" s="63" t="s">
        <v>296</v>
      </c>
      <c r="B138" s="508"/>
      <c r="C138" s="511" t="s">
        <v>409</v>
      </c>
      <c r="D138" s="497"/>
      <c r="E138" s="498"/>
      <c r="F138" s="498"/>
      <c r="G138" s="499"/>
      <c r="H138" s="494">
        <f>SUMIF($A$7:$A$132,$A138,H$7:H$132)</f>
        <v>0</v>
      </c>
      <c r="I138" s="497"/>
      <c r="J138" s="498"/>
      <c r="K138" s="498"/>
      <c r="L138" s="499"/>
      <c r="M138" s="494">
        <f>SUMIF($A$7:$A$132,$A138,M$7:M$132)</f>
        <v>4658</v>
      </c>
      <c r="N138" s="497"/>
      <c r="O138" s="498"/>
      <c r="P138" s="498"/>
      <c r="Q138" s="499"/>
      <c r="R138" s="494">
        <f>SUMIF($A$7:$A$132,$A138,R$7:R$132)</f>
        <v>0</v>
      </c>
      <c r="S138" s="497"/>
      <c r="T138" s="498"/>
      <c r="U138" s="498"/>
      <c r="V138" s="499"/>
      <c r="W138" s="494">
        <f>SUMIF($A$7:$A$132,$A138,W$7:W$132)</f>
        <v>0</v>
      </c>
      <c r="X138" s="497"/>
      <c r="Y138" s="498"/>
      <c r="Z138" s="498"/>
      <c r="AA138" s="499"/>
      <c r="AB138" s="494">
        <f>SUMIF($A$7:$A$132,$A138,AB$7:AB$132)</f>
        <v>0</v>
      </c>
      <c r="AC138" s="468"/>
      <c r="AD138" s="468"/>
      <c r="AE138" s="468"/>
      <c r="AF138" s="469"/>
      <c r="AG138" s="511" t="s">
        <v>409</v>
      </c>
      <c r="AH138" s="471">
        <f>SUMIF($A$7:$A$132,$A138,AH$7:AH$132)</f>
        <v>8384400</v>
      </c>
      <c r="AI138" s="494">
        <f t="shared" ref="AI138:AI148" si="14">SUM(H138,M138,R138,W138,AB138,)</f>
        <v>4658</v>
      </c>
      <c r="AJ138" s="415">
        <f>SUMIF($A$7:$A$132,$A138,AJ$7:AJ$132)</f>
        <v>0</v>
      </c>
      <c r="AK138" s="79">
        <f t="shared" ref="AK138:AN148" si="15">SUMIF($A$7:$A$132,$A138,AK$7:AK$132)</f>
        <v>0</v>
      </c>
      <c r="AL138" s="79">
        <f t="shared" si="15"/>
        <v>8384400</v>
      </c>
      <c r="AM138" s="80">
        <f t="shared" si="15"/>
        <v>0</v>
      </c>
      <c r="AN138" s="490">
        <f t="shared" si="15"/>
        <v>0</v>
      </c>
      <c r="AO138" s="484">
        <f>IFERROR(AN138/AI138,"")</f>
        <v>0</v>
      </c>
    </row>
    <row r="139" spans="1:41" x14ac:dyDescent="0.25">
      <c r="A139" s="81" t="s">
        <v>27</v>
      </c>
      <c r="B139" s="509"/>
      <c r="C139" s="512" t="s">
        <v>410</v>
      </c>
      <c r="D139" s="500"/>
      <c r="E139" s="501"/>
      <c r="F139" s="501"/>
      <c r="G139" s="502"/>
      <c r="H139" s="495">
        <f t="shared" ref="H139:H148" si="16">SUMIF($A$7:$A$132,$A139,H$7:H$132)</f>
        <v>222.39999999999998</v>
      </c>
      <c r="I139" s="500"/>
      <c r="J139" s="501"/>
      <c r="K139" s="501"/>
      <c r="L139" s="502"/>
      <c r="M139" s="495">
        <f t="shared" ref="M139:M148" si="17">SUMIF($A$7:$A$132,$A139,M$7:M$132)</f>
        <v>11994.33333333333</v>
      </c>
      <c r="N139" s="500"/>
      <c r="O139" s="501"/>
      <c r="P139" s="501"/>
      <c r="Q139" s="502"/>
      <c r="R139" s="495">
        <f t="shared" ref="R139:R148" si="18">SUMIF($A$7:$A$132,$A139,R$7:R$132)</f>
        <v>86.333333333333343</v>
      </c>
      <c r="S139" s="500"/>
      <c r="T139" s="501"/>
      <c r="U139" s="501"/>
      <c r="V139" s="502"/>
      <c r="W139" s="495">
        <f t="shared" ref="W139:W148" si="19">SUMIF($A$7:$A$132,$A139,W$7:W$132)</f>
        <v>0</v>
      </c>
      <c r="X139" s="500"/>
      <c r="Y139" s="501"/>
      <c r="Z139" s="501"/>
      <c r="AA139" s="502"/>
      <c r="AB139" s="495">
        <f t="shared" ref="AB139:AB148" si="20">SUMIF($A$7:$A$132,$A139,AB$7:AB$132)</f>
        <v>2488.5572759783131</v>
      </c>
      <c r="AC139" s="294"/>
      <c r="AD139" s="294"/>
      <c r="AE139" s="294"/>
      <c r="AF139" s="19"/>
      <c r="AG139" s="512" t="s">
        <v>410</v>
      </c>
      <c r="AH139" s="472">
        <f t="shared" ref="AH139:AJ148" si="21">SUMIF($A$7:$A$132,$A139,AH$7:AH$132)</f>
        <v>92363550.882971525</v>
      </c>
      <c r="AI139" s="495">
        <f t="shared" si="14"/>
        <v>14791.623942644977</v>
      </c>
      <c r="AJ139" s="416">
        <f t="shared" si="21"/>
        <v>19539540.646686442</v>
      </c>
      <c r="AK139" s="97">
        <f t="shared" si="15"/>
        <v>24128162.888857313</v>
      </c>
      <c r="AL139" s="97">
        <f t="shared" si="15"/>
        <v>47571378.92884063</v>
      </c>
      <c r="AM139" s="98">
        <f t="shared" si="15"/>
        <v>1124468.4185871007</v>
      </c>
      <c r="AN139" s="491">
        <f t="shared" si="15"/>
        <v>215430.02579336884</v>
      </c>
      <c r="AO139" s="486">
        <f t="shared" ref="AO139:AO148" si="22">IFERROR(AN139/AI139,"")</f>
        <v>14.56432550129087</v>
      </c>
    </row>
    <row r="140" spans="1:41" x14ac:dyDescent="0.25">
      <c r="A140" s="81" t="s">
        <v>68</v>
      </c>
      <c r="B140" s="509"/>
      <c r="C140" s="512" t="s">
        <v>411</v>
      </c>
      <c r="D140" s="500"/>
      <c r="E140" s="501"/>
      <c r="F140" s="501"/>
      <c r="G140" s="502"/>
      <c r="H140" s="495">
        <f t="shared" si="16"/>
        <v>800.43596720640016</v>
      </c>
      <c r="I140" s="500"/>
      <c r="J140" s="501"/>
      <c r="K140" s="501"/>
      <c r="L140" s="502"/>
      <c r="M140" s="495">
        <f t="shared" si="17"/>
        <v>17612.363077033333</v>
      </c>
      <c r="N140" s="500"/>
      <c r="O140" s="501"/>
      <c r="P140" s="501"/>
      <c r="Q140" s="502"/>
      <c r="R140" s="495">
        <f t="shared" si="18"/>
        <v>354.99999989999992</v>
      </c>
      <c r="S140" s="500"/>
      <c r="T140" s="501"/>
      <c r="U140" s="501"/>
      <c r="V140" s="502"/>
      <c r="W140" s="495">
        <f t="shared" si="19"/>
        <v>7000</v>
      </c>
      <c r="X140" s="500"/>
      <c r="Y140" s="501"/>
      <c r="Z140" s="501"/>
      <c r="AA140" s="502"/>
      <c r="AB140" s="495">
        <f t="shared" si="20"/>
        <v>4999.0316973105764</v>
      </c>
      <c r="AC140" s="294"/>
      <c r="AD140" s="294"/>
      <c r="AE140" s="294"/>
      <c r="AF140" s="19"/>
      <c r="AG140" s="512" t="s">
        <v>411</v>
      </c>
      <c r="AH140" s="472">
        <f t="shared" si="21"/>
        <v>86289882.938594565</v>
      </c>
      <c r="AI140" s="495">
        <f t="shared" si="14"/>
        <v>30766.830741450311</v>
      </c>
      <c r="AJ140" s="416">
        <f t="shared" si="21"/>
        <v>17381126.162673775</v>
      </c>
      <c r="AK140" s="97">
        <f t="shared" si="15"/>
        <v>28870780.041744478</v>
      </c>
      <c r="AL140" s="97">
        <f t="shared" si="15"/>
        <v>38515028.496186092</v>
      </c>
      <c r="AM140" s="98">
        <f t="shared" si="15"/>
        <v>1522948.237990215</v>
      </c>
      <c r="AN140" s="491">
        <f t="shared" si="15"/>
        <v>257774.82180128997</v>
      </c>
      <c r="AO140" s="486">
        <f t="shared" si="22"/>
        <v>8.3783352262540767</v>
      </c>
    </row>
    <row r="141" spans="1:41" x14ac:dyDescent="0.25">
      <c r="A141" s="81" t="s">
        <v>81</v>
      </c>
      <c r="B141" s="509"/>
      <c r="C141" s="512" t="s">
        <v>270</v>
      </c>
      <c r="D141" s="500"/>
      <c r="E141" s="501"/>
      <c r="F141" s="501"/>
      <c r="G141" s="502"/>
      <c r="H141" s="495">
        <f t="shared" si="16"/>
        <v>1.1430409827173791</v>
      </c>
      <c r="I141" s="500"/>
      <c r="J141" s="501"/>
      <c r="K141" s="501"/>
      <c r="L141" s="502"/>
      <c r="M141" s="495">
        <f t="shared" si="17"/>
        <v>83.456277286555405</v>
      </c>
      <c r="N141" s="500"/>
      <c r="O141" s="501"/>
      <c r="P141" s="501"/>
      <c r="Q141" s="502"/>
      <c r="R141" s="495">
        <f t="shared" si="18"/>
        <v>8.9210208788862193</v>
      </c>
      <c r="S141" s="500"/>
      <c r="T141" s="501"/>
      <c r="U141" s="501"/>
      <c r="V141" s="502"/>
      <c r="W141" s="495">
        <f t="shared" si="19"/>
        <v>0</v>
      </c>
      <c r="X141" s="500"/>
      <c r="Y141" s="501"/>
      <c r="Z141" s="501"/>
      <c r="AA141" s="502"/>
      <c r="AB141" s="532">
        <f t="shared" si="20"/>
        <v>686.50843685384109</v>
      </c>
      <c r="AC141" s="294"/>
      <c r="AD141" s="294"/>
      <c r="AE141" s="294"/>
      <c r="AF141" s="19"/>
      <c r="AG141" s="512" t="s">
        <v>270</v>
      </c>
      <c r="AH141" s="472">
        <f t="shared" si="21"/>
        <v>43991527.374576665</v>
      </c>
      <c r="AI141" s="532">
        <f t="shared" si="14"/>
        <v>780.02877600200009</v>
      </c>
      <c r="AJ141" s="416">
        <f t="shared" si="21"/>
        <v>9413448.2484753672</v>
      </c>
      <c r="AK141" s="97">
        <f t="shared" si="15"/>
        <v>11102144.266681597</v>
      </c>
      <c r="AL141" s="97">
        <f t="shared" si="15"/>
        <v>22706758.318085205</v>
      </c>
      <c r="AM141" s="98">
        <f t="shared" si="15"/>
        <v>769176.54133448494</v>
      </c>
      <c r="AN141" s="491">
        <f t="shared" si="15"/>
        <v>99126.288095371405</v>
      </c>
      <c r="AO141" s="486">
        <f t="shared" si="22"/>
        <v>127.08029645193145</v>
      </c>
    </row>
    <row r="142" spans="1:41" x14ac:dyDescent="0.25">
      <c r="A142" s="81" t="s">
        <v>94</v>
      </c>
      <c r="B142" s="509"/>
      <c r="C142" s="512" t="s">
        <v>412</v>
      </c>
      <c r="D142" s="500"/>
      <c r="E142" s="501"/>
      <c r="F142" s="501"/>
      <c r="G142" s="502"/>
      <c r="H142" s="495">
        <f t="shared" si="16"/>
        <v>0.49246933526666664</v>
      </c>
      <c r="I142" s="500"/>
      <c r="J142" s="501"/>
      <c r="K142" s="501"/>
      <c r="L142" s="502"/>
      <c r="M142" s="495">
        <f t="shared" si="17"/>
        <v>19.628333333222223</v>
      </c>
      <c r="N142" s="500"/>
      <c r="O142" s="501"/>
      <c r="P142" s="501"/>
      <c r="Q142" s="502"/>
      <c r="R142" s="495">
        <f t="shared" si="18"/>
        <v>1.8598888814444436</v>
      </c>
      <c r="S142" s="500"/>
      <c r="T142" s="501"/>
      <c r="U142" s="501"/>
      <c r="V142" s="502"/>
      <c r="W142" s="495">
        <f t="shared" si="19"/>
        <v>0</v>
      </c>
      <c r="X142" s="500"/>
      <c r="Y142" s="501"/>
      <c r="Z142" s="501"/>
      <c r="AA142" s="502"/>
      <c r="AB142" s="532">
        <f t="shared" si="20"/>
        <v>0</v>
      </c>
      <c r="AC142" s="294"/>
      <c r="AD142" s="294"/>
      <c r="AE142" s="294"/>
      <c r="AF142" s="19"/>
      <c r="AG142" s="512" t="s">
        <v>412</v>
      </c>
      <c r="AH142" s="472">
        <f t="shared" si="21"/>
        <v>7075597.0592646832</v>
      </c>
      <c r="AI142" s="532">
        <f t="shared" si="14"/>
        <v>21.980691549933333</v>
      </c>
      <c r="AJ142" s="416">
        <f t="shared" si="21"/>
        <v>1399204.1770112847</v>
      </c>
      <c r="AK142" s="97">
        <f t="shared" si="15"/>
        <v>3754665.7594300895</v>
      </c>
      <c r="AL142" s="97">
        <f t="shared" si="15"/>
        <v>1843536.9719790448</v>
      </c>
      <c r="AM142" s="98">
        <f t="shared" si="15"/>
        <v>78190.150844263393</v>
      </c>
      <c r="AN142" s="491">
        <f t="shared" si="15"/>
        <v>33523.801423482939</v>
      </c>
      <c r="AO142" s="486">
        <f t="shared" si="22"/>
        <v>1525.147711905571</v>
      </c>
    </row>
    <row r="143" spans="1:41" x14ac:dyDescent="0.25">
      <c r="A143" s="81" t="s">
        <v>106</v>
      </c>
      <c r="B143" s="509"/>
      <c r="C143" s="512" t="s">
        <v>272</v>
      </c>
      <c r="D143" s="500"/>
      <c r="E143" s="501"/>
      <c r="F143" s="501"/>
      <c r="G143" s="502"/>
      <c r="H143" s="495">
        <f t="shared" si="16"/>
        <v>195.14690692080006</v>
      </c>
      <c r="I143" s="500"/>
      <c r="J143" s="501"/>
      <c r="K143" s="501"/>
      <c r="L143" s="502"/>
      <c r="M143" s="495">
        <f t="shared" si="17"/>
        <v>6923.7791765199963</v>
      </c>
      <c r="N143" s="500"/>
      <c r="O143" s="501"/>
      <c r="P143" s="501"/>
      <c r="Q143" s="502"/>
      <c r="R143" s="495">
        <f t="shared" si="18"/>
        <v>72.938181572000005</v>
      </c>
      <c r="S143" s="500"/>
      <c r="T143" s="501"/>
      <c r="U143" s="501"/>
      <c r="V143" s="502"/>
      <c r="W143" s="495">
        <f t="shared" si="19"/>
        <v>8500</v>
      </c>
      <c r="X143" s="500"/>
      <c r="Y143" s="501"/>
      <c r="Z143" s="501"/>
      <c r="AA143" s="502"/>
      <c r="AB143" s="495">
        <f t="shared" si="20"/>
        <v>2695.7173755113936</v>
      </c>
      <c r="AC143" s="294"/>
      <c r="AD143" s="294"/>
      <c r="AE143" s="294"/>
      <c r="AF143" s="19"/>
      <c r="AG143" s="512" t="s">
        <v>272</v>
      </c>
      <c r="AH143" s="472">
        <f t="shared" si="21"/>
        <v>24654062.58784236</v>
      </c>
      <c r="AI143" s="495">
        <f t="shared" si="14"/>
        <v>18387.581640524189</v>
      </c>
      <c r="AJ143" s="416">
        <f t="shared" si="21"/>
        <v>4222532.9895512881</v>
      </c>
      <c r="AK143" s="97">
        <f t="shared" si="15"/>
        <v>8847705.5230564345</v>
      </c>
      <c r="AL143" s="97">
        <f t="shared" si="15"/>
        <v>11056392.011337701</v>
      </c>
      <c r="AM143" s="98">
        <f t="shared" si="15"/>
        <v>527432.06389693567</v>
      </c>
      <c r="AN143" s="491">
        <f t="shared" si="15"/>
        <v>78997.370741575302</v>
      </c>
      <c r="AO143" s="486">
        <f t="shared" si="22"/>
        <v>4.2962349419280814</v>
      </c>
    </row>
    <row r="144" spans="1:41" x14ac:dyDescent="0.25">
      <c r="A144" s="81" t="s">
        <v>138</v>
      </c>
      <c r="B144" s="509"/>
      <c r="C144" s="512" t="s">
        <v>413</v>
      </c>
      <c r="D144" s="500"/>
      <c r="E144" s="501"/>
      <c r="F144" s="501"/>
      <c r="G144" s="502"/>
      <c r="H144" s="495">
        <f t="shared" si="16"/>
        <v>34.825000000000003</v>
      </c>
      <c r="I144" s="500"/>
      <c r="J144" s="501"/>
      <c r="K144" s="501"/>
      <c r="L144" s="502"/>
      <c r="M144" s="495">
        <f t="shared" si="17"/>
        <v>350.39197738914493</v>
      </c>
      <c r="N144" s="500"/>
      <c r="O144" s="501"/>
      <c r="P144" s="501"/>
      <c r="Q144" s="502"/>
      <c r="R144" s="495">
        <f t="shared" si="18"/>
        <v>425.64000000007195</v>
      </c>
      <c r="S144" s="500"/>
      <c r="T144" s="501"/>
      <c r="U144" s="501"/>
      <c r="V144" s="502"/>
      <c r="W144" s="495">
        <f t="shared" si="19"/>
        <v>0</v>
      </c>
      <c r="X144" s="500"/>
      <c r="Y144" s="501"/>
      <c r="Z144" s="501"/>
      <c r="AA144" s="502"/>
      <c r="AB144" s="495">
        <f t="shared" si="20"/>
        <v>144.12598243604052</v>
      </c>
      <c r="AC144" s="294"/>
      <c r="AD144" s="294"/>
      <c r="AE144" s="294"/>
      <c r="AF144" s="19"/>
      <c r="AG144" s="512" t="s">
        <v>413</v>
      </c>
      <c r="AH144" s="472">
        <f t="shared" si="21"/>
        <v>27226660.433839709</v>
      </c>
      <c r="AI144" s="495">
        <f t="shared" si="14"/>
        <v>954.98295982525735</v>
      </c>
      <c r="AJ144" s="416">
        <f t="shared" si="21"/>
        <v>8688932.2047071327</v>
      </c>
      <c r="AK144" s="97">
        <f t="shared" si="15"/>
        <v>10075455.068252001</v>
      </c>
      <c r="AL144" s="97">
        <f t="shared" si="15"/>
        <v>8190349.3262866717</v>
      </c>
      <c r="AM144" s="98">
        <f t="shared" si="15"/>
        <v>271923.83459390112</v>
      </c>
      <c r="AN144" s="491">
        <f t="shared" si="15"/>
        <v>89959.420252249998</v>
      </c>
      <c r="AO144" s="486">
        <f t="shared" si="22"/>
        <v>94.200026635774492</v>
      </c>
    </row>
    <row r="145" spans="1:41" x14ac:dyDescent="0.25">
      <c r="A145" s="81" t="s">
        <v>196</v>
      </c>
      <c r="B145" s="509"/>
      <c r="C145" s="512" t="s">
        <v>274</v>
      </c>
      <c r="D145" s="500"/>
      <c r="E145" s="501"/>
      <c r="F145" s="501"/>
      <c r="G145" s="502"/>
      <c r="H145" s="495">
        <f t="shared" si="16"/>
        <v>64.879895494706673</v>
      </c>
      <c r="I145" s="500"/>
      <c r="J145" s="501"/>
      <c r="K145" s="501"/>
      <c r="L145" s="502"/>
      <c r="M145" s="495">
        <f t="shared" si="17"/>
        <v>1413.8470646374701</v>
      </c>
      <c r="N145" s="500"/>
      <c r="O145" s="501"/>
      <c r="P145" s="501"/>
      <c r="Q145" s="502"/>
      <c r="R145" s="495">
        <f t="shared" si="18"/>
        <v>544.06905114489996</v>
      </c>
      <c r="S145" s="500"/>
      <c r="T145" s="501"/>
      <c r="U145" s="501"/>
      <c r="V145" s="502"/>
      <c r="W145" s="495">
        <f t="shared" si="19"/>
        <v>0</v>
      </c>
      <c r="X145" s="500"/>
      <c r="Y145" s="501"/>
      <c r="Z145" s="501"/>
      <c r="AA145" s="502"/>
      <c r="AB145" s="495">
        <f t="shared" si="20"/>
        <v>438.76325763179636</v>
      </c>
      <c r="AC145" s="294"/>
      <c r="AD145" s="294"/>
      <c r="AE145" s="294"/>
      <c r="AF145" s="19"/>
      <c r="AG145" s="512" t="s">
        <v>274</v>
      </c>
      <c r="AH145" s="472">
        <f t="shared" si="21"/>
        <v>28384006.35062502</v>
      </c>
      <c r="AI145" s="495">
        <f t="shared" si="14"/>
        <v>2461.559268908873</v>
      </c>
      <c r="AJ145" s="416">
        <f t="shared" si="21"/>
        <v>7170867.7820815872</v>
      </c>
      <c r="AK145" s="97">
        <f t="shared" si="15"/>
        <v>10711324.857656457</v>
      </c>
      <c r="AL145" s="97">
        <f t="shared" si="15"/>
        <v>9962352.7742467932</v>
      </c>
      <c r="AM145" s="98">
        <f t="shared" si="15"/>
        <v>539460.93664017844</v>
      </c>
      <c r="AN145" s="530">
        <f t="shared" si="15"/>
        <v>31735.860214995013</v>
      </c>
      <c r="AO145" s="531">
        <f t="shared" si="22"/>
        <v>12.89258423140161</v>
      </c>
    </row>
    <row r="146" spans="1:41" x14ac:dyDescent="0.25">
      <c r="A146" s="81" t="s">
        <v>224</v>
      </c>
      <c r="B146" s="509"/>
      <c r="C146" s="512" t="s">
        <v>414</v>
      </c>
      <c r="D146" s="500"/>
      <c r="E146" s="501"/>
      <c r="F146" s="501"/>
      <c r="G146" s="502"/>
      <c r="H146" s="495">
        <f t="shared" si="16"/>
        <v>0</v>
      </c>
      <c r="I146" s="500"/>
      <c r="J146" s="501"/>
      <c r="K146" s="501"/>
      <c r="L146" s="502"/>
      <c r="M146" s="495">
        <f t="shared" si="17"/>
        <v>0</v>
      </c>
      <c r="N146" s="500"/>
      <c r="O146" s="501"/>
      <c r="P146" s="501"/>
      <c r="Q146" s="502"/>
      <c r="R146" s="495">
        <f t="shared" si="18"/>
        <v>0</v>
      </c>
      <c r="S146" s="500"/>
      <c r="T146" s="501"/>
      <c r="U146" s="501"/>
      <c r="V146" s="502"/>
      <c r="W146" s="495">
        <f t="shared" si="19"/>
        <v>0</v>
      </c>
      <c r="X146" s="500"/>
      <c r="Y146" s="501"/>
      <c r="Z146" s="501"/>
      <c r="AA146" s="502"/>
      <c r="AB146" s="495">
        <f t="shared" si="20"/>
        <v>0</v>
      </c>
      <c r="AC146" s="294"/>
      <c r="AD146" s="294"/>
      <c r="AE146" s="294"/>
      <c r="AF146" s="19"/>
      <c r="AG146" s="512" t="s">
        <v>414</v>
      </c>
      <c r="AH146" s="472">
        <f t="shared" si="21"/>
        <v>0</v>
      </c>
      <c r="AI146" s="495">
        <f t="shared" si="14"/>
        <v>0</v>
      </c>
      <c r="AJ146" s="416" t="e">
        <f t="shared" si="21"/>
        <v>#DIV/0!</v>
      </c>
      <c r="AK146" s="97" t="e">
        <f t="shared" si="15"/>
        <v>#DIV/0!</v>
      </c>
      <c r="AL146" s="97" t="e">
        <f t="shared" si="15"/>
        <v>#DIV/0!</v>
      </c>
      <c r="AM146" s="98" t="e">
        <f t="shared" si="15"/>
        <v>#DIV/0!</v>
      </c>
      <c r="AN146" s="491">
        <f t="shared" si="15"/>
        <v>0</v>
      </c>
      <c r="AO146" s="486" t="str">
        <f t="shared" si="22"/>
        <v/>
      </c>
    </row>
    <row r="147" spans="1:41" x14ac:dyDescent="0.25">
      <c r="A147" s="81" t="s">
        <v>242</v>
      </c>
      <c r="B147" s="509"/>
      <c r="C147" s="512" t="s">
        <v>415</v>
      </c>
      <c r="D147" s="500"/>
      <c r="E147" s="501"/>
      <c r="F147" s="501"/>
      <c r="G147" s="502"/>
      <c r="H147" s="495">
        <f t="shared" si="16"/>
        <v>0</v>
      </c>
      <c r="I147" s="500"/>
      <c r="J147" s="501"/>
      <c r="K147" s="501"/>
      <c r="L147" s="502"/>
      <c r="M147" s="495">
        <f t="shared" si="17"/>
        <v>0</v>
      </c>
      <c r="N147" s="500"/>
      <c r="O147" s="501"/>
      <c r="P147" s="501"/>
      <c r="Q147" s="502"/>
      <c r="R147" s="495">
        <f t="shared" si="18"/>
        <v>0</v>
      </c>
      <c r="S147" s="500"/>
      <c r="T147" s="501"/>
      <c r="U147" s="501"/>
      <c r="V147" s="502"/>
      <c r="W147" s="495">
        <f t="shared" si="19"/>
        <v>0</v>
      </c>
      <c r="X147" s="500"/>
      <c r="Y147" s="501"/>
      <c r="Z147" s="501"/>
      <c r="AA147" s="502"/>
      <c r="AB147" s="495">
        <f t="shared" si="20"/>
        <v>0</v>
      </c>
      <c r="AC147" s="294"/>
      <c r="AD147" s="294"/>
      <c r="AE147" s="294"/>
      <c r="AF147" s="19"/>
      <c r="AG147" s="512" t="s">
        <v>415</v>
      </c>
      <c r="AH147" s="472">
        <f t="shared" si="21"/>
        <v>0</v>
      </c>
      <c r="AI147" s="495">
        <f t="shared" si="14"/>
        <v>0</v>
      </c>
      <c r="AJ147" s="416">
        <f t="shared" si="21"/>
        <v>0</v>
      </c>
      <c r="AK147" s="97">
        <f t="shared" si="15"/>
        <v>0</v>
      </c>
      <c r="AL147" s="97">
        <f t="shared" si="15"/>
        <v>0</v>
      </c>
      <c r="AM147" s="98">
        <f t="shared" si="15"/>
        <v>0</v>
      </c>
      <c r="AN147" s="491">
        <f t="shared" si="15"/>
        <v>0</v>
      </c>
      <c r="AO147" s="486" t="str">
        <f t="shared" si="22"/>
        <v/>
      </c>
    </row>
    <row r="148" spans="1:41" ht="15.75" thickBot="1" x14ac:dyDescent="0.3">
      <c r="A148" s="100" t="s">
        <v>258</v>
      </c>
      <c r="B148" s="510"/>
      <c r="C148" s="513" t="s">
        <v>64</v>
      </c>
      <c r="D148" s="503"/>
      <c r="E148" s="504"/>
      <c r="F148" s="504"/>
      <c r="G148" s="505"/>
      <c r="H148" s="496">
        <f t="shared" si="16"/>
        <v>163</v>
      </c>
      <c r="I148" s="503"/>
      <c r="J148" s="504"/>
      <c r="K148" s="504"/>
      <c r="L148" s="505"/>
      <c r="M148" s="496">
        <f t="shared" si="17"/>
        <v>1209.3333333333333</v>
      </c>
      <c r="N148" s="503"/>
      <c r="O148" s="504"/>
      <c r="P148" s="504"/>
      <c r="Q148" s="505"/>
      <c r="R148" s="496">
        <f t="shared" si="18"/>
        <v>42.666666666666664</v>
      </c>
      <c r="S148" s="503"/>
      <c r="T148" s="504"/>
      <c r="U148" s="504"/>
      <c r="V148" s="505"/>
      <c r="W148" s="496">
        <f t="shared" si="19"/>
        <v>412.92522796535678</v>
      </c>
      <c r="X148" s="503"/>
      <c r="Y148" s="504"/>
      <c r="Z148" s="504"/>
      <c r="AA148" s="505"/>
      <c r="AB148" s="496">
        <f t="shared" si="20"/>
        <v>0</v>
      </c>
      <c r="AC148" s="294"/>
      <c r="AD148" s="294"/>
      <c r="AE148" s="294"/>
      <c r="AF148" s="19"/>
      <c r="AG148" s="513" t="s">
        <v>64</v>
      </c>
      <c r="AH148" s="473">
        <f t="shared" si="21"/>
        <v>12734890.874179151</v>
      </c>
      <c r="AI148" s="496">
        <f t="shared" si="14"/>
        <v>1827.9252279653567</v>
      </c>
      <c r="AJ148" s="417">
        <f t="shared" si="21"/>
        <v>3976425.1346646426</v>
      </c>
      <c r="AK148" s="181">
        <f t="shared" si="15"/>
        <v>3908096.3035689862</v>
      </c>
      <c r="AL148" s="181">
        <f t="shared" si="15"/>
        <v>7632635.025011925</v>
      </c>
      <c r="AM148" s="182">
        <f t="shared" si="15"/>
        <v>-2782265.5890664025</v>
      </c>
      <c r="AN148" s="492">
        <f t="shared" si="15"/>
        <v>34893.716996151663</v>
      </c>
      <c r="AO148" s="493">
        <f t="shared" si="22"/>
        <v>19.08924744968451</v>
      </c>
    </row>
    <row r="149" spans="1:41" ht="15.75" thickBot="1" x14ac:dyDescent="0.3">
      <c r="D149" s="294"/>
      <c r="E149" s="294"/>
      <c r="F149" s="294"/>
      <c r="G149" s="19"/>
      <c r="H149" s="19"/>
      <c r="I149" s="294"/>
      <c r="J149" s="294"/>
      <c r="K149" s="294"/>
      <c r="L149" s="19"/>
      <c r="M149" s="19"/>
      <c r="N149" s="294"/>
      <c r="O149" s="294"/>
      <c r="P149" s="294"/>
      <c r="Q149" s="19"/>
      <c r="R149" s="19"/>
      <c r="S149" s="294"/>
      <c r="T149" s="294"/>
      <c r="U149" s="294"/>
      <c r="V149" s="19"/>
      <c r="W149" s="19"/>
      <c r="X149" s="294"/>
      <c r="Y149" s="294"/>
      <c r="Z149" s="294"/>
      <c r="AA149" s="19"/>
      <c r="AB149" s="19"/>
      <c r="AC149" s="294"/>
      <c r="AD149" s="294"/>
      <c r="AE149" s="294"/>
      <c r="AF149" s="19"/>
      <c r="AH149" s="183">
        <f>SUM(AH138:AH148)</f>
        <v>331104578.50189364</v>
      </c>
      <c r="AI149" s="489"/>
      <c r="AJ149" s="183" t="e">
        <f>SUM(AJ138:AJ148)</f>
        <v>#DIV/0!</v>
      </c>
      <c r="AK149" s="184" t="e">
        <f t="shared" ref="AK149:AN149" si="23">SUM(AK138:AK148)</f>
        <v>#DIV/0!</v>
      </c>
      <c r="AL149" s="184" t="e">
        <f t="shared" si="23"/>
        <v>#DIV/0!</v>
      </c>
      <c r="AM149" s="185" t="e">
        <f t="shared" si="23"/>
        <v>#DIV/0!</v>
      </c>
      <c r="AN149" s="184">
        <f t="shared" si="23"/>
        <v>841441.30531848525</v>
      </c>
      <c r="AO149" s="506"/>
    </row>
    <row r="150" spans="1:41" x14ac:dyDescent="0.25">
      <c r="D150" s="294"/>
      <c r="E150" s="294"/>
      <c r="F150" s="294"/>
      <c r="G150" s="19"/>
      <c r="H150" s="19"/>
      <c r="I150" s="294"/>
      <c r="J150" s="294"/>
      <c r="K150" s="294"/>
      <c r="L150" s="19"/>
      <c r="M150" s="19"/>
      <c r="N150" s="294"/>
      <c r="O150" s="294"/>
      <c r="P150" s="294"/>
      <c r="Q150" s="19"/>
      <c r="R150" s="19"/>
      <c r="S150" s="294"/>
      <c r="T150" s="294"/>
      <c r="U150" s="294"/>
      <c r="V150" s="19"/>
      <c r="W150" s="19"/>
      <c r="X150" s="294"/>
      <c r="Y150" s="294"/>
      <c r="Z150" s="294"/>
      <c r="AA150" s="19"/>
      <c r="AB150" s="19"/>
      <c r="AC150" s="294"/>
      <c r="AD150" s="294"/>
      <c r="AE150" s="294"/>
      <c r="AF150" s="19"/>
    </row>
    <row r="152" spans="1:41" x14ac:dyDescent="0.25">
      <c r="AG152" s="512" t="s">
        <v>270</v>
      </c>
      <c r="AH152" s="472">
        <v>43849544.153129607</v>
      </c>
      <c r="AI152" s="532">
        <v>747.58100301899026</v>
      </c>
      <c r="AJ152" s="416">
        <v>10497645.082386188</v>
      </c>
      <c r="AK152" s="97">
        <v>9508164.340201756</v>
      </c>
      <c r="AL152" s="97">
        <v>23546087.713415239</v>
      </c>
      <c r="AM152" s="98">
        <v>297647.01712642272</v>
      </c>
      <c r="AN152" s="491">
        <v>79234.702835014628</v>
      </c>
      <c r="AO152" s="486">
        <v>105.98811702683393</v>
      </c>
    </row>
  </sheetData>
  <autoFilter ref="A6:AH133" xr:uid="{EAD34CF0-D49C-46DB-BCE4-5A9DC4DCECBB}"/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2B06-5461-4E93-BA38-5F7061E93D76}">
  <sheetPr codeName="Sheet15">
    <tabColor theme="9" tint="-0.249977111117893"/>
  </sheetPr>
  <dimension ref="A1:CO190"/>
  <sheetViews>
    <sheetView zoomScaleNormal="100" workbookViewId="0">
      <pane xSplit="3" ySplit="7" topLeftCell="AY8" activePane="bottomRight" state="frozen"/>
      <selection activeCell="N4" sqref="N4"/>
      <selection pane="topRight" activeCell="N4" sqref="N4"/>
      <selection pane="bottomLeft" activeCell="N4" sqref="N4"/>
      <selection pane="bottomRight" activeCell="CI152" sqref="CI152"/>
    </sheetView>
  </sheetViews>
  <sheetFormatPr defaultRowHeight="15" x14ac:dyDescent="0.25"/>
  <cols>
    <col min="1" max="1" width="5.7109375" bestFit="1" customWidth="1"/>
    <col min="2" max="2" width="9.140625" customWidth="1"/>
    <col min="3" max="3" width="23.140625" customWidth="1"/>
    <col min="4" max="4" width="9.28515625" customWidth="1"/>
    <col min="5" max="10" width="9.5703125" customWidth="1"/>
    <col min="11" max="11" width="9.28515625" customWidth="1"/>
    <col min="12" max="12" width="9.5703125" customWidth="1"/>
    <col min="13" max="14" width="9.28515625" style="280" customWidth="1"/>
    <col min="15" max="15" width="9.28515625" customWidth="1"/>
    <col min="16" max="21" width="9.5703125" customWidth="1"/>
    <col min="22" max="22" width="9.28515625" customWidth="1"/>
    <col min="23" max="23" width="9.5703125" customWidth="1"/>
    <col min="24" max="25" width="9.28515625" style="280" customWidth="1"/>
    <col min="26" max="34" width="9.140625" customWidth="1"/>
    <col min="35" max="36" width="9.140625" style="280" customWidth="1"/>
    <col min="37" max="48" width="9.140625" customWidth="1"/>
    <col min="49" max="50" width="9.140625" style="280" customWidth="1"/>
    <col min="51" max="53" width="9.140625" customWidth="1"/>
    <col min="54" max="54" width="9.140625" style="684"/>
    <col min="61" max="61" width="9.140625" style="280" customWidth="1"/>
    <col min="62" max="62" width="9.140625" customWidth="1"/>
    <col min="63" max="70" width="13.7109375" customWidth="1"/>
    <col min="71" max="72" width="13" hidden="1" customWidth="1"/>
    <col min="73" max="73" width="14.7109375" hidden="1" customWidth="1"/>
    <col min="74" max="74" width="13" customWidth="1"/>
    <col min="75" max="79" width="16.140625" hidden="1" customWidth="1"/>
    <col min="80" max="80" width="5.28515625" hidden="1" customWidth="1"/>
    <col min="81" max="85" width="7.5703125" hidden="1" customWidth="1"/>
    <col min="86" max="86" width="14.42578125" hidden="1" customWidth="1"/>
    <col min="87" max="91" width="13.7109375" customWidth="1"/>
    <col min="92" max="92" width="10.140625" bestFit="1" customWidth="1"/>
  </cols>
  <sheetData>
    <row r="1" spans="1:91" ht="15.75" thickBot="1" x14ac:dyDescent="0.3">
      <c r="A1" t="s">
        <v>553</v>
      </c>
      <c r="J1" s="22"/>
      <c r="U1" s="22"/>
      <c r="AT1" t="s">
        <v>279</v>
      </c>
      <c r="AW1" s="701"/>
      <c r="AX1" s="701"/>
      <c r="BI1"/>
      <c r="BK1" s="418" t="s">
        <v>489</v>
      </c>
      <c r="BL1" s="419">
        <v>0</v>
      </c>
      <c r="CI1">
        <v>81</v>
      </c>
      <c r="CJ1">
        <f>CI1+1</f>
        <v>82</v>
      </c>
      <c r="CK1">
        <f t="shared" ref="CK1:CM1" si="0">CJ1+1</f>
        <v>83</v>
      </c>
      <c r="CL1">
        <f t="shared" si="0"/>
        <v>84</v>
      </c>
      <c r="CM1">
        <f t="shared" si="0"/>
        <v>85</v>
      </c>
    </row>
    <row r="2" spans="1:91" ht="15.75" thickBot="1" x14ac:dyDescent="0.3">
      <c r="BI2"/>
      <c r="BK2" s="418" t="s">
        <v>490</v>
      </c>
      <c r="BL2" s="419">
        <v>0</v>
      </c>
    </row>
    <row r="3" spans="1:91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388"/>
      <c r="N3" s="388"/>
      <c r="O3" s="25"/>
      <c r="P3" s="25"/>
      <c r="Q3" s="25"/>
      <c r="R3" s="25"/>
      <c r="S3" s="25"/>
      <c r="T3" s="25"/>
      <c r="U3" s="25"/>
      <c r="V3" s="25"/>
      <c r="W3" s="25"/>
      <c r="X3" s="388"/>
      <c r="Y3" s="388"/>
      <c r="Z3" s="25"/>
      <c r="AA3" s="25"/>
      <c r="BB3" s="685"/>
      <c r="BC3" s="19"/>
      <c r="BD3" s="19"/>
      <c r="BE3" s="19"/>
      <c r="BF3" s="19"/>
      <c r="BG3" s="19"/>
      <c r="BH3" s="19"/>
      <c r="BI3" s="19"/>
      <c r="BJ3" s="19"/>
      <c r="BK3" s="418" t="s">
        <v>600</v>
      </c>
      <c r="BL3" s="419">
        <v>0</v>
      </c>
      <c r="BM3" s="19"/>
      <c r="BN3" s="19"/>
      <c r="BO3" s="19"/>
      <c r="BP3" s="19"/>
      <c r="BQ3" s="19"/>
      <c r="BR3" s="19"/>
      <c r="BS3" s="19"/>
      <c r="BT3" s="19"/>
    </row>
    <row r="4" spans="1:91" ht="24" thickBot="1" x14ac:dyDescent="0.4">
      <c r="AK4" s="220" t="s">
        <v>427</v>
      </c>
      <c r="AL4" s="221"/>
      <c r="AM4" s="222" t="s">
        <v>630</v>
      </c>
      <c r="AY4" s="223" t="s">
        <v>427</v>
      </c>
      <c r="AZ4" s="224"/>
      <c r="BA4" s="225" t="s">
        <v>428</v>
      </c>
      <c r="BB4" s="685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CI4" s="930" t="s">
        <v>822</v>
      </c>
      <c r="CJ4" s="931"/>
      <c r="CK4" s="931"/>
    </row>
    <row r="5" spans="1:91" s="186" customFormat="1" ht="15.75" thickBot="1" x14ac:dyDescent="0.3">
      <c r="A5" s="27" t="s">
        <v>281</v>
      </c>
      <c r="B5" s="27" t="s">
        <v>282</v>
      </c>
      <c r="C5" s="28"/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35"/>
      <c r="N5" s="335"/>
      <c r="O5" s="552" t="s">
        <v>582</v>
      </c>
      <c r="P5" s="553"/>
      <c r="Q5" s="553"/>
      <c r="R5" s="553"/>
      <c r="S5" s="553"/>
      <c r="T5" s="553"/>
      <c r="U5" s="553"/>
      <c r="V5" s="553"/>
      <c r="W5" s="553"/>
      <c r="X5" s="554"/>
      <c r="Y5" s="554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3" t="s">
        <v>286</v>
      </c>
      <c r="AL5" s="34"/>
      <c r="AM5" s="35"/>
      <c r="AN5" s="36" t="s">
        <v>287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686"/>
      <c r="BC5" s="189"/>
      <c r="BD5" s="189"/>
      <c r="BE5" s="189" t="s">
        <v>691</v>
      </c>
      <c r="BF5" s="189"/>
      <c r="BG5" s="189"/>
      <c r="BH5" s="189"/>
      <c r="BI5" s="283"/>
      <c r="BJ5" s="42" t="s">
        <v>289</v>
      </c>
      <c r="BK5" s="190"/>
      <c r="BL5" s="191"/>
      <c r="BM5" s="191"/>
      <c r="BN5" s="766" t="s">
        <v>515</v>
      </c>
      <c r="BO5" s="766"/>
      <c r="BP5" s="766"/>
      <c r="BQ5" s="766"/>
      <c r="BR5" s="767"/>
      <c r="BS5" s="480" t="s">
        <v>545</v>
      </c>
      <c r="BT5" s="838" t="s">
        <v>780</v>
      </c>
      <c r="BU5" s="479" t="s">
        <v>779</v>
      </c>
      <c r="CI5" s="766" t="s">
        <v>515</v>
      </c>
      <c r="CJ5" s="766"/>
      <c r="CK5" s="766"/>
      <c r="CL5" s="766"/>
      <c r="CM5" s="767"/>
    </row>
    <row r="6" spans="1:91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657" t="s">
        <v>14</v>
      </c>
      <c r="N6" s="1063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556" t="s">
        <v>13</v>
      </c>
      <c r="X6" s="673" t="s">
        <v>14</v>
      </c>
      <c r="Y6" s="1085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48" t="s">
        <v>14</v>
      </c>
      <c r="AJ6" s="48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687" t="s">
        <v>14</v>
      </c>
      <c r="BC6" s="687" t="s">
        <v>15</v>
      </c>
      <c r="BD6" s="59" t="s">
        <v>280</v>
      </c>
      <c r="BE6" s="59" t="s">
        <v>422</v>
      </c>
      <c r="BF6" s="59" t="s">
        <v>423</v>
      </c>
      <c r="BG6" s="59" t="s">
        <v>424</v>
      </c>
      <c r="BH6" s="59" t="s">
        <v>425</v>
      </c>
      <c r="BI6" s="284" t="s">
        <v>426</v>
      </c>
      <c r="BJ6" s="60" t="s">
        <v>446</v>
      </c>
      <c r="BK6" s="1054" t="s">
        <v>14</v>
      </c>
      <c r="BL6" s="1054" t="s">
        <v>15</v>
      </c>
      <c r="BM6" s="764" t="s">
        <v>280</v>
      </c>
      <c r="BN6" s="768" t="s">
        <v>422</v>
      </c>
      <c r="BO6" s="769" t="s">
        <v>423</v>
      </c>
      <c r="BP6" s="769" t="s">
        <v>424</v>
      </c>
      <c r="BQ6" s="769" t="s">
        <v>425</v>
      </c>
      <c r="BR6" s="770" t="s">
        <v>426</v>
      </c>
      <c r="BS6" s="482" t="s">
        <v>548</v>
      </c>
      <c r="BT6" s="481" t="s">
        <v>546</v>
      </c>
      <c r="BU6" s="481" t="s">
        <v>546</v>
      </c>
      <c r="CI6" s="768" t="s">
        <v>422</v>
      </c>
      <c r="CJ6" s="769" t="s">
        <v>423</v>
      </c>
      <c r="CK6" s="769" t="s">
        <v>424</v>
      </c>
      <c r="CL6" s="769" t="s">
        <v>425</v>
      </c>
      <c r="CM6" s="770" t="s">
        <v>426</v>
      </c>
    </row>
    <row r="7" spans="1:91" x14ac:dyDescent="0.25">
      <c r="A7" s="63" t="s">
        <v>296</v>
      </c>
      <c r="B7" s="64" t="s">
        <v>22</v>
      </c>
      <c r="C7" s="65" t="s">
        <v>24</v>
      </c>
      <c r="D7" s="66">
        <f>SUM('Defect (Total)'!D7,Planned!D7,Reconductor!D7,CTGS!D7)</f>
        <v>6688577</v>
      </c>
      <c r="E7" s="67">
        <f>SUM('Defect (Total)'!E7,Planned!E7,Reconductor!E7,CTGS!E7)</f>
        <v>3664797</v>
      </c>
      <c r="F7" s="67">
        <f>SUM('Defect (Total)'!F7,Planned!F7,Reconductor!F7,CTGS!F7)</f>
        <v>4782199</v>
      </c>
      <c r="G7" s="67">
        <f>SUM('Defect (Total)'!G7,Planned!G7,Reconductor!G7,CTGS!G7)</f>
        <v>3687764</v>
      </c>
      <c r="H7" s="67">
        <f>SUM('Defect (Total)'!H7,Planned!H7,Reconductor!H7,CTGS!H7)</f>
        <v>5309061</v>
      </c>
      <c r="I7" s="67">
        <f>SUM('Defect (Total)'!I7,Planned!I7,Reconductor!I7,CTGS!I7)</f>
        <v>3689144.5943493401</v>
      </c>
      <c r="J7" s="67">
        <f>SUM('Defect (Total)'!J7,Planned!J7,Reconductor!J7,CTGS!J7)</f>
        <v>7934044.6888067247</v>
      </c>
      <c r="K7" s="67">
        <f>SUM('Defect (Total)'!K7,Planned!K7,Reconductor!K7,CTGS!K7)</f>
        <v>7371639.3099999987</v>
      </c>
      <c r="L7" s="67">
        <f>SUM('Defect (Total)'!L7,Planned!L7,Reconductor!L7,CTGS!L7)</f>
        <v>9045812.0399999991</v>
      </c>
      <c r="M7" s="67">
        <f>SUM('Defect (Total)'!M7,Planned!M7,Reconductor!M7,CTGS!M7)</f>
        <v>8954422.3600000031</v>
      </c>
      <c r="N7" s="67">
        <f>SUM('Defect (Total)'!N7,Planned!N7,Reconductor!N7,CTGS!N7)</f>
        <v>9464302.1000000238</v>
      </c>
      <c r="O7" s="557">
        <f>SUM('Defect (Total)'!O7,Planned!O7,Reconductor!O7,CTGS!O7)</f>
        <v>8999188.1911497675</v>
      </c>
      <c r="P7" s="558">
        <f>SUM('Defect (Total)'!P7,Planned!P7,Reconductor!P7,CTGS!P7)</f>
        <v>4857435.2696861438</v>
      </c>
      <c r="Q7" s="558">
        <f>SUM('Defect (Total)'!Q7,Planned!Q7,Reconductor!Q7,CTGS!Q7)</f>
        <v>6274272.5748106102</v>
      </c>
      <c r="R7" s="558">
        <f>SUM('Defect (Total)'!R7,Planned!R7,Reconductor!R7,CTGS!R7)</f>
        <v>4746582.8137466423</v>
      </c>
      <c r="S7" s="558">
        <f>SUM('Defect (Total)'!S7,Planned!S7,Reconductor!S7,CTGS!S7)</f>
        <v>6694294.8160370607</v>
      </c>
      <c r="T7" s="558">
        <f>SUM('Defect (Total)'!T7,Planned!T7,Reconductor!T7,CTGS!T7)</f>
        <v>4578775.5212920001</v>
      </c>
      <c r="U7" s="558">
        <f>SUM('Defect (Total)'!U7,Planned!U7,Reconductor!U7,CTGS!U7)</f>
        <v>9881757.2435876802</v>
      </c>
      <c r="V7" s="558">
        <f>SUM('Defect (Total)'!V7,Planned!V7,Reconductor!V7,CTGS!V7)</f>
        <v>8841240.4001781363</v>
      </c>
      <c r="W7" s="558">
        <f>SUM('Defect (Total)'!W7,Planned!W7,Reconductor!W7,CTGS!W7)</f>
        <v>10221109.377395511</v>
      </c>
      <c r="X7" s="558">
        <f>SUM('Defect (Total)'!X7,Planned!X7,Reconductor!X7,CTGS!X7)</f>
        <v>9522678.2955853678</v>
      </c>
      <c r="Y7" s="558">
        <f>SUM('Defect (Total)'!Y7,Planned!Y7,Reconductor!Y7,CTGS!Y7)</f>
        <v>9724556.0155375712</v>
      </c>
      <c r="Z7" s="68">
        <f>SUM('Defect (Total)'!Z7,Planned!Z7,Reconductor!Z7,CTGS!Z7)</f>
        <v>2373</v>
      </c>
      <c r="AA7" s="69">
        <f>SUM('Defect (Total)'!AA7,Planned!AA7,Reconductor!AA7,CTGS!AA7)</f>
        <v>1176</v>
      </c>
      <c r="AB7" s="69">
        <f>SUM('Defect (Total)'!AB7,Planned!AB7,Reconductor!AB7,CTGS!AB7)</f>
        <v>1487</v>
      </c>
      <c r="AC7" s="69">
        <f>SUM('Defect (Total)'!AC7,Planned!AC7,Reconductor!AC7,CTGS!AC7)</f>
        <v>1285</v>
      </c>
      <c r="AD7" s="69">
        <f>SUM('Defect (Total)'!AD7,Planned!AD7,Reconductor!AD7,CTGS!AD7)</f>
        <v>1563</v>
      </c>
      <c r="AE7" s="69">
        <f>SUM('Defect (Total)'!AE7,Planned!AE7,Reconductor!AE7,CTGS!AE7)</f>
        <v>1101</v>
      </c>
      <c r="AF7" s="69">
        <f>SUM('Defect (Total)'!AF7,Planned!AF7,Reconductor!AF7,CTGS!AF7)</f>
        <v>5017</v>
      </c>
      <c r="AG7" s="69">
        <f>SUM('Defect (Total)'!AG7,Planned!AG7,Reconductor!AG7,CTGS!AG7)</f>
        <v>4542</v>
      </c>
      <c r="AH7" s="69">
        <f>SUM('Defect (Total)'!AH7,Planned!AH7,Reconductor!AH7,CTGS!AH7)</f>
        <v>5172</v>
      </c>
      <c r="AI7" s="69">
        <f>SUM('Defect (Total)'!AI7,Planned!AI7,Reconductor!AI7,CTGS!AI7)</f>
        <v>4260</v>
      </c>
      <c r="AJ7" s="69">
        <f>SUM('Defect (Total)'!AJ7,Planned!AJ7,Reconductor!AJ7,CTGS!AJ7)</f>
        <v>6395</v>
      </c>
      <c r="AK7" s="70">
        <f>IFERROR(IF($AM$4="N",SUM(AD7:AH7)/5,SUM(AE7:AI7)/5),"")</f>
        <v>4018.4</v>
      </c>
      <c r="AL7" s="71">
        <f>IFERROR(IF($AM$4="N",SUM(AF7:AH7)/3,SUM(AG7:AI7)/3),"")</f>
        <v>4658</v>
      </c>
      <c r="AM7" s="72">
        <f>IFERROR(IF($AM$4="N",AH7,AI7),"")</f>
        <v>4260</v>
      </c>
      <c r="AN7" s="73">
        <f t="shared" ref="AN7:AN38" si="1">IFERROR(D7/Z7,"")</f>
        <v>2818.6165191740415</v>
      </c>
      <c r="AO7" s="74">
        <f t="shared" ref="AO7:AO38" si="2">IFERROR(E7/AA7,"")</f>
        <v>3116.3239795918366</v>
      </c>
      <c r="AP7" s="74">
        <f t="shared" ref="AP7:AP38" si="3">IFERROR(F7/AB7,"")</f>
        <v>3216.0047074646941</v>
      </c>
      <c r="AQ7" s="74">
        <f t="shared" ref="AQ7:AQ38" si="4">IFERROR(G7/AC7,"")</f>
        <v>2869.855252918288</v>
      </c>
      <c r="AR7" s="74">
        <f t="shared" ref="AR7:AR38" si="5">IFERROR(H7/AD7,"")</f>
        <v>3396.7120921305182</v>
      </c>
      <c r="AS7" s="74">
        <f t="shared" ref="AS7:AS38" si="6">IFERROR(I7/AE7,"")</f>
        <v>3350.7217024063034</v>
      </c>
      <c r="AT7" s="74">
        <f t="shared" ref="AT7:AT38" si="7">IFERROR(J7/AF7,"")</f>
        <v>1581.4320687276709</v>
      </c>
      <c r="AU7" s="74">
        <f t="shared" ref="AU7:AU38" si="8">IFERROR(K7/AG7,"")</f>
        <v>1622.9941237340377</v>
      </c>
      <c r="AV7" s="74">
        <f t="shared" ref="AV7:AV38" si="9">IFERROR(L7/AH7,"")</f>
        <v>1748.9969141531321</v>
      </c>
      <c r="AW7" s="74">
        <f t="shared" ref="AW7:AW70" si="10">IFERROR(M7/AI7,"")</f>
        <v>2101.9770798122072</v>
      </c>
      <c r="AX7" s="74">
        <f t="shared" ref="AX7:AX70" si="11">IFERROR(N7/AJ7,"")</f>
        <v>1479.9534167318254</v>
      </c>
      <c r="AY7" s="75">
        <f t="shared" ref="AY7:AY38" si="12">IFERROR(IF($BA$4="N",SUM(H7:L7)/SUM(AD7:AH7),SUM(I7:M7)/SUM(AE7:AI7)),"")</f>
        <v>1917.2004388132257</v>
      </c>
      <c r="AZ7" s="76">
        <f t="shared" ref="AZ7:AZ38" si="13">IFERROR(IF($BA$4="N",SUM(J7:L7)/SUM(AF7:AH7),SUM(K7:M7)/SUM(AG7:AI7)),"")</f>
        <v>1653.0782729486607</v>
      </c>
      <c r="BA7" s="77">
        <f t="shared" ref="BA7:BA38" si="14">IFERROR(IF($BA$4="N",L7/AH7,M7/AI7),"")</f>
        <v>1748.9969141531321</v>
      </c>
      <c r="BB7" s="688">
        <f>SUM('Defect (Total)'!BB7,Planned!CE7,Reconductor!CE7,CTGS!CE7,'Substation 2025$'!CE7*$BL$1,Comms!CA7*$BL$2)</f>
        <v>4658</v>
      </c>
      <c r="BC7" s="688">
        <f>SUM('Defect (Total)'!BC7,Planned!CF7,Reconductor!CF7,CTGS!CF7,'Substation 2025$'!CF7*$BL$1,Comms!CB7*$BL$2)</f>
        <v>4658</v>
      </c>
      <c r="BD7" s="78">
        <f>SUM('Defect (Total)'!BD7,Planned!CG7,Reconductor!CG7,CTGS!CG7,'Substation 2025$'!CG7*$BL$1,Comms!CC7*$BL$2)</f>
        <v>4658</v>
      </c>
      <c r="BE7" s="78">
        <f>SUM('Defect (Total)'!BE7,Planned!CH7,Reconductor!CH7,CTGS!CH7,'Substation 2025$'!CH7*$BL$1,Comms!CD7*$BL$2)</f>
        <v>4658</v>
      </c>
      <c r="BF7" s="78">
        <f>SUM('Defect (Total)'!BF7,Planned!CI7,Reconductor!CI7,CTGS!CI7,'Substation 2025$'!CI7*$BL$1,Comms!CE7*$BL$2)</f>
        <v>4658</v>
      </c>
      <c r="BG7" s="78">
        <f>SUM('Defect (Total)'!BG7,Planned!CJ7,Reconductor!CJ7,CTGS!CJ7,'Substation 2025$'!CJ7*$BL$1,Comms!CF7*$BL$2)</f>
        <v>4658</v>
      </c>
      <c r="BH7" s="78">
        <f>SUM('Defect (Total)'!BH7,Planned!CK7,Reconductor!CK7,CTGS!CK7,'Substation 2025$'!CK7*$BL$1,Comms!CG7*$BL$2)</f>
        <v>4658</v>
      </c>
      <c r="BI7" s="285">
        <f>SUM('Defect (Total)'!BI7,Planned!CL7,Reconductor!CL7,CTGS!CL7,'Substation 2025$'!CL7*$BL$1,Comms!CH7*$BL$2)</f>
        <v>4658</v>
      </c>
      <c r="BJ7" s="124">
        <f>IFERROR(SUM(BN7:BR7)/SUM(BE7:BI7),"")</f>
        <v>1800</v>
      </c>
      <c r="BK7" s="974">
        <f>SUM('Defect (Total)'!BK7,Planned!CQ7,Reconductor!CQ7,CTGS!CQ7,'Substation 2025$'!CQ7*$BL$1,Comms!CM7*$BL$2)</f>
        <v>8384400</v>
      </c>
      <c r="BL7" s="974">
        <f>SUM('Defect (Total)'!BL7,Planned!CR7,Reconductor!CR7,CTGS!CR7,'Substation 2025$'!CR7*$BL$1,Comms!CN7*$BL$2)</f>
        <v>8384400</v>
      </c>
      <c r="BM7" s="523">
        <f>SUM('Defect (Total)'!BM7,Planned!CS7,Reconductor!CS7,CTGS!CS7,'Substation 2025$'!CS7*$BL$1,Comms!CO7*$BL$2)</f>
        <v>8384400</v>
      </c>
      <c r="BN7" s="415">
        <f>SUM('Defect (Total)'!BN7,Planned!CT7,Reconductor!CT7,CTGS!CT7,'Substation 2025$'!CT7*$BL$1,Comms!CP7*$BL$2)</f>
        <v>8384400</v>
      </c>
      <c r="BO7" s="79">
        <f>SUM('Defect (Total)'!BO7,Planned!CU7,Reconductor!CU7,CTGS!CU7,'Substation 2025$'!CU7*$BL$1,Comms!CQ7*$BL$2)</f>
        <v>8384400</v>
      </c>
      <c r="BP7" s="79">
        <f>SUM('Defect (Total)'!BP7,Planned!CV7,Reconductor!CV7,CTGS!CV7,'Substation 2025$'!CV7*$BL$1,Comms!CR7*$BL$2)</f>
        <v>8384400</v>
      </c>
      <c r="BQ7" s="79">
        <f>SUM('Defect (Total)'!BQ7,Planned!CW7,Reconductor!CW7,CTGS!CW7,'Substation 2025$'!CW7*$BL$1,Comms!CS7*$BL$2)</f>
        <v>8384400</v>
      </c>
      <c r="BR7" s="80">
        <f>SUM('Defect (Total)'!BR7,Planned!CX7,Reconductor!CX7,CTGS!CX7,'Substation 2025$'!CX7*$BL$1,Comms!CT7*$BL$2)</f>
        <v>8384400</v>
      </c>
      <c r="BS7" s="835">
        <f>'Unit Cost Rate Summary'!AO7</f>
        <v>0</v>
      </c>
      <c r="BT7" s="839">
        <f t="shared" ref="BT7:BT38" si="15">IFERROR(BS7*SUM(BE8:BI8)/5,"")</f>
        <v>0</v>
      </c>
      <c r="BU7" s="834">
        <f t="shared" ref="BU7:BU38" si="16">IFERROR(BS7*SUM(BE8:BI8),"")</f>
        <v>0</v>
      </c>
      <c r="BV7" t="s">
        <v>268</v>
      </c>
      <c r="CI7" s="415">
        <f>VLOOKUP($A7,'Distribution Summary'!$A$136:$CG$146,CI$1,0)*BN7</f>
        <v>9581829.561527079</v>
      </c>
      <c r="CJ7" s="79">
        <f>VLOOKUP($A7,'Distribution Summary'!$A$136:$CG$146,CJ$1,0)*BO7</f>
        <v>9627125.8012696691</v>
      </c>
      <c r="CK7" s="79">
        <f>VLOOKUP($A7,'Distribution Summary'!$A$136:$CG$146,CK$1,0)*BP7</f>
        <v>9672317.5764718987</v>
      </c>
      <c r="CL7" s="79">
        <f>VLOOKUP($A7,'Distribution Summary'!$A$136:$CG$146,CL$1,0)*BQ7</f>
        <v>9726280.1703267973</v>
      </c>
      <c r="CM7" s="80">
        <f>VLOOKUP($A7,'Distribution Summary'!$A$136:$CG$146,CM$1,0)*BR7</f>
        <v>9788730.5031053461</v>
      </c>
    </row>
    <row r="8" spans="1:91" x14ac:dyDescent="0.25">
      <c r="A8" s="81" t="s">
        <v>27</v>
      </c>
      <c r="B8" s="82" t="s">
        <v>25</v>
      </c>
      <c r="C8" s="83" t="s">
        <v>297</v>
      </c>
      <c r="D8" s="84">
        <f>SUM('Defect (Total)'!D8,Planned!D8,Reconductor!D8,CTGS!D8)</f>
        <v>6176694</v>
      </c>
      <c r="E8" s="85">
        <f>SUM('Defect (Total)'!E8,Planned!E8,Reconductor!E8,CTGS!E8)</f>
        <v>9175248.5999999996</v>
      </c>
      <c r="F8" s="85">
        <f>SUM('Defect (Total)'!F8,Planned!F8,Reconductor!F8,CTGS!F8)</f>
        <v>11026738.600000001</v>
      </c>
      <c r="G8" s="85">
        <f>SUM('Defect (Total)'!G8,Planned!G8,Reconductor!G8,CTGS!G8)</f>
        <v>12311007.729060391</v>
      </c>
      <c r="H8" s="85">
        <f>SUM('Defect (Total)'!H8,Planned!H8,Reconductor!H8,CTGS!H8)</f>
        <v>12040725.721492045</v>
      </c>
      <c r="I8" s="85">
        <f>SUM('Defect (Total)'!I8,Planned!I8,Reconductor!I8,CTGS!I8)</f>
        <v>9015463.2618118525</v>
      </c>
      <c r="J8" s="85">
        <f>SUM('Defect (Total)'!J8,Planned!J8,Reconductor!J8,CTGS!J8)</f>
        <v>19586719.116851203</v>
      </c>
      <c r="K8" s="85">
        <f>SUM('Defect (Total)'!K8,Planned!K8,Reconductor!K8,CTGS!K8)</f>
        <v>18080397.891638912</v>
      </c>
      <c r="L8" s="85">
        <f>SUM('Defect (Total)'!L8,Planned!L8,Reconductor!L8,CTGS!L8)</f>
        <v>22641374.742922097</v>
      </c>
      <c r="M8" s="85">
        <f>SUM('Defect (Total)'!M8,Planned!M8,Reconductor!M8,CTGS!M8)</f>
        <v>19758125.884632397</v>
      </c>
      <c r="N8" s="85">
        <f>SUM('Defect (Total)'!N8,Planned!N8,Reconductor!N8,CTGS!N8)</f>
        <v>17855268.165800024</v>
      </c>
      <c r="O8" s="560">
        <f>SUM('Defect (Total)'!O8,Planned!O8,Reconductor!O8,CTGS!O8)</f>
        <v>8310471.9741053469</v>
      </c>
      <c r="P8" s="561">
        <f>SUM('Defect (Total)'!P8,Planned!P8,Reconductor!P8,CTGS!P8)</f>
        <v>12161158.219071457</v>
      </c>
      <c r="Q8" s="561">
        <f>SUM('Defect (Total)'!Q8,Planned!Q8,Reconductor!Q8,CTGS!Q8)</f>
        <v>14467144.421966877</v>
      </c>
      <c r="R8" s="561">
        <f>SUM('Defect (Total)'!R8,Planned!R8,Reconductor!R8,CTGS!R8)</f>
        <v>15845704.255115062</v>
      </c>
      <c r="S8" s="561">
        <f>SUM('Defect (Total)'!S8,Planned!S8,Reconductor!S8,CTGS!S8)</f>
        <v>15182377.406985579</v>
      </c>
      <c r="T8" s="561">
        <f>SUM('Defect (Total)'!T8,Planned!T8,Reconductor!T8,CTGS!T8)</f>
        <v>11189526.851162095</v>
      </c>
      <c r="U8" s="561">
        <f>SUM('Defect (Total)'!U8,Planned!U8,Reconductor!U8,CTGS!U8)</f>
        <v>24395023.106451854</v>
      </c>
      <c r="V8" s="561">
        <f>SUM('Defect (Total)'!V8,Planned!V8,Reconductor!V8,CTGS!V8)</f>
        <v>21684884.130725816</v>
      </c>
      <c r="W8" s="561">
        <f>SUM('Defect (Total)'!W8,Planned!W8,Reconductor!W8,CTGS!W8)</f>
        <v>25583105.936612733</v>
      </c>
      <c r="X8" s="561">
        <f>SUM('Defect (Total)'!X8,Planned!X8,Reconductor!X8,CTGS!X8)</f>
        <v>21011994.851115361</v>
      </c>
      <c r="Y8" s="561">
        <f>SUM('Defect (Total)'!Y8,Planned!Y8,Reconductor!Y8,CTGS!Y8)</f>
        <v>18042115.051113978</v>
      </c>
      <c r="Z8" s="86">
        <f>SUM('Defect (Total)'!Z8,Planned!Z8,Reconductor!Z8,CTGS!Z8)</f>
        <v>1338.4</v>
      </c>
      <c r="AA8" s="87">
        <f>SUM('Defect (Total)'!AA8,Planned!AA8,Reconductor!AA8,CTGS!AA8)</f>
        <v>1849.2</v>
      </c>
      <c r="AB8" s="87">
        <f>SUM('Defect (Total)'!AB8,Planned!AB8,Reconductor!AB8,CTGS!AB8)</f>
        <v>1741.4</v>
      </c>
      <c r="AC8" s="87">
        <f>SUM('Defect (Total)'!AC8,Planned!AC8,Reconductor!AC8,CTGS!AC8)</f>
        <v>1931.4</v>
      </c>
      <c r="AD8" s="87">
        <f>SUM('Defect (Total)'!AD8,Planned!AD8,Reconductor!AD8,CTGS!AD8)</f>
        <v>2258.1999999999998</v>
      </c>
      <c r="AE8" s="87">
        <f>SUM('Defect (Total)'!AE8,Planned!AE8,Reconductor!AE8,CTGS!AE8)</f>
        <v>1854</v>
      </c>
      <c r="AF8" s="87">
        <f>SUM('Defect (Total)'!AF8,Planned!AF8,Reconductor!AF8,CTGS!AF8)</f>
        <v>4373</v>
      </c>
      <c r="AG8" s="87">
        <f>SUM('Defect (Total)'!AG8,Planned!AG8,Reconductor!AG8,CTGS!AG8)</f>
        <v>4153</v>
      </c>
      <c r="AH8" s="87">
        <f>SUM('Defect (Total)'!AH8,Planned!AH8,Reconductor!AH8,CTGS!AH8)</f>
        <v>4471</v>
      </c>
      <c r="AI8" s="87">
        <f>SUM('Defect (Total)'!AI8,Planned!AI8,Reconductor!AI8,CTGS!AI8)</f>
        <v>3315</v>
      </c>
      <c r="AJ8" s="87">
        <f>SUM('Defect (Total)'!AJ8,Planned!AJ8,Reconductor!AJ8,CTGS!AJ8)</f>
        <v>2695</v>
      </c>
      <c r="AK8" s="88">
        <f t="shared" ref="AK8:AK71" si="17">IFERROR(IF($AM$4="N",SUM(AD8:AH8)/5,SUM(AE8:AI8)/5),"")</f>
        <v>3633.2</v>
      </c>
      <c r="AL8" s="89">
        <f t="shared" ref="AL8:AL71" si="18">IFERROR(IF($AM$4="N",SUM(AF8:AH8)/3,SUM(AG8:AI8)/3),"")</f>
        <v>3979.6666666666665</v>
      </c>
      <c r="AM8" s="90">
        <f t="shared" ref="AM8:AM71" si="19">IFERROR(IF($AM$4="N",AH8,AI8),"")</f>
        <v>3315</v>
      </c>
      <c r="AN8" s="91">
        <f t="shared" si="1"/>
        <v>4614.9835624626412</v>
      </c>
      <c r="AO8" s="92">
        <f t="shared" si="2"/>
        <v>4961.7394548994153</v>
      </c>
      <c r="AP8" s="92">
        <f t="shared" si="3"/>
        <v>6332.1112897668545</v>
      </c>
      <c r="AQ8" s="92">
        <f t="shared" si="4"/>
        <v>6374.1367552347474</v>
      </c>
      <c r="AR8" s="92">
        <f t="shared" si="5"/>
        <v>5332.0014708582257</v>
      </c>
      <c r="AS8" s="92">
        <f t="shared" si="6"/>
        <v>4862.7094184529951</v>
      </c>
      <c r="AT8" s="92">
        <f t="shared" si="7"/>
        <v>4479.0119178713021</v>
      </c>
      <c r="AU8" s="92">
        <f t="shared" si="8"/>
        <v>4353.5752207172918</v>
      </c>
      <c r="AV8" s="92">
        <f t="shared" si="9"/>
        <v>5064.0516087949227</v>
      </c>
      <c r="AW8" s="92">
        <f t="shared" si="10"/>
        <v>5960.218969723197</v>
      </c>
      <c r="AX8" s="92">
        <f t="shared" si="11"/>
        <v>6625.33141588127</v>
      </c>
      <c r="AY8" s="93">
        <f t="shared" si="12"/>
        <v>4755.6098902763488</v>
      </c>
      <c r="AZ8" s="94">
        <f t="shared" si="13"/>
        <v>4640.1855621614386</v>
      </c>
      <c r="BA8" s="95">
        <f t="shared" si="14"/>
        <v>5064.0516087949227</v>
      </c>
      <c r="BB8" s="689">
        <f>SUM('Defect (Total)'!BB8,Planned!CE8,Reconductor!CE8,CTGS!CE8,'Substation 2025$'!CE8*$BL$1,Comms!CA8*$BL$2)</f>
        <v>3592.6666666666665</v>
      </c>
      <c r="BC8" s="689">
        <f>SUM('Defect (Total)'!BC8,Planned!CF8,Reconductor!CF8,CTGS!CF8,'Substation 2025$'!CF8*$BL$1,Comms!CB8*$BL$2)</f>
        <v>3321.3179790343656</v>
      </c>
      <c r="BD8" s="96">
        <f>SUM('Defect (Total)'!BD8,Planned!CG8,Reconductor!CG8,CTGS!CG8,'Substation 2025$'!CG8*$BL$1,Comms!CC8*$BL$2)</f>
        <v>3321.3179790343656</v>
      </c>
      <c r="BE8" s="96">
        <f>SUM('Defect (Total)'!BE8,Planned!CH8,Reconductor!CH8,CTGS!CH8,'Substation 2025$'!CH8*$BL$1,Comms!CD8*$BL$2)</f>
        <v>3546.0683268273033</v>
      </c>
      <c r="BF8" s="96">
        <f>SUM('Defect (Total)'!BF8,Planned!CI8,Reconductor!CI8,CTGS!CI8,'Substation 2025$'!CI8*$BL$1,Comms!CE8*$BL$2)</f>
        <v>3592.930081879309</v>
      </c>
      <c r="BG8" s="96">
        <f>SUM('Defect (Total)'!BG8,Planned!CJ8,Reconductor!CJ8,CTGS!CJ8,'Substation 2025$'!CJ8*$BL$1,Comms!CF8*$BL$2)</f>
        <v>3624.1712519139792</v>
      </c>
      <c r="BH8" s="96">
        <f>SUM('Defect (Total)'!BH8,Planned!CK8,Reconductor!CK8,CTGS!CK8,'Substation 2025$'!CK8*$BL$1,Comms!CG8*$BL$2)</f>
        <v>3655.4124219486494</v>
      </c>
      <c r="BI8" s="286">
        <f>SUM('Defect (Total)'!BI8,Planned!CL8,Reconductor!CL8,CTGS!CL8,'Substation 2025$'!CL8*$BL$1,Comms!CH8*$BL$2)</f>
        <v>3671.033006965984</v>
      </c>
      <c r="BJ8" s="99">
        <f t="shared" ref="BJ8:BJ71" si="20">IFERROR(SUM(BN8:BR8)/SUM(BE8:BI8),"")</f>
        <v>4954.9458625350535</v>
      </c>
      <c r="BK8" s="992">
        <f>SUM('Defect (Total)'!BK8,Planned!CQ8,Reconductor!CQ8,CTGS!CQ8,'Substation 2025$'!CQ8*$BL$1,Comms!CM8*$BL$2)</f>
        <v>17756359.822206676</v>
      </c>
      <c r="BL8" s="992">
        <f>SUM('Defect (Total)'!BL8,Planned!CR8,Reconductor!CR8,CTGS!CR8,'Substation 2025$'!CR8*$BL$1,Comms!CN8*$BL$2)</f>
        <v>15927200.439368829</v>
      </c>
      <c r="BM8" s="524">
        <f>SUM('Defect (Total)'!BM8,Planned!CS8,Reconductor!CS8,CTGS!CS8,'Substation 2025$'!CS8*$BL$1,Comms!CO8*$BL$2)</f>
        <v>15927200.439368829</v>
      </c>
      <c r="BN8" s="416">
        <f>SUM('Defect (Total)'!BN8,Planned!CT8,Reconductor!CT8,CTGS!CT8,'Substation 2025$'!CT8*$BL$1,Comms!CP8*$BL$2)</f>
        <v>17442240.77749864</v>
      </c>
      <c r="BO8" s="97">
        <f>SUM('Defect (Total)'!BO8,Planned!CU8,Reconductor!CU8,CTGS!CU8,'Substation 2025$'!CU8*$BL$1,Comms!CQ8*$BL$2)</f>
        <v>17758135.502096605</v>
      </c>
      <c r="BP8" s="97">
        <f>SUM('Defect (Total)'!BP8,Planned!CV8,Reconductor!CV8,CTGS!CV8,'Substation 2025$'!CV8*$BL$1,Comms!CR8*$BL$2)</f>
        <v>17968731.985161908</v>
      </c>
      <c r="BQ8" s="97">
        <f>SUM('Defect (Total)'!BQ8,Planned!CW8,Reconductor!CW8,CTGS!CW8,'Substation 2025$'!CW8*$BL$1,Comms!CS8*$BL$2)</f>
        <v>18179328.468227219</v>
      </c>
      <c r="BR8" s="98">
        <f>SUM('Defect (Total)'!BR8,Planned!CX8,Reconductor!CX8,CTGS!CX8,'Substation 2025$'!CX8*$BL$1,Comms!CT8*$BL$2)</f>
        <v>18284626.709759872</v>
      </c>
      <c r="BS8" s="836">
        <f>'Unit Cost Rate Summary'!AO8</f>
        <v>11.617252308484465</v>
      </c>
      <c r="BT8" s="840">
        <f t="shared" si="15"/>
        <v>120113.0381593005</v>
      </c>
      <c r="BU8" s="832">
        <f t="shared" si="16"/>
        <v>600565.19079650252</v>
      </c>
      <c r="BV8" t="s">
        <v>268</v>
      </c>
      <c r="CI8" s="416">
        <f>VLOOKUP($A8,'Distribution Summary'!$A$136:$CG$146,CI$1,0)*BN8</f>
        <v>19919298.589898318</v>
      </c>
      <c r="CJ8" s="97">
        <f>VLOOKUP($A8,'Distribution Summary'!$A$136:$CG$146,CJ$1,0)*BO8</f>
        <v>20340859.549448315</v>
      </c>
      <c r="CK8" s="97">
        <f>VLOOKUP($A8,'Distribution Summary'!$A$136:$CG$146,CK$1,0)*BP8</f>
        <v>20651758.621704131</v>
      </c>
      <c r="CL8" s="97">
        <f>VLOOKUP($A8,'Distribution Summary'!$A$136:$CG$146,CL$1,0)*BQ8</f>
        <v>20980962.490691602</v>
      </c>
      <c r="CM8" s="98">
        <f>VLOOKUP($A8,'Distribution Summary'!$A$136:$CG$146,CM$1,0)*BR8</f>
        <v>21215330.36347422</v>
      </c>
    </row>
    <row r="9" spans="1:91" x14ac:dyDescent="0.25">
      <c r="A9" s="81" t="s">
        <v>27</v>
      </c>
      <c r="B9" s="82" t="s">
        <v>28</v>
      </c>
      <c r="C9" s="83" t="s">
        <v>29</v>
      </c>
      <c r="D9" s="84">
        <f>SUM('Defect (Total)'!D9,Planned!D9,Reconductor!D9,CTGS!D9)</f>
        <v>6057626</v>
      </c>
      <c r="E9" s="85">
        <f>SUM('Defect (Total)'!E9,Planned!E9,Reconductor!E9,CTGS!E9)</f>
        <v>7032109.1999999993</v>
      </c>
      <c r="F9" s="85">
        <f>SUM('Defect (Total)'!F9,Planned!F9,Reconductor!F9,CTGS!F9)</f>
        <v>8792681.1999999993</v>
      </c>
      <c r="G9" s="85">
        <f>SUM('Defect (Total)'!G9,Planned!G9,Reconductor!G9,CTGS!G9)</f>
        <v>10228209.344847918</v>
      </c>
      <c r="H9" s="85">
        <f>SUM('Defect (Total)'!H9,Planned!H9,Reconductor!H9,CTGS!H9)</f>
        <v>12538749.442984086</v>
      </c>
      <c r="I9" s="85">
        <f>SUM('Defect (Total)'!I9,Planned!I9,Reconductor!I9,CTGS!I9)</f>
        <v>40012773.263372585</v>
      </c>
      <c r="J9" s="85">
        <f>SUM('Defect (Total)'!J9,Planned!J9,Reconductor!J9,CTGS!J9)</f>
        <v>60360997.883991726</v>
      </c>
      <c r="K9" s="85">
        <f>SUM('Defect (Total)'!K9,Planned!K9,Reconductor!K9,CTGS!K9)</f>
        <v>97952974.330028072</v>
      </c>
      <c r="L9" s="85">
        <f>SUM('Defect (Total)'!L9,Planned!L9,Reconductor!L9,CTGS!L9)</f>
        <v>54721954.772656314</v>
      </c>
      <c r="M9" s="85">
        <f>SUM('Defect (Total)'!M9,Planned!M9,Reconductor!M9,CTGS!M9)</f>
        <v>63728723.523810156</v>
      </c>
      <c r="N9" s="85">
        <f>SUM('Defect (Total)'!N9,Planned!N9,Reconductor!N9,CTGS!N9)</f>
        <v>82549220.900945663</v>
      </c>
      <c r="O9" s="560">
        <f>SUM('Defect (Total)'!O9,Planned!O9,Reconductor!O9,CTGS!O9)</f>
        <v>8150271.1810900578</v>
      </c>
      <c r="P9" s="561">
        <f>SUM('Defect (Total)'!P9,Planned!P9,Reconductor!P9,CTGS!P9)</f>
        <v>9320574.9863810781</v>
      </c>
      <c r="Q9" s="561">
        <f>SUM('Defect (Total)'!Q9,Planned!Q9,Reconductor!Q9,CTGS!Q9)</f>
        <v>11536048.272397874</v>
      </c>
      <c r="R9" s="561">
        <f>SUM('Defect (Total)'!R9,Planned!R9,Reconductor!R9,CTGS!R9)</f>
        <v>13164899.568317803</v>
      </c>
      <c r="S9" s="561">
        <f>SUM('Defect (Total)'!S9,Planned!S9,Reconductor!S9,CTGS!S9)</f>
        <v>15810344.879396925</v>
      </c>
      <c r="T9" s="561">
        <f>SUM('Defect (Total)'!T9,Planned!T9,Reconductor!T9,CTGS!T9)</f>
        <v>49661785.292438589</v>
      </c>
      <c r="U9" s="561">
        <f>SUM('Defect (Total)'!U9,Planned!U9,Reconductor!U9,CTGS!U9)</f>
        <v>75178896.951741904</v>
      </c>
      <c r="V9" s="561">
        <f>SUM('Defect (Total)'!V9,Planned!V9,Reconductor!V9,CTGS!V9)</f>
        <v>117480760.72976723</v>
      </c>
      <c r="W9" s="561">
        <f>SUM('Defect (Total)'!W9,Planned!W9,Reconductor!W9,CTGS!W9)</f>
        <v>61831826.993855007</v>
      </c>
      <c r="X9" s="561">
        <f>SUM('Defect (Total)'!X9,Planned!X9,Reconductor!X9,CTGS!X9)</f>
        <v>67773007.337298214</v>
      </c>
      <c r="Y9" s="561">
        <f>SUM('Defect (Total)'!Y9,Planned!Y9,Reconductor!Y9,CTGS!Y9)</f>
        <v>83252705.349336818</v>
      </c>
      <c r="Z9" s="86">
        <f>SUM('Defect (Total)'!Z9,Planned!Z9,Reconductor!Z9,CTGS!Z9)</f>
        <v>926.8</v>
      </c>
      <c r="AA9" s="87">
        <f>SUM('Defect (Total)'!AA9,Planned!AA9,Reconductor!AA9,CTGS!AA9)</f>
        <v>1092.3999999999999</v>
      </c>
      <c r="AB9" s="87">
        <f>SUM('Defect (Total)'!AB9,Planned!AB9,Reconductor!AB9,CTGS!AB9)</f>
        <v>1058.8000000000002</v>
      </c>
      <c r="AC9" s="87">
        <f>SUM('Defect (Total)'!AC9,Planned!AC9,Reconductor!AC9,CTGS!AC9)</f>
        <v>1124.8000000000002</v>
      </c>
      <c r="AD9" s="87">
        <f>SUM('Defect (Total)'!AD9,Planned!AD9,Reconductor!AD9,CTGS!AD9)</f>
        <v>1634.3999999999996</v>
      </c>
      <c r="AE9" s="87">
        <f>SUM('Defect (Total)'!AE9,Planned!AE9,Reconductor!AE9,CTGS!AE9)</f>
        <v>5169</v>
      </c>
      <c r="AF9" s="87">
        <f>SUM('Defect (Total)'!AF9,Planned!AF9,Reconductor!AF9,CTGS!AF9)</f>
        <v>9088</v>
      </c>
      <c r="AG9" s="87">
        <f>SUM('Defect (Total)'!AG9,Planned!AG9,Reconductor!AG9,CTGS!AG9)</f>
        <v>14690</v>
      </c>
      <c r="AH9" s="87">
        <f>SUM('Defect (Total)'!AH9,Planned!AH9,Reconductor!AH9,CTGS!AH9)</f>
        <v>9253</v>
      </c>
      <c r="AI9" s="87">
        <f>SUM('Defect (Total)'!AI9,Planned!AI9,Reconductor!AI9,CTGS!AI9)</f>
        <v>9236</v>
      </c>
      <c r="AJ9" s="87">
        <f>SUM('Defect (Total)'!AJ9,Planned!AJ9,Reconductor!AJ9,CTGS!AJ9)</f>
        <v>9901</v>
      </c>
      <c r="AK9" s="88">
        <f t="shared" si="17"/>
        <v>9487.2000000000007</v>
      </c>
      <c r="AL9" s="89">
        <f t="shared" si="18"/>
        <v>11059.666666666666</v>
      </c>
      <c r="AM9" s="90">
        <f t="shared" si="19"/>
        <v>9236</v>
      </c>
      <c r="AN9" s="91">
        <f t="shared" si="1"/>
        <v>6536.0660336642213</v>
      </c>
      <c r="AO9" s="92">
        <f t="shared" si="2"/>
        <v>6437.302453313805</v>
      </c>
      <c r="AP9" s="92">
        <f t="shared" si="3"/>
        <v>8304.3834529656197</v>
      </c>
      <c r="AQ9" s="92">
        <f t="shared" si="4"/>
        <v>9093.3582368847055</v>
      </c>
      <c r="AR9" s="92">
        <f t="shared" si="5"/>
        <v>7671.775234327024</v>
      </c>
      <c r="AS9" s="92">
        <f t="shared" si="6"/>
        <v>7740.9118327283004</v>
      </c>
      <c r="AT9" s="92">
        <f t="shared" si="7"/>
        <v>6641.8351544885263</v>
      </c>
      <c r="AU9" s="92">
        <f t="shared" si="8"/>
        <v>6668.0036984362196</v>
      </c>
      <c r="AV9" s="92">
        <f t="shared" si="9"/>
        <v>5913.9689584628031</v>
      </c>
      <c r="AW9" s="92">
        <f t="shared" si="10"/>
        <v>6900.0350285632476</v>
      </c>
      <c r="AX9" s="92">
        <f t="shared" si="11"/>
        <v>8337.4629735325379</v>
      </c>
      <c r="AY9" s="93">
        <f t="shared" si="12"/>
        <v>6667.2888180324744</v>
      </c>
      <c r="AZ9" s="94">
        <f t="shared" si="13"/>
        <v>6449.5754590135366</v>
      </c>
      <c r="BA9" s="95">
        <f t="shared" si="14"/>
        <v>5913.9689584628031</v>
      </c>
      <c r="BB9" s="689">
        <f>SUM('Defect (Total)'!BB9,Planned!CE9,Reconductor!CE9,CTGS!CE9,'Substation 2025$'!CE9*$BL$1,Comms!CA9*$BL$2)</f>
        <v>10167.866666666667</v>
      </c>
      <c r="BC9" s="689">
        <f>SUM('Defect (Total)'!BC9,Planned!CF9,Reconductor!CF9,CTGS!CF9,'Substation 2025$'!CF9*$BL$1,Comms!CB9*$BL$2)</f>
        <v>9975.5417605468101</v>
      </c>
      <c r="BD9" s="96">
        <f>SUM('Defect (Total)'!BD9,Planned!CG9,Reconductor!CG9,CTGS!CG9,'Substation 2025$'!CG9*$BL$1,Comms!CC9*$BL$2)</f>
        <v>9975.5417605468101</v>
      </c>
      <c r="BE9" s="96">
        <f>SUM('Defect (Total)'!BE9,Planned!CH9,Reconductor!CH9,CTGS!CH9,'Substation 2025$'!CH9*$BL$1,Comms!CD9*$BL$2)</f>
        <v>10251.097479820703</v>
      </c>
      <c r="BF9" s="96">
        <f>SUM('Defect (Total)'!BF9,Planned!CI9,Reconductor!CI9,CTGS!CI9,'Substation 2025$'!CI9*$BL$1,Comms!CE9*$BL$2)</f>
        <v>10308.552450398498</v>
      </c>
      <c r="BG9" s="96">
        <f>SUM('Defect (Total)'!BG9,Planned!CJ9,Reconductor!CJ9,CTGS!CJ9,'Substation 2025$'!CJ9*$BL$1,Comms!CF9*$BL$2)</f>
        <v>10346.855764117026</v>
      </c>
      <c r="BH9" s="96">
        <f>SUM('Defect (Total)'!BH9,Planned!CK9,Reconductor!CK9,CTGS!CK9,'Substation 2025$'!CK9*$BL$1,Comms!CG9*$BL$2)</f>
        <v>10385.159077835557</v>
      </c>
      <c r="BI9" s="286">
        <f>SUM('Defect (Total)'!BI9,Planned!CL9,Reconductor!CL9,CTGS!CL9,'Substation 2025$'!CL9*$BL$1,Comms!CH9*$BL$2)</f>
        <v>10404.31073469482</v>
      </c>
      <c r="BJ9" s="99">
        <f t="shared" si="20"/>
        <v>6366.438048278922</v>
      </c>
      <c r="BK9" s="992">
        <f>SUM('Defect (Total)'!BK9,Planned!CQ9,Reconductor!CQ9,CTGS!CQ9,'Substation 2025$'!CQ9*$BL$1,Comms!CM9*$BL$2)</f>
        <v>64577346.402396902</v>
      </c>
      <c r="BL9" s="992">
        <f>SUM('Defect (Total)'!BL9,Planned!CR9,Reconductor!CR9,CTGS!CR9,'Substation 2025$'!CR9*$BL$1,Comms!CN9*$BL$2)</f>
        <v>63178088.06015861</v>
      </c>
      <c r="BM9" s="524">
        <f>SUM('Defect (Total)'!BM9,Planned!CS9,Reconductor!CS9,CTGS!CS9,'Substation 2025$'!CS9*$BL$1,Comms!CO9*$BL$2)</f>
        <v>63178088.06015861</v>
      </c>
      <c r="BN9" s="416">
        <f>SUM('Defect (Total)'!BN9,Planned!CT9,Reconductor!CT9,CTGS!CT9,'Substation 2025$'!CT9*$BL$1,Comms!CP9*$BL$2)</f>
        <v>65182891.52906128</v>
      </c>
      <c r="BO9" s="97">
        <f>SUM('Defect (Total)'!BO9,Planned!CU9,Reconductor!CU9,CTGS!CU9,'Substation 2025$'!CU9*$BL$1,Comms!CQ9*$BL$2)</f>
        <v>65600904.715735778</v>
      </c>
      <c r="BP9" s="97">
        <f>SUM('Defect (Total)'!BP9,Planned!CV9,Reconductor!CV9,CTGS!CV9,'Substation 2025$'!CV9*$BL$1,Comms!CR9*$BL$2)</f>
        <v>65879580.173518777</v>
      </c>
      <c r="BQ9" s="97">
        <f>SUM('Defect (Total)'!BQ9,Planned!CW9,Reconductor!CW9,CTGS!CW9,'Substation 2025$'!CW9*$BL$1,Comms!CS9*$BL$2)</f>
        <v>66158255.631301776</v>
      </c>
      <c r="BR9" s="98">
        <f>SUM('Defect (Total)'!BR9,Planned!CX9,Reconductor!CX9,CTGS!CX9,'Substation 2025$'!CX9*$BL$1,Comms!CT9*$BL$2)</f>
        <v>66297593.360193267</v>
      </c>
      <c r="BS9" s="836">
        <f>'Unit Cost Rate Summary'!AO9</f>
        <v>14.862438201021078</v>
      </c>
      <c r="BT9" s="840">
        <f t="shared" si="15"/>
        <v>202.73326789652964</v>
      </c>
      <c r="BU9" s="832">
        <f t="shared" si="16"/>
        <v>1013.6663394826481</v>
      </c>
      <c r="BV9" t="s">
        <v>268</v>
      </c>
      <c r="CI9" s="416">
        <f>VLOOKUP($A9,'Distribution Summary'!$A$136:$CG$146,CI$1,0)*BN9</f>
        <v>74439832.352006212</v>
      </c>
      <c r="CJ9" s="97">
        <f>VLOOKUP($A9,'Distribution Summary'!$A$136:$CG$146,CJ$1,0)*BO9</f>
        <v>75141829.443861395</v>
      </c>
      <c r="CK9" s="97">
        <f>VLOOKUP($A9,'Distribution Summary'!$A$136:$CG$146,CK$1,0)*BP9</f>
        <v>75716482.886282861</v>
      </c>
      <c r="CL9" s="97">
        <f>VLOOKUP($A9,'Distribution Summary'!$A$136:$CG$146,CL$1,0)*BQ9</f>
        <v>76353968.86501649</v>
      </c>
      <c r="CM9" s="98">
        <f>VLOOKUP($A9,'Distribution Summary'!$A$136:$CG$146,CM$1,0)*BR9</f>
        <v>76923930.018708408</v>
      </c>
    </row>
    <row r="10" spans="1:91" x14ac:dyDescent="0.25">
      <c r="A10" s="81" t="s">
        <v>27</v>
      </c>
      <c r="B10" s="82" t="s">
        <v>30</v>
      </c>
      <c r="C10" s="83" t="s">
        <v>298</v>
      </c>
      <c r="D10" s="84">
        <f>SUM('Defect (Total)'!D10,Planned!D10,Reconductor!D10,CTGS!D10)</f>
        <v>6057626</v>
      </c>
      <c r="E10" s="85">
        <f>SUM('Defect (Total)'!E10,Planned!E10,Reconductor!E10,CTGS!E10)</f>
        <v>7032109.2000000002</v>
      </c>
      <c r="F10" s="85">
        <f>SUM('Defect (Total)'!F10,Planned!F10,Reconductor!F10,CTGS!F10)</f>
        <v>8792681.1999999993</v>
      </c>
      <c r="G10" s="85">
        <f>SUM('Defect (Total)'!G10,Planned!G10,Reconductor!G10,CTGS!G10)</f>
        <v>10228209.344847918</v>
      </c>
      <c r="H10" s="85">
        <f>SUM('Defect (Total)'!H10,Planned!H10,Reconductor!H10,CTGS!H10)</f>
        <v>12538749.442984089</v>
      </c>
      <c r="I10" s="85">
        <f>SUM('Defect (Total)'!I10,Planned!I10,Reconductor!I10,CTGS!I10)</f>
        <v>6946267.7883578483</v>
      </c>
      <c r="J10" s="85">
        <f>SUM('Defect (Total)'!J10,Planned!J10,Reconductor!J10,CTGS!J10)</f>
        <v>0</v>
      </c>
      <c r="K10" s="85">
        <f>SUM('Defect (Total)'!K10,Planned!K10,Reconductor!K10,CTGS!K10)</f>
        <v>0</v>
      </c>
      <c r="L10" s="85">
        <f>SUM('Defect (Total)'!L10,Planned!L10,Reconductor!L10,CTGS!L10)</f>
        <v>0</v>
      </c>
      <c r="M10" s="85">
        <f>SUM('Defect (Total)'!M10,Planned!M10,Reconductor!M10,CTGS!M10)</f>
        <v>0</v>
      </c>
      <c r="N10" s="85">
        <f>SUM('Defect (Total)'!N10,Planned!N10,Reconductor!N10,CTGS!N10)</f>
        <v>0</v>
      </c>
      <c r="O10" s="560">
        <f>SUM('Defect (Total)'!O10,Planned!O10,Reconductor!O10,CTGS!O10)</f>
        <v>8150271.1810900588</v>
      </c>
      <c r="P10" s="561">
        <f>SUM('Defect (Total)'!P10,Planned!P10,Reconductor!P10,CTGS!P10)</f>
        <v>9320574.9863810781</v>
      </c>
      <c r="Q10" s="561">
        <f>SUM('Defect (Total)'!Q10,Planned!Q10,Reconductor!Q10,CTGS!Q10)</f>
        <v>11536048.27239788</v>
      </c>
      <c r="R10" s="561">
        <f>SUM('Defect (Total)'!R10,Planned!R10,Reconductor!R10,CTGS!R10)</f>
        <v>13164899.568317801</v>
      </c>
      <c r="S10" s="561">
        <f>SUM('Defect (Total)'!S10,Planned!S10,Reconductor!S10,CTGS!S10)</f>
        <v>15810344.87939693</v>
      </c>
      <c r="T10" s="561">
        <f>SUM('Defect (Total)'!T10,Planned!T10,Reconductor!T10,CTGS!T10)</f>
        <v>8621348.4183808733</v>
      </c>
      <c r="U10" s="561">
        <f>SUM('Defect (Total)'!U10,Planned!U10,Reconductor!U10,CTGS!U10)</f>
        <v>0</v>
      </c>
      <c r="V10" s="561">
        <f>SUM('Defect (Total)'!V10,Planned!V10,Reconductor!V10,CTGS!V10)</f>
        <v>0</v>
      </c>
      <c r="W10" s="561">
        <f>SUM('Defect (Total)'!W10,Planned!W10,Reconductor!W10,CTGS!W10)</f>
        <v>0</v>
      </c>
      <c r="X10" s="561">
        <f>SUM('Defect (Total)'!X10,Planned!X10,Reconductor!X10,CTGS!X10)</f>
        <v>0</v>
      </c>
      <c r="Y10" s="561">
        <f>SUM('Defect (Total)'!Y10,Planned!Y10,Reconductor!Y10,CTGS!Y10)</f>
        <v>0</v>
      </c>
      <c r="Z10" s="86">
        <f>SUM('Defect (Total)'!Z10,Planned!Z10,Reconductor!Z10,CTGS!Z10)</f>
        <v>926.80000000000007</v>
      </c>
      <c r="AA10" s="87">
        <f>SUM('Defect (Total)'!AA10,Planned!AA10,Reconductor!AA10,CTGS!AA10)</f>
        <v>1092.4000000000001</v>
      </c>
      <c r="AB10" s="87">
        <f>SUM('Defect (Total)'!AB10,Planned!AB10,Reconductor!AB10,CTGS!AB10)</f>
        <v>1058.8</v>
      </c>
      <c r="AC10" s="87">
        <f>SUM('Defect (Total)'!AC10,Planned!AC10,Reconductor!AC10,CTGS!AC10)</f>
        <v>1124.8</v>
      </c>
      <c r="AD10" s="87">
        <f>SUM('Defect (Total)'!AD10,Planned!AD10,Reconductor!AD10,CTGS!AD10)</f>
        <v>1634.4</v>
      </c>
      <c r="AE10" s="87">
        <f>SUM('Defect (Total)'!AE10,Planned!AE10,Reconductor!AE10,CTGS!AE10)</f>
        <v>560</v>
      </c>
      <c r="AF10" s="87">
        <f>SUM('Defect (Total)'!AF10,Planned!AF10,Reconductor!AF10,CTGS!AF10)</f>
        <v>0</v>
      </c>
      <c r="AG10" s="87">
        <f>SUM('Defect (Total)'!AG10,Planned!AG10,Reconductor!AG10,CTGS!AG10)</f>
        <v>0</v>
      </c>
      <c r="AH10" s="87">
        <f>SUM('Defect (Total)'!AH10,Planned!AH10,Reconductor!AH10,CTGS!AH10)</f>
        <v>0</v>
      </c>
      <c r="AI10" s="87">
        <f>SUM('Defect (Total)'!AI10,Planned!AI10,Reconductor!AI10,CTGS!AI10)</f>
        <v>0</v>
      </c>
      <c r="AJ10" s="87">
        <f>SUM('Defect (Total)'!AJ10,Planned!AJ10,Reconductor!AJ10,CTGS!AJ10)</f>
        <v>0</v>
      </c>
      <c r="AK10" s="88">
        <f t="shared" si="17"/>
        <v>112</v>
      </c>
      <c r="AL10" s="89">
        <f t="shared" si="18"/>
        <v>0</v>
      </c>
      <c r="AM10" s="90">
        <f t="shared" si="19"/>
        <v>0</v>
      </c>
      <c r="AN10" s="91">
        <f t="shared" si="1"/>
        <v>6536.0660336642204</v>
      </c>
      <c r="AO10" s="92">
        <f t="shared" si="2"/>
        <v>6437.3024533138041</v>
      </c>
      <c r="AP10" s="92">
        <f t="shared" si="3"/>
        <v>8304.3834529656215</v>
      </c>
      <c r="AQ10" s="92">
        <f t="shared" si="4"/>
        <v>9093.3582368847074</v>
      </c>
      <c r="AR10" s="92">
        <f t="shared" si="5"/>
        <v>7671.775234327024</v>
      </c>
      <c r="AS10" s="92">
        <f t="shared" si="6"/>
        <v>12404.049622067587</v>
      </c>
      <c r="AT10" s="92" t="str">
        <f t="shared" si="7"/>
        <v/>
      </c>
      <c r="AU10" s="92" t="str">
        <f t="shared" si="8"/>
        <v/>
      </c>
      <c r="AV10" s="92" t="str">
        <f t="shared" si="9"/>
        <v/>
      </c>
      <c r="AW10" s="92" t="str">
        <f t="shared" si="10"/>
        <v/>
      </c>
      <c r="AX10" s="92" t="str">
        <f t="shared" si="11"/>
        <v/>
      </c>
      <c r="AY10" s="93">
        <f t="shared" si="12"/>
        <v>8879.4281951066059</v>
      </c>
      <c r="AZ10" s="94" t="str">
        <f t="shared" si="13"/>
        <v/>
      </c>
      <c r="BA10" s="95" t="str">
        <f t="shared" si="14"/>
        <v/>
      </c>
      <c r="BB10" s="689">
        <f>SUM('Defect (Total)'!BB10,Planned!CE10,Reconductor!CE10,CTGS!CE10,'Substation 2025$'!CE10*$BL$1,Comms!CA10*$BL$2)</f>
        <v>6.8</v>
      </c>
      <c r="BC10" s="689">
        <f>SUM('Defect (Total)'!BC10,Planned!CF10,Reconductor!CF10,CTGS!CF10,'Substation 2025$'!CF10*$BL$1,Comms!CB10*$BL$2)</f>
        <v>11.650008807836905</v>
      </c>
      <c r="BD10" s="96">
        <f>SUM('Defect (Total)'!BD10,Planned!CG10,Reconductor!CG10,CTGS!CG10,'Substation 2025$'!CG10*$BL$1,Comms!CC10*$BL$2)</f>
        <v>11.650008807836905</v>
      </c>
      <c r="BE10" s="96">
        <f>SUM('Defect (Total)'!BE10,Planned!CH10,Reconductor!CH10,CTGS!CH10,'Substation 2025$'!CH10*$BL$1,Comms!CD10*$BL$2)</f>
        <v>13.158400403762666</v>
      </c>
      <c r="BF10" s="96">
        <f>SUM('Defect (Total)'!BF10,Planned!CI10,Reconductor!CI10,CTGS!CI10,'Substation 2025$'!CI10*$BL$1,Comms!CE10*$BL$2)</f>
        <v>13.472908826930485</v>
      </c>
      <c r="BG10" s="96">
        <f>SUM('Defect (Total)'!BG10,Planned!CJ10,Reconductor!CJ10,CTGS!CJ10,'Substation 2025$'!CJ10*$BL$1,Comms!CF10*$BL$2)</f>
        <v>13.682581109042365</v>
      </c>
      <c r="BH10" s="96">
        <f>SUM('Defect (Total)'!BH10,Planned!CK10,Reconductor!CK10,CTGS!CK10,'Substation 2025$'!CK10*$BL$1,Comms!CG10*$BL$2)</f>
        <v>13.892253391154247</v>
      </c>
      <c r="BI10" s="286">
        <f>SUM('Defect (Total)'!BI10,Planned!CL10,Reconductor!CL10,CTGS!CL10,'Substation 2025$'!CL10*$BL$1,Comms!CH10*$BL$2)</f>
        <v>13.997089532210186</v>
      </c>
      <c r="BJ10" s="99">
        <f t="shared" si="20"/>
        <v>7903.2400907676647</v>
      </c>
      <c r="BK10" s="992">
        <f>SUM('Defect (Total)'!BK10,Planned!CQ10,Reconductor!CQ10,CTGS!CQ10,'Substation 2025$'!CQ10*$BL$1,Comms!CM10*$BL$2)</f>
        <v>63474.71163358257</v>
      </c>
      <c r="BL10" s="992">
        <f>SUM('Defect (Total)'!BL10,Planned!CR10,Reconductor!CR10,CTGS!CR10,'Substation 2025$'!CR10*$BL$1,Comms!CN10*$BL$2)</f>
        <v>94905.040018250846</v>
      </c>
      <c r="BM10" s="524">
        <f>SUM('Defect (Total)'!BM10,Planned!CS10,Reconductor!CS10,CTGS!CS10,'Substation 2025$'!CS10*$BL$1,Comms!CO10*$BL$2)</f>
        <v>94905.040018250846</v>
      </c>
      <c r="BN10" s="416">
        <f>SUM('Defect (Total)'!BN10,Planned!CT10,Reconductor!CT10,CTGS!CT10,'Substation 2025$'!CT10*$BL$1,Comms!CP10*$BL$2)</f>
        <v>104680.12395542103</v>
      </c>
      <c r="BO10" s="97">
        <f>SUM('Defect (Total)'!BO10,Planned!CU10,Reconductor!CU10,CTGS!CU10,'Substation 2025$'!CU10*$BL$1,Comms!CQ10*$BL$2)</f>
        <v>106718.28582513474</v>
      </c>
      <c r="BP10" s="97">
        <f>SUM('Defect (Total)'!BP10,Planned!CV10,Reconductor!CV10,CTGS!CV10,'Substation 2025$'!CV10*$BL$1,Comms!CR10*$BL$2)</f>
        <v>108077.06040494386</v>
      </c>
      <c r="BQ10" s="97">
        <f>SUM('Defect (Total)'!BQ10,Planned!CW10,Reconductor!CW10,CTGS!CW10,'Substation 2025$'!CW10*$BL$1,Comms!CS10*$BL$2)</f>
        <v>109435.83498475302</v>
      </c>
      <c r="BR10" s="98">
        <f>SUM('Defect (Total)'!BR10,Planned!CX10,Reconductor!CX10,CTGS!CX10,'Substation 2025$'!CX10*$BL$1,Comms!CT10*$BL$2)</f>
        <v>110115.22227465757</v>
      </c>
      <c r="BS10" s="836">
        <f>'Unit Cost Rate Summary'!AO10</f>
        <v>18.349119615829391</v>
      </c>
      <c r="BT10" s="840">
        <f t="shared" si="15"/>
        <v>12239.306840691537</v>
      </c>
      <c r="BU10" s="832">
        <f t="shared" si="16"/>
        <v>61196.534203457682</v>
      </c>
      <c r="BV10" t="s">
        <v>268</v>
      </c>
      <c r="CI10" s="416">
        <f>VLOOKUP($A10,'Distribution Summary'!$A$136:$CG$146,CI$1,0)*BN10</f>
        <v>119546.25968617246</v>
      </c>
      <c r="CJ10" s="97">
        <f>VLOOKUP($A10,'Distribution Summary'!$A$136:$CG$146,CJ$1,0)*BO10</f>
        <v>122239.27805206008</v>
      </c>
      <c r="CK10" s="97">
        <f>VLOOKUP($A10,'Distribution Summary'!$A$136:$CG$146,CK$1,0)*BP10</f>
        <v>124214.73957479846</v>
      </c>
      <c r="CL10" s="97">
        <f>VLOOKUP($A10,'Distribution Summary'!$A$136:$CG$146,CL$1,0)*BQ10</f>
        <v>126301.09813822639</v>
      </c>
      <c r="CM10" s="98">
        <f>VLOOKUP($A10,'Distribution Summary'!$A$136:$CG$146,CM$1,0)*BR10</f>
        <v>127764.75318237083</v>
      </c>
    </row>
    <row r="11" spans="1:91" x14ac:dyDescent="0.25">
      <c r="A11" s="81" t="s">
        <v>27</v>
      </c>
      <c r="B11" s="82" t="s">
        <v>32</v>
      </c>
      <c r="C11" s="83" t="s">
        <v>33</v>
      </c>
      <c r="D11" s="84">
        <f>SUM('Defect (Total)'!D11,Planned!D11,Reconductor!D11,CTGS!D11)</f>
        <v>2886253</v>
      </c>
      <c r="E11" s="85">
        <f>SUM('Defect (Total)'!E11,Planned!E11,Reconductor!E11,CTGS!E11)</f>
        <v>3416493</v>
      </c>
      <c r="F11" s="85">
        <f>SUM('Defect (Total)'!F11,Planned!F11,Reconductor!F11,CTGS!F11)</f>
        <v>3209167</v>
      </c>
      <c r="G11" s="85">
        <f>SUM('Defect (Total)'!G11,Planned!G11,Reconductor!G11,CTGS!G11)</f>
        <v>4012995.6945411037</v>
      </c>
      <c r="H11" s="85">
        <f>SUM('Defect (Total)'!H11,Planned!H11,Reconductor!H11,CTGS!H11)</f>
        <v>4540604</v>
      </c>
      <c r="I11" s="85">
        <f>SUM('Defect (Total)'!I11,Planned!I11,Reconductor!I11,CTGS!I11)</f>
        <v>156753.18565892015</v>
      </c>
      <c r="J11" s="85">
        <f>SUM('Defect (Total)'!J11,Planned!J11,Reconductor!J11,CTGS!J11)</f>
        <v>11097076.496250996</v>
      </c>
      <c r="K11" s="85">
        <f>SUM('Defect (Total)'!K11,Planned!K11,Reconductor!K11,CTGS!K11)</f>
        <v>10329770.718329817</v>
      </c>
      <c r="L11" s="85">
        <f>SUM('Defect (Total)'!L11,Planned!L11,Reconductor!L11,CTGS!L11)</f>
        <v>7534580.893029063</v>
      </c>
      <c r="M11" s="85">
        <f>SUM('Defect (Total)'!M11,Planned!M11,Reconductor!M11,CTGS!M11)</f>
        <v>9000354.0445279498</v>
      </c>
      <c r="N11" s="85">
        <f>SUM('Defect (Total)'!N11,Planned!N11,Reconductor!N11,CTGS!N11)</f>
        <v>12719257.245964967</v>
      </c>
      <c r="O11" s="560">
        <f>SUM('Defect (Total)'!O11,Planned!O11,Reconductor!O11,CTGS!O11)</f>
        <v>3883327.33767894</v>
      </c>
      <c r="P11" s="561">
        <f>SUM('Defect (Total)'!P11,Planned!P11,Reconductor!P11,CTGS!P11)</f>
        <v>4528325.4698243374</v>
      </c>
      <c r="Q11" s="561">
        <f>SUM('Defect (Total)'!Q11,Planned!Q11,Reconductor!Q11,CTGS!Q11)</f>
        <v>4210445.5494401725</v>
      </c>
      <c r="R11" s="561">
        <f>SUM('Defect (Total)'!R11,Planned!R11,Reconductor!R11,CTGS!R11)</f>
        <v>5165193.975359614</v>
      </c>
      <c r="S11" s="561">
        <f>SUM('Defect (Total)'!S11,Planned!S11,Reconductor!S11,CTGS!S11)</f>
        <v>5725332.9390785191</v>
      </c>
      <c r="T11" s="561">
        <f>SUM('Defect (Total)'!T11,Planned!T11,Reconductor!T11,CTGS!T11)</f>
        <v>194553.94903169747</v>
      </c>
      <c r="U11" s="561">
        <f>SUM('Defect (Total)'!U11,Planned!U11,Reconductor!U11,CTGS!U11)</f>
        <v>13821275.32054114</v>
      </c>
      <c r="V11" s="561">
        <f>SUM('Defect (Total)'!V11,Planned!V11,Reconductor!V11,CTGS!V11)</f>
        <v>12389101.305537794</v>
      </c>
      <c r="W11" s="561">
        <f>SUM('Defect (Total)'!W11,Planned!W11,Reconductor!W11,CTGS!W11)</f>
        <v>8513528.1476050243</v>
      </c>
      <c r="X11" s="561">
        <f>SUM('Defect (Total)'!X11,Planned!X11,Reconductor!X11,CTGS!X11)</f>
        <v>9571524.8473504279</v>
      </c>
      <c r="Y11" s="561">
        <f>SUM('Defect (Total)'!Y11,Planned!Y11,Reconductor!Y11,CTGS!Y11)</f>
        <v>12814572.467131773</v>
      </c>
      <c r="Z11" s="86">
        <f>SUM('Defect (Total)'!Z11,Planned!Z11,Reconductor!Z11,CTGS!Z11)</f>
        <v>184</v>
      </c>
      <c r="AA11" s="87">
        <f>SUM('Defect (Total)'!AA11,Planned!AA11,Reconductor!AA11,CTGS!AA11)</f>
        <v>240</v>
      </c>
      <c r="AB11" s="87">
        <f>SUM('Defect (Total)'!AB11,Planned!AB11,Reconductor!AB11,CTGS!AB11)</f>
        <v>184</v>
      </c>
      <c r="AC11" s="87">
        <f>SUM('Defect (Total)'!AC11,Planned!AC11,Reconductor!AC11,CTGS!AC11)</f>
        <v>181</v>
      </c>
      <c r="AD11" s="87">
        <f>SUM('Defect (Total)'!AD11,Planned!AD11,Reconductor!AD11,CTGS!AD11)</f>
        <v>307</v>
      </c>
      <c r="AE11" s="87">
        <f>SUM('Defect (Total)'!AE11,Planned!AE11,Reconductor!AE11,CTGS!AE11)</f>
        <v>7</v>
      </c>
      <c r="AF11" s="87">
        <f>SUM('Defect (Total)'!AF11,Planned!AF11,Reconductor!AF11,CTGS!AF11)</f>
        <v>816</v>
      </c>
      <c r="AG11" s="87">
        <f>SUM('Defect (Total)'!AG11,Planned!AG11,Reconductor!AG11,CTGS!AG11)</f>
        <v>1125</v>
      </c>
      <c r="AH11" s="87">
        <f>SUM('Defect (Total)'!AH11,Planned!AH11,Reconductor!AH11,CTGS!AH11)</f>
        <v>788</v>
      </c>
      <c r="AI11" s="87">
        <f>SUM('Defect (Total)'!AI11,Planned!AI11,Reconductor!AI11,CTGS!AI11)</f>
        <v>599</v>
      </c>
      <c r="AJ11" s="87">
        <f>SUM('Defect (Total)'!AJ11,Planned!AJ11,Reconductor!AJ11,CTGS!AJ11)</f>
        <v>765</v>
      </c>
      <c r="AK11" s="88">
        <f t="shared" si="17"/>
        <v>667</v>
      </c>
      <c r="AL11" s="89">
        <f t="shared" si="18"/>
        <v>837.33333333333337</v>
      </c>
      <c r="AM11" s="90">
        <f t="shared" si="19"/>
        <v>599</v>
      </c>
      <c r="AN11" s="91">
        <f t="shared" si="1"/>
        <v>15686.157608695652</v>
      </c>
      <c r="AO11" s="92">
        <f t="shared" si="2"/>
        <v>14235.387500000001</v>
      </c>
      <c r="AP11" s="92">
        <f t="shared" si="3"/>
        <v>17441.125</v>
      </c>
      <c r="AQ11" s="92">
        <f t="shared" si="4"/>
        <v>22171.246931166319</v>
      </c>
      <c r="AR11" s="92">
        <f t="shared" si="5"/>
        <v>14790.241042345277</v>
      </c>
      <c r="AS11" s="92">
        <f t="shared" si="6"/>
        <v>22393.312236988593</v>
      </c>
      <c r="AT11" s="92">
        <f t="shared" si="7"/>
        <v>13599.358451287986</v>
      </c>
      <c r="AU11" s="92">
        <f t="shared" si="8"/>
        <v>9182.018416293171</v>
      </c>
      <c r="AV11" s="92">
        <f t="shared" si="9"/>
        <v>9561.6508794785059</v>
      </c>
      <c r="AW11" s="92">
        <f t="shared" si="10"/>
        <v>15025.632795539148</v>
      </c>
      <c r="AX11" s="92">
        <f t="shared" si="11"/>
        <v>16626.480060084923</v>
      </c>
      <c r="AY11" s="93">
        <f t="shared" si="12"/>
        <v>11061.053333312126</v>
      </c>
      <c r="AZ11" s="94">
        <f t="shared" si="13"/>
        <v>10612.469075709005</v>
      </c>
      <c r="BA11" s="95">
        <f t="shared" si="14"/>
        <v>9561.6508794785059</v>
      </c>
      <c r="BB11" s="689">
        <f>SUM('Defect (Total)'!BB11,Planned!CE11,Reconductor!CE11,CTGS!CE11,'Substation 2025$'!CE11*$BL$1,Comms!CA11*$BL$2)</f>
        <v>650.86666666666667</v>
      </c>
      <c r="BC11" s="689">
        <f>SUM('Defect (Total)'!BC11,Planned!CF11,Reconductor!CF11,CTGS!CF11,'Substation 2025$'!CF11*$BL$1,Comms!CB11*$BL$2)</f>
        <v>644.7652500027823</v>
      </c>
      <c r="BD11" s="96">
        <f>SUM('Defect (Total)'!BD11,Planned!CG11,Reconductor!CG11,CTGS!CG11,'Substation 2025$'!CG11*$BL$1,Comms!CC11*$BL$2)</f>
        <v>644.7652500027823</v>
      </c>
      <c r="BE11" s="96">
        <f>SUM('Defect (Total)'!BE11,Planned!CH11,Reconductor!CH11,CTGS!CH11,'Substation 2025$'!CH11*$BL$1,Comms!CD11*$BL$2)</f>
        <v>661.63181057540669</v>
      </c>
      <c r="BF11" s="96">
        <f>SUM('Defect (Total)'!BF11,Planned!CI11,Reconductor!CI11,CTGS!CI11,'Substation 2025$'!CI11*$BL$1,Comms!CE11*$BL$2)</f>
        <v>665.14858657991965</v>
      </c>
      <c r="BG11" s="96">
        <f>SUM('Defect (Total)'!BG11,Planned!CJ11,Reconductor!CJ11,CTGS!CJ11,'Substation 2025$'!CJ11*$BL$1,Comms!CF11*$BL$2)</f>
        <v>667.49310391626159</v>
      </c>
      <c r="BH11" s="96">
        <f>SUM('Defect (Total)'!BH11,Planned!CK11,Reconductor!CK11,CTGS!CK11,'Substation 2025$'!CK11*$BL$1,Comms!CG11*$BL$2)</f>
        <v>669.83762125260353</v>
      </c>
      <c r="BI11" s="286">
        <f>SUM('Defect (Total)'!BI11,Planned!CL11,Reconductor!CL11,CTGS!CL11,'Substation 2025$'!CL11*$BL$1,Comms!CH11*$BL$2)</f>
        <v>671.00987992077444</v>
      </c>
      <c r="BJ11" s="99">
        <f t="shared" si="20"/>
        <v>10959.448392123179</v>
      </c>
      <c r="BK11" s="992">
        <f>SUM('Defect (Total)'!BK11,Planned!CQ11,Reconductor!CQ11,CTGS!CQ11,'Substation 2025$'!CQ11*$BL$1,Comms!CM11*$BL$2)</f>
        <v>7116129.9080637954</v>
      </c>
      <c r="BL11" s="992">
        <f>SUM('Defect (Total)'!BL11,Planned!CR11,Reconductor!CR11,CTGS!CR11,'Substation 2025$'!CR11*$BL$1,Comms!CN11*$BL$2)</f>
        <v>7042838.5215078909</v>
      </c>
      <c r="BM11" s="524">
        <f>SUM('Defect (Total)'!BM11,Planned!CS11,Reconductor!CS11,CTGS!CS11,'Substation 2025$'!CS11*$BL$1,Comms!CO11*$BL$2)</f>
        <v>7042838.5215078909</v>
      </c>
      <c r="BN11" s="416">
        <f>SUM('Defect (Total)'!BN11,Planned!CT11,Reconductor!CT11,CTGS!CT11,'Substation 2025$'!CT11*$BL$1,Comms!CP11*$BL$2)</f>
        <v>7245442.8802814838</v>
      </c>
      <c r="BO11" s="97">
        <f>SUM('Defect (Total)'!BO11,Planned!CU11,Reconductor!CU11,CTGS!CU11,'Substation 2025$'!CU11*$BL$1,Comms!CQ11*$BL$2)</f>
        <v>7287687.0677835383</v>
      </c>
      <c r="BP11" s="97">
        <f>SUM('Defect (Total)'!BP11,Planned!CV11,Reconductor!CV11,CTGS!CV11,'Substation 2025$'!CV11*$BL$1,Comms!CR11*$BL$2)</f>
        <v>7315849.8594515743</v>
      </c>
      <c r="BQ11" s="97">
        <f>SUM('Defect (Total)'!BQ11,Planned!CW11,Reconductor!CW11,CTGS!CW11,'Substation 2025$'!CW11*$BL$1,Comms!CS11*$BL$2)</f>
        <v>7344012.6511196103</v>
      </c>
      <c r="BR11" s="98">
        <f>SUM('Defect (Total)'!BR11,Planned!CX11,Reconductor!CX11,CTGS!CX11,'Substation 2025$'!CX11*$BL$1,Comms!CT11*$BL$2)</f>
        <v>7358094.0469536278</v>
      </c>
      <c r="BS11" s="836">
        <f>'Unit Cost Rate Summary'!AO11</f>
        <v>25.576554111069999</v>
      </c>
      <c r="BT11" s="840">
        <f t="shared" si="15"/>
        <v>226.77877978482064</v>
      </c>
      <c r="BU11" s="832">
        <f t="shared" si="16"/>
        <v>1133.8938989241033</v>
      </c>
      <c r="BV11" t="s">
        <v>268</v>
      </c>
      <c r="CI11" s="416">
        <f>VLOOKUP($A11,'Distribution Summary'!$A$136:$CG$146,CI$1,0)*BN11</f>
        <v>8274403.6153064165</v>
      </c>
      <c r="CJ11" s="97">
        <f>VLOOKUP($A11,'Distribution Summary'!$A$136:$CG$146,CJ$1,0)*BO11</f>
        <v>8347600.4036918264</v>
      </c>
      <c r="CK11" s="97">
        <f>VLOOKUP($A11,'Distribution Summary'!$A$136:$CG$146,CK$1,0)*BP11</f>
        <v>8408226.330872098</v>
      </c>
      <c r="CL11" s="97">
        <f>VLOOKUP($A11,'Distribution Summary'!$A$136:$CG$146,CL$1,0)*BQ11</f>
        <v>8475805.5960980654</v>
      </c>
      <c r="CM11" s="98">
        <f>VLOOKUP($A11,'Distribution Summary'!$A$136:$CG$146,CM$1,0)*BR11</f>
        <v>8537466.9403728973</v>
      </c>
    </row>
    <row r="12" spans="1:91" x14ac:dyDescent="0.25">
      <c r="A12" s="81" t="s">
        <v>27</v>
      </c>
      <c r="B12" s="82" t="s">
        <v>34</v>
      </c>
      <c r="C12" s="83" t="s">
        <v>35</v>
      </c>
      <c r="D12" s="84">
        <f>SUM('Defect (Total)'!D12,Planned!D12,Reconductor!D12,CTGS!D12)</f>
        <v>260333</v>
      </c>
      <c r="E12" s="85">
        <f>SUM('Defect (Total)'!E12,Planned!E12,Reconductor!E12,CTGS!E12)</f>
        <v>524124</v>
      </c>
      <c r="F12" s="85">
        <f>SUM('Defect (Total)'!F12,Planned!F12,Reconductor!F12,CTGS!F12)</f>
        <v>0</v>
      </c>
      <c r="G12" s="85">
        <f>SUM('Defect (Total)'!G12,Planned!G12,Reconductor!G12,CTGS!G12)</f>
        <v>578254.04321771057</v>
      </c>
      <c r="H12" s="85">
        <f>SUM('Defect (Total)'!H12,Planned!H12,Reconductor!H12,CTGS!H12)</f>
        <v>76931</v>
      </c>
      <c r="I12" s="85">
        <f>SUM('Defect (Total)'!I12,Planned!I12,Reconductor!I12,CTGS!I12)</f>
        <v>9695716.0432001855</v>
      </c>
      <c r="J12" s="85">
        <f>SUM('Defect (Total)'!J12,Planned!J12,Reconductor!J12,CTGS!J12)</f>
        <v>590146.23023702623</v>
      </c>
      <c r="K12" s="85">
        <f>SUM('Defect (Total)'!K12,Planned!K12,Reconductor!K12,CTGS!K12)</f>
        <v>377217.96442130196</v>
      </c>
      <c r="L12" s="85">
        <f>SUM('Defect (Total)'!L12,Planned!L12,Reconductor!L12,CTGS!L12)</f>
        <v>121625.33933916573</v>
      </c>
      <c r="M12" s="85">
        <f>SUM('Defect (Total)'!M12,Planned!M12,Reconductor!M12,CTGS!M12)</f>
        <v>144949.92781114599</v>
      </c>
      <c r="N12" s="85">
        <f>SUM('Defect (Total)'!N12,Planned!N12,Reconductor!N12,CTGS!N12)</f>
        <v>377704.05090497085</v>
      </c>
      <c r="O12" s="560">
        <f>SUM('Defect (Total)'!O12,Planned!O12,Reconductor!O12,CTGS!O12)</f>
        <v>350266.67994800571</v>
      </c>
      <c r="P12" s="561">
        <f>SUM('Defect (Total)'!P12,Planned!P12,Reconductor!P12,CTGS!P12)</f>
        <v>694690.15699613944</v>
      </c>
      <c r="Q12" s="561">
        <f>SUM('Defect (Total)'!Q12,Planned!Q12,Reconductor!Q12,CTGS!Q12)</f>
        <v>0</v>
      </c>
      <c r="R12" s="561">
        <f>SUM('Defect (Total)'!R12,Planned!R12,Reconductor!R12,CTGS!R12)</f>
        <v>744280.46467092063</v>
      </c>
      <c r="S12" s="561">
        <f>SUM('Defect (Total)'!S12,Planned!S12,Reconductor!S12,CTGS!S12)</f>
        <v>97003.744069346169</v>
      </c>
      <c r="T12" s="561">
        <f>SUM('Defect (Total)'!T12,Planned!T12,Reconductor!T12,CTGS!T12)</f>
        <v>12033821.430583708</v>
      </c>
      <c r="U12" s="561">
        <f>SUM('Defect (Total)'!U12,Planned!U12,Reconductor!U12,CTGS!U12)</f>
        <v>735020.03255010385</v>
      </c>
      <c r="V12" s="561">
        <f>SUM('Defect (Total)'!V12,Planned!V12,Reconductor!V12,CTGS!V12)</f>
        <v>452419.68122210994</v>
      </c>
      <c r="W12" s="561">
        <f>SUM('Defect (Total)'!W12,Planned!W12,Reconductor!W12,CTGS!W12)</f>
        <v>137427.78326051292</v>
      </c>
      <c r="X12" s="561">
        <f>SUM('Defect (Total)'!X12,Planned!X12,Reconductor!X12,CTGS!X12)</f>
        <v>154148.58446702364</v>
      </c>
      <c r="Y12" s="561">
        <f>SUM('Defect (Total)'!Y12,Planned!Y12,Reconductor!Y12,CTGS!Y12)</f>
        <v>380333.28773068049</v>
      </c>
      <c r="Z12" s="86">
        <f>SUM('Defect (Total)'!Z12,Planned!Z12,Reconductor!Z12,CTGS!Z12)</f>
        <v>3</v>
      </c>
      <c r="AA12" s="87">
        <f>SUM('Defect (Total)'!AA12,Planned!AA12,Reconductor!AA12,CTGS!AA12)</f>
        <v>18</v>
      </c>
      <c r="AB12" s="87">
        <f>SUM('Defect (Total)'!AB12,Planned!AB12,Reconductor!AB12,CTGS!AB12)</f>
        <v>0</v>
      </c>
      <c r="AC12" s="87">
        <f>SUM('Defect (Total)'!AC12,Planned!AC12,Reconductor!AC12,CTGS!AC12)</f>
        <v>1</v>
      </c>
      <c r="AD12" s="87">
        <f>SUM('Defect (Total)'!AD12,Planned!AD12,Reconductor!AD12,CTGS!AD12)</f>
        <v>3</v>
      </c>
      <c r="AE12" s="87">
        <f>SUM('Defect (Total)'!AE12,Planned!AE12,Reconductor!AE12,CTGS!AE12)</f>
        <v>1329</v>
      </c>
      <c r="AF12" s="87">
        <f>SUM('Defect (Total)'!AF12,Planned!AF12,Reconductor!AF12,CTGS!AF12)</f>
        <v>27</v>
      </c>
      <c r="AG12" s="87">
        <f>SUM('Defect (Total)'!AG12,Planned!AG12,Reconductor!AG12,CTGS!AG12)</f>
        <v>34</v>
      </c>
      <c r="AH12" s="87">
        <f>SUM('Defect (Total)'!AH12,Planned!AH12,Reconductor!AH12,CTGS!AH12)</f>
        <v>16</v>
      </c>
      <c r="AI12" s="87">
        <f>SUM('Defect (Total)'!AI12,Planned!AI12,Reconductor!AI12,CTGS!AI12)</f>
        <v>5</v>
      </c>
      <c r="AJ12" s="87">
        <f>SUM('Defect (Total)'!AJ12,Planned!AJ12,Reconductor!AJ12,CTGS!AJ12)</f>
        <v>20</v>
      </c>
      <c r="AK12" s="88">
        <f t="shared" si="17"/>
        <v>282.2</v>
      </c>
      <c r="AL12" s="89">
        <f t="shared" si="18"/>
        <v>18.333333333333332</v>
      </c>
      <c r="AM12" s="90">
        <f t="shared" si="19"/>
        <v>5</v>
      </c>
      <c r="AN12" s="91">
        <f t="shared" si="1"/>
        <v>86777.666666666672</v>
      </c>
      <c r="AO12" s="92">
        <f t="shared" si="2"/>
        <v>29118</v>
      </c>
      <c r="AP12" s="92" t="str">
        <f t="shared" si="3"/>
        <v/>
      </c>
      <c r="AQ12" s="92">
        <f t="shared" si="4"/>
        <v>578254.04321771057</v>
      </c>
      <c r="AR12" s="92">
        <f t="shared" si="5"/>
        <v>25643.666666666668</v>
      </c>
      <c r="AS12" s="92">
        <f t="shared" si="6"/>
        <v>7295.4973989467162</v>
      </c>
      <c r="AT12" s="92">
        <f t="shared" si="7"/>
        <v>21857.267786556527</v>
      </c>
      <c r="AU12" s="92">
        <f t="shared" si="8"/>
        <v>11094.646012391235</v>
      </c>
      <c r="AV12" s="92">
        <f t="shared" si="9"/>
        <v>7601.5837086978581</v>
      </c>
      <c r="AW12" s="92">
        <f t="shared" si="10"/>
        <v>28989.985562229198</v>
      </c>
      <c r="AX12" s="92">
        <f t="shared" si="11"/>
        <v>18885.202545248543</v>
      </c>
      <c r="AY12" s="93">
        <f t="shared" si="12"/>
        <v>7708.7555551438454</v>
      </c>
      <c r="AZ12" s="94">
        <f t="shared" si="13"/>
        <v>14142.721220746676</v>
      </c>
      <c r="BA12" s="95">
        <f t="shared" si="14"/>
        <v>7601.5837086978581</v>
      </c>
      <c r="BB12" s="689">
        <f>SUM('Defect (Total)'!BB12,Planned!CE12,Reconductor!CE12,CTGS!CE12,'Substation 2025$'!CE12*$BL$1,Comms!CA12*$BL$2)</f>
        <v>8.8666666666666654</v>
      </c>
      <c r="BC12" s="689">
        <f>SUM('Defect (Total)'!BC12,Planned!CF12,Reconductor!CF12,CTGS!CF12,'Substation 2025$'!CF12*$BL$1,Comms!CB12*$BL$2)</f>
        <v>8.8666666666666654</v>
      </c>
      <c r="BD12" s="96">
        <f>SUM('Defect (Total)'!BD12,Planned!CG12,Reconductor!CG12,CTGS!CG12,'Substation 2025$'!CG12*$BL$1,Comms!CC12*$BL$2)</f>
        <v>8.8666666666666654</v>
      </c>
      <c r="BE12" s="96">
        <f>SUM('Defect (Total)'!BE12,Planned!CH12,Reconductor!CH12,CTGS!CH12,'Substation 2025$'!CH12*$BL$1,Comms!CD12*$BL$2)</f>
        <v>8.8666666666666654</v>
      </c>
      <c r="BF12" s="96">
        <f>SUM('Defect (Total)'!BF12,Planned!CI12,Reconductor!CI12,CTGS!CI12,'Substation 2025$'!CI12*$BL$1,Comms!CE12*$BL$2)</f>
        <v>8.8666666666666654</v>
      </c>
      <c r="BG12" s="96">
        <f>SUM('Defect (Total)'!BG12,Planned!CJ12,Reconductor!CJ12,CTGS!CJ12,'Substation 2025$'!CJ12*$BL$1,Comms!CF12*$BL$2)</f>
        <v>8.8666666666666654</v>
      </c>
      <c r="BH12" s="96">
        <f>SUM('Defect (Total)'!BH12,Planned!CK12,Reconductor!CK12,CTGS!CK12,'Substation 2025$'!CK12*$BL$1,Comms!CG12*$BL$2)</f>
        <v>8.8666666666666654</v>
      </c>
      <c r="BI12" s="286">
        <f>SUM('Defect (Total)'!BI12,Planned!CL12,Reconductor!CL12,CTGS!CL12,'Substation 2025$'!CL12*$BL$1,Comms!CH12*$BL$2)</f>
        <v>8.8666666666666654</v>
      </c>
      <c r="BJ12" s="99">
        <f t="shared" si="20"/>
        <v>13070.77884734946</v>
      </c>
      <c r="BK12" s="992">
        <f>SUM('Defect (Total)'!BK12,Planned!CQ12,Reconductor!CQ12,CTGS!CQ12,'Substation 2025$'!CQ12*$BL$1,Comms!CM12*$BL$2)</f>
        <v>115894.23911316521</v>
      </c>
      <c r="BL12" s="992">
        <f>SUM('Defect (Total)'!BL12,Planned!CR12,Reconductor!CR12,CTGS!CR12,'Substation 2025$'!CR12*$BL$1,Comms!CN12*$BL$2)</f>
        <v>115894.23911316521</v>
      </c>
      <c r="BM12" s="524">
        <f>SUM('Defect (Total)'!BM12,Planned!CS12,Reconductor!CS12,CTGS!CS12,'Substation 2025$'!CS12*$BL$1,Comms!CO12*$BL$2)</f>
        <v>115894.23911316521</v>
      </c>
      <c r="BN12" s="416">
        <f>SUM('Defect (Total)'!BN12,Planned!CT12,Reconductor!CT12,CTGS!CT12,'Substation 2025$'!CT12*$BL$1,Comms!CP12*$BL$2)</f>
        <v>115894.23911316521</v>
      </c>
      <c r="BO12" s="97">
        <f>SUM('Defect (Total)'!BO12,Planned!CU12,Reconductor!CU12,CTGS!CU12,'Substation 2025$'!CU12*$BL$1,Comms!CQ12*$BL$2)</f>
        <v>115894.23911316521</v>
      </c>
      <c r="BP12" s="97">
        <f>SUM('Defect (Total)'!BP12,Planned!CV12,Reconductor!CV12,CTGS!CV12,'Substation 2025$'!CV12*$BL$1,Comms!CR12*$BL$2)</f>
        <v>115894.23911316521</v>
      </c>
      <c r="BQ12" s="97">
        <f>SUM('Defect (Total)'!BQ12,Planned!CW12,Reconductor!CW12,CTGS!CW12,'Substation 2025$'!CW12*$BL$1,Comms!CS12*$BL$2)</f>
        <v>115894.23911316521</v>
      </c>
      <c r="BR12" s="98">
        <f>SUM('Defect (Total)'!BR12,Planned!CX12,Reconductor!CX12,CTGS!CX12,'Substation 2025$'!CX12*$BL$1,Comms!CT12*$BL$2)</f>
        <v>115894.23911316521</v>
      </c>
      <c r="BS12" s="836">
        <f>'Unit Cost Rate Summary'!AO12</f>
        <v>30.48646568159446</v>
      </c>
      <c r="BT12" s="840">
        <f t="shared" si="15"/>
        <v>0</v>
      </c>
      <c r="BU12" s="832">
        <f t="shared" si="16"/>
        <v>0</v>
      </c>
      <c r="BV12" t="s">
        <v>268</v>
      </c>
      <c r="CI12" s="416">
        <f>VLOOKUP($A12,'Distribution Summary'!$A$136:$CG$146,CI$1,0)*BN12</f>
        <v>132352.94611471775</v>
      </c>
      <c r="CJ12" s="97">
        <f>VLOOKUP($A12,'Distribution Summary'!$A$136:$CG$146,CJ$1,0)*BO12</f>
        <v>132749.77207560721</v>
      </c>
      <c r="CK12" s="97">
        <f>VLOOKUP($A12,'Distribution Summary'!$A$136:$CG$146,CK$1,0)*BP12</f>
        <v>133199.15138071909</v>
      </c>
      <c r="CL12" s="97">
        <f>VLOOKUP($A12,'Distribution Summary'!$A$136:$CG$146,CL$1,0)*BQ12</f>
        <v>133754.81321932905</v>
      </c>
      <c r="CM12" s="98">
        <f>VLOOKUP($A12,'Distribution Summary'!$A$136:$CG$146,CM$1,0)*BR12</f>
        <v>134470.04464667931</v>
      </c>
    </row>
    <row r="13" spans="1:91" x14ac:dyDescent="0.25">
      <c r="A13" s="81" t="s">
        <v>27</v>
      </c>
      <c r="B13" s="82" t="s">
        <v>36</v>
      </c>
      <c r="C13" s="83" t="s">
        <v>37</v>
      </c>
      <c r="D13" s="84">
        <f>SUM('Defect (Total)'!D13,Planned!D13,Reconductor!D13,CTGS!D13)</f>
        <v>0</v>
      </c>
      <c r="E13" s="85">
        <f>SUM('Defect (Total)'!E13,Planned!E13,Reconductor!E13,CTGS!E13)</f>
        <v>0</v>
      </c>
      <c r="F13" s="85">
        <f>SUM('Defect (Total)'!F13,Planned!F13,Reconductor!F13,CTGS!F13)</f>
        <v>0</v>
      </c>
      <c r="G13" s="85">
        <f>SUM('Defect (Total)'!G13,Planned!G13,Reconductor!G13,CTGS!G13)</f>
        <v>0</v>
      </c>
      <c r="H13" s="85">
        <f>SUM('Defect (Total)'!H13,Planned!H13,Reconductor!H13,CTGS!H13)</f>
        <v>0</v>
      </c>
      <c r="I13" s="85">
        <f>SUM('Defect (Total)'!I13,Planned!I13,Reconductor!I13,CTGS!I13)</f>
        <v>0</v>
      </c>
      <c r="J13" s="85">
        <f>SUM('Defect (Total)'!J13,Planned!J13,Reconductor!J13,CTGS!J13)</f>
        <v>0</v>
      </c>
      <c r="K13" s="85">
        <f>SUM('Defect (Total)'!K13,Planned!K13,Reconductor!K13,CTGS!K13)</f>
        <v>0</v>
      </c>
      <c r="L13" s="85">
        <f>SUM('Defect (Total)'!L13,Planned!L13,Reconductor!L13,CTGS!L13)</f>
        <v>0</v>
      </c>
      <c r="M13" s="85">
        <f>SUM('Defect (Total)'!M13,Planned!M13,Reconductor!M13,CTGS!M13)</f>
        <v>0</v>
      </c>
      <c r="N13" s="85">
        <f>SUM('Defect (Total)'!N13,Planned!N13,Reconductor!N13,CTGS!N13)</f>
        <v>0</v>
      </c>
      <c r="O13" s="560">
        <f>SUM('Defect (Total)'!O13,Planned!O13,Reconductor!O13,CTGS!O13)</f>
        <v>0</v>
      </c>
      <c r="P13" s="561">
        <f>SUM('Defect (Total)'!P13,Planned!P13,Reconductor!P13,CTGS!P13)</f>
        <v>0</v>
      </c>
      <c r="Q13" s="561">
        <f>SUM('Defect (Total)'!Q13,Planned!Q13,Reconductor!Q13,CTGS!Q13)</f>
        <v>0</v>
      </c>
      <c r="R13" s="561">
        <f>SUM('Defect (Total)'!R13,Planned!R13,Reconductor!R13,CTGS!R13)</f>
        <v>0</v>
      </c>
      <c r="S13" s="561">
        <f>SUM('Defect (Total)'!S13,Planned!S13,Reconductor!S13,CTGS!S13)</f>
        <v>0</v>
      </c>
      <c r="T13" s="561">
        <f>SUM('Defect (Total)'!T13,Planned!T13,Reconductor!T13,CTGS!T13)</f>
        <v>0</v>
      </c>
      <c r="U13" s="561">
        <f>SUM('Defect (Total)'!U13,Planned!U13,Reconductor!U13,CTGS!U13)</f>
        <v>0</v>
      </c>
      <c r="V13" s="561">
        <f>SUM('Defect (Total)'!V13,Planned!V13,Reconductor!V13,CTGS!V13)</f>
        <v>0</v>
      </c>
      <c r="W13" s="561">
        <f>SUM('Defect (Total)'!W13,Planned!W13,Reconductor!W13,CTGS!W13)</f>
        <v>0</v>
      </c>
      <c r="X13" s="561">
        <f>SUM('Defect (Total)'!X13,Planned!X13,Reconductor!X13,CTGS!X13)</f>
        <v>0</v>
      </c>
      <c r="Y13" s="561">
        <f>SUM('Defect (Total)'!Y13,Planned!Y13,Reconductor!Y13,CTGS!Y13)</f>
        <v>0</v>
      </c>
      <c r="Z13" s="86">
        <f>SUM('Defect (Total)'!Z13,Planned!Z13,Reconductor!Z13,CTGS!Z13)</f>
        <v>0</v>
      </c>
      <c r="AA13" s="87">
        <f>SUM('Defect (Total)'!AA13,Planned!AA13,Reconductor!AA13,CTGS!AA13)</f>
        <v>0</v>
      </c>
      <c r="AB13" s="87">
        <f>SUM('Defect (Total)'!AB13,Planned!AB13,Reconductor!AB13,CTGS!AB13)</f>
        <v>0</v>
      </c>
      <c r="AC13" s="87">
        <f>SUM('Defect (Total)'!AC13,Planned!AC13,Reconductor!AC13,CTGS!AC13)</f>
        <v>0</v>
      </c>
      <c r="AD13" s="87">
        <f>SUM('Defect (Total)'!AD13,Planned!AD13,Reconductor!AD13,CTGS!AD13)</f>
        <v>0</v>
      </c>
      <c r="AE13" s="87">
        <f>SUM('Defect (Total)'!AE13,Planned!AE13,Reconductor!AE13,CTGS!AE13)</f>
        <v>0</v>
      </c>
      <c r="AF13" s="87">
        <f>SUM('Defect (Total)'!AF13,Planned!AF13,Reconductor!AF13,CTGS!AF13)</f>
        <v>0</v>
      </c>
      <c r="AG13" s="87">
        <f>SUM('Defect (Total)'!AG13,Planned!AG13,Reconductor!AG13,CTGS!AG13)</f>
        <v>0</v>
      </c>
      <c r="AH13" s="87">
        <f>SUM('Defect (Total)'!AH13,Planned!AH13,Reconductor!AH13,CTGS!AH13)</f>
        <v>0</v>
      </c>
      <c r="AI13" s="87">
        <f>SUM('Defect (Total)'!AI13,Planned!AI13,Reconductor!AI13,CTGS!AI13)</f>
        <v>0</v>
      </c>
      <c r="AJ13" s="87">
        <f>SUM('Defect (Total)'!AJ13,Planned!AJ13,Reconductor!AJ13,CTGS!AJ13)</f>
        <v>0</v>
      </c>
      <c r="AK13" s="88">
        <f t="shared" si="17"/>
        <v>0</v>
      </c>
      <c r="AL13" s="89">
        <f t="shared" si="18"/>
        <v>0</v>
      </c>
      <c r="AM13" s="90">
        <f t="shared" si="19"/>
        <v>0</v>
      </c>
      <c r="AN13" s="91" t="str">
        <f t="shared" si="1"/>
        <v/>
      </c>
      <c r="AO13" s="92" t="str">
        <f t="shared" si="2"/>
        <v/>
      </c>
      <c r="AP13" s="92" t="str">
        <f t="shared" si="3"/>
        <v/>
      </c>
      <c r="AQ13" s="92" t="str">
        <f t="shared" si="4"/>
        <v/>
      </c>
      <c r="AR13" s="92" t="str">
        <f t="shared" si="5"/>
        <v/>
      </c>
      <c r="AS13" s="92" t="str">
        <f t="shared" si="6"/>
        <v/>
      </c>
      <c r="AT13" s="92" t="str">
        <f t="shared" si="7"/>
        <v/>
      </c>
      <c r="AU13" s="92" t="str">
        <f t="shared" si="8"/>
        <v/>
      </c>
      <c r="AV13" s="92" t="str">
        <f t="shared" si="9"/>
        <v/>
      </c>
      <c r="AW13" s="92" t="str">
        <f t="shared" si="10"/>
        <v/>
      </c>
      <c r="AX13" s="92" t="str">
        <f t="shared" si="11"/>
        <v/>
      </c>
      <c r="AY13" s="93" t="str">
        <f t="shared" si="12"/>
        <v/>
      </c>
      <c r="AZ13" s="94" t="str">
        <f t="shared" si="13"/>
        <v/>
      </c>
      <c r="BA13" s="95" t="str">
        <f t="shared" si="14"/>
        <v/>
      </c>
      <c r="BB13" s="689">
        <f>SUM('Defect (Total)'!BB13,Planned!CE13,Reconductor!CE13,CTGS!CE13,'Substation 2025$'!CE13*$BL$1,Comms!CA13*$BL$2)</f>
        <v>0</v>
      </c>
      <c r="BC13" s="689">
        <f>SUM('Defect (Total)'!BC13,Planned!CF13,Reconductor!CF13,CTGS!CF13,'Substation 2025$'!CF13*$BL$1,Comms!CB13*$BL$2)</f>
        <v>0</v>
      </c>
      <c r="BD13" s="96">
        <f>SUM('Defect (Total)'!BD13,Planned!CG13,Reconductor!CG13,CTGS!CG13,'Substation 2025$'!CG13*$BL$1,Comms!CC13*$BL$2)</f>
        <v>0</v>
      </c>
      <c r="BE13" s="96">
        <f>SUM('Defect (Total)'!BE13,Planned!CH13,Reconductor!CH13,CTGS!CH13,'Substation 2025$'!CH13*$BL$1,Comms!CD13*$BL$2)</f>
        <v>0</v>
      </c>
      <c r="BF13" s="96">
        <f>SUM('Defect (Total)'!BF13,Planned!CI13,Reconductor!CI13,CTGS!CI13,'Substation 2025$'!CI13*$BL$1,Comms!CE13*$BL$2)</f>
        <v>0</v>
      </c>
      <c r="BG13" s="96">
        <f>SUM('Defect (Total)'!BG13,Planned!CJ13,Reconductor!CJ13,CTGS!CJ13,'Substation 2025$'!CJ13*$BL$1,Comms!CF13*$BL$2)</f>
        <v>0</v>
      </c>
      <c r="BH13" s="96">
        <f>SUM('Defect (Total)'!BH13,Planned!CK13,Reconductor!CK13,CTGS!CK13,'Substation 2025$'!CK13*$BL$1,Comms!CG13*$BL$2)</f>
        <v>0</v>
      </c>
      <c r="BI13" s="286">
        <f>SUM('Defect (Total)'!BI13,Planned!CL13,Reconductor!CL13,CTGS!CL13,'Substation 2025$'!CL13*$BL$1,Comms!CH13*$BL$2)</f>
        <v>0</v>
      </c>
      <c r="BJ13" s="99" t="str">
        <f t="shared" si="20"/>
        <v/>
      </c>
      <c r="BK13" s="992">
        <f>SUM('Defect (Total)'!BK13,Planned!CQ13,Reconductor!CQ13,CTGS!CQ13,'Substation 2025$'!CQ13*$BL$1,Comms!CM13*$BL$2)</f>
        <v>0</v>
      </c>
      <c r="BL13" s="992">
        <f>SUM('Defect (Total)'!BL13,Planned!CR13,Reconductor!CR13,CTGS!CR13,'Substation 2025$'!CR13*$BL$1,Comms!CN13*$BL$2)</f>
        <v>0</v>
      </c>
      <c r="BM13" s="524">
        <f>SUM('Defect (Total)'!BM13,Planned!CS13,Reconductor!CS13,CTGS!CS13,'Substation 2025$'!CS13*$BL$1,Comms!CO13*$BL$2)</f>
        <v>0</v>
      </c>
      <c r="BN13" s="416">
        <f>SUM('Defect (Total)'!BN13,Planned!CT13,Reconductor!CT13,CTGS!CT13,'Substation 2025$'!CT13*$BL$1,Comms!CP13*$BL$2)</f>
        <v>0</v>
      </c>
      <c r="BO13" s="97">
        <f>SUM('Defect (Total)'!BO13,Planned!CU13,Reconductor!CU13,CTGS!CU13,'Substation 2025$'!CU13*$BL$1,Comms!CQ13*$BL$2)</f>
        <v>0</v>
      </c>
      <c r="BP13" s="97">
        <f>SUM('Defect (Total)'!BP13,Planned!CV13,Reconductor!CV13,CTGS!CV13,'Substation 2025$'!CV13*$BL$1,Comms!CR13*$BL$2)</f>
        <v>0</v>
      </c>
      <c r="BQ13" s="97">
        <f>SUM('Defect (Total)'!BQ13,Planned!CW13,Reconductor!CW13,CTGS!CW13,'Substation 2025$'!CW13*$BL$1,Comms!CS13*$BL$2)</f>
        <v>0</v>
      </c>
      <c r="BR13" s="98">
        <f>SUM('Defect (Total)'!BR13,Planned!CX13,Reconductor!CX13,CTGS!CX13,'Substation 2025$'!CX13*$BL$1,Comms!CT13*$BL$2)</f>
        <v>0</v>
      </c>
      <c r="BS13" s="836" t="str">
        <f>'Unit Cost Rate Summary'!AO13</f>
        <v/>
      </c>
      <c r="BT13" s="840" t="str">
        <f t="shared" si="15"/>
        <v/>
      </c>
      <c r="BU13" s="832" t="str">
        <f t="shared" si="16"/>
        <v/>
      </c>
      <c r="BV13" t="s">
        <v>268</v>
      </c>
      <c r="CI13" s="416">
        <f>VLOOKUP($A13,'Distribution Summary'!$A$136:$CG$146,CI$1,0)*BN13</f>
        <v>0</v>
      </c>
      <c r="CJ13" s="97">
        <f>VLOOKUP($A13,'Distribution Summary'!$A$136:$CG$146,CJ$1,0)*BO13</f>
        <v>0</v>
      </c>
      <c r="CK13" s="97">
        <f>VLOOKUP($A13,'Distribution Summary'!$A$136:$CG$146,CK$1,0)*BP13</f>
        <v>0</v>
      </c>
      <c r="CL13" s="97">
        <f>VLOOKUP($A13,'Distribution Summary'!$A$136:$CG$146,CL$1,0)*BQ13</f>
        <v>0</v>
      </c>
      <c r="CM13" s="98">
        <f>VLOOKUP($A13,'Distribution Summary'!$A$136:$CG$146,CM$1,0)*BR13</f>
        <v>0</v>
      </c>
    </row>
    <row r="14" spans="1:91" x14ac:dyDescent="0.25">
      <c r="A14" s="81" t="s">
        <v>27</v>
      </c>
      <c r="B14" s="82" t="s">
        <v>39</v>
      </c>
      <c r="C14" s="83" t="s">
        <v>299</v>
      </c>
      <c r="D14" s="84">
        <f>SUM('Defect (Total)'!D14,Planned!D14,Reconductor!D14,CTGS!D14)</f>
        <v>0</v>
      </c>
      <c r="E14" s="85">
        <f>SUM('Defect (Total)'!E14,Planned!E14,Reconductor!E14,CTGS!E14)</f>
        <v>20187</v>
      </c>
      <c r="F14" s="85">
        <f>SUM('Defect (Total)'!F14,Planned!F14,Reconductor!F14,CTGS!F14)</f>
        <v>84719</v>
      </c>
      <c r="G14" s="85">
        <f>SUM('Defect (Total)'!G14,Planned!G14,Reconductor!G14,CTGS!G14)</f>
        <v>0</v>
      </c>
      <c r="H14" s="85">
        <f>SUM('Defect (Total)'!H14,Planned!H14,Reconductor!H14,CTGS!H14)</f>
        <v>0</v>
      </c>
      <c r="I14" s="85">
        <f>SUM('Defect (Total)'!I14,Planned!I14,Reconductor!I14,CTGS!I14)</f>
        <v>0</v>
      </c>
      <c r="J14" s="85">
        <f>SUM('Defect (Total)'!J14,Planned!J14,Reconductor!J14,CTGS!J14)</f>
        <v>0</v>
      </c>
      <c r="K14" s="85">
        <f>SUM('Defect (Total)'!K14,Planned!K14,Reconductor!K14,CTGS!K14)</f>
        <v>0</v>
      </c>
      <c r="L14" s="85">
        <f>SUM('Defect (Total)'!L14,Planned!L14,Reconductor!L14,CTGS!L14)</f>
        <v>0</v>
      </c>
      <c r="M14" s="85">
        <f>SUM('Defect (Total)'!M14,Planned!M14,Reconductor!M14,CTGS!M14)</f>
        <v>0</v>
      </c>
      <c r="N14" s="85">
        <f>SUM('Defect (Total)'!N14,Planned!N14,Reconductor!N14,CTGS!N14)</f>
        <v>0</v>
      </c>
      <c r="O14" s="560">
        <f>SUM('Defect (Total)'!O14,Planned!O14,Reconductor!O14,CTGS!O14)</f>
        <v>0</v>
      </c>
      <c r="P14" s="561">
        <f>SUM('Defect (Total)'!P14,Planned!P14,Reconductor!P14,CTGS!P14)</f>
        <v>26756.474039122546</v>
      </c>
      <c r="Q14" s="561">
        <f>SUM('Defect (Total)'!Q14,Planned!Q14,Reconductor!Q14,CTGS!Q14)</f>
        <v>111151.81494232676</v>
      </c>
      <c r="R14" s="561">
        <f>SUM('Defect (Total)'!R14,Planned!R14,Reconductor!R14,CTGS!R14)</f>
        <v>0</v>
      </c>
      <c r="S14" s="561">
        <f>SUM('Defect (Total)'!S14,Planned!S14,Reconductor!S14,CTGS!S14)</f>
        <v>0</v>
      </c>
      <c r="T14" s="561">
        <f>SUM('Defect (Total)'!T14,Planned!T14,Reconductor!T14,CTGS!T14)</f>
        <v>0</v>
      </c>
      <c r="U14" s="561">
        <f>SUM('Defect (Total)'!U14,Planned!U14,Reconductor!U14,CTGS!U14)</f>
        <v>0</v>
      </c>
      <c r="V14" s="561">
        <f>SUM('Defect (Total)'!V14,Planned!V14,Reconductor!V14,CTGS!V14)</f>
        <v>0</v>
      </c>
      <c r="W14" s="561">
        <f>SUM('Defect (Total)'!W14,Planned!W14,Reconductor!W14,CTGS!W14)</f>
        <v>0</v>
      </c>
      <c r="X14" s="561">
        <f>SUM('Defect (Total)'!X14,Planned!X14,Reconductor!X14,CTGS!X14)</f>
        <v>0</v>
      </c>
      <c r="Y14" s="561">
        <f>SUM('Defect (Total)'!Y14,Planned!Y14,Reconductor!Y14,CTGS!Y14)</f>
        <v>0</v>
      </c>
      <c r="Z14" s="86">
        <f>SUM('Defect (Total)'!Z14,Planned!Z14,Reconductor!Z14,CTGS!Z14)</f>
        <v>0</v>
      </c>
      <c r="AA14" s="87">
        <f>SUM('Defect (Total)'!AA14,Planned!AA14,Reconductor!AA14,CTGS!AA14)</f>
        <v>1</v>
      </c>
      <c r="AB14" s="87">
        <f>SUM('Defect (Total)'!AB14,Planned!AB14,Reconductor!AB14,CTGS!AB14)</f>
        <v>1</v>
      </c>
      <c r="AC14" s="87">
        <f>SUM('Defect (Total)'!AC14,Planned!AC14,Reconductor!AC14,CTGS!AC14)</f>
        <v>0</v>
      </c>
      <c r="AD14" s="87">
        <f>SUM('Defect (Total)'!AD14,Planned!AD14,Reconductor!AD14,CTGS!AD14)</f>
        <v>0</v>
      </c>
      <c r="AE14" s="87">
        <f>SUM('Defect (Total)'!AE14,Planned!AE14,Reconductor!AE14,CTGS!AE14)</f>
        <v>0</v>
      </c>
      <c r="AF14" s="87">
        <f>SUM('Defect (Total)'!AF14,Planned!AF14,Reconductor!AF14,CTGS!AF14)</f>
        <v>0</v>
      </c>
      <c r="AG14" s="87">
        <f>SUM('Defect (Total)'!AG14,Planned!AG14,Reconductor!AG14,CTGS!AG14)</f>
        <v>0</v>
      </c>
      <c r="AH14" s="87">
        <f>SUM('Defect (Total)'!AH14,Planned!AH14,Reconductor!AH14,CTGS!AH14)</f>
        <v>0</v>
      </c>
      <c r="AI14" s="87">
        <f>SUM('Defect (Total)'!AI14,Planned!AI14,Reconductor!AI14,CTGS!AI14)</f>
        <v>0</v>
      </c>
      <c r="AJ14" s="87">
        <f>SUM('Defect (Total)'!AJ14,Planned!AJ14,Reconductor!AJ14,CTGS!AJ14)</f>
        <v>0</v>
      </c>
      <c r="AK14" s="88">
        <f t="shared" si="17"/>
        <v>0</v>
      </c>
      <c r="AL14" s="89">
        <f t="shared" si="18"/>
        <v>0</v>
      </c>
      <c r="AM14" s="90">
        <f t="shared" si="19"/>
        <v>0</v>
      </c>
      <c r="AN14" s="91" t="str">
        <f t="shared" si="1"/>
        <v/>
      </c>
      <c r="AO14" s="92">
        <f t="shared" si="2"/>
        <v>20187</v>
      </c>
      <c r="AP14" s="92">
        <f t="shared" si="3"/>
        <v>84719</v>
      </c>
      <c r="AQ14" s="92" t="str">
        <f t="shared" si="4"/>
        <v/>
      </c>
      <c r="AR14" s="92" t="str">
        <f t="shared" si="5"/>
        <v/>
      </c>
      <c r="AS14" s="92" t="str">
        <f t="shared" si="6"/>
        <v/>
      </c>
      <c r="AT14" s="92" t="str">
        <f t="shared" si="7"/>
        <v/>
      </c>
      <c r="AU14" s="92" t="str">
        <f t="shared" si="8"/>
        <v/>
      </c>
      <c r="AV14" s="92" t="str">
        <f t="shared" si="9"/>
        <v/>
      </c>
      <c r="AW14" s="92" t="str">
        <f t="shared" si="10"/>
        <v/>
      </c>
      <c r="AX14" s="92" t="str">
        <f t="shared" si="11"/>
        <v/>
      </c>
      <c r="AY14" s="93" t="str">
        <f t="shared" si="12"/>
        <v/>
      </c>
      <c r="AZ14" s="94" t="str">
        <f t="shared" si="13"/>
        <v/>
      </c>
      <c r="BA14" s="95" t="str">
        <f t="shared" si="14"/>
        <v/>
      </c>
      <c r="BB14" s="689">
        <f>SUM('Defect (Total)'!BB14,Planned!CE14,Reconductor!CE14,CTGS!CE14,'Substation 2025$'!CE14*$BL$1,Comms!CA14*$BL$2)</f>
        <v>0</v>
      </c>
      <c r="BC14" s="689">
        <f>SUM('Defect (Total)'!BC14,Planned!CF14,Reconductor!CF14,CTGS!CF14,'Substation 2025$'!CF14*$BL$1,Comms!CB14*$BL$2)</f>
        <v>0</v>
      </c>
      <c r="BD14" s="96">
        <f>SUM('Defect (Total)'!BD14,Planned!CG14,Reconductor!CG14,CTGS!CG14,'Substation 2025$'!CG14*$BL$1,Comms!CC14*$BL$2)</f>
        <v>0</v>
      </c>
      <c r="BE14" s="96">
        <f>SUM('Defect (Total)'!BE14,Planned!CH14,Reconductor!CH14,CTGS!CH14,'Substation 2025$'!CH14*$BL$1,Comms!CD14*$BL$2)</f>
        <v>0</v>
      </c>
      <c r="BF14" s="96">
        <f>SUM('Defect (Total)'!BF14,Planned!CI14,Reconductor!CI14,CTGS!CI14,'Substation 2025$'!CI14*$BL$1,Comms!CE14*$BL$2)</f>
        <v>0</v>
      </c>
      <c r="BG14" s="96">
        <f>SUM('Defect (Total)'!BG14,Planned!CJ14,Reconductor!CJ14,CTGS!CJ14,'Substation 2025$'!CJ14*$BL$1,Comms!CF14*$BL$2)</f>
        <v>0</v>
      </c>
      <c r="BH14" s="96">
        <f>SUM('Defect (Total)'!BH14,Planned!CK14,Reconductor!CK14,CTGS!CK14,'Substation 2025$'!CK14*$BL$1,Comms!CG14*$BL$2)</f>
        <v>0</v>
      </c>
      <c r="BI14" s="286">
        <f>SUM('Defect (Total)'!BI14,Planned!CL14,Reconductor!CL14,CTGS!CL14,'Substation 2025$'!CL14*$BL$1,Comms!CH14*$BL$2)</f>
        <v>0</v>
      </c>
      <c r="BJ14" s="99" t="str">
        <f t="shared" si="20"/>
        <v/>
      </c>
      <c r="BK14" s="992">
        <f>SUM('Defect (Total)'!BK14,Planned!CQ14,Reconductor!CQ14,CTGS!CQ14,'Substation 2025$'!CQ14*$BL$1,Comms!CM14*$BL$2)</f>
        <v>0</v>
      </c>
      <c r="BL14" s="992">
        <f>SUM('Defect (Total)'!BL14,Planned!CR14,Reconductor!CR14,CTGS!CR14,'Substation 2025$'!CR14*$BL$1,Comms!CN14*$BL$2)</f>
        <v>0</v>
      </c>
      <c r="BM14" s="524">
        <f>SUM('Defect (Total)'!BM14,Planned!CS14,Reconductor!CS14,CTGS!CS14,'Substation 2025$'!CS14*$BL$1,Comms!CO14*$BL$2)</f>
        <v>0</v>
      </c>
      <c r="BN14" s="416">
        <f>SUM('Defect (Total)'!BN14,Planned!CT14,Reconductor!CT14,CTGS!CT14,'Substation 2025$'!CT14*$BL$1,Comms!CP14*$BL$2)</f>
        <v>0</v>
      </c>
      <c r="BO14" s="97">
        <f>SUM('Defect (Total)'!BO14,Planned!CU14,Reconductor!CU14,CTGS!CU14,'Substation 2025$'!CU14*$BL$1,Comms!CQ14*$BL$2)</f>
        <v>0</v>
      </c>
      <c r="BP14" s="97">
        <f>SUM('Defect (Total)'!BP14,Planned!CV14,Reconductor!CV14,CTGS!CV14,'Substation 2025$'!CV14*$BL$1,Comms!CR14*$BL$2)</f>
        <v>0</v>
      </c>
      <c r="BQ14" s="97">
        <f>SUM('Defect (Total)'!BQ14,Planned!CW14,Reconductor!CW14,CTGS!CW14,'Substation 2025$'!CW14*$BL$1,Comms!CS14*$BL$2)</f>
        <v>0</v>
      </c>
      <c r="BR14" s="98">
        <f>SUM('Defect (Total)'!BR14,Planned!CX14,Reconductor!CX14,CTGS!CX14,'Substation 2025$'!CX14*$BL$1,Comms!CT14*$BL$2)</f>
        <v>0</v>
      </c>
      <c r="BS14" s="836" t="str">
        <f>'Unit Cost Rate Summary'!AO14</f>
        <v/>
      </c>
      <c r="BT14" s="840" t="str">
        <f t="shared" si="15"/>
        <v/>
      </c>
      <c r="BU14" s="832" t="str">
        <f t="shared" si="16"/>
        <v/>
      </c>
      <c r="BV14" t="s">
        <v>268</v>
      </c>
      <c r="CI14" s="416">
        <f>VLOOKUP($A14,'Distribution Summary'!$A$136:$CG$146,CI$1,0)*BN14</f>
        <v>0</v>
      </c>
      <c r="CJ14" s="97">
        <f>VLOOKUP($A14,'Distribution Summary'!$A$136:$CG$146,CJ$1,0)*BO14</f>
        <v>0</v>
      </c>
      <c r="CK14" s="97">
        <f>VLOOKUP($A14,'Distribution Summary'!$A$136:$CG$146,CK$1,0)*BP14</f>
        <v>0</v>
      </c>
      <c r="CL14" s="97">
        <f>VLOOKUP($A14,'Distribution Summary'!$A$136:$CG$146,CL$1,0)*BQ14</f>
        <v>0</v>
      </c>
      <c r="CM14" s="98">
        <f>VLOOKUP($A14,'Distribution Summary'!$A$136:$CG$146,CM$1,0)*BR14</f>
        <v>0</v>
      </c>
    </row>
    <row r="15" spans="1:91" x14ac:dyDescent="0.25">
      <c r="A15" s="81" t="s">
        <v>27</v>
      </c>
      <c r="B15" s="82" t="s">
        <v>41</v>
      </c>
      <c r="C15" s="83" t="s">
        <v>42</v>
      </c>
      <c r="D15" s="84">
        <f>SUM('Defect (Total)'!D15,Planned!D15,Reconductor!D15,CTGS!D15)</f>
        <v>0</v>
      </c>
      <c r="E15" s="85">
        <f>SUM('Defect (Total)'!E15,Planned!E15,Reconductor!E15,CTGS!E15)</f>
        <v>0</v>
      </c>
      <c r="F15" s="85">
        <f>SUM('Defect (Total)'!F15,Planned!F15,Reconductor!F15,CTGS!F15)</f>
        <v>0</v>
      </c>
      <c r="G15" s="85">
        <f>SUM('Defect (Total)'!G15,Planned!G15,Reconductor!G15,CTGS!G15)</f>
        <v>0</v>
      </c>
      <c r="H15" s="85">
        <f>SUM('Defect (Total)'!H15,Planned!H15,Reconductor!H15,CTGS!H15)</f>
        <v>0</v>
      </c>
      <c r="I15" s="85">
        <f>SUM('Defect (Total)'!I15,Planned!I15,Reconductor!I15,CTGS!I15)</f>
        <v>0</v>
      </c>
      <c r="J15" s="85">
        <f>SUM('Defect (Total)'!J15,Planned!J15,Reconductor!J15,CTGS!J15)</f>
        <v>0</v>
      </c>
      <c r="K15" s="85">
        <f>SUM('Defect (Total)'!K15,Planned!K15,Reconductor!K15,CTGS!K15)</f>
        <v>169451.531848521</v>
      </c>
      <c r="L15" s="85">
        <f>SUM('Defect (Total)'!L15,Planned!L15,Reconductor!L15,CTGS!L15)</f>
        <v>409726.45214406005</v>
      </c>
      <c r="M15" s="85">
        <f>SUM('Defect (Total)'!M15,Planned!M15,Reconductor!M15,CTGS!M15)</f>
        <v>0</v>
      </c>
      <c r="N15" s="85">
        <f>SUM('Defect (Total)'!N15,Planned!N15,Reconductor!N15,CTGS!N15)</f>
        <v>0</v>
      </c>
      <c r="O15" s="560">
        <f>SUM('Defect (Total)'!O15,Planned!O15,Reconductor!O15,CTGS!O15)</f>
        <v>0</v>
      </c>
      <c r="P15" s="561">
        <f>SUM('Defect (Total)'!P15,Planned!P15,Reconductor!P15,CTGS!P15)</f>
        <v>0</v>
      </c>
      <c r="Q15" s="561">
        <f>SUM('Defect (Total)'!Q15,Planned!Q15,Reconductor!Q15,CTGS!Q15)</f>
        <v>0</v>
      </c>
      <c r="R15" s="561">
        <f>SUM('Defect (Total)'!R15,Planned!R15,Reconductor!R15,CTGS!R15)</f>
        <v>0</v>
      </c>
      <c r="S15" s="561">
        <f>SUM('Defect (Total)'!S15,Planned!S15,Reconductor!S15,CTGS!S15)</f>
        <v>0</v>
      </c>
      <c r="T15" s="561">
        <f>SUM('Defect (Total)'!T15,Planned!T15,Reconductor!T15,CTGS!T15)</f>
        <v>0</v>
      </c>
      <c r="U15" s="561">
        <f>SUM('Defect (Total)'!U15,Planned!U15,Reconductor!U15,CTGS!U15)</f>
        <v>0</v>
      </c>
      <c r="V15" s="561">
        <f>SUM('Defect (Total)'!V15,Planned!V15,Reconductor!V15,CTGS!V15)</f>
        <v>203233.18413298985</v>
      </c>
      <c r="W15" s="561">
        <f>SUM('Defect (Total)'!W15,Planned!W15,Reconductor!W15,CTGS!W15)</f>
        <v>462961.0767566475</v>
      </c>
      <c r="X15" s="561">
        <f>SUM('Defect (Total)'!X15,Planned!X15,Reconductor!X15,CTGS!X15)</f>
        <v>0</v>
      </c>
      <c r="Y15" s="561">
        <f>SUM('Defect (Total)'!Y15,Planned!Y15,Reconductor!Y15,CTGS!Y15)</f>
        <v>0</v>
      </c>
      <c r="Z15" s="86">
        <f>SUM('Defect (Total)'!Z15,Planned!Z15,Reconductor!Z15,CTGS!Z15)</f>
        <v>0</v>
      </c>
      <c r="AA15" s="87">
        <f>SUM('Defect (Total)'!AA15,Planned!AA15,Reconductor!AA15,CTGS!AA15)</f>
        <v>0</v>
      </c>
      <c r="AB15" s="87">
        <f>SUM('Defect (Total)'!AB15,Planned!AB15,Reconductor!AB15,CTGS!AB15)</f>
        <v>0</v>
      </c>
      <c r="AC15" s="87">
        <f>SUM('Defect (Total)'!AC15,Planned!AC15,Reconductor!AC15,CTGS!AC15)</f>
        <v>0</v>
      </c>
      <c r="AD15" s="87">
        <f>SUM('Defect (Total)'!AD15,Planned!AD15,Reconductor!AD15,CTGS!AD15)</f>
        <v>0</v>
      </c>
      <c r="AE15" s="87">
        <f>SUM('Defect (Total)'!AE15,Planned!AE15,Reconductor!AE15,CTGS!AE15)</f>
        <v>0</v>
      </c>
      <c r="AF15" s="87">
        <f>SUM('Defect (Total)'!AF15,Planned!AF15,Reconductor!AF15,CTGS!AF15)</f>
        <v>0</v>
      </c>
      <c r="AG15" s="87">
        <f>SUM('Defect (Total)'!AG15,Planned!AG15,Reconductor!AG15,CTGS!AG15)</f>
        <v>16</v>
      </c>
      <c r="AH15" s="87">
        <f>SUM('Defect (Total)'!AH15,Planned!AH15,Reconductor!AH15,CTGS!AH15)</f>
        <v>53</v>
      </c>
      <c r="AI15" s="87">
        <f>SUM('Defect (Total)'!AI15,Planned!AI15,Reconductor!AI15,CTGS!AI15)</f>
        <v>0</v>
      </c>
      <c r="AJ15" s="87">
        <f>SUM('Defect (Total)'!AJ15,Planned!AJ15,Reconductor!AJ15,CTGS!AJ15)</f>
        <v>0</v>
      </c>
      <c r="AK15" s="88">
        <f t="shared" si="17"/>
        <v>13.8</v>
      </c>
      <c r="AL15" s="89">
        <f t="shared" si="18"/>
        <v>23</v>
      </c>
      <c r="AM15" s="90">
        <f t="shared" si="19"/>
        <v>0</v>
      </c>
      <c r="AN15" s="91" t="str">
        <f t="shared" si="1"/>
        <v/>
      </c>
      <c r="AO15" s="92" t="str">
        <f t="shared" si="2"/>
        <v/>
      </c>
      <c r="AP15" s="92" t="str">
        <f t="shared" si="3"/>
        <v/>
      </c>
      <c r="AQ15" s="92" t="str">
        <f t="shared" si="4"/>
        <v/>
      </c>
      <c r="AR15" s="92" t="str">
        <f t="shared" si="5"/>
        <v/>
      </c>
      <c r="AS15" s="92" t="str">
        <f t="shared" si="6"/>
        <v/>
      </c>
      <c r="AT15" s="92" t="str">
        <f t="shared" si="7"/>
        <v/>
      </c>
      <c r="AU15" s="92">
        <f t="shared" si="8"/>
        <v>10590.720740532563</v>
      </c>
      <c r="AV15" s="92">
        <f t="shared" si="9"/>
        <v>7730.6877763030197</v>
      </c>
      <c r="AW15" s="92" t="str">
        <f t="shared" si="10"/>
        <v/>
      </c>
      <c r="AX15" s="92" t="str">
        <f t="shared" si="11"/>
        <v/>
      </c>
      <c r="AY15" s="93">
        <f t="shared" si="12"/>
        <v>8393.8838259794356</v>
      </c>
      <c r="AZ15" s="94">
        <f t="shared" si="13"/>
        <v>8393.8838259794356</v>
      </c>
      <c r="BA15" s="95">
        <f t="shared" si="14"/>
        <v>7730.6877763030197</v>
      </c>
      <c r="BB15" s="689">
        <f>SUM('Defect (Total)'!BB15,Planned!CE15,Reconductor!CE15,CTGS!CE15,'Substation 2025$'!CE15*$BL$1,Comms!CA15*$BL$2)</f>
        <v>21.666666666666664</v>
      </c>
      <c r="BC15" s="689">
        <f>SUM('Defect (Total)'!BC15,Planned!CF15,Reconductor!CF15,CTGS!CF15,'Substation 2025$'!CF15*$BL$1,Comms!CB15*$BL$2)</f>
        <v>17.264409553286633</v>
      </c>
      <c r="BD15" s="96">
        <f>SUM('Defect (Total)'!BD15,Planned!CG15,Reconductor!CG15,CTGS!CG15,'Substation 2025$'!CG15*$BL$1,Comms!CC15*$BL$2)</f>
        <v>17.264409553286633</v>
      </c>
      <c r="BE15" s="96">
        <f>SUM('Defect (Total)'!BE15,Planned!CH15,Reconductor!CH15,CTGS!CH15,'Substation 2025$'!CH15*$BL$1,Comms!CD15*$BL$2)</f>
        <v>19.938376473336845</v>
      </c>
      <c r="BF15" s="96">
        <f>SUM('Defect (Total)'!BF15,Planned!CI15,Reconductor!CI15,CTGS!CI15,'Substation 2025$'!CI15*$BL$1,Comms!CE15*$BL$2)</f>
        <v>20.495914132588894</v>
      </c>
      <c r="BG15" s="96">
        <f>SUM('Defect (Total)'!BG15,Planned!CJ15,Reconductor!CJ15,CTGS!CJ15,'Substation 2025$'!CJ15*$BL$1,Comms!CF15*$BL$2)</f>
        <v>20.867605905423584</v>
      </c>
      <c r="BH15" s="96">
        <f>SUM('Defect (Total)'!BH15,Planned!CK15,Reconductor!CK15,CTGS!CK15,'Substation 2025$'!CK15*$BL$1,Comms!CG15*$BL$2)</f>
        <v>21.239297678258286</v>
      </c>
      <c r="BI15" s="286">
        <f>SUM('Defect (Total)'!BI15,Planned!CL15,Reconductor!CL15,CTGS!CL15,'Substation 2025$'!CL15*$BL$1,Comms!CH15*$BL$2)</f>
        <v>21.425143564675633</v>
      </c>
      <c r="BJ15" s="99">
        <f t="shared" si="20"/>
        <v>8488.0675362155034</v>
      </c>
      <c r="BK15" s="992">
        <f>SUM('Defect (Total)'!BK15,Planned!CQ15,Reconductor!CQ15,CTGS!CQ15,'Substation 2025$'!CQ15*$BL$1,Comms!CM15*$BL$2)</f>
        <v>185089.49835546233</v>
      </c>
      <c r="BL15" s="992">
        <f>SUM('Defect (Total)'!BL15,Planned!CR15,Reconductor!CR15,CTGS!CR15,'Substation 2025$'!CR15*$BL$1,Comms!CN15*$BL$2)</f>
        <v>141768.30553967203</v>
      </c>
      <c r="BM15" s="524">
        <f>SUM('Defect (Total)'!BM15,Planned!CS15,Reconductor!CS15,CTGS!CS15,'Substation 2025$'!CS15*$BL$1,Comms!CO15*$BL$2)</f>
        <v>141768.30553967203</v>
      </c>
      <c r="BN15" s="416">
        <f>SUM('Defect (Total)'!BN15,Planned!CT15,Reconductor!CT15,CTGS!CT15,'Substation 2025$'!CT15*$BL$1,Comms!CP15*$BL$2)</f>
        <v>168081.95182227163</v>
      </c>
      <c r="BO15" s="97">
        <f>SUM('Defect (Total)'!BO15,Planned!CU15,Reconductor!CU15,CTGS!CU15,'Substation 2025$'!CU15*$BL$1,Comms!CQ15*$BL$2)</f>
        <v>173568.50015792248</v>
      </c>
      <c r="BP15" s="97">
        <f>SUM('Defect (Total)'!BP15,Planned!CV15,Reconductor!CV15,CTGS!CV15,'Substation 2025$'!CV15*$BL$1,Comms!CR15*$BL$2)</f>
        <v>177226.19904835633</v>
      </c>
      <c r="BQ15" s="97">
        <f>SUM('Defect (Total)'!BQ15,Planned!CW15,Reconductor!CW15,CTGS!CW15,'Substation 2025$'!CW15*$BL$1,Comms!CS15*$BL$2)</f>
        <v>180883.89793879027</v>
      </c>
      <c r="BR15" s="98">
        <f>SUM('Defect (Total)'!BR15,Planned!CX15,Reconductor!CX15,CTGS!CX15,'Substation 2025$'!CX15*$BL$1,Comms!CT15*$BL$2)</f>
        <v>182712.74738400721</v>
      </c>
      <c r="BS15" s="836">
        <f>'Unit Cost Rate Summary'!AO15</f>
        <v>19.890729890822712</v>
      </c>
      <c r="BT15" s="840">
        <f t="shared" si="15"/>
        <v>18.55438020624883</v>
      </c>
      <c r="BU15" s="832">
        <f t="shared" si="16"/>
        <v>92.771901031244155</v>
      </c>
      <c r="BV15" t="s">
        <v>268</v>
      </c>
      <c r="CI15" s="416">
        <f>VLOOKUP($A15,'Distribution Summary'!$A$136:$CG$146,CI$1,0)*BN15</f>
        <v>191952.09082538955</v>
      </c>
      <c r="CJ15" s="97">
        <f>VLOOKUP($A15,'Distribution Summary'!$A$136:$CG$146,CJ$1,0)*BO15</f>
        <v>198812.11535433255</v>
      </c>
      <c r="CK15" s="97">
        <f>VLOOKUP($A15,'Distribution Summary'!$A$136:$CG$146,CK$1,0)*BP15</f>
        <v>203688.97967931745</v>
      </c>
      <c r="CL15" s="97">
        <f>VLOOKUP($A15,'Distribution Summary'!$A$136:$CG$146,CL$1,0)*BQ15</f>
        <v>208760.09168637526</v>
      </c>
      <c r="CM15" s="98">
        <f>VLOOKUP($A15,'Distribution Summary'!$A$136:$CG$146,CM$1,0)*BR15</f>
        <v>211998.3830624579</v>
      </c>
    </row>
    <row r="16" spans="1:91" x14ac:dyDescent="0.25">
      <c r="A16" s="81" t="s">
        <v>27</v>
      </c>
      <c r="B16" s="82" t="s">
        <v>43</v>
      </c>
      <c r="C16" s="83" t="s">
        <v>300</v>
      </c>
      <c r="D16" s="84">
        <f>SUM('Defect (Total)'!D16,Planned!D16,Reconductor!D16,CTGS!D16)</f>
        <v>0</v>
      </c>
      <c r="E16" s="85">
        <f>SUM('Defect (Total)'!E16,Planned!E16,Reconductor!E16,CTGS!E16)</f>
        <v>0</v>
      </c>
      <c r="F16" s="85">
        <f>SUM('Defect (Total)'!F16,Planned!F16,Reconductor!F16,CTGS!F16)</f>
        <v>0</v>
      </c>
      <c r="G16" s="85">
        <f>SUM('Defect (Total)'!G16,Planned!G16,Reconductor!G16,CTGS!G16)</f>
        <v>0</v>
      </c>
      <c r="H16" s="85">
        <f>SUM('Defect (Total)'!H16,Planned!H16,Reconductor!H16,CTGS!H16)</f>
        <v>0</v>
      </c>
      <c r="I16" s="85">
        <f>SUM('Defect (Total)'!I16,Planned!I16,Reconductor!I16,CTGS!I16)</f>
        <v>0</v>
      </c>
      <c r="J16" s="85">
        <f>SUM('Defect (Total)'!J16,Planned!J16,Reconductor!J16,CTGS!J16)</f>
        <v>0</v>
      </c>
      <c r="K16" s="85">
        <f>SUM('Defect (Total)'!K16,Planned!K16,Reconductor!K16,CTGS!K16)</f>
        <v>10038.491506586</v>
      </c>
      <c r="L16" s="85">
        <f>SUM('Defect (Total)'!L16,Planned!L16,Reconductor!L16,CTGS!L16)</f>
        <v>42261.471110367005</v>
      </c>
      <c r="M16" s="85">
        <f>SUM('Defect (Total)'!M16,Planned!M16,Reconductor!M16,CTGS!M16)</f>
        <v>0</v>
      </c>
      <c r="N16" s="85">
        <f>SUM('Defect (Total)'!N16,Planned!N16,Reconductor!N16,CTGS!N16)</f>
        <v>0</v>
      </c>
      <c r="O16" s="560">
        <f>SUM('Defect (Total)'!O16,Planned!O16,Reconductor!O16,CTGS!O16)</f>
        <v>0</v>
      </c>
      <c r="P16" s="561">
        <f>SUM('Defect (Total)'!P16,Planned!P16,Reconductor!P16,CTGS!P16)</f>
        <v>0</v>
      </c>
      <c r="Q16" s="561">
        <f>SUM('Defect (Total)'!Q16,Planned!Q16,Reconductor!Q16,CTGS!Q16)</f>
        <v>0</v>
      </c>
      <c r="R16" s="561">
        <f>SUM('Defect (Total)'!R16,Planned!R16,Reconductor!R16,CTGS!R16)</f>
        <v>0</v>
      </c>
      <c r="S16" s="561">
        <f>SUM('Defect (Total)'!S16,Planned!S16,Reconductor!S16,CTGS!S16)</f>
        <v>0</v>
      </c>
      <c r="T16" s="561">
        <f>SUM('Defect (Total)'!T16,Planned!T16,Reconductor!T16,CTGS!T16)</f>
        <v>0</v>
      </c>
      <c r="U16" s="561">
        <f>SUM('Defect (Total)'!U16,Planned!U16,Reconductor!U16,CTGS!U16)</f>
        <v>0</v>
      </c>
      <c r="V16" s="561">
        <f>SUM('Defect (Total)'!V16,Planned!V16,Reconductor!V16,CTGS!V16)</f>
        <v>12039.753022706323</v>
      </c>
      <c r="W16" s="561">
        <f>SUM('Defect (Total)'!W16,Planned!W16,Reconductor!W16,CTGS!W16)</f>
        <v>47752.387155360542</v>
      </c>
      <c r="X16" s="561">
        <f>SUM('Defect (Total)'!X16,Planned!X16,Reconductor!X16,CTGS!X16)</f>
        <v>0</v>
      </c>
      <c r="Y16" s="561">
        <f>SUM('Defect (Total)'!Y16,Planned!Y16,Reconductor!Y16,CTGS!Y16)</f>
        <v>0</v>
      </c>
      <c r="Z16" s="86">
        <f>SUM('Defect (Total)'!Z16,Planned!Z16,Reconductor!Z16,CTGS!Z16)</f>
        <v>0</v>
      </c>
      <c r="AA16" s="87">
        <f>SUM('Defect (Total)'!AA16,Planned!AA16,Reconductor!AA16,CTGS!AA16)</f>
        <v>0</v>
      </c>
      <c r="AB16" s="87">
        <f>SUM('Defect (Total)'!AB16,Planned!AB16,Reconductor!AB16,CTGS!AB16)</f>
        <v>0</v>
      </c>
      <c r="AC16" s="87">
        <f>SUM('Defect (Total)'!AC16,Planned!AC16,Reconductor!AC16,CTGS!AC16)</f>
        <v>0</v>
      </c>
      <c r="AD16" s="87">
        <f>SUM('Defect (Total)'!AD16,Planned!AD16,Reconductor!AD16,CTGS!AD16)</f>
        <v>0</v>
      </c>
      <c r="AE16" s="87">
        <f>SUM('Defect (Total)'!AE16,Planned!AE16,Reconductor!AE16,CTGS!AE16)</f>
        <v>0</v>
      </c>
      <c r="AF16" s="87">
        <f>SUM('Defect (Total)'!AF16,Planned!AF16,Reconductor!AF16,CTGS!AF16)</f>
        <v>0</v>
      </c>
      <c r="AG16" s="87">
        <f>SUM('Defect (Total)'!AG16,Planned!AG16,Reconductor!AG16,CTGS!AG16)</f>
        <v>1</v>
      </c>
      <c r="AH16" s="87">
        <f>SUM('Defect (Total)'!AH16,Planned!AH16,Reconductor!AH16,CTGS!AH16)</f>
        <v>2</v>
      </c>
      <c r="AI16" s="87">
        <f>SUM('Defect (Total)'!AI16,Planned!AI16,Reconductor!AI16,CTGS!AI16)</f>
        <v>0</v>
      </c>
      <c r="AJ16" s="87">
        <f>SUM('Defect (Total)'!AJ16,Planned!AJ16,Reconductor!AJ16,CTGS!AJ16)</f>
        <v>0</v>
      </c>
      <c r="AK16" s="88">
        <f t="shared" si="17"/>
        <v>0.6</v>
      </c>
      <c r="AL16" s="89">
        <f t="shared" si="18"/>
        <v>1</v>
      </c>
      <c r="AM16" s="90">
        <f t="shared" si="19"/>
        <v>0</v>
      </c>
      <c r="AN16" s="91" t="str">
        <f t="shared" si="1"/>
        <v/>
      </c>
      <c r="AO16" s="92" t="str">
        <f t="shared" si="2"/>
        <v/>
      </c>
      <c r="AP16" s="92" t="str">
        <f t="shared" si="3"/>
        <v/>
      </c>
      <c r="AQ16" s="92" t="str">
        <f t="shared" si="4"/>
        <v/>
      </c>
      <c r="AR16" s="92" t="str">
        <f t="shared" si="5"/>
        <v/>
      </c>
      <c r="AS16" s="92" t="str">
        <f t="shared" si="6"/>
        <v/>
      </c>
      <c r="AT16" s="92" t="str">
        <f t="shared" si="7"/>
        <v/>
      </c>
      <c r="AU16" s="92">
        <f t="shared" si="8"/>
        <v>10038.491506586</v>
      </c>
      <c r="AV16" s="92">
        <f t="shared" si="9"/>
        <v>21130.735555183503</v>
      </c>
      <c r="AW16" s="92" t="str">
        <f t="shared" si="10"/>
        <v/>
      </c>
      <c r="AX16" s="92" t="str">
        <f t="shared" si="11"/>
        <v/>
      </c>
      <c r="AY16" s="93">
        <f t="shared" si="12"/>
        <v>17433.320872317669</v>
      </c>
      <c r="AZ16" s="94">
        <f t="shared" si="13"/>
        <v>17433.320872317669</v>
      </c>
      <c r="BA16" s="95">
        <f t="shared" si="14"/>
        <v>21130.735555183503</v>
      </c>
      <c r="BB16" s="689">
        <f>SUM('Defect (Total)'!BB16,Planned!CE16,Reconductor!CE16,CTGS!CE16,'Substation 2025$'!CE16*$BL$1,Comms!CA16*$BL$2)</f>
        <v>1</v>
      </c>
      <c r="BC16" s="689">
        <f>SUM('Defect (Total)'!BC16,Planned!CF16,Reconductor!CF16,CTGS!CF16,'Substation 2025$'!CF16*$BL$1,Comms!CB16*$BL$2)</f>
        <v>0.66136483743230523</v>
      </c>
      <c r="BD16" s="96">
        <f>SUM('Defect (Total)'!BD16,Planned!CG16,Reconductor!CG16,CTGS!CG16,'Substation 2025$'!CG16*$BL$1,Comms!CC16*$BL$2)</f>
        <v>0.66136483743230523</v>
      </c>
      <c r="BE16" s="96">
        <f>SUM('Defect (Total)'!BE16,Planned!CH16,Reconductor!CH16,CTGS!CH16,'Substation 2025$'!CH16*$BL$1,Comms!CD16*$BL$2)</f>
        <v>0.86705460051309069</v>
      </c>
      <c r="BF16" s="96">
        <f>SUM('Defect (Total)'!BF16,Planned!CI16,Reconductor!CI16,CTGS!CI16,'Substation 2025$'!CI16*$BL$1,Comms!CE16*$BL$2)</f>
        <v>0.9099421127632481</v>
      </c>
      <c r="BG16" s="96">
        <f>SUM('Defect (Total)'!BG16,Planned!CJ16,Reconductor!CJ16,CTGS!CJ16,'Substation 2025$'!CJ16*$BL$1,Comms!CF16*$BL$2)</f>
        <v>0.93853378759668615</v>
      </c>
      <c r="BH16" s="96">
        <f>SUM('Defect (Total)'!BH16,Planned!CK16,Reconductor!CK16,CTGS!CK16,'Substation 2025$'!CK16*$BL$1,Comms!CG16*$BL$2)</f>
        <v>0.96712546243012432</v>
      </c>
      <c r="BI16" s="286">
        <f>SUM('Defect (Total)'!BI16,Planned!CL16,Reconductor!CL16,CTGS!CL16,'Substation 2025$'!CL16*$BL$1,Comms!CH16*$BL$2)</f>
        <v>0.98142129984684345</v>
      </c>
      <c r="BJ16" s="99">
        <f t="shared" si="20"/>
        <v>14789.323703455666</v>
      </c>
      <c r="BK16" s="992">
        <f>SUM('Defect (Total)'!BK16,Planned!CQ16,Reconductor!CQ16,CTGS!CQ16,'Substation 2025$'!CQ16*$BL$1,Comms!CM16*$BL$2)</f>
        <v>14789.323703455668</v>
      </c>
      <c r="BL16" s="992">
        <f>SUM('Defect (Total)'!BL16,Planned!CR16,Reconductor!CR16,CTGS!CR16,'Substation 2025$'!CR16*$BL$1,Comms!CN16*$BL$2)</f>
        <v>9781.138666869696</v>
      </c>
      <c r="BM16" s="524">
        <f>SUM('Defect (Total)'!BM16,Planned!CS16,Reconductor!CS16,CTGS!CS16,'Substation 2025$'!CS16*$BL$1,Comms!CO16*$BL$2)</f>
        <v>9781.138666869696</v>
      </c>
      <c r="BN16" s="416">
        <f>SUM('Defect (Total)'!BN16,Planned!CT16,Reconductor!CT16,CTGS!CT16,'Substation 2025$'!CT16*$BL$1,Comms!CP16*$BL$2)</f>
        <v>12823.151155558537</v>
      </c>
      <c r="BO16" s="97">
        <f>SUM('Defect (Total)'!BO16,Planned!CU16,Reconductor!CU16,CTGS!CU16,'Substation 2025$'!CU16*$BL$1,Comms!CQ16*$BL$2)</f>
        <v>13457.428457062035</v>
      </c>
      <c r="BP16" s="97">
        <f>SUM('Defect (Total)'!BP16,Planned!CV16,Reconductor!CV16,CTGS!CV16,'Substation 2025$'!CV16*$BL$1,Comms!CR16*$BL$2)</f>
        <v>13880.279991397698</v>
      </c>
      <c r="BQ16" s="97">
        <f>SUM('Defect (Total)'!BQ16,Planned!CW16,Reconductor!CW16,CTGS!CW16,'Substation 2025$'!CW16*$BL$1,Comms!CS16*$BL$2)</f>
        <v>14303.131525733361</v>
      </c>
      <c r="BR16" s="98">
        <f>SUM('Defect (Total)'!BR16,Planned!CX16,Reconductor!CX16,CTGS!CX16,'Substation 2025$'!CX16*$BL$1,Comms!CT16*$BL$2)</f>
        <v>14514.557292901194</v>
      </c>
      <c r="BS16" s="836">
        <f>'Unit Cost Rate Summary'!AO16</f>
        <v>34.494823514730534</v>
      </c>
      <c r="BT16" s="840">
        <f t="shared" si="15"/>
        <v>0</v>
      </c>
      <c r="BU16" s="832">
        <f t="shared" si="16"/>
        <v>0</v>
      </c>
      <c r="BV16" t="s">
        <v>268</v>
      </c>
      <c r="CI16" s="416">
        <f>VLOOKUP($A16,'Distribution Summary'!$A$136:$CG$146,CI$1,0)*BN16</f>
        <v>14644.229488018833</v>
      </c>
      <c r="CJ16" s="97">
        <f>VLOOKUP($A16,'Distribution Summary'!$A$136:$CG$146,CJ$1,0)*BO16</f>
        <v>15414.662316859183</v>
      </c>
      <c r="CK16" s="97">
        <f>VLOOKUP($A16,'Distribution Summary'!$A$136:$CG$146,CK$1,0)*BP16</f>
        <v>15952.833634600614</v>
      </c>
      <c r="CL16" s="97">
        <f>VLOOKUP($A16,'Distribution Summary'!$A$136:$CG$146,CL$1,0)*BQ16</f>
        <v>16507.401060788699</v>
      </c>
      <c r="CM16" s="98">
        <f>VLOOKUP($A16,'Distribution Summary'!$A$136:$CG$146,CM$1,0)*BR16</f>
        <v>16840.985213228716</v>
      </c>
    </row>
    <row r="17" spans="1:91" x14ac:dyDescent="0.25">
      <c r="A17" s="81" t="s">
        <v>27</v>
      </c>
      <c r="B17" s="82" t="s">
        <v>45</v>
      </c>
      <c r="C17" s="83" t="s">
        <v>46</v>
      </c>
      <c r="D17" s="84">
        <f>SUM('Defect (Total)'!D17,Planned!D17,Reconductor!D17,CTGS!D17)</f>
        <v>155932</v>
      </c>
      <c r="E17" s="85">
        <f>SUM('Defect (Total)'!E17,Planned!E17,Reconductor!E17,CTGS!E17)</f>
        <v>1879751</v>
      </c>
      <c r="F17" s="85">
        <f>SUM('Defect (Total)'!F17,Planned!F17,Reconductor!F17,CTGS!F17)</f>
        <v>0</v>
      </c>
      <c r="G17" s="85">
        <f>SUM('Defect (Total)'!G17,Planned!G17,Reconductor!G17,CTGS!G17)</f>
        <v>0</v>
      </c>
      <c r="H17" s="85">
        <f>SUM('Defect (Total)'!H17,Planned!H17,Reconductor!H17,CTGS!H17)</f>
        <v>0</v>
      </c>
      <c r="I17" s="85">
        <f>SUM('Defect (Total)'!I17,Planned!I17,Reconductor!I17,CTGS!I17)</f>
        <v>0</v>
      </c>
      <c r="J17" s="85">
        <f>SUM('Defect (Total)'!J17,Planned!J17,Reconductor!J17,CTGS!J17)</f>
        <v>292150.60757172696</v>
      </c>
      <c r="K17" s="85">
        <f>SUM('Defect (Total)'!K17,Planned!K17,Reconductor!K17,CTGS!K17)</f>
        <v>0</v>
      </c>
      <c r="L17" s="85">
        <f>SUM('Defect (Total)'!L17,Planned!L17,Reconductor!L17,CTGS!L17)</f>
        <v>0</v>
      </c>
      <c r="M17" s="85">
        <f>SUM('Defect (Total)'!M17,Planned!M17,Reconductor!M17,CTGS!M17)</f>
        <v>0</v>
      </c>
      <c r="N17" s="85">
        <f>SUM('Defect (Total)'!N17,Planned!N17,Reconductor!N17,CTGS!N17)</f>
        <v>9680355.7248925883</v>
      </c>
      <c r="O17" s="560">
        <f>SUM('Defect (Total)'!O17,Planned!O17,Reconductor!O17,CTGS!O17)</f>
        <v>209799.69476651991</v>
      </c>
      <c r="P17" s="561">
        <f>SUM('Defect (Total)'!P17,Planned!P17,Reconductor!P17,CTGS!P17)</f>
        <v>2491480.1026162701</v>
      </c>
      <c r="Q17" s="561">
        <f>SUM('Defect (Total)'!Q17,Planned!Q17,Reconductor!Q17,CTGS!Q17)</f>
        <v>0</v>
      </c>
      <c r="R17" s="561">
        <f>SUM('Defect (Total)'!R17,Planned!R17,Reconductor!R17,CTGS!R17)</f>
        <v>0</v>
      </c>
      <c r="S17" s="561">
        <f>SUM('Defect (Total)'!S17,Planned!S17,Reconductor!S17,CTGS!S17)</f>
        <v>0</v>
      </c>
      <c r="T17" s="561">
        <f>SUM('Defect (Total)'!T17,Planned!T17,Reconductor!T17,CTGS!T17)</f>
        <v>0</v>
      </c>
      <c r="U17" s="561">
        <f>SUM('Defect (Total)'!U17,Planned!U17,Reconductor!U17,CTGS!U17)</f>
        <v>363870.06827215798</v>
      </c>
      <c r="V17" s="561">
        <f>SUM('Defect (Total)'!V17,Planned!V17,Reconductor!V17,CTGS!V17)</f>
        <v>0</v>
      </c>
      <c r="W17" s="561">
        <f>SUM('Defect (Total)'!W17,Planned!W17,Reconductor!W17,CTGS!W17)</f>
        <v>0</v>
      </c>
      <c r="X17" s="561">
        <f>SUM('Defect (Total)'!X17,Planned!X17,Reconductor!X17,CTGS!X17)</f>
        <v>0</v>
      </c>
      <c r="Y17" s="561">
        <f>SUM('Defect (Total)'!Y17,Planned!Y17,Reconductor!Y17,CTGS!Y17)</f>
        <v>9946550.7865653988</v>
      </c>
      <c r="Z17" s="86">
        <f>SUM('Defect (Total)'!Z17,Planned!Z17,Reconductor!Z17,CTGS!Z17)</f>
        <v>3</v>
      </c>
      <c r="AA17" s="87">
        <f>SUM('Defect (Total)'!AA17,Planned!AA17,Reconductor!AA17,CTGS!AA17)</f>
        <v>42</v>
      </c>
      <c r="AB17" s="87">
        <f>SUM('Defect (Total)'!AB17,Planned!AB17,Reconductor!AB17,CTGS!AB17)</f>
        <v>0</v>
      </c>
      <c r="AC17" s="87">
        <f>SUM('Defect (Total)'!AC17,Planned!AC17,Reconductor!AC17,CTGS!AC17)</f>
        <v>0</v>
      </c>
      <c r="AD17" s="87">
        <f>SUM('Defect (Total)'!AD17,Planned!AD17,Reconductor!AD17,CTGS!AD17)</f>
        <v>0</v>
      </c>
      <c r="AE17" s="87">
        <f>SUM('Defect (Total)'!AE17,Planned!AE17,Reconductor!AE17,CTGS!AE17)</f>
        <v>0</v>
      </c>
      <c r="AF17" s="87">
        <f>SUM('Defect (Total)'!AF17,Planned!AF17,Reconductor!AF17,CTGS!AF17)</f>
        <v>4</v>
      </c>
      <c r="AG17" s="87">
        <f>SUM('Defect (Total)'!AG17,Planned!AG17,Reconductor!AG17,CTGS!AG17)</f>
        <v>0</v>
      </c>
      <c r="AH17" s="87">
        <f>SUM('Defect (Total)'!AH17,Planned!AH17,Reconductor!AH17,CTGS!AH17)</f>
        <v>0</v>
      </c>
      <c r="AI17" s="87">
        <f>SUM('Defect (Total)'!AI17,Planned!AI17,Reconductor!AI17,CTGS!AI17)</f>
        <v>0</v>
      </c>
      <c r="AJ17" s="87">
        <f>SUM('Defect (Total)'!AJ17,Planned!AJ17,Reconductor!AJ17,CTGS!AJ17)</f>
        <v>464</v>
      </c>
      <c r="AK17" s="88">
        <f t="shared" si="17"/>
        <v>0.8</v>
      </c>
      <c r="AL17" s="89">
        <f t="shared" si="18"/>
        <v>0</v>
      </c>
      <c r="AM17" s="90">
        <f t="shared" si="19"/>
        <v>0</v>
      </c>
      <c r="AN17" s="91">
        <f t="shared" si="1"/>
        <v>51977.333333333336</v>
      </c>
      <c r="AO17" s="92">
        <f t="shared" si="2"/>
        <v>44755.976190476191</v>
      </c>
      <c r="AP17" s="92" t="str">
        <f t="shared" si="3"/>
        <v/>
      </c>
      <c r="AQ17" s="92" t="str">
        <f t="shared" si="4"/>
        <v/>
      </c>
      <c r="AR17" s="92" t="str">
        <f t="shared" si="5"/>
        <v/>
      </c>
      <c r="AS17" s="92" t="str">
        <f t="shared" si="6"/>
        <v/>
      </c>
      <c r="AT17" s="92">
        <f t="shared" si="7"/>
        <v>73037.651892931739</v>
      </c>
      <c r="AU17" s="92" t="str">
        <f t="shared" si="8"/>
        <v/>
      </c>
      <c r="AV17" s="92" t="str">
        <f t="shared" si="9"/>
        <v/>
      </c>
      <c r="AW17" s="92" t="str">
        <f t="shared" si="10"/>
        <v/>
      </c>
      <c r="AX17" s="92">
        <f t="shared" si="11"/>
        <v>20862.835613992647</v>
      </c>
      <c r="AY17" s="93">
        <f t="shared" si="12"/>
        <v>73037.651892931739</v>
      </c>
      <c r="AZ17" s="94">
        <f t="shared" si="13"/>
        <v>73037.651892931739</v>
      </c>
      <c r="BA17" s="95" t="str">
        <f t="shared" si="14"/>
        <v/>
      </c>
      <c r="BB17" s="689">
        <f>SUM('Defect (Total)'!BB17,Planned!CE17,Reconductor!CE17,CTGS!CE17,'Substation 2025$'!CE17*$BL$1,Comms!CA17*$BL$2)</f>
        <v>0</v>
      </c>
      <c r="BC17" s="689">
        <f>SUM('Defect (Total)'!BC17,Planned!CF17,Reconductor!CF17,CTGS!CF17,'Substation 2025$'!CF17*$BL$1,Comms!CB17*$BL$2)</f>
        <v>0</v>
      </c>
      <c r="BD17" s="96">
        <f>SUM('Defect (Total)'!BD17,Planned!CG17,Reconductor!CG17,CTGS!CG17,'Substation 2025$'!CG17*$BL$1,Comms!CC17*$BL$2)</f>
        <v>0</v>
      </c>
      <c r="BE17" s="96">
        <f>SUM('Defect (Total)'!BE17,Planned!CH17,Reconductor!CH17,CTGS!CH17,'Substation 2025$'!CH17*$BL$1,Comms!CD17*$BL$2)</f>
        <v>0</v>
      </c>
      <c r="BF17" s="96">
        <f>SUM('Defect (Total)'!BF17,Planned!CI17,Reconductor!CI17,CTGS!CI17,'Substation 2025$'!CI17*$BL$1,Comms!CE17*$BL$2)</f>
        <v>0</v>
      </c>
      <c r="BG17" s="96">
        <f>SUM('Defect (Total)'!BG17,Planned!CJ17,Reconductor!CJ17,CTGS!CJ17,'Substation 2025$'!CJ17*$BL$1,Comms!CF17*$BL$2)</f>
        <v>0</v>
      </c>
      <c r="BH17" s="96">
        <f>SUM('Defect (Total)'!BH17,Planned!CK17,Reconductor!CK17,CTGS!CK17,'Substation 2025$'!CK17*$BL$1,Comms!CG17*$BL$2)</f>
        <v>0</v>
      </c>
      <c r="BI17" s="286">
        <f>SUM('Defect (Total)'!BI17,Planned!CL17,Reconductor!CL17,CTGS!CL17,'Substation 2025$'!CL17*$BL$1,Comms!CH17*$BL$2)</f>
        <v>0</v>
      </c>
      <c r="BJ17" s="99" t="str">
        <f t="shared" si="20"/>
        <v/>
      </c>
      <c r="BK17" s="992">
        <f>SUM('Defect (Total)'!BK17,Planned!CQ17,Reconductor!CQ17,CTGS!CQ17,'Substation 2025$'!CQ17*$BL$1,Comms!CM17*$BL$2)</f>
        <v>0</v>
      </c>
      <c r="BL17" s="992">
        <f>SUM('Defect (Total)'!BL17,Planned!CR17,Reconductor!CR17,CTGS!CR17,'Substation 2025$'!CR17*$BL$1,Comms!CN17*$BL$2)</f>
        <v>0</v>
      </c>
      <c r="BM17" s="524">
        <f>SUM('Defect (Total)'!BM17,Planned!CS17,Reconductor!CS17,CTGS!CS17,'Substation 2025$'!CS17*$BL$1,Comms!CO17*$BL$2)</f>
        <v>0</v>
      </c>
      <c r="BN17" s="416">
        <f>SUM('Defect (Total)'!BN17,Planned!CT17,Reconductor!CT17,CTGS!CT17,'Substation 2025$'!CT17*$BL$1,Comms!CP17*$BL$2)</f>
        <v>0</v>
      </c>
      <c r="BO17" s="97">
        <f>SUM('Defect (Total)'!BO17,Planned!CU17,Reconductor!CU17,CTGS!CU17,'Substation 2025$'!CU17*$BL$1,Comms!CQ17*$BL$2)</f>
        <v>0</v>
      </c>
      <c r="BP17" s="97">
        <f>SUM('Defect (Total)'!BP17,Planned!CV17,Reconductor!CV17,CTGS!CV17,'Substation 2025$'!CV17*$BL$1,Comms!CR17*$BL$2)</f>
        <v>0</v>
      </c>
      <c r="BQ17" s="97">
        <f>SUM('Defect (Total)'!BQ17,Planned!CW17,Reconductor!CW17,CTGS!CW17,'Substation 2025$'!CW17*$BL$1,Comms!CS17*$BL$2)</f>
        <v>0</v>
      </c>
      <c r="BR17" s="98">
        <f>SUM('Defect (Total)'!BR17,Planned!CX17,Reconductor!CX17,CTGS!CX17,'Substation 2025$'!CX17*$BL$1,Comms!CT17*$BL$2)</f>
        <v>0</v>
      </c>
      <c r="BS17" s="836" t="str">
        <f>'Unit Cost Rate Summary'!AO17</f>
        <v/>
      </c>
      <c r="BT17" s="840" t="str">
        <f t="shared" si="15"/>
        <v/>
      </c>
      <c r="BU17" s="832" t="str">
        <f t="shared" si="16"/>
        <v/>
      </c>
      <c r="BV17" t="s">
        <v>268</v>
      </c>
      <c r="CI17" s="416">
        <f>VLOOKUP($A17,'Distribution Summary'!$A$136:$CG$146,CI$1,0)*BN17</f>
        <v>0</v>
      </c>
      <c r="CJ17" s="97">
        <f>VLOOKUP($A17,'Distribution Summary'!$A$136:$CG$146,CJ$1,0)*BO17</f>
        <v>0</v>
      </c>
      <c r="CK17" s="97">
        <f>VLOOKUP($A17,'Distribution Summary'!$A$136:$CG$146,CK$1,0)*BP17</f>
        <v>0</v>
      </c>
      <c r="CL17" s="97">
        <f>VLOOKUP($A17,'Distribution Summary'!$A$136:$CG$146,CL$1,0)*BQ17</f>
        <v>0</v>
      </c>
      <c r="CM17" s="98">
        <f>VLOOKUP($A17,'Distribution Summary'!$A$136:$CG$146,CM$1,0)*BR17</f>
        <v>0</v>
      </c>
    </row>
    <row r="18" spans="1:91" x14ac:dyDescent="0.25">
      <c r="A18" s="81" t="s">
        <v>27</v>
      </c>
      <c r="B18" s="82" t="s">
        <v>47</v>
      </c>
      <c r="C18" s="83" t="s">
        <v>48</v>
      </c>
      <c r="D18" s="84">
        <f>SUM('Defect (Total)'!D18,Planned!D18,Reconductor!D18,CTGS!D18)</f>
        <v>0</v>
      </c>
      <c r="E18" s="85">
        <f>SUM('Defect (Total)'!E18,Planned!E18,Reconductor!E18,CTGS!E18)</f>
        <v>1297678</v>
      </c>
      <c r="F18" s="85">
        <f>SUM('Defect (Total)'!F18,Planned!F18,Reconductor!F18,CTGS!F18)</f>
        <v>0</v>
      </c>
      <c r="G18" s="85">
        <f>SUM('Defect (Total)'!G18,Planned!G18,Reconductor!G18,CTGS!G18)</f>
        <v>0</v>
      </c>
      <c r="H18" s="85">
        <f>SUM('Defect (Total)'!H18,Planned!H18,Reconductor!H18,CTGS!H18)</f>
        <v>0</v>
      </c>
      <c r="I18" s="85">
        <f>SUM('Defect (Total)'!I18,Planned!I18,Reconductor!I18,CTGS!I18)</f>
        <v>0</v>
      </c>
      <c r="J18" s="85">
        <f>SUM('Defect (Total)'!J18,Planned!J18,Reconductor!J18,CTGS!J18)</f>
        <v>0</v>
      </c>
      <c r="K18" s="85">
        <f>SUM('Defect (Total)'!K18,Planned!K18,Reconductor!K18,CTGS!K18)</f>
        <v>0</v>
      </c>
      <c r="L18" s="85">
        <f>SUM('Defect (Total)'!L18,Planned!L18,Reconductor!L18,CTGS!L18)</f>
        <v>0</v>
      </c>
      <c r="M18" s="85">
        <f>SUM('Defect (Total)'!M18,Planned!M18,Reconductor!M18,CTGS!M18)</f>
        <v>0</v>
      </c>
      <c r="N18" s="85">
        <f>SUM('Defect (Total)'!N18,Planned!N18,Reconductor!N18,CTGS!N18)</f>
        <v>2205606.1924981433</v>
      </c>
      <c r="O18" s="560">
        <f>SUM('Defect (Total)'!O18,Planned!O18,Reconductor!O18,CTGS!O18)</f>
        <v>0</v>
      </c>
      <c r="P18" s="561">
        <f>SUM('Defect (Total)'!P18,Planned!P18,Reconductor!P18,CTGS!P18)</f>
        <v>1719982.549073189</v>
      </c>
      <c r="Q18" s="561">
        <f>SUM('Defect (Total)'!Q18,Planned!Q18,Reconductor!Q18,CTGS!Q18)</f>
        <v>0</v>
      </c>
      <c r="R18" s="561">
        <f>SUM('Defect (Total)'!R18,Planned!R18,Reconductor!R18,CTGS!R18)</f>
        <v>0</v>
      </c>
      <c r="S18" s="561">
        <f>SUM('Defect (Total)'!S18,Planned!S18,Reconductor!S18,CTGS!S18)</f>
        <v>0</v>
      </c>
      <c r="T18" s="561">
        <f>SUM('Defect (Total)'!T18,Planned!T18,Reconductor!T18,CTGS!T18)</f>
        <v>0</v>
      </c>
      <c r="U18" s="561">
        <f>SUM('Defect (Total)'!U18,Planned!U18,Reconductor!U18,CTGS!U18)</f>
        <v>0</v>
      </c>
      <c r="V18" s="561">
        <f>SUM('Defect (Total)'!V18,Planned!V18,Reconductor!V18,CTGS!V18)</f>
        <v>0</v>
      </c>
      <c r="W18" s="561">
        <f>SUM('Defect (Total)'!W18,Planned!W18,Reconductor!W18,CTGS!W18)</f>
        <v>0</v>
      </c>
      <c r="X18" s="561">
        <f>SUM('Defect (Total)'!X18,Planned!X18,Reconductor!X18,CTGS!X18)</f>
        <v>0</v>
      </c>
      <c r="Y18" s="561">
        <f>SUM('Defect (Total)'!Y18,Planned!Y18,Reconductor!Y18,CTGS!Y18)</f>
        <v>2266257.0087618702</v>
      </c>
      <c r="Z18" s="86">
        <f>SUM('Defect (Total)'!Z18,Planned!Z18,Reconductor!Z18,CTGS!Z18)</f>
        <v>0</v>
      </c>
      <c r="AA18" s="87">
        <f>SUM('Defect (Total)'!AA18,Planned!AA18,Reconductor!AA18,CTGS!AA18)</f>
        <v>7</v>
      </c>
      <c r="AB18" s="87">
        <f>SUM('Defect (Total)'!AB18,Planned!AB18,Reconductor!AB18,CTGS!AB18)</f>
        <v>0</v>
      </c>
      <c r="AC18" s="87">
        <f>SUM('Defect (Total)'!AC18,Planned!AC18,Reconductor!AC18,CTGS!AC18)</f>
        <v>0</v>
      </c>
      <c r="AD18" s="87">
        <f>SUM('Defect (Total)'!AD18,Planned!AD18,Reconductor!AD18,CTGS!AD18)</f>
        <v>0</v>
      </c>
      <c r="AE18" s="87">
        <f>SUM('Defect (Total)'!AE18,Planned!AE18,Reconductor!AE18,CTGS!AE18)</f>
        <v>0</v>
      </c>
      <c r="AF18" s="87">
        <f>SUM('Defect (Total)'!AF18,Planned!AF18,Reconductor!AF18,CTGS!AF18)</f>
        <v>0</v>
      </c>
      <c r="AG18" s="87">
        <f>SUM('Defect (Total)'!AG18,Planned!AG18,Reconductor!AG18,CTGS!AG18)</f>
        <v>0</v>
      </c>
      <c r="AH18" s="87">
        <f>SUM('Defect (Total)'!AH18,Planned!AH18,Reconductor!AH18,CTGS!AH18)</f>
        <v>0</v>
      </c>
      <c r="AI18" s="87">
        <f>SUM('Defect (Total)'!AI18,Planned!AI18,Reconductor!AI18,CTGS!AI18)</f>
        <v>0</v>
      </c>
      <c r="AJ18" s="87">
        <f>SUM('Defect (Total)'!AJ18,Planned!AJ18,Reconductor!AJ18,CTGS!AJ18)</f>
        <v>0</v>
      </c>
      <c r="AK18" s="88">
        <f t="shared" si="17"/>
        <v>0</v>
      </c>
      <c r="AL18" s="89">
        <f t="shared" si="18"/>
        <v>0</v>
      </c>
      <c r="AM18" s="90">
        <f t="shared" si="19"/>
        <v>0</v>
      </c>
      <c r="AN18" s="91" t="str">
        <f t="shared" si="1"/>
        <v/>
      </c>
      <c r="AO18" s="92">
        <f t="shared" si="2"/>
        <v>185382.57142857142</v>
      </c>
      <c r="AP18" s="92" t="str">
        <f t="shared" si="3"/>
        <v/>
      </c>
      <c r="AQ18" s="92" t="str">
        <f t="shared" si="4"/>
        <v/>
      </c>
      <c r="AR18" s="92" t="str">
        <f t="shared" si="5"/>
        <v/>
      </c>
      <c r="AS18" s="92" t="str">
        <f t="shared" si="6"/>
        <v/>
      </c>
      <c r="AT18" s="92" t="str">
        <f t="shared" si="7"/>
        <v/>
      </c>
      <c r="AU18" s="92" t="str">
        <f t="shared" si="8"/>
        <v/>
      </c>
      <c r="AV18" s="92" t="str">
        <f t="shared" si="9"/>
        <v/>
      </c>
      <c r="AW18" s="92" t="str">
        <f t="shared" si="10"/>
        <v/>
      </c>
      <c r="AX18" s="92" t="str">
        <f t="shared" si="11"/>
        <v/>
      </c>
      <c r="AY18" s="93" t="str">
        <f t="shared" si="12"/>
        <v/>
      </c>
      <c r="AZ18" s="94" t="str">
        <f t="shared" si="13"/>
        <v/>
      </c>
      <c r="BA18" s="95" t="str">
        <f t="shared" si="14"/>
        <v/>
      </c>
      <c r="BB18" s="689">
        <f>SUM('Defect (Total)'!BB18,Planned!CE18,Reconductor!CE18,CTGS!CE18,'Substation 2025$'!CE18*$BL$1,Comms!CA18*$BL$2)</f>
        <v>0</v>
      </c>
      <c r="BC18" s="689">
        <f>SUM('Defect (Total)'!BC18,Planned!CF18,Reconductor!CF18,CTGS!CF18,'Substation 2025$'!CF18*$BL$1,Comms!CB18*$BL$2)</f>
        <v>0</v>
      </c>
      <c r="BD18" s="96">
        <f>SUM('Defect (Total)'!BD18,Planned!CG18,Reconductor!CG18,CTGS!CG18,'Substation 2025$'!CG18*$BL$1,Comms!CC18*$BL$2)</f>
        <v>0</v>
      </c>
      <c r="BE18" s="96">
        <f>SUM('Defect (Total)'!BE18,Planned!CH18,Reconductor!CH18,CTGS!CH18,'Substation 2025$'!CH18*$BL$1,Comms!CD18*$BL$2)</f>
        <v>0</v>
      </c>
      <c r="BF18" s="96">
        <f>SUM('Defect (Total)'!BF18,Planned!CI18,Reconductor!CI18,CTGS!CI18,'Substation 2025$'!CI18*$BL$1,Comms!CE18*$BL$2)</f>
        <v>0</v>
      </c>
      <c r="BG18" s="96">
        <f>SUM('Defect (Total)'!BG18,Planned!CJ18,Reconductor!CJ18,CTGS!CJ18,'Substation 2025$'!CJ18*$BL$1,Comms!CF18*$BL$2)</f>
        <v>0</v>
      </c>
      <c r="BH18" s="96">
        <f>SUM('Defect (Total)'!BH18,Planned!CK18,Reconductor!CK18,CTGS!CK18,'Substation 2025$'!CK18*$BL$1,Comms!CG18*$BL$2)</f>
        <v>0</v>
      </c>
      <c r="BI18" s="286">
        <f>SUM('Defect (Total)'!BI18,Planned!CL18,Reconductor!CL18,CTGS!CL18,'Substation 2025$'!CL18*$BL$1,Comms!CH18*$BL$2)</f>
        <v>0</v>
      </c>
      <c r="BJ18" s="99" t="str">
        <f t="shared" si="20"/>
        <v/>
      </c>
      <c r="BK18" s="992">
        <f>SUM('Defect (Total)'!BK18,Planned!CQ18,Reconductor!CQ18,CTGS!CQ18,'Substation 2025$'!CQ18*$BL$1,Comms!CM18*$BL$2)</f>
        <v>0</v>
      </c>
      <c r="BL18" s="992">
        <f>SUM('Defect (Total)'!BL18,Planned!CR18,Reconductor!CR18,CTGS!CR18,'Substation 2025$'!CR18*$BL$1,Comms!CN18*$BL$2)</f>
        <v>0</v>
      </c>
      <c r="BM18" s="524">
        <f>SUM('Defect (Total)'!BM18,Planned!CS18,Reconductor!CS18,CTGS!CS18,'Substation 2025$'!CS18*$BL$1,Comms!CO18*$BL$2)</f>
        <v>0</v>
      </c>
      <c r="BN18" s="416">
        <f>SUM('Defect (Total)'!BN18,Planned!CT18,Reconductor!CT18,CTGS!CT18,'Substation 2025$'!CT18*$BL$1,Comms!CP18*$BL$2)</f>
        <v>0</v>
      </c>
      <c r="BO18" s="97">
        <f>SUM('Defect (Total)'!BO18,Planned!CU18,Reconductor!CU18,CTGS!CU18,'Substation 2025$'!CU18*$BL$1,Comms!CQ18*$BL$2)</f>
        <v>0</v>
      </c>
      <c r="BP18" s="97">
        <f>SUM('Defect (Total)'!BP18,Planned!CV18,Reconductor!CV18,CTGS!CV18,'Substation 2025$'!CV18*$BL$1,Comms!CR18*$BL$2)</f>
        <v>0</v>
      </c>
      <c r="BQ18" s="97">
        <f>SUM('Defect (Total)'!BQ18,Planned!CW18,Reconductor!CW18,CTGS!CW18,'Substation 2025$'!CW18*$BL$1,Comms!CS18*$BL$2)</f>
        <v>0</v>
      </c>
      <c r="BR18" s="98">
        <f>SUM('Defect (Total)'!BR18,Planned!CX18,Reconductor!CX18,CTGS!CX18,'Substation 2025$'!CX18*$BL$1,Comms!CT18*$BL$2)</f>
        <v>0</v>
      </c>
      <c r="BS18" s="836" t="str">
        <f>'Unit Cost Rate Summary'!AO18</f>
        <v/>
      </c>
      <c r="BT18" s="840" t="str">
        <f t="shared" si="15"/>
        <v/>
      </c>
      <c r="BU18" s="832" t="str">
        <f t="shared" si="16"/>
        <v/>
      </c>
      <c r="BV18" t="s">
        <v>268</v>
      </c>
      <c r="CI18" s="416">
        <f>VLOOKUP($A18,'Distribution Summary'!$A$136:$CG$146,CI$1,0)*BN18</f>
        <v>0</v>
      </c>
      <c r="CJ18" s="97">
        <f>VLOOKUP($A18,'Distribution Summary'!$A$136:$CG$146,CJ$1,0)*BO18</f>
        <v>0</v>
      </c>
      <c r="CK18" s="97">
        <f>VLOOKUP($A18,'Distribution Summary'!$A$136:$CG$146,CK$1,0)*BP18</f>
        <v>0</v>
      </c>
      <c r="CL18" s="97">
        <f>VLOOKUP($A18,'Distribution Summary'!$A$136:$CG$146,CL$1,0)*BQ18</f>
        <v>0</v>
      </c>
      <c r="CM18" s="98">
        <f>VLOOKUP($A18,'Distribution Summary'!$A$136:$CG$146,CM$1,0)*BR18</f>
        <v>0</v>
      </c>
    </row>
    <row r="19" spans="1:91" x14ac:dyDescent="0.25">
      <c r="A19" s="81" t="s">
        <v>27</v>
      </c>
      <c r="B19" s="82" t="s">
        <v>49</v>
      </c>
      <c r="C19" s="83" t="s">
        <v>50</v>
      </c>
      <c r="D19" s="84">
        <f>SUM('Defect (Total)'!D19,Planned!D19,Reconductor!D19,CTGS!D19)</f>
        <v>0</v>
      </c>
      <c r="E19" s="85">
        <f>SUM('Defect (Total)'!E19,Planned!E19,Reconductor!E19,CTGS!E19)</f>
        <v>0</v>
      </c>
      <c r="F19" s="85">
        <f>SUM('Defect (Total)'!F19,Planned!F19,Reconductor!F19,CTGS!F19)</f>
        <v>0</v>
      </c>
      <c r="G19" s="85">
        <f>SUM('Defect (Total)'!G19,Planned!G19,Reconductor!G19,CTGS!G19)</f>
        <v>0</v>
      </c>
      <c r="H19" s="85">
        <f>SUM('Defect (Total)'!H19,Planned!H19,Reconductor!H19,CTGS!H19)</f>
        <v>0</v>
      </c>
      <c r="I19" s="85">
        <f>SUM('Defect (Total)'!I19,Planned!I19,Reconductor!I19,CTGS!I19)</f>
        <v>0</v>
      </c>
      <c r="J19" s="85">
        <f>SUM('Defect (Total)'!J19,Planned!J19,Reconductor!J19,CTGS!J19)</f>
        <v>0</v>
      </c>
      <c r="K19" s="85">
        <f>SUM('Defect (Total)'!K19,Planned!K19,Reconductor!K19,CTGS!K19)</f>
        <v>0</v>
      </c>
      <c r="L19" s="85">
        <f>SUM('Defect (Total)'!L19,Planned!L19,Reconductor!L19,CTGS!L19)</f>
        <v>0</v>
      </c>
      <c r="M19" s="85">
        <f>SUM('Defect (Total)'!M19,Planned!M19,Reconductor!M19,CTGS!M19)</f>
        <v>0</v>
      </c>
      <c r="N19" s="85">
        <f>SUM('Defect (Total)'!N19,Planned!N19,Reconductor!N19,CTGS!N19)</f>
        <v>0</v>
      </c>
      <c r="O19" s="560">
        <f>SUM('Defect (Total)'!O19,Planned!O19,Reconductor!O19,CTGS!O19)</f>
        <v>0</v>
      </c>
      <c r="P19" s="561">
        <f>SUM('Defect (Total)'!P19,Planned!P19,Reconductor!P19,CTGS!P19)</f>
        <v>0</v>
      </c>
      <c r="Q19" s="561">
        <f>SUM('Defect (Total)'!Q19,Planned!Q19,Reconductor!Q19,CTGS!Q19)</f>
        <v>0</v>
      </c>
      <c r="R19" s="561">
        <f>SUM('Defect (Total)'!R19,Planned!R19,Reconductor!R19,CTGS!R19)</f>
        <v>0</v>
      </c>
      <c r="S19" s="561">
        <f>SUM('Defect (Total)'!S19,Planned!S19,Reconductor!S19,CTGS!S19)</f>
        <v>0</v>
      </c>
      <c r="T19" s="561">
        <f>SUM('Defect (Total)'!T19,Planned!T19,Reconductor!T19,CTGS!T19)</f>
        <v>0</v>
      </c>
      <c r="U19" s="561">
        <f>SUM('Defect (Total)'!U19,Planned!U19,Reconductor!U19,CTGS!U19)</f>
        <v>0</v>
      </c>
      <c r="V19" s="561">
        <f>SUM('Defect (Total)'!V19,Planned!V19,Reconductor!V19,CTGS!V19)</f>
        <v>0</v>
      </c>
      <c r="W19" s="561">
        <f>SUM('Defect (Total)'!W19,Planned!W19,Reconductor!W19,CTGS!W19)</f>
        <v>0</v>
      </c>
      <c r="X19" s="561">
        <f>SUM('Defect (Total)'!X19,Planned!X19,Reconductor!X19,CTGS!X19)</f>
        <v>0</v>
      </c>
      <c r="Y19" s="561">
        <f>SUM('Defect (Total)'!Y19,Planned!Y19,Reconductor!Y19,CTGS!Y19)</f>
        <v>0</v>
      </c>
      <c r="Z19" s="86">
        <f>SUM('Defect (Total)'!Z19,Planned!Z19,Reconductor!Z19,CTGS!Z19)</f>
        <v>0</v>
      </c>
      <c r="AA19" s="87">
        <f>SUM('Defect (Total)'!AA19,Planned!AA19,Reconductor!AA19,CTGS!AA19)</f>
        <v>0</v>
      </c>
      <c r="AB19" s="87">
        <f>SUM('Defect (Total)'!AB19,Planned!AB19,Reconductor!AB19,CTGS!AB19)</f>
        <v>0</v>
      </c>
      <c r="AC19" s="87">
        <f>SUM('Defect (Total)'!AC19,Planned!AC19,Reconductor!AC19,CTGS!AC19)</f>
        <v>0</v>
      </c>
      <c r="AD19" s="87">
        <f>SUM('Defect (Total)'!AD19,Planned!AD19,Reconductor!AD19,CTGS!AD19)</f>
        <v>0</v>
      </c>
      <c r="AE19" s="87">
        <f>SUM('Defect (Total)'!AE19,Planned!AE19,Reconductor!AE19,CTGS!AE19)</f>
        <v>0</v>
      </c>
      <c r="AF19" s="87">
        <f>SUM('Defect (Total)'!AF19,Planned!AF19,Reconductor!AF19,CTGS!AF19)</f>
        <v>0</v>
      </c>
      <c r="AG19" s="87">
        <f>SUM('Defect (Total)'!AG19,Planned!AG19,Reconductor!AG19,CTGS!AG19)</f>
        <v>0</v>
      </c>
      <c r="AH19" s="87">
        <f>SUM('Defect (Total)'!AH19,Planned!AH19,Reconductor!AH19,CTGS!AH19)</f>
        <v>0</v>
      </c>
      <c r="AI19" s="87">
        <f>SUM('Defect (Total)'!AI19,Planned!AI19,Reconductor!AI19,CTGS!AI19)</f>
        <v>0</v>
      </c>
      <c r="AJ19" s="87">
        <f>SUM('Defect (Total)'!AJ19,Planned!AJ19,Reconductor!AJ19,CTGS!AJ19)</f>
        <v>0</v>
      </c>
      <c r="AK19" s="88">
        <f t="shared" si="17"/>
        <v>0</v>
      </c>
      <c r="AL19" s="89">
        <f t="shared" si="18"/>
        <v>0</v>
      </c>
      <c r="AM19" s="90">
        <f t="shared" si="19"/>
        <v>0</v>
      </c>
      <c r="AN19" s="91" t="str">
        <f t="shared" si="1"/>
        <v/>
      </c>
      <c r="AO19" s="92" t="str">
        <f t="shared" si="2"/>
        <v/>
      </c>
      <c r="AP19" s="92" t="str">
        <f t="shared" si="3"/>
        <v/>
      </c>
      <c r="AQ19" s="92" t="str">
        <f t="shared" si="4"/>
        <v/>
      </c>
      <c r="AR19" s="92" t="str">
        <f t="shared" si="5"/>
        <v/>
      </c>
      <c r="AS19" s="92" t="str">
        <f t="shared" si="6"/>
        <v/>
      </c>
      <c r="AT19" s="92" t="str">
        <f t="shared" si="7"/>
        <v/>
      </c>
      <c r="AU19" s="92" t="str">
        <f t="shared" si="8"/>
        <v/>
      </c>
      <c r="AV19" s="92" t="str">
        <f t="shared" si="9"/>
        <v/>
      </c>
      <c r="AW19" s="92" t="str">
        <f t="shared" si="10"/>
        <v/>
      </c>
      <c r="AX19" s="92" t="str">
        <f t="shared" si="11"/>
        <v/>
      </c>
      <c r="AY19" s="93" t="str">
        <f t="shared" si="12"/>
        <v/>
      </c>
      <c r="AZ19" s="94" t="str">
        <f t="shared" si="13"/>
        <v/>
      </c>
      <c r="BA19" s="95" t="str">
        <f t="shared" si="14"/>
        <v/>
      </c>
      <c r="BB19" s="689">
        <f>SUM('Defect (Total)'!BB19,Planned!CE19,Reconductor!CE19,CTGS!CE19,'Substation 2025$'!CE19*$BL$1,Comms!CA19*$BL$2)</f>
        <v>0</v>
      </c>
      <c r="BC19" s="689">
        <f>SUM('Defect (Total)'!BC19,Planned!CF19,Reconductor!CF19,CTGS!CF19,'Substation 2025$'!CF19*$BL$1,Comms!CB19*$BL$2)</f>
        <v>0</v>
      </c>
      <c r="BD19" s="96">
        <f>SUM('Defect (Total)'!BD19,Planned!CG19,Reconductor!CG19,CTGS!CG19,'Substation 2025$'!CG19*$BL$1,Comms!CC19*$BL$2)</f>
        <v>0</v>
      </c>
      <c r="BE19" s="96">
        <f>SUM('Defect (Total)'!BE19,Planned!CH19,Reconductor!CH19,CTGS!CH19,'Substation 2025$'!CH19*$BL$1,Comms!CD19*$BL$2)</f>
        <v>0</v>
      </c>
      <c r="BF19" s="96">
        <f>SUM('Defect (Total)'!BF19,Planned!CI19,Reconductor!CI19,CTGS!CI19,'Substation 2025$'!CI19*$BL$1,Comms!CE19*$BL$2)</f>
        <v>0</v>
      </c>
      <c r="BG19" s="96">
        <f>SUM('Defect (Total)'!BG19,Planned!CJ19,Reconductor!CJ19,CTGS!CJ19,'Substation 2025$'!CJ19*$BL$1,Comms!CF19*$BL$2)</f>
        <v>0</v>
      </c>
      <c r="BH19" s="96">
        <f>SUM('Defect (Total)'!BH19,Planned!CK19,Reconductor!CK19,CTGS!CK19,'Substation 2025$'!CK19*$BL$1,Comms!CG19*$BL$2)</f>
        <v>0</v>
      </c>
      <c r="BI19" s="286">
        <f>SUM('Defect (Total)'!BI19,Planned!CL19,Reconductor!CL19,CTGS!CL19,'Substation 2025$'!CL19*$BL$1,Comms!CH19*$BL$2)</f>
        <v>0</v>
      </c>
      <c r="BJ19" s="99" t="str">
        <f t="shared" si="20"/>
        <v/>
      </c>
      <c r="BK19" s="992">
        <f>SUM('Defect (Total)'!BK19,Planned!CQ19,Reconductor!CQ19,CTGS!CQ19,'Substation 2025$'!CQ19*$BL$1,Comms!CM19*$BL$2)</f>
        <v>0</v>
      </c>
      <c r="BL19" s="992">
        <f>SUM('Defect (Total)'!BL19,Planned!CR19,Reconductor!CR19,CTGS!CR19,'Substation 2025$'!CR19*$BL$1,Comms!CN19*$BL$2)</f>
        <v>0</v>
      </c>
      <c r="BM19" s="524">
        <f>SUM('Defect (Total)'!BM19,Planned!CS19,Reconductor!CS19,CTGS!CS19,'Substation 2025$'!CS19*$BL$1,Comms!CO19*$BL$2)</f>
        <v>0</v>
      </c>
      <c r="BN19" s="416">
        <f>SUM('Defect (Total)'!BN19,Planned!CT19,Reconductor!CT19,CTGS!CT19,'Substation 2025$'!CT19*$BL$1,Comms!CP19*$BL$2)</f>
        <v>0</v>
      </c>
      <c r="BO19" s="97">
        <f>SUM('Defect (Total)'!BO19,Planned!CU19,Reconductor!CU19,CTGS!CU19,'Substation 2025$'!CU19*$BL$1,Comms!CQ19*$BL$2)</f>
        <v>0</v>
      </c>
      <c r="BP19" s="97">
        <f>SUM('Defect (Total)'!BP19,Planned!CV19,Reconductor!CV19,CTGS!CV19,'Substation 2025$'!CV19*$BL$1,Comms!CR19*$BL$2)</f>
        <v>0</v>
      </c>
      <c r="BQ19" s="97">
        <f>SUM('Defect (Total)'!BQ19,Planned!CW19,Reconductor!CW19,CTGS!CW19,'Substation 2025$'!CW19*$BL$1,Comms!CS19*$BL$2)</f>
        <v>0</v>
      </c>
      <c r="BR19" s="98">
        <f>SUM('Defect (Total)'!BR19,Planned!CX19,Reconductor!CX19,CTGS!CX19,'Substation 2025$'!CX19*$BL$1,Comms!CT19*$BL$2)</f>
        <v>0</v>
      </c>
      <c r="BS19" s="836" t="str">
        <f>'Unit Cost Rate Summary'!AO19</f>
        <v/>
      </c>
      <c r="BT19" s="840" t="str">
        <f t="shared" si="15"/>
        <v/>
      </c>
      <c r="BU19" s="832" t="str">
        <f t="shared" si="16"/>
        <v/>
      </c>
      <c r="BV19" t="s">
        <v>268</v>
      </c>
      <c r="CI19" s="416">
        <f>VLOOKUP($A19,'Distribution Summary'!$A$136:$CG$146,CI$1,0)*BN19</f>
        <v>0</v>
      </c>
      <c r="CJ19" s="97">
        <f>VLOOKUP($A19,'Distribution Summary'!$A$136:$CG$146,CJ$1,0)*BO19</f>
        <v>0</v>
      </c>
      <c r="CK19" s="97">
        <f>VLOOKUP($A19,'Distribution Summary'!$A$136:$CG$146,CK$1,0)*BP19</f>
        <v>0</v>
      </c>
      <c r="CL19" s="97">
        <f>VLOOKUP($A19,'Distribution Summary'!$A$136:$CG$146,CL$1,0)*BQ19</f>
        <v>0</v>
      </c>
      <c r="CM19" s="98">
        <f>VLOOKUP($A19,'Distribution Summary'!$A$136:$CG$146,CM$1,0)*BR19</f>
        <v>0</v>
      </c>
    </row>
    <row r="20" spans="1:91" x14ac:dyDescent="0.25">
      <c r="A20" s="81" t="s">
        <v>27</v>
      </c>
      <c r="B20" s="82" t="s">
        <v>51</v>
      </c>
      <c r="C20" s="83" t="s">
        <v>301</v>
      </c>
      <c r="D20" s="84">
        <f>SUM('Defect (Total)'!D20,Planned!D20,Reconductor!D20,CTGS!D20)</f>
        <v>0</v>
      </c>
      <c r="E20" s="85">
        <f>SUM('Defect (Total)'!E20,Planned!E20,Reconductor!E20,CTGS!E20)</f>
        <v>0</v>
      </c>
      <c r="F20" s="85">
        <f>SUM('Defect (Total)'!F20,Planned!F20,Reconductor!F20,CTGS!F20)</f>
        <v>0</v>
      </c>
      <c r="G20" s="85">
        <f>SUM('Defect (Total)'!G20,Planned!G20,Reconductor!G20,CTGS!G20)</f>
        <v>0</v>
      </c>
      <c r="H20" s="85">
        <f>SUM('Defect (Total)'!H20,Planned!H20,Reconductor!H20,CTGS!H20)</f>
        <v>0</v>
      </c>
      <c r="I20" s="85">
        <f>SUM('Defect (Total)'!I20,Planned!I20,Reconductor!I20,CTGS!I20)</f>
        <v>0</v>
      </c>
      <c r="J20" s="85">
        <f>SUM('Defect (Total)'!J20,Planned!J20,Reconductor!J20,CTGS!J20)</f>
        <v>0</v>
      </c>
      <c r="K20" s="85">
        <f>SUM('Defect (Total)'!K20,Planned!K20,Reconductor!K20,CTGS!K20)</f>
        <v>0</v>
      </c>
      <c r="L20" s="85">
        <f>SUM('Defect (Total)'!L20,Planned!L20,Reconductor!L20,CTGS!L20)</f>
        <v>0</v>
      </c>
      <c r="M20" s="85">
        <f>SUM('Defect (Total)'!M20,Planned!M20,Reconductor!M20,CTGS!M20)</f>
        <v>0</v>
      </c>
      <c r="N20" s="85">
        <f>SUM('Defect (Total)'!N20,Planned!N20,Reconductor!N20,CTGS!N20)</f>
        <v>0</v>
      </c>
      <c r="O20" s="560">
        <f>SUM('Defect (Total)'!O20,Planned!O20,Reconductor!O20,CTGS!O20)</f>
        <v>0</v>
      </c>
      <c r="P20" s="561">
        <f>SUM('Defect (Total)'!P20,Planned!P20,Reconductor!P20,CTGS!P20)</f>
        <v>0</v>
      </c>
      <c r="Q20" s="561">
        <f>SUM('Defect (Total)'!Q20,Planned!Q20,Reconductor!Q20,CTGS!Q20)</f>
        <v>0</v>
      </c>
      <c r="R20" s="561">
        <f>SUM('Defect (Total)'!R20,Planned!R20,Reconductor!R20,CTGS!R20)</f>
        <v>0</v>
      </c>
      <c r="S20" s="561">
        <f>SUM('Defect (Total)'!S20,Planned!S20,Reconductor!S20,CTGS!S20)</f>
        <v>0</v>
      </c>
      <c r="T20" s="561">
        <f>SUM('Defect (Total)'!T20,Planned!T20,Reconductor!T20,CTGS!T20)</f>
        <v>0</v>
      </c>
      <c r="U20" s="561">
        <f>SUM('Defect (Total)'!U20,Planned!U20,Reconductor!U20,CTGS!U20)</f>
        <v>0</v>
      </c>
      <c r="V20" s="561">
        <f>SUM('Defect (Total)'!V20,Planned!V20,Reconductor!V20,CTGS!V20)</f>
        <v>0</v>
      </c>
      <c r="W20" s="561">
        <f>SUM('Defect (Total)'!W20,Planned!W20,Reconductor!W20,CTGS!W20)</f>
        <v>0</v>
      </c>
      <c r="X20" s="561">
        <f>SUM('Defect (Total)'!X20,Planned!X20,Reconductor!X20,CTGS!X20)</f>
        <v>0</v>
      </c>
      <c r="Y20" s="561">
        <f>SUM('Defect (Total)'!Y20,Planned!Y20,Reconductor!Y20,CTGS!Y20)</f>
        <v>0</v>
      </c>
      <c r="Z20" s="86">
        <f>SUM('Defect (Total)'!Z20,Planned!Z20,Reconductor!Z20,CTGS!Z20)</f>
        <v>0</v>
      </c>
      <c r="AA20" s="87">
        <f>SUM('Defect (Total)'!AA20,Planned!AA20,Reconductor!AA20,CTGS!AA20)</f>
        <v>0</v>
      </c>
      <c r="AB20" s="87">
        <f>SUM('Defect (Total)'!AB20,Planned!AB20,Reconductor!AB20,CTGS!AB20)</f>
        <v>0</v>
      </c>
      <c r="AC20" s="87">
        <f>SUM('Defect (Total)'!AC20,Planned!AC20,Reconductor!AC20,CTGS!AC20)</f>
        <v>0</v>
      </c>
      <c r="AD20" s="87">
        <f>SUM('Defect (Total)'!AD20,Planned!AD20,Reconductor!AD20,CTGS!AD20)</f>
        <v>0</v>
      </c>
      <c r="AE20" s="87">
        <f>SUM('Defect (Total)'!AE20,Planned!AE20,Reconductor!AE20,CTGS!AE20)</f>
        <v>0</v>
      </c>
      <c r="AF20" s="87">
        <f>SUM('Defect (Total)'!AF20,Planned!AF20,Reconductor!AF20,CTGS!AF20)</f>
        <v>0</v>
      </c>
      <c r="AG20" s="87">
        <f>SUM('Defect (Total)'!AG20,Planned!AG20,Reconductor!AG20,CTGS!AG20)</f>
        <v>0</v>
      </c>
      <c r="AH20" s="87">
        <f>SUM('Defect (Total)'!AH20,Planned!AH20,Reconductor!AH20,CTGS!AH20)</f>
        <v>0</v>
      </c>
      <c r="AI20" s="87">
        <f>SUM('Defect (Total)'!AI20,Planned!AI20,Reconductor!AI20,CTGS!AI20)</f>
        <v>0</v>
      </c>
      <c r="AJ20" s="87">
        <f>SUM('Defect (Total)'!AJ20,Planned!AJ20,Reconductor!AJ20,CTGS!AJ20)</f>
        <v>0</v>
      </c>
      <c r="AK20" s="88">
        <f t="shared" si="17"/>
        <v>0</v>
      </c>
      <c r="AL20" s="89">
        <f t="shared" si="18"/>
        <v>0</v>
      </c>
      <c r="AM20" s="90">
        <f t="shared" si="19"/>
        <v>0</v>
      </c>
      <c r="AN20" s="91" t="str">
        <f t="shared" si="1"/>
        <v/>
      </c>
      <c r="AO20" s="92" t="str">
        <f t="shared" si="2"/>
        <v/>
      </c>
      <c r="AP20" s="92" t="str">
        <f t="shared" si="3"/>
        <v/>
      </c>
      <c r="AQ20" s="92" t="str">
        <f t="shared" si="4"/>
        <v/>
      </c>
      <c r="AR20" s="92" t="str">
        <f t="shared" si="5"/>
        <v/>
      </c>
      <c r="AS20" s="92" t="str">
        <f t="shared" si="6"/>
        <v/>
      </c>
      <c r="AT20" s="92" t="str">
        <f t="shared" si="7"/>
        <v/>
      </c>
      <c r="AU20" s="92" t="str">
        <f t="shared" si="8"/>
        <v/>
      </c>
      <c r="AV20" s="92" t="str">
        <f t="shared" si="9"/>
        <v/>
      </c>
      <c r="AW20" s="92" t="str">
        <f t="shared" si="10"/>
        <v/>
      </c>
      <c r="AX20" s="92" t="str">
        <f t="shared" si="11"/>
        <v/>
      </c>
      <c r="AY20" s="93" t="str">
        <f t="shared" si="12"/>
        <v/>
      </c>
      <c r="AZ20" s="94" t="str">
        <f t="shared" si="13"/>
        <v/>
      </c>
      <c r="BA20" s="95" t="str">
        <f t="shared" si="14"/>
        <v/>
      </c>
      <c r="BB20" s="689">
        <f>SUM('Defect (Total)'!BB20,Planned!CE20,Reconductor!CE20,CTGS!CE20,'Substation 2025$'!CE20*$BL$1,Comms!CA20*$BL$2)</f>
        <v>0</v>
      </c>
      <c r="BC20" s="689">
        <f>SUM('Defect (Total)'!BC20,Planned!CF20,Reconductor!CF20,CTGS!CF20,'Substation 2025$'!CF20*$BL$1,Comms!CB20*$BL$2)</f>
        <v>0</v>
      </c>
      <c r="BD20" s="96">
        <f>SUM('Defect (Total)'!BD20,Planned!CG20,Reconductor!CG20,CTGS!CG20,'Substation 2025$'!CG20*$BL$1,Comms!CC20*$BL$2)</f>
        <v>0</v>
      </c>
      <c r="BE20" s="96">
        <f>SUM('Defect (Total)'!BE20,Planned!CH20,Reconductor!CH20,CTGS!CH20,'Substation 2025$'!CH20*$BL$1,Comms!CD20*$BL$2)</f>
        <v>0</v>
      </c>
      <c r="BF20" s="96">
        <f>SUM('Defect (Total)'!BF20,Planned!CI20,Reconductor!CI20,CTGS!CI20,'Substation 2025$'!CI20*$BL$1,Comms!CE20*$BL$2)</f>
        <v>0</v>
      </c>
      <c r="BG20" s="96">
        <f>SUM('Defect (Total)'!BG20,Planned!CJ20,Reconductor!CJ20,CTGS!CJ20,'Substation 2025$'!CJ20*$BL$1,Comms!CF20*$BL$2)</f>
        <v>0</v>
      </c>
      <c r="BH20" s="96">
        <f>SUM('Defect (Total)'!BH20,Planned!CK20,Reconductor!CK20,CTGS!CK20,'Substation 2025$'!CK20*$BL$1,Comms!CG20*$BL$2)</f>
        <v>0</v>
      </c>
      <c r="BI20" s="286">
        <f>SUM('Defect (Total)'!BI20,Planned!CL20,Reconductor!CL20,CTGS!CL20,'Substation 2025$'!CL20*$BL$1,Comms!CH20*$BL$2)</f>
        <v>0</v>
      </c>
      <c r="BJ20" s="99" t="str">
        <f t="shared" si="20"/>
        <v/>
      </c>
      <c r="BK20" s="992">
        <f>SUM('Defect (Total)'!BK20,Planned!CQ20,Reconductor!CQ20,CTGS!CQ20,'Substation 2025$'!CQ20*$BL$1,Comms!CM20*$BL$2)</f>
        <v>0</v>
      </c>
      <c r="BL20" s="992">
        <f>SUM('Defect (Total)'!BL20,Planned!CR20,Reconductor!CR20,CTGS!CR20,'Substation 2025$'!CR20*$BL$1,Comms!CN20*$BL$2)</f>
        <v>0</v>
      </c>
      <c r="BM20" s="524">
        <f>SUM('Defect (Total)'!BM20,Planned!CS20,Reconductor!CS20,CTGS!CS20,'Substation 2025$'!CS20*$BL$1,Comms!CO20*$BL$2)</f>
        <v>0</v>
      </c>
      <c r="BN20" s="416">
        <f>SUM('Defect (Total)'!BN20,Planned!CT20,Reconductor!CT20,CTGS!CT20,'Substation 2025$'!CT20*$BL$1,Comms!CP20*$BL$2)</f>
        <v>0</v>
      </c>
      <c r="BO20" s="97">
        <f>SUM('Defect (Total)'!BO20,Planned!CU20,Reconductor!CU20,CTGS!CU20,'Substation 2025$'!CU20*$BL$1,Comms!CQ20*$BL$2)</f>
        <v>0</v>
      </c>
      <c r="BP20" s="97">
        <f>SUM('Defect (Total)'!BP20,Planned!CV20,Reconductor!CV20,CTGS!CV20,'Substation 2025$'!CV20*$BL$1,Comms!CR20*$BL$2)</f>
        <v>0</v>
      </c>
      <c r="BQ20" s="97">
        <f>SUM('Defect (Total)'!BQ20,Planned!CW20,Reconductor!CW20,CTGS!CW20,'Substation 2025$'!CW20*$BL$1,Comms!CS20*$BL$2)</f>
        <v>0</v>
      </c>
      <c r="BR20" s="98">
        <f>SUM('Defect (Total)'!BR20,Planned!CX20,Reconductor!CX20,CTGS!CX20,'Substation 2025$'!CX20*$BL$1,Comms!CT20*$BL$2)</f>
        <v>0</v>
      </c>
      <c r="BS20" s="836" t="str">
        <f>'Unit Cost Rate Summary'!AO20</f>
        <v/>
      </c>
      <c r="BT20" s="840" t="str">
        <f t="shared" si="15"/>
        <v/>
      </c>
      <c r="BU20" s="832" t="str">
        <f t="shared" si="16"/>
        <v/>
      </c>
      <c r="BV20" t="s">
        <v>268</v>
      </c>
      <c r="CI20" s="416">
        <f>VLOOKUP($A20,'Distribution Summary'!$A$136:$CG$146,CI$1,0)*BN20</f>
        <v>0</v>
      </c>
      <c r="CJ20" s="97">
        <f>VLOOKUP($A20,'Distribution Summary'!$A$136:$CG$146,CJ$1,0)*BO20</f>
        <v>0</v>
      </c>
      <c r="CK20" s="97">
        <f>VLOOKUP($A20,'Distribution Summary'!$A$136:$CG$146,CK$1,0)*BP20</f>
        <v>0</v>
      </c>
      <c r="CL20" s="97">
        <f>VLOOKUP($A20,'Distribution Summary'!$A$136:$CG$146,CL$1,0)*BQ20</f>
        <v>0</v>
      </c>
      <c r="CM20" s="98">
        <f>VLOOKUP($A20,'Distribution Summary'!$A$136:$CG$146,CM$1,0)*BR20</f>
        <v>0</v>
      </c>
    </row>
    <row r="21" spans="1:91" x14ac:dyDescent="0.25">
      <c r="A21" s="81" t="s">
        <v>27</v>
      </c>
      <c r="B21" s="82" t="s">
        <v>53</v>
      </c>
      <c r="C21" s="83" t="s">
        <v>54</v>
      </c>
      <c r="D21" s="84">
        <f>SUM('Defect (Total)'!D21,Planned!D21,Reconductor!D21,CTGS!D21)</f>
        <v>0</v>
      </c>
      <c r="E21" s="85">
        <f>SUM('Defect (Total)'!E21,Planned!E21,Reconductor!E21,CTGS!E21)</f>
        <v>0</v>
      </c>
      <c r="F21" s="85">
        <f>SUM('Defect (Total)'!F21,Planned!F21,Reconductor!F21,CTGS!F21)</f>
        <v>0</v>
      </c>
      <c r="G21" s="85">
        <f>SUM('Defect (Total)'!G21,Planned!G21,Reconductor!G21,CTGS!G21)</f>
        <v>0</v>
      </c>
      <c r="H21" s="85">
        <f>SUM('Defect (Total)'!H21,Planned!H21,Reconductor!H21,CTGS!H21)</f>
        <v>0</v>
      </c>
      <c r="I21" s="85">
        <f>SUM('Defect (Total)'!I21,Planned!I21,Reconductor!I21,CTGS!I21)</f>
        <v>0</v>
      </c>
      <c r="J21" s="85">
        <f>SUM('Defect (Total)'!J21,Planned!J21,Reconductor!J21,CTGS!J21)</f>
        <v>0</v>
      </c>
      <c r="K21" s="85">
        <f>SUM('Defect (Total)'!K21,Planned!K21,Reconductor!K21,CTGS!K21)</f>
        <v>0</v>
      </c>
      <c r="L21" s="85">
        <f>SUM('Defect (Total)'!L21,Planned!L21,Reconductor!L21,CTGS!L21)</f>
        <v>0</v>
      </c>
      <c r="M21" s="85">
        <f>SUM('Defect (Total)'!M21,Planned!M21,Reconductor!M21,CTGS!M21)</f>
        <v>0</v>
      </c>
      <c r="N21" s="85">
        <f>SUM('Defect (Total)'!N21,Planned!N21,Reconductor!N21,CTGS!N21)</f>
        <v>0</v>
      </c>
      <c r="O21" s="560">
        <f>SUM('Defect (Total)'!O21,Planned!O21,Reconductor!O21,CTGS!O21)</f>
        <v>0</v>
      </c>
      <c r="P21" s="561">
        <f>SUM('Defect (Total)'!P21,Planned!P21,Reconductor!P21,CTGS!P21)</f>
        <v>0</v>
      </c>
      <c r="Q21" s="561">
        <f>SUM('Defect (Total)'!Q21,Planned!Q21,Reconductor!Q21,CTGS!Q21)</f>
        <v>0</v>
      </c>
      <c r="R21" s="561">
        <f>SUM('Defect (Total)'!R21,Planned!R21,Reconductor!R21,CTGS!R21)</f>
        <v>0</v>
      </c>
      <c r="S21" s="561">
        <f>SUM('Defect (Total)'!S21,Planned!S21,Reconductor!S21,CTGS!S21)</f>
        <v>0</v>
      </c>
      <c r="T21" s="561">
        <f>SUM('Defect (Total)'!T21,Planned!T21,Reconductor!T21,CTGS!T21)</f>
        <v>0</v>
      </c>
      <c r="U21" s="561">
        <f>SUM('Defect (Total)'!U21,Planned!U21,Reconductor!U21,CTGS!U21)</f>
        <v>0</v>
      </c>
      <c r="V21" s="561">
        <f>SUM('Defect (Total)'!V21,Planned!V21,Reconductor!V21,CTGS!V21)</f>
        <v>0</v>
      </c>
      <c r="W21" s="561">
        <f>SUM('Defect (Total)'!W21,Planned!W21,Reconductor!W21,CTGS!W21)</f>
        <v>0</v>
      </c>
      <c r="X21" s="561">
        <f>SUM('Defect (Total)'!X21,Planned!X21,Reconductor!X21,CTGS!X21)</f>
        <v>0</v>
      </c>
      <c r="Y21" s="561">
        <f>SUM('Defect (Total)'!Y21,Planned!Y21,Reconductor!Y21,CTGS!Y21)</f>
        <v>0</v>
      </c>
      <c r="Z21" s="86">
        <f>SUM('Defect (Total)'!Z21,Planned!Z21,Reconductor!Z21,CTGS!Z21)</f>
        <v>0</v>
      </c>
      <c r="AA21" s="87">
        <f>SUM('Defect (Total)'!AA21,Planned!AA21,Reconductor!AA21,CTGS!AA21)</f>
        <v>0</v>
      </c>
      <c r="AB21" s="87">
        <f>SUM('Defect (Total)'!AB21,Planned!AB21,Reconductor!AB21,CTGS!AB21)</f>
        <v>0</v>
      </c>
      <c r="AC21" s="87">
        <f>SUM('Defect (Total)'!AC21,Planned!AC21,Reconductor!AC21,CTGS!AC21)</f>
        <v>0</v>
      </c>
      <c r="AD21" s="87">
        <f>SUM('Defect (Total)'!AD21,Planned!AD21,Reconductor!AD21,CTGS!AD21)</f>
        <v>0</v>
      </c>
      <c r="AE21" s="87">
        <f>SUM('Defect (Total)'!AE21,Planned!AE21,Reconductor!AE21,CTGS!AE21)</f>
        <v>0</v>
      </c>
      <c r="AF21" s="87">
        <f>SUM('Defect (Total)'!AF21,Planned!AF21,Reconductor!AF21,CTGS!AF21)</f>
        <v>0</v>
      </c>
      <c r="AG21" s="87">
        <f>SUM('Defect (Total)'!AG21,Planned!AG21,Reconductor!AG21,CTGS!AG21)</f>
        <v>0</v>
      </c>
      <c r="AH21" s="87">
        <f>SUM('Defect (Total)'!AH21,Planned!AH21,Reconductor!AH21,CTGS!AH21)</f>
        <v>0</v>
      </c>
      <c r="AI21" s="87">
        <f>SUM('Defect (Total)'!AI21,Planned!AI21,Reconductor!AI21,CTGS!AI21)</f>
        <v>0</v>
      </c>
      <c r="AJ21" s="87">
        <f>SUM('Defect (Total)'!AJ21,Planned!AJ21,Reconductor!AJ21,CTGS!AJ21)</f>
        <v>0</v>
      </c>
      <c r="AK21" s="88">
        <f t="shared" si="17"/>
        <v>0</v>
      </c>
      <c r="AL21" s="89">
        <f t="shared" si="18"/>
        <v>0</v>
      </c>
      <c r="AM21" s="90">
        <f t="shared" si="19"/>
        <v>0</v>
      </c>
      <c r="AN21" s="91" t="str">
        <f t="shared" si="1"/>
        <v/>
      </c>
      <c r="AO21" s="92" t="str">
        <f t="shared" si="2"/>
        <v/>
      </c>
      <c r="AP21" s="92" t="str">
        <f t="shared" si="3"/>
        <v/>
      </c>
      <c r="AQ21" s="92" t="str">
        <f t="shared" si="4"/>
        <v/>
      </c>
      <c r="AR21" s="92" t="str">
        <f t="shared" si="5"/>
        <v/>
      </c>
      <c r="AS21" s="92" t="str">
        <f t="shared" si="6"/>
        <v/>
      </c>
      <c r="AT21" s="92" t="str">
        <f t="shared" si="7"/>
        <v/>
      </c>
      <c r="AU21" s="92" t="str">
        <f t="shared" si="8"/>
        <v/>
      </c>
      <c r="AV21" s="92" t="str">
        <f t="shared" si="9"/>
        <v/>
      </c>
      <c r="AW21" s="92" t="str">
        <f t="shared" si="10"/>
        <v/>
      </c>
      <c r="AX21" s="92" t="str">
        <f t="shared" si="11"/>
        <v/>
      </c>
      <c r="AY21" s="93" t="str">
        <f t="shared" si="12"/>
        <v/>
      </c>
      <c r="AZ21" s="94" t="str">
        <f t="shared" si="13"/>
        <v/>
      </c>
      <c r="BA21" s="95" t="str">
        <f t="shared" si="14"/>
        <v/>
      </c>
      <c r="BB21" s="689">
        <f>SUM('Defect (Total)'!BB21,Planned!CE21,Reconductor!CE21,CTGS!CE21,'Substation 2025$'!CE21*$BL$1,Comms!CA21*$BL$2)</f>
        <v>0</v>
      </c>
      <c r="BC21" s="689">
        <f>SUM('Defect (Total)'!BC21,Planned!CF21,Reconductor!CF21,CTGS!CF21,'Substation 2025$'!CF21*$BL$1,Comms!CB21*$BL$2)</f>
        <v>0</v>
      </c>
      <c r="BD21" s="96">
        <f>SUM('Defect (Total)'!BD21,Planned!CG21,Reconductor!CG21,CTGS!CG21,'Substation 2025$'!CG21*$BL$1,Comms!CC21*$BL$2)</f>
        <v>0</v>
      </c>
      <c r="BE21" s="96">
        <f>SUM('Defect (Total)'!BE21,Planned!CH21,Reconductor!CH21,CTGS!CH21,'Substation 2025$'!CH21*$BL$1,Comms!CD21*$BL$2)</f>
        <v>0</v>
      </c>
      <c r="BF21" s="96">
        <f>SUM('Defect (Total)'!BF21,Planned!CI21,Reconductor!CI21,CTGS!CI21,'Substation 2025$'!CI21*$BL$1,Comms!CE21*$BL$2)</f>
        <v>0</v>
      </c>
      <c r="BG21" s="96">
        <f>SUM('Defect (Total)'!BG21,Planned!CJ21,Reconductor!CJ21,CTGS!CJ21,'Substation 2025$'!CJ21*$BL$1,Comms!CF21*$BL$2)</f>
        <v>0</v>
      </c>
      <c r="BH21" s="96">
        <f>SUM('Defect (Total)'!BH21,Planned!CK21,Reconductor!CK21,CTGS!CK21,'Substation 2025$'!CK21*$BL$1,Comms!CG21*$BL$2)</f>
        <v>0</v>
      </c>
      <c r="BI21" s="286">
        <f>SUM('Defect (Total)'!BI21,Planned!CL21,Reconductor!CL21,CTGS!CL21,'Substation 2025$'!CL21*$BL$1,Comms!CH21*$BL$2)</f>
        <v>0</v>
      </c>
      <c r="BJ21" s="99" t="str">
        <f t="shared" si="20"/>
        <v/>
      </c>
      <c r="BK21" s="992">
        <f>SUM('Defect (Total)'!BK21,Planned!CQ21,Reconductor!CQ21,CTGS!CQ21,'Substation 2025$'!CQ21*$BL$1,Comms!CM21*$BL$2)</f>
        <v>0</v>
      </c>
      <c r="BL21" s="992">
        <f>SUM('Defect (Total)'!BL21,Planned!CR21,Reconductor!CR21,CTGS!CR21,'Substation 2025$'!CR21*$BL$1,Comms!CN21*$BL$2)</f>
        <v>0</v>
      </c>
      <c r="BM21" s="524">
        <f>SUM('Defect (Total)'!BM21,Planned!CS21,Reconductor!CS21,CTGS!CS21,'Substation 2025$'!CS21*$BL$1,Comms!CO21*$BL$2)</f>
        <v>0</v>
      </c>
      <c r="BN21" s="416">
        <f>SUM('Defect (Total)'!BN21,Planned!CT21,Reconductor!CT21,CTGS!CT21,'Substation 2025$'!CT21*$BL$1,Comms!CP21*$BL$2)</f>
        <v>0</v>
      </c>
      <c r="BO21" s="97">
        <f>SUM('Defect (Total)'!BO21,Planned!CU21,Reconductor!CU21,CTGS!CU21,'Substation 2025$'!CU21*$BL$1,Comms!CQ21*$BL$2)</f>
        <v>0</v>
      </c>
      <c r="BP21" s="97">
        <f>SUM('Defect (Total)'!BP21,Planned!CV21,Reconductor!CV21,CTGS!CV21,'Substation 2025$'!CV21*$BL$1,Comms!CR21*$BL$2)</f>
        <v>0</v>
      </c>
      <c r="BQ21" s="97">
        <f>SUM('Defect (Total)'!BQ21,Planned!CW21,Reconductor!CW21,CTGS!CW21,'Substation 2025$'!CW21*$BL$1,Comms!CS21*$BL$2)</f>
        <v>0</v>
      </c>
      <c r="BR21" s="98">
        <f>SUM('Defect (Total)'!BR21,Planned!CX21,Reconductor!CX21,CTGS!CX21,'Substation 2025$'!CX21*$BL$1,Comms!CT21*$BL$2)</f>
        <v>0</v>
      </c>
      <c r="BS21" s="836" t="str">
        <f>'Unit Cost Rate Summary'!AO21</f>
        <v/>
      </c>
      <c r="BT21" s="840" t="str">
        <f t="shared" si="15"/>
        <v/>
      </c>
      <c r="BU21" s="832" t="str">
        <f t="shared" si="16"/>
        <v/>
      </c>
      <c r="BV21" t="s">
        <v>268</v>
      </c>
      <c r="CI21" s="416">
        <f>VLOOKUP($A21,'Distribution Summary'!$A$136:$CG$146,CI$1,0)*BN21</f>
        <v>0</v>
      </c>
      <c r="CJ21" s="97">
        <f>VLOOKUP($A21,'Distribution Summary'!$A$136:$CG$146,CJ$1,0)*BO21</f>
        <v>0</v>
      </c>
      <c r="CK21" s="97">
        <f>VLOOKUP($A21,'Distribution Summary'!$A$136:$CG$146,CK$1,0)*BP21</f>
        <v>0</v>
      </c>
      <c r="CL21" s="97">
        <f>VLOOKUP($A21,'Distribution Summary'!$A$136:$CG$146,CL$1,0)*BQ21</f>
        <v>0</v>
      </c>
      <c r="CM21" s="98">
        <f>VLOOKUP($A21,'Distribution Summary'!$A$136:$CG$146,CM$1,0)*BR21</f>
        <v>0</v>
      </c>
    </row>
    <row r="22" spans="1:91" x14ac:dyDescent="0.25">
      <c r="A22" s="81" t="s">
        <v>27</v>
      </c>
      <c r="B22" s="82" t="s">
        <v>55</v>
      </c>
      <c r="C22" s="83" t="s">
        <v>302</v>
      </c>
      <c r="D22" s="84">
        <f>SUM('Defect (Total)'!D22,Planned!D22,Reconductor!D22,CTGS!D22)</f>
        <v>29016</v>
      </c>
      <c r="E22" s="85">
        <f>SUM('Defect (Total)'!E22,Planned!E22,Reconductor!E22,CTGS!E22)</f>
        <v>0</v>
      </c>
      <c r="F22" s="85">
        <f>SUM('Defect (Total)'!F22,Planned!F22,Reconductor!F22,CTGS!F22)</f>
        <v>114944</v>
      </c>
      <c r="G22" s="85">
        <f>SUM('Defect (Total)'!G22,Planned!G22,Reconductor!G22,CTGS!G22)</f>
        <v>0</v>
      </c>
      <c r="H22" s="85">
        <f>SUM('Defect (Total)'!H22,Planned!H22,Reconductor!H22,CTGS!H22)</f>
        <v>0</v>
      </c>
      <c r="I22" s="85">
        <f>SUM('Defect (Total)'!I22,Planned!I22,Reconductor!I22,CTGS!I22)</f>
        <v>0</v>
      </c>
      <c r="J22" s="85">
        <f>SUM('Defect (Total)'!J22,Planned!J22,Reconductor!J22,CTGS!J22)</f>
        <v>15674.699498721004</v>
      </c>
      <c r="K22" s="85">
        <f>SUM('Defect (Total)'!K22,Planned!K22,Reconductor!K22,CTGS!K22)</f>
        <v>0</v>
      </c>
      <c r="L22" s="85">
        <f>SUM('Defect (Total)'!L22,Planned!L22,Reconductor!L22,CTGS!L22)</f>
        <v>0</v>
      </c>
      <c r="M22" s="85">
        <f>SUM('Defect (Total)'!M22,Planned!M22,Reconductor!M22,CTGS!M22)</f>
        <v>0</v>
      </c>
      <c r="N22" s="85">
        <f>SUM('Defect (Total)'!N22,Planned!N22,Reconductor!N22,CTGS!N22)</f>
        <v>0</v>
      </c>
      <c r="O22" s="560">
        <f>SUM('Defect (Total)'!O22,Planned!O22,Reconductor!O22,CTGS!O22)</f>
        <v>39039.760558098031</v>
      </c>
      <c r="P22" s="561">
        <f>SUM('Defect (Total)'!P22,Planned!P22,Reconductor!P22,CTGS!P22)</f>
        <v>0</v>
      </c>
      <c r="Q22" s="561">
        <f>SUM('Defect (Total)'!Q22,Planned!Q22,Reconductor!Q22,CTGS!Q22)</f>
        <v>150807.18866760473</v>
      </c>
      <c r="R22" s="561">
        <f>SUM('Defect (Total)'!R22,Planned!R22,Reconductor!R22,CTGS!R22)</f>
        <v>0</v>
      </c>
      <c r="S22" s="561">
        <f>SUM('Defect (Total)'!S22,Planned!S22,Reconductor!S22,CTGS!S22)</f>
        <v>0</v>
      </c>
      <c r="T22" s="561">
        <f>SUM('Defect (Total)'!T22,Planned!T22,Reconductor!T22,CTGS!T22)</f>
        <v>0</v>
      </c>
      <c r="U22" s="561">
        <f>SUM('Defect (Total)'!U22,Planned!U22,Reconductor!U22,CTGS!U22)</f>
        <v>19522.649718758061</v>
      </c>
      <c r="V22" s="561">
        <f>SUM('Defect (Total)'!V22,Planned!V22,Reconductor!V22,CTGS!V22)</f>
        <v>0</v>
      </c>
      <c r="W22" s="561">
        <f>SUM('Defect (Total)'!W22,Planned!W22,Reconductor!W22,CTGS!W22)</f>
        <v>0</v>
      </c>
      <c r="X22" s="561">
        <f>SUM('Defect (Total)'!X22,Planned!X22,Reconductor!X22,CTGS!X22)</f>
        <v>0</v>
      </c>
      <c r="Y22" s="561">
        <f>SUM('Defect (Total)'!Y22,Planned!Y22,Reconductor!Y22,CTGS!Y22)</f>
        <v>0</v>
      </c>
      <c r="Z22" s="86">
        <f>SUM('Defect (Total)'!Z22,Planned!Z22,Reconductor!Z22,CTGS!Z22)</f>
        <v>2</v>
      </c>
      <c r="AA22" s="87">
        <f>SUM('Defect (Total)'!AA22,Planned!AA22,Reconductor!AA22,CTGS!AA22)</f>
        <v>0</v>
      </c>
      <c r="AB22" s="87">
        <f>SUM('Defect (Total)'!AB22,Planned!AB22,Reconductor!AB22,CTGS!AB22)</f>
        <v>15</v>
      </c>
      <c r="AC22" s="87">
        <f>SUM('Defect (Total)'!AC22,Planned!AC22,Reconductor!AC22,CTGS!AC22)</f>
        <v>0</v>
      </c>
      <c r="AD22" s="87">
        <f>SUM('Defect (Total)'!AD22,Planned!AD22,Reconductor!AD22,CTGS!AD22)</f>
        <v>0</v>
      </c>
      <c r="AE22" s="87">
        <f>SUM('Defect (Total)'!AE22,Planned!AE22,Reconductor!AE22,CTGS!AE22)</f>
        <v>0</v>
      </c>
      <c r="AF22" s="87">
        <f>SUM('Defect (Total)'!AF22,Planned!AF22,Reconductor!AF22,CTGS!AF22)</f>
        <v>1</v>
      </c>
      <c r="AG22" s="87">
        <f>SUM('Defect (Total)'!AG22,Planned!AG22,Reconductor!AG22,CTGS!AG22)</f>
        <v>0</v>
      </c>
      <c r="AH22" s="87">
        <f>SUM('Defect (Total)'!AH22,Planned!AH22,Reconductor!AH22,CTGS!AH22)</f>
        <v>0</v>
      </c>
      <c r="AI22" s="87">
        <f>SUM('Defect (Total)'!AI22,Planned!AI22,Reconductor!AI22,CTGS!AI22)</f>
        <v>0</v>
      </c>
      <c r="AJ22" s="87">
        <f>SUM('Defect (Total)'!AJ22,Planned!AJ22,Reconductor!AJ22,CTGS!AJ22)</f>
        <v>0</v>
      </c>
      <c r="AK22" s="88">
        <f t="shared" si="17"/>
        <v>0.2</v>
      </c>
      <c r="AL22" s="89">
        <f t="shared" si="18"/>
        <v>0</v>
      </c>
      <c r="AM22" s="90">
        <f t="shared" si="19"/>
        <v>0</v>
      </c>
      <c r="AN22" s="91">
        <f t="shared" si="1"/>
        <v>14508</v>
      </c>
      <c r="AO22" s="92" t="str">
        <f t="shared" si="2"/>
        <v/>
      </c>
      <c r="AP22" s="92">
        <f t="shared" si="3"/>
        <v>7662.9333333333334</v>
      </c>
      <c r="AQ22" s="92" t="str">
        <f t="shared" si="4"/>
        <v/>
      </c>
      <c r="AR22" s="92" t="str">
        <f t="shared" si="5"/>
        <v/>
      </c>
      <c r="AS22" s="92" t="str">
        <f t="shared" si="6"/>
        <v/>
      </c>
      <c r="AT22" s="92">
        <f t="shared" si="7"/>
        <v>15674.699498721004</v>
      </c>
      <c r="AU22" s="92" t="str">
        <f t="shared" si="8"/>
        <v/>
      </c>
      <c r="AV22" s="92" t="str">
        <f t="shared" si="9"/>
        <v/>
      </c>
      <c r="AW22" s="92" t="str">
        <f t="shared" si="10"/>
        <v/>
      </c>
      <c r="AX22" s="92" t="str">
        <f t="shared" si="11"/>
        <v/>
      </c>
      <c r="AY22" s="93">
        <f t="shared" si="12"/>
        <v>15674.699498721004</v>
      </c>
      <c r="AZ22" s="94">
        <f t="shared" si="13"/>
        <v>15674.699498721004</v>
      </c>
      <c r="BA22" s="95" t="str">
        <f t="shared" si="14"/>
        <v/>
      </c>
      <c r="BB22" s="689">
        <f>SUM('Defect (Total)'!BB22,Planned!CE22,Reconductor!CE22,CTGS!CE22,'Substation 2025$'!CE22*$BL$1,Comms!CA22*$BL$2)</f>
        <v>0</v>
      </c>
      <c r="BC22" s="689">
        <f>SUM('Defect (Total)'!BC22,Planned!CF22,Reconductor!CF22,CTGS!CF22,'Substation 2025$'!CF22*$BL$1,Comms!CB22*$BL$2)</f>
        <v>0</v>
      </c>
      <c r="BD22" s="96">
        <f>SUM('Defect (Total)'!BD22,Planned!CG22,Reconductor!CG22,CTGS!CG22,'Substation 2025$'!CG22*$BL$1,Comms!CC22*$BL$2)</f>
        <v>0</v>
      </c>
      <c r="BE22" s="96">
        <f>SUM('Defect (Total)'!BE22,Planned!CH22,Reconductor!CH22,CTGS!CH22,'Substation 2025$'!CH22*$BL$1,Comms!CD22*$BL$2)</f>
        <v>0</v>
      </c>
      <c r="BF22" s="96">
        <f>SUM('Defect (Total)'!BF22,Planned!CI22,Reconductor!CI22,CTGS!CI22,'Substation 2025$'!CI22*$BL$1,Comms!CE22*$BL$2)</f>
        <v>0</v>
      </c>
      <c r="BG22" s="96">
        <f>SUM('Defect (Total)'!BG22,Planned!CJ22,Reconductor!CJ22,CTGS!CJ22,'Substation 2025$'!CJ22*$BL$1,Comms!CF22*$BL$2)</f>
        <v>0</v>
      </c>
      <c r="BH22" s="96">
        <f>SUM('Defect (Total)'!BH22,Planned!CK22,Reconductor!CK22,CTGS!CK22,'Substation 2025$'!CK22*$BL$1,Comms!CG22*$BL$2)</f>
        <v>0</v>
      </c>
      <c r="BI22" s="286">
        <f>SUM('Defect (Total)'!BI22,Planned!CL22,Reconductor!CL22,CTGS!CL22,'Substation 2025$'!CL22*$BL$1,Comms!CH22*$BL$2)</f>
        <v>0</v>
      </c>
      <c r="BJ22" s="99" t="str">
        <f t="shared" si="20"/>
        <v/>
      </c>
      <c r="BK22" s="992">
        <f>SUM('Defect (Total)'!BK22,Planned!CQ22,Reconductor!CQ22,CTGS!CQ22,'Substation 2025$'!CQ22*$BL$1,Comms!CM22*$BL$2)</f>
        <v>0</v>
      </c>
      <c r="BL22" s="992">
        <f>SUM('Defect (Total)'!BL22,Planned!CR22,Reconductor!CR22,CTGS!CR22,'Substation 2025$'!CR22*$BL$1,Comms!CN22*$BL$2)</f>
        <v>0</v>
      </c>
      <c r="BM22" s="524">
        <f>SUM('Defect (Total)'!BM22,Planned!CS22,Reconductor!CS22,CTGS!CS22,'Substation 2025$'!CS22*$BL$1,Comms!CO22*$BL$2)</f>
        <v>0</v>
      </c>
      <c r="BN22" s="416">
        <f>SUM('Defect (Total)'!BN22,Planned!CT22,Reconductor!CT22,CTGS!CT22,'Substation 2025$'!CT22*$BL$1,Comms!CP22*$BL$2)</f>
        <v>0</v>
      </c>
      <c r="BO22" s="97">
        <f>SUM('Defect (Total)'!BO22,Planned!CU22,Reconductor!CU22,CTGS!CU22,'Substation 2025$'!CU22*$BL$1,Comms!CQ22*$BL$2)</f>
        <v>0</v>
      </c>
      <c r="BP22" s="97">
        <f>SUM('Defect (Total)'!BP22,Planned!CV22,Reconductor!CV22,CTGS!CV22,'Substation 2025$'!CV22*$BL$1,Comms!CR22*$BL$2)</f>
        <v>0</v>
      </c>
      <c r="BQ22" s="97">
        <f>SUM('Defect (Total)'!BQ22,Planned!CW22,Reconductor!CW22,CTGS!CW22,'Substation 2025$'!CW22*$BL$1,Comms!CS22*$BL$2)</f>
        <v>0</v>
      </c>
      <c r="BR22" s="98">
        <f>SUM('Defect (Total)'!BR22,Planned!CX22,Reconductor!CX22,CTGS!CX22,'Substation 2025$'!CX22*$BL$1,Comms!CT22*$BL$2)</f>
        <v>0</v>
      </c>
      <c r="BS22" s="836" t="str">
        <f>'Unit Cost Rate Summary'!AO22</f>
        <v/>
      </c>
      <c r="BT22" s="840" t="str">
        <f t="shared" si="15"/>
        <v/>
      </c>
      <c r="BU22" s="832" t="str">
        <f t="shared" si="16"/>
        <v/>
      </c>
      <c r="BV22" t="s">
        <v>268</v>
      </c>
      <c r="CI22" s="416">
        <f>VLOOKUP($A22,'Distribution Summary'!$A$136:$CG$146,CI$1,0)*BN22</f>
        <v>0</v>
      </c>
      <c r="CJ22" s="97">
        <f>VLOOKUP($A22,'Distribution Summary'!$A$136:$CG$146,CJ$1,0)*BO22</f>
        <v>0</v>
      </c>
      <c r="CK22" s="97">
        <f>VLOOKUP($A22,'Distribution Summary'!$A$136:$CG$146,CK$1,0)*BP22</f>
        <v>0</v>
      </c>
      <c r="CL22" s="97">
        <f>VLOOKUP($A22,'Distribution Summary'!$A$136:$CG$146,CL$1,0)*BQ22</f>
        <v>0</v>
      </c>
      <c r="CM22" s="98">
        <f>VLOOKUP($A22,'Distribution Summary'!$A$136:$CG$146,CM$1,0)*BR22</f>
        <v>0</v>
      </c>
    </row>
    <row r="23" spans="1:91" x14ac:dyDescent="0.25">
      <c r="A23" s="81" t="s">
        <v>27</v>
      </c>
      <c r="B23" s="82" t="s">
        <v>57</v>
      </c>
      <c r="C23" s="83" t="s">
        <v>58</v>
      </c>
      <c r="D23" s="84">
        <f>SUM('Defect (Total)'!D23,Planned!D23,Reconductor!D23,CTGS!D23)</f>
        <v>0</v>
      </c>
      <c r="E23" s="85">
        <f>SUM('Defect (Total)'!E23,Planned!E23,Reconductor!E23,CTGS!E23)</f>
        <v>0</v>
      </c>
      <c r="F23" s="85">
        <f>SUM('Defect (Total)'!F23,Planned!F23,Reconductor!F23,CTGS!F23)</f>
        <v>0</v>
      </c>
      <c r="G23" s="85">
        <f>SUM('Defect (Total)'!G23,Planned!G23,Reconductor!G23,CTGS!G23)</f>
        <v>0</v>
      </c>
      <c r="H23" s="85">
        <f>SUM('Defect (Total)'!H23,Planned!H23,Reconductor!H23,CTGS!H23)</f>
        <v>0</v>
      </c>
      <c r="I23" s="85">
        <f>SUM('Defect (Total)'!I23,Planned!I23,Reconductor!I23,CTGS!I23)</f>
        <v>0</v>
      </c>
      <c r="J23" s="85">
        <f>SUM('Defect (Total)'!J23,Planned!J23,Reconductor!J23,CTGS!J23)</f>
        <v>0</v>
      </c>
      <c r="K23" s="85">
        <f>SUM('Defect (Total)'!K23,Planned!K23,Reconductor!K23,CTGS!K23)</f>
        <v>0</v>
      </c>
      <c r="L23" s="85">
        <f>SUM('Defect (Total)'!L23,Planned!L23,Reconductor!L23,CTGS!L23)</f>
        <v>0</v>
      </c>
      <c r="M23" s="85">
        <f>SUM('Defect (Total)'!M23,Planned!M23,Reconductor!M23,CTGS!M23)</f>
        <v>0</v>
      </c>
      <c r="N23" s="85">
        <f>SUM('Defect (Total)'!N23,Planned!N23,Reconductor!N23,CTGS!N23)</f>
        <v>0</v>
      </c>
      <c r="O23" s="560">
        <f>SUM('Defect (Total)'!O23,Planned!O23,Reconductor!O23,CTGS!O23)</f>
        <v>0</v>
      </c>
      <c r="P23" s="561">
        <f>SUM('Defect (Total)'!P23,Planned!P23,Reconductor!P23,CTGS!P23)</f>
        <v>0</v>
      </c>
      <c r="Q23" s="561">
        <f>SUM('Defect (Total)'!Q23,Planned!Q23,Reconductor!Q23,CTGS!Q23)</f>
        <v>0</v>
      </c>
      <c r="R23" s="561">
        <f>SUM('Defect (Total)'!R23,Planned!R23,Reconductor!R23,CTGS!R23)</f>
        <v>0</v>
      </c>
      <c r="S23" s="561">
        <f>SUM('Defect (Total)'!S23,Planned!S23,Reconductor!S23,CTGS!S23)</f>
        <v>0</v>
      </c>
      <c r="T23" s="561">
        <f>SUM('Defect (Total)'!T23,Planned!T23,Reconductor!T23,CTGS!T23)</f>
        <v>0</v>
      </c>
      <c r="U23" s="561">
        <f>SUM('Defect (Total)'!U23,Planned!U23,Reconductor!U23,CTGS!U23)</f>
        <v>0</v>
      </c>
      <c r="V23" s="561">
        <f>SUM('Defect (Total)'!V23,Planned!V23,Reconductor!V23,CTGS!V23)</f>
        <v>0</v>
      </c>
      <c r="W23" s="561">
        <f>SUM('Defect (Total)'!W23,Planned!W23,Reconductor!W23,CTGS!W23)</f>
        <v>0</v>
      </c>
      <c r="X23" s="561">
        <f>SUM('Defect (Total)'!X23,Planned!X23,Reconductor!X23,CTGS!X23)</f>
        <v>0</v>
      </c>
      <c r="Y23" s="561">
        <f>SUM('Defect (Total)'!Y23,Planned!Y23,Reconductor!Y23,CTGS!Y23)</f>
        <v>0</v>
      </c>
      <c r="Z23" s="86">
        <f>SUM('Defect (Total)'!Z23,Planned!Z23,Reconductor!Z23,CTGS!Z23)</f>
        <v>0</v>
      </c>
      <c r="AA23" s="87">
        <f>SUM('Defect (Total)'!AA23,Planned!AA23,Reconductor!AA23,CTGS!AA23)</f>
        <v>0</v>
      </c>
      <c r="AB23" s="87">
        <f>SUM('Defect (Total)'!AB23,Planned!AB23,Reconductor!AB23,CTGS!AB23)</f>
        <v>0</v>
      </c>
      <c r="AC23" s="87">
        <f>SUM('Defect (Total)'!AC23,Planned!AC23,Reconductor!AC23,CTGS!AC23)</f>
        <v>0</v>
      </c>
      <c r="AD23" s="87">
        <f>SUM('Defect (Total)'!AD23,Planned!AD23,Reconductor!AD23,CTGS!AD23)</f>
        <v>0</v>
      </c>
      <c r="AE23" s="87">
        <f>SUM('Defect (Total)'!AE23,Planned!AE23,Reconductor!AE23,CTGS!AE23)</f>
        <v>0</v>
      </c>
      <c r="AF23" s="87">
        <f>SUM('Defect (Total)'!AF23,Planned!AF23,Reconductor!AF23,CTGS!AF23)</f>
        <v>0</v>
      </c>
      <c r="AG23" s="87">
        <f>SUM('Defect (Total)'!AG23,Planned!AG23,Reconductor!AG23,CTGS!AG23)</f>
        <v>0</v>
      </c>
      <c r="AH23" s="87">
        <f>SUM('Defect (Total)'!AH23,Planned!AH23,Reconductor!AH23,CTGS!AH23)</f>
        <v>0</v>
      </c>
      <c r="AI23" s="87">
        <f>SUM('Defect (Total)'!AI23,Planned!AI23,Reconductor!AI23,CTGS!AI23)</f>
        <v>0</v>
      </c>
      <c r="AJ23" s="87">
        <f>SUM('Defect (Total)'!AJ23,Planned!AJ23,Reconductor!AJ23,CTGS!AJ23)</f>
        <v>0</v>
      </c>
      <c r="AK23" s="88">
        <f t="shared" si="17"/>
        <v>0</v>
      </c>
      <c r="AL23" s="89">
        <f t="shared" si="18"/>
        <v>0</v>
      </c>
      <c r="AM23" s="90">
        <f t="shared" si="19"/>
        <v>0</v>
      </c>
      <c r="AN23" s="91" t="str">
        <f t="shared" si="1"/>
        <v/>
      </c>
      <c r="AO23" s="92" t="str">
        <f t="shared" si="2"/>
        <v/>
      </c>
      <c r="AP23" s="92" t="str">
        <f t="shared" si="3"/>
        <v/>
      </c>
      <c r="AQ23" s="92" t="str">
        <f t="shared" si="4"/>
        <v/>
      </c>
      <c r="AR23" s="92" t="str">
        <f t="shared" si="5"/>
        <v/>
      </c>
      <c r="AS23" s="92" t="str">
        <f t="shared" si="6"/>
        <v/>
      </c>
      <c r="AT23" s="92" t="str">
        <f t="shared" si="7"/>
        <v/>
      </c>
      <c r="AU23" s="92" t="str">
        <f t="shared" si="8"/>
        <v/>
      </c>
      <c r="AV23" s="92" t="str">
        <f t="shared" si="9"/>
        <v/>
      </c>
      <c r="AW23" s="92" t="str">
        <f t="shared" si="10"/>
        <v/>
      </c>
      <c r="AX23" s="92" t="str">
        <f t="shared" si="11"/>
        <v/>
      </c>
      <c r="AY23" s="93" t="str">
        <f t="shared" si="12"/>
        <v/>
      </c>
      <c r="AZ23" s="94" t="str">
        <f t="shared" si="13"/>
        <v/>
      </c>
      <c r="BA23" s="95" t="str">
        <f t="shared" si="14"/>
        <v/>
      </c>
      <c r="BB23" s="689">
        <f>SUM('Defect (Total)'!BB23,Planned!CE23,Reconductor!CE23,CTGS!CE23,'Substation 2025$'!CE23*$BL$1,Comms!CA23*$BL$2)</f>
        <v>0</v>
      </c>
      <c r="BC23" s="689">
        <f>SUM('Defect (Total)'!BC23,Planned!CF23,Reconductor!CF23,CTGS!CF23,'Substation 2025$'!CF23*$BL$1,Comms!CB23*$BL$2)</f>
        <v>0</v>
      </c>
      <c r="BD23" s="96">
        <f>SUM('Defect (Total)'!BD23,Planned!CG23,Reconductor!CG23,CTGS!CG23,'Substation 2025$'!CG23*$BL$1,Comms!CC23*$BL$2)</f>
        <v>0</v>
      </c>
      <c r="BE23" s="96">
        <f>SUM('Defect (Total)'!BE23,Planned!CH23,Reconductor!CH23,CTGS!CH23,'Substation 2025$'!CH23*$BL$1,Comms!CD23*$BL$2)</f>
        <v>0</v>
      </c>
      <c r="BF23" s="96">
        <f>SUM('Defect (Total)'!BF23,Planned!CI23,Reconductor!CI23,CTGS!CI23,'Substation 2025$'!CI23*$BL$1,Comms!CE23*$BL$2)</f>
        <v>0</v>
      </c>
      <c r="BG23" s="96">
        <f>SUM('Defect (Total)'!BG23,Planned!CJ23,Reconductor!CJ23,CTGS!CJ23,'Substation 2025$'!CJ23*$BL$1,Comms!CF23*$BL$2)</f>
        <v>0</v>
      </c>
      <c r="BH23" s="96">
        <f>SUM('Defect (Total)'!BH23,Planned!CK23,Reconductor!CK23,CTGS!CK23,'Substation 2025$'!CK23*$BL$1,Comms!CG23*$BL$2)</f>
        <v>0</v>
      </c>
      <c r="BI23" s="286">
        <f>SUM('Defect (Total)'!BI23,Planned!CL23,Reconductor!CL23,CTGS!CL23,'Substation 2025$'!CL23*$BL$1,Comms!CH23*$BL$2)</f>
        <v>0</v>
      </c>
      <c r="BJ23" s="99" t="str">
        <f t="shared" si="20"/>
        <v/>
      </c>
      <c r="BK23" s="992">
        <f>SUM('Defect (Total)'!BK23,Planned!CQ23,Reconductor!CQ23,CTGS!CQ23,'Substation 2025$'!CQ23*$BL$1,Comms!CM23*$BL$2)</f>
        <v>0</v>
      </c>
      <c r="BL23" s="992">
        <f>SUM('Defect (Total)'!BL23,Planned!CR23,Reconductor!CR23,CTGS!CR23,'Substation 2025$'!CR23*$BL$1,Comms!CN23*$BL$2)</f>
        <v>0</v>
      </c>
      <c r="BM23" s="524">
        <f>SUM('Defect (Total)'!BM23,Planned!CS23,Reconductor!CS23,CTGS!CS23,'Substation 2025$'!CS23*$BL$1,Comms!CO23*$BL$2)</f>
        <v>0</v>
      </c>
      <c r="BN23" s="416">
        <f>SUM('Defect (Total)'!BN23,Planned!CT23,Reconductor!CT23,CTGS!CT23,'Substation 2025$'!CT23*$BL$1,Comms!CP23*$BL$2)</f>
        <v>0</v>
      </c>
      <c r="BO23" s="97">
        <f>SUM('Defect (Total)'!BO23,Planned!CU23,Reconductor!CU23,CTGS!CU23,'Substation 2025$'!CU23*$BL$1,Comms!CQ23*$BL$2)</f>
        <v>0</v>
      </c>
      <c r="BP23" s="97">
        <f>SUM('Defect (Total)'!BP23,Planned!CV23,Reconductor!CV23,CTGS!CV23,'Substation 2025$'!CV23*$BL$1,Comms!CR23*$BL$2)</f>
        <v>0</v>
      </c>
      <c r="BQ23" s="97">
        <f>SUM('Defect (Total)'!BQ23,Planned!CW23,Reconductor!CW23,CTGS!CW23,'Substation 2025$'!CW23*$BL$1,Comms!CS23*$BL$2)</f>
        <v>0</v>
      </c>
      <c r="BR23" s="98">
        <f>SUM('Defect (Total)'!BR23,Planned!CX23,Reconductor!CX23,CTGS!CX23,'Substation 2025$'!CX23*$BL$1,Comms!CT23*$BL$2)</f>
        <v>0</v>
      </c>
      <c r="BS23" s="836" t="str">
        <f>'Unit Cost Rate Summary'!AO23</f>
        <v/>
      </c>
      <c r="BT23" s="840" t="str">
        <f t="shared" si="15"/>
        <v/>
      </c>
      <c r="BU23" s="832" t="str">
        <f t="shared" si="16"/>
        <v/>
      </c>
      <c r="BV23" t="s">
        <v>268</v>
      </c>
      <c r="CI23" s="416">
        <f>VLOOKUP($A23,'Distribution Summary'!$A$136:$CG$146,CI$1,0)*BN23</f>
        <v>0</v>
      </c>
      <c r="CJ23" s="97">
        <f>VLOOKUP($A23,'Distribution Summary'!$A$136:$CG$146,CJ$1,0)*BO23</f>
        <v>0</v>
      </c>
      <c r="CK23" s="97">
        <f>VLOOKUP($A23,'Distribution Summary'!$A$136:$CG$146,CK$1,0)*BP23</f>
        <v>0</v>
      </c>
      <c r="CL23" s="97">
        <f>VLOOKUP($A23,'Distribution Summary'!$A$136:$CG$146,CL$1,0)*BQ23</f>
        <v>0</v>
      </c>
      <c r="CM23" s="98">
        <f>VLOOKUP($A23,'Distribution Summary'!$A$136:$CG$146,CM$1,0)*BR23</f>
        <v>0</v>
      </c>
    </row>
    <row r="24" spans="1:91" x14ac:dyDescent="0.25">
      <c r="A24" s="81" t="s">
        <v>27</v>
      </c>
      <c r="B24" s="82" t="s">
        <v>59</v>
      </c>
      <c r="C24" s="83" t="s">
        <v>60</v>
      </c>
      <c r="D24" s="84">
        <f>SUM('Defect (Total)'!D24,Planned!D24,Reconductor!D24,CTGS!D24)</f>
        <v>0</v>
      </c>
      <c r="E24" s="85">
        <f>SUM('Defect (Total)'!E24,Planned!E24,Reconductor!E24,CTGS!E24)</f>
        <v>0</v>
      </c>
      <c r="F24" s="85">
        <f>SUM('Defect (Total)'!F24,Planned!F24,Reconductor!F24,CTGS!F24)</f>
        <v>0</v>
      </c>
      <c r="G24" s="85">
        <f>SUM('Defect (Total)'!G24,Planned!G24,Reconductor!G24,CTGS!G24)</f>
        <v>0</v>
      </c>
      <c r="H24" s="85">
        <f>SUM('Defect (Total)'!H24,Planned!H24,Reconductor!H24,CTGS!H24)</f>
        <v>0</v>
      </c>
      <c r="I24" s="85">
        <f>SUM('Defect (Total)'!I24,Planned!I24,Reconductor!I24,CTGS!I24)</f>
        <v>0</v>
      </c>
      <c r="J24" s="85">
        <f>SUM('Defect (Total)'!J24,Planned!J24,Reconductor!J24,CTGS!J24)</f>
        <v>0</v>
      </c>
      <c r="K24" s="85">
        <f>SUM('Defect (Total)'!K24,Planned!K24,Reconductor!K24,CTGS!K24)</f>
        <v>0</v>
      </c>
      <c r="L24" s="85">
        <f>SUM('Defect (Total)'!L24,Planned!L24,Reconductor!L24,CTGS!L24)</f>
        <v>0</v>
      </c>
      <c r="M24" s="85">
        <f>SUM('Defect (Total)'!M24,Planned!M24,Reconductor!M24,CTGS!M24)</f>
        <v>0</v>
      </c>
      <c r="N24" s="85">
        <f>SUM('Defect (Total)'!N24,Planned!N24,Reconductor!N24,CTGS!N24)</f>
        <v>0</v>
      </c>
      <c r="O24" s="560">
        <f>SUM('Defect (Total)'!O24,Planned!O24,Reconductor!O24,CTGS!O24)</f>
        <v>0</v>
      </c>
      <c r="P24" s="561">
        <f>SUM('Defect (Total)'!P24,Planned!P24,Reconductor!P24,CTGS!P24)</f>
        <v>0</v>
      </c>
      <c r="Q24" s="561">
        <f>SUM('Defect (Total)'!Q24,Planned!Q24,Reconductor!Q24,CTGS!Q24)</f>
        <v>0</v>
      </c>
      <c r="R24" s="561">
        <f>SUM('Defect (Total)'!R24,Planned!R24,Reconductor!R24,CTGS!R24)</f>
        <v>0</v>
      </c>
      <c r="S24" s="561">
        <f>SUM('Defect (Total)'!S24,Planned!S24,Reconductor!S24,CTGS!S24)</f>
        <v>0</v>
      </c>
      <c r="T24" s="561">
        <f>SUM('Defect (Total)'!T24,Planned!T24,Reconductor!T24,CTGS!T24)</f>
        <v>0</v>
      </c>
      <c r="U24" s="561">
        <f>SUM('Defect (Total)'!U24,Planned!U24,Reconductor!U24,CTGS!U24)</f>
        <v>0</v>
      </c>
      <c r="V24" s="561">
        <f>SUM('Defect (Total)'!V24,Planned!V24,Reconductor!V24,CTGS!V24)</f>
        <v>0</v>
      </c>
      <c r="W24" s="561">
        <f>SUM('Defect (Total)'!W24,Planned!W24,Reconductor!W24,CTGS!W24)</f>
        <v>0</v>
      </c>
      <c r="X24" s="561">
        <f>SUM('Defect (Total)'!X24,Planned!X24,Reconductor!X24,CTGS!X24)</f>
        <v>0</v>
      </c>
      <c r="Y24" s="561">
        <f>SUM('Defect (Total)'!Y24,Planned!Y24,Reconductor!Y24,CTGS!Y24)</f>
        <v>0</v>
      </c>
      <c r="Z24" s="86">
        <f>SUM('Defect (Total)'!Z24,Planned!Z24,Reconductor!Z24,CTGS!Z24)</f>
        <v>0</v>
      </c>
      <c r="AA24" s="87">
        <f>SUM('Defect (Total)'!AA24,Planned!AA24,Reconductor!AA24,CTGS!AA24)</f>
        <v>0</v>
      </c>
      <c r="AB24" s="87">
        <f>SUM('Defect (Total)'!AB24,Planned!AB24,Reconductor!AB24,CTGS!AB24)</f>
        <v>0</v>
      </c>
      <c r="AC24" s="87">
        <f>SUM('Defect (Total)'!AC24,Planned!AC24,Reconductor!AC24,CTGS!AC24)</f>
        <v>0</v>
      </c>
      <c r="AD24" s="87">
        <f>SUM('Defect (Total)'!AD24,Planned!AD24,Reconductor!AD24,CTGS!AD24)</f>
        <v>0</v>
      </c>
      <c r="AE24" s="87">
        <f>SUM('Defect (Total)'!AE24,Planned!AE24,Reconductor!AE24,CTGS!AE24)</f>
        <v>0</v>
      </c>
      <c r="AF24" s="87">
        <f>SUM('Defect (Total)'!AF24,Planned!AF24,Reconductor!AF24,CTGS!AF24)</f>
        <v>0</v>
      </c>
      <c r="AG24" s="87">
        <f>SUM('Defect (Total)'!AG24,Planned!AG24,Reconductor!AG24,CTGS!AG24)</f>
        <v>0</v>
      </c>
      <c r="AH24" s="87">
        <f>SUM('Defect (Total)'!AH24,Planned!AH24,Reconductor!AH24,CTGS!AH24)</f>
        <v>0</v>
      </c>
      <c r="AI24" s="87">
        <f>SUM('Defect (Total)'!AI24,Planned!AI24,Reconductor!AI24,CTGS!AI24)</f>
        <v>0</v>
      </c>
      <c r="AJ24" s="87">
        <f>SUM('Defect (Total)'!AJ24,Planned!AJ24,Reconductor!AJ24,CTGS!AJ24)</f>
        <v>0</v>
      </c>
      <c r="AK24" s="88">
        <f t="shared" si="17"/>
        <v>0</v>
      </c>
      <c r="AL24" s="89">
        <f t="shared" si="18"/>
        <v>0</v>
      </c>
      <c r="AM24" s="90">
        <f t="shared" si="19"/>
        <v>0</v>
      </c>
      <c r="AN24" s="91" t="str">
        <f t="shared" si="1"/>
        <v/>
      </c>
      <c r="AO24" s="92" t="str">
        <f t="shared" si="2"/>
        <v/>
      </c>
      <c r="AP24" s="92" t="str">
        <f t="shared" si="3"/>
        <v/>
      </c>
      <c r="AQ24" s="92" t="str">
        <f t="shared" si="4"/>
        <v/>
      </c>
      <c r="AR24" s="92" t="str">
        <f t="shared" si="5"/>
        <v/>
      </c>
      <c r="AS24" s="92" t="str">
        <f t="shared" si="6"/>
        <v/>
      </c>
      <c r="AT24" s="92" t="str">
        <f t="shared" si="7"/>
        <v/>
      </c>
      <c r="AU24" s="92" t="str">
        <f t="shared" si="8"/>
        <v/>
      </c>
      <c r="AV24" s="92" t="str">
        <f t="shared" si="9"/>
        <v/>
      </c>
      <c r="AW24" s="92" t="str">
        <f t="shared" si="10"/>
        <v/>
      </c>
      <c r="AX24" s="92" t="str">
        <f t="shared" si="11"/>
        <v/>
      </c>
      <c r="AY24" s="93" t="str">
        <f t="shared" si="12"/>
        <v/>
      </c>
      <c r="AZ24" s="94" t="str">
        <f t="shared" si="13"/>
        <v/>
      </c>
      <c r="BA24" s="95" t="str">
        <f t="shared" si="14"/>
        <v/>
      </c>
      <c r="BB24" s="689">
        <f>SUM('Defect (Total)'!BB24,Planned!CE24,Reconductor!CE24,CTGS!CE24,'Substation 2025$'!CE24*$BL$1,Comms!CA24*$BL$2)</f>
        <v>0</v>
      </c>
      <c r="BC24" s="689">
        <f>SUM('Defect (Total)'!BC24,Planned!CF24,Reconductor!CF24,CTGS!CF24,'Substation 2025$'!CF24*$BL$1,Comms!CB24*$BL$2)</f>
        <v>0</v>
      </c>
      <c r="BD24" s="96">
        <f>SUM('Defect (Total)'!BD24,Planned!CG24,Reconductor!CG24,CTGS!CG24,'Substation 2025$'!CG24*$BL$1,Comms!CC24*$BL$2)</f>
        <v>0</v>
      </c>
      <c r="BE24" s="96">
        <f>SUM('Defect (Total)'!BE24,Planned!CH24,Reconductor!CH24,CTGS!CH24,'Substation 2025$'!CH24*$BL$1,Comms!CD24*$BL$2)</f>
        <v>0</v>
      </c>
      <c r="BF24" s="96">
        <f>SUM('Defect (Total)'!BF24,Planned!CI24,Reconductor!CI24,CTGS!CI24,'Substation 2025$'!CI24*$BL$1,Comms!CE24*$BL$2)</f>
        <v>0</v>
      </c>
      <c r="BG24" s="96">
        <f>SUM('Defect (Total)'!BG24,Planned!CJ24,Reconductor!CJ24,CTGS!CJ24,'Substation 2025$'!CJ24*$BL$1,Comms!CF24*$BL$2)</f>
        <v>0</v>
      </c>
      <c r="BH24" s="96">
        <f>SUM('Defect (Total)'!BH24,Planned!CK24,Reconductor!CK24,CTGS!CK24,'Substation 2025$'!CK24*$BL$1,Comms!CG24*$BL$2)</f>
        <v>0</v>
      </c>
      <c r="BI24" s="286">
        <f>SUM('Defect (Total)'!BI24,Planned!CL24,Reconductor!CL24,CTGS!CL24,'Substation 2025$'!CL24*$BL$1,Comms!CH24*$BL$2)</f>
        <v>0</v>
      </c>
      <c r="BJ24" s="99" t="str">
        <f t="shared" si="20"/>
        <v/>
      </c>
      <c r="BK24" s="992">
        <f>SUM('Defect (Total)'!BK24,Planned!CQ24,Reconductor!CQ24,CTGS!CQ24,'Substation 2025$'!CQ24*$BL$1,Comms!CM24*$BL$2)</f>
        <v>0</v>
      </c>
      <c r="BL24" s="992">
        <f>SUM('Defect (Total)'!BL24,Planned!CR24,Reconductor!CR24,CTGS!CR24,'Substation 2025$'!CR24*$BL$1,Comms!CN24*$BL$2)</f>
        <v>0</v>
      </c>
      <c r="BM24" s="524">
        <f>SUM('Defect (Total)'!BM24,Planned!CS24,Reconductor!CS24,CTGS!CS24,'Substation 2025$'!CS24*$BL$1,Comms!CO24*$BL$2)</f>
        <v>0</v>
      </c>
      <c r="BN24" s="416">
        <f>SUM('Defect (Total)'!BN24,Planned!CT24,Reconductor!CT24,CTGS!CT24,'Substation 2025$'!CT24*$BL$1,Comms!CP24*$BL$2)</f>
        <v>0</v>
      </c>
      <c r="BO24" s="97">
        <f>SUM('Defect (Total)'!BO24,Planned!CU24,Reconductor!CU24,CTGS!CU24,'Substation 2025$'!CU24*$BL$1,Comms!CQ24*$BL$2)</f>
        <v>0</v>
      </c>
      <c r="BP24" s="97">
        <f>SUM('Defect (Total)'!BP24,Planned!CV24,Reconductor!CV24,CTGS!CV24,'Substation 2025$'!CV24*$BL$1,Comms!CR24*$BL$2)</f>
        <v>0</v>
      </c>
      <c r="BQ24" s="97">
        <f>SUM('Defect (Total)'!BQ24,Planned!CW24,Reconductor!CW24,CTGS!CW24,'Substation 2025$'!CW24*$BL$1,Comms!CS24*$BL$2)</f>
        <v>0</v>
      </c>
      <c r="BR24" s="98">
        <f>SUM('Defect (Total)'!BR24,Planned!CX24,Reconductor!CX24,CTGS!CX24,'Substation 2025$'!CX24*$BL$1,Comms!CT24*$BL$2)</f>
        <v>0</v>
      </c>
      <c r="BS24" s="836" t="str">
        <f>'Unit Cost Rate Summary'!AO24</f>
        <v/>
      </c>
      <c r="BT24" s="840" t="str">
        <f t="shared" si="15"/>
        <v/>
      </c>
      <c r="BU24" s="832" t="str">
        <f t="shared" si="16"/>
        <v/>
      </c>
      <c r="BV24" t="s">
        <v>268</v>
      </c>
      <c r="CI24" s="416">
        <f>VLOOKUP($A24,'Distribution Summary'!$A$136:$CG$146,CI$1,0)*BN24</f>
        <v>0</v>
      </c>
      <c r="CJ24" s="97">
        <f>VLOOKUP($A24,'Distribution Summary'!$A$136:$CG$146,CJ$1,0)*BO24</f>
        <v>0</v>
      </c>
      <c r="CK24" s="97">
        <f>VLOOKUP($A24,'Distribution Summary'!$A$136:$CG$146,CK$1,0)*BP24</f>
        <v>0</v>
      </c>
      <c r="CL24" s="97">
        <f>VLOOKUP($A24,'Distribution Summary'!$A$136:$CG$146,CL$1,0)*BQ24</f>
        <v>0</v>
      </c>
      <c r="CM24" s="98">
        <f>VLOOKUP($A24,'Distribution Summary'!$A$136:$CG$146,CM$1,0)*BR24</f>
        <v>0</v>
      </c>
    </row>
    <row r="25" spans="1:91" x14ac:dyDescent="0.25">
      <c r="A25" s="81" t="s">
        <v>27</v>
      </c>
      <c r="B25" s="82" t="s">
        <v>61</v>
      </c>
      <c r="C25" s="83" t="s">
        <v>62</v>
      </c>
      <c r="D25" s="84">
        <f>SUM('Defect (Total)'!D25,Planned!D25,Reconductor!D25,CTGS!D25)</f>
        <v>0</v>
      </c>
      <c r="E25" s="85">
        <f>SUM('Defect (Total)'!E25,Planned!E25,Reconductor!E25,CTGS!E25)</f>
        <v>0</v>
      </c>
      <c r="F25" s="85">
        <f>SUM('Defect (Total)'!F25,Planned!F25,Reconductor!F25,CTGS!F25)</f>
        <v>0</v>
      </c>
      <c r="G25" s="85">
        <f>SUM('Defect (Total)'!G25,Planned!G25,Reconductor!G25,CTGS!G25)</f>
        <v>0</v>
      </c>
      <c r="H25" s="85">
        <f>SUM('Defect (Total)'!H25,Planned!H25,Reconductor!H25,CTGS!H25)</f>
        <v>0</v>
      </c>
      <c r="I25" s="85">
        <f>SUM('Defect (Total)'!I25,Planned!I25,Reconductor!I25,CTGS!I25)</f>
        <v>0</v>
      </c>
      <c r="J25" s="85">
        <f>SUM('Defect (Total)'!J25,Planned!J25,Reconductor!J25,CTGS!J25)</f>
        <v>0</v>
      </c>
      <c r="K25" s="85">
        <f>SUM('Defect (Total)'!K25,Planned!K25,Reconductor!K25,CTGS!K25)</f>
        <v>0</v>
      </c>
      <c r="L25" s="85">
        <f>SUM('Defect (Total)'!L25,Planned!L25,Reconductor!L25,CTGS!L25)</f>
        <v>0</v>
      </c>
      <c r="M25" s="85">
        <f>SUM('Defect (Total)'!M25,Planned!M25,Reconductor!M25,CTGS!M25)</f>
        <v>0</v>
      </c>
      <c r="N25" s="85">
        <f>SUM('Defect (Total)'!N25,Planned!N25,Reconductor!N25,CTGS!N25)</f>
        <v>0</v>
      </c>
      <c r="O25" s="560">
        <f>SUM('Defect (Total)'!O25,Planned!O25,Reconductor!O25,CTGS!O25)</f>
        <v>0</v>
      </c>
      <c r="P25" s="561">
        <f>SUM('Defect (Total)'!P25,Planned!P25,Reconductor!P25,CTGS!P25)</f>
        <v>0</v>
      </c>
      <c r="Q25" s="561">
        <f>SUM('Defect (Total)'!Q25,Planned!Q25,Reconductor!Q25,CTGS!Q25)</f>
        <v>0</v>
      </c>
      <c r="R25" s="561">
        <f>SUM('Defect (Total)'!R25,Planned!R25,Reconductor!R25,CTGS!R25)</f>
        <v>0</v>
      </c>
      <c r="S25" s="561">
        <f>SUM('Defect (Total)'!S25,Planned!S25,Reconductor!S25,CTGS!S25)</f>
        <v>0</v>
      </c>
      <c r="T25" s="561">
        <f>SUM('Defect (Total)'!T25,Planned!T25,Reconductor!T25,CTGS!T25)</f>
        <v>0</v>
      </c>
      <c r="U25" s="561">
        <f>SUM('Defect (Total)'!U25,Planned!U25,Reconductor!U25,CTGS!U25)</f>
        <v>0</v>
      </c>
      <c r="V25" s="561">
        <f>SUM('Defect (Total)'!V25,Planned!V25,Reconductor!V25,CTGS!V25)</f>
        <v>0</v>
      </c>
      <c r="W25" s="561">
        <f>SUM('Defect (Total)'!W25,Planned!W25,Reconductor!W25,CTGS!W25)</f>
        <v>0</v>
      </c>
      <c r="X25" s="561">
        <f>SUM('Defect (Total)'!X25,Planned!X25,Reconductor!X25,CTGS!X25)</f>
        <v>0</v>
      </c>
      <c r="Y25" s="561">
        <f>SUM('Defect (Total)'!Y25,Planned!Y25,Reconductor!Y25,CTGS!Y25)</f>
        <v>0</v>
      </c>
      <c r="Z25" s="86">
        <f>SUM('Defect (Total)'!Z25,Planned!Z25,Reconductor!Z25,CTGS!Z25)</f>
        <v>0</v>
      </c>
      <c r="AA25" s="87">
        <f>SUM('Defect (Total)'!AA25,Planned!AA25,Reconductor!AA25,CTGS!AA25)</f>
        <v>0</v>
      </c>
      <c r="AB25" s="87">
        <f>SUM('Defect (Total)'!AB25,Planned!AB25,Reconductor!AB25,CTGS!AB25)</f>
        <v>0</v>
      </c>
      <c r="AC25" s="87">
        <f>SUM('Defect (Total)'!AC25,Planned!AC25,Reconductor!AC25,CTGS!AC25)</f>
        <v>0</v>
      </c>
      <c r="AD25" s="87">
        <f>SUM('Defect (Total)'!AD25,Planned!AD25,Reconductor!AD25,CTGS!AD25)</f>
        <v>0</v>
      </c>
      <c r="AE25" s="87">
        <f>SUM('Defect (Total)'!AE25,Planned!AE25,Reconductor!AE25,CTGS!AE25)</f>
        <v>0</v>
      </c>
      <c r="AF25" s="87">
        <f>SUM('Defect (Total)'!AF25,Planned!AF25,Reconductor!AF25,CTGS!AF25)</f>
        <v>0</v>
      </c>
      <c r="AG25" s="87">
        <f>SUM('Defect (Total)'!AG25,Planned!AG25,Reconductor!AG25,CTGS!AG25)</f>
        <v>0</v>
      </c>
      <c r="AH25" s="87">
        <f>SUM('Defect (Total)'!AH25,Planned!AH25,Reconductor!AH25,CTGS!AH25)</f>
        <v>0</v>
      </c>
      <c r="AI25" s="87">
        <f>SUM('Defect (Total)'!AI25,Planned!AI25,Reconductor!AI25,CTGS!AI25)</f>
        <v>0</v>
      </c>
      <c r="AJ25" s="87">
        <f>SUM('Defect (Total)'!AJ25,Planned!AJ25,Reconductor!AJ25,CTGS!AJ25)</f>
        <v>0</v>
      </c>
      <c r="AK25" s="88">
        <f t="shared" si="17"/>
        <v>0</v>
      </c>
      <c r="AL25" s="89">
        <f t="shared" si="18"/>
        <v>0</v>
      </c>
      <c r="AM25" s="90">
        <f t="shared" si="19"/>
        <v>0</v>
      </c>
      <c r="AN25" s="91" t="str">
        <f t="shared" si="1"/>
        <v/>
      </c>
      <c r="AO25" s="92" t="str">
        <f t="shared" si="2"/>
        <v/>
      </c>
      <c r="AP25" s="92" t="str">
        <f t="shared" si="3"/>
        <v/>
      </c>
      <c r="AQ25" s="92" t="str">
        <f t="shared" si="4"/>
        <v/>
      </c>
      <c r="AR25" s="92" t="str">
        <f t="shared" si="5"/>
        <v/>
      </c>
      <c r="AS25" s="92" t="str">
        <f t="shared" si="6"/>
        <v/>
      </c>
      <c r="AT25" s="92" t="str">
        <f t="shared" si="7"/>
        <v/>
      </c>
      <c r="AU25" s="92" t="str">
        <f t="shared" si="8"/>
        <v/>
      </c>
      <c r="AV25" s="92" t="str">
        <f t="shared" si="9"/>
        <v/>
      </c>
      <c r="AW25" s="92" t="str">
        <f t="shared" si="10"/>
        <v/>
      </c>
      <c r="AX25" s="92" t="str">
        <f t="shared" si="11"/>
        <v/>
      </c>
      <c r="AY25" s="93" t="str">
        <f t="shared" si="12"/>
        <v/>
      </c>
      <c r="AZ25" s="94" t="str">
        <f t="shared" si="13"/>
        <v/>
      </c>
      <c r="BA25" s="95" t="str">
        <f t="shared" si="14"/>
        <v/>
      </c>
      <c r="BB25" s="689">
        <f>SUM('Defect (Total)'!BB25,Planned!CE25,Reconductor!CE25,CTGS!CE25,'Substation 2025$'!CE25*$BL$1,Comms!CA25*$BL$2)</f>
        <v>0</v>
      </c>
      <c r="BC25" s="689">
        <f>SUM('Defect (Total)'!BC25,Planned!CF25,Reconductor!CF25,CTGS!CF25,'Substation 2025$'!CF25*$BL$1,Comms!CB25*$BL$2)</f>
        <v>0</v>
      </c>
      <c r="BD25" s="96">
        <f>SUM('Defect (Total)'!BD25,Planned!CG25,Reconductor!CG25,CTGS!CG25,'Substation 2025$'!CG25*$BL$1,Comms!CC25*$BL$2)</f>
        <v>0</v>
      </c>
      <c r="BE25" s="96">
        <f>SUM('Defect (Total)'!BE25,Planned!CH25,Reconductor!CH25,CTGS!CH25,'Substation 2025$'!CH25*$BL$1,Comms!CD25*$BL$2)</f>
        <v>0</v>
      </c>
      <c r="BF25" s="96">
        <f>SUM('Defect (Total)'!BF25,Planned!CI25,Reconductor!CI25,CTGS!CI25,'Substation 2025$'!CI25*$BL$1,Comms!CE25*$BL$2)</f>
        <v>0</v>
      </c>
      <c r="BG25" s="96">
        <f>SUM('Defect (Total)'!BG25,Planned!CJ25,Reconductor!CJ25,CTGS!CJ25,'Substation 2025$'!CJ25*$BL$1,Comms!CF25*$BL$2)</f>
        <v>0</v>
      </c>
      <c r="BH25" s="96">
        <f>SUM('Defect (Total)'!BH25,Planned!CK25,Reconductor!CK25,CTGS!CK25,'Substation 2025$'!CK25*$BL$1,Comms!CG25*$BL$2)</f>
        <v>0</v>
      </c>
      <c r="BI25" s="286">
        <f>SUM('Defect (Total)'!BI25,Planned!CL25,Reconductor!CL25,CTGS!CL25,'Substation 2025$'!CL25*$BL$1,Comms!CH25*$BL$2)</f>
        <v>0</v>
      </c>
      <c r="BJ25" s="99" t="str">
        <f t="shared" si="20"/>
        <v/>
      </c>
      <c r="BK25" s="992">
        <f>SUM('Defect (Total)'!BK25,Planned!CQ25,Reconductor!CQ25,CTGS!CQ25,'Substation 2025$'!CQ25*$BL$1,Comms!CM25*$BL$2)</f>
        <v>0</v>
      </c>
      <c r="BL25" s="992">
        <f>SUM('Defect (Total)'!BL25,Planned!CR25,Reconductor!CR25,CTGS!CR25,'Substation 2025$'!CR25*$BL$1,Comms!CN25*$BL$2)</f>
        <v>0</v>
      </c>
      <c r="BM25" s="524">
        <f>SUM('Defect (Total)'!BM25,Planned!CS25,Reconductor!CS25,CTGS!CS25,'Substation 2025$'!CS25*$BL$1,Comms!CO25*$BL$2)</f>
        <v>0</v>
      </c>
      <c r="BN25" s="416">
        <f>SUM('Defect (Total)'!BN25,Planned!CT25,Reconductor!CT25,CTGS!CT25,'Substation 2025$'!CT25*$BL$1,Comms!CP25*$BL$2)</f>
        <v>0</v>
      </c>
      <c r="BO25" s="97">
        <f>SUM('Defect (Total)'!BO25,Planned!CU25,Reconductor!CU25,CTGS!CU25,'Substation 2025$'!CU25*$BL$1,Comms!CQ25*$BL$2)</f>
        <v>0</v>
      </c>
      <c r="BP25" s="97">
        <f>SUM('Defect (Total)'!BP25,Planned!CV25,Reconductor!CV25,CTGS!CV25,'Substation 2025$'!CV25*$BL$1,Comms!CR25*$BL$2)</f>
        <v>0</v>
      </c>
      <c r="BQ25" s="97">
        <f>SUM('Defect (Total)'!BQ25,Planned!CW25,Reconductor!CW25,CTGS!CW25,'Substation 2025$'!CW25*$BL$1,Comms!CS25*$BL$2)</f>
        <v>0</v>
      </c>
      <c r="BR25" s="98">
        <f>SUM('Defect (Total)'!BR25,Planned!CX25,Reconductor!CX25,CTGS!CX25,'Substation 2025$'!CX25*$BL$1,Comms!CT25*$BL$2)</f>
        <v>0</v>
      </c>
      <c r="BS25" s="836" t="str">
        <f>'Unit Cost Rate Summary'!AO25</f>
        <v/>
      </c>
      <c r="BT25" s="840" t="str">
        <f t="shared" si="15"/>
        <v/>
      </c>
      <c r="BU25" s="832" t="str">
        <f t="shared" si="16"/>
        <v/>
      </c>
      <c r="BV25" t="s">
        <v>268</v>
      </c>
      <c r="CI25" s="416">
        <f>VLOOKUP($A25,'Distribution Summary'!$A$136:$CG$146,CI$1,0)*BN25</f>
        <v>0</v>
      </c>
      <c r="CJ25" s="97">
        <f>VLOOKUP($A25,'Distribution Summary'!$A$136:$CG$146,CJ$1,0)*BO25</f>
        <v>0</v>
      </c>
      <c r="CK25" s="97">
        <f>VLOOKUP($A25,'Distribution Summary'!$A$136:$CG$146,CK$1,0)*BP25</f>
        <v>0</v>
      </c>
      <c r="CL25" s="97">
        <f>VLOOKUP($A25,'Distribution Summary'!$A$136:$CG$146,CL$1,0)*BQ25</f>
        <v>0</v>
      </c>
      <c r="CM25" s="98">
        <f>VLOOKUP($A25,'Distribution Summary'!$A$136:$CG$146,CM$1,0)*BR25</f>
        <v>0</v>
      </c>
    </row>
    <row r="26" spans="1:91" ht="15.75" thickBot="1" x14ac:dyDescent="0.3">
      <c r="A26" s="100" t="s">
        <v>27</v>
      </c>
      <c r="B26" s="101" t="s">
        <v>303</v>
      </c>
      <c r="C26" s="102" t="s">
        <v>304</v>
      </c>
      <c r="D26" s="103">
        <f>SUM('Defect (Total)'!D26,Planned!D26,Reconductor!D26,CTGS!D26)</f>
        <v>0</v>
      </c>
      <c r="E26" s="104">
        <f>SUM('Defect (Total)'!E26,Planned!E26,Reconductor!E26,CTGS!E26)</f>
        <v>0</v>
      </c>
      <c r="F26" s="104">
        <f>SUM('Defect (Total)'!F26,Planned!F26,Reconductor!F26,CTGS!F26)</f>
        <v>0</v>
      </c>
      <c r="G26" s="104">
        <f>SUM('Defect (Total)'!G26,Planned!G26,Reconductor!G26,CTGS!G26)</f>
        <v>0</v>
      </c>
      <c r="H26" s="104">
        <f>SUM('Defect (Total)'!H26,Planned!H26,Reconductor!H26,CTGS!H26)</f>
        <v>0</v>
      </c>
      <c r="I26" s="104">
        <f>SUM('Defect (Total)'!I26,Planned!I26,Reconductor!I26,CTGS!I26)</f>
        <v>0</v>
      </c>
      <c r="J26" s="104">
        <f>SUM('Defect (Total)'!J26,Planned!J26,Reconductor!J26,CTGS!J26)</f>
        <v>0</v>
      </c>
      <c r="K26" s="104">
        <f>SUM('Defect (Total)'!K26,Planned!K26,Reconductor!K26,CTGS!K26)</f>
        <v>0</v>
      </c>
      <c r="L26" s="104">
        <f>SUM('Defect (Total)'!L26,Planned!L26,Reconductor!L26,CTGS!L26)</f>
        <v>0</v>
      </c>
      <c r="M26" s="104">
        <f>SUM('Defect (Total)'!M26,Planned!M26,Reconductor!M26,CTGS!M26)</f>
        <v>0</v>
      </c>
      <c r="N26" s="104">
        <f>SUM('Defect (Total)'!N26,Planned!N26,Reconductor!N26,CTGS!N26)</f>
        <v>0</v>
      </c>
      <c r="O26" s="563">
        <f>SUM('Defect (Total)'!O26,Planned!O26,Reconductor!O26,CTGS!O26)</f>
        <v>0</v>
      </c>
      <c r="P26" s="564">
        <f>SUM('Defect (Total)'!P26,Planned!P26,Reconductor!P26,CTGS!P26)</f>
        <v>0</v>
      </c>
      <c r="Q26" s="564">
        <f>SUM('Defect (Total)'!Q26,Planned!Q26,Reconductor!Q26,CTGS!Q26)</f>
        <v>0</v>
      </c>
      <c r="R26" s="564">
        <f>SUM('Defect (Total)'!R26,Planned!R26,Reconductor!R26,CTGS!R26)</f>
        <v>0</v>
      </c>
      <c r="S26" s="564">
        <f>SUM('Defect (Total)'!S26,Planned!S26,Reconductor!S26,CTGS!S26)</f>
        <v>0</v>
      </c>
      <c r="T26" s="564">
        <f>SUM('Defect (Total)'!T26,Planned!T26,Reconductor!T26,CTGS!T26)</f>
        <v>0</v>
      </c>
      <c r="U26" s="564">
        <f>SUM('Defect (Total)'!U26,Planned!U26,Reconductor!U26,CTGS!U26)</f>
        <v>0</v>
      </c>
      <c r="V26" s="564">
        <f>SUM('Defect (Total)'!V26,Planned!V26,Reconductor!V26,CTGS!V26)</f>
        <v>0</v>
      </c>
      <c r="W26" s="564">
        <f>SUM('Defect (Total)'!W26,Planned!W26,Reconductor!W26,CTGS!W26)</f>
        <v>0</v>
      </c>
      <c r="X26" s="564">
        <f>SUM('Defect (Total)'!X26,Planned!X26,Reconductor!X26,CTGS!X26)</f>
        <v>0</v>
      </c>
      <c r="Y26" s="564">
        <f>SUM('Defect (Total)'!Y26,Planned!Y26,Reconductor!Y26,CTGS!Y26)</f>
        <v>0</v>
      </c>
      <c r="Z26" s="105">
        <f>SUM('Defect (Total)'!Z26,Planned!Z26,Reconductor!Z26,CTGS!Z26)</f>
        <v>0</v>
      </c>
      <c r="AA26" s="106">
        <f>SUM('Defect (Total)'!AA26,Planned!AA26,Reconductor!AA26,CTGS!AA26)</f>
        <v>0</v>
      </c>
      <c r="AB26" s="106">
        <f>SUM('Defect (Total)'!AB26,Planned!AB26,Reconductor!AB26,CTGS!AB26)</f>
        <v>0</v>
      </c>
      <c r="AC26" s="106">
        <f>SUM('Defect (Total)'!AC26,Planned!AC26,Reconductor!AC26,CTGS!AC26)</f>
        <v>0</v>
      </c>
      <c r="AD26" s="106">
        <f>SUM('Defect (Total)'!AD26,Planned!AD26,Reconductor!AD26,CTGS!AD26)</f>
        <v>0</v>
      </c>
      <c r="AE26" s="106">
        <f>SUM('Defect (Total)'!AE26,Planned!AE26,Reconductor!AE26,CTGS!AE26)</f>
        <v>0</v>
      </c>
      <c r="AF26" s="106">
        <f>SUM('Defect (Total)'!AF26,Planned!AF26,Reconductor!AF26,CTGS!AF26)</f>
        <v>0</v>
      </c>
      <c r="AG26" s="106">
        <f>SUM('Defect (Total)'!AG26,Planned!AG26,Reconductor!AG26,CTGS!AG26)</f>
        <v>0</v>
      </c>
      <c r="AH26" s="106">
        <f>SUM('Defect (Total)'!AH26,Planned!AH26,Reconductor!AH26,CTGS!AH26)</f>
        <v>0</v>
      </c>
      <c r="AI26" s="106">
        <f>SUM('Defect (Total)'!AI26,Planned!AI26,Reconductor!AI26,CTGS!AI26)</f>
        <v>0</v>
      </c>
      <c r="AJ26" s="106">
        <f>SUM('Defect (Total)'!AJ26,Planned!AJ26,Reconductor!AJ26,CTGS!AJ26)</f>
        <v>0</v>
      </c>
      <c r="AK26" s="107">
        <f t="shared" si="17"/>
        <v>0</v>
      </c>
      <c r="AL26" s="108">
        <f t="shared" si="18"/>
        <v>0</v>
      </c>
      <c r="AM26" s="109">
        <f t="shared" si="19"/>
        <v>0</v>
      </c>
      <c r="AN26" s="110" t="str">
        <f t="shared" si="1"/>
        <v/>
      </c>
      <c r="AO26" s="111" t="str">
        <f t="shared" si="2"/>
        <v/>
      </c>
      <c r="AP26" s="111" t="str">
        <f t="shared" si="3"/>
        <v/>
      </c>
      <c r="AQ26" s="111" t="str">
        <f t="shared" si="4"/>
        <v/>
      </c>
      <c r="AR26" s="111" t="str">
        <f t="shared" si="5"/>
        <v/>
      </c>
      <c r="AS26" s="111" t="str">
        <f t="shared" si="6"/>
        <v/>
      </c>
      <c r="AT26" s="111" t="str">
        <f t="shared" si="7"/>
        <v/>
      </c>
      <c r="AU26" s="111" t="str">
        <f t="shared" si="8"/>
        <v/>
      </c>
      <c r="AV26" s="111" t="str">
        <f t="shared" si="9"/>
        <v/>
      </c>
      <c r="AW26" s="111" t="str">
        <f t="shared" si="10"/>
        <v/>
      </c>
      <c r="AX26" s="111" t="str">
        <f t="shared" si="11"/>
        <v/>
      </c>
      <c r="AY26" s="112" t="str">
        <f t="shared" si="12"/>
        <v/>
      </c>
      <c r="AZ26" s="113" t="str">
        <f t="shared" si="13"/>
        <v/>
      </c>
      <c r="BA26" s="114" t="str">
        <f t="shared" si="14"/>
        <v/>
      </c>
      <c r="BB26" s="690">
        <f>SUM('Defect (Total)'!BB26,Planned!CE26,Reconductor!CE26,CTGS!CE26,'Substation 2025$'!CE26*$BL$1,Comms!CA26*$BL$2)</f>
        <v>0</v>
      </c>
      <c r="BC26" s="690">
        <f>SUM('Defect (Total)'!BC26,Planned!CF26,Reconductor!CF26,CTGS!CF26,'Substation 2025$'!CF26*$BL$1,Comms!CB26*$BL$2)</f>
        <v>0</v>
      </c>
      <c r="BD26" s="115">
        <f>SUM('Defect (Total)'!BD26,Planned!CG26,Reconductor!CG26,CTGS!CG26,'Substation 2025$'!CG26*$BL$1,Comms!CC26*$BL$2)</f>
        <v>0</v>
      </c>
      <c r="BE26" s="115">
        <f>SUM('Defect (Total)'!BE26,Planned!CH26,Reconductor!CH26,CTGS!CH26,'Substation 2025$'!CH26*$BL$1,Comms!CD26*$BL$2)</f>
        <v>0</v>
      </c>
      <c r="BF26" s="115">
        <f>SUM('Defect (Total)'!BF26,Planned!CI26,Reconductor!CI26,CTGS!CI26,'Substation 2025$'!CI26*$BL$1,Comms!CE26*$BL$2)</f>
        <v>0</v>
      </c>
      <c r="BG26" s="115">
        <f>SUM('Defect (Total)'!BG26,Planned!CJ26,Reconductor!CJ26,CTGS!CJ26,'Substation 2025$'!CJ26*$BL$1,Comms!CF26*$BL$2)</f>
        <v>0</v>
      </c>
      <c r="BH26" s="115">
        <f>SUM('Defect (Total)'!BH26,Planned!CK26,Reconductor!CK26,CTGS!CK26,'Substation 2025$'!CK26*$BL$1,Comms!CG26*$BL$2)</f>
        <v>0</v>
      </c>
      <c r="BI26" s="287">
        <f>SUM('Defect (Total)'!BI26,Planned!CL26,Reconductor!CL26,CTGS!CL26,'Substation 2025$'!CL26*$BL$1,Comms!CH26*$BL$2)</f>
        <v>0</v>
      </c>
      <c r="BJ26" s="116" t="str">
        <f t="shared" si="20"/>
        <v/>
      </c>
      <c r="BK26" s="1013">
        <f>SUM('Defect (Total)'!BK26,Planned!CQ26,Reconductor!CQ26,CTGS!CQ26,'Substation 2025$'!CQ26*$BL$1,Comms!CM26*$BL$2)</f>
        <v>0</v>
      </c>
      <c r="BL26" s="1013">
        <f>SUM('Defect (Total)'!BL26,Planned!CR26,Reconductor!CR26,CTGS!CR26,'Substation 2025$'!CR26*$BL$1,Comms!CN26*$BL$2)</f>
        <v>0</v>
      </c>
      <c r="BM26" s="638">
        <f>SUM('Defect (Total)'!BM26,Planned!CS26,Reconductor!CS26,CTGS!CS26,'Substation 2025$'!CS26*$BL$1,Comms!CO26*$BL$2)</f>
        <v>0</v>
      </c>
      <c r="BN26" s="467">
        <f>SUM('Defect (Total)'!BN26,Planned!CT26,Reconductor!CT26,CTGS!CT26,'Substation 2025$'!CT26*$BL$1,Comms!CP26*$BL$2)</f>
        <v>0</v>
      </c>
      <c r="BO26" s="117">
        <f>SUM('Defect (Total)'!BO26,Planned!CU26,Reconductor!CU26,CTGS!CU26,'Substation 2025$'!CU26*$BL$1,Comms!CQ26*$BL$2)</f>
        <v>0</v>
      </c>
      <c r="BP26" s="117">
        <f>SUM('Defect (Total)'!BP26,Planned!CV26,Reconductor!CV26,CTGS!CV26,'Substation 2025$'!CV26*$BL$1,Comms!CR26*$BL$2)</f>
        <v>0</v>
      </c>
      <c r="BQ26" s="117">
        <f>SUM('Defect (Total)'!BQ26,Planned!CW26,Reconductor!CW26,CTGS!CW26,'Substation 2025$'!CW26*$BL$1,Comms!CS26*$BL$2)</f>
        <v>0</v>
      </c>
      <c r="BR26" s="118">
        <f>SUM('Defect (Total)'!BR26,Planned!CX26,Reconductor!CX26,CTGS!CX26,'Substation 2025$'!CX26*$BL$1,Comms!CT26*$BL$2)</f>
        <v>0</v>
      </c>
      <c r="BS26" s="837" t="str">
        <f>'Unit Cost Rate Summary'!AO26</f>
        <v/>
      </c>
      <c r="BT26" s="841" t="str">
        <f t="shared" si="15"/>
        <v/>
      </c>
      <c r="BU26" s="833" t="str">
        <f t="shared" si="16"/>
        <v/>
      </c>
      <c r="BV26" t="s">
        <v>268</v>
      </c>
      <c r="CI26" s="467">
        <f>VLOOKUP($A26,'Distribution Summary'!$A$136:$CG$146,CI$1,0)*BN26</f>
        <v>0</v>
      </c>
      <c r="CJ26" s="117">
        <f>VLOOKUP($A26,'Distribution Summary'!$A$136:$CG$146,CJ$1,0)*BO26</f>
        <v>0</v>
      </c>
      <c r="CK26" s="117">
        <f>VLOOKUP($A26,'Distribution Summary'!$A$136:$CG$146,CK$1,0)*BP26</f>
        <v>0</v>
      </c>
      <c r="CL26" s="117">
        <f>VLOOKUP($A26,'Distribution Summary'!$A$136:$CG$146,CL$1,0)*BQ26</f>
        <v>0</v>
      </c>
      <c r="CM26" s="118">
        <f>VLOOKUP($A26,'Distribution Summary'!$A$136:$CG$146,CM$1,0)*BR26</f>
        <v>0</v>
      </c>
    </row>
    <row r="27" spans="1:91" x14ac:dyDescent="0.25">
      <c r="A27" s="63" t="s">
        <v>68</v>
      </c>
      <c r="B27" s="64" t="s">
        <v>65</v>
      </c>
      <c r="C27" s="65" t="s">
        <v>305</v>
      </c>
      <c r="D27" s="66">
        <f>SUM('Defect (Total)'!D27,Planned!D27,Reconductor!D27,CTGS!D27)</f>
        <v>3146559</v>
      </c>
      <c r="E27" s="67">
        <f>SUM('Defect (Total)'!E27,Planned!E27,Reconductor!E27,CTGS!E27)</f>
        <v>4386057</v>
      </c>
      <c r="F27" s="67">
        <f>SUM('Defect (Total)'!F27,Planned!F27,Reconductor!F27,CTGS!F27)</f>
        <v>5033193</v>
      </c>
      <c r="G27" s="67">
        <f>SUM('Defect (Total)'!G27,Planned!G27,Reconductor!G27,CTGS!G27)</f>
        <v>4498783.8656652225</v>
      </c>
      <c r="H27" s="67">
        <f>SUM('Defect (Total)'!H27,Planned!H27,Reconductor!H27,CTGS!H27)</f>
        <v>6646575</v>
      </c>
      <c r="I27" s="67">
        <f>SUM('Defect (Total)'!I27,Planned!I27,Reconductor!I27,CTGS!I27)</f>
        <v>13722228.490170907</v>
      </c>
      <c r="J27" s="67">
        <f>SUM('Defect (Total)'!J27,Planned!J27,Reconductor!J27,CTGS!J27)</f>
        <v>20171306.432252809</v>
      </c>
      <c r="K27" s="67">
        <f>SUM('Defect (Total)'!K27,Planned!K27,Reconductor!K27,CTGS!K27)</f>
        <v>17559588.629588861</v>
      </c>
      <c r="L27" s="67">
        <f>SUM('Defect (Total)'!L27,Planned!L27,Reconductor!L27,CTGS!L27)</f>
        <v>18130027.107079104</v>
      </c>
      <c r="M27" s="67">
        <f>SUM('Defect (Total)'!M27,Planned!M27,Reconductor!M27,CTGS!M27)</f>
        <v>14924172.302468948</v>
      </c>
      <c r="N27" s="67">
        <f>SUM('Defect (Total)'!N27,Planned!N27,Reconductor!N27,CTGS!N27)</f>
        <v>16340952.953079855</v>
      </c>
      <c r="O27" s="557">
        <f>SUM('Defect (Total)'!O27,Planned!O27,Reconductor!O27,CTGS!O27)</f>
        <v>4233557.6903063273</v>
      </c>
      <c r="P27" s="558">
        <f>SUM('Defect (Total)'!P27,Planned!P27,Reconductor!P27,CTGS!P27)</f>
        <v>5813415.5770848431</v>
      </c>
      <c r="Q27" s="558">
        <f>SUM('Defect (Total)'!Q27,Planned!Q27,Reconductor!Q27,CTGS!Q27)</f>
        <v>6603578.1454575043</v>
      </c>
      <c r="R27" s="558">
        <f>SUM('Defect (Total)'!R27,Planned!R27,Reconductor!R27,CTGS!R27)</f>
        <v>5790460.0672730757</v>
      </c>
      <c r="S27" s="558">
        <f>SUM('Defect (Total)'!S27,Planned!S27,Reconductor!S27,CTGS!S27)</f>
        <v>8380791.361580044</v>
      </c>
      <c r="T27" s="558">
        <f>SUM('Defect (Total)'!T27,Planned!T27,Reconductor!T27,CTGS!T27)</f>
        <v>17031320.486762278</v>
      </c>
      <c r="U27" s="558">
        <f>SUM('Defect (Total)'!U27,Planned!U27,Reconductor!U27,CTGS!U27)</f>
        <v>25123119.577427007</v>
      </c>
      <c r="V27" s="558">
        <f>SUM('Defect (Total)'!V27,Planned!V27,Reconductor!V27,CTGS!V27)</f>
        <v>21060246.964583199</v>
      </c>
      <c r="W27" s="558">
        <f>SUM('Defect (Total)'!W27,Planned!W27,Reconductor!W27,CTGS!W27)</f>
        <v>20485611.380954701</v>
      </c>
      <c r="X27" s="558">
        <f>SUM('Defect (Total)'!X27,Planned!X27,Reconductor!X27,CTGS!X27)</f>
        <v>15871274.09794162</v>
      </c>
      <c r="Y27" s="558">
        <f>SUM('Defect (Total)'!Y27,Planned!Y27,Reconductor!Y27,CTGS!Y27)</f>
        <v>16474532.253546346</v>
      </c>
      <c r="Z27" s="68">
        <f>SUM('Defect (Total)'!Z27,Planned!Z27,Reconductor!Z27,CTGS!Z27)</f>
        <v>2944</v>
      </c>
      <c r="AA27" s="69">
        <f>SUM('Defect (Total)'!AA27,Planned!AA27,Reconductor!AA27,CTGS!AA27)</f>
        <v>4221</v>
      </c>
      <c r="AB27" s="69">
        <f>SUM('Defect (Total)'!AB27,Planned!AB27,Reconductor!AB27,CTGS!AB27)</f>
        <v>4068</v>
      </c>
      <c r="AC27" s="69">
        <f>SUM('Defect (Total)'!AC27,Planned!AC27,Reconductor!AC27,CTGS!AC27)</f>
        <v>4111</v>
      </c>
      <c r="AD27" s="69">
        <f>SUM('Defect (Total)'!AD27,Planned!AD27,Reconductor!AD27,CTGS!AD27)</f>
        <v>5368</v>
      </c>
      <c r="AE27" s="69">
        <f>SUM('Defect (Total)'!AE27,Planned!AE27,Reconductor!AE27,CTGS!AE27)</f>
        <v>7582</v>
      </c>
      <c r="AF27" s="69">
        <f>SUM('Defect (Total)'!AF27,Planned!AF27,Reconductor!AF27,CTGS!AF27)</f>
        <v>8996</v>
      </c>
      <c r="AG27" s="69">
        <f>SUM('Defect (Total)'!AG27,Planned!AG27,Reconductor!AG27,CTGS!AG27)</f>
        <v>7864</v>
      </c>
      <c r="AH27" s="69">
        <f>SUM('Defect (Total)'!AH27,Planned!AH27,Reconductor!AH27,CTGS!AH27)</f>
        <v>7544</v>
      </c>
      <c r="AI27" s="69">
        <f>SUM('Defect (Total)'!AI27,Planned!AI27,Reconductor!AI27,CTGS!AI27)</f>
        <v>6079</v>
      </c>
      <c r="AJ27" s="69">
        <f>SUM('Defect (Total)'!AJ27,Planned!AJ27,Reconductor!AJ27,CTGS!AJ27)</f>
        <v>4477</v>
      </c>
      <c r="AK27" s="70">
        <f t="shared" si="17"/>
        <v>7613</v>
      </c>
      <c r="AL27" s="71">
        <f t="shared" si="18"/>
        <v>7162.333333333333</v>
      </c>
      <c r="AM27" s="72">
        <f t="shared" si="19"/>
        <v>6079</v>
      </c>
      <c r="AN27" s="73">
        <f t="shared" si="1"/>
        <v>1068.804008152174</v>
      </c>
      <c r="AO27" s="74">
        <f t="shared" si="2"/>
        <v>1039.1037668798863</v>
      </c>
      <c r="AP27" s="74">
        <f t="shared" si="3"/>
        <v>1237.264749262537</v>
      </c>
      <c r="AQ27" s="74">
        <f t="shared" si="4"/>
        <v>1094.3283545767995</v>
      </c>
      <c r="AR27" s="74">
        <f t="shared" si="5"/>
        <v>1238.1846125186289</v>
      </c>
      <c r="AS27" s="74">
        <f t="shared" si="6"/>
        <v>1809.842850194</v>
      </c>
      <c r="AT27" s="74">
        <f t="shared" si="7"/>
        <v>2242.2528270623397</v>
      </c>
      <c r="AU27" s="74">
        <f t="shared" si="8"/>
        <v>2232.9080149528054</v>
      </c>
      <c r="AV27" s="74">
        <f t="shared" si="9"/>
        <v>2403.2379516276646</v>
      </c>
      <c r="AW27" s="74">
        <f t="shared" si="10"/>
        <v>2455.0373914244033</v>
      </c>
      <c r="AX27" s="74">
        <f t="shared" si="11"/>
        <v>3649.9783232253417</v>
      </c>
      <c r="AY27" s="75">
        <f t="shared" si="12"/>
        <v>2040.7379573564192</v>
      </c>
      <c r="AZ27" s="76">
        <f t="shared" si="13"/>
        <v>2289.0068090854274</v>
      </c>
      <c r="BA27" s="77">
        <f t="shared" si="14"/>
        <v>2403.2379516276646</v>
      </c>
      <c r="BB27" s="688">
        <f>SUM('Defect (Total)'!BB27,Planned!CE27,Reconductor!CE27,CTGS!CE27,'Substation 2025$'!CE27*$BL$1,Comms!CA27*$BL$2)</f>
        <v>6628.2666666666664</v>
      </c>
      <c r="BC27" s="688">
        <f>SUM('Defect (Total)'!BC27,Planned!CF27,Reconductor!CF27,CTGS!CF27,'Substation 2025$'!CF27*$BL$1,Comms!CB27*$BL$2)</f>
        <v>6235.6550351357037</v>
      </c>
      <c r="BD27" s="78">
        <f>SUM('Defect (Total)'!BD27,Planned!CG27,Reconductor!CG27,CTGS!CG27,'Substation 2025$'!CG27*$BL$1,Comms!CC27*$BL$2)</f>
        <v>6235.6550351357037</v>
      </c>
      <c r="BE27" s="78">
        <f>SUM('Defect (Total)'!BE27,Planned!CH27,Reconductor!CH27,CTGS!CH27,'Substation 2025$'!CH27*$BL$1,Comms!CD27*$BL$2)</f>
        <v>9495.4960353210172</v>
      </c>
      <c r="BF27" s="78">
        <f>SUM('Defect (Total)'!BF27,Planned!CI27,Reconductor!CI27,CTGS!CI27,'Substation 2025$'!CI27*$BL$1,Comms!CE27*$BL$2)</f>
        <v>9604.7019181582855</v>
      </c>
      <c r="BG27" s="78">
        <f>SUM('Defect (Total)'!BG27,Planned!CJ27,Reconductor!CJ27,CTGS!CJ27,'Substation 2025$'!CJ27*$BL$1,Comms!CF27*$BL$2)</f>
        <v>9677.5058400497983</v>
      </c>
      <c r="BH27" s="78">
        <f>SUM('Defect (Total)'!BH27,Planned!CK27,Reconductor!CK27,CTGS!CK27,'Substation 2025$'!CK27*$BL$1,Comms!CG27*$BL$2)</f>
        <v>9750.3097619413111</v>
      </c>
      <c r="BI27" s="285">
        <f>SUM('Defect (Total)'!BI27,Planned!CL27,Reconductor!CL27,CTGS!CL27,'Substation 2025$'!CL27*$BL$1,Comms!CH27*$BL$2)</f>
        <v>9786.7117228870666</v>
      </c>
      <c r="BJ27" s="124">
        <f t="shared" si="20"/>
        <v>2326.34506980985</v>
      </c>
      <c r="BK27" s="974">
        <f>SUM('Defect (Total)'!BK27,Planned!CQ27,Reconductor!CQ27,CTGS!CQ27,'Substation 2025$'!CQ27*$BL$1,Comms!CM27*$BL$2)</f>
        <v>15127376.717979826</v>
      </c>
      <c r="BL27" s="974">
        <f>SUM('Defect (Total)'!BL27,Planned!CR27,Reconductor!CR27,CTGS!CR27,'Substation 2025$'!CR27*$BL$1,Comms!CN27*$BL$2)</f>
        <v>14349113.353181802</v>
      </c>
      <c r="BM27" s="523">
        <f>SUM('Defect (Total)'!BM27,Planned!CS27,Reconductor!CS27,CTGS!CS27,'Substation 2025$'!CS27*$BL$1,Comms!CO27*$BL$2)</f>
        <v>14349113.353181802</v>
      </c>
      <c r="BN27" s="415">
        <f>SUM('Defect (Total)'!BN27,Planned!CT27,Reconductor!CT27,CTGS!CT27,'Substation 2025$'!CT27*$BL$1,Comms!CP27*$BL$2)</f>
        <v>22147414.948840979</v>
      </c>
      <c r="BO27" s="79">
        <f>SUM('Defect (Total)'!BO27,Planned!CU27,Reconductor!CU27,CTGS!CU27,'Substation 2025$'!CU27*$BL$1,Comms!CQ27*$BL$2)</f>
        <v>22363890.801839158</v>
      </c>
      <c r="BP27" s="79">
        <f>SUM('Defect (Total)'!BP27,Planned!CV27,Reconductor!CV27,CTGS!CV27,'Substation 2025$'!CV27*$BL$1,Comms!CR27*$BL$2)</f>
        <v>22508208.037171274</v>
      </c>
      <c r="BQ27" s="79">
        <f>SUM('Defect (Total)'!BQ27,Planned!CW27,Reconductor!CW27,CTGS!CW27,'Substation 2025$'!CW27*$BL$1,Comms!CS27*$BL$2)</f>
        <v>22652525.272503391</v>
      </c>
      <c r="BR27" s="80">
        <f>SUM('Defect (Total)'!BR27,Planned!CX27,Reconductor!CX27,CTGS!CX27,'Substation 2025$'!CX27*$BL$1,Comms!CT27*$BL$2)</f>
        <v>22724683.890169453</v>
      </c>
      <c r="BS27" s="835">
        <f>'Unit Cost Rate Summary'!AO27</f>
        <v>6.9365204383802128</v>
      </c>
      <c r="BT27" s="839">
        <f t="shared" si="15"/>
        <v>74122.017379920522</v>
      </c>
      <c r="BU27" s="834">
        <f t="shared" si="16"/>
        <v>370610.08689960261</v>
      </c>
      <c r="BV27" t="s">
        <v>637</v>
      </c>
      <c r="CI27" s="415">
        <f>VLOOKUP($A27,'Distribution Summary'!$A$136:$CG$146,CI$1,0)*BN27</f>
        <v>25215718.550435904</v>
      </c>
      <c r="CJ27" s="79">
        <f>VLOOKUP($A27,'Distribution Summary'!$A$136:$CG$146,CJ$1,0)*BO27</f>
        <v>25624228.464218333</v>
      </c>
      <c r="CK27" s="79">
        <f>VLOOKUP($A27,'Distribution Summary'!$A$136:$CG$146,CK$1,0)*BP27</f>
        <v>25936486.675946604</v>
      </c>
      <c r="CL27" s="79">
        <f>VLOOKUP($A27,'Distribution Summary'!$A$136:$CG$146,CL$1,0)*BQ27</f>
        <v>26272866.33316838</v>
      </c>
      <c r="CM27" s="80">
        <f>VLOOKUP($A27,'Distribution Summary'!$A$136:$CG$146,CM$1,0)*BR27</f>
        <v>26533895.81207107</v>
      </c>
    </row>
    <row r="28" spans="1:91" x14ac:dyDescent="0.25">
      <c r="A28" s="81" t="s">
        <v>68</v>
      </c>
      <c r="B28" s="82" t="s">
        <v>69</v>
      </c>
      <c r="C28" s="83" t="s">
        <v>70</v>
      </c>
      <c r="D28" s="84">
        <f>SUM('Defect (Total)'!D28,Planned!D28,Reconductor!D28,CTGS!D28)</f>
        <v>3799338</v>
      </c>
      <c r="E28" s="85">
        <f>SUM('Defect (Total)'!E28,Planned!E28,Reconductor!E28,CTGS!E28)</f>
        <v>5680549</v>
      </c>
      <c r="F28" s="85">
        <f>SUM('Defect (Total)'!F28,Planned!F28,Reconductor!F28,CTGS!F28)</f>
        <v>6868124</v>
      </c>
      <c r="G28" s="85">
        <f>SUM('Defect (Total)'!G28,Planned!G28,Reconductor!G28,CTGS!G28)</f>
        <v>6214574.5373849673</v>
      </c>
      <c r="H28" s="85">
        <f>SUM('Defect (Total)'!H28,Planned!H28,Reconductor!H28,CTGS!H28)</f>
        <v>10051566.593127301</v>
      </c>
      <c r="I28" s="85">
        <f>SUM('Defect (Total)'!I28,Planned!I28,Reconductor!I28,CTGS!I28)</f>
        <v>12866164.303453926</v>
      </c>
      <c r="J28" s="85">
        <f>SUM('Defect (Total)'!J28,Planned!J28,Reconductor!J28,CTGS!J28)</f>
        <v>22361416.082202949</v>
      </c>
      <c r="K28" s="85">
        <f>SUM('Defect (Total)'!K28,Planned!K28,Reconductor!K28,CTGS!K28)</f>
        <v>24001075.945424039</v>
      </c>
      <c r="L28" s="85">
        <f>SUM('Defect (Total)'!L28,Planned!L28,Reconductor!L28,CTGS!L28)</f>
        <v>21300028.898128554</v>
      </c>
      <c r="M28" s="85">
        <f>SUM('Defect (Total)'!M28,Planned!M28,Reconductor!M28,CTGS!M28)</f>
        <v>25760754.949028958</v>
      </c>
      <c r="N28" s="85">
        <f>SUM('Defect (Total)'!N28,Planned!N28,Reconductor!N28,CTGS!N28)</f>
        <v>22856159.810986951</v>
      </c>
      <c r="O28" s="560">
        <f>SUM('Defect (Total)'!O28,Planned!O28,Reconductor!O28,CTGS!O28)</f>
        <v>5111843.320901677</v>
      </c>
      <c r="P28" s="561">
        <f>SUM('Defect (Total)'!P28,Planned!P28,Reconductor!P28,CTGS!P28)</f>
        <v>7529175.3032379011</v>
      </c>
      <c r="Q28" s="561">
        <f>SUM('Defect (Total)'!Q28,Planned!Q28,Reconductor!Q28,CTGS!Q28)</f>
        <v>9011018.164153887</v>
      </c>
      <c r="R28" s="561">
        <f>SUM('Defect (Total)'!R28,Planned!R28,Reconductor!R28,CTGS!R28)</f>
        <v>7998882.9800114576</v>
      </c>
      <c r="S28" s="561">
        <f>SUM('Defect (Total)'!S28,Planned!S28,Reconductor!S28,CTGS!S28)</f>
        <v>12674209.269289495</v>
      </c>
      <c r="T28" s="561">
        <f>SUM('Defect (Total)'!T28,Planned!T28,Reconductor!T28,CTGS!T28)</f>
        <v>15968817.881470444</v>
      </c>
      <c r="U28" s="561">
        <f>SUM('Defect (Total)'!U28,Planned!U28,Reconductor!U28,CTGS!U28)</f>
        <v>27850874.807767287</v>
      </c>
      <c r="V28" s="561">
        <f>SUM('Defect (Total)'!V28,Planned!V28,Reconductor!V28,CTGS!V28)</f>
        <v>28785901.394899733</v>
      </c>
      <c r="W28" s="561">
        <f>SUM('Defect (Total)'!W28,Planned!W28,Reconductor!W28,CTGS!W28)</f>
        <v>24067482.736404188</v>
      </c>
      <c r="X28" s="561">
        <f>SUM('Defect (Total)'!X28,Planned!X28,Reconductor!X28,CTGS!X28)</f>
        <v>27395556.314925861</v>
      </c>
      <c r="Y28" s="561">
        <f>SUM('Defect (Total)'!Y28,Planned!Y28,Reconductor!Y28,CTGS!Y28)</f>
        <v>23034729.099741191</v>
      </c>
      <c r="Z28" s="86">
        <f>SUM('Defect (Total)'!Z28,Planned!Z28,Reconductor!Z28,CTGS!Z28)</f>
        <v>3594</v>
      </c>
      <c r="AA28" s="87">
        <f>SUM('Defect (Total)'!AA28,Planned!AA28,Reconductor!AA28,CTGS!AA28)</f>
        <v>4709</v>
      </c>
      <c r="AB28" s="87">
        <f>SUM('Defect (Total)'!AB28,Planned!AB28,Reconductor!AB28,CTGS!AB28)</f>
        <v>4662</v>
      </c>
      <c r="AC28" s="87">
        <f>SUM('Defect (Total)'!AC28,Planned!AC28,Reconductor!AC28,CTGS!AC28)</f>
        <v>3699</v>
      </c>
      <c r="AD28" s="87">
        <f>SUM('Defect (Total)'!AD28,Planned!AD28,Reconductor!AD28,CTGS!AD28)</f>
        <v>6452</v>
      </c>
      <c r="AE28" s="87">
        <f>SUM('Defect (Total)'!AE28,Planned!AE28,Reconductor!AE28,CTGS!AE28)</f>
        <v>5993</v>
      </c>
      <c r="AF28" s="87">
        <f>SUM('Defect (Total)'!AF28,Planned!AF28,Reconductor!AF28,CTGS!AF28)</f>
        <v>9410</v>
      </c>
      <c r="AG28" s="87">
        <f>SUM('Defect (Total)'!AG28,Planned!AG28,Reconductor!AG28,CTGS!AG28)</f>
        <v>9991</v>
      </c>
      <c r="AH28" s="87">
        <f>SUM('Defect (Total)'!AH28,Planned!AH28,Reconductor!AH28,CTGS!AH28)</f>
        <v>9418</v>
      </c>
      <c r="AI28" s="87">
        <f>SUM('Defect (Total)'!AI28,Planned!AI28,Reconductor!AI28,CTGS!AI28)</f>
        <v>8544</v>
      </c>
      <c r="AJ28" s="87">
        <f>SUM('Defect (Total)'!AJ28,Planned!AJ28,Reconductor!AJ28,CTGS!AJ28)</f>
        <v>7832</v>
      </c>
      <c r="AK28" s="88">
        <f t="shared" si="17"/>
        <v>8671.2000000000007</v>
      </c>
      <c r="AL28" s="89">
        <f t="shared" si="18"/>
        <v>9317.6666666666661</v>
      </c>
      <c r="AM28" s="90">
        <f t="shared" si="19"/>
        <v>8544</v>
      </c>
      <c r="AN28" s="91">
        <f t="shared" si="1"/>
        <v>1057.1335559265442</v>
      </c>
      <c r="AO28" s="92">
        <f t="shared" si="2"/>
        <v>1206.3174771713739</v>
      </c>
      <c r="AP28" s="92">
        <f t="shared" si="3"/>
        <v>1473.2140712140713</v>
      </c>
      <c r="AQ28" s="92">
        <f t="shared" si="4"/>
        <v>1680.0688124857982</v>
      </c>
      <c r="AR28" s="92">
        <f t="shared" si="5"/>
        <v>1557.8993479738533</v>
      </c>
      <c r="AS28" s="92">
        <f t="shared" si="6"/>
        <v>2146.8653935347784</v>
      </c>
      <c r="AT28" s="92">
        <f t="shared" si="7"/>
        <v>2376.3460236134906</v>
      </c>
      <c r="AU28" s="92">
        <f t="shared" si="8"/>
        <v>2402.269637215898</v>
      </c>
      <c r="AV28" s="92">
        <f t="shared" si="9"/>
        <v>2261.6297407229299</v>
      </c>
      <c r="AW28" s="92">
        <f t="shared" si="10"/>
        <v>3015.0696335473967</v>
      </c>
      <c r="AX28" s="92">
        <f t="shared" si="11"/>
        <v>2918.3043681035433</v>
      </c>
      <c r="AY28" s="93">
        <f t="shared" si="12"/>
        <v>2195.139875492845</v>
      </c>
      <c r="AZ28" s="94">
        <f t="shared" si="13"/>
        <v>2347.8441627313769</v>
      </c>
      <c r="BA28" s="95">
        <f t="shared" si="14"/>
        <v>2261.6297407229299</v>
      </c>
      <c r="BB28" s="689">
        <f>SUM('Defect (Total)'!BB28,Planned!CE28,Reconductor!CE28,CTGS!CE28,'Substation 2025$'!CE28*$BL$1,Comms!CA28*$BL$2)</f>
        <v>8638.3333333333339</v>
      </c>
      <c r="BC28" s="689">
        <f>SUM('Defect (Total)'!BC28,Planned!CF28,Reconductor!CF28,CTGS!CF28,'Substation 2025$'!CF28*$BL$1,Comms!CB28*$BL$2)</f>
        <v>8209.1931360623148</v>
      </c>
      <c r="BD28" s="96">
        <f>SUM('Defect (Total)'!BD28,Planned!CG28,Reconductor!CG28,CTGS!CG28,'Substation 2025$'!CG28*$BL$1,Comms!CC28*$BL$2)</f>
        <v>8209.1931360623148</v>
      </c>
      <c r="BE28" s="96">
        <f>SUM('Defect (Total)'!BE28,Planned!CH28,Reconductor!CH28,CTGS!CH28,'Substation 2025$'!CH28*$BL$1,Comms!CD28*$BL$2)</f>
        <v>10550.152210096836</v>
      </c>
      <c r="BF28" s="96">
        <f>SUM('Defect (Total)'!BF28,Planned!CI28,Reconductor!CI28,CTGS!CI28,'Substation 2025$'!CI28*$BL$1,Comms!CE28*$BL$2)</f>
        <v>10638.594399167741</v>
      </c>
      <c r="BG28" s="96">
        <f>SUM('Defect (Total)'!BG28,Planned!CJ28,Reconductor!CJ28,CTGS!CJ28,'Substation 2025$'!CJ28*$BL$1,Comms!CF28*$BL$2)</f>
        <v>10697.555858548345</v>
      </c>
      <c r="BH28" s="96">
        <f>SUM('Defect (Total)'!BH28,Planned!CK28,Reconductor!CK28,CTGS!CK28,'Substation 2025$'!CK28*$BL$1,Comms!CG28*$BL$2)</f>
        <v>10756.517317928949</v>
      </c>
      <c r="BI28" s="286">
        <f>SUM('Defect (Total)'!BI28,Planned!CL28,Reconductor!CL28,CTGS!CL28,'Substation 2025$'!CL28*$BL$1,Comms!CH28*$BL$2)</f>
        <v>10785.99804761925</v>
      </c>
      <c r="BJ28" s="99">
        <f t="shared" si="20"/>
        <v>2698.1302279115503</v>
      </c>
      <c r="BK28" s="992">
        <f>SUM('Defect (Total)'!BK28,Planned!CQ28,Reconductor!CQ28,CTGS!CQ28,'Substation 2025$'!CQ28*$BL$1,Comms!CM28*$BL$2)</f>
        <v>23248505.310419507</v>
      </c>
      <c r="BL28" s="992">
        <f>SUM('Defect (Total)'!BL28,Planned!CR28,Reconductor!CR28,CTGS!CR28,'Substation 2025$'!CR28*$BL$1,Comms!CN28*$BL$2)</f>
        <v>22341654.657497548</v>
      </c>
      <c r="BM28" s="524">
        <f>SUM('Defect (Total)'!BM28,Planned!CS28,Reconductor!CS28,CTGS!CS28,'Substation 2025$'!CS28*$BL$1,Comms!CO28*$BL$2)</f>
        <v>22341654.657497548</v>
      </c>
      <c r="BN28" s="416">
        <f>SUM('Defect (Total)'!BN28,Planned!CT28,Reconductor!CT28,CTGS!CT28,'Substation 2025$'!CT28*$BL$1,Comms!CP28*$BL$2)</f>
        <v>28545010.427075595</v>
      </c>
      <c r="BO28" s="97">
        <f>SUM('Defect (Total)'!BO28,Planned!CU28,Reconductor!CU28,CTGS!CU28,'Substation 2025$'!CU28*$BL$1,Comms!CQ28*$BL$2)</f>
        <v>28731904.727387775</v>
      </c>
      <c r="BP28" s="97">
        <f>SUM('Defect (Total)'!BP28,Planned!CV28,Reconductor!CV28,CTGS!CV28,'Substation 2025$'!CV28*$BL$1,Comms!CR28*$BL$2)</f>
        <v>28856500.927595891</v>
      </c>
      <c r="BQ28" s="97">
        <f>SUM('Defect (Total)'!BQ28,Planned!CW28,Reconductor!CW28,CTGS!CW28,'Substation 2025$'!CW28*$BL$1,Comms!CS28*$BL$2)</f>
        <v>28981097.127804011</v>
      </c>
      <c r="BR28" s="98">
        <f>SUM('Defect (Total)'!BR28,Planned!CX28,Reconductor!CX28,CTGS!CX28,'Substation 2025$'!CX28*$BL$1,Comms!CT28*$BL$2)</f>
        <v>29043395.227908071</v>
      </c>
      <c r="BS28" s="836">
        <f>'Unit Cost Rate Summary'!AO28</f>
        <v>8.0439185232414054</v>
      </c>
      <c r="BT28" s="840">
        <f t="shared" si="15"/>
        <v>48013.684728088585</v>
      </c>
      <c r="BU28" s="832">
        <f t="shared" si="16"/>
        <v>240068.42364044292</v>
      </c>
      <c r="BV28" t="s">
        <v>637</v>
      </c>
      <c r="CI28" s="416">
        <f>VLOOKUP($A28,'Distribution Summary'!$A$136:$CG$146,CI$1,0)*BN28</f>
        <v>32499637.118419733</v>
      </c>
      <c r="CJ28" s="97">
        <f>VLOOKUP($A28,'Distribution Summary'!$A$136:$CG$146,CJ$1,0)*BO28</f>
        <v>32920608.380282063</v>
      </c>
      <c r="CK28" s="97">
        <f>VLOOKUP($A28,'Distribution Summary'!$A$136:$CG$146,CK$1,0)*BP28</f>
        <v>33251703.138118483</v>
      </c>
      <c r="CL28" s="97">
        <f>VLOOKUP($A28,'Distribution Summary'!$A$136:$CG$146,CL$1,0)*BQ28</f>
        <v>33612874.585404605</v>
      </c>
      <c r="CM28" s="98">
        <f>VLOOKUP($A28,'Distribution Summary'!$A$136:$CG$146,CM$1,0)*BR28</f>
        <v>33911777.463249385</v>
      </c>
    </row>
    <row r="29" spans="1:91" x14ac:dyDescent="0.25">
      <c r="A29" s="81" t="s">
        <v>68</v>
      </c>
      <c r="B29" s="82" t="s">
        <v>71</v>
      </c>
      <c r="C29" s="83" t="s">
        <v>306</v>
      </c>
      <c r="D29" s="84">
        <f>SUM('Defect (Total)'!D29,Planned!D29,Reconductor!D29,CTGS!D29)</f>
        <v>3848968</v>
      </c>
      <c r="E29" s="85">
        <f>SUM('Defect (Total)'!E29,Planned!E29,Reconductor!E29,CTGS!E29)</f>
        <v>5244190.9999999991</v>
      </c>
      <c r="F29" s="85">
        <f>SUM('Defect (Total)'!F29,Planned!F29,Reconductor!F29,CTGS!F29)</f>
        <v>6932018</v>
      </c>
      <c r="G29" s="85">
        <f>SUM('Defect (Total)'!G29,Planned!G29,Reconductor!G29,CTGS!G29)</f>
        <v>5942215.9102094267</v>
      </c>
      <c r="H29" s="85">
        <f>SUM('Defect (Total)'!H29,Planned!H29,Reconductor!H29,CTGS!H29)</f>
        <v>9484483.4224589095</v>
      </c>
      <c r="I29" s="85">
        <f>SUM('Defect (Total)'!I29,Planned!I29,Reconductor!I29,CTGS!I29)</f>
        <v>3377437.5732450285</v>
      </c>
      <c r="J29" s="85">
        <f>SUM('Defect (Total)'!J29,Planned!J29,Reconductor!J29,CTGS!J29)</f>
        <v>15022406.400347563</v>
      </c>
      <c r="K29" s="85">
        <f>SUM('Defect (Total)'!K29,Planned!K29,Reconductor!K29,CTGS!K29)</f>
        <v>11609952.112739109</v>
      </c>
      <c r="L29" s="85">
        <f>SUM('Defect (Total)'!L29,Planned!L29,Reconductor!L29,CTGS!L29)</f>
        <v>12906682.474731416</v>
      </c>
      <c r="M29" s="85">
        <f>SUM('Defect (Total)'!M29,Planned!M29,Reconductor!M29,CTGS!M29)</f>
        <v>16915634.558253527</v>
      </c>
      <c r="N29" s="85">
        <f>SUM('Defect (Total)'!N29,Planned!N29,Reconductor!N29,CTGS!N29)</f>
        <v>22645875.844948944</v>
      </c>
      <c r="O29" s="560">
        <f>SUM('Defect (Total)'!O29,Planned!O29,Reconductor!O29,CTGS!O29)</f>
        <v>5178618.3180238996</v>
      </c>
      <c r="P29" s="561">
        <f>SUM('Defect (Total)'!P29,Planned!P29,Reconductor!P29,CTGS!P29)</f>
        <v>6950812.9166146582</v>
      </c>
      <c r="Q29" s="561">
        <f>SUM('Defect (Total)'!Q29,Planned!Q29,Reconductor!Q29,CTGS!Q29)</f>
        <v>9094847.4593996368</v>
      </c>
      <c r="R29" s="561">
        <f>SUM('Defect (Total)'!R29,Planned!R29,Reconductor!R29,CTGS!R29)</f>
        <v>7648325.6290185386</v>
      </c>
      <c r="S29" s="561">
        <f>SUM('Defect (Total)'!S29,Planned!S29,Reconductor!S29,CTGS!S29)</f>
        <v>11959163.439213846</v>
      </c>
      <c r="T29" s="561">
        <f>SUM('Defect (Total)'!T29,Planned!T29,Reconductor!T29,CTGS!T29)</f>
        <v>4191900.8836772614</v>
      </c>
      <c r="U29" s="561">
        <f>SUM('Defect (Total)'!U29,Planned!U29,Reconductor!U29,CTGS!U29)</f>
        <v>18710226.509334035</v>
      </c>
      <c r="V29" s="561">
        <f>SUM('Defect (Total)'!V29,Planned!V29,Reconductor!V29,CTGS!V29)</f>
        <v>13924498.113199536</v>
      </c>
      <c r="W29" s="561">
        <f>SUM('Defect (Total)'!W29,Planned!W29,Reconductor!W29,CTGS!W29)</f>
        <v>14583612.02843914</v>
      </c>
      <c r="X29" s="561">
        <f>SUM('Defect (Total)'!X29,Planned!X29,Reconductor!X29,CTGS!X29)</f>
        <v>17989116.392755743</v>
      </c>
      <c r="Y29" s="561">
        <f>SUM('Defect (Total)'!Y29,Planned!Y29,Reconductor!Y29,CTGS!Y29)</f>
        <v>22829384.111567147</v>
      </c>
      <c r="Z29" s="86">
        <f>SUM('Defect (Total)'!Z29,Planned!Z29,Reconductor!Z29,CTGS!Z29)</f>
        <v>1998</v>
      </c>
      <c r="AA29" s="87">
        <f>SUM('Defect (Total)'!AA29,Planned!AA29,Reconductor!AA29,CTGS!AA29)</f>
        <v>2787</v>
      </c>
      <c r="AB29" s="87">
        <f>SUM('Defect (Total)'!AB29,Planned!AB29,Reconductor!AB29,CTGS!AB29)</f>
        <v>3047</v>
      </c>
      <c r="AC29" s="87">
        <f>SUM('Defect (Total)'!AC29,Planned!AC29,Reconductor!AC29,CTGS!AC29)</f>
        <v>2719</v>
      </c>
      <c r="AD29" s="87">
        <f>SUM('Defect (Total)'!AD29,Planned!AD29,Reconductor!AD29,CTGS!AD29)</f>
        <v>4291</v>
      </c>
      <c r="AE29" s="87">
        <f>SUM('Defect (Total)'!AE29,Planned!AE29,Reconductor!AE29,CTGS!AE29)</f>
        <v>2023</v>
      </c>
      <c r="AF29" s="87">
        <f>SUM('Defect (Total)'!AF29,Planned!AF29,Reconductor!AF29,CTGS!AF29)</f>
        <v>6140</v>
      </c>
      <c r="AG29" s="87">
        <f>SUM('Defect (Total)'!AG29,Planned!AG29,Reconductor!AG29,CTGS!AG29)</f>
        <v>4659</v>
      </c>
      <c r="AH29" s="87">
        <f>SUM('Defect (Total)'!AH29,Planned!AH29,Reconductor!AH29,CTGS!AH29)</f>
        <v>5351</v>
      </c>
      <c r="AI29" s="87">
        <f>SUM('Defect (Total)'!AI29,Planned!AI29,Reconductor!AI29,CTGS!AI29)</f>
        <v>5259</v>
      </c>
      <c r="AJ29" s="87">
        <f>SUM('Defect (Total)'!AJ29,Planned!AJ29,Reconductor!AJ29,CTGS!AJ29)</f>
        <v>6715</v>
      </c>
      <c r="AK29" s="88">
        <f t="shared" si="17"/>
        <v>4686.3999999999996</v>
      </c>
      <c r="AL29" s="89">
        <f t="shared" si="18"/>
        <v>5089.666666666667</v>
      </c>
      <c r="AM29" s="90">
        <f t="shared" si="19"/>
        <v>5259</v>
      </c>
      <c r="AN29" s="91">
        <f t="shared" si="1"/>
        <v>1926.4104104104103</v>
      </c>
      <c r="AO29" s="92">
        <f t="shared" si="2"/>
        <v>1881.6616433440972</v>
      </c>
      <c r="AP29" s="92">
        <f t="shared" si="3"/>
        <v>2275.0305218247458</v>
      </c>
      <c r="AQ29" s="92">
        <f t="shared" si="4"/>
        <v>2185.4416734863653</v>
      </c>
      <c r="AR29" s="92">
        <f t="shared" si="5"/>
        <v>2210.3200704868118</v>
      </c>
      <c r="AS29" s="92">
        <f t="shared" si="6"/>
        <v>1669.5193145056987</v>
      </c>
      <c r="AT29" s="92">
        <f t="shared" si="7"/>
        <v>2446.6459935419484</v>
      </c>
      <c r="AU29" s="92">
        <f t="shared" si="8"/>
        <v>2491.9407840178383</v>
      </c>
      <c r="AV29" s="92">
        <f t="shared" si="9"/>
        <v>2412.0131703852394</v>
      </c>
      <c r="AW29" s="92">
        <f t="shared" si="10"/>
        <v>3216.5116102402599</v>
      </c>
      <c r="AX29" s="92">
        <f t="shared" si="11"/>
        <v>3372.4312501785471</v>
      </c>
      <c r="AY29" s="93">
        <f t="shared" si="12"/>
        <v>2332.6639059616286</v>
      </c>
      <c r="AZ29" s="94">
        <f t="shared" si="13"/>
        <v>2448.2378320630391</v>
      </c>
      <c r="BA29" s="95">
        <f t="shared" si="14"/>
        <v>2412.0131703852394</v>
      </c>
      <c r="BB29" s="689">
        <f>SUM('Defect (Total)'!BB29,Planned!CE29,Reconductor!CE29,CTGS!CE29,'Substation 2025$'!CE29*$BL$1,Comms!CA29*$BL$2)</f>
        <v>5144.4666666666672</v>
      </c>
      <c r="BC29" s="689">
        <f>SUM('Defect (Total)'!BC29,Planned!CF29,Reconductor!CF29,CTGS!CF29,'Substation 2025$'!CF29*$BL$1,Comms!CB29*$BL$2)</f>
        <v>5047.0400862188553</v>
      </c>
      <c r="BD29" s="96">
        <f>SUM('Defect (Total)'!BD29,Planned!CG29,Reconductor!CG29,CTGS!CG29,'Substation 2025$'!CG29*$BL$1,Comms!CC29*$BL$2)</f>
        <v>5047.0400862188553</v>
      </c>
      <c r="BE29" s="96">
        <f>SUM('Defect (Total)'!BE29,Planned!CH29,Reconductor!CH29,CTGS!CH29,'Substation 2025$'!CH29*$BL$1,Comms!CD29*$BL$2)</f>
        <v>5941.5745180929098</v>
      </c>
      <c r="BF29" s="96">
        <f>SUM('Defect (Total)'!BF29,Planned!CI29,Reconductor!CI29,CTGS!CI29,'Substation 2025$'!CI29*$BL$1,Comms!CE29*$BL$2)</f>
        <v>5959.4230064027433</v>
      </c>
      <c r="BG29" s="96">
        <f>SUM('Defect (Total)'!BG29,Planned!CJ29,Reconductor!CJ29,CTGS!CJ29,'Substation 2025$'!CJ29*$BL$1,Comms!CF29*$BL$2)</f>
        <v>5971.321998609299</v>
      </c>
      <c r="BH29" s="96">
        <f>SUM('Defect (Total)'!BH29,Planned!CK29,Reconductor!CK29,CTGS!CK29,'Substation 2025$'!CK29*$BL$1,Comms!CG29*$BL$2)</f>
        <v>5983.2209908158547</v>
      </c>
      <c r="BI29" s="286">
        <f>SUM('Defect (Total)'!BI29,Planned!CL29,Reconductor!CL29,CTGS!CL29,'Substation 2025$'!CL29*$BL$1,Comms!CH29*$BL$2)</f>
        <v>5989.1704869191326</v>
      </c>
      <c r="BJ29" s="99">
        <f t="shared" si="20"/>
        <v>2650.2771064884423</v>
      </c>
      <c r="BK29" s="992">
        <f>SUM('Defect (Total)'!BK29,Planned!CQ29,Reconductor!CQ29,CTGS!CQ29,'Substation 2025$'!CQ29*$BL$1,Comms!CM29*$BL$2)</f>
        <v>13564124.999413114</v>
      </c>
      <c r="BL29" s="992">
        <f>SUM('Defect (Total)'!BL29,Planned!CR29,Reconductor!CR29,CTGS!CR29,'Substation 2025$'!CR29*$BL$1,Comms!CN29*$BL$2)</f>
        <v>13384137.793497391</v>
      </c>
      <c r="BM29" s="524">
        <f>SUM('Defect (Total)'!BM29,Planned!CS29,Reconductor!CS29,CTGS!CS29,'Substation 2025$'!CS29*$BL$1,Comms!CO29*$BL$2)</f>
        <v>13384137.793497391</v>
      </c>
      <c r="BN29" s="416">
        <f>SUM('Defect (Total)'!BN29,Planned!CT29,Reconductor!CT29,CTGS!CT29,'Substation 2025$'!CT29*$BL$1,Comms!CP29*$BL$2)</f>
        <v>15768791.430442745</v>
      </c>
      <c r="BO29" s="97">
        <f>SUM('Defect (Total)'!BO29,Planned!CU29,Reconductor!CU29,CTGS!CU29,'Substation 2025$'!CU29*$BL$1,Comms!CQ29*$BL$2)</f>
        <v>15801764.973452676</v>
      </c>
      <c r="BP29" s="97">
        <f>SUM('Defect (Total)'!BP29,Planned!CV29,Reconductor!CV29,CTGS!CV29,'Substation 2025$'!CV29*$BL$1,Comms!CR29*$BL$2)</f>
        <v>15823747.335459296</v>
      </c>
      <c r="BQ29" s="97">
        <f>SUM('Defect (Total)'!BQ29,Planned!CW29,Reconductor!CW29,CTGS!CW29,'Substation 2025$'!CW29*$BL$1,Comms!CS29*$BL$2)</f>
        <v>15845729.697465917</v>
      </c>
      <c r="BR29" s="98">
        <f>SUM('Defect (Total)'!BR29,Planned!CX29,Reconductor!CX29,CTGS!CX29,'Substation 2025$'!CX29*$BL$1,Comms!CT29*$BL$2)</f>
        <v>15856720.878469227</v>
      </c>
      <c r="BS29" s="836">
        <f>'Unit Cost Rate Summary'!AO29</f>
        <v>7.9091046346965026</v>
      </c>
      <c r="BT29" s="840">
        <f t="shared" si="15"/>
        <v>33062.588111290781</v>
      </c>
      <c r="BU29" s="832">
        <f t="shared" si="16"/>
        <v>165312.94055645389</v>
      </c>
      <c r="BV29" t="s">
        <v>637</v>
      </c>
      <c r="CI29" s="416">
        <f>VLOOKUP($A29,'Distribution Summary'!$A$136:$CG$146,CI$1,0)*BN29</f>
        <v>17953400.318233445</v>
      </c>
      <c r="CJ29" s="97">
        <f>VLOOKUP($A29,'Distribution Summary'!$A$136:$CG$146,CJ$1,0)*BO29</f>
        <v>18105437.886699732</v>
      </c>
      <c r="CK29" s="97">
        <f>VLOOKUP($A29,'Distribution Summary'!$A$136:$CG$146,CK$1,0)*BP29</f>
        <v>18233899.884518053</v>
      </c>
      <c r="CL29" s="97">
        <f>VLOOKUP($A29,'Distribution Summary'!$A$136:$CG$146,CL$1,0)*BQ29</f>
        <v>18378204.340792723</v>
      </c>
      <c r="CM29" s="98">
        <f>VLOOKUP($A29,'Distribution Summary'!$A$136:$CG$146,CM$1,0)*BR29</f>
        <v>18514694.494492136</v>
      </c>
    </row>
    <row r="30" spans="1:91" x14ac:dyDescent="0.25">
      <c r="A30" s="81" t="s">
        <v>68</v>
      </c>
      <c r="B30" s="82" t="s">
        <v>73</v>
      </c>
      <c r="C30" s="83" t="s">
        <v>307</v>
      </c>
      <c r="D30" s="84">
        <f>SUM('Defect (Total)'!D30,Planned!D30,Reconductor!D30,CTGS!D30)</f>
        <v>1391384</v>
      </c>
      <c r="E30" s="85">
        <f>SUM('Defect (Total)'!E30,Planned!E30,Reconductor!E30,CTGS!E30)</f>
        <v>2375295.9999999995</v>
      </c>
      <c r="F30" s="85">
        <f>SUM('Defect (Total)'!F30,Planned!F30,Reconductor!F30,CTGS!F30)</f>
        <v>3261221</v>
      </c>
      <c r="G30" s="85">
        <f>SUM('Defect (Total)'!G30,Planned!G30,Reconductor!G30,CTGS!G30)</f>
        <v>1109684</v>
      </c>
      <c r="H30" s="85">
        <f>SUM('Defect (Total)'!H30,Planned!H30,Reconductor!H30,CTGS!H30)</f>
        <v>2475247</v>
      </c>
      <c r="I30" s="85">
        <f>SUM('Defect (Total)'!I30,Planned!I30,Reconductor!I30,CTGS!I30)</f>
        <v>133480.1248454054</v>
      </c>
      <c r="J30" s="85">
        <f>SUM('Defect (Total)'!J30,Planned!J30,Reconductor!J30,CTGS!J30)</f>
        <v>3535556.8352875714</v>
      </c>
      <c r="K30" s="85">
        <f>SUM('Defect (Total)'!K30,Planned!K30,Reconductor!K30,CTGS!K30)</f>
        <v>6067191.2235127445</v>
      </c>
      <c r="L30" s="85">
        <f>SUM('Defect (Total)'!L30,Planned!L30,Reconductor!L30,CTGS!L30)</f>
        <v>5276295.240270461</v>
      </c>
      <c r="M30" s="85">
        <f>SUM('Defect (Total)'!M30,Planned!M30,Reconductor!M30,CTGS!M30)</f>
        <v>6595458.5023778966</v>
      </c>
      <c r="N30" s="85">
        <f>SUM('Defect (Total)'!N30,Planned!N30,Reconductor!N30,CTGS!N30)</f>
        <v>8827868.3872600347</v>
      </c>
      <c r="O30" s="560">
        <f>SUM('Defect (Total)'!O30,Planned!O30,Reconductor!O30,CTGS!O30)</f>
        <v>1872046.3952429236</v>
      </c>
      <c r="P30" s="561">
        <f>SUM('Defect (Total)'!P30,Planned!P30,Reconductor!P30,CTGS!P30)</f>
        <v>3148290.769268916</v>
      </c>
      <c r="Q30" s="561">
        <f>SUM('Defect (Total)'!Q30,Planned!Q30,Reconductor!Q30,CTGS!Q30)</f>
        <v>4278740.6966327485</v>
      </c>
      <c r="R30" s="561">
        <f>SUM('Defect (Total)'!R30,Planned!R30,Reconductor!R30,CTGS!R30)</f>
        <v>1428292.8633962555</v>
      </c>
      <c r="S30" s="561">
        <f>SUM('Defect (Total)'!S30,Planned!S30,Reconductor!S30,CTGS!S30)</f>
        <v>3121085.4726497368</v>
      </c>
      <c r="T30" s="561">
        <f>SUM('Defect (Total)'!T30,Planned!T30,Reconductor!T30,CTGS!T30)</f>
        <v>165668.62929614616</v>
      </c>
      <c r="U30" s="561">
        <f>SUM('Defect (Total)'!U30,Planned!U30,Reconductor!U30,CTGS!U30)</f>
        <v>4403493.5190758901</v>
      </c>
      <c r="V30" s="561">
        <f>SUM('Defect (Total)'!V30,Planned!V30,Reconductor!V30,CTGS!V30)</f>
        <v>7276739.1220782734</v>
      </c>
      <c r="W30" s="561">
        <f>SUM('Defect (Total)'!W30,Planned!W30,Reconductor!W30,CTGS!W30)</f>
        <v>5961829.6864629211</v>
      </c>
      <c r="X30" s="561">
        <f>SUM('Defect (Total)'!X30,Planned!X30,Reconductor!X30,CTGS!X30)</f>
        <v>7014012.4069407806</v>
      </c>
      <c r="Y30" s="561">
        <f>SUM('Defect (Total)'!Y30,Planned!Y30,Reconductor!Y30,CTGS!Y30)</f>
        <v>8867810.8155014496</v>
      </c>
      <c r="Z30" s="86">
        <f>SUM('Defect (Total)'!Z30,Planned!Z30,Reconductor!Z30,CTGS!Z30)</f>
        <v>1409</v>
      </c>
      <c r="AA30" s="87">
        <f>SUM('Defect (Total)'!AA30,Planned!AA30,Reconductor!AA30,CTGS!AA30)</f>
        <v>1517</v>
      </c>
      <c r="AB30" s="87">
        <f>SUM('Defect (Total)'!AB30,Planned!AB30,Reconductor!AB30,CTGS!AB30)</f>
        <v>1301</v>
      </c>
      <c r="AC30" s="87">
        <f>SUM('Defect (Total)'!AC30,Planned!AC30,Reconductor!AC30,CTGS!AC30)</f>
        <v>969</v>
      </c>
      <c r="AD30" s="87">
        <f>SUM('Defect (Total)'!AD30,Planned!AD30,Reconductor!AD30,CTGS!AD30)</f>
        <v>1406</v>
      </c>
      <c r="AE30" s="87">
        <f>SUM('Defect (Total)'!AE30,Planned!AE30,Reconductor!AE30,CTGS!AE30)</f>
        <v>13</v>
      </c>
      <c r="AF30" s="87">
        <f>SUM('Defect (Total)'!AF30,Planned!AF30,Reconductor!AF30,CTGS!AF30)</f>
        <v>1296</v>
      </c>
      <c r="AG30" s="87">
        <f>SUM('Defect (Total)'!AG30,Planned!AG30,Reconductor!AG30,CTGS!AG30)</f>
        <v>1561</v>
      </c>
      <c r="AH30" s="87">
        <f>SUM('Defect (Total)'!AH30,Planned!AH30,Reconductor!AH30,CTGS!AH30)</f>
        <v>1705</v>
      </c>
      <c r="AI30" s="87">
        <f>SUM('Defect (Total)'!AI30,Planned!AI30,Reconductor!AI30,CTGS!AI30)</f>
        <v>1333</v>
      </c>
      <c r="AJ30" s="87">
        <f>SUM('Defect (Total)'!AJ30,Planned!AJ30,Reconductor!AJ30,CTGS!AJ30)</f>
        <v>1282</v>
      </c>
      <c r="AK30" s="88">
        <f t="shared" si="17"/>
        <v>1181.5999999999999</v>
      </c>
      <c r="AL30" s="89">
        <f t="shared" si="18"/>
        <v>1533</v>
      </c>
      <c r="AM30" s="90">
        <f t="shared" si="19"/>
        <v>1333</v>
      </c>
      <c r="AN30" s="91">
        <f t="shared" si="1"/>
        <v>987.49751596877218</v>
      </c>
      <c r="AO30" s="92">
        <f t="shared" si="2"/>
        <v>1565.7851021753459</v>
      </c>
      <c r="AP30" s="92">
        <f t="shared" si="3"/>
        <v>2506.7033051498847</v>
      </c>
      <c r="AQ30" s="92">
        <f t="shared" si="4"/>
        <v>1145.1847265221879</v>
      </c>
      <c r="AR30" s="92">
        <f t="shared" si="5"/>
        <v>1760.4886201991465</v>
      </c>
      <c r="AS30" s="92">
        <f t="shared" si="6"/>
        <v>10267.701911185031</v>
      </c>
      <c r="AT30" s="92">
        <f t="shared" si="7"/>
        <v>2728.0531136478176</v>
      </c>
      <c r="AU30" s="92">
        <f t="shared" si="8"/>
        <v>3886.7336473496121</v>
      </c>
      <c r="AV30" s="92">
        <f t="shared" si="9"/>
        <v>3094.6013139416195</v>
      </c>
      <c r="AW30" s="92">
        <f t="shared" si="10"/>
        <v>4947.8308344920451</v>
      </c>
      <c r="AX30" s="92">
        <f t="shared" si="11"/>
        <v>6886.0127825741301</v>
      </c>
      <c r="AY30" s="93">
        <f t="shared" si="12"/>
        <v>2923.887380691554</v>
      </c>
      <c r="AZ30" s="94">
        <f t="shared" si="13"/>
        <v>3261.5176017252907</v>
      </c>
      <c r="BA30" s="95">
        <f t="shared" si="14"/>
        <v>3094.6013139416195</v>
      </c>
      <c r="BB30" s="689">
        <f>SUM('Defect (Total)'!BB30,Planned!CE30,Reconductor!CE30,CTGS!CE30,'Substation 2025$'!CE30*$BL$1,Comms!CA30*$BL$2)</f>
        <v>1411.8</v>
      </c>
      <c r="BC30" s="689">
        <f>SUM('Defect (Total)'!BC30,Planned!CF30,Reconductor!CF30,CTGS!CF30,'Substation 2025$'!CF30*$BL$1,Comms!CB30*$BL$2)</f>
        <v>1399.7495846121988</v>
      </c>
      <c r="BD30" s="96">
        <f>SUM('Defect (Total)'!BD30,Planned!CG30,Reconductor!CG30,CTGS!CG30,'Substation 2025$'!CG30*$BL$1,Comms!CC30*$BL$2)</f>
        <v>1399.7495846121988</v>
      </c>
      <c r="BE30" s="96">
        <f>SUM('Defect (Total)'!BE30,Planned!CH30,Reconductor!CH30,CTGS!CH30,'Substation 2025$'!CH30*$BL$1,Comms!CD30*$BL$2)</f>
        <v>4175.7842611203041</v>
      </c>
      <c r="BF30" s="96">
        <f>SUM('Defect (Total)'!BF30,Planned!CI30,Reconductor!CI30,CTGS!CI30,'Substation 2025$'!CI30*$BL$1,Comms!CE30*$BL$2)</f>
        <v>4178.7423372453122</v>
      </c>
      <c r="BG30" s="96">
        <f>SUM('Defect (Total)'!BG30,Planned!CJ30,Reconductor!CJ30,CTGS!CJ30,'Substation 2025$'!CJ30*$BL$1,Comms!CF30*$BL$2)</f>
        <v>4180.7143879953182</v>
      </c>
      <c r="BH30" s="96">
        <f>SUM('Defect (Total)'!BH30,Planned!CK30,Reconductor!CK30,CTGS!CK30,'Substation 2025$'!CK30*$BL$1,Comms!CG30*$BL$2)</f>
        <v>4182.6864387453243</v>
      </c>
      <c r="BI30" s="286">
        <f>SUM('Defect (Total)'!BI30,Planned!CL30,Reconductor!CL30,CTGS!CL30,'Substation 2025$'!CL30*$BL$1,Comms!CH30*$BL$2)</f>
        <v>4183.6724641203264</v>
      </c>
      <c r="BJ30" s="99">
        <f t="shared" si="20"/>
        <v>4425.2437753572249</v>
      </c>
      <c r="BK30" s="992">
        <f>SUM('Defect (Total)'!BK30,Planned!CQ30,Reconductor!CQ30,CTGS!CQ30,'Substation 2025$'!CQ30*$BL$1,Comms!CM30*$BL$2)</f>
        <v>6301161.8535919376</v>
      </c>
      <c r="BL30" s="992">
        <f>SUM('Defect (Total)'!BL30,Planned!CR30,Reconductor!CR30,CTGS!CR30,'Substation 2025$'!CR30*$BL$1,Comms!CN30*$BL$2)</f>
        <v>6230138.75476183</v>
      </c>
      <c r="BM30" s="524">
        <f>SUM('Defect (Total)'!BM30,Planned!CS30,Reconductor!CS30,CTGS!CS30,'Substation 2025$'!CS30*$BL$1,Comms!CO30*$BL$2)</f>
        <v>6230138.75476183</v>
      </c>
      <c r="BN30" s="416">
        <f>SUM('Defect (Total)'!BN30,Planned!CT30,Reconductor!CT30,CTGS!CT30,'Substation 2025$'!CT30*$BL$1,Comms!CP30*$BL$2)</f>
        <v>18472202.217992924</v>
      </c>
      <c r="BO30" s="97">
        <f>SUM('Defect (Total)'!BO30,Planned!CU30,Reconductor!CU30,CTGS!CU30,'Substation 2025$'!CU30*$BL$1,Comms!CQ30*$BL$2)</f>
        <v>18489636.615581088</v>
      </c>
      <c r="BP30" s="97">
        <f>SUM('Defect (Total)'!BP30,Planned!CV30,Reconductor!CV30,CTGS!CV30,'Substation 2025$'!CV30*$BL$1,Comms!CR30*$BL$2)</f>
        <v>18501259.54730653</v>
      </c>
      <c r="BQ30" s="97">
        <f>SUM('Defect (Total)'!BQ30,Planned!CW30,Reconductor!CW30,CTGS!CW30,'Substation 2025$'!CW30*$BL$1,Comms!CS30*$BL$2)</f>
        <v>18512882.479031973</v>
      </c>
      <c r="BR30" s="98">
        <f>SUM('Defect (Total)'!BR30,Planned!CX30,Reconductor!CX30,CTGS!CX30,'Substation 2025$'!CX30*$BL$1,Comms!CT30*$BL$2)</f>
        <v>18518693.944894694</v>
      </c>
      <c r="BS30" s="836">
        <f>'Unit Cost Rate Summary'!AO30</f>
        <v>13.223100326875127</v>
      </c>
      <c r="BT30" s="840">
        <f t="shared" si="15"/>
        <v>281.36139195489017</v>
      </c>
      <c r="BU30" s="832">
        <f t="shared" si="16"/>
        <v>1406.8069597744509</v>
      </c>
      <c r="BV30" t="s">
        <v>637</v>
      </c>
      <c r="CI30" s="416">
        <f>VLOOKUP($A30,'Distribution Summary'!$A$136:$CG$146,CI$1,0)*BN30</f>
        <v>21031341.725957192</v>
      </c>
      <c r="CJ30" s="97">
        <f>VLOOKUP($A30,'Distribution Summary'!$A$136:$CG$146,CJ$1,0)*BO30</f>
        <v>21185163.040550333</v>
      </c>
      <c r="CK30" s="97">
        <f>VLOOKUP($A30,'Distribution Summary'!$A$136:$CG$146,CK$1,0)*BP30</f>
        <v>21319230.342303697</v>
      </c>
      <c r="CL30" s="97">
        <f>VLOOKUP($A30,'Distribution Summary'!$A$136:$CG$146,CL$1,0)*BQ30</f>
        <v>21471623.183824837</v>
      </c>
      <c r="CM30" s="98">
        <f>VLOOKUP($A30,'Distribution Summary'!$A$136:$CG$146,CM$1,0)*BR30</f>
        <v>21622879.248147957</v>
      </c>
    </row>
    <row r="31" spans="1:91" x14ac:dyDescent="0.25">
      <c r="A31" s="81" t="s">
        <v>68</v>
      </c>
      <c r="B31" s="82" t="s">
        <v>75</v>
      </c>
      <c r="C31" s="83" t="s">
        <v>76</v>
      </c>
      <c r="D31" s="84">
        <f>SUM('Defect (Total)'!D31,Planned!D31,Reconductor!D31,CTGS!D31)</f>
        <v>-670</v>
      </c>
      <c r="E31" s="85">
        <f>SUM('Defect (Total)'!E31,Planned!E31,Reconductor!E31,CTGS!E31)</f>
        <v>4539143</v>
      </c>
      <c r="F31" s="85">
        <f>SUM('Defect (Total)'!F31,Planned!F31,Reconductor!F31,CTGS!F31)</f>
        <v>188496</v>
      </c>
      <c r="G31" s="85">
        <f>SUM('Defect (Total)'!G31,Planned!G31,Reconductor!G31,CTGS!G31)</f>
        <v>40244</v>
      </c>
      <c r="H31" s="85">
        <f>SUM('Defect (Total)'!H31,Planned!H31,Reconductor!H31,CTGS!H31)</f>
        <v>8294</v>
      </c>
      <c r="I31" s="85">
        <f>SUM('Defect (Total)'!I31,Planned!I31,Reconductor!I31,CTGS!I31)</f>
        <v>0</v>
      </c>
      <c r="J31" s="85">
        <f>SUM('Defect (Total)'!J31,Planned!J31,Reconductor!J31,CTGS!J31)</f>
        <v>27788.138474576001</v>
      </c>
      <c r="K31" s="85">
        <f>SUM('Defect (Total)'!K31,Planned!K31,Reconductor!K31,CTGS!K31)</f>
        <v>87227.337855171994</v>
      </c>
      <c r="L31" s="85">
        <f>SUM('Defect (Total)'!L31,Planned!L31,Reconductor!L31,CTGS!L31)</f>
        <v>0</v>
      </c>
      <c r="M31" s="85">
        <f>SUM('Defect (Total)'!M31,Planned!M31,Reconductor!M31,CTGS!M31)</f>
        <v>315932.54908647679</v>
      </c>
      <c r="N31" s="85">
        <f>SUM('Defect (Total)'!N31,Planned!N31,Reconductor!N31,CTGS!N31)</f>
        <v>668258.37482574454</v>
      </c>
      <c r="O31" s="560">
        <f>SUM('Defect (Total)'!O31,Planned!O31,Reconductor!O31,CTGS!O31)</f>
        <v>-901.45573386840647</v>
      </c>
      <c r="P31" s="561">
        <f>SUM('Defect (Total)'!P31,Planned!P31,Reconductor!P31,CTGS!P31)</f>
        <v>6016320.4953368418</v>
      </c>
      <c r="Q31" s="561">
        <f>SUM('Defect (Total)'!Q31,Planned!Q31,Reconductor!Q31,CTGS!Q31)</f>
        <v>247307.83542497933</v>
      </c>
      <c r="R31" s="561">
        <f>SUM('Defect (Total)'!R31,Planned!R31,Reconductor!R31,CTGS!R31)</f>
        <v>51798.726479357094</v>
      </c>
      <c r="S31" s="561">
        <f>SUM('Defect (Total)'!S31,Planned!S31,Reconductor!S31,CTGS!S31)</f>
        <v>10458.060512812222</v>
      </c>
      <c r="T31" s="561">
        <f>SUM('Defect (Total)'!T31,Planned!T31,Reconductor!T31,CTGS!T31)</f>
        <v>0</v>
      </c>
      <c r="U31" s="561">
        <f>SUM('Defect (Total)'!U31,Planned!U31,Reconductor!U31,CTGS!U31)</f>
        <v>34609.79228467869</v>
      </c>
      <c r="V31" s="561">
        <f>SUM('Defect (Total)'!V31,Planned!V31,Reconductor!V31,CTGS!V31)</f>
        <v>104616.87434963968</v>
      </c>
      <c r="W31" s="561">
        <f>SUM('Defect (Total)'!W31,Planned!W31,Reconductor!W31,CTGS!W31)</f>
        <v>0</v>
      </c>
      <c r="X31" s="561">
        <f>SUM('Defect (Total)'!X31,Planned!X31,Reconductor!X31,CTGS!X31)</f>
        <v>335981.92123414087</v>
      </c>
      <c r="Y31" s="561">
        <f>SUM('Defect (Total)'!Y31,Planned!Y31,Reconductor!Y31,CTGS!Y31)</f>
        <v>670983.87075147906</v>
      </c>
      <c r="Z31" s="86">
        <f>SUM('Defect (Total)'!Z31,Planned!Z31,Reconductor!Z31,CTGS!Z31)</f>
        <v>-1</v>
      </c>
      <c r="AA31" s="87">
        <f>SUM('Defect (Total)'!AA31,Planned!AA31,Reconductor!AA31,CTGS!AA31)</f>
        <v>829</v>
      </c>
      <c r="AB31" s="87">
        <f>SUM('Defect (Total)'!AB31,Planned!AB31,Reconductor!AB31,CTGS!AB31)</f>
        <v>81</v>
      </c>
      <c r="AC31" s="87">
        <f>SUM('Defect (Total)'!AC31,Planned!AC31,Reconductor!AC31,CTGS!AC31)</f>
        <v>5</v>
      </c>
      <c r="AD31" s="87">
        <f>SUM('Defect (Total)'!AD31,Planned!AD31,Reconductor!AD31,CTGS!AD31)</f>
        <v>1</v>
      </c>
      <c r="AE31" s="87">
        <f>SUM('Defect (Total)'!AE31,Planned!AE31,Reconductor!AE31,CTGS!AE31)</f>
        <v>0</v>
      </c>
      <c r="AF31" s="87">
        <f>SUM('Defect (Total)'!AF31,Planned!AF31,Reconductor!AF31,CTGS!AF31)</f>
        <v>14</v>
      </c>
      <c r="AG31" s="87">
        <f>SUM('Defect (Total)'!AG31,Planned!AG31,Reconductor!AG31,CTGS!AG31)</f>
        <v>9</v>
      </c>
      <c r="AH31" s="87">
        <f>SUM('Defect (Total)'!AH31,Planned!AH31,Reconductor!AH31,CTGS!AH31)</f>
        <v>0</v>
      </c>
      <c r="AI31" s="87">
        <f>SUM('Defect (Total)'!AI31,Planned!AI31,Reconductor!AI31,CTGS!AI31)</f>
        <v>49</v>
      </c>
      <c r="AJ31" s="87">
        <f>SUM('Defect (Total)'!AJ31,Planned!AJ31,Reconductor!AJ31,CTGS!AJ31)</f>
        <v>79</v>
      </c>
      <c r="AK31" s="88">
        <f t="shared" si="17"/>
        <v>14.4</v>
      </c>
      <c r="AL31" s="89">
        <f t="shared" si="18"/>
        <v>19.333333333333332</v>
      </c>
      <c r="AM31" s="90">
        <f t="shared" si="19"/>
        <v>49</v>
      </c>
      <c r="AN31" s="91">
        <f t="shared" si="1"/>
        <v>670</v>
      </c>
      <c r="AO31" s="92">
        <f t="shared" si="2"/>
        <v>5475.443908323281</v>
      </c>
      <c r="AP31" s="92">
        <f t="shared" si="3"/>
        <v>2327.1111111111113</v>
      </c>
      <c r="AQ31" s="92">
        <f t="shared" si="4"/>
        <v>8048.8</v>
      </c>
      <c r="AR31" s="92">
        <f t="shared" si="5"/>
        <v>8294</v>
      </c>
      <c r="AS31" s="92" t="str">
        <f t="shared" si="6"/>
        <v/>
      </c>
      <c r="AT31" s="92">
        <f t="shared" si="7"/>
        <v>1984.8670338982859</v>
      </c>
      <c r="AU31" s="92">
        <f t="shared" si="8"/>
        <v>9691.9264283524444</v>
      </c>
      <c r="AV31" s="92" t="str">
        <f t="shared" si="9"/>
        <v/>
      </c>
      <c r="AW31" s="92">
        <f t="shared" si="10"/>
        <v>6447.6030425811587</v>
      </c>
      <c r="AX31" s="92">
        <f t="shared" si="11"/>
        <v>8458.9667699461334</v>
      </c>
      <c r="AY31" s="93">
        <f t="shared" si="12"/>
        <v>5137.8948470728328</v>
      </c>
      <c r="AZ31" s="94">
        <f t="shared" si="13"/>
        <v>5000.6728839020871</v>
      </c>
      <c r="BA31" s="95" t="str">
        <f t="shared" si="14"/>
        <v/>
      </c>
      <c r="BB31" s="689">
        <f>SUM('Defect (Total)'!BB31,Planned!CE31,Reconductor!CE31,CTGS!CE31,'Substation 2025$'!CE31*$BL$1,Comms!CA31*$BL$2)</f>
        <v>19.533333333333331</v>
      </c>
      <c r="BC31" s="689">
        <f>SUM('Defect (Total)'!BC31,Planned!CF31,Reconductor!CF31,CTGS!CF31,'Substation 2025$'!CF31*$BL$1,Comms!CB31*$BL$2)</f>
        <v>19.533333333333331</v>
      </c>
      <c r="BD31" s="96">
        <f>SUM('Defect (Total)'!BD31,Planned!CG31,Reconductor!CG31,CTGS!CG31,'Substation 2025$'!CG31*$BL$1,Comms!CC31*$BL$2)</f>
        <v>19.533333333333331</v>
      </c>
      <c r="BE31" s="96">
        <f>SUM('Defect (Total)'!BE31,Planned!CH31,Reconductor!CH31,CTGS!CH31,'Substation 2025$'!CH31*$BL$1,Comms!CD31*$BL$2)</f>
        <v>21.278019904533334</v>
      </c>
      <c r="BF31" s="96">
        <f>SUM('Defect (Total)'!BF31,Planned!CI31,Reconductor!CI31,CTGS!CI31,'Substation 2025$'!CI31*$BL$1,Comms!CE31*$BL$2)</f>
        <v>21.278019904533334</v>
      </c>
      <c r="BG31" s="96">
        <f>SUM('Defect (Total)'!BG31,Planned!CJ31,Reconductor!CJ31,CTGS!CJ31,'Substation 2025$'!CJ31*$BL$1,Comms!CF31*$BL$2)</f>
        <v>21.278019904533334</v>
      </c>
      <c r="BH31" s="96">
        <f>SUM('Defect (Total)'!BH31,Planned!CK31,Reconductor!CK31,CTGS!CK31,'Substation 2025$'!CK31*$BL$1,Comms!CG31*$BL$2)</f>
        <v>21.278019904533334</v>
      </c>
      <c r="BI31" s="286">
        <f>SUM('Defect (Total)'!BI31,Planned!CL31,Reconductor!CL31,CTGS!CL31,'Substation 2025$'!CL31*$BL$1,Comms!CH31*$BL$2)</f>
        <v>21.278019904533334</v>
      </c>
      <c r="BJ31" s="99">
        <f t="shared" si="20"/>
        <v>6879.822361756992</v>
      </c>
      <c r="BK31" s="992">
        <f>SUM('Defect (Total)'!BK31,Planned!CQ31,Reconductor!CQ31,CTGS!CQ31,'Substation 2025$'!CQ31*$BL$1,Comms!CM31*$BL$2)</f>
        <v>134386.62898054958</v>
      </c>
      <c r="BL31" s="992">
        <f>SUM('Defect (Total)'!BL31,Planned!CR31,Reconductor!CR31,CTGS!CR31,'Substation 2025$'!CR31*$BL$1,Comms!CN31*$BL$2)</f>
        <v>134386.62898054958</v>
      </c>
      <c r="BM31" s="524">
        <f>SUM('Defect (Total)'!BM31,Planned!CS31,Reconductor!CS31,CTGS!CS31,'Substation 2025$'!CS31*$BL$1,Comms!CO31*$BL$2)</f>
        <v>134386.62898054958</v>
      </c>
      <c r="BN31" s="416">
        <f>SUM('Defect (Total)'!BN31,Planned!CT31,Reconductor!CT31,CTGS!CT31,'Substation 2025$'!CT31*$BL$1,Comms!CP31*$BL$2)</f>
        <v>146388.99715311881</v>
      </c>
      <c r="BO31" s="97">
        <f>SUM('Defect (Total)'!BO31,Planned!CU31,Reconductor!CU31,CTGS!CU31,'Substation 2025$'!CU31*$BL$1,Comms!CQ31*$BL$2)</f>
        <v>146388.99715311881</v>
      </c>
      <c r="BP31" s="97">
        <f>SUM('Defect (Total)'!BP31,Planned!CV31,Reconductor!CV31,CTGS!CV31,'Substation 2025$'!CV31*$BL$1,Comms!CR31*$BL$2)</f>
        <v>146388.99715311881</v>
      </c>
      <c r="BQ31" s="97">
        <f>SUM('Defect (Total)'!BQ31,Planned!CW31,Reconductor!CW31,CTGS!CW31,'Substation 2025$'!CW31*$BL$1,Comms!CS31*$BL$2)</f>
        <v>146388.99715311881</v>
      </c>
      <c r="BR31" s="98">
        <f>SUM('Defect (Total)'!BR31,Planned!CX31,Reconductor!CX31,CTGS!CX31,'Substation 2025$'!CX31*$BL$1,Comms!CT31*$BL$2)</f>
        <v>146388.99715311881</v>
      </c>
      <c r="BS31" s="836">
        <f>'Unit Cost Rate Summary'!AO31</f>
        <v>20.552177415612604</v>
      </c>
      <c r="BT31" s="840">
        <f t="shared" si="15"/>
        <v>0</v>
      </c>
      <c r="BU31" s="832">
        <f t="shared" si="16"/>
        <v>0</v>
      </c>
      <c r="BV31" t="s">
        <v>637</v>
      </c>
      <c r="CI31" s="416">
        <f>VLOOKUP($A31,'Distribution Summary'!$A$136:$CG$146,CI$1,0)*BN31</f>
        <v>166669.73367412254</v>
      </c>
      <c r="CJ31" s="97">
        <f>VLOOKUP($A31,'Distribution Summary'!$A$136:$CG$146,CJ$1,0)*BO31</f>
        <v>167730.43389171085</v>
      </c>
      <c r="CK31" s="97">
        <f>VLOOKUP($A31,'Distribution Summary'!$A$136:$CG$146,CK$1,0)*BP31</f>
        <v>168685.85308509605</v>
      </c>
      <c r="CL31" s="97">
        <f>VLOOKUP($A31,'Distribution Summary'!$A$136:$CG$146,CL$1,0)*BQ31</f>
        <v>169784.98019904949</v>
      </c>
      <c r="CM31" s="98">
        <f>VLOOKUP($A31,'Distribution Summary'!$A$136:$CG$146,CM$1,0)*BR31</f>
        <v>170927.3676706558</v>
      </c>
    </row>
    <row r="32" spans="1:91" x14ac:dyDescent="0.25">
      <c r="A32" s="81" t="s">
        <v>68</v>
      </c>
      <c r="B32" s="82" t="s">
        <v>77</v>
      </c>
      <c r="C32" s="83" t="s">
        <v>78</v>
      </c>
      <c r="D32" s="84">
        <f>SUM('Defect (Total)'!D32,Planned!D32,Reconductor!D32,CTGS!D32)</f>
        <v>0</v>
      </c>
      <c r="E32" s="85">
        <f>SUM('Defect (Total)'!E32,Planned!E32,Reconductor!E32,CTGS!E32)</f>
        <v>0</v>
      </c>
      <c r="F32" s="85">
        <f>SUM('Defect (Total)'!F32,Planned!F32,Reconductor!F32,CTGS!F32)</f>
        <v>0</v>
      </c>
      <c r="G32" s="85">
        <f>SUM('Defect (Total)'!G32,Planned!G32,Reconductor!G32,CTGS!G32)</f>
        <v>0</v>
      </c>
      <c r="H32" s="85">
        <f>SUM('Defect (Total)'!H32,Planned!H32,Reconductor!H32,CTGS!H32)</f>
        <v>0</v>
      </c>
      <c r="I32" s="85">
        <f>SUM('Defect (Total)'!I32,Planned!I32,Reconductor!I32,CTGS!I32)</f>
        <v>0</v>
      </c>
      <c r="J32" s="85">
        <f>SUM('Defect (Total)'!J32,Planned!J32,Reconductor!J32,CTGS!J32)</f>
        <v>0</v>
      </c>
      <c r="K32" s="85">
        <f>SUM('Defect (Total)'!K32,Planned!K32,Reconductor!K32,CTGS!K32)</f>
        <v>0</v>
      </c>
      <c r="L32" s="85">
        <f>SUM('Defect (Total)'!L32,Planned!L32,Reconductor!L32,CTGS!L32)</f>
        <v>0</v>
      </c>
      <c r="M32" s="85">
        <f>SUM('Defect (Total)'!M32,Planned!M32,Reconductor!M32,CTGS!M32)</f>
        <v>0</v>
      </c>
      <c r="N32" s="85">
        <f>SUM('Defect (Total)'!N32,Planned!N32,Reconductor!N32,CTGS!N32)</f>
        <v>0</v>
      </c>
      <c r="O32" s="560">
        <f>SUM('Defect (Total)'!O32,Planned!O32,Reconductor!O32,CTGS!O32)</f>
        <v>0</v>
      </c>
      <c r="P32" s="561">
        <f>SUM('Defect (Total)'!P32,Planned!P32,Reconductor!P32,CTGS!P32)</f>
        <v>0</v>
      </c>
      <c r="Q32" s="561">
        <f>SUM('Defect (Total)'!Q32,Planned!Q32,Reconductor!Q32,CTGS!Q32)</f>
        <v>0</v>
      </c>
      <c r="R32" s="561">
        <f>SUM('Defect (Total)'!R32,Planned!R32,Reconductor!R32,CTGS!R32)</f>
        <v>0</v>
      </c>
      <c r="S32" s="561">
        <f>SUM('Defect (Total)'!S32,Planned!S32,Reconductor!S32,CTGS!S32)</f>
        <v>0</v>
      </c>
      <c r="T32" s="561">
        <f>SUM('Defect (Total)'!T32,Planned!T32,Reconductor!T32,CTGS!T32)</f>
        <v>0</v>
      </c>
      <c r="U32" s="561">
        <f>SUM('Defect (Total)'!U32,Planned!U32,Reconductor!U32,CTGS!U32)</f>
        <v>0</v>
      </c>
      <c r="V32" s="561">
        <f>SUM('Defect (Total)'!V32,Planned!V32,Reconductor!V32,CTGS!V32)</f>
        <v>0</v>
      </c>
      <c r="W32" s="561">
        <f>SUM('Defect (Total)'!W32,Planned!W32,Reconductor!W32,CTGS!W32)</f>
        <v>0</v>
      </c>
      <c r="X32" s="561">
        <f>SUM('Defect (Total)'!X32,Planned!X32,Reconductor!X32,CTGS!X32)</f>
        <v>0</v>
      </c>
      <c r="Y32" s="561">
        <f>SUM('Defect (Total)'!Y32,Planned!Y32,Reconductor!Y32,CTGS!Y32)</f>
        <v>0</v>
      </c>
      <c r="Z32" s="86">
        <f>SUM('Defect (Total)'!Z32,Planned!Z32,Reconductor!Z32,CTGS!Z32)</f>
        <v>0</v>
      </c>
      <c r="AA32" s="87">
        <f>SUM('Defect (Total)'!AA32,Planned!AA32,Reconductor!AA32,CTGS!AA32)</f>
        <v>0</v>
      </c>
      <c r="AB32" s="87">
        <f>SUM('Defect (Total)'!AB32,Planned!AB32,Reconductor!AB32,CTGS!AB32)</f>
        <v>0</v>
      </c>
      <c r="AC32" s="87">
        <f>SUM('Defect (Total)'!AC32,Planned!AC32,Reconductor!AC32,CTGS!AC32)</f>
        <v>0</v>
      </c>
      <c r="AD32" s="87">
        <f>SUM('Defect (Total)'!AD32,Planned!AD32,Reconductor!AD32,CTGS!AD32)</f>
        <v>0</v>
      </c>
      <c r="AE32" s="87">
        <f>SUM('Defect (Total)'!AE32,Planned!AE32,Reconductor!AE32,CTGS!AE32)</f>
        <v>0</v>
      </c>
      <c r="AF32" s="87">
        <f>SUM('Defect (Total)'!AF32,Planned!AF32,Reconductor!AF32,CTGS!AF32)</f>
        <v>0</v>
      </c>
      <c r="AG32" s="87">
        <f>SUM('Defect (Total)'!AG32,Planned!AG32,Reconductor!AG32,CTGS!AG32)</f>
        <v>0</v>
      </c>
      <c r="AH32" s="87">
        <f>SUM('Defect (Total)'!AH32,Planned!AH32,Reconductor!AH32,CTGS!AH32)</f>
        <v>0</v>
      </c>
      <c r="AI32" s="87">
        <f>SUM('Defect (Total)'!AI32,Planned!AI32,Reconductor!AI32,CTGS!AI32)</f>
        <v>0</v>
      </c>
      <c r="AJ32" s="87">
        <f>SUM('Defect (Total)'!AJ32,Planned!AJ32,Reconductor!AJ32,CTGS!AJ32)</f>
        <v>0</v>
      </c>
      <c r="AK32" s="88">
        <f t="shared" si="17"/>
        <v>0</v>
      </c>
      <c r="AL32" s="89">
        <f t="shared" si="18"/>
        <v>0</v>
      </c>
      <c r="AM32" s="90">
        <f t="shared" si="19"/>
        <v>0</v>
      </c>
      <c r="AN32" s="91" t="str">
        <f t="shared" si="1"/>
        <v/>
      </c>
      <c r="AO32" s="92" t="str">
        <f t="shared" si="2"/>
        <v/>
      </c>
      <c r="AP32" s="92" t="str">
        <f t="shared" si="3"/>
        <v/>
      </c>
      <c r="AQ32" s="92" t="str">
        <f t="shared" si="4"/>
        <v/>
      </c>
      <c r="AR32" s="92" t="str">
        <f t="shared" si="5"/>
        <v/>
      </c>
      <c r="AS32" s="92" t="str">
        <f t="shared" si="6"/>
        <v/>
      </c>
      <c r="AT32" s="92" t="str">
        <f t="shared" si="7"/>
        <v/>
      </c>
      <c r="AU32" s="92" t="str">
        <f t="shared" si="8"/>
        <v/>
      </c>
      <c r="AV32" s="92" t="str">
        <f t="shared" si="9"/>
        <v/>
      </c>
      <c r="AW32" s="92" t="str">
        <f t="shared" si="10"/>
        <v/>
      </c>
      <c r="AX32" s="92" t="str">
        <f t="shared" si="11"/>
        <v/>
      </c>
      <c r="AY32" s="93" t="str">
        <f t="shared" si="12"/>
        <v/>
      </c>
      <c r="AZ32" s="94" t="str">
        <f t="shared" si="13"/>
        <v/>
      </c>
      <c r="BA32" s="95" t="str">
        <f t="shared" si="14"/>
        <v/>
      </c>
      <c r="BB32" s="689">
        <f>SUM('Defect (Total)'!BB32,Planned!CE32,Reconductor!CE32,CTGS!CE32,'Substation 2025$'!CE32*$BL$1,Comms!CA32*$BL$2)</f>
        <v>0</v>
      </c>
      <c r="BC32" s="689">
        <f>SUM('Defect (Total)'!BC32,Planned!CF32,Reconductor!CF32,CTGS!CF32,'Substation 2025$'!CF32*$BL$1,Comms!CB32*$BL$2)</f>
        <v>0</v>
      </c>
      <c r="BD32" s="96">
        <f>SUM('Defect (Total)'!BD32,Planned!CG32,Reconductor!CG32,CTGS!CG32,'Substation 2025$'!CG32*$BL$1,Comms!CC32*$BL$2)</f>
        <v>0</v>
      </c>
      <c r="BE32" s="96">
        <f>SUM('Defect (Total)'!BE32,Planned!CH32,Reconductor!CH32,CTGS!CH32,'Substation 2025$'!CH32*$BL$1,Comms!CD32*$BL$2)</f>
        <v>0</v>
      </c>
      <c r="BF32" s="96">
        <f>SUM('Defect (Total)'!BF32,Planned!CI32,Reconductor!CI32,CTGS!CI32,'Substation 2025$'!CI32*$BL$1,Comms!CE32*$BL$2)</f>
        <v>0</v>
      </c>
      <c r="BG32" s="96">
        <f>SUM('Defect (Total)'!BG32,Planned!CJ32,Reconductor!CJ32,CTGS!CJ32,'Substation 2025$'!CJ32*$BL$1,Comms!CF32*$BL$2)</f>
        <v>0</v>
      </c>
      <c r="BH32" s="96">
        <f>SUM('Defect (Total)'!BH32,Planned!CK32,Reconductor!CK32,CTGS!CK32,'Substation 2025$'!CK32*$BL$1,Comms!CG32*$BL$2)</f>
        <v>0</v>
      </c>
      <c r="BI32" s="286">
        <f>SUM('Defect (Total)'!BI32,Planned!CL32,Reconductor!CL32,CTGS!CL32,'Substation 2025$'!CL32*$BL$1,Comms!CH32*$BL$2)</f>
        <v>0</v>
      </c>
      <c r="BJ32" s="99" t="str">
        <f t="shared" si="20"/>
        <v/>
      </c>
      <c r="BK32" s="992">
        <f>SUM('Defect (Total)'!BK32,Planned!CQ32,Reconductor!CQ32,CTGS!CQ32,'Substation 2025$'!CQ32*$BL$1,Comms!CM32*$BL$2)</f>
        <v>0</v>
      </c>
      <c r="BL32" s="992">
        <f>SUM('Defect (Total)'!BL32,Planned!CR32,Reconductor!CR32,CTGS!CR32,'Substation 2025$'!CR32*$BL$1,Comms!CN32*$BL$2)</f>
        <v>0</v>
      </c>
      <c r="BM32" s="524">
        <f>SUM('Defect (Total)'!BM32,Planned!CS32,Reconductor!CS32,CTGS!CS32,'Substation 2025$'!CS32*$BL$1,Comms!CO32*$BL$2)</f>
        <v>0</v>
      </c>
      <c r="BN32" s="416">
        <f>SUM('Defect (Total)'!BN32,Planned!CT32,Reconductor!CT32,CTGS!CT32,'Substation 2025$'!CT32*$BL$1,Comms!CP32*$BL$2)</f>
        <v>0</v>
      </c>
      <c r="BO32" s="97">
        <f>SUM('Defect (Total)'!BO32,Planned!CU32,Reconductor!CU32,CTGS!CU32,'Substation 2025$'!CU32*$BL$1,Comms!CQ32*$BL$2)</f>
        <v>0</v>
      </c>
      <c r="BP32" s="97">
        <f>SUM('Defect (Total)'!BP32,Planned!CV32,Reconductor!CV32,CTGS!CV32,'Substation 2025$'!CV32*$BL$1,Comms!CR32*$BL$2)</f>
        <v>0</v>
      </c>
      <c r="BQ32" s="97">
        <f>SUM('Defect (Total)'!BQ32,Planned!CW32,Reconductor!CW32,CTGS!CW32,'Substation 2025$'!CW32*$BL$1,Comms!CS32*$BL$2)</f>
        <v>0</v>
      </c>
      <c r="BR32" s="98">
        <f>SUM('Defect (Total)'!BR32,Planned!CX32,Reconductor!CX32,CTGS!CX32,'Substation 2025$'!CX32*$BL$1,Comms!CT32*$BL$2)</f>
        <v>0</v>
      </c>
      <c r="BS32" s="836" t="str">
        <f>'Unit Cost Rate Summary'!AO32</f>
        <v/>
      </c>
      <c r="BT32" s="840" t="str">
        <f t="shared" si="15"/>
        <v/>
      </c>
      <c r="BU32" s="832" t="str">
        <f t="shared" si="16"/>
        <v/>
      </c>
      <c r="BV32" t="s">
        <v>637</v>
      </c>
      <c r="CI32" s="416">
        <f>VLOOKUP($A32,'Distribution Summary'!$A$136:$CG$146,CI$1,0)*BN32</f>
        <v>0</v>
      </c>
      <c r="CJ32" s="97">
        <f>VLOOKUP($A32,'Distribution Summary'!$A$136:$CG$146,CJ$1,0)*BO32</f>
        <v>0</v>
      </c>
      <c r="CK32" s="97">
        <f>VLOOKUP($A32,'Distribution Summary'!$A$136:$CG$146,CK$1,0)*BP32</f>
        <v>0</v>
      </c>
      <c r="CL32" s="97">
        <f>VLOOKUP($A32,'Distribution Summary'!$A$136:$CG$146,CL$1,0)*BQ32</f>
        <v>0</v>
      </c>
      <c r="CM32" s="98">
        <f>VLOOKUP($A32,'Distribution Summary'!$A$136:$CG$146,CM$1,0)*BR32</f>
        <v>0</v>
      </c>
    </row>
    <row r="33" spans="1:91" ht="15.75" thickBot="1" x14ac:dyDescent="0.3">
      <c r="A33" s="100" t="s">
        <v>68</v>
      </c>
      <c r="B33" s="101" t="s">
        <v>308</v>
      </c>
      <c r="C33" s="102" t="s">
        <v>309</v>
      </c>
      <c r="D33" s="103">
        <f>SUM('Defect (Total)'!D33,Planned!D33,Reconductor!D33,CTGS!D33)</f>
        <v>0</v>
      </c>
      <c r="E33" s="104">
        <f>SUM('Defect (Total)'!E33,Planned!E33,Reconductor!E33,CTGS!E33)</f>
        <v>0</v>
      </c>
      <c r="F33" s="104">
        <f>SUM('Defect (Total)'!F33,Planned!F33,Reconductor!F33,CTGS!F33)</f>
        <v>0</v>
      </c>
      <c r="G33" s="104">
        <f>SUM('Defect (Total)'!G33,Planned!G33,Reconductor!G33,CTGS!G33)</f>
        <v>0</v>
      </c>
      <c r="H33" s="104">
        <f>SUM('Defect (Total)'!H33,Planned!H33,Reconductor!H33,CTGS!H33)</f>
        <v>0</v>
      </c>
      <c r="I33" s="104">
        <f>SUM('Defect (Total)'!I33,Planned!I33,Reconductor!I33,CTGS!I33)</f>
        <v>0</v>
      </c>
      <c r="J33" s="104">
        <f>SUM('Defect (Total)'!J33,Planned!J33,Reconductor!J33,CTGS!J33)</f>
        <v>0</v>
      </c>
      <c r="K33" s="104">
        <f>SUM('Defect (Total)'!K33,Planned!K33,Reconductor!K33,CTGS!K33)</f>
        <v>0</v>
      </c>
      <c r="L33" s="104">
        <f>SUM('Defect (Total)'!L33,Planned!L33,Reconductor!L33,CTGS!L33)</f>
        <v>0</v>
      </c>
      <c r="M33" s="104">
        <f>SUM('Defect (Total)'!M33,Planned!M33,Reconductor!M33,CTGS!M33)</f>
        <v>0</v>
      </c>
      <c r="N33" s="104">
        <f>SUM('Defect (Total)'!N33,Planned!N33,Reconductor!N33,CTGS!N33)</f>
        <v>0</v>
      </c>
      <c r="O33" s="563">
        <f>SUM('Defect (Total)'!O33,Planned!O33,Reconductor!O33,CTGS!O33)</f>
        <v>0</v>
      </c>
      <c r="P33" s="564">
        <f>SUM('Defect (Total)'!P33,Planned!P33,Reconductor!P33,CTGS!P33)</f>
        <v>0</v>
      </c>
      <c r="Q33" s="564">
        <f>SUM('Defect (Total)'!Q33,Planned!Q33,Reconductor!Q33,CTGS!Q33)</f>
        <v>0</v>
      </c>
      <c r="R33" s="564">
        <f>SUM('Defect (Total)'!R33,Planned!R33,Reconductor!R33,CTGS!R33)</f>
        <v>0</v>
      </c>
      <c r="S33" s="564">
        <f>SUM('Defect (Total)'!S33,Planned!S33,Reconductor!S33,CTGS!S33)</f>
        <v>0</v>
      </c>
      <c r="T33" s="564">
        <f>SUM('Defect (Total)'!T33,Planned!T33,Reconductor!T33,CTGS!T33)</f>
        <v>0</v>
      </c>
      <c r="U33" s="564">
        <f>SUM('Defect (Total)'!U33,Planned!U33,Reconductor!U33,CTGS!U33)</f>
        <v>0</v>
      </c>
      <c r="V33" s="564">
        <f>SUM('Defect (Total)'!V33,Planned!V33,Reconductor!V33,CTGS!V33)</f>
        <v>0</v>
      </c>
      <c r="W33" s="564">
        <f>SUM('Defect (Total)'!W33,Planned!W33,Reconductor!W33,CTGS!W33)</f>
        <v>0</v>
      </c>
      <c r="X33" s="564">
        <f>SUM('Defect (Total)'!X33,Planned!X33,Reconductor!X33,CTGS!X33)</f>
        <v>0</v>
      </c>
      <c r="Y33" s="564">
        <f>SUM('Defect (Total)'!Y33,Planned!Y33,Reconductor!Y33,CTGS!Y33)</f>
        <v>0</v>
      </c>
      <c r="Z33" s="105">
        <f>SUM('Defect (Total)'!Z33,Planned!Z33,Reconductor!Z33,CTGS!Z33)</f>
        <v>0</v>
      </c>
      <c r="AA33" s="106">
        <f>SUM('Defect (Total)'!AA33,Planned!AA33,Reconductor!AA33,CTGS!AA33)</f>
        <v>0</v>
      </c>
      <c r="AB33" s="106">
        <f>SUM('Defect (Total)'!AB33,Planned!AB33,Reconductor!AB33,CTGS!AB33)</f>
        <v>0</v>
      </c>
      <c r="AC33" s="106">
        <f>SUM('Defect (Total)'!AC33,Planned!AC33,Reconductor!AC33,CTGS!AC33)</f>
        <v>0</v>
      </c>
      <c r="AD33" s="106">
        <f>SUM('Defect (Total)'!AD33,Planned!AD33,Reconductor!AD33,CTGS!AD33)</f>
        <v>0</v>
      </c>
      <c r="AE33" s="106">
        <f>SUM('Defect (Total)'!AE33,Planned!AE33,Reconductor!AE33,CTGS!AE33)</f>
        <v>0</v>
      </c>
      <c r="AF33" s="106">
        <f>SUM('Defect (Total)'!AF33,Planned!AF33,Reconductor!AF33,CTGS!AF33)</f>
        <v>0</v>
      </c>
      <c r="AG33" s="106">
        <f>SUM('Defect (Total)'!AG33,Planned!AG33,Reconductor!AG33,CTGS!AG33)</f>
        <v>0</v>
      </c>
      <c r="AH33" s="106">
        <f>SUM('Defect (Total)'!AH33,Planned!AH33,Reconductor!AH33,CTGS!AH33)</f>
        <v>0</v>
      </c>
      <c r="AI33" s="106">
        <f>SUM('Defect (Total)'!AI33,Planned!AI33,Reconductor!AI33,CTGS!AI33)</f>
        <v>0</v>
      </c>
      <c r="AJ33" s="106">
        <f>SUM('Defect (Total)'!AJ33,Planned!AJ33,Reconductor!AJ33,CTGS!AJ33)</f>
        <v>0</v>
      </c>
      <c r="AK33" s="107">
        <f t="shared" si="17"/>
        <v>0</v>
      </c>
      <c r="AL33" s="108">
        <f t="shared" si="18"/>
        <v>0</v>
      </c>
      <c r="AM33" s="109">
        <f t="shared" si="19"/>
        <v>0</v>
      </c>
      <c r="AN33" s="110" t="str">
        <f t="shared" si="1"/>
        <v/>
      </c>
      <c r="AO33" s="111" t="str">
        <f t="shared" si="2"/>
        <v/>
      </c>
      <c r="AP33" s="111" t="str">
        <f t="shared" si="3"/>
        <v/>
      </c>
      <c r="AQ33" s="111" t="str">
        <f t="shared" si="4"/>
        <v/>
      </c>
      <c r="AR33" s="111" t="str">
        <f t="shared" si="5"/>
        <v/>
      </c>
      <c r="AS33" s="111" t="str">
        <f t="shared" si="6"/>
        <v/>
      </c>
      <c r="AT33" s="111" t="str">
        <f t="shared" si="7"/>
        <v/>
      </c>
      <c r="AU33" s="111" t="str">
        <f t="shared" si="8"/>
        <v/>
      </c>
      <c r="AV33" s="111" t="str">
        <f t="shared" si="9"/>
        <v/>
      </c>
      <c r="AW33" s="111" t="str">
        <f t="shared" si="10"/>
        <v/>
      </c>
      <c r="AX33" s="111" t="str">
        <f t="shared" si="11"/>
        <v/>
      </c>
      <c r="AY33" s="112" t="str">
        <f t="shared" si="12"/>
        <v/>
      </c>
      <c r="AZ33" s="113" t="str">
        <f t="shared" si="13"/>
        <v/>
      </c>
      <c r="BA33" s="114" t="str">
        <f t="shared" si="14"/>
        <v/>
      </c>
      <c r="BB33" s="690">
        <f>SUM('Defect (Total)'!BB33,Planned!CE33,Reconductor!CE33,CTGS!CE33,'Substation 2025$'!CE33*$BL$1,Comms!CA33*$BL$2)</f>
        <v>0</v>
      </c>
      <c r="BC33" s="690">
        <f>SUM('Defect (Total)'!BC33,Planned!CF33,Reconductor!CF33,CTGS!CF33,'Substation 2025$'!CF33*$BL$1,Comms!CB33*$BL$2)</f>
        <v>0</v>
      </c>
      <c r="BD33" s="115">
        <f>SUM('Defect (Total)'!BD33,Planned!CG33,Reconductor!CG33,CTGS!CG33,'Substation 2025$'!CG33*$BL$1,Comms!CC33*$BL$2)</f>
        <v>0</v>
      </c>
      <c r="BE33" s="115">
        <f>SUM('Defect (Total)'!BE33,Planned!CH33,Reconductor!CH33,CTGS!CH33,'Substation 2025$'!CH33*$BL$1,Comms!CD33*$BL$2)</f>
        <v>0</v>
      </c>
      <c r="BF33" s="115">
        <f>SUM('Defect (Total)'!BF33,Planned!CI33,Reconductor!CI33,CTGS!CI33,'Substation 2025$'!CI33*$BL$1,Comms!CE33*$BL$2)</f>
        <v>0</v>
      </c>
      <c r="BG33" s="115">
        <f>SUM('Defect (Total)'!BG33,Planned!CJ33,Reconductor!CJ33,CTGS!CJ33,'Substation 2025$'!CJ33*$BL$1,Comms!CF33*$BL$2)</f>
        <v>0</v>
      </c>
      <c r="BH33" s="115">
        <f>SUM('Defect (Total)'!BH33,Planned!CK33,Reconductor!CK33,CTGS!CK33,'Substation 2025$'!CK33*$BL$1,Comms!CG33*$BL$2)</f>
        <v>0</v>
      </c>
      <c r="BI33" s="287">
        <f>SUM('Defect (Total)'!BI33,Planned!CL33,Reconductor!CL33,CTGS!CL33,'Substation 2025$'!CL33*$BL$1,Comms!CH33*$BL$2)</f>
        <v>0</v>
      </c>
      <c r="BJ33" s="116" t="str">
        <f t="shared" si="20"/>
        <v/>
      </c>
      <c r="BK33" s="1013">
        <f>SUM('Defect (Total)'!BK33,Planned!CQ33,Reconductor!CQ33,CTGS!CQ33,'Substation 2025$'!CQ33*$BL$1,Comms!CM33*$BL$2)</f>
        <v>0</v>
      </c>
      <c r="BL33" s="1013">
        <f>SUM('Defect (Total)'!BL33,Planned!CR33,Reconductor!CR33,CTGS!CR33,'Substation 2025$'!CR33*$BL$1,Comms!CN33*$BL$2)</f>
        <v>0</v>
      </c>
      <c r="BM33" s="638">
        <f>SUM('Defect (Total)'!BM33,Planned!CS33,Reconductor!CS33,CTGS!CS33,'Substation 2025$'!CS33*$BL$1,Comms!CO33*$BL$2)</f>
        <v>0</v>
      </c>
      <c r="BN33" s="467">
        <f>SUM('Defect (Total)'!BN33,Planned!CT33,Reconductor!CT33,CTGS!CT33,'Substation 2025$'!CT33*$BL$1,Comms!CP33*$BL$2)</f>
        <v>0</v>
      </c>
      <c r="BO33" s="117">
        <f>SUM('Defect (Total)'!BO33,Planned!CU33,Reconductor!CU33,CTGS!CU33,'Substation 2025$'!CU33*$BL$1,Comms!CQ33*$BL$2)</f>
        <v>0</v>
      </c>
      <c r="BP33" s="117">
        <f>SUM('Defect (Total)'!BP33,Planned!CV33,Reconductor!CV33,CTGS!CV33,'Substation 2025$'!CV33*$BL$1,Comms!CR33*$BL$2)</f>
        <v>0</v>
      </c>
      <c r="BQ33" s="117">
        <f>SUM('Defect (Total)'!BQ33,Planned!CW33,Reconductor!CW33,CTGS!CW33,'Substation 2025$'!CW33*$BL$1,Comms!CS33*$BL$2)</f>
        <v>0</v>
      </c>
      <c r="BR33" s="118">
        <f>SUM('Defect (Total)'!BR33,Planned!CX33,Reconductor!CX33,CTGS!CX33,'Substation 2025$'!CX33*$BL$1,Comms!CT33*$BL$2)</f>
        <v>0</v>
      </c>
      <c r="BS33" s="837" t="str">
        <f>'Unit Cost Rate Summary'!AO33</f>
        <v/>
      </c>
      <c r="BT33" s="841" t="str">
        <f t="shared" si="15"/>
        <v/>
      </c>
      <c r="BU33" s="833" t="str">
        <f t="shared" si="16"/>
        <v/>
      </c>
      <c r="BV33" t="s">
        <v>637</v>
      </c>
      <c r="CI33" s="467">
        <f>VLOOKUP($A33,'Distribution Summary'!$A$136:$CG$146,CI$1,0)*BN33</f>
        <v>0</v>
      </c>
      <c r="CJ33" s="117">
        <f>VLOOKUP($A33,'Distribution Summary'!$A$136:$CG$146,CJ$1,0)*BO33</f>
        <v>0</v>
      </c>
      <c r="CK33" s="117">
        <f>VLOOKUP($A33,'Distribution Summary'!$A$136:$CG$146,CK$1,0)*BP33</f>
        <v>0</v>
      </c>
      <c r="CL33" s="117">
        <f>VLOOKUP($A33,'Distribution Summary'!$A$136:$CG$146,CL$1,0)*BQ33</f>
        <v>0</v>
      </c>
      <c r="CM33" s="118">
        <f>VLOOKUP($A33,'Distribution Summary'!$A$136:$CG$146,CM$1,0)*BR33</f>
        <v>0</v>
      </c>
    </row>
    <row r="34" spans="1:91" x14ac:dyDescent="0.25">
      <c r="A34" s="63" t="s">
        <v>81</v>
      </c>
      <c r="B34" s="334" t="s">
        <v>79</v>
      </c>
      <c r="C34" s="65" t="s">
        <v>305</v>
      </c>
      <c r="D34" s="66">
        <f>SUM('Defect (Total)'!D34,Planned!D34,Reconductor!D34,CTGS!D34)</f>
        <v>3967444</v>
      </c>
      <c r="E34" s="67">
        <f>SUM('Defect (Total)'!E34,Planned!E34,Reconductor!E34,CTGS!E34)</f>
        <v>6027337</v>
      </c>
      <c r="F34" s="67">
        <f>SUM('Defect (Total)'!F34,Planned!F34,Reconductor!F34,CTGS!F34)</f>
        <v>7542258</v>
      </c>
      <c r="G34" s="67">
        <f>SUM('Defect (Total)'!G34,Planned!G34,Reconductor!G34,CTGS!G34)</f>
        <v>5393631.8508771956</v>
      </c>
      <c r="H34" s="67">
        <f>SUM('Defect (Total)'!H34,Planned!H34,Reconductor!H34,CTGS!H34)</f>
        <v>8714389.4937083907</v>
      </c>
      <c r="I34" s="67">
        <f>SUM('Defect (Total)'!I34,Planned!I34,Reconductor!I34,CTGS!I34)</f>
        <v>12840240.664226912</v>
      </c>
      <c r="J34" s="67">
        <f>SUM('Defect (Total)'!J34,Planned!J34,Reconductor!J34,CTGS!J34)</f>
        <v>18768696.3676074</v>
      </c>
      <c r="K34" s="67">
        <f>SUM('Defect (Total)'!K34,Planned!K34,Reconductor!K34,CTGS!K34)</f>
        <v>16524542.692370255</v>
      </c>
      <c r="L34" s="67">
        <f>SUM('Defect (Total)'!L34,Planned!L34,Reconductor!L34,CTGS!L34)</f>
        <v>21430571.062679317</v>
      </c>
      <c r="M34" s="67">
        <f>SUM('Defect (Total)'!M34,Planned!M34,Reconductor!M34,CTGS!M34)</f>
        <v>11549690.658025421</v>
      </c>
      <c r="N34" s="67">
        <f>SUM('Defect (Total)'!N34,Planned!N34,Reconductor!N34,CTGS!N34)</f>
        <v>14061301.039981874</v>
      </c>
      <c r="O34" s="557">
        <f>SUM('Defect (Total)'!O34,Planned!O34,Reconductor!O34,CTGS!O34)</f>
        <v>5338022.6008982174</v>
      </c>
      <c r="P34" s="558">
        <f>SUM('Defect (Total)'!P34,Planned!P34,Reconductor!P34,CTGS!P34)</f>
        <v>7988818.842103471</v>
      </c>
      <c r="Q34" s="558">
        <f>SUM('Defect (Total)'!Q34,Planned!Q34,Reconductor!Q34,CTGS!Q34)</f>
        <v>9895485.846897196</v>
      </c>
      <c r="R34" s="558">
        <f>SUM('Defect (Total)'!R34,Planned!R34,Reconductor!R34,CTGS!R34)</f>
        <v>6942233.897573215</v>
      </c>
      <c r="S34" s="558">
        <f>SUM('Defect (Total)'!S34,Planned!S34,Reconductor!S34,CTGS!S34)</f>
        <v>10988137.528022356</v>
      </c>
      <c r="T34" s="558">
        <f>SUM('Defect (Total)'!T34,Planned!T34,Reconductor!T34,CTGS!T34)</f>
        <v>15936642.800857645</v>
      </c>
      <c r="U34" s="558">
        <f>SUM('Defect (Total)'!U34,Planned!U34,Reconductor!U34,CTGS!U34)</f>
        <v>23376185.609964903</v>
      </c>
      <c r="V34" s="558">
        <f>SUM('Defect (Total)'!V34,Planned!V34,Reconductor!V34,CTGS!V34)</f>
        <v>19818855.522144683</v>
      </c>
      <c r="W34" s="558">
        <f>SUM('Defect (Total)'!W34,Planned!W34,Reconductor!W34,CTGS!W34)</f>
        <v>24214985.883311864</v>
      </c>
      <c r="X34" s="558">
        <f>SUM('Defect (Total)'!X34,Planned!X34,Reconductor!X34,CTGS!X34)</f>
        <v>12282644.723260932</v>
      </c>
      <c r="Y34" s="558">
        <f>SUM('Defect (Total)'!Y34,Planned!Y34,Reconductor!Y34,CTGS!Y34)</f>
        <v>14262628.35871698</v>
      </c>
      <c r="Z34" s="119">
        <f>SUM('Defect (Total)'!Z34,Planned!Z34,Reconductor!Z34,CTGS!Z34)</f>
        <v>48</v>
      </c>
      <c r="AA34" s="120">
        <f>SUM('Defect (Total)'!AA34,Planned!AA34,Reconductor!AA34,CTGS!AA34)</f>
        <v>102</v>
      </c>
      <c r="AB34" s="120">
        <f>SUM('Defect (Total)'!AB34,Planned!AB34,Reconductor!AB34,CTGS!AB34)</f>
        <v>66</v>
      </c>
      <c r="AC34" s="120">
        <f>SUM('Defect (Total)'!AC34,Planned!AC34,Reconductor!AC34,CTGS!AC34)</f>
        <v>107.41933333333333</v>
      </c>
      <c r="AD34" s="120">
        <f>SUM('Defect (Total)'!AD34,Planned!AD34,Reconductor!AD34,CTGS!AD34)</f>
        <v>135.75</v>
      </c>
      <c r="AE34" s="120">
        <f>SUM('Defect (Total)'!AE34,Planned!AE34,Reconductor!AE34,CTGS!AE34)</f>
        <v>172.93993920600008</v>
      </c>
      <c r="AF34" s="120">
        <f>SUM('Defect (Total)'!AF34,Planned!AF34,Reconductor!AF34,CTGS!AF34)</f>
        <v>245.85400008100001</v>
      </c>
      <c r="AG34" s="120">
        <f>SUM('Defect (Total)'!AG34,Planned!AG34,Reconductor!AG34,CTGS!AG34)</f>
        <v>311.3581666666658</v>
      </c>
      <c r="AH34" s="120">
        <f>SUM('Defect (Total)'!AH34,Planned!AH34,Reconductor!AH34,CTGS!AH34)</f>
        <v>284.10183223800016</v>
      </c>
      <c r="AI34" s="120">
        <f>SUM('Defect (Total)'!AI34,Planned!AI34,Reconductor!AI34,CTGS!AI34)</f>
        <v>97.198999728333234</v>
      </c>
      <c r="AJ34" s="120">
        <f>SUM('Defect (Total)'!AJ34,Planned!AJ34,Reconductor!AJ34,CTGS!AJ34)</f>
        <v>139.60883302899995</v>
      </c>
      <c r="AK34" s="121">
        <f t="shared" si="17"/>
        <v>222.29058758399984</v>
      </c>
      <c r="AL34" s="122">
        <f t="shared" si="18"/>
        <v>230.8863328776664</v>
      </c>
      <c r="AM34" s="123">
        <f t="shared" si="19"/>
        <v>97.198999728333234</v>
      </c>
      <c r="AN34" s="73">
        <f t="shared" si="1"/>
        <v>82655.083333333328</v>
      </c>
      <c r="AO34" s="74">
        <f t="shared" si="2"/>
        <v>59091.539215686273</v>
      </c>
      <c r="AP34" s="74">
        <f t="shared" si="3"/>
        <v>114276.63636363637</v>
      </c>
      <c r="AQ34" s="74">
        <f t="shared" si="4"/>
        <v>50210.997252609981</v>
      </c>
      <c r="AR34" s="74">
        <f t="shared" si="5"/>
        <v>64194.397743708221</v>
      </c>
      <c r="AS34" s="74">
        <f t="shared" si="6"/>
        <v>74246.820735446541</v>
      </c>
      <c r="AT34" s="74">
        <f t="shared" si="7"/>
        <v>76340.821631634186</v>
      </c>
      <c r="AU34" s="74">
        <f t="shared" si="8"/>
        <v>53072.456294557771</v>
      </c>
      <c r="AV34" s="74">
        <f t="shared" si="9"/>
        <v>75432.709792333611</v>
      </c>
      <c r="AW34" s="74">
        <f t="shared" si="10"/>
        <v>118825.20077682157</v>
      </c>
      <c r="AX34" s="74">
        <f t="shared" si="11"/>
        <v>100719.27925263166</v>
      </c>
      <c r="AY34" s="75">
        <f t="shared" si="12"/>
        <v>68067.975839875755</v>
      </c>
      <c r="AZ34" s="76">
        <f t="shared" si="13"/>
        <v>67422.876822501814</v>
      </c>
      <c r="BA34" s="77">
        <f t="shared" si="14"/>
        <v>75432.709792333611</v>
      </c>
      <c r="BB34" s="691">
        <f>SUM('Defect (Total)'!BB34,Planned!CE34,Reconductor!CE34,CTGS!CE34,'Substation 2025$'!CE34*$BL$1,Comms!CA34*$BL$2)</f>
        <v>204.07552715577756</v>
      </c>
      <c r="BC34" s="691">
        <f>SUM('Defect (Total)'!BC34,Planned!CF34,Reconductor!CF34,CTGS!CF34,'Substation 2025$'!CF34*$BL$1,Comms!CB34*$BL$2)</f>
        <v>260.6237401538794</v>
      </c>
      <c r="BD34" s="360">
        <f>SUM('Defect (Total)'!BD34,Planned!CG34,Reconductor!CG34,CTGS!CG34,'Substation 2025$'!CG34*$BL$1,Comms!CC34*$BL$2)</f>
        <v>260.6237401538794</v>
      </c>
      <c r="BE34" s="360">
        <f>SUM('Defect (Total)'!BE34,Planned!CH34,Reconductor!CH34,CTGS!CH34,'Substation 2025$'!CH34*$BL$1,Comms!CD34*$BL$2)</f>
        <v>331.67759136931437</v>
      </c>
      <c r="BF34" s="360">
        <f>SUM('Defect (Total)'!BF34,Planned!CI34,Reconductor!CI34,CTGS!CI34,'Substation 2025$'!CI34*$BL$1,Comms!CE34*$BL$2)</f>
        <v>345.60751142760466</v>
      </c>
      <c r="BG34" s="360">
        <f>SUM('Defect (Total)'!BG34,Planned!CJ34,Reconductor!CJ34,CTGS!CJ34,'Substation 2025$'!CJ34*$BL$1,Comms!CF34*$BL$2)</f>
        <v>354.89792906116696</v>
      </c>
      <c r="BH34" s="360">
        <f>SUM('Defect (Total)'!BH34,Planned!CK34,Reconductor!CK34,CTGS!CK34,'Substation 2025$'!CK34*$BL$1,Comms!CG34*$BL$2)</f>
        <v>364.19104122623412</v>
      </c>
      <c r="BI34" s="361">
        <f>SUM('Defect (Total)'!BI34,Planned!CL34,Reconductor!CL34,CTGS!CL34,'Substation 2025$'!CL34*$BL$1,Comms!CH34*$BL$2)</f>
        <v>368.83852636428321</v>
      </c>
      <c r="BJ34" s="124">
        <f t="shared" si="20"/>
        <v>59600.070554695099</v>
      </c>
      <c r="BK34" s="974">
        <f>SUM('Defect (Total)'!BK34,Planned!CQ34,Reconductor!CQ34,CTGS!CQ34,'Substation 2025$'!CQ34*$BL$1,Comms!CM34*$BL$2)</f>
        <v>14523353.023986205</v>
      </c>
      <c r="BL34" s="974">
        <f>SUM('Defect (Total)'!BL34,Planned!CR34,Reconductor!CR34,CTGS!CR34,'Substation 2025$'!CR34*$BL$1,Comms!CN34*$BL$2)</f>
        <v>16985838.874635853</v>
      </c>
      <c r="BM34" s="523">
        <f>SUM('Defect (Total)'!BM34,Planned!CS34,Reconductor!CS34,CTGS!CS34,'Substation 2025$'!CS34*$BL$1,Comms!CO34*$BL$2)</f>
        <v>16985838.874635853</v>
      </c>
      <c r="BN34" s="415">
        <f>SUM('Defect (Total)'!BN34,Planned!CT34,Reconductor!CT34,CTGS!CT34,'Substation 2025$'!CT34*$BL$1,Comms!CP34*$BL$2)</f>
        <v>20110987.798798583</v>
      </c>
      <c r="BO34" s="79">
        <f>SUM('Defect (Total)'!BO34,Planned!CU34,Reconductor!CU34,CTGS!CU34,'Substation 2025$'!CU34*$BL$1,Comms!CQ34*$BL$2)</f>
        <v>20717589.302640479</v>
      </c>
      <c r="BP34" s="79">
        <f>SUM('Defect (Total)'!BP34,Planned!CV34,Reconductor!CV34,CTGS!CV34,'Substation 2025$'!CV34*$BL$1,Comms!CR34*$BL$2)</f>
        <v>21122155.968081191</v>
      </c>
      <c r="BQ34" s="79">
        <f>SUM('Defect (Total)'!BQ34,Planned!CW34,Reconductor!CW34,CTGS!CW34,'Substation 2025$'!CW34*$BL$1,Comms!CS34*$BL$2)</f>
        <v>21526839.971371375</v>
      </c>
      <c r="BR34" s="80">
        <f>SUM('Defect (Total)'!BR34,Planned!CX34,Reconductor!CX34,CTGS!CX34,'Substation 2025$'!CX34*$BL$1,Comms!CT34*$BL$2)</f>
        <v>21729222.430281878</v>
      </c>
      <c r="BS34" s="835">
        <f>'Unit Cost Rate Summary'!AO34</f>
        <v>132.74791554060008</v>
      </c>
      <c r="BT34" s="839">
        <f t="shared" si="15"/>
        <v>30656.569869362702</v>
      </c>
      <c r="BU34" s="834">
        <f t="shared" si="16"/>
        <v>153282.84934681351</v>
      </c>
      <c r="BV34" t="s">
        <v>636</v>
      </c>
      <c r="CI34" s="415">
        <f>VLOOKUP($A34,'Distribution Summary'!$A$136:$CG$146,CI$1,0)*BN34</f>
        <v>22348573.866420481</v>
      </c>
      <c r="CJ34" s="79">
        <f>VLOOKUP($A34,'Distribution Summary'!$A$136:$CG$146,CJ$1,0)*BO34</f>
        <v>23281833.128277346</v>
      </c>
      <c r="CK34" s="79">
        <f>VLOOKUP($A34,'Distribution Summary'!$A$136:$CG$146,CK$1,0)*BP34</f>
        <v>23922490.775345042</v>
      </c>
      <c r="CL34" s="79">
        <f>VLOOKUP($A34,'Distribution Summary'!$A$136:$CG$146,CL$1,0)*BQ34</f>
        <v>24575391.207160428</v>
      </c>
      <c r="CM34" s="80">
        <f>VLOOKUP($A34,'Distribution Summary'!$A$136:$CG$146,CM$1,0)*BR34</f>
        <v>24944732.380747743</v>
      </c>
    </row>
    <row r="35" spans="1:91" x14ac:dyDescent="0.25">
      <c r="A35" s="81" t="s">
        <v>81</v>
      </c>
      <c r="B35" s="82" t="s">
        <v>310</v>
      </c>
      <c r="C35" s="83" t="s">
        <v>70</v>
      </c>
      <c r="D35" s="84">
        <f>SUM('Defect (Total)'!D35,Planned!D35,Reconductor!D35,CTGS!D35)</f>
        <v>1535493</v>
      </c>
      <c r="E35" s="85">
        <f>SUM('Defect (Total)'!E35,Planned!E35,Reconductor!E35,CTGS!E35)</f>
        <v>2584293</v>
      </c>
      <c r="F35" s="85">
        <f>SUM('Defect (Total)'!F35,Planned!F35,Reconductor!F35,CTGS!F35)</f>
        <v>1407069</v>
      </c>
      <c r="G35" s="85">
        <f>SUM('Defect (Total)'!G35,Planned!G35,Reconductor!G35,CTGS!G35)</f>
        <v>2323579.4664839301</v>
      </c>
      <c r="H35" s="85">
        <f>SUM('Defect (Total)'!H35,Planned!H35,Reconductor!H35,CTGS!H35)</f>
        <v>2351204</v>
      </c>
      <c r="I35" s="85">
        <f>SUM('Defect (Total)'!I35,Planned!I35,Reconductor!I35,CTGS!I35)</f>
        <v>2880704.9739493756</v>
      </c>
      <c r="J35" s="85">
        <f>SUM('Defect (Total)'!J35,Planned!J35,Reconductor!J35,CTGS!J35)</f>
        <v>4473039.7938799355</v>
      </c>
      <c r="K35" s="85">
        <f>SUM('Defect (Total)'!K35,Planned!K35,Reconductor!K35,CTGS!K35)</f>
        <v>5399061.7173091015</v>
      </c>
      <c r="L35" s="85">
        <f>SUM('Defect (Total)'!L35,Planned!L35,Reconductor!L35,CTGS!L35)</f>
        <v>9599830.3715368193</v>
      </c>
      <c r="M35" s="85">
        <f>SUM('Defect (Total)'!M35,Planned!M35,Reconductor!M35,CTGS!M35)</f>
        <v>18319582.24128259</v>
      </c>
      <c r="N35" s="85">
        <f>SUM('Defect (Total)'!N35,Planned!N35,Reconductor!N35,CTGS!N35)</f>
        <v>10418990.788758639</v>
      </c>
      <c r="O35" s="560">
        <f>SUM('Defect (Total)'!O35,Planned!O35,Reconductor!O35,CTGS!O35)</f>
        <v>2065938.7599474641</v>
      </c>
      <c r="P35" s="561">
        <f>SUM('Defect (Total)'!P35,Planned!P35,Reconductor!P35,CTGS!P35)</f>
        <v>3425301.8558471352</v>
      </c>
      <c r="Q35" s="561">
        <f>SUM('Defect (Total)'!Q35,Planned!Q35,Reconductor!Q35,CTGS!Q35)</f>
        <v>1846082.6154591623</v>
      </c>
      <c r="R35" s="561">
        <f>SUM('Defect (Total)'!R35,Planned!R35,Reconductor!R35,CTGS!R35)</f>
        <v>2990718.0508262496</v>
      </c>
      <c r="S35" s="561">
        <f>SUM('Defect (Total)'!S35,Planned!S35,Reconductor!S35,CTGS!S35)</f>
        <v>2964677.3221565168</v>
      </c>
      <c r="T35" s="561">
        <f>SUM('Defect (Total)'!T35,Planned!T35,Reconductor!T35,CTGS!T35)</f>
        <v>3575382.0652589151</v>
      </c>
      <c r="U35" s="561">
        <f>SUM('Defect (Total)'!U35,Planned!U35,Reconductor!U35,CTGS!U35)</f>
        <v>5571117.2696554195</v>
      </c>
      <c r="V35" s="561">
        <f>SUM('Defect (Total)'!V35,Planned!V35,Reconductor!V35,CTGS!V35)</f>
        <v>6475412.1262246603</v>
      </c>
      <c r="W35" s="561">
        <f>SUM('Defect (Total)'!W35,Planned!W35,Reconductor!W35,CTGS!W35)</f>
        <v>10847109.778319165</v>
      </c>
      <c r="X35" s="561">
        <f>SUM('Defect (Total)'!X35,Planned!X35,Reconductor!X35,CTGS!X35)</f>
        <v>19482159.895934686</v>
      </c>
      <c r="Y35" s="561">
        <f>SUM('Defect (Total)'!Y35,Planned!Y35,Reconductor!Y35,CTGS!Y35)</f>
        <v>10649857.219487309</v>
      </c>
      <c r="Z35" s="125">
        <f>SUM('Defect (Total)'!Z35,Planned!Z35,Reconductor!Z35,CTGS!Z35)</f>
        <v>63</v>
      </c>
      <c r="AA35" s="126">
        <f>SUM('Defect (Total)'!AA35,Planned!AA35,Reconductor!AA35,CTGS!AA35)</f>
        <v>97</v>
      </c>
      <c r="AB35" s="126">
        <f>SUM('Defect (Total)'!AB35,Planned!AB35,Reconductor!AB35,CTGS!AB35)</f>
        <v>42</v>
      </c>
      <c r="AC35" s="126">
        <f>SUM('Defect (Total)'!AC35,Planned!AC35,Reconductor!AC35,CTGS!AC35)</f>
        <v>73.156666666666666</v>
      </c>
      <c r="AD35" s="126">
        <f>SUM('Defect (Total)'!AD35,Planned!AD35,Reconductor!AD35,CTGS!AD35)</f>
        <v>87</v>
      </c>
      <c r="AE35" s="126">
        <f>SUM('Defect (Total)'!AE35,Planned!AE35,Reconductor!AE35,CTGS!AE35)</f>
        <v>100.65825248100003</v>
      </c>
      <c r="AF35" s="126">
        <f>SUM('Defect (Total)'!AF35,Planned!AF35,Reconductor!AF35,CTGS!AF35)</f>
        <v>133.71200000300001</v>
      </c>
      <c r="AG35" s="126">
        <f>SUM('Defect (Total)'!AG35,Planned!AG35,Reconductor!AG35,CTGS!AG35)</f>
        <v>129.6723333333332</v>
      </c>
      <c r="AH35" s="126">
        <f>SUM('Defect (Total)'!AH35,Planned!AH35,Reconductor!AH35,CTGS!AH35)</f>
        <v>259.55516201200004</v>
      </c>
      <c r="AI35" s="126">
        <f>SUM('Defect (Total)'!AI35,Planned!AI35,Reconductor!AI35,CTGS!AI35)</f>
        <v>254.68382865399994</v>
      </c>
      <c r="AJ35" s="126">
        <f>SUM('Defect (Total)'!AJ35,Planned!AJ35,Reconductor!AJ35,CTGS!AJ35)</f>
        <v>286.6449944859998</v>
      </c>
      <c r="AK35" s="127">
        <f t="shared" si="17"/>
        <v>175.65631529666663</v>
      </c>
      <c r="AL35" s="128">
        <f t="shared" si="18"/>
        <v>214.63710799977773</v>
      </c>
      <c r="AM35" s="129">
        <f t="shared" si="19"/>
        <v>254.68382865399994</v>
      </c>
      <c r="AN35" s="91">
        <f t="shared" si="1"/>
        <v>24372.904761904763</v>
      </c>
      <c r="AO35" s="92">
        <f t="shared" si="2"/>
        <v>26642.195876288661</v>
      </c>
      <c r="AP35" s="92">
        <f t="shared" si="3"/>
        <v>33501.642857142855</v>
      </c>
      <c r="AQ35" s="92">
        <f t="shared" si="4"/>
        <v>31761.691344838888</v>
      </c>
      <c r="AR35" s="92">
        <f t="shared" si="5"/>
        <v>27025.333333333332</v>
      </c>
      <c r="AS35" s="92">
        <f t="shared" si="6"/>
        <v>28618.666656200188</v>
      </c>
      <c r="AT35" s="92">
        <f t="shared" si="7"/>
        <v>33452.792522582691</v>
      </c>
      <c r="AU35" s="92">
        <f t="shared" si="8"/>
        <v>41636.188526278595</v>
      </c>
      <c r="AV35" s="92">
        <f t="shared" si="9"/>
        <v>36985.703914041165</v>
      </c>
      <c r="AW35" s="92">
        <f t="shared" si="10"/>
        <v>71930.684952010095</v>
      </c>
      <c r="AX35" s="92">
        <f t="shared" si="11"/>
        <v>36348.064641566656</v>
      </c>
      <c r="AY35" s="93">
        <f t="shared" si="12"/>
        <v>34764.873561924709</v>
      </c>
      <c r="AZ35" s="94">
        <f t="shared" si="13"/>
        <v>37235.535001531069</v>
      </c>
      <c r="BA35" s="95">
        <f t="shared" si="14"/>
        <v>36985.703914041165</v>
      </c>
      <c r="BB35" s="692">
        <f>SUM('Defect (Total)'!BB35,Planned!CE35,Reconductor!CE35,CTGS!CE35,'Substation 2025$'!CE35*$BL$1,Comms!CA35*$BL$2)</f>
        <v>185.4875267405333</v>
      </c>
      <c r="BC35" s="692">
        <f>SUM('Defect (Total)'!BC35,Planned!CF35,Reconductor!CF35,CTGS!CF35,'Substation 2025$'!CF35*$BL$1,Comms!CB35*$BL$2)</f>
        <v>169.2715174553519</v>
      </c>
      <c r="BD35" s="363">
        <f>SUM('Defect (Total)'!BD35,Planned!CG35,Reconductor!CG35,CTGS!CG35,'Substation 2025$'!CG35*$BL$1,Comms!CC35*$BL$2)</f>
        <v>169.2715174553519</v>
      </c>
      <c r="BE35" s="363">
        <f>SUM('Defect (Total)'!BE35,Planned!CH35,Reconductor!CH35,CTGS!CH35,'Substation 2025$'!CH35*$BL$1,Comms!CD35*$BL$2)</f>
        <v>218.51252193526636</v>
      </c>
      <c r="BF35" s="363">
        <f>SUM('Defect (Total)'!BF35,Planned!CI35,Reconductor!CI35,CTGS!CI35,'Substation 2025$'!CI35*$BL$1,Comms!CE35*$BL$2)</f>
        <v>226.60649780011798</v>
      </c>
      <c r="BG35" s="363">
        <f>SUM('Defect (Total)'!BG35,Planned!CJ35,Reconductor!CJ35,CTGS!CJ35,'Substation 2025$'!CJ35*$BL$1,Comms!CF35*$BL$2)</f>
        <v>232.01243390053722</v>
      </c>
      <c r="BH35" s="363">
        <f>SUM('Defect (Total)'!BH35,Planned!CK35,Reconductor!CK35,CTGS!CK35,'Substation 2025$'!CK35*$BL$1,Comms!CG35*$BL$2)</f>
        <v>237.4254129107772</v>
      </c>
      <c r="BI35" s="364">
        <f>SUM('Defect (Total)'!BI35,Planned!CL35,Reconductor!CL35,CTGS!CL35,'Substation 2025$'!CL35*$BL$1,Comms!CH35*$BL$2)</f>
        <v>240.1343293382788</v>
      </c>
      <c r="BJ35" s="99">
        <f t="shared" si="20"/>
        <v>50880.135484374965</v>
      </c>
      <c r="BK35" s="992">
        <f>SUM('Defect (Total)'!BK35,Planned!CQ35,Reconductor!CQ35,CTGS!CQ35,'Substation 2025$'!CQ35*$BL$1,Comms!CM35*$BL$2)</f>
        <v>9676400.7698584963</v>
      </c>
      <c r="BL35" s="992">
        <f>SUM('Defect (Total)'!BL35,Planned!CR35,Reconductor!CR35,CTGS!CR35,'Substation 2025$'!CR35*$BL$1,Comms!CN35*$BL$2)</f>
        <v>8915969.3770975545</v>
      </c>
      <c r="BM35" s="524">
        <f>SUM('Defect (Total)'!BM35,Planned!CS35,Reconductor!CS35,CTGS!CS35,'Substation 2025$'!CS35*$BL$1,Comms!CO35*$BL$2)</f>
        <v>8915969.3770975545</v>
      </c>
      <c r="BN35" s="416">
        <f>SUM('Defect (Total)'!BN35,Planned!CT35,Reconductor!CT35,CTGS!CT35,'Substation 2025$'!CT35*$BL$1,Comms!CP35*$BL$2)</f>
        <v>11167478.958418332</v>
      </c>
      <c r="BO35" s="97">
        <f>SUM('Defect (Total)'!BO35,Planned!CU35,Reconductor!CU35,CTGS!CU35,'Substation 2025$'!CU35*$BL$1,Comms!CQ35*$BL$2)</f>
        <v>11547036.791152623</v>
      </c>
      <c r="BP35" s="97">
        <f>SUM('Defect (Total)'!BP35,Planned!CV35,Reconductor!CV35,CTGS!CV35,'Substation 2025$'!CV35*$BL$1,Comms!CR35*$BL$2)</f>
        <v>11800542.043013513</v>
      </c>
      <c r="BQ35" s="97">
        <f>SUM('Defect (Total)'!BQ35,Planned!CW35,Reconductor!CW35,CTGS!CW35,'Substation 2025$'!CW35*$BL$1,Comms!CS35*$BL$2)</f>
        <v>12054377.564155202</v>
      </c>
      <c r="BR35" s="98">
        <f>SUM('Defect (Total)'!BR35,Planned!CX35,Reconductor!CX35,CTGS!CX35,'Substation 2025$'!CX35*$BL$1,Comms!CT35*$BL$2)</f>
        <v>12181409.13250294</v>
      </c>
      <c r="BS35" s="836">
        <f>'Unit Cost Rate Summary'!AO35</f>
        <v>114.30443522020917</v>
      </c>
      <c r="BT35" s="840">
        <f t="shared" si="15"/>
        <v>10210.849914741068</v>
      </c>
      <c r="BU35" s="832">
        <f t="shared" si="16"/>
        <v>51054.24957370534</v>
      </c>
      <c r="BV35" t="s">
        <v>636</v>
      </c>
      <c r="CI35" s="416">
        <f>VLOOKUP($A35,'Distribution Summary'!$A$136:$CG$146,CI$1,0)*BN35</f>
        <v>12409993.526962318</v>
      </c>
      <c r="CJ35" s="97">
        <f>VLOOKUP($A35,'Distribution Summary'!$A$136:$CG$146,CJ$1,0)*BO35</f>
        <v>12976229.027931884</v>
      </c>
      <c r="CK35" s="97">
        <f>VLOOKUP($A35,'Distribution Summary'!$A$136:$CG$146,CK$1,0)*BP35</f>
        <v>13365035.20732723</v>
      </c>
      <c r="CL35" s="97">
        <f>VLOOKUP($A35,'Distribution Summary'!$A$136:$CG$146,CL$1,0)*BQ35</f>
        <v>13761473.806276433</v>
      </c>
      <c r="CM35" s="98">
        <f>VLOOKUP($A35,'Distribution Summary'!$A$136:$CG$146,CM$1,0)*BR35</f>
        <v>13984025.052236559</v>
      </c>
    </row>
    <row r="36" spans="1:91" x14ac:dyDescent="0.25">
      <c r="A36" s="81" t="s">
        <v>81</v>
      </c>
      <c r="B36" s="82" t="s">
        <v>311</v>
      </c>
      <c r="C36" s="83" t="s">
        <v>312</v>
      </c>
      <c r="D36" s="84">
        <f>SUM('Defect (Total)'!D36,Planned!D36,Reconductor!D36,CTGS!D36)</f>
        <v>386970</v>
      </c>
      <c r="E36" s="85">
        <f>SUM('Defect (Total)'!E36,Planned!E36,Reconductor!E36,CTGS!E36)</f>
        <v>824940</v>
      </c>
      <c r="F36" s="85">
        <f>SUM('Defect (Total)'!F36,Planned!F36,Reconductor!F36,CTGS!F36)</f>
        <v>603780</v>
      </c>
      <c r="G36" s="85">
        <f>SUM('Defect (Total)'!G36,Planned!G36,Reconductor!G36,CTGS!G36)</f>
        <v>427709.42908102879</v>
      </c>
      <c r="H36" s="85">
        <f>SUM('Defect (Total)'!H36,Planned!H36,Reconductor!H36,CTGS!H36)</f>
        <v>1092339</v>
      </c>
      <c r="I36" s="85">
        <f>SUM('Defect (Total)'!I36,Planned!I36,Reconductor!I36,CTGS!I36)</f>
        <v>2898913.8779004295</v>
      </c>
      <c r="J36" s="85">
        <f>SUM('Defect (Total)'!J36,Planned!J36,Reconductor!J36,CTGS!J36)</f>
        <v>1692631.9395586671</v>
      </c>
      <c r="K36" s="85">
        <f>SUM('Defect (Total)'!K36,Planned!K36,Reconductor!K36,CTGS!K36)</f>
        <v>1825867.3841027769</v>
      </c>
      <c r="L36" s="85">
        <f>SUM('Defect (Total)'!L36,Planned!L36,Reconductor!L36,CTGS!L36)</f>
        <v>2539931.7166806371</v>
      </c>
      <c r="M36" s="85">
        <f>SUM('Defect (Total)'!M36,Planned!M36,Reconductor!M36,CTGS!M36)</f>
        <v>2058858.2727303552</v>
      </c>
      <c r="N36" s="85">
        <f>SUM('Defect (Total)'!N36,Planned!N36,Reconductor!N36,CTGS!N36)</f>
        <v>4681412.0813009739</v>
      </c>
      <c r="O36" s="560">
        <f>SUM('Defect (Total)'!O36,Planned!O36,Reconductor!O36,CTGS!O36)</f>
        <v>520651.23184336902</v>
      </c>
      <c r="P36" s="561">
        <f>SUM('Defect (Total)'!P36,Planned!P36,Reconductor!P36,CTGS!P36)</f>
        <v>1093400.9854774731</v>
      </c>
      <c r="Q36" s="561">
        <f>SUM('Defect (Total)'!Q36,Planned!Q36,Reconductor!Q36,CTGS!Q36)</f>
        <v>792162.830367191</v>
      </c>
      <c r="R36" s="561">
        <f>SUM('Defect (Total)'!R36,Planned!R36,Reconductor!R36,CTGS!R36)</f>
        <v>550511.9702219012</v>
      </c>
      <c r="S36" s="561">
        <f>SUM('Defect (Total)'!S36,Planned!S36,Reconductor!S36,CTGS!S36)</f>
        <v>1377350.7791782964</v>
      </c>
      <c r="T36" s="561">
        <f>SUM('Defect (Total)'!T36,Planned!T36,Reconductor!T36,CTGS!T36)</f>
        <v>3597982.0153417471</v>
      </c>
      <c r="U36" s="561">
        <f>SUM('Defect (Total)'!U36,Planned!U36,Reconductor!U36,CTGS!U36)</f>
        <v>2108152.724808679</v>
      </c>
      <c r="V36" s="561">
        <f>SUM('Defect (Total)'!V36,Planned!V36,Reconductor!V36,CTGS!V36)</f>
        <v>2189870.0957598868</v>
      </c>
      <c r="W36" s="561">
        <f>SUM('Defect (Total)'!W36,Planned!W36,Reconductor!W36,CTGS!W36)</f>
        <v>2869938.0191088677</v>
      </c>
      <c r="X36" s="561">
        <f>SUM('Defect (Total)'!X36,Planned!X36,Reconductor!X36,CTGS!X36)</f>
        <v>2189515.3254101952</v>
      </c>
      <c r="Y36" s="561">
        <f>SUM('Defect (Total)'!Y36,Planned!Y36,Reconductor!Y36,CTGS!Y36)</f>
        <v>4765222.848111121</v>
      </c>
      <c r="Z36" s="125">
        <f>SUM('Defect (Total)'!Z36,Planned!Z36,Reconductor!Z36,CTGS!Z36)</f>
        <v>28</v>
      </c>
      <c r="AA36" s="126">
        <f>SUM('Defect (Total)'!AA36,Planned!AA36,Reconductor!AA36,CTGS!AA36)</f>
        <v>63</v>
      </c>
      <c r="AB36" s="126">
        <f>SUM('Defect (Total)'!AB36,Planned!AB36,Reconductor!AB36,CTGS!AB36)</f>
        <v>12</v>
      </c>
      <c r="AC36" s="126">
        <f>SUM('Defect (Total)'!AC36,Planned!AC36,Reconductor!AC36,CTGS!AC36)</f>
        <v>24.050333333333334</v>
      </c>
      <c r="AD36" s="126">
        <f>SUM('Defect (Total)'!AD36,Planned!AD36,Reconductor!AD36,CTGS!AD36)</f>
        <v>79</v>
      </c>
      <c r="AE36" s="126">
        <f>SUM('Defect (Total)'!AE36,Planned!AE36,Reconductor!AE36,CTGS!AE36)</f>
        <v>153.46089098000013</v>
      </c>
      <c r="AF36" s="126">
        <f>SUM('Defect (Total)'!AF36,Planned!AF36,Reconductor!AF36,CTGS!AF36)</f>
        <v>78.187999992000016</v>
      </c>
      <c r="AG36" s="126">
        <f>SUM('Defect (Total)'!AG36,Planned!AG36,Reconductor!AG36,CTGS!AG36)</f>
        <v>63.740333333333282</v>
      </c>
      <c r="AH36" s="126">
        <f>SUM('Defect (Total)'!AH36,Planned!AH36,Reconductor!AH36,CTGS!AH36)</f>
        <v>63.734998626000007</v>
      </c>
      <c r="AI36" s="126">
        <f>SUM('Defect (Total)'!AI36,Planned!AI36,Reconductor!AI36,CTGS!AI36)</f>
        <v>59.721331628000002</v>
      </c>
      <c r="AJ36" s="126">
        <f>SUM('Defect (Total)'!AJ36,Planned!AJ36,Reconductor!AJ36,CTGS!AJ36)</f>
        <v>100.62766474600005</v>
      </c>
      <c r="AK36" s="127">
        <f t="shared" si="17"/>
        <v>83.76911091186669</v>
      </c>
      <c r="AL36" s="128">
        <f t="shared" si="18"/>
        <v>62.398887862444433</v>
      </c>
      <c r="AM36" s="129">
        <f t="shared" si="19"/>
        <v>59.721331628000002</v>
      </c>
      <c r="AN36" s="91">
        <f t="shared" si="1"/>
        <v>13820.357142857143</v>
      </c>
      <c r="AO36" s="92">
        <f t="shared" si="2"/>
        <v>13094.285714285714</v>
      </c>
      <c r="AP36" s="92">
        <f t="shared" si="3"/>
        <v>50315</v>
      </c>
      <c r="AQ36" s="92">
        <f t="shared" si="4"/>
        <v>17783.929359857608</v>
      </c>
      <c r="AR36" s="92">
        <f t="shared" si="5"/>
        <v>13827.075949367088</v>
      </c>
      <c r="AS36" s="92">
        <f t="shared" si="6"/>
        <v>18890.245321710219</v>
      </c>
      <c r="AT36" s="92">
        <f t="shared" si="7"/>
        <v>21648.231694529244</v>
      </c>
      <c r="AU36" s="92">
        <f t="shared" si="8"/>
        <v>28645.40062183722</v>
      </c>
      <c r="AV36" s="92">
        <f t="shared" si="9"/>
        <v>39851.443813234808</v>
      </c>
      <c r="AW36" s="92">
        <f t="shared" si="10"/>
        <v>34474.42005404098</v>
      </c>
      <c r="AX36" s="92">
        <f t="shared" si="11"/>
        <v>46522.117879984493</v>
      </c>
      <c r="AY36" s="93">
        <f t="shared" si="12"/>
        <v>22937.978299861279</v>
      </c>
      <c r="AZ36" s="94">
        <f t="shared" si="13"/>
        <v>29458.002954924919</v>
      </c>
      <c r="BA36" s="95">
        <f t="shared" si="14"/>
        <v>39851.443813234808</v>
      </c>
      <c r="BB36" s="692">
        <f>SUM('Defect (Total)'!BB36,Planned!CE36,Reconductor!CE36,CTGS!CE36,'Substation 2025$'!CE36*$BL$1,Comms!CA36*$BL$2)</f>
        <v>54.716976388244447</v>
      </c>
      <c r="BC36" s="692">
        <f>SUM('Defect (Total)'!BC36,Planned!CF36,Reconductor!CF36,CTGS!CF36,'Substation 2025$'!CF36*$BL$1,Comms!CB36*$BL$2)</f>
        <v>66.693465533045412</v>
      </c>
      <c r="BD36" s="363">
        <f>SUM('Defect (Total)'!BD36,Planned!CG36,Reconductor!CG36,CTGS!CG36,'Substation 2025$'!CG36*$BL$1,Comms!CC36*$BL$2)</f>
        <v>66.693465533045412</v>
      </c>
      <c r="BE36" s="363">
        <f>SUM('Defect (Total)'!BE36,Planned!CH36,Reconductor!CH36,CTGS!CH36,'Substation 2025$'!CH36*$BL$1,Comms!CD36*$BL$2)</f>
        <v>80.870125299563369</v>
      </c>
      <c r="BF36" s="363">
        <f>SUM('Defect (Total)'!BF36,Planned!CI36,Reconductor!CI36,CTGS!CI36,'Substation 2025$'!CI36*$BL$1,Comms!CE36*$BL$2)</f>
        <v>86.404000485845515</v>
      </c>
      <c r="BG36" s="363">
        <f>SUM('Defect (Total)'!BG36,Planned!CJ36,Reconductor!CJ36,CTGS!CJ36,'Substation 2025$'!CJ36*$BL$1,Comms!CF36*$BL$2)</f>
        <v>90.076548890123902</v>
      </c>
      <c r="BH36" s="363">
        <f>SUM('Defect (Total)'!BH36,Planned!CK36,Reconductor!CK36,CTGS!CK36,'Substation 2025$'!CK36*$BL$1,Comms!CG36*$BL$2)</f>
        <v>93.737276754844714</v>
      </c>
      <c r="BI36" s="364">
        <f>SUM('Defect (Total)'!BI36,Planned!CL36,Reconductor!CL36,CTGS!CL36,'Substation 2025$'!CL36*$BL$1,Comms!CH36*$BL$2)</f>
        <v>95.563567168604024</v>
      </c>
      <c r="BJ36" s="99">
        <f t="shared" si="20"/>
        <v>28859.070479020444</v>
      </c>
      <c r="BK36" s="992">
        <f>SUM('Defect (Total)'!BK36,Planned!CQ36,Reconductor!CQ36,CTGS!CQ36,'Substation 2025$'!CQ36*$BL$1,Comms!CM36*$BL$2)</f>
        <v>1894533.0263624394</v>
      </c>
      <c r="BL36" s="992">
        <f>SUM('Defect (Total)'!BL36,Planned!CR36,Reconductor!CR36,CTGS!CR36,'Substation 2025$'!CR36*$BL$1,Comms!CN36*$BL$2)</f>
        <v>2140289.225137033</v>
      </c>
      <c r="BM36" s="524">
        <f>SUM('Defect (Total)'!BM36,Planned!CS36,Reconductor!CS36,CTGS!CS36,'Substation 2025$'!CS36*$BL$1,Comms!CO36*$BL$2)</f>
        <v>2140289.225137033</v>
      </c>
      <c r="BN36" s="416">
        <f>SUM('Defect (Total)'!BN36,Planned!CT36,Reconductor!CT36,CTGS!CT36,'Substation 2025$'!CT36*$BL$1,Comms!CP36*$BL$2)</f>
        <v>2404387.6294051479</v>
      </c>
      <c r="BO36" s="97">
        <f>SUM('Defect (Total)'!BO36,Planned!CU36,Reconductor!CU36,CTGS!CU36,'Substation 2025$'!CU36*$BL$1,Comms!CQ36*$BL$2)</f>
        <v>2517942.1205277923</v>
      </c>
      <c r="BP36" s="97">
        <f>SUM('Defect (Total)'!BP36,Planned!CV36,Reconductor!CV36,CTGS!CV36,'Substation 2025$'!CV36*$BL$1,Comms!CR36*$BL$2)</f>
        <v>2593302.3972114609</v>
      </c>
      <c r="BQ36" s="97">
        <f>SUM('Defect (Total)'!BQ36,Planned!CW36,Reconductor!CW36,CTGS!CW36,'Substation 2025$'!CW36*$BL$1,Comms!CS36*$BL$2)</f>
        <v>2668420.1177641954</v>
      </c>
      <c r="BR36" s="98">
        <f>SUM('Defect (Total)'!BR36,Planned!CX36,Reconductor!CX36,CTGS!CX36,'Substation 2025$'!CX36*$BL$1,Comms!CT36*$BL$2)</f>
        <v>2705895.3899009223</v>
      </c>
      <c r="BS36" s="836">
        <f>'Unit Cost Rate Summary'!AO36</f>
        <v>63.802611197350124</v>
      </c>
      <c r="BT36" s="840">
        <f t="shared" si="15"/>
        <v>0</v>
      </c>
      <c r="BU36" s="832">
        <f t="shared" si="16"/>
        <v>0</v>
      </c>
      <c r="BV36" t="s">
        <v>636</v>
      </c>
      <c r="CI36" s="416">
        <f>VLOOKUP($A36,'Distribution Summary'!$A$136:$CG$146,CI$1,0)*BN36</f>
        <v>2671904.2881861157</v>
      </c>
      <c r="CJ36" s="97">
        <f>VLOOKUP($A36,'Distribution Summary'!$A$136:$CG$146,CJ$1,0)*BO36</f>
        <v>2829591.1952129193</v>
      </c>
      <c r="CK36" s="97">
        <f>VLOOKUP($A36,'Distribution Summary'!$A$136:$CG$146,CK$1,0)*BP36</f>
        <v>2937117.4405075242</v>
      </c>
      <c r="CL36" s="97">
        <f>VLOOKUP($A36,'Distribution Summary'!$A$136:$CG$146,CL$1,0)*BQ36</f>
        <v>3046311.8779311744</v>
      </c>
      <c r="CM36" s="98">
        <f>VLOOKUP($A36,'Distribution Summary'!$A$136:$CG$146,CM$1,0)*BR36</f>
        <v>3106316.2323430632</v>
      </c>
    </row>
    <row r="37" spans="1:91" x14ac:dyDescent="0.25">
      <c r="A37" s="81" t="s">
        <v>81</v>
      </c>
      <c r="B37" s="82" t="s">
        <v>313</v>
      </c>
      <c r="C37" s="83" t="s">
        <v>314</v>
      </c>
      <c r="D37" s="84">
        <f>SUM('Defect (Total)'!D37,Planned!D37,Reconductor!D37,CTGS!D37)</f>
        <v>0</v>
      </c>
      <c r="E37" s="85">
        <f>SUM('Defect (Total)'!E37,Planned!E37,Reconductor!E37,CTGS!E37)</f>
        <v>0</v>
      </c>
      <c r="F37" s="85">
        <f>SUM('Defect (Total)'!F37,Planned!F37,Reconductor!F37,CTGS!F37)</f>
        <v>0</v>
      </c>
      <c r="G37" s="85">
        <f>SUM('Defect (Total)'!G37,Planned!G37,Reconductor!G37,CTGS!G37)</f>
        <v>0</v>
      </c>
      <c r="H37" s="85">
        <f>SUM('Defect (Total)'!H37,Planned!H37,Reconductor!H37,CTGS!H37)</f>
        <v>0</v>
      </c>
      <c r="I37" s="85">
        <f>SUM('Defect (Total)'!I37,Planned!I37,Reconductor!I37,CTGS!I37)</f>
        <v>0</v>
      </c>
      <c r="J37" s="85">
        <f>SUM('Defect (Total)'!J37,Planned!J37,Reconductor!J37,CTGS!J37)</f>
        <v>0</v>
      </c>
      <c r="K37" s="85">
        <f>SUM('Defect (Total)'!K37,Planned!K37,Reconductor!K37,CTGS!K37)</f>
        <v>0</v>
      </c>
      <c r="L37" s="85">
        <f>SUM('Defect (Total)'!L37,Planned!L37,Reconductor!L37,CTGS!L37)</f>
        <v>0</v>
      </c>
      <c r="M37" s="85">
        <f>SUM('Defect (Total)'!M37,Planned!M37,Reconductor!M37,CTGS!M37)</f>
        <v>0</v>
      </c>
      <c r="N37" s="85">
        <f>SUM('Defect (Total)'!N37,Planned!N37,Reconductor!N37,CTGS!N37)</f>
        <v>0</v>
      </c>
      <c r="O37" s="560">
        <f>SUM('Defect (Total)'!O37,Planned!O37,Reconductor!O37,CTGS!O37)</f>
        <v>0</v>
      </c>
      <c r="P37" s="561">
        <f>SUM('Defect (Total)'!P37,Planned!P37,Reconductor!P37,CTGS!P37)</f>
        <v>0</v>
      </c>
      <c r="Q37" s="561">
        <f>SUM('Defect (Total)'!Q37,Planned!Q37,Reconductor!Q37,CTGS!Q37)</f>
        <v>0</v>
      </c>
      <c r="R37" s="561">
        <f>SUM('Defect (Total)'!R37,Planned!R37,Reconductor!R37,CTGS!R37)</f>
        <v>0</v>
      </c>
      <c r="S37" s="561">
        <f>SUM('Defect (Total)'!S37,Planned!S37,Reconductor!S37,CTGS!S37)</f>
        <v>0</v>
      </c>
      <c r="T37" s="561">
        <f>SUM('Defect (Total)'!T37,Planned!T37,Reconductor!T37,CTGS!T37)</f>
        <v>0</v>
      </c>
      <c r="U37" s="561">
        <f>SUM('Defect (Total)'!U37,Planned!U37,Reconductor!U37,CTGS!U37)</f>
        <v>0</v>
      </c>
      <c r="V37" s="561">
        <f>SUM('Defect (Total)'!V37,Planned!V37,Reconductor!V37,CTGS!V37)</f>
        <v>0</v>
      </c>
      <c r="W37" s="561">
        <f>SUM('Defect (Total)'!W37,Planned!W37,Reconductor!W37,CTGS!W37)</f>
        <v>0</v>
      </c>
      <c r="X37" s="561">
        <f>SUM('Defect (Total)'!X37,Planned!X37,Reconductor!X37,CTGS!X37)</f>
        <v>0</v>
      </c>
      <c r="Y37" s="561">
        <f>SUM('Defect (Total)'!Y37,Planned!Y37,Reconductor!Y37,CTGS!Y37)</f>
        <v>0</v>
      </c>
      <c r="Z37" s="125">
        <f>SUM('Defect (Total)'!Z37,Planned!Z37,Reconductor!Z37,CTGS!Z37)</f>
        <v>0</v>
      </c>
      <c r="AA37" s="126">
        <f>SUM('Defect (Total)'!AA37,Planned!AA37,Reconductor!AA37,CTGS!AA37)</f>
        <v>0</v>
      </c>
      <c r="AB37" s="126">
        <f>SUM('Defect (Total)'!AB37,Planned!AB37,Reconductor!AB37,CTGS!AB37)</f>
        <v>0</v>
      </c>
      <c r="AC37" s="126">
        <f>SUM('Defect (Total)'!AC37,Planned!AC37,Reconductor!AC37,CTGS!AC37)</f>
        <v>0</v>
      </c>
      <c r="AD37" s="126">
        <f>SUM('Defect (Total)'!AD37,Planned!AD37,Reconductor!AD37,CTGS!AD37)</f>
        <v>0</v>
      </c>
      <c r="AE37" s="126">
        <f>SUM('Defect (Total)'!AE37,Planned!AE37,Reconductor!AE37,CTGS!AE37)</f>
        <v>0</v>
      </c>
      <c r="AF37" s="126">
        <f>SUM('Defect (Total)'!AF37,Planned!AF37,Reconductor!AF37,CTGS!AF37)</f>
        <v>0</v>
      </c>
      <c r="AG37" s="126">
        <f>SUM('Defect (Total)'!AG37,Planned!AG37,Reconductor!AG37,CTGS!AG37)</f>
        <v>0</v>
      </c>
      <c r="AH37" s="126">
        <f>SUM('Defect (Total)'!AH37,Planned!AH37,Reconductor!AH37,CTGS!AH37)</f>
        <v>0</v>
      </c>
      <c r="AI37" s="126">
        <f>SUM('Defect (Total)'!AI37,Planned!AI37,Reconductor!AI37,CTGS!AI37)</f>
        <v>0</v>
      </c>
      <c r="AJ37" s="126">
        <f>SUM('Defect (Total)'!AJ37,Planned!AJ37,Reconductor!AJ37,CTGS!AJ37)</f>
        <v>0</v>
      </c>
      <c r="AK37" s="127">
        <f t="shared" si="17"/>
        <v>0</v>
      </c>
      <c r="AL37" s="128">
        <f t="shared" si="18"/>
        <v>0</v>
      </c>
      <c r="AM37" s="129">
        <f t="shared" si="19"/>
        <v>0</v>
      </c>
      <c r="AN37" s="91" t="str">
        <f t="shared" si="1"/>
        <v/>
      </c>
      <c r="AO37" s="92" t="str">
        <f t="shared" si="2"/>
        <v/>
      </c>
      <c r="AP37" s="92" t="str">
        <f t="shared" si="3"/>
        <v/>
      </c>
      <c r="AQ37" s="92" t="str">
        <f t="shared" si="4"/>
        <v/>
      </c>
      <c r="AR37" s="92" t="str">
        <f t="shared" si="5"/>
        <v/>
      </c>
      <c r="AS37" s="92" t="str">
        <f t="shared" si="6"/>
        <v/>
      </c>
      <c r="AT37" s="92" t="str">
        <f t="shared" si="7"/>
        <v/>
      </c>
      <c r="AU37" s="92" t="str">
        <f t="shared" si="8"/>
        <v/>
      </c>
      <c r="AV37" s="92" t="str">
        <f t="shared" si="9"/>
        <v/>
      </c>
      <c r="AW37" s="92" t="str">
        <f t="shared" si="10"/>
        <v/>
      </c>
      <c r="AX37" s="92" t="str">
        <f t="shared" si="11"/>
        <v/>
      </c>
      <c r="AY37" s="93" t="str">
        <f t="shared" si="12"/>
        <v/>
      </c>
      <c r="AZ37" s="94" t="str">
        <f t="shared" si="13"/>
        <v/>
      </c>
      <c r="BA37" s="95" t="str">
        <f t="shared" si="14"/>
        <v/>
      </c>
      <c r="BB37" s="692">
        <f>SUM('Defect (Total)'!BB37,Planned!CE37,Reconductor!CE37,CTGS!CE37,'Substation 2025$'!CE37*$BL$1,Comms!CA37*$BL$2)</f>
        <v>0</v>
      </c>
      <c r="BC37" s="692">
        <f>SUM('Defect (Total)'!BC37,Planned!CF37,Reconductor!CF37,CTGS!CF37,'Substation 2025$'!CF37*$BL$1,Comms!CB37*$BL$2)</f>
        <v>0</v>
      </c>
      <c r="BD37" s="363">
        <f>SUM('Defect (Total)'!BD37,Planned!CG37,Reconductor!CG37,CTGS!CG37,'Substation 2025$'!CG37*$BL$1,Comms!CC37*$BL$2)</f>
        <v>0</v>
      </c>
      <c r="BE37" s="363">
        <f>SUM('Defect (Total)'!BE37,Planned!CH37,Reconductor!CH37,CTGS!CH37,'Substation 2025$'!CH37*$BL$1,Comms!CD37*$BL$2)</f>
        <v>0</v>
      </c>
      <c r="BF37" s="363">
        <f>SUM('Defect (Total)'!BF37,Planned!CI37,Reconductor!CI37,CTGS!CI37,'Substation 2025$'!CI37*$BL$1,Comms!CE37*$BL$2)</f>
        <v>0</v>
      </c>
      <c r="BG37" s="363">
        <f>SUM('Defect (Total)'!BG37,Planned!CJ37,Reconductor!CJ37,CTGS!CJ37,'Substation 2025$'!CJ37*$BL$1,Comms!CF37*$BL$2)</f>
        <v>0</v>
      </c>
      <c r="BH37" s="363">
        <f>SUM('Defect (Total)'!BH37,Planned!CK37,Reconductor!CK37,CTGS!CK37,'Substation 2025$'!CK37*$BL$1,Comms!CG37*$BL$2)</f>
        <v>0</v>
      </c>
      <c r="BI37" s="364">
        <f>SUM('Defect (Total)'!BI37,Planned!CL37,Reconductor!CL37,CTGS!CL37,'Substation 2025$'!CL37*$BL$1,Comms!CH37*$BL$2)</f>
        <v>0</v>
      </c>
      <c r="BJ37" s="99" t="str">
        <f t="shared" si="20"/>
        <v/>
      </c>
      <c r="BK37" s="992">
        <f>SUM('Defect (Total)'!BK37,Planned!CQ37,Reconductor!CQ37,CTGS!CQ37,'Substation 2025$'!CQ37*$BL$1,Comms!CM37*$BL$2)</f>
        <v>0</v>
      </c>
      <c r="BL37" s="992">
        <f>SUM('Defect (Total)'!BL37,Planned!CR37,Reconductor!CR37,CTGS!CR37,'Substation 2025$'!CR37*$BL$1,Comms!CN37*$BL$2)</f>
        <v>0</v>
      </c>
      <c r="BM37" s="524">
        <f>SUM('Defect (Total)'!BM37,Planned!CS37,Reconductor!CS37,CTGS!CS37,'Substation 2025$'!CS37*$BL$1,Comms!CO37*$BL$2)</f>
        <v>0</v>
      </c>
      <c r="BN37" s="416">
        <f>SUM('Defect (Total)'!BN37,Planned!CT37,Reconductor!CT37,CTGS!CT37,'Substation 2025$'!CT37*$BL$1,Comms!CP37*$BL$2)</f>
        <v>0</v>
      </c>
      <c r="BO37" s="97">
        <f>SUM('Defect (Total)'!BO37,Planned!CU37,Reconductor!CU37,CTGS!CU37,'Substation 2025$'!CU37*$BL$1,Comms!CQ37*$BL$2)</f>
        <v>0</v>
      </c>
      <c r="BP37" s="97">
        <f>SUM('Defect (Total)'!BP37,Planned!CV37,Reconductor!CV37,CTGS!CV37,'Substation 2025$'!CV37*$BL$1,Comms!CR37*$BL$2)</f>
        <v>0</v>
      </c>
      <c r="BQ37" s="97">
        <f>SUM('Defect (Total)'!BQ37,Planned!CW37,Reconductor!CW37,CTGS!CW37,'Substation 2025$'!CW37*$BL$1,Comms!CS37*$BL$2)</f>
        <v>0</v>
      </c>
      <c r="BR37" s="98">
        <f>SUM('Defect (Total)'!BR37,Planned!CX37,Reconductor!CX37,CTGS!CX37,'Substation 2025$'!CX37*$BL$1,Comms!CT37*$BL$2)</f>
        <v>0</v>
      </c>
      <c r="BS37" s="836" t="str">
        <f>'Unit Cost Rate Summary'!AO37</f>
        <v/>
      </c>
      <c r="BT37" s="840" t="str">
        <f t="shared" si="15"/>
        <v/>
      </c>
      <c r="BU37" s="832" t="str">
        <f t="shared" si="16"/>
        <v/>
      </c>
      <c r="BV37" t="s">
        <v>636</v>
      </c>
      <c r="CI37" s="416">
        <f>VLOOKUP($A37,'Distribution Summary'!$A$136:$CG$146,CI$1,0)*BN37</f>
        <v>0</v>
      </c>
      <c r="CJ37" s="97">
        <f>VLOOKUP($A37,'Distribution Summary'!$A$136:$CG$146,CJ$1,0)*BO37</f>
        <v>0</v>
      </c>
      <c r="CK37" s="97">
        <f>VLOOKUP($A37,'Distribution Summary'!$A$136:$CG$146,CK$1,0)*BP37</f>
        <v>0</v>
      </c>
      <c r="CL37" s="97">
        <f>VLOOKUP($A37,'Distribution Summary'!$A$136:$CG$146,CL$1,0)*BQ37</f>
        <v>0</v>
      </c>
      <c r="CM37" s="98">
        <f>VLOOKUP($A37,'Distribution Summary'!$A$136:$CG$146,CM$1,0)*BR37</f>
        <v>0</v>
      </c>
    </row>
    <row r="38" spans="1:91" x14ac:dyDescent="0.25">
      <c r="A38" s="81" t="s">
        <v>81</v>
      </c>
      <c r="B38" s="82" t="s">
        <v>449</v>
      </c>
      <c r="C38" s="83" t="s">
        <v>315</v>
      </c>
      <c r="D38" s="84">
        <f>SUM('Defect (Total)'!D38,Planned!D38,Reconductor!D38,CTGS!D38)</f>
        <v>437338</v>
      </c>
      <c r="E38" s="85">
        <f>SUM('Defect (Total)'!E38,Planned!E38,Reconductor!E38,CTGS!E38)</f>
        <v>274441</v>
      </c>
      <c r="F38" s="85">
        <f>SUM('Defect (Total)'!F38,Planned!F38,Reconductor!F38,CTGS!F38)</f>
        <v>350529</v>
      </c>
      <c r="G38" s="85">
        <f>SUM('Defect (Total)'!G38,Planned!G38,Reconductor!G38,CTGS!G38)</f>
        <v>354835.7650204089</v>
      </c>
      <c r="H38" s="85">
        <f>SUM('Defect (Total)'!H38,Planned!H38,Reconductor!H38,CTGS!H38)</f>
        <v>441651</v>
      </c>
      <c r="I38" s="85">
        <f>SUM('Defect (Total)'!I38,Planned!I38,Reconductor!I38,CTGS!I38)</f>
        <v>1245549.6428246717</v>
      </c>
      <c r="J38" s="85">
        <f>SUM('Defect (Total)'!J38,Planned!J38,Reconductor!J38,CTGS!J38)</f>
        <v>558899.44599917717</v>
      </c>
      <c r="K38" s="85">
        <f>SUM('Defect (Total)'!K38,Planned!K38,Reconductor!K38,CTGS!K38)</f>
        <v>893618.78305501945</v>
      </c>
      <c r="L38" s="85">
        <f>SUM('Defect (Total)'!L38,Planned!L38,Reconductor!L38,CTGS!L38)</f>
        <v>1836067.5991669835</v>
      </c>
      <c r="M38" s="85">
        <f>SUM('Defect (Total)'!M38,Planned!M38,Reconductor!M38,CTGS!M38)</f>
        <v>4069540.2721248278</v>
      </c>
      <c r="N38" s="85">
        <f>SUM('Defect (Total)'!N38,Planned!N38,Reconductor!N38,CTGS!N38)</f>
        <v>2188972.4248955608</v>
      </c>
      <c r="O38" s="560">
        <f>SUM('Defect (Total)'!O38,Planned!O38,Reconductor!O38,CTGS!O38)</f>
        <v>588419.1757291659</v>
      </c>
      <c r="P38" s="561">
        <f>SUM('Defect (Total)'!P38,Planned!P38,Reconductor!P38,CTGS!P38)</f>
        <v>363752.58789175365</v>
      </c>
      <c r="Q38" s="561">
        <f>SUM('Defect (Total)'!Q38,Planned!Q38,Reconductor!Q38,CTGS!Q38)</f>
        <v>459896.06274765829</v>
      </c>
      <c r="R38" s="561">
        <f>SUM('Defect (Total)'!R38,Planned!R38,Reconductor!R38,CTGS!R38)</f>
        <v>456715.05658944405</v>
      </c>
      <c r="S38" s="561">
        <f>SUM('Defect (Total)'!S38,Planned!S38,Reconductor!S38,CTGS!S38)</f>
        <v>556886.04817265854</v>
      </c>
      <c r="T38" s="561">
        <f>SUM('Defect (Total)'!T38,Planned!T38,Reconductor!T38,CTGS!T38)</f>
        <v>1545911.8148567616</v>
      </c>
      <c r="U38" s="561">
        <f>SUM('Defect (Total)'!U38,Planned!U38,Reconductor!U38,CTGS!U38)</f>
        <v>696102.5385615963</v>
      </c>
      <c r="V38" s="561">
        <f>SUM('Defect (Total)'!V38,Planned!V38,Reconductor!V38,CTGS!V38)</f>
        <v>1071769.5420049061</v>
      </c>
      <c r="W38" s="561">
        <f>SUM('Defect (Total)'!W38,Planned!W38,Reconductor!W38,CTGS!W38)</f>
        <v>2074622.7837139231</v>
      </c>
      <c r="X38" s="561">
        <f>SUM('Defect (Total)'!X38,Planned!X38,Reconductor!X38,CTGS!X38)</f>
        <v>4327797.066562946</v>
      </c>
      <c r="Y38" s="561">
        <f>SUM('Defect (Total)'!Y38,Planned!Y38,Reconductor!Y38,CTGS!Y38)</f>
        <v>2226430.8678805656</v>
      </c>
      <c r="Z38" s="125">
        <f>SUM('Defect (Total)'!Z38,Planned!Z38,Reconductor!Z38,CTGS!Z38)</f>
        <v>19</v>
      </c>
      <c r="AA38" s="126">
        <f>SUM('Defect (Total)'!AA38,Planned!AA38,Reconductor!AA38,CTGS!AA38)</f>
        <v>37</v>
      </c>
      <c r="AB38" s="126">
        <f>SUM('Defect (Total)'!AB38,Planned!AB38,Reconductor!AB38,CTGS!AB38)</f>
        <v>-4</v>
      </c>
      <c r="AC38" s="126">
        <f>SUM('Defect (Total)'!AC38,Planned!AC38,Reconductor!AC38,CTGS!AC38)</f>
        <v>16.266666666666666</v>
      </c>
      <c r="AD38" s="126">
        <f>SUM('Defect (Total)'!AD38,Planned!AD38,Reconductor!AD38,CTGS!AD38)</f>
        <v>25</v>
      </c>
      <c r="AE38" s="126">
        <f>SUM('Defect (Total)'!AE38,Planned!AE38,Reconductor!AE38,CTGS!AE38)</f>
        <v>52.729380624999997</v>
      </c>
      <c r="AF38" s="126">
        <f>SUM('Defect (Total)'!AF38,Planned!AF38,Reconductor!AF38,CTGS!AF38)</f>
        <v>45.078666662000018</v>
      </c>
      <c r="AG38" s="126">
        <f>SUM('Defect (Total)'!AG38,Planned!AG38,Reconductor!AG38,CTGS!AG38)</f>
        <v>21.840666666666642</v>
      </c>
      <c r="AH38" s="126">
        <f>SUM('Defect (Total)'!AH38,Planned!AH38,Reconductor!AH38,CTGS!AH38)</f>
        <v>39.785665558999995</v>
      </c>
      <c r="AI38" s="126">
        <f>SUM('Defect (Total)'!AI38,Planned!AI38,Reconductor!AI38,CTGS!AI38)</f>
        <v>61.964998411333355</v>
      </c>
      <c r="AJ38" s="126">
        <f>SUM('Defect (Total)'!AJ38,Planned!AJ38,Reconductor!AJ38,CTGS!AJ38)</f>
        <v>59.524998494000016</v>
      </c>
      <c r="AK38" s="127">
        <f t="shared" si="17"/>
        <v>44.279875584800003</v>
      </c>
      <c r="AL38" s="128">
        <f t="shared" si="18"/>
        <v>41.197110212333335</v>
      </c>
      <c r="AM38" s="129">
        <f t="shared" si="19"/>
        <v>61.964998411333355</v>
      </c>
      <c r="AN38" s="91">
        <f t="shared" si="1"/>
        <v>23017.78947368421</v>
      </c>
      <c r="AO38" s="92">
        <f t="shared" si="2"/>
        <v>7417.3243243243242</v>
      </c>
      <c r="AP38" s="92">
        <f t="shared" si="3"/>
        <v>-87632.25</v>
      </c>
      <c r="AQ38" s="92">
        <f t="shared" si="4"/>
        <v>21813.674079123499</v>
      </c>
      <c r="AR38" s="92">
        <f t="shared" si="5"/>
        <v>17666.04</v>
      </c>
      <c r="AS38" s="92">
        <f t="shared" si="6"/>
        <v>23621.548898568573</v>
      </c>
      <c r="AT38" s="92">
        <f t="shared" si="7"/>
        <v>12398.313601194262</v>
      </c>
      <c r="AU38" s="92">
        <f t="shared" si="8"/>
        <v>40915.362003068607</v>
      </c>
      <c r="AV38" s="92">
        <f t="shared" si="9"/>
        <v>46148.97283656583</v>
      </c>
      <c r="AW38" s="92">
        <f t="shared" si="10"/>
        <v>65674.822503997872</v>
      </c>
      <c r="AX38" s="92">
        <f t="shared" si="11"/>
        <v>36774.002188613311</v>
      </c>
      <c r="AY38" s="93">
        <f t="shared" si="12"/>
        <v>26978.627760146654</v>
      </c>
      <c r="AZ38" s="94">
        <f t="shared" si="13"/>
        <v>30819.416733073853</v>
      </c>
      <c r="BA38" s="95">
        <f t="shared" si="14"/>
        <v>46148.97283656583</v>
      </c>
      <c r="BB38" s="692">
        <f>SUM('Defect (Total)'!BB38,Planned!CE38,Reconductor!CE38,CTGS!CE38,'Substation 2025$'!CE38*$BL$1,Comms!CA38*$BL$2)</f>
        <v>39.275997325444436</v>
      </c>
      <c r="BC38" s="692">
        <f>SUM('Defect (Total)'!BC38,Planned!CF38,Reconductor!CF38,CTGS!CF38,'Substation 2025$'!CF38*$BL$1,Comms!CB38*$BL$2)</f>
        <v>43.240895420921568</v>
      </c>
      <c r="BD38" s="363">
        <f>SUM('Defect (Total)'!BD38,Planned!CG38,Reconductor!CG38,CTGS!CG38,'Substation 2025$'!CG38*$BL$1,Comms!CC38*$BL$2)</f>
        <v>43.240895420921568</v>
      </c>
      <c r="BE38" s="363">
        <f>SUM('Defect (Total)'!BE38,Planned!CH38,Reconductor!CH38,CTGS!CH38,'Substation 2025$'!CH38*$BL$1,Comms!CD38*$BL$2)</f>
        <v>56.152640392414114</v>
      </c>
      <c r="BF38" s="363">
        <f>SUM('Defect (Total)'!BF38,Planned!CI38,Reconductor!CI38,CTGS!CI38,'Substation 2025$'!CI38*$BL$1,Comms!CE38*$BL$2)</f>
        <v>58.124349026461473</v>
      </c>
      <c r="BG38" s="363">
        <f>SUM('Defect (Total)'!BG38,Planned!CJ38,Reconductor!CJ38,CTGS!CJ38,'Substation 2025$'!CJ38*$BL$1,Comms!CF38*$BL$2)</f>
        <v>59.441704303829283</v>
      </c>
      <c r="BH38" s="363">
        <f>SUM('Defect (Total)'!BH38,Planned!CK38,Reconductor!CK38,CTGS!CK38,'Substation 2025$'!CK38*$BL$1,Comms!CG38*$BL$2)</f>
        <v>60.7610991841198</v>
      </c>
      <c r="BI38" s="364">
        <f>SUM('Defect (Total)'!BI38,Planned!CL38,Reconductor!CL38,CTGS!CL38,'Substation 2025$'!CL38*$BL$1,Comms!CH38*$BL$2)</f>
        <v>61.42149933262138</v>
      </c>
      <c r="BJ38" s="99">
        <f t="shared" si="20"/>
        <v>44838.334973013094</v>
      </c>
      <c r="BK38" s="992">
        <f>SUM('Defect (Total)'!BK38,Planned!CQ38,Reconductor!CQ38,CTGS!CQ38,'Substation 2025$'!CQ38*$BL$1,Comms!CM38*$BL$2)</f>
        <v>2140684.8979861061</v>
      </c>
      <c r="BL38" s="992">
        <f>SUM('Defect (Total)'!BL38,Planned!CR38,Reconductor!CR38,CTGS!CR38,'Substation 2025$'!CR38*$BL$1,Comms!CN38*$BL$2)</f>
        <v>2246743.7439941941</v>
      </c>
      <c r="BM38" s="524">
        <f>SUM('Defect (Total)'!BM38,Planned!CS38,Reconductor!CS38,CTGS!CS38,'Substation 2025$'!CS38*$BL$1,Comms!CO38*$BL$2)</f>
        <v>2246743.7439941941</v>
      </c>
      <c r="BN38" s="416">
        <f>SUM('Defect (Total)'!BN38,Planned!CT38,Reconductor!CT38,CTGS!CT38,'Substation 2025$'!CT38*$BL$1,Comms!CP38*$BL$2)</f>
        <v>2572557.132259869</v>
      </c>
      <c r="BO38" s="97">
        <f>SUM('Defect (Total)'!BO38,Planned!CU38,Reconductor!CU38,CTGS!CU38,'Substation 2025$'!CU38*$BL$1,Comms!CQ38*$BL$2)</f>
        <v>2625299.2550977273</v>
      </c>
      <c r="BP38" s="97">
        <f>SUM('Defect (Total)'!BP38,Planned!CV38,Reconductor!CV38,CTGS!CV38,'Substation 2025$'!CV38*$BL$1,Comms!CR38*$BL$2)</f>
        <v>2660537.7851017322</v>
      </c>
      <c r="BQ38" s="97">
        <f>SUM('Defect (Total)'!BQ38,Planned!CW38,Reconductor!CW38,CTGS!CW38,'Substation 2025$'!CW38*$BL$1,Comms!CS38*$BL$2)</f>
        <v>2695830.8733635005</v>
      </c>
      <c r="BR38" s="98">
        <f>SUM('Defect (Total)'!BR38,Planned!CX38,Reconductor!CX38,CTGS!CX38,'Substation 2025$'!CX38*$BL$1,Comms!CT38*$BL$2)</f>
        <v>2713496.2145568961</v>
      </c>
      <c r="BS38" s="836">
        <f>'Unit Cost Rate Summary'!AO38</f>
        <v>99.54709924587587</v>
      </c>
      <c r="BT38" s="840">
        <f t="shared" si="15"/>
        <v>1347.6143532866649</v>
      </c>
      <c r="BU38" s="832">
        <f t="shared" si="16"/>
        <v>6738.0717664333251</v>
      </c>
      <c r="BV38" t="s">
        <v>636</v>
      </c>
      <c r="CI38" s="416">
        <f>VLOOKUP($A38,'Distribution Summary'!$A$136:$CG$146,CI$1,0)*BN38</f>
        <v>2858784.6440507076</v>
      </c>
      <c r="CJ38" s="97">
        <f>VLOOKUP($A38,'Distribution Summary'!$A$136:$CG$146,CJ$1,0)*BO38</f>
        <v>2950236.0663740966</v>
      </c>
      <c r="CK38" s="97">
        <f>VLOOKUP($A38,'Distribution Summary'!$A$136:$CG$146,CK$1,0)*BP38</f>
        <v>3013266.7667890061</v>
      </c>
      <c r="CL38" s="97">
        <f>VLOOKUP($A38,'Distribution Summary'!$A$136:$CG$146,CL$1,0)*BQ38</f>
        <v>3077604.4430746255</v>
      </c>
      <c r="CM38" s="98">
        <f>VLOOKUP($A38,'Distribution Summary'!$A$136:$CG$146,CM$1,0)*BR38</f>
        <v>3115041.8338929843</v>
      </c>
    </row>
    <row r="39" spans="1:91" x14ac:dyDescent="0.25">
      <c r="A39" s="81" t="s">
        <v>81</v>
      </c>
      <c r="B39" s="82" t="s">
        <v>316</v>
      </c>
      <c r="C39" s="83" t="s">
        <v>74</v>
      </c>
      <c r="D39" s="84">
        <f>SUM('Defect (Total)'!D39,Planned!D39,Reconductor!D39,CTGS!D39)</f>
        <v>607475</v>
      </c>
      <c r="E39" s="85">
        <f>SUM('Defect (Total)'!E39,Planned!E39,Reconductor!E39,CTGS!E39)</f>
        <v>274798</v>
      </c>
      <c r="F39" s="85">
        <f>SUM('Defect (Total)'!F39,Planned!F39,Reconductor!F39,CTGS!F39)</f>
        <v>81377</v>
      </c>
      <c r="G39" s="85">
        <f>SUM('Defect (Total)'!G39,Planned!G39,Reconductor!G39,CTGS!G39)</f>
        <v>10688</v>
      </c>
      <c r="H39" s="85">
        <f>SUM('Defect (Total)'!H39,Planned!H39,Reconductor!H39,CTGS!H39)</f>
        <v>34847</v>
      </c>
      <c r="I39" s="85">
        <f>SUM('Defect (Total)'!I39,Planned!I39,Reconductor!I39,CTGS!I39)</f>
        <v>126115.73273143986</v>
      </c>
      <c r="J39" s="85">
        <f>SUM('Defect (Total)'!J39,Planned!J39,Reconductor!J39,CTGS!J39)</f>
        <v>231829.44632006879</v>
      </c>
      <c r="K39" s="85">
        <f>SUM('Defect (Total)'!K39,Planned!K39,Reconductor!K39,CTGS!K39)</f>
        <v>862982.08648066688</v>
      </c>
      <c r="L39" s="85">
        <f>SUM('Defect (Total)'!L39,Planned!L39,Reconductor!L39,CTGS!L39)</f>
        <v>8965788.5291759353</v>
      </c>
      <c r="M39" s="85">
        <f>SUM('Defect (Total)'!M39,Planned!M39,Reconductor!M39,CTGS!M39)</f>
        <v>7036715.0832002051</v>
      </c>
      <c r="N39" s="85">
        <f>SUM('Defect (Total)'!N39,Planned!N39,Reconductor!N39,CTGS!N39)</f>
        <v>2862095.4180845474</v>
      </c>
      <c r="O39" s="560">
        <f>SUM('Defect (Total)'!O39,Planned!O39,Reconductor!O39,CTGS!O39)</f>
        <v>817331.07751001522</v>
      </c>
      <c r="P39" s="561">
        <f>SUM('Defect (Total)'!P39,Planned!P39,Reconductor!P39,CTGS!P39)</f>
        <v>364225.76673120313</v>
      </c>
      <c r="Q39" s="561">
        <f>SUM('Defect (Total)'!Q39,Planned!Q39,Reconductor!Q39,CTGS!Q39)</f>
        <v>106767.09173339774</v>
      </c>
      <c r="R39" s="561">
        <f>SUM('Defect (Total)'!R39,Planned!R39,Reconductor!R39,CTGS!R39)</f>
        <v>13756.703821970197</v>
      </c>
      <c r="S39" s="561">
        <f>SUM('Defect (Total)'!S39,Planned!S39,Reconductor!S39,CTGS!S39)</f>
        <v>43939.237363150161</v>
      </c>
      <c r="T39" s="561">
        <f>SUM('Defect (Total)'!T39,Planned!T39,Reconductor!T39,CTGS!T39)</f>
        <v>156528.32658416516</v>
      </c>
      <c r="U39" s="561">
        <f>SUM('Defect (Total)'!U39,Planned!U39,Reconductor!U39,CTGS!U39)</f>
        <v>288740.78736690461</v>
      </c>
      <c r="V39" s="561">
        <f>SUM('Defect (Total)'!V39,Planned!V39,Reconductor!V39,CTGS!V39)</f>
        <v>1035025.1506842778</v>
      </c>
      <c r="W39" s="561">
        <f>SUM('Defect (Total)'!W39,Planned!W39,Reconductor!W39,CTGS!W39)</f>
        <v>10130688.633157281</v>
      </c>
      <c r="X39" s="561">
        <f>SUM('Defect (Total)'!X39,Planned!X39,Reconductor!X39,CTGS!X39)</f>
        <v>7483271.5390263051</v>
      </c>
      <c r="Y39" s="561">
        <f>SUM('Defect (Total)'!Y39,Planned!Y39,Reconductor!Y39,CTGS!Y39)</f>
        <v>2929777.6296998817</v>
      </c>
      <c r="Z39" s="125">
        <f>SUM('Defect (Total)'!Z39,Planned!Z39,Reconductor!Z39,CTGS!Z39)</f>
        <v>9</v>
      </c>
      <c r="AA39" s="126">
        <f>SUM('Defect (Total)'!AA39,Planned!AA39,Reconductor!AA39,CTGS!AA39)</f>
        <v>13</v>
      </c>
      <c r="AB39" s="126">
        <f>SUM('Defect (Total)'!AB39,Planned!AB39,Reconductor!AB39,CTGS!AB39)</f>
        <v>2</v>
      </c>
      <c r="AC39" s="126">
        <f>SUM('Defect (Total)'!AC39,Planned!AC39,Reconductor!AC39,CTGS!AC39)</f>
        <v>0</v>
      </c>
      <c r="AD39" s="126">
        <f>SUM('Defect (Total)'!AD39,Planned!AD39,Reconductor!AD39,CTGS!AD39)</f>
        <v>1</v>
      </c>
      <c r="AE39" s="126">
        <f>SUM('Defect (Total)'!AE39,Planned!AE39,Reconductor!AE39,CTGS!AE39)</f>
        <v>1.286010079</v>
      </c>
      <c r="AF39" s="126">
        <f>SUM('Defect (Total)'!AF39,Planned!AF39,Reconductor!AF39,CTGS!AF39)</f>
        <v>1.325666666</v>
      </c>
      <c r="AG39" s="126">
        <f>SUM('Defect (Total)'!AG39,Planned!AG39,Reconductor!AG39,CTGS!AG39)</f>
        <v>14.143999999999986</v>
      </c>
      <c r="AH39" s="126">
        <f>SUM('Defect (Total)'!AH39,Planned!AH39,Reconductor!AH39,CTGS!AH39)</f>
        <v>9.4553332049999987</v>
      </c>
      <c r="AI39" s="126">
        <f>SUM('Defect (Total)'!AI39,Planned!AI39,Reconductor!AI39,CTGS!AI39)</f>
        <v>3.1450000690000004</v>
      </c>
      <c r="AJ39" s="126">
        <f>SUM('Defect (Total)'!AJ39,Planned!AJ39,Reconductor!AJ39,CTGS!AJ39)</f>
        <v>124.765666189</v>
      </c>
      <c r="AK39" s="127">
        <f t="shared" si="17"/>
        <v>5.871202003799997</v>
      </c>
      <c r="AL39" s="128">
        <f t="shared" si="18"/>
        <v>8.9147777579999961</v>
      </c>
      <c r="AM39" s="129">
        <f t="shared" si="19"/>
        <v>3.1450000690000004</v>
      </c>
      <c r="AN39" s="91">
        <f t="shared" ref="AN39:AN70" si="21">IFERROR(D39/Z39,"")</f>
        <v>67497.222222222219</v>
      </c>
      <c r="AO39" s="92">
        <f t="shared" ref="AO39:AO70" si="22">IFERROR(E39/AA39,"")</f>
        <v>21138.307692307691</v>
      </c>
      <c r="AP39" s="92">
        <f t="shared" ref="AP39:AP70" si="23">IFERROR(F39/AB39,"")</f>
        <v>40688.5</v>
      </c>
      <c r="AQ39" s="92" t="str">
        <f t="shared" ref="AQ39:AQ70" si="24">IFERROR(G39/AC39,"")</f>
        <v/>
      </c>
      <c r="AR39" s="92">
        <f t="shared" ref="AR39:AR70" si="25">IFERROR(H39/AD39,"")</f>
        <v>34847</v>
      </c>
      <c r="AS39" s="92">
        <f t="shared" ref="AS39:AS70" si="26">IFERROR(I39/AE39,"")</f>
        <v>98067.452806829722</v>
      </c>
      <c r="AT39" s="92">
        <f t="shared" ref="AT39:AT70" si="27">IFERROR(J39/AF39,"")</f>
        <v>174877.63120693024</v>
      </c>
      <c r="AU39" s="92">
        <f t="shared" ref="AU39:AU70" si="28">IFERROR(K39/AG39,"")</f>
        <v>61014.004983078885</v>
      </c>
      <c r="AV39" s="92">
        <f t="shared" ref="AV39:AV70" si="29">IFERROR(L39/AH39,"")</f>
        <v>948225.55004564079</v>
      </c>
      <c r="AW39" s="92">
        <f t="shared" si="10"/>
        <v>2237429.2301486763</v>
      </c>
      <c r="AX39" s="92">
        <f t="shared" si="11"/>
        <v>22939.767850467222</v>
      </c>
      <c r="AY39" s="93">
        <f t="shared" ref="AY39:AY70" si="30">IFERROR(IF($BA$4="N",SUM(H39:L39)/SUM(AD39:AH39),SUM(I39:M39)/SUM(AE39:AI39)),"")</f>
        <v>375640.69887483603</v>
      </c>
      <c r="AZ39" s="94">
        <f t="shared" ref="AZ39:AZ70" si="31">IFERROR(IF($BA$4="N",SUM(J39:L39)/SUM(AF39:AH39),SUM(K39:M39)/SUM(AG39:AI39)),"")</f>
        <v>403634.90928969235</v>
      </c>
      <c r="BA39" s="95">
        <f t="shared" ref="BA39:BA70" si="32">IFERROR(IF($BA$4="N",L39/AH39,M39/AI39),"")</f>
        <v>948225.55004564079</v>
      </c>
      <c r="BB39" s="692">
        <f>SUM('Defect (Total)'!BB39,Planned!CE39,Reconductor!CE39,CTGS!CE39,'Substation 2025$'!CE39*$BL$1,Comms!CA39*$BL$2)</f>
        <v>8.7886842223999952</v>
      </c>
      <c r="BC39" s="692">
        <f>SUM('Defect (Total)'!BC39,Planned!CF39,Reconductor!CF39,CTGS!CF39,'Substation 2025$'!CF39*$BL$1,Comms!CB39*$BL$2)</f>
        <v>10.199157438801667</v>
      </c>
      <c r="BD39" s="363">
        <f>SUM('Defect (Total)'!BD39,Planned!CG39,Reconductor!CG39,CTGS!CG39,'Substation 2025$'!CG39*$BL$1,Comms!CC39*$BL$2)</f>
        <v>10.199157438801668</v>
      </c>
      <c r="BE39" s="363">
        <f>SUM('Defect (Total)'!BE39,Planned!CH39,Reconductor!CH39,CTGS!CH39,'Substation 2025$'!CH39*$BL$1,Comms!CD39*$BL$2)</f>
        <v>12.815897005441695</v>
      </c>
      <c r="BF39" s="363">
        <f>SUM('Defect (Total)'!BF39,Planned!CI39,Reconductor!CI39,CTGS!CI39,'Substation 2025$'!CI39*$BL$1,Comms!CE39*$BL$2)</f>
        <v>13.286417261970323</v>
      </c>
      <c r="BG39" s="363">
        <f>SUM('Defect (Total)'!BG39,Planned!CJ39,Reconductor!CJ39,CTGS!CJ39,'Substation 2025$'!CJ39*$BL$1,Comms!CF39*$BL$2)</f>
        <v>13.600159846342658</v>
      </c>
      <c r="BH39" s="363">
        <f>SUM('Defect (Total)'!BH39,Planned!CK39,Reconductor!CK39,CTGS!CK39,'Substation 2025$'!CK39*$BL$1,Comms!CG39*$BL$2)</f>
        <v>13.913945926024271</v>
      </c>
      <c r="BI39" s="364">
        <f>SUM('Defect (Total)'!BI39,Planned!CL39,Reconductor!CL39,CTGS!CL39,'Substation 2025$'!CL39*$BL$1,Comms!CH39*$BL$2)</f>
        <v>14.070853798212644</v>
      </c>
      <c r="BJ39" s="99">
        <f t="shared" si="20"/>
        <v>327614.9373262088</v>
      </c>
      <c r="BK39" s="992">
        <f>SUM('Defect (Total)'!BK39,Planned!CQ39,Reconductor!CQ39,CTGS!CQ39,'Substation 2025$'!CQ39*$BL$1,Comms!CM39*$BL$2)</f>
        <v>2597669.0212996602</v>
      </c>
      <c r="BL39" s="992">
        <f>SUM('Defect (Total)'!BL39,Planned!CR39,Reconductor!CR39,CTGS!CR39,'Substation 2025$'!CR39*$BL$1,Comms!CN39*$BL$2)</f>
        <v>3196425.2768700896</v>
      </c>
      <c r="BM39" s="524">
        <f>SUM('Defect (Total)'!BM39,Planned!CS39,Reconductor!CS39,CTGS!CS39,'Substation 2025$'!CS39*$BL$1,Comms!CO39*$BL$2)</f>
        <v>3196425.2768700905</v>
      </c>
      <c r="BN39" s="416">
        <f>SUM('Defect (Total)'!BN39,Planned!CT39,Reconductor!CT39,CTGS!CT39,'Substation 2025$'!CT39*$BL$1,Comms!CP39*$BL$2)</f>
        <v>4128765.8175479504</v>
      </c>
      <c r="BO39" s="97">
        <f>SUM('Defect (Total)'!BO39,Planned!CU39,Reconductor!CU39,CTGS!CU39,'Substation 2025$'!CU39*$BL$1,Comms!CQ39*$BL$2)</f>
        <v>4328505.1275136136</v>
      </c>
      <c r="BP39" s="97">
        <f>SUM('Defect (Total)'!BP39,Planned!CV39,Reconductor!CV39,CTGS!CV39,'Substation 2025$'!CV39*$BL$1,Comms!CR39*$BL$2)</f>
        <v>4461691.1624182798</v>
      </c>
      <c r="BQ39" s="97">
        <f>SUM('Defect (Total)'!BQ39,Planned!CW39,Reconductor!CW39,CTGS!CW39,'Substation 2025$'!CW39*$BL$1,Comms!CS39*$BL$2)</f>
        <v>4594895.6614016779</v>
      </c>
      <c r="BR39" s="98">
        <f>SUM('Defect (Total)'!BR39,Planned!CX39,Reconductor!CX39,CTGS!CX39,'Substation 2025$'!CX39*$BL$1,Comms!CT39*$BL$2)</f>
        <v>4661504.2073340239</v>
      </c>
      <c r="BS39" s="836">
        <f>'Unit Cost Rate Summary'!AO39</f>
        <v>746.49247284478645</v>
      </c>
      <c r="BT39" s="840">
        <f t="shared" ref="BT39:BT70" si="33">IFERROR(BS39*SUM(BE40:BI40)/5,"")</f>
        <v>0</v>
      </c>
      <c r="BU39" s="832">
        <f t="shared" ref="BU39:BU70" si="34">IFERROR(BS39*SUM(BE40:BI40),"")</f>
        <v>0</v>
      </c>
      <c r="BV39" t="s">
        <v>636</v>
      </c>
      <c r="CI39" s="416">
        <f>VLOOKUP($A39,'Distribution Summary'!$A$136:$CG$146,CI$1,0)*BN39</f>
        <v>4588140.0144917099</v>
      </c>
      <c r="CJ39" s="97">
        <f>VLOOKUP($A39,'Distribution Summary'!$A$136:$CG$146,CJ$1,0)*BO39</f>
        <v>4864250.0148808751</v>
      </c>
      <c r="CK39" s="97">
        <f>VLOOKUP($A39,'Distribution Summary'!$A$136:$CG$146,CK$1,0)*BP39</f>
        <v>5053213.5941369981</v>
      </c>
      <c r="CL39" s="97">
        <f>VLOOKUP($A39,'Distribution Summary'!$A$136:$CG$146,CL$1,0)*BQ39</f>
        <v>5245607.7429481028</v>
      </c>
      <c r="CM39" s="98">
        <f>VLOOKUP($A39,'Distribution Summary'!$A$136:$CG$146,CM$1,0)*BR39</f>
        <v>5351317.807931724</v>
      </c>
    </row>
    <row r="40" spans="1:91" x14ac:dyDescent="0.25">
      <c r="A40" s="81" t="s">
        <v>81</v>
      </c>
      <c r="B40" s="82" t="s">
        <v>317</v>
      </c>
      <c r="C40" s="83" t="s">
        <v>76</v>
      </c>
      <c r="D40" s="84">
        <f>SUM('Defect (Total)'!D40,Planned!D40,Reconductor!D40,CTGS!D40)</f>
        <v>0</v>
      </c>
      <c r="E40" s="85">
        <f>SUM('Defect (Total)'!E40,Planned!E40,Reconductor!E40,CTGS!E40)</f>
        <v>0</v>
      </c>
      <c r="F40" s="85">
        <f>SUM('Defect (Total)'!F40,Planned!F40,Reconductor!F40,CTGS!F40)</f>
        <v>429548</v>
      </c>
      <c r="G40" s="85">
        <f>SUM('Defect (Total)'!G40,Planned!G40,Reconductor!G40,CTGS!G40)</f>
        <v>0</v>
      </c>
      <c r="H40" s="85">
        <f>SUM('Defect (Total)'!H40,Planned!H40,Reconductor!H40,CTGS!H40)</f>
        <v>0</v>
      </c>
      <c r="I40" s="85">
        <f>SUM('Defect (Total)'!I40,Planned!I40,Reconductor!I40,CTGS!I40)</f>
        <v>-6906.83</v>
      </c>
      <c r="J40" s="85">
        <f>SUM('Defect (Total)'!J40,Planned!J40,Reconductor!J40,CTGS!J40)</f>
        <v>0</v>
      </c>
      <c r="K40" s="85">
        <f>SUM('Defect (Total)'!K40,Planned!K40,Reconductor!K40,CTGS!K40)</f>
        <v>2827.8290000000002</v>
      </c>
      <c r="L40" s="85">
        <f>SUM('Defect (Total)'!L40,Planned!L40,Reconductor!L40,CTGS!L40)</f>
        <v>0</v>
      </c>
      <c r="M40" s="85">
        <f>SUM('Defect (Total)'!M40,Planned!M40,Reconductor!M40,CTGS!M40)</f>
        <v>0</v>
      </c>
      <c r="N40" s="85">
        <f>SUM('Defect (Total)'!N40,Planned!N40,Reconductor!N40,CTGS!N40)</f>
        <v>4406300.18402569</v>
      </c>
      <c r="O40" s="560">
        <f>SUM('Defect (Total)'!O40,Planned!O40,Reconductor!O40,CTGS!O40)</f>
        <v>0</v>
      </c>
      <c r="P40" s="561">
        <f>SUM('Defect (Total)'!P40,Planned!P40,Reconductor!P40,CTGS!P40)</f>
        <v>0</v>
      </c>
      <c r="Q40" s="561">
        <f>SUM('Defect (Total)'!Q40,Planned!Q40,Reconductor!Q40,CTGS!Q40)</f>
        <v>563569.44492789777</v>
      </c>
      <c r="R40" s="561">
        <f>SUM('Defect (Total)'!R40,Planned!R40,Reconductor!R40,CTGS!R40)</f>
        <v>0</v>
      </c>
      <c r="S40" s="561">
        <f>SUM('Defect (Total)'!S40,Planned!S40,Reconductor!S40,CTGS!S40)</f>
        <v>0</v>
      </c>
      <c r="T40" s="561">
        <f>SUM('Defect (Total)'!T40,Planned!T40,Reconductor!T40,CTGS!T40)</f>
        <v>-8572.4002746232673</v>
      </c>
      <c r="U40" s="561">
        <f>SUM('Defect (Total)'!U40,Planned!U40,Reconductor!U40,CTGS!U40)</f>
        <v>0</v>
      </c>
      <c r="V40" s="561">
        <f>SUM('Defect (Total)'!V40,Planned!V40,Reconductor!V40,CTGS!V40)</f>
        <v>3391.5815666237945</v>
      </c>
      <c r="W40" s="561">
        <f>SUM('Defect (Total)'!W40,Planned!W40,Reconductor!W40,CTGS!W40)</f>
        <v>0</v>
      </c>
      <c r="X40" s="561">
        <f>SUM('Defect (Total)'!X40,Planned!X40,Reconductor!X40,CTGS!X40)</f>
        <v>0</v>
      </c>
      <c r="Y40" s="561">
        <f>SUM('Defect (Total)'!Y40,Planned!Y40,Reconductor!Y40,CTGS!Y40)</f>
        <v>4525622.8743350627</v>
      </c>
      <c r="Z40" s="125">
        <f>SUM('Defect (Total)'!Z40,Planned!Z40,Reconductor!Z40,CTGS!Z40)</f>
        <v>0</v>
      </c>
      <c r="AA40" s="126">
        <f>SUM('Defect (Total)'!AA40,Planned!AA40,Reconductor!AA40,CTGS!AA40)</f>
        <v>0</v>
      </c>
      <c r="AB40" s="126">
        <f>SUM('Defect (Total)'!AB40,Planned!AB40,Reconductor!AB40,CTGS!AB40)</f>
        <v>1</v>
      </c>
      <c r="AC40" s="126">
        <f>SUM('Defect (Total)'!AC40,Planned!AC40,Reconductor!AC40,CTGS!AC40)</f>
        <v>0</v>
      </c>
      <c r="AD40" s="126">
        <f>SUM('Defect (Total)'!AD40,Planned!AD40,Reconductor!AD40,CTGS!AD40)</f>
        <v>0</v>
      </c>
      <c r="AE40" s="126">
        <f>SUM('Defect (Total)'!AE40,Planned!AE40,Reconductor!AE40,CTGS!AE40)</f>
        <v>-0.247500002</v>
      </c>
      <c r="AF40" s="126">
        <f>SUM('Defect (Total)'!AF40,Planned!AF40,Reconductor!AF40,CTGS!AF40)</f>
        <v>0</v>
      </c>
      <c r="AG40" s="126">
        <f>SUM('Defect (Total)'!AG40,Planned!AG40,Reconductor!AG40,CTGS!AG40)</f>
        <v>0</v>
      </c>
      <c r="AH40" s="126">
        <f>SUM('Defect (Total)'!AH40,Planned!AH40,Reconductor!AH40,CTGS!AH40)</f>
        <v>0</v>
      </c>
      <c r="AI40" s="126">
        <f>SUM('Defect (Total)'!AI40,Planned!AI40,Reconductor!AI40,CTGS!AI40)</f>
        <v>0</v>
      </c>
      <c r="AJ40" s="126">
        <f>SUM('Defect (Total)'!AJ40,Planned!AJ40,Reconductor!AJ40,CTGS!AJ40)</f>
        <v>0.133333332</v>
      </c>
      <c r="AK40" s="127">
        <f t="shared" si="17"/>
        <v>-4.9500000400000001E-2</v>
      </c>
      <c r="AL40" s="128">
        <f t="shared" si="18"/>
        <v>0</v>
      </c>
      <c r="AM40" s="129">
        <f t="shared" si="19"/>
        <v>0</v>
      </c>
      <c r="AN40" s="91" t="str">
        <f t="shared" si="21"/>
        <v/>
      </c>
      <c r="AO40" s="92" t="str">
        <f t="shared" si="22"/>
        <v/>
      </c>
      <c r="AP40" s="92">
        <f t="shared" si="23"/>
        <v>429548</v>
      </c>
      <c r="AQ40" s="92" t="str">
        <f t="shared" si="24"/>
        <v/>
      </c>
      <c r="AR40" s="92" t="str">
        <f t="shared" si="25"/>
        <v/>
      </c>
      <c r="AS40" s="92">
        <f t="shared" si="26"/>
        <v>27906.383612877707</v>
      </c>
      <c r="AT40" s="92" t="str">
        <f t="shared" si="27"/>
        <v/>
      </c>
      <c r="AU40" s="92" t="str">
        <f t="shared" si="28"/>
        <v/>
      </c>
      <c r="AV40" s="92" t="str">
        <f t="shared" si="29"/>
        <v/>
      </c>
      <c r="AW40" s="92" t="str">
        <f t="shared" si="10"/>
        <v/>
      </c>
      <c r="AX40" s="92">
        <f t="shared" si="11"/>
        <v>33047251.710665192</v>
      </c>
      <c r="AY40" s="93">
        <f t="shared" si="30"/>
        <v>16480.811988033842</v>
      </c>
      <c r="AZ40" s="94" t="str">
        <f t="shared" si="31"/>
        <v/>
      </c>
      <c r="BA40" s="95" t="str">
        <f t="shared" si="32"/>
        <v/>
      </c>
      <c r="BB40" s="692">
        <f>SUM('Defect (Total)'!BB40,Planned!CE40,Reconductor!CE40,CTGS!CE40,'Substation 2025$'!CE40*$BL$1,Comms!CA40*$BL$2)</f>
        <v>0</v>
      </c>
      <c r="BC40" s="692">
        <f>SUM('Defect (Total)'!BC40,Planned!CF40,Reconductor!CF40,CTGS!CF40,'Substation 2025$'!CF40*$BL$1,Comms!CB40*$BL$2)</f>
        <v>0</v>
      </c>
      <c r="BD40" s="363">
        <f>SUM('Defect (Total)'!BD40,Planned!CG40,Reconductor!CG40,CTGS!CG40,'Substation 2025$'!CG40*$BL$1,Comms!CC40*$BL$2)</f>
        <v>0</v>
      </c>
      <c r="BE40" s="363">
        <f>SUM('Defect (Total)'!BE40,Planned!CH40,Reconductor!CH40,CTGS!CH40,'Substation 2025$'!CH40*$BL$1,Comms!CD40*$BL$2)</f>
        <v>0</v>
      </c>
      <c r="BF40" s="363">
        <f>SUM('Defect (Total)'!BF40,Planned!CI40,Reconductor!CI40,CTGS!CI40,'Substation 2025$'!CI40*$BL$1,Comms!CE40*$BL$2)</f>
        <v>0</v>
      </c>
      <c r="BG40" s="363">
        <f>SUM('Defect (Total)'!BG40,Planned!CJ40,Reconductor!CJ40,CTGS!CJ40,'Substation 2025$'!CJ40*$BL$1,Comms!CF40*$BL$2)</f>
        <v>0</v>
      </c>
      <c r="BH40" s="363">
        <f>SUM('Defect (Total)'!BH40,Planned!CK40,Reconductor!CK40,CTGS!CK40,'Substation 2025$'!CK40*$BL$1,Comms!CG40*$BL$2)</f>
        <v>0</v>
      </c>
      <c r="BI40" s="364">
        <f>SUM('Defect (Total)'!BI40,Planned!CL40,Reconductor!CL40,CTGS!CL40,'Substation 2025$'!CL40*$BL$1,Comms!CH40*$BL$2)</f>
        <v>0</v>
      </c>
      <c r="BJ40" s="99" t="str">
        <f t="shared" si="20"/>
        <v/>
      </c>
      <c r="BK40" s="992">
        <f>SUM('Defect (Total)'!BK40,Planned!CQ40,Reconductor!CQ40,CTGS!CQ40,'Substation 2025$'!CQ40*$BL$1,Comms!CM40*$BL$2)</f>
        <v>0</v>
      </c>
      <c r="BL40" s="992">
        <f>SUM('Defect (Total)'!BL40,Planned!CR40,Reconductor!CR40,CTGS!CR40,'Substation 2025$'!CR40*$BL$1,Comms!CN40*$BL$2)</f>
        <v>0</v>
      </c>
      <c r="BM40" s="524">
        <f>SUM('Defect (Total)'!BM40,Planned!CS40,Reconductor!CS40,CTGS!CS40,'Substation 2025$'!CS40*$BL$1,Comms!CO40*$BL$2)</f>
        <v>0</v>
      </c>
      <c r="BN40" s="416">
        <f>SUM('Defect (Total)'!BN40,Planned!CT40,Reconductor!CT40,CTGS!CT40,'Substation 2025$'!CT40*$BL$1,Comms!CP40*$BL$2)</f>
        <v>0</v>
      </c>
      <c r="BO40" s="97">
        <f>SUM('Defect (Total)'!BO40,Planned!CU40,Reconductor!CU40,CTGS!CU40,'Substation 2025$'!CU40*$BL$1,Comms!CQ40*$BL$2)</f>
        <v>0</v>
      </c>
      <c r="BP40" s="97">
        <f>SUM('Defect (Total)'!BP40,Planned!CV40,Reconductor!CV40,CTGS!CV40,'Substation 2025$'!CV40*$BL$1,Comms!CR40*$BL$2)</f>
        <v>0</v>
      </c>
      <c r="BQ40" s="97">
        <f>SUM('Defect (Total)'!BQ40,Planned!CW40,Reconductor!CW40,CTGS!CW40,'Substation 2025$'!CW40*$BL$1,Comms!CS40*$BL$2)</f>
        <v>0</v>
      </c>
      <c r="BR40" s="98">
        <f>SUM('Defect (Total)'!BR40,Planned!CX40,Reconductor!CX40,CTGS!CX40,'Substation 2025$'!CX40*$BL$1,Comms!CT40*$BL$2)</f>
        <v>0</v>
      </c>
      <c r="BS40" s="836" t="str">
        <f>'Unit Cost Rate Summary'!AO40</f>
        <v/>
      </c>
      <c r="BT40" s="840" t="str">
        <f t="shared" si="33"/>
        <v/>
      </c>
      <c r="BU40" s="832" t="str">
        <f t="shared" si="34"/>
        <v/>
      </c>
      <c r="BV40" t="s">
        <v>636</v>
      </c>
      <c r="CI40" s="416">
        <f>VLOOKUP($A40,'Distribution Summary'!$A$136:$CG$146,CI$1,0)*BN40</f>
        <v>0</v>
      </c>
      <c r="CJ40" s="97">
        <f>VLOOKUP($A40,'Distribution Summary'!$A$136:$CG$146,CJ$1,0)*BO40</f>
        <v>0</v>
      </c>
      <c r="CK40" s="97">
        <f>VLOOKUP($A40,'Distribution Summary'!$A$136:$CG$146,CK$1,0)*BP40</f>
        <v>0</v>
      </c>
      <c r="CL40" s="97">
        <f>VLOOKUP($A40,'Distribution Summary'!$A$136:$CG$146,CL$1,0)*BQ40</f>
        <v>0</v>
      </c>
      <c r="CM40" s="98">
        <f>VLOOKUP($A40,'Distribution Summary'!$A$136:$CG$146,CM$1,0)*BR40</f>
        <v>0</v>
      </c>
    </row>
    <row r="41" spans="1:91" x14ac:dyDescent="0.25">
      <c r="A41" s="81" t="s">
        <v>81</v>
      </c>
      <c r="B41" s="82" t="s">
        <v>318</v>
      </c>
      <c r="C41" s="83" t="s">
        <v>78</v>
      </c>
      <c r="D41" s="84">
        <f>SUM('Defect (Total)'!D41,Planned!D41,Reconductor!D41,CTGS!D41)</f>
        <v>0</v>
      </c>
      <c r="E41" s="85">
        <f>SUM('Defect (Total)'!E41,Planned!E41,Reconductor!E41,CTGS!E41)</f>
        <v>0</v>
      </c>
      <c r="F41" s="85">
        <f>SUM('Defect (Total)'!F41,Planned!F41,Reconductor!F41,CTGS!F41)</f>
        <v>0</v>
      </c>
      <c r="G41" s="85">
        <f>SUM('Defect (Total)'!G41,Planned!G41,Reconductor!G41,CTGS!G41)</f>
        <v>0</v>
      </c>
      <c r="H41" s="85">
        <f>SUM('Defect (Total)'!H41,Planned!H41,Reconductor!H41,CTGS!H41)</f>
        <v>0</v>
      </c>
      <c r="I41" s="85">
        <f>SUM('Defect (Total)'!I41,Planned!I41,Reconductor!I41,CTGS!I41)</f>
        <v>0</v>
      </c>
      <c r="J41" s="85">
        <f>SUM('Defect (Total)'!J41,Planned!J41,Reconductor!J41,CTGS!J41)</f>
        <v>0</v>
      </c>
      <c r="K41" s="85">
        <f>SUM('Defect (Total)'!K41,Planned!K41,Reconductor!K41,CTGS!K41)</f>
        <v>0</v>
      </c>
      <c r="L41" s="85">
        <f>SUM('Defect (Total)'!L41,Planned!L41,Reconductor!L41,CTGS!L41)</f>
        <v>0</v>
      </c>
      <c r="M41" s="85">
        <f>SUM('Defect (Total)'!M41,Planned!M41,Reconductor!M41,CTGS!M41)</f>
        <v>0</v>
      </c>
      <c r="N41" s="85">
        <f>SUM('Defect (Total)'!N41,Planned!N41,Reconductor!N41,CTGS!N41)</f>
        <v>0</v>
      </c>
      <c r="O41" s="560">
        <f>SUM('Defect (Total)'!O41,Planned!O41,Reconductor!O41,CTGS!O41)</f>
        <v>0</v>
      </c>
      <c r="P41" s="561">
        <f>SUM('Defect (Total)'!P41,Planned!P41,Reconductor!P41,CTGS!P41)</f>
        <v>0</v>
      </c>
      <c r="Q41" s="561">
        <f>SUM('Defect (Total)'!Q41,Planned!Q41,Reconductor!Q41,CTGS!Q41)</f>
        <v>0</v>
      </c>
      <c r="R41" s="561">
        <f>SUM('Defect (Total)'!R41,Planned!R41,Reconductor!R41,CTGS!R41)</f>
        <v>0</v>
      </c>
      <c r="S41" s="561">
        <f>SUM('Defect (Total)'!S41,Planned!S41,Reconductor!S41,CTGS!S41)</f>
        <v>0</v>
      </c>
      <c r="T41" s="561">
        <f>SUM('Defect (Total)'!T41,Planned!T41,Reconductor!T41,CTGS!T41)</f>
        <v>0</v>
      </c>
      <c r="U41" s="561">
        <f>SUM('Defect (Total)'!U41,Planned!U41,Reconductor!U41,CTGS!U41)</f>
        <v>0</v>
      </c>
      <c r="V41" s="561">
        <f>SUM('Defect (Total)'!V41,Planned!V41,Reconductor!V41,CTGS!V41)</f>
        <v>0</v>
      </c>
      <c r="W41" s="561">
        <f>SUM('Defect (Total)'!W41,Planned!W41,Reconductor!W41,CTGS!W41)</f>
        <v>0</v>
      </c>
      <c r="X41" s="561">
        <f>SUM('Defect (Total)'!X41,Planned!X41,Reconductor!X41,CTGS!X41)</f>
        <v>0</v>
      </c>
      <c r="Y41" s="561">
        <f>SUM('Defect (Total)'!Y41,Planned!Y41,Reconductor!Y41,CTGS!Y41)</f>
        <v>0</v>
      </c>
      <c r="Z41" s="125">
        <f>SUM('Defect (Total)'!Z41,Planned!Z41,Reconductor!Z41,CTGS!Z41)</f>
        <v>0</v>
      </c>
      <c r="AA41" s="126">
        <f>SUM('Defect (Total)'!AA41,Planned!AA41,Reconductor!AA41,CTGS!AA41)</f>
        <v>0</v>
      </c>
      <c r="AB41" s="126">
        <f>SUM('Defect (Total)'!AB41,Planned!AB41,Reconductor!AB41,CTGS!AB41)</f>
        <v>0</v>
      </c>
      <c r="AC41" s="126">
        <f>SUM('Defect (Total)'!AC41,Planned!AC41,Reconductor!AC41,CTGS!AC41)</f>
        <v>0</v>
      </c>
      <c r="AD41" s="126">
        <f>SUM('Defect (Total)'!AD41,Planned!AD41,Reconductor!AD41,CTGS!AD41)</f>
        <v>0</v>
      </c>
      <c r="AE41" s="126">
        <f>SUM('Defect (Total)'!AE41,Planned!AE41,Reconductor!AE41,CTGS!AE41)</f>
        <v>0</v>
      </c>
      <c r="AF41" s="126">
        <f>SUM('Defect (Total)'!AF41,Planned!AF41,Reconductor!AF41,CTGS!AF41)</f>
        <v>0</v>
      </c>
      <c r="AG41" s="126">
        <f>SUM('Defect (Total)'!AG41,Planned!AG41,Reconductor!AG41,CTGS!AG41)</f>
        <v>0</v>
      </c>
      <c r="AH41" s="126">
        <f>SUM('Defect (Total)'!AH41,Planned!AH41,Reconductor!AH41,CTGS!AH41)</f>
        <v>0</v>
      </c>
      <c r="AI41" s="126">
        <f>SUM('Defect (Total)'!AI41,Planned!AI41,Reconductor!AI41,CTGS!AI41)</f>
        <v>0</v>
      </c>
      <c r="AJ41" s="126">
        <f>SUM('Defect (Total)'!AJ41,Planned!AJ41,Reconductor!AJ41,CTGS!AJ41)</f>
        <v>0</v>
      </c>
      <c r="AK41" s="127">
        <f t="shared" si="17"/>
        <v>0</v>
      </c>
      <c r="AL41" s="128">
        <f t="shared" si="18"/>
        <v>0</v>
      </c>
      <c r="AM41" s="129">
        <f t="shared" si="19"/>
        <v>0</v>
      </c>
      <c r="AN41" s="91" t="str">
        <f t="shared" si="21"/>
        <v/>
      </c>
      <c r="AO41" s="92" t="str">
        <f t="shared" si="22"/>
        <v/>
      </c>
      <c r="AP41" s="92" t="str">
        <f t="shared" si="23"/>
        <v/>
      </c>
      <c r="AQ41" s="92" t="str">
        <f t="shared" si="24"/>
        <v/>
      </c>
      <c r="AR41" s="92" t="str">
        <f t="shared" si="25"/>
        <v/>
      </c>
      <c r="AS41" s="92" t="str">
        <f t="shared" si="26"/>
        <v/>
      </c>
      <c r="AT41" s="92" t="str">
        <f t="shared" si="27"/>
        <v/>
      </c>
      <c r="AU41" s="92" t="str">
        <f t="shared" si="28"/>
        <v/>
      </c>
      <c r="AV41" s="92" t="str">
        <f t="shared" si="29"/>
        <v/>
      </c>
      <c r="AW41" s="92" t="str">
        <f t="shared" si="10"/>
        <v/>
      </c>
      <c r="AX41" s="92" t="str">
        <f t="shared" si="11"/>
        <v/>
      </c>
      <c r="AY41" s="93" t="str">
        <f t="shared" si="30"/>
        <v/>
      </c>
      <c r="AZ41" s="94" t="str">
        <f t="shared" si="31"/>
        <v/>
      </c>
      <c r="BA41" s="95" t="str">
        <f t="shared" si="32"/>
        <v/>
      </c>
      <c r="BB41" s="692">
        <f>SUM('Defect (Total)'!BB41,Planned!CE41,Reconductor!CE41,CTGS!CE41,'Substation 2025$'!CE41*$BL$1,Comms!CA41*$BL$2)</f>
        <v>0</v>
      </c>
      <c r="BC41" s="692">
        <f>SUM('Defect (Total)'!BC41,Planned!CF41,Reconductor!CF41,CTGS!CF41,'Substation 2025$'!CF41*$BL$1,Comms!CB41*$BL$2)</f>
        <v>0</v>
      </c>
      <c r="BD41" s="363">
        <f>SUM('Defect (Total)'!BD41,Planned!CG41,Reconductor!CG41,CTGS!CG41,'Substation 2025$'!CG41*$BL$1,Comms!CC41*$BL$2)</f>
        <v>0</v>
      </c>
      <c r="BE41" s="363">
        <f>SUM('Defect (Total)'!BE41,Planned!CH41,Reconductor!CH41,CTGS!CH41,'Substation 2025$'!CH41*$BL$1,Comms!CD41*$BL$2)</f>
        <v>0</v>
      </c>
      <c r="BF41" s="363">
        <f>SUM('Defect (Total)'!BF41,Planned!CI41,Reconductor!CI41,CTGS!CI41,'Substation 2025$'!CI41*$BL$1,Comms!CE41*$BL$2)</f>
        <v>0</v>
      </c>
      <c r="BG41" s="363">
        <f>SUM('Defect (Total)'!BG41,Planned!CJ41,Reconductor!CJ41,CTGS!CJ41,'Substation 2025$'!CJ41*$BL$1,Comms!CF41*$BL$2)</f>
        <v>0</v>
      </c>
      <c r="BH41" s="363">
        <f>SUM('Defect (Total)'!BH41,Planned!CK41,Reconductor!CK41,CTGS!CK41,'Substation 2025$'!CK41*$BL$1,Comms!CG41*$BL$2)</f>
        <v>0</v>
      </c>
      <c r="BI41" s="364">
        <f>SUM('Defect (Total)'!BI41,Planned!CL41,Reconductor!CL41,CTGS!CL41,'Substation 2025$'!CL41*$BL$1,Comms!CH41*$BL$2)</f>
        <v>0</v>
      </c>
      <c r="BJ41" s="99" t="str">
        <f t="shared" si="20"/>
        <v/>
      </c>
      <c r="BK41" s="992">
        <f>SUM('Defect (Total)'!BK41,Planned!CQ41,Reconductor!CQ41,CTGS!CQ41,'Substation 2025$'!CQ41*$BL$1,Comms!CM41*$BL$2)</f>
        <v>0</v>
      </c>
      <c r="BL41" s="992">
        <f>SUM('Defect (Total)'!BL41,Planned!CR41,Reconductor!CR41,CTGS!CR41,'Substation 2025$'!CR41*$BL$1,Comms!CN41*$BL$2)</f>
        <v>0</v>
      </c>
      <c r="BM41" s="524">
        <f>SUM('Defect (Total)'!BM41,Planned!CS41,Reconductor!CS41,CTGS!CS41,'Substation 2025$'!CS41*$BL$1,Comms!CO41*$BL$2)</f>
        <v>0</v>
      </c>
      <c r="BN41" s="416">
        <f>SUM('Defect (Total)'!BN41,Planned!CT41,Reconductor!CT41,CTGS!CT41,'Substation 2025$'!CT41*$BL$1,Comms!CP41*$BL$2)</f>
        <v>0</v>
      </c>
      <c r="BO41" s="97">
        <f>SUM('Defect (Total)'!BO41,Planned!CU41,Reconductor!CU41,CTGS!CU41,'Substation 2025$'!CU41*$BL$1,Comms!CQ41*$BL$2)</f>
        <v>0</v>
      </c>
      <c r="BP41" s="97">
        <f>SUM('Defect (Total)'!BP41,Planned!CV41,Reconductor!CV41,CTGS!CV41,'Substation 2025$'!CV41*$BL$1,Comms!CR41*$BL$2)</f>
        <v>0</v>
      </c>
      <c r="BQ41" s="97">
        <f>SUM('Defect (Total)'!BQ41,Planned!CW41,Reconductor!CW41,CTGS!CW41,'Substation 2025$'!CW41*$BL$1,Comms!CS41*$BL$2)</f>
        <v>0</v>
      </c>
      <c r="BR41" s="98">
        <f>SUM('Defect (Total)'!BR41,Planned!CX41,Reconductor!CX41,CTGS!CX41,'Substation 2025$'!CX41*$BL$1,Comms!CT41*$BL$2)</f>
        <v>0</v>
      </c>
      <c r="BS41" s="836" t="str">
        <f>'Unit Cost Rate Summary'!AO41</f>
        <v/>
      </c>
      <c r="BT41" s="840" t="str">
        <f t="shared" si="33"/>
        <v/>
      </c>
      <c r="BU41" s="832" t="str">
        <f t="shared" si="34"/>
        <v/>
      </c>
      <c r="BV41" t="s">
        <v>636</v>
      </c>
      <c r="CI41" s="416">
        <f>VLOOKUP($A41,'Distribution Summary'!$A$136:$CG$146,CI$1,0)*BN41</f>
        <v>0</v>
      </c>
      <c r="CJ41" s="97">
        <f>VLOOKUP($A41,'Distribution Summary'!$A$136:$CG$146,CJ$1,0)*BO41</f>
        <v>0</v>
      </c>
      <c r="CK41" s="97">
        <f>VLOOKUP($A41,'Distribution Summary'!$A$136:$CG$146,CK$1,0)*BP41</f>
        <v>0</v>
      </c>
      <c r="CL41" s="97">
        <f>VLOOKUP($A41,'Distribution Summary'!$A$136:$CG$146,CL$1,0)*BQ41</f>
        <v>0</v>
      </c>
      <c r="CM41" s="98">
        <f>VLOOKUP($A41,'Distribution Summary'!$A$136:$CG$146,CM$1,0)*BR41</f>
        <v>0</v>
      </c>
    </row>
    <row r="42" spans="1:91" ht="15.75" thickBot="1" x14ac:dyDescent="0.3">
      <c r="A42" s="100" t="s">
        <v>81</v>
      </c>
      <c r="B42" s="101" t="s">
        <v>319</v>
      </c>
      <c r="C42" s="102" t="s">
        <v>320</v>
      </c>
      <c r="D42" s="103">
        <f>SUM('Defect (Total)'!D42,Planned!D42,Reconductor!D42,CTGS!D42)</f>
        <v>0</v>
      </c>
      <c r="E42" s="104">
        <f>SUM('Defect (Total)'!E42,Planned!E42,Reconductor!E42,CTGS!E42)</f>
        <v>0</v>
      </c>
      <c r="F42" s="104">
        <f>SUM('Defect (Total)'!F42,Planned!F42,Reconductor!F42,CTGS!F42)</f>
        <v>0</v>
      </c>
      <c r="G42" s="104">
        <f>SUM('Defect (Total)'!G42,Planned!G42,Reconductor!G42,CTGS!G42)</f>
        <v>0</v>
      </c>
      <c r="H42" s="104">
        <f>SUM('Defect (Total)'!H42,Planned!H42,Reconductor!H42,CTGS!H42)</f>
        <v>0</v>
      </c>
      <c r="I42" s="104">
        <f>SUM('Defect (Total)'!I42,Planned!I42,Reconductor!I42,CTGS!I42)</f>
        <v>0</v>
      </c>
      <c r="J42" s="104">
        <f>SUM('Defect (Total)'!J42,Planned!J42,Reconductor!J42,CTGS!J42)</f>
        <v>0</v>
      </c>
      <c r="K42" s="104">
        <f>SUM('Defect (Total)'!K42,Planned!K42,Reconductor!K42,CTGS!K42)</f>
        <v>0</v>
      </c>
      <c r="L42" s="104">
        <f>SUM('Defect (Total)'!L42,Planned!L42,Reconductor!L42,CTGS!L42)</f>
        <v>0</v>
      </c>
      <c r="M42" s="104">
        <f>SUM('Defect (Total)'!M42,Planned!M42,Reconductor!M42,CTGS!M42)</f>
        <v>0</v>
      </c>
      <c r="N42" s="104">
        <f>SUM('Defect (Total)'!N42,Planned!N42,Reconductor!N42,CTGS!N42)</f>
        <v>0</v>
      </c>
      <c r="O42" s="563">
        <f>SUM('Defect (Total)'!O42,Planned!O42,Reconductor!O42,CTGS!O42)</f>
        <v>0</v>
      </c>
      <c r="P42" s="564">
        <f>SUM('Defect (Total)'!P42,Planned!P42,Reconductor!P42,CTGS!P42)</f>
        <v>0</v>
      </c>
      <c r="Q42" s="564">
        <f>SUM('Defect (Total)'!Q42,Planned!Q42,Reconductor!Q42,CTGS!Q42)</f>
        <v>0</v>
      </c>
      <c r="R42" s="564">
        <f>SUM('Defect (Total)'!R42,Planned!R42,Reconductor!R42,CTGS!R42)</f>
        <v>0</v>
      </c>
      <c r="S42" s="564">
        <f>SUM('Defect (Total)'!S42,Planned!S42,Reconductor!S42,CTGS!S42)</f>
        <v>0</v>
      </c>
      <c r="T42" s="564">
        <f>SUM('Defect (Total)'!T42,Planned!T42,Reconductor!T42,CTGS!T42)</f>
        <v>0</v>
      </c>
      <c r="U42" s="564">
        <f>SUM('Defect (Total)'!U42,Planned!U42,Reconductor!U42,CTGS!U42)</f>
        <v>0</v>
      </c>
      <c r="V42" s="564">
        <f>SUM('Defect (Total)'!V42,Planned!V42,Reconductor!V42,CTGS!V42)</f>
        <v>0</v>
      </c>
      <c r="W42" s="564">
        <f>SUM('Defect (Total)'!W42,Planned!W42,Reconductor!W42,CTGS!W42)</f>
        <v>0</v>
      </c>
      <c r="X42" s="564">
        <f>SUM('Defect (Total)'!X42,Planned!X42,Reconductor!X42,CTGS!X42)</f>
        <v>0</v>
      </c>
      <c r="Y42" s="564">
        <f>SUM('Defect (Total)'!Y42,Planned!Y42,Reconductor!Y42,CTGS!Y42)</f>
        <v>0</v>
      </c>
      <c r="Z42" s="131">
        <f>SUM('Defect (Total)'!Z42,Planned!Z42,Reconductor!Z42,CTGS!Z42)</f>
        <v>0</v>
      </c>
      <c r="AA42" s="132">
        <f>SUM('Defect (Total)'!AA42,Planned!AA42,Reconductor!AA42,CTGS!AA42)</f>
        <v>0</v>
      </c>
      <c r="AB42" s="132">
        <f>SUM('Defect (Total)'!AB42,Planned!AB42,Reconductor!AB42,CTGS!AB42)</f>
        <v>0</v>
      </c>
      <c r="AC42" s="132">
        <f>SUM('Defect (Total)'!AC42,Planned!AC42,Reconductor!AC42,CTGS!AC42)</f>
        <v>0</v>
      </c>
      <c r="AD42" s="132">
        <f>SUM('Defect (Total)'!AD42,Planned!AD42,Reconductor!AD42,CTGS!AD42)</f>
        <v>0</v>
      </c>
      <c r="AE42" s="132">
        <f>SUM('Defect (Total)'!AE42,Planned!AE42,Reconductor!AE42,CTGS!AE42)</f>
        <v>0</v>
      </c>
      <c r="AF42" s="132">
        <f>SUM('Defect (Total)'!AF42,Planned!AF42,Reconductor!AF42,CTGS!AF42)</f>
        <v>0</v>
      </c>
      <c r="AG42" s="132">
        <f>SUM('Defect (Total)'!AG42,Planned!AG42,Reconductor!AG42,CTGS!AG42)</f>
        <v>0</v>
      </c>
      <c r="AH42" s="132">
        <f>SUM('Defect (Total)'!AH42,Planned!AH42,Reconductor!AH42,CTGS!AH42)</f>
        <v>0</v>
      </c>
      <c r="AI42" s="132">
        <f>SUM('Defect (Total)'!AI42,Planned!AI42,Reconductor!AI42,CTGS!AI42)</f>
        <v>0</v>
      </c>
      <c r="AJ42" s="132">
        <f>SUM('Defect (Total)'!AJ42,Planned!AJ42,Reconductor!AJ42,CTGS!AJ42)</f>
        <v>0</v>
      </c>
      <c r="AK42" s="133">
        <f t="shared" si="17"/>
        <v>0</v>
      </c>
      <c r="AL42" s="134">
        <f t="shared" si="18"/>
        <v>0</v>
      </c>
      <c r="AM42" s="135">
        <f t="shared" si="19"/>
        <v>0</v>
      </c>
      <c r="AN42" s="110" t="str">
        <f t="shared" si="21"/>
        <v/>
      </c>
      <c r="AO42" s="111" t="str">
        <f t="shared" si="22"/>
        <v/>
      </c>
      <c r="AP42" s="111" t="str">
        <f t="shared" si="23"/>
        <v/>
      </c>
      <c r="AQ42" s="111" t="str">
        <f t="shared" si="24"/>
        <v/>
      </c>
      <c r="AR42" s="111" t="str">
        <f t="shared" si="25"/>
        <v/>
      </c>
      <c r="AS42" s="111" t="str">
        <f t="shared" si="26"/>
        <v/>
      </c>
      <c r="AT42" s="111" t="str">
        <f t="shared" si="27"/>
        <v/>
      </c>
      <c r="AU42" s="111" t="str">
        <f t="shared" si="28"/>
        <v/>
      </c>
      <c r="AV42" s="111" t="str">
        <f t="shared" si="29"/>
        <v/>
      </c>
      <c r="AW42" s="111" t="str">
        <f t="shared" si="10"/>
        <v/>
      </c>
      <c r="AX42" s="111" t="str">
        <f t="shared" si="11"/>
        <v/>
      </c>
      <c r="AY42" s="112" t="str">
        <f t="shared" si="30"/>
        <v/>
      </c>
      <c r="AZ42" s="113" t="str">
        <f t="shared" si="31"/>
        <v/>
      </c>
      <c r="BA42" s="114" t="str">
        <f t="shared" si="32"/>
        <v/>
      </c>
      <c r="BB42" s="693">
        <f>SUM('Defect (Total)'!BB42,Planned!CE42,Reconductor!CE42,CTGS!CE42,'Substation 2025$'!CE42*$BL$1,Comms!CA42*$BL$2)</f>
        <v>0</v>
      </c>
      <c r="BC42" s="693">
        <f>SUM('Defect (Total)'!BC42,Planned!CF42,Reconductor!CF42,CTGS!CF42,'Substation 2025$'!CF42*$BL$1,Comms!CB42*$BL$2)</f>
        <v>0</v>
      </c>
      <c r="BD42" s="366">
        <f>SUM('Defect (Total)'!BD42,Planned!CG42,Reconductor!CG42,CTGS!CG42,'Substation 2025$'!CG42*$BL$1,Comms!CC42*$BL$2)</f>
        <v>0</v>
      </c>
      <c r="BE42" s="366">
        <f>SUM('Defect (Total)'!BE42,Planned!CH42,Reconductor!CH42,CTGS!CH42,'Substation 2025$'!CH42*$BL$1,Comms!CD42*$BL$2)</f>
        <v>0</v>
      </c>
      <c r="BF42" s="366">
        <f>SUM('Defect (Total)'!BF42,Planned!CI42,Reconductor!CI42,CTGS!CI42,'Substation 2025$'!CI42*$BL$1,Comms!CE42*$BL$2)</f>
        <v>0</v>
      </c>
      <c r="BG42" s="366">
        <f>SUM('Defect (Total)'!BG42,Planned!CJ42,Reconductor!CJ42,CTGS!CJ42,'Substation 2025$'!CJ42*$BL$1,Comms!CF42*$BL$2)</f>
        <v>0</v>
      </c>
      <c r="BH42" s="366">
        <f>SUM('Defect (Total)'!BH42,Planned!CK42,Reconductor!CK42,CTGS!CK42,'Substation 2025$'!CK42*$BL$1,Comms!CG42*$BL$2)</f>
        <v>0</v>
      </c>
      <c r="BI42" s="367">
        <f>SUM('Defect (Total)'!BI42,Planned!CL42,Reconductor!CL42,CTGS!CL42,'Substation 2025$'!CL42*$BL$1,Comms!CH42*$BL$2)</f>
        <v>0</v>
      </c>
      <c r="BJ42" s="116" t="str">
        <f t="shared" si="20"/>
        <v/>
      </c>
      <c r="BK42" s="1013">
        <f>SUM('Defect (Total)'!BK42,Planned!CQ42,Reconductor!CQ42,CTGS!CQ42,'Substation 2025$'!CQ42*$BL$1,Comms!CM42*$BL$2)</f>
        <v>0</v>
      </c>
      <c r="BL42" s="1013">
        <f>SUM('Defect (Total)'!BL42,Planned!CR42,Reconductor!CR42,CTGS!CR42,'Substation 2025$'!CR42*$BL$1,Comms!CN42*$BL$2)</f>
        <v>0</v>
      </c>
      <c r="BM42" s="638">
        <f>SUM('Defect (Total)'!BM42,Planned!CS42,Reconductor!CS42,CTGS!CS42,'Substation 2025$'!CS42*$BL$1,Comms!CO42*$BL$2)</f>
        <v>0</v>
      </c>
      <c r="BN42" s="467">
        <f>SUM('Defect (Total)'!BN42,Planned!CT42,Reconductor!CT42,CTGS!CT42,'Substation 2025$'!CT42*$BL$1,Comms!CP42*$BL$2)</f>
        <v>0</v>
      </c>
      <c r="BO42" s="117">
        <f>SUM('Defect (Total)'!BO42,Planned!CU42,Reconductor!CU42,CTGS!CU42,'Substation 2025$'!CU42*$BL$1,Comms!CQ42*$BL$2)</f>
        <v>0</v>
      </c>
      <c r="BP42" s="117">
        <f>SUM('Defect (Total)'!BP42,Planned!CV42,Reconductor!CV42,CTGS!CV42,'Substation 2025$'!CV42*$BL$1,Comms!CR42*$BL$2)</f>
        <v>0</v>
      </c>
      <c r="BQ42" s="117">
        <f>SUM('Defect (Total)'!BQ42,Planned!CW42,Reconductor!CW42,CTGS!CW42,'Substation 2025$'!CW42*$BL$1,Comms!CS42*$BL$2)</f>
        <v>0</v>
      </c>
      <c r="BR42" s="118">
        <f>SUM('Defect (Total)'!BR42,Planned!CX42,Reconductor!CX42,CTGS!CX42,'Substation 2025$'!CX42*$BL$1,Comms!CT42*$BL$2)</f>
        <v>0</v>
      </c>
      <c r="BS42" s="837" t="str">
        <f>'Unit Cost Rate Summary'!AO42</f>
        <v/>
      </c>
      <c r="BT42" s="841" t="str">
        <f t="shared" si="33"/>
        <v/>
      </c>
      <c r="BU42" s="833" t="str">
        <f t="shared" si="34"/>
        <v/>
      </c>
      <c r="BV42" t="s">
        <v>636</v>
      </c>
      <c r="CI42" s="467">
        <f>VLOOKUP($A42,'Distribution Summary'!$A$136:$CG$146,CI$1,0)*BN42</f>
        <v>0</v>
      </c>
      <c r="CJ42" s="117">
        <f>VLOOKUP($A42,'Distribution Summary'!$A$136:$CG$146,CJ$1,0)*BO42</f>
        <v>0</v>
      </c>
      <c r="CK42" s="117">
        <f>VLOOKUP($A42,'Distribution Summary'!$A$136:$CG$146,CK$1,0)*BP42</f>
        <v>0</v>
      </c>
      <c r="CL42" s="117">
        <f>VLOOKUP($A42,'Distribution Summary'!$A$136:$CG$146,CL$1,0)*BQ42</f>
        <v>0</v>
      </c>
      <c r="CM42" s="118">
        <f>VLOOKUP($A42,'Distribution Summary'!$A$136:$CG$146,CM$1,0)*BR42</f>
        <v>0</v>
      </c>
    </row>
    <row r="43" spans="1:91" x14ac:dyDescent="0.25">
      <c r="A43" s="63" t="s">
        <v>94</v>
      </c>
      <c r="B43" s="334" t="s">
        <v>92</v>
      </c>
      <c r="C43" s="65" t="s">
        <v>305</v>
      </c>
      <c r="D43" s="66">
        <f>SUM('Defect (Total)'!D43,Planned!D43,Reconductor!D43,CTGS!D43)</f>
        <v>749767</v>
      </c>
      <c r="E43" s="67">
        <f>SUM('Defect (Total)'!E43,Planned!E43,Reconductor!E43,CTGS!E43)</f>
        <v>1618342</v>
      </c>
      <c r="F43" s="67">
        <f>SUM('Defect (Total)'!F43,Planned!F43,Reconductor!F43,CTGS!F43)</f>
        <v>1893474</v>
      </c>
      <c r="G43" s="67">
        <f>SUM('Defect (Total)'!G43,Planned!G43,Reconductor!G43,CTGS!G43)</f>
        <v>1523393.5397750521</v>
      </c>
      <c r="H43" s="67">
        <f>SUM('Defect (Total)'!H43,Planned!H43,Reconductor!H43,CTGS!H43)</f>
        <v>1390163.6677463539</v>
      </c>
      <c r="I43" s="67">
        <f>SUM('Defect (Total)'!I43,Planned!I43,Reconductor!I43,CTGS!I43)</f>
        <v>1575911.5422132332</v>
      </c>
      <c r="J43" s="67">
        <f>SUM('Defect (Total)'!J43,Planned!J43,Reconductor!J43,CTGS!J43)</f>
        <v>3265911.0194878643</v>
      </c>
      <c r="K43" s="67">
        <f>SUM('Defect (Total)'!K43,Planned!K43,Reconductor!K43,CTGS!K43)</f>
        <v>4374136.2633900307</v>
      </c>
      <c r="L43" s="67">
        <f>SUM('Defect (Total)'!L43,Planned!L43,Reconductor!L43,CTGS!L43)</f>
        <v>4439821.4098038366</v>
      </c>
      <c r="M43" s="67">
        <f>SUM('Defect (Total)'!M43,Planned!M43,Reconductor!M43,CTGS!M43)</f>
        <v>3935503.2921129577</v>
      </c>
      <c r="N43" s="67">
        <f>SUM('Defect (Total)'!N43,Planned!N43,Reconductor!N43,CTGS!N43)</f>
        <v>7830182.5878123324</v>
      </c>
      <c r="O43" s="557">
        <f>SUM('Defect (Total)'!O43,Planned!O43,Reconductor!O43,CTGS!O43)</f>
        <v>1008778.7480825575</v>
      </c>
      <c r="P43" s="558">
        <f>SUM('Defect (Total)'!P43,Planned!P43,Reconductor!P43,CTGS!P43)</f>
        <v>2145000.5305108074</v>
      </c>
      <c r="Q43" s="558">
        <f>SUM('Defect (Total)'!Q43,Planned!Q43,Reconductor!Q43,CTGS!Q43)</f>
        <v>2484248.7711860063</v>
      </c>
      <c r="R43" s="558">
        <f>SUM('Defect (Total)'!R43,Planned!R43,Reconductor!R43,CTGS!R43)</f>
        <v>1960785.3415969468</v>
      </c>
      <c r="S43" s="558">
        <f>SUM('Defect (Total)'!S43,Planned!S43,Reconductor!S43,CTGS!S43)</f>
        <v>1752883.5013267847</v>
      </c>
      <c r="T43" s="558">
        <f>SUM('Defect (Total)'!T43,Planned!T43,Reconductor!T43,CTGS!T43)</f>
        <v>1955939.9228373505</v>
      </c>
      <c r="U43" s="558">
        <f>SUM('Defect (Total)'!U43,Planned!U43,Reconductor!U43,CTGS!U43)</f>
        <v>4067652.898308903</v>
      </c>
      <c r="V43" s="558">
        <f>SUM('Defect (Total)'!V43,Planned!V43,Reconductor!V43,CTGS!V43)</f>
        <v>5246158.7743863966</v>
      </c>
      <c r="W43" s="558">
        <f>SUM('Defect (Total)'!W43,Planned!W43,Reconductor!W43,CTGS!W43)</f>
        <v>5016675.1249130927</v>
      </c>
      <c r="X43" s="558">
        <f>SUM('Defect (Total)'!X43,Planned!X43,Reconductor!X43,CTGS!X43)</f>
        <v>4185253.9756689346</v>
      </c>
      <c r="Y43" s="558">
        <f>SUM('Defect (Total)'!Y43,Planned!Y43,Reconductor!Y43,CTGS!Y43)</f>
        <v>8045500.7017440591</v>
      </c>
      <c r="Z43" s="119">
        <f>SUM('Defect (Total)'!Z43,Planned!Z43,Reconductor!Z43,CTGS!Z43)</f>
        <v>4</v>
      </c>
      <c r="AA43" s="120">
        <f>SUM('Defect (Total)'!AA43,Planned!AA43,Reconductor!AA43,CTGS!AA43)</f>
        <v>6</v>
      </c>
      <c r="AB43" s="120">
        <f>SUM('Defect (Total)'!AB43,Planned!AB43,Reconductor!AB43,CTGS!AB43)</f>
        <v>10</v>
      </c>
      <c r="AC43" s="120">
        <f>SUM('Defect (Total)'!AC43,Planned!AC43,Reconductor!AC43,CTGS!AC43)</f>
        <v>7.0866666666666669</v>
      </c>
      <c r="AD43" s="120">
        <f>SUM('Defect (Total)'!AD43,Planned!AD43,Reconductor!AD43,CTGS!AD43)</f>
        <v>7.0170000000000003</v>
      </c>
      <c r="AE43" s="120">
        <f>SUM('Defect (Total)'!AE43,Planned!AE43,Reconductor!AE43,CTGS!AE43)</f>
        <v>8.0610234390000031</v>
      </c>
      <c r="AF43" s="120">
        <f>SUM('Defect (Total)'!AF43,Planned!AF43,Reconductor!AF43,CTGS!AF43)</f>
        <v>8.2950000300000042</v>
      </c>
      <c r="AG43" s="120">
        <f>SUM('Defect (Total)'!AG43,Planned!AG43,Reconductor!AG43,CTGS!AG43)</f>
        <v>13.713666666666647</v>
      </c>
      <c r="AH43" s="120">
        <f>SUM('Defect (Total)'!AH43,Planned!AH43,Reconductor!AH43,CTGS!AH43)</f>
        <v>15.669999973000003</v>
      </c>
      <c r="AI43" s="120">
        <f>SUM('Defect (Total)'!AI43,Planned!AI43,Reconductor!AI43,CTGS!AI43)</f>
        <v>6.7330000670000008</v>
      </c>
      <c r="AJ43" s="120">
        <f>SUM('Defect (Total)'!AJ43,Planned!AJ43,Reconductor!AJ43,CTGS!AJ43)</f>
        <v>10.906666707000005</v>
      </c>
      <c r="AK43" s="121">
        <f t="shared" si="17"/>
        <v>10.494538035133331</v>
      </c>
      <c r="AL43" s="122">
        <f t="shared" si="18"/>
        <v>12.038888902222217</v>
      </c>
      <c r="AM43" s="123">
        <f t="shared" si="19"/>
        <v>6.7330000670000008</v>
      </c>
      <c r="AN43" s="73">
        <f t="shared" si="21"/>
        <v>187441.75</v>
      </c>
      <c r="AO43" s="74">
        <f t="shared" si="22"/>
        <v>269723.66666666669</v>
      </c>
      <c r="AP43" s="74">
        <f t="shared" si="23"/>
        <v>189347.4</v>
      </c>
      <c r="AQ43" s="74">
        <f t="shared" si="24"/>
        <v>214966.16271520019</v>
      </c>
      <c r="AR43" s="74">
        <f t="shared" si="25"/>
        <v>198113.67646378136</v>
      </c>
      <c r="AS43" s="74">
        <f t="shared" si="26"/>
        <v>195497.70003010068</v>
      </c>
      <c r="AT43" s="74">
        <f t="shared" si="27"/>
        <v>393720.43492179021</v>
      </c>
      <c r="AU43" s="74">
        <f t="shared" si="28"/>
        <v>318961.83345495031</v>
      </c>
      <c r="AV43" s="74">
        <f t="shared" si="29"/>
        <v>283332.57290707179</v>
      </c>
      <c r="AW43" s="74">
        <f t="shared" si="10"/>
        <v>584509.61725097476</v>
      </c>
      <c r="AX43" s="74">
        <f t="shared" si="11"/>
        <v>717926.27373373799</v>
      </c>
      <c r="AY43" s="75">
        <f t="shared" si="30"/>
        <v>285194.9936899023</v>
      </c>
      <c r="AZ43" s="76">
        <f t="shared" si="31"/>
        <v>320602.33974273491</v>
      </c>
      <c r="BA43" s="77">
        <f t="shared" si="32"/>
        <v>283332.57290707179</v>
      </c>
      <c r="BB43" s="691">
        <f>SUM('Defect (Total)'!BB43,Planned!CE43,Reconductor!CE43,CTGS!CE43,'Substation 2025$'!CE43*$BL$1,Comms!CA43*$BL$2)</f>
        <v>9.693136002422218</v>
      </c>
      <c r="BC43" s="691">
        <f>SUM('Defect (Total)'!BC43,Planned!CF43,Reconductor!CF43,CTGS!CF43,'Substation 2025$'!CF43*$BL$1,Comms!CB43*$BL$2)</f>
        <v>16.710135995866665</v>
      </c>
      <c r="BD43" s="360">
        <f>SUM('Defect (Total)'!BD43,Planned!CG43,Reconductor!CG43,CTGS!CG43,'Substation 2025$'!CG43*$BL$1,Comms!CC43*$BL$2)</f>
        <v>17.710135995866665</v>
      </c>
      <c r="BE43" s="360">
        <f>SUM('Defect (Total)'!BE43,Planned!CH43,Reconductor!CH43,CTGS!CH43,'Substation 2025$'!CH43*$BL$1,Comms!CD43*$BL$2)</f>
        <v>17.710135995866665</v>
      </c>
      <c r="BF43" s="360">
        <f>SUM('Defect (Total)'!BF43,Planned!CI43,Reconductor!CI43,CTGS!CI43,'Substation 2025$'!CI43*$BL$1,Comms!CE43*$BL$2)</f>
        <v>18.710135995866665</v>
      </c>
      <c r="BG43" s="360">
        <f>SUM('Defect (Total)'!BG43,Planned!CJ43,Reconductor!CJ43,CTGS!CJ43,'Substation 2025$'!CJ43*$BL$1,Comms!CF43*$BL$2)</f>
        <v>18.710135995866665</v>
      </c>
      <c r="BH43" s="360">
        <f>SUM('Defect (Total)'!BH43,Planned!CK43,Reconductor!CK43,CTGS!CK43,'Substation 2025$'!CK43*$BL$1,Comms!CG43*$BL$2)</f>
        <v>19.710135995866665</v>
      </c>
      <c r="BI43" s="361">
        <f>SUM('Defect (Total)'!BI43,Planned!CL43,Reconductor!CL43,CTGS!CL43,'Substation 2025$'!CL43*$BL$1,Comms!CH43*$BL$2)</f>
        <v>19.710135995866665</v>
      </c>
      <c r="BJ43" s="124">
        <f t="shared" si="20"/>
        <v>294409.0621976938</v>
      </c>
      <c r="BK43" s="974">
        <f>SUM('Defect (Total)'!BK43,Planned!CQ43,Reconductor!CQ43,CTGS!CQ43,'Substation 2025$'!CQ43*$BL$1,Comms!CM43*$BL$2)</f>
        <v>2802215.4065406229</v>
      </c>
      <c r="BL43" s="974">
        <f>SUM('Defect (Total)'!BL43,Planned!CR43,Reconductor!CR43,CTGS!CR43,'Substation 2025$'!CR43*$BL$1,Comms!CN43*$BL$2)</f>
        <v>4907315.4045739574</v>
      </c>
      <c r="BM43" s="523">
        <f>SUM('Defect (Total)'!BM43,Planned!CS43,Reconductor!CS43,CTGS!CS43,'Substation 2025$'!CS43*$BL$1,Comms!CO43*$BL$2)</f>
        <v>5207315.4045739574</v>
      </c>
      <c r="BN43" s="415">
        <f>SUM('Defect (Total)'!BN43,Planned!CT43,Reconductor!CT43,CTGS!CT43,'Substation 2025$'!CT43*$BL$1,Comms!CP43*$BL$2)</f>
        <v>5207315.4045739574</v>
      </c>
      <c r="BO43" s="79">
        <f>SUM('Defect (Total)'!BO43,Planned!CU43,Reconductor!CU43,CTGS!CU43,'Substation 2025$'!CU43*$BL$1,Comms!CQ43*$BL$2)</f>
        <v>5507315.4045739574</v>
      </c>
      <c r="BP43" s="79">
        <f>SUM('Defect (Total)'!BP43,Planned!CV43,Reconductor!CV43,CTGS!CV43,'Substation 2025$'!CV43*$BL$1,Comms!CR43*$BL$2)</f>
        <v>5507315.4045739574</v>
      </c>
      <c r="BQ43" s="79">
        <f>SUM('Defect (Total)'!BQ43,Planned!CW43,Reconductor!CW43,CTGS!CW43,'Substation 2025$'!CW43*$BL$1,Comms!CS43*$BL$2)</f>
        <v>5807315.4045739574</v>
      </c>
      <c r="BR43" s="80">
        <f>SUM('Defect (Total)'!BR43,Planned!CX43,Reconductor!CX43,CTGS!CX43,'Substation 2025$'!CX43*$BL$1,Comms!CT43*$BL$2)</f>
        <v>5807315.4045739574</v>
      </c>
      <c r="BS43" s="835">
        <f>'Unit Cost Rate Summary'!AO43</f>
        <v>1395.9695968116266</v>
      </c>
      <c r="BT43" s="839">
        <f t="shared" si="33"/>
        <v>2330.1524532004973</v>
      </c>
      <c r="BU43" s="834">
        <f t="shared" si="34"/>
        <v>11650.762266002486</v>
      </c>
      <c r="BV43" t="s">
        <v>818</v>
      </c>
      <c r="CI43" s="415">
        <f>VLOOKUP($A43,'Distribution Summary'!$A$136:$CG$146,CI$1,0)*BN43</f>
        <v>5873483.121013917</v>
      </c>
      <c r="CJ43" s="79">
        <f>VLOOKUP($A43,'Distribution Summary'!$A$136:$CG$146,CJ$1,0)*BO43</f>
        <v>6226802.7412763312</v>
      </c>
      <c r="CK43" s="79">
        <f>VLOOKUP($A43,'Distribution Summary'!$A$136:$CG$146,CK$1,0)*BP43</f>
        <v>6241709.140341403</v>
      </c>
      <c r="CL43" s="79">
        <f>VLOOKUP($A43,'Distribution Summary'!$A$136:$CG$146,CL$1,0)*BQ43</f>
        <v>6600482.7949798303</v>
      </c>
      <c r="CM43" s="80">
        <f>VLOOKUP($A43,'Distribution Summary'!$A$136:$CG$146,CM$1,0)*BR43</f>
        <v>6622203.9824554212</v>
      </c>
    </row>
    <row r="44" spans="1:91" x14ac:dyDescent="0.25">
      <c r="A44" s="81" t="s">
        <v>94</v>
      </c>
      <c r="B44" s="82" t="s">
        <v>450</v>
      </c>
      <c r="C44" s="83" t="s">
        <v>70</v>
      </c>
      <c r="D44" s="84">
        <f>SUM('Defect (Total)'!D44,Planned!D44,Reconductor!D44,CTGS!D44)</f>
        <v>509333</v>
      </c>
      <c r="E44" s="85">
        <f>SUM('Defect (Total)'!E44,Planned!E44,Reconductor!E44,CTGS!E44)</f>
        <v>251119</v>
      </c>
      <c r="F44" s="85">
        <f>SUM('Defect (Total)'!F44,Planned!F44,Reconductor!F44,CTGS!F44)</f>
        <v>789354</v>
      </c>
      <c r="G44" s="85">
        <f>SUM('Defect (Total)'!G44,Planned!G44,Reconductor!G44,CTGS!G44)</f>
        <v>496868</v>
      </c>
      <c r="H44" s="85">
        <f>SUM('Defect (Total)'!H44,Planned!H44,Reconductor!H44,CTGS!H44)</f>
        <v>602005</v>
      </c>
      <c r="I44" s="85">
        <f>SUM('Defect (Total)'!I44,Planned!I44,Reconductor!I44,CTGS!I44)</f>
        <v>659068.26264213398</v>
      </c>
      <c r="J44" s="85">
        <f>SUM('Defect (Total)'!J44,Planned!J44,Reconductor!J44,CTGS!J44)</f>
        <v>269170.49318973796</v>
      </c>
      <c r="K44" s="85">
        <f>SUM('Defect (Total)'!K44,Planned!K44,Reconductor!K44,CTGS!K44)</f>
        <v>2014471.6377697799</v>
      </c>
      <c r="L44" s="85">
        <f>SUM('Defect (Total)'!L44,Planned!L44,Reconductor!L44,CTGS!L44)</f>
        <v>813777.5654024278</v>
      </c>
      <c r="M44" s="85">
        <f>SUM('Defect (Total)'!M44,Planned!M44,Reconductor!M44,CTGS!M44)</f>
        <v>131217.81677955485</v>
      </c>
      <c r="N44" s="85">
        <f>SUM('Defect (Total)'!N44,Planned!N44,Reconductor!N44,CTGS!N44)</f>
        <v>0</v>
      </c>
      <c r="O44" s="560">
        <f>SUM('Defect (Total)'!O44,Planned!O44,Reconductor!O44,CTGS!O44)</f>
        <v>685285.3034304434</v>
      </c>
      <c r="P44" s="561">
        <f>SUM('Defect (Total)'!P44,Planned!P44,Reconductor!P44,CTGS!P44)</f>
        <v>332840.88790956623</v>
      </c>
      <c r="Q44" s="561">
        <f>SUM('Defect (Total)'!Q44,Planned!Q44,Reconductor!Q44,CTGS!Q44)</f>
        <v>1035636.98499729</v>
      </c>
      <c r="R44" s="561">
        <f>SUM('Defect (Total)'!R44,Planned!R44,Reconductor!R44,CTGS!R44)</f>
        <v>639527.12524463783</v>
      </c>
      <c r="S44" s="561">
        <f>SUM('Defect (Total)'!S44,Planned!S44,Reconductor!S44,CTGS!S44)</f>
        <v>759079.42114968912</v>
      </c>
      <c r="T44" s="561">
        <f>SUM('Defect (Total)'!T44,Planned!T44,Reconductor!T44,CTGS!T44)</f>
        <v>818001.45011081907</v>
      </c>
      <c r="U44" s="561">
        <f>SUM('Defect (Total)'!U44,Planned!U44,Reconductor!U44,CTGS!U44)</f>
        <v>335248.61217258987</v>
      </c>
      <c r="V44" s="561">
        <f>SUM('Defect (Total)'!V44,Planned!V44,Reconductor!V44,CTGS!V44)</f>
        <v>2416074.2651505554</v>
      </c>
      <c r="W44" s="561">
        <f>SUM('Defect (Total)'!W44,Planned!W44,Reconductor!W44,CTGS!W44)</f>
        <v>919509.43354432611</v>
      </c>
      <c r="X44" s="561">
        <f>SUM('Defect (Total)'!X44,Planned!X44,Reconductor!X44,CTGS!X44)</f>
        <v>139545.02095216827</v>
      </c>
      <c r="Y44" s="561">
        <f>SUM('Defect (Total)'!Y44,Planned!Y44,Reconductor!Y44,CTGS!Y44)</f>
        <v>0</v>
      </c>
      <c r="Z44" s="125">
        <f>SUM('Defect (Total)'!Z44,Planned!Z44,Reconductor!Z44,CTGS!Z44)</f>
        <v>1</v>
      </c>
      <c r="AA44" s="126">
        <f>SUM('Defect (Total)'!AA44,Planned!AA44,Reconductor!AA44,CTGS!AA44)</f>
        <v>2</v>
      </c>
      <c r="AB44" s="126">
        <f>SUM('Defect (Total)'!AB44,Planned!AB44,Reconductor!AB44,CTGS!AB44)</f>
        <v>2</v>
      </c>
      <c r="AC44" s="126">
        <f>SUM('Defect (Total)'!AC44,Planned!AC44,Reconductor!AC44,CTGS!AC44)</f>
        <v>1</v>
      </c>
      <c r="AD44" s="126">
        <f>SUM('Defect (Total)'!AD44,Planned!AD44,Reconductor!AD44,CTGS!AD44)</f>
        <v>3</v>
      </c>
      <c r="AE44" s="126">
        <f>SUM('Defect (Total)'!AE44,Planned!AE44,Reconductor!AE44,CTGS!AE44)</f>
        <v>0.95473003099999998</v>
      </c>
      <c r="AF44" s="126">
        <f>SUM('Defect (Total)'!AF44,Planned!AF44,Reconductor!AF44,CTGS!AF44)</f>
        <v>-0.52633333299999996</v>
      </c>
      <c r="AG44" s="126">
        <f>SUM('Defect (Total)'!AG44,Planned!AG44,Reconductor!AG44,CTGS!AG44)</f>
        <v>1.7429999999999983</v>
      </c>
      <c r="AH44" s="126">
        <f>SUM('Defect (Total)'!AH44,Planned!AH44,Reconductor!AH44,CTGS!AH44)</f>
        <v>1.6276667210000002</v>
      </c>
      <c r="AI44" s="126">
        <f>SUM('Defect (Total)'!AI44,Planned!AI44,Reconductor!AI44,CTGS!AI44)</f>
        <v>-0.30233332200000002</v>
      </c>
      <c r="AJ44" s="126">
        <f>SUM('Defect (Total)'!AJ44,Planned!AJ44,Reconductor!AJ44,CTGS!AJ44)</f>
        <v>0</v>
      </c>
      <c r="AK44" s="127">
        <f t="shared" si="17"/>
        <v>0.69934601939999974</v>
      </c>
      <c r="AL44" s="128">
        <f t="shared" si="18"/>
        <v>1.022777799666666</v>
      </c>
      <c r="AM44" s="129">
        <f t="shared" si="19"/>
        <v>-0.30233332200000002</v>
      </c>
      <c r="AN44" s="91">
        <f t="shared" si="21"/>
        <v>509333</v>
      </c>
      <c r="AO44" s="92">
        <f t="shared" si="22"/>
        <v>125559.5</v>
      </c>
      <c r="AP44" s="92">
        <f t="shared" si="23"/>
        <v>394677</v>
      </c>
      <c r="AQ44" s="92">
        <f t="shared" si="24"/>
        <v>496868</v>
      </c>
      <c r="AR44" s="92">
        <f t="shared" si="25"/>
        <v>200668.33333333334</v>
      </c>
      <c r="AS44" s="92">
        <f t="shared" si="26"/>
        <v>690318.98153639829</v>
      </c>
      <c r="AT44" s="92">
        <f t="shared" si="27"/>
        <v>-511406.8904880436</v>
      </c>
      <c r="AU44" s="92">
        <f t="shared" si="28"/>
        <v>1155749.6487491578</v>
      </c>
      <c r="AV44" s="92">
        <f t="shared" si="29"/>
        <v>499965.72080951679</v>
      </c>
      <c r="AW44" s="92">
        <f t="shared" si="10"/>
        <v>-434017.05082165851</v>
      </c>
      <c r="AX44" s="92" t="str">
        <f t="shared" si="11"/>
        <v/>
      </c>
      <c r="AY44" s="93">
        <f t="shared" si="30"/>
        <v>641043.1393865603</v>
      </c>
      <c r="AZ44" s="94">
        <f t="shared" si="31"/>
        <v>1088979.1293206685</v>
      </c>
      <c r="BA44" s="95">
        <f t="shared" si="32"/>
        <v>499965.72080951679</v>
      </c>
      <c r="BB44" s="692">
        <f>SUM('Defect (Total)'!BB44,Planned!CE44,Reconductor!CE44,CTGS!CE44,'Substation 2025$'!CE44*$BL$1,Comms!CA44*$BL$2)</f>
        <v>0.57253335757777757</v>
      </c>
      <c r="BC44" s="692">
        <f>SUM('Defect (Total)'!BC44,Planned!CF44,Reconductor!CF44,CTGS!CF44,'Substation 2025$'!CF44*$BL$1,Comms!CB44*$BL$2)</f>
        <v>1.6692000015777779</v>
      </c>
      <c r="BD44" s="363">
        <f>SUM('Defect (Total)'!BD44,Planned!CG44,Reconductor!CG44,CTGS!CG44,'Substation 2025$'!CG44*$BL$1,Comms!CC44*$BL$2)</f>
        <v>1.6692000015777779</v>
      </c>
      <c r="BE44" s="363">
        <f>SUM('Defect (Total)'!BE44,Planned!CH44,Reconductor!CH44,CTGS!CH44,'Substation 2025$'!CH44*$BL$1,Comms!CD44*$BL$2)</f>
        <v>1.6692000015777779</v>
      </c>
      <c r="BF44" s="363">
        <f>SUM('Defect (Total)'!BF44,Planned!CI44,Reconductor!CI44,CTGS!CI44,'Substation 2025$'!CI44*$BL$1,Comms!CE44*$BL$2)</f>
        <v>1.6692000015777779</v>
      </c>
      <c r="BG44" s="363">
        <f>SUM('Defect (Total)'!BG44,Planned!CJ44,Reconductor!CJ44,CTGS!CJ44,'Substation 2025$'!CJ44*$BL$1,Comms!CF44*$BL$2)</f>
        <v>1.6692000015777779</v>
      </c>
      <c r="BH44" s="363">
        <f>SUM('Defect (Total)'!BH44,Planned!CK44,Reconductor!CK44,CTGS!CK44,'Substation 2025$'!CK44*$BL$1,Comms!CG44*$BL$2)</f>
        <v>1.6692000015777779</v>
      </c>
      <c r="BI44" s="364">
        <f>SUM('Defect (Total)'!BI44,Planned!CL44,Reconductor!CL44,CTGS!CL44,'Substation 2025$'!CL44*$BL$1,Comms!CH44*$BL$2)</f>
        <v>1.6692000015777779</v>
      </c>
      <c r="BJ44" s="99">
        <f t="shared" si="20"/>
        <v>482925.3463286836</v>
      </c>
      <c r="BK44" s="992">
        <f>SUM('Defect (Total)'!BK44,Planned!CQ44,Reconductor!CQ44,CTGS!CQ44,'Substation 2025$'!CQ44*$BL$1,Comms!CM44*$BL$2)</f>
        <v>238025.66726178757</v>
      </c>
      <c r="BL44" s="992">
        <f>SUM('Defect (Total)'!BL44,Planned!CR44,Reconductor!CR44,CTGS!CR44,'Substation 2025$'!CR44*$BL$1,Comms!CN44*$BL$2)</f>
        <v>806098.98885378765</v>
      </c>
      <c r="BM44" s="524">
        <f>SUM('Defect (Total)'!BM44,Planned!CS44,Reconductor!CS44,CTGS!CS44,'Substation 2025$'!CS44*$BL$1,Comms!CO44*$BL$2)</f>
        <v>806098.98885378765</v>
      </c>
      <c r="BN44" s="416">
        <f>SUM('Defect (Total)'!BN44,Planned!CT44,Reconductor!CT44,CTGS!CT44,'Substation 2025$'!CT44*$BL$1,Comms!CP44*$BL$2)</f>
        <v>806098.98885378765</v>
      </c>
      <c r="BO44" s="97">
        <f>SUM('Defect (Total)'!BO44,Planned!CU44,Reconductor!CU44,CTGS!CU44,'Substation 2025$'!CU44*$BL$1,Comms!CQ44*$BL$2)</f>
        <v>806098.98885378765</v>
      </c>
      <c r="BP44" s="97">
        <f>SUM('Defect (Total)'!BP44,Planned!CV44,Reconductor!CV44,CTGS!CV44,'Substation 2025$'!CV44*$BL$1,Comms!CR44*$BL$2)</f>
        <v>806098.98885378765</v>
      </c>
      <c r="BQ44" s="97">
        <f>SUM('Defect (Total)'!BQ44,Planned!CW44,Reconductor!CW44,CTGS!CW44,'Substation 2025$'!CW44*$BL$1,Comms!CS44*$BL$2)</f>
        <v>806098.98885378765</v>
      </c>
      <c r="BR44" s="98">
        <f>SUM('Defect (Total)'!BR44,Planned!CX44,Reconductor!CX44,CTGS!CX44,'Substation 2025$'!CX44*$BL$1,Comms!CT44*$BL$2)</f>
        <v>806098.98885378765</v>
      </c>
      <c r="BS44" s="836">
        <f>'Unit Cost Rate Summary'!AO44</f>
        <v>2288.0745295538318</v>
      </c>
      <c r="BT44" s="840">
        <f t="shared" si="33"/>
        <v>1375.9463228555987</v>
      </c>
      <c r="BU44" s="832">
        <f t="shared" si="34"/>
        <v>6879.7316142779937</v>
      </c>
      <c r="BV44" t="s">
        <v>818</v>
      </c>
      <c r="CI44" s="416">
        <f>VLOOKUP($A44,'Distribution Summary'!$A$136:$CG$146,CI$1,0)*BN44</f>
        <v>909222.59111486934</v>
      </c>
      <c r="CJ44" s="97">
        <f>VLOOKUP($A44,'Distribution Summary'!$A$136:$CG$146,CJ$1,0)*BO44</f>
        <v>911409.46628299076</v>
      </c>
      <c r="CK44" s="97">
        <f>VLOOKUP($A44,'Distribution Summary'!$A$136:$CG$146,CK$1,0)*BP44</f>
        <v>913591.29759844905</v>
      </c>
      <c r="CL44" s="97">
        <f>VLOOKUP($A44,'Distribution Summary'!$A$136:$CG$146,CL$1,0)*BQ44</f>
        <v>916196.57902331592</v>
      </c>
      <c r="CM44" s="98">
        <f>VLOOKUP($A44,'Distribution Summary'!$A$136:$CG$146,CM$1,0)*BR44</f>
        <v>919211.64296266844</v>
      </c>
    </row>
    <row r="45" spans="1:91" x14ac:dyDescent="0.25">
      <c r="A45" s="81" t="s">
        <v>94</v>
      </c>
      <c r="B45" s="82" t="s">
        <v>451</v>
      </c>
      <c r="C45" s="83" t="s">
        <v>72</v>
      </c>
      <c r="D45" s="84">
        <f>SUM('Defect (Total)'!D45,Planned!D45,Reconductor!D45,CTGS!D45)</f>
        <v>31728</v>
      </c>
      <c r="E45" s="85">
        <f>SUM('Defect (Total)'!E45,Planned!E45,Reconductor!E45,CTGS!E45)</f>
        <v>475780</v>
      </c>
      <c r="F45" s="85">
        <f>SUM('Defect (Total)'!F45,Planned!F45,Reconductor!F45,CTGS!F45)</f>
        <v>109674</v>
      </c>
      <c r="G45" s="85">
        <f>SUM('Defect (Total)'!G45,Planned!G45,Reconductor!G45,CTGS!G45)</f>
        <v>75000</v>
      </c>
      <c r="H45" s="85">
        <f>SUM('Defect (Total)'!H45,Planned!H45,Reconductor!H45,CTGS!H45)</f>
        <v>3020633.512534895</v>
      </c>
      <c r="I45" s="85">
        <f>SUM('Defect (Total)'!I45,Planned!I45,Reconductor!I45,CTGS!I45)</f>
        <v>139891.86488126704</v>
      </c>
      <c r="J45" s="85">
        <f>SUM('Defect (Total)'!J45,Planned!J45,Reconductor!J45,CTGS!J45)</f>
        <v>1266352.5827685168</v>
      </c>
      <c r="K45" s="85">
        <f>SUM('Defect (Total)'!K45,Planned!K45,Reconductor!K45,CTGS!K45)</f>
        <v>1570761.9579401626</v>
      </c>
      <c r="L45" s="85">
        <f>SUM('Defect (Total)'!L45,Planned!L45,Reconductor!L45,CTGS!L45)</f>
        <v>863150.24027861527</v>
      </c>
      <c r="M45" s="85">
        <f>SUM('Defect (Total)'!M45,Planned!M45,Reconductor!M45,CTGS!M45)</f>
        <v>838239.06526350579</v>
      </c>
      <c r="N45" s="85">
        <f>SUM('Defect (Total)'!N45,Planned!N45,Reconductor!N45,CTGS!N45)</f>
        <v>2473996.0427172133</v>
      </c>
      <c r="O45" s="560">
        <f>SUM('Defect (Total)'!O45,Planned!O45,Reconductor!O45,CTGS!O45)</f>
        <v>42688.638095786264</v>
      </c>
      <c r="P45" s="561">
        <f>SUM('Defect (Total)'!P45,Planned!P45,Reconductor!P45,CTGS!P45)</f>
        <v>630613.52446295752</v>
      </c>
      <c r="Q45" s="561">
        <f>SUM('Defect (Total)'!Q45,Planned!Q45,Reconductor!Q45,CTGS!Q45)</f>
        <v>143892.91837704345</v>
      </c>
      <c r="R45" s="561">
        <f>SUM('Defect (Total)'!R45,Planned!R45,Reconductor!R45,CTGS!R45)</f>
        <v>96533.756235756446</v>
      </c>
      <c r="S45" s="561">
        <f>SUM('Defect (Total)'!S45,Planned!S45,Reconductor!S45,CTGS!S45)</f>
        <v>3808773.5786253274</v>
      </c>
      <c r="T45" s="561">
        <f>SUM('Defect (Total)'!T45,Planned!T45,Reconductor!T45,CTGS!T45)</f>
        <v>173626.54950617498</v>
      </c>
      <c r="U45" s="561">
        <f>SUM('Defect (Total)'!U45,Planned!U45,Reconductor!U45,CTGS!U45)</f>
        <v>1577226.9124426658</v>
      </c>
      <c r="V45" s="561">
        <f>SUM('Defect (Total)'!V45,Planned!V45,Reconductor!V45,CTGS!V45)</f>
        <v>1883907.160618183</v>
      </c>
      <c r="W45" s="561">
        <f>SUM('Defect (Total)'!W45,Planned!W45,Reconductor!W45,CTGS!W45)</f>
        <v>975296.96350101754</v>
      </c>
      <c r="X45" s="561">
        <f>SUM('Defect (Total)'!X45,Planned!X45,Reconductor!X45,CTGS!X45)</f>
        <v>891434.49263170001</v>
      </c>
      <c r="Y45" s="561">
        <f>SUM('Defect (Total)'!Y45,Planned!Y45,Reconductor!Y45,CTGS!Y45)</f>
        <v>2542027.1717258226</v>
      </c>
      <c r="Z45" s="125">
        <f>SUM('Defect (Total)'!Z45,Planned!Z45,Reconductor!Z45,CTGS!Z45)</f>
        <v>0</v>
      </c>
      <c r="AA45" s="126">
        <f>SUM('Defect (Total)'!AA45,Planned!AA45,Reconductor!AA45,CTGS!AA45)</f>
        <v>1</v>
      </c>
      <c r="AB45" s="126">
        <f>SUM('Defect (Total)'!AB45,Planned!AB45,Reconductor!AB45,CTGS!AB45)</f>
        <v>0</v>
      </c>
      <c r="AC45" s="126">
        <f>SUM('Defect (Total)'!AC45,Planned!AC45,Reconductor!AC45,CTGS!AC45)</f>
        <v>0</v>
      </c>
      <c r="AD45" s="126">
        <f>SUM('Defect (Total)'!AD45,Planned!AD45,Reconductor!AD45,CTGS!AD45)</f>
        <v>0.97633333333333328</v>
      </c>
      <c r="AE45" s="126">
        <f>SUM('Defect (Total)'!AE45,Planned!AE45,Reconductor!AE45,CTGS!AE45)</f>
        <v>0.26466000900000003</v>
      </c>
      <c r="AF45" s="126">
        <f>SUM('Defect (Total)'!AF45,Planned!AF45,Reconductor!AF45,CTGS!AF45)</f>
        <v>1.4726666660000001</v>
      </c>
      <c r="AG45" s="126">
        <f>SUM('Defect (Total)'!AG45,Planned!AG45,Reconductor!AG45,CTGS!AG45)</f>
        <v>1.9636666666666656</v>
      </c>
      <c r="AH45" s="126">
        <f>SUM('Defect (Total)'!AH45,Planned!AH45,Reconductor!AH45,CTGS!AH45)</f>
        <v>8.9666663999999993E-2</v>
      </c>
      <c r="AI45" s="126">
        <f>SUM('Defect (Total)'!AI45,Planned!AI45,Reconductor!AI45,CTGS!AI45)</f>
        <v>1.0809999879999999</v>
      </c>
      <c r="AJ45" s="126">
        <f>SUM('Defect (Total)'!AJ45,Planned!AJ45,Reconductor!AJ45,CTGS!AJ45)</f>
        <v>7.4439999490000002</v>
      </c>
      <c r="AK45" s="127">
        <f t="shared" si="17"/>
        <v>0.97433199873333309</v>
      </c>
      <c r="AL45" s="128">
        <f t="shared" si="18"/>
        <v>1.0447777728888885</v>
      </c>
      <c r="AM45" s="129">
        <f t="shared" si="19"/>
        <v>1.0809999879999999</v>
      </c>
      <c r="AN45" s="91" t="str">
        <f t="shared" si="21"/>
        <v/>
      </c>
      <c r="AO45" s="92">
        <f t="shared" si="22"/>
        <v>475780</v>
      </c>
      <c r="AP45" s="92" t="str">
        <f t="shared" si="23"/>
        <v/>
      </c>
      <c r="AQ45" s="92" t="str">
        <f t="shared" si="24"/>
        <v/>
      </c>
      <c r="AR45" s="92">
        <f t="shared" si="25"/>
        <v>3093854.7414150513</v>
      </c>
      <c r="AS45" s="92">
        <f t="shared" si="26"/>
        <v>528571.97961202753</v>
      </c>
      <c r="AT45" s="92">
        <f t="shared" si="27"/>
        <v>859904.42508496135</v>
      </c>
      <c r="AU45" s="92">
        <f t="shared" si="28"/>
        <v>799912.72684102703</v>
      </c>
      <c r="AV45" s="92">
        <f t="shared" si="29"/>
        <v>9626211.1444071941</v>
      </c>
      <c r="AW45" s="92">
        <f t="shared" si="10"/>
        <v>775429.30117359618</v>
      </c>
      <c r="AX45" s="92">
        <f t="shared" si="11"/>
        <v>332347.67056245892</v>
      </c>
      <c r="AY45" s="93">
        <f t="shared" si="30"/>
        <v>1439227.9725405881</v>
      </c>
      <c r="AZ45" s="94">
        <f t="shared" si="31"/>
        <v>1049422.7976419092</v>
      </c>
      <c r="BA45" s="95">
        <f t="shared" si="32"/>
        <v>9626211.1444071941</v>
      </c>
      <c r="BB45" s="692">
        <f>SUM('Defect (Total)'!BB45,Planned!CE45,Reconductor!CE45,CTGS!CE45,'Substation 2025$'!CE45*$BL$1,Comms!CA45*$BL$2)</f>
        <v>0.60135555248888872</v>
      </c>
      <c r="BC45" s="692">
        <f>SUM('Defect (Total)'!BC45,Planned!CF45,Reconductor!CF45,CTGS!CF45,'Substation 2025$'!CF45*$BL$1,Comms!CB45*$BL$2)</f>
        <v>0.60135555248888872</v>
      </c>
      <c r="BD45" s="363">
        <f>SUM('Defect (Total)'!BD45,Planned!CG45,Reconductor!CG45,CTGS!CG45,'Substation 2025$'!CG45*$BL$1,Comms!CC45*$BL$2)</f>
        <v>0.60135555248888872</v>
      </c>
      <c r="BE45" s="363">
        <f>SUM('Defect (Total)'!BE45,Planned!CH45,Reconductor!CH45,CTGS!CH45,'Substation 2025$'!CH45*$BL$1,Comms!CD45*$BL$2)</f>
        <v>0.60135555248888872</v>
      </c>
      <c r="BF45" s="363">
        <f>SUM('Defect (Total)'!BF45,Planned!CI45,Reconductor!CI45,CTGS!CI45,'Substation 2025$'!CI45*$BL$1,Comms!CE45*$BL$2)</f>
        <v>0.60135555248888872</v>
      </c>
      <c r="BG45" s="363">
        <f>SUM('Defect (Total)'!BG45,Planned!CJ45,Reconductor!CJ45,CTGS!CJ45,'Substation 2025$'!CJ45*$BL$1,Comms!CF45*$BL$2)</f>
        <v>0.60135555248888872</v>
      </c>
      <c r="BH45" s="363">
        <f>SUM('Defect (Total)'!BH45,Planned!CK45,Reconductor!CK45,CTGS!CK45,'Substation 2025$'!CK45*$BL$1,Comms!CG45*$BL$2)</f>
        <v>0.60135555248888872</v>
      </c>
      <c r="BI45" s="364">
        <f>SUM('Defect (Total)'!BI45,Planned!CL45,Reconductor!CL45,CTGS!CL45,'Substation 2025$'!CL45*$BL$1,Comms!CH45*$BL$2)</f>
        <v>0.60135555248888872</v>
      </c>
      <c r="BJ45" s="99">
        <f t="shared" si="20"/>
        <v>768568.05250081676</v>
      </c>
      <c r="BK45" s="992">
        <f>SUM('Defect (Total)'!BK45,Planned!CQ45,Reconductor!CQ45,CTGS!CQ45,'Substation 2025$'!CQ45*$BL$1,Comms!CM45*$BL$2)</f>
        <v>462182.66583693796</v>
      </c>
      <c r="BL45" s="992">
        <f>SUM('Defect (Total)'!BL45,Planned!CR45,Reconductor!CR45,CTGS!CR45,'Substation 2025$'!CR45*$BL$1,Comms!CN45*$BL$2)</f>
        <v>462182.66583693796</v>
      </c>
      <c r="BM45" s="524">
        <f>SUM('Defect (Total)'!BM45,Planned!CS45,Reconductor!CS45,CTGS!CS45,'Substation 2025$'!CS45*$BL$1,Comms!CO45*$BL$2)</f>
        <v>462182.66583693796</v>
      </c>
      <c r="BN45" s="416">
        <f>SUM('Defect (Total)'!BN45,Planned!CT45,Reconductor!CT45,CTGS!CT45,'Substation 2025$'!CT45*$BL$1,Comms!CP45*$BL$2)</f>
        <v>462182.66583693796</v>
      </c>
      <c r="BO45" s="97">
        <f>SUM('Defect (Total)'!BO45,Planned!CU45,Reconductor!CU45,CTGS!CU45,'Substation 2025$'!CU45*$BL$1,Comms!CQ45*$BL$2)</f>
        <v>462182.66583693796</v>
      </c>
      <c r="BP45" s="97">
        <f>SUM('Defect (Total)'!BP45,Planned!CV45,Reconductor!CV45,CTGS!CV45,'Substation 2025$'!CV45*$BL$1,Comms!CR45*$BL$2)</f>
        <v>462182.66583693796</v>
      </c>
      <c r="BQ45" s="97">
        <f>SUM('Defect (Total)'!BQ45,Planned!CW45,Reconductor!CW45,CTGS!CW45,'Substation 2025$'!CW45*$BL$1,Comms!CS45*$BL$2)</f>
        <v>462182.66583693796</v>
      </c>
      <c r="BR45" s="98">
        <f>SUM('Defect (Total)'!BR45,Planned!CX45,Reconductor!CX45,CTGS!CX45,'Substation 2025$'!CX45*$BL$1,Comms!CT45*$BL$2)</f>
        <v>462182.66583693796</v>
      </c>
      <c r="BS45" s="836">
        <f>'Unit Cost Rate Summary'!AO45</f>
        <v>3641.4344339653517</v>
      </c>
      <c r="BT45" s="840">
        <f t="shared" si="33"/>
        <v>0</v>
      </c>
      <c r="BU45" s="832">
        <f t="shared" si="34"/>
        <v>0</v>
      </c>
      <c r="BV45" t="s">
        <v>818</v>
      </c>
      <c r="CI45" s="416">
        <f>VLOOKUP($A45,'Distribution Summary'!$A$136:$CG$146,CI$1,0)*BN45</f>
        <v>521309.32653590065</v>
      </c>
      <c r="CJ45" s="97">
        <f>VLOOKUP($A45,'Distribution Summary'!$A$136:$CG$146,CJ$1,0)*BO45</f>
        <v>522563.18717712554</v>
      </c>
      <c r="CK45" s="97">
        <f>VLOOKUP($A45,'Distribution Summary'!$A$136:$CG$146,CK$1,0)*BP45</f>
        <v>523814.15588906861</v>
      </c>
      <c r="CL45" s="97">
        <f>VLOOKUP($A45,'Distribution Summary'!$A$136:$CG$146,CL$1,0)*BQ45</f>
        <v>525307.91277358297</v>
      </c>
      <c r="CM45" s="98">
        <f>VLOOKUP($A45,'Distribution Summary'!$A$136:$CG$146,CM$1,0)*BR45</f>
        <v>527036.62141659996</v>
      </c>
    </row>
    <row r="46" spans="1:91" x14ac:dyDescent="0.25">
      <c r="A46" s="81" t="s">
        <v>94</v>
      </c>
      <c r="B46" s="82" t="s">
        <v>452</v>
      </c>
      <c r="C46" s="83" t="s">
        <v>98</v>
      </c>
      <c r="D46" s="84">
        <f>SUM('Defect (Total)'!D46,Planned!D46,Reconductor!D46,CTGS!D46)</f>
        <v>121670</v>
      </c>
      <c r="E46" s="85">
        <f>SUM('Defect (Total)'!E46,Planned!E46,Reconductor!E46,CTGS!E46)</f>
        <v>324458</v>
      </c>
      <c r="F46" s="85">
        <f>SUM('Defect (Total)'!F46,Planned!F46,Reconductor!F46,CTGS!F46)</f>
        <v>51175</v>
      </c>
      <c r="G46" s="85">
        <f>SUM('Defect (Total)'!G46,Planned!G46,Reconductor!G46,CTGS!G46)</f>
        <v>12952</v>
      </c>
      <c r="H46" s="85">
        <f>SUM('Defect (Total)'!H46,Planned!H46,Reconductor!H46,CTGS!H46)</f>
        <v>14507</v>
      </c>
      <c r="I46" s="85">
        <f>SUM('Defect (Total)'!I46,Planned!I46,Reconductor!I46,CTGS!I46)</f>
        <v>5017.3599460870018</v>
      </c>
      <c r="J46" s="85">
        <f>SUM('Defect (Total)'!J46,Planned!J46,Reconductor!J46,CTGS!J46)</f>
        <v>3255112.6385471998</v>
      </c>
      <c r="K46" s="85">
        <f>SUM('Defect (Total)'!K46,Planned!K46,Reconductor!K46,CTGS!K46)</f>
        <v>0</v>
      </c>
      <c r="L46" s="85">
        <f>SUM('Defect (Total)'!L46,Planned!L46,Reconductor!L46,CTGS!L46)</f>
        <v>0</v>
      </c>
      <c r="M46" s="85">
        <f>SUM('Defect (Total)'!M46,Planned!M46,Reconductor!M46,CTGS!M46)</f>
        <v>0</v>
      </c>
      <c r="N46" s="85">
        <f>SUM('Defect (Total)'!N46,Planned!N46,Reconductor!N46,CTGS!N46)</f>
        <v>291113.68239781511</v>
      </c>
      <c r="O46" s="560">
        <f>SUM('Defect (Total)'!O46,Planned!O46,Reconductor!O46,CTGS!O46)</f>
        <v>163701.67035786418</v>
      </c>
      <c r="P46" s="561">
        <f>SUM('Defect (Total)'!P46,Planned!P46,Reconductor!P46,CTGS!P46)</f>
        <v>430046.6663588261</v>
      </c>
      <c r="Q46" s="561">
        <f>SUM('Defect (Total)'!Q46,Planned!Q46,Reconductor!Q46,CTGS!Q46)</f>
        <v>67141.894140317658</v>
      </c>
      <c r="R46" s="561">
        <f>SUM('Defect (Total)'!R46,Planned!R46,Reconductor!R46,CTGS!R46)</f>
        <v>16670.736143540234</v>
      </c>
      <c r="S46" s="561">
        <f>SUM('Defect (Total)'!S46,Planned!S46,Reconductor!S46,CTGS!S46)</f>
        <v>18292.1490064344</v>
      </c>
      <c r="T46" s="561">
        <f>SUM('Defect (Total)'!T46,Planned!T46,Reconductor!T46,CTGS!T46)</f>
        <v>6227.2877397764232</v>
      </c>
      <c r="U46" s="561">
        <f>SUM('Defect (Total)'!U46,Planned!U46,Reconductor!U46,CTGS!U46)</f>
        <v>4054203.6447106758</v>
      </c>
      <c r="V46" s="561">
        <f>SUM('Defect (Total)'!V46,Planned!V46,Reconductor!V46,CTGS!V46)</f>
        <v>0</v>
      </c>
      <c r="W46" s="561">
        <f>SUM('Defect (Total)'!W46,Planned!W46,Reconductor!W46,CTGS!W46)</f>
        <v>0</v>
      </c>
      <c r="X46" s="561">
        <f>SUM('Defect (Total)'!X46,Planned!X46,Reconductor!X46,CTGS!X46)</f>
        <v>0</v>
      </c>
      <c r="Y46" s="561">
        <f>SUM('Defect (Total)'!Y46,Planned!Y46,Reconductor!Y46,CTGS!Y46)</f>
        <v>299118.86597184592</v>
      </c>
      <c r="Z46" s="125">
        <f>SUM('Defect (Total)'!Z46,Planned!Z46,Reconductor!Z46,CTGS!Z46)</f>
        <v>0</v>
      </c>
      <c r="AA46" s="126">
        <f>SUM('Defect (Total)'!AA46,Planned!AA46,Reconductor!AA46,CTGS!AA46)</f>
        <v>0</v>
      </c>
      <c r="AB46" s="126">
        <f>SUM('Defect (Total)'!AB46,Planned!AB46,Reconductor!AB46,CTGS!AB46)</f>
        <v>0</v>
      </c>
      <c r="AC46" s="126">
        <f>SUM('Defect (Total)'!AC46,Planned!AC46,Reconductor!AC46,CTGS!AC46)</f>
        <v>0</v>
      </c>
      <c r="AD46" s="126">
        <f>SUM('Defect (Total)'!AD46,Planned!AD46,Reconductor!AD46,CTGS!AD46)</f>
        <v>0</v>
      </c>
      <c r="AE46" s="126">
        <f>SUM('Defect (Total)'!AE46,Planned!AE46,Reconductor!AE46,CTGS!AE46)</f>
        <v>9.4710003000000001E-2</v>
      </c>
      <c r="AF46" s="126">
        <f>SUM('Defect (Total)'!AF46,Planned!AF46,Reconductor!AF46,CTGS!AF46)</f>
        <v>0.32733333399999998</v>
      </c>
      <c r="AG46" s="126">
        <f>SUM('Defect (Total)'!AG46,Planned!AG46,Reconductor!AG46,CTGS!AG46)</f>
        <v>0</v>
      </c>
      <c r="AH46" s="126">
        <f>SUM('Defect (Total)'!AH46,Planned!AH46,Reconductor!AH46,CTGS!AH46)</f>
        <v>0</v>
      </c>
      <c r="AI46" s="126">
        <f>SUM('Defect (Total)'!AI46,Planned!AI46,Reconductor!AI46,CTGS!AI46)</f>
        <v>0</v>
      </c>
      <c r="AJ46" s="126">
        <f>SUM('Defect (Total)'!AJ46,Planned!AJ46,Reconductor!AJ46,CTGS!AJ46)</f>
        <v>0.206666671</v>
      </c>
      <c r="AK46" s="127">
        <f t="shared" si="17"/>
        <v>8.4408667399999998E-2</v>
      </c>
      <c r="AL46" s="128">
        <f t="shared" si="18"/>
        <v>0</v>
      </c>
      <c r="AM46" s="129">
        <f t="shared" si="19"/>
        <v>0</v>
      </c>
      <c r="AN46" s="91" t="str">
        <f t="shared" si="21"/>
        <v/>
      </c>
      <c r="AO46" s="92" t="str">
        <f t="shared" si="22"/>
        <v/>
      </c>
      <c r="AP46" s="92" t="str">
        <f t="shared" si="23"/>
        <v/>
      </c>
      <c r="AQ46" s="92" t="str">
        <f t="shared" si="24"/>
        <v/>
      </c>
      <c r="AR46" s="92" t="str">
        <f t="shared" si="25"/>
        <v/>
      </c>
      <c r="AS46" s="92">
        <f t="shared" si="26"/>
        <v>52976.029850690655</v>
      </c>
      <c r="AT46" s="92">
        <f t="shared" si="27"/>
        <v>9944335.942721922</v>
      </c>
      <c r="AU46" s="92" t="str">
        <f t="shared" si="28"/>
        <v/>
      </c>
      <c r="AV46" s="92" t="str">
        <f t="shared" si="29"/>
        <v/>
      </c>
      <c r="AW46" s="92" t="str">
        <f t="shared" si="10"/>
        <v/>
      </c>
      <c r="AX46" s="92">
        <f t="shared" si="11"/>
        <v>1408614.5627120258</v>
      </c>
      <c r="AY46" s="93">
        <f t="shared" si="30"/>
        <v>7759006.508123802</v>
      </c>
      <c r="AZ46" s="94">
        <f t="shared" si="31"/>
        <v>9944335.942721922</v>
      </c>
      <c r="BA46" s="95" t="str">
        <f t="shared" si="32"/>
        <v/>
      </c>
      <c r="BB46" s="692">
        <f>SUM('Defect (Total)'!BB46,Planned!CE46,Reconductor!CE46,CTGS!CE46,'Substation 2025$'!CE46*$BL$1,Comms!CA46*$BL$2)</f>
        <v>0</v>
      </c>
      <c r="BC46" s="692">
        <f>SUM('Defect (Total)'!BC46,Planned!CF46,Reconductor!CF46,CTGS!CF46,'Substation 2025$'!CF46*$BL$1,Comms!CB46*$BL$2)</f>
        <v>0</v>
      </c>
      <c r="BD46" s="363">
        <f>SUM('Defect (Total)'!BD46,Planned!CG46,Reconductor!CG46,CTGS!CG46,'Substation 2025$'!CG46*$BL$1,Comms!CC46*$BL$2)</f>
        <v>0</v>
      </c>
      <c r="BE46" s="363">
        <f>SUM('Defect (Total)'!BE46,Planned!CH46,Reconductor!CH46,CTGS!CH46,'Substation 2025$'!CH46*$BL$1,Comms!CD46*$BL$2)</f>
        <v>0</v>
      </c>
      <c r="BF46" s="363">
        <f>SUM('Defect (Total)'!BF46,Planned!CI46,Reconductor!CI46,CTGS!CI46,'Substation 2025$'!CI46*$BL$1,Comms!CE46*$BL$2)</f>
        <v>0</v>
      </c>
      <c r="BG46" s="363">
        <f>SUM('Defect (Total)'!BG46,Planned!CJ46,Reconductor!CJ46,CTGS!CJ46,'Substation 2025$'!CJ46*$BL$1,Comms!CF46*$BL$2)</f>
        <v>0</v>
      </c>
      <c r="BH46" s="363">
        <f>SUM('Defect (Total)'!BH46,Planned!CK46,Reconductor!CK46,CTGS!CK46,'Substation 2025$'!CK46*$BL$1,Comms!CG46*$BL$2)</f>
        <v>0</v>
      </c>
      <c r="BI46" s="364">
        <f>SUM('Defect (Total)'!BI46,Planned!CL46,Reconductor!CL46,CTGS!CL46,'Substation 2025$'!CL46*$BL$1,Comms!CH46*$BL$2)</f>
        <v>0</v>
      </c>
      <c r="BJ46" s="99" t="str">
        <f t="shared" si="20"/>
        <v/>
      </c>
      <c r="BK46" s="992">
        <f>SUM('Defect (Total)'!BK46,Planned!CQ46,Reconductor!CQ46,CTGS!CQ46,'Substation 2025$'!CQ46*$BL$1,Comms!CM46*$BL$2)</f>
        <v>0</v>
      </c>
      <c r="BL46" s="992">
        <f>SUM('Defect (Total)'!BL46,Planned!CR46,Reconductor!CR46,CTGS!CR46,'Substation 2025$'!CR46*$BL$1,Comms!CN46*$BL$2)</f>
        <v>0</v>
      </c>
      <c r="BM46" s="524">
        <f>SUM('Defect (Total)'!BM46,Planned!CS46,Reconductor!CS46,CTGS!CS46,'Substation 2025$'!CS46*$BL$1,Comms!CO46*$BL$2)</f>
        <v>0</v>
      </c>
      <c r="BN46" s="416">
        <f>SUM('Defect (Total)'!BN46,Planned!CT46,Reconductor!CT46,CTGS!CT46,'Substation 2025$'!CT46*$BL$1,Comms!CP46*$BL$2)</f>
        <v>0</v>
      </c>
      <c r="BO46" s="97">
        <f>SUM('Defect (Total)'!BO46,Planned!CU46,Reconductor!CU46,CTGS!CU46,'Substation 2025$'!CU46*$BL$1,Comms!CQ46*$BL$2)</f>
        <v>0</v>
      </c>
      <c r="BP46" s="97">
        <f>SUM('Defect (Total)'!BP46,Planned!CV46,Reconductor!CV46,CTGS!CV46,'Substation 2025$'!CV46*$BL$1,Comms!CR46*$BL$2)</f>
        <v>0</v>
      </c>
      <c r="BQ46" s="97">
        <f>SUM('Defect (Total)'!BQ46,Planned!CW46,Reconductor!CW46,CTGS!CW46,'Substation 2025$'!CW46*$BL$1,Comms!CS46*$BL$2)</f>
        <v>0</v>
      </c>
      <c r="BR46" s="98">
        <f>SUM('Defect (Total)'!BR46,Planned!CX46,Reconductor!CX46,CTGS!CX46,'Substation 2025$'!CX46*$BL$1,Comms!CT46*$BL$2)</f>
        <v>0</v>
      </c>
      <c r="BS46" s="836" t="str">
        <f>'Unit Cost Rate Summary'!AO46</f>
        <v/>
      </c>
      <c r="BT46" s="840" t="str">
        <f t="shared" si="33"/>
        <v/>
      </c>
      <c r="BU46" s="832" t="str">
        <f t="shared" si="34"/>
        <v/>
      </c>
      <c r="BV46" t="s">
        <v>818</v>
      </c>
      <c r="CI46" s="416">
        <f>VLOOKUP($A46,'Distribution Summary'!$A$136:$CG$146,CI$1,0)*BN46</f>
        <v>0</v>
      </c>
      <c r="CJ46" s="97">
        <f>VLOOKUP($A46,'Distribution Summary'!$A$136:$CG$146,CJ$1,0)*BO46</f>
        <v>0</v>
      </c>
      <c r="CK46" s="97">
        <f>VLOOKUP($A46,'Distribution Summary'!$A$136:$CG$146,CK$1,0)*BP46</f>
        <v>0</v>
      </c>
      <c r="CL46" s="97">
        <f>VLOOKUP($A46,'Distribution Summary'!$A$136:$CG$146,CL$1,0)*BQ46</f>
        <v>0</v>
      </c>
      <c r="CM46" s="98">
        <f>VLOOKUP($A46,'Distribution Summary'!$A$136:$CG$146,CM$1,0)*BR46</f>
        <v>0</v>
      </c>
    </row>
    <row r="47" spans="1:91" x14ac:dyDescent="0.25">
      <c r="A47" s="81" t="s">
        <v>94</v>
      </c>
      <c r="B47" s="82" t="s">
        <v>453</v>
      </c>
      <c r="C47" s="83" t="s">
        <v>100</v>
      </c>
      <c r="D47" s="84">
        <f>SUM('Defect (Total)'!D47,Planned!D47,Reconductor!D47,CTGS!D47)</f>
        <v>0</v>
      </c>
      <c r="E47" s="85">
        <f>SUM('Defect (Total)'!E47,Planned!E47,Reconductor!E47,CTGS!E47)</f>
        <v>0</v>
      </c>
      <c r="F47" s="85">
        <f>SUM('Defect (Total)'!F47,Planned!F47,Reconductor!F47,CTGS!F47)</f>
        <v>0</v>
      </c>
      <c r="G47" s="85">
        <f>SUM('Defect (Total)'!G47,Planned!G47,Reconductor!G47,CTGS!G47)</f>
        <v>0</v>
      </c>
      <c r="H47" s="85">
        <f>SUM('Defect (Total)'!H47,Planned!H47,Reconductor!H47,CTGS!H47)</f>
        <v>0</v>
      </c>
      <c r="I47" s="85">
        <f>SUM('Defect (Total)'!I47,Planned!I47,Reconductor!I47,CTGS!I47)</f>
        <v>0</v>
      </c>
      <c r="J47" s="85">
        <f>SUM('Defect (Total)'!J47,Planned!J47,Reconductor!J47,CTGS!J47)</f>
        <v>0</v>
      </c>
      <c r="K47" s="85">
        <f>SUM('Defect (Total)'!K47,Planned!K47,Reconductor!K47,CTGS!K47)</f>
        <v>0</v>
      </c>
      <c r="L47" s="85">
        <f>SUM('Defect (Total)'!L47,Planned!L47,Reconductor!L47,CTGS!L47)</f>
        <v>0</v>
      </c>
      <c r="M47" s="85">
        <f>SUM('Defect (Total)'!M47,Planned!M47,Reconductor!M47,CTGS!M47)</f>
        <v>0</v>
      </c>
      <c r="N47" s="85">
        <f>SUM('Defect (Total)'!N47,Planned!N47,Reconductor!N47,CTGS!N47)</f>
        <v>0</v>
      </c>
      <c r="O47" s="560">
        <f>SUM('Defect (Total)'!O47,Planned!O47,Reconductor!O47,CTGS!O47)</f>
        <v>0</v>
      </c>
      <c r="P47" s="561">
        <f>SUM('Defect (Total)'!P47,Planned!P47,Reconductor!P47,CTGS!P47)</f>
        <v>0</v>
      </c>
      <c r="Q47" s="561">
        <f>SUM('Defect (Total)'!Q47,Planned!Q47,Reconductor!Q47,CTGS!Q47)</f>
        <v>0</v>
      </c>
      <c r="R47" s="561">
        <f>SUM('Defect (Total)'!R47,Planned!R47,Reconductor!R47,CTGS!R47)</f>
        <v>0</v>
      </c>
      <c r="S47" s="561">
        <f>SUM('Defect (Total)'!S47,Planned!S47,Reconductor!S47,CTGS!S47)</f>
        <v>0</v>
      </c>
      <c r="T47" s="561">
        <f>SUM('Defect (Total)'!T47,Planned!T47,Reconductor!T47,CTGS!T47)</f>
        <v>0</v>
      </c>
      <c r="U47" s="561">
        <f>SUM('Defect (Total)'!U47,Planned!U47,Reconductor!U47,CTGS!U47)</f>
        <v>0</v>
      </c>
      <c r="V47" s="561">
        <f>SUM('Defect (Total)'!V47,Planned!V47,Reconductor!V47,CTGS!V47)</f>
        <v>0</v>
      </c>
      <c r="W47" s="561">
        <f>SUM('Defect (Total)'!W47,Planned!W47,Reconductor!W47,CTGS!W47)</f>
        <v>0</v>
      </c>
      <c r="X47" s="561">
        <f>SUM('Defect (Total)'!X47,Planned!X47,Reconductor!X47,CTGS!X47)</f>
        <v>0</v>
      </c>
      <c r="Y47" s="561">
        <f>SUM('Defect (Total)'!Y47,Planned!Y47,Reconductor!Y47,CTGS!Y47)</f>
        <v>0</v>
      </c>
      <c r="Z47" s="125">
        <f>SUM('Defect (Total)'!Z47,Planned!Z47,Reconductor!Z47,CTGS!Z47)</f>
        <v>0</v>
      </c>
      <c r="AA47" s="126">
        <f>SUM('Defect (Total)'!AA47,Planned!AA47,Reconductor!AA47,CTGS!AA47)</f>
        <v>0</v>
      </c>
      <c r="AB47" s="126">
        <f>SUM('Defect (Total)'!AB47,Planned!AB47,Reconductor!AB47,CTGS!AB47)</f>
        <v>0</v>
      </c>
      <c r="AC47" s="126">
        <f>SUM('Defect (Total)'!AC47,Planned!AC47,Reconductor!AC47,CTGS!AC47)</f>
        <v>0</v>
      </c>
      <c r="AD47" s="126">
        <f>SUM('Defect (Total)'!AD47,Planned!AD47,Reconductor!AD47,CTGS!AD47)</f>
        <v>0</v>
      </c>
      <c r="AE47" s="126">
        <f>SUM('Defect (Total)'!AE47,Planned!AE47,Reconductor!AE47,CTGS!AE47)</f>
        <v>0</v>
      </c>
      <c r="AF47" s="126">
        <f>SUM('Defect (Total)'!AF47,Planned!AF47,Reconductor!AF47,CTGS!AF47)</f>
        <v>0</v>
      </c>
      <c r="AG47" s="126">
        <f>SUM('Defect (Total)'!AG47,Planned!AG47,Reconductor!AG47,CTGS!AG47)</f>
        <v>0</v>
      </c>
      <c r="AH47" s="126">
        <f>SUM('Defect (Total)'!AH47,Planned!AH47,Reconductor!AH47,CTGS!AH47)</f>
        <v>0</v>
      </c>
      <c r="AI47" s="126">
        <f>SUM('Defect (Total)'!AI47,Planned!AI47,Reconductor!AI47,CTGS!AI47)</f>
        <v>0</v>
      </c>
      <c r="AJ47" s="126">
        <f>SUM('Defect (Total)'!AJ47,Planned!AJ47,Reconductor!AJ47,CTGS!AJ47)</f>
        <v>0</v>
      </c>
      <c r="AK47" s="127">
        <f t="shared" si="17"/>
        <v>0</v>
      </c>
      <c r="AL47" s="128">
        <f t="shared" si="18"/>
        <v>0</v>
      </c>
      <c r="AM47" s="129">
        <f t="shared" si="19"/>
        <v>0</v>
      </c>
      <c r="AN47" s="91" t="str">
        <f t="shared" si="21"/>
        <v/>
      </c>
      <c r="AO47" s="92" t="str">
        <f t="shared" si="22"/>
        <v/>
      </c>
      <c r="AP47" s="92" t="str">
        <f t="shared" si="23"/>
        <v/>
      </c>
      <c r="AQ47" s="92" t="str">
        <f t="shared" si="24"/>
        <v/>
      </c>
      <c r="AR47" s="92" t="str">
        <f t="shared" si="25"/>
        <v/>
      </c>
      <c r="AS47" s="92" t="str">
        <f t="shared" si="26"/>
        <v/>
      </c>
      <c r="AT47" s="92" t="str">
        <f t="shared" si="27"/>
        <v/>
      </c>
      <c r="AU47" s="92" t="str">
        <f t="shared" si="28"/>
        <v/>
      </c>
      <c r="AV47" s="92" t="str">
        <f t="shared" si="29"/>
        <v/>
      </c>
      <c r="AW47" s="92" t="str">
        <f t="shared" si="10"/>
        <v/>
      </c>
      <c r="AX47" s="92" t="str">
        <f t="shared" si="11"/>
        <v/>
      </c>
      <c r="AY47" s="93" t="str">
        <f t="shared" si="30"/>
        <v/>
      </c>
      <c r="AZ47" s="94" t="str">
        <f t="shared" si="31"/>
        <v/>
      </c>
      <c r="BA47" s="95" t="str">
        <f t="shared" si="32"/>
        <v/>
      </c>
      <c r="BB47" s="692">
        <f>SUM('Defect (Total)'!BB47,Planned!CE47,Reconductor!CE47,CTGS!CE47,'Substation 2025$'!CE47*$BL$1,Comms!CA47*$BL$2)</f>
        <v>0</v>
      </c>
      <c r="BC47" s="692">
        <f>SUM('Defect (Total)'!BC47,Planned!CF47,Reconductor!CF47,CTGS!CF47,'Substation 2025$'!CF47*$BL$1,Comms!CB47*$BL$2)</f>
        <v>0</v>
      </c>
      <c r="BD47" s="363">
        <f>SUM('Defect (Total)'!BD47,Planned!CG47,Reconductor!CG47,CTGS!CG47,'Substation 2025$'!CG47*$BL$1,Comms!CC47*$BL$2)</f>
        <v>0</v>
      </c>
      <c r="BE47" s="363">
        <f>SUM('Defect (Total)'!BE47,Planned!CH47,Reconductor!CH47,CTGS!CH47,'Substation 2025$'!CH47*$BL$1,Comms!CD47*$BL$2)</f>
        <v>0</v>
      </c>
      <c r="BF47" s="363">
        <f>SUM('Defect (Total)'!BF47,Planned!CI47,Reconductor!CI47,CTGS!CI47,'Substation 2025$'!CI47*$BL$1,Comms!CE47*$BL$2)</f>
        <v>0</v>
      </c>
      <c r="BG47" s="363">
        <f>SUM('Defect (Total)'!BG47,Planned!CJ47,Reconductor!CJ47,CTGS!CJ47,'Substation 2025$'!CJ47*$BL$1,Comms!CF47*$BL$2)</f>
        <v>0</v>
      </c>
      <c r="BH47" s="363">
        <f>SUM('Defect (Total)'!BH47,Planned!CK47,Reconductor!CK47,CTGS!CK47,'Substation 2025$'!CK47*$BL$1,Comms!CG47*$BL$2)</f>
        <v>0</v>
      </c>
      <c r="BI47" s="364">
        <f>SUM('Defect (Total)'!BI47,Planned!CL47,Reconductor!CL47,CTGS!CL47,'Substation 2025$'!CL47*$BL$1,Comms!CH47*$BL$2)</f>
        <v>0</v>
      </c>
      <c r="BJ47" s="99" t="str">
        <f t="shared" si="20"/>
        <v/>
      </c>
      <c r="BK47" s="992">
        <f>SUM('Defect (Total)'!BK47,Planned!CQ47,Reconductor!CQ47,CTGS!CQ47,'Substation 2025$'!CQ47*$BL$1,Comms!CM47*$BL$2)</f>
        <v>0</v>
      </c>
      <c r="BL47" s="992">
        <f>SUM('Defect (Total)'!BL47,Planned!CR47,Reconductor!CR47,CTGS!CR47,'Substation 2025$'!CR47*$BL$1,Comms!CN47*$BL$2)</f>
        <v>0</v>
      </c>
      <c r="BM47" s="524">
        <f>SUM('Defect (Total)'!BM47,Planned!CS47,Reconductor!CS47,CTGS!CS47,'Substation 2025$'!CS47*$BL$1,Comms!CO47*$BL$2)</f>
        <v>0</v>
      </c>
      <c r="BN47" s="416">
        <f>SUM('Defect (Total)'!BN47,Planned!CT47,Reconductor!CT47,CTGS!CT47,'Substation 2025$'!CT47*$BL$1,Comms!CP47*$BL$2)</f>
        <v>0</v>
      </c>
      <c r="BO47" s="97">
        <f>SUM('Defect (Total)'!BO47,Planned!CU47,Reconductor!CU47,CTGS!CU47,'Substation 2025$'!CU47*$BL$1,Comms!CQ47*$BL$2)</f>
        <v>0</v>
      </c>
      <c r="BP47" s="97">
        <f>SUM('Defect (Total)'!BP47,Planned!CV47,Reconductor!CV47,CTGS!CV47,'Substation 2025$'!CV47*$BL$1,Comms!CR47*$BL$2)</f>
        <v>0</v>
      </c>
      <c r="BQ47" s="97">
        <f>SUM('Defect (Total)'!BQ47,Planned!CW47,Reconductor!CW47,CTGS!CW47,'Substation 2025$'!CW47*$BL$1,Comms!CS47*$BL$2)</f>
        <v>0</v>
      </c>
      <c r="BR47" s="98">
        <f>SUM('Defect (Total)'!BR47,Planned!CX47,Reconductor!CX47,CTGS!CX47,'Substation 2025$'!CX47*$BL$1,Comms!CT47*$BL$2)</f>
        <v>0</v>
      </c>
      <c r="BS47" s="836" t="str">
        <f>'Unit Cost Rate Summary'!AO47</f>
        <v/>
      </c>
      <c r="BT47" s="840" t="str">
        <f t="shared" si="33"/>
        <v/>
      </c>
      <c r="BU47" s="832" t="str">
        <f t="shared" si="34"/>
        <v/>
      </c>
      <c r="BV47" t="s">
        <v>818</v>
      </c>
      <c r="CI47" s="416">
        <f>VLOOKUP($A47,'Distribution Summary'!$A$136:$CG$146,CI$1,0)*BN47</f>
        <v>0</v>
      </c>
      <c r="CJ47" s="97">
        <f>VLOOKUP($A47,'Distribution Summary'!$A$136:$CG$146,CJ$1,0)*BO47</f>
        <v>0</v>
      </c>
      <c r="CK47" s="97">
        <f>VLOOKUP($A47,'Distribution Summary'!$A$136:$CG$146,CK$1,0)*BP47</f>
        <v>0</v>
      </c>
      <c r="CL47" s="97">
        <f>VLOOKUP($A47,'Distribution Summary'!$A$136:$CG$146,CL$1,0)*BQ47</f>
        <v>0</v>
      </c>
      <c r="CM47" s="98">
        <f>VLOOKUP($A47,'Distribution Summary'!$A$136:$CG$146,CM$1,0)*BR47</f>
        <v>0</v>
      </c>
    </row>
    <row r="48" spans="1:91" x14ac:dyDescent="0.25">
      <c r="A48" s="81" t="s">
        <v>94</v>
      </c>
      <c r="B48" s="82" t="s">
        <v>321</v>
      </c>
      <c r="C48" s="83" t="s">
        <v>76</v>
      </c>
      <c r="D48" s="84">
        <f>SUM('Defect (Total)'!D48,Planned!D48,Reconductor!D48,CTGS!D48)</f>
        <v>0</v>
      </c>
      <c r="E48" s="85">
        <f>SUM('Defect (Total)'!E48,Planned!E48,Reconductor!E48,CTGS!E48)</f>
        <v>0</v>
      </c>
      <c r="F48" s="85">
        <f>SUM('Defect (Total)'!F48,Planned!F48,Reconductor!F48,CTGS!F48)</f>
        <v>0</v>
      </c>
      <c r="G48" s="85">
        <f>SUM('Defect (Total)'!G48,Planned!G48,Reconductor!G48,CTGS!G48)</f>
        <v>0</v>
      </c>
      <c r="H48" s="85">
        <f>SUM('Defect (Total)'!H48,Planned!H48,Reconductor!H48,CTGS!H48)</f>
        <v>0</v>
      </c>
      <c r="I48" s="85">
        <f>SUM('Defect (Total)'!I48,Planned!I48,Reconductor!I48,CTGS!I48)</f>
        <v>0</v>
      </c>
      <c r="J48" s="85">
        <f>SUM('Defect (Total)'!J48,Planned!J48,Reconductor!J48,CTGS!J48)</f>
        <v>0</v>
      </c>
      <c r="K48" s="85">
        <f>SUM('Defect (Total)'!K48,Planned!K48,Reconductor!K48,CTGS!K48)</f>
        <v>0</v>
      </c>
      <c r="L48" s="85">
        <f>SUM('Defect (Total)'!L48,Planned!L48,Reconductor!L48,CTGS!L48)</f>
        <v>0</v>
      </c>
      <c r="M48" s="85">
        <f>SUM('Defect (Total)'!M48,Planned!M48,Reconductor!M48,CTGS!M48)</f>
        <v>0</v>
      </c>
      <c r="N48" s="85">
        <f>SUM('Defect (Total)'!N48,Planned!N48,Reconductor!N48,CTGS!N48)</f>
        <v>0</v>
      </c>
      <c r="O48" s="560">
        <f>SUM('Defect (Total)'!O48,Planned!O48,Reconductor!O48,CTGS!O48)</f>
        <v>0</v>
      </c>
      <c r="P48" s="561">
        <f>SUM('Defect (Total)'!P48,Planned!P48,Reconductor!P48,CTGS!P48)</f>
        <v>0</v>
      </c>
      <c r="Q48" s="561">
        <f>SUM('Defect (Total)'!Q48,Planned!Q48,Reconductor!Q48,CTGS!Q48)</f>
        <v>0</v>
      </c>
      <c r="R48" s="561">
        <f>SUM('Defect (Total)'!R48,Planned!R48,Reconductor!R48,CTGS!R48)</f>
        <v>0</v>
      </c>
      <c r="S48" s="561">
        <f>SUM('Defect (Total)'!S48,Planned!S48,Reconductor!S48,CTGS!S48)</f>
        <v>0</v>
      </c>
      <c r="T48" s="561">
        <f>SUM('Defect (Total)'!T48,Planned!T48,Reconductor!T48,CTGS!T48)</f>
        <v>0</v>
      </c>
      <c r="U48" s="561">
        <f>SUM('Defect (Total)'!U48,Planned!U48,Reconductor!U48,CTGS!U48)</f>
        <v>0</v>
      </c>
      <c r="V48" s="561">
        <f>SUM('Defect (Total)'!V48,Planned!V48,Reconductor!V48,CTGS!V48)</f>
        <v>0</v>
      </c>
      <c r="W48" s="561">
        <f>SUM('Defect (Total)'!W48,Planned!W48,Reconductor!W48,CTGS!W48)</f>
        <v>0</v>
      </c>
      <c r="X48" s="561">
        <f>SUM('Defect (Total)'!X48,Planned!X48,Reconductor!X48,CTGS!X48)</f>
        <v>0</v>
      </c>
      <c r="Y48" s="561">
        <f>SUM('Defect (Total)'!Y48,Planned!Y48,Reconductor!Y48,CTGS!Y48)</f>
        <v>0</v>
      </c>
      <c r="Z48" s="125">
        <f>SUM('Defect (Total)'!Z48,Planned!Z48,Reconductor!Z48,CTGS!Z48)</f>
        <v>0</v>
      </c>
      <c r="AA48" s="126">
        <f>SUM('Defect (Total)'!AA48,Planned!AA48,Reconductor!AA48,CTGS!AA48)</f>
        <v>0</v>
      </c>
      <c r="AB48" s="126">
        <f>SUM('Defect (Total)'!AB48,Planned!AB48,Reconductor!AB48,CTGS!AB48)</f>
        <v>0</v>
      </c>
      <c r="AC48" s="126">
        <f>SUM('Defect (Total)'!AC48,Planned!AC48,Reconductor!AC48,CTGS!AC48)</f>
        <v>0</v>
      </c>
      <c r="AD48" s="126">
        <f>SUM('Defect (Total)'!AD48,Planned!AD48,Reconductor!AD48,CTGS!AD48)</f>
        <v>0</v>
      </c>
      <c r="AE48" s="126">
        <f>SUM('Defect (Total)'!AE48,Planned!AE48,Reconductor!AE48,CTGS!AE48)</f>
        <v>0</v>
      </c>
      <c r="AF48" s="126">
        <f>SUM('Defect (Total)'!AF48,Planned!AF48,Reconductor!AF48,CTGS!AF48)</f>
        <v>0</v>
      </c>
      <c r="AG48" s="126">
        <f>SUM('Defect (Total)'!AG48,Planned!AG48,Reconductor!AG48,CTGS!AG48)</f>
        <v>0</v>
      </c>
      <c r="AH48" s="126">
        <f>SUM('Defect (Total)'!AH48,Planned!AH48,Reconductor!AH48,CTGS!AH48)</f>
        <v>0</v>
      </c>
      <c r="AI48" s="126">
        <f>SUM('Defect (Total)'!AI48,Planned!AI48,Reconductor!AI48,CTGS!AI48)</f>
        <v>0</v>
      </c>
      <c r="AJ48" s="126">
        <f>SUM('Defect (Total)'!AJ48,Planned!AJ48,Reconductor!AJ48,CTGS!AJ48)</f>
        <v>0</v>
      </c>
      <c r="AK48" s="127">
        <f t="shared" si="17"/>
        <v>0</v>
      </c>
      <c r="AL48" s="128">
        <f t="shared" si="18"/>
        <v>0</v>
      </c>
      <c r="AM48" s="129">
        <f t="shared" si="19"/>
        <v>0</v>
      </c>
      <c r="AN48" s="91" t="str">
        <f t="shared" si="21"/>
        <v/>
      </c>
      <c r="AO48" s="92" t="str">
        <f t="shared" si="22"/>
        <v/>
      </c>
      <c r="AP48" s="92" t="str">
        <f t="shared" si="23"/>
        <v/>
      </c>
      <c r="AQ48" s="92" t="str">
        <f t="shared" si="24"/>
        <v/>
      </c>
      <c r="AR48" s="92" t="str">
        <f t="shared" si="25"/>
        <v/>
      </c>
      <c r="AS48" s="92" t="str">
        <f t="shared" si="26"/>
        <v/>
      </c>
      <c r="AT48" s="92" t="str">
        <f t="shared" si="27"/>
        <v/>
      </c>
      <c r="AU48" s="92" t="str">
        <f t="shared" si="28"/>
        <v/>
      </c>
      <c r="AV48" s="92" t="str">
        <f t="shared" si="29"/>
        <v/>
      </c>
      <c r="AW48" s="92" t="str">
        <f t="shared" si="10"/>
        <v/>
      </c>
      <c r="AX48" s="92" t="str">
        <f t="shared" si="11"/>
        <v/>
      </c>
      <c r="AY48" s="93" t="str">
        <f t="shared" si="30"/>
        <v/>
      </c>
      <c r="AZ48" s="94" t="str">
        <f t="shared" si="31"/>
        <v/>
      </c>
      <c r="BA48" s="95" t="str">
        <f t="shared" si="32"/>
        <v/>
      </c>
      <c r="BB48" s="692">
        <f>SUM('Defect (Total)'!BB48,Planned!CE48,Reconductor!CE48,CTGS!CE48,'Substation 2025$'!CE48*$BL$1,Comms!CA48*$BL$2)</f>
        <v>0</v>
      </c>
      <c r="BC48" s="692">
        <f>SUM('Defect (Total)'!BC48,Planned!CF48,Reconductor!CF48,CTGS!CF48,'Substation 2025$'!CF48*$BL$1,Comms!CB48*$BL$2)</f>
        <v>0</v>
      </c>
      <c r="BD48" s="363">
        <f>SUM('Defect (Total)'!BD48,Planned!CG48,Reconductor!CG48,CTGS!CG48,'Substation 2025$'!CG48*$BL$1,Comms!CC48*$BL$2)</f>
        <v>0</v>
      </c>
      <c r="BE48" s="363">
        <f>SUM('Defect (Total)'!BE48,Planned!CH48,Reconductor!CH48,CTGS!CH48,'Substation 2025$'!CH48*$BL$1,Comms!CD48*$BL$2)</f>
        <v>0</v>
      </c>
      <c r="BF48" s="363">
        <f>SUM('Defect (Total)'!BF48,Planned!CI48,Reconductor!CI48,CTGS!CI48,'Substation 2025$'!CI48*$BL$1,Comms!CE48*$BL$2)</f>
        <v>0</v>
      </c>
      <c r="BG48" s="363">
        <f>SUM('Defect (Total)'!BG48,Planned!CJ48,Reconductor!CJ48,CTGS!CJ48,'Substation 2025$'!CJ48*$BL$1,Comms!CF48*$BL$2)</f>
        <v>0</v>
      </c>
      <c r="BH48" s="363">
        <f>SUM('Defect (Total)'!BH48,Planned!CK48,Reconductor!CK48,CTGS!CK48,'Substation 2025$'!CK48*$BL$1,Comms!CG48*$BL$2)</f>
        <v>0</v>
      </c>
      <c r="BI48" s="364">
        <f>SUM('Defect (Total)'!BI48,Planned!CL48,Reconductor!CL48,CTGS!CL48,'Substation 2025$'!CL48*$BL$1,Comms!CH48*$BL$2)</f>
        <v>0</v>
      </c>
      <c r="BJ48" s="99" t="str">
        <f t="shared" si="20"/>
        <v/>
      </c>
      <c r="BK48" s="992">
        <f>SUM('Defect (Total)'!BK48,Planned!CQ48,Reconductor!CQ48,CTGS!CQ48,'Substation 2025$'!CQ48*$BL$1,Comms!CM48*$BL$2)</f>
        <v>0</v>
      </c>
      <c r="BL48" s="992">
        <f>SUM('Defect (Total)'!BL48,Planned!CR48,Reconductor!CR48,CTGS!CR48,'Substation 2025$'!CR48*$BL$1,Comms!CN48*$BL$2)</f>
        <v>0</v>
      </c>
      <c r="BM48" s="524">
        <f>SUM('Defect (Total)'!BM48,Planned!CS48,Reconductor!CS48,CTGS!CS48,'Substation 2025$'!CS48*$BL$1,Comms!CO48*$BL$2)</f>
        <v>0</v>
      </c>
      <c r="BN48" s="416">
        <f>SUM('Defect (Total)'!BN48,Planned!CT48,Reconductor!CT48,CTGS!CT48,'Substation 2025$'!CT48*$BL$1,Comms!CP48*$BL$2)</f>
        <v>0</v>
      </c>
      <c r="BO48" s="97">
        <f>SUM('Defect (Total)'!BO48,Planned!CU48,Reconductor!CU48,CTGS!CU48,'Substation 2025$'!CU48*$BL$1,Comms!CQ48*$BL$2)</f>
        <v>0</v>
      </c>
      <c r="BP48" s="97">
        <f>SUM('Defect (Total)'!BP48,Planned!CV48,Reconductor!CV48,CTGS!CV48,'Substation 2025$'!CV48*$BL$1,Comms!CR48*$BL$2)</f>
        <v>0</v>
      </c>
      <c r="BQ48" s="97">
        <f>SUM('Defect (Total)'!BQ48,Planned!CW48,Reconductor!CW48,CTGS!CW48,'Substation 2025$'!CW48*$BL$1,Comms!CS48*$BL$2)</f>
        <v>0</v>
      </c>
      <c r="BR48" s="98">
        <f>SUM('Defect (Total)'!BR48,Planned!CX48,Reconductor!CX48,CTGS!CX48,'Substation 2025$'!CX48*$BL$1,Comms!CT48*$BL$2)</f>
        <v>0</v>
      </c>
      <c r="BS48" s="836" t="str">
        <f>'Unit Cost Rate Summary'!AO48</f>
        <v/>
      </c>
      <c r="BT48" s="840" t="str">
        <f t="shared" si="33"/>
        <v/>
      </c>
      <c r="BU48" s="832" t="str">
        <f t="shared" si="34"/>
        <v/>
      </c>
      <c r="BV48" t="s">
        <v>818</v>
      </c>
      <c r="CI48" s="416">
        <f>VLOOKUP($A48,'Distribution Summary'!$A$136:$CG$146,CI$1,0)*BN48</f>
        <v>0</v>
      </c>
      <c r="CJ48" s="97">
        <f>VLOOKUP($A48,'Distribution Summary'!$A$136:$CG$146,CJ$1,0)*BO48</f>
        <v>0</v>
      </c>
      <c r="CK48" s="97">
        <f>VLOOKUP($A48,'Distribution Summary'!$A$136:$CG$146,CK$1,0)*BP48</f>
        <v>0</v>
      </c>
      <c r="CL48" s="97">
        <f>VLOOKUP($A48,'Distribution Summary'!$A$136:$CG$146,CL$1,0)*BQ48</f>
        <v>0</v>
      </c>
      <c r="CM48" s="98">
        <f>VLOOKUP($A48,'Distribution Summary'!$A$136:$CG$146,CM$1,0)*BR48</f>
        <v>0</v>
      </c>
    </row>
    <row r="49" spans="1:91" x14ac:dyDescent="0.25">
      <c r="A49" s="81" t="s">
        <v>94</v>
      </c>
      <c r="B49" s="82" t="s">
        <v>322</v>
      </c>
      <c r="C49" s="83" t="s">
        <v>323</v>
      </c>
      <c r="D49" s="84">
        <f>SUM('Defect (Total)'!D49,Planned!D49,Reconductor!D49,CTGS!D49)</f>
        <v>0</v>
      </c>
      <c r="E49" s="85">
        <f>SUM('Defect (Total)'!E49,Planned!E49,Reconductor!E49,CTGS!E49)</f>
        <v>0</v>
      </c>
      <c r="F49" s="85">
        <f>SUM('Defect (Total)'!F49,Planned!F49,Reconductor!F49,CTGS!F49)</f>
        <v>0</v>
      </c>
      <c r="G49" s="85">
        <f>SUM('Defect (Total)'!G49,Planned!G49,Reconductor!G49,CTGS!G49)</f>
        <v>0</v>
      </c>
      <c r="H49" s="85">
        <f>SUM('Defect (Total)'!H49,Planned!H49,Reconductor!H49,CTGS!H49)</f>
        <v>0</v>
      </c>
      <c r="I49" s="85">
        <f>SUM('Defect (Total)'!I49,Planned!I49,Reconductor!I49,CTGS!I49)</f>
        <v>0</v>
      </c>
      <c r="J49" s="85">
        <f>SUM('Defect (Total)'!J49,Planned!J49,Reconductor!J49,CTGS!J49)</f>
        <v>0</v>
      </c>
      <c r="K49" s="85">
        <f>SUM('Defect (Total)'!K49,Planned!K49,Reconductor!K49,CTGS!K49)</f>
        <v>0</v>
      </c>
      <c r="L49" s="85">
        <f>SUM('Defect (Total)'!L49,Planned!L49,Reconductor!L49,CTGS!L49)</f>
        <v>0</v>
      </c>
      <c r="M49" s="85">
        <f>SUM('Defect (Total)'!M49,Planned!M49,Reconductor!M49,CTGS!M49)</f>
        <v>0</v>
      </c>
      <c r="N49" s="85">
        <f>SUM('Defect (Total)'!N49,Planned!N49,Reconductor!N49,CTGS!N49)</f>
        <v>0</v>
      </c>
      <c r="O49" s="560">
        <f>SUM('Defect (Total)'!O49,Planned!O49,Reconductor!O49,CTGS!O49)</f>
        <v>0</v>
      </c>
      <c r="P49" s="561">
        <f>SUM('Defect (Total)'!P49,Planned!P49,Reconductor!P49,CTGS!P49)</f>
        <v>0</v>
      </c>
      <c r="Q49" s="561">
        <f>SUM('Defect (Total)'!Q49,Planned!Q49,Reconductor!Q49,CTGS!Q49)</f>
        <v>0</v>
      </c>
      <c r="R49" s="561">
        <f>SUM('Defect (Total)'!R49,Planned!R49,Reconductor!R49,CTGS!R49)</f>
        <v>0</v>
      </c>
      <c r="S49" s="561">
        <f>SUM('Defect (Total)'!S49,Planned!S49,Reconductor!S49,CTGS!S49)</f>
        <v>0</v>
      </c>
      <c r="T49" s="561">
        <f>SUM('Defect (Total)'!T49,Planned!T49,Reconductor!T49,CTGS!T49)</f>
        <v>0</v>
      </c>
      <c r="U49" s="561">
        <f>SUM('Defect (Total)'!U49,Planned!U49,Reconductor!U49,CTGS!U49)</f>
        <v>0</v>
      </c>
      <c r="V49" s="561">
        <f>SUM('Defect (Total)'!V49,Planned!V49,Reconductor!V49,CTGS!V49)</f>
        <v>0</v>
      </c>
      <c r="W49" s="561">
        <f>SUM('Defect (Total)'!W49,Planned!W49,Reconductor!W49,CTGS!W49)</f>
        <v>0</v>
      </c>
      <c r="X49" s="561">
        <f>SUM('Defect (Total)'!X49,Planned!X49,Reconductor!X49,CTGS!X49)</f>
        <v>0</v>
      </c>
      <c r="Y49" s="561">
        <f>SUM('Defect (Total)'!Y49,Planned!Y49,Reconductor!Y49,CTGS!Y49)</f>
        <v>0</v>
      </c>
      <c r="Z49" s="125">
        <f>SUM('Defect (Total)'!Z49,Planned!Z49,Reconductor!Z49,CTGS!Z49)</f>
        <v>0</v>
      </c>
      <c r="AA49" s="126">
        <f>SUM('Defect (Total)'!AA49,Planned!AA49,Reconductor!AA49,CTGS!AA49)</f>
        <v>0</v>
      </c>
      <c r="AB49" s="126">
        <f>SUM('Defect (Total)'!AB49,Planned!AB49,Reconductor!AB49,CTGS!AB49)</f>
        <v>0</v>
      </c>
      <c r="AC49" s="126">
        <f>SUM('Defect (Total)'!AC49,Planned!AC49,Reconductor!AC49,CTGS!AC49)</f>
        <v>0</v>
      </c>
      <c r="AD49" s="126">
        <f>SUM('Defect (Total)'!AD49,Planned!AD49,Reconductor!AD49,CTGS!AD49)</f>
        <v>0</v>
      </c>
      <c r="AE49" s="126">
        <f>SUM('Defect (Total)'!AE49,Planned!AE49,Reconductor!AE49,CTGS!AE49)</f>
        <v>0</v>
      </c>
      <c r="AF49" s="126">
        <f>SUM('Defect (Total)'!AF49,Planned!AF49,Reconductor!AF49,CTGS!AF49)</f>
        <v>0</v>
      </c>
      <c r="AG49" s="126">
        <f>SUM('Defect (Total)'!AG49,Planned!AG49,Reconductor!AG49,CTGS!AG49)</f>
        <v>0</v>
      </c>
      <c r="AH49" s="126">
        <f>SUM('Defect (Total)'!AH49,Planned!AH49,Reconductor!AH49,CTGS!AH49)</f>
        <v>0</v>
      </c>
      <c r="AI49" s="126">
        <f>SUM('Defect (Total)'!AI49,Planned!AI49,Reconductor!AI49,CTGS!AI49)</f>
        <v>0</v>
      </c>
      <c r="AJ49" s="126">
        <f>SUM('Defect (Total)'!AJ49,Planned!AJ49,Reconductor!AJ49,CTGS!AJ49)</f>
        <v>0</v>
      </c>
      <c r="AK49" s="127">
        <f t="shared" si="17"/>
        <v>0</v>
      </c>
      <c r="AL49" s="128">
        <f t="shared" si="18"/>
        <v>0</v>
      </c>
      <c r="AM49" s="129">
        <f t="shared" si="19"/>
        <v>0</v>
      </c>
      <c r="AN49" s="91" t="str">
        <f t="shared" si="21"/>
        <v/>
      </c>
      <c r="AO49" s="92" t="str">
        <f t="shared" si="22"/>
        <v/>
      </c>
      <c r="AP49" s="92" t="str">
        <f t="shared" si="23"/>
        <v/>
      </c>
      <c r="AQ49" s="92" t="str">
        <f t="shared" si="24"/>
        <v/>
      </c>
      <c r="AR49" s="92" t="str">
        <f t="shared" si="25"/>
        <v/>
      </c>
      <c r="AS49" s="92" t="str">
        <f t="shared" si="26"/>
        <v/>
      </c>
      <c r="AT49" s="92" t="str">
        <f t="shared" si="27"/>
        <v/>
      </c>
      <c r="AU49" s="92" t="str">
        <f t="shared" si="28"/>
        <v/>
      </c>
      <c r="AV49" s="92" t="str">
        <f t="shared" si="29"/>
        <v/>
      </c>
      <c r="AW49" s="92" t="str">
        <f t="shared" si="10"/>
        <v/>
      </c>
      <c r="AX49" s="92" t="str">
        <f t="shared" si="11"/>
        <v/>
      </c>
      <c r="AY49" s="93" t="str">
        <f t="shared" si="30"/>
        <v/>
      </c>
      <c r="AZ49" s="94" t="str">
        <f t="shared" si="31"/>
        <v/>
      </c>
      <c r="BA49" s="95" t="str">
        <f t="shared" si="32"/>
        <v/>
      </c>
      <c r="BB49" s="692">
        <f>SUM('Defect (Total)'!BB49,Planned!CE49,Reconductor!CE49,CTGS!CE49,'Substation 2025$'!CE49*$BL$1,Comms!CA49*$BL$2)</f>
        <v>0</v>
      </c>
      <c r="BC49" s="692">
        <f>SUM('Defect (Total)'!BC49,Planned!CF49,Reconductor!CF49,CTGS!CF49,'Substation 2025$'!CF49*$BL$1,Comms!CB49*$BL$2)</f>
        <v>0</v>
      </c>
      <c r="BD49" s="363">
        <f>SUM('Defect (Total)'!BD49,Planned!CG49,Reconductor!CG49,CTGS!CG49,'Substation 2025$'!CG49*$BL$1,Comms!CC49*$BL$2)</f>
        <v>0</v>
      </c>
      <c r="BE49" s="363">
        <f>SUM('Defect (Total)'!BE49,Planned!CH49,Reconductor!CH49,CTGS!CH49,'Substation 2025$'!CH49*$BL$1,Comms!CD49*$BL$2)</f>
        <v>0</v>
      </c>
      <c r="BF49" s="363">
        <f>SUM('Defect (Total)'!BF49,Planned!CI49,Reconductor!CI49,CTGS!CI49,'Substation 2025$'!CI49*$BL$1,Comms!CE49*$BL$2)</f>
        <v>0</v>
      </c>
      <c r="BG49" s="363">
        <f>SUM('Defect (Total)'!BG49,Planned!CJ49,Reconductor!CJ49,CTGS!CJ49,'Substation 2025$'!CJ49*$BL$1,Comms!CF49*$BL$2)</f>
        <v>0</v>
      </c>
      <c r="BH49" s="363">
        <f>SUM('Defect (Total)'!BH49,Planned!CK49,Reconductor!CK49,CTGS!CK49,'Substation 2025$'!CK49*$BL$1,Comms!CG49*$BL$2)</f>
        <v>0</v>
      </c>
      <c r="BI49" s="364">
        <f>SUM('Defect (Total)'!BI49,Planned!CL49,Reconductor!CL49,CTGS!CL49,'Substation 2025$'!CL49*$BL$1,Comms!CH49*$BL$2)</f>
        <v>0</v>
      </c>
      <c r="BJ49" s="99" t="str">
        <f t="shared" si="20"/>
        <v/>
      </c>
      <c r="BK49" s="992">
        <f>SUM('Defect (Total)'!BK49,Planned!CQ49,Reconductor!CQ49,CTGS!CQ49,'Substation 2025$'!CQ49*$BL$1,Comms!CM49*$BL$2)</f>
        <v>0</v>
      </c>
      <c r="BL49" s="992">
        <f>SUM('Defect (Total)'!BL49,Planned!CR49,Reconductor!CR49,CTGS!CR49,'Substation 2025$'!CR49*$BL$1,Comms!CN49*$BL$2)</f>
        <v>0</v>
      </c>
      <c r="BM49" s="524">
        <f>SUM('Defect (Total)'!BM49,Planned!CS49,Reconductor!CS49,CTGS!CS49,'Substation 2025$'!CS49*$BL$1,Comms!CO49*$BL$2)</f>
        <v>0</v>
      </c>
      <c r="BN49" s="416">
        <f>SUM('Defect (Total)'!BN49,Planned!CT49,Reconductor!CT49,CTGS!CT49,'Substation 2025$'!CT49*$BL$1,Comms!CP49*$BL$2)</f>
        <v>0</v>
      </c>
      <c r="BO49" s="97">
        <f>SUM('Defect (Total)'!BO49,Planned!CU49,Reconductor!CU49,CTGS!CU49,'Substation 2025$'!CU49*$BL$1,Comms!CQ49*$BL$2)</f>
        <v>0</v>
      </c>
      <c r="BP49" s="97">
        <f>SUM('Defect (Total)'!BP49,Planned!CV49,Reconductor!CV49,CTGS!CV49,'Substation 2025$'!CV49*$BL$1,Comms!CR49*$BL$2)</f>
        <v>0</v>
      </c>
      <c r="BQ49" s="97">
        <f>SUM('Defect (Total)'!BQ49,Planned!CW49,Reconductor!CW49,CTGS!CW49,'Substation 2025$'!CW49*$BL$1,Comms!CS49*$BL$2)</f>
        <v>0</v>
      </c>
      <c r="BR49" s="98">
        <f>SUM('Defect (Total)'!BR49,Planned!CX49,Reconductor!CX49,CTGS!CX49,'Substation 2025$'!CX49*$BL$1,Comms!CT49*$BL$2)</f>
        <v>0</v>
      </c>
      <c r="BS49" s="836" t="str">
        <f>'Unit Cost Rate Summary'!AO49</f>
        <v/>
      </c>
      <c r="BT49" s="840" t="str">
        <f t="shared" si="33"/>
        <v/>
      </c>
      <c r="BU49" s="832" t="str">
        <f t="shared" si="34"/>
        <v/>
      </c>
      <c r="BV49" t="s">
        <v>818</v>
      </c>
      <c r="CI49" s="416">
        <f>VLOOKUP($A49,'Distribution Summary'!$A$136:$CG$146,CI$1,0)*BN49</f>
        <v>0</v>
      </c>
      <c r="CJ49" s="97">
        <f>VLOOKUP($A49,'Distribution Summary'!$A$136:$CG$146,CJ$1,0)*BO49</f>
        <v>0</v>
      </c>
      <c r="CK49" s="97">
        <f>VLOOKUP($A49,'Distribution Summary'!$A$136:$CG$146,CK$1,0)*BP49</f>
        <v>0</v>
      </c>
      <c r="CL49" s="97">
        <f>VLOOKUP($A49,'Distribution Summary'!$A$136:$CG$146,CL$1,0)*BQ49</f>
        <v>0</v>
      </c>
      <c r="CM49" s="98">
        <f>VLOOKUP($A49,'Distribution Summary'!$A$136:$CG$146,CM$1,0)*BR49</f>
        <v>0</v>
      </c>
    </row>
    <row r="50" spans="1:91" ht="15.75" thickBot="1" x14ac:dyDescent="0.3">
      <c r="A50" s="138" t="s">
        <v>94</v>
      </c>
      <c r="B50" s="139" t="s">
        <v>324</v>
      </c>
      <c r="C50" s="102" t="s">
        <v>325</v>
      </c>
      <c r="D50" s="103">
        <f>SUM('Defect (Total)'!D50,Planned!D50,Reconductor!D50,CTGS!D50)</f>
        <v>0</v>
      </c>
      <c r="E50" s="104">
        <f>SUM('Defect (Total)'!E50,Planned!E50,Reconductor!E50,CTGS!E50)</f>
        <v>0</v>
      </c>
      <c r="F50" s="104">
        <f>SUM('Defect (Total)'!F50,Planned!F50,Reconductor!F50,CTGS!F50)</f>
        <v>0</v>
      </c>
      <c r="G50" s="104">
        <f>SUM('Defect (Total)'!G50,Planned!G50,Reconductor!G50,CTGS!G50)</f>
        <v>0</v>
      </c>
      <c r="H50" s="104">
        <f>SUM('Defect (Total)'!H50,Planned!H50,Reconductor!H50,CTGS!H50)</f>
        <v>0</v>
      </c>
      <c r="I50" s="104">
        <f>SUM('Defect (Total)'!I50,Planned!I50,Reconductor!I50,CTGS!I50)</f>
        <v>0</v>
      </c>
      <c r="J50" s="104">
        <f>SUM('Defect (Total)'!J50,Planned!J50,Reconductor!J50,CTGS!J50)</f>
        <v>0</v>
      </c>
      <c r="K50" s="104">
        <f>SUM('Defect (Total)'!K50,Planned!K50,Reconductor!K50,CTGS!K50)</f>
        <v>0</v>
      </c>
      <c r="L50" s="104">
        <f>SUM('Defect (Total)'!L50,Planned!L50,Reconductor!L50,CTGS!L50)</f>
        <v>0</v>
      </c>
      <c r="M50" s="104">
        <f>SUM('Defect (Total)'!M50,Planned!M50,Reconductor!M50,CTGS!M50)</f>
        <v>0</v>
      </c>
      <c r="N50" s="104">
        <f>SUM('Defect (Total)'!N50,Planned!N50,Reconductor!N50,CTGS!N50)</f>
        <v>0</v>
      </c>
      <c r="O50" s="563">
        <f>SUM('Defect (Total)'!O50,Planned!O50,Reconductor!O50,CTGS!O50)</f>
        <v>0</v>
      </c>
      <c r="P50" s="564">
        <f>SUM('Defect (Total)'!P50,Planned!P50,Reconductor!P50,CTGS!P50)</f>
        <v>0</v>
      </c>
      <c r="Q50" s="564">
        <f>SUM('Defect (Total)'!Q50,Planned!Q50,Reconductor!Q50,CTGS!Q50)</f>
        <v>0</v>
      </c>
      <c r="R50" s="564">
        <f>SUM('Defect (Total)'!R50,Planned!R50,Reconductor!R50,CTGS!R50)</f>
        <v>0</v>
      </c>
      <c r="S50" s="564">
        <f>SUM('Defect (Total)'!S50,Planned!S50,Reconductor!S50,CTGS!S50)</f>
        <v>0</v>
      </c>
      <c r="T50" s="564">
        <f>SUM('Defect (Total)'!T50,Planned!T50,Reconductor!T50,CTGS!T50)</f>
        <v>0</v>
      </c>
      <c r="U50" s="564">
        <f>SUM('Defect (Total)'!U50,Planned!U50,Reconductor!U50,CTGS!U50)</f>
        <v>0</v>
      </c>
      <c r="V50" s="564">
        <f>SUM('Defect (Total)'!V50,Planned!V50,Reconductor!V50,CTGS!V50)</f>
        <v>0</v>
      </c>
      <c r="W50" s="564">
        <f>SUM('Defect (Total)'!W50,Planned!W50,Reconductor!W50,CTGS!W50)</f>
        <v>0</v>
      </c>
      <c r="X50" s="564">
        <f>SUM('Defect (Total)'!X50,Planned!X50,Reconductor!X50,CTGS!X50)</f>
        <v>0</v>
      </c>
      <c r="Y50" s="564">
        <f>SUM('Defect (Total)'!Y50,Planned!Y50,Reconductor!Y50,CTGS!Y50)</f>
        <v>0</v>
      </c>
      <c r="Z50" s="131">
        <f>SUM('Defect (Total)'!Z50,Planned!Z50,Reconductor!Z50,CTGS!Z50)</f>
        <v>0</v>
      </c>
      <c r="AA50" s="132">
        <f>SUM('Defect (Total)'!AA50,Planned!AA50,Reconductor!AA50,CTGS!AA50)</f>
        <v>0</v>
      </c>
      <c r="AB50" s="132">
        <f>SUM('Defect (Total)'!AB50,Planned!AB50,Reconductor!AB50,CTGS!AB50)</f>
        <v>0</v>
      </c>
      <c r="AC50" s="132">
        <f>SUM('Defect (Total)'!AC50,Planned!AC50,Reconductor!AC50,CTGS!AC50)</f>
        <v>0</v>
      </c>
      <c r="AD50" s="132">
        <f>SUM('Defect (Total)'!AD50,Planned!AD50,Reconductor!AD50,CTGS!AD50)</f>
        <v>0</v>
      </c>
      <c r="AE50" s="132">
        <f>SUM('Defect (Total)'!AE50,Planned!AE50,Reconductor!AE50,CTGS!AE50)</f>
        <v>0</v>
      </c>
      <c r="AF50" s="132">
        <f>SUM('Defect (Total)'!AF50,Planned!AF50,Reconductor!AF50,CTGS!AF50)</f>
        <v>0</v>
      </c>
      <c r="AG50" s="132">
        <f>SUM('Defect (Total)'!AG50,Planned!AG50,Reconductor!AG50,CTGS!AG50)</f>
        <v>0</v>
      </c>
      <c r="AH50" s="132">
        <f>SUM('Defect (Total)'!AH50,Planned!AH50,Reconductor!AH50,CTGS!AH50)</f>
        <v>0</v>
      </c>
      <c r="AI50" s="132">
        <f>SUM('Defect (Total)'!AI50,Planned!AI50,Reconductor!AI50,CTGS!AI50)</f>
        <v>0</v>
      </c>
      <c r="AJ50" s="132">
        <f>SUM('Defect (Total)'!AJ50,Planned!AJ50,Reconductor!AJ50,CTGS!AJ50)</f>
        <v>0</v>
      </c>
      <c r="AK50" s="133">
        <f t="shared" si="17"/>
        <v>0</v>
      </c>
      <c r="AL50" s="134">
        <f t="shared" si="18"/>
        <v>0</v>
      </c>
      <c r="AM50" s="135">
        <f t="shared" si="19"/>
        <v>0</v>
      </c>
      <c r="AN50" s="110" t="str">
        <f t="shared" si="21"/>
        <v/>
      </c>
      <c r="AO50" s="111" t="str">
        <f t="shared" si="22"/>
        <v/>
      </c>
      <c r="AP50" s="111" t="str">
        <f t="shared" si="23"/>
        <v/>
      </c>
      <c r="AQ50" s="111" t="str">
        <f t="shared" si="24"/>
        <v/>
      </c>
      <c r="AR50" s="111" t="str">
        <f t="shared" si="25"/>
        <v/>
      </c>
      <c r="AS50" s="111" t="str">
        <f t="shared" si="26"/>
        <v/>
      </c>
      <c r="AT50" s="111" t="str">
        <f t="shared" si="27"/>
        <v/>
      </c>
      <c r="AU50" s="111" t="str">
        <f t="shared" si="28"/>
        <v/>
      </c>
      <c r="AV50" s="111" t="str">
        <f t="shared" si="29"/>
        <v/>
      </c>
      <c r="AW50" s="111" t="str">
        <f t="shared" si="10"/>
        <v/>
      </c>
      <c r="AX50" s="111" t="str">
        <f t="shared" si="11"/>
        <v/>
      </c>
      <c r="AY50" s="112" t="str">
        <f t="shared" si="30"/>
        <v/>
      </c>
      <c r="AZ50" s="113" t="str">
        <f t="shared" si="31"/>
        <v/>
      </c>
      <c r="BA50" s="114" t="str">
        <f t="shared" si="32"/>
        <v/>
      </c>
      <c r="BB50" s="693">
        <f>SUM('Defect (Total)'!BB50,Planned!CE50,Reconductor!CE50,CTGS!CE50,'Substation 2025$'!CE50*$BL$1,Comms!CA50*$BL$2)</f>
        <v>0</v>
      </c>
      <c r="BC50" s="693">
        <f>SUM('Defect (Total)'!BC50,Planned!CF50,Reconductor!CF50,CTGS!CF50,'Substation 2025$'!CF50*$BL$1,Comms!CB50*$BL$2)</f>
        <v>0</v>
      </c>
      <c r="BD50" s="366">
        <f>SUM('Defect (Total)'!BD50,Planned!CG50,Reconductor!CG50,CTGS!CG50,'Substation 2025$'!CG50*$BL$1,Comms!CC50*$BL$2)</f>
        <v>0</v>
      </c>
      <c r="BE50" s="366">
        <f>SUM('Defect (Total)'!BE50,Planned!CH50,Reconductor!CH50,CTGS!CH50,'Substation 2025$'!CH50*$BL$1,Comms!CD50*$BL$2)</f>
        <v>0</v>
      </c>
      <c r="BF50" s="366">
        <f>SUM('Defect (Total)'!BF50,Planned!CI50,Reconductor!CI50,CTGS!CI50,'Substation 2025$'!CI50*$BL$1,Comms!CE50*$BL$2)</f>
        <v>0</v>
      </c>
      <c r="BG50" s="366">
        <f>SUM('Defect (Total)'!BG50,Planned!CJ50,Reconductor!CJ50,CTGS!CJ50,'Substation 2025$'!CJ50*$BL$1,Comms!CF50*$BL$2)</f>
        <v>0</v>
      </c>
      <c r="BH50" s="366">
        <f>SUM('Defect (Total)'!BH50,Planned!CK50,Reconductor!CK50,CTGS!CK50,'Substation 2025$'!CK50*$BL$1,Comms!CG50*$BL$2)</f>
        <v>0</v>
      </c>
      <c r="BI50" s="367">
        <f>SUM('Defect (Total)'!BI50,Planned!CL50,Reconductor!CL50,CTGS!CL50,'Substation 2025$'!CL50*$BL$1,Comms!CH50*$BL$2)</f>
        <v>0</v>
      </c>
      <c r="BJ50" s="116" t="str">
        <f t="shared" si="20"/>
        <v/>
      </c>
      <c r="BK50" s="1013">
        <f>SUM('Defect (Total)'!BK50,Planned!CQ50,Reconductor!CQ50,CTGS!CQ50,'Substation 2025$'!CQ50*$BL$1,Comms!CM50*$BL$2)</f>
        <v>0</v>
      </c>
      <c r="BL50" s="1013">
        <f>SUM('Defect (Total)'!BL50,Planned!CR50,Reconductor!CR50,CTGS!CR50,'Substation 2025$'!CR50*$BL$1,Comms!CN50*$BL$2)</f>
        <v>0</v>
      </c>
      <c r="BM50" s="638">
        <f>SUM('Defect (Total)'!BM50,Planned!CS50,Reconductor!CS50,CTGS!CS50,'Substation 2025$'!CS50*$BL$1,Comms!CO50*$BL$2)</f>
        <v>0</v>
      </c>
      <c r="BN50" s="467">
        <f>SUM('Defect (Total)'!BN50,Planned!CT50,Reconductor!CT50,CTGS!CT50,'Substation 2025$'!CT50*$BL$1,Comms!CP50*$BL$2)</f>
        <v>0</v>
      </c>
      <c r="BO50" s="117">
        <f>SUM('Defect (Total)'!BO50,Planned!CU50,Reconductor!CU50,CTGS!CU50,'Substation 2025$'!CU50*$BL$1,Comms!CQ50*$BL$2)</f>
        <v>0</v>
      </c>
      <c r="BP50" s="117">
        <f>SUM('Defect (Total)'!BP50,Planned!CV50,Reconductor!CV50,CTGS!CV50,'Substation 2025$'!CV50*$BL$1,Comms!CR50*$BL$2)</f>
        <v>0</v>
      </c>
      <c r="BQ50" s="117">
        <f>SUM('Defect (Total)'!BQ50,Planned!CW50,Reconductor!CW50,CTGS!CW50,'Substation 2025$'!CW50*$BL$1,Comms!CS50*$BL$2)</f>
        <v>0</v>
      </c>
      <c r="BR50" s="118">
        <f>SUM('Defect (Total)'!BR50,Planned!CX50,Reconductor!CX50,CTGS!CX50,'Substation 2025$'!CX50*$BL$1,Comms!CT50*$BL$2)</f>
        <v>0</v>
      </c>
      <c r="BS50" s="837" t="str">
        <f>'Unit Cost Rate Summary'!AO50</f>
        <v/>
      </c>
      <c r="BT50" s="841" t="str">
        <f t="shared" si="33"/>
        <v/>
      </c>
      <c r="BU50" s="833" t="str">
        <f t="shared" si="34"/>
        <v/>
      </c>
      <c r="BV50" t="s">
        <v>818</v>
      </c>
      <c r="CI50" s="467">
        <f>VLOOKUP($A50,'Distribution Summary'!$A$136:$CG$146,CI$1,0)*BN50</f>
        <v>0</v>
      </c>
      <c r="CJ50" s="117">
        <f>VLOOKUP($A50,'Distribution Summary'!$A$136:$CG$146,CJ$1,0)*BO50</f>
        <v>0</v>
      </c>
      <c r="CK50" s="117">
        <f>VLOOKUP($A50,'Distribution Summary'!$A$136:$CG$146,CK$1,0)*BP50</f>
        <v>0</v>
      </c>
      <c r="CL50" s="117">
        <f>VLOOKUP($A50,'Distribution Summary'!$A$136:$CG$146,CL$1,0)*BQ50</f>
        <v>0</v>
      </c>
      <c r="CM50" s="118">
        <f>VLOOKUP($A50,'Distribution Summary'!$A$136:$CG$146,CM$1,0)*BR50</f>
        <v>0</v>
      </c>
    </row>
    <row r="51" spans="1:91" x14ac:dyDescent="0.25">
      <c r="A51" s="63" t="s">
        <v>106</v>
      </c>
      <c r="B51" s="64" t="s">
        <v>103</v>
      </c>
      <c r="C51" s="65" t="s">
        <v>326</v>
      </c>
      <c r="D51" s="66">
        <f>SUM('Defect (Total)'!D51,Planned!D51,Reconductor!D51,CTGS!D51)</f>
        <v>1954633</v>
      </c>
      <c r="E51" s="67">
        <f>SUM('Defect (Total)'!E51,Planned!E51,Reconductor!E51,CTGS!E51)</f>
        <v>6388028</v>
      </c>
      <c r="F51" s="67">
        <f>SUM('Defect (Total)'!F51,Planned!F51,Reconductor!F51,CTGS!F51)</f>
        <v>3981781</v>
      </c>
      <c r="G51" s="67">
        <f>SUM('Defect (Total)'!G51,Planned!G51,Reconductor!G51,CTGS!G51)</f>
        <v>3662014.9800492651</v>
      </c>
      <c r="H51" s="67">
        <f>SUM('Defect (Total)'!H51,Planned!H51,Reconductor!H51,CTGS!H51)</f>
        <v>3255307.9144500908</v>
      </c>
      <c r="I51" s="67">
        <f>SUM('Defect (Total)'!I51,Planned!I51,Reconductor!I51,CTGS!I51)</f>
        <v>7169379.041949396</v>
      </c>
      <c r="J51" s="67">
        <f>SUM('Defect (Total)'!J51,Planned!J51,Reconductor!J51,CTGS!J51)</f>
        <v>10976147.460494608</v>
      </c>
      <c r="K51" s="67">
        <f>SUM('Defect (Total)'!K51,Planned!K51,Reconductor!K51,CTGS!K51)</f>
        <v>0</v>
      </c>
      <c r="L51" s="67">
        <f>SUM('Defect (Total)'!L51,Planned!L51,Reconductor!L51,CTGS!L51)</f>
        <v>14365479.53456215</v>
      </c>
      <c r="M51" s="67">
        <f>SUM('Defect (Total)'!M51,Planned!M51,Reconductor!M51,CTGS!M51)</f>
        <v>18306562.936667074</v>
      </c>
      <c r="N51" s="67">
        <f>SUM('Defect (Total)'!N51,Planned!N51,Reconductor!N51,CTGS!N51)</f>
        <v>21874760.55285845</v>
      </c>
      <c r="O51" s="557">
        <f>SUM('Defect (Total)'!O51,Planned!O51,Reconductor!O51,CTGS!O51)</f>
        <v>2629873.3215797087</v>
      </c>
      <c r="P51" s="558">
        <f>SUM('Defect (Total)'!P51,Planned!P51,Reconductor!P51,CTGS!P51)</f>
        <v>8466889.8470891118</v>
      </c>
      <c r="Q51" s="558">
        <f>SUM('Defect (Total)'!Q51,Planned!Q51,Reconductor!Q51,CTGS!Q51)</f>
        <v>5224119.5582203856</v>
      </c>
      <c r="R51" s="558">
        <f>SUM('Defect (Total)'!R51,Planned!R51,Reconductor!R51,CTGS!R51)</f>
        <v>4713440.8188768569</v>
      </c>
      <c r="S51" s="558">
        <f>SUM('Defect (Total)'!S51,Planned!S51,Reconductor!S51,CTGS!S51)</f>
        <v>4104678.9434718592</v>
      </c>
      <c r="T51" s="558">
        <f>SUM('Defect (Total)'!T51,Planned!T51,Reconductor!T51,CTGS!T51)</f>
        <v>8898262.5702507924</v>
      </c>
      <c r="U51" s="558">
        <f>SUM('Defect (Total)'!U51,Planned!U51,Reconductor!U51,CTGS!U51)</f>
        <v>13670659.660822</v>
      </c>
      <c r="V51" s="558">
        <f>SUM('Defect (Total)'!V51,Planned!V51,Reconductor!V51,CTGS!V51)</f>
        <v>0</v>
      </c>
      <c r="W51" s="558">
        <f>SUM('Defect (Total)'!W51,Planned!W51,Reconductor!W51,CTGS!W51)</f>
        <v>16231946.55518141</v>
      </c>
      <c r="X51" s="558">
        <f>SUM('Defect (Total)'!X51,Planned!X51,Reconductor!X51,CTGS!X51)</f>
        <v>19468314.374191191</v>
      </c>
      <c r="Y51" s="558">
        <f>SUM('Defect (Total)'!Y51,Planned!Y51,Reconductor!Y51,CTGS!Y51)</f>
        <v>22476283.203464422</v>
      </c>
      <c r="Z51" s="68">
        <f>SUM('Defect (Total)'!Z51,Planned!Z51,Reconductor!Z51,CTGS!Z51)</f>
        <v>4201</v>
      </c>
      <c r="AA51" s="69">
        <f>SUM('Defect (Total)'!AA51,Planned!AA51,Reconductor!AA51,CTGS!AA51)</f>
        <v>8899</v>
      </c>
      <c r="AB51" s="69">
        <f>SUM('Defect (Total)'!AB51,Planned!AB51,Reconductor!AB51,CTGS!AB51)</f>
        <v>4513</v>
      </c>
      <c r="AC51" s="69">
        <f>SUM('Defect (Total)'!AC51,Planned!AC51,Reconductor!AC51,CTGS!AC51)</f>
        <v>4116.46</v>
      </c>
      <c r="AD51" s="69">
        <f>SUM('Defect (Total)'!AD51,Planned!AD51,Reconductor!AD51,CTGS!AD51)</f>
        <v>5247.0583333333334</v>
      </c>
      <c r="AE51" s="69">
        <f>SUM('Defect (Total)'!AE51,Planned!AE51,Reconductor!AE51,CTGS!AE51)</f>
        <v>9771.449771354999</v>
      </c>
      <c r="AF51" s="69">
        <f>SUM('Defect (Total)'!AF51,Planned!AF51,Reconductor!AF51,CTGS!AF51)</f>
        <v>13949.404546907994</v>
      </c>
      <c r="AG51" s="69">
        <f>SUM('Defect (Total)'!AG51,Planned!AG51,Reconductor!AG51,CTGS!AG51)</f>
        <v>0</v>
      </c>
      <c r="AH51" s="69">
        <f>SUM('Defect (Total)'!AH51,Planned!AH51,Reconductor!AH51,CTGS!AH51)</f>
        <v>13752.624848082978</v>
      </c>
      <c r="AI51" s="69">
        <f>SUM('Defect (Total)'!AI51,Planned!AI51,Reconductor!AI51,CTGS!AI51)</f>
        <v>18445.963582347009</v>
      </c>
      <c r="AJ51" s="69">
        <f>SUM('Defect (Total)'!AJ51,Planned!AJ51,Reconductor!AJ51,CTGS!AJ51)</f>
        <v>13438.736097019999</v>
      </c>
      <c r="AK51" s="121">
        <f t="shared" si="17"/>
        <v>11183.888549738596</v>
      </c>
      <c r="AL51" s="122">
        <f t="shared" si="18"/>
        <v>10732.86281014333</v>
      </c>
      <c r="AM51" s="123">
        <f t="shared" si="19"/>
        <v>18445.963582347009</v>
      </c>
      <c r="AN51" s="73">
        <f t="shared" si="21"/>
        <v>465.27802904070461</v>
      </c>
      <c r="AO51" s="74">
        <f t="shared" si="22"/>
        <v>717.83661085515223</v>
      </c>
      <c r="AP51" s="74">
        <f t="shared" si="23"/>
        <v>882.29138045645914</v>
      </c>
      <c r="AQ51" s="74">
        <f t="shared" si="24"/>
        <v>889.60295497812808</v>
      </c>
      <c r="AR51" s="74">
        <f t="shared" si="25"/>
        <v>620.40627483972912</v>
      </c>
      <c r="AS51" s="74">
        <f t="shared" si="26"/>
        <v>733.70678964818785</v>
      </c>
      <c r="AT51" s="74">
        <f t="shared" si="27"/>
        <v>786.85419320838082</v>
      </c>
      <c r="AU51" s="74" t="str">
        <f t="shared" si="28"/>
        <v/>
      </c>
      <c r="AV51" s="74">
        <f t="shared" si="29"/>
        <v>1044.5627429853582</v>
      </c>
      <c r="AW51" s="74">
        <f t="shared" si="10"/>
        <v>992.44275610446596</v>
      </c>
      <c r="AX51" s="74">
        <f t="shared" si="11"/>
        <v>1627.7394239261173</v>
      </c>
      <c r="AY51" s="75">
        <f t="shared" si="30"/>
        <v>837.21591638973962</v>
      </c>
      <c r="AZ51" s="76">
        <f t="shared" si="31"/>
        <v>914.79315950906403</v>
      </c>
      <c r="BA51" s="77">
        <f t="shared" si="32"/>
        <v>1044.5627429853582</v>
      </c>
      <c r="BB51" s="688">
        <f>SUM('Defect (Total)'!BB51,Planned!CE51,Reconductor!CE51,CTGS!CE51,'Substation 2025$'!CE51*$BL$1,Comms!CA51*$BL$2)</f>
        <v>16597.402785238595</v>
      </c>
      <c r="BC51" s="688">
        <f>SUM('Defect (Total)'!BC51,Planned!CF51,Reconductor!CF51,CTGS!CF51,'Substation 2025$'!CF51*$BL$1,Comms!CB51*$BL$2)</f>
        <v>16774.926364352144</v>
      </c>
      <c r="BD51" s="78">
        <f>SUM('Defect (Total)'!BD51,Planned!CG51,Reconductor!CG51,CTGS!CG51,'Substation 2025$'!CG51*$BL$1,Comms!CC51*$BL$2)</f>
        <v>16774.926364352144</v>
      </c>
      <c r="BE51" s="78">
        <f>SUM('Defect (Total)'!BE51,Planned!CH51,Reconductor!CH51,CTGS!CH51,'Substation 2025$'!CH51*$BL$1,Comms!CD51*$BL$2)</f>
        <v>17315.770586805509</v>
      </c>
      <c r="BF51" s="78">
        <f>SUM('Defect (Total)'!BF51,Planned!CI51,Reconductor!CI51,CTGS!CI51,'Substation 2025$'!CI51*$BL$1,Comms!CE51*$BL$2)</f>
        <v>17428.539753673507</v>
      </c>
      <c r="BG51" s="78">
        <f>SUM('Defect (Total)'!BG51,Planned!CJ51,Reconductor!CJ51,CTGS!CJ51,'Substation 2025$'!CJ51*$BL$1,Comms!CF51*$BL$2)</f>
        <v>17503.719198252169</v>
      </c>
      <c r="BH51" s="78">
        <f>SUM('Defect (Total)'!BH51,Planned!CK51,Reconductor!CK51,CTGS!CK51,'Substation 2025$'!CK51*$BL$1,Comms!CG51*$BL$2)</f>
        <v>17578.898642830834</v>
      </c>
      <c r="BI51" s="285">
        <f>SUM('Defect (Total)'!BI51,Planned!CL51,Reconductor!CL51,CTGS!CL51,'Substation 2025$'!CL51*$BL$1,Comms!CH51*$BL$2)</f>
        <v>17616.488365120164</v>
      </c>
      <c r="BJ51" s="124">
        <f t="shared" si="20"/>
        <v>1055.3436927319137</v>
      </c>
      <c r="BK51" s="974">
        <f>SUM('Defect (Total)'!BK51,Planned!CQ51,Reconductor!CQ51,CTGS!CQ51,'Substation 2025$'!CQ51*$BL$1,Comms!CM51*$BL$2)</f>
        <v>17325407.539674062</v>
      </c>
      <c r="BL51" s="974">
        <f>SUM('Defect (Total)'!BL51,Planned!CR51,Reconductor!CR51,CTGS!CR51,'Substation 2025$'!CR51*$BL$1,Comms!CN51*$BL$2)</f>
        <v>17550710.675452463</v>
      </c>
      <c r="BM51" s="523">
        <f>SUM('Defect (Total)'!BM51,Planned!CS51,Reconductor!CS51,CTGS!CS51,'Substation 2025$'!CS51*$BL$1,Comms!CO51*$BL$2)</f>
        <v>17550710.675452463</v>
      </c>
      <c r="BN51" s="415">
        <f>SUM('Defect (Total)'!BN51,Planned!CT51,Reconductor!CT51,CTGS!CT51,'Substation 2025$'!CT51*$BL$1,Comms!CP51*$BL$2)</f>
        <v>18237120.333791051</v>
      </c>
      <c r="BO51" s="79">
        <f>SUM('Defect (Total)'!BO51,Planned!CU51,Reconductor!CU51,CTGS!CU51,'Substation 2025$'!CU51*$BL$1,Comms!CQ51*$BL$2)</f>
        <v>18380240.740901735</v>
      </c>
      <c r="BP51" s="79">
        <f>SUM('Defect (Total)'!BP51,Planned!CV51,Reconductor!CV51,CTGS!CV51,'Substation 2025$'!CV51*$BL$1,Comms!CR51*$BL$2)</f>
        <v>18475654.34564219</v>
      </c>
      <c r="BQ51" s="79">
        <f>SUM('Defect (Total)'!BQ51,Planned!CW51,Reconductor!CW51,CTGS!CW51,'Substation 2025$'!CW51*$BL$1,Comms!CS51*$BL$2)</f>
        <v>18571067.95038265</v>
      </c>
      <c r="BR51" s="80">
        <f>SUM('Defect (Total)'!BR51,Planned!CX51,Reconductor!CX51,CTGS!CX51,'Substation 2025$'!CX51*$BL$1,Comms!CT51*$BL$2)</f>
        <v>18618774.752752878</v>
      </c>
      <c r="BS51" s="835">
        <f>'Unit Cost Rate Summary'!AO51</f>
        <v>3.3865375809891605</v>
      </c>
      <c r="BT51" s="839">
        <f t="shared" si="33"/>
        <v>2592.0230102932719</v>
      </c>
      <c r="BU51" s="834">
        <f t="shared" si="34"/>
        <v>12960.11505146636</v>
      </c>
      <c r="BV51" t="s">
        <v>272</v>
      </c>
      <c r="CI51" s="415">
        <f>VLOOKUP($A51,'Distribution Summary'!$A$136:$CG$146,CI$1,0)*BN51</f>
        <v>20886570.566651475</v>
      </c>
      <c r="CJ51" s="79">
        <f>VLOOKUP($A51,'Distribution Summary'!$A$136:$CG$146,CJ$1,0)*BO51</f>
        <v>21127906.164280944</v>
      </c>
      <c r="CK51" s="79">
        <f>VLOOKUP($A51,'Distribution Summary'!$A$136:$CG$146,CK$1,0)*BP51</f>
        <v>21322704.492232997</v>
      </c>
      <c r="CL51" s="79">
        <f>VLOOKUP($A51,'Distribution Summary'!$A$136:$CG$146,CL$1,0)*BQ51</f>
        <v>21537594.082504567</v>
      </c>
      <c r="CM51" s="80">
        <f>VLOOKUP($A51,'Distribution Summary'!$A$136:$CG$146,CM$1,0)*BR51</f>
        <v>21724863.829647291</v>
      </c>
    </row>
    <row r="52" spans="1:91" x14ac:dyDescent="0.25">
      <c r="A52" s="81" t="s">
        <v>106</v>
      </c>
      <c r="B52" s="82" t="s">
        <v>107</v>
      </c>
      <c r="C52" s="83" t="s">
        <v>328</v>
      </c>
      <c r="D52" s="84">
        <f>SUM('Defect (Total)'!D52,Planned!D52,Reconductor!D52,CTGS!D52)</f>
        <v>2076776</v>
      </c>
      <c r="E52" s="85">
        <f>SUM('Defect (Total)'!E52,Planned!E52,Reconductor!E52,CTGS!E52)</f>
        <v>1977268</v>
      </c>
      <c r="F52" s="85">
        <f>SUM('Defect (Total)'!F52,Planned!F52,Reconductor!F52,CTGS!F52)</f>
        <v>2249459</v>
      </c>
      <c r="G52" s="85">
        <f>SUM('Defect (Total)'!G52,Planned!G52,Reconductor!G52,CTGS!G52)</f>
        <v>1526470</v>
      </c>
      <c r="H52" s="85">
        <f>SUM('Defect (Total)'!H52,Planned!H52,Reconductor!H52,CTGS!H52)</f>
        <v>2084207.8325383167</v>
      </c>
      <c r="I52" s="85">
        <f>SUM('Defect (Total)'!I52,Planned!I52,Reconductor!I52,CTGS!I52)</f>
        <v>0</v>
      </c>
      <c r="J52" s="85">
        <f>SUM('Defect (Total)'!J52,Planned!J52,Reconductor!J52,CTGS!J52)</f>
        <v>0</v>
      </c>
      <c r="K52" s="85">
        <f>SUM('Defect (Total)'!K52,Planned!K52,Reconductor!K52,CTGS!K52)</f>
        <v>8732459.3557683397</v>
      </c>
      <c r="L52" s="85">
        <f>SUM('Defect (Total)'!L52,Planned!L52,Reconductor!L52,CTGS!L52)</f>
        <v>0</v>
      </c>
      <c r="M52" s="85">
        <f>SUM('Defect (Total)'!M52,Planned!M52,Reconductor!M52,CTGS!M52)</f>
        <v>10701866.632795805</v>
      </c>
      <c r="N52" s="85">
        <f>SUM('Defect (Total)'!N52,Planned!N52,Reconductor!N52,CTGS!N52)</f>
        <v>11714354.36996147</v>
      </c>
      <c r="O52" s="560">
        <f>SUM('Defect (Total)'!O52,Planned!O52,Reconductor!O52,CTGS!O52)</f>
        <v>2794211.3927765572</v>
      </c>
      <c r="P52" s="561">
        <f>SUM('Defect (Total)'!P52,Planned!P52,Reconductor!P52,CTGS!P52)</f>
        <v>2620732.149917658</v>
      </c>
      <c r="Q52" s="561">
        <f>SUM('Defect (Total)'!Q52,Planned!Q52,Reconductor!Q52,CTGS!Q52)</f>
        <v>2951303.1372933043</v>
      </c>
      <c r="R52" s="561">
        <f>SUM('Defect (Total)'!R52,Planned!R52,Reconductor!R52,CTGS!R52)</f>
        <v>1964745.1050826018</v>
      </c>
      <c r="S52" s="561">
        <f>SUM('Defect (Total)'!S52,Planned!S52,Reconductor!S52,CTGS!S52)</f>
        <v>2628016.8355392953</v>
      </c>
      <c r="T52" s="561">
        <f>SUM('Defect (Total)'!T52,Planned!T52,Reconductor!T52,CTGS!T52)</f>
        <v>0</v>
      </c>
      <c r="U52" s="561">
        <f>SUM('Defect (Total)'!U52,Planned!U52,Reconductor!U52,CTGS!U52)</f>
        <v>0</v>
      </c>
      <c r="V52" s="561">
        <f>SUM('Defect (Total)'!V52,Planned!V52,Reconductor!V52,CTGS!V52)</f>
        <v>10473351.883128501</v>
      </c>
      <c r="W52" s="561">
        <f>SUM('Defect (Total)'!W52,Planned!W52,Reconductor!W52,CTGS!W52)</f>
        <v>0</v>
      </c>
      <c r="X52" s="561">
        <f>SUM('Defect (Total)'!X52,Planned!X52,Reconductor!X52,CTGS!X52)</f>
        <v>11381017.000227118</v>
      </c>
      <c r="Y52" s="561">
        <f>SUM('Defect (Total)'!Y52,Planned!Y52,Reconductor!Y52,CTGS!Y52)</f>
        <v>12036481.301304547</v>
      </c>
      <c r="Z52" s="86">
        <f>SUM('Defect (Total)'!Z52,Planned!Z52,Reconductor!Z52,CTGS!Z52)</f>
        <v>1323</v>
      </c>
      <c r="AA52" s="87">
        <f>SUM('Defect (Total)'!AA52,Planned!AA52,Reconductor!AA52,CTGS!AA52)</f>
        <v>1994</v>
      </c>
      <c r="AB52" s="87">
        <f>SUM('Defect (Total)'!AB52,Planned!AB52,Reconductor!AB52,CTGS!AB52)</f>
        <v>1603</v>
      </c>
      <c r="AC52" s="87">
        <f>SUM('Defect (Total)'!AC52,Planned!AC52,Reconductor!AC52,CTGS!AC52)</f>
        <v>1348</v>
      </c>
      <c r="AD52" s="87">
        <f>SUM('Defect (Total)'!AD52,Planned!AD52,Reconductor!AD52,CTGS!AD52)</f>
        <v>1789.5</v>
      </c>
      <c r="AE52" s="87">
        <f>SUM('Defect (Total)'!AE52,Planned!AE52,Reconductor!AE52,CTGS!AE52)</f>
        <v>0</v>
      </c>
      <c r="AF52" s="87">
        <f>SUM('Defect (Total)'!AF52,Planned!AF52,Reconductor!AF52,CTGS!AF52)</f>
        <v>0</v>
      </c>
      <c r="AG52" s="87">
        <f>SUM('Defect (Total)'!AG52,Planned!AG52,Reconductor!AG52,CTGS!AG52)</f>
        <v>1242.4621907900189</v>
      </c>
      <c r="AH52" s="87">
        <f>SUM('Defect (Total)'!AH52,Planned!AH52,Reconductor!AH52,CTGS!AH52)</f>
        <v>0</v>
      </c>
      <c r="AI52" s="87">
        <f>SUM('Defect (Total)'!AI52,Planned!AI52,Reconductor!AI52,CTGS!AI52)</f>
        <v>1225.5064047439844</v>
      </c>
      <c r="AJ52" s="87">
        <f>SUM('Defect (Total)'!AJ52,Planned!AJ52,Reconductor!AJ52,CTGS!AJ52)</f>
        <v>1338.1439876899883</v>
      </c>
      <c r="AK52" s="127">
        <f t="shared" si="17"/>
        <v>493.59371910680068</v>
      </c>
      <c r="AL52" s="128">
        <f t="shared" si="18"/>
        <v>822.65619851133442</v>
      </c>
      <c r="AM52" s="129">
        <f t="shared" si="19"/>
        <v>1225.5064047439844</v>
      </c>
      <c r="AN52" s="91">
        <f t="shared" si="21"/>
        <v>1569.7475434618291</v>
      </c>
      <c r="AO52" s="92">
        <f t="shared" si="22"/>
        <v>991.60882647943833</v>
      </c>
      <c r="AP52" s="92">
        <f t="shared" si="23"/>
        <v>1403.280723643169</v>
      </c>
      <c r="AQ52" s="92">
        <f t="shared" si="24"/>
        <v>1132.3961424332344</v>
      </c>
      <c r="AR52" s="92">
        <f t="shared" si="25"/>
        <v>1164.6872492530408</v>
      </c>
      <c r="AS52" s="92" t="str">
        <f t="shared" si="26"/>
        <v/>
      </c>
      <c r="AT52" s="92" t="str">
        <f t="shared" si="27"/>
        <v/>
      </c>
      <c r="AU52" s="92">
        <f t="shared" si="28"/>
        <v>7028.3501747572782</v>
      </c>
      <c r="AV52" s="92" t="str">
        <f t="shared" si="29"/>
        <v/>
      </c>
      <c r="AW52" s="92">
        <f t="shared" si="10"/>
        <v>8732.6076725249659</v>
      </c>
      <c r="AX52" s="92">
        <f t="shared" si="11"/>
        <v>8754.1807740613403</v>
      </c>
      <c r="AY52" s="93">
        <f t="shared" si="30"/>
        <v>3567.546858322869</v>
      </c>
      <c r="AZ52" s="94">
        <f t="shared" si="31"/>
        <v>7028.3501747572782</v>
      </c>
      <c r="BA52" s="95" t="str">
        <f t="shared" si="32"/>
        <v/>
      </c>
      <c r="BB52" s="689">
        <f>SUM('Defect (Total)'!BB52,Planned!CE52,Reconductor!CE52,CTGS!CE52,'Substation 2025$'!CE52*$BL$1,Comms!CA52*$BL$2)</f>
        <v>740.95467894686794</v>
      </c>
      <c r="BC52" s="689">
        <f>SUM('Defect (Total)'!BC52,Planned!CF52,Reconductor!CF52,CTGS!CF52,'Substation 2025$'!CF52*$BL$1,Comms!CB52*$BL$2)</f>
        <v>733.54070324579834</v>
      </c>
      <c r="BD52" s="96">
        <f>SUM('Defect (Total)'!BD52,Planned!CG52,Reconductor!CG52,CTGS!CG52,'Substation 2025$'!CG52*$BL$1,Comms!CC52*$BL$2)</f>
        <v>733.54070324579834</v>
      </c>
      <c r="BE52" s="96">
        <f>SUM('Defect (Total)'!BE52,Planned!CH52,Reconductor!CH52,CTGS!CH52,'Substation 2025$'!CH52*$BL$1,Comms!CD52*$BL$2)</f>
        <v>757.6745064254867</v>
      </c>
      <c r="BF52" s="96">
        <f>SUM('Defect (Total)'!BF52,Planned!CI52,Reconductor!CI52,CTGS!CI52,'Substation 2025$'!CI52*$BL$1,Comms!CE52*$BL$2)</f>
        <v>762.70654479243865</v>
      </c>
      <c r="BG52" s="96">
        <f>SUM('Defect (Total)'!BG52,Planned!CJ52,Reconductor!CJ52,CTGS!CJ52,'Substation 2025$'!CJ52*$BL$1,Comms!CF52*$BL$2)</f>
        <v>766.06123703707328</v>
      </c>
      <c r="BH52" s="96">
        <f>SUM('Defect (Total)'!BH52,Planned!CK52,Reconductor!CK52,CTGS!CK52,'Substation 2025$'!CK52*$BL$1,Comms!CG52*$BL$2)</f>
        <v>769.41592928170792</v>
      </c>
      <c r="BI52" s="286">
        <f>SUM('Defect (Total)'!BI52,Planned!CL52,Reconductor!CL52,CTGS!CL52,'Substation 2025$'!CL52*$BL$1,Comms!CH52*$BL$2)</f>
        <v>771.09327540402523</v>
      </c>
      <c r="BJ52" s="99">
        <f t="shared" si="20"/>
        <v>7826.7259427300196</v>
      </c>
      <c r="BK52" s="992">
        <f>SUM('Defect (Total)'!BK52,Planned!CQ52,Reconductor!CQ52,CTGS!CQ52,'Substation 2025$'!CQ52*$BL$1,Comms!CM52*$BL$2)</f>
        <v>5798597.5365681062</v>
      </c>
      <c r="BL52" s="992">
        <f>SUM('Defect (Total)'!BL52,Planned!CR52,Reconductor!CR52,CTGS!CR52,'Substation 2025$'!CR52*$BL$1,Comms!CN52*$BL$2)</f>
        <v>5740372.657900949</v>
      </c>
      <c r="BM52" s="524">
        <f>SUM('Defect (Total)'!BM52,Planned!CS52,Reconductor!CS52,CTGS!CS52,'Substation 2025$'!CS52*$BL$1,Comms!CO52*$BL$2)</f>
        <v>5740372.657900949</v>
      </c>
      <c r="BN52" s="416">
        <f>SUM('Defect (Total)'!BN52,Planned!CT52,Reconductor!CT52,CTGS!CT52,'Substation 2025$'!CT52*$BL$1,Comms!CP52*$BL$2)</f>
        <v>5929904.9437582772</v>
      </c>
      <c r="BO52" s="97">
        <f>SUM('Defect (Total)'!BO52,Planned!CU52,Reconductor!CU52,CTGS!CU52,'Substation 2025$'!CU52*$BL$1,Comms!CQ52*$BL$2)</f>
        <v>5969423.5280074794</v>
      </c>
      <c r="BP52" s="97">
        <f>SUM('Defect (Total)'!BP52,Planned!CV52,Reconductor!CV52,CTGS!CV52,'Substation 2025$'!CV52*$BL$1,Comms!CR52*$BL$2)</f>
        <v>5995769.2508402811</v>
      </c>
      <c r="BQ52" s="97">
        <f>SUM('Defect (Total)'!BQ52,Planned!CW52,Reconductor!CW52,CTGS!CW52,'Substation 2025$'!CW52*$BL$1,Comms!CS52*$BL$2)</f>
        <v>6022114.9736730829</v>
      </c>
      <c r="BR52" s="98">
        <f>SUM('Defect (Total)'!BR52,Planned!CX52,Reconductor!CX52,CTGS!CX52,'Substation 2025$'!CX52*$BL$1,Comms!CT52*$BL$2)</f>
        <v>6035287.8350894833</v>
      </c>
      <c r="BS52" s="836">
        <f>'Unit Cost Rate Summary'!AO52</f>
        <v>25.079288673481049</v>
      </c>
      <c r="BT52" s="840">
        <f t="shared" si="33"/>
        <v>0</v>
      </c>
      <c r="BU52" s="832">
        <f t="shared" si="34"/>
        <v>0</v>
      </c>
      <c r="BV52" t="s">
        <v>272</v>
      </c>
      <c r="CI52" s="416">
        <f>VLOOKUP($A52,'Distribution Summary'!$A$136:$CG$146,CI$1,0)*BN52</f>
        <v>6791388.9799725953</v>
      </c>
      <c r="CJ52" s="97">
        <f>VLOOKUP($A52,'Distribution Summary'!$A$136:$CG$146,CJ$1,0)*BO52</f>
        <v>6861793.701860154</v>
      </c>
      <c r="CK52" s="97">
        <f>VLOOKUP($A52,'Distribution Summary'!$A$136:$CG$146,CK$1,0)*BP52</f>
        <v>6919701.6542712739</v>
      </c>
      <c r="CL52" s="97">
        <f>VLOOKUP($A52,'Distribution Summary'!$A$136:$CG$146,CL$1,0)*BQ52</f>
        <v>6984082.3461351385</v>
      </c>
      <c r="CM52" s="98">
        <f>VLOOKUP($A52,'Distribution Summary'!$A$136:$CG$146,CM$1,0)*BR52</f>
        <v>7042128.6111031398</v>
      </c>
    </row>
    <row r="53" spans="1:91" x14ac:dyDescent="0.25">
      <c r="A53" s="81" t="s">
        <v>106</v>
      </c>
      <c r="B53" s="82" t="s">
        <v>109</v>
      </c>
      <c r="C53" s="83" t="s">
        <v>329</v>
      </c>
      <c r="D53" s="84">
        <f>SUM('Defect (Total)'!D53,Planned!D53,Reconductor!D53,CTGS!D53)</f>
        <v>115343</v>
      </c>
      <c r="E53" s="85">
        <f>SUM('Defect (Total)'!E53,Planned!E53,Reconductor!E53,CTGS!E53)</f>
        <v>42947</v>
      </c>
      <c r="F53" s="85">
        <f>SUM('Defect (Total)'!F53,Planned!F53,Reconductor!F53,CTGS!F53)</f>
        <v>109356</v>
      </c>
      <c r="G53" s="85">
        <f>SUM('Defect (Total)'!G53,Planned!G53,Reconductor!G53,CTGS!G53)</f>
        <v>141142</v>
      </c>
      <c r="H53" s="85">
        <f>SUM('Defect (Total)'!H53,Planned!H53,Reconductor!H53,CTGS!H53)</f>
        <v>34386</v>
      </c>
      <c r="I53" s="85">
        <f>SUM('Defect (Total)'!I53,Planned!I53,Reconductor!I53,CTGS!I53)</f>
        <v>0</v>
      </c>
      <c r="J53" s="85">
        <f>SUM('Defect (Total)'!J53,Planned!J53,Reconductor!J53,CTGS!J53)</f>
        <v>0</v>
      </c>
      <c r="K53" s="85">
        <f>SUM('Defect (Total)'!K53,Planned!K53,Reconductor!K53,CTGS!K53)</f>
        <v>0</v>
      </c>
      <c r="L53" s="85">
        <f>SUM('Defect (Total)'!L53,Planned!L53,Reconductor!L53,CTGS!L53)</f>
        <v>0</v>
      </c>
      <c r="M53" s="85">
        <f>SUM('Defect (Total)'!M53,Planned!M53,Reconductor!M53,CTGS!M53)</f>
        <v>0</v>
      </c>
      <c r="N53" s="85">
        <f>SUM('Defect (Total)'!N53,Planned!N53,Reconductor!N53,CTGS!N53)</f>
        <v>0</v>
      </c>
      <c r="O53" s="560">
        <f>SUM('Defect (Total)'!O53,Planned!O53,Reconductor!O53,CTGS!O53)</f>
        <v>155188.96822624418</v>
      </c>
      <c r="P53" s="561">
        <f>SUM('Defect (Total)'!P53,Planned!P53,Reconductor!P53,CTGS!P53)</f>
        <v>56923.281842680735</v>
      </c>
      <c r="Q53" s="561">
        <f>SUM('Defect (Total)'!Q53,Planned!Q53,Reconductor!Q53,CTGS!Q53)</f>
        <v>143475.70054926386</v>
      </c>
      <c r="R53" s="561">
        <f>SUM('Defect (Total)'!R53,Planned!R53,Reconductor!R53,CTGS!R53)</f>
        <v>181666.23230169513</v>
      </c>
      <c r="S53" s="561">
        <f>SUM('Defect (Total)'!S53,Planned!S53,Reconductor!S53,CTGS!S53)</f>
        <v>43357.953797149872</v>
      </c>
      <c r="T53" s="561">
        <f>SUM('Defect (Total)'!T53,Planned!T53,Reconductor!T53,CTGS!T53)</f>
        <v>0</v>
      </c>
      <c r="U53" s="561">
        <f>SUM('Defect (Total)'!U53,Planned!U53,Reconductor!U53,CTGS!U53)</f>
        <v>0</v>
      </c>
      <c r="V53" s="561">
        <f>SUM('Defect (Total)'!V53,Planned!V53,Reconductor!V53,CTGS!V53)</f>
        <v>0</v>
      </c>
      <c r="W53" s="561">
        <f>SUM('Defect (Total)'!W53,Planned!W53,Reconductor!W53,CTGS!W53)</f>
        <v>0</v>
      </c>
      <c r="X53" s="561">
        <f>SUM('Defect (Total)'!X53,Planned!X53,Reconductor!X53,CTGS!X53)</f>
        <v>0</v>
      </c>
      <c r="Y53" s="561">
        <f>SUM('Defect (Total)'!Y53,Planned!Y53,Reconductor!Y53,CTGS!Y53)</f>
        <v>0</v>
      </c>
      <c r="Z53" s="86">
        <f>SUM('Defect (Total)'!Z53,Planned!Z53,Reconductor!Z53,CTGS!Z53)</f>
        <v>90</v>
      </c>
      <c r="AA53" s="87">
        <f>SUM('Defect (Total)'!AA53,Planned!AA53,Reconductor!AA53,CTGS!AA53)</f>
        <v>23</v>
      </c>
      <c r="AB53" s="87">
        <f>SUM('Defect (Total)'!AB53,Planned!AB53,Reconductor!AB53,CTGS!AB53)</f>
        <v>44</v>
      </c>
      <c r="AC53" s="87">
        <f>SUM('Defect (Total)'!AC53,Planned!AC53,Reconductor!AC53,CTGS!AC53)</f>
        <v>58</v>
      </c>
      <c r="AD53" s="87">
        <f>SUM('Defect (Total)'!AD53,Planned!AD53,Reconductor!AD53,CTGS!AD53)</f>
        <v>31</v>
      </c>
      <c r="AE53" s="87">
        <f>SUM('Defect (Total)'!AE53,Planned!AE53,Reconductor!AE53,CTGS!AE53)</f>
        <v>0</v>
      </c>
      <c r="AF53" s="87">
        <f>SUM('Defect (Total)'!AF53,Planned!AF53,Reconductor!AF53,CTGS!AF53)</f>
        <v>0</v>
      </c>
      <c r="AG53" s="87">
        <f>SUM('Defect (Total)'!AG53,Planned!AG53,Reconductor!AG53,CTGS!AG53)</f>
        <v>0</v>
      </c>
      <c r="AH53" s="87">
        <f>SUM('Defect (Total)'!AH53,Planned!AH53,Reconductor!AH53,CTGS!AH53)</f>
        <v>0</v>
      </c>
      <c r="AI53" s="87">
        <f>SUM('Defect (Total)'!AI53,Planned!AI53,Reconductor!AI53,CTGS!AI53)</f>
        <v>0</v>
      </c>
      <c r="AJ53" s="87">
        <f>SUM('Defect (Total)'!AJ53,Planned!AJ53,Reconductor!AJ53,CTGS!AJ53)</f>
        <v>0</v>
      </c>
      <c r="AK53" s="127">
        <f t="shared" si="17"/>
        <v>0</v>
      </c>
      <c r="AL53" s="128">
        <f t="shared" si="18"/>
        <v>0</v>
      </c>
      <c r="AM53" s="129">
        <f t="shared" si="19"/>
        <v>0</v>
      </c>
      <c r="AN53" s="91">
        <f t="shared" si="21"/>
        <v>1281.588888888889</v>
      </c>
      <c r="AO53" s="92">
        <f t="shared" si="22"/>
        <v>1867.2608695652175</v>
      </c>
      <c r="AP53" s="92">
        <f t="shared" si="23"/>
        <v>2485.3636363636365</v>
      </c>
      <c r="AQ53" s="92">
        <f t="shared" si="24"/>
        <v>2433.4827586206898</v>
      </c>
      <c r="AR53" s="92">
        <f t="shared" si="25"/>
        <v>1109.2258064516129</v>
      </c>
      <c r="AS53" s="92" t="str">
        <f t="shared" si="26"/>
        <v/>
      </c>
      <c r="AT53" s="92" t="str">
        <f t="shared" si="27"/>
        <v/>
      </c>
      <c r="AU53" s="92" t="str">
        <f t="shared" si="28"/>
        <v/>
      </c>
      <c r="AV53" s="92" t="str">
        <f t="shared" si="29"/>
        <v/>
      </c>
      <c r="AW53" s="92" t="str">
        <f t="shared" si="10"/>
        <v/>
      </c>
      <c r="AX53" s="92" t="str">
        <f t="shared" si="11"/>
        <v/>
      </c>
      <c r="AY53" s="93">
        <f t="shared" si="30"/>
        <v>1109.2258064516129</v>
      </c>
      <c r="AZ53" s="94" t="str">
        <f t="shared" si="31"/>
        <v/>
      </c>
      <c r="BA53" s="95" t="str">
        <f t="shared" si="32"/>
        <v/>
      </c>
      <c r="BB53" s="689">
        <f>SUM('Defect (Total)'!BB53,Planned!CE53,Reconductor!CE53,CTGS!CE53,'Substation 2025$'!CE53*$BL$1,Comms!CA53*$BL$2)</f>
        <v>0</v>
      </c>
      <c r="BC53" s="689">
        <f>SUM('Defect (Total)'!BC53,Planned!CF53,Reconductor!CF53,CTGS!CF53,'Substation 2025$'!CF53*$BL$1,Comms!CB53*$BL$2)</f>
        <v>0</v>
      </c>
      <c r="BD53" s="96">
        <f>SUM('Defect (Total)'!BD53,Planned!CG53,Reconductor!CG53,CTGS!CG53,'Substation 2025$'!CG53*$BL$1,Comms!CC53*$BL$2)</f>
        <v>0</v>
      </c>
      <c r="BE53" s="96">
        <f>SUM('Defect (Total)'!BE53,Planned!CH53,Reconductor!CH53,CTGS!CH53,'Substation 2025$'!CH53*$BL$1,Comms!CD53*$BL$2)</f>
        <v>0</v>
      </c>
      <c r="BF53" s="96">
        <f>SUM('Defect (Total)'!BF53,Planned!CI53,Reconductor!CI53,CTGS!CI53,'Substation 2025$'!CI53*$BL$1,Comms!CE53*$BL$2)</f>
        <v>0</v>
      </c>
      <c r="BG53" s="96">
        <f>SUM('Defect (Total)'!BG53,Planned!CJ53,Reconductor!CJ53,CTGS!CJ53,'Substation 2025$'!CJ53*$BL$1,Comms!CF53*$BL$2)</f>
        <v>0</v>
      </c>
      <c r="BH53" s="96">
        <f>SUM('Defect (Total)'!BH53,Planned!CK53,Reconductor!CK53,CTGS!CK53,'Substation 2025$'!CK53*$BL$1,Comms!CG53*$BL$2)</f>
        <v>0</v>
      </c>
      <c r="BI53" s="286">
        <f>SUM('Defect (Total)'!BI53,Planned!CL53,Reconductor!CL53,CTGS!CL53,'Substation 2025$'!CL53*$BL$1,Comms!CH53*$BL$2)</f>
        <v>0</v>
      </c>
      <c r="BJ53" s="99" t="str">
        <f t="shared" si="20"/>
        <v/>
      </c>
      <c r="BK53" s="992">
        <f>SUM('Defect (Total)'!BK53,Planned!CQ53,Reconductor!CQ53,CTGS!CQ53,'Substation 2025$'!CQ53*$BL$1,Comms!CM53*$BL$2)</f>
        <v>0</v>
      </c>
      <c r="BL53" s="992">
        <f>SUM('Defect (Total)'!BL53,Planned!CR53,Reconductor!CR53,CTGS!CR53,'Substation 2025$'!CR53*$BL$1,Comms!CN53*$BL$2)</f>
        <v>0</v>
      </c>
      <c r="BM53" s="524">
        <f>SUM('Defect (Total)'!BM53,Planned!CS53,Reconductor!CS53,CTGS!CS53,'Substation 2025$'!CS53*$BL$1,Comms!CO53*$BL$2)</f>
        <v>0</v>
      </c>
      <c r="BN53" s="416">
        <f>SUM('Defect (Total)'!BN53,Planned!CT53,Reconductor!CT53,CTGS!CT53,'Substation 2025$'!CT53*$BL$1,Comms!CP53*$BL$2)</f>
        <v>0</v>
      </c>
      <c r="BO53" s="97">
        <f>SUM('Defect (Total)'!BO53,Planned!CU53,Reconductor!CU53,CTGS!CU53,'Substation 2025$'!CU53*$BL$1,Comms!CQ53*$BL$2)</f>
        <v>0</v>
      </c>
      <c r="BP53" s="97">
        <f>SUM('Defect (Total)'!BP53,Planned!CV53,Reconductor!CV53,CTGS!CV53,'Substation 2025$'!CV53*$BL$1,Comms!CR53*$BL$2)</f>
        <v>0</v>
      </c>
      <c r="BQ53" s="97">
        <f>SUM('Defect (Total)'!BQ53,Planned!CW53,Reconductor!CW53,CTGS!CW53,'Substation 2025$'!CW53*$BL$1,Comms!CS53*$BL$2)</f>
        <v>0</v>
      </c>
      <c r="BR53" s="98">
        <f>SUM('Defect (Total)'!BR53,Planned!CX53,Reconductor!CX53,CTGS!CX53,'Substation 2025$'!CX53*$BL$1,Comms!CT53*$BL$2)</f>
        <v>0</v>
      </c>
      <c r="BS53" s="836" t="str">
        <f>'Unit Cost Rate Summary'!AO53</f>
        <v/>
      </c>
      <c r="BT53" s="840" t="str">
        <f t="shared" si="33"/>
        <v/>
      </c>
      <c r="BU53" s="832" t="str">
        <f t="shared" si="34"/>
        <v/>
      </c>
      <c r="BV53" t="s">
        <v>272</v>
      </c>
      <c r="CI53" s="416">
        <f>VLOOKUP($A53,'Distribution Summary'!$A$136:$CG$146,CI$1,0)*BN53</f>
        <v>0</v>
      </c>
      <c r="CJ53" s="97">
        <f>VLOOKUP($A53,'Distribution Summary'!$A$136:$CG$146,CJ$1,0)*BO53</f>
        <v>0</v>
      </c>
      <c r="CK53" s="97">
        <f>VLOOKUP($A53,'Distribution Summary'!$A$136:$CG$146,CK$1,0)*BP53</f>
        <v>0</v>
      </c>
      <c r="CL53" s="97">
        <f>VLOOKUP($A53,'Distribution Summary'!$A$136:$CG$146,CL$1,0)*BQ53</f>
        <v>0</v>
      </c>
      <c r="CM53" s="98">
        <f>VLOOKUP($A53,'Distribution Summary'!$A$136:$CG$146,CM$1,0)*BR53</f>
        <v>0</v>
      </c>
    </row>
    <row r="54" spans="1:91" x14ac:dyDescent="0.25">
      <c r="A54" s="81" t="s">
        <v>106</v>
      </c>
      <c r="B54" s="82" t="s">
        <v>111</v>
      </c>
      <c r="C54" s="83" t="s">
        <v>331</v>
      </c>
      <c r="D54" s="84">
        <f>SUM('Defect (Total)'!D54,Planned!D54,Reconductor!D54,CTGS!D54)</f>
        <v>0</v>
      </c>
      <c r="E54" s="85">
        <f>SUM('Defect (Total)'!E54,Planned!E54,Reconductor!E54,CTGS!E54)</f>
        <v>0</v>
      </c>
      <c r="F54" s="85">
        <f>SUM('Defect (Total)'!F54,Planned!F54,Reconductor!F54,CTGS!F54)</f>
        <v>0</v>
      </c>
      <c r="G54" s="85">
        <f>SUM('Defect (Total)'!G54,Planned!G54,Reconductor!G54,CTGS!G54)</f>
        <v>0</v>
      </c>
      <c r="H54" s="85">
        <f>SUM('Defect (Total)'!H54,Planned!H54,Reconductor!H54,CTGS!H54)</f>
        <v>0</v>
      </c>
      <c r="I54" s="85">
        <f>SUM('Defect (Total)'!I54,Planned!I54,Reconductor!I54,CTGS!I54)</f>
        <v>0</v>
      </c>
      <c r="J54" s="85">
        <f>SUM('Defect (Total)'!J54,Planned!J54,Reconductor!J54,CTGS!J54)</f>
        <v>0</v>
      </c>
      <c r="K54" s="85">
        <f>SUM('Defect (Total)'!K54,Planned!K54,Reconductor!K54,CTGS!K54)</f>
        <v>0</v>
      </c>
      <c r="L54" s="85">
        <f>SUM('Defect (Total)'!L54,Planned!L54,Reconductor!L54,CTGS!L54)</f>
        <v>0</v>
      </c>
      <c r="M54" s="85">
        <f>SUM('Defect (Total)'!M54,Planned!M54,Reconductor!M54,CTGS!M54)</f>
        <v>0</v>
      </c>
      <c r="N54" s="85">
        <f>SUM('Defect (Total)'!N54,Planned!N54,Reconductor!N54,CTGS!N54)</f>
        <v>0</v>
      </c>
      <c r="O54" s="560">
        <f>SUM('Defect (Total)'!O54,Planned!O54,Reconductor!O54,CTGS!O54)</f>
        <v>0</v>
      </c>
      <c r="P54" s="561">
        <f>SUM('Defect (Total)'!P54,Planned!P54,Reconductor!P54,CTGS!P54)</f>
        <v>0</v>
      </c>
      <c r="Q54" s="561">
        <f>SUM('Defect (Total)'!Q54,Planned!Q54,Reconductor!Q54,CTGS!Q54)</f>
        <v>0</v>
      </c>
      <c r="R54" s="561">
        <f>SUM('Defect (Total)'!R54,Planned!R54,Reconductor!R54,CTGS!R54)</f>
        <v>0</v>
      </c>
      <c r="S54" s="561">
        <f>SUM('Defect (Total)'!S54,Planned!S54,Reconductor!S54,CTGS!S54)</f>
        <v>0</v>
      </c>
      <c r="T54" s="561">
        <f>SUM('Defect (Total)'!T54,Planned!T54,Reconductor!T54,CTGS!T54)</f>
        <v>0</v>
      </c>
      <c r="U54" s="561">
        <f>SUM('Defect (Total)'!U54,Planned!U54,Reconductor!U54,CTGS!U54)</f>
        <v>0</v>
      </c>
      <c r="V54" s="561">
        <f>SUM('Defect (Total)'!V54,Planned!V54,Reconductor!V54,CTGS!V54)</f>
        <v>0</v>
      </c>
      <c r="W54" s="561">
        <f>SUM('Defect (Total)'!W54,Planned!W54,Reconductor!W54,CTGS!W54)</f>
        <v>0</v>
      </c>
      <c r="X54" s="561">
        <f>SUM('Defect (Total)'!X54,Planned!X54,Reconductor!X54,CTGS!X54)</f>
        <v>0</v>
      </c>
      <c r="Y54" s="561">
        <f>SUM('Defect (Total)'!Y54,Planned!Y54,Reconductor!Y54,CTGS!Y54)</f>
        <v>0</v>
      </c>
      <c r="Z54" s="86">
        <f>SUM('Defect (Total)'!Z54,Planned!Z54,Reconductor!Z54,CTGS!Z54)</f>
        <v>0</v>
      </c>
      <c r="AA54" s="87">
        <f>SUM('Defect (Total)'!AA54,Planned!AA54,Reconductor!AA54,CTGS!AA54)</f>
        <v>0</v>
      </c>
      <c r="AB54" s="87">
        <f>SUM('Defect (Total)'!AB54,Planned!AB54,Reconductor!AB54,CTGS!AB54)</f>
        <v>0</v>
      </c>
      <c r="AC54" s="87">
        <f>SUM('Defect (Total)'!AC54,Planned!AC54,Reconductor!AC54,CTGS!AC54)</f>
        <v>0</v>
      </c>
      <c r="AD54" s="87">
        <f>SUM('Defect (Total)'!AD54,Planned!AD54,Reconductor!AD54,CTGS!AD54)</f>
        <v>0</v>
      </c>
      <c r="AE54" s="87">
        <f>SUM('Defect (Total)'!AE54,Planned!AE54,Reconductor!AE54,CTGS!AE54)</f>
        <v>0</v>
      </c>
      <c r="AF54" s="87">
        <f>SUM('Defect (Total)'!AF54,Planned!AF54,Reconductor!AF54,CTGS!AF54)</f>
        <v>0</v>
      </c>
      <c r="AG54" s="87">
        <f>SUM('Defect (Total)'!AG54,Planned!AG54,Reconductor!AG54,CTGS!AG54)</f>
        <v>0</v>
      </c>
      <c r="AH54" s="87">
        <f>SUM('Defect (Total)'!AH54,Planned!AH54,Reconductor!AH54,CTGS!AH54)</f>
        <v>0</v>
      </c>
      <c r="AI54" s="87">
        <f>SUM('Defect (Total)'!AI54,Planned!AI54,Reconductor!AI54,CTGS!AI54)</f>
        <v>0</v>
      </c>
      <c r="AJ54" s="87">
        <f>SUM('Defect (Total)'!AJ54,Planned!AJ54,Reconductor!AJ54,CTGS!AJ54)</f>
        <v>0</v>
      </c>
      <c r="AK54" s="127">
        <f t="shared" si="17"/>
        <v>0</v>
      </c>
      <c r="AL54" s="128">
        <f t="shared" si="18"/>
        <v>0</v>
      </c>
      <c r="AM54" s="129">
        <f t="shared" si="19"/>
        <v>0</v>
      </c>
      <c r="AN54" s="91" t="str">
        <f t="shared" si="21"/>
        <v/>
      </c>
      <c r="AO54" s="92" t="str">
        <f t="shared" si="22"/>
        <v/>
      </c>
      <c r="AP54" s="92" t="str">
        <f t="shared" si="23"/>
        <v/>
      </c>
      <c r="AQ54" s="92" t="str">
        <f t="shared" si="24"/>
        <v/>
      </c>
      <c r="AR54" s="92" t="str">
        <f t="shared" si="25"/>
        <v/>
      </c>
      <c r="AS54" s="92" t="str">
        <f t="shared" si="26"/>
        <v/>
      </c>
      <c r="AT54" s="92" t="str">
        <f t="shared" si="27"/>
        <v/>
      </c>
      <c r="AU54" s="92" t="str">
        <f t="shared" si="28"/>
        <v/>
      </c>
      <c r="AV54" s="92" t="str">
        <f t="shared" si="29"/>
        <v/>
      </c>
      <c r="AW54" s="92" t="str">
        <f t="shared" si="10"/>
        <v/>
      </c>
      <c r="AX54" s="92" t="str">
        <f t="shared" si="11"/>
        <v/>
      </c>
      <c r="AY54" s="93" t="str">
        <f t="shared" si="30"/>
        <v/>
      </c>
      <c r="AZ54" s="94" t="str">
        <f t="shared" si="31"/>
        <v/>
      </c>
      <c r="BA54" s="95" t="str">
        <f t="shared" si="32"/>
        <v/>
      </c>
      <c r="BB54" s="689">
        <f>SUM('Defect (Total)'!BB54,Planned!CE54,Reconductor!CE54,CTGS!CE54,'Substation 2025$'!CE54*$BL$1,Comms!CA54*$BL$2)</f>
        <v>0</v>
      </c>
      <c r="BC54" s="689">
        <f>SUM('Defect (Total)'!BC54,Planned!CF54,Reconductor!CF54,CTGS!CF54,'Substation 2025$'!CF54*$BL$1,Comms!CB54*$BL$2)</f>
        <v>0</v>
      </c>
      <c r="BD54" s="96">
        <f>SUM('Defect (Total)'!BD54,Planned!CG54,Reconductor!CG54,CTGS!CG54,'Substation 2025$'!CG54*$BL$1,Comms!CC54*$BL$2)</f>
        <v>0</v>
      </c>
      <c r="BE54" s="96">
        <f>SUM('Defect (Total)'!BE54,Planned!CH54,Reconductor!CH54,CTGS!CH54,'Substation 2025$'!CH54*$BL$1,Comms!CD54*$BL$2)</f>
        <v>0</v>
      </c>
      <c r="BF54" s="96">
        <f>SUM('Defect (Total)'!BF54,Planned!CI54,Reconductor!CI54,CTGS!CI54,'Substation 2025$'!CI54*$BL$1,Comms!CE54*$BL$2)</f>
        <v>0</v>
      </c>
      <c r="BG54" s="96">
        <f>SUM('Defect (Total)'!BG54,Planned!CJ54,Reconductor!CJ54,CTGS!CJ54,'Substation 2025$'!CJ54*$BL$1,Comms!CF54*$BL$2)</f>
        <v>0</v>
      </c>
      <c r="BH54" s="96">
        <f>SUM('Defect (Total)'!BH54,Planned!CK54,Reconductor!CK54,CTGS!CK54,'Substation 2025$'!CK54*$BL$1,Comms!CG54*$BL$2)</f>
        <v>0</v>
      </c>
      <c r="BI54" s="286">
        <f>SUM('Defect (Total)'!BI54,Planned!CL54,Reconductor!CL54,CTGS!CL54,'Substation 2025$'!CL54*$BL$1,Comms!CH54*$BL$2)</f>
        <v>0</v>
      </c>
      <c r="BJ54" s="99" t="str">
        <f t="shared" si="20"/>
        <v/>
      </c>
      <c r="BK54" s="992">
        <f>SUM('Defect (Total)'!BK54,Planned!CQ54,Reconductor!CQ54,CTGS!CQ54,'Substation 2025$'!CQ54*$BL$1,Comms!CM54*$BL$2)</f>
        <v>0</v>
      </c>
      <c r="BL54" s="992">
        <f>SUM('Defect (Total)'!BL54,Planned!CR54,Reconductor!CR54,CTGS!CR54,'Substation 2025$'!CR54*$BL$1,Comms!CN54*$BL$2)</f>
        <v>0</v>
      </c>
      <c r="BM54" s="524">
        <f>SUM('Defect (Total)'!BM54,Planned!CS54,Reconductor!CS54,CTGS!CS54,'Substation 2025$'!CS54*$BL$1,Comms!CO54*$BL$2)</f>
        <v>0</v>
      </c>
      <c r="BN54" s="416">
        <f>SUM('Defect (Total)'!BN54,Planned!CT54,Reconductor!CT54,CTGS!CT54,'Substation 2025$'!CT54*$BL$1,Comms!CP54*$BL$2)</f>
        <v>0</v>
      </c>
      <c r="BO54" s="97">
        <f>SUM('Defect (Total)'!BO54,Planned!CU54,Reconductor!CU54,CTGS!CU54,'Substation 2025$'!CU54*$BL$1,Comms!CQ54*$BL$2)</f>
        <v>0</v>
      </c>
      <c r="BP54" s="97">
        <f>SUM('Defect (Total)'!BP54,Planned!CV54,Reconductor!CV54,CTGS!CV54,'Substation 2025$'!CV54*$BL$1,Comms!CR54*$BL$2)</f>
        <v>0</v>
      </c>
      <c r="BQ54" s="97">
        <f>SUM('Defect (Total)'!BQ54,Planned!CW54,Reconductor!CW54,CTGS!CW54,'Substation 2025$'!CW54*$BL$1,Comms!CS54*$BL$2)</f>
        <v>0</v>
      </c>
      <c r="BR54" s="98">
        <f>SUM('Defect (Total)'!BR54,Planned!CX54,Reconductor!CX54,CTGS!CX54,'Substation 2025$'!CX54*$BL$1,Comms!CT54*$BL$2)</f>
        <v>0</v>
      </c>
      <c r="BS54" s="836" t="str">
        <f>'Unit Cost Rate Summary'!AO54</f>
        <v/>
      </c>
      <c r="BT54" s="840" t="str">
        <f t="shared" si="33"/>
        <v/>
      </c>
      <c r="BU54" s="832" t="str">
        <f t="shared" si="34"/>
        <v/>
      </c>
      <c r="BV54" t="s">
        <v>272</v>
      </c>
      <c r="CI54" s="416">
        <f>VLOOKUP($A54,'Distribution Summary'!$A$136:$CG$146,CI$1,0)*BN54</f>
        <v>0</v>
      </c>
      <c r="CJ54" s="97">
        <f>VLOOKUP($A54,'Distribution Summary'!$A$136:$CG$146,CJ$1,0)*BO54</f>
        <v>0</v>
      </c>
      <c r="CK54" s="97">
        <f>VLOOKUP($A54,'Distribution Summary'!$A$136:$CG$146,CK$1,0)*BP54</f>
        <v>0</v>
      </c>
      <c r="CL54" s="97">
        <f>VLOOKUP($A54,'Distribution Summary'!$A$136:$CG$146,CL$1,0)*BQ54</f>
        <v>0</v>
      </c>
      <c r="CM54" s="98">
        <f>VLOOKUP($A54,'Distribution Summary'!$A$136:$CG$146,CM$1,0)*BR54</f>
        <v>0</v>
      </c>
    </row>
    <row r="55" spans="1:91" x14ac:dyDescent="0.25">
      <c r="A55" s="81" t="s">
        <v>106</v>
      </c>
      <c r="B55" s="82" t="s">
        <v>113</v>
      </c>
      <c r="C55" s="83" t="s">
        <v>333</v>
      </c>
      <c r="D55" s="84">
        <f>SUM('Defect (Total)'!D55,Planned!D55,Reconductor!D55,CTGS!D55)</f>
        <v>0</v>
      </c>
      <c r="E55" s="85">
        <f>SUM('Defect (Total)'!E55,Planned!E55,Reconductor!E55,CTGS!E55)</f>
        <v>0</v>
      </c>
      <c r="F55" s="85">
        <f>SUM('Defect (Total)'!F55,Planned!F55,Reconductor!F55,CTGS!F55)</f>
        <v>0</v>
      </c>
      <c r="G55" s="85">
        <f>SUM('Defect (Total)'!G55,Planned!G55,Reconductor!G55,CTGS!G55)</f>
        <v>0</v>
      </c>
      <c r="H55" s="85">
        <f>SUM('Defect (Total)'!H55,Planned!H55,Reconductor!H55,CTGS!H55)</f>
        <v>0</v>
      </c>
      <c r="I55" s="85">
        <f>SUM('Defect (Total)'!I55,Planned!I55,Reconductor!I55,CTGS!I55)</f>
        <v>0</v>
      </c>
      <c r="J55" s="85">
        <f>SUM('Defect (Total)'!J55,Planned!J55,Reconductor!J55,CTGS!J55)</f>
        <v>0</v>
      </c>
      <c r="K55" s="85">
        <f>SUM('Defect (Total)'!K55,Planned!K55,Reconductor!K55,CTGS!K55)</f>
        <v>0</v>
      </c>
      <c r="L55" s="85">
        <f>SUM('Defect (Total)'!L55,Planned!L55,Reconductor!L55,CTGS!L55)</f>
        <v>0</v>
      </c>
      <c r="M55" s="85">
        <f>SUM('Defect (Total)'!M55,Planned!M55,Reconductor!M55,CTGS!M55)</f>
        <v>0</v>
      </c>
      <c r="N55" s="85">
        <f>SUM('Defect (Total)'!N55,Planned!N55,Reconductor!N55,CTGS!N55)</f>
        <v>0</v>
      </c>
      <c r="O55" s="560">
        <f>SUM('Defect (Total)'!O55,Planned!O55,Reconductor!O55,CTGS!O55)</f>
        <v>0</v>
      </c>
      <c r="P55" s="561">
        <f>SUM('Defect (Total)'!P55,Planned!P55,Reconductor!P55,CTGS!P55)</f>
        <v>0</v>
      </c>
      <c r="Q55" s="561">
        <f>SUM('Defect (Total)'!Q55,Planned!Q55,Reconductor!Q55,CTGS!Q55)</f>
        <v>0</v>
      </c>
      <c r="R55" s="561">
        <f>SUM('Defect (Total)'!R55,Planned!R55,Reconductor!R55,CTGS!R55)</f>
        <v>0</v>
      </c>
      <c r="S55" s="561">
        <f>SUM('Defect (Total)'!S55,Planned!S55,Reconductor!S55,CTGS!S55)</f>
        <v>0</v>
      </c>
      <c r="T55" s="561">
        <f>SUM('Defect (Total)'!T55,Planned!T55,Reconductor!T55,CTGS!T55)</f>
        <v>0</v>
      </c>
      <c r="U55" s="561">
        <f>SUM('Defect (Total)'!U55,Planned!U55,Reconductor!U55,CTGS!U55)</f>
        <v>0</v>
      </c>
      <c r="V55" s="561">
        <f>SUM('Defect (Total)'!V55,Planned!V55,Reconductor!V55,CTGS!V55)</f>
        <v>0</v>
      </c>
      <c r="W55" s="561">
        <f>SUM('Defect (Total)'!W55,Planned!W55,Reconductor!W55,CTGS!W55)</f>
        <v>0</v>
      </c>
      <c r="X55" s="561">
        <f>SUM('Defect (Total)'!X55,Planned!X55,Reconductor!X55,CTGS!X55)</f>
        <v>0</v>
      </c>
      <c r="Y55" s="561">
        <f>SUM('Defect (Total)'!Y55,Planned!Y55,Reconductor!Y55,CTGS!Y55)</f>
        <v>0</v>
      </c>
      <c r="Z55" s="86">
        <f>SUM('Defect (Total)'!Z55,Planned!Z55,Reconductor!Z55,CTGS!Z55)</f>
        <v>0</v>
      </c>
      <c r="AA55" s="87">
        <f>SUM('Defect (Total)'!AA55,Planned!AA55,Reconductor!AA55,CTGS!AA55)</f>
        <v>0</v>
      </c>
      <c r="AB55" s="87">
        <f>SUM('Defect (Total)'!AB55,Planned!AB55,Reconductor!AB55,CTGS!AB55)</f>
        <v>0</v>
      </c>
      <c r="AC55" s="87">
        <f>SUM('Defect (Total)'!AC55,Planned!AC55,Reconductor!AC55,CTGS!AC55)</f>
        <v>0</v>
      </c>
      <c r="AD55" s="87">
        <f>SUM('Defect (Total)'!AD55,Planned!AD55,Reconductor!AD55,CTGS!AD55)</f>
        <v>0</v>
      </c>
      <c r="AE55" s="87">
        <f>SUM('Defect (Total)'!AE55,Planned!AE55,Reconductor!AE55,CTGS!AE55)</f>
        <v>0</v>
      </c>
      <c r="AF55" s="87">
        <f>SUM('Defect (Total)'!AF55,Planned!AF55,Reconductor!AF55,CTGS!AF55)</f>
        <v>0</v>
      </c>
      <c r="AG55" s="87">
        <f>SUM('Defect (Total)'!AG55,Planned!AG55,Reconductor!AG55,CTGS!AG55)</f>
        <v>0</v>
      </c>
      <c r="AH55" s="87">
        <f>SUM('Defect (Total)'!AH55,Planned!AH55,Reconductor!AH55,CTGS!AH55)</f>
        <v>0</v>
      </c>
      <c r="AI55" s="87">
        <f>SUM('Defect (Total)'!AI55,Planned!AI55,Reconductor!AI55,CTGS!AI55)</f>
        <v>0</v>
      </c>
      <c r="AJ55" s="87">
        <f>SUM('Defect (Total)'!AJ55,Planned!AJ55,Reconductor!AJ55,CTGS!AJ55)</f>
        <v>0</v>
      </c>
      <c r="AK55" s="127">
        <f t="shared" si="17"/>
        <v>0</v>
      </c>
      <c r="AL55" s="128">
        <f t="shared" si="18"/>
        <v>0</v>
      </c>
      <c r="AM55" s="129">
        <f t="shared" si="19"/>
        <v>0</v>
      </c>
      <c r="AN55" s="91" t="str">
        <f t="shared" si="21"/>
        <v/>
      </c>
      <c r="AO55" s="92" t="str">
        <f t="shared" si="22"/>
        <v/>
      </c>
      <c r="AP55" s="92" t="str">
        <f t="shared" si="23"/>
        <v/>
      </c>
      <c r="AQ55" s="92" t="str">
        <f t="shared" si="24"/>
        <v/>
      </c>
      <c r="AR55" s="92" t="str">
        <f t="shared" si="25"/>
        <v/>
      </c>
      <c r="AS55" s="92" t="str">
        <f t="shared" si="26"/>
        <v/>
      </c>
      <c r="AT55" s="92" t="str">
        <f t="shared" si="27"/>
        <v/>
      </c>
      <c r="AU55" s="92" t="str">
        <f t="shared" si="28"/>
        <v/>
      </c>
      <c r="AV55" s="92" t="str">
        <f t="shared" si="29"/>
        <v/>
      </c>
      <c r="AW55" s="92" t="str">
        <f t="shared" si="10"/>
        <v/>
      </c>
      <c r="AX55" s="92" t="str">
        <f t="shared" si="11"/>
        <v/>
      </c>
      <c r="AY55" s="93" t="str">
        <f t="shared" si="30"/>
        <v/>
      </c>
      <c r="AZ55" s="94" t="str">
        <f t="shared" si="31"/>
        <v/>
      </c>
      <c r="BA55" s="95" t="str">
        <f t="shared" si="32"/>
        <v/>
      </c>
      <c r="BB55" s="689">
        <f>SUM('Defect (Total)'!BB55,Planned!CE55,Reconductor!CE55,CTGS!CE55,'Substation 2025$'!CE55*$BL$1,Comms!CA55*$BL$2)</f>
        <v>0</v>
      </c>
      <c r="BC55" s="689">
        <f>SUM('Defect (Total)'!BC55,Planned!CF55,Reconductor!CF55,CTGS!CF55,'Substation 2025$'!CF55*$BL$1,Comms!CB55*$BL$2)</f>
        <v>0</v>
      </c>
      <c r="BD55" s="96">
        <f>SUM('Defect (Total)'!BD55,Planned!CG55,Reconductor!CG55,CTGS!CG55,'Substation 2025$'!CG55*$BL$1,Comms!CC55*$BL$2)</f>
        <v>0</v>
      </c>
      <c r="BE55" s="96">
        <f>SUM('Defect (Total)'!BE55,Planned!CH55,Reconductor!CH55,CTGS!CH55,'Substation 2025$'!CH55*$BL$1,Comms!CD55*$BL$2)</f>
        <v>0</v>
      </c>
      <c r="BF55" s="96">
        <f>SUM('Defect (Total)'!BF55,Planned!CI55,Reconductor!CI55,CTGS!CI55,'Substation 2025$'!CI55*$BL$1,Comms!CE55*$BL$2)</f>
        <v>0</v>
      </c>
      <c r="BG55" s="96">
        <f>SUM('Defect (Total)'!BG55,Planned!CJ55,Reconductor!CJ55,CTGS!CJ55,'Substation 2025$'!CJ55*$BL$1,Comms!CF55*$BL$2)</f>
        <v>0</v>
      </c>
      <c r="BH55" s="96">
        <f>SUM('Defect (Total)'!BH55,Planned!CK55,Reconductor!CK55,CTGS!CK55,'Substation 2025$'!CK55*$BL$1,Comms!CG55*$BL$2)</f>
        <v>0</v>
      </c>
      <c r="BI55" s="286">
        <f>SUM('Defect (Total)'!BI55,Planned!CL55,Reconductor!CL55,CTGS!CL55,'Substation 2025$'!CL55*$BL$1,Comms!CH55*$BL$2)</f>
        <v>0</v>
      </c>
      <c r="BJ55" s="99" t="str">
        <f t="shared" si="20"/>
        <v/>
      </c>
      <c r="BK55" s="992">
        <f>SUM('Defect (Total)'!BK55,Planned!CQ55,Reconductor!CQ55,CTGS!CQ55,'Substation 2025$'!CQ55*$BL$1,Comms!CM55*$BL$2)</f>
        <v>0</v>
      </c>
      <c r="BL55" s="992">
        <f>SUM('Defect (Total)'!BL55,Planned!CR55,Reconductor!CR55,CTGS!CR55,'Substation 2025$'!CR55*$BL$1,Comms!CN55*$BL$2)</f>
        <v>0</v>
      </c>
      <c r="BM55" s="524">
        <f>SUM('Defect (Total)'!BM55,Planned!CS55,Reconductor!CS55,CTGS!CS55,'Substation 2025$'!CS55*$BL$1,Comms!CO55*$BL$2)</f>
        <v>0</v>
      </c>
      <c r="BN55" s="416">
        <f>SUM('Defect (Total)'!BN55,Planned!CT55,Reconductor!CT55,CTGS!CT55,'Substation 2025$'!CT55*$BL$1,Comms!CP55*$BL$2)</f>
        <v>0</v>
      </c>
      <c r="BO55" s="97">
        <f>SUM('Defect (Total)'!BO55,Planned!CU55,Reconductor!CU55,CTGS!CU55,'Substation 2025$'!CU55*$BL$1,Comms!CQ55*$BL$2)</f>
        <v>0</v>
      </c>
      <c r="BP55" s="97">
        <f>SUM('Defect (Total)'!BP55,Planned!CV55,Reconductor!CV55,CTGS!CV55,'Substation 2025$'!CV55*$BL$1,Comms!CR55*$BL$2)</f>
        <v>0</v>
      </c>
      <c r="BQ55" s="97">
        <f>SUM('Defect (Total)'!BQ55,Planned!CW55,Reconductor!CW55,CTGS!CW55,'Substation 2025$'!CW55*$BL$1,Comms!CS55*$BL$2)</f>
        <v>0</v>
      </c>
      <c r="BR55" s="98">
        <f>SUM('Defect (Total)'!BR55,Planned!CX55,Reconductor!CX55,CTGS!CX55,'Substation 2025$'!CX55*$BL$1,Comms!CT55*$BL$2)</f>
        <v>0</v>
      </c>
      <c r="BS55" s="836" t="str">
        <f>'Unit Cost Rate Summary'!AO55</f>
        <v/>
      </c>
      <c r="BT55" s="840" t="str">
        <f t="shared" si="33"/>
        <v/>
      </c>
      <c r="BU55" s="832" t="str">
        <f t="shared" si="34"/>
        <v/>
      </c>
      <c r="BV55" t="s">
        <v>272</v>
      </c>
      <c r="CI55" s="416">
        <f>VLOOKUP($A55,'Distribution Summary'!$A$136:$CG$146,CI$1,0)*BN55</f>
        <v>0</v>
      </c>
      <c r="CJ55" s="97">
        <f>VLOOKUP($A55,'Distribution Summary'!$A$136:$CG$146,CJ$1,0)*BO55</f>
        <v>0</v>
      </c>
      <c r="CK55" s="97">
        <f>VLOOKUP($A55,'Distribution Summary'!$A$136:$CG$146,CK$1,0)*BP55</f>
        <v>0</v>
      </c>
      <c r="CL55" s="97">
        <f>VLOOKUP($A55,'Distribution Summary'!$A$136:$CG$146,CL$1,0)*BQ55</f>
        <v>0</v>
      </c>
      <c r="CM55" s="98">
        <f>VLOOKUP($A55,'Distribution Summary'!$A$136:$CG$146,CM$1,0)*BR55</f>
        <v>0</v>
      </c>
    </row>
    <row r="56" spans="1:91" x14ac:dyDescent="0.25">
      <c r="A56" s="81" t="s">
        <v>106</v>
      </c>
      <c r="B56" s="82" t="s">
        <v>115</v>
      </c>
      <c r="C56" s="83" t="s">
        <v>335</v>
      </c>
      <c r="D56" s="84">
        <f>SUM('Defect (Total)'!D56,Planned!D56,Reconductor!D56,CTGS!D56)</f>
        <v>0</v>
      </c>
      <c r="E56" s="85">
        <f>SUM('Defect (Total)'!E56,Planned!E56,Reconductor!E56,CTGS!E56)</f>
        <v>0</v>
      </c>
      <c r="F56" s="85">
        <f>SUM('Defect (Total)'!F56,Planned!F56,Reconductor!F56,CTGS!F56)</f>
        <v>0</v>
      </c>
      <c r="G56" s="85">
        <f>SUM('Defect (Total)'!G56,Planned!G56,Reconductor!G56,CTGS!G56)</f>
        <v>0</v>
      </c>
      <c r="H56" s="85">
        <f>SUM('Defect (Total)'!H56,Planned!H56,Reconductor!H56,CTGS!H56)</f>
        <v>0</v>
      </c>
      <c r="I56" s="85">
        <f>SUM('Defect (Total)'!I56,Planned!I56,Reconductor!I56,CTGS!I56)</f>
        <v>0</v>
      </c>
      <c r="J56" s="85">
        <f>SUM('Defect (Total)'!J56,Planned!J56,Reconductor!J56,CTGS!J56)</f>
        <v>0</v>
      </c>
      <c r="K56" s="85">
        <f>SUM('Defect (Total)'!K56,Planned!K56,Reconductor!K56,CTGS!K56)</f>
        <v>0</v>
      </c>
      <c r="L56" s="85">
        <f>SUM('Defect (Total)'!L56,Planned!L56,Reconductor!L56,CTGS!L56)</f>
        <v>0</v>
      </c>
      <c r="M56" s="85">
        <f>SUM('Defect (Total)'!M56,Planned!M56,Reconductor!M56,CTGS!M56)</f>
        <v>0</v>
      </c>
      <c r="N56" s="85">
        <f>SUM('Defect (Total)'!N56,Planned!N56,Reconductor!N56,CTGS!N56)</f>
        <v>0</v>
      </c>
      <c r="O56" s="560">
        <f>SUM('Defect (Total)'!O56,Planned!O56,Reconductor!O56,CTGS!O56)</f>
        <v>0</v>
      </c>
      <c r="P56" s="561">
        <f>SUM('Defect (Total)'!P56,Planned!P56,Reconductor!P56,CTGS!P56)</f>
        <v>0</v>
      </c>
      <c r="Q56" s="561">
        <f>SUM('Defect (Total)'!Q56,Planned!Q56,Reconductor!Q56,CTGS!Q56)</f>
        <v>0</v>
      </c>
      <c r="R56" s="561">
        <f>SUM('Defect (Total)'!R56,Planned!R56,Reconductor!R56,CTGS!R56)</f>
        <v>0</v>
      </c>
      <c r="S56" s="561">
        <f>SUM('Defect (Total)'!S56,Planned!S56,Reconductor!S56,CTGS!S56)</f>
        <v>0</v>
      </c>
      <c r="T56" s="561">
        <f>SUM('Defect (Total)'!T56,Planned!T56,Reconductor!T56,CTGS!T56)</f>
        <v>0</v>
      </c>
      <c r="U56" s="561">
        <f>SUM('Defect (Total)'!U56,Planned!U56,Reconductor!U56,CTGS!U56)</f>
        <v>0</v>
      </c>
      <c r="V56" s="561">
        <f>SUM('Defect (Total)'!V56,Planned!V56,Reconductor!V56,CTGS!V56)</f>
        <v>0</v>
      </c>
      <c r="W56" s="561">
        <f>SUM('Defect (Total)'!W56,Planned!W56,Reconductor!W56,CTGS!W56)</f>
        <v>0</v>
      </c>
      <c r="X56" s="561">
        <f>SUM('Defect (Total)'!X56,Planned!X56,Reconductor!X56,CTGS!X56)</f>
        <v>0</v>
      </c>
      <c r="Y56" s="561">
        <f>SUM('Defect (Total)'!Y56,Planned!Y56,Reconductor!Y56,CTGS!Y56)</f>
        <v>0</v>
      </c>
      <c r="Z56" s="86">
        <f>SUM('Defect (Total)'!Z56,Planned!Z56,Reconductor!Z56,CTGS!Z56)</f>
        <v>0</v>
      </c>
      <c r="AA56" s="87">
        <f>SUM('Defect (Total)'!AA56,Planned!AA56,Reconductor!AA56,CTGS!AA56)</f>
        <v>0</v>
      </c>
      <c r="AB56" s="87">
        <f>SUM('Defect (Total)'!AB56,Planned!AB56,Reconductor!AB56,CTGS!AB56)</f>
        <v>0</v>
      </c>
      <c r="AC56" s="87">
        <f>SUM('Defect (Total)'!AC56,Planned!AC56,Reconductor!AC56,CTGS!AC56)</f>
        <v>0</v>
      </c>
      <c r="AD56" s="87">
        <f>SUM('Defect (Total)'!AD56,Planned!AD56,Reconductor!AD56,CTGS!AD56)</f>
        <v>0</v>
      </c>
      <c r="AE56" s="87">
        <f>SUM('Defect (Total)'!AE56,Planned!AE56,Reconductor!AE56,CTGS!AE56)</f>
        <v>0</v>
      </c>
      <c r="AF56" s="87">
        <f>SUM('Defect (Total)'!AF56,Planned!AF56,Reconductor!AF56,CTGS!AF56)</f>
        <v>0</v>
      </c>
      <c r="AG56" s="87">
        <f>SUM('Defect (Total)'!AG56,Planned!AG56,Reconductor!AG56,CTGS!AG56)</f>
        <v>0</v>
      </c>
      <c r="AH56" s="87">
        <f>SUM('Defect (Total)'!AH56,Planned!AH56,Reconductor!AH56,CTGS!AH56)</f>
        <v>0</v>
      </c>
      <c r="AI56" s="87">
        <f>SUM('Defect (Total)'!AI56,Planned!AI56,Reconductor!AI56,CTGS!AI56)</f>
        <v>0</v>
      </c>
      <c r="AJ56" s="87">
        <f>SUM('Defect (Total)'!AJ56,Planned!AJ56,Reconductor!AJ56,CTGS!AJ56)</f>
        <v>0</v>
      </c>
      <c r="AK56" s="127">
        <f t="shared" si="17"/>
        <v>0</v>
      </c>
      <c r="AL56" s="128">
        <f t="shared" si="18"/>
        <v>0</v>
      </c>
      <c r="AM56" s="129">
        <f t="shared" si="19"/>
        <v>0</v>
      </c>
      <c r="AN56" s="91" t="str">
        <f t="shared" si="21"/>
        <v/>
      </c>
      <c r="AO56" s="92" t="str">
        <f t="shared" si="22"/>
        <v/>
      </c>
      <c r="AP56" s="92" t="str">
        <f t="shared" si="23"/>
        <v/>
      </c>
      <c r="AQ56" s="92" t="str">
        <f t="shared" si="24"/>
        <v/>
      </c>
      <c r="AR56" s="92" t="str">
        <f t="shared" si="25"/>
        <v/>
      </c>
      <c r="AS56" s="92" t="str">
        <f t="shared" si="26"/>
        <v/>
      </c>
      <c r="AT56" s="92" t="str">
        <f t="shared" si="27"/>
        <v/>
      </c>
      <c r="AU56" s="92" t="str">
        <f t="shared" si="28"/>
        <v/>
      </c>
      <c r="AV56" s="92" t="str">
        <f t="shared" si="29"/>
        <v/>
      </c>
      <c r="AW56" s="92" t="str">
        <f t="shared" si="10"/>
        <v/>
      </c>
      <c r="AX56" s="92" t="str">
        <f t="shared" si="11"/>
        <v/>
      </c>
      <c r="AY56" s="93" t="str">
        <f t="shared" si="30"/>
        <v/>
      </c>
      <c r="AZ56" s="94" t="str">
        <f t="shared" si="31"/>
        <v/>
      </c>
      <c r="BA56" s="95" t="str">
        <f t="shared" si="32"/>
        <v/>
      </c>
      <c r="BB56" s="694">
        <f>SUM('Defect (Total)'!BB56,Planned!CE56,Reconductor!CE56,CTGS!CE56,'Substation 2025$'!CE56*$BL$1,Comms!CA56*$BL$2)</f>
        <v>0</v>
      </c>
      <c r="BC56" s="694">
        <f>SUM('Defect (Total)'!BC56,Planned!CF56,Reconductor!CF56,CTGS!CF56,'Substation 2025$'!CF56*$BL$1,Comms!CB56*$BL$2)</f>
        <v>0</v>
      </c>
      <c r="BD56" s="140">
        <f>SUM('Defect (Total)'!BD56,Planned!CG56,Reconductor!CG56,CTGS!CG56,'Substation 2025$'!CG56*$BL$1,Comms!CC56*$BL$2)</f>
        <v>0</v>
      </c>
      <c r="BE56" s="140">
        <f>SUM('Defect (Total)'!BE56,Planned!CH56,Reconductor!CH56,CTGS!CH56,'Substation 2025$'!CH56*$BL$1,Comms!CD56*$BL$2)</f>
        <v>0</v>
      </c>
      <c r="BF56" s="140">
        <f>SUM('Defect (Total)'!BF56,Planned!CI56,Reconductor!CI56,CTGS!CI56,'Substation 2025$'!CI56*$BL$1,Comms!CE56*$BL$2)</f>
        <v>0</v>
      </c>
      <c r="BG56" s="140">
        <f>SUM('Defect (Total)'!BG56,Planned!CJ56,Reconductor!CJ56,CTGS!CJ56,'Substation 2025$'!CJ56*$BL$1,Comms!CF56*$BL$2)</f>
        <v>0</v>
      </c>
      <c r="BH56" s="140">
        <f>SUM('Defect (Total)'!BH56,Planned!CK56,Reconductor!CK56,CTGS!CK56,'Substation 2025$'!CK56*$BL$1,Comms!CG56*$BL$2)</f>
        <v>0</v>
      </c>
      <c r="BI56" s="291">
        <f>SUM('Defect (Total)'!BI56,Planned!CL56,Reconductor!CL56,CTGS!CL56,'Substation 2025$'!CL56*$BL$1,Comms!CH56*$BL$2)</f>
        <v>0</v>
      </c>
      <c r="BJ56" s="99" t="str">
        <f t="shared" si="20"/>
        <v/>
      </c>
      <c r="BK56" s="992">
        <f>SUM('Defect (Total)'!BK56,Planned!CQ56,Reconductor!CQ56,CTGS!CQ56,'Substation 2025$'!CQ56*$BL$1,Comms!CM56*$BL$2)</f>
        <v>0</v>
      </c>
      <c r="BL56" s="992">
        <f>SUM('Defect (Total)'!BL56,Planned!CR56,Reconductor!CR56,CTGS!CR56,'Substation 2025$'!CR56*$BL$1,Comms!CN56*$BL$2)</f>
        <v>0</v>
      </c>
      <c r="BM56" s="524">
        <f>SUM('Defect (Total)'!BM56,Planned!CS56,Reconductor!CS56,CTGS!CS56,'Substation 2025$'!CS56*$BL$1,Comms!CO56*$BL$2)</f>
        <v>0</v>
      </c>
      <c r="BN56" s="416">
        <f>SUM('Defect (Total)'!BN56,Planned!CT56,Reconductor!CT56,CTGS!CT56,'Substation 2025$'!CT56*$BL$1,Comms!CP56*$BL$2)</f>
        <v>0</v>
      </c>
      <c r="BO56" s="97">
        <f>SUM('Defect (Total)'!BO56,Planned!CU56,Reconductor!CU56,CTGS!CU56,'Substation 2025$'!CU56*$BL$1,Comms!CQ56*$BL$2)</f>
        <v>0</v>
      </c>
      <c r="BP56" s="97">
        <f>SUM('Defect (Total)'!BP56,Planned!CV56,Reconductor!CV56,CTGS!CV56,'Substation 2025$'!CV56*$BL$1,Comms!CR56*$BL$2)</f>
        <v>0</v>
      </c>
      <c r="BQ56" s="97">
        <f>SUM('Defect (Total)'!BQ56,Planned!CW56,Reconductor!CW56,CTGS!CW56,'Substation 2025$'!CW56*$BL$1,Comms!CS56*$BL$2)</f>
        <v>0</v>
      </c>
      <c r="BR56" s="98">
        <f>SUM('Defect (Total)'!BR56,Planned!CX56,Reconductor!CX56,CTGS!CX56,'Substation 2025$'!CX56*$BL$1,Comms!CT56*$BL$2)</f>
        <v>0</v>
      </c>
      <c r="BS56" s="836" t="str">
        <f>'Unit Cost Rate Summary'!AO56</f>
        <v/>
      </c>
      <c r="BT56" s="840" t="str">
        <f t="shared" si="33"/>
        <v/>
      </c>
      <c r="BU56" s="832" t="str">
        <f t="shared" si="34"/>
        <v/>
      </c>
      <c r="BV56" t="s">
        <v>272</v>
      </c>
      <c r="CI56" s="416">
        <f>VLOOKUP($A56,'Distribution Summary'!$A$136:$CG$146,CI$1,0)*BN56</f>
        <v>0</v>
      </c>
      <c r="CJ56" s="97">
        <f>VLOOKUP($A56,'Distribution Summary'!$A$136:$CG$146,CJ$1,0)*BO56</f>
        <v>0</v>
      </c>
      <c r="CK56" s="97">
        <f>VLOOKUP($A56,'Distribution Summary'!$A$136:$CG$146,CK$1,0)*BP56</f>
        <v>0</v>
      </c>
      <c r="CL56" s="97">
        <f>VLOOKUP($A56,'Distribution Summary'!$A$136:$CG$146,CL$1,0)*BQ56</f>
        <v>0</v>
      </c>
      <c r="CM56" s="98">
        <f>VLOOKUP($A56,'Distribution Summary'!$A$136:$CG$146,CM$1,0)*BR56</f>
        <v>0</v>
      </c>
    </row>
    <row r="57" spans="1:91" x14ac:dyDescent="0.25">
      <c r="A57" s="81" t="s">
        <v>106</v>
      </c>
      <c r="B57" s="82" t="s">
        <v>117</v>
      </c>
      <c r="C57" s="83" t="s">
        <v>337</v>
      </c>
      <c r="D57" s="84">
        <f>SUM('Defect (Total)'!D57,Planned!D57,Reconductor!D57,CTGS!D57)</f>
        <v>0</v>
      </c>
      <c r="E57" s="85">
        <f>SUM('Defect (Total)'!E57,Planned!E57,Reconductor!E57,CTGS!E57)</f>
        <v>0</v>
      </c>
      <c r="F57" s="85">
        <f>SUM('Defect (Total)'!F57,Planned!F57,Reconductor!F57,CTGS!F57)</f>
        <v>0</v>
      </c>
      <c r="G57" s="85">
        <f>SUM('Defect (Total)'!G57,Planned!G57,Reconductor!G57,CTGS!G57)</f>
        <v>0</v>
      </c>
      <c r="H57" s="85">
        <f>SUM('Defect (Total)'!H57,Planned!H57,Reconductor!H57,CTGS!H57)</f>
        <v>0</v>
      </c>
      <c r="I57" s="85">
        <f>SUM('Defect (Total)'!I57,Planned!I57,Reconductor!I57,CTGS!I57)</f>
        <v>0</v>
      </c>
      <c r="J57" s="85">
        <f>SUM('Defect (Total)'!J57,Planned!J57,Reconductor!J57,CTGS!J57)</f>
        <v>0</v>
      </c>
      <c r="K57" s="85">
        <f>SUM('Defect (Total)'!K57,Planned!K57,Reconductor!K57,CTGS!K57)</f>
        <v>0</v>
      </c>
      <c r="L57" s="85">
        <f>SUM('Defect (Total)'!L57,Planned!L57,Reconductor!L57,CTGS!L57)</f>
        <v>0</v>
      </c>
      <c r="M57" s="85">
        <f>SUM('Defect (Total)'!M57,Planned!M57,Reconductor!M57,CTGS!M57)</f>
        <v>0</v>
      </c>
      <c r="N57" s="85">
        <f>SUM('Defect (Total)'!N57,Planned!N57,Reconductor!N57,CTGS!N57)</f>
        <v>0</v>
      </c>
      <c r="O57" s="560">
        <f>SUM('Defect (Total)'!O57,Planned!O57,Reconductor!O57,CTGS!O57)</f>
        <v>0</v>
      </c>
      <c r="P57" s="561">
        <f>SUM('Defect (Total)'!P57,Planned!P57,Reconductor!P57,CTGS!P57)</f>
        <v>0</v>
      </c>
      <c r="Q57" s="561">
        <f>SUM('Defect (Total)'!Q57,Planned!Q57,Reconductor!Q57,CTGS!Q57)</f>
        <v>0</v>
      </c>
      <c r="R57" s="561">
        <f>SUM('Defect (Total)'!R57,Planned!R57,Reconductor!R57,CTGS!R57)</f>
        <v>0</v>
      </c>
      <c r="S57" s="561">
        <f>SUM('Defect (Total)'!S57,Planned!S57,Reconductor!S57,CTGS!S57)</f>
        <v>0</v>
      </c>
      <c r="T57" s="561">
        <f>SUM('Defect (Total)'!T57,Planned!T57,Reconductor!T57,CTGS!T57)</f>
        <v>0</v>
      </c>
      <c r="U57" s="561">
        <f>SUM('Defect (Total)'!U57,Planned!U57,Reconductor!U57,CTGS!U57)</f>
        <v>0</v>
      </c>
      <c r="V57" s="561">
        <f>SUM('Defect (Total)'!V57,Planned!V57,Reconductor!V57,CTGS!V57)</f>
        <v>0</v>
      </c>
      <c r="W57" s="561">
        <f>SUM('Defect (Total)'!W57,Planned!W57,Reconductor!W57,CTGS!W57)</f>
        <v>0</v>
      </c>
      <c r="X57" s="561">
        <f>SUM('Defect (Total)'!X57,Planned!X57,Reconductor!X57,CTGS!X57)</f>
        <v>0</v>
      </c>
      <c r="Y57" s="561">
        <f>SUM('Defect (Total)'!Y57,Planned!Y57,Reconductor!Y57,CTGS!Y57)</f>
        <v>0</v>
      </c>
      <c r="Z57" s="86">
        <f>SUM('Defect (Total)'!Z57,Planned!Z57,Reconductor!Z57,CTGS!Z57)</f>
        <v>0</v>
      </c>
      <c r="AA57" s="87">
        <f>SUM('Defect (Total)'!AA57,Planned!AA57,Reconductor!AA57,CTGS!AA57)</f>
        <v>0</v>
      </c>
      <c r="AB57" s="87">
        <f>SUM('Defect (Total)'!AB57,Planned!AB57,Reconductor!AB57,CTGS!AB57)</f>
        <v>0</v>
      </c>
      <c r="AC57" s="87">
        <f>SUM('Defect (Total)'!AC57,Planned!AC57,Reconductor!AC57,CTGS!AC57)</f>
        <v>0</v>
      </c>
      <c r="AD57" s="87">
        <f>SUM('Defect (Total)'!AD57,Planned!AD57,Reconductor!AD57,CTGS!AD57)</f>
        <v>0</v>
      </c>
      <c r="AE57" s="87">
        <f>SUM('Defect (Total)'!AE57,Planned!AE57,Reconductor!AE57,CTGS!AE57)</f>
        <v>0</v>
      </c>
      <c r="AF57" s="87">
        <f>SUM('Defect (Total)'!AF57,Planned!AF57,Reconductor!AF57,CTGS!AF57)</f>
        <v>0</v>
      </c>
      <c r="AG57" s="87">
        <f>SUM('Defect (Total)'!AG57,Planned!AG57,Reconductor!AG57,CTGS!AG57)</f>
        <v>0</v>
      </c>
      <c r="AH57" s="87">
        <f>SUM('Defect (Total)'!AH57,Planned!AH57,Reconductor!AH57,CTGS!AH57)</f>
        <v>0</v>
      </c>
      <c r="AI57" s="87">
        <f>SUM('Defect (Total)'!AI57,Planned!AI57,Reconductor!AI57,CTGS!AI57)</f>
        <v>0</v>
      </c>
      <c r="AJ57" s="87">
        <f>SUM('Defect (Total)'!AJ57,Planned!AJ57,Reconductor!AJ57,CTGS!AJ57)</f>
        <v>0</v>
      </c>
      <c r="AK57" s="127">
        <f t="shared" si="17"/>
        <v>0</v>
      </c>
      <c r="AL57" s="128">
        <f t="shared" si="18"/>
        <v>0</v>
      </c>
      <c r="AM57" s="129">
        <f t="shared" si="19"/>
        <v>0</v>
      </c>
      <c r="AN57" s="91" t="str">
        <f t="shared" si="21"/>
        <v/>
      </c>
      <c r="AO57" s="92" t="str">
        <f t="shared" si="22"/>
        <v/>
      </c>
      <c r="AP57" s="92" t="str">
        <f t="shared" si="23"/>
        <v/>
      </c>
      <c r="AQ57" s="92" t="str">
        <f t="shared" si="24"/>
        <v/>
      </c>
      <c r="AR57" s="92" t="str">
        <f t="shared" si="25"/>
        <v/>
      </c>
      <c r="AS57" s="92" t="str">
        <f t="shared" si="26"/>
        <v/>
      </c>
      <c r="AT57" s="92" t="str">
        <f t="shared" si="27"/>
        <v/>
      </c>
      <c r="AU57" s="92" t="str">
        <f t="shared" si="28"/>
        <v/>
      </c>
      <c r="AV57" s="92" t="str">
        <f t="shared" si="29"/>
        <v/>
      </c>
      <c r="AW57" s="92" t="str">
        <f t="shared" si="10"/>
        <v/>
      </c>
      <c r="AX57" s="92" t="str">
        <f t="shared" si="11"/>
        <v/>
      </c>
      <c r="AY57" s="93" t="str">
        <f t="shared" si="30"/>
        <v/>
      </c>
      <c r="AZ57" s="94" t="str">
        <f t="shared" si="31"/>
        <v/>
      </c>
      <c r="BA57" s="95" t="str">
        <f t="shared" si="32"/>
        <v/>
      </c>
      <c r="BB57" s="694">
        <f>SUM('Defect (Total)'!BB57,Planned!CE57,Reconductor!CE57,CTGS!CE57,'Substation 2025$'!CE57*$BL$1,Comms!CA57*$BL$2)</f>
        <v>0</v>
      </c>
      <c r="BC57" s="694">
        <f>SUM('Defect (Total)'!BC57,Planned!CF57,Reconductor!CF57,CTGS!CF57,'Substation 2025$'!CF57*$BL$1,Comms!CB57*$BL$2)</f>
        <v>0</v>
      </c>
      <c r="BD57" s="140">
        <f>SUM('Defect (Total)'!BD57,Planned!CG57,Reconductor!CG57,CTGS!CG57,'Substation 2025$'!CG57*$BL$1,Comms!CC57*$BL$2)</f>
        <v>0</v>
      </c>
      <c r="BE57" s="140">
        <f>SUM('Defect (Total)'!BE57,Planned!CH57,Reconductor!CH57,CTGS!CH57,'Substation 2025$'!CH57*$BL$1,Comms!CD57*$BL$2)</f>
        <v>0</v>
      </c>
      <c r="BF57" s="140">
        <f>SUM('Defect (Total)'!BF57,Planned!CI57,Reconductor!CI57,CTGS!CI57,'Substation 2025$'!CI57*$BL$1,Comms!CE57*$BL$2)</f>
        <v>0</v>
      </c>
      <c r="BG57" s="140">
        <f>SUM('Defect (Total)'!BG57,Planned!CJ57,Reconductor!CJ57,CTGS!CJ57,'Substation 2025$'!CJ57*$BL$1,Comms!CF57*$BL$2)</f>
        <v>0</v>
      </c>
      <c r="BH57" s="140">
        <f>SUM('Defect (Total)'!BH57,Planned!CK57,Reconductor!CK57,CTGS!CK57,'Substation 2025$'!CK57*$BL$1,Comms!CG57*$BL$2)</f>
        <v>0</v>
      </c>
      <c r="BI57" s="291">
        <f>SUM('Defect (Total)'!BI57,Planned!CL57,Reconductor!CL57,CTGS!CL57,'Substation 2025$'!CL57*$BL$1,Comms!CH57*$BL$2)</f>
        <v>0</v>
      </c>
      <c r="BJ57" s="99" t="str">
        <f t="shared" si="20"/>
        <v/>
      </c>
      <c r="BK57" s="992">
        <f>SUM('Defect (Total)'!BK57,Planned!CQ57,Reconductor!CQ57,CTGS!CQ57,'Substation 2025$'!CQ57*$BL$1,Comms!CM57*$BL$2)</f>
        <v>0</v>
      </c>
      <c r="BL57" s="992">
        <f>SUM('Defect (Total)'!BL57,Planned!CR57,Reconductor!CR57,CTGS!CR57,'Substation 2025$'!CR57*$BL$1,Comms!CN57*$BL$2)</f>
        <v>0</v>
      </c>
      <c r="BM57" s="524">
        <f>SUM('Defect (Total)'!BM57,Planned!CS57,Reconductor!CS57,CTGS!CS57,'Substation 2025$'!CS57*$BL$1,Comms!CO57*$BL$2)</f>
        <v>0</v>
      </c>
      <c r="BN57" s="416">
        <f>SUM('Defect (Total)'!BN57,Planned!CT57,Reconductor!CT57,CTGS!CT57,'Substation 2025$'!CT57*$BL$1,Comms!CP57*$BL$2)</f>
        <v>0</v>
      </c>
      <c r="BO57" s="97">
        <f>SUM('Defect (Total)'!BO57,Planned!CU57,Reconductor!CU57,CTGS!CU57,'Substation 2025$'!CU57*$BL$1,Comms!CQ57*$BL$2)</f>
        <v>0</v>
      </c>
      <c r="BP57" s="97">
        <f>SUM('Defect (Total)'!BP57,Planned!CV57,Reconductor!CV57,CTGS!CV57,'Substation 2025$'!CV57*$BL$1,Comms!CR57*$BL$2)</f>
        <v>0</v>
      </c>
      <c r="BQ57" s="97">
        <f>SUM('Defect (Total)'!BQ57,Planned!CW57,Reconductor!CW57,CTGS!CW57,'Substation 2025$'!CW57*$BL$1,Comms!CS57*$BL$2)</f>
        <v>0</v>
      </c>
      <c r="BR57" s="98">
        <f>SUM('Defect (Total)'!BR57,Planned!CX57,Reconductor!CX57,CTGS!CX57,'Substation 2025$'!CX57*$BL$1,Comms!CT57*$BL$2)</f>
        <v>0</v>
      </c>
      <c r="BS57" s="836" t="str">
        <f>'Unit Cost Rate Summary'!AO57</f>
        <v/>
      </c>
      <c r="BT57" s="840" t="str">
        <f t="shared" si="33"/>
        <v/>
      </c>
      <c r="BU57" s="832" t="str">
        <f t="shared" si="34"/>
        <v/>
      </c>
      <c r="BV57" t="s">
        <v>272</v>
      </c>
      <c r="CI57" s="416">
        <f>VLOOKUP($A57,'Distribution Summary'!$A$136:$CG$146,CI$1,0)*BN57</f>
        <v>0</v>
      </c>
      <c r="CJ57" s="97">
        <f>VLOOKUP($A57,'Distribution Summary'!$A$136:$CG$146,CJ$1,0)*BO57</f>
        <v>0</v>
      </c>
      <c r="CK57" s="97">
        <f>VLOOKUP($A57,'Distribution Summary'!$A$136:$CG$146,CK$1,0)*BP57</f>
        <v>0</v>
      </c>
      <c r="CL57" s="97">
        <f>VLOOKUP($A57,'Distribution Summary'!$A$136:$CG$146,CL$1,0)*BQ57</f>
        <v>0</v>
      </c>
      <c r="CM57" s="98">
        <f>VLOOKUP($A57,'Distribution Summary'!$A$136:$CG$146,CM$1,0)*BR57</f>
        <v>0</v>
      </c>
    </row>
    <row r="58" spans="1:91" x14ac:dyDescent="0.25">
      <c r="A58" s="81" t="s">
        <v>106</v>
      </c>
      <c r="B58" s="82" t="s">
        <v>119</v>
      </c>
      <c r="C58" s="83" t="s">
        <v>339</v>
      </c>
      <c r="D58" s="84">
        <f>SUM('Defect (Total)'!D58,Planned!D58,Reconductor!D58,CTGS!D58)</f>
        <v>0</v>
      </c>
      <c r="E58" s="85">
        <f>SUM('Defect (Total)'!E58,Planned!E58,Reconductor!E58,CTGS!E58)</f>
        <v>0</v>
      </c>
      <c r="F58" s="85">
        <f>SUM('Defect (Total)'!F58,Planned!F58,Reconductor!F58,CTGS!F58)</f>
        <v>0</v>
      </c>
      <c r="G58" s="85">
        <f>SUM('Defect (Total)'!G58,Planned!G58,Reconductor!G58,CTGS!G58)</f>
        <v>0</v>
      </c>
      <c r="H58" s="85">
        <f>SUM('Defect (Total)'!H58,Planned!H58,Reconductor!H58,CTGS!H58)</f>
        <v>0</v>
      </c>
      <c r="I58" s="85">
        <f>SUM('Defect (Total)'!I58,Planned!I58,Reconductor!I58,CTGS!I58)</f>
        <v>0</v>
      </c>
      <c r="J58" s="85">
        <f>SUM('Defect (Total)'!J58,Planned!J58,Reconductor!J58,CTGS!J58)</f>
        <v>0</v>
      </c>
      <c r="K58" s="85">
        <f>SUM('Defect (Total)'!K58,Planned!K58,Reconductor!K58,CTGS!K58)</f>
        <v>0</v>
      </c>
      <c r="L58" s="85">
        <f>SUM('Defect (Total)'!L58,Planned!L58,Reconductor!L58,CTGS!L58)</f>
        <v>0</v>
      </c>
      <c r="M58" s="85">
        <f>SUM('Defect (Total)'!M58,Planned!M58,Reconductor!M58,CTGS!M58)</f>
        <v>0</v>
      </c>
      <c r="N58" s="85">
        <f>SUM('Defect (Total)'!N58,Planned!N58,Reconductor!N58,CTGS!N58)</f>
        <v>0</v>
      </c>
      <c r="O58" s="560">
        <f>SUM('Defect (Total)'!O58,Planned!O58,Reconductor!O58,CTGS!O58)</f>
        <v>0</v>
      </c>
      <c r="P58" s="561">
        <f>SUM('Defect (Total)'!P58,Planned!P58,Reconductor!P58,CTGS!P58)</f>
        <v>0</v>
      </c>
      <c r="Q58" s="561">
        <f>SUM('Defect (Total)'!Q58,Planned!Q58,Reconductor!Q58,CTGS!Q58)</f>
        <v>0</v>
      </c>
      <c r="R58" s="561">
        <f>SUM('Defect (Total)'!R58,Planned!R58,Reconductor!R58,CTGS!R58)</f>
        <v>0</v>
      </c>
      <c r="S58" s="561">
        <f>SUM('Defect (Total)'!S58,Planned!S58,Reconductor!S58,CTGS!S58)</f>
        <v>0</v>
      </c>
      <c r="T58" s="561">
        <f>SUM('Defect (Total)'!T58,Planned!T58,Reconductor!T58,CTGS!T58)</f>
        <v>0</v>
      </c>
      <c r="U58" s="561">
        <f>SUM('Defect (Total)'!U58,Planned!U58,Reconductor!U58,CTGS!U58)</f>
        <v>0</v>
      </c>
      <c r="V58" s="561">
        <f>SUM('Defect (Total)'!V58,Planned!V58,Reconductor!V58,CTGS!V58)</f>
        <v>0</v>
      </c>
      <c r="W58" s="561">
        <f>SUM('Defect (Total)'!W58,Planned!W58,Reconductor!W58,CTGS!W58)</f>
        <v>0</v>
      </c>
      <c r="X58" s="561">
        <f>SUM('Defect (Total)'!X58,Planned!X58,Reconductor!X58,CTGS!X58)</f>
        <v>0</v>
      </c>
      <c r="Y58" s="561">
        <f>SUM('Defect (Total)'!Y58,Planned!Y58,Reconductor!Y58,CTGS!Y58)</f>
        <v>0</v>
      </c>
      <c r="Z58" s="86">
        <f>SUM('Defect (Total)'!Z58,Planned!Z58,Reconductor!Z58,CTGS!Z58)</f>
        <v>0</v>
      </c>
      <c r="AA58" s="87">
        <f>SUM('Defect (Total)'!AA58,Planned!AA58,Reconductor!AA58,CTGS!AA58)</f>
        <v>0</v>
      </c>
      <c r="AB58" s="87">
        <f>SUM('Defect (Total)'!AB58,Planned!AB58,Reconductor!AB58,CTGS!AB58)</f>
        <v>0</v>
      </c>
      <c r="AC58" s="87">
        <f>SUM('Defect (Total)'!AC58,Planned!AC58,Reconductor!AC58,CTGS!AC58)</f>
        <v>0</v>
      </c>
      <c r="AD58" s="87">
        <f>SUM('Defect (Total)'!AD58,Planned!AD58,Reconductor!AD58,CTGS!AD58)</f>
        <v>0</v>
      </c>
      <c r="AE58" s="87">
        <f>SUM('Defect (Total)'!AE58,Planned!AE58,Reconductor!AE58,CTGS!AE58)</f>
        <v>0</v>
      </c>
      <c r="AF58" s="87">
        <f>SUM('Defect (Total)'!AF58,Planned!AF58,Reconductor!AF58,CTGS!AF58)</f>
        <v>0</v>
      </c>
      <c r="AG58" s="87">
        <f>SUM('Defect (Total)'!AG58,Planned!AG58,Reconductor!AG58,CTGS!AG58)</f>
        <v>0</v>
      </c>
      <c r="AH58" s="87">
        <f>SUM('Defect (Total)'!AH58,Planned!AH58,Reconductor!AH58,CTGS!AH58)</f>
        <v>0</v>
      </c>
      <c r="AI58" s="87">
        <f>SUM('Defect (Total)'!AI58,Planned!AI58,Reconductor!AI58,CTGS!AI58)</f>
        <v>0</v>
      </c>
      <c r="AJ58" s="87">
        <f>SUM('Defect (Total)'!AJ58,Planned!AJ58,Reconductor!AJ58,CTGS!AJ58)</f>
        <v>0</v>
      </c>
      <c r="AK58" s="127">
        <f t="shared" si="17"/>
        <v>0</v>
      </c>
      <c r="AL58" s="128">
        <f t="shared" si="18"/>
        <v>0</v>
      </c>
      <c r="AM58" s="129">
        <f t="shared" si="19"/>
        <v>0</v>
      </c>
      <c r="AN58" s="91" t="str">
        <f t="shared" si="21"/>
        <v/>
      </c>
      <c r="AO58" s="92" t="str">
        <f t="shared" si="22"/>
        <v/>
      </c>
      <c r="AP58" s="92" t="str">
        <f t="shared" si="23"/>
        <v/>
      </c>
      <c r="AQ58" s="92" t="str">
        <f t="shared" si="24"/>
        <v/>
      </c>
      <c r="AR58" s="92" t="str">
        <f t="shared" si="25"/>
        <v/>
      </c>
      <c r="AS58" s="92" t="str">
        <f t="shared" si="26"/>
        <v/>
      </c>
      <c r="AT58" s="92" t="str">
        <f t="shared" si="27"/>
        <v/>
      </c>
      <c r="AU58" s="92" t="str">
        <f t="shared" si="28"/>
        <v/>
      </c>
      <c r="AV58" s="92" t="str">
        <f t="shared" si="29"/>
        <v/>
      </c>
      <c r="AW58" s="92" t="str">
        <f t="shared" si="10"/>
        <v/>
      </c>
      <c r="AX58" s="92" t="str">
        <f t="shared" si="11"/>
        <v/>
      </c>
      <c r="AY58" s="93" t="str">
        <f t="shared" si="30"/>
        <v/>
      </c>
      <c r="AZ58" s="94" t="str">
        <f t="shared" si="31"/>
        <v/>
      </c>
      <c r="BA58" s="95" t="str">
        <f t="shared" si="32"/>
        <v/>
      </c>
      <c r="BB58" s="694">
        <f>SUM('Defect (Total)'!BB58,Planned!CE58,Reconductor!CE58,CTGS!CE58,'Substation 2025$'!CE58*$BL$1,Comms!CA58*$BL$2)</f>
        <v>0</v>
      </c>
      <c r="BC58" s="694">
        <f>SUM('Defect (Total)'!BC58,Planned!CF58,Reconductor!CF58,CTGS!CF58,'Substation 2025$'!CF58*$BL$1,Comms!CB58*$BL$2)</f>
        <v>0</v>
      </c>
      <c r="BD58" s="140">
        <f>SUM('Defect (Total)'!BD58,Planned!CG58,Reconductor!CG58,CTGS!CG58,'Substation 2025$'!CG58*$BL$1,Comms!CC58*$BL$2)</f>
        <v>0</v>
      </c>
      <c r="BE58" s="140">
        <f>SUM('Defect (Total)'!BE58,Planned!CH58,Reconductor!CH58,CTGS!CH58,'Substation 2025$'!CH58*$BL$1,Comms!CD58*$BL$2)</f>
        <v>0</v>
      </c>
      <c r="BF58" s="140">
        <f>SUM('Defect (Total)'!BF58,Planned!CI58,Reconductor!CI58,CTGS!CI58,'Substation 2025$'!CI58*$BL$1,Comms!CE58*$BL$2)</f>
        <v>0</v>
      </c>
      <c r="BG58" s="140">
        <f>SUM('Defect (Total)'!BG58,Planned!CJ58,Reconductor!CJ58,CTGS!CJ58,'Substation 2025$'!CJ58*$BL$1,Comms!CF58*$BL$2)</f>
        <v>0</v>
      </c>
      <c r="BH58" s="140">
        <f>SUM('Defect (Total)'!BH58,Planned!CK58,Reconductor!CK58,CTGS!CK58,'Substation 2025$'!CK58*$BL$1,Comms!CG58*$BL$2)</f>
        <v>0</v>
      </c>
      <c r="BI58" s="291">
        <f>SUM('Defect (Total)'!BI58,Planned!CL58,Reconductor!CL58,CTGS!CL58,'Substation 2025$'!CL58*$BL$1,Comms!CH58*$BL$2)</f>
        <v>0</v>
      </c>
      <c r="BJ58" s="99" t="str">
        <f t="shared" si="20"/>
        <v/>
      </c>
      <c r="BK58" s="992">
        <f>SUM('Defect (Total)'!BK58,Planned!CQ58,Reconductor!CQ58,CTGS!CQ58,'Substation 2025$'!CQ58*$BL$1,Comms!CM58*$BL$2)</f>
        <v>0</v>
      </c>
      <c r="BL58" s="992">
        <f>SUM('Defect (Total)'!BL58,Planned!CR58,Reconductor!CR58,CTGS!CR58,'Substation 2025$'!CR58*$BL$1,Comms!CN58*$BL$2)</f>
        <v>0</v>
      </c>
      <c r="BM58" s="524">
        <f>SUM('Defect (Total)'!BM58,Planned!CS58,Reconductor!CS58,CTGS!CS58,'Substation 2025$'!CS58*$BL$1,Comms!CO58*$BL$2)</f>
        <v>0</v>
      </c>
      <c r="BN58" s="416">
        <f>SUM('Defect (Total)'!BN58,Planned!CT58,Reconductor!CT58,CTGS!CT58,'Substation 2025$'!CT58*$BL$1,Comms!CP58*$BL$2)</f>
        <v>0</v>
      </c>
      <c r="BO58" s="97">
        <f>SUM('Defect (Total)'!BO58,Planned!CU58,Reconductor!CU58,CTGS!CU58,'Substation 2025$'!CU58*$BL$1,Comms!CQ58*$BL$2)</f>
        <v>0</v>
      </c>
      <c r="BP58" s="97">
        <f>SUM('Defect (Total)'!BP58,Planned!CV58,Reconductor!CV58,CTGS!CV58,'Substation 2025$'!CV58*$BL$1,Comms!CR58*$BL$2)</f>
        <v>0</v>
      </c>
      <c r="BQ58" s="97">
        <f>SUM('Defect (Total)'!BQ58,Planned!CW58,Reconductor!CW58,CTGS!CW58,'Substation 2025$'!CW58*$BL$1,Comms!CS58*$BL$2)</f>
        <v>0</v>
      </c>
      <c r="BR58" s="98">
        <f>SUM('Defect (Total)'!BR58,Planned!CX58,Reconductor!CX58,CTGS!CX58,'Substation 2025$'!CX58*$BL$1,Comms!CT58*$BL$2)</f>
        <v>0</v>
      </c>
      <c r="BS58" s="836" t="str">
        <f>'Unit Cost Rate Summary'!AO58</f>
        <v/>
      </c>
      <c r="BT58" s="840" t="str">
        <f t="shared" si="33"/>
        <v/>
      </c>
      <c r="BU58" s="832" t="str">
        <f t="shared" si="34"/>
        <v/>
      </c>
      <c r="BV58" t="s">
        <v>272</v>
      </c>
      <c r="CI58" s="416">
        <f>VLOOKUP($A58,'Distribution Summary'!$A$136:$CG$146,CI$1,0)*BN58</f>
        <v>0</v>
      </c>
      <c r="CJ58" s="97">
        <f>VLOOKUP($A58,'Distribution Summary'!$A$136:$CG$146,CJ$1,0)*BO58</f>
        <v>0</v>
      </c>
      <c r="CK58" s="97">
        <f>VLOOKUP($A58,'Distribution Summary'!$A$136:$CG$146,CK$1,0)*BP58</f>
        <v>0</v>
      </c>
      <c r="CL58" s="97">
        <f>VLOOKUP($A58,'Distribution Summary'!$A$136:$CG$146,CL$1,0)*BQ58</f>
        <v>0</v>
      </c>
      <c r="CM58" s="98">
        <f>VLOOKUP($A58,'Distribution Summary'!$A$136:$CG$146,CM$1,0)*BR58</f>
        <v>0</v>
      </c>
    </row>
    <row r="59" spans="1:91" x14ac:dyDescent="0.25">
      <c r="A59" s="81" t="s">
        <v>106</v>
      </c>
      <c r="B59" s="82" t="s">
        <v>121</v>
      </c>
      <c r="C59" s="83" t="s">
        <v>341</v>
      </c>
      <c r="D59" s="84">
        <f>SUM('Defect (Total)'!D59,Planned!D59,Reconductor!D59,CTGS!D59)</f>
        <v>0</v>
      </c>
      <c r="E59" s="85">
        <f>SUM('Defect (Total)'!E59,Planned!E59,Reconductor!E59,CTGS!E59)</f>
        <v>0</v>
      </c>
      <c r="F59" s="85">
        <f>SUM('Defect (Total)'!F59,Planned!F59,Reconductor!F59,CTGS!F59)</f>
        <v>0</v>
      </c>
      <c r="G59" s="85">
        <f>SUM('Defect (Total)'!G59,Planned!G59,Reconductor!G59,CTGS!G59)</f>
        <v>0</v>
      </c>
      <c r="H59" s="85">
        <f>SUM('Defect (Total)'!H59,Planned!H59,Reconductor!H59,CTGS!H59)</f>
        <v>0</v>
      </c>
      <c r="I59" s="85">
        <f>SUM('Defect (Total)'!I59,Planned!I59,Reconductor!I59,CTGS!I59)</f>
        <v>0</v>
      </c>
      <c r="J59" s="85">
        <f>SUM('Defect (Total)'!J59,Planned!J59,Reconductor!J59,CTGS!J59)</f>
        <v>0</v>
      </c>
      <c r="K59" s="85">
        <f>SUM('Defect (Total)'!K59,Planned!K59,Reconductor!K59,CTGS!K59)</f>
        <v>0</v>
      </c>
      <c r="L59" s="85">
        <f>SUM('Defect (Total)'!L59,Planned!L59,Reconductor!L59,CTGS!L59)</f>
        <v>0</v>
      </c>
      <c r="M59" s="85">
        <f>SUM('Defect (Total)'!M59,Planned!M59,Reconductor!M59,CTGS!M59)</f>
        <v>0</v>
      </c>
      <c r="N59" s="85">
        <f>SUM('Defect (Total)'!N59,Planned!N59,Reconductor!N59,CTGS!N59)</f>
        <v>0</v>
      </c>
      <c r="O59" s="560">
        <f>SUM('Defect (Total)'!O59,Planned!O59,Reconductor!O59,CTGS!O59)</f>
        <v>0</v>
      </c>
      <c r="P59" s="561">
        <f>SUM('Defect (Total)'!P59,Planned!P59,Reconductor!P59,CTGS!P59)</f>
        <v>0</v>
      </c>
      <c r="Q59" s="561">
        <f>SUM('Defect (Total)'!Q59,Planned!Q59,Reconductor!Q59,CTGS!Q59)</f>
        <v>0</v>
      </c>
      <c r="R59" s="561">
        <f>SUM('Defect (Total)'!R59,Planned!R59,Reconductor!R59,CTGS!R59)</f>
        <v>0</v>
      </c>
      <c r="S59" s="561">
        <f>SUM('Defect (Total)'!S59,Planned!S59,Reconductor!S59,CTGS!S59)</f>
        <v>0</v>
      </c>
      <c r="T59" s="561">
        <f>SUM('Defect (Total)'!T59,Planned!T59,Reconductor!T59,CTGS!T59)</f>
        <v>0</v>
      </c>
      <c r="U59" s="561">
        <f>SUM('Defect (Total)'!U59,Planned!U59,Reconductor!U59,CTGS!U59)</f>
        <v>0</v>
      </c>
      <c r="V59" s="561">
        <f>SUM('Defect (Total)'!V59,Planned!V59,Reconductor!V59,CTGS!V59)</f>
        <v>0</v>
      </c>
      <c r="W59" s="561">
        <f>SUM('Defect (Total)'!W59,Planned!W59,Reconductor!W59,CTGS!W59)</f>
        <v>0</v>
      </c>
      <c r="X59" s="561">
        <f>SUM('Defect (Total)'!X59,Planned!X59,Reconductor!X59,CTGS!X59)</f>
        <v>0</v>
      </c>
      <c r="Y59" s="561">
        <f>SUM('Defect (Total)'!Y59,Planned!Y59,Reconductor!Y59,CTGS!Y59)</f>
        <v>0</v>
      </c>
      <c r="Z59" s="86">
        <f>SUM('Defect (Total)'!Z59,Planned!Z59,Reconductor!Z59,CTGS!Z59)</f>
        <v>0</v>
      </c>
      <c r="AA59" s="87">
        <f>SUM('Defect (Total)'!AA59,Planned!AA59,Reconductor!AA59,CTGS!AA59)</f>
        <v>0</v>
      </c>
      <c r="AB59" s="87">
        <f>SUM('Defect (Total)'!AB59,Planned!AB59,Reconductor!AB59,CTGS!AB59)</f>
        <v>0</v>
      </c>
      <c r="AC59" s="87">
        <f>SUM('Defect (Total)'!AC59,Planned!AC59,Reconductor!AC59,CTGS!AC59)</f>
        <v>0</v>
      </c>
      <c r="AD59" s="87">
        <f>SUM('Defect (Total)'!AD59,Planned!AD59,Reconductor!AD59,CTGS!AD59)</f>
        <v>0</v>
      </c>
      <c r="AE59" s="87">
        <f>SUM('Defect (Total)'!AE59,Planned!AE59,Reconductor!AE59,CTGS!AE59)</f>
        <v>0</v>
      </c>
      <c r="AF59" s="87">
        <f>SUM('Defect (Total)'!AF59,Planned!AF59,Reconductor!AF59,CTGS!AF59)</f>
        <v>0</v>
      </c>
      <c r="AG59" s="87">
        <f>SUM('Defect (Total)'!AG59,Planned!AG59,Reconductor!AG59,CTGS!AG59)</f>
        <v>0</v>
      </c>
      <c r="AH59" s="87">
        <f>SUM('Defect (Total)'!AH59,Planned!AH59,Reconductor!AH59,CTGS!AH59)</f>
        <v>0</v>
      </c>
      <c r="AI59" s="87">
        <f>SUM('Defect (Total)'!AI59,Planned!AI59,Reconductor!AI59,CTGS!AI59)</f>
        <v>0</v>
      </c>
      <c r="AJ59" s="87">
        <f>SUM('Defect (Total)'!AJ59,Planned!AJ59,Reconductor!AJ59,CTGS!AJ59)</f>
        <v>0</v>
      </c>
      <c r="AK59" s="127">
        <f t="shared" si="17"/>
        <v>0</v>
      </c>
      <c r="AL59" s="128">
        <f t="shared" si="18"/>
        <v>0</v>
      </c>
      <c r="AM59" s="129">
        <f t="shared" si="19"/>
        <v>0</v>
      </c>
      <c r="AN59" s="91" t="str">
        <f t="shared" si="21"/>
        <v/>
      </c>
      <c r="AO59" s="92" t="str">
        <f t="shared" si="22"/>
        <v/>
      </c>
      <c r="AP59" s="92" t="str">
        <f t="shared" si="23"/>
        <v/>
      </c>
      <c r="AQ59" s="92" t="str">
        <f t="shared" si="24"/>
        <v/>
      </c>
      <c r="AR59" s="92" t="str">
        <f t="shared" si="25"/>
        <v/>
      </c>
      <c r="AS59" s="92" t="str">
        <f t="shared" si="26"/>
        <v/>
      </c>
      <c r="AT59" s="92" t="str">
        <f t="shared" si="27"/>
        <v/>
      </c>
      <c r="AU59" s="92" t="str">
        <f t="shared" si="28"/>
        <v/>
      </c>
      <c r="AV59" s="92" t="str">
        <f t="shared" si="29"/>
        <v/>
      </c>
      <c r="AW59" s="92" t="str">
        <f t="shared" si="10"/>
        <v/>
      </c>
      <c r="AX59" s="92" t="str">
        <f t="shared" si="11"/>
        <v/>
      </c>
      <c r="AY59" s="93" t="str">
        <f t="shared" si="30"/>
        <v/>
      </c>
      <c r="AZ59" s="94" t="str">
        <f t="shared" si="31"/>
        <v/>
      </c>
      <c r="BA59" s="95" t="str">
        <f t="shared" si="32"/>
        <v/>
      </c>
      <c r="BB59" s="694">
        <f>SUM('Defect (Total)'!BB59,Planned!CE59,Reconductor!CE59,CTGS!CE59,'Substation 2025$'!CE59*$BL$1,Comms!CA59*$BL$2)</f>
        <v>0</v>
      </c>
      <c r="BC59" s="694">
        <f>SUM('Defect (Total)'!BC59,Planned!CF59,Reconductor!CF59,CTGS!CF59,'Substation 2025$'!CF59*$BL$1,Comms!CB59*$BL$2)</f>
        <v>0</v>
      </c>
      <c r="BD59" s="140">
        <f>SUM('Defect (Total)'!BD59,Planned!CG59,Reconductor!CG59,CTGS!CG59,'Substation 2025$'!CG59*$BL$1,Comms!CC59*$BL$2)</f>
        <v>0</v>
      </c>
      <c r="BE59" s="140">
        <f>SUM('Defect (Total)'!BE59,Planned!CH59,Reconductor!CH59,CTGS!CH59,'Substation 2025$'!CH59*$BL$1,Comms!CD59*$BL$2)</f>
        <v>0</v>
      </c>
      <c r="BF59" s="140">
        <f>SUM('Defect (Total)'!BF59,Planned!CI59,Reconductor!CI59,CTGS!CI59,'Substation 2025$'!CI59*$BL$1,Comms!CE59*$BL$2)</f>
        <v>0</v>
      </c>
      <c r="BG59" s="140">
        <f>SUM('Defect (Total)'!BG59,Planned!CJ59,Reconductor!CJ59,CTGS!CJ59,'Substation 2025$'!CJ59*$BL$1,Comms!CF59*$BL$2)</f>
        <v>0</v>
      </c>
      <c r="BH59" s="140">
        <f>SUM('Defect (Total)'!BH59,Planned!CK59,Reconductor!CK59,CTGS!CK59,'Substation 2025$'!CK59*$BL$1,Comms!CG59*$BL$2)</f>
        <v>0</v>
      </c>
      <c r="BI59" s="291">
        <f>SUM('Defect (Total)'!BI59,Planned!CL59,Reconductor!CL59,CTGS!CL59,'Substation 2025$'!CL59*$BL$1,Comms!CH59*$BL$2)</f>
        <v>0</v>
      </c>
      <c r="BJ59" s="99" t="str">
        <f t="shared" si="20"/>
        <v/>
      </c>
      <c r="BK59" s="992">
        <f>SUM('Defect (Total)'!BK59,Planned!CQ59,Reconductor!CQ59,CTGS!CQ59,'Substation 2025$'!CQ59*$BL$1,Comms!CM59*$BL$2)</f>
        <v>0</v>
      </c>
      <c r="BL59" s="992">
        <f>SUM('Defect (Total)'!BL59,Planned!CR59,Reconductor!CR59,CTGS!CR59,'Substation 2025$'!CR59*$BL$1,Comms!CN59*$BL$2)</f>
        <v>0</v>
      </c>
      <c r="BM59" s="524">
        <f>SUM('Defect (Total)'!BM59,Planned!CS59,Reconductor!CS59,CTGS!CS59,'Substation 2025$'!CS59*$BL$1,Comms!CO59*$BL$2)</f>
        <v>0</v>
      </c>
      <c r="BN59" s="416">
        <f>SUM('Defect (Total)'!BN59,Planned!CT59,Reconductor!CT59,CTGS!CT59,'Substation 2025$'!CT59*$BL$1,Comms!CP59*$BL$2)</f>
        <v>0</v>
      </c>
      <c r="BO59" s="97">
        <f>SUM('Defect (Total)'!BO59,Planned!CU59,Reconductor!CU59,CTGS!CU59,'Substation 2025$'!CU59*$BL$1,Comms!CQ59*$BL$2)</f>
        <v>0</v>
      </c>
      <c r="BP59" s="97">
        <f>SUM('Defect (Total)'!BP59,Planned!CV59,Reconductor!CV59,CTGS!CV59,'Substation 2025$'!CV59*$BL$1,Comms!CR59*$BL$2)</f>
        <v>0</v>
      </c>
      <c r="BQ59" s="97">
        <f>SUM('Defect (Total)'!BQ59,Planned!CW59,Reconductor!CW59,CTGS!CW59,'Substation 2025$'!CW59*$BL$1,Comms!CS59*$BL$2)</f>
        <v>0</v>
      </c>
      <c r="BR59" s="98">
        <f>SUM('Defect (Total)'!BR59,Planned!CX59,Reconductor!CX59,CTGS!CX59,'Substation 2025$'!CX59*$BL$1,Comms!CT59*$BL$2)</f>
        <v>0</v>
      </c>
      <c r="BS59" s="836" t="str">
        <f>'Unit Cost Rate Summary'!AO59</f>
        <v/>
      </c>
      <c r="BT59" s="840" t="str">
        <f t="shared" si="33"/>
        <v/>
      </c>
      <c r="BU59" s="832" t="str">
        <f t="shared" si="34"/>
        <v/>
      </c>
      <c r="BV59" t="s">
        <v>272</v>
      </c>
      <c r="CI59" s="416">
        <f>VLOOKUP($A59,'Distribution Summary'!$A$136:$CG$146,CI$1,0)*BN59</f>
        <v>0</v>
      </c>
      <c r="CJ59" s="97">
        <f>VLOOKUP($A59,'Distribution Summary'!$A$136:$CG$146,CJ$1,0)*BO59</f>
        <v>0</v>
      </c>
      <c r="CK59" s="97">
        <f>VLOOKUP($A59,'Distribution Summary'!$A$136:$CG$146,CK$1,0)*BP59</f>
        <v>0</v>
      </c>
      <c r="CL59" s="97">
        <f>VLOOKUP($A59,'Distribution Summary'!$A$136:$CG$146,CL$1,0)*BQ59</f>
        <v>0</v>
      </c>
      <c r="CM59" s="98">
        <f>VLOOKUP($A59,'Distribution Summary'!$A$136:$CG$146,CM$1,0)*BR59</f>
        <v>0</v>
      </c>
    </row>
    <row r="60" spans="1:91" x14ac:dyDescent="0.25">
      <c r="A60" s="81" t="s">
        <v>106</v>
      </c>
      <c r="B60" s="82" t="s">
        <v>123</v>
      </c>
      <c r="C60" s="83" t="s">
        <v>343</v>
      </c>
      <c r="D60" s="84">
        <f>SUM('Defect (Total)'!D60,Planned!D60,Reconductor!D60,CTGS!D60)</f>
        <v>0</v>
      </c>
      <c r="E60" s="85">
        <f>SUM('Defect (Total)'!E60,Planned!E60,Reconductor!E60,CTGS!E60)</f>
        <v>0</v>
      </c>
      <c r="F60" s="85">
        <f>SUM('Defect (Total)'!F60,Planned!F60,Reconductor!F60,CTGS!F60)</f>
        <v>0</v>
      </c>
      <c r="G60" s="85">
        <f>SUM('Defect (Total)'!G60,Planned!G60,Reconductor!G60,CTGS!G60)</f>
        <v>0</v>
      </c>
      <c r="H60" s="85">
        <f>SUM('Defect (Total)'!H60,Planned!H60,Reconductor!H60,CTGS!H60)</f>
        <v>0</v>
      </c>
      <c r="I60" s="85">
        <f>SUM('Defect (Total)'!I60,Planned!I60,Reconductor!I60,CTGS!I60)</f>
        <v>0</v>
      </c>
      <c r="J60" s="85">
        <f>SUM('Defect (Total)'!J60,Planned!J60,Reconductor!J60,CTGS!J60)</f>
        <v>0</v>
      </c>
      <c r="K60" s="85">
        <f>SUM('Defect (Total)'!K60,Planned!K60,Reconductor!K60,CTGS!K60)</f>
        <v>0</v>
      </c>
      <c r="L60" s="85">
        <f>SUM('Defect (Total)'!L60,Planned!L60,Reconductor!L60,CTGS!L60)</f>
        <v>0</v>
      </c>
      <c r="M60" s="85">
        <f>SUM('Defect (Total)'!M60,Planned!M60,Reconductor!M60,CTGS!M60)</f>
        <v>0</v>
      </c>
      <c r="N60" s="85">
        <f>SUM('Defect (Total)'!N60,Planned!N60,Reconductor!N60,CTGS!N60)</f>
        <v>0</v>
      </c>
      <c r="O60" s="560">
        <f>SUM('Defect (Total)'!O60,Planned!O60,Reconductor!O60,CTGS!O60)</f>
        <v>0</v>
      </c>
      <c r="P60" s="561">
        <f>SUM('Defect (Total)'!P60,Planned!P60,Reconductor!P60,CTGS!P60)</f>
        <v>0</v>
      </c>
      <c r="Q60" s="561">
        <f>SUM('Defect (Total)'!Q60,Planned!Q60,Reconductor!Q60,CTGS!Q60)</f>
        <v>0</v>
      </c>
      <c r="R60" s="561">
        <f>SUM('Defect (Total)'!R60,Planned!R60,Reconductor!R60,CTGS!R60)</f>
        <v>0</v>
      </c>
      <c r="S60" s="561">
        <f>SUM('Defect (Total)'!S60,Planned!S60,Reconductor!S60,CTGS!S60)</f>
        <v>0</v>
      </c>
      <c r="T60" s="561">
        <f>SUM('Defect (Total)'!T60,Planned!T60,Reconductor!T60,CTGS!T60)</f>
        <v>0</v>
      </c>
      <c r="U60" s="561">
        <f>SUM('Defect (Total)'!U60,Planned!U60,Reconductor!U60,CTGS!U60)</f>
        <v>0</v>
      </c>
      <c r="V60" s="561">
        <f>SUM('Defect (Total)'!V60,Planned!V60,Reconductor!V60,CTGS!V60)</f>
        <v>0</v>
      </c>
      <c r="W60" s="561">
        <f>SUM('Defect (Total)'!W60,Planned!W60,Reconductor!W60,CTGS!W60)</f>
        <v>0</v>
      </c>
      <c r="X60" s="561">
        <f>SUM('Defect (Total)'!X60,Planned!X60,Reconductor!X60,CTGS!X60)</f>
        <v>0</v>
      </c>
      <c r="Y60" s="561">
        <f>SUM('Defect (Total)'!Y60,Planned!Y60,Reconductor!Y60,CTGS!Y60)</f>
        <v>0</v>
      </c>
      <c r="Z60" s="86">
        <f>SUM('Defect (Total)'!Z60,Planned!Z60,Reconductor!Z60,CTGS!Z60)</f>
        <v>0</v>
      </c>
      <c r="AA60" s="87">
        <f>SUM('Defect (Total)'!AA60,Planned!AA60,Reconductor!AA60,CTGS!AA60)</f>
        <v>0</v>
      </c>
      <c r="AB60" s="87">
        <f>SUM('Defect (Total)'!AB60,Planned!AB60,Reconductor!AB60,CTGS!AB60)</f>
        <v>0</v>
      </c>
      <c r="AC60" s="87">
        <f>SUM('Defect (Total)'!AC60,Planned!AC60,Reconductor!AC60,CTGS!AC60)</f>
        <v>0</v>
      </c>
      <c r="AD60" s="87">
        <f>SUM('Defect (Total)'!AD60,Planned!AD60,Reconductor!AD60,CTGS!AD60)</f>
        <v>0</v>
      </c>
      <c r="AE60" s="87">
        <f>SUM('Defect (Total)'!AE60,Planned!AE60,Reconductor!AE60,CTGS!AE60)</f>
        <v>0</v>
      </c>
      <c r="AF60" s="87">
        <f>SUM('Defect (Total)'!AF60,Planned!AF60,Reconductor!AF60,CTGS!AF60)</f>
        <v>0</v>
      </c>
      <c r="AG60" s="87">
        <f>SUM('Defect (Total)'!AG60,Planned!AG60,Reconductor!AG60,CTGS!AG60)</f>
        <v>0</v>
      </c>
      <c r="AH60" s="87">
        <f>SUM('Defect (Total)'!AH60,Planned!AH60,Reconductor!AH60,CTGS!AH60)</f>
        <v>0</v>
      </c>
      <c r="AI60" s="87">
        <f>SUM('Defect (Total)'!AI60,Planned!AI60,Reconductor!AI60,CTGS!AI60)</f>
        <v>0</v>
      </c>
      <c r="AJ60" s="87">
        <f>SUM('Defect (Total)'!AJ60,Planned!AJ60,Reconductor!AJ60,CTGS!AJ60)</f>
        <v>0</v>
      </c>
      <c r="AK60" s="127">
        <f t="shared" si="17"/>
        <v>0</v>
      </c>
      <c r="AL60" s="128">
        <f t="shared" si="18"/>
        <v>0</v>
      </c>
      <c r="AM60" s="129">
        <f t="shared" si="19"/>
        <v>0</v>
      </c>
      <c r="AN60" s="91" t="str">
        <f t="shared" si="21"/>
        <v/>
      </c>
      <c r="AO60" s="92" t="str">
        <f t="shared" si="22"/>
        <v/>
      </c>
      <c r="AP60" s="92" t="str">
        <f t="shared" si="23"/>
        <v/>
      </c>
      <c r="AQ60" s="92" t="str">
        <f t="shared" si="24"/>
        <v/>
      </c>
      <c r="AR60" s="92" t="str">
        <f t="shared" si="25"/>
        <v/>
      </c>
      <c r="AS60" s="92" t="str">
        <f t="shared" si="26"/>
        <v/>
      </c>
      <c r="AT60" s="92" t="str">
        <f t="shared" si="27"/>
        <v/>
      </c>
      <c r="AU60" s="92" t="str">
        <f t="shared" si="28"/>
        <v/>
      </c>
      <c r="AV60" s="92" t="str">
        <f t="shared" si="29"/>
        <v/>
      </c>
      <c r="AW60" s="92" t="str">
        <f t="shared" si="10"/>
        <v/>
      </c>
      <c r="AX60" s="92" t="str">
        <f t="shared" si="11"/>
        <v/>
      </c>
      <c r="AY60" s="93" t="str">
        <f t="shared" si="30"/>
        <v/>
      </c>
      <c r="AZ60" s="94" t="str">
        <f t="shared" si="31"/>
        <v/>
      </c>
      <c r="BA60" s="95" t="str">
        <f t="shared" si="32"/>
        <v/>
      </c>
      <c r="BB60" s="694">
        <f>SUM('Defect (Total)'!BB60,Planned!CE60,Reconductor!CE60,CTGS!CE60,'Substation 2025$'!CE60*$BL$1,Comms!CA60*$BL$2)</f>
        <v>0</v>
      </c>
      <c r="BC60" s="694">
        <f>SUM('Defect (Total)'!BC60,Planned!CF60,Reconductor!CF60,CTGS!CF60,'Substation 2025$'!CF60*$BL$1,Comms!CB60*$BL$2)</f>
        <v>0</v>
      </c>
      <c r="BD60" s="140">
        <f>SUM('Defect (Total)'!BD60,Planned!CG60,Reconductor!CG60,CTGS!CG60,'Substation 2025$'!CG60*$BL$1,Comms!CC60*$BL$2)</f>
        <v>0</v>
      </c>
      <c r="BE60" s="140">
        <f>SUM('Defect (Total)'!BE60,Planned!CH60,Reconductor!CH60,CTGS!CH60,'Substation 2025$'!CH60*$BL$1,Comms!CD60*$BL$2)</f>
        <v>0</v>
      </c>
      <c r="BF60" s="140">
        <f>SUM('Defect (Total)'!BF60,Planned!CI60,Reconductor!CI60,CTGS!CI60,'Substation 2025$'!CI60*$BL$1,Comms!CE60*$BL$2)</f>
        <v>0</v>
      </c>
      <c r="BG60" s="140">
        <f>SUM('Defect (Total)'!BG60,Planned!CJ60,Reconductor!CJ60,CTGS!CJ60,'Substation 2025$'!CJ60*$BL$1,Comms!CF60*$BL$2)</f>
        <v>0</v>
      </c>
      <c r="BH60" s="140">
        <f>SUM('Defect (Total)'!BH60,Planned!CK60,Reconductor!CK60,CTGS!CK60,'Substation 2025$'!CK60*$BL$1,Comms!CG60*$BL$2)</f>
        <v>0</v>
      </c>
      <c r="BI60" s="291">
        <f>SUM('Defect (Total)'!BI60,Planned!CL60,Reconductor!CL60,CTGS!CL60,'Substation 2025$'!CL60*$BL$1,Comms!CH60*$BL$2)</f>
        <v>0</v>
      </c>
      <c r="BJ60" s="99" t="str">
        <f t="shared" si="20"/>
        <v/>
      </c>
      <c r="BK60" s="992">
        <f>SUM('Defect (Total)'!BK60,Planned!CQ60,Reconductor!CQ60,CTGS!CQ60,'Substation 2025$'!CQ60*$BL$1,Comms!CM60*$BL$2)</f>
        <v>0</v>
      </c>
      <c r="BL60" s="992">
        <f>SUM('Defect (Total)'!BL60,Planned!CR60,Reconductor!CR60,CTGS!CR60,'Substation 2025$'!CR60*$BL$1,Comms!CN60*$BL$2)</f>
        <v>0</v>
      </c>
      <c r="BM60" s="524">
        <f>SUM('Defect (Total)'!BM60,Planned!CS60,Reconductor!CS60,CTGS!CS60,'Substation 2025$'!CS60*$BL$1,Comms!CO60*$BL$2)</f>
        <v>0</v>
      </c>
      <c r="BN60" s="416">
        <f>SUM('Defect (Total)'!BN60,Planned!CT60,Reconductor!CT60,CTGS!CT60,'Substation 2025$'!CT60*$BL$1,Comms!CP60*$BL$2)</f>
        <v>0</v>
      </c>
      <c r="BO60" s="97">
        <f>SUM('Defect (Total)'!BO60,Planned!CU60,Reconductor!CU60,CTGS!CU60,'Substation 2025$'!CU60*$BL$1,Comms!CQ60*$BL$2)</f>
        <v>0</v>
      </c>
      <c r="BP60" s="97">
        <f>SUM('Defect (Total)'!BP60,Planned!CV60,Reconductor!CV60,CTGS!CV60,'Substation 2025$'!CV60*$BL$1,Comms!CR60*$BL$2)</f>
        <v>0</v>
      </c>
      <c r="BQ60" s="97">
        <f>SUM('Defect (Total)'!BQ60,Planned!CW60,Reconductor!CW60,CTGS!CW60,'Substation 2025$'!CW60*$BL$1,Comms!CS60*$BL$2)</f>
        <v>0</v>
      </c>
      <c r="BR60" s="98">
        <f>SUM('Defect (Total)'!BR60,Planned!CX60,Reconductor!CX60,CTGS!CX60,'Substation 2025$'!CX60*$BL$1,Comms!CT60*$BL$2)</f>
        <v>0</v>
      </c>
      <c r="BS60" s="836" t="str">
        <f>'Unit Cost Rate Summary'!AO60</f>
        <v/>
      </c>
      <c r="BT60" s="840" t="str">
        <f t="shared" si="33"/>
        <v/>
      </c>
      <c r="BU60" s="832" t="str">
        <f t="shared" si="34"/>
        <v/>
      </c>
      <c r="BV60" t="s">
        <v>272</v>
      </c>
      <c r="CI60" s="416">
        <f>VLOOKUP($A60,'Distribution Summary'!$A$136:$CG$146,CI$1,0)*BN60</f>
        <v>0</v>
      </c>
      <c r="CJ60" s="97">
        <f>VLOOKUP($A60,'Distribution Summary'!$A$136:$CG$146,CJ$1,0)*BO60</f>
        <v>0</v>
      </c>
      <c r="CK60" s="97">
        <f>VLOOKUP($A60,'Distribution Summary'!$A$136:$CG$146,CK$1,0)*BP60</f>
        <v>0</v>
      </c>
      <c r="CL60" s="97">
        <f>VLOOKUP($A60,'Distribution Summary'!$A$136:$CG$146,CL$1,0)*BQ60</f>
        <v>0</v>
      </c>
      <c r="CM60" s="98">
        <f>VLOOKUP($A60,'Distribution Summary'!$A$136:$CG$146,CM$1,0)*BR60</f>
        <v>0</v>
      </c>
    </row>
    <row r="61" spans="1:91" x14ac:dyDescent="0.25">
      <c r="A61" s="81" t="s">
        <v>106</v>
      </c>
      <c r="B61" s="82" t="s">
        <v>125</v>
      </c>
      <c r="C61" s="83" t="s">
        <v>345</v>
      </c>
      <c r="D61" s="84">
        <f>SUM('Defect (Total)'!D61,Planned!D61,Reconductor!D61,CTGS!D61)</f>
        <v>0</v>
      </c>
      <c r="E61" s="85">
        <f>SUM('Defect (Total)'!E61,Planned!E61,Reconductor!E61,CTGS!E61)</f>
        <v>0</v>
      </c>
      <c r="F61" s="85">
        <f>SUM('Defect (Total)'!F61,Planned!F61,Reconductor!F61,CTGS!F61)</f>
        <v>0</v>
      </c>
      <c r="G61" s="85">
        <f>SUM('Defect (Total)'!G61,Planned!G61,Reconductor!G61,CTGS!G61)</f>
        <v>0</v>
      </c>
      <c r="H61" s="85">
        <f>SUM('Defect (Total)'!H61,Planned!H61,Reconductor!H61,CTGS!H61)</f>
        <v>0</v>
      </c>
      <c r="I61" s="85">
        <f>SUM('Defect (Total)'!I61,Planned!I61,Reconductor!I61,CTGS!I61)</f>
        <v>0</v>
      </c>
      <c r="J61" s="85">
        <f>SUM('Defect (Total)'!J61,Planned!J61,Reconductor!J61,CTGS!J61)</f>
        <v>0</v>
      </c>
      <c r="K61" s="85">
        <f>SUM('Defect (Total)'!K61,Planned!K61,Reconductor!K61,CTGS!K61)</f>
        <v>0</v>
      </c>
      <c r="L61" s="85">
        <f>SUM('Defect (Total)'!L61,Planned!L61,Reconductor!L61,CTGS!L61)</f>
        <v>0</v>
      </c>
      <c r="M61" s="85">
        <f>SUM('Defect (Total)'!M61,Planned!M61,Reconductor!M61,CTGS!M61)</f>
        <v>0</v>
      </c>
      <c r="N61" s="85">
        <f>SUM('Defect (Total)'!N61,Planned!N61,Reconductor!N61,CTGS!N61)</f>
        <v>0</v>
      </c>
      <c r="O61" s="560">
        <f>SUM('Defect (Total)'!O61,Planned!O61,Reconductor!O61,CTGS!O61)</f>
        <v>0</v>
      </c>
      <c r="P61" s="561">
        <f>SUM('Defect (Total)'!P61,Planned!P61,Reconductor!P61,CTGS!P61)</f>
        <v>0</v>
      </c>
      <c r="Q61" s="561">
        <f>SUM('Defect (Total)'!Q61,Planned!Q61,Reconductor!Q61,CTGS!Q61)</f>
        <v>0</v>
      </c>
      <c r="R61" s="561">
        <f>SUM('Defect (Total)'!R61,Planned!R61,Reconductor!R61,CTGS!R61)</f>
        <v>0</v>
      </c>
      <c r="S61" s="561">
        <f>SUM('Defect (Total)'!S61,Planned!S61,Reconductor!S61,CTGS!S61)</f>
        <v>0</v>
      </c>
      <c r="T61" s="561">
        <f>SUM('Defect (Total)'!T61,Planned!T61,Reconductor!T61,CTGS!T61)</f>
        <v>0</v>
      </c>
      <c r="U61" s="561">
        <f>SUM('Defect (Total)'!U61,Planned!U61,Reconductor!U61,CTGS!U61)</f>
        <v>0</v>
      </c>
      <c r="V61" s="561">
        <f>SUM('Defect (Total)'!V61,Planned!V61,Reconductor!V61,CTGS!V61)</f>
        <v>0</v>
      </c>
      <c r="W61" s="561">
        <f>SUM('Defect (Total)'!W61,Planned!W61,Reconductor!W61,CTGS!W61)</f>
        <v>0</v>
      </c>
      <c r="X61" s="561">
        <f>SUM('Defect (Total)'!X61,Planned!X61,Reconductor!X61,CTGS!X61)</f>
        <v>0</v>
      </c>
      <c r="Y61" s="561">
        <f>SUM('Defect (Total)'!Y61,Planned!Y61,Reconductor!Y61,CTGS!Y61)</f>
        <v>0</v>
      </c>
      <c r="Z61" s="86">
        <f>SUM('Defect (Total)'!Z61,Planned!Z61,Reconductor!Z61,CTGS!Z61)</f>
        <v>0</v>
      </c>
      <c r="AA61" s="87">
        <f>SUM('Defect (Total)'!AA61,Planned!AA61,Reconductor!AA61,CTGS!AA61)</f>
        <v>0</v>
      </c>
      <c r="AB61" s="87">
        <f>SUM('Defect (Total)'!AB61,Planned!AB61,Reconductor!AB61,CTGS!AB61)</f>
        <v>0</v>
      </c>
      <c r="AC61" s="87">
        <f>SUM('Defect (Total)'!AC61,Planned!AC61,Reconductor!AC61,CTGS!AC61)</f>
        <v>0</v>
      </c>
      <c r="AD61" s="87">
        <f>SUM('Defect (Total)'!AD61,Planned!AD61,Reconductor!AD61,CTGS!AD61)</f>
        <v>0</v>
      </c>
      <c r="AE61" s="87">
        <f>SUM('Defect (Total)'!AE61,Planned!AE61,Reconductor!AE61,CTGS!AE61)</f>
        <v>0</v>
      </c>
      <c r="AF61" s="87">
        <f>SUM('Defect (Total)'!AF61,Planned!AF61,Reconductor!AF61,CTGS!AF61)</f>
        <v>0</v>
      </c>
      <c r="AG61" s="87">
        <f>SUM('Defect (Total)'!AG61,Planned!AG61,Reconductor!AG61,CTGS!AG61)</f>
        <v>0</v>
      </c>
      <c r="AH61" s="87">
        <f>SUM('Defect (Total)'!AH61,Planned!AH61,Reconductor!AH61,CTGS!AH61)</f>
        <v>0</v>
      </c>
      <c r="AI61" s="87">
        <f>SUM('Defect (Total)'!AI61,Planned!AI61,Reconductor!AI61,CTGS!AI61)</f>
        <v>0</v>
      </c>
      <c r="AJ61" s="87">
        <f>SUM('Defect (Total)'!AJ61,Planned!AJ61,Reconductor!AJ61,CTGS!AJ61)</f>
        <v>0</v>
      </c>
      <c r="AK61" s="127">
        <f t="shared" si="17"/>
        <v>0</v>
      </c>
      <c r="AL61" s="128">
        <f t="shared" si="18"/>
        <v>0</v>
      </c>
      <c r="AM61" s="129">
        <f t="shared" si="19"/>
        <v>0</v>
      </c>
      <c r="AN61" s="91" t="str">
        <f t="shared" si="21"/>
        <v/>
      </c>
      <c r="AO61" s="92" t="str">
        <f t="shared" si="22"/>
        <v/>
      </c>
      <c r="AP61" s="92" t="str">
        <f t="shared" si="23"/>
        <v/>
      </c>
      <c r="AQ61" s="92" t="str">
        <f t="shared" si="24"/>
        <v/>
      </c>
      <c r="AR61" s="92" t="str">
        <f t="shared" si="25"/>
        <v/>
      </c>
      <c r="AS61" s="92" t="str">
        <f t="shared" si="26"/>
        <v/>
      </c>
      <c r="AT61" s="92" t="str">
        <f t="shared" si="27"/>
        <v/>
      </c>
      <c r="AU61" s="92" t="str">
        <f t="shared" si="28"/>
        <v/>
      </c>
      <c r="AV61" s="92" t="str">
        <f t="shared" si="29"/>
        <v/>
      </c>
      <c r="AW61" s="92" t="str">
        <f t="shared" si="10"/>
        <v/>
      </c>
      <c r="AX61" s="92" t="str">
        <f t="shared" si="11"/>
        <v/>
      </c>
      <c r="AY61" s="93" t="str">
        <f t="shared" si="30"/>
        <v/>
      </c>
      <c r="AZ61" s="94" t="str">
        <f t="shared" si="31"/>
        <v/>
      </c>
      <c r="BA61" s="95" t="str">
        <f t="shared" si="32"/>
        <v/>
      </c>
      <c r="BB61" s="694">
        <f>SUM('Defect (Total)'!BB61,Planned!CE61,Reconductor!CE61,CTGS!CE61,'Substation 2025$'!CE61*$BL$1,Comms!CA61*$BL$2)</f>
        <v>0</v>
      </c>
      <c r="BC61" s="694">
        <f>SUM('Defect (Total)'!BC61,Planned!CF61,Reconductor!CF61,CTGS!CF61,'Substation 2025$'!CF61*$BL$1,Comms!CB61*$BL$2)</f>
        <v>0</v>
      </c>
      <c r="BD61" s="140">
        <f>SUM('Defect (Total)'!BD61,Planned!CG61,Reconductor!CG61,CTGS!CG61,'Substation 2025$'!CG61*$BL$1,Comms!CC61*$BL$2)</f>
        <v>0</v>
      </c>
      <c r="BE61" s="140">
        <f>SUM('Defect (Total)'!BE61,Planned!CH61,Reconductor!CH61,CTGS!CH61,'Substation 2025$'!CH61*$BL$1,Comms!CD61*$BL$2)</f>
        <v>0</v>
      </c>
      <c r="BF61" s="140">
        <f>SUM('Defect (Total)'!BF61,Planned!CI61,Reconductor!CI61,CTGS!CI61,'Substation 2025$'!CI61*$BL$1,Comms!CE61*$BL$2)</f>
        <v>0</v>
      </c>
      <c r="BG61" s="140">
        <f>SUM('Defect (Total)'!BG61,Planned!CJ61,Reconductor!CJ61,CTGS!CJ61,'Substation 2025$'!CJ61*$BL$1,Comms!CF61*$BL$2)</f>
        <v>0</v>
      </c>
      <c r="BH61" s="140">
        <f>SUM('Defect (Total)'!BH61,Planned!CK61,Reconductor!CK61,CTGS!CK61,'Substation 2025$'!CK61*$BL$1,Comms!CG61*$BL$2)</f>
        <v>0</v>
      </c>
      <c r="BI61" s="291">
        <f>SUM('Defect (Total)'!BI61,Planned!CL61,Reconductor!CL61,CTGS!CL61,'Substation 2025$'!CL61*$BL$1,Comms!CH61*$BL$2)</f>
        <v>0</v>
      </c>
      <c r="BJ61" s="99" t="str">
        <f t="shared" si="20"/>
        <v/>
      </c>
      <c r="BK61" s="992">
        <f>SUM('Defect (Total)'!BK61,Planned!CQ61,Reconductor!CQ61,CTGS!CQ61,'Substation 2025$'!CQ61*$BL$1,Comms!CM61*$BL$2)</f>
        <v>0</v>
      </c>
      <c r="BL61" s="992">
        <f>SUM('Defect (Total)'!BL61,Planned!CR61,Reconductor!CR61,CTGS!CR61,'Substation 2025$'!CR61*$BL$1,Comms!CN61*$BL$2)</f>
        <v>0</v>
      </c>
      <c r="BM61" s="524">
        <f>SUM('Defect (Total)'!BM61,Planned!CS61,Reconductor!CS61,CTGS!CS61,'Substation 2025$'!CS61*$BL$1,Comms!CO61*$BL$2)</f>
        <v>0</v>
      </c>
      <c r="BN61" s="416">
        <f>SUM('Defect (Total)'!BN61,Planned!CT61,Reconductor!CT61,CTGS!CT61,'Substation 2025$'!CT61*$BL$1,Comms!CP61*$BL$2)</f>
        <v>0</v>
      </c>
      <c r="BO61" s="97">
        <f>SUM('Defect (Total)'!BO61,Planned!CU61,Reconductor!CU61,CTGS!CU61,'Substation 2025$'!CU61*$BL$1,Comms!CQ61*$BL$2)</f>
        <v>0</v>
      </c>
      <c r="BP61" s="97">
        <f>SUM('Defect (Total)'!BP61,Planned!CV61,Reconductor!CV61,CTGS!CV61,'Substation 2025$'!CV61*$BL$1,Comms!CR61*$BL$2)</f>
        <v>0</v>
      </c>
      <c r="BQ61" s="97">
        <f>SUM('Defect (Total)'!BQ61,Planned!CW61,Reconductor!CW61,CTGS!CW61,'Substation 2025$'!CW61*$BL$1,Comms!CS61*$BL$2)</f>
        <v>0</v>
      </c>
      <c r="BR61" s="98">
        <f>SUM('Defect (Total)'!BR61,Planned!CX61,Reconductor!CX61,CTGS!CX61,'Substation 2025$'!CX61*$BL$1,Comms!CT61*$BL$2)</f>
        <v>0</v>
      </c>
      <c r="BS61" s="836" t="str">
        <f>'Unit Cost Rate Summary'!AO61</f>
        <v/>
      </c>
      <c r="BT61" s="840" t="str">
        <f t="shared" si="33"/>
        <v/>
      </c>
      <c r="BU61" s="832" t="str">
        <f t="shared" si="34"/>
        <v/>
      </c>
      <c r="BV61" t="s">
        <v>272</v>
      </c>
      <c r="CI61" s="416">
        <f>VLOOKUP($A61,'Distribution Summary'!$A$136:$CG$146,CI$1,0)*BN61</f>
        <v>0</v>
      </c>
      <c r="CJ61" s="97">
        <f>VLOOKUP($A61,'Distribution Summary'!$A$136:$CG$146,CJ$1,0)*BO61</f>
        <v>0</v>
      </c>
      <c r="CK61" s="97">
        <f>VLOOKUP($A61,'Distribution Summary'!$A$136:$CG$146,CK$1,0)*BP61</f>
        <v>0</v>
      </c>
      <c r="CL61" s="97">
        <f>VLOOKUP($A61,'Distribution Summary'!$A$136:$CG$146,CL$1,0)*BQ61</f>
        <v>0</v>
      </c>
      <c r="CM61" s="98">
        <f>VLOOKUP($A61,'Distribution Summary'!$A$136:$CG$146,CM$1,0)*BR61</f>
        <v>0</v>
      </c>
    </row>
    <row r="62" spans="1:91" x14ac:dyDescent="0.25">
      <c r="A62" s="81" t="s">
        <v>106</v>
      </c>
      <c r="B62" s="82" t="s">
        <v>127</v>
      </c>
      <c r="C62" s="83" t="s">
        <v>347</v>
      </c>
      <c r="D62" s="84">
        <f>SUM('Defect (Total)'!D62,Planned!D62,Reconductor!D62,CTGS!D62)</f>
        <v>0</v>
      </c>
      <c r="E62" s="85">
        <f>SUM('Defect (Total)'!E62,Planned!E62,Reconductor!E62,CTGS!E62)</f>
        <v>0</v>
      </c>
      <c r="F62" s="85">
        <f>SUM('Defect (Total)'!F62,Planned!F62,Reconductor!F62,CTGS!F62)</f>
        <v>0</v>
      </c>
      <c r="G62" s="85">
        <f>SUM('Defect (Total)'!G62,Planned!G62,Reconductor!G62,CTGS!G62)</f>
        <v>0</v>
      </c>
      <c r="H62" s="85">
        <f>SUM('Defect (Total)'!H62,Planned!H62,Reconductor!H62,CTGS!H62)</f>
        <v>0</v>
      </c>
      <c r="I62" s="85">
        <f>SUM('Defect (Total)'!I62,Planned!I62,Reconductor!I62,CTGS!I62)</f>
        <v>0</v>
      </c>
      <c r="J62" s="85">
        <f>SUM('Defect (Total)'!J62,Planned!J62,Reconductor!J62,CTGS!J62)</f>
        <v>0</v>
      </c>
      <c r="K62" s="85">
        <f>SUM('Defect (Total)'!K62,Planned!K62,Reconductor!K62,CTGS!K62)</f>
        <v>0</v>
      </c>
      <c r="L62" s="85">
        <f>SUM('Defect (Total)'!L62,Planned!L62,Reconductor!L62,CTGS!L62)</f>
        <v>0</v>
      </c>
      <c r="M62" s="85">
        <f>SUM('Defect (Total)'!M62,Planned!M62,Reconductor!M62,CTGS!M62)</f>
        <v>0</v>
      </c>
      <c r="N62" s="85">
        <f>SUM('Defect (Total)'!N62,Planned!N62,Reconductor!N62,CTGS!N62)</f>
        <v>0</v>
      </c>
      <c r="O62" s="560">
        <f>SUM('Defect (Total)'!O62,Planned!O62,Reconductor!O62,CTGS!O62)</f>
        <v>0</v>
      </c>
      <c r="P62" s="561">
        <f>SUM('Defect (Total)'!P62,Planned!P62,Reconductor!P62,CTGS!P62)</f>
        <v>0</v>
      </c>
      <c r="Q62" s="561">
        <f>SUM('Defect (Total)'!Q62,Planned!Q62,Reconductor!Q62,CTGS!Q62)</f>
        <v>0</v>
      </c>
      <c r="R62" s="561">
        <f>SUM('Defect (Total)'!R62,Planned!R62,Reconductor!R62,CTGS!R62)</f>
        <v>0</v>
      </c>
      <c r="S62" s="561">
        <f>SUM('Defect (Total)'!S62,Planned!S62,Reconductor!S62,CTGS!S62)</f>
        <v>0</v>
      </c>
      <c r="T62" s="561">
        <f>SUM('Defect (Total)'!T62,Planned!T62,Reconductor!T62,CTGS!T62)</f>
        <v>0</v>
      </c>
      <c r="U62" s="561">
        <f>SUM('Defect (Total)'!U62,Planned!U62,Reconductor!U62,CTGS!U62)</f>
        <v>0</v>
      </c>
      <c r="V62" s="561">
        <f>SUM('Defect (Total)'!V62,Planned!V62,Reconductor!V62,CTGS!V62)</f>
        <v>0</v>
      </c>
      <c r="W62" s="561">
        <f>SUM('Defect (Total)'!W62,Planned!W62,Reconductor!W62,CTGS!W62)</f>
        <v>0</v>
      </c>
      <c r="X62" s="561">
        <f>SUM('Defect (Total)'!X62,Planned!X62,Reconductor!X62,CTGS!X62)</f>
        <v>0</v>
      </c>
      <c r="Y62" s="561">
        <f>SUM('Defect (Total)'!Y62,Planned!Y62,Reconductor!Y62,CTGS!Y62)</f>
        <v>0</v>
      </c>
      <c r="Z62" s="86">
        <f>SUM('Defect (Total)'!Z62,Planned!Z62,Reconductor!Z62,CTGS!Z62)</f>
        <v>0</v>
      </c>
      <c r="AA62" s="87">
        <f>SUM('Defect (Total)'!AA62,Planned!AA62,Reconductor!AA62,CTGS!AA62)</f>
        <v>0</v>
      </c>
      <c r="AB62" s="87">
        <f>SUM('Defect (Total)'!AB62,Planned!AB62,Reconductor!AB62,CTGS!AB62)</f>
        <v>0</v>
      </c>
      <c r="AC62" s="87">
        <f>SUM('Defect (Total)'!AC62,Planned!AC62,Reconductor!AC62,CTGS!AC62)</f>
        <v>0</v>
      </c>
      <c r="AD62" s="87">
        <f>SUM('Defect (Total)'!AD62,Planned!AD62,Reconductor!AD62,CTGS!AD62)</f>
        <v>0</v>
      </c>
      <c r="AE62" s="87">
        <f>SUM('Defect (Total)'!AE62,Planned!AE62,Reconductor!AE62,CTGS!AE62)</f>
        <v>0</v>
      </c>
      <c r="AF62" s="87">
        <f>SUM('Defect (Total)'!AF62,Planned!AF62,Reconductor!AF62,CTGS!AF62)</f>
        <v>0</v>
      </c>
      <c r="AG62" s="87">
        <f>SUM('Defect (Total)'!AG62,Planned!AG62,Reconductor!AG62,CTGS!AG62)</f>
        <v>0</v>
      </c>
      <c r="AH62" s="87">
        <f>SUM('Defect (Total)'!AH62,Planned!AH62,Reconductor!AH62,CTGS!AH62)</f>
        <v>0</v>
      </c>
      <c r="AI62" s="87">
        <f>SUM('Defect (Total)'!AI62,Planned!AI62,Reconductor!AI62,CTGS!AI62)</f>
        <v>0</v>
      </c>
      <c r="AJ62" s="87">
        <f>SUM('Defect (Total)'!AJ62,Planned!AJ62,Reconductor!AJ62,CTGS!AJ62)</f>
        <v>0</v>
      </c>
      <c r="AK62" s="127">
        <f t="shared" si="17"/>
        <v>0</v>
      </c>
      <c r="AL62" s="128">
        <f t="shared" si="18"/>
        <v>0</v>
      </c>
      <c r="AM62" s="129">
        <f t="shared" si="19"/>
        <v>0</v>
      </c>
      <c r="AN62" s="91" t="str">
        <f t="shared" si="21"/>
        <v/>
      </c>
      <c r="AO62" s="92" t="str">
        <f t="shared" si="22"/>
        <v/>
      </c>
      <c r="AP62" s="92" t="str">
        <f t="shared" si="23"/>
        <v/>
      </c>
      <c r="AQ62" s="92" t="str">
        <f t="shared" si="24"/>
        <v/>
      </c>
      <c r="AR62" s="92" t="str">
        <f t="shared" si="25"/>
        <v/>
      </c>
      <c r="AS62" s="92" t="str">
        <f t="shared" si="26"/>
        <v/>
      </c>
      <c r="AT62" s="92" t="str">
        <f t="shared" si="27"/>
        <v/>
      </c>
      <c r="AU62" s="92" t="str">
        <f t="shared" si="28"/>
        <v/>
      </c>
      <c r="AV62" s="92" t="str">
        <f t="shared" si="29"/>
        <v/>
      </c>
      <c r="AW62" s="92" t="str">
        <f t="shared" si="10"/>
        <v/>
      </c>
      <c r="AX62" s="92" t="str">
        <f t="shared" si="11"/>
        <v/>
      </c>
      <c r="AY62" s="93" t="str">
        <f t="shared" si="30"/>
        <v/>
      </c>
      <c r="AZ62" s="94" t="str">
        <f t="shared" si="31"/>
        <v/>
      </c>
      <c r="BA62" s="95" t="str">
        <f t="shared" si="32"/>
        <v/>
      </c>
      <c r="BB62" s="694">
        <f>SUM('Defect (Total)'!BB62,Planned!CE62,Reconductor!CE62,CTGS!CE62,'Substation 2025$'!CE62*$BL$1,Comms!CA62*$BL$2)</f>
        <v>0</v>
      </c>
      <c r="BC62" s="694">
        <f>SUM('Defect (Total)'!BC62,Planned!CF62,Reconductor!CF62,CTGS!CF62,'Substation 2025$'!CF62*$BL$1,Comms!CB62*$BL$2)</f>
        <v>0</v>
      </c>
      <c r="BD62" s="140">
        <f>SUM('Defect (Total)'!BD62,Planned!CG62,Reconductor!CG62,CTGS!CG62,'Substation 2025$'!CG62*$BL$1,Comms!CC62*$BL$2)</f>
        <v>0</v>
      </c>
      <c r="BE62" s="140">
        <f>SUM('Defect (Total)'!BE62,Planned!CH62,Reconductor!CH62,CTGS!CH62,'Substation 2025$'!CH62*$BL$1,Comms!CD62*$BL$2)</f>
        <v>0</v>
      </c>
      <c r="BF62" s="140">
        <f>SUM('Defect (Total)'!BF62,Planned!CI62,Reconductor!CI62,CTGS!CI62,'Substation 2025$'!CI62*$BL$1,Comms!CE62*$BL$2)</f>
        <v>0</v>
      </c>
      <c r="BG62" s="140">
        <f>SUM('Defect (Total)'!BG62,Planned!CJ62,Reconductor!CJ62,CTGS!CJ62,'Substation 2025$'!CJ62*$BL$1,Comms!CF62*$BL$2)</f>
        <v>0</v>
      </c>
      <c r="BH62" s="140">
        <f>SUM('Defect (Total)'!BH62,Planned!CK62,Reconductor!CK62,CTGS!CK62,'Substation 2025$'!CK62*$BL$1,Comms!CG62*$BL$2)</f>
        <v>0</v>
      </c>
      <c r="BI62" s="291">
        <f>SUM('Defect (Total)'!BI62,Planned!CL62,Reconductor!CL62,CTGS!CL62,'Substation 2025$'!CL62*$BL$1,Comms!CH62*$BL$2)</f>
        <v>0</v>
      </c>
      <c r="BJ62" s="99" t="str">
        <f t="shared" si="20"/>
        <v/>
      </c>
      <c r="BK62" s="992">
        <f>SUM('Defect (Total)'!BK62,Planned!CQ62,Reconductor!CQ62,CTGS!CQ62,'Substation 2025$'!CQ62*$BL$1,Comms!CM62*$BL$2)</f>
        <v>0</v>
      </c>
      <c r="BL62" s="992">
        <f>SUM('Defect (Total)'!BL62,Planned!CR62,Reconductor!CR62,CTGS!CR62,'Substation 2025$'!CR62*$BL$1,Comms!CN62*$BL$2)</f>
        <v>0</v>
      </c>
      <c r="BM62" s="524">
        <f>SUM('Defect (Total)'!BM62,Planned!CS62,Reconductor!CS62,CTGS!CS62,'Substation 2025$'!CS62*$BL$1,Comms!CO62*$BL$2)</f>
        <v>0</v>
      </c>
      <c r="BN62" s="416">
        <f>SUM('Defect (Total)'!BN62,Planned!CT62,Reconductor!CT62,CTGS!CT62,'Substation 2025$'!CT62*$BL$1,Comms!CP62*$BL$2)</f>
        <v>0</v>
      </c>
      <c r="BO62" s="97">
        <f>SUM('Defect (Total)'!BO62,Planned!CU62,Reconductor!CU62,CTGS!CU62,'Substation 2025$'!CU62*$BL$1,Comms!CQ62*$BL$2)</f>
        <v>0</v>
      </c>
      <c r="BP62" s="97">
        <f>SUM('Defect (Total)'!BP62,Planned!CV62,Reconductor!CV62,CTGS!CV62,'Substation 2025$'!CV62*$BL$1,Comms!CR62*$BL$2)</f>
        <v>0</v>
      </c>
      <c r="BQ62" s="97">
        <f>SUM('Defect (Total)'!BQ62,Planned!CW62,Reconductor!CW62,CTGS!CW62,'Substation 2025$'!CW62*$BL$1,Comms!CS62*$BL$2)</f>
        <v>0</v>
      </c>
      <c r="BR62" s="98">
        <f>SUM('Defect (Total)'!BR62,Planned!CX62,Reconductor!CX62,CTGS!CX62,'Substation 2025$'!CX62*$BL$1,Comms!CT62*$BL$2)</f>
        <v>0</v>
      </c>
      <c r="BS62" s="836" t="str">
        <f>'Unit Cost Rate Summary'!AO62</f>
        <v/>
      </c>
      <c r="BT62" s="840" t="str">
        <f t="shared" si="33"/>
        <v/>
      </c>
      <c r="BU62" s="832" t="str">
        <f t="shared" si="34"/>
        <v/>
      </c>
      <c r="BV62" t="s">
        <v>272</v>
      </c>
      <c r="CI62" s="416">
        <f>VLOOKUP($A62,'Distribution Summary'!$A$136:$CG$146,CI$1,0)*BN62</f>
        <v>0</v>
      </c>
      <c r="CJ62" s="97">
        <f>VLOOKUP($A62,'Distribution Summary'!$A$136:$CG$146,CJ$1,0)*BO62</f>
        <v>0</v>
      </c>
      <c r="CK62" s="97">
        <f>VLOOKUP($A62,'Distribution Summary'!$A$136:$CG$146,CK$1,0)*BP62</f>
        <v>0</v>
      </c>
      <c r="CL62" s="97">
        <f>VLOOKUP($A62,'Distribution Summary'!$A$136:$CG$146,CL$1,0)*BQ62</f>
        <v>0</v>
      </c>
      <c r="CM62" s="98">
        <f>VLOOKUP($A62,'Distribution Summary'!$A$136:$CG$146,CM$1,0)*BR62</f>
        <v>0</v>
      </c>
    </row>
    <row r="63" spans="1:91" x14ac:dyDescent="0.25">
      <c r="A63" s="81" t="s">
        <v>106</v>
      </c>
      <c r="B63" s="82" t="s">
        <v>129</v>
      </c>
      <c r="C63" s="83" t="s">
        <v>349</v>
      </c>
      <c r="D63" s="84">
        <f>SUM('Defect (Total)'!D63,Planned!D63,Reconductor!D63,CTGS!D63)</f>
        <v>0</v>
      </c>
      <c r="E63" s="85">
        <f>SUM('Defect (Total)'!E63,Planned!E63,Reconductor!E63,CTGS!E63)</f>
        <v>0</v>
      </c>
      <c r="F63" s="85">
        <f>SUM('Defect (Total)'!F63,Planned!F63,Reconductor!F63,CTGS!F63)</f>
        <v>0</v>
      </c>
      <c r="G63" s="85">
        <f>SUM('Defect (Total)'!G63,Planned!G63,Reconductor!G63,CTGS!G63)</f>
        <v>0</v>
      </c>
      <c r="H63" s="85">
        <f>SUM('Defect (Total)'!H63,Planned!H63,Reconductor!H63,CTGS!H63)</f>
        <v>0</v>
      </c>
      <c r="I63" s="85">
        <f>SUM('Defect (Total)'!I63,Planned!I63,Reconductor!I63,CTGS!I63)</f>
        <v>0</v>
      </c>
      <c r="J63" s="85">
        <f>SUM('Defect (Total)'!J63,Planned!J63,Reconductor!J63,CTGS!J63)</f>
        <v>0</v>
      </c>
      <c r="K63" s="85">
        <f>SUM('Defect (Total)'!K63,Planned!K63,Reconductor!K63,CTGS!K63)</f>
        <v>0</v>
      </c>
      <c r="L63" s="85">
        <f>SUM('Defect (Total)'!L63,Planned!L63,Reconductor!L63,CTGS!L63)</f>
        <v>0</v>
      </c>
      <c r="M63" s="85">
        <f>SUM('Defect (Total)'!M63,Planned!M63,Reconductor!M63,CTGS!M63)</f>
        <v>0</v>
      </c>
      <c r="N63" s="85">
        <f>SUM('Defect (Total)'!N63,Planned!N63,Reconductor!N63,CTGS!N63)</f>
        <v>0</v>
      </c>
      <c r="O63" s="560">
        <f>SUM('Defect (Total)'!O63,Planned!O63,Reconductor!O63,CTGS!O63)</f>
        <v>0</v>
      </c>
      <c r="P63" s="561">
        <f>SUM('Defect (Total)'!P63,Planned!P63,Reconductor!P63,CTGS!P63)</f>
        <v>0</v>
      </c>
      <c r="Q63" s="561">
        <f>SUM('Defect (Total)'!Q63,Planned!Q63,Reconductor!Q63,CTGS!Q63)</f>
        <v>0</v>
      </c>
      <c r="R63" s="561">
        <f>SUM('Defect (Total)'!R63,Planned!R63,Reconductor!R63,CTGS!R63)</f>
        <v>0</v>
      </c>
      <c r="S63" s="561">
        <f>SUM('Defect (Total)'!S63,Planned!S63,Reconductor!S63,CTGS!S63)</f>
        <v>0</v>
      </c>
      <c r="T63" s="561">
        <f>SUM('Defect (Total)'!T63,Planned!T63,Reconductor!T63,CTGS!T63)</f>
        <v>0</v>
      </c>
      <c r="U63" s="561">
        <f>SUM('Defect (Total)'!U63,Planned!U63,Reconductor!U63,CTGS!U63)</f>
        <v>0</v>
      </c>
      <c r="V63" s="561">
        <f>SUM('Defect (Total)'!V63,Planned!V63,Reconductor!V63,CTGS!V63)</f>
        <v>0</v>
      </c>
      <c r="W63" s="561">
        <f>SUM('Defect (Total)'!W63,Planned!W63,Reconductor!W63,CTGS!W63)</f>
        <v>0</v>
      </c>
      <c r="X63" s="561">
        <f>SUM('Defect (Total)'!X63,Planned!X63,Reconductor!X63,CTGS!X63)</f>
        <v>0</v>
      </c>
      <c r="Y63" s="561">
        <f>SUM('Defect (Total)'!Y63,Planned!Y63,Reconductor!Y63,CTGS!Y63)</f>
        <v>0</v>
      </c>
      <c r="Z63" s="86">
        <f>SUM('Defect (Total)'!Z63,Planned!Z63,Reconductor!Z63,CTGS!Z63)</f>
        <v>0</v>
      </c>
      <c r="AA63" s="87">
        <f>SUM('Defect (Total)'!AA63,Planned!AA63,Reconductor!AA63,CTGS!AA63)</f>
        <v>0</v>
      </c>
      <c r="AB63" s="87">
        <f>SUM('Defect (Total)'!AB63,Planned!AB63,Reconductor!AB63,CTGS!AB63)</f>
        <v>0</v>
      </c>
      <c r="AC63" s="87">
        <f>SUM('Defect (Total)'!AC63,Planned!AC63,Reconductor!AC63,CTGS!AC63)</f>
        <v>0</v>
      </c>
      <c r="AD63" s="87">
        <f>SUM('Defect (Total)'!AD63,Planned!AD63,Reconductor!AD63,CTGS!AD63)</f>
        <v>0</v>
      </c>
      <c r="AE63" s="87">
        <f>SUM('Defect (Total)'!AE63,Planned!AE63,Reconductor!AE63,CTGS!AE63)</f>
        <v>0</v>
      </c>
      <c r="AF63" s="87">
        <f>SUM('Defect (Total)'!AF63,Planned!AF63,Reconductor!AF63,CTGS!AF63)</f>
        <v>0</v>
      </c>
      <c r="AG63" s="87">
        <f>SUM('Defect (Total)'!AG63,Planned!AG63,Reconductor!AG63,CTGS!AG63)</f>
        <v>0</v>
      </c>
      <c r="AH63" s="87">
        <f>SUM('Defect (Total)'!AH63,Planned!AH63,Reconductor!AH63,CTGS!AH63)</f>
        <v>0</v>
      </c>
      <c r="AI63" s="87">
        <f>SUM('Defect (Total)'!AI63,Planned!AI63,Reconductor!AI63,CTGS!AI63)</f>
        <v>0</v>
      </c>
      <c r="AJ63" s="87">
        <f>SUM('Defect (Total)'!AJ63,Planned!AJ63,Reconductor!AJ63,CTGS!AJ63)</f>
        <v>0</v>
      </c>
      <c r="AK63" s="127">
        <f t="shared" si="17"/>
        <v>0</v>
      </c>
      <c r="AL63" s="128">
        <f t="shared" si="18"/>
        <v>0</v>
      </c>
      <c r="AM63" s="129">
        <f t="shared" si="19"/>
        <v>0</v>
      </c>
      <c r="AN63" s="91" t="str">
        <f t="shared" si="21"/>
        <v/>
      </c>
      <c r="AO63" s="92" t="str">
        <f t="shared" si="22"/>
        <v/>
      </c>
      <c r="AP63" s="92" t="str">
        <f t="shared" si="23"/>
        <v/>
      </c>
      <c r="AQ63" s="92" t="str">
        <f t="shared" si="24"/>
        <v/>
      </c>
      <c r="AR63" s="92" t="str">
        <f t="shared" si="25"/>
        <v/>
      </c>
      <c r="AS63" s="92" t="str">
        <f t="shared" si="26"/>
        <v/>
      </c>
      <c r="AT63" s="92" t="str">
        <f t="shared" si="27"/>
        <v/>
      </c>
      <c r="AU63" s="92" t="str">
        <f t="shared" si="28"/>
        <v/>
      </c>
      <c r="AV63" s="92" t="str">
        <f t="shared" si="29"/>
        <v/>
      </c>
      <c r="AW63" s="92" t="str">
        <f t="shared" si="10"/>
        <v/>
      </c>
      <c r="AX63" s="92" t="str">
        <f t="shared" si="11"/>
        <v/>
      </c>
      <c r="AY63" s="93" t="str">
        <f t="shared" si="30"/>
        <v/>
      </c>
      <c r="AZ63" s="94" t="str">
        <f t="shared" si="31"/>
        <v/>
      </c>
      <c r="BA63" s="95" t="str">
        <f t="shared" si="32"/>
        <v/>
      </c>
      <c r="BB63" s="694">
        <f>SUM('Defect (Total)'!BB63,Planned!CE63,Reconductor!CE63,CTGS!CE63,'Substation 2025$'!CE63*$BL$1,Comms!CA63*$BL$2)</f>
        <v>0</v>
      </c>
      <c r="BC63" s="694">
        <f>SUM('Defect (Total)'!BC63,Planned!CF63,Reconductor!CF63,CTGS!CF63,'Substation 2025$'!CF63*$BL$1,Comms!CB63*$BL$2)</f>
        <v>0</v>
      </c>
      <c r="BD63" s="140">
        <f>SUM('Defect (Total)'!BD63,Planned!CG63,Reconductor!CG63,CTGS!CG63,'Substation 2025$'!CG63*$BL$1,Comms!CC63*$BL$2)</f>
        <v>0</v>
      </c>
      <c r="BE63" s="140">
        <f>SUM('Defect (Total)'!BE63,Planned!CH63,Reconductor!CH63,CTGS!CH63,'Substation 2025$'!CH63*$BL$1,Comms!CD63*$BL$2)</f>
        <v>0</v>
      </c>
      <c r="BF63" s="140">
        <f>SUM('Defect (Total)'!BF63,Planned!CI63,Reconductor!CI63,CTGS!CI63,'Substation 2025$'!CI63*$BL$1,Comms!CE63*$BL$2)</f>
        <v>0</v>
      </c>
      <c r="BG63" s="140">
        <f>SUM('Defect (Total)'!BG63,Planned!CJ63,Reconductor!CJ63,CTGS!CJ63,'Substation 2025$'!CJ63*$BL$1,Comms!CF63*$BL$2)</f>
        <v>0</v>
      </c>
      <c r="BH63" s="140">
        <f>SUM('Defect (Total)'!BH63,Planned!CK63,Reconductor!CK63,CTGS!CK63,'Substation 2025$'!CK63*$BL$1,Comms!CG63*$BL$2)</f>
        <v>0</v>
      </c>
      <c r="BI63" s="291">
        <f>SUM('Defect (Total)'!BI63,Planned!CL63,Reconductor!CL63,CTGS!CL63,'Substation 2025$'!CL63*$BL$1,Comms!CH63*$BL$2)</f>
        <v>0</v>
      </c>
      <c r="BJ63" s="99" t="str">
        <f t="shared" si="20"/>
        <v/>
      </c>
      <c r="BK63" s="992">
        <f>SUM('Defect (Total)'!BK63,Planned!CQ63,Reconductor!CQ63,CTGS!CQ63,'Substation 2025$'!CQ63*$BL$1,Comms!CM63*$BL$2)</f>
        <v>0</v>
      </c>
      <c r="BL63" s="992">
        <f>SUM('Defect (Total)'!BL63,Planned!CR63,Reconductor!CR63,CTGS!CR63,'Substation 2025$'!CR63*$BL$1,Comms!CN63*$BL$2)</f>
        <v>0</v>
      </c>
      <c r="BM63" s="524">
        <f>SUM('Defect (Total)'!BM63,Planned!CS63,Reconductor!CS63,CTGS!CS63,'Substation 2025$'!CS63*$BL$1,Comms!CO63*$BL$2)</f>
        <v>0</v>
      </c>
      <c r="BN63" s="416">
        <f>SUM('Defect (Total)'!BN63,Planned!CT63,Reconductor!CT63,CTGS!CT63,'Substation 2025$'!CT63*$BL$1,Comms!CP63*$BL$2)</f>
        <v>0</v>
      </c>
      <c r="BO63" s="97">
        <f>SUM('Defect (Total)'!BO63,Planned!CU63,Reconductor!CU63,CTGS!CU63,'Substation 2025$'!CU63*$BL$1,Comms!CQ63*$BL$2)</f>
        <v>0</v>
      </c>
      <c r="BP63" s="97">
        <f>SUM('Defect (Total)'!BP63,Planned!CV63,Reconductor!CV63,CTGS!CV63,'Substation 2025$'!CV63*$BL$1,Comms!CR63*$BL$2)</f>
        <v>0</v>
      </c>
      <c r="BQ63" s="97">
        <f>SUM('Defect (Total)'!BQ63,Planned!CW63,Reconductor!CW63,CTGS!CW63,'Substation 2025$'!CW63*$BL$1,Comms!CS63*$BL$2)</f>
        <v>0</v>
      </c>
      <c r="BR63" s="98">
        <f>SUM('Defect (Total)'!BR63,Planned!CX63,Reconductor!CX63,CTGS!CX63,'Substation 2025$'!CX63*$BL$1,Comms!CT63*$BL$2)</f>
        <v>0</v>
      </c>
      <c r="BS63" s="836" t="str">
        <f>'Unit Cost Rate Summary'!AO63</f>
        <v/>
      </c>
      <c r="BT63" s="840" t="str">
        <f t="shared" si="33"/>
        <v/>
      </c>
      <c r="BU63" s="832" t="str">
        <f t="shared" si="34"/>
        <v/>
      </c>
      <c r="BV63" t="s">
        <v>272</v>
      </c>
      <c r="CI63" s="416">
        <f>VLOOKUP($A63,'Distribution Summary'!$A$136:$CG$146,CI$1,0)*BN63</f>
        <v>0</v>
      </c>
      <c r="CJ63" s="97">
        <f>VLOOKUP($A63,'Distribution Summary'!$A$136:$CG$146,CJ$1,0)*BO63</f>
        <v>0</v>
      </c>
      <c r="CK63" s="97">
        <f>VLOOKUP($A63,'Distribution Summary'!$A$136:$CG$146,CK$1,0)*BP63</f>
        <v>0</v>
      </c>
      <c r="CL63" s="97">
        <f>VLOOKUP($A63,'Distribution Summary'!$A$136:$CG$146,CL$1,0)*BQ63</f>
        <v>0</v>
      </c>
      <c r="CM63" s="98">
        <f>VLOOKUP($A63,'Distribution Summary'!$A$136:$CG$146,CM$1,0)*BR63</f>
        <v>0</v>
      </c>
    </row>
    <row r="64" spans="1:91" x14ac:dyDescent="0.25">
      <c r="A64" s="81" t="s">
        <v>106</v>
      </c>
      <c r="B64" s="82" t="s">
        <v>131</v>
      </c>
      <c r="C64" s="83" t="s">
        <v>351</v>
      </c>
      <c r="D64" s="84">
        <f>SUM('Defect (Total)'!D64,Planned!D64,Reconductor!D64,CTGS!D64)</f>
        <v>0</v>
      </c>
      <c r="E64" s="85">
        <f>SUM('Defect (Total)'!E64,Planned!E64,Reconductor!E64,CTGS!E64)</f>
        <v>0</v>
      </c>
      <c r="F64" s="85">
        <f>SUM('Defect (Total)'!F64,Planned!F64,Reconductor!F64,CTGS!F64)</f>
        <v>0</v>
      </c>
      <c r="G64" s="85">
        <f>SUM('Defect (Total)'!G64,Planned!G64,Reconductor!G64,CTGS!G64)</f>
        <v>0</v>
      </c>
      <c r="H64" s="85">
        <f>SUM('Defect (Total)'!H64,Planned!H64,Reconductor!H64,CTGS!H64)</f>
        <v>0</v>
      </c>
      <c r="I64" s="85">
        <f>SUM('Defect (Total)'!I64,Planned!I64,Reconductor!I64,CTGS!I64)</f>
        <v>0</v>
      </c>
      <c r="J64" s="85">
        <f>SUM('Defect (Total)'!J64,Planned!J64,Reconductor!J64,CTGS!J64)</f>
        <v>0</v>
      </c>
      <c r="K64" s="85">
        <f>SUM('Defect (Total)'!K64,Planned!K64,Reconductor!K64,CTGS!K64)</f>
        <v>0</v>
      </c>
      <c r="L64" s="85">
        <f>SUM('Defect (Total)'!L64,Planned!L64,Reconductor!L64,CTGS!L64)</f>
        <v>0</v>
      </c>
      <c r="M64" s="85">
        <f>SUM('Defect (Total)'!M64,Planned!M64,Reconductor!M64,CTGS!M64)</f>
        <v>0</v>
      </c>
      <c r="N64" s="85">
        <f>SUM('Defect (Total)'!N64,Planned!N64,Reconductor!N64,CTGS!N64)</f>
        <v>0</v>
      </c>
      <c r="O64" s="560">
        <f>SUM('Defect (Total)'!O64,Planned!O64,Reconductor!O64,CTGS!O64)</f>
        <v>0</v>
      </c>
      <c r="P64" s="561">
        <f>SUM('Defect (Total)'!P64,Planned!P64,Reconductor!P64,CTGS!P64)</f>
        <v>0</v>
      </c>
      <c r="Q64" s="561">
        <f>SUM('Defect (Total)'!Q64,Planned!Q64,Reconductor!Q64,CTGS!Q64)</f>
        <v>0</v>
      </c>
      <c r="R64" s="561">
        <f>SUM('Defect (Total)'!R64,Planned!R64,Reconductor!R64,CTGS!R64)</f>
        <v>0</v>
      </c>
      <c r="S64" s="561">
        <f>SUM('Defect (Total)'!S64,Planned!S64,Reconductor!S64,CTGS!S64)</f>
        <v>0</v>
      </c>
      <c r="T64" s="561">
        <f>SUM('Defect (Total)'!T64,Planned!T64,Reconductor!T64,CTGS!T64)</f>
        <v>0</v>
      </c>
      <c r="U64" s="561">
        <f>SUM('Defect (Total)'!U64,Planned!U64,Reconductor!U64,CTGS!U64)</f>
        <v>0</v>
      </c>
      <c r="V64" s="561">
        <f>SUM('Defect (Total)'!V64,Planned!V64,Reconductor!V64,CTGS!V64)</f>
        <v>0</v>
      </c>
      <c r="W64" s="561">
        <f>SUM('Defect (Total)'!W64,Planned!W64,Reconductor!W64,CTGS!W64)</f>
        <v>0</v>
      </c>
      <c r="X64" s="561">
        <f>SUM('Defect (Total)'!X64,Planned!X64,Reconductor!X64,CTGS!X64)</f>
        <v>0</v>
      </c>
      <c r="Y64" s="561">
        <f>SUM('Defect (Total)'!Y64,Planned!Y64,Reconductor!Y64,CTGS!Y64)</f>
        <v>0</v>
      </c>
      <c r="Z64" s="86">
        <f>SUM('Defect (Total)'!Z64,Planned!Z64,Reconductor!Z64,CTGS!Z64)</f>
        <v>0</v>
      </c>
      <c r="AA64" s="87">
        <f>SUM('Defect (Total)'!AA64,Planned!AA64,Reconductor!AA64,CTGS!AA64)</f>
        <v>0</v>
      </c>
      <c r="AB64" s="87">
        <f>SUM('Defect (Total)'!AB64,Planned!AB64,Reconductor!AB64,CTGS!AB64)</f>
        <v>0</v>
      </c>
      <c r="AC64" s="87">
        <f>SUM('Defect (Total)'!AC64,Planned!AC64,Reconductor!AC64,CTGS!AC64)</f>
        <v>0</v>
      </c>
      <c r="AD64" s="87">
        <f>SUM('Defect (Total)'!AD64,Planned!AD64,Reconductor!AD64,CTGS!AD64)</f>
        <v>0</v>
      </c>
      <c r="AE64" s="87">
        <f>SUM('Defect (Total)'!AE64,Planned!AE64,Reconductor!AE64,CTGS!AE64)</f>
        <v>0</v>
      </c>
      <c r="AF64" s="87">
        <f>SUM('Defect (Total)'!AF64,Planned!AF64,Reconductor!AF64,CTGS!AF64)</f>
        <v>0</v>
      </c>
      <c r="AG64" s="87">
        <f>SUM('Defect (Total)'!AG64,Planned!AG64,Reconductor!AG64,CTGS!AG64)</f>
        <v>0</v>
      </c>
      <c r="AH64" s="87">
        <f>SUM('Defect (Total)'!AH64,Planned!AH64,Reconductor!AH64,CTGS!AH64)</f>
        <v>0</v>
      </c>
      <c r="AI64" s="87">
        <f>SUM('Defect (Total)'!AI64,Planned!AI64,Reconductor!AI64,CTGS!AI64)</f>
        <v>0</v>
      </c>
      <c r="AJ64" s="87">
        <f>SUM('Defect (Total)'!AJ64,Planned!AJ64,Reconductor!AJ64,CTGS!AJ64)</f>
        <v>0</v>
      </c>
      <c r="AK64" s="127">
        <f t="shared" si="17"/>
        <v>0</v>
      </c>
      <c r="AL64" s="128">
        <f t="shared" si="18"/>
        <v>0</v>
      </c>
      <c r="AM64" s="129">
        <f t="shared" si="19"/>
        <v>0</v>
      </c>
      <c r="AN64" s="91" t="str">
        <f t="shared" si="21"/>
        <v/>
      </c>
      <c r="AO64" s="92" t="str">
        <f t="shared" si="22"/>
        <v/>
      </c>
      <c r="AP64" s="92" t="str">
        <f t="shared" si="23"/>
        <v/>
      </c>
      <c r="AQ64" s="92" t="str">
        <f t="shared" si="24"/>
        <v/>
      </c>
      <c r="AR64" s="92" t="str">
        <f t="shared" si="25"/>
        <v/>
      </c>
      <c r="AS64" s="92" t="str">
        <f t="shared" si="26"/>
        <v/>
      </c>
      <c r="AT64" s="92" t="str">
        <f t="shared" si="27"/>
        <v/>
      </c>
      <c r="AU64" s="92" t="str">
        <f t="shared" si="28"/>
        <v/>
      </c>
      <c r="AV64" s="92" t="str">
        <f t="shared" si="29"/>
        <v/>
      </c>
      <c r="AW64" s="92" t="str">
        <f t="shared" si="10"/>
        <v/>
      </c>
      <c r="AX64" s="92" t="str">
        <f t="shared" si="11"/>
        <v/>
      </c>
      <c r="AY64" s="93" t="str">
        <f t="shared" si="30"/>
        <v/>
      </c>
      <c r="AZ64" s="94" t="str">
        <f t="shared" si="31"/>
        <v/>
      </c>
      <c r="BA64" s="95" t="str">
        <f t="shared" si="32"/>
        <v/>
      </c>
      <c r="BB64" s="694">
        <f>SUM('Defect (Total)'!BB64,Planned!CE64,Reconductor!CE64,CTGS!CE64,'Substation 2025$'!CE64*$BL$1,Comms!CA64*$BL$2)</f>
        <v>0</v>
      </c>
      <c r="BC64" s="694">
        <f>SUM('Defect (Total)'!BC64,Planned!CF64,Reconductor!CF64,CTGS!CF64,'Substation 2025$'!CF64*$BL$1,Comms!CB64*$BL$2)</f>
        <v>0</v>
      </c>
      <c r="BD64" s="140">
        <f>SUM('Defect (Total)'!BD64,Planned!CG64,Reconductor!CG64,CTGS!CG64,'Substation 2025$'!CG64*$BL$1,Comms!CC64*$BL$2)</f>
        <v>0</v>
      </c>
      <c r="BE64" s="140">
        <f>SUM('Defect (Total)'!BE64,Planned!CH64,Reconductor!CH64,CTGS!CH64,'Substation 2025$'!CH64*$BL$1,Comms!CD64*$BL$2)</f>
        <v>0</v>
      </c>
      <c r="BF64" s="140">
        <f>SUM('Defect (Total)'!BF64,Planned!CI64,Reconductor!CI64,CTGS!CI64,'Substation 2025$'!CI64*$BL$1,Comms!CE64*$BL$2)</f>
        <v>0</v>
      </c>
      <c r="BG64" s="140">
        <f>SUM('Defect (Total)'!BG64,Planned!CJ64,Reconductor!CJ64,CTGS!CJ64,'Substation 2025$'!CJ64*$BL$1,Comms!CF64*$BL$2)</f>
        <v>0</v>
      </c>
      <c r="BH64" s="140">
        <f>SUM('Defect (Total)'!BH64,Planned!CK64,Reconductor!CK64,CTGS!CK64,'Substation 2025$'!CK64*$BL$1,Comms!CG64*$BL$2)</f>
        <v>0</v>
      </c>
      <c r="BI64" s="291">
        <f>SUM('Defect (Total)'!BI64,Planned!CL64,Reconductor!CL64,CTGS!CL64,'Substation 2025$'!CL64*$BL$1,Comms!CH64*$BL$2)</f>
        <v>0</v>
      </c>
      <c r="BJ64" s="99" t="str">
        <f t="shared" si="20"/>
        <v/>
      </c>
      <c r="BK64" s="992">
        <f>SUM('Defect (Total)'!BK64,Planned!CQ64,Reconductor!CQ64,CTGS!CQ64,'Substation 2025$'!CQ64*$BL$1,Comms!CM64*$BL$2)</f>
        <v>0</v>
      </c>
      <c r="BL64" s="992">
        <f>SUM('Defect (Total)'!BL64,Planned!CR64,Reconductor!CR64,CTGS!CR64,'Substation 2025$'!CR64*$BL$1,Comms!CN64*$BL$2)</f>
        <v>0</v>
      </c>
      <c r="BM64" s="524">
        <f>SUM('Defect (Total)'!BM64,Planned!CS64,Reconductor!CS64,CTGS!CS64,'Substation 2025$'!CS64*$BL$1,Comms!CO64*$BL$2)</f>
        <v>0</v>
      </c>
      <c r="BN64" s="416">
        <f>SUM('Defect (Total)'!BN64,Planned!CT64,Reconductor!CT64,CTGS!CT64,'Substation 2025$'!CT64*$BL$1,Comms!CP64*$BL$2)</f>
        <v>0</v>
      </c>
      <c r="BO64" s="97">
        <f>SUM('Defect (Total)'!BO64,Planned!CU64,Reconductor!CU64,CTGS!CU64,'Substation 2025$'!CU64*$BL$1,Comms!CQ64*$BL$2)</f>
        <v>0</v>
      </c>
      <c r="BP64" s="97">
        <f>SUM('Defect (Total)'!BP64,Planned!CV64,Reconductor!CV64,CTGS!CV64,'Substation 2025$'!CV64*$BL$1,Comms!CR64*$BL$2)</f>
        <v>0</v>
      </c>
      <c r="BQ64" s="97">
        <f>SUM('Defect (Total)'!BQ64,Planned!CW64,Reconductor!CW64,CTGS!CW64,'Substation 2025$'!CW64*$BL$1,Comms!CS64*$BL$2)</f>
        <v>0</v>
      </c>
      <c r="BR64" s="98">
        <f>SUM('Defect (Total)'!BR64,Planned!CX64,Reconductor!CX64,CTGS!CX64,'Substation 2025$'!CX64*$BL$1,Comms!CT64*$BL$2)</f>
        <v>0</v>
      </c>
      <c r="BS64" s="836" t="str">
        <f>'Unit Cost Rate Summary'!AO64</f>
        <v/>
      </c>
      <c r="BT64" s="840" t="str">
        <f t="shared" si="33"/>
        <v/>
      </c>
      <c r="BU64" s="832" t="str">
        <f t="shared" si="34"/>
        <v/>
      </c>
      <c r="BV64" t="s">
        <v>272</v>
      </c>
      <c r="CI64" s="416">
        <f>VLOOKUP($A64,'Distribution Summary'!$A$136:$CG$146,CI$1,0)*BN64</f>
        <v>0</v>
      </c>
      <c r="CJ64" s="97">
        <f>VLOOKUP($A64,'Distribution Summary'!$A$136:$CG$146,CJ$1,0)*BO64</f>
        <v>0</v>
      </c>
      <c r="CK64" s="97">
        <f>VLOOKUP($A64,'Distribution Summary'!$A$136:$CG$146,CK$1,0)*BP64</f>
        <v>0</v>
      </c>
      <c r="CL64" s="97">
        <f>VLOOKUP($A64,'Distribution Summary'!$A$136:$CG$146,CL$1,0)*BQ64</f>
        <v>0</v>
      </c>
      <c r="CM64" s="98">
        <f>VLOOKUP($A64,'Distribution Summary'!$A$136:$CG$146,CM$1,0)*BR64</f>
        <v>0</v>
      </c>
    </row>
    <row r="65" spans="1:91" x14ac:dyDescent="0.25">
      <c r="A65" s="81" t="s">
        <v>106</v>
      </c>
      <c r="B65" s="82" t="s">
        <v>133</v>
      </c>
      <c r="C65" s="83" t="s">
        <v>353</v>
      </c>
      <c r="D65" s="84">
        <f>SUM('Defect (Total)'!D65,Planned!D65,Reconductor!D65,CTGS!D65)</f>
        <v>0</v>
      </c>
      <c r="E65" s="85">
        <f>SUM('Defect (Total)'!E65,Planned!E65,Reconductor!E65,CTGS!E65)</f>
        <v>0</v>
      </c>
      <c r="F65" s="85">
        <f>SUM('Defect (Total)'!F65,Planned!F65,Reconductor!F65,CTGS!F65)</f>
        <v>0</v>
      </c>
      <c r="G65" s="85">
        <f>SUM('Defect (Total)'!G65,Planned!G65,Reconductor!G65,CTGS!G65)</f>
        <v>0</v>
      </c>
      <c r="H65" s="85">
        <f>SUM('Defect (Total)'!H65,Planned!H65,Reconductor!H65,CTGS!H65)</f>
        <v>0</v>
      </c>
      <c r="I65" s="85">
        <f>SUM('Defect (Total)'!I65,Planned!I65,Reconductor!I65,CTGS!I65)</f>
        <v>0</v>
      </c>
      <c r="J65" s="85">
        <f>SUM('Defect (Total)'!J65,Planned!J65,Reconductor!J65,CTGS!J65)</f>
        <v>0</v>
      </c>
      <c r="K65" s="85">
        <f>SUM('Defect (Total)'!K65,Planned!K65,Reconductor!K65,CTGS!K65)</f>
        <v>0</v>
      </c>
      <c r="L65" s="85">
        <f>SUM('Defect (Total)'!L65,Planned!L65,Reconductor!L65,CTGS!L65)</f>
        <v>0</v>
      </c>
      <c r="M65" s="85">
        <f>SUM('Defect (Total)'!M65,Planned!M65,Reconductor!M65,CTGS!M65)</f>
        <v>0</v>
      </c>
      <c r="N65" s="85">
        <f>SUM('Defect (Total)'!N65,Planned!N65,Reconductor!N65,CTGS!N65)</f>
        <v>0</v>
      </c>
      <c r="O65" s="560">
        <f>SUM('Defect (Total)'!O65,Planned!O65,Reconductor!O65,CTGS!O65)</f>
        <v>0</v>
      </c>
      <c r="P65" s="561">
        <f>SUM('Defect (Total)'!P65,Planned!P65,Reconductor!P65,CTGS!P65)</f>
        <v>0</v>
      </c>
      <c r="Q65" s="561">
        <f>SUM('Defect (Total)'!Q65,Planned!Q65,Reconductor!Q65,CTGS!Q65)</f>
        <v>0</v>
      </c>
      <c r="R65" s="561">
        <f>SUM('Defect (Total)'!R65,Planned!R65,Reconductor!R65,CTGS!R65)</f>
        <v>0</v>
      </c>
      <c r="S65" s="561">
        <f>SUM('Defect (Total)'!S65,Planned!S65,Reconductor!S65,CTGS!S65)</f>
        <v>0</v>
      </c>
      <c r="T65" s="561">
        <f>SUM('Defect (Total)'!T65,Planned!T65,Reconductor!T65,CTGS!T65)</f>
        <v>0</v>
      </c>
      <c r="U65" s="561">
        <f>SUM('Defect (Total)'!U65,Planned!U65,Reconductor!U65,CTGS!U65)</f>
        <v>0</v>
      </c>
      <c r="V65" s="561">
        <f>SUM('Defect (Total)'!V65,Planned!V65,Reconductor!V65,CTGS!V65)</f>
        <v>0</v>
      </c>
      <c r="W65" s="561">
        <f>SUM('Defect (Total)'!W65,Planned!W65,Reconductor!W65,CTGS!W65)</f>
        <v>0</v>
      </c>
      <c r="X65" s="561">
        <f>SUM('Defect (Total)'!X65,Planned!X65,Reconductor!X65,CTGS!X65)</f>
        <v>0</v>
      </c>
      <c r="Y65" s="561">
        <f>SUM('Defect (Total)'!Y65,Planned!Y65,Reconductor!Y65,CTGS!Y65)</f>
        <v>0</v>
      </c>
      <c r="Z65" s="86">
        <f>SUM('Defect (Total)'!Z65,Planned!Z65,Reconductor!Z65,CTGS!Z65)</f>
        <v>0</v>
      </c>
      <c r="AA65" s="87">
        <f>SUM('Defect (Total)'!AA65,Planned!AA65,Reconductor!AA65,CTGS!AA65)</f>
        <v>0</v>
      </c>
      <c r="AB65" s="87">
        <f>SUM('Defect (Total)'!AB65,Planned!AB65,Reconductor!AB65,CTGS!AB65)</f>
        <v>0</v>
      </c>
      <c r="AC65" s="87">
        <f>SUM('Defect (Total)'!AC65,Planned!AC65,Reconductor!AC65,CTGS!AC65)</f>
        <v>0</v>
      </c>
      <c r="AD65" s="87">
        <f>SUM('Defect (Total)'!AD65,Planned!AD65,Reconductor!AD65,CTGS!AD65)</f>
        <v>0</v>
      </c>
      <c r="AE65" s="87">
        <f>SUM('Defect (Total)'!AE65,Planned!AE65,Reconductor!AE65,CTGS!AE65)</f>
        <v>0</v>
      </c>
      <c r="AF65" s="87">
        <f>SUM('Defect (Total)'!AF65,Planned!AF65,Reconductor!AF65,CTGS!AF65)</f>
        <v>0</v>
      </c>
      <c r="AG65" s="87">
        <f>SUM('Defect (Total)'!AG65,Planned!AG65,Reconductor!AG65,CTGS!AG65)</f>
        <v>0</v>
      </c>
      <c r="AH65" s="87">
        <f>SUM('Defect (Total)'!AH65,Planned!AH65,Reconductor!AH65,CTGS!AH65)</f>
        <v>0</v>
      </c>
      <c r="AI65" s="87">
        <f>SUM('Defect (Total)'!AI65,Planned!AI65,Reconductor!AI65,CTGS!AI65)</f>
        <v>0</v>
      </c>
      <c r="AJ65" s="87">
        <f>SUM('Defect (Total)'!AJ65,Planned!AJ65,Reconductor!AJ65,CTGS!AJ65)</f>
        <v>0</v>
      </c>
      <c r="AK65" s="127">
        <f t="shared" si="17"/>
        <v>0</v>
      </c>
      <c r="AL65" s="128">
        <f t="shared" si="18"/>
        <v>0</v>
      </c>
      <c r="AM65" s="129">
        <f t="shared" si="19"/>
        <v>0</v>
      </c>
      <c r="AN65" s="91" t="str">
        <f t="shared" si="21"/>
        <v/>
      </c>
      <c r="AO65" s="92" t="str">
        <f t="shared" si="22"/>
        <v/>
      </c>
      <c r="AP65" s="92" t="str">
        <f t="shared" si="23"/>
        <v/>
      </c>
      <c r="AQ65" s="92" t="str">
        <f t="shared" si="24"/>
        <v/>
      </c>
      <c r="AR65" s="92" t="str">
        <f t="shared" si="25"/>
        <v/>
      </c>
      <c r="AS65" s="92" t="str">
        <f t="shared" si="26"/>
        <v/>
      </c>
      <c r="AT65" s="92" t="str">
        <f t="shared" si="27"/>
        <v/>
      </c>
      <c r="AU65" s="92" t="str">
        <f t="shared" si="28"/>
        <v/>
      </c>
      <c r="AV65" s="92" t="str">
        <f t="shared" si="29"/>
        <v/>
      </c>
      <c r="AW65" s="92" t="str">
        <f t="shared" si="10"/>
        <v/>
      </c>
      <c r="AX65" s="92" t="str">
        <f t="shared" si="11"/>
        <v/>
      </c>
      <c r="AY65" s="93" t="str">
        <f t="shared" si="30"/>
        <v/>
      </c>
      <c r="AZ65" s="94" t="str">
        <f t="shared" si="31"/>
        <v/>
      </c>
      <c r="BA65" s="95" t="str">
        <f t="shared" si="32"/>
        <v/>
      </c>
      <c r="BB65" s="694">
        <f>SUM('Defect (Total)'!BB65,Planned!CE65,Reconductor!CE65,CTGS!CE65,'Substation 2025$'!CE65*$BL$1,Comms!CA65*$BL$2)</f>
        <v>0</v>
      </c>
      <c r="BC65" s="694">
        <f>SUM('Defect (Total)'!BC65,Planned!CF65,Reconductor!CF65,CTGS!CF65,'Substation 2025$'!CF65*$BL$1,Comms!CB65*$BL$2)</f>
        <v>0</v>
      </c>
      <c r="BD65" s="140">
        <f>SUM('Defect (Total)'!BD65,Planned!CG65,Reconductor!CG65,CTGS!CG65,'Substation 2025$'!CG65*$BL$1,Comms!CC65*$BL$2)</f>
        <v>0</v>
      </c>
      <c r="BE65" s="140">
        <f>SUM('Defect (Total)'!BE65,Planned!CH65,Reconductor!CH65,CTGS!CH65,'Substation 2025$'!CH65*$BL$1,Comms!CD65*$BL$2)</f>
        <v>0</v>
      </c>
      <c r="BF65" s="140">
        <f>SUM('Defect (Total)'!BF65,Planned!CI65,Reconductor!CI65,CTGS!CI65,'Substation 2025$'!CI65*$BL$1,Comms!CE65*$BL$2)</f>
        <v>0</v>
      </c>
      <c r="BG65" s="140">
        <f>SUM('Defect (Total)'!BG65,Planned!CJ65,Reconductor!CJ65,CTGS!CJ65,'Substation 2025$'!CJ65*$BL$1,Comms!CF65*$BL$2)</f>
        <v>0</v>
      </c>
      <c r="BH65" s="140">
        <f>SUM('Defect (Total)'!BH65,Planned!CK65,Reconductor!CK65,CTGS!CK65,'Substation 2025$'!CK65*$BL$1,Comms!CG65*$BL$2)</f>
        <v>0</v>
      </c>
      <c r="BI65" s="291">
        <f>SUM('Defect (Total)'!BI65,Planned!CL65,Reconductor!CL65,CTGS!CL65,'Substation 2025$'!CL65*$BL$1,Comms!CH65*$BL$2)</f>
        <v>0</v>
      </c>
      <c r="BJ65" s="99" t="str">
        <f t="shared" si="20"/>
        <v/>
      </c>
      <c r="BK65" s="992">
        <f>SUM('Defect (Total)'!BK65,Planned!CQ65,Reconductor!CQ65,CTGS!CQ65,'Substation 2025$'!CQ65*$BL$1,Comms!CM65*$BL$2)</f>
        <v>0</v>
      </c>
      <c r="BL65" s="992">
        <f>SUM('Defect (Total)'!BL65,Planned!CR65,Reconductor!CR65,CTGS!CR65,'Substation 2025$'!CR65*$BL$1,Comms!CN65*$BL$2)</f>
        <v>0</v>
      </c>
      <c r="BM65" s="524">
        <f>SUM('Defect (Total)'!BM65,Planned!CS65,Reconductor!CS65,CTGS!CS65,'Substation 2025$'!CS65*$BL$1,Comms!CO65*$BL$2)</f>
        <v>0</v>
      </c>
      <c r="BN65" s="416">
        <f>SUM('Defect (Total)'!BN65,Planned!CT65,Reconductor!CT65,CTGS!CT65,'Substation 2025$'!CT65*$BL$1,Comms!CP65*$BL$2)</f>
        <v>0</v>
      </c>
      <c r="BO65" s="97">
        <f>SUM('Defect (Total)'!BO65,Planned!CU65,Reconductor!CU65,CTGS!CU65,'Substation 2025$'!CU65*$BL$1,Comms!CQ65*$BL$2)</f>
        <v>0</v>
      </c>
      <c r="BP65" s="97">
        <f>SUM('Defect (Total)'!BP65,Planned!CV65,Reconductor!CV65,CTGS!CV65,'Substation 2025$'!CV65*$BL$1,Comms!CR65*$BL$2)</f>
        <v>0</v>
      </c>
      <c r="BQ65" s="97">
        <f>SUM('Defect (Total)'!BQ65,Planned!CW65,Reconductor!CW65,CTGS!CW65,'Substation 2025$'!CW65*$BL$1,Comms!CS65*$BL$2)</f>
        <v>0</v>
      </c>
      <c r="BR65" s="98">
        <f>SUM('Defect (Total)'!BR65,Planned!CX65,Reconductor!CX65,CTGS!CX65,'Substation 2025$'!CX65*$BL$1,Comms!CT65*$BL$2)</f>
        <v>0</v>
      </c>
      <c r="BS65" s="836" t="str">
        <f>'Unit Cost Rate Summary'!AO65</f>
        <v/>
      </c>
      <c r="BT65" s="840" t="str">
        <f t="shared" si="33"/>
        <v/>
      </c>
      <c r="BU65" s="832" t="str">
        <f t="shared" si="34"/>
        <v/>
      </c>
      <c r="BV65" t="s">
        <v>272</v>
      </c>
      <c r="CI65" s="416">
        <f>VLOOKUP($A65,'Distribution Summary'!$A$136:$CG$146,CI$1,0)*BN65</f>
        <v>0</v>
      </c>
      <c r="CJ65" s="97">
        <f>VLOOKUP($A65,'Distribution Summary'!$A$136:$CG$146,CJ$1,0)*BO65</f>
        <v>0</v>
      </c>
      <c r="CK65" s="97">
        <f>VLOOKUP($A65,'Distribution Summary'!$A$136:$CG$146,CK$1,0)*BP65</f>
        <v>0</v>
      </c>
      <c r="CL65" s="97">
        <f>VLOOKUP($A65,'Distribution Summary'!$A$136:$CG$146,CL$1,0)*BQ65</f>
        <v>0</v>
      </c>
      <c r="CM65" s="98">
        <f>VLOOKUP($A65,'Distribution Summary'!$A$136:$CG$146,CM$1,0)*BR65</f>
        <v>0</v>
      </c>
    </row>
    <row r="66" spans="1:91" ht="15.75" thickBot="1" x14ac:dyDescent="0.3">
      <c r="A66" s="100" t="s">
        <v>106</v>
      </c>
      <c r="B66" s="101" t="s">
        <v>827</v>
      </c>
      <c r="C66" s="102" t="s">
        <v>355</v>
      </c>
      <c r="D66" s="103">
        <f>SUM('Defect (Total)'!D66,Planned!D66,Reconductor!D66,CTGS!D66)</f>
        <v>0</v>
      </c>
      <c r="E66" s="104">
        <f>SUM('Defect (Total)'!E66,Planned!E66,Reconductor!E66,CTGS!E66)</f>
        <v>0</v>
      </c>
      <c r="F66" s="104">
        <f>SUM('Defect (Total)'!F66,Planned!F66,Reconductor!F66,CTGS!F66)</f>
        <v>0</v>
      </c>
      <c r="G66" s="104">
        <f>SUM('Defect (Total)'!G66,Planned!G66,Reconductor!G66,CTGS!G66)</f>
        <v>0</v>
      </c>
      <c r="H66" s="104">
        <f>SUM('Defect (Total)'!H66,Planned!H66,Reconductor!H66,CTGS!H66)</f>
        <v>0</v>
      </c>
      <c r="I66" s="104">
        <f>SUM('Defect (Total)'!I66,Planned!I66,Reconductor!I66,CTGS!I66)</f>
        <v>0</v>
      </c>
      <c r="J66" s="104">
        <f>SUM('Defect (Total)'!J66,Planned!J66,Reconductor!J66,CTGS!J66)</f>
        <v>0</v>
      </c>
      <c r="K66" s="104">
        <f>SUM('Defect (Total)'!K66,Planned!K66,Reconductor!K66,CTGS!K66)</f>
        <v>0</v>
      </c>
      <c r="L66" s="104">
        <f>SUM('Defect (Total)'!L66,Planned!L66,Reconductor!L66,CTGS!L66)</f>
        <v>0</v>
      </c>
      <c r="M66" s="104">
        <f>SUM('Defect (Total)'!M66,Planned!M66,Reconductor!M66,CTGS!M66)</f>
        <v>0</v>
      </c>
      <c r="N66" s="104">
        <f>SUM('Defect (Total)'!N66,Planned!N66,Reconductor!N66,CTGS!N66)</f>
        <v>0</v>
      </c>
      <c r="O66" s="563">
        <f>SUM('Defect (Total)'!O66,Planned!O66,Reconductor!O66,CTGS!O66)</f>
        <v>0</v>
      </c>
      <c r="P66" s="564">
        <f>SUM('Defect (Total)'!P66,Planned!P66,Reconductor!P66,CTGS!P66)</f>
        <v>0</v>
      </c>
      <c r="Q66" s="564">
        <f>SUM('Defect (Total)'!Q66,Planned!Q66,Reconductor!Q66,CTGS!Q66)</f>
        <v>0</v>
      </c>
      <c r="R66" s="564">
        <f>SUM('Defect (Total)'!R66,Planned!R66,Reconductor!R66,CTGS!R66)</f>
        <v>0</v>
      </c>
      <c r="S66" s="564">
        <f>SUM('Defect (Total)'!S66,Planned!S66,Reconductor!S66,CTGS!S66)</f>
        <v>0</v>
      </c>
      <c r="T66" s="564">
        <f>SUM('Defect (Total)'!T66,Planned!T66,Reconductor!T66,CTGS!T66)</f>
        <v>0</v>
      </c>
      <c r="U66" s="564">
        <f>SUM('Defect (Total)'!U66,Planned!U66,Reconductor!U66,CTGS!U66)</f>
        <v>0</v>
      </c>
      <c r="V66" s="564">
        <f>SUM('Defect (Total)'!V66,Planned!V66,Reconductor!V66,CTGS!V66)</f>
        <v>0</v>
      </c>
      <c r="W66" s="564">
        <f>SUM('Defect (Total)'!W66,Planned!W66,Reconductor!W66,CTGS!W66)</f>
        <v>0</v>
      </c>
      <c r="X66" s="564">
        <f>SUM('Defect (Total)'!X66,Planned!X66,Reconductor!X66,CTGS!X66)</f>
        <v>0</v>
      </c>
      <c r="Y66" s="564">
        <f>SUM('Defect (Total)'!Y66,Planned!Y66,Reconductor!Y66,CTGS!Y66)</f>
        <v>0</v>
      </c>
      <c r="Z66" s="105">
        <f>SUM('Defect (Total)'!Z66,Planned!Z66,Reconductor!Z66,CTGS!Z66)</f>
        <v>0</v>
      </c>
      <c r="AA66" s="106">
        <f>SUM('Defect (Total)'!AA66,Planned!AA66,Reconductor!AA66,CTGS!AA66)</f>
        <v>0</v>
      </c>
      <c r="AB66" s="106">
        <f>SUM('Defect (Total)'!AB66,Planned!AB66,Reconductor!AB66,CTGS!AB66)</f>
        <v>0</v>
      </c>
      <c r="AC66" s="106">
        <f>SUM('Defect (Total)'!AC66,Planned!AC66,Reconductor!AC66,CTGS!AC66)</f>
        <v>0</v>
      </c>
      <c r="AD66" s="106">
        <f>SUM('Defect (Total)'!AD66,Planned!AD66,Reconductor!AD66,CTGS!AD66)</f>
        <v>0</v>
      </c>
      <c r="AE66" s="106">
        <f>SUM('Defect (Total)'!AE66,Planned!AE66,Reconductor!AE66,CTGS!AE66)</f>
        <v>0</v>
      </c>
      <c r="AF66" s="106">
        <f>SUM('Defect (Total)'!AF66,Planned!AF66,Reconductor!AF66,CTGS!AF66)</f>
        <v>0</v>
      </c>
      <c r="AG66" s="106">
        <f>SUM('Defect (Total)'!AG66,Planned!AG66,Reconductor!AG66,CTGS!AG66)</f>
        <v>0</v>
      </c>
      <c r="AH66" s="106">
        <f>SUM('Defect (Total)'!AH66,Planned!AH66,Reconductor!AH66,CTGS!AH66)</f>
        <v>0</v>
      </c>
      <c r="AI66" s="106">
        <f>SUM('Defect (Total)'!AI66,Planned!AI66,Reconductor!AI66,CTGS!AI66)</f>
        <v>0</v>
      </c>
      <c r="AJ66" s="106">
        <f>SUM('Defect (Total)'!AJ66,Planned!AJ66,Reconductor!AJ66,CTGS!AJ66)</f>
        <v>0</v>
      </c>
      <c r="AK66" s="133">
        <f t="shared" si="17"/>
        <v>0</v>
      </c>
      <c r="AL66" s="134">
        <f t="shared" si="18"/>
        <v>0</v>
      </c>
      <c r="AM66" s="135">
        <f t="shared" si="19"/>
        <v>0</v>
      </c>
      <c r="AN66" s="110" t="str">
        <f t="shared" si="21"/>
        <v/>
      </c>
      <c r="AO66" s="111" t="str">
        <f t="shared" si="22"/>
        <v/>
      </c>
      <c r="AP66" s="111" t="str">
        <f t="shared" si="23"/>
        <v/>
      </c>
      <c r="AQ66" s="111" t="str">
        <f t="shared" si="24"/>
        <v/>
      </c>
      <c r="AR66" s="111" t="str">
        <f t="shared" si="25"/>
        <v/>
      </c>
      <c r="AS66" s="111" t="str">
        <f t="shared" si="26"/>
        <v/>
      </c>
      <c r="AT66" s="111" t="str">
        <f t="shared" si="27"/>
        <v/>
      </c>
      <c r="AU66" s="111" t="str">
        <f t="shared" si="28"/>
        <v/>
      </c>
      <c r="AV66" s="111" t="str">
        <f t="shared" si="29"/>
        <v/>
      </c>
      <c r="AW66" s="111" t="str">
        <f t="shared" si="10"/>
        <v/>
      </c>
      <c r="AX66" s="111" t="str">
        <f t="shared" si="11"/>
        <v/>
      </c>
      <c r="AY66" s="112" t="str">
        <f t="shared" si="30"/>
        <v/>
      </c>
      <c r="AZ66" s="113" t="str">
        <f t="shared" si="31"/>
        <v/>
      </c>
      <c r="BA66" s="114" t="str">
        <f t="shared" si="32"/>
        <v/>
      </c>
      <c r="BB66" s="695">
        <f>SUM('Defect (Total)'!BB66,Planned!CE66,Reconductor!CE66,CTGS!CE66,'Substation 2025$'!CE66*$BL$1,Comms!CA66*$BL$2)</f>
        <v>0</v>
      </c>
      <c r="BC66" s="695">
        <f>SUM('Defect (Total)'!BC66,Planned!CF66,Reconductor!CF66,CTGS!CF66,'Substation 2025$'!CF66*$BL$1,Comms!CB66*$BL$2)</f>
        <v>0</v>
      </c>
      <c r="BD66" s="141">
        <f>SUM('Defect (Total)'!BD66,Planned!CG66,Reconductor!CG66,CTGS!CG66,'Substation 2025$'!CG66*$BL$1,Comms!CC66*$BL$2)</f>
        <v>0</v>
      </c>
      <c r="BE66" s="141">
        <f>SUM('Defect (Total)'!BE66,Planned!CH66,Reconductor!CH66,CTGS!CH66,'Substation 2025$'!CH66*$BL$1,Comms!CD66*$BL$2)</f>
        <v>0</v>
      </c>
      <c r="BF66" s="141">
        <f>SUM('Defect (Total)'!BF66,Planned!CI66,Reconductor!CI66,CTGS!CI66,'Substation 2025$'!CI66*$BL$1,Comms!CE66*$BL$2)</f>
        <v>0</v>
      </c>
      <c r="BG66" s="141">
        <f>SUM('Defect (Total)'!BG66,Planned!CJ66,Reconductor!CJ66,CTGS!CJ66,'Substation 2025$'!CJ66*$BL$1,Comms!CF66*$BL$2)</f>
        <v>0</v>
      </c>
      <c r="BH66" s="141">
        <f>SUM('Defect (Total)'!BH66,Planned!CK66,Reconductor!CK66,CTGS!CK66,'Substation 2025$'!CK66*$BL$1,Comms!CG66*$BL$2)</f>
        <v>0</v>
      </c>
      <c r="BI66" s="292">
        <f>SUM('Defect (Total)'!BI66,Planned!CL66,Reconductor!CL66,CTGS!CL66,'Substation 2025$'!CL66*$BL$1,Comms!CH66*$BL$2)</f>
        <v>0</v>
      </c>
      <c r="BJ66" s="116" t="str">
        <f t="shared" si="20"/>
        <v/>
      </c>
      <c r="BK66" s="1013">
        <f>SUM('Defect (Total)'!BK66,Planned!CQ66,Reconductor!CQ66,CTGS!CQ66,'Substation 2025$'!CQ66*$BL$1,Comms!CM66*$BL$2)</f>
        <v>0</v>
      </c>
      <c r="BL66" s="1013">
        <f>SUM('Defect (Total)'!BL66,Planned!CR66,Reconductor!CR66,CTGS!CR66,'Substation 2025$'!CR66*$BL$1,Comms!CN66*$BL$2)</f>
        <v>0</v>
      </c>
      <c r="BM66" s="638">
        <f>SUM('Defect (Total)'!BM66,Planned!CS66,Reconductor!CS66,CTGS!CS66,'Substation 2025$'!CS66*$BL$1,Comms!CO66*$BL$2)</f>
        <v>0</v>
      </c>
      <c r="BN66" s="467">
        <f>SUM('Defect (Total)'!BN66,Planned!CT66,Reconductor!CT66,CTGS!CT66,'Substation 2025$'!CT66*$BL$1,Comms!CP66*$BL$2)</f>
        <v>0</v>
      </c>
      <c r="BO66" s="117">
        <f>SUM('Defect (Total)'!BO66,Planned!CU66,Reconductor!CU66,CTGS!CU66,'Substation 2025$'!CU66*$BL$1,Comms!CQ66*$BL$2)</f>
        <v>0</v>
      </c>
      <c r="BP66" s="117">
        <f>SUM('Defect (Total)'!BP66,Planned!CV66,Reconductor!CV66,CTGS!CV66,'Substation 2025$'!CV66*$BL$1,Comms!CR66*$BL$2)</f>
        <v>0</v>
      </c>
      <c r="BQ66" s="117">
        <f>SUM('Defect (Total)'!BQ66,Planned!CW66,Reconductor!CW66,CTGS!CW66,'Substation 2025$'!CW66*$BL$1,Comms!CS66*$BL$2)</f>
        <v>0</v>
      </c>
      <c r="BR66" s="118">
        <f>SUM('Defect (Total)'!BR66,Planned!CX66,Reconductor!CX66,CTGS!CX66,'Substation 2025$'!CX66*$BL$1,Comms!CT66*$BL$2)</f>
        <v>0</v>
      </c>
      <c r="BS66" s="837" t="str">
        <f>'Unit Cost Rate Summary'!AO66</f>
        <v/>
      </c>
      <c r="BT66" s="841" t="str">
        <f t="shared" si="33"/>
        <v/>
      </c>
      <c r="BU66" s="833" t="str">
        <f t="shared" si="34"/>
        <v/>
      </c>
      <c r="BV66" t="s">
        <v>272</v>
      </c>
      <c r="CI66" s="467">
        <f>VLOOKUP($A66,'Distribution Summary'!$A$136:$CG$146,CI$1,0)*BN66</f>
        <v>0</v>
      </c>
      <c r="CJ66" s="117">
        <f>VLOOKUP($A66,'Distribution Summary'!$A$136:$CG$146,CJ$1,0)*BO66</f>
        <v>0</v>
      </c>
      <c r="CK66" s="117">
        <f>VLOOKUP($A66,'Distribution Summary'!$A$136:$CG$146,CK$1,0)*BP66</f>
        <v>0</v>
      </c>
      <c r="CL66" s="117">
        <f>VLOOKUP($A66,'Distribution Summary'!$A$136:$CG$146,CL$1,0)*BQ66</f>
        <v>0</v>
      </c>
      <c r="CM66" s="118">
        <f>VLOOKUP($A66,'Distribution Summary'!$A$136:$CG$146,CM$1,0)*BR66</f>
        <v>0</v>
      </c>
    </row>
    <row r="67" spans="1:91" x14ac:dyDescent="0.25">
      <c r="A67" s="142" t="s">
        <v>138</v>
      </c>
      <c r="B67" s="143" t="s">
        <v>135</v>
      </c>
      <c r="C67" s="65" t="s">
        <v>356</v>
      </c>
      <c r="D67" s="66">
        <f>SUM('Defect (Total)'!D67,Planned!D67,Reconductor!D67,CTGS!D67)</f>
        <v>6000816</v>
      </c>
      <c r="E67" s="67">
        <f>SUM('Defect (Total)'!E67,Planned!E67,Reconductor!E67,CTGS!E67)</f>
        <v>8941752</v>
      </c>
      <c r="F67" s="67">
        <f>SUM('Defect (Total)'!F67,Planned!F67,Reconductor!F67,CTGS!F67)</f>
        <v>9312325</v>
      </c>
      <c r="G67" s="67">
        <f>SUM('Defect (Total)'!G67,Planned!G67,Reconductor!G67,CTGS!G67)</f>
        <v>9096562.6696317289</v>
      </c>
      <c r="H67" s="67">
        <f>SUM('Defect (Total)'!H67,Planned!H67,Reconductor!H67,CTGS!H67)</f>
        <v>7993887</v>
      </c>
      <c r="I67" s="67">
        <f>SUM('Defect (Total)'!I67,Planned!I67,Reconductor!I67,CTGS!I67)</f>
        <v>10843459.009213889</v>
      </c>
      <c r="J67" s="67">
        <f>SUM('Defect (Total)'!J67,Planned!J67,Reconductor!J67,CTGS!J67)</f>
        <v>14652031.353963524</v>
      </c>
      <c r="K67" s="67">
        <f>SUM('Defect (Total)'!K67,Planned!K67,Reconductor!K67,CTGS!K67)</f>
        <v>9931849.696183987</v>
      </c>
      <c r="L67" s="67">
        <f>SUM('Defect (Total)'!L67,Planned!L67,Reconductor!L67,CTGS!L67)</f>
        <v>11920492.007472835</v>
      </c>
      <c r="M67" s="67">
        <f>SUM('Defect (Total)'!M67,Planned!M67,Reconductor!M67,CTGS!M67)</f>
        <v>11840264.782220045</v>
      </c>
      <c r="N67" s="67">
        <f>SUM('Defect (Total)'!N67,Planned!N67,Reconductor!N67,CTGS!N67)</f>
        <v>11997006.69359792</v>
      </c>
      <c r="O67" s="557">
        <f>SUM('Defect (Total)'!O67,Planned!O67,Reconductor!O67,CTGS!O67)</f>
        <v>8073835.8075959319</v>
      </c>
      <c r="P67" s="558">
        <f>SUM('Defect (Total)'!P67,Planned!P67,Reconductor!P67,CTGS!P67)</f>
        <v>11851674.605056327</v>
      </c>
      <c r="Q67" s="558">
        <f>SUM('Defect (Total)'!Q67,Planned!Q67,Reconductor!Q67,CTGS!Q67)</f>
        <v>12217823.92477252</v>
      </c>
      <c r="R67" s="558">
        <f>SUM('Defect (Total)'!R67,Planned!R67,Reconductor!R67,CTGS!R67)</f>
        <v>11708338.177780151</v>
      </c>
      <c r="S67" s="558">
        <f>SUM('Defect (Total)'!S67,Planned!S67,Reconductor!S67,CTGS!S67)</f>
        <v>10079642.389508436</v>
      </c>
      <c r="T67" s="558">
        <f>SUM('Defect (Total)'!T67,Planned!T67,Reconductor!T67,CTGS!T67)</f>
        <v>13458340.655329764</v>
      </c>
      <c r="U67" s="558">
        <f>SUM('Defect (Total)'!U67,Planned!U67,Reconductor!U67,CTGS!U67)</f>
        <v>18248928.84326303</v>
      </c>
      <c r="V67" s="558">
        <f>SUM('Defect (Total)'!V67,Planned!V67,Reconductor!V67,CTGS!V67)</f>
        <v>11911851.230062265</v>
      </c>
      <c r="W67" s="558">
        <f>SUM('Defect (Total)'!W67,Planned!W67,Reconductor!W67,CTGS!W67)</f>
        <v>13469288.561599255</v>
      </c>
      <c r="X67" s="558">
        <f>SUM('Defect (Total)'!X67,Planned!X67,Reconductor!X67,CTGS!X67)</f>
        <v>12591658.950475348</v>
      </c>
      <c r="Y67" s="558">
        <f>SUM('Defect (Total)'!Y67,Planned!Y67,Reconductor!Y67,CTGS!Y67)</f>
        <v>12326906.134016145</v>
      </c>
      <c r="Z67" s="68">
        <f>SUM('Defect (Total)'!Z67,Planned!Z67,Reconductor!Z67,CTGS!Z67)</f>
        <v>585</v>
      </c>
      <c r="AA67" s="69">
        <f>SUM('Defect (Total)'!AA67,Planned!AA67,Reconductor!AA67,CTGS!AA67)</f>
        <v>813</v>
      </c>
      <c r="AB67" s="69">
        <f>SUM('Defect (Total)'!AB67,Planned!AB67,Reconductor!AB67,CTGS!AB67)</f>
        <v>714</v>
      </c>
      <c r="AC67" s="69">
        <f>SUM('Defect (Total)'!AC67,Planned!AC67,Reconductor!AC67,CTGS!AC67)</f>
        <v>584</v>
      </c>
      <c r="AD67" s="69">
        <f>SUM('Defect (Total)'!AD67,Planned!AD67,Reconductor!AD67,CTGS!AD67)</f>
        <v>724</v>
      </c>
      <c r="AE67" s="69">
        <f>SUM('Defect (Total)'!AE67,Planned!AE67,Reconductor!AE67,CTGS!AE67)</f>
        <v>841</v>
      </c>
      <c r="AF67" s="69">
        <f>SUM('Defect (Total)'!AF67,Planned!AF67,Reconductor!AF67,CTGS!AF67)</f>
        <v>1035</v>
      </c>
      <c r="AG67" s="69">
        <f>SUM('Defect (Total)'!AG67,Planned!AG67,Reconductor!AG67,CTGS!AG67)</f>
        <v>916</v>
      </c>
      <c r="AH67" s="69">
        <f>SUM('Defect (Total)'!AH67,Planned!AH67,Reconductor!AH67,CTGS!AH67)</f>
        <v>876</v>
      </c>
      <c r="AI67" s="69">
        <f>SUM('Defect (Total)'!AI67,Planned!AI67,Reconductor!AI67,CTGS!AI67)</f>
        <v>572</v>
      </c>
      <c r="AJ67" s="69">
        <f>SUM('Defect (Total)'!AJ67,Planned!AJ67,Reconductor!AJ67,CTGS!AJ67)</f>
        <v>573</v>
      </c>
      <c r="AK67" s="70">
        <f t="shared" si="17"/>
        <v>848</v>
      </c>
      <c r="AL67" s="71">
        <f t="shared" si="18"/>
        <v>788</v>
      </c>
      <c r="AM67" s="72">
        <f t="shared" si="19"/>
        <v>572</v>
      </c>
      <c r="AN67" s="73">
        <f t="shared" si="21"/>
        <v>10257.805128205127</v>
      </c>
      <c r="AO67" s="74">
        <f t="shared" si="22"/>
        <v>10998.464944649446</v>
      </c>
      <c r="AP67" s="74">
        <f t="shared" si="23"/>
        <v>13042.471988795518</v>
      </c>
      <c r="AQ67" s="74">
        <f t="shared" si="24"/>
        <v>15576.30594115022</v>
      </c>
      <c r="AR67" s="74">
        <f t="shared" si="25"/>
        <v>11041.280386740331</v>
      </c>
      <c r="AS67" s="74">
        <f t="shared" si="26"/>
        <v>12893.530332002247</v>
      </c>
      <c r="AT67" s="74">
        <f t="shared" si="27"/>
        <v>14156.552032815</v>
      </c>
      <c r="AU67" s="74">
        <f t="shared" si="28"/>
        <v>10842.630672689942</v>
      </c>
      <c r="AV67" s="74">
        <f t="shared" si="29"/>
        <v>13607.867588439311</v>
      </c>
      <c r="AW67" s="74">
        <f t="shared" si="10"/>
        <v>20699.763605279801</v>
      </c>
      <c r="AX67" s="74">
        <f t="shared" si="11"/>
        <v>20937.184456540872</v>
      </c>
      <c r="AY67" s="75">
        <f t="shared" si="30"/>
        <v>12600.573558022366</v>
      </c>
      <c r="AZ67" s="76">
        <f t="shared" si="31"/>
        <v>12912.760190173451</v>
      </c>
      <c r="BA67" s="77">
        <f t="shared" si="32"/>
        <v>13607.867588439311</v>
      </c>
      <c r="BB67" s="688">
        <f>SUM('Defect (Total)'!BB67,Planned!CE67,Reconductor!CE67,CTGS!CE67,'Substation 2025$'!CE67*$BL$1,Comms!CA67*$BL$2)</f>
        <v>743.8</v>
      </c>
      <c r="BC67" s="688">
        <f>SUM('Defect (Total)'!BC67,Planned!CF67,Reconductor!CF67,CTGS!CF67,'Substation 2025$'!CF67*$BL$1,Comms!CB67*$BL$2)</f>
        <v>699.11463294818657</v>
      </c>
      <c r="BD67" s="78">
        <f>SUM('Defect (Total)'!BD67,Planned!CG67,Reconductor!CG67,CTGS!CG67,'Substation 2025$'!CG67*$BL$1,Comms!CC67*$BL$2)</f>
        <v>699.11463294818657</v>
      </c>
      <c r="BE67" s="78">
        <f>SUM('Defect (Total)'!BE67,Planned!CH67,Reconductor!CH67,CTGS!CH67,'Substation 2025$'!CH67*$BL$1,Comms!CD67*$BL$2)</f>
        <v>380.83841145478141</v>
      </c>
      <c r="BF67" s="78">
        <f>SUM('Defect (Total)'!BF67,Planned!CI67,Reconductor!CI67,CTGS!CI67,'Substation 2025$'!CI67*$BL$1,Comms!CE67*$BL$2)</f>
        <v>383.45269364301907</v>
      </c>
      <c r="BG67" s="78">
        <f>SUM('Defect (Total)'!BG67,Planned!CJ67,Reconductor!CJ67,CTGS!CJ67,'Substation 2025$'!CJ67*$BL$1,Comms!CF67*$BL$2)</f>
        <v>385.19554843517744</v>
      </c>
      <c r="BH67" s="78">
        <f>SUM('Defect (Total)'!BH67,Planned!CK67,Reconductor!CK67,CTGS!CK67,'Substation 2025$'!CK67*$BL$1,Comms!CG67*$BL$2)</f>
        <v>386.93840322733587</v>
      </c>
      <c r="BI67" s="285">
        <f>SUM('Defect (Total)'!BI67,Planned!CL67,Reconductor!CL67,CTGS!CL67,'Substation 2025$'!CL67*$BL$1,Comms!CH67*$BL$2)</f>
        <v>387.80983062341511</v>
      </c>
      <c r="BJ67" s="124">
        <f t="shared" si="20"/>
        <v>11916.459083564085</v>
      </c>
      <c r="BK67" s="974">
        <f>SUM('Defect (Total)'!BK67,Planned!CQ67,Reconductor!CQ67,CTGS!CQ67,'Substation 2025$'!CQ67*$BL$1,Comms!CM67*$BL$2)</f>
        <v>10133777.607218612</v>
      </c>
      <c r="BL67" s="974">
        <f>SUM('Defect (Total)'!BL67,Planned!CR67,Reconductor!CR67,CTGS!CR67,'Substation 2025$'!CR67*$BL$1,Comms!CN67*$BL$2)</f>
        <v>9337924.0150464866</v>
      </c>
      <c r="BM67" s="523">
        <f>SUM('Defect (Total)'!BM67,Planned!CS67,Reconductor!CS67,CTGS!CS67,'Substation 2025$'!CS67*$BL$1,Comms!CO67*$BL$2)</f>
        <v>9337924.0150464866</v>
      </c>
      <c r="BN67" s="415">
        <f>SUM('Defect (Total)'!BN67,Planned!CT67,Reconductor!CT67,CTGS!CT67,'Substation 2025$'!CT67*$BL$1,Comms!CP67*$BL$2)</f>
        <v>4514620.0533505855</v>
      </c>
      <c r="BO67" s="79">
        <f>SUM('Defect (Total)'!BO67,Planned!CU67,Reconductor!CU67,CTGS!CU67,'Substation 2025$'!CU67*$BL$1,Comms!CQ67*$BL$2)</f>
        <v>4561180.8406447368</v>
      </c>
      <c r="BP67" s="79">
        <f>SUM('Defect (Total)'!BP67,Planned!CV67,Reconductor!CV67,CTGS!CV67,'Substation 2025$'!CV67*$BL$1,Comms!CR67*$BL$2)</f>
        <v>4592221.365507503</v>
      </c>
      <c r="BQ67" s="79">
        <f>SUM('Defect (Total)'!BQ67,Planned!CW67,Reconductor!CW67,CTGS!CW67,'Substation 2025$'!CW67*$BL$1,Comms!CS67*$BL$2)</f>
        <v>4623261.8903702702</v>
      </c>
      <c r="BR67" s="80">
        <f>SUM('Defect (Total)'!BR67,Planned!CX67,Reconductor!CX67,CTGS!CX67,'Substation 2025$'!CX67*$BL$1,Comms!CT67*$BL$2)</f>
        <v>4638782.1528016534</v>
      </c>
      <c r="BS67" s="835">
        <f>'Unit Cost Rate Summary'!AO67</f>
        <v>39.521865582031943</v>
      </c>
      <c r="BT67" s="839">
        <f t="shared" si="33"/>
        <v>683.8722811705054</v>
      </c>
      <c r="BU67" s="834">
        <f t="shared" si="34"/>
        <v>3419.3614058525268</v>
      </c>
      <c r="BV67" t="s">
        <v>638</v>
      </c>
      <c r="CI67" s="415">
        <f>VLOOKUP($A67,'Distribution Summary'!$A$136:$CG$146,CI$1,0)*BN67</f>
        <v>5143508.2321324656</v>
      </c>
      <c r="CJ67" s="79">
        <f>VLOOKUP($A67,'Distribution Summary'!$A$136:$CG$146,CJ$1,0)*BO67</f>
        <v>5221417.7705732882</v>
      </c>
      <c r="CK67" s="79">
        <f>VLOOKUP($A67,'Distribution Summary'!$A$136:$CG$146,CK$1,0)*BP67</f>
        <v>5281019.8572088303</v>
      </c>
      <c r="CL67" s="79">
        <f>VLOOKUP($A67,'Distribution Summary'!$A$136:$CG$146,CL$1,0)*BQ67</f>
        <v>5345240.1266030399</v>
      </c>
      <c r="CM67" s="80">
        <f>VLOOKUP($A67,'Distribution Summary'!$A$136:$CG$146,CM$1,0)*BR67</f>
        <v>5395244.2038379265</v>
      </c>
    </row>
    <row r="68" spans="1:91" x14ac:dyDescent="0.25">
      <c r="A68" s="81" t="s">
        <v>138</v>
      </c>
      <c r="B68" s="82" t="s">
        <v>139</v>
      </c>
      <c r="C68" s="83" t="s">
        <v>357</v>
      </c>
      <c r="D68" s="84">
        <f>SUM('Defect (Total)'!D68,Planned!D68,Reconductor!D68,CTGS!D68)</f>
        <v>587123</v>
      </c>
      <c r="E68" s="85">
        <f>SUM('Defect (Total)'!E68,Planned!E68,Reconductor!E68,CTGS!E68)</f>
        <v>1166658</v>
      </c>
      <c r="F68" s="85">
        <f>SUM('Defect (Total)'!F68,Planned!F68,Reconductor!F68,CTGS!F68)</f>
        <v>934074</v>
      </c>
      <c r="G68" s="85">
        <f>SUM('Defect (Total)'!G68,Planned!G68,Reconductor!G68,CTGS!G68)</f>
        <v>2933777.4740999052</v>
      </c>
      <c r="H68" s="85">
        <f>SUM('Defect (Total)'!H68,Planned!H68,Reconductor!H68,CTGS!H68)</f>
        <v>724408</v>
      </c>
      <c r="I68" s="85">
        <f>SUM('Defect (Total)'!I68,Planned!I68,Reconductor!I68,CTGS!I68)</f>
        <v>801228.46534668386</v>
      </c>
      <c r="J68" s="85">
        <f>SUM('Defect (Total)'!J68,Planned!J68,Reconductor!J68,CTGS!J68)</f>
        <v>1363343.033293603</v>
      </c>
      <c r="K68" s="85">
        <f>SUM('Defect (Total)'!K68,Planned!K68,Reconductor!K68,CTGS!K68)</f>
        <v>1262600.1784691489</v>
      </c>
      <c r="L68" s="85">
        <f>SUM('Defect (Total)'!L68,Planned!L68,Reconductor!L68,CTGS!L68)</f>
        <v>1129862.4041227237</v>
      </c>
      <c r="M68" s="85">
        <f>SUM('Defect (Total)'!M68,Planned!M68,Reconductor!M68,CTGS!M68)</f>
        <v>1119365.1202139345</v>
      </c>
      <c r="N68" s="85">
        <f>SUM('Defect (Total)'!N68,Planned!N68,Reconductor!N68,CTGS!N68)</f>
        <v>1027137.1867614631</v>
      </c>
      <c r="O68" s="560">
        <f>SUM('Defect (Total)'!O68,Planned!O68,Reconductor!O68,CTGS!O68)</f>
        <v>789948.35050152289</v>
      </c>
      <c r="P68" s="561">
        <f>SUM('Defect (Total)'!P68,Planned!P68,Reconductor!P68,CTGS!P68)</f>
        <v>1546324.5895643057</v>
      </c>
      <c r="Q68" s="561">
        <f>SUM('Defect (Total)'!Q68,Planned!Q68,Reconductor!Q68,CTGS!Q68)</f>
        <v>1225510.4568094397</v>
      </c>
      <c r="R68" s="561">
        <f>SUM('Defect (Total)'!R68,Planned!R68,Reconductor!R68,CTGS!R68)</f>
        <v>3776114.1271295138</v>
      </c>
      <c r="S68" s="561">
        <f>SUM('Defect (Total)'!S68,Planned!S68,Reconductor!S68,CTGS!S68)</f>
        <v>913419.66481375392</v>
      </c>
      <c r="T68" s="561">
        <f>SUM('Defect (Total)'!T68,Planned!T68,Reconductor!T68,CTGS!T68)</f>
        <v>994443.34323762008</v>
      </c>
      <c r="U68" s="561">
        <f>SUM('Defect (Total)'!U68,Planned!U68,Reconductor!U68,CTGS!U68)</f>
        <v>1698027.3521461696</v>
      </c>
      <c r="V68" s="561">
        <f>SUM('Defect (Total)'!V68,Planned!V68,Reconductor!V68,CTGS!V68)</f>
        <v>1514310.6217921518</v>
      </c>
      <c r="W68" s="561">
        <f>SUM('Defect (Total)'!W68,Planned!W68,Reconductor!W68,CTGS!W68)</f>
        <v>1276662.301060305</v>
      </c>
      <c r="X68" s="561">
        <f>SUM('Defect (Total)'!X68,Planned!X68,Reconductor!X68,CTGS!X68)</f>
        <v>1190401.0673779</v>
      </c>
      <c r="Y68" s="561">
        <f>SUM('Defect (Total)'!Y68,Planned!Y68,Reconductor!Y68,CTGS!Y68)</f>
        <v>1055381.8974463525</v>
      </c>
      <c r="Z68" s="86">
        <f>SUM('Defect (Total)'!Z68,Planned!Z68,Reconductor!Z68,CTGS!Z68)</f>
        <v>19</v>
      </c>
      <c r="AA68" s="87">
        <f>SUM('Defect (Total)'!AA68,Planned!AA68,Reconductor!AA68,CTGS!AA68)</f>
        <v>36</v>
      </c>
      <c r="AB68" s="87">
        <f>SUM('Defect (Total)'!AB68,Planned!AB68,Reconductor!AB68,CTGS!AB68)</f>
        <v>24</v>
      </c>
      <c r="AC68" s="87">
        <f>SUM('Defect (Total)'!AC68,Planned!AC68,Reconductor!AC68,CTGS!AC68)</f>
        <v>15</v>
      </c>
      <c r="AD68" s="87">
        <f>SUM('Defect (Total)'!AD68,Planned!AD68,Reconductor!AD68,CTGS!AD68)</f>
        <v>15</v>
      </c>
      <c r="AE68" s="87">
        <f>SUM('Defect (Total)'!AE68,Planned!AE68,Reconductor!AE68,CTGS!AE68)</f>
        <v>18</v>
      </c>
      <c r="AF68" s="87">
        <f>SUM('Defect (Total)'!AF68,Planned!AF68,Reconductor!AF68,CTGS!AF68)</f>
        <v>21</v>
      </c>
      <c r="AG68" s="87">
        <f>SUM('Defect (Total)'!AG68,Planned!AG68,Reconductor!AG68,CTGS!AG68)</f>
        <v>24</v>
      </c>
      <c r="AH68" s="87">
        <f>SUM('Defect (Total)'!AH68,Planned!AH68,Reconductor!AH68,CTGS!AH68)</f>
        <v>23</v>
      </c>
      <c r="AI68" s="87">
        <f>SUM('Defect (Total)'!AI68,Planned!AI68,Reconductor!AI68,CTGS!AI68)</f>
        <v>20</v>
      </c>
      <c r="AJ68" s="87">
        <f>SUM('Defect (Total)'!AJ68,Planned!AJ68,Reconductor!AJ68,CTGS!AJ68)</f>
        <v>13</v>
      </c>
      <c r="AK68" s="88">
        <f t="shared" si="17"/>
        <v>21.2</v>
      </c>
      <c r="AL68" s="89">
        <f t="shared" si="18"/>
        <v>22.333333333333332</v>
      </c>
      <c r="AM68" s="90">
        <f t="shared" si="19"/>
        <v>20</v>
      </c>
      <c r="AN68" s="91">
        <f t="shared" si="21"/>
        <v>30901.21052631579</v>
      </c>
      <c r="AO68" s="92">
        <f t="shared" si="22"/>
        <v>32407.166666666668</v>
      </c>
      <c r="AP68" s="92">
        <f t="shared" si="23"/>
        <v>38919.75</v>
      </c>
      <c r="AQ68" s="92">
        <f t="shared" si="24"/>
        <v>195585.16493999367</v>
      </c>
      <c r="AR68" s="92">
        <f t="shared" si="25"/>
        <v>48293.866666666669</v>
      </c>
      <c r="AS68" s="92">
        <f t="shared" si="26"/>
        <v>44512.692519260214</v>
      </c>
      <c r="AT68" s="92">
        <f t="shared" si="27"/>
        <v>64921.096823504908</v>
      </c>
      <c r="AU68" s="92">
        <f t="shared" si="28"/>
        <v>52608.340769547875</v>
      </c>
      <c r="AV68" s="92">
        <f t="shared" si="29"/>
        <v>49124.452353161898</v>
      </c>
      <c r="AW68" s="92">
        <f t="shared" si="10"/>
        <v>55968.256010696721</v>
      </c>
      <c r="AX68" s="92">
        <f t="shared" si="11"/>
        <v>79010.552827804844</v>
      </c>
      <c r="AY68" s="93">
        <f t="shared" si="30"/>
        <v>52291.505754773854</v>
      </c>
      <c r="AZ68" s="94">
        <f t="shared" si="31"/>
        <v>55232.435527727583</v>
      </c>
      <c r="BA68" s="95">
        <f t="shared" si="32"/>
        <v>49124.452353161898</v>
      </c>
      <c r="BB68" s="689">
        <f>SUM('Defect (Total)'!BB68,Planned!CE68,Reconductor!CE68,CTGS!CE68,'Substation 2025$'!CE68*$BL$1,Comms!CA68*$BL$2)</f>
        <v>22.333333333333336</v>
      </c>
      <c r="BC68" s="689">
        <f>SUM('Defect (Total)'!BC68,Planned!CF68,Reconductor!CF68,CTGS!CF68,'Substation 2025$'!CF68*$BL$1,Comms!CB68*$BL$2)</f>
        <v>21.901054067528218</v>
      </c>
      <c r="BD68" s="96">
        <f>SUM('Defect (Total)'!BD68,Planned!CG68,Reconductor!CG68,CTGS!CG68,'Substation 2025$'!CG68*$BL$1,Comms!CC68*$BL$2)</f>
        <v>21.901054067528218</v>
      </c>
      <c r="BE68" s="96">
        <f>SUM('Defect (Total)'!BE68,Planned!CH68,Reconductor!CH68,CTGS!CH68,'Substation 2025$'!CH68*$BL$1,Comms!CD68*$BL$2)</f>
        <v>17.28033810332235</v>
      </c>
      <c r="BF68" s="96">
        <f>SUM('Defect (Total)'!BF68,Planned!CI68,Reconductor!CI68,CTGS!CI68,'Substation 2025$'!CI68*$BL$1,Comms!CE68*$BL$2)</f>
        <v>17.295537418370245</v>
      </c>
      <c r="BG68" s="96">
        <f>SUM('Defect (Total)'!BG68,Planned!CJ68,Reconductor!CJ68,CTGS!CJ68,'Substation 2025$'!CJ68*$BL$1,Comms!CF68*$BL$2)</f>
        <v>17.30567029506884</v>
      </c>
      <c r="BH68" s="96">
        <f>SUM('Defect (Total)'!BH68,Planned!CK68,Reconductor!CK68,CTGS!CK68,'Substation 2025$'!CK68*$BL$1,Comms!CG68*$BL$2)</f>
        <v>17.315803171767435</v>
      </c>
      <c r="BI68" s="286">
        <f>SUM('Defect (Total)'!BI68,Planned!CL68,Reconductor!CL68,CTGS!CL68,'Substation 2025$'!CL68*$BL$1,Comms!CH68*$BL$2)</f>
        <v>17.320869610116734</v>
      </c>
      <c r="BJ68" s="99">
        <f t="shared" si="20"/>
        <v>41450.719126680306</v>
      </c>
      <c r="BK68" s="992">
        <f>SUM('Defect (Total)'!BK68,Planned!CQ68,Reconductor!CQ68,CTGS!CQ68,'Substation 2025$'!CQ68*$BL$1,Comms!CM68*$BL$2)</f>
        <v>1170609.2342686022</v>
      </c>
      <c r="BL68" s="992">
        <f>SUM('Defect (Total)'!BL68,Planned!CR68,Reconductor!CR68,CTGS!CR68,'Substation 2025$'!CR68*$BL$1,Comms!CN68*$BL$2)</f>
        <v>1158385.2210812829</v>
      </c>
      <c r="BM68" s="524">
        <f>SUM('Defect (Total)'!BM68,Planned!CS68,Reconductor!CS68,CTGS!CS68,'Substation 2025$'!CS68*$BL$1,Comms!CO68*$BL$2)</f>
        <v>1158385.2210812829</v>
      </c>
      <c r="BN68" s="416">
        <f>SUM('Defect (Total)'!BN68,Planned!CT68,Reconductor!CT68,CTGS!CT68,'Substation 2025$'!CT68*$BL$1,Comms!CP68*$BL$2)</f>
        <v>716589.43838974973</v>
      </c>
      <c r="BO68" s="97">
        <f>SUM('Defect (Total)'!BO68,Planned!CU68,Reconductor!CU68,CTGS!CU68,'Substation 2025$'!CU68*$BL$1,Comms!CQ68*$BL$2)</f>
        <v>717019.24532771995</v>
      </c>
      <c r="BP68" s="97">
        <f>SUM('Defect (Total)'!BP68,Planned!CV68,Reconductor!CV68,CTGS!CV68,'Substation 2025$'!CV68*$BL$1,Comms!CR68*$BL$2)</f>
        <v>717305.78328636661</v>
      </c>
      <c r="BQ68" s="97">
        <f>SUM('Defect (Total)'!BQ68,Planned!CW68,Reconductor!CW68,CTGS!CW68,'Substation 2025$'!CW68*$BL$1,Comms!CS68*$BL$2)</f>
        <v>717592.32124501339</v>
      </c>
      <c r="BR68" s="98">
        <f>SUM('Defect (Total)'!BR68,Planned!CX68,Reconductor!CX68,CTGS!CX68,'Substation 2025$'!CX68*$BL$1,Comms!CT68*$BL$2)</f>
        <v>717735.59022433672</v>
      </c>
      <c r="BS68" s="836">
        <f>'Unit Cost Rate Summary'!AO68</f>
        <v>136.91374903428203</v>
      </c>
      <c r="BT68" s="840">
        <f t="shared" si="33"/>
        <v>0</v>
      </c>
      <c r="BU68" s="832">
        <f t="shared" si="34"/>
        <v>0</v>
      </c>
      <c r="BV68" s="748" t="s">
        <v>638</v>
      </c>
      <c r="BW68" s="748"/>
      <c r="BX68" s="748"/>
      <c r="BY68" s="748"/>
      <c r="BZ68" s="748"/>
      <c r="CA68" s="748"/>
      <c r="CB68" s="748"/>
      <c r="CC68" s="748"/>
      <c r="CD68" s="748"/>
      <c r="CE68" s="748"/>
      <c r="CF68" s="748"/>
      <c r="CG68" s="748"/>
      <c r="CH68" s="748"/>
      <c r="CI68" s="416">
        <f>VLOOKUP($A68,'Distribution Summary'!$A$136:$CG$146,CI$1,0)*BN68</f>
        <v>816410.60196890868</v>
      </c>
      <c r="CJ68" s="97">
        <f>VLOOKUP($A68,'Distribution Summary'!$A$136:$CG$146,CJ$1,0)*BO68</f>
        <v>820808.72480118531</v>
      </c>
      <c r="CK68" s="97">
        <f>VLOOKUP($A68,'Distribution Summary'!$A$136:$CG$146,CK$1,0)*BP68</f>
        <v>824896.22858313553</v>
      </c>
      <c r="CL68" s="97">
        <f>VLOOKUP($A68,'Distribution Summary'!$A$136:$CG$146,CL$1,0)*BQ68</f>
        <v>829653.03740426188</v>
      </c>
      <c r="CM68" s="98">
        <f>VLOOKUP($A68,'Distribution Summary'!$A$136:$CG$146,CM$1,0)*BR68</f>
        <v>834779.18459854473</v>
      </c>
    </row>
    <row r="69" spans="1:91" x14ac:dyDescent="0.25">
      <c r="A69" s="81" t="s">
        <v>138</v>
      </c>
      <c r="B69" s="82" t="s">
        <v>141</v>
      </c>
      <c r="C69" s="83" t="s">
        <v>358</v>
      </c>
      <c r="D69" s="84">
        <f>SUM('Defect (Total)'!D69,Planned!D69,Reconductor!D69,CTGS!D69)</f>
        <v>0</v>
      </c>
      <c r="E69" s="85">
        <f>SUM('Defect (Total)'!E69,Planned!E69,Reconductor!E69,CTGS!E69)</f>
        <v>0</v>
      </c>
      <c r="F69" s="85">
        <f>SUM('Defect (Total)'!F69,Planned!F69,Reconductor!F69,CTGS!F69)</f>
        <v>0</v>
      </c>
      <c r="G69" s="85">
        <f>SUM('Defect (Total)'!G69,Planned!G69,Reconductor!G69,CTGS!G69)</f>
        <v>0</v>
      </c>
      <c r="H69" s="85">
        <f>SUM('Defect (Total)'!H69,Planned!H69,Reconductor!H69,CTGS!H69)</f>
        <v>0</v>
      </c>
      <c r="I69" s="85">
        <f>SUM('Defect (Total)'!I69,Planned!I69,Reconductor!I69,CTGS!I69)</f>
        <v>0</v>
      </c>
      <c r="J69" s="85">
        <f>SUM('Defect (Total)'!J69,Planned!J69,Reconductor!J69,CTGS!J69)</f>
        <v>0</v>
      </c>
      <c r="K69" s="85">
        <f>SUM('Defect (Total)'!K69,Planned!K69,Reconductor!K69,CTGS!K69)</f>
        <v>0</v>
      </c>
      <c r="L69" s="85">
        <f>SUM('Defect (Total)'!L69,Planned!L69,Reconductor!L69,CTGS!L69)</f>
        <v>0</v>
      </c>
      <c r="M69" s="85">
        <f>SUM('Defect (Total)'!M69,Planned!M69,Reconductor!M69,CTGS!M69)</f>
        <v>0</v>
      </c>
      <c r="N69" s="85">
        <f>SUM('Defect (Total)'!N69,Planned!N69,Reconductor!N69,CTGS!N69)</f>
        <v>0</v>
      </c>
      <c r="O69" s="560">
        <f>SUM('Defect (Total)'!O69,Planned!O69,Reconductor!O69,CTGS!O69)</f>
        <v>0</v>
      </c>
      <c r="P69" s="561">
        <f>SUM('Defect (Total)'!P69,Planned!P69,Reconductor!P69,CTGS!P69)</f>
        <v>0</v>
      </c>
      <c r="Q69" s="561">
        <f>SUM('Defect (Total)'!Q69,Planned!Q69,Reconductor!Q69,CTGS!Q69)</f>
        <v>0</v>
      </c>
      <c r="R69" s="561">
        <f>SUM('Defect (Total)'!R69,Planned!R69,Reconductor!R69,CTGS!R69)</f>
        <v>0</v>
      </c>
      <c r="S69" s="561">
        <f>SUM('Defect (Total)'!S69,Planned!S69,Reconductor!S69,CTGS!S69)</f>
        <v>0</v>
      </c>
      <c r="T69" s="561">
        <f>SUM('Defect (Total)'!T69,Planned!T69,Reconductor!T69,CTGS!T69)</f>
        <v>0</v>
      </c>
      <c r="U69" s="561">
        <f>SUM('Defect (Total)'!U69,Planned!U69,Reconductor!U69,CTGS!U69)</f>
        <v>0</v>
      </c>
      <c r="V69" s="561">
        <f>SUM('Defect (Total)'!V69,Planned!V69,Reconductor!V69,CTGS!V69)</f>
        <v>0</v>
      </c>
      <c r="W69" s="561">
        <f>SUM('Defect (Total)'!W69,Planned!W69,Reconductor!W69,CTGS!W69)</f>
        <v>0</v>
      </c>
      <c r="X69" s="561">
        <f>SUM('Defect (Total)'!X69,Planned!X69,Reconductor!X69,CTGS!X69)</f>
        <v>0</v>
      </c>
      <c r="Y69" s="561">
        <f>SUM('Defect (Total)'!Y69,Planned!Y69,Reconductor!Y69,CTGS!Y69)</f>
        <v>0</v>
      </c>
      <c r="Z69" s="86">
        <f>SUM('Defect (Total)'!Z69,Planned!Z69,Reconductor!Z69,CTGS!Z69)</f>
        <v>0</v>
      </c>
      <c r="AA69" s="87">
        <f>SUM('Defect (Total)'!AA69,Planned!AA69,Reconductor!AA69,CTGS!AA69)</f>
        <v>0</v>
      </c>
      <c r="AB69" s="87">
        <f>SUM('Defect (Total)'!AB69,Planned!AB69,Reconductor!AB69,CTGS!AB69)</f>
        <v>0</v>
      </c>
      <c r="AC69" s="87">
        <f>SUM('Defect (Total)'!AC69,Planned!AC69,Reconductor!AC69,CTGS!AC69)</f>
        <v>0</v>
      </c>
      <c r="AD69" s="87">
        <f>SUM('Defect (Total)'!AD69,Planned!AD69,Reconductor!AD69,CTGS!AD69)</f>
        <v>0</v>
      </c>
      <c r="AE69" s="87">
        <f>SUM('Defect (Total)'!AE69,Planned!AE69,Reconductor!AE69,CTGS!AE69)</f>
        <v>0</v>
      </c>
      <c r="AF69" s="87">
        <f>SUM('Defect (Total)'!AF69,Planned!AF69,Reconductor!AF69,CTGS!AF69)</f>
        <v>0</v>
      </c>
      <c r="AG69" s="87">
        <f>SUM('Defect (Total)'!AG69,Planned!AG69,Reconductor!AG69,CTGS!AG69)</f>
        <v>0</v>
      </c>
      <c r="AH69" s="87">
        <f>SUM('Defect (Total)'!AH69,Planned!AH69,Reconductor!AH69,CTGS!AH69)</f>
        <v>0</v>
      </c>
      <c r="AI69" s="87">
        <f>SUM('Defect (Total)'!AI69,Planned!AI69,Reconductor!AI69,CTGS!AI69)</f>
        <v>0</v>
      </c>
      <c r="AJ69" s="87">
        <f>SUM('Defect (Total)'!AJ69,Planned!AJ69,Reconductor!AJ69,CTGS!AJ69)</f>
        <v>0</v>
      </c>
      <c r="AK69" s="88">
        <f t="shared" si="17"/>
        <v>0</v>
      </c>
      <c r="AL69" s="89">
        <f t="shared" si="18"/>
        <v>0</v>
      </c>
      <c r="AM69" s="90">
        <f t="shared" si="19"/>
        <v>0</v>
      </c>
      <c r="AN69" s="91" t="str">
        <f t="shared" si="21"/>
        <v/>
      </c>
      <c r="AO69" s="92" t="str">
        <f t="shared" si="22"/>
        <v/>
      </c>
      <c r="AP69" s="92" t="str">
        <f t="shared" si="23"/>
        <v/>
      </c>
      <c r="AQ69" s="92" t="str">
        <f t="shared" si="24"/>
        <v/>
      </c>
      <c r="AR69" s="92" t="str">
        <f t="shared" si="25"/>
        <v/>
      </c>
      <c r="AS69" s="92" t="str">
        <f t="shared" si="26"/>
        <v/>
      </c>
      <c r="AT69" s="92" t="str">
        <f t="shared" si="27"/>
        <v/>
      </c>
      <c r="AU69" s="92" t="str">
        <f t="shared" si="28"/>
        <v/>
      </c>
      <c r="AV69" s="92" t="str">
        <f t="shared" si="29"/>
        <v/>
      </c>
      <c r="AW69" s="92" t="str">
        <f t="shared" si="10"/>
        <v/>
      </c>
      <c r="AX69" s="92" t="str">
        <f t="shared" si="11"/>
        <v/>
      </c>
      <c r="AY69" s="93" t="str">
        <f t="shared" si="30"/>
        <v/>
      </c>
      <c r="AZ69" s="94" t="str">
        <f t="shared" si="31"/>
        <v/>
      </c>
      <c r="BA69" s="95" t="str">
        <f t="shared" si="32"/>
        <v/>
      </c>
      <c r="BB69" s="689">
        <f>SUM('Defect (Total)'!BB69,Planned!CE69,Reconductor!CE69,CTGS!CE69,'Substation 2025$'!CE69*$BL$1,Comms!CA69*$BL$2)</f>
        <v>0</v>
      </c>
      <c r="BC69" s="689">
        <f>SUM('Defect (Total)'!BC69,Planned!CF69,Reconductor!CF69,CTGS!CF69,'Substation 2025$'!CF69*$BL$1,Comms!CB69*$BL$2)</f>
        <v>0</v>
      </c>
      <c r="BD69" s="96">
        <f>SUM('Defect (Total)'!BD69,Planned!CG69,Reconductor!CG69,CTGS!CG69,'Substation 2025$'!CG69*$BL$1,Comms!CC69*$BL$2)</f>
        <v>0</v>
      </c>
      <c r="BE69" s="96">
        <f>SUM('Defect (Total)'!BE69,Planned!CH69,Reconductor!CH69,CTGS!CH69,'Substation 2025$'!CH69*$BL$1,Comms!CD69*$BL$2)</f>
        <v>0</v>
      </c>
      <c r="BF69" s="96">
        <f>SUM('Defect (Total)'!BF69,Planned!CI69,Reconductor!CI69,CTGS!CI69,'Substation 2025$'!CI69*$BL$1,Comms!CE69*$BL$2)</f>
        <v>0</v>
      </c>
      <c r="BG69" s="96">
        <f>SUM('Defect (Total)'!BG69,Planned!CJ69,Reconductor!CJ69,CTGS!CJ69,'Substation 2025$'!CJ69*$BL$1,Comms!CF69*$BL$2)</f>
        <v>0</v>
      </c>
      <c r="BH69" s="96">
        <f>SUM('Defect (Total)'!BH69,Planned!CK69,Reconductor!CK69,CTGS!CK69,'Substation 2025$'!CK69*$BL$1,Comms!CG69*$BL$2)</f>
        <v>0</v>
      </c>
      <c r="BI69" s="286">
        <f>SUM('Defect (Total)'!BI69,Planned!CL69,Reconductor!CL69,CTGS!CL69,'Substation 2025$'!CL69*$BL$1,Comms!CH69*$BL$2)</f>
        <v>0</v>
      </c>
      <c r="BJ69" s="99" t="str">
        <f t="shared" si="20"/>
        <v/>
      </c>
      <c r="BK69" s="992">
        <f>SUM('Defect (Total)'!BK69,Planned!CQ69,Reconductor!CQ69,CTGS!CQ69,'Substation 2025$'!CQ69*$BL$1,Comms!CM69*$BL$2)</f>
        <v>0</v>
      </c>
      <c r="BL69" s="992">
        <f>SUM('Defect (Total)'!BL69,Planned!CR69,Reconductor!CR69,CTGS!CR69,'Substation 2025$'!CR69*$BL$1,Comms!CN69*$BL$2)</f>
        <v>0</v>
      </c>
      <c r="BM69" s="524">
        <f>SUM('Defect (Total)'!BM69,Planned!CS69,Reconductor!CS69,CTGS!CS69,'Substation 2025$'!CS69*$BL$1,Comms!CO69*$BL$2)</f>
        <v>0</v>
      </c>
      <c r="BN69" s="416">
        <f>SUM('Defect (Total)'!BN69,Planned!CT69,Reconductor!CT69,CTGS!CT69,'Substation 2025$'!CT69*$BL$1,Comms!CP69*$BL$2)</f>
        <v>0</v>
      </c>
      <c r="BO69" s="97">
        <f>SUM('Defect (Total)'!BO69,Planned!CU69,Reconductor!CU69,CTGS!CU69,'Substation 2025$'!CU69*$BL$1,Comms!CQ69*$BL$2)</f>
        <v>0</v>
      </c>
      <c r="BP69" s="97">
        <f>SUM('Defect (Total)'!BP69,Planned!CV69,Reconductor!CV69,CTGS!CV69,'Substation 2025$'!CV69*$BL$1,Comms!CR69*$BL$2)</f>
        <v>0</v>
      </c>
      <c r="BQ69" s="97">
        <f>SUM('Defect (Total)'!BQ69,Planned!CW69,Reconductor!CW69,CTGS!CW69,'Substation 2025$'!CW69*$BL$1,Comms!CS69*$BL$2)</f>
        <v>0</v>
      </c>
      <c r="BR69" s="98">
        <f>SUM('Defect (Total)'!BR69,Planned!CX69,Reconductor!CX69,CTGS!CX69,'Substation 2025$'!CX69*$BL$1,Comms!CT69*$BL$2)</f>
        <v>0</v>
      </c>
      <c r="BS69" s="836" t="str">
        <f>'Unit Cost Rate Summary'!AO69</f>
        <v/>
      </c>
      <c r="BT69" s="840" t="str">
        <f t="shared" si="33"/>
        <v/>
      </c>
      <c r="BU69" s="832" t="str">
        <f t="shared" si="34"/>
        <v/>
      </c>
      <c r="BV69" t="s">
        <v>638</v>
      </c>
      <c r="CI69" s="416">
        <f>VLOOKUP($A69,'Distribution Summary'!$A$136:$CG$146,CI$1,0)*BN69</f>
        <v>0</v>
      </c>
      <c r="CJ69" s="97">
        <f>VLOOKUP($A69,'Distribution Summary'!$A$136:$CG$146,CJ$1,0)*BO69</f>
        <v>0</v>
      </c>
      <c r="CK69" s="97">
        <f>VLOOKUP($A69,'Distribution Summary'!$A$136:$CG$146,CK$1,0)*BP69</f>
        <v>0</v>
      </c>
      <c r="CL69" s="97">
        <f>VLOOKUP($A69,'Distribution Summary'!$A$136:$CG$146,CL$1,0)*BQ69</f>
        <v>0</v>
      </c>
      <c r="CM69" s="98">
        <f>VLOOKUP($A69,'Distribution Summary'!$A$136:$CG$146,CM$1,0)*BR69</f>
        <v>0</v>
      </c>
    </row>
    <row r="70" spans="1:91" x14ac:dyDescent="0.25">
      <c r="A70" s="81" t="s">
        <v>138</v>
      </c>
      <c r="B70" s="82" t="s">
        <v>143</v>
      </c>
      <c r="C70" s="83" t="s">
        <v>359</v>
      </c>
      <c r="D70" s="84">
        <f>SUM('Defect (Total)'!D70,Planned!D70,Reconductor!D70,CTGS!D70)</f>
        <v>2210010</v>
      </c>
      <c r="E70" s="85">
        <f>SUM('Defect (Total)'!E70,Planned!E70,Reconductor!E70,CTGS!E70)</f>
        <v>6092017</v>
      </c>
      <c r="F70" s="85">
        <f>SUM('Defect (Total)'!F70,Planned!F70,Reconductor!F70,CTGS!F70)</f>
        <v>3875970</v>
      </c>
      <c r="G70" s="85">
        <f>SUM('Defect (Total)'!G70,Planned!G70,Reconductor!G70,CTGS!G70)</f>
        <v>3568750.4457187224</v>
      </c>
      <c r="H70" s="85">
        <f>SUM('Defect (Total)'!H70,Planned!H70,Reconductor!H70,CTGS!H70)</f>
        <v>3431686</v>
      </c>
      <c r="I70" s="85">
        <f>SUM('Defect (Total)'!I70,Planned!I70,Reconductor!I70,CTGS!I70)</f>
        <v>4691215.8412397569</v>
      </c>
      <c r="J70" s="85">
        <f>SUM('Defect (Total)'!J70,Planned!J70,Reconductor!J70,CTGS!J70)</f>
        <v>8154741.8973542023</v>
      </c>
      <c r="K70" s="85">
        <f>SUM('Defect (Total)'!K70,Planned!K70,Reconductor!K70,CTGS!K70)</f>
        <v>5212263.7938813874</v>
      </c>
      <c r="L70" s="85">
        <f>SUM('Defect (Total)'!L70,Planned!L70,Reconductor!L70,CTGS!L70)</f>
        <v>5677914.2130857818</v>
      </c>
      <c r="M70" s="85">
        <f>SUM('Defect (Total)'!M70,Planned!M70,Reconductor!M70,CTGS!M70)</f>
        <v>6931647.4131537406</v>
      </c>
      <c r="N70" s="85">
        <f>SUM('Defect (Total)'!N70,Planned!N70,Reconductor!N70,CTGS!N70)</f>
        <v>9894472.3679171093</v>
      </c>
      <c r="O70" s="560">
        <f>SUM('Defect (Total)'!O70,Planned!O70,Reconductor!O70,CTGS!O70)</f>
        <v>2973471.9200097267</v>
      </c>
      <c r="P70" s="561">
        <f>SUM('Defect (Total)'!P70,Planned!P70,Reconductor!P70,CTGS!P70)</f>
        <v>8074547.7141919648</v>
      </c>
      <c r="Q70" s="561">
        <f>SUM('Defect (Total)'!Q70,Planned!Q70,Reconductor!Q70,CTGS!Q70)</f>
        <v>5085294.9180468405</v>
      </c>
      <c r="R70" s="561">
        <f>SUM('Defect (Total)'!R70,Planned!R70,Reconductor!R70,CTGS!R70)</f>
        <v>4593398.4745767778</v>
      </c>
      <c r="S70" s="561">
        <f>SUM('Defect (Total)'!S70,Planned!S70,Reconductor!S70,CTGS!S70)</f>
        <v>4327077.3871437814</v>
      </c>
      <c r="T70" s="561">
        <f>SUM('Defect (Total)'!T70,Planned!T70,Reconductor!T70,CTGS!T70)</f>
        <v>5822494.5402971711</v>
      </c>
      <c r="U70" s="561">
        <f>SUM('Defect (Total)'!U70,Planned!U70,Reconductor!U70,CTGS!U70)</f>
        <v>10156632.96268722</v>
      </c>
      <c r="V70" s="561">
        <f>SUM('Defect (Total)'!V70,Planned!V70,Reconductor!V70,CTGS!V70)</f>
        <v>6251374.3948833952</v>
      </c>
      <c r="W70" s="561">
        <f>SUM('Defect (Total)'!W70,Planned!W70,Reconductor!W70,CTGS!W70)</f>
        <v>6415629.9015271543</v>
      </c>
      <c r="X70" s="561">
        <f>SUM('Defect (Total)'!X70,Planned!X70,Reconductor!X70,CTGS!X70)</f>
        <v>7371536.1773363519</v>
      </c>
      <c r="Y70" s="561">
        <f>SUM('Defect (Total)'!Y70,Planned!Y70,Reconductor!Y70,CTGS!Y70)</f>
        <v>10166555.311669348</v>
      </c>
      <c r="Z70" s="86">
        <f>SUM('Defect (Total)'!Z70,Planned!Z70,Reconductor!Z70,CTGS!Z70)</f>
        <v>153</v>
      </c>
      <c r="AA70" s="87">
        <f>SUM('Defect (Total)'!AA70,Planned!AA70,Reconductor!AA70,CTGS!AA70)</f>
        <v>282</v>
      </c>
      <c r="AB70" s="87">
        <f>SUM('Defect (Total)'!AB70,Planned!AB70,Reconductor!AB70,CTGS!AB70)</f>
        <v>195</v>
      </c>
      <c r="AC70" s="87">
        <f>SUM('Defect (Total)'!AC70,Planned!AC70,Reconductor!AC70,CTGS!AC70)</f>
        <v>174</v>
      </c>
      <c r="AD70" s="87">
        <f>SUM('Defect (Total)'!AD70,Planned!AD70,Reconductor!AD70,CTGS!AD70)</f>
        <v>193</v>
      </c>
      <c r="AE70" s="87">
        <f>SUM('Defect (Total)'!AE70,Planned!AE70,Reconductor!AE70,CTGS!AE70)</f>
        <v>254</v>
      </c>
      <c r="AF70" s="87">
        <f>SUM('Defect (Total)'!AF70,Planned!AF70,Reconductor!AF70,CTGS!AF70)</f>
        <v>353</v>
      </c>
      <c r="AG70" s="87">
        <f>SUM('Defect (Total)'!AG70,Planned!AG70,Reconductor!AG70,CTGS!AG70)</f>
        <v>331</v>
      </c>
      <c r="AH70" s="87">
        <f>SUM('Defect (Total)'!AH70,Planned!AH70,Reconductor!AH70,CTGS!AH70)</f>
        <v>257</v>
      </c>
      <c r="AI70" s="87">
        <f>SUM('Defect (Total)'!AI70,Planned!AI70,Reconductor!AI70,CTGS!AI70)</f>
        <v>222</v>
      </c>
      <c r="AJ70" s="87">
        <f>SUM('Defect (Total)'!AJ70,Planned!AJ70,Reconductor!AJ70,CTGS!AJ70)</f>
        <v>191</v>
      </c>
      <c r="AK70" s="88">
        <f t="shared" si="17"/>
        <v>283.39999999999998</v>
      </c>
      <c r="AL70" s="89">
        <f t="shared" si="18"/>
        <v>270</v>
      </c>
      <c r="AM70" s="90">
        <f t="shared" si="19"/>
        <v>222</v>
      </c>
      <c r="AN70" s="91">
        <f t="shared" si="21"/>
        <v>14444.509803921568</v>
      </c>
      <c r="AO70" s="92">
        <f t="shared" si="22"/>
        <v>21602.897163120568</v>
      </c>
      <c r="AP70" s="92">
        <f t="shared" si="23"/>
        <v>19876.76923076923</v>
      </c>
      <c r="AQ70" s="92">
        <f t="shared" si="24"/>
        <v>20510.060032866222</v>
      </c>
      <c r="AR70" s="92">
        <f t="shared" si="25"/>
        <v>17780.756476683939</v>
      </c>
      <c r="AS70" s="92">
        <f t="shared" si="26"/>
        <v>18469.353705668334</v>
      </c>
      <c r="AT70" s="92">
        <f t="shared" si="27"/>
        <v>23101.251833864597</v>
      </c>
      <c r="AU70" s="92">
        <f t="shared" si="28"/>
        <v>15747.020525321412</v>
      </c>
      <c r="AV70" s="92">
        <f t="shared" si="29"/>
        <v>22093.051412785142</v>
      </c>
      <c r="AW70" s="92">
        <f t="shared" si="10"/>
        <v>31223.636996188019</v>
      </c>
      <c r="AX70" s="92">
        <f t="shared" si="11"/>
        <v>51803.520250874921</v>
      </c>
      <c r="AY70" s="93">
        <f t="shared" si="30"/>
        <v>19573.358606312049</v>
      </c>
      <c r="AZ70" s="94">
        <f t="shared" si="31"/>
        <v>20239.022215006771</v>
      </c>
      <c r="BA70" s="95">
        <f t="shared" si="32"/>
        <v>22093.051412785142</v>
      </c>
      <c r="BB70" s="689">
        <f>SUM('Defect (Total)'!BB70,Planned!CE70,Reconductor!CE70,CTGS!CE70,'Substation 2025$'!CE70*$BL$1,Comms!CA70*$BL$2)</f>
        <v>254.86666666666665</v>
      </c>
      <c r="BC70" s="689">
        <f>SUM('Defect (Total)'!BC70,Planned!CF70,Reconductor!CF70,CTGS!CF70,'Substation 2025$'!CF70*$BL$1,Comms!CB70*$BL$2)</f>
        <v>224.89137525497554</v>
      </c>
      <c r="BD70" s="96">
        <f>SUM('Defect (Total)'!BD70,Planned!CG70,Reconductor!CG70,CTGS!CG70,'Substation 2025$'!CG70*$BL$1,Comms!CC70*$BL$2)</f>
        <v>224.89137525497554</v>
      </c>
      <c r="BE70" s="96">
        <f>SUM('Defect (Total)'!BE70,Planned!CH70,Reconductor!CH70,CTGS!CH70,'Substation 2025$'!CH70*$BL$1,Comms!CD70*$BL$2)</f>
        <v>127.82310309867987</v>
      </c>
      <c r="BF70" s="96">
        <f>SUM('Defect (Total)'!BF70,Planned!CI70,Reconductor!CI70,CTGS!CI70,'Substation 2025$'!CI70*$BL$1,Comms!CE70*$BL$2)</f>
        <v>129.38103289108892</v>
      </c>
      <c r="BG70" s="96">
        <f>SUM('Defect (Total)'!BG70,Planned!CJ70,Reconductor!CJ70,CTGS!CJ70,'Substation 2025$'!CJ70*$BL$1,Comms!CF70*$BL$2)</f>
        <v>130.41965275269496</v>
      </c>
      <c r="BH70" s="96">
        <f>SUM('Defect (Total)'!BH70,Planned!CK70,Reconductor!CK70,CTGS!CK70,'Substation 2025$'!CK70*$BL$1,Comms!CG70*$BL$2)</f>
        <v>131.45827261430099</v>
      </c>
      <c r="BI70" s="286">
        <f>SUM('Defect (Total)'!BI70,Planned!CL70,Reconductor!CL70,CTGS!CL70,'Substation 2025$'!CL70*$BL$1,Comms!CH70*$BL$2)</f>
        <v>131.97758254510401</v>
      </c>
      <c r="BJ70" s="99">
        <f t="shared" si="20"/>
        <v>18857.257675718138</v>
      </c>
      <c r="BK70" s="992">
        <f>SUM('Defect (Total)'!BK70,Planned!CQ70,Reconductor!CQ70,CTGS!CQ70,'Substation 2025$'!CQ70*$BL$1,Comms!CM70*$BL$2)</f>
        <v>5456705.0306706382</v>
      </c>
      <c r="BL70" s="992">
        <f>SUM('Defect (Total)'!BL70,Planned!CR70,Reconductor!CR70,CTGS!CR70,'Substation 2025$'!CR70*$BL$1,Comms!CN70*$BL$2)</f>
        <v>4769452.495462589</v>
      </c>
      <c r="BM70" s="524">
        <f>SUM('Defect (Total)'!BM70,Planned!CS70,Reconductor!CS70,CTGS!CS70,'Substation 2025$'!CS70*$BL$1,Comms!CO70*$BL$2)</f>
        <v>4769452.495462589</v>
      </c>
      <c r="BN70" s="416">
        <f>SUM('Defect (Total)'!BN70,Planned!CT70,Reconductor!CT70,CTGS!CT70,'Substation 2025$'!CT70*$BL$1,Comms!CP70*$BL$2)</f>
        <v>2400670.5675090607</v>
      </c>
      <c r="BO70" s="97">
        <f>SUM('Defect (Total)'!BO70,Planned!CU70,Reconductor!CU70,CTGS!CU70,'Substation 2025$'!CU70*$BL$1,Comms!CQ70*$BL$2)</f>
        <v>2436389.6931316955</v>
      </c>
      <c r="BP70" s="97">
        <f>SUM('Defect (Total)'!BP70,Planned!CV70,Reconductor!CV70,CTGS!CV70,'Substation 2025$'!CV70*$BL$1,Comms!CR70*$BL$2)</f>
        <v>2460202.443546785</v>
      </c>
      <c r="BQ70" s="97">
        <f>SUM('Defect (Total)'!BQ70,Planned!CW70,Reconductor!CW70,CTGS!CW70,'Substation 2025$'!CW70*$BL$1,Comms!CS70*$BL$2)</f>
        <v>2484015.1939618746</v>
      </c>
      <c r="BR70" s="98">
        <f>SUM('Defect (Total)'!BR70,Planned!CX70,Reconductor!CX70,CTGS!CX70,'Substation 2025$'!CX70*$BL$1,Comms!CT70*$BL$2)</f>
        <v>2495921.5691694194</v>
      </c>
      <c r="BS70" s="836">
        <f>'Unit Cost Rate Summary'!AO70</f>
        <v>62.486045119682259</v>
      </c>
      <c r="BT70" s="840">
        <f t="shared" si="33"/>
        <v>18055.414919915464</v>
      </c>
      <c r="BU70" s="832">
        <f t="shared" si="34"/>
        <v>90277.074599577318</v>
      </c>
      <c r="BV70" t="s">
        <v>638</v>
      </c>
      <c r="CI70" s="416">
        <f>VLOOKUP($A70,'Distribution Summary'!$A$136:$CG$146,CI$1,0)*BN70</f>
        <v>2735084.8312156051</v>
      </c>
      <c r="CJ70" s="97">
        <f>VLOOKUP($A70,'Distribution Summary'!$A$136:$CG$146,CJ$1,0)*BO70</f>
        <v>2789060.3078919416</v>
      </c>
      <c r="CK70" s="97">
        <f>VLOOKUP($A70,'Distribution Summary'!$A$136:$CG$146,CK$1,0)*BP70</f>
        <v>2829214.2131280778</v>
      </c>
      <c r="CL70" s="97">
        <f>VLOOKUP($A70,'Distribution Summary'!$A$136:$CG$146,CL$1,0)*BQ70</f>
        <v>2871924.1965315654</v>
      </c>
      <c r="CM70" s="98">
        <f>VLOOKUP($A70,'Distribution Summary'!$A$136:$CG$146,CM$1,0)*BR70</f>
        <v>2902940.0251448196</v>
      </c>
    </row>
    <row r="71" spans="1:91" x14ac:dyDescent="0.25">
      <c r="A71" s="81" t="s">
        <v>138</v>
      </c>
      <c r="B71" s="82" t="s">
        <v>145</v>
      </c>
      <c r="C71" s="83" t="s">
        <v>360</v>
      </c>
      <c r="D71" s="84">
        <f>SUM('Defect (Total)'!D71,Planned!D71,Reconductor!D71,CTGS!D71)</f>
        <v>12715638</v>
      </c>
      <c r="E71" s="85">
        <f>SUM('Defect (Total)'!E71,Planned!E71,Reconductor!E71,CTGS!E71)</f>
        <v>15309940</v>
      </c>
      <c r="F71" s="85">
        <f>SUM('Defect (Total)'!F71,Planned!F71,Reconductor!F71,CTGS!F71)</f>
        <v>15988364</v>
      </c>
      <c r="G71" s="85">
        <f>SUM('Defect (Total)'!G71,Planned!G71,Reconductor!G71,CTGS!G71)</f>
        <v>16245684.329737073</v>
      </c>
      <c r="H71" s="85">
        <f>SUM('Defect (Total)'!H71,Planned!H71,Reconductor!H71,CTGS!H71)</f>
        <v>17304723</v>
      </c>
      <c r="I71" s="85">
        <f>SUM('Defect (Total)'!I71,Planned!I71,Reconductor!I71,CTGS!I71)</f>
        <v>20738184.040523149</v>
      </c>
      <c r="J71" s="85">
        <f>SUM('Defect (Total)'!J71,Planned!J71,Reconductor!J71,CTGS!J71)</f>
        <v>30859728.625410751</v>
      </c>
      <c r="K71" s="85">
        <f>SUM('Defect (Total)'!K71,Planned!K71,Reconductor!K71,CTGS!K71)</f>
        <v>21468528.212147921</v>
      </c>
      <c r="L71" s="85">
        <f>SUM('Defect (Total)'!L71,Planned!L71,Reconductor!L71,CTGS!L71)</f>
        <v>26617056.580464449</v>
      </c>
      <c r="M71" s="85">
        <f>SUM('Defect (Total)'!M71,Planned!M71,Reconductor!M71,CTGS!M71)</f>
        <v>27122530.944834404</v>
      </c>
      <c r="N71" s="85">
        <f>SUM('Defect (Total)'!N71,Planned!N71,Reconductor!N71,CTGS!N71)</f>
        <v>26816914.637487449</v>
      </c>
      <c r="O71" s="560">
        <f>SUM('Defect (Total)'!O71,Planned!O71,Reconductor!O71,CTGS!O71)</f>
        <v>17108335.499843277</v>
      </c>
      <c r="P71" s="561">
        <f>SUM('Defect (Total)'!P71,Planned!P71,Reconductor!P71,CTGS!P71)</f>
        <v>20292267.902636543</v>
      </c>
      <c r="Q71" s="561">
        <f>SUM('Defect (Total)'!Q71,Planned!Q71,Reconductor!Q71,CTGS!Q71)</f>
        <v>20976825.464872804</v>
      </c>
      <c r="R71" s="561">
        <f>SUM('Defect (Total)'!R71,Planned!R71,Reconductor!R71,CTGS!R71)</f>
        <v>20910092.41293183</v>
      </c>
      <c r="S71" s="561">
        <f>SUM('Defect (Total)'!S71,Planned!S71,Reconductor!S71,CTGS!S71)</f>
        <v>21819850.529473528</v>
      </c>
      <c r="T71" s="561">
        <f>SUM('Defect (Total)'!T71,Planned!T71,Reconductor!T71,CTGS!T71)</f>
        <v>25739161.752087209</v>
      </c>
      <c r="U71" s="561">
        <f>SUM('Defect (Total)'!U71,Planned!U71,Reconductor!U71,CTGS!U71)</f>
        <v>38435420.878019638</v>
      </c>
      <c r="V71" s="561">
        <f>SUM('Defect (Total)'!V71,Planned!V71,Reconductor!V71,CTGS!V71)</f>
        <v>25748468.010924201</v>
      </c>
      <c r="W71" s="561">
        <f>SUM('Defect (Total)'!W71,Planned!W71,Reconductor!W71,CTGS!W71)</f>
        <v>30075337.118463065</v>
      </c>
      <c r="X71" s="561">
        <f>SUM('Defect (Total)'!X71,Planned!X71,Reconductor!X71,CTGS!X71)</f>
        <v>28843751.876555093</v>
      </c>
      <c r="Y71" s="561">
        <f>SUM('Defect (Total)'!Y71,Planned!Y71,Reconductor!Y71,CTGS!Y71)</f>
        <v>27554339.009966247</v>
      </c>
      <c r="Z71" s="86">
        <f>SUM('Defect (Total)'!Z71,Planned!Z71,Reconductor!Z71,CTGS!Z71)</f>
        <v>410</v>
      </c>
      <c r="AA71" s="87">
        <f>SUM('Defect (Total)'!AA71,Planned!AA71,Reconductor!AA71,CTGS!AA71)</f>
        <v>515</v>
      </c>
      <c r="AB71" s="87">
        <f>SUM('Defect (Total)'!AB71,Planned!AB71,Reconductor!AB71,CTGS!AB71)</f>
        <v>484</v>
      </c>
      <c r="AC71" s="87">
        <f>SUM('Defect (Total)'!AC71,Planned!AC71,Reconductor!AC71,CTGS!AC71)</f>
        <v>381</v>
      </c>
      <c r="AD71" s="87">
        <f>SUM('Defect (Total)'!AD71,Planned!AD71,Reconductor!AD71,CTGS!AD71)</f>
        <v>494</v>
      </c>
      <c r="AE71" s="87">
        <f>SUM('Defect (Total)'!AE71,Planned!AE71,Reconductor!AE71,CTGS!AE71)</f>
        <v>550</v>
      </c>
      <c r="AF71" s="87">
        <f>SUM('Defect (Total)'!AF71,Planned!AF71,Reconductor!AF71,CTGS!AF71)</f>
        <v>776</v>
      </c>
      <c r="AG71" s="87">
        <f>SUM('Defect (Total)'!AG71,Planned!AG71,Reconductor!AG71,CTGS!AG71)</f>
        <v>715</v>
      </c>
      <c r="AH71" s="87">
        <f>SUM('Defect (Total)'!AH71,Planned!AH71,Reconductor!AH71,CTGS!AH71)</f>
        <v>660</v>
      </c>
      <c r="AI71" s="87">
        <f>SUM('Defect (Total)'!AI71,Planned!AI71,Reconductor!AI71,CTGS!AI71)</f>
        <v>471</v>
      </c>
      <c r="AJ71" s="87">
        <f>SUM('Defect (Total)'!AJ71,Planned!AJ71,Reconductor!AJ71,CTGS!AJ71)</f>
        <v>344</v>
      </c>
      <c r="AK71" s="88">
        <f t="shared" si="17"/>
        <v>634.4</v>
      </c>
      <c r="AL71" s="89">
        <f t="shared" si="18"/>
        <v>615.33333333333337</v>
      </c>
      <c r="AM71" s="90">
        <f t="shared" si="19"/>
        <v>471</v>
      </c>
      <c r="AN71" s="91">
        <f t="shared" ref="AN71:AN102" si="35">IFERROR(D71/Z71,"")</f>
        <v>31013.751219512196</v>
      </c>
      <c r="AO71" s="92">
        <f t="shared" ref="AO71:AO102" si="36">IFERROR(E71/AA71,"")</f>
        <v>29728.038834951458</v>
      </c>
      <c r="AP71" s="92">
        <f t="shared" ref="AP71:AP102" si="37">IFERROR(F71/AB71,"")</f>
        <v>33033.809917355371</v>
      </c>
      <c r="AQ71" s="92">
        <f t="shared" ref="AQ71:AQ102" si="38">IFERROR(G71/AC71,"")</f>
        <v>42639.591416632735</v>
      </c>
      <c r="AR71" s="92">
        <f t="shared" ref="AR71:AR102" si="39">IFERROR(H71/AD71,"")</f>
        <v>35029.803643724699</v>
      </c>
      <c r="AS71" s="92">
        <f t="shared" ref="AS71:AS102" si="40">IFERROR(I71/AE71,"")</f>
        <v>37705.789164587542</v>
      </c>
      <c r="AT71" s="92">
        <f t="shared" ref="AT71:AT102" si="41">IFERROR(J71/AF71,"")</f>
        <v>39767.691527591174</v>
      </c>
      <c r="AU71" s="92">
        <f t="shared" ref="AU71:AU102" si="42">IFERROR(K71/AG71,"")</f>
        <v>30025.913583423666</v>
      </c>
      <c r="AV71" s="92">
        <f t="shared" ref="AV71:AV102" si="43">IFERROR(L71/AH71,"")</f>
        <v>40328.873606764319</v>
      </c>
      <c r="AW71" s="92">
        <f t="shared" ref="AW71:AW132" si="44">IFERROR(M71/AI71,"")</f>
        <v>57584.99139030659</v>
      </c>
      <c r="AX71" s="92">
        <f t="shared" ref="AX71:AX132" si="45">IFERROR(N71/AJ71,"")</f>
        <v>77956.147201998392</v>
      </c>
      <c r="AY71" s="93">
        <f t="shared" ref="AY71:AY102" si="46">IFERROR(IF($BA$4="N",SUM(H71:L71)/SUM(AD71:AH71),SUM(I71:M71)/SUM(AE71:AI71)),"")</f>
        <v>36616.031442424501</v>
      </c>
      <c r="AZ71" s="94">
        <f t="shared" ref="AZ71:AZ102" si="47">IFERROR(IF($BA$4="N",SUM(J71:L71)/SUM(AF71:AH71),SUM(K71:M71)/SUM(AG71:AI71)),"")</f>
        <v>36701.679878206938</v>
      </c>
      <c r="BA71" s="95">
        <f t="shared" ref="BA71:BA102" si="48">IFERROR(IF($BA$4="N",L71/AH71,M71/AI71),"")</f>
        <v>40328.873606764319</v>
      </c>
      <c r="BB71" s="689">
        <f>SUM('Defect (Total)'!BB71,Planned!CE71,Reconductor!CE71,CTGS!CE71,'Substation 2025$'!CE71*$BL$1,Comms!CA71*$BL$2)</f>
        <v>589.93333333333339</v>
      </c>
      <c r="BC71" s="689">
        <f>SUM('Defect (Total)'!BC71,Planned!CF71,Reconductor!CF71,CTGS!CF71,'Substation 2025$'!CF71*$BL$1,Comms!CB71*$BL$2)</f>
        <v>541.47668651717083</v>
      </c>
      <c r="BD71" s="96">
        <f>SUM('Defect (Total)'!BD71,Planned!CG71,Reconductor!CG71,CTGS!CG71,'Substation 2025$'!CG71*$BL$1,Comms!CC71*$BL$2)</f>
        <v>541.47668651717083</v>
      </c>
      <c r="BE71" s="96">
        <f>SUM('Defect (Total)'!BE71,Planned!CH71,Reconductor!CH71,CTGS!CH71,'Substation 2025$'!CH71*$BL$1,Comms!CD71*$BL$2)</f>
        <v>285.78159134793799</v>
      </c>
      <c r="BF71" s="96">
        <f>SUM('Defect (Total)'!BF71,Planned!CI71,Reconductor!CI71,CTGS!CI71,'Substation 2025$'!CI71*$BL$1,Comms!CE71*$BL$2)</f>
        <v>287.84869819445146</v>
      </c>
      <c r="BG71" s="96">
        <f>SUM('Defect (Total)'!BG71,Planned!CJ71,Reconductor!CJ71,CTGS!CJ71,'Substation 2025$'!CJ71*$BL$1,Comms!CF71*$BL$2)</f>
        <v>289.22676942546042</v>
      </c>
      <c r="BH71" s="96">
        <f>SUM('Defect (Total)'!BH71,Planned!CK71,Reconductor!CK71,CTGS!CK71,'Substation 2025$'!CK71*$BL$1,Comms!CG71*$BL$2)</f>
        <v>290.60484065646943</v>
      </c>
      <c r="BI71" s="286">
        <f>SUM('Defect (Total)'!BI71,Planned!CL71,Reconductor!CL71,CTGS!CL71,'Substation 2025$'!CL71*$BL$1,Comms!CH71*$BL$2)</f>
        <v>291.29387627197389</v>
      </c>
      <c r="BJ71" s="99">
        <f t="shared" si="20"/>
        <v>34192.065948544274</v>
      </c>
      <c r="BK71" s="992">
        <f>SUM('Defect (Total)'!BK71,Planned!CQ71,Reconductor!CQ71,CTGS!CQ71,'Substation 2025$'!CQ71*$BL$1,Comms!CM71*$BL$2)</f>
        <v>23449991.208648536</v>
      </c>
      <c r="BL71" s="992">
        <f>SUM('Defect (Total)'!BL71,Planned!CR71,Reconductor!CR71,CTGS!CR71,'Substation 2025$'!CR71*$BL$1,Comms!CN71*$BL$2)</f>
        <v>21547447.714095168</v>
      </c>
      <c r="BM71" s="524">
        <f>SUM('Defect (Total)'!BM71,Planned!CS71,Reconductor!CS71,CTGS!CS71,'Substation 2025$'!CS71*$BL$1,Comms!CO71*$BL$2)</f>
        <v>21547447.714095168</v>
      </c>
      <c r="BN71" s="416">
        <f>SUM('Defect (Total)'!BN71,Planned!CT71,Reconductor!CT71,CTGS!CT71,'Substation 2025$'!CT71*$BL$1,Comms!CP71*$BL$2)</f>
        <v>9755391.0120314471</v>
      </c>
      <c r="BO71" s="97">
        <f>SUM('Defect (Total)'!BO71,Planned!CU71,Reconductor!CU71,CTGS!CU71,'Substation 2025$'!CU71*$BL$1,Comms!CQ71*$BL$2)</f>
        <v>9836551.4088352397</v>
      </c>
      <c r="BP71" s="97">
        <f>SUM('Defect (Total)'!BP71,Planned!CV71,Reconductor!CV71,CTGS!CV71,'Substation 2025$'!CV71*$BL$1,Comms!CR71*$BL$2)</f>
        <v>9890658.3400377668</v>
      </c>
      <c r="BQ71" s="97">
        <f>SUM('Defect (Total)'!BQ71,Planned!CW71,Reconductor!CW71,CTGS!CW71,'Substation 2025$'!CW71*$BL$1,Comms!CS71*$BL$2)</f>
        <v>9944765.2712402958</v>
      </c>
      <c r="BR71" s="98">
        <f>SUM('Defect (Total)'!BR71,Planned!CX71,Reconductor!CX71,CTGS!CX71,'Substation 2025$'!CX71*$BL$1,Comms!CT71*$BL$2)</f>
        <v>9971818.7368415594</v>
      </c>
      <c r="BS71" s="836">
        <f>'Unit Cost Rate Summary'!AO71</f>
        <v>113.10851321784205</v>
      </c>
      <c r="BT71" s="840">
        <f t="shared" ref="BT71:BT102" si="49">IFERROR(BS71*SUM(BE72:BI72)/5,"")</f>
        <v>6536.814794352691</v>
      </c>
      <c r="BU71" s="832">
        <f t="shared" ref="BU71:BU102" si="50">IFERROR(BS71*SUM(BE72:BI72),"")</f>
        <v>32684.073971763453</v>
      </c>
      <c r="BV71" t="s">
        <v>638</v>
      </c>
      <c r="CI71" s="416">
        <f>VLOOKUP($A71,'Distribution Summary'!$A$136:$CG$146,CI$1,0)*BN71</f>
        <v>11114320.448919136</v>
      </c>
      <c r="CJ71" s="97">
        <f>VLOOKUP($A71,'Distribution Summary'!$A$136:$CG$146,CJ$1,0)*BO71</f>
        <v>11260405.171742771</v>
      </c>
      <c r="CK71" s="97">
        <f>VLOOKUP($A71,'Distribution Summary'!$A$136:$CG$146,CK$1,0)*BP71</f>
        <v>11374182.32642954</v>
      </c>
      <c r="CL71" s="97">
        <f>VLOOKUP($A71,'Distribution Summary'!$A$136:$CG$146,CL$1,0)*BQ71</f>
        <v>11497760.593705997</v>
      </c>
      <c r="CM71" s="98">
        <f>VLOOKUP($A71,'Distribution Summary'!$A$136:$CG$146,CM$1,0)*BR71</f>
        <v>11597957.280484363</v>
      </c>
    </row>
    <row r="72" spans="1:91" x14ac:dyDescent="0.25">
      <c r="A72" s="81" t="s">
        <v>138</v>
      </c>
      <c r="B72" s="82" t="s">
        <v>147</v>
      </c>
      <c r="C72" s="83" t="s">
        <v>362</v>
      </c>
      <c r="D72" s="84">
        <f>SUM('Defect (Total)'!D72,Planned!D72,Reconductor!D72,CTGS!D72)</f>
        <v>1287156</v>
      </c>
      <c r="E72" s="85">
        <f>SUM('Defect (Total)'!E72,Planned!E72,Reconductor!E72,CTGS!E72)</f>
        <v>3108436</v>
      </c>
      <c r="F72" s="85">
        <f>SUM('Defect (Total)'!F72,Planned!F72,Reconductor!F72,CTGS!F72)</f>
        <v>2692976</v>
      </c>
      <c r="G72" s="85">
        <f>SUM('Defect (Total)'!G72,Planned!G72,Reconductor!G72,CTGS!G72)</f>
        <v>2122399</v>
      </c>
      <c r="H72" s="85">
        <f>SUM('Defect (Total)'!H72,Planned!H72,Reconductor!H72,CTGS!H72)</f>
        <v>2895308</v>
      </c>
      <c r="I72" s="85">
        <f>SUM('Defect (Total)'!I72,Planned!I72,Reconductor!I72,CTGS!I72)</f>
        <v>3850324.922315469</v>
      </c>
      <c r="J72" s="85">
        <f>SUM('Defect (Total)'!J72,Planned!J72,Reconductor!J72,CTGS!J72)</f>
        <v>4745445.1241757814</v>
      </c>
      <c r="K72" s="85">
        <f>SUM('Defect (Total)'!K72,Planned!K72,Reconductor!K72,CTGS!K72)</f>
        <v>4133823.4021656667</v>
      </c>
      <c r="L72" s="85">
        <f>SUM('Defect (Total)'!L72,Planned!L72,Reconductor!L72,CTGS!L72)</f>
        <v>4333136.91693368</v>
      </c>
      <c r="M72" s="85">
        <f>SUM('Defect (Total)'!M72,Planned!M72,Reconductor!M72,CTGS!M72)</f>
        <v>3359075.9354444239</v>
      </c>
      <c r="N72" s="85">
        <f>SUM('Defect (Total)'!N72,Planned!N72,Reconductor!N72,CTGS!N72)</f>
        <v>3080720.9837781172</v>
      </c>
      <c r="O72" s="560">
        <f>SUM('Defect (Total)'!O72,Planned!O72,Reconductor!O72,CTGS!O72)</f>
        <v>1731812.1740046605</v>
      </c>
      <c r="P72" s="561">
        <f>SUM('Defect (Total)'!P72,Planned!P72,Reconductor!P72,CTGS!P72)</f>
        <v>4120017.1960308091</v>
      </c>
      <c r="Q72" s="561">
        <f>SUM('Defect (Total)'!Q72,Planned!Q72,Reconductor!Q72,CTGS!Q72)</f>
        <v>3533199.9905113061</v>
      </c>
      <c r="R72" s="561">
        <f>SUM('Defect (Total)'!R72,Planned!R72,Reconductor!R72,CTGS!R72)</f>
        <v>2731775.3026801762</v>
      </c>
      <c r="S72" s="561">
        <f>SUM('Defect (Total)'!S72,Planned!S72,Reconductor!S72,CTGS!S72)</f>
        <v>3650748.2839678479</v>
      </c>
      <c r="T72" s="561">
        <f>SUM('Defect (Total)'!T72,Planned!T72,Reconductor!T72,CTGS!T72)</f>
        <v>4778824.2104476206</v>
      </c>
      <c r="U72" s="561">
        <f>SUM('Defect (Total)'!U72,Planned!U72,Reconductor!U72,CTGS!U72)</f>
        <v>5910394.8325409051</v>
      </c>
      <c r="V72" s="561">
        <f>SUM('Defect (Total)'!V72,Planned!V72,Reconductor!V72,CTGS!V72)</f>
        <v>4957937.4320240486</v>
      </c>
      <c r="W72" s="561">
        <f>SUM('Defect (Total)'!W72,Planned!W72,Reconductor!W72,CTGS!W72)</f>
        <v>4896129.4109765198</v>
      </c>
      <c r="X72" s="561">
        <f>SUM('Defect (Total)'!X72,Planned!X72,Reconductor!X72,CTGS!X72)</f>
        <v>3572246.0051213978</v>
      </c>
      <c r="Y72" s="561">
        <f>SUM('Defect (Total)'!Y72,Planned!Y72,Reconductor!Y72,CTGS!Y72)</f>
        <v>3165436.1260290118</v>
      </c>
      <c r="Z72" s="86">
        <f>SUM('Defect (Total)'!Z72,Planned!Z72,Reconductor!Z72,CTGS!Z72)</f>
        <v>35</v>
      </c>
      <c r="AA72" s="87">
        <f>SUM('Defect (Total)'!AA72,Planned!AA72,Reconductor!AA72,CTGS!AA72)</f>
        <v>79</v>
      </c>
      <c r="AB72" s="87">
        <f>SUM('Defect (Total)'!AB72,Planned!AB72,Reconductor!AB72,CTGS!AB72)</f>
        <v>59</v>
      </c>
      <c r="AC72" s="87">
        <f>SUM('Defect (Total)'!AC72,Planned!AC72,Reconductor!AC72,CTGS!AC72)</f>
        <v>39</v>
      </c>
      <c r="AD72" s="87">
        <f>SUM('Defect (Total)'!AD72,Planned!AD72,Reconductor!AD72,CTGS!AD72)</f>
        <v>39</v>
      </c>
      <c r="AE72" s="87">
        <f>SUM('Defect (Total)'!AE72,Planned!AE72,Reconductor!AE72,CTGS!AE72)</f>
        <v>45</v>
      </c>
      <c r="AF72" s="87">
        <f>SUM('Defect (Total)'!AF72,Planned!AF72,Reconductor!AF72,CTGS!AF72)</f>
        <v>40</v>
      </c>
      <c r="AG72" s="87">
        <f>SUM('Defect (Total)'!AG72,Planned!AG72,Reconductor!AG72,CTGS!AG72)</f>
        <v>65</v>
      </c>
      <c r="AH72" s="87">
        <f>SUM('Defect (Total)'!AH72,Planned!AH72,Reconductor!AH72,CTGS!AH72)</f>
        <v>74</v>
      </c>
      <c r="AI72" s="87">
        <f>SUM('Defect (Total)'!AI72,Planned!AI72,Reconductor!AI72,CTGS!AI72)</f>
        <v>59</v>
      </c>
      <c r="AJ72" s="87">
        <f>SUM('Defect (Total)'!AJ72,Planned!AJ72,Reconductor!AJ72,CTGS!AJ72)</f>
        <v>69</v>
      </c>
      <c r="AK72" s="88">
        <f t="shared" ref="AK72:AK132" si="51">IFERROR(IF($AM$4="N",SUM(AD72:AH72)/5,SUM(AE72:AI72)/5),"")</f>
        <v>56.6</v>
      </c>
      <c r="AL72" s="89">
        <f t="shared" ref="AL72:AL132" si="52">IFERROR(IF($AM$4="N",SUM(AF72:AH72)/3,SUM(AG72:AI72)/3),"")</f>
        <v>66</v>
      </c>
      <c r="AM72" s="90">
        <f t="shared" ref="AM72:AM132" si="53">IFERROR(IF($AM$4="N",AH72,AI72),"")</f>
        <v>59</v>
      </c>
      <c r="AN72" s="91">
        <f t="shared" si="35"/>
        <v>36775.885714285716</v>
      </c>
      <c r="AO72" s="92">
        <f t="shared" si="36"/>
        <v>39347.291139240508</v>
      </c>
      <c r="AP72" s="92">
        <f t="shared" si="37"/>
        <v>45643.661016949154</v>
      </c>
      <c r="AQ72" s="92">
        <f t="shared" si="38"/>
        <v>54420.48717948718</v>
      </c>
      <c r="AR72" s="92">
        <f t="shared" si="39"/>
        <v>74238.666666666672</v>
      </c>
      <c r="AS72" s="92">
        <f t="shared" si="40"/>
        <v>85562.776051454872</v>
      </c>
      <c r="AT72" s="92">
        <f t="shared" si="41"/>
        <v>118636.12810439453</v>
      </c>
      <c r="AU72" s="92">
        <f t="shared" si="42"/>
        <v>63597.283110241027</v>
      </c>
      <c r="AV72" s="92">
        <f t="shared" si="43"/>
        <v>58555.904282887568</v>
      </c>
      <c r="AW72" s="92">
        <f t="shared" si="44"/>
        <v>56933.490431261424</v>
      </c>
      <c r="AX72" s="92">
        <f t="shared" si="45"/>
        <v>44648.130199682855</v>
      </c>
      <c r="AY72" s="93">
        <f t="shared" si="46"/>
        <v>75886.07743570568</v>
      </c>
      <c r="AZ72" s="94">
        <f t="shared" si="47"/>
        <v>73812.320912151554</v>
      </c>
      <c r="BA72" s="95">
        <f t="shared" si="48"/>
        <v>58555.904282887568</v>
      </c>
      <c r="BB72" s="689">
        <f>SUM('Defect (Total)'!BB72,Planned!CE72,Reconductor!CE72,CTGS!CE72,'Substation 2025$'!CE72*$BL$1,Comms!CA72*$BL$2)</f>
        <v>66</v>
      </c>
      <c r="BC72" s="689">
        <f>SUM('Defect (Total)'!BC72,Planned!CF72,Reconductor!CF72,CTGS!CF72,'Substation 2025$'!CF72*$BL$1,Comms!CB72*$BL$2)</f>
        <v>66</v>
      </c>
      <c r="BD72" s="96">
        <f>SUM('Defect (Total)'!BD72,Planned!CG72,Reconductor!CG72,CTGS!CG72,'Substation 2025$'!CG72*$BL$1,Comms!CC72*$BL$2)</f>
        <v>66</v>
      </c>
      <c r="BE72" s="96">
        <f>SUM('Defect (Total)'!BE72,Planned!CH72,Reconductor!CH72,CTGS!CH72,'Substation 2025$'!CH72*$BL$1,Comms!CD72*$BL$2)</f>
        <v>57.792420821261011</v>
      </c>
      <c r="BF72" s="96">
        <f>SUM('Defect (Total)'!BF72,Planned!CI72,Reconductor!CI72,CTGS!CI72,'Substation 2025$'!CI72*$BL$1,Comms!CE72*$BL$2)</f>
        <v>57.792420821261011</v>
      </c>
      <c r="BG72" s="96">
        <f>SUM('Defect (Total)'!BG72,Planned!CJ72,Reconductor!CJ72,CTGS!CJ72,'Substation 2025$'!CJ72*$BL$1,Comms!CF72*$BL$2)</f>
        <v>57.792420821261011</v>
      </c>
      <c r="BH72" s="96">
        <f>SUM('Defect (Total)'!BH72,Planned!CK72,Reconductor!CK72,CTGS!CK72,'Substation 2025$'!CK72*$BL$1,Comms!CG72*$BL$2)</f>
        <v>57.792420821261011</v>
      </c>
      <c r="BI72" s="286">
        <f>SUM('Defect (Total)'!BI72,Planned!CL72,Reconductor!CL72,CTGS!CL72,'Substation 2025$'!CL72*$BL$1,Comms!CH72*$BL$2)</f>
        <v>57.792420821261011</v>
      </c>
      <c r="BJ72" s="99">
        <f t="shared" ref="BJ72:BJ132" si="54">IFERROR(SUM(BN72:BR72)/SUM(BE72:BI72),"")</f>
        <v>51654.223489758646</v>
      </c>
      <c r="BK72" s="992">
        <f>SUM('Defect (Total)'!BK72,Planned!CQ72,Reconductor!CQ72,CTGS!CQ72,'Substation 2025$'!CQ72*$BL$1,Comms!CM72*$BL$2)</f>
        <v>3942012.0848479234</v>
      </c>
      <c r="BL72" s="992">
        <f>SUM('Defect (Total)'!BL72,Planned!CR72,Reconductor!CR72,CTGS!CR72,'Substation 2025$'!CR72*$BL$1,Comms!CN72*$BL$2)</f>
        <v>3942012.0848479234</v>
      </c>
      <c r="BM72" s="524">
        <f>SUM('Defect (Total)'!BM72,Planned!CS72,Reconductor!CS72,CTGS!CS72,'Substation 2025$'!CS72*$BL$1,Comms!CO72*$BL$2)</f>
        <v>3942012.0848479234</v>
      </c>
      <c r="BN72" s="416">
        <f>SUM('Defect (Total)'!BN72,Planned!CT72,Reconductor!CT72,CTGS!CT72,'Substation 2025$'!CT72*$BL$1,Comms!CP72*$BL$2)</f>
        <v>2985222.621115597</v>
      </c>
      <c r="BO72" s="97">
        <f>SUM('Defect (Total)'!BO72,Planned!CU72,Reconductor!CU72,CTGS!CU72,'Substation 2025$'!CU72*$BL$1,Comms!CQ72*$BL$2)</f>
        <v>2985222.621115597</v>
      </c>
      <c r="BP72" s="97">
        <f>SUM('Defect (Total)'!BP72,Planned!CV72,Reconductor!CV72,CTGS!CV72,'Substation 2025$'!CV72*$BL$1,Comms!CR72*$BL$2)</f>
        <v>2985222.621115597</v>
      </c>
      <c r="BQ72" s="97">
        <f>SUM('Defect (Total)'!BQ72,Planned!CW72,Reconductor!CW72,CTGS!CW72,'Substation 2025$'!CW72*$BL$1,Comms!CS72*$BL$2)</f>
        <v>2985222.621115597</v>
      </c>
      <c r="BR72" s="98">
        <f>SUM('Defect (Total)'!BR72,Planned!CX72,Reconductor!CX72,CTGS!CX72,'Substation 2025$'!CX72*$BL$1,Comms!CT72*$BL$2)</f>
        <v>2985222.621115597</v>
      </c>
      <c r="BS72" s="836">
        <f>'Unit Cost Rate Summary'!AO72</f>
        <v>170.67036223595773</v>
      </c>
      <c r="BT72" s="840">
        <f t="shared" si="49"/>
        <v>0</v>
      </c>
      <c r="BU72" s="832">
        <f t="shared" si="50"/>
        <v>0</v>
      </c>
      <c r="BV72" t="s">
        <v>638</v>
      </c>
      <c r="CI72" s="416">
        <f>VLOOKUP($A72,'Distribution Summary'!$A$136:$CG$146,CI$1,0)*BN72</f>
        <v>3401065.1937499302</v>
      </c>
      <c r="CJ72" s="97">
        <f>VLOOKUP($A72,'Distribution Summary'!$A$136:$CG$146,CJ$1,0)*BO72</f>
        <v>3417337.5245536338</v>
      </c>
      <c r="CK72" s="97">
        <f>VLOOKUP($A72,'Distribution Summary'!$A$136:$CG$146,CK$1,0)*BP72</f>
        <v>3432983.4486448388</v>
      </c>
      <c r="CL72" s="97">
        <f>VLOOKUP($A72,'Distribution Summary'!$A$136:$CG$146,CL$1,0)*BQ72</f>
        <v>3451401.2226878717</v>
      </c>
      <c r="CM72" s="98">
        <f>VLOOKUP($A72,'Distribution Summary'!$A$136:$CG$146,CM$1,0)*BR72</f>
        <v>3472033.07101032</v>
      </c>
    </row>
    <row r="73" spans="1:91" x14ac:dyDescent="0.25">
      <c r="A73" s="81" t="s">
        <v>138</v>
      </c>
      <c r="B73" s="82" t="s">
        <v>149</v>
      </c>
      <c r="C73" s="83" t="s">
        <v>363</v>
      </c>
      <c r="D73" s="84">
        <f>SUM('Defect (Total)'!D73,Planned!D73,Reconductor!D73,CTGS!D73)</f>
        <v>0</v>
      </c>
      <c r="E73" s="85">
        <f>SUM('Defect (Total)'!E73,Planned!E73,Reconductor!E73,CTGS!E73)</f>
        <v>0</v>
      </c>
      <c r="F73" s="85">
        <f>SUM('Defect (Total)'!F73,Planned!F73,Reconductor!F73,CTGS!F73)</f>
        <v>0</v>
      </c>
      <c r="G73" s="85">
        <f>SUM('Defect (Total)'!G73,Planned!G73,Reconductor!G73,CTGS!G73)</f>
        <v>0</v>
      </c>
      <c r="H73" s="85">
        <f>SUM('Defect (Total)'!H73,Planned!H73,Reconductor!H73,CTGS!H73)</f>
        <v>0</v>
      </c>
      <c r="I73" s="85">
        <f>SUM('Defect (Total)'!I73,Planned!I73,Reconductor!I73,CTGS!I73)</f>
        <v>0</v>
      </c>
      <c r="J73" s="85">
        <f>SUM('Defect (Total)'!J73,Planned!J73,Reconductor!J73,CTGS!J73)</f>
        <v>0</v>
      </c>
      <c r="K73" s="85">
        <f>SUM('Defect (Total)'!K73,Planned!K73,Reconductor!K73,CTGS!K73)</f>
        <v>0</v>
      </c>
      <c r="L73" s="85">
        <f>SUM('Defect (Total)'!L73,Planned!L73,Reconductor!L73,CTGS!L73)</f>
        <v>0</v>
      </c>
      <c r="M73" s="85">
        <f>SUM('Defect (Total)'!M73,Planned!M73,Reconductor!M73,CTGS!M73)</f>
        <v>0</v>
      </c>
      <c r="N73" s="85">
        <f>SUM('Defect (Total)'!N73,Planned!N73,Reconductor!N73,CTGS!N73)</f>
        <v>0</v>
      </c>
      <c r="O73" s="560">
        <f>SUM('Defect (Total)'!O73,Planned!O73,Reconductor!O73,CTGS!O73)</f>
        <v>0</v>
      </c>
      <c r="P73" s="561">
        <f>SUM('Defect (Total)'!P73,Planned!P73,Reconductor!P73,CTGS!P73)</f>
        <v>0</v>
      </c>
      <c r="Q73" s="561">
        <f>SUM('Defect (Total)'!Q73,Planned!Q73,Reconductor!Q73,CTGS!Q73)</f>
        <v>0</v>
      </c>
      <c r="R73" s="561">
        <f>SUM('Defect (Total)'!R73,Planned!R73,Reconductor!R73,CTGS!R73)</f>
        <v>0</v>
      </c>
      <c r="S73" s="561">
        <f>SUM('Defect (Total)'!S73,Planned!S73,Reconductor!S73,CTGS!S73)</f>
        <v>0</v>
      </c>
      <c r="T73" s="561">
        <f>SUM('Defect (Total)'!T73,Planned!T73,Reconductor!T73,CTGS!T73)</f>
        <v>0</v>
      </c>
      <c r="U73" s="561">
        <f>SUM('Defect (Total)'!U73,Planned!U73,Reconductor!U73,CTGS!U73)</f>
        <v>0</v>
      </c>
      <c r="V73" s="561">
        <f>SUM('Defect (Total)'!V73,Planned!V73,Reconductor!V73,CTGS!V73)</f>
        <v>0</v>
      </c>
      <c r="W73" s="561">
        <f>SUM('Defect (Total)'!W73,Planned!W73,Reconductor!W73,CTGS!W73)</f>
        <v>0</v>
      </c>
      <c r="X73" s="561">
        <f>SUM('Defect (Total)'!X73,Planned!X73,Reconductor!X73,CTGS!X73)</f>
        <v>0</v>
      </c>
      <c r="Y73" s="561">
        <f>SUM('Defect (Total)'!Y73,Planned!Y73,Reconductor!Y73,CTGS!Y73)</f>
        <v>0</v>
      </c>
      <c r="Z73" s="86">
        <f>SUM('Defect (Total)'!Z73,Planned!Z73,Reconductor!Z73,CTGS!Z73)</f>
        <v>0</v>
      </c>
      <c r="AA73" s="87">
        <f>SUM('Defect (Total)'!AA73,Planned!AA73,Reconductor!AA73,CTGS!AA73)</f>
        <v>0</v>
      </c>
      <c r="AB73" s="87">
        <f>SUM('Defect (Total)'!AB73,Planned!AB73,Reconductor!AB73,CTGS!AB73)</f>
        <v>0</v>
      </c>
      <c r="AC73" s="87">
        <f>SUM('Defect (Total)'!AC73,Planned!AC73,Reconductor!AC73,CTGS!AC73)</f>
        <v>0</v>
      </c>
      <c r="AD73" s="87">
        <f>SUM('Defect (Total)'!AD73,Planned!AD73,Reconductor!AD73,CTGS!AD73)</f>
        <v>0</v>
      </c>
      <c r="AE73" s="87">
        <f>SUM('Defect (Total)'!AE73,Planned!AE73,Reconductor!AE73,CTGS!AE73)</f>
        <v>0</v>
      </c>
      <c r="AF73" s="87">
        <f>SUM('Defect (Total)'!AF73,Planned!AF73,Reconductor!AF73,CTGS!AF73)</f>
        <v>0</v>
      </c>
      <c r="AG73" s="87">
        <f>SUM('Defect (Total)'!AG73,Planned!AG73,Reconductor!AG73,CTGS!AG73)</f>
        <v>0</v>
      </c>
      <c r="AH73" s="87">
        <f>SUM('Defect (Total)'!AH73,Planned!AH73,Reconductor!AH73,CTGS!AH73)</f>
        <v>0</v>
      </c>
      <c r="AI73" s="87">
        <f>SUM('Defect (Total)'!AI73,Planned!AI73,Reconductor!AI73,CTGS!AI73)</f>
        <v>0</v>
      </c>
      <c r="AJ73" s="87">
        <f>SUM('Defect (Total)'!AJ73,Planned!AJ73,Reconductor!AJ73,CTGS!AJ73)</f>
        <v>0</v>
      </c>
      <c r="AK73" s="88">
        <f t="shared" si="51"/>
        <v>0</v>
      </c>
      <c r="AL73" s="89">
        <f t="shared" si="52"/>
        <v>0</v>
      </c>
      <c r="AM73" s="90">
        <f t="shared" si="53"/>
        <v>0</v>
      </c>
      <c r="AN73" s="91" t="str">
        <f t="shared" si="35"/>
        <v/>
      </c>
      <c r="AO73" s="92" t="str">
        <f t="shared" si="36"/>
        <v/>
      </c>
      <c r="AP73" s="92" t="str">
        <f t="shared" si="37"/>
        <v/>
      </c>
      <c r="AQ73" s="92" t="str">
        <f t="shared" si="38"/>
        <v/>
      </c>
      <c r="AR73" s="92" t="str">
        <f t="shared" si="39"/>
        <v/>
      </c>
      <c r="AS73" s="92" t="str">
        <f t="shared" si="40"/>
        <v/>
      </c>
      <c r="AT73" s="92" t="str">
        <f t="shared" si="41"/>
        <v/>
      </c>
      <c r="AU73" s="92" t="str">
        <f t="shared" si="42"/>
        <v/>
      </c>
      <c r="AV73" s="92" t="str">
        <f t="shared" si="43"/>
        <v/>
      </c>
      <c r="AW73" s="92" t="str">
        <f t="shared" si="44"/>
        <v/>
      </c>
      <c r="AX73" s="92" t="str">
        <f t="shared" si="45"/>
        <v/>
      </c>
      <c r="AY73" s="93" t="str">
        <f t="shared" si="46"/>
        <v/>
      </c>
      <c r="AZ73" s="94" t="str">
        <f t="shared" si="47"/>
        <v/>
      </c>
      <c r="BA73" s="95" t="str">
        <f t="shared" si="48"/>
        <v/>
      </c>
      <c r="BB73" s="689">
        <f>SUM('Defect (Total)'!BB73,Planned!CE73,Reconductor!CE73,CTGS!CE73,'Substation 2025$'!CE73*$BL$1,Comms!CA73*$BL$2)</f>
        <v>0</v>
      </c>
      <c r="BC73" s="689">
        <f>SUM('Defect (Total)'!BC73,Planned!CF73,Reconductor!CF73,CTGS!CF73,'Substation 2025$'!CF73*$BL$1,Comms!CB73*$BL$2)</f>
        <v>0</v>
      </c>
      <c r="BD73" s="96">
        <f>SUM('Defect (Total)'!BD73,Planned!CG73,Reconductor!CG73,CTGS!CG73,'Substation 2025$'!CG73*$BL$1,Comms!CC73*$BL$2)</f>
        <v>0</v>
      </c>
      <c r="BE73" s="96">
        <f>SUM('Defect (Total)'!BE73,Planned!CH73,Reconductor!CH73,CTGS!CH73,'Substation 2025$'!CH73*$BL$1,Comms!CD73*$BL$2)</f>
        <v>0</v>
      </c>
      <c r="BF73" s="96">
        <f>SUM('Defect (Total)'!BF73,Planned!CI73,Reconductor!CI73,CTGS!CI73,'Substation 2025$'!CI73*$BL$1,Comms!CE73*$BL$2)</f>
        <v>0</v>
      </c>
      <c r="BG73" s="96">
        <f>SUM('Defect (Total)'!BG73,Planned!CJ73,Reconductor!CJ73,CTGS!CJ73,'Substation 2025$'!CJ73*$BL$1,Comms!CF73*$BL$2)</f>
        <v>0</v>
      </c>
      <c r="BH73" s="96">
        <f>SUM('Defect (Total)'!BH73,Planned!CK73,Reconductor!CK73,CTGS!CK73,'Substation 2025$'!CK73*$BL$1,Comms!CG73*$BL$2)</f>
        <v>0</v>
      </c>
      <c r="BI73" s="286">
        <f>SUM('Defect (Total)'!BI73,Planned!CL73,Reconductor!CL73,CTGS!CL73,'Substation 2025$'!CL73*$BL$1,Comms!CH73*$BL$2)</f>
        <v>0</v>
      </c>
      <c r="BJ73" s="99" t="str">
        <f t="shared" si="54"/>
        <v/>
      </c>
      <c r="BK73" s="992">
        <f>SUM('Defect (Total)'!BK73,Planned!CQ73,Reconductor!CQ73,CTGS!CQ73,'Substation 2025$'!CQ73*$BL$1,Comms!CM73*$BL$2)</f>
        <v>0</v>
      </c>
      <c r="BL73" s="992">
        <f>SUM('Defect (Total)'!BL73,Planned!CR73,Reconductor!CR73,CTGS!CR73,'Substation 2025$'!CR73*$BL$1,Comms!CN73*$BL$2)</f>
        <v>0</v>
      </c>
      <c r="BM73" s="524">
        <f>SUM('Defect (Total)'!BM73,Planned!CS73,Reconductor!CS73,CTGS!CS73,'Substation 2025$'!CS73*$BL$1,Comms!CO73*$BL$2)</f>
        <v>0</v>
      </c>
      <c r="BN73" s="416">
        <f>SUM('Defect (Total)'!BN73,Planned!CT73,Reconductor!CT73,CTGS!CT73,'Substation 2025$'!CT73*$BL$1,Comms!CP73*$BL$2)</f>
        <v>0</v>
      </c>
      <c r="BO73" s="97">
        <f>SUM('Defect (Total)'!BO73,Planned!CU73,Reconductor!CU73,CTGS!CU73,'Substation 2025$'!CU73*$BL$1,Comms!CQ73*$BL$2)</f>
        <v>0</v>
      </c>
      <c r="BP73" s="97">
        <f>SUM('Defect (Total)'!BP73,Planned!CV73,Reconductor!CV73,CTGS!CV73,'Substation 2025$'!CV73*$BL$1,Comms!CR73*$BL$2)</f>
        <v>0</v>
      </c>
      <c r="BQ73" s="97">
        <f>SUM('Defect (Total)'!BQ73,Planned!CW73,Reconductor!CW73,CTGS!CW73,'Substation 2025$'!CW73*$BL$1,Comms!CS73*$BL$2)</f>
        <v>0</v>
      </c>
      <c r="BR73" s="98">
        <f>SUM('Defect (Total)'!BR73,Planned!CX73,Reconductor!CX73,CTGS!CX73,'Substation 2025$'!CX73*$BL$1,Comms!CT73*$BL$2)</f>
        <v>0</v>
      </c>
      <c r="BS73" s="836" t="str">
        <f>'Unit Cost Rate Summary'!AO73</f>
        <v/>
      </c>
      <c r="BT73" s="840" t="str">
        <f t="shared" si="49"/>
        <v/>
      </c>
      <c r="BU73" s="832" t="str">
        <f t="shared" si="50"/>
        <v/>
      </c>
      <c r="BV73" s="748" t="s">
        <v>638</v>
      </c>
      <c r="BW73" s="748"/>
      <c r="BX73" s="748"/>
      <c r="BY73" s="748"/>
      <c r="BZ73" s="748"/>
      <c r="CA73" s="748"/>
      <c r="CB73" s="748"/>
      <c r="CC73" s="748"/>
      <c r="CD73" s="748"/>
      <c r="CE73" s="748"/>
      <c r="CF73" s="748"/>
      <c r="CG73" s="748"/>
      <c r="CH73" s="748"/>
      <c r="CI73" s="416">
        <f>VLOOKUP($A73,'Distribution Summary'!$A$136:$CG$146,CI$1,0)*BN73</f>
        <v>0</v>
      </c>
      <c r="CJ73" s="97">
        <f>VLOOKUP($A73,'Distribution Summary'!$A$136:$CG$146,CJ$1,0)*BO73</f>
        <v>0</v>
      </c>
      <c r="CK73" s="97">
        <f>VLOOKUP($A73,'Distribution Summary'!$A$136:$CG$146,CK$1,0)*BP73</f>
        <v>0</v>
      </c>
      <c r="CL73" s="97">
        <f>VLOOKUP($A73,'Distribution Summary'!$A$136:$CG$146,CL$1,0)*BQ73</f>
        <v>0</v>
      </c>
      <c r="CM73" s="98">
        <f>VLOOKUP($A73,'Distribution Summary'!$A$136:$CG$146,CM$1,0)*BR73</f>
        <v>0</v>
      </c>
    </row>
    <row r="74" spans="1:91" x14ac:dyDescent="0.25">
      <c r="A74" s="81" t="s">
        <v>138</v>
      </c>
      <c r="B74" s="82" t="s">
        <v>151</v>
      </c>
      <c r="C74" s="83" t="s">
        <v>364</v>
      </c>
      <c r="D74" s="84">
        <f>SUM('Defect (Total)'!D74,Planned!D74,Reconductor!D74,CTGS!D74)</f>
        <v>0</v>
      </c>
      <c r="E74" s="85">
        <f>SUM('Defect (Total)'!E74,Planned!E74,Reconductor!E74,CTGS!E74)</f>
        <v>0</v>
      </c>
      <c r="F74" s="85">
        <f>SUM('Defect (Total)'!F74,Planned!F74,Reconductor!F74,CTGS!F74)</f>
        <v>0</v>
      </c>
      <c r="G74" s="85">
        <f>SUM('Defect (Total)'!G74,Planned!G74,Reconductor!G74,CTGS!G74)</f>
        <v>0</v>
      </c>
      <c r="H74" s="85">
        <f>SUM('Defect (Total)'!H74,Planned!H74,Reconductor!H74,CTGS!H74)</f>
        <v>0</v>
      </c>
      <c r="I74" s="85">
        <f>SUM('Defect (Total)'!I74,Planned!I74,Reconductor!I74,CTGS!I74)</f>
        <v>0</v>
      </c>
      <c r="J74" s="85">
        <f>SUM('Defect (Total)'!J74,Planned!J74,Reconductor!J74,CTGS!J74)</f>
        <v>0</v>
      </c>
      <c r="K74" s="85">
        <f>SUM('Defect (Total)'!K74,Planned!K74,Reconductor!K74,CTGS!K74)</f>
        <v>0</v>
      </c>
      <c r="L74" s="85">
        <f>SUM('Defect (Total)'!L74,Planned!L74,Reconductor!L74,CTGS!L74)</f>
        <v>0</v>
      </c>
      <c r="M74" s="85">
        <f>SUM('Defect (Total)'!M74,Planned!M74,Reconductor!M74,CTGS!M74)</f>
        <v>0</v>
      </c>
      <c r="N74" s="85">
        <f>SUM('Defect (Total)'!N74,Planned!N74,Reconductor!N74,CTGS!N74)</f>
        <v>0</v>
      </c>
      <c r="O74" s="560">
        <f>SUM('Defect (Total)'!O74,Planned!O74,Reconductor!O74,CTGS!O74)</f>
        <v>0</v>
      </c>
      <c r="P74" s="561">
        <f>SUM('Defect (Total)'!P74,Planned!P74,Reconductor!P74,CTGS!P74)</f>
        <v>0</v>
      </c>
      <c r="Q74" s="561">
        <f>SUM('Defect (Total)'!Q74,Planned!Q74,Reconductor!Q74,CTGS!Q74)</f>
        <v>0</v>
      </c>
      <c r="R74" s="561">
        <f>SUM('Defect (Total)'!R74,Planned!R74,Reconductor!R74,CTGS!R74)</f>
        <v>0</v>
      </c>
      <c r="S74" s="561">
        <f>SUM('Defect (Total)'!S74,Planned!S74,Reconductor!S74,CTGS!S74)</f>
        <v>0</v>
      </c>
      <c r="T74" s="561">
        <f>SUM('Defect (Total)'!T74,Planned!T74,Reconductor!T74,CTGS!T74)</f>
        <v>0</v>
      </c>
      <c r="U74" s="561">
        <f>SUM('Defect (Total)'!U74,Planned!U74,Reconductor!U74,CTGS!U74)</f>
        <v>0</v>
      </c>
      <c r="V74" s="561">
        <f>SUM('Defect (Total)'!V74,Planned!V74,Reconductor!V74,CTGS!V74)</f>
        <v>0</v>
      </c>
      <c r="W74" s="561">
        <f>SUM('Defect (Total)'!W74,Planned!W74,Reconductor!W74,CTGS!W74)</f>
        <v>0</v>
      </c>
      <c r="X74" s="561">
        <f>SUM('Defect (Total)'!X74,Planned!X74,Reconductor!X74,CTGS!X74)</f>
        <v>0</v>
      </c>
      <c r="Y74" s="561">
        <f>SUM('Defect (Total)'!Y74,Planned!Y74,Reconductor!Y74,CTGS!Y74)</f>
        <v>0</v>
      </c>
      <c r="Z74" s="86">
        <f>SUM('Defect (Total)'!Z74,Planned!Z74,Reconductor!Z74,CTGS!Z74)</f>
        <v>0</v>
      </c>
      <c r="AA74" s="87">
        <f>SUM('Defect (Total)'!AA74,Planned!AA74,Reconductor!AA74,CTGS!AA74)</f>
        <v>0</v>
      </c>
      <c r="AB74" s="87">
        <f>SUM('Defect (Total)'!AB74,Planned!AB74,Reconductor!AB74,CTGS!AB74)</f>
        <v>0</v>
      </c>
      <c r="AC74" s="87">
        <f>SUM('Defect (Total)'!AC74,Planned!AC74,Reconductor!AC74,CTGS!AC74)</f>
        <v>0</v>
      </c>
      <c r="AD74" s="87">
        <f>SUM('Defect (Total)'!AD74,Planned!AD74,Reconductor!AD74,CTGS!AD74)</f>
        <v>0</v>
      </c>
      <c r="AE74" s="87">
        <f>SUM('Defect (Total)'!AE74,Planned!AE74,Reconductor!AE74,CTGS!AE74)</f>
        <v>0</v>
      </c>
      <c r="AF74" s="87">
        <f>SUM('Defect (Total)'!AF74,Planned!AF74,Reconductor!AF74,CTGS!AF74)</f>
        <v>0</v>
      </c>
      <c r="AG74" s="87">
        <f>SUM('Defect (Total)'!AG74,Planned!AG74,Reconductor!AG74,CTGS!AG74)</f>
        <v>0</v>
      </c>
      <c r="AH74" s="87">
        <f>SUM('Defect (Total)'!AH74,Planned!AH74,Reconductor!AH74,CTGS!AH74)</f>
        <v>0</v>
      </c>
      <c r="AI74" s="87">
        <f>SUM('Defect (Total)'!AI74,Planned!AI74,Reconductor!AI74,CTGS!AI74)</f>
        <v>0</v>
      </c>
      <c r="AJ74" s="87">
        <f>SUM('Defect (Total)'!AJ74,Planned!AJ74,Reconductor!AJ74,CTGS!AJ74)</f>
        <v>0</v>
      </c>
      <c r="AK74" s="88">
        <f t="shared" si="51"/>
        <v>0</v>
      </c>
      <c r="AL74" s="89">
        <f t="shared" si="52"/>
        <v>0</v>
      </c>
      <c r="AM74" s="90">
        <f t="shared" si="53"/>
        <v>0</v>
      </c>
      <c r="AN74" s="91" t="str">
        <f t="shared" si="35"/>
        <v/>
      </c>
      <c r="AO74" s="92" t="str">
        <f t="shared" si="36"/>
        <v/>
      </c>
      <c r="AP74" s="92" t="str">
        <f t="shared" si="37"/>
        <v/>
      </c>
      <c r="AQ74" s="92" t="str">
        <f t="shared" si="38"/>
        <v/>
      </c>
      <c r="AR74" s="92" t="str">
        <f t="shared" si="39"/>
        <v/>
      </c>
      <c r="AS74" s="92" t="str">
        <f t="shared" si="40"/>
        <v/>
      </c>
      <c r="AT74" s="92" t="str">
        <f t="shared" si="41"/>
        <v/>
      </c>
      <c r="AU74" s="92" t="str">
        <f t="shared" si="42"/>
        <v/>
      </c>
      <c r="AV74" s="92" t="str">
        <f t="shared" si="43"/>
        <v/>
      </c>
      <c r="AW74" s="92" t="str">
        <f t="shared" si="44"/>
        <v/>
      </c>
      <c r="AX74" s="92" t="str">
        <f t="shared" si="45"/>
        <v/>
      </c>
      <c r="AY74" s="93" t="str">
        <f t="shared" si="46"/>
        <v/>
      </c>
      <c r="AZ74" s="94" t="str">
        <f t="shared" si="47"/>
        <v/>
      </c>
      <c r="BA74" s="95" t="str">
        <f t="shared" si="48"/>
        <v/>
      </c>
      <c r="BB74" s="689">
        <f>SUM('Defect (Total)'!BB74,Planned!CE74,Reconductor!CE74,CTGS!CE74,'Substation 2025$'!CE74*$BL$1,Comms!CA74*$BL$2)</f>
        <v>0</v>
      </c>
      <c r="BC74" s="689">
        <f>SUM('Defect (Total)'!BC74,Planned!CF74,Reconductor!CF74,CTGS!CF74,'Substation 2025$'!CF74*$BL$1,Comms!CB74*$BL$2)</f>
        <v>0</v>
      </c>
      <c r="BD74" s="96">
        <f>SUM('Defect (Total)'!BD74,Planned!CG74,Reconductor!CG74,CTGS!CG74,'Substation 2025$'!CG74*$BL$1,Comms!CC74*$BL$2)</f>
        <v>0</v>
      </c>
      <c r="BE74" s="96">
        <f>SUM('Defect (Total)'!BE74,Planned!CH74,Reconductor!CH74,CTGS!CH74,'Substation 2025$'!CH74*$BL$1,Comms!CD74*$BL$2)</f>
        <v>0</v>
      </c>
      <c r="BF74" s="96">
        <f>SUM('Defect (Total)'!BF74,Planned!CI74,Reconductor!CI74,CTGS!CI74,'Substation 2025$'!CI74*$BL$1,Comms!CE74*$BL$2)</f>
        <v>0</v>
      </c>
      <c r="BG74" s="96">
        <f>SUM('Defect (Total)'!BG74,Planned!CJ74,Reconductor!CJ74,CTGS!CJ74,'Substation 2025$'!CJ74*$BL$1,Comms!CF74*$BL$2)</f>
        <v>0</v>
      </c>
      <c r="BH74" s="96">
        <f>SUM('Defect (Total)'!BH74,Planned!CK74,Reconductor!CK74,CTGS!CK74,'Substation 2025$'!CK74*$BL$1,Comms!CG74*$BL$2)</f>
        <v>0</v>
      </c>
      <c r="BI74" s="286">
        <f>SUM('Defect (Total)'!BI74,Planned!CL74,Reconductor!CL74,CTGS!CL74,'Substation 2025$'!CL74*$BL$1,Comms!CH74*$BL$2)</f>
        <v>0</v>
      </c>
      <c r="BJ74" s="99" t="str">
        <f t="shared" si="54"/>
        <v/>
      </c>
      <c r="BK74" s="992">
        <f>SUM('Defect (Total)'!BK74,Planned!CQ74,Reconductor!CQ74,CTGS!CQ74,'Substation 2025$'!CQ74*$BL$1,Comms!CM74*$BL$2)</f>
        <v>0</v>
      </c>
      <c r="BL74" s="992">
        <f>SUM('Defect (Total)'!BL74,Planned!CR74,Reconductor!CR74,CTGS!CR74,'Substation 2025$'!CR74*$BL$1,Comms!CN74*$BL$2)</f>
        <v>0</v>
      </c>
      <c r="BM74" s="524">
        <f>SUM('Defect (Total)'!BM74,Planned!CS74,Reconductor!CS74,CTGS!CS74,'Substation 2025$'!CS74*$BL$1,Comms!CO74*$BL$2)</f>
        <v>0</v>
      </c>
      <c r="BN74" s="416">
        <f>SUM('Defect (Total)'!BN74,Planned!CT74,Reconductor!CT74,CTGS!CT74,'Substation 2025$'!CT74*$BL$1,Comms!CP74*$BL$2)</f>
        <v>0</v>
      </c>
      <c r="BO74" s="97">
        <f>SUM('Defect (Total)'!BO74,Planned!CU74,Reconductor!CU74,CTGS!CU74,'Substation 2025$'!CU74*$BL$1,Comms!CQ74*$BL$2)</f>
        <v>0</v>
      </c>
      <c r="BP74" s="97">
        <f>SUM('Defect (Total)'!BP74,Planned!CV74,Reconductor!CV74,CTGS!CV74,'Substation 2025$'!CV74*$BL$1,Comms!CR74*$BL$2)</f>
        <v>0</v>
      </c>
      <c r="BQ74" s="97">
        <f>SUM('Defect (Total)'!BQ74,Planned!CW74,Reconductor!CW74,CTGS!CW74,'Substation 2025$'!CW74*$BL$1,Comms!CS74*$BL$2)</f>
        <v>0</v>
      </c>
      <c r="BR74" s="98">
        <f>SUM('Defect (Total)'!BR74,Planned!CX74,Reconductor!CX74,CTGS!CX74,'Substation 2025$'!CX74*$BL$1,Comms!CT74*$BL$2)</f>
        <v>0</v>
      </c>
      <c r="BS74" s="836" t="str">
        <f>'Unit Cost Rate Summary'!AO74</f>
        <v/>
      </c>
      <c r="BT74" s="840" t="str">
        <f t="shared" si="49"/>
        <v/>
      </c>
      <c r="BU74" s="832" t="str">
        <f t="shared" si="50"/>
        <v/>
      </c>
      <c r="BV74" t="s">
        <v>638</v>
      </c>
      <c r="CI74" s="416">
        <f>VLOOKUP($A74,'Distribution Summary'!$A$136:$CG$146,CI$1,0)*BN74</f>
        <v>0</v>
      </c>
      <c r="CJ74" s="97">
        <f>VLOOKUP($A74,'Distribution Summary'!$A$136:$CG$146,CJ$1,0)*BO74</f>
        <v>0</v>
      </c>
      <c r="CK74" s="97">
        <f>VLOOKUP($A74,'Distribution Summary'!$A$136:$CG$146,CK$1,0)*BP74</f>
        <v>0</v>
      </c>
      <c r="CL74" s="97">
        <f>VLOOKUP($A74,'Distribution Summary'!$A$136:$CG$146,CL$1,0)*BQ74</f>
        <v>0</v>
      </c>
      <c r="CM74" s="98">
        <f>VLOOKUP($A74,'Distribution Summary'!$A$136:$CG$146,CM$1,0)*BR74</f>
        <v>0</v>
      </c>
    </row>
    <row r="75" spans="1:91" x14ac:dyDescent="0.25">
      <c r="A75" s="81" t="s">
        <v>138</v>
      </c>
      <c r="B75" s="82" t="s">
        <v>153</v>
      </c>
      <c r="C75" s="83" t="s">
        <v>365</v>
      </c>
      <c r="D75" s="84">
        <f>SUM('Defect (Total)'!D75,Planned!D75,Reconductor!D75,CTGS!D75)</f>
        <v>0</v>
      </c>
      <c r="E75" s="85">
        <f>SUM('Defect (Total)'!E75,Planned!E75,Reconductor!E75,CTGS!E75)</f>
        <v>0</v>
      </c>
      <c r="F75" s="85">
        <f>SUM('Defect (Total)'!F75,Planned!F75,Reconductor!F75,CTGS!F75)</f>
        <v>0</v>
      </c>
      <c r="G75" s="85">
        <f>SUM('Defect (Total)'!G75,Planned!G75,Reconductor!G75,CTGS!G75)</f>
        <v>0</v>
      </c>
      <c r="H75" s="85">
        <f>SUM('Defect (Total)'!H75,Planned!H75,Reconductor!H75,CTGS!H75)</f>
        <v>0</v>
      </c>
      <c r="I75" s="85">
        <f>SUM('Defect (Total)'!I75,Planned!I75,Reconductor!I75,CTGS!I75)</f>
        <v>0</v>
      </c>
      <c r="J75" s="85">
        <f>SUM('Defect (Total)'!J75,Planned!J75,Reconductor!J75,CTGS!J75)</f>
        <v>0</v>
      </c>
      <c r="K75" s="85">
        <f>SUM('Defect (Total)'!K75,Planned!K75,Reconductor!K75,CTGS!K75)</f>
        <v>0</v>
      </c>
      <c r="L75" s="85">
        <f>SUM('Defect (Total)'!L75,Planned!L75,Reconductor!L75,CTGS!L75)</f>
        <v>0</v>
      </c>
      <c r="M75" s="85">
        <f>SUM('Defect (Total)'!M75,Planned!M75,Reconductor!M75,CTGS!M75)</f>
        <v>0</v>
      </c>
      <c r="N75" s="85">
        <f>SUM('Defect (Total)'!N75,Planned!N75,Reconductor!N75,CTGS!N75)</f>
        <v>0</v>
      </c>
      <c r="O75" s="560">
        <f>SUM('Defect (Total)'!O75,Planned!O75,Reconductor!O75,CTGS!O75)</f>
        <v>0</v>
      </c>
      <c r="P75" s="561">
        <f>SUM('Defect (Total)'!P75,Planned!P75,Reconductor!P75,CTGS!P75)</f>
        <v>0</v>
      </c>
      <c r="Q75" s="561">
        <f>SUM('Defect (Total)'!Q75,Planned!Q75,Reconductor!Q75,CTGS!Q75)</f>
        <v>0</v>
      </c>
      <c r="R75" s="561">
        <f>SUM('Defect (Total)'!R75,Planned!R75,Reconductor!R75,CTGS!R75)</f>
        <v>0</v>
      </c>
      <c r="S75" s="561">
        <f>SUM('Defect (Total)'!S75,Planned!S75,Reconductor!S75,CTGS!S75)</f>
        <v>0</v>
      </c>
      <c r="T75" s="561">
        <f>SUM('Defect (Total)'!T75,Planned!T75,Reconductor!T75,CTGS!T75)</f>
        <v>0</v>
      </c>
      <c r="U75" s="561">
        <f>SUM('Defect (Total)'!U75,Planned!U75,Reconductor!U75,CTGS!U75)</f>
        <v>0</v>
      </c>
      <c r="V75" s="561">
        <f>SUM('Defect (Total)'!V75,Planned!V75,Reconductor!V75,CTGS!V75)</f>
        <v>0</v>
      </c>
      <c r="W75" s="561">
        <f>SUM('Defect (Total)'!W75,Planned!W75,Reconductor!W75,CTGS!W75)</f>
        <v>0</v>
      </c>
      <c r="X75" s="561">
        <f>SUM('Defect (Total)'!X75,Planned!X75,Reconductor!X75,CTGS!X75)</f>
        <v>0</v>
      </c>
      <c r="Y75" s="561">
        <f>SUM('Defect (Total)'!Y75,Planned!Y75,Reconductor!Y75,CTGS!Y75)</f>
        <v>0</v>
      </c>
      <c r="Z75" s="86">
        <f>SUM('Defect (Total)'!Z75,Planned!Z75,Reconductor!Z75,CTGS!Z75)</f>
        <v>0</v>
      </c>
      <c r="AA75" s="87">
        <f>SUM('Defect (Total)'!AA75,Planned!AA75,Reconductor!AA75,CTGS!AA75)</f>
        <v>0</v>
      </c>
      <c r="AB75" s="87">
        <f>SUM('Defect (Total)'!AB75,Planned!AB75,Reconductor!AB75,CTGS!AB75)</f>
        <v>0</v>
      </c>
      <c r="AC75" s="87">
        <f>SUM('Defect (Total)'!AC75,Planned!AC75,Reconductor!AC75,CTGS!AC75)</f>
        <v>0</v>
      </c>
      <c r="AD75" s="87">
        <f>SUM('Defect (Total)'!AD75,Planned!AD75,Reconductor!AD75,CTGS!AD75)</f>
        <v>0</v>
      </c>
      <c r="AE75" s="87">
        <f>SUM('Defect (Total)'!AE75,Planned!AE75,Reconductor!AE75,CTGS!AE75)</f>
        <v>0</v>
      </c>
      <c r="AF75" s="87">
        <f>SUM('Defect (Total)'!AF75,Planned!AF75,Reconductor!AF75,CTGS!AF75)</f>
        <v>0</v>
      </c>
      <c r="AG75" s="87">
        <f>SUM('Defect (Total)'!AG75,Planned!AG75,Reconductor!AG75,CTGS!AG75)</f>
        <v>0</v>
      </c>
      <c r="AH75" s="87">
        <f>SUM('Defect (Total)'!AH75,Planned!AH75,Reconductor!AH75,CTGS!AH75)</f>
        <v>0</v>
      </c>
      <c r="AI75" s="87">
        <f>SUM('Defect (Total)'!AI75,Planned!AI75,Reconductor!AI75,CTGS!AI75)</f>
        <v>0</v>
      </c>
      <c r="AJ75" s="87">
        <f>SUM('Defect (Total)'!AJ75,Planned!AJ75,Reconductor!AJ75,CTGS!AJ75)</f>
        <v>0</v>
      </c>
      <c r="AK75" s="88">
        <f t="shared" si="51"/>
        <v>0</v>
      </c>
      <c r="AL75" s="89">
        <f t="shared" si="52"/>
        <v>0</v>
      </c>
      <c r="AM75" s="90">
        <f t="shared" si="53"/>
        <v>0</v>
      </c>
      <c r="AN75" s="91" t="str">
        <f t="shared" si="35"/>
        <v/>
      </c>
      <c r="AO75" s="92" t="str">
        <f t="shared" si="36"/>
        <v/>
      </c>
      <c r="AP75" s="92" t="str">
        <f t="shared" si="37"/>
        <v/>
      </c>
      <c r="AQ75" s="92" t="str">
        <f t="shared" si="38"/>
        <v/>
      </c>
      <c r="AR75" s="92" t="str">
        <f t="shared" si="39"/>
        <v/>
      </c>
      <c r="AS75" s="92" t="str">
        <f t="shared" si="40"/>
        <v/>
      </c>
      <c r="AT75" s="92" t="str">
        <f t="shared" si="41"/>
        <v/>
      </c>
      <c r="AU75" s="92" t="str">
        <f t="shared" si="42"/>
        <v/>
      </c>
      <c r="AV75" s="92" t="str">
        <f t="shared" si="43"/>
        <v/>
      </c>
      <c r="AW75" s="92" t="str">
        <f t="shared" si="44"/>
        <v/>
      </c>
      <c r="AX75" s="92" t="str">
        <f t="shared" si="45"/>
        <v/>
      </c>
      <c r="AY75" s="93" t="str">
        <f t="shared" si="46"/>
        <v/>
      </c>
      <c r="AZ75" s="94" t="str">
        <f t="shared" si="47"/>
        <v/>
      </c>
      <c r="BA75" s="95" t="str">
        <f t="shared" si="48"/>
        <v/>
      </c>
      <c r="BB75" s="689">
        <f>SUM('Defect (Total)'!BB75,Planned!CE75,Reconductor!CE75,CTGS!CE75,'Substation 2025$'!CE75*$BL$1,Comms!CA75*$BL$2)</f>
        <v>0</v>
      </c>
      <c r="BC75" s="689">
        <f>SUM('Defect (Total)'!BC75,Planned!CF75,Reconductor!CF75,CTGS!CF75,'Substation 2025$'!CF75*$BL$1,Comms!CB75*$BL$2)</f>
        <v>0</v>
      </c>
      <c r="BD75" s="96">
        <f>SUM('Defect (Total)'!BD75,Planned!CG75,Reconductor!CG75,CTGS!CG75,'Substation 2025$'!CG75*$BL$1,Comms!CC75*$BL$2)</f>
        <v>0</v>
      </c>
      <c r="BE75" s="96">
        <f>SUM('Defect (Total)'!BE75,Planned!CH75,Reconductor!CH75,CTGS!CH75,'Substation 2025$'!CH75*$BL$1,Comms!CD75*$BL$2)</f>
        <v>0</v>
      </c>
      <c r="BF75" s="96">
        <f>SUM('Defect (Total)'!BF75,Planned!CI75,Reconductor!CI75,CTGS!CI75,'Substation 2025$'!CI75*$BL$1,Comms!CE75*$BL$2)</f>
        <v>0</v>
      </c>
      <c r="BG75" s="96">
        <f>SUM('Defect (Total)'!BG75,Planned!CJ75,Reconductor!CJ75,CTGS!CJ75,'Substation 2025$'!CJ75*$BL$1,Comms!CF75*$BL$2)</f>
        <v>0</v>
      </c>
      <c r="BH75" s="96">
        <f>SUM('Defect (Total)'!BH75,Planned!CK75,Reconductor!CK75,CTGS!CK75,'Substation 2025$'!CK75*$BL$1,Comms!CG75*$BL$2)</f>
        <v>0</v>
      </c>
      <c r="BI75" s="286">
        <f>SUM('Defect (Total)'!BI75,Planned!CL75,Reconductor!CL75,CTGS!CL75,'Substation 2025$'!CL75*$BL$1,Comms!CH75*$BL$2)</f>
        <v>0</v>
      </c>
      <c r="BJ75" s="99" t="str">
        <f t="shared" si="54"/>
        <v/>
      </c>
      <c r="BK75" s="992">
        <f>SUM('Defect (Total)'!BK75,Planned!CQ75,Reconductor!CQ75,CTGS!CQ75,'Substation 2025$'!CQ75*$BL$1,Comms!CM75*$BL$2)</f>
        <v>0</v>
      </c>
      <c r="BL75" s="992">
        <f>SUM('Defect (Total)'!BL75,Planned!CR75,Reconductor!CR75,CTGS!CR75,'Substation 2025$'!CR75*$BL$1,Comms!CN75*$BL$2)</f>
        <v>0</v>
      </c>
      <c r="BM75" s="524">
        <f>SUM('Defect (Total)'!BM75,Planned!CS75,Reconductor!CS75,CTGS!CS75,'Substation 2025$'!CS75*$BL$1,Comms!CO75*$BL$2)</f>
        <v>0</v>
      </c>
      <c r="BN75" s="416">
        <f>SUM('Defect (Total)'!BN75,Planned!CT75,Reconductor!CT75,CTGS!CT75,'Substation 2025$'!CT75*$BL$1,Comms!CP75*$BL$2)</f>
        <v>0</v>
      </c>
      <c r="BO75" s="97">
        <f>SUM('Defect (Total)'!BO75,Planned!CU75,Reconductor!CU75,CTGS!CU75,'Substation 2025$'!CU75*$BL$1,Comms!CQ75*$BL$2)</f>
        <v>0</v>
      </c>
      <c r="BP75" s="97">
        <f>SUM('Defect (Total)'!BP75,Planned!CV75,Reconductor!CV75,CTGS!CV75,'Substation 2025$'!CV75*$BL$1,Comms!CR75*$BL$2)</f>
        <v>0</v>
      </c>
      <c r="BQ75" s="97">
        <f>SUM('Defect (Total)'!BQ75,Planned!CW75,Reconductor!CW75,CTGS!CW75,'Substation 2025$'!CW75*$BL$1,Comms!CS75*$BL$2)</f>
        <v>0</v>
      </c>
      <c r="BR75" s="98">
        <f>SUM('Defect (Total)'!BR75,Planned!CX75,Reconductor!CX75,CTGS!CX75,'Substation 2025$'!CX75*$BL$1,Comms!CT75*$BL$2)</f>
        <v>0</v>
      </c>
      <c r="BS75" s="836" t="str">
        <f>'Unit Cost Rate Summary'!AO75</f>
        <v/>
      </c>
      <c r="BT75" s="840" t="str">
        <f t="shared" si="49"/>
        <v/>
      </c>
      <c r="BU75" s="832" t="str">
        <f t="shared" si="50"/>
        <v/>
      </c>
      <c r="BV75" t="s">
        <v>638</v>
      </c>
      <c r="CI75" s="416">
        <f>VLOOKUP($A75,'Distribution Summary'!$A$136:$CG$146,CI$1,0)*BN75</f>
        <v>0</v>
      </c>
      <c r="CJ75" s="97">
        <f>VLOOKUP($A75,'Distribution Summary'!$A$136:$CG$146,CJ$1,0)*BO75</f>
        <v>0</v>
      </c>
      <c r="CK75" s="97">
        <f>VLOOKUP($A75,'Distribution Summary'!$A$136:$CG$146,CK$1,0)*BP75</f>
        <v>0</v>
      </c>
      <c r="CL75" s="97">
        <f>VLOOKUP($A75,'Distribution Summary'!$A$136:$CG$146,CL$1,0)*BQ75</f>
        <v>0</v>
      </c>
      <c r="CM75" s="98">
        <f>VLOOKUP($A75,'Distribution Summary'!$A$136:$CG$146,CM$1,0)*BR75</f>
        <v>0</v>
      </c>
    </row>
    <row r="76" spans="1:91" x14ac:dyDescent="0.25">
      <c r="A76" s="81" t="s">
        <v>138</v>
      </c>
      <c r="B76" s="82" t="s">
        <v>155</v>
      </c>
      <c r="C76" s="83" t="s">
        <v>366</v>
      </c>
      <c r="D76" s="84">
        <f>SUM('Defect (Total)'!D76,Planned!D76,Reconductor!D76,CTGS!D76)</f>
        <v>0</v>
      </c>
      <c r="E76" s="85">
        <f>SUM('Defect (Total)'!E76,Planned!E76,Reconductor!E76,CTGS!E76)</f>
        <v>0</v>
      </c>
      <c r="F76" s="85">
        <f>SUM('Defect (Total)'!F76,Planned!F76,Reconductor!F76,CTGS!F76)</f>
        <v>0</v>
      </c>
      <c r="G76" s="85">
        <f>SUM('Defect (Total)'!G76,Planned!G76,Reconductor!G76,CTGS!G76)</f>
        <v>0</v>
      </c>
      <c r="H76" s="85">
        <f>SUM('Defect (Total)'!H76,Planned!H76,Reconductor!H76,CTGS!H76)</f>
        <v>0</v>
      </c>
      <c r="I76" s="85">
        <f>SUM('Defect (Total)'!I76,Planned!I76,Reconductor!I76,CTGS!I76)</f>
        <v>0</v>
      </c>
      <c r="J76" s="85">
        <f>SUM('Defect (Total)'!J76,Planned!J76,Reconductor!J76,CTGS!J76)</f>
        <v>0</v>
      </c>
      <c r="K76" s="85">
        <f>SUM('Defect (Total)'!K76,Planned!K76,Reconductor!K76,CTGS!K76)</f>
        <v>0</v>
      </c>
      <c r="L76" s="85">
        <f>SUM('Defect (Total)'!L76,Planned!L76,Reconductor!L76,CTGS!L76)</f>
        <v>0</v>
      </c>
      <c r="M76" s="85">
        <f>SUM('Defect (Total)'!M76,Planned!M76,Reconductor!M76,CTGS!M76)</f>
        <v>0</v>
      </c>
      <c r="N76" s="85">
        <f>SUM('Defect (Total)'!N76,Planned!N76,Reconductor!N76,CTGS!N76)</f>
        <v>0</v>
      </c>
      <c r="O76" s="560">
        <f>SUM('Defect (Total)'!O76,Planned!O76,Reconductor!O76,CTGS!O76)</f>
        <v>0</v>
      </c>
      <c r="P76" s="561">
        <f>SUM('Defect (Total)'!P76,Planned!P76,Reconductor!P76,CTGS!P76)</f>
        <v>0</v>
      </c>
      <c r="Q76" s="561">
        <f>SUM('Defect (Total)'!Q76,Planned!Q76,Reconductor!Q76,CTGS!Q76)</f>
        <v>0</v>
      </c>
      <c r="R76" s="561">
        <f>SUM('Defect (Total)'!R76,Planned!R76,Reconductor!R76,CTGS!R76)</f>
        <v>0</v>
      </c>
      <c r="S76" s="561">
        <f>SUM('Defect (Total)'!S76,Planned!S76,Reconductor!S76,CTGS!S76)</f>
        <v>0</v>
      </c>
      <c r="T76" s="561">
        <f>SUM('Defect (Total)'!T76,Planned!T76,Reconductor!T76,CTGS!T76)</f>
        <v>0</v>
      </c>
      <c r="U76" s="561">
        <f>SUM('Defect (Total)'!U76,Planned!U76,Reconductor!U76,CTGS!U76)</f>
        <v>0</v>
      </c>
      <c r="V76" s="561">
        <f>SUM('Defect (Total)'!V76,Planned!V76,Reconductor!V76,CTGS!V76)</f>
        <v>0</v>
      </c>
      <c r="W76" s="561">
        <f>SUM('Defect (Total)'!W76,Planned!W76,Reconductor!W76,CTGS!W76)</f>
        <v>0</v>
      </c>
      <c r="X76" s="561">
        <f>SUM('Defect (Total)'!X76,Planned!X76,Reconductor!X76,CTGS!X76)</f>
        <v>0</v>
      </c>
      <c r="Y76" s="561">
        <f>SUM('Defect (Total)'!Y76,Planned!Y76,Reconductor!Y76,CTGS!Y76)</f>
        <v>0</v>
      </c>
      <c r="Z76" s="86">
        <f>SUM('Defect (Total)'!Z76,Planned!Z76,Reconductor!Z76,CTGS!Z76)</f>
        <v>0</v>
      </c>
      <c r="AA76" s="87">
        <f>SUM('Defect (Total)'!AA76,Planned!AA76,Reconductor!AA76,CTGS!AA76)</f>
        <v>0</v>
      </c>
      <c r="AB76" s="87">
        <f>SUM('Defect (Total)'!AB76,Planned!AB76,Reconductor!AB76,CTGS!AB76)</f>
        <v>0</v>
      </c>
      <c r="AC76" s="87">
        <f>SUM('Defect (Total)'!AC76,Planned!AC76,Reconductor!AC76,CTGS!AC76)</f>
        <v>0</v>
      </c>
      <c r="AD76" s="87">
        <f>SUM('Defect (Total)'!AD76,Planned!AD76,Reconductor!AD76,CTGS!AD76)</f>
        <v>0</v>
      </c>
      <c r="AE76" s="87">
        <f>SUM('Defect (Total)'!AE76,Planned!AE76,Reconductor!AE76,CTGS!AE76)</f>
        <v>0</v>
      </c>
      <c r="AF76" s="87">
        <f>SUM('Defect (Total)'!AF76,Planned!AF76,Reconductor!AF76,CTGS!AF76)</f>
        <v>0</v>
      </c>
      <c r="AG76" s="87">
        <f>SUM('Defect (Total)'!AG76,Planned!AG76,Reconductor!AG76,CTGS!AG76)</f>
        <v>0</v>
      </c>
      <c r="AH76" s="87">
        <f>SUM('Defect (Total)'!AH76,Planned!AH76,Reconductor!AH76,CTGS!AH76)</f>
        <v>0</v>
      </c>
      <c r="AI76" s="87">
        <f>SUM('Defect (Total)'!AI76,Planned!AI76,Reconductor!AI76,CTGS!AI76)</f>
        <v>0</v>
      </c>
      <c r="AJ76" s="87">
        <f>SUM('Defect (Total)'!AJ76,Planned!AJ76,Reconductor!AJ76,CTGS!AJ76)</f>
        <v>0</v>
      </c>
      <c r="AK76" s="88">
        <f t="shared" si="51"/>
        <v>0</v>
      </c>
      <c r="AL76" s="89">
        <f t="shared" si="52"/>
        <v>0</v>
      </c>
      <c r="AM76" s="90">
        <f t="shared" si="53"/>
        <v>0</v>
      </c>
      <c r="AN76" s="91" t="str">
        <f t="shared" si="35"/>
        <v/>
      </c>
      <c r="AO76" s="92" t="str">
        <f t="shared" si="36"/>
        <v/>
      </c>
      <c r="AP76" s="92" t="str">
        <f t="shared" si="37"/>
        <v/>
      </c>
      <c r="AQ76" s="92" t="str">
        <f t="shared" si="38"/>
        <v/>
      </c>
      <c r="AR76" s="92" t="str">
        <f t="shared" si="39"/>
        <v/>
      </c>
      <c r="AS76" s="92" t="str">
        <f t="shared" si="40"/>
        <v/>
      </c>
      <c r="AT76" s="92" t="str">
        <f t="shared" si="41"/>
        <v/>
      </c>
      <c r="AU76" s="92" t="str">
        <f t="shared" si="42"/>
        <v/>
      </c>
      <c r="AV76" s="92" t="str">
        <f t="shared" si="43"/>
        <v/>
      </c>
      <c r="AW76" s="92" t="str">
        <f t="shared" si="44"/>
        <v/>
      </c>
      <c r="AX76" s="92" t="str">
        <f t="shared" si="45"/>
        <v/>
      </c>
      <c r="AY76" s="93" t="str">
        <f t="shared" si="46"/>
        <v/>
      </c>
      <c r="AZ76" s="94" t="str">
        <f t="shared" si="47"/>
        <v/>
      </c>
      <c r="BA76" s="95" t="str">
        <f t="shared" si="48"/>
        <v/>
      </c>
      <c r="BB76" s="689">
        <f>SUM('Defect (Total)'!BB76,Planned!CE76,Reconductor!CE76,CTGS!CE76,'Substation 2025$'!CE76*$BL$1,Comms!CA76*$BL$2)</f>
        <v>0</v>
      </c>
      <c r="BC76" s="689">
        <f>SUM('Defect (Total)'!BC76,Planned!CF76,Reconductor!CF76,CTGS!CF76,'Substation 2025$'!CF76*$BL$1,Comms!CB76*$BL$2)</f>
        <v>0</v>
      </c>
      <c r="BD76" s="96">
        <f>SUM('Defect (Total)'!BD76,Planned!CG76,Reconductor!CG76,CTGS!CG76,'Substation 2025$'!CG76*$BL$1,Comms!CC76*$BL$2)</f>
        <v>0</v>
      </c>
      <c r="BE76" s="96">
        <f>SUM('Defect (Total)'!BE76,Planned!CH76,Reconductor!CH76,CTGS!CH76,'Substation 2025$'!CH76*$BL$1,Comms!CD76*$BL$2)</f>
        <v>0</v>
      </c>
      <c r="BF76" s="96">
        <f>SUM('Defect (Total)'!BF76,Planned!CI76,Reconductor!CI76,CTGS!CI76,'Substation 2025$'!CI76*$BL$1,Comms!CE76*$BL$2)</f>
        <v>0</v>
      </c>
      <c r="BG76" s="96">
        <f>SUM('Defect (Total)'!BG76,Planned!CJ76,Reconductor!CJ76,CTGS!CJ76,'Substation 2025$'!CJ76*$BL$1,Comms!CF76*$BL$2)</f>
        <v>0</v>
      </c>
      <c r="BH76" s="96">
        <f>SUM('Defect (Total)'!BH76,Planned!CK76,Reconductor!CK76,CTGS!CK76,'Substation 2025$'!CK76*$BL$1,Comms!CG76*$BL$2)</f>
        <v>0</v>
      </c>
      <c r="BI76" s="286">
        <f>SUM('Defect (Total)'!BI76,Planned!CL76,Reconductor!CL76,CTGS!CL76,'Substation 2025$'!CL76*$BL$1,Comms!CH76*$BL$2)</f>
        <v>0</v>
      </c>
      <c r="BJ76" s="99" t="str">
        <f t="shared" si="54"/>
        <v/>
      </c>
      <c r="BK76" s="992">
        <f>SUM('Defect (Total)'!BK76,Planned!CQ76,Reconductor!CQ76,CTGS!CQ76,'Substation 2025$'!CQ76*$BL$1,Comms!CM76*$BL$2)</f>
        <v>0</v>
      </c>
      <c r="BL76" s="992">
        <f>SUM('Defect (Total)'!BL76,Planned!CR76,Reconductor!CR76,CTGS!CR76,'Substation 2025$'!CR76*$BL$1,Comms!CN76*$BL$2)</f>
        <v>0</v>
      </c>
      <c r="BM76" s="524">
        <f>SUM('Defect (Total)'!BM76,Planned!CS76,Reconductor!CS76,CTGS!CS76,'Substation 2025$'!CS76*$BL$1,Comms!CO76*$BL$2)</f>
        <v>0</v>
      </c>
      <c r="BN76" s="416">
        <f>SUM('Defect (Total)'!BN76,Planned!CT76,Reconductor!CT76,CTGS!CT76,'Substation 2025$'!CT76*$BL$1,Comms!CP76*$BL$2)</f>
        <v>0</v>
      </c>
      <c r="BO76" s="97">
        <f>SUM('Defect (Total)'!BO76,Planned!CU76,Reconductor!CU76,CTGS!CU76,'Substation 2025$'!CU76*$BL$1,Comms!CQ76*$BL$2)</f>
        <v>0</v>
      </c>
      <c r="BP76" s="97">
        <f>SUM('Defect (Total)'!BP76,Planned!CV76,Reconductor!CV76,CTGS!CV76,'Substation 2025$'!CV76*$BL$1,Comms!CR76*$BL$2)</f>
        <v>0</v>
      </c>
      <c r="BQ76" s="97">
        <f>SUM('Defect (Total)'!BQ76,Planned!CW76,Reconductor!CW76,CTGS!CW76,'Substation 2025$'!CW76*$BL$1,Comms!CS76*$BL$2)</f>
        <v>0</v>
      </c>
      <c r="BR76" s="98">
        <f>SUM('Defect (Total)'!BR76,Planned!CX76,Reconductor!CX76,CTGS!CX76,'Substation 2025$'!CX76*$BL$1,Comms!CT76*$BL$2)</f>
        <v>0</v>
      </c>
      <c r="BS76" s="836" t="str">
        <f>'Unit Cost Rate Summary'!AO76</f>
        <v/>
      </c>
      <c r="BT76" s="840" t="str">
        <f t="shared" si="49"/>
        <v/>
      </c>
      <c r="BU76" s="832" t="str">
        <f t="shared" si="50"/>
        <v/>
      </c>
      <c r="BV76" t="s">
        <v>638</v>
      </c>
      <c r="CI76" s="416">
        <f>VLOOKUP($A76,'Distribution Summary'!$A$136:$CG$146,CI$1,0)*BN76</f>
        <v>0</v>
      </c>
      <c r="CJ76" s="97">
        <f>VLOOKUP($A76,'Distribution Summary'!$A$136:$CG$146,CJ$1,0)*BO76</f>
        <v>0</v>
      </c>
      <c r="CK76" s="97">
        <f>VLOOKUP($A76,'Distribution Summary'!$A$136:$CG$146,CK$1,0)*BP76</f>
        <v>0</v>
      </c>
      <c r="CL76" s="97">
        <f>VLOOKUP($A76,'Distribution Summary'!$A$136:$CG$146,CL$1,0)*BQ76</f>
        <v>0</v>
      </c>
      <c r="CM76" s="98">
        <f>VLOOKUP($A76,'Distribution Summary'!$A$136:$CG$146,CM$1,0)*BR76</f>
        <v>0</v>
      </c>
    </row>
    <row r="77" spans="1:91" x14ac:dyDescent="0.25">
      <c r="A77" s="81" t="s">
        <v>138</v>
      </c>
      <c r="B77" s="82" t="s">
        <v>157</v>
      </c>
      <c r="C77" s="83" t="s">
        <v>367</v>
      </c>
      <c r="D77" s="84">
        <f>SUM('Defect (Total)'!D77,Planned!D77,Reconductor!D77,CTGS!D77)</f>
        <v>957269</v>
      </c>
      <c r="E77" s="85">
        <f>SUM('Defect (Total)'!E77,Planned!E77,Reconductor!E77,CTGS!E77)</f>
        <v>6980790</v>
      </c>
      <c r="F77" s="85">
        <f>SUM('Defect (Total)'!F77,Planned!F77,Reconductor!F77,CTGS!F77)</f>
        <v>3204121</v>
      </c>
      <c r="G77" s="85">
        <f>SUM('Defect (Total)'!G77,Planned!G77,Reconductor!G77,CTGS!G77)</f>
        <v>2454860</v>
      </c>
      <c r="H77" s="85">
        <f>SUM('Defect (Total)'!H77,Planned!H77,Reconductor!H77,CTGS!H77)</f>
        <v>3798580</v>
      </c>
      <c r="I77" s="85">
        <f>SUM('Defect (Total)'!I77,Planned!I77,Reconductor!I77,CTGS!I77)</f>
        <v>5762934.3257183684</v>
      </c>
      <c r="J77" s="85">
        <f>SUM('Defect (Total)'!J77,Planned!J77,Reconductor!J77,CTGS!J77)</f>
        <v>4115054.0009450135</v>
      </c>
      <c r="K77" s="85">
        <f>SUM('Defect (Total)'!K77,Planned!K77,Reconductor!K77,CTGS!K77)</f>
        <v>7634899.2763322387</v>
      </c>
      <c r="L77" s="85">
        <f>SUM('Defect (Total)'!L77,Planned!L77,Reconductor!L77,CTGS!L77)</f>
        <v>8367413.4908599071</v>
      </c>
      <c r="M77" s="85">
        <f>SUM('Defect (Total)'!M77,Planned!M77,Reconductor!M77,CTGS!M77)</f>
        <v>7465331.9368924638</v>
      </c>
      <c r="N77" s="85">
        <f>SUM('Defect (Total)'!N77,Planned!N77,Reconductor!N77,CTGS!N77)</f>
        <v>8828575.6663557477</v>
      </c>
      <c r="O77" s="560">
        <f>SUM('Defect (Total)'!O77,Planned!O77,Reconductor!O77,CTGS!O77)</f>
        <v>1287963.6252305608</v>
      </c>
      <c r="P77" s="561">
        <f>SUM('Defect (Total)'!P77,Planned!P77,Reconductor!P77,CTGS!P77)</f>
        <v>9252554.9317662977</v>
      </c>
      <c r="Q77" s="561">
        <f>SUM('Defect (Total)'!Q77,Planned!Q77,Reconductor!Q77,CTGS!Q77)</f>
        <v>4203825.1684371028</v>
      </c>
      <c r="R77" s="561">
        <f>SUM('Defect (Total)'!R77,Planned!R77,Reconductor!R77,CTGS!R77)</f>
        <v>3159691.4244387876</v>
      </c>
      <c r="S77" s="561">
        <f>SUM('Defect (Total)'!S77,Planned!S77,Reconductor!S77,CTGS!S77)</f>
        <v>4789700.9287145222</v>
      </c>
      <c r="T77" s="561">
        <f>SUM('Defect (Total)'!T77,Planned!T77,Reconductor!T77,CTGS!T77)</f>
        <v>7152656.1094487607</v>
      </c>
      <c r="U77" s="561">
        <f>SUM('Defect (Total)'!U77,Planned!U77,Reconductor!U77,CTGS!U77)</f>
        <v>5125250.2697597863</v>
      </c>
      <c r="V77" s="561">
        <f>SUM('Defect (Total)'!V77,Planned!V77,Reconductor!V77,CTGS!V77)</f>
        <v>9156983.5547473915</v>
      </c>
      <c r="W77" s="561">
        <f>SUM('Defect (Total)'!W77,Planned!W77,Reconductor!W77,CTGS!W77)</f>
        <v>9454568.3812344521</v>
      </c>
      <c r="X77" s="561">
        <f>SUM('Defect (Total)'!X77,Planned!X77,Reconductor!X77,CTGS!X77)</f>
        <v>7939088.8151925523</v>
      </c>
      <c r="Y77" s="561">
        <f>SUM('Defect (Total)'!Y77,Planned!Y77,Reconductor!Y77,CTGS!Y77)</f>
        <v>9071348.0717070717</v>
      </c>
      <c r="Z77" s="86">
        <f>SUM('Defect (Total)'!Z77,Planned!Z77,Reconductor!Z77,CTGS!Z77)</f>
        <v>12</v>
      </c>
      <c r="AA77" s="87">
        <f>SUM('Defect (Total)'!AA77,Planned!AA77,Reconductor!AA77,CTGS!AA77)</f>
        <v>20</v>
      </c>
      <c r="AB77" s="87">
        <f>SUM('Defect (Total)'!AB77,Planned!AB77,Reconductor!AB77,CTGS!AB77)</f>
        <v>21</v>
      </c>
      <c r="AC77" s="87">
        <f>SUM('Defect (Total)'!AC77,Planned!AC77,Reconductor!AC77,CTGS!AC77)</f>
        <v>10</v>
      </c>
      <c r="AD77" s="87">
        <f>SUM('Defect (Total)'!AD77,Planned!AD77,Reconductor!AD77,CTGS!AD77)</f>
        <v>21</v>
      </c>
      <c r="AE77" s="87">
        <f>SUM('Defect (Total)'!AE77,Planned!AE77,Reconductor!AE77,CTGS!AE77)</f>
        <v>24</v>
      </c>
      <c r="AF77" s="87">
        <f>SUM('Defect (Total)'!AF77,Planned!AF77,Reconductor!AF77,CTGS!AF77)</f>
        <v>26</v>
      </c>
      <c r="AG77" s="87">
        <f>SUM('Defect (Total)'!AG77,Planned!AG77,Reconductor!AG77,CTGS!AG77)</f>
        <v>65</v>
      </c>
      <c r="AH77" s="87">
        <f>SUM('Defect (Total)'!AH77,Planned!AH77,Reconductor!AH77,CTGS!AH77)</f>
        <v>99</v>
      </c>
      <c r="AI77" s="87">
        <f>SUM('Defect (Total)'!AI77,Planned!AI77,Reconductor!AI77,CTGS!AI77)</f>
        <v>96</v>
      </c>
      <c r="AJ77" s="87">
        <f>SUM('Defect (Total)'!AJ77,Planned!AJ77,Reconductor!AJ77,CTGS!AJ77)</f>
        <v>84</v>
      </c>
      <c r="AK77" s="88">
        <f t="shared" si="51"/>
        <v>62</v>
      </c>
      <c r="AL77" s="89">
        <f t="shared" si="52"/>
        <v>86.666666666666671</v>
      </c>
      <c r="AM77" s="90">
        <f t="shared" si="53"/>
        <v>96</v>
      </c>
      <c r="AN77" s="91">
        <f t="shared" si="35"/>
        <v>79772.416666666672</v>
      </c>
      <c r="AO77" s="92">
        <f t="shared" si="36"/>
        <v>349039.5</v>
      </c>
      <c r="AP77" s="92">
        <f t="shared" si="37"/>
        <v>152577.19047619047</v>
      </c>
      <c r="AQ77" s="92">
        <f t="shared" si="38"/>
        <v>245486</v>
      </c>
      <c r="AR77" s="92">
        <f t="shared" si="39"/>
        <v>180884.76190476189</v>
      </c>
      <c r="AS77" s="92">
        <f t="shared" si="40"/>
        <v>240122.26357159868</v>
      </c>
      <c r="AT77" s="92">
        <f t="shared" si="41"/>
        <v>158271.30772865436</v>
      </c>
      <c r="AU77" s="92">
        <f t="shared" si="42"/>
        <v>117459.98886664983</v>
      </c>
      <c r="AV77" s="92">
        <f t="shared" si="43"/>
        <v>84519.328190504108</v>
      </c>
      <c r="AW77" s="92">
        <f t="shared" si="44"/>
        <v>77763.874342629832</v>
      </c>
      <c r="AX77" s="92">
        <f t="shared" si="45"/>
        <v>105102.09126613985</v>
      </c>
      <c r="AY77" s="93">
        <f t="shared" si="46"/>
        <v>126293.11103768309</v>
      </c>
      <c r="AZ77" s="94">
        <f t="shared" si="47"/>
        <v>105880.87772703767</v>
      </c>
      <c r="BA77" s="95">
        <f t="shared" si="48"/>
        <v>84519.328190504108</v>
      </c>
      <c r="BB77" s="689">
        <f>SUM('Defect (Total)'!BB77,Planned!CE77,Reconductor!CE77,CTGS!CE77,'Substation 2025$'!CE77*$BL$1,Comms!CA77*$BL$2)</f>
        <v>63.2</v>
      </c>
      <c r="BC77" s="689">
        <f>SUM('Defect (Total)'!BC77,Planned!CF77,Reconductor!CF77,CTGS!CF77,'Substation 2025$'!CF77*$BL$1,Comms!CB77*$BL$2)</f>
        <v>63.2</v>
      </c>
      <c r="BD77" s="96">
        <f>SUM('Defect (Total)'!BD77,Planned!CG77,Reconductor!CG77,CTGS!CG77,'Substation 2025$'!CG77*$BL$1,Comms!CC77*$BL$2)</f>
        <v>63.2</v>
      </c>
      <c r="BE77" s="96">
        <f>SUM('Defect (Total)'!BE77,Planned!CH77,Reconductor!CH77,CTGS!CH77,'Substation 2025$'!CH77*$BL$1,Comms!CD77*$BL$2)</f>
        <v>54.318426573432006</v>
      </c>
      <c r="BF77" s="96">
        <f>SUM('Defect (Total)'!BF77,Planned!CI77,Reconductor!CI77,CTGS!CI77,'Substation 2025$'!CI77*$BL$1,Comms!CE77*$BL$2)</f>
        <v>54.318426573432006</v>
      </c>
      <c r="BG77" s="96">
        <f>SUM('Defect (Total)'!BG77,Planned!CJ77,Reconductor!CJ77,CTGS!CJ77,'Substation 2025$'!CJ77*$BL$1,Comms!CF77*$BL$2)</f>
        <v>54.318426573432006</v>
      </c>
      <c r="BH77" s="96">
        <f>SUM('Defect (Total)'!BH77,Planned!CK77,Reconductor!CK77,CTGS!CK77,'Substation 2025$'!CK77*$BL$1,Comms!CG77*$BL$2)</f>
        <v>54.318426573432006</v>
      </c>
      <c r="BI77" s="286">
        <f>SUM('Defect (Total)'!BI77,Planned!CL77,Reconductor!CL77,CTGS!CL77,'Substation 2025$'!CL77*$BL$1,Comms!CH77*$BL$2)</f>
        <v>54.318426573432006</v>
      </c>
      <c r="BJ77" s="99">
        <f t="shared" si="54"/>
        <v>94108.868400042542</v>
      </c>
      <c r="BK77" s="992">
        <f>SUM('Defect (Total)'!BK77,Planned!CQ77,Reconductor!CQ77,CTGS!CQ77,'Substation 2025$'!CQ77*$BL$1,Comms!CM77*$BL$2)</f>
        <v>6264189.0458836704</v>
      </c>
      <c r="BL77" s="992">
        <f>SUM('Defect (Total)'!BL77,Planned!CR77,Reconductor!CR77,CTGS!CR77,'Substation 2025$'!CR77*$BL$1,Comms!CN77*$BL$2)</f>
        <v>6264189.0458836704</v>
      </c>
      <c r="BM77" s="524">
        <f>SUM('Defect (Total)'!BM77,Planned!CS77,Reconductor!CS77,CTGS!CS77,'Substation 2025$'!CS77*$BL$1,Comms!CO77*$BL$2)</f>
        <v>6264189.0458836704</v>
      </c>
      <c r="BN77" s="416">
        <f>SUM('Defect (Total)'!BN77,Planned!CT77,Reconductor!CT77,CTGS!CT77,'Substation 2025$'!CT77*$BL$1,Comms!CP77*$BL$2)</f>
        <v>5111845.6580964867</v>
      </c>
      <c r="BO77" s="97">
        <f>SUM('Defect (Total)'!BO77,Planned!CU77,Reconductor!CU77,CTGS!CU77,'Substation 2025$'!CU77*$BL$1,Comms!CQ77*$BL$2)</f>
        <v>5111845.6580964867</v>
      </c>
      <c r="BP77" s="97">
        <f>SUM('Defect (Total)'!BP77,Planned!CV77,Reconductor!CV77,CTGS!CV77,'Substation 2025$'!CV77*$BL$1,Comms!CR77*$BL$2)</f>
        <v>5111845.6580964867</v>
      </c>
      <c r="BQ77" s="97">
        <f>SUM('Defect (Total)'!BQ77,Planned!CW77,Reconductor!CW77,CTGS!CW77,'Substation 2025$'!CW77*$BL$1,Comms!CS77*$BL$2)</f>
        <v>5111845.6580964867</v>
      </c>
      <c r="BR77" s="98">
        <f>SUM('Defect (Total)'!BR77,Planned!CX77,Reconductor!CX77,CTGS!CX77,'Substation 2025$'!CX77*$BL$1,Comms!CT77*$BL$2)</f>
        <v>5111845.6580964867</v>
      </c>
      <c r="BS77" s="836">
        <f>'Unit Cost Rate Summary'!AO77</f>
        <v>310.94446057515188</v>
      </c>
      <c r="BT77" s="840">
        <f t="shared" si="49"/>
        <v>3175.6779502911263</v>
      </c>
      <c r="BU77" s="832">
        <f t="shared" si="50"/>
        <v>15878.389751455632</v>
      </c>
      <c r="BV77" t="s">
        <v>638</v>
      </c>
      <c r="CI77" s="416">
        <f>VLOOKUP($A77,'Distribution Summary'!$A$136:$CG$146,CI$1,0)*BN77</f>
        <v>5823927.5759864468</v>
      </c>
      <c r="CJ77" s="97">
        <f>VLOOKUP($A77,'Distribution Summary'!$A$136:$CG$146,CJ$1,0)*BO77</f>
        <v>5851792.0451143598</v>
      </c>
      <c r="CK77" s="97">
        <f>VLOOKUP($A77,'Distribution Summary'!$A$136:$CG$146,CK$1,0)*BP77</f>
        <v>5878583.8657868979</v>
      </c>
      <c r="CL77" s="97">
        <f>VLOOKUP($A77,'Distribution Summary'!$A$136:$CG$146,CL$1,0)*BQ77</f>
        <v>5910122.1563008884</v>
      </c>
      <c r="CM77" s="98">
        <f>VLOOKUP($A77,'Distribution Summary'!$A$136:$CG$146,CM$1,0)*BR77</f>
        <v>5945451.7908546422</v>
      </c>
    </row>
    <row r="78" spans="1:91" x14ac:dyDescent="0.25">
      <c r="A78" s="81" t="s">
        <v>138</v>
      </c>
      <c r="B78" s="82" t="s">
        <v>159</v>
      </c>
      <c r="C78" s="83" t="s">
        <v>368</v>
      </c>
      <c r="D78" s="84">
        <f>SUM('Defect (Total)'!D78,Planned!D78,Reconductor!D78,CTGS!D78)</f>
        <v>871387</v>
      </c>
      <c r="E78" s="85">
        <f>SUM('Defect (Total)'!E78,Planned!E78,Reconductor!E78,CTGS!E78)</f>
        <v>551584</v>
      </c>
      <c r="F78" s="85">
        <f>SUM('Defect (Total)'!F78,Planned!F78,Reconductor!F78,CTGS!F78)</f>
        <v>572502</v>
      </c>
      <c r="G78" s="85">
        <f>SUM('Defect (Total)'!G78,Planned!G78,Reconductor!G78,CTGS!G78)</f>
        <v>1322749</v>
      </c>
      <c r="H78" s="85">
        <f>SUM('Defect (Total)'!H78,Planned!H78,Reconductor!H78,CTGS!H78)</f>
        <v>1607523</v>
      </c>
      <c r="I78" s="85">
        <f>SUM('Defect (Total)'!I78,Planned!I78,Reconductor!I78,CTGS!I78)</f>
        <v>1784656.6065774828</v>
      </c>
      <c r="J78" s="85">
        <f>SUM('Defect (Total)'!J78,Planned!J78,Reconductor!J78,CTGS!J78)</f>
        <v>994565.94573161122</v>
      </c>
      <c r="K78" s="85">
        <f>SUM('Defect (Total)'!K78,Planned!K78,Reconductor!K78,CTGS!K78)</f>
        <v>1350642.411592179</v>
      </c>
      <c r="L78" s="85">
        <f>SUM('Defect (Total)'!L78,Planned!L78,Reconductor!L78,CTGS!L78)</f>
        <v>917905.96047592838</v>
      </c>
      <c r="M78" s="85">
        <f>SUM('Defect (Total)'!M78,Planned!M78,Reconductor!M78,CTGS!M78)</f>
        <v>2022024.0670805369</v>
      </c>
      <c r="N78" s="85">
        <f>SUM('Defect (Total)'!N78,Planned!N78,Reconductor!N78,CTGS!N78)</f>
        <v>3236790.5212657144</v>
      </c>
      <c r="O78" s="560">
        <f>SUM('Defect (Total)'!O78,Planned!O78,Reconductor!O78,CTGS!O78)</f>
        <v>1172413.1456244609</v>
      </c>
      <c r="P78" s="561">
        <f>SUM('Defect (Total)'!P78,Planned!P78,Reconductor!P78,CTGS!P78)</f>
        <v>731086.49013698765</v>
      </c>
      <c r="Q78" s="561">
        <f>SUM('Defect (Total)'!Q78,Planned!Q78,Reconductor!Q78,CTGS!Q78)</f>
        <v>751125.91458954848</v>
      </c>
      <c r="R78" s="561">
        <f>SUM('Defect (Total)'!R78,Planned!R78,Reconductor!R78,CTGS!R78)</f>
        <v>1702532.3936945414</v>
      </c>
      <c r="S78" s="561">
        <f>SUM('Defect (Total)'!S78,Planned!S78,Reconductor!S78,CTGS!S78)</f>
        <v>2026955.9693437957</v>
      </c>
      <c r="T78" s="561">
        <f>SUM('Defect (Total)'!T78,Planned!T78,Reconductor!T78,CTGS!T78)</f>
        <v>2215023.5034499248</v>
      </c>
      <c r="U78" s="561">
        <f>SUM('Defect (Total)'!U78,Planned!U78,Reconductor!U78,CTGS!U78)</f>
        <v>1238719.924570669</v>
      </c>
      <c r="V78" s="561">
        <f>SUM('Defect (Total)'!V78,Planned!V78,Reconductor!V78,CTGS!V78)</f>
        <v>1619904.8479438967</v>
      </c>
      <c r="W78" s="561">
        <f>SUM('Defect (Total)'!W78,Planned!W78,Reconductor!W78,CTGS!W78)</f>
        <v>1037166.9429677589</v>
      </c>
      <c r="X78" s="561">
        <f>SUM('Defect (Total)'!X78,Planned!X78,Reconductor!X78,CTGS!X78)</f>
        <v>2150343.5869579725</v>
      </c>
      <c r="Y78" s="561">
        <f>SUM('Defect (Total)'!Y78,Planned!Y78,Reconductor!Y78,CTGS!Y78)</f>
        <v>3325797.3384650745</v>
      </c>
      <c r="Z78" s="86">
        <f>SUM('Defect (Total)'!Z78,Planned!Z78,Reconductor!Z78,CTGS!Z78)</f>
        <v>6</v>
      </c>
      <c r="AA78" s="87">
        <f>SUM('Defect (Total)'!AA78,Planned!AA78,Reconductor!AA78,CTGS!AA78)</f>
        <v>4</v>
      </c>
      <c r="AB78" s="87">
        <f>SUM('Defect (Total)'!AB78,Planned!AB78,Reconductor!AB78,CTGS!AB78)</f>
        <v>4</v>
      </c>
      <c r="AC78" s="87">
        <f>SUM('Defect (Total)'!AC78,Planned!AC78,Reconductor!AC78,CTGS!AC78)</f>
        <v>6</v>
      </c>
      <c r="AD78" s="87">
        <f>SUM('Defect (Total)'!AD78,Planned!AD78,Reconductor!AD78,CTGS!AD78)</f>
        <v>10</v>
      </c>
      <c r="AE78" s="87">
        <f>SUM('Defect (Total)'!AE78,Planned!AE78,Reconductor!AE78,CTGS!AE78)</f>
        <v>8</v>
      </c>
      <c r="AF78" s="87">
        <f>SUM('Defect (Total)'!AF78,Planned!AF78,Reconductor!AF78,CTGS!AF78)</f>
        <v>8</v>
      </c>
      <c r="AG78" s="87">
        <f>SUM('Defect (Total)'!AG78,Planned!AG78,Reconductor!AG78,CTGS!AG78)</f>
        <v>16</v>
      </c>
      <c r="AH78" s="87">
        <f>SUM('Defect (Total)'!AH78,Planned!AH78,Reconductor!AH78,CTGS!AH78)</f>
        <v>8</v>
      </c>
      <c r="AI78" s="87">
        <f>SUM('Defect (Total)'!AI78,Planned!AI78,Reconductor!AI78,CTGS!AI78)</f>
        <v>16</v>
      </c>
      <c r="AJ78" s="87">
        <f>SUM('Defect (Total)'!AJ78,Planned!AJ78,Reconductor!AJ78,CTGS!AJ78)</f>
        <v>9</v>
      </c>
      <c r="AK78" s="88">
        <f t="shared" si="51"/>
        <v>11.2</v>
      </c>
      <c r="AL78" s="89">
        <f t="shared" si="52"/>
        <v>13.333333333333334</v>
      </c>
      <c r="AM78" s="90">
        <f t="shared" si="53"/>
        <v>16</v>
      </c>
      <c r="AN78" s="91">
        <f t="shared" si="35"/>
        <v>145231.16666666666</v>
      </c>
      <c r="AO78" s="92">
        <f t="shared" si="36"/>
        <v>137896</v>
      </c>
      <c r="AP78" s="92">
        <f t="shared" si="37"/>
        <v>143125.5</v>
      </c>
      <c r="AQ78" s="92">
        <f t="shared" si="38"/>
        <v>220458.16666666666</v>
      </c>
      <c r="AR78" s="92">
        <f t="shared" si="39"/>
        <v>160752.29999999999</v>
      </c>
      <c r="AS78" s="92">
        <f t="shared" si="40"/>
        <v>223082.07582218535</v>
      </c>
      <c r="AT78" s="92">
        <f t="shared" si="41"/>
        <v>124320.7432164514</v>
      </c>
      <c r="AU78" s="92">
        <f t="shared" si="42"/>
        <v>84415.150724511186</v>
      </c>
      <c r="AV78" s="92">
        <f t="shared" si="43"/>
        <v>114738.24505949105</v>
      </c>
      <c r="AW78" s="92">
        <f t="shared" si="44"/>
        <v>126376.50419253355</v>
      </c>
      <c r="AX78" s="92">
        <f t="shared" si="45"/>
        <v>359643.39125174604</v>
      </c>
      <c r="AY78" s="93">
        <f t="shared" si="46"/>
        <v>133105.87848754402</v>
      </c>
      <c r="AZ78" s="94">
        <f t="shared" si="47"/>
        <v>101972.32243124119</v>
      </c>
      <c r="BA78" s="95">
        <f t="shared" si="48"/>
        <v>114738.24505949105</v>
      </c>
      <c r="BB78" s="689">
        <f>SUM('Defect (Total)'!BB78,Planned!CE78,Reconductor!CE78,CTGS!CE78,'Substation 2025$'!CE78*$BL$1,Comms!CA78*$BL$2)</f>
        <v>12</v>
      </c>
      <c r="BC78" s="689">
        <f>SUM('Defect (Total)'!BC78,Planned!CF78,Reconductor!CF78,CTGS!CF78,'Substation 2025$'!CF78*$BL$1,Comms!CB78*$BL$2)</f>
        <v>12</v>
      </c>
      <c r="BD78" s="96">
        <f>SUM('Defect (Total)'!BD78,Planned!CG78,Reconductor!CG78,CTGS!CG78,'Substation 2025$'!CG78*$BL$1,Comms!CC78*$BL$2)</f>
        <v>12</v>
      </c>
      <c r="BE78" s="96">
        <f>SUM('Defect (Total)'!BE78,Planned!CH78,Reconductor!CH78,CTGS!CH78,'Substation 2025$'!CH78*$BL$1,Comms!CD78*$BL$2)</f>
        <v>10.213006993007999</v>
      </c>
      <c r="BF78" s="96">
        <f>SUM('Defect (Total)'!BF78,Planned!CI78,Reconductor!CI78,CTGS!CI78,'Substation 2025$'!CI78*$BL$1,Comms!CE78*$BL$2)</f>
        <v>10.213006993007999</v>
      </c>
      <c r="BG78" s="96">
        <f>SUM('Defect (Total)'!BG78,Planned!CJ78,Reconductor!CJ78,CTGS!CJ78,'Substation 2025$'!CJ78*$BL$1,Comms!CF78*$BL$2)</f>
        <v>10.213006993007999</v>
      </c>
      <c r="BH78" s="96">
        <f>SUM('Defect (Total)'!BH78,Planned!CK78,Reconductor!CK78,CTGS!CK78,'Substation 2025$'!CK78*$BL$1,Comms!CG78*$BL$2)</f>
        <v>10.213006993007999</v>
      </c>
      <c r="BI78" s="286">
        <f>SUM('Defect (Total)'!BI78,Planned!CL78,Reconductor!CL78,CTGS!CL78,'Substation 2025$'!CL78*$BL$1,Comms!CH78*$BL$2)</f>
        <v>10.213006993007999</v>
      </c>
      <c r="BJ78" s="99">
        <f t="shared" si="54"/>
        <v>110469.62946406005</v>
      </c>
      <c r="BK78" s="992">
        <f>SUM('Defect (Total)'!BK78,Planned!CQ78,Reconductor!CQ78,CTGS!CQ78,'Substation 2025$'!CQ78*$BL$1,Comms!CM78*$BL$2)</f>
        <v>1345896.1235975632</v>
      </c>
      <c r="BL78" s="992">
        <f>SUM('Defect (Total)'!BL78,Planned!CR78,Reconductor!CR78,CTGS!CR78,'Substation 2025$'!CR78*$BL$1,Comms!CN78*$BL$2)</f>
        <v>1345896.1235975632</v>
      </c>
      <c r="BM78" s="524">
        <f>SUM('Defect (Total)'!BM78,Planned!CS78,Reconductor!CS78,CTGS!CS78,'Substation 2025$'!CS78*$BL$1,Comms!CO78*$BL$2)</f>
        <v>1345896.1235975632</v>
      </c>
      <c r="BN78" s="416">
        <f>SUM('Defect (Total)'!BN78,Planned!CT78,Reconductor!CT78,CTGS!CT78,'Substation 2025$'!CT78*$BL$1,Comms!CP78*$BL$2)</f>
        <v>1128227.0982314479</v>
      </c>
      <c r="BO78" s="97">
        <f>SUM('Defect (Total)'!BO78,Planned!CU78,Reconductor!CU78,CTGS!CU78,'Substation 2025$'!CU78*$BL$1,Comms!CQ78*$BL$2)</f>
        <v>1128227.0982314479</v>
      </c>
      <c r="BP78" s="97">
        <f>SUM('Defect (Total)'!BP78,Planned!CV78,Reconductor!CV78,CTGS!CV78,'Substation 2025$'!CV78*$BL$1,Comms!CR78*$BL$2)</f>
        <v>1128227.0982314479</v>
      </c>
      <c r="BQ78" s="97">
        <f>SUM('Defect (Total)'!BQ78,Planned!CW78,Reconductor!CW78,CTGS!CW78,'Substation 2025$'!CW78*$BL$1,Comms!CS78*$BL$2)</f>
        <v>1128227.0982314479</v>
      </c>
      <c r="BR78" s="98">
        <f>SUM('Defect (Total)'!BR78,Planned!CX78,Reconductor!CX78,CTGS!CX78,'Substation 2025$'!CX78*$BL$1,Comms!CT78*$BL$2)</f>
        <v>1128227.0982314479</v>
      </c>
      <c r="BS78" s="836">
        <f>'Unit Cost Rate Summary'!AO78</f>
        <v>365.00193794300822</v>
      </c>
      <c r="BT78" s="840">
        <f t="shared" si="49"/>
        <v>0</v>
      </c>
      <c r="BU78" s="832">
        <f t="shared" si="50"/>
        <v>0</v>
      </c>
      <c r="BV78" t="s">
        <v>638</v>
      </c>
      <c r="CI78" s="416">
        <f>VLOOKUP($A78,'Distribution Summary'!$A$136:$CG$146,CI$1,0)*BN78</f>
        <v>1285389.5342004625</v>
      </c>
      <c r="CJ78" s="97">
        <f>VLOOKUP($A78,'Distribution Summary'!$A$136:$CG$146,CJ$1,0)*BO78</f>
        <v>1291539.4556281862</v>
      </c>
      <c r="CK78" s="97">
        <f>VLOOKUP($A78,'Distribution Summary'!$A$136:$CG$146,CK$1,0)*BP78</f>
        <v>1297452.6345689157</v>
      </c>
      <c r="CL78" s="97">
        <f>VLOOKUP($A78,'Distribution Summary'!$A$136:$CG$146,CL$1,0)*BQ78</f>
        <v>1304413.39910871</v>
      </c>
      <c r="CM78" s="98">
        <f>VLOOKUP($A78,'Distribution Summary'!$A$136:$CG$146,CM$1,0)*BR78</f>
        <v>1312210.9449933411</v>
      </c>
    </row>
    <row r="79" spans="1:91" x14ac:dyDescent="0.25">
      <c r="A79" s="81" t="s">
        <v>138</v>
      </c>
      <c r="B79" s="82" t="s">
        <v>161</v>
      </c>
      <c r="C79" s="83" t="s">
        <v>369</v>
      </c>
      <c r="D79" s="84">
        <f>SUM('Defect (Total)'!D79,Planned!D79,Reconductor!D79,CTGS!D79)</f>
        <v>0</v>
      </c>
      <c r="E79" s="85">
        <f>SUM('Defect (Total)'!E79,Planned!E79,Reconductor!E79,CTGS!E79)</f>
        <v>0</v>
      </c>
      <c r="F79" s="85">
        <f>SUM('Defect (Total)'!F79,Planned!F79,Reconductor!F79,CTGS!F79)</f>
        <v>0</v>
      </c>
      <c r="G79" s="85">
        <f>SUM('Defect (Total)'!G79,Planned!G79,Reconductor!G79,CTGS!G79)</f>
        <v>0</v>
      </c>
      <c r="H79" s="85">
        <f>SUM('Defect (Total)'!H79,Planned!H79,Reconductor!H79,CTGS!H79)</f>
        <v>0</v>
      </c>
      <c r="I79" s="85">
        <f>SUM('Defect (Total)'!I79,Planned!I79,Reconductor!I79,CTGS!I79)</f>
        <v>0</v>
      </c>
      <c r="J79" s="85">
        <f>SUM('Defect (Total)'!J79,Planned!J79,Reconductor!J79,CTGS!J79)</f>
        <v>0</v>
      </c>
      <c r="K79" s="85">
        <f>SUM('Defect (Total)'!K79,Planned!K79,Reconductor!K79,CTGS!K79)</f>
        <v>0</v>
      </c>
      <c r="L79" s="85">
        <f>SUM('Defect (Total)'!L79,Planned!L79,Reconductor!L79,CTGS!L79)</f>
        <v>0</v>
      </c>
      <c r="M79" s="85">
        <f>SUM('Defect (Total)'!M79,Planned!M79,Reconductor!M79,CTGS!M79)</f>
        <v>0</v>
      </c>
      <c r="N79" s="85">
        <f>SUM('Defect (Total)'!N79,Planned!N79,Reconductor!N79,CTGS!N79)</f>
        <v>0</v>
      </c>
      <c r="O79" s="560">
        <f>SUM('Defect (Total)'!O79,Planned!O79,Reconductor!O79,CTGS!O79)</f>
        <v>0</v>
      </c>
      <c r="P79" s="561">
        <f>SUM('Defect (Total)'!P79,Planned!P79,Reconductor!P79,CTGS!P79)</f>
        <v>0</v>
      </c>
      <c r="Q79" s="561">
        <f>SUM('Defect (Total)'!Q79,Planned!Q79,Reconductor!Q79,CTGS!Q79)</f>
        <v>0</v>
      </c>
      <c r="R79" s="561">
        <f>SUM('Defect (Total)'!R79,Planned!R79,Reconductor!R79,CTGS!R79)</f>
        <v>0</v>
      </c>
      <c r="S79" s="561">
        <f>SUM('Defect (Total)'!S79,Planned!S79,Reconductor!S79,CTGS!S79)</f>
        <v>0</v>
      </c>
      <c r="T79" s="561">
        <f>SUM('Defect (Total)'!T79,Planned!T79,Reconductor!T79,CTGS!T79)</f>
        <v>0</v>
      </c>
      <c r="U79" s="561">
        <f>SUM('Defect (Total)'!U79,Planned!U79,Reconductor!U79,CTGS!U79)</f>
        <v>0</v>
      </c>
      <c r="V79" s="561">
        <f>SUM('Defect (Total)'!V79,Planned!V79,Reconductor!V79,CTGS!V79)</f>
        <v>0</v>
      </c>
      <c r="W79" s="561">
        <f>SUM('Defect (Total)'!W79,Planned!W79,Reconductor!W79,CTGS!W79)</f>
        <v>0</v>
      </c>
      <c r="X79" s="561">
        <f>SUM('Defect (Total)'!X79,Planned!X79,Reconductor!X79,CTGS!X79)</f>
        <v>0</v>
      </c>
      <c r="Y79" s="561">
        <f>SUM('Defect (Total)'!Y79,Planned!Y79,Reconductor!Y79,CTGS!Y79)</f>
        <v>0</v>
      </c>
      <c r="Z79" s="86">
        <f>SUM('Defect (Total)'!Z79,Planned!Z79,Reconductor!Z79,CTGS!Z79)</f>
        <v>0</v>
      </c>
      <c r="AA79" s="87">
        <f>SUM('Defect (Total)'!AA79,Planned!AA79,Reconductor!AA79,CTGS!AA79)</f>
        <v>0</v>
      </c>
      <c r="AB79" s="87">
        <f>SUM('Defect (Total)'!AB79,Planned!AB79,Reconductor!AB79,CTGS!AB79)</f>
        <v>0</v>
      </c>
      <c r="AC79" s="87">
        <f>SUM('Defect (Total)'!AC79,Planned!AC79,Reconductor!AC79,CTGS!AC79)</f>
        <v>0</v>
      </c>
      <c r="AD79" s="87">
        <f>SUM('Defect (Total)'!AD79,Planned!AD79,Reconductor!AD79,CTGS!AD79)</f>
        <v>0</v>
      </c>
      <c r="AE79" s="87">
        <f>SUM('Defect (Total)'!AE79,Planned!AE79,Reconductor!AE79,CTGS!AE79)</f>
        <v>0</v>
      </c>
      <c r="AF79" s="87">
        <f>SUM('Defect (Total)'!AF79,Planned!AF79,Reconductor!AF79,CTGS!AF79)</f>
        <v>0</v>
      </c>
      <c r="AG79" s="87">
        <f>SUM('Defect (Total)'!AG79,Planned!AG79,Reconductor!AG79,CTGS!AG79)</f>
        <v>0</v>
      </c>
      <c r="AH79" s="87">
        <f>SUM('Defect (Total)'!AH79,Planned!AH79,Reconductor!AH79,CTGS!AH79)</f>
        <v>0</v>
      </c>
      <c r="AI79" s="87">
        <f>SUM('Defect (Total)'!AI79,Planned!AI79,Reconductor!AI79,CTGS!AI79)</f>
        <v>0</v>
      </c>
      <c r="AJ79" s="87">
        <f>SUM('Defect (Total)'!AJ79,Planned!AJ79,Reconductor!AJ79,CTGS!AJ79)</f>
        <v>0</v>
      </c>
      <c r="AK79" s="88">
        <f t="shared" si="51"/>
        <v>0</v>
      </c>
      <c r="AL79" s="89">
        <f t="shared" si="52"/>
        <v>0</v>
      </c>
      <c r="AM79" s="90">
        <f t="shared" si="53"/>
        <v>0</v>
      </c>
      <c r="AN79" s="91" t="str">
        <f t="shared" si="35"/>
        <v/>
      </c>
      <c r="AO79" s="92" t="str">
        <f t="shared" si="36"/>
        <v/>
      </c>
      <c r="AP79" s="92" t="str">
        <f t="shared" si="37"/>
        <v/>
      </c>
      <c r="AQ79" s="92" t="str">
        <f t="shared" si="38"/>
        <v/>
      </c>
      <c r="AR79" s="92" t="str">
        <f t="shared" si="39"/>
        <v/>
      </c>
      <c r="AS79" s="92" t="str">
        <f t="shared" si="40"/>
        <v/>
      </c>
      <c r="AT79" s="92" t="str">
        <f t="shared" si="41"/>
        <v/>
      </c>
      <c r="AU79" s="92" t="str">
        <f t="shared" si="42"/>
        <v/>
      </c>
      <c r="AV79" s="92" t="str">
        <f t="shared" si="43"/>
        <v/>
      </c>
      <c r="AW79" s="92" t="str">
        <f t="shared" si="44"/>
        <v/>
      </c>
      <c r="AX79" s="92" t="str">
        <f t="shared" si="45"/>
        <v/>
      </c>
      <c r="AY79" s="93" t="str">
        <f t="shared" si="46"/>
        <v/>
      </c>
      <c r="AZ79" s="94" t="str">
        <f t="shared" si="47"/>
        <v/>
      </c>
      <c r="BA79" s="95" t="str">
        <f t="shared" si="48"/>
        <v/>
      </c>
      <c r="BB79" s="689">
        <f>SUM('Defect (Total)'!BB79,Planned!CE79,Reconductor!CE79,CTGS!CE79,'Substation 2025$'!CE79*$BL$1,Comms!CA79*$BL$2)</f>
        <v>0</v>
      </c>
      <c r="BC79" s="689">
        <f>SUM('Defect (Total)'!BC79,Planned!CF79,Reconductor!CF79,CTGS!CF79,'Substation 2025$'!CF79*$BL$1,Comms!CB79*$BL$2)</f>
        <v>0</v>
      </c>
      <c r="BD79" s="96">
        <f>SUM('Defect (Total)'!BD79,Planned!CG79,Reconductor!CG79,CTGS!CG79,'Substation 2025$'!CG79*$BL$1,Comms!CC79*$BL$2)</f>
        <v>0</v>
      </c>
      <c r="BE79" s="96">
        <f>SUM('Defect (Total)'!BE79,Planned!CH79,Reconductor!CH79,CTGS!CH79,'Substation 2025$'!CH79*$BL$1,Comms!CD79*$BL$2)</f>
        <v>0</v>
      </c>
      <c r="BF79" s="96">
        <f>SUM('Defect (Total)'!BF79,Planned!CI79,Reconductor!CI79,CTGS!CI79,'Substation 2025$'!CI79*$BL$1,Comms!CE79*$BL$2)</f>
        <v>0</v>
      </c>
      <c r="BG79" s="96">
        <f>SUM('Defect (Total)'!BG79,Planned!CJ79,Reconductor!CJ79,CTGS!CJ79,'Substation 2025$'!CJ79*$BL$1,Comms!CF79*$BL$2)</f>
        <v>0</v>
      </c>
      <c r="BH79" s="96">
        <f>SUM('Defect (Total)'!BH79,Planned!CK79,Reconductor!CK79,CTGS!CK79,'Substation 2025$'!CK79*$BL$1,Comms!CG79*$BL$2)</f>
        <v>0</v>
      </c>
      <c r="BI79" s="286">
        <f>SUM('Defect (Total)'!BI79,Planned!CL79,Reconductor!CL79,CTGS!CL79,'Substation 2025$'!CL79*$BL$1,Comms!CH79*$BL$2)</f>
        <v>0</v>
      </c>
      <c r="BJ79" s="99" t="str">
        <f t="shared" si="54"/>
        <v/>
      </c>
      <c r="BK79" s="992">
        <f>SUM('Defect (Total)'!BK79,Planned!CQ79,Reconductor!CQ79,CTGS!CQ79,'Substation 2025$'!CQ79*$BL$1,Comms!CM79*$BL$2)</f>
        <v>0</v>
      </c>
      <c r="BL79" s="992">
        <f>SUM('Defect (Total)'!BL79,Planned!CR79,Reconductor!CR79,CTGS!CR79,'Substation 2025$'!CR79*$BL$1,Comms!CN79*$BL$2)</f>
        <v>0</v>
      </c>
      <c r="BM79" s="524">
        <f>SUM('Defect (Total)'!BM79,Planned!CS79,Reconductor!CS79,CTGS!CS79,'Substation 2025$'!CS79*$BL$1,Comms!CO79*$BL$2)</f>
        <v>0</v>
      </c>
      <c r="BN79" s="416">
        <f>SUM('Defect (Total)'!BN79,Planned!CT79,Reconductor!CT79,CTGS!CT79,'Substation 2025$'!CT79*$BL$1,Comms!CP79*$BL$2)</f>
        <v>0</v>
      </c>
      <c r="BO79" s="97">
        <f>SUM('Defect (Total)'!BO79,Planned!CU79,Reconductor!CU79,CTGS!CU79,'Substation 2025$'!CU79*$BL$1,Comms!CQ79*$BL$2)</f>
        <v>0</v>
      </c>
      <c r="BP79" s="97">
        <f>SUM('Defect (Total)'!BP79,Planned!CV79,Reconductor!CV79,CTGS!CV79,'Substation 2025$'!CV79*$BL$1,Comms!CR79*$BL$2)</f>
        <v>0</v>
      </c>
      <c r="BQ79" s="97">
        <f>SUM('Defect (Total)'!BQ79,Planned!CW79,Reconductor!CW79,CTGS!CW79,'Substation 2025$'!CW79*$BL$1,Comms!CS79*$BL$2)</f>
        <v>0</v>
      </c>
      <c r="BR79" s="98">
        <f>SUM('Defect (Total)'!BR79,Planned!CX79,Reconductor!CX79,CTGS!CX79,'Substation 2025$'!CX79*$BL$1,Comms!CT79*$BL$2)</f>
        <v>0</v>
      </c>
      <c r="BS79" s="836" t="str">
        <f>'Unit Cost Rate Summary'!AO79</f>
        <v/>
      </c>
      <c r="BT79" s="840" t="str">
        <f t="shared" si="49"/>
        <v/>
      </c>
      <c r="BU79" s="832" t="str">
        <f t="shared" si="50"/>
        <v/>
      </c>
      <c r="BV79" t="s">
        <v>638</v>
      </c>
      <c r="CI79" s="416">
        <f>VLOOKUP($A79,'Distribution Summary'!$A$136:$CG$146,CI$1,0)*BN79</f>
        <v>0</v>
      </c>
      <c r="CJ79" s="97">
        <f>VLOOKUP($A79,'Distribution Summary'!$A$136:$CG$146,CJ$1,0)*BO79</f>
        <v>0</v>
      </c>
      <c r="CK79" s="97">
        <f>VLOOKUP($A79,'Distribution Summary'!$A$136:$CG$146,CK$1,0)*BP79</f>
        <v>0</v>
      </c>
      <c r="CL79" s="97">
        <f>VLOOKUP($A79,'Distribution Summary'!$A$136:$CG$146,CL$1,0)*BQ79</f>
        <v>0</v>
      </c>
      <c r="CM79" s="98">
        <f>VLOOKUP($A79,'Distribution Summary'!$A$136:$CG$146,CM$1,0)*BR79</f>
        <v>0</v>
      </c>
    </row>
    <row r="80" spans="1:91" x14ac:dyDescent="0.25">
      <c r="A80" s="81" t="s">
        <v>138</v>
      </c>
      <c r="B80" s="82" t="s">
        <v>163</v>
      </c>
      <c r="C80" s="83" t="s">
        <v>370</v>
      </c>
      <c r="D80" s="84">
        <f>SUM('Defect (Total)'!D80,Planned!D80,Reconductor!D80,CTGS!D80)</f>
        <v>0</v>
      </c>
      <c r="E80" s="85">
        <f>SUM('Defect (Total)'!E80,Planned!E80,Reconductor!E80,CTGS!E80)</f>
        <v>0</v>
      </c>
      <c r="F80" s="85">
        <f>SUM('Defect (Total)'!F80,Planned!F80,Reconductor!F80,CTGS!F80)</f>
        <v>0</v>
      </c>
      <c r="G80" s="85">
        <f>SUM('Defect (Total)'!G80,Planned!G80,Reconductor!G80,CTGS!G80)</f>
        <v>0</v>
      </c>
      <c r="H80" s="85">
        <f>SUM('Defect (Total)'!H80,Planned!H80,Reconductor!H80,CTGS!H80)</f>
        <v>0</v>
      </c>
      <c r="I80" s="85">
        <f>SUM('Defect (Total)'!I80,Planned!I80,Reconductor!I80,CTGS!I80)</f>
        <v>0</v>
      </c>
      <c r="J80" s="85">
        <f>SUM('Defect (Total)'!J80,Planned!J80,Reconductor!J80,CTGS!J80)</f>
        <v>0</v>
      </c>
      <c r="K80" s="85">
        <f>SUM('Defect (Total)'!K80,Planned!K80,Reconductor!K80,CTGS!K80)</f>
        <v>0</v>
      </c>
      <c r="L80" s="85">
        <f>SUM('Defect (Total)'!L80,Planned!L80,Reconductor!L80,CTGS!L80)</f>
        <v>0</v>
      </c>
      <c r="M80" s="85">
        <f>SUM('Defect (Total)'!M80,Planned!M80,Reconductor!M80,CTGS!M80)</f>
        <v>0</v>
      </c>
      <c r="N80" s="85">
        <f>SUM('Defect (Total)'!N80,Planned!N80,Reconductor!N80,CTGS!N80)</f>
        <v>0</v>
      </c>
      <c r="O80" s="560">
        <f>SUM('Defect (Total)'!O80,Planned!O80,Reconductor!O80,CTGS!O80)</f>
        <v>0</v>
      </c>
      <c r="P80" s="561">
        <f>SUM('Defect (Total)'!P80,Planned!P80,Reconductor!P80,CTGS!P80)</f>
        <v>0</v>
      </c>
      <c r="Q80" s="561">
        <f>SUM('Defect (Total)'!Q80,Planned!Q80,Reconductor!Q80,CTGS!Q80)</f>
        <v>0</v>
      </c>
      <c r="R80" s="561">
        <f>SUM('Defect (Total)'!R80,Planned!R80,Reconductor!R80,CTGS!R80)</f>
        <v>0</v>
      </c>
      <c r="S80" s="561">
        <f>SUM('Defect (Total)'!S80,Planned!S80,Reconductor!S80,CTGS!S80)</f>
        <v>0</v>
      </c>
      <c r="T80" s="561">
        <f>SUM('Defect (Total)'!T80,Planned!T80,Reconductor!T80,CTGS!T80)</f>
        <v>0</v>
      </c>
      <c r="U80" s="561">
        <f>SUM('Defect (Total)'!U80,Planned!U80,Reconductor!U80,CTGS!U80)</f>
        <v>0</v>
      </c>
      <c r="V80" s="561">
        <f>SUM('Defect (Total)'!V80,Planned!V80,Reconductor!V80,CTGS!V80)</f>
        <v>0</v>
      </c>
      <c r="W80" s="561">
        <f>SUM('Defect (Total)'!W80,Planned!W80,Reconductor!W80,CTGS!W80)</f>
        <v>0</v>
      </c>
      <c r="X80" s="561">
        <f>SUM('Defect (Total)'!X80,Planned!X80,Reconductor!X80,CTGS!X80)</f>
        <v>0</v>
      </c>
      <c r="Y80" s="561">
        <f>SUM('Defect (Total)'!Y80,Planned!Y80,Reconductor!Y80,CTGS!Y80)</f>
        <v>0</v>
      </c>
      <c r="Z80" s="86">
        <f>SUM('Defect (Total)'!Z80,Planned!Z80,Reconductor!Z80,CTGS!Z80)</f>
        <v>0</v>
      </c>
      <c r="AA80" s="87">
        <f>SUM('Defect (Total)'!AA80,Planned!AA80,Reconductor!AA80,CTGS!AA80)</f>
        <v>0</v>
      </c>
      <c r="AB80" s="87">
        <f>SUM('Defect (Total)'!AB80,Planned!AB80,Reconductor!AB80,CTGS!AB80)</f>
        <v>0</v>
      </c>
      <c r="AC80" s="87">
        <f>SUM('Defect (Total)'!AC80,Planned!AC80,Reconductor!AC80,CTGS!AC80)</f>
        <v>0</v>
      </c>
      <c r="AD80" s="87">
        <f>SUM('Defect (Total)'!AD80,Planned!AD80,Reconductor!AD80,CTGS!AD80)</f>
        <v>0</v>
      </c>
      <c r="AE80" s="87">
        <f>SUM('Defect (Total)'!AE80,Planned!AE80,Reconductor!AE80,CTGS!AE80)</f>
        <v>0</v>
      </c>
      <c r="AF80" s="87">
        <f>SUM('Defect (Total)'!AF80,Planned!AF80,Reconductor!AF80,CTGS!AF80)</f>
        <v>0</v>
      </c>
      <c r="AG80" s="87">
        <f>SUM('Defect (Total)'!AG80,Planned!AG80,Reconductor!AG80,CTGS!AG80)</f>
        <v>0</v>
      </c>
      <c r="AH80" s="87">
        <f>SUM('Defect (Total)'!AH80,Planned!AH80,Reconductor!AH80,CTGS!AH80)</f>
        <v>0</v>
      </c>
      <c r="AI80" s="87">
        <f>SUM('Defect (Total)'!AI80,Planned!AI80,Reconductor!AI80,CTGS!AI80)</f>
        <v>0</v>
      </c>
      <c r="AJ80" s="87">
        <f>SUM('Defect (Total)'!AJ80,Planned!AJ80,Reconductor!AJ80,CTGS!AJ80)</f>
        <v>0</v>
      </c>
      <c r="AK80" s="88">
        <f t="shared" si="51"/>
        <v>0</v>
      </c>
      <c r="AL80" s="89">
        <f t="shared" si="52"/>
        <v>0</v>
      </c>
      <c r="AM80" s="90">
        <f t="shared" si="53"/>
        <v>0</v>
      </c>
      <c r="AN80" s="91" t="str">
        <f t="shared" si="35"/>
        <v/>
      </c>
      <c r="AO80" s="92" t="str">
        <f t="shared" si="36"/>
        <v/>
      </c>
      <c r="AP80" s="92" t="str">
        <f t="shared" si="37"/>
        <v/>
      </c>
      <c r="AQ80" s="92" t="str">
        <f t="shared" si="38"/>
        <v/>
      </c>
      <c r="AR80" s="92" t="str">
        <f t="shared" si="39"/>
        <v/>
      </c>
      <c r="AS80" s="92" t="str">
        <f t="shared" si="40"/>
        <v/>
      </c>
      <c r="AT80" s="92" t="str">
        <f t="shared" si="41"/>
        <v/>
      </c>
      <c r="AU80" s="92" t="str">
        <f t="shared" si="42"/>
        <v/>
      </c>
      <c r="AV80" s="92" t="str">
        <f t="shared" si="43"/>
        <v/>
      </c>
      <c r="AW80" s="92" t="str">
        <f t="shared" si="44"/>
        <v/>
      </c>
      <c r="AX80" s="92" t="str">
        <f t="shared" si="45"/>
        <v/>
      </c>
      <c r="AY80" s="93" t="str">
        <f t="shared" si="46"/>
        <v/>
      </c>
      <c r="AZ80" s="94" t="str">
        <f t="shared" si="47"/>
        <v/>
      </c>
      <c r="BA80" s="95" t="str">
        <f t="shared" si="48"/>
        <v/>
      </c>
      <c r="BB80" s="689">
        <f>SUM('Defect (Total)'!BB80,Planned!CE80,Reconductor!CE80,CTGS!CE80,'Substation 2025$'!CE80*$BL$1,Comms!CA80*$BL$2)</f>
        <v>0</v>
      </c>
      <c r="BC80" s="689">
        <f>SUM('Defect (Total)'!BC80,Planned!CF80,Reconductor!CF80,CTGS!CF80,'Substation 2025$'!CF80*$BL$1,Comms!CB80*$BL$2)</f>
        <v>0</v>
      </c>
      <c r="BD80" s="96">
        <f>SUM('Defect (Total)'!BD80,Planned!CG80,Reconductor!CG80,CTGS!CG80,'Substation 2025$'!CG80*$BL$1,Comms!CC80*$BL$2)</f>
        <v>0</v>
      </c>
      <c r="BE80" s="96">
        <f>SUM('Defect (Total)'!BE80,Planned!CH80,Reconductor!CH80,CTGS!CH80,'Substation 2025$'!CH80*$BL$1,Comms!CD80*$BL$2)</f>
        <v>0</v>
      </c>
      <c r="BF80" s="96">
        <f>SUM('Defect (Total)'!BF80,Planned!CI80,Reconductor!CI80,CTGS!CI80,'Substation 2025$'!CI80*$BL$1,Comms!CE80*$BL$2)</f>
        <v>0</v>
      </c>
      <c r="BG80" s="96">
        <f>SUM('Defect (Total)'!BG80,Planned!CJ80,Reconductor!CJ80,CTGS!CJ80,'Substation 2025$'!CJ80*$BL$1,Comms!CF80*$BL$2)</f>
        <v>0</v>
      </c>
      <c r="BH80" s="96">
        <f>SUM('Defect (Total)'!BH80,Planned!CK80,Reconductor!CK80,CTGS!CK80,'Substation 2025$'!CK80*$BL$1,Comms!CG80*$BL$2)</f>
        <v>0</v>
      </c>
      <c r="BI80" s="286">
        <f>SUM('Defect (Total)'!BI80,Planned!CL80,Reconductor!CL80,CTGS!CL80,'Substation 2025$'!CL80*$BL$1,Comms!CH80*$BL$2)</f>
        <v>0</v>
      </c>
      <c r="BJ80" s="99" t="str">
        <f t="shared" si="54"/>
        <v/>
      </c>
      <c r="BK80" s="992">
        <f>SUM('Defect (Total)'!BK80,Planned!CQ80,Reconductor!CQ80,CTGS!CQ80,'Substation 2025$'!CQ80*$BL$1,Comms!CM80*$BL$2)</f>
        <v>0</v>
      </c>
      <c r="BL80" s="992">
        <f>SUM('Defect (Total)'!BL80,Planned!CR80,Reconductor!CR80,CTGS!CR80,'Substation 2025$'!CR80*$BL$1,Comms!CN80*$BL$2)</f>
        <v>0</v>
      </c>
      <c r="BM80" s="524">
        <f>SUM('Defect (Total)'!BM80,Planned!CS80,Reconductor!CS80,CTGS!CS80,'Substation 2025$'!CS80*$BL$1,Comms!CO80*$BL$2)</f>
        <v>0</v>
      </c>
      <c r="BN80" s="416">
        <f>SUM('Defect (Total)'!BN80,Planned!CT80,Reconductor!CT80,CTGS!CT80,'Substation 2025$'!CT80*$BL$1,Comms!CP80*$BL$2)</f>
        <v>0</v>
      </c>
      <c r="BO80" s="97">
        <f>SUM('Defect (Total)'!BO80,Planned!CU80,Reconductor!CU80,CTGS!CU80,'Substation 2025$'!CU80*$BL$1,Comms!CQ80*$BL$2)</f>
        <v>0</v>
      </c>
      <c r="BP80" s="97">
        <f>SUM('Defect (Total)'!BP80,Planned!CV80,Reconductor!CV80,CTGS!CV80,'Substation 2025$'!CV80*$BL$1,Comms!CR80*$BL$2)</f>
        <v>0</v>
      </c>
      <c r="BQ80" s="97">
        <f>SUM('Defect (Total)'!BQ80,Planned!CW80,Reconductor!CW80,CTGS!CW80,'Substation 2025$'!CW80*$BL$1,Comms!CS80*$BL$2)</f>
        <v>0</v>
      </c>
      <c r="BR80" s="98">
        <f>SUM('Defect (Total)'!BR80,Planned!CX80,Reconductor!CX80,CTGS!CX80,'Substation 2025$'!CX80*$BL$1,Comms!CT80*$BL$2)</f>
        <v>0</v>
      </c>
      <c r="BS80" s="836" t="str">
        <f>'Unit Cost Rate Summary'!AO80</f>
        <v/>
      </c>
      <c r="BT80" s="840" t="str">
        <f t="shared" si="49"/>
        <v/>
      </c>
      <c r="BU80" s="832" t="str">
        <f t="shared" si="50"/>
        <v/>
      </c>
      <c r="BV80" t="s">
        <v>638</v>
      </c>
      <c r="CI80" s="416">
        <f>VLOOKUP($A80,'Distribution Summary'!$A$136:$CG$146,CI$1,0)*BN80</f>
        <v>0</v>
      </c>
      <c r="CJ80" s="97">
        <f>VLOOKUP($A80,'Distribution Summary'!$A$136:$CG$146,CJ$1,0)*BO80</f>
        <v>0</v>
      </c>
      <c r="CK80" s="97">
        <f>VLOOKUP($A80,'Distribution Summary'!$A$136:$CG$146,CK$1,0)*BP80</f>
        <v>0</v>
      </c>
      <c r="CL80" s="97">
        <f>VLOOKUP($A80,'Distribution Summary'!$A$136:$CG$146,CL$1,0)*BQ80</f>
        <v>0</v>
      </c>
      <c r="CM80" s="98">
        <f>VLOOKUP($A80,'Distribution Summary'!$A$136:$CG$146,CM$1,0)*BR80</f>
        <v>0</v>
      </c>
    </row>
    <row r="81" spans="1:91" x14ac:dyDescent="0.25">
      <c r="A81" s="81" t="s">
        <v>138</v>
      </c>
      <c r="B81" s="82" t="s">
        <v>165</v>
      </c>
      <c r="C81" s="83" t="s">
        <v>371</v>
      </c>
      <c r="D81" s="84">
        <f>SUM('Defect (Total)'!D81,Planned!D81,Reconductor!D81,CTGS!D81)</f>
        <v>0</v>
      </c>
      <c r="E81" s="85">
        <f>SUM('Defect (Total)'!E81,Planned!E81,Reconductor!E81,CTGS!E81)</f>
        <v>0</v>
      </c>
      <c r="F81" s="85">
        <f>SUM('Defect (Total)'!F81,Planned!F81,Reconductor!F81,CTGS!F81)</f>
        <v>0</v>
      </c>
      <c r="G81" s="85">
        <f>SUM('Defect (Total)'!G81,Planned!G81,Reconductor!G81,CTGS!G81)</f>
        <v>0</v>
      </c>
      <c r="H81" s="85">
        <f>SUM('Defect (Total)'!H81,Planned!H81,Reconductor!H81,CTGS!H81)</f>
        <v>0</v>
      </c>
      <c r="I81" s="85">
        <f>SUM('Defect (Total)'!I81,Planned!I81,Reconductor!I81,CTGS!I81)</f>
        <v>0</v>
      </c>
      <c r="J81" s="85">
        <f>SUM('Defect (Total)'!J81,Planned!J81,Reconductor!J81,CTGS!J81)</f>
        <v>0</v>
      </c>
      <c r="K81" s="85">
        <f>SUM('Defect (Total)'!K81,Planned!K81,Reconductor!K81,CTGS!K81)</f>
        <v>0</v>
      </c>
      <c r="L81" s="85">
        <f>SUM('Defect (Total)'!L81,Planned!L81,Reconductor!L81,CTGS!L81)</f>
        <v>0</v>
      </c>
      <c r="M81" s="85">
        <f>SUM('Defect (Total)'!M81,Planned!M81,Reconductor!M81,CTGS!M81)</f>
        <v>0</v>
      </c>
      <c r="N81" s="85">
        <f>SUM('Defect (Total)'!N81,Planned!N81,Reconductor!N81,CTGS!N81)</f>
        <v>0</v>
      </c>
      <c r="O81" s="560">
        <f>SUM('Defect (Total)'!O81,Planned!O81,Reconductor!O81,CTGS!O81)</f>
        <v>0</v>
      </c>
      <c r="P81" s="561">
        <f>SUM('Defect (Total)'!P81,Planned!P81,Reconductor!P81,CTGS!P81)</f>
        <v>0</v>
      </c>
      <c r="Q81" s="561">
        <f>SUM('Defect (Total)'!Q81,Planned!Q81,Reconductor!Q81,CTGS!Q81)</f>
        <v>0</v>
      </c>
      <c r="R81" s="561">
        <f>SUM('Defect (Total)'!R81,Planned!R81,Reconductor!R81,CTGS!R81)</f>
        <v>0</v>
      </c>
      <c r="S81" s="561">
        <f>SUM('Defect (Total)'!S81,Planned!S81,Reconductor!S81,CTGS!S81)</f>
        <v>0</v>
      </c>
      <c r="T81" s="561">
        <f>SUM('Defect (Total)'!T81,Planned!T81,Reconductor!T81,CTGS!T81)</f>
        <v>0</v>
      </c>
      <c r="U81" s="561">
        <f>SUM('Defect (Total)'!U81,Planned!U81,Reconductor!U81,CTGS!U81)</f>
        <v>0</v>
      </c>
      <c r="V81" s="561">
        <f>SUM('Defect (Total)'!V81,Planned!V81,Reconductor!V81,CTGS!V81)</f>
        <v>0</v>
      </c>
      <c r="W81" s="561">
        <f>SUM('Defect (Total)'!W81,Planned!W81,Reconductor!W81,CTGS!W81)</f>
        <v>0</v>
      </c>
      <c r="X81" s="561">
        <f>SUM('Defect (Total)'!X81,Planned!X81,Reconductor!X81,CTGS!X81)</f>
        <v>0</v>
      </c>
      <c r="Y81" s="561">
        <f>SUM('Defect (Total)'!Y81,Planned!Y81,Reconductor!Y81,CTGS!Y81)</f>
        <v>0</v>
      </c>
      <c r="Z81" s="86">
        <f>SUM('Defect (Total)'!Z81,Planned!Z81,Reconductor!Z81,CTGS!Z81)</f>
        <v>0</v>
      </c>
      <c r="AA81" s="87">
        <f>SUM('Defect (Total)'!AA81,Planned!AA81,Reconductor!AA81,CTGS!AA81)</f>
        <v>0</v>
      </c>
      <c r="AB81" s="87">
        <f>SUM('Defect (Total)'!AB81,Planned!AB81,Reconductor!AB81,CTGS!AB81)</f>
        <v>0</v>
      </c>
      <c r="AC81" s="87">
        <f>SUM('Defect (Total)'!AC81,Planned!AC81,Reconductor!AC81,CTGS!AC81)</f>
        <v>0</v>
      </c>
      <c r="AD81" s="87">
        <f>SUM('Defect (Total)'!AD81,Planned!AD81,Reconductor!AD81,CTGS!AD81)</f>
        <v>0</v>
      </c>
      <c r="AE81" s="87">
        <f>SUM('Defect (Total)'!AE81,Planned!AE81,Reconductor!AE81,CTGS!AE81)</f>
        <v>0</v>
      </c>
      <c r="AF81" s="87">
        <f>SUM('Defect (Total)'!AF81,Planned!AF81,Reconductor!AF81,CTGS!AF81)</f>
        <v>0</v>
      </c>
      <c r="AG81" s="87">
        <f>SUM('Defect (Total)'!AG81,Planned!AG81,Reconductor!AG81,CTGS!AG81)</f>
        <v>0</v>
      </c>
      <c r="AH81" s="87">
        <f>SUM('Defect (Total)'!AH81,Planned!AH81,Reconductor!AH81,CTGS!AH81)</f>
        <v>0</v>
      </c>
      <c r="AI81" s="87">
        <f>SUM('Defect (Total)'!AI81,Planned!AI81,Reconductor!AI81,CTGS!AI81)</f>
        <v>0</v>
      </c>
      <c r="AJ81" s="87">
        <f>SUM('Defect (Total)'!AJ81,Planned!AJ81,Reconductor!AJ81,CTGS!AJ81)</f>
        <v>0</v>
      </c>
      <c r="AK81" s="88">
        <f t="shared" si="51"/>
        <v>0</v>
      </c>
      <c r="AL81" s="89">
        <f t="shared" si="52"/>
        <v>0</v>
      </c>
      <c r="AM81" s="90">
        <f t="shared" si="53"/>
        <v>0</v>
      </c>
      <c r="AN81" s="91" t="str">
        <f t="shared" si="35"/>
        <v/>
      </c>
      <c r="AO81" s="92" t="str">
        <f t="shared" si="36"/>
        <v/>
      </c>
      <c r="AP81" s="92" t="str">
        <f t="shared" si="37"/>
        <v/>
      </c>
      <c r="AQ81" s="92" t="str">
        <f t="shared" si="38"/>
        <v/>
      </c>
      <c r="AR81" s="92" t="str">
        <f t="shared" si="39"/>
        <v/>
      </c>
      <c r="AS81" s="92" t="str">
        <f t="shared" si="40"/>
        <v/>
      </c>
      <c r="AT81" s="92" t="str">
        <f t="shared" si="41"/>
        <v/>
      </c>
      <c r="AU81" s="92" t="str">
        <f t="shared" si="42"/>
        <v/>
      </c>
      <c r="AV81" s="92" t="str">
        <f t="shared" si="43"/>
        <v/>
      </c>
      <c r="AW81" s="92" t="str">
        <f t="shared" si="44"/>
        <v/>
      </c>
      <c r="AX81" s="92" t="str">
        <f t="shared" si="45"/>
        <v/>
      </c>
      <c r="AY81" s="93" t="str">
        <f t="shared" si="46"/>
        <v/>
      </c>
      <c r="AZ81" s="94" t="str">
        <f t="shared" si="47"/>
        <v/>
      </c>
      <c r="BA81" s="95" t="str">
        <f t="shared" si="48"/>
        <v/>
      </c>
      <c r="BB81" s="689">
        <f>SUM('Defect (Total)'!BB81,Planned!CE81,Reconductor!CE81,CTGS!CE81,'Substation 2025$'!CE81*$BL$1,Comms!CA81*$BL$2)</f>
        <v>0</v>
      </c>
      <c r="BC81" s="689">
        <f>SUM('Defect (Total)'!BC81,Planned!CF81,Reconductor!CF81,CTGS!CF81,'Substation 2025$'!CF81*$BL$1,Comms!CB81*$BL$2)</f>
        <v>0</v>
      </c>
      <c r="BD81" s="96">
        <f>SUM('Defect (Total)'!BD81,Planned!CG81,Reconductor!CG81,CTGS!CG81,'Substation 2025$'!CG81*$BL$1,Comms!CC81*$BL$2)</f>
        <v>0</v>
      </c>
      <c r="BE81" s="96">
        <f>SUM('Defect (Total)'!BE81,Planned!CH81,Reconductor!CH81,CTGS!CH81,'Substation 2025$'!CH81*$BL$1,Comms!CD81*$BL$2)</f>
        <v>0</v>
      </c>
      <c r="BF81" s="96">
        <f>SUM('Defect (Total)'!BF81,Planned!CI81,Reconductor!CI81,CTGS!CI81,'Substation 2025$'!CI81*$BL$1,Comms!CE81*$BL$2)</f>
        <v>0</v>
      </c>
      <c r="BG81" s="96">
        <f>SUM('Defect (Total)'!BG81,Planned!CJ81,Reconductor!CJ81,CTGS!CJ81,'Substation 2025$'!CJ81*$BL$1,Comms!CF81*$BL$2)</f>
        <v>0</v>
      </c>
      <c r="BH81" s="96">
        <f>SUM('Defect (Total)'!BH81,Planned!CK81,Reconductor!CK81,CTGS!CK81,'Substation 2025$'!CK81*$BL$1,Comms!CG81*$BL$2)</f>
        <v>0</v>
      </c>
      <c r="BI81" s="286">
        <f>SUM('Defect (Total)'!BI81,Planned!CL81,Reconductor!CL81,CTGS!CL81,'Substation 2025$'!CL81*$BL$1,Comms!CH81*$BL$2)</f>
        <v>0</v>
      </c>
      <c r="BJ81" s="99" t="str">
        <f t="shared" si="54"/>
        <v/>
      </c>
      <c r="BK81" s="992">
        <f>SUM('Defect (Total)'!BK81,Planned!CQ81,Reconductor!CQ81,CTGS!CQ81,'Substation 2025$'!CQ81*$BL$1,Comms!CM81*$BL$2)</f>
        <v>0</v>
      </c>
      <c r="BL81" s="992">
        <f>SUM('Defect (Total)'!BL81,Planned!CR81,Reconductor!CR81,CTGS!CR81,'Substation 2025$'!CR81*$BL$1,Comms!CN81*$BL$2)</f>
        <v>0</v>
      </c>
      <c r="BM81" s="524">
        <f>SUM('Defect (Total)'!BM81,Planned!CS81,Reconductor!CS81,CTGS!CS81,'Substation 2025$'!CS81*$BL$1,Comms!CO81*$BL$2)</f>
        <v>0</v>
      </c>
      <c r="BN81" s="416">
        <f>SUM('Defect (Total)'!BN81,Planned!CT81,Reconductor!CT81,CTGS!CT81,'Substation 2025$'!CT81*$BL$1,Comms!CP81*$BL$2)</f>
        <v>0</v>
      </c>
      <c r="BO81" s="97">
        <f>SUM('Defect (Total)'!BO81,Planned!CU81,Reconductor!CU81,CTGS!CU81,'Substation 2025$'!CU81*$BL$1,Comms!CQ81*$BL$2)</f>
        <v>0</v>
      </c>
      <c r="BP81" s="97">
        <f>SUM('Defect (Total)'!BP81,Planned!CV81,Reconductor!CV81,CTGS!CV81,'Substation 2025$'!CV81*$BL$1,Comms!CR81*$BL$2)</f>
        <v>0</v>
      </c>
      <c r="BQ81" s="97">
        <f>SUM('Defect (Total)'!BQ81,Planned!CW81,Reconductor!CW81,CTGS!CW81,'Substation 2025$'!CW81*$BL$1,Comms!CS81*$BL$2)</f>
        <v>0</v>
      </c>
      <c r="BR81" s="98">
        <f>SUM('Defect (Total)'!BR81,Planned!CX81,Reconductor!CX81,CTGS!CX81,'Substation 2025$'!CX81*$BL$1,Comms!CT81*$BL$2)</f>
        <v>0</v>
      </c>
      <c r="BS81" s="836" t="str">
        <f>'Unit Cost Rate Summary'!AO81</f>
        <v/>
      </c>
      <c r="BT81" s="840" t="str">
        <f t="shared" si="49"/>
        <v/>
      </c>
      <c r="BU81" s="832" t="str">
        <f t="shared" si="50"/>
        <v/>
      </c>
      <c r="BV81" t="s">
        <v>638</v>
      </c>
      <c r="CI81" s="416">
        <f>VLOOKUP($A81,'Distribution Summary'!$A$136:$CG$146,CI$1,0)*BN81</f>
        <v>0</v>
      </c>
      <c r="CJ81" s="97">
        <f>VLOOKUP($A81,'Distribution Summary'!$A$136:$CG$146,CJ$1,0)*BO81</f>
        <v>0</v>
      </c>
      <c r="CK81" s="97">
        <f>VLOOKUP($A81,'Distribution Summary'!$A$136:$CG$146,CK$1,0)*BP81</f>
        <v>0</v>
      </c>
      <c r="CL81" s="97">
        <f>VLOOKUP($A81,'Distribution Summary'!$A$136:$CG$146,CL$1,0)*BQ81</f>
        <v>0</v>
      </c>
      <c r="CM81" s="98">
        <f>VLOOKUP($A81,'Distribution Summary'!$A$136:$CG$146,CM$1,0)*BR81</f>
        <v>0</v>
      </c>
    </row>
    <row r="82" spans="1:91" x14ac:dyDescent="0.25">
      <c r="A82" s="81" t="s">
        <v>138</v>
      </c>
      <c r="B82" s="82" t="s">
        <v>167</v>
      </c>
      <c r="C82" s="83" t="s">
        <v>372</v>
      </c>
      <c r="D82" s="84">
        <f>SUM('Defect (Total)'!D82,Planned!D82,Reconductor!D82,CTGS!D82)</f>
        <v>0</v>
      </c>
      <c r="E82" s="85">
        <f>SUM('Defect (Total)'!E82,Planned!E82,Reconductor!E82,CTGS!E82)</f>
        <v>0</v>
      </c>
      <c r="F82" s="85">
        <f>SUM('Defect (Total)'!F82,Planned!F82,Reconductor!F82,CTGS!F82)</f>
        <v>0</v>
      </c>
      <c r="G82" s="85">
        <f>SUM('Defect (Total)'!G82,Planned!G82,Reconductor!G82,CTGS!G82)</f>
        <v>0</v>
      </c>
      <c r="H82" s="85">
        <f>SUM('Defect (Total)'!H82,Planned!H82,Reconductor!H82,CTGS!H82)</f>
        <v>0</v>
      </c>
      <c r="I82" s="85">
        <f>SUM('Defect (Total)'!I82,Planned!I82,Reconductor!I82,CTGS!I82)</f>
        <v>0</v>
      </c>
      <c r="J82" s="85">
        <f>SUM('Defect (Total)'!J82,Planned!J82,Reconductor!J82,CTGS!J82)</f>
        <v>0</v>
      </c>
      <c r="K82" s="85">
        <f>SUM('Defect (Total)'!K82,Planned!K82,Reconductor!K82,CTGS!K82)</f>
        <v>0</v>
      </c>
      <c r="L82" s="85">
        <f>SUM('Defect (Total)'!L82,Planned!L82,Reconductor!L82,CTGS!L82)</f>
        <v>0</v>
      </c>
      <c r="M82" s="85">
        <f>SUM('Defect (Total)'!M82,Planned!M82,Reconductor!M82,CTGS!M82)</f>
        <v>0</v>
      </c>
      <c r="N82" s="85">
        <f>SUM('Defect (Total)'!N82,Planned!N82,Reconductor!N82,CTGS!N82)</f>
        <v>0</v>
      </c>
      <c r="O82" s="560">
        <f>SUM('Defect (Total)'!O82,Planned!O82,Reconductor!O82,CTGS!O82)</f>
        <v>0</v>
      </c>
      <c r="P82" s="561">
        <f>SUM('Defect (Total)'!P82,Planned!P82,Reconductor!P82,CTGS!P82)</f>
        <v>0</v>
      </c>
      <c r="Q82" s="561">
        <f>SUM('Defect (Total)'!Q82,Planned!Q82,Reconductor!Q82,CTGS!Q82)</f>
        <v>0</v>
      </c>
      <c r="R82" s="561">
        <f>SUM('Defect (Total)'!R82,Planned!R82,Reconductor!R82,CTGS!R82)</f>
        <v>0</v>
      </c>
      <c r="S82" s="561">
        <f>SUM('Defect (Total)'!S82,Planned!S82,Reconductor!S82,CTGS!S82)</f>
        <v>0</v>
      </c>
      <c r="T82" s="561">
        <f>SUM('Defect (Total)'!T82,Planned!T82,Reconductor!T82,CTGS!T82)</f>
        <v>0</v>
      </c>
      <c r="U82" s="561">
        <f>SUM('Defect (Total)'!U82,Planned!U82,Reconductor!U82,CTGS!U82)</f>
        <v>0</v>
      </c>
      <c r="V82" s="561">
        <f>SUM('Defect (Total)'!V82,Planned!V82,Reconductor!V82,CTGS!V82)</f>
        <v>0</v>
      </c>
      <c r="W82" s="561">
        <f>SUM('Defect (Total)'!W82,Planned!W82,Reconductor!W82,CTGS!W82)</f>
        <v>0</v>
      </c>
      <c r="X82" s="561">
        <f>SUM('Defect (Total)'!X82,Planned!X82,Reconductor!X82,CTGS!X82)</f>
        <v>0</v>
      </c>
      <c r="Y82" s="561">
        <f>SUM('Defect (Total)'!Y82,Planned!Y82,Reconductor!Y82,CTGS!Y82)</f>
        <v>0</v>
      </c>
      <c r="Z82" s="86">
        <f>SUM('Defect (Total)'!Z82,Planned!Z82,Reconductor!Z82,CTGS!Z82)</f>
        <v>0</v>
      </c>
      <c r="AA82" s="87">
        <f>SUM('Defect (Total)'!AA82,Planned!AA82,Reconductor!AA82,CTGS!AA82)</f>
        <v>0</v>
      </c>
      <c r="AB82" s="87">
        <f>SUM('Defect (Total)'!AB82,Planned!AB82,Reconductor!AB82,CTGS!AB82)</f>
        <v>0</v>
      </c>
      <c r="AC82" s="87">
        <f>SUM('Defect (Total)'!AC82,Planned!AC82,Reconductor!AC82,CTGS!AC82)</f>
        <v>0</v>
      </c>
      <c r="AD82" s="87">
        <f>SUM('Defect (Total)'!AD82,Planned!AD82,Reconductor!AD82,CTGS!AD82)</f>
        <v>0</v>
      </c>
      <c r="AE82" s="87">
        <f>SUM('Defect (Total)'!AE82,Planned!AE82,Reconductor!AE82,CTGS!AE82)</f>
        <v>0</v>
      </c>
      <c r="AF82" s="87">
        <f>SUM('Defect (Total)'!AF82,Planned!AF82,Reconductor!AF82,CTGS!AF82)</f>
        <v>0</v>
      </c>
      <c r="AG82" s="87">
        <f>SUM('Defect (Total)'!AG82,Planned!AG82,Reconductor!AG82,CTGS!AG82)</f>
        <v>0</v>
      </c>
      <c r="AH82" s="87">
        <f>SUM('Defect (Total)'!AH82,Planned!AH82,Reconductor!AH82,CTGS!AH82)</f>
        <v>0</v>
      </c>
      <c r="AI82" s="87">
        <f>SUM('Defect (Total)'!AI82,Planned!AI82,Reconductor!AI82,CTGS!AI82)</f>
        <v>0</v>
      </c>
      <c r="AJ82" s="87">
        <f>SUM('Defect (Total)'!AJ82,Planned!AJ82,Reconductor!AJ82,CTGS!AJ82)</f>
        <v>0</v>
      </c>
      <c r="AK82" s="88">
        <f t="shared" si="51"/>
        <v>0</v>
      </c>
      <c r="AL82" s="89">
        <f t="shared" si="52"/>
        <v>0</v>
      </c>
      <c r="AM82" s="90">
        <f t="shared" si="53"/>
        <v>0</v>
      </c>
      <c r="AN82" s="91" t="str">
        <f t="shared" si="35"/>
        <v/>
      </c>
      <c r="AO82" s="92" t="str">
        <f t="shared" si="36"/>
        <v/>
      </c>
      <c r="AP82" s="92" t="str">
        <f t="shared" si="37"/>
        <v/>
      </c>
      <c r="AQ82" s="92" t="str">
        <f t="shared" si="38"/>
        <v/>
      </c>
      <c r="AR82" s="92" t="str">
        <f t="shared" si="39"/>
        <v/>
      </c>
      <c r="AS82" s="92" t="str">
        <f t="shared" si="40"/>
        <v/>
      </c>
      <c r="AT82" s="92" t="str">
        <f t="shared" si="41"/>
        <v/>
      </c>
      <c r="AU82" s="92" t="str">
        <f t="shared" si="42"/>
        <v/>
      </c>
      <c r="AV82" s="92" t="str">
        <f t="shared" si="43"/>
        <v/>
      </c>
      <c r="AW82" s="92" t="str">
        <f t="shared" si="44"/>
        <v/>
      </c>
      <c r="AX82" s="92" t="str">
        <f t="shared" si="45"/>
        <v/>
      </c>
      <c r="AY82" s="93" t="str">
        <f t="shared" si="46"/>
        <v/>
      </c>
      <c r="AZ82" s="94" t="str">
        <f t="shared" si="47"/>
        <v/>
      </c>
      <c r="BA82" s="95" t="str">
        <f t="shared" si="48"/>
        <v/>
      </c>
      <c r="BB82" s="689">
        <f>SUM('Defect (Total)'!BB82,Planned!CE82,Reconductor!CE82,CTGS!CE82,'Substation 2025$'!CE82*$BL$1,Comms!CA82*$BL$2)</f>
        <v>0</v>
      </c>
      <c r="BC82" s="689">
        <f>SUM('Defect (Total)'!BC82,Planned!CF82,Reconductor!CF82,CTGS!CF82,'Substation 2025$'!CF82*$BL$1,Comms!CB82*$BL$2)</f>
        <v>0</v>
      </c>
      <c r="BD82" s="96">
        <f>SUM('Defect (Total)'!BD82,Planned!CG82,Reconductor!CG82,CTGS!CG82,'Substation 2025$'!CG82*$BL$1,Comms!CC82*$BL$2)</f>
        <v>0</v>
      </c>
      <c r="BE82" s="96">
        <f>SUM('Defect (Total)'!BE82,Planned!CH82,Reconductor!CH82,CTGS!CH82,'Substation 2025$'!CH82*$BL$1,Comms!CD82*$BL$2)</f>
        <v>0</v>
      </c>
      <c r="BF82" s="96">
        <f>SUM('Defect (Total)'!BF82,Planned!CI82,Reconductor!CI82,CTGS!CI82,'Substation 2025$'!CI82*$BL$1,Comms!CE82*$BL$2)</f>
        <v>0</v>
      </c>
      <c r="BG82" s="96">
        <f>SUM('Defect (Total)'!BG82,Planned!CJ82,Reconductor!CJ82,CTGS!CJ82,'Substation 2025$'!CJ82*$BL$1,Comms!CF82*$BL$2)</f>
        <v>0</v>
      </c>
      <c r="BH82" s="96">
        <f>SUM('Defect (Total)'!BH82,Planned!CK82,Reconductor!CK82,CTGS!CK82,'Substation 2025$'!CK82*$BL$1,Comms!CG82*$BL$2)</f>
        <v>0</v>
      </c>
      <c r="BI82" s="286">
        <f>SUM('Defect (Total)'!BI82,Planned!CL82,Reconductor!CL82,CTGS!CL82,'Substation 2025$'!CL82*$BL$1,Comms!CH82*$BL$2)</f>
        <v>0</v>
      </c>
      <c r="BJ82" s="99" t="str">
        <f t="shared" si="54"/>
        <v/>
      </c>
      <c r="BK82" s="992">
        <f>SUM('Defect (Total)'!BK82,Planned!CQ82,Reconductor!CQ82,CTGS!CQ82,'Substation 2025$'!CQ82*$BL$1,Comms!CM82*$BL$2)</f>
        <v>0</v>
      </c>
      <c r="BL82" s="992">
        <f>SUM('Defect (Total)'!BL82,Planned!CR82,Reconductor!CR82,CTGS!CR82,'Substation 2025$'!CR82*$BL$1,Comms!CN82*$BL$2)</f>
        <v>0</v>
      </c>
      <c r="BM82" s="524">
        <f>SUM('Defect (Total)'!BM82,Planned!CS82,Reconductor!CS82,CTGS!CS82,'Substation 2025$'!CS82*$BL$1,Comms!CO82*$BL$2)</f>
        <v>0</v>
      </c>
      <c r="BN82" s="416">
        <f>SUM('Defect (Total)'!BN82,Planned!CT82,Reconductor!CT82,CTGS!CT82,'Substation 2025$'!CT82*$BL$1,Comms!CP82*$BL$2)</f>
        <v>0</v>
      </c>
      <c r="BO82" s="97">
        <f>SUM('Defect (Total)'!BO82,Planned!CU82,Reconductor!CU82,CTGS!CU82,'Substation 2025$'!CU82*$BL$1,Comms!CQ82*$BL$2)</f>
        <v>0</v>
      </c>
      <c r="BP82" s="97">
        <f>SUM('Defect (Total)'!BP82,Planned!CV82,Reconductor!CV82,CTGS!CV82,'Substation 2025$'!CV82*$BL$1,Comms!CR82*$BL$2)</f>
        <v>0</v>
      </c>
      <c r="BQ82" s="97">
        <f>SUM('Defect (Total)'!BQ82,Planned!CW82,Reconductor!CW82,CTGS!CW82,'Substation 2025$'!CW82*$BL$1,Comms!CS82*$BL$2)</f>
        <v>0</v>
      </c>
      <c r="BR82" s="98">
        <f>SUM('Defect (Total)'!BR82,Planned!CX82,Reconductor!CX82,CTGS!CX82,'Substation 2025$'!CX82*$BL$1,Comms!CT82*$BL$2)</f>
        <v>0</v>
      </c>
      <c r="BS82" s="836" t="str">
        <f>'Unit Cost Rate Summary'!AO82</f>
        <v/>
      </c>
      <c r="BT82" s="840" t="str">
        <f t="shared" si="49"/>
        <v/>
      </c>
      <c r="BU82" s="832" t="str">
        <f t="shared" si="50"/>
        <v/>
      </c>
      <c r="BV82" t="s">
        <v>638</v>
      </c>
      <c r="CI82" s="416">
        <f>VLOOKUP($A82,'Distribution Summary'!$A$136:$CG$146,CI$1,0)*BN82</f>
        <v>0</v>
      </c>
      <c r="CJ82" s="97">
        <f>VLOOKUP($A82,'Distribution Summary'!$A$136:$CG$146,CJ$1,0)*BO82</f>
        <v>0</v>
      </c>
      <c r="CK82" s="97">
        <f>VLOOKUP($A82,'Distribution Summary'!$A$136:$CG$146,CK$1,0)*BP82</f>
        <v>0</v>
      </c>
      <c r="CL82" s="97">
        <f>VLOOKUP($A82,'Distribution Summary'!$A$136:$CG$146,CL$1,0)*BQ82</f>
        <v>0</v>
      </c>
      <c r="CM82" s="98">
        <f>VLOOKUP($A82,'Distribution Summary'!$A$136:$CG$146,CM$1,0)*BR82</f>
        <v>0</v>
      </c>
    </row>
    <row r="83" spans="1:91" x14ac:dyDescent="0.25">
      <c r="A83" s="81" t="s">
        <v>138</v>
      </c>
      <c r="B83" s="82" t="s">
        <v>169</v>
      </c>
      <c r="C83" s="83" t="s">
        <v>373</v>
      </c>
      <c r="D83" s="84">
        <f>SUM('Defect (Total)'!D83,Planned!D83,Reconductor!D83,CTGS!D83)</f>
        <v>0</v>
      </c>
      <c r="E83" s="85">
        <f>SUM('Defect (Total)'!E83,Planned!E83,Reconductor!E83,CTGS!E83)</f>
        <v>0</v>
      </c>
      <c r="F83" s="85">
        <f>SUM('Defect (Total)'!F83,Planned!F83,Reconductor!F83,CTGS!F83)</f>
        <v>154498</v>
      </c>
      <c r="G83" s="85">
        <f>SUM('Defect (Total)'!G83,Planned!G83,Reconductor!G83,CTGS!G83)</f>
        <v>61598</v>
      </c>
      <c r="H83" s="85">
        <f>SUM('Defect (Total)'!H83,Planned!H83,Reconductor!H83,CTGS!H83)</f>
        <v>26374</v>
      </c>
      <c r="I83" s="85">
        <f>SUM('Defect (Total)'!I83,Planned!I83,Reconductor!I83,CTGS!I83)</f>
        <v>209260.36004262482</v>
      </c>
      <c r="J83" s="85">
        <f>SUM('Defect (Total)'!J83,Planned!J83,Reconductor!J83,CTGS!J83)</f>
        <v>198170.09733996692</v>
      </c>
      <c r="K83" s="85">
        <f>SUM('Defect (Total)'!K83,Planned!K83,Reconductor!K83,CTGS!K83)</f>
        <v>49884.6</v>
      </c>
      <c r="L83" s="85">
        <f>SUM('Defect (Total)'!L83,Planned!L83,Reconductor!L83,CTGS!L83)</f>
        <v>51271.75</v>
      </c>
      <c r="M83" s="85">
        <f>SUM('Defect (Total)'!M83,Planned!M83,Reconductor!M83,CTGS!M83)</f>
        <v>95340.15</v>
      </c>
      <c r="N83" s="85">
        <f>SUM('Defect (Total)'!N83,Planned!N83,Reconductor!N83,CTGS!N83)</f>
        <v>0</v>
      </c>
      <c r="O83" s="560">
        <f>SUM('Defect (Total)'!O83,Planned!O83,Reconductor!O83,CTGS!O83)</f>
        <v>0</v>
      </c>
      <c r="P83" s="561">
        <f>SUM('Defect (Total)'!P83,Planned!P83,Reconductor!P83,CTGS!P83)</f>
        <v>0</v>
      </c>
      <c r="Q83" s="561">
        <f>SUM('Defect (Total)'!Q83,Planned!Q83,Reconductor!Q83,CTGS!Q83)</f>
        <v>202702.26401349873</v>
      </c>
      <c r="R83" s="561">
        <f>SUM('Defect (Total)'!R83,Planned!R83,Reconductor!R83,CTGS!R83)</f>
        <v>79283.817554801673</v>
      </c>
      <c r="S83" s="561">
        <f>SUM('Defect (Total)'!S83,Planned!S83,Reconductor!S83,CTGS!S83)</f>
        <v>33255.472385448462</v>
      </c>
      <c r="T83" s="561">
        <f>SUM('Defect (Total)'!T83,Planned!T83,Reconductor!T83,CTGS!T83)</f>
        <v>259723.13896493192</v>
      </c>
      <c r="U83" s="561">
        <f>SUM('Defect (Total)'!U83,Planned!U83,Reconductor!U83,CTGS!U83)</f>
        <v>246818.47300588075</v>
      </c>
      <c r="V83" s="561">
        <f>SUM('Defect (Total)'!V83,Planned!V83,Reconductor!V83,CTGS!V83)</f>
        <v>59829.53347546875</v>
      </c>
      <c r="W83" s="561">
        <f>SUM('Defect (Total)'!W83,Planned!W83,Reconductor!W83,CTGS!W83)</f>
        <v>57933.346658447525</v>
      </c>
      <c r="X83" s="561">
        <f>SUM('Defect (Total)'!X83,Planned!X83,Reconductor!X83,CTGS!X83)</f>
        <v>101390.52421275925</v>
      </c>
      <c r="Y83" s="561">
        <f>SUM('Defect (Total)'!Y83,Planned!Y83,Reconductor!Y83,CTGS!Y83)</f>
        <v>0</v>
      </c>
      <c r="Z83" s="86">
        <f>SUM('Defect (Total)'!Z83,Planned!Z83,Reconductor!Z83,CTGS!Z83)</f>
        <v>0</v>
      </c>
      <c r="AA83" s="87">
        <f>SUM('Defect (Total)'!AA83,Planned!AA83,Reconductor!AA83,CTGS!AA83)</f>
        <v>0</v>
      </c>
      <c r="AB83" s="87">
        <f>SUM('Defect (Total)'!AB83,Planned!AB83,Reconductor!AB83,CTGS!AB83)</f>
        <v>3</v>
      </c>
      <c r="AC83" s="87">
        <f>SUM('Defect (Total)'!AC83,Planned!AC83,Reconductor!AC83,CTGS!AC83)</f>
        <v>1</v>
      </c>
      <c r="AD83" s="87">
        <f>SUM('Defect (Total)'!AD83,Planned!AD83,Reconductor!AD83,CTGS!AD83)</f>
        <v>1</v>
      </c>
      <c r="AE83" s="87">
        <f>SUM('Defect (Total)'!AE83,Planned!AE83,Reconductor!AE83,CTGS!AE83)</f>
        <v>1</v>
      </c>
      <c r="AF83" s="87">
        <f>SUM('Defect (Total)'!AF83,Planned!AF83,Reconductor!AF83,CTGS!AF83)</f>
        <v>0</v>
      </c>
      <c r="AG83" s="87">
        <f>SUM('Defect (Total)'!AG83,Planned!AG83,Reconductor!AG83,CTGS!AG83)</f>
        <v>2</v>
      </c>
      <c r="AH83" s="87">
        <f>SUM('Defect (Total)'!AH83,Planned!AH83,Reconductor!AH83,CTGS!AH83)</f>
        <v>1</v>
      </c>
      <c r="AI83" s="87">
        <f>SUM('Defect (Total)'!AI83,Planned!AI83,Reconductor!AI83,CTGS!AI83)</f>
        <v>3</v>
      </c>
      <c r="AJ83" s="87">
        <f>SUM('Defect (Total)'!AJ83,Planned!AJ83,Reconductor!AJ83,CTGS!AJ83)</f>
        <v>0</v>
      </c>
      <c r="AK83" s="88">
        <f t="shared" si="51"/>
        <v>1.4</v>
      </c>
      <c r="AL83" s="89">
        <f t="shared" si="52"/>
        <v>2</v>
      </c>
      <c r="AM83" s="90">
        <f t="shared" si="53"/>
        <v>3</v>
      </c>
      <c r="AN83" s="91" t="str">
        <f t="shared" si="35"/>
        <v/>
      </c>
      <c r="AO83" s="92" t="str">
        <f t="shared" si="36"/>
        <v/>
      </c>
      <c r="AP83" s="92">
        <f t="shared" si="37"/>
        <v>51499.333333333336</v>
      </c>
      <c r="AQ83" s="92">
        <f t="shared" si="38"/>
        <v>61598</v>
      </c>
      <c r="AR83" s="92">
        <f t="shared" si="39"/>
        <v>26374</v>
      </c>
      <c r="AS83" s="92">
        <f t="shared" si="40"/>
        <v>209260.36004262482</v>
      </c>
      <c r="AT83" s="92" t="str">
        <f t="shared" si="41"/>
        <v/>
      </c>
      <c r="AU83" s="92">
        <f t="shared" si="42"/>
        <v>24942.3</v>
      </c>
      <c r="AV83" s="92">
        <f t="shared" si="43"/>
        <v>51271.75</v>
      </c>
      <c r="AW83" s="92">
        <f t="shared" si="44"/>
        <v>31780.05</v>
      </c>
      <c r="AX83" s="92" t="str">
        <f t="shared" si="45"/>
        <v/>
      </c>
      <c r="AY83" s="93">
        <f t="shared" si="46"/>
        <v>106992.16147651835</v>
      </c>
      <c r="AZ83" s="94">
        <f t="shared" si="47"/>
        <v>99775.482446655631</v>
      </c>
      <c r="BA83" s="95">
        <f t="shared" si="48"/>
        <v>51271.75</v>
      </c>
      <c r="BB83" s="689">
        <f>SUM('Defect (Total)'!BB83,Planned!CE83,Reconductor!CE83,CTGS!CE83,'Substation 2025$'!CE83*$BL$1,Comms!CA83*$BL$2)</f>
        <v>2</v>
      </c>
      <c r="BC83" s="689">
        <f>SUM('Defect (Total)'!BC83,Planned!CF83,Reconductor!CF83,CTGS!CF83,'Substation 2025$'!CF83*$BL$1,Comms!CB83*$BL$2)</f>
        <v>2</v>
      </c>
      <c r="BD83" s="96">
        <f>SUM('Defect (Total)'!BD83,Planned!CG83,Reconductor!CG83,CTGS!CG83,'Substation 2025$'!CG83*$BL$1,Comms!CC83*$BL$2)</f>
        <v>2</v>
      </c>
      <c r="BE83" s="96">
        <f>SUM('Defect (Total)'!BE83,Planned!CH83,Reconductor!CH83,CTGS!CH83,'Substation 2025$'!CH83*$BL$1,Comms!CD83*$BL$2)</f>
        <v>1.6081118881119998</v>
      </c>
      <c r="BF83" s="96">
        <f>SUM('Defect (Total)'!BF83,Planned!CI83,Reconductor!CI83,CTGS!CI83,'Substation 2025$'!CI83*$BL$1,Comms!CE83*$BL$2)</f>
        <v>1.6081118881119998</v>
      </c>
      <c r="BG83" s="96">
        <f>SUM('Defect (Total)'!BG83,Planned!CJ83,Reconductor!CJ83,CTGS!CJ83,'Substation 2025$'!CJ83*$BL$1,Comms!CF83*$BL$2)</f>
        <v>1.6081118881119998</v>
      </c>
      <c r="BH83" s="96">
        <f>SUM('Defect (Total)'!BH83,Planned!CK83,Reconductor!CK83,CTGS!CK83,'Substation 2025$'!CK83*$BL$1,Comms!CG83*$BL$2)</f>
        <v>1.6081118881119998</v>
      </c>
      <c r="BI83" s="286">
        <f>SUM('Defect (Total)'!BI83,Planned!CL83,Reconductor!CL83,CTGS!CL83,'Substation 2025$'!CL83*$BL$1,Comms!CH83*$BL$2)</f>
        <v>1.6081118881119998</v>
      </c>
      <c r="BJ83" s="99">
        <f t="shared" si="54"/>
        <v>31191.412712354959</v>
      </c>
      <c r="BK83" s="992">
        <f>SUM('Defect (Total)'!BK83,Planned!CQ83,Reconductor!CQ83,CTGS!CQ83,'Substation 2025$'!CQ83*$BL$1,Comms!CM83*$BL$2)</f>
        <v>65498.833333333336</v>
      </c>
      <c r="BL83" s="992">
        <f>SUM('Defect (Total)'!BL83,Planned!CR83,Reconductor!CR83,CTGS!CR83,'Substation 2025$'!CR83*$BL$1,Comms!CN83*$BL$2)</f>
        <v>65498.833333333336</v>
      </c>
      <c r="BM83" s="524">
        <f>SUM('Defect (Total)'!BM83,Planned!CS83,Reconductor!CS83,CTGS!CS83,'Substation 2025$'!CS83*$BL$1,Comms!CO83*$BL$2)</f>
        <v>65498.833333333336</v>
      </c>
      <c r="BN83" s="416">
        <f>SUM('Defect (Total)'!BN83,Planned!CT83,Reconductor!CT83,CTGS!CT83,'Substation 2025$'!CT83*$BL$1,Comms!CP83*$BL$2)</f>
        <v>50159.281589745762</v>
      </c>
      <c r="BO83" s="97">
        <f>SUM('Defect (Total)'!BO83,Planned!CU83,Reconductor!CU83,CTGS!CU83,'Substation 2025$'!CU83*$BL$1,Comms!CQ83*$BL$2)</f>
        <v>50159.281589745762</v>
      </c>
      <c r="BP83" s="97">
        <f>SUM('Defect (Total)'!BP83,Planned!CV83,Reconductor!CV83,CTGS!CV83,'Substation 2025$'!CV83*$BL$1,Comms!CR83*$BL$2)</f>
        <v>50159.281589745762</v>
      </c>
      <c r="BQ83" s="97">
        <f>SUM('Defect (Total)'!BQ83,Planned!CW83,Reconductor!CW83,CTGS!CW83,'Substation 2025$'!CW83*$BL$1,Comms!CS83*$BL$2)</f>
        <v>50159.281589745762</v>
      </c>
      <c r="BR83" s="98">
        <f>SUM('Defect (Total)'!BR83,Planned!CX83,Reconductor!CX83,CTGS!CX83,'Substation 2025$'!CX83*$BL$1,Comms!CT83*$BL$2)</f>
        <v>50159.281589745762</v>
      </c>
      <c r="BS83" s="836">
        <f>'Unit Cost Rate Summary'!AO83</f>
        <v>103.05933080814478</v>
      </c>
      <c r="BT83" s="840">
        <f t="shared" si="49"/>
        <v>165.73093505344488</v>
      </c>
      <c r="BU83" s="832">
        <f t="shared" si="50"/>
        <v>828.65467526722443</v>
      </c>
      <c r="BV83" t="s">
        <v>638</v>
      </c>
      <c r="CI83" s="416">
        <f>VLOOKUP($A83,'Distribution Summary'!$A$136:$CG$146,CI$1,0)*BN83</f>
        <v>57146.487351296273</v>
      </c>
      <c r="CJ83" s="97">
        <f>VLOOKUP($A83,'Distribution Summary'!$A$136:$CG$146,CJ$1,0)*BO83</f>
        <v>57419.90361751747</v>
      </c>
      <c r="CK83" s="97">
        <f>VLOOKUP($A83,'Distribution Summary'!$A$136:$CG$146,CK$1,0)*BP83</f>
        <v>57682.794668480114</v>
      </c>
      <c r="CL83" s="97">
        <f>VLOOKUP($A83,'Distribution Summary'!$A$136:$CG$146,CL$1,0)*BQ83</f>
        <v>57992.259801146014</v>
      </c>
      <c r="CM83" s="98">
        <f>VLOOKUP($A83,'Distribution Summary'!$A$136:$CG$146,CM$1,0)*BR83</f>
        <v>58338.926975112379</v>
      </c>
    </row>
    <row r="84" spans="1:91" x14ac:dyDescent="0.25">
      <c r="A84" s="81" t="s">
        <v>138</v>
      </c>
      <c r="B84" s="82" t="s">
        <v>171</v>
      </c>
      <c r="C84" s="83" t="s">
        <v>374</v>
      </c>
      <c r="D84" s="84">
        <f>SUM('Defect (Total)'!D84,Planned!D84,Reconductor!D84,CTGS!D84)</f>
        <v>0</v>
      </c>
      <c r="E84" s="85">
        <f>SUM('Defect (Total)'!E84,Planned!E84,Reconductor!E84,CTGS!E84)</f>
        <v>190050</v>
      </c>
      <c r="F84" s="85">
        <f>SUM('Defect (Total)'!F84,Planned!F84,Reconductor!F84,CTGS!F84)</f>
        <v>70254</v>
      </c>
      <c r="G84" s="85">
        <f>SUM('Defect (Total)'!G84,Planned!G84,Reconductor!G84,CTGS!G84)</f>
        <v>83179</v>
      </c>
      <c r="H84" s="85">
        <f>SUM('Defect (Total)'!H84,Planned!H84,Reconductor!H84,CTGS!H84)</f>
        <v>148721</v>
      </c>
      <c r="I84" s="85">
        <f>SUM('Defect (Total)'!I84,Planned!I84,Reconductor!I84,CTGS!I84)</f>
        <v>432277.48327805428</v>
      </c>
      <c r="J84" s="85">
        <f>SUM('Defect (Total)'!J84,Planned!J84,Reconductor!J84,CTGS!J84)</f>
        <v>638491.67258151434</v>
      </c>
      <c r="K84" s="85">
        <f>SUM('Defect (Total)'!K84,Planned!K84,Reconductor!K84,CTGS!K84)</f>
        <v>32120.95</v>
      </c>
      <c r="L84" s="85">
        <f>SUM('Defect (Total)'!L84,Planned!L84,Reconductor!L84,CTGS!L84)</f>
        <v>73500.628030338994</v>
      </c>
      <c r="M84" s="85">
        <f>SUM('Defect (Total)'!M84,Planned!M84,Reconductor!M84,CTGS!M84)</f>
        <v>136859.06406143005</v>
      </c>
      <c r="N84" s="85">
        <f>SUM('Defect (Total)'!N84,Planned!N84,Reconductor!N84,CTGS!N84)</f>
        <v>91035.473545261906</v>
      </c>
      <c r="O84" s="560">
        <f>SUM('Defect (Total)'!O84,Planned!O84,Reconductor!O84,CTGS!O84)</f>
        <v>0</v>
      </c>
      <c r="P84" s="561">
        <f>SUM('Defect (Total)'!P84,Planned!P84,Reconductor!P84,CTGS!P84)</f>
        <v>251898.14688340217</v>
      </c>
      <c r="Q84" s="561">
        <f>SUM('Defect (Total)'!Q84,Planned!Q84,Reconductor!Q84,CTGS!Q84)</f>
        <v>92173.651801345899</v>
      </c>
      <c r="R84" s="561">
        <f>SUM('Defect (Total)'!R84,Planned!R84,Reconductor!R84,CTGS!R84)</f>
        <v>107061.08413245314</v>
      </c>
      <c r="S84" s="561">
        <f>SUM('Defect (Total)'!S84,Planned!S84,Reconductor!S84,CTGS!S84)</f>
        <v>187525.10459681053</v>
      </c>
      <c r="T84" s="561">
        <f>SUM('Defect (Total)'!T84,Planned!T84,Reconductor!T84,CTGS!T84)</f>
        <v>536520.46110389964</v>
      </c>
      <c r="U84" s="561">
        <f>SUM('Defect (Total)'!U84,Planned!U84,Reconductor!U84,CTGS!U84)</f>
        <v>795233.69957873609</v>
      </c>
      <c r="V84" s="561">
        <f>SUM('Defect (Total)'!V84,Planned!V84,Reconductor!V84,CTGS!V84)</f>
        <v>38524.543712665996</v>
      </c>
      <c r="W84" s="561">
        <f>SUM('Defect (Total)'!W84,Planned!W84,Reconductor!W84,CTGS!W84)</f>
        <v>83050.361325588339</v>
      </c>
      <c r="X84" s="561">
        <f>SUM('Defect (Total)'!X84,Planned!X84,Reconductor!X84,CTGS!X84)</f>
        <v>145544.26701086576</v>
      </c>
      <c r="Y84" s="561">
        <f>SUM('Defect (Total)'!Y84,Planned!Y84,Reconductor!Y84,CTGS!Y84)</f>
        <v>93538.810631571658</v>
      </c>
      <c r="Z84" s="86">
        <f>SUM('Defect (Total)'!Z84,Planned!Z84,Reconductor!Z84,CTGS!Z84)</f>
        <v>0</v>
      </c>
      <c r="AA84" s="87">
        <f>SUM('Defect (Total)'!AA84,Planned!AA84,Reconductor!AA84,CTGS!AA84)</f>
        <v>2</v>
      </c>
      <c r="AB84" s="87">
        <f>SUM('Defect (Total)'!AB84,Planned!AB84,Reconductor!AB84,CTGS!AB84)</f>
        <v>1</v>
      </c>
      <c r="AC84" s="87">
        <f>SUM('Defect (Total)'!AC84,Planned!AC84,Reconductor!AC84,CTGS!AC84)</f>
        <v>1</v>
      </c>
      <c r="AD84" s="87">
        <f>SUM('Defect (Total)'!AD84,Planned!AD84,Reconductor!AD84,CTGS!AD84)</f>
        <v>2</v>
      </c>
      <c r="AE84" s="87">
        <f>SUM('Defect (Total)'!AE84,Planned!AE84,Reconductor!AE84,CTGS!AE84)</f>
        <v>4</v>
      </c>
      <c r="AF84" s="87">
        <f>SUM('Defect (Total)'!AF84,Planned!AF84,Reconductor!AF84,CTGS!AF84)</f>
        <v>2</v>
      </c>
      <c r="AG84" s="87">
        <f>SUM('Defect (Total)'!AG84,Planned!AG84,Reconductor!AG84,CTGS!AG84)</f>
        <v>1</v>
      </c>
      <c r="AH84" s="87">
        <f>SUM('Defect (Total)'!AH84,Planned!AH84,Reconductor!AH84,CTGS!AH84)</f>
        <v>2</v>
      </c>
      <c r="AI84" s="87">
        <f>SUM('Defect (Total)'!AI84,Planned!AI84,Reconductor!AI84,CTGS!AI84)</f>
        <v>3</v>
      </c>
      <c r="AJ84" s="87">
        <f>SUM('Defect (Total)'!AJ84,Planned!AJ84,Reconductor!AJ84,CTGS!AJ84)</f>
        <v>1</v>
      </c>
      <c r="AK84" s="88">
        <f t="shared" si="51"/>
        <v>2.4</v>
      </c>
      <c r="AL84" s="89">
        <f t="shared" si="52"/>
        <v>2</v>
      </c>
      <c r="AM84" s="90">
        <f t="shared" si="53"/>
        <v>3</v>
      </c>
      <c r="AN84" s="91" t="str">
        <f t="shared" si="35"/>
        <v/>
      </c>
      <c r="AO84" s="92">
        <f t="shared" si="36"/>
        <v>95025</v>
      </c>
      <c r="AP84" s="92">
        <f t="shared" si="37"/>
        <v>70254</v>
      </c>
      <c r="AQ84" s="92">
        <f t="shared" si="38"/>
        <v>83179</v>
      </c>
      <c r="AR84" s="92">
        <f t="shared" si="39"/>
        <v>74360.5</v>
      </c>
      <c r="AS84" s="92">
        <f t="shared" si="40"/>
        <v>108069.37081951357</v>
      </c>
      <c r="AT84" s="92">
        <f t="shared" si="41"/>
        <v>319245.83629075717</v>
      </c>
      <c r="AU84" s="92">
        <f t="shared" si="42"/>
        <v>32120.95</v>
      </c>
      <c r="AV84" s="92">
        <f t="shared" si="43"/>
        <v>36750.314015169497</v>
      </c>
      <c r="AW84" s="92">
        <f t="shared" si="44"/>
        <v>45619.688020476686</v>
      </c>
      <c r="AX84" s="92">
        <f t="shared" si="45"/>
        <v>91035.473545261906</v>
      </c>
      <c r="AY84" s="93">
        <f t="shared" si="46"/>
        <v>120464.7030809007</v>
      </c>
      <c r="AZ84" s="94">
        <f t="shared" si="47"/>
        <v>148822.65012237066</v>
      </c>
      <c r="BA84" s="95">
        <f t="shared" si="48"/>
        <v>36750.314015169497</v>
      </c>
      <c r="BB84" s="689">
        <f>SUM('Defect (Total)'!BB84,Planned!CE84,Reconductor!CE84,CTGS!CE84,'Substation 2025$'!CE84*$BL$1,Comms!CA84*$BL$2)</f>
        <v>2</v>
      </c>
      <c r="BC84" s="689">
        <f>SUM('Defect (Total)'!BC84,Planned!CF84,Reconductor!CF84,CTGS!CF84,'Substation 2025$'!CF84*$BL$1,Comms!CB84*$BL$2)</f>
        <v>2</v>
      </c>
      <c r="BD84" s="96">
        <f>SUM('Defect (Total)'!BD84,Planned!CG84,Reconductor!CG84,CTGS!CG84,'Substation 2025$'!CG84*$BL$1,Comms!CC84*$BL$2)</f>
        <v>2</v>
      </c>
      <c r="BE84" s="96">
        <f>SUM('Defect (Total)'!BE84,Planned!CH84,Reconductor!CH84,CTGS!CH84,'Substation 2025$'!CH84*$BL$1,Comms!CD84*$BL$2)</f>
        <v>1.6081118881119998</v>
      </c>
      <c r="BF84" s="96">
        <f>SUM('Defect (Total)'!BF84,Planned!CI84,Reconductor!CI84,CTGS!CI84,'Substation 2025$'!CI84*$BL$1,Comms!CE84*$BL$2)</f>
        <v>1.6081118881119998</v>
      </c>
      <c r="BG84" s="96">
        <f>SUM('Defect (Total)'!BG84,Planned!CJ84,Reconductor!CJ84,CTGS!CJ84,'Substation 2025$'!CJ84*$BL$1,Comms!CF84*$BL$2)</f>
        <v>1.6081118881119998</v>
      </c>
      <c r="BH84" s="96">
        <f>SUM('Defect (Total)'!BH84,Planned!CK84,Reconductor!CK84,CTGS!CK84,'Substation 2025$'!CK84*$BL$1,Comms!CG84*$BL$2)</f>
        <v>1.6081118881119998</v>
      </c>
      <c r="BI84" s="286">
        <f>SUM('Defect (Total)'!BI84,Planned!CL84,Reconductor!CL84,CTGS!CL84,'Substation 2025$'!CL84*$BL$1,Comms!CH84*$BL$2)</f>
        <v>1.6081118881119998</v>
      </c>
      <c r="BJ84" s="99">
        <f t="shared" si="54"/>
        <v>41450.177845359176</v>
      </c>
      <c r="BK84" s="992">
        <f>SUM('Defect (Total)'!BK84,Planned!CQ84,Reconductor!CQ84,CTGS!CQ84,'Substation 2025$'!CQ84*$BL$1,Comms!CM84*$BL$2)</f>
        <v>80826.880697256332</v>
      </c>
      <c r="BL84" s="992">
        <f>SUM('Defect (Total)'!BL84,Planned!CR84,Reconductor!CR84,CTGS!CR84,'Substation 2025$'!CR84*$BL$1,Comms!CN84*$BL$2)</f>
        <v>80826.880697256332</v>
      </c>
      <c r="BM84" s="524">
        <f>SUM('Defect (Total)'!BM84,Planned!CS84,Reconductor!CS84,CTGS!CS84,'Substation 2025$'!CS84*$BL$1,Comms!CO84*$BL$2)</f>
        <v>80826.880697256332</v>
      </c>
      <c r="BN84" s="416">
        <f>SUM('Defect (Total)'!BN84,Planned!CT84,Reconductor!CT84,CTGS!CT84,'Substation 2025$'!CT84*$BL$1,Comms!CP84*$BL$2)</f>
        <v>66656.523757478732</v>
      </c>
      <c r="BO84" s="97">
        <f>SUM('Defect (Total)'!BO84,Planned!CU84,Reconductor!CU84,CTGS!CU84,'Substation 2025$'!CU84*$BL$1,Comms!CQ84*$BL$2)</f>
        <v>66656.523757478732</v>
      </c>
      <c r="BP84" s="97">
        <f>SUM('Defect (Total)'!BP84,Planned!CV84,Reconductor!CV84,CTGS!CV84,'Substation 2025$'!CV84*$BL$1,Comms!CR84*$BL$2)</f>
        <v>66656.523757478732</v>
      </c>
      <c r="BQ84" s="97">
        <f>SUM('Defect (Total)'!BQ84,Planned!CW84,Reconductor!CW84,CTGS!CW84,'Substation 2025$'!CW84*$BL$1,Comms!CS84*$BL$2)</f>
        <v>66656.523757478732</v>
      </c>
      <c r="BR84" s="98">
        <f>SUM('Defect (Total)'!BR84,Planned!CX84,Reconductor!CX84,CTGS!CX84,'Substation 2025$'!CX84*$BL$1,Comms!CT84*$BL$2)</f>
        <v>66656.523757478732</v>
      </c>
      <c r="BS84" s="836">
        <f>'Unit Cost Rate Summary'!AO84</f>
        <v>136.95524566379223</v>
      </c>
      <c r="BT84" s="840">
        <f t="shared" si="49"/>
        <v>77.706937871857676</v>
      </c>
      <c r="BU84" s="832">
        <f t="shared" si="50"/>
        <v>388.53468935928839</v>
      </c>
      <c r="BV84" t="s">
        <v>638</v>
      </c>
      <c r="CI84" s="416">
        <f>VLOOKUP($A84,'Distribution Summary'!$A$136:$CG$146,CI$1,0)*BN84</f>
        <v>75941.801219235625</v>
      </c>
      <c r="CJ84" s="97">
        <f>VLOOKUP($A84,'Distribution Summary'!$A$136:$CG$146,CJ$1,0)*BO84</f>
        <v>76305.143302045282</v>
      </c>
      <c r="CK84" s="97">
        <f>VLOOKUP($A84,'Distribution Summary'!$A$136:$CG$146,CK$1,0)*BP84</f>
        <v>76654.498456838861</v>
      </c>
      <c r="CL84" s="97">
        <f>VLOOKUP($A84,'Distribution Summary'!$A$136:$CG$146,CL$1,0)*BQ84</f>
        <v>77065.745773663919</v>
      </c>
      <c r="CM84" s="98">
        <f>VLOOKUP($A84,'Distribution Summary'!$A$136:$CG$146,CM$1,0)*BR84</f>
        <v>77526.430775224057</v>
      </c>
    </row>
    <row r="85" spans="1:91" x14ac:dyDescent="0.25">
      <c r="A85" s="81" t="s">
        <v>138</v>
      </c>
      <c r="B85" s="82" t="s">
        <v>173</v>
      </c>
      <c r="C85" s="83" t="s">
        <v>375</v>
      </c>
      <c r="D85" s="84">
        <f>SUM('Defect (Total)'!D85,Planned!D85,Reconductor!D85,CTGS!D85)</f>
        <v>0</v>
      </c>
      <c r="E85" s="85">
        <f>SUM('Defect (Total)'!E85,Planned!E85,Reconductor!E85,CTGS!E85)</f>
        <v>80744</v>
      </c>
      <c r="F85" s="85">
        <f>SUM('Defect (Total)'!F85,Planned!F85,Reconductor!F85,CTGS!F85)</f>
        <v>200271</v>
      </c>
      <c r="G85" s="85">
        <f>SUM('Defect (Total)'!G85,Planned!G85,Reconductor!G85,CTGS!G85)</f>
        <v>0</v>
      </c>
      <c r="H85" s="85">
        <f>SUM('Defect (Total)'!H85,Planned!H85,Reconductor!H85,CTGS!H85)</f>
        <v>0</v>
      </c>
      <c r="I85" s="85">
        <f>SUM('Defect (Total)'!I85,Planned!I85,Reconductor!I85,CTGS!I85)</f>
        <v>125300.59687523704</v>
      </c>
      <c r="J85" s="85">
        <f>SUM('Defect (Total)'!J85,Planned!J85,Reconductor!J85,CTGS!J85)</f>
        <v>0</v>
      </c>
      <c r="K85" s="85">
        <f>SUM('Defect (Total)'!K85,Planned!K85,Reconductor!K85,CTGS!K85)</f>
        <v>181400.89701398701</v>
      </c>
      <c r="L85" s="85">
        <f>SUM('Defect (Total)'!L85,Planned!L85,Reconductor!L85,CTGS!L85)</f>
        <v>0</v>
      </c>
      <c r="M85" s="85">
        <f>SUM('Defect (Total)'!M85,Planned!M85,Reconductor!M85,CTGS!M85)</f>
        <v>0</v>
      </c>
      <c r="N85" s="85">
        <f>SUM('Defect (Total)'!N85,Planned!N85,Reconductor!N85,CTGS!N85)</f>
        <v>0</v>
      </c>
      <c r="O85" s="560">
        <f>SUM('Defect (Total)'!O85,Planned!O85,Reconductor!O85,CTGS!O85)</f>
        <v>0</v>
      </c>
      <c r="P85" s="561">
        <f>SUM('Defect (Total)'!P85,Planned!P85,Reconductor!P85,CTGS!P85)</f>
        <v>107020.59443279887</v>
      </c>
      <c r="Q85" s="561">
        <f>SUM('Defect (Total)'!Q85,Planned!Q85,Reconductor!Q85,CTGS!Q85)</f>
        <v>262756.70310455409</v>
      </c>
      <c r="R85" s="561">
        <f>SUM('Defect (Total)'!R85,Planned!R85,Reconductor!R85,CTGS!R85)</f>
        <v>0</v>
      </c>
      <c r="S85" s="561">
        <f>SUM('Defect (Total)'!S85,Planned!S85,Reconductor!S85,CTGS!S85)</f>
        <v>0</v>
      </c>
      <c r="T85" s="561">
        <f>SUM('Defect (Total)'!T85,Planned!T85,Reconductor!T85,CTGS!T85)</f>
        <v>155516.62210648609</v>
      </c>
      <c r="U85" s="561">
        <f>SUM('Defect (Total)'!U85,Planned!U85,Reconductor!U85,CTGS!U85)</f>
        <v>0</v>
      </c>
      <c r="V85" s="561">
        <f>SUM('Defect (Total)'!V85,Planned!V85,Reconductor!V85,CTGS!V85)</f>
        <v>217564.76027428094</v>
      </c>
      <c r="W85" s="561">
        <f>SUM('Defect (Total)'!W85,Planned!W85,Reconductor!W85,CTGS!W85)</f>
        <v>0</v>
      </c>
      <c r="X85" s="561">
        <f>SUM('Defect (Total)'!X85,Planned!X85,Reconductor!X85,CTGS!X85)</f>
        <v>0</v>
      </c>
      <c r="Y85" s="561">
        <f>SUM('Defect (Total)'!Y85,Planned!Y85,Reconductor!Y85,CTGS!Y85)</f>
        <v>0</v>
      </c>
      <c r="Z85" s="86">
        <f>SUM('Defect (Total)'!Z85,Planned!Z85,Reconductor!Z85,CTGS!Z85)</f>
        <v>0</v>
      </c>
      <c r="AA85" s="87">
        <f>SUM('Defect (Total)'!AA85,Planned!AA85,Reconductor!AA85,CTGS!AA85)</f>
        <v>1</v>
      </c>
      <c r="AB85" s="87">
        <f>SUM('Defect (Total)'!AB85,Planned!AB85,Reconductor!AB85,CTGS!AB85)</f>
        <v>3</v>
      </c>
      <c r="AC85" s="87">
        <f>SUM('Defect (Total)'!AC85,Planned!AC85,Reconductor!AC85,CTGS!AC85)</f>
        <v>0</v>
      </c>
      <c r="AD85" s="87">
        <f>SUM('Defect (Total)'!AD85,Planned!AD85,Reconductor!AD85,CTGS!AD85)</f>
        <v>0</v>
      </c>
      <c r="AE85" s="87">
        <f>SUM('Defect (Total)'!AE85,Planned!AE85,Reconductor!AE85,CTGS!AE85)</f>
        <v>1</v>
      </c>
      <c r="AF85" s="87">
        <f>SUM('Defect (Total)'!AF85,Planned!AF85,Reconductor!AF85,CTGS!AF85)</f>
        <v>0</v>
      </c>
      <c r="AG85" s="87">
        <f>SUM('Defect (Total)'!AG85,Planned!AG85,Reconductor!AG85,CTGS!AG85)</f>
        <v>2</v>
      </c>
      <c r="AH85" s="87">
        <f>SUM('Defect (Total)'!AH85,Planned!AH85,Reconductor!AH85,CTGS!AH85)</f>
        <v>0</v>
      </c>
      <c r="AI85" s="87">
        <f>SUM('Defect (Total)'!AI85,Planned!AI85,Reconductor!AI85,CTGS!AI85)</f>
        <v>0</v>
      </c>
      <c r="AJ85" s="87">
        <f>SUM('Defect (Total)'!AJ85,Planned!AJ85,Reconductor!AJ85,CTGS!AJ85)</f>
        <v>0</v>
      </c>
      <c r="AK85" s="88">
        <f t="shared" si="51"/>
        <v>0.6</v>
      </c>
      <c r="AL85" s="89">
        <f t="shared" si="52"/>
        <v>0.66666666666666663</v>
      </c>
      <c r="AM85" s="90">
        <f t="shared" si="53"/>
        <v>0</v>
      </c>
      <c r="AN85" s="91" t="str">
        <f t="shared" si="35"/>
        <v/>
      </c>
      <c r="AO85" s="92">
        <f t="shared" si="36"/>
        <v>80744</v>
      </c>
      <c r="AP85" s="92">
        <f t="shared" si="37"/>
        <v>66757</v>
      </c>
      <c r="AQ85" s="92" t="str">
        <f t="shared" si="38"/>
        <v/>
      </c>
      <c r="AR85" s="92" t="str">
        <f t="shared" si="39"/>
        <v/>
      </c>
      <c r="AS85" s="92">
        <f t="shared" si="40"/>
        <v>125300.59687523704</v>
      </c>
      <c r="AT85" s="92" t="str">
        <f t="shared" si="41"/>
        <v/>
      </c>
      <c r="AU85" s="92">
        <f t="shared" si="42"/>
        <v>90700.448506993504</v>
      </c>
      <c r="AV85" s="92" t="str">
        <f t="shared" si="43"/>
        <v/>
      </c>
      <c r="AW85" s="92" t="str">
        <f t="shared" si="44"/>
        <v/>
      </c>
      <c r="AX85" s="92" t="str">
        <f t="shared" si="45"/>
        <v/>
      </c>
      <c r="AY85" s="93">
        <f t="shared" si="46"/>
        <v>102233.83129640801</v>
      </c>
      <c r="AZ85" s="94">
        <f t="shared" si="47"/>
        <v>90700.448506993504</v>
      </c>
      <c r="BA85" s="95" t="str">
        <f t="shared" si="48"/>
        <v/>
      </c>
      <c r="BB85" s="689">
        <f>SUM('Defect (Total)'!BB85,Planned!CE85,Reconductor!CE85,CTGS!CE85,'Substation 2025$'!CE85*$BL$1,Comms!CA85*$BL$2)</f>
        <v>0.66666666666666663</v>
      </c>
      <c r="BC85" s="689">
        <f>SUM('Defect (Total)'!BC85,Planned!CF85,Reconductor!CF85,CTGS!CF85,'Substation 2025$'!CF85*$BL$1,Comms!CB85*$BL$2)</f>
        <v>0.66666666666666663</v>
      </c>
      <c r="BD85" s="96">
        <f>SUM('Defect (Total)'!BD85,Planned!CG85,Reconductor!CG85,CTGS!CG85,'Substation 2025$'!CG85*$BL$1,Comms!CC85*$BL$2)</f>
        <v>0.66666666666666663</v>
      </c>
      <c r="BE85" s="96">
        <f>SUM('Defect (Total)'!BE85,Planned!CH85,Reconductor!CH85,CTGS!CH85,'Substation 2025$'!CH85*$BL$1,Comms!CD85*$BL$2)</f>
        <v>0.5673892773893332</v>
      </c>
      <c r="BF85" s="96">
        <f>SUM('Defect (Total)'!BF85,Planned!CI85,Reconductor!CI85,CTGS!CI85,'Substation 2025$'!CI85*$BL$1,Comms!CE85*$BL$2)</f>
        <v>0.5673892773893332</v>
      </c>
      <c r="BG85" s="96">
        <f>SUM('Defect (Total)'!BG85,Planned!CJ85,Reconductor!CJ85,CTGS!CJ85,'Substation 2025$'!CJ85*$BL$1,Comms!CF85*$BL$2)</f>
        <v>0.5673892773893332</v>
      </c>
      <c r="BH85" s="96">
        <f>SUM('Defect (Total)'!BH85,Planned!CK85,Reconductor!CK85,CTGS!CK85,'Substation 2025$'!CK85*$BL$1,Comms!CG85*$BL$2)</f>
        <v>0.5673892773893332</v>
      </c>
      <c r="BI85" s="286">
        <f>SUM('Defect (Total)'!BI85,Planned!CL85,Reconductor!CL85,CTGS!CL85,'Substation 2025$'!CL85*$BL$1,Comms!CH85*$BL$2)</f>
        <v>0.5673892773893332</v>
      </c>
      <c r="BJ85" s="99">
        <f t="shared" si="54"/>
        <v>101457.33952526921</v>
      </c>
      <c r="BK85" s="992">
        <f>SUM('Defect (Total)'!BK85,Planned!CQ85,Reconductor!CQ85,CTGS!CQ85,'Substation 2025$'!CQ85*$BL$1,Comms!CM85*$BL$2)</f>
        <v>60466.965671329002</v>
      </c>
      <c r="BL85" s="992">
        <f>SUM('Defect (Total)'!BL85,Planned!CR85,Reconductor!CR85,CTGS!CR85,'Substation 2025$'!CR85*$BL$1,Comms!CN85*$BL$2)</f>
        <v>60466.965671329002</v>
      </c>
      <c r="BM85" s="524">
        <f>SUM('Defect (Total)'!BM85,Planned!CS85,Reconductor!CS85,CTGS!CS85,'Substation 2025$'!CS85*$BL$1,Comms!CO85*$BL$2)</f>
        <v>60466.965671329002</v>
      </c>
      <c r="BN85" s="416">
        <f>SUM('Defect (Total)'!BN85,Planned!CT85,Reconductor!CT85,CTGS!CT85,'Substation 2025$'!CT85*$BL$1,Comms!CP85*$BL$2)</f>
        <v>57565.806559086734</v>
      </c>
      <c r="BO85" s="97">
        <f>SUM('Defect (Total)'!BO85,Planned!CU85,Reconductor!CU85,CTGS!CU85,'Substation 2025$'!CU85*$BL$1,Comms!CQ85*$BL$2)</f>
        <v>57565.806559086734</v>
      </c>
      <c r="BP85" s="97">
        <f>SUM('Defect (Total)'!BP85,Planned!CV85,Reconductor!CV85,CTGS!CV85,'Substation 2025$'!CV85*$BL$1,Comms!CR85*$BL$2)</f>
        <v>57565.806559086734</v>
      </c>
      <c r="BQ85" s="97">
        <f>SUM('Defect (Total)'!BQ85,Planned!CW85,Reconductor!CW85,CTGS!CW85,'Substation 2025$'!CW85*$BL$1,Comms!CS85*$BL$2)</f>
        <v>57565.806559086734</v>
      </c>
      <c r="BR85" s="98">
        <f>SUM('Defect (Total)'!BR85,Planned!CX85,Reconductor!CX85,CTGS!CX85,'Substation 2025$'!CX85*$BL$1,Comms!CT85*$BL$2)</f>
        <v>57565.806559086734</v>
      </c>
      <c r="BS85" s="836">
        <f>'Unit Cost Rate Summary'!AO85</f>
        <v>335.22449314734939</v>
      </c>
      <c r="BT85" s="840">
        <f t="shared" si="49"/>
        <v>0</v>
      </c>
      <c r="BU85" s="832">
        <f t="shared" si="50"/>
        <v>0</v>
      </c>
      <c r="BV85" t="s">
        <v>638</v>
      </c>
      <c r="CI85" s="416">
        <f>VLOOKUP($A85,'Distribution Summary'!$A$136:$CG$146,CI$1,0)*BN85</f>
        <v>65584.743882546754</v>
      </c>
      <c r="CJ85" s="97">
        <f>VLOOKUP($A85,'Distribution Summary'!$A$136:$CG$146,CJ$1,0)*BO85</f>
        <v>65898.532824344802</v>
      </c>
      <c r="CK85" s="97">
        <f>VLOOKUP($A85,'Distribution Summary'!$A$136:$CG$146,CK$1,0)*BP85</f>
        <v>66200.242396455666</v>
      </c>
      <c r="CL85" s="97">
        <f>VLOOKUP($A85,'Distribution Summary'!$A$136:$CG$146,CL$1,0)*BQ85</f>
        <v>66555.403184234354</v>
      </c>
      <c r="CM85" s="98">
        <f>VLOOKUP($A85,'Distribution Summary'!$A$136:$CG$146,CM$1,0)*BR85</f>
        <v>66953.259270773939</v>
      </c>
    </row>
    <row r="86" spans="1:91" x14ac:dyDescent="0.25">
      <c r="A86" s="81" t="s">
        <v>138</v>
      </c>
      <c r="B86" s="82" t="s">
        <v>175</v>
      </c>
      <c r="C86" s="83" t="s">
        <v>376</v>
      </c>
      <c r="D86" s="84">
        <f>SUM('Defect (Total)'!D86,Planned!D86,Reconductor!D86,CTGS!D86)</f>
        <v>0</v>
      </c>
      <c r="E86" s="85">
        <f>SUM('Defect (Total)'!E86,Planned!E86,Reconductor!E86,CTGS!E86)</f>
        <v>0</v>
      </c>
      <c r="F86" s="85">
        <f>SUM('Defect (Total)'!F86,Planned!F86,Reconductor!F86,CTGS!F86)</f>
        <v>0</v>
      </c>
      <c r="G86" s="85">
        <f>SUM('Defect (Total)'!G86,Planned!G86,Reconductor!G86,CTGS!G86)</f>
        <v>0</v>
      </c>
      <c r="H86" s="85">
        <f>SUM('Defect (Total)'!H86,Planned!H86,Reconductor!H86,CTGS!H86)</f>
        <v>0</v>
      </c>
      <c r="I86" s="85">
        <f>SUM('Defect (Total)'!I86,Planned!I86,Reconductor!I86,CTGS!I86)</f>
        <v>0</v>
      </c>
      <c r="J86" s="85">
        <f>SUM('Defect (Total)'!J86,Planned!J86,Reconductor!J86,CTGS!J86)</f>
        <v>0</v>
      </c>
      <c r="K86" s="85">
        <f>SUM('Defect (Total)'!K86,Planned!K86,Reconductor!K86,CTGS!K86)</f>
        <v>0</v>
      </c>
      <c r="L86" s="85">
        <f>SUM('Defect (Total)'!L86,Planned!L86,Reconductor!L86,CTGS!L86)</f>
        <v>0</v>
      </c>
      <c r="M86" s="85">
        <f>SUM('Defect (Total)'!M86,Planned!M86,Reconductor!M86,CTGS!M86)</f>
        <v>0</v>
      </c>
      <c r="N86" s="85">
        <f>SUM('Defect (Total)'!N86,Planned!N86,Reconductor!N86,CTGS!N86)</f>
        <v>0</v>
      </c>
      <c r="O86" s="560">
        <f>SUM('Defect (Total)'!O86,Planned!O86,Reconductor!O86,CTGS!O86)</f>
        <v>0</v>
      </c>
      <c r="P86" s="561">
        <f>SUM('Defect (Total)'!P86,Planned!P86,Reconductor!P86,CTGS!P86)</f>
        <v>0</v>
      </c>
      <c r="Q86" s="561">
        <f>SUM('Defect (Total)'!Q86,Planned!Q86,Reconductor!Q86,CTGS!Q86)</f>
        <v>0</v>
      </c>
      <c r="R86" s="561">
        <f>SUM('Defect (Total)'!R86,Planned!R86,Reconductor!R86,CTGS!R86)</f>
        <v>0</v>
      </c>
      <c r="S86" s="561">
        <f>SUM('Defect (Total)'!S86,Planned!S86,Reconductor!S86,CTGS!S86)</f>
        <v>0</v>
      </c>
      <c r="T86" s="561">
        <f>SUM('Defect (Total)'!T86,Planned!T86,Reconductor!T86,CTGS!T86)</f>
        <v>0</v>
      </c>
      <c r="U86" s="561">
        <f>SUM('Defect (Total)'!U86,Planned!U86,Reconductor!U86,CTGS!U86)</f>
        <v>0</v>
      </c>
      <c r="V86" s="561">
        <f>SUM('Defect (Total)'!V86,Planned!V86,Reconductor!V86,CTGS!V86)</f>
        <v>0</v>
      </c>
      <c r="W86" s="561">
        <f>SUM('Defect (Total)'!W86,Planned!W86,Reconductor!W86,CTGS!W86)</f>
        <v>0</v>
      </c>
      <c r="X86" s="561">
        <f>SUM('Defect (Total)'!X86,Planned!X86,Reconductor!X86,CTGS!X86)</f>
        <v>0</v>
      </c>
      <c r="Y86" s="561">
        <f>SUM('Defect (Total)'!Y86,Planned!Y86,Reconductor!Y86,CTGS!Y86)</f>
        <v>0</v>
      </c>
      <c r="Z86" s="86">
        <f>SUM('Defect (Total)'!Z86,Planned!Z86,Reconductor!Z86,CTGS!Z86)</f>
        <v>0</v>
      </c>
      <c r="AA86" s="87">
        <f>SUM('Defect (Total)'!AA86,Planned!AA86,Reconductor!AA86,CTGS!AA86)</f>
        <v>0</v>
      </c>
      <c r="AB86" s="87">
        <f>SUM('Defect (Total)'!AB86,Planned!AB86,Reconductor!AB86,CTGS!AB86)</f>
        <v>0</v>
      </c>
      <c r="AC86" s="87">
        <f>SUM('Defect (Total)'!AC86,Planned!AC86,Reconductor!AC86,CTGS!AC86)</f>
        <v>0</v>
      </c>
      <c r="AD86" s="87">
        <f>SUM('Defect (Total)'!AD86,Planned!AD86,Reconductor!AD86,CTGS!AD86)</f>
        <v>0</v>
      </c>
      <c r="AE86" s="87">
        <f>SUM('Defect (Total)'!AE86,Planned!AE86,Reconductor!AE86,CTGS!AE86)</f>
        <v>0</v>
      </c>
      <c r="AF86" s="87">
        <f>SUM('Defect (Total)'!AF86,Planned!AF86,Reconductor!AF86,CTGS!AF86)</f>
        <v>0</v>
      </c>
      <c r="AG86" s="87">
        <f>SUM('Defect (Total)'!AG86,Planned!AG86,Reconductor!AG86,CTGS!AG86)</f>
        <v>0</v>
      </c>
      <c r="AH86" s="87">
        <f>SUM('Defect (Total)'!AH86,Planned!AH86,Reconductor!AH86,CTGS!AH86)</f>
        <v>0</v>
      </c>
      <c r="AI86" s="87">
        <f>SUM('Defect (Total)'!AI86,Planned!AI86,Reconductor!AI86,CTGS!AI86)</f>
        <v>0</v>
      </c>
      <c r="AJ86" s="87">
        <f>SUM('Defect (Total)'!AJ86,Planned!AJ86,Reconductor!AJ86,CTGS!AJ86)</f>
        <v>0</v>
      </c>
      <c r="AK86" s="88">
        <f t="shared" si="51"/>
        <v>0</v>
      </c>
      <c r="AL86" s="89">
        <f t="shared" si="52"/>
        <v>0</v>
      </c>
      <c r="AM86" s="90">
        <f t="shared" si="53"/>
        <v>0</v>
      </c>
      <c r="AN86" s="91" t="str">
        <f t="shared" si="35"/>
        <v/>
      </c>
      <c r="AO86" s="92" t="str">
        <f t="shared" si="36"/>
        <v/>
      </c>
      <c r="AP86" s="92" t="str">
        <f t="shared" si="37"/>
        <v/>
      </c>
      <c r="AQ86" s="92" t="str">
        <f t="shared" si="38"/>
        <v/>
      </c>
      <c r="AR86" s="92" t="str">
        <f t="shared" si="39"/>
        <v/>
      </c>
      <c r="AS86" s="92" t="str">
        <f t="shared" si="40"/>
        <v/>
      </c>
      <c r="AT86" s="92" t="str">
        <f t="shared" si="41"/>
        <v/>
      </c>
      <c r="AU86" s="92" t="str">
        <f t="shared" si="42"/>
        <v/>
      </c>
      <c r="AV86" s="92" t="str">
        <f t="shared" si="43"/>
        <v/>
      </c>
      <c r="AW86" s="92" t="str">
        <f t="shared" si="44"/>
        <v/>
      </c>
      <c r="AX86" s="92" t="str">
        <f t="shared" si="45"/>
        <v/>
      </c>
      <c r="AY86" s="93" t="str">
        <f t="shared" si="46"/>
        <v/>
      </c>
      <c r="AZ86" s="94" t="str">
        <f t="shared" si="47"/>
        <v/>
      </c>
      <c r="BA86" s="95" t="str">
        <f t="shared" si="48"/>
        <v/>
      </c>
      <c r="BB86" s="689">
        <f>SUM('Defect (Total)'!BB86,Planned!CE86,Reconductor!CE86,CTGS!CE86,'Substation 2025$'!CE86*$BL$1,Comms!CA86*$BL$2)</f>
        <v>0</v>
      </c>
      <c r="BC86" s="689">
        <f>SUM('Defect (Total)'!BC86,Planned!CF86,Reconductor!CF86,CTGS!CF86,'Substation 2025$'!CF86*$BL$1,Comms!CB86*$BL$2)</f>
        <v>0</v>
      </c>
      <c r="BD86" s="96">
        <f>SUM('Defect (Total)'!BD86,Planned!CG86,Reconductor!CG86,CTGS!CG86,'Substation 2025$'!CG86*$BL$1,Comms!CC86*$BL$2)</f>
        <v>0</v>
      </c>
      <c r="BE86" s="96">
        <f>SUM('Defect (Total)'!BE86,Planned!CH86,Reconductor!CH86,CTGS!CH86,'Substation 2025$'!CH86*$BL$1,Comms!CD86*$BL$2)</f>
        <v>0</v>
      </c>
      <c r="BF86" s="96">
        <f>SUM('Defect (Total)'!BF86,Planned!CI86,Reconductor!CI86,CTGS!CI86,'Substation 2025$'!CI86*$BL$1,Comms!CE86*$BL$2)</f>
        <v>0</v>
      </c>
      <c r="BG86" s="96">
        <f>SUM('Defect (Total)'!BG86,Planned!CJ86,Reconductor!CJ86,CTGS!CJ86,'Substation 2025$'!CJ86*$BL$1,Comms!CF86*$BL$2)</f>
        <v>0</v>
      </c>
      <c r="BH86" s="96">
        <f>SUM('Defect (Total)'!BH86,Planned!CK86,Reconductor!CK86,CTGS!CK86,'Substation 2025$'!CK86*$BL$1,Comms!CG86*$BL$2)</f>
        <v>0</v>
      </c>
      <c r="BI86" s="286">
        <f>SUM('Defect (Total)'!BI86,Planned!CL86,Reconductor!CL86,CTGS!CL86,'Substation 2025$'!CL86*$BL$1,Comms!CH86*$BL$2)</f>
        <v>0</v>
      </c>
      <c r="BJ86" s="99" t="str">
        <f t="shared" si="54"/>
        <v/>
      </c>
      <c r="BK86" s="992">
        <f>SUM('Defect (Total)'!BK86,Planned!CQ86,Reconductor!CQ86,CTGS!CQ86,'Substation 2025$'!CQ86*$BL$1,Comms!CM86*$BL$2)</f>
        <v>0</v>
      </c>
      <c r="BL86" s="992">
        <f>SUM('Defect (Total)'!BL86,Planned!CR86,Reconductor!CR86,CTGS!CR86,'Substation 2025$'!CR86*$BL$1,Comms!CN86*$BL$2)</f>
        <v>0</v>
      </c>
      <c r="BM86" s="524">
        <f>SUM('Defect (Total)'!BM86,Planned!CS86,Reconductor!CS86,CTGS!CS86,'Substation 2025$'!CS86*$BL$1,Comms!CO86*$BL$2)</f>
        <v>0</v>
      </c>
      <c r="BN86" s="416">
        <f>SUM('Defect (Total)'!BN86,Planned!CT86,Reconductor!CT86,CTGS!CT86,'Substation 2025$'!CT86*$BL$1,Comms!CP86*$BL$2)</f>
        <v>0</v>
      </c>
      <c r="BO86" s="97">
        <f>SUM('Defect (Total)'!BO86,Planned!CU86,Reconductor!CU86,CTGS!CU86,'Substation 2025$'!CU86*$BL$1,Comms!CQ86*$BL$2)</f>
        <v>0</v>
      </c>
      <c r="BP86" s="97">
        <f>SUM('Defect (Total)'!BP86,Planned!CV86,Reconductor!CV86,CTGS!CV86,'Substation 2025$'!CV86*$BL$1,Comms!CR86*$BL$2)</f>
        <v>0</v>
      </c>
      <c r="BQ86" s="97">
        <f>SUM('Defect (Total)'!BQ86,Planned!CW86,Reconductor!CW86,CTGS!CW86,'Substation 2025$'!CW86*$BL$1,Comms!CS86*$BL$2)</f>
        <v>0</v>
      </c>
      <c r="BR86" s="98">
        <f>SUM('Defect (Total)'!BR86,Planned!CX86,Reconductor!CX86,CTGS!CX86,'Substation 2025$'!CX86*$BL$1,Comms!CT86*$BL$2)</f>
        <v>0</v>
      </c>
      <c r="BS86" s="836" t="str">
        <f>'Unit Cost Rate Summary'!AO86</f>
        <v/>
      </c>
      <c r="BT86" s="840" t="str">
        <f t="shared" si="49"/>
        <v/>
      </c>
      <c r="BU86" s="832" t="str">
        <f t="shared" si="50"/>
        <v/>
      </c>
      <c r="BV86" t="s">
        <v>638</v>
      </c>
      <c r="CI86" s="416">
        <f>VLOOKUP($A86,'Distribution Summary'!$A$136:$CG$146,CI$1,0)*BN86</f>
        <v>0</v>
      </c>
      <c r="CJ86" s="97">
        <f>VLOOKUP($A86,'Distribution Summary'!$A$136:$CG$146,CJ$1,0)*BO86</f>
        <v>0</v>
      </c>
      <c r="CK86" s="97">
        <f>VLOOKUP($A86,'Distribution Summary'!$A$136:$CG$146,CK$1,0)*BP86</f>
        <v>0</v>
      </c>
      <c r="CL86" s="97">
        <f>VLOOKUP($A86,'Distribution Summary'!$A$136:$CG$146,CL$1,0)*BQ86</f>
        <v>0</v>
      </c>
      <c r="CM86" s="98">
        <f>VLOOKUP($A86,'Distribution Summary'!$A$136:$CG$146,CM$1,0)*BR86</f>
        <v>0</v>
      </c>
    </row>
    <row r="87" spans="1:91" x14ac:dyDescent="0.25">
      <c r="A87" s="81" t="s">
        <v>138</v>
      </c>
      <c r="B87" s="82" t="s">
        <v>177</v>
      </c>
      <c r="C87" s="83" t="s">
        <v>377</v>
      </c>
      <c r="D87" s="84">
        <f>SUM('Defect (Total)'!D87,Planned!D87,Reconductor!D87,CTGS!D87)</f>
        <v>0</v>
      </c>
      <c r="E87" s="85">
        <f>SUM('Defect (Total)'!E87,Planned!E87,Reconductor!E87,CTGS!E87)</f>
        <v>0</v>
      </c>
      <c r="F87" s="85">
        <f>SUM('Defect (Total)'!F87,Planned!F87,Reconductor!F87,CTGS!F87)</f>
        <v>0</v>
      </c>
      <c r="G87" s="85">
        <f>SUM('Defect (Total)'!G87,Planned!G87,Reconductor!G87,CTGS!G87)</f>
        <v>0</v>
      </c>
      <c r="H87" s="85">
        <f>SUM('Defect (Total)'!H87,Planned!H87,Reconductor!H87,CTGS!H87)</f>
        <v>0</v>
      </c>
      <c r="I87" s="85">
        <f>SUM('Defect (Total)'!I87,Planned!I87,Reconductor!I87,CTGS!I87)</f>
        <v>0</v>
      </c>
      <c r="J87" s="85">
        <f>SUM('Defect (Total)'!J87,Planned!J87,Reconductor!J87,CTGS!J87)</f>
        <v>0</v>
      </c>
      <c r="K87" s="85">
        <f>SUM('Defect (Total)'!K87,Planned!K87,Reconductor!K87,CTGS!K87)</f>
        <v>0</v>
      </c>
      <c r="L87" s="85">
        <f>SUM('Defect (Total)'!L87,Planned!L87,Reconductor!L87,CTGS!L87)</f>
        <v>0</v>
      </c>
      <c r="M87" s="85">
        <f>SUM('Defect (Total)'!M87,Planned!M87,Reconductor!M87,CTGS!M87)</f>
        <v>0</v>
      </c>
      <c r="N87" s="85">
        <f>SUM('Defect (Total)'!N87,Planned!N87,Reconductor!N87,CTGS!N87)</f>
        <v>0</v>
      </c>
      <c r="O87" s="560">
        <f>SUM('Defect (Total)'!O87,Planned!O87,Reconductor!O87,CTGS!O87)</f>
        <v>0</v>
      </c>
      <c r="P87" s="561">
        <f>SUM('Defect (Total)'!P87,Planned!P87,Reconductor!P87,CTGS!P87)</f>
        <v>0</v>
      </c>
      <c r="Q87" s="561">
        <f>SUM('Defect (Total)'!Q87,Planned!Q87,Reconductor!Q87,CTGS!Q87)</f>
        <v>0</v>
      </c>
      <c r="R87" s="561">
        <f>SUM('Defect (Total)'!R87,Planned!R87,Reconductor!R87,CTGS!R87)</f>
        <v>0</v>
      </c>
      <c r="S87" s="561">
        <f>SUM('Defect (Total)'!S87,Planned!S87,Reconductor!S87,CTGS!S87)</f>
        <v>0</v>
      </c>
      <c r="T87" s="561">
        <f>SUM('Defect (Total)'!T87,Planned!T87,Reconductor!T87,CTGS!T87)</f>
        <v>0</v>
      </c>
      <c r="U87" s="561">
        <f>SUM('Defect (Total)'!U87,Planned!U87,Reconductor!U87,CTGS!U87)</f>
        <v>0</v>
      </c>
      <c r="V87" s="561">
        <f>SUM('Defect (Total)'!V87,Planned!V87,Reconductor!V87,CTGS!V87)</f>
        <v>0</v>
      </c>
      <c r="W87" s="561">
        <f>SUM('Defect (Total)'!W87,Planned!W87,Reconductor!W87,CTGS!W87)</f>
        <v>0</v>
      </c>
      <c r="X87" s="561">
        <f>SUM('Defect (Total)'!X87,Planned!X87,Reconductor!X87,CTGS!X87)</f>
        <v>0</v>
      </c>
      <c r="Y87" s="561">
        <f>SUM('Defect (Total)'!Y87,Planned!Y87,Reconductor!Y87,CTGS!Y87)</f>
        <v>0</v>
      </c>
      <c r="Z87" s="86">
        <f>SUM('Defect (Total)'!Z87,Planned!Z87,Reconductor!Z87,CTGS!Z87)</f>
        <v>0</v>
      </c>
      <c r="AA87" s="87">
        <f>SUM('Defect (Total)'!AA87,Planned!AA87,Reconductor!AA87,CTGS!AA87)</f>
        <v>0</v>
      </c>
      <c r="AB87" s="87">
        <f>SUM('Defect (Total)'!AB87,Planned!AB87,Reconductor!AB87,CTGS!AB87)</f>
        <v>0</v>
      </c>
      <c r="AC87" s="87">
        <f>SUM('Defect (Total)'!AC87,Planned!AC87,Reconductor!AC87,CTGS!AC87)</f>
        <v>0</v>
      </c>
      <c r="AD87" s="87">
        <f>SUM('Defect (Total)'!AD87,Planned!AD87,Reconductor!AD87,CTGS!AD87)</f>
        <v>0</v>
      </c>
      <c r="AE87" s="87">
        <f>SUM('Defect (Total)'!AE87,Planned!AE87,Reconductor!AE87,CTGS!AE87)</f>
        <v>0</v>
      </c>
      <c r="AF87" s="87">
        <f>SUM('Defect (Total)'!AF87,Planned!AF87,Reconductor!AF87,CTGS!AF87)</f>
        <v>0</v>
      </c>
      <c r="AG87" s="87">
        <f>SUM('Defect (Total)'!AG87,Planned!AG87,Reconductor!AG87,CTGS!AG87)</f>
        <v>0</v>
      </c>
      <c r="AH87" s="87">
        <f>SUM('Defect (Total)'!AH87,Planned!AH87,Reconductor!AH87,CTGS!AH87)</f>
        <v>0</v>
      </c>
      <c r="AI87" s="87">
        <f>SUM('Defect (Total)'!AI87,Planned!AI87,Reconductor!AI87,CTGS!AI87)</f>
        <v>0</v>
      </c>
      <c r="AJ87" s="87">
        <f>SUM('Defect (Total)'!AJ87,Planned!AJ87,Reconductor!AJ87,CTGS!AJ87)</f>
        <v>0</v>
      </c>
      <c r="AK87" s="88">
        <f t="shared" si="51"/>
        <v>0</v>
      </c>
      <c r="AL87" s="89">
        <f t="shared" si="52"/>
        <v>0</v>
      </c>
      <c r="AM87" s="90">
        <f t="shared" si="53"/>
        <v>0</v>
      </c>
      <c r="AN87" s="91" t="str">
        <f t="shared" si="35"/>
        <v/>
      </c>
      <c r="AO87" s="92" t="str">
        <f t="shared" si="36"/>
        <v/>
      </c>
      <c r="AP87" s="92" t="str">
        <f t="shared" si="37"/>
        <v/>
      </c>
      <c r="AQ87" s="92" t="str">
        <f t="shared" si="38"/>
        <v/>
      </c>
      <c r="AR87" s="92" t="str">
        <f t="shared" si="39"/>
        <v/>
      </c>
      <c r="AS87" s="92" t="str">
        <f t="shared" si="40"/>
        <v/>
      </c>
      <c r="AT87" s="92" t="str">
        <f t="shared" si="41"/>
        <v/>
      </c>
      <c r="AU87" s="92" t="str">
        <f t="shared" si="42"/>
        <v/>
      </c>
      <c r="AV87" s="92" t="str">
        <f t="shared" si="43"/>
        <v/>
      </c>
      <c r="AW87" s="92" t="str">
        <f t="shared" si="44"/>
        <v/>
      </c>
      <c r="AX87" s="92" t="str">
        <f t="shared" si="45"/>
        <v/>
      </c>
      <c r="AY87" s="93" t="str">
        <f t="shared" si="46"/>
        <v/>
      </c>
      <c r="AZ87" s="94" t="str">
        <f t="shared" si="47"/>
        <v/>
      </c>
      <c r="BA87" s="95" t="str">
        <f t="shared" si="48"/>
        <v/>
      </c>
      <c r="BB87" s="689">
        <f>SUM('Defect (Total)'!BB87,Planned!CE87,Reconductor!CE87,CTGS!CE87,'Substation 2025$'!CE87*$BL$1,Comms!CA87*$BL$2)</f>
        <v>0</v>
      </c>
      <c r="BC87" s="689">
        <f>SUM('Defect (Total)'!BC87,Planned!CF87,Reconductor!CF87,CTGS!CF87,'Substation 2025$'!CF87*$BL$1,Comms!CB87*$BL$2)</f>
        <v>0</v>
      </c>
      <c r="BD87" s="96">
        <f>SUM('Defect (Total)'!BD87,Planned!CG87,Reconductor!CG87,CTGS!CG87,'Substation 2025$'!CG87*$BL$1,Comms!CC87*$BL$2)</f>
        <v>0</v>
      </c>
      <c r="BE87" s="96">
        <f>SUM('Defect (Total)'!BE87,Planned!CH87,Reconductor!CH87,CTGS!CH87,'Substation 2025$'!CH87*$BL$1,Comms!CD87*$BL$2)</f>
        <v>0</v>
      </c>
      <c r="BF87" s="96">
        <f>SUM('Defect (Total)'!BF87,Planned!CI87,Reconductor!CI87,CTGS!CI87,'Substation 2025$'!CI87*$BL$1,Comms!CE87*$BL$2)</f>
        <v>0</v>
      </c>
      <c r="BG87" s="96">
        <f>SUM('Defect (Total)'!BG87,Planned!CJ87,Reconductor!CJ87,CTGS!CJ87,'Substation 2025$'!CJ87*$BL$1,Comms!CF87*$BL$2)</f>
        <v>0</v>
      </c>
      <c r="BH87" s="96">
        <f>SUM('Defect (Total)'!BH87,Planned!CK87,Reconductor!CK87,CTGS!CK87,'Substation 2025$'!CK87*$BL$1,Comms!CG87*$BL$2)</f>
        <v>0</v>
      </c>
      <c r="BI87" s="286">
        <f>SUM('Defect (Total)'!BI87,Planned!CL87,Reconductor!CL87,CTGS!CL87,'Substation 2025$'!CL87*$BL$1,Comms!CH87*$BL$2)</f>
        <v>0</v>
      </c>
      <c r="BJ87" s="99" t="str">
        <f t="shared" si="54"/>
        <v/>
      </c>
      <c r="BK87" s="992">
        <f>SUM('Defect (Total)'!BK87,Planned!CQ87,Reconductor!CQ87,CTGS!CQ87,'Substation 2025$'!CQ87*$BL$1,Comms!CM87*$BL$2)</f>
        <v>0</v>
      </c>
      <c r="BL87" s="992">
        <f>SUM('Defect (Total)'!BL87,Planned!CR87,Reconductor!CR87,CTGS!CR87,'Substation 2025$'!CR87*$BL$1,Comms!CN87*$BL$2)</f>
        <v>0</v>
      </c>
      <c r="BM87" s="524">
        <f>SUM('Defect (Total)'!BM87,Planned!CS87,Reconductor!CS87,CTGS!CS87,'Substation 2025$'!CS87*$BL$1,Comms!CO87*$BL$2)</f>
        <v>0</v>
      </c>
      <c r="BN87" s="416">
        <f>SUM('Defect (Total)'!BN87,Planned!CT87,Reconductor!CT87,CTGS!CT87,'Substation 2025$'!CT87*$BL$1,Comms!CP87*$BL$2)</f>
        <v>0</v>
      </c>
      <c r="BO87" s="97">
        <f>SUM('Defect (Total)'!BO87,Planned!CU87,Reconductor!CU87,CTGS!CU87,'Substation 2025$'!CU87*$BL$1,Comms!CQ87*$BL$2)</f>
        <v>0</v>
      </c>
      <c r="BP87" s="97">
        <f>SUM('Defect (Total)'!BP87,Planned!CV87,Reconductor!CV87,CTGS!CV87,'Substation 2025$'!CV87*$BL$1,Comms!CR87*$BL$2)</f>
        <v>0</v>
      </c>
      <c r="BQ87" s="97">
        <f>SUM('Defect (Total)'!BQ87,Planned!CW87,Reconductor!CW87,CTGS!CW87,'Substation 2025$'!CW87*$BL$1,Comms!CS87*$BL$2)</f>
        <v>0</v>
      </c>
      <c r="BR87" s="98">
        <f>SUM('Defect (Total)'!BR87,Planned!CX87,Reconductor!CX87,CTGS!CX87,'Substation 2025$'!CX87*$BL$1,Comms!CT87*$BL$2)</f>
        <v>0</v>
      </c>
      <c r="BS87" s="836" t="str">
        <f>'Unit Cost Rate Summary'!AO87</f>
        <v/>
      </c>
      <c r="BT87" s="840" t="str">
        <f t="shared" si="49"/>
        <v/>
      </c>
      <c r="BU87" s="832" t="str">
        <f t="shared" si="50"/>
        <v/>
      </c>
      <c r="BV87" t="s">
        <v>638</v>
      </c>
      <c r="CI87" s="416">
        <f>VLOOKUP($A87,'Distribution Summary'!$A$136:$CG$146,CI$1,0)*BN87</f>
        <v>0</v>
      </c>
      <c r="CJ87" s="97">
        <f>VLOOKUP($A87,'Distribution Summary'!$A$136:$CG$146,CJ$1,0)*BO87</f>
        <v>0</v>
      </c>
      <c r="CK87" s="97">
        <f>VLOOKUP($A87,'Distribution Summary'!$A$136:$CG$146,CK$1,0)*BP87</f>
        <v>0</v>
      </c>
      <c r="CL87" s="97">
        <f>VLOOKUP($A87,'Distribution Summary'!$A$136:$CG$146,CL$1,0)*BQ87</f>
        <v>0</v>
      </c>
      <c r="CM87" s="98">
        <f>VLOOKUP($A87,'Distribution Summary'!$A$136:$CG$146,CM$1,0)*BR87</f>
        <v>0</v>
      </c>
    </row>
    <row r="88" spans="1:91" x14ac:dyDescent="0.25">
      <c r="A88" s="81" t="s">
        <v>138</v>
      </c>
      <c r="B88" s="82" t="s">
        <v>179</v>
      </c>
      <c r="C88" s="83" t="s">
        <v>378</v>
      </c>
      <c r="D88" s="84">
        <f>SUM('Defect (Total)'!D88,Planned!D88,Reconductor!D88,CTGS!D88)</f>
        <v>0</v>
      </c>
      <c r="E88" s="85">
        <f>SUM('Defect (Total)'!E88,Planned!E88,Reconductor!E88,CTGS!E88)</f>
        <v>0</v>
      </c>
      <c r="F88" s="85">
        <f>SUM('Defect (Total)'!F88,Planned!F88,Reconductor!F88,CTGS!F88)</f>
        <v>0</v>
      </c>
      <c r="G88" s="85">
        <f>SUM('Defect (Total)'!G88,Planned!G88,Reconductor!G88,CTGS!G88)</f>
        <v>0</v>
      </c>
      <c r="H88" s="85">
        <f>SUM('Defect (Total)'!H88,Planned!H88,Reconductor!H88,CTGS!H88)</f>
        <v>0</v>
      </c>
      <c r="I88" s="85">
        <f>SUM('Defect (Total)'!I88,Planned!I88,Reconductor!I88,CTGS!I88)</f>
        <v>0</v>
      </c>
      <c r="J88" s="85">
        <f>SUM('Defect (Total)'!J88,Planned!J88,Reconductor!J88,CTGS!J88)</f>
        <v>0</v>
      </c>
      <c r="K88" s="85">
        <f>SUM('Defect (Total)'!K88,Planned!K88,Reconductor!K88,CTGS!K88)</f>
        <v>0</v>
      </c>
      <c r="L88" s="85">
        <f>SUM('Defect (Total)'!L88,Planned!L88,Reconductor!L88,CTGS!L88)</f>
        <v>0</v>
      </c>
      <c r="M88" s="85">
        <f>SUM('Defect (Total)'!M88,Planned!M88,Reconductor!M88,CTGS!M88)</f>
        <v>0</v>
      </c>
      <c r="N88" s="85">
        <f>SUM('Defect (Total)'!N88,Planned!N88,Reconductor!N88,CTGS!N88)</f>
        <v>0</v>
      </c>
      <c r="O88" s="560">
        <f>SUM('Defect (Total)'!O88,Planned!O88,Reconductor!O88,CTGS!O88)</f>
        <v>0</v>
      </c>
      <c r="P88" s="561">
        <f>SUM('Defect (Total)'!P88,Planned!P88,Reconductor!P88,CTGS!P88)</f>
        <v>0</v>
      </c>
      <c r="Q88" s="561">
        <f>SUM('Defect (Total)'!Q88,Planned!Q88,Reconductor!Q88,CTGS!Q88)</f>
        <v>0</v>
      </c>
      <c r="R88" s="561">
        <f>SUM('Defect (Total)'!R88,Planned!R88,Reconductor!R88,CTGS!R88)</f>
        <v>0</v>
      </c>
      <c r="S88" s="561">
        <f>SUM('Defect (Total)'!S88,Planned!S88,Reconductor!S88,CTGS!S88)</f>
        <v>0</v>
      </c>
      <c r="T88" s="561">
        <f>SUM('Defect (Total)'!T88,Planned!T88,Reconductor!T88,CTGS!T88)</f>
        <v>0</v>
      </c>
      <c r="U88" s="561">
        <f>SUM('Defect (Total)'!U88,Planned!U88,Reconductor!U88,CTGS!U88)</f>
        <v>0</v>
      </c>
      <c r="V88" s="561">
        <f>SUM('Defect (Total)'!V88,Planned!V88,Reconductor!V88,CTGS!V88)</f>
        <v>0</v>
      </c>
      <c r="W88" s="561">
        <f>SUM('Defect (Total)'!W88,Planned!W88,Reconductor!W88,CTGS!W88)</f>
        <v>0</v>
      </c>
      <c r="X88" s="561">
        <f>SUM('Defect (Total)'!X88,Planned!X88,Reconductor!X88,CTGS!X88)</f>
        <v>0</v>
      </c>
      <c r="Y88" s="561">
        <f>SUM('Defect (Total)'!Y88,Planned!Y88,Reconductor!Y88,CTGS!Y88)</f>
        <v>0</v>
      </c>
      <c r="Z88" s="86">
        <f>SUM('Defect (Total)'!Z88,Planned!Z88,Reconductor!Z88,CTGS!Z88)</f>
        <v>0</v>
      </c>
      <c r="AA88" s="87">
        <f>SUM('Defect (Total)'!AA88,Planned!AA88,Reconductor!AA88,CTGS!AA88)</f>
        <v>0</v>
      </c>
      <c r="AB88" s="87">
        <f>SUM('Defect (Total)'!AB88,Planned!AB88,Reconductor!AB88,CTGS!AB88)</f>
        <v>0</v>
      </c>
      <c r="AC88" s="87">
        <f>SUM('Defect (Total)'!AC88,Planned!AC88,Reconductor!AC88,CTGS!AC88)</f>
        <v>0</v>
      </c>
      <c r="AD88" s="87">
        <f>SUM('Defect (Total)'!AD88,Planned!AD88,Reconductor!AD88,CTGS!AD88)</f>
        <v>0</v>
      </c>
      <c r="AE88" s="87">
        <f>SUM('Defect (Total)'!AE88,Planned!AE88,Reconductor!AE88,CTGS!AE88)</f>
        <v>0</v>
      </c>
      <c r="AF88" s="87">
        <f>SUM('Defect (Total)'!AF88,Planned!AF88,Reconductor!AF88,CTGS!AF88)</f>
        <v>0</v>
      </c>
      <c r="AG88" s="87">
        <f>SUM('Defect (Total)'!AG88,Planned!AG88,Reconductor!AG88,CTGS!AG88)</f>
        <v>0</v>
      </c>
      <c r="AH88" s="87">
        <f>SUM('Defect (Total)'!AH88,Planned!AH88,Reconductor!AH88,CTGS!AH88)</f>
        <v>0</v>
      </c>
      <c r="AI88" s="87">
        <f>SUM('Defect (Total)'!AI88,Planned!AI88,Reconductor!AI88,CTGS!AI88)</f>
        <v>0</v>
      </c>
      <c r="AJ88" s="87">
        <f>SUM('Defect (Total)'!AJ88,Planned!AJ88,Reconductor!AJ88,CTGS!AJ88)</f>
        <v>0</v>
      </c>
      <c r="AK88" s="88">
        <f t="shared" si="51"/>
        <v>0</v>
      </c>
      <c r="AL88" s="89">
        <f t="shared" si="52"/>
        <v>0</v>
      </c>
      <c r="AM88" s="90">
        <f t="shared" si="53"/>
        <v>0</v>
      </c>
      <c r="AN88" s="91" t="str">
        <f t="shared" si="35"/>
        <v/>
      </c>
      <c r="AO88" s="92" t="str">
        <f t="shared" si="36"/>
        <v/>
      </c>
      <c r="AP88" s="92" t="str">
        <f t="shared" si="37"/>
        <v/>
      </c>
      <c r="AQ88" s="92" t="str">
        <f t="shared" si="38"/>
        <v/>
      </c>
      <c r="AR88" s="92" t="str">
        <f t="shared" si="39"/>
        <v/>
      </c>
      <c r="AS88" s="92" t="str">
        <f t="shared" si="40"/>
        <v/>
      </c>
      <c r="AT88" s="92" t="str">
        <f t="shared" si="41"/>
        <v/>
      </c>
      <c r="AU88" s="92" t="str">
        <f t="shared" si="42"/>
        <v/>
      </c>
      <c r="AV88" s="92" t="str">
        <f t="shared" si="43"/>
        <v/>
      </c>
      <c r="AW88" s="92" t="str">
        <f t="shared" si="44"/>
        <v/>
      </c>
      <c r="AX88" s="92" t="str">
        <f t="shared" si="45"/>
        <v/>
      </c>
      <c r="AY88" s="93" t="str">
        <f t="shared" si="46"/>
        <v/>
      </c>
      <c r="AZ88" s="94" t="str">
        <f t="shared" si="47"/>
        <v/>
      </c>
      <c r="BA88" s="95" t="str">
        <f t="shared" si="48"/>
        <v/>
      </c>
      <c r="BB88" s="689">
        <f>SUM('Defect (Total)'!BB88,Planned!CE88,Reconductor!CE88,CTGS!CE88,'Substation 2025$'!CE88*$BL$1,Comms!CA88*$BL$2)</f>
        <v>0</v>
      </c>
      <c r="BC88" s="689">
        <f>SUM('Defect (Total)'!BC88,Planned!CF88,Reconductor!CF88,CTGS!CF88,'Substation 2025$'!CF88*$BL$1,Comms!CB88*$BL$2)</f>
        <v>0</v>
      </c>
      <c r="BD88" s="96">
        <f>SUM('Defect (Total)'!BD88,Planned!CG88,Reconductor!CG88,CTGS!CG88,'Substation 2025$'!CG88*$BL$1,Comms!CC88*$BL$2)</f>
        <v>0</v>
      </c>
      <c r="BE88" s="96">
        <f>SUM('Defect (Total)'!BE88,Planned!CH88,Reconductor!CH88,CTGS!CH88,'Substation 2025$'!CH88*$BL$1,Comms!CD88*$BL$2)</f>
        <v>0</v>
      </c>
      <c r="BF88" s="96">
        <f>SUM('Defect (Total)'!BF88,Planned!CI88,Reconductor!CI88,CTGS!CI88,'Substation 2025$'!CI88*$BL$1,Comms!CE88*$BL$2)</f>
        <v>0</v>
      </c>
      <c r="BG88" s="96">
        <f>SUM('Defect (Total)'!BG88,Planned!CJ88,Reconductor!CJ88,CTGS!CJ88,'Substation 2025$'!CJ88*$BL$1,Comms!CF88*$BL$2)</f>
        <v>0</v>
      </c>
      <c r="BH88" s="96">
        <f>SUM('Defect (Total)'!BH88,Planned!CK88,Reconductor!CK88,CTGS!CK88,'Substation 2025$'!CK88*$BL$1,Comms!CG88*$BL$2)</f>
        <v>0</v>
      </c>
      <c r="BI88" s="286">
        <f>SUM('Defect (Total)'!BI88,Planned!CL88,Reconductor!CL88,CTGS!CL88,'Substation 2025$'!CL88*$BL$1,Comms!CH88*$BL$2)</f>
        <v>0</v>
      </c>
      <c r="BJ88" s="99" t="str">
        <f t="shared" si="54"/>
        <v/>
      </c>
      <c r="BK88" s="992">
        <f>SUM('Defect (Total)'!BK88,Planned!CQ88,Reconductor!CQ88,CTGS!CQ88,'Substation 2025$'!CQ88*$BL$1,Comms!CM88*$BL$2)</f>
        <v>0</v>
      </c>
      <c r="BL88" s="992">
        <f>SUM('Defect (Total)'!BL88,Planned!CR88,Reconductor!CR88,CTGS!CR88,'Substation 2025$'!CR88*$BL$1,Comms!CN88*$BL$2)</f>
        <v>0</v>
      </c>
      <c r="BM88" s="524">
        <f>SUM('Defect (Total)'!BM88,Planned!CS88,Reconductor!CS88,CTGS!CS88,'Substation 2025$'!CS88*$BL$1,Comms!CO88*$BL$2)</f>
        <v>0</v>
      </c>
      <c r="BN88" s="416">
        <f>SUM('Defect (Total)'!BN88,Planned!CT88,Reconductor!CT88,CTGS!CT88,'Substation 2025$'!CT88*$BL$1,Comms!CP88*$BL$2)</f>
        <v>0</v>
      </c>
      <c r="BO88" s="97">
        <f>SUM('Defect (Total)'!BO88,Planned!CU88,Reconductor!CU88,CTGS!CU88,'Substation 2025$'!CU88*$BL$1,Comms!CQ88*$BL$2)</f>
        <v>0</v>
      </c>
      <c r="BP88" s="97">
        <f>SUM('Defect (Total)'!BP88,Planned!CV88,Reconductor!CV88,CTGS!CV88,'Substation 2025$'!CV88*$BL$1,Comms!CR88*$BL$2)</f>
        <v>0</v>
      </c>
      <c r="BQ88" s="97">
        <f>SUM('Defect (Total)'!BQ88,Planned!CW88,Reconductor!CW88,CTGS!CW88,'Substation 2025$'!CW88*$BL$1,Comms!CS88*$BL$2)</f>
        <v>0</v>
      </c>
      <c r="BR88" s="98">
        <f>SUM('Defect (Total)'!BR88,Planned!CX88,Reconductor!CX88,CTGS!CX88,'Substation 2025$'!CX88*$BL$1,Comms!CT88*$BL$2)</f>
        <v>0</v>
      </c>
      <c r="BS88" s="836" t="str">
        <f>'Unit Cost Rate Summary'!AO88</f>
        <v/>
      </c>
      <c r="BT88" s="840" t="str">
        <f t="shared" si="49"/>
        <v/>
      </c>
      <c r="BU88" s="832" t="str">
        <f t="shared" si="50"/>
        <v/>
      </c>
      <c r="BV88" t="s">
        <v>638</v>
      </c>
      <c r="CI88" s="416">
        <f>VLOOKUP($A88,'Distribution Summary'!$A$136:$CG$146,CI$1,0)*BN88</f>
        <v>0</v>
      </c>
      <c r="CJ88" s="97">
        <f>VLOOKUP($A88,'Distribution Summary'!$A$136:$CG$146,CJ$1,0)*BO88</f>
        <v>0</v>
      </c>
      <c r="CK88" s="97">
        <f>VLOOKUP($A88,'Distribution Summary'!$A$136:$CG$146,CK$1,0)*BP88</f>
        <v>0</v>
      </c>
      <c r="CL88" s="97">
        <f>VLOOKUP($A88,'Distribution Summary'!$A$136:$CG$146,CL$1,0)*BQ88</f>
        <v>0</v>
      </c>
      <c r="CM88" s="98">
        <f>VLOOKUP($A88,'Distribution Summary'!$A$136:$CG$146,CM$1,0)*BR88</f>
        <v>0</v>
      </c>
    </row>
    <row r="89" spans="1:91" x14ac:dyDescent="0.25">
      <c r="A89" s="81" t="s">
        <v>138</v>
      </c>
      <c r="B89" s="82" t="s">
        <v>181</v>
      </c>
      <c r="C89" s="83" t="s">
        <v>379</v>
      </c>
      <c r="D89" s="84">
        <f>SUM('Defect (Total)'!D89,Planned!D89,Reconductor!D89,CTGS!D89)</f>
        <v>0</v>
      </c>
      <c r="E89" s="85">
        <f>SUM('Defect (Total)'!E89,Planned!E89,Reconductor!E89,CTGS!E89)</f>
        <v>0</v>
      </c>
      <c r="F89" s="85">
        <f>SUM('Defect (Total)'!F89,Planned!F89,Reconductor!F89,CTGS!F89)</f>
        <v>0</v>
      </c>
      <c r="G89" s="85">
        <f>SUM('Defect (Total)'!G89,Planned!G89,Reconductor!G89,CTGS!G89)</f>
        <v>0</v>
      </c>
      <c r="H89" s="85">
        <f>SUM('Defect (Total)'!H89,Planned!H89,Reconductor!H89,CTGS!H89)</f>
        <v>0</v>
      </c>
      <c r="I89" s="85">
        <f>SUM('Defect (Total)'!I89,Planned!I89,Reconductor!I89,CTGS!I89)</f>
        <v>0</v>
      </c>
      <c r="J89" s="85">
        <f>SUM('Defect (Total)'!J89,Planned!J89,Reconductor!J89,CTGS!J89)</f>
        <v>0</v>
      </c>
      <c r="K89" s="85">
        <f>SUM('Defect (Total)'!K89,Planned!K89,Reconductor!K89,CTGS!K89)</f>
        <v>0</v>
      </c>
      <c r="L89" s="85">
        <f>SUM('Defect (Total)'!L89,Planned!L89,Reconductor!L89,CTGS!L89)</f>
        <v>0</v>
      </c>
      <c r="M89" s="85">
        <f>SUM('Defect (Total)'!M89,Planned!M89,Reconductor!M89,CTGS!M89)</f>
        <v>0</v>
      </c>
      <c r="N89" s="85">
        <f>SUM('Defect (Total)'!N89,Planned!N89,Reconductor!N89,CTGS!N89)</f>
        <v>0</v>
      </c>
      <c r="O89" s="560">
        <f>SUM('Defect (Total)'!O89,Planned!O89,Reconductor!O89,CTGS!O89)</f>
        <v>0</v>
      </c>
      <c r="P89" s="561">
        <f>SUM('Defect (Total)'!P89,Planned!P89,Reconductor!P89,CTGS!P89)</f>
        <v>0</v>
      </c>
      <c r="Q89" s="561">
        <f>SUM('Defect (Total)'!Q89,Planned!Q89,Reconductor!Q89,CTGS!Q89)</f>
        <v>0</v>
      </c>
      <c r="R89" s="561">
        <f>SUM('Defect (Total)'!R89,Planned!R89,Reconductor!R89,CTGS!R89)</f>
        <v>0</v>
      </c>
      <c r="S89" s="561">
        <f>SUM('Defect (Total)'!S89,Planned!S89,Reconductor!S89,CTGS!S89)</f>
        <v>0</v>
      </c>
      <c r="T89" s="561">
        <f>SUM('Defect (Total)'!T89,Planned!T89,Reconductor!T89,CTGS!T89)</f>
        <v>0</v>
      </c>
      <c r="U89" s="561">
        <f>SUM('Defect (Total)'!U89,Planned!U89,Reconductor!U89,CTGS!U89)</f>
        <v>0</v>
      </c>
      <c r="V89" s="561">
        <f>SUM('Defect (Total)'!V89,Planned!V89,Reconductor!V89,CTGS!V89)</f>
        <v>0</v>
      </c>
      <c r="W89" s="561">
        <f>SUM('Defect (Total)'!W89,Planned!W89,Reconductor!W89,CTGS!W89)</f>
        <v>0</v>
      </c>
      <c r="X89" s="561">
        <f>SUM('Defect (Total)'!X89,Planned!X89,Reconductor!X89,CTGS!X89)</f>
        <v>0</v>
      </c>
      <c r="Y89" s="561">
        <f>SUM('Defect (Total)'!Y89,Planned!Y89,Reconductor!Y89,CTGS!Y89)</f>
        <v>0</v>
      </c>
      <c r="Z89" s="86">
        <f>SUM('Defect (Total)'!Z89,Planned!Z89,Reconductor!Z89,CTGS!Z89)</f>
        <v>0</v>
      </c>
      <c r="AA89" s="87">
        <f>SUM('Defect (Total)'!AA89,Planned!AA89,Reconductor!AA89,CTGS!AA89)</f>
        <v>0</v>
      </c>
      <c r="AB89" s="87">
        <f>SUM('Defect (Total)'!AB89,Planned!AB89,Reconductor!AB89,CTGS!AB89)</f>
        <v>0</v>
      </c>
      <c r="AC89" s="87">
        <f>SUM('Defect (Total)'!AC89,Planned!AC89,Reconductor!AC89,CTGS!AC89)</f>
        <v>0</v>
      </c>
      <c r="AD89" s="87">
        <f>SUM('Defect (Total)'!AD89,Planned!AD89,Reconductor!AD89,CTGS!AD89)</f>
        <v>0</v>
      </c>
      <c r="AE89" s="87">
        <f>SUM('Defect (Total)'!AE89,Planned!AE89,Reconductor!AE89,CTGS!AE89)</f>
        <v>0</v>
      </c>
      <c r="AF89" s="87">
        <f>SUM('Defect (Total)'!AF89,Planned!AF89,Reconductor!AF89,CTGS!AF89)</f>
        <v>0</v>
      </c>
      <c r="AG89" s="87">
        <f>SUM('Defect (Total)'!AG89,Planned!AG89,Reconductor!AG89,CTGS!AG89)</f>
        <v>0</v>
      </c>
      <c r="AH89" s="87">
        <f>SUM('Defect (Total)'!AH89,Planned!AH89,Reconductor!AH89,CTGS!AH89)</f>
        <v>0</v>
      </c>
      <c r="AI89" s="87">
        <f>SUM('Defect (Total)'!AI89,Planned!AI89,Reconductor!AI89,CTGS!AI89)</f>
        <v>0</v>
      </c>
      <c r="AJ89" s="87">
        <f>SUM('Defect (Total)'!AJ89,Planned!AJ89,Reconductor!AJ89,CTGS!AJ89)</f>
        <v>0</v>
      </c>
      <c r="AK89" s="88">
        <f t="shared" si="51"/>
        <v>0</v>
      </c>
      <c r="AL89" s="89">
        <f t="shared" si="52"/>
        <v>0</v>
      </c>
      <c r="AM89" s="90">
        <f t="shared" si="53"/>
        <v>0</v>
      </c>
      <c r="AN89" s="91" t="str">
        <f t="shared" si="35"/>
        <v/>
      </c>
      <c r="AO89" s="92" t="str">
        <f t="shared" si="36"/>
        <v/>
      </c>
      <c r="AP89" s="92" t="str">
        <f t="shared" si="37"/>
        <v/>
      </c>
      <c r="AQ89" s="92" t="str">
        <f t="shared" si="38"/>
        <v/>
      </c>
      <c r="AR89" s="92" t="str">
        <f t="shared" si="39"/>
        <v/>
      </c>
      <c r="AS89" s="92" t="str">
        <f t="shared" si="40"/>
        <v/>
      </c>
      <c r="AT89" s="92" t="str">
        <f t="shared" si="41"/>
        <v/>
      </c>
      <c r="AU89" s="92" t="str">
        <f t="shared" si="42"/>
        <v/>
      </c>
      <c r="AV89" s="92" t="str">
        <f t="shared" si="43"/>
        <v/>
      </c>
      <c r="AW89" s="92" t="str">
        <f t="shared" si="44"/>
        <v/>
      </c>
      <c r="AX89" s="92" t="str">
        <f t="shared" si="45"/>
        <v/>
      </c>
      <c r="AY89" s="93" t="str">
        <f t="shared" si="46"/>
        <v/>
      </c>
      <c r="AZ89" s="94" t="str">
        <f t="shared" si="47"/>
        <v/>
      </c>
      <c r="BA89" s="95" t="str">
        <f t="shared" si="48"/>
        <v/>
      </c>
      <c r="BB89" s="689">
        <f>SUM('Defect (Total)'!BB89,Planned!CE89,Reconductor!CE89,CTGS!CE89,'Substation 2025$'!CE89*$BL$1,Comms!CA89*$BL$2)</f>
        <v>0</v>
      </c>
      <c r="BC89" s="689">
        <f>SUM('Defect (Total)'!BC89,Planned!CF89,Reconductor!CF89,CTGS!CF89,'Substation 2025$'!CF89*$BL$1,Comms!CB89*$BL$2)</f>
        <v>0</v>
      </c>
      <c r="BD89" s="96">
        <f>SUM('Defect (Total)'!BD89,Planned!CG89,Reconductor!CG89,CTGS!CG89,'Substation 2025$'!CG89*$BL$1,Comms!CC89*$BL$2)</f>
        <v>0</v>
      </c>
      <c r="BE89" s="96">
        <f>SUM('Defect (Total)'!BE89,Planned!CH89,Reconductor!CH89,CTGS!CH89,'Substation 2025$'!CH89*$BL$1,Comms!CD89*$BL$2)</f>
        <v>0</v>
      </c>
      <c r="BF89" s="96">
        <f>SUM('Defect (Total)'!BF89,Planned!CI89,Reconductor!CI89,CTGS!CI89,'Substation 2025$'!CI89*$BL$1,Comms!CE89*$BL$2)</f>
        <v>0</v>
      </c>
      <c r="BG89" s="96">
        <f>SUM('Defect (Total)'!BG89,Planned!CJ89,Reconductor!CJ89,CTGS!CJ89,'Substation 2025$'!CJ89*$BL$1,Comms!CF89*$BL$2)</f>
        <v>0</v>
      </c>
      <c r="BH89" s="96">
        <f>SUM('Defect (Total)'!BH89,Planned!CK89,Reconductor!CK89,CTGS!CK89,'Substation 2025$'!CK89*$BL$1,Comms!CG89*$BL$2)</f>
        <v>0</v>
      </c>
      <c r="BI89" s="286">
        <f>SUM('Defect (Total)'!BI89,Planned!CL89,Reconductor!CL89,CTGS!CL89,'Substation 2025$'!CL89*$BL$1,Comms!CH89*$BL$2)</f>
        <v>0</v>
      </c>
      <c r="BJ89" s="99" t="str">
        <f t="shared" si="54"/>
        <v/>
      </c>
      <c r="BK89" s="992">
        <f>SUM('Defect (Total)'!BK89,Planned!CQ89,Reconductor!CQ89,CTGS!CQ89,'Substation 2025$'!CQ89*$BL$1,Comms!CM89*$BL$2)</f>
        <v>0</v>
      </c>
      <c r="BL89" s="992">
        <f>SUM('Defect (Total)'!BL89,Planned!CR89,Reconductor!CR89,CTGS!CR89,'Substation 2025$'!CR89*$BL$1,Comms!CN89*$BL$2)</f>
        <v>0</v>
      </c>
      <c r="BM89" s="524">
        <f>SUM('Defect (Total)'!BM89,Planned!CS89,Reconductor!CS89,CTGS!CS89,'Substation 2025$'!CS89*$BL$1,Comms!CO89*$BL$2)</f>
        <v>0</v>
      </c>
      <c r="BN89" s="416">
        <f>SUM('Defect (Total)'!BN89,Planned!CT89,Reconductor!CT89,CTGS!CT89,'Substation 2025$'!CT89*$BL$1,Comms!CP89*$BL$2)</f>
        <v>0</v>
      </c>
      <c r="BO89" s="97">
        <f>SUM('Defect (Total)'!BO89,Planned!CU89,Reconductor!CU89,CTGS!CU89,'Substation 2025$'!CU89*$BL$1,Comms!CQ89*$BL$2)</f>
        <v>0</v>
      </c>
      <c r="BP89" s="97">
        <f>SUM('Defect (Total)'!BP89,Planned!CV89,Reconductor!CV89,CTGS!CV89,'Substation 2025$'!CV89*$BL$1,Comms!CR89*$BL$2)</f>
        <v>0</v>
      </c>
      <c r="BQ89" s="97">
        <f>SUM('Defect (Total)'!BQ89,Planned!CW89,Reconductor!CW89,CTGS!CW89,'Substation 2025$'!CW89*$BL$1,Comms!CS89*$BL$2)</f>
        <v>0</v>
      </c>
      <c r="BR89" s="98">
        <f>SUM('Defect (Total)'!BR89,Planned!CX89,Reconductor!CX89,CTGS!CX89,'Substation 2025$'!CX89*$BL$1,Comms!CT89*$BL$2)</f>
        <v>0</v>
      </c>
      <c r="BS89" s="836" t="str">
        <f>'Unit Cost Rate Summary'!AO89</f>
        <v/>
      </c>
      <c r="BT89" s="840" t="str">
        <f t="shared" si="49"/>
        <v/>
      </c>
      <c r="BU89" s="832" t="str">
        <f t="shared" si="50"/>
        <v/>
      </c>
      <c r="BV89" t="s">
        <v>638</v>
      </c>
      <c r="CI89" s="416">
        <f>VLOOKUP($A89,'Distribution Summary'!$A$136:$CG$146,CI$1,0)*BN89</f>
        <v>0</v>
      </c>
      <c r="CJ89" s="97">
        <f>VLOOKUP($A89,'Distribution Summary'!$A$136:$CG$146,CJ$1,0)*BO89</f>
        <v>0</v>
      </c>
      <c r="CK89" s="97">
        <f>VLOOKUP($A89,'Distribution Summary'!$A$136:$CG$146,CK$1,0)*BP89</f>
        <v>0</v>
      </c>
      <c r="CL89" s="97">
        <f>VLOOKUP($A89,'Distribution Summary'!$A$136:$CG$146,CL$1,0)*BQ89</f>
        <v>0</v>
      </c>
      <c r="CM89" s="98">
        <f>VLOOKUP($A89,'Distribution Summary'!$A$136:$CG$146,CM$1,0)*BR89</f>
        <v>0</v>
      </c>
    </row>
    <row r="90" spans="1:91" x14ac:dyDescent="0.25">
      <c r="A90" s="81" t="s">
        <v>138</v>
      </c>
      <c r="B90" s="82" t="s">
        <v>183</v>
      </c>
      <c r="C90" s="83" t="s">
        <v>380</v>
      </c>
      <c r="D90" s="84">
        <f>SUM('Defect (Total)'!D90,Planned!D90,Reconductor!D90,CTGS!D90)</f>
        <v>0</v>
      </c>
      <c r="E90" s="85">
        <f>SUM('Defect (Total)'!E90,Planned!E90,Reconductor!E90,CTGS!E90)</f>
        <v>0</v>
      </c>
      <c r="F90" s="85">
        <f>SUM('Defect (Total)'!F90,Planned!F90,Reconductor!F90,CTGS!F90)</f>
        <v>0</v>
      </c>
      <c r="G90" s="85">
        <f>SUM('Defect (Total)'!G90,Planned!G90,Reconductor!G90,CTGS!G90)</f>
        <v>0</v>
      </c>
      <c r="H90" s="85">
        <f>SUM('Defect (Total)'!H90,Planned!H90,Reconductor!H90,CTGS!H90)</f>
        <v>0</v>
      </c>
      <c r="I90" s="85">
        <f>SUM('Defect (Total)'!I90,Planned!I90,Reconductor!I90,CTGS!I90)</f>
        <v>0</v>
      </c>
      <c r="J90" s="85">
        <f>SUM('Defect (Total)'!J90,Planned!J90,Reconductor!J90,CTGS!J90)</f>
        <v>0</v>
      </c>
      <c r="K90" s="85">
        <f>SUM('Defect (Total)'!K90,Planned!K90,Reconductor!K90,CTGS!K90)</f>
        <v>0</v>
      </c>
      <c r="L90" s="85">
        <f>SUM('Defect (Total)'!L90,Planned!L90,Reconductor!L90,CTGS!L90)</f>
        <v>0</v>
      </c>
      <c r="M90" s="85">
        <f>SUM('Defect (Total)'!M90,Planned!M90,Reconductor!M90,CTGS!M90)</f>
        <v>0</v>
      </c>
      <c r="N90" s="85">
        <f>SUM('Defect (Total)'!N90,Planned!N90,Reconductor!N90,CTGS!N90)</f>
        <v>0</v>
      </c>
      <c r="O90" s="560">
        <f>SUM('Defect (Total)'!O90,Planned!O90,Reconductor!O90,CTGS!O90)</f>
        <v>0</v>
      </c>
      <c r="P90" s="561">
        <f>SUM('Defect (Total)'!P90,Planned!P90,Reconductor!P90,CTGS!P90)</f>
        <v>0</v>
      </c>
      <c r="Q90" s="561">
        <f>SUM('Defect (Total)'!Q90,Planned!Q90,Reconductor!Q90,CTGS!Q90)</f>
        <v>0</v>
      </c>
      <c r="R90" s="561">
        <f>SUM('Defect (Total)'!R90,Planned!R90,Reconductor!R90,CTGS!R90)</f>
        <v>0</v>
      </c>
      <c r="S90" s="561">
        <f>SUM('Defect (Total)'!S90,Planned!S90,Reconductor!S90,CTGS!S90)</f>
        <v>0</v>
      </c>
      <c r="T90" s="561">
        <f>SUM('Defect (Total)'!T90,Planned!T90,Reconductor!T90,CTGS!T90)</f>
        <v>0</v>
      </c>
      <c r="U90" s="561">
        <f>SUM('Defect (Total)'!U90,Planned!U90,Reconductor!U90,CTGS!U90)</f>
        <v>0</v>
      </c>
      <c r="V90" s="561">
        <f>SUM('Defect (Total)'!V90,Planned!V90,Reconductor!V90,CTGS!V90)</f>
        <v>0</v>
      </c>
      <c r="W90" s="561">
        <f>SUM('Defect (Total)'!W90,Planned!W90,Reconductor!W90,CTGS!W90)</f>
        <v>0</v>
      </c>
      <c r="X90" s="561">
        <f>SUM('Defect (Total)'!X90,Planned!X90,Reconductor!X90,CTGS!X90)</f>
        <v>0</v>
      </c>
      <c r="Y90" s="561">
        <f>SUM('Defect (Total)'!Y90,Planned!Y90,Reconductor!Y90,CTGS!Y90)</f>
        <v>0</v>
      </c>
      <c r="Z90" s="86">
        <f>SUM('Defect (Total)'!Z90,Planned!Z90,Reconductor!Z90,CTGS!Z90)</f>
        <v>0</v>
      </c>
      <c r="AA90" s="87">
        <f>SUM('Defect (Total)'!AA90,Planned!AA90,Reconductor!AA90,CTGS!AA90)</f>
        <v>0</v>
      </c>
      <c r="AB90" s="87">
        <f>SUM('Defect (Total)'!AB90,Planned!AB90,Reconductor!AB90,CTGS!AB90)</f>
        <v>0</v>
      </c>
      <c r="AC90" s="87">
        <f>SUM('Defect (Total)'!AC90,Planned!AC90,Reconductor!AC90,CTGS!AC90)</f>
        <v>0</v>
      </c>
      <c r="AD90" s="87">
        <f>SUM('Defect (Total)'!AD90,Planned!AD90,Reconductor!AD90,CTGS!AD90)</f>
        <v>0</v>
      </c>
      <c r="AE90" s="87">
        <f>SUM('Defect (Total)'!AE90,Planned!AE90,Reconductor!AE90,CTGS!AE90)</f>
        <v>0</v>
      </c>
      <c r="AF90" s="87">
        <f>SUM('Defect (Total)'!AF90,Planned!AF90,Reconductor!AF90,CTGS!AF90)</f>
        <v>0</v>
      </c>
      <c r="AG90" s="87">
        <f>SUM('Defect (Total)'!AG90,Planned!AG90,Reconductor!AG90,CTGS!AG90)</f>
        <v>0</v>
      </c>
      <c r="AH90" s="87">
        <f>SUM('Defect (Total)'!AH90,Planned!AH90,Reconductor!AH90,CTGS!AH90)</f>
        <v>0</v>
      </c>
      <c r="AI90" s="87">
        <f>SUM('Defect (Total)'!AI90,Planned!AI90,Reconductor!AI90,CTGS!AI90)</f>
        <v>0</v>
      </c>
      <c r="AJ90" s="87">
        <f>SUM('Defect (Total)'!AJ90,Planned!AJ90,Reconductor!AJ90,CTGS!AJ90)</f>
        <v>0</v>
      </c>
      <c r="AK90" s="88">
        <f t="shared" si="51"/>
        <v>0</v>
      </c>
      <c r="AL90" s="89">
        <f t="shared" si="52"/>
        <v>0</v>
      </c>
      <c r="AM90" s="90">
        <f t="shared" si="53"/>
        <v>0</v>
      </c>
      <c r="AN90" s="91" t="str">
        <f t="shared" si="35"/>
        <v/>
      </c>
      <c r="AO90" s="92" t="str">
        <f t="shared" si="36"/>
        <v/>
      </c>
      <c r="AP90" s="92" t="str">
        <f t="shared" si="37"/>
        <v/>
      </c>
      <c r="AQ90" s="92" t="str">
        <f t="shared" si="38"/>
        <v/>
      </c>
      <c r="AR90" s="92" t="str">
        <f t="shared" si="39"/>
        <v/>
      </c>
      <c r="AS90" s="92" t="str">
        <f t="shared" si="40"/>
        <v/>
      </c>
      <c r="AT90" s="92" t="str">
        <f t="shared" si="41"/>
        <v/>
      </c>
      <c r="AU90" s="92" t="str">
        <f t="shared" si="42"/>
        <v/>
      </c>
      <c r="AV90" s="92" t="str">
        <f t="shared" si="43"/>
        <v/>
      </c>
      <c r="AW90" s="92" t="str">
        <f t="shared" si="44"/>
        <v/>
      </c>
      <c r="AX90" s="92" t="str">
        <f t="shared" si="45"/>
        <v/>
      </c>
      <c r="AY90" s="93" t="str">
        <f t="shared" si="46"/>
        <v/>
      </c>
      <c r="AZ90" s="94" t="str">
        <f t="shared" si="47"/>
        <v/>
      </c>
      <c r="BA90" s="95" t="str">
        <f t="shared" si="48"/>
        <v/>
      </c>
      <c r="BB90" s="689">
        <f>SUM('Defect (Total)'!BB90,Planned!CE90,Reconductor!CE90,CTGS!CE90,'Substation 2025$'!CE90*$BL$1,Comms!CA90*$BL$2)</f>
        <v>0</v>
      </c>
      <c r="BC90" s="689">
        <f>SUM('Defect (Total)'!BC90,Planned!CF90,Reconductor!CF90,CTGS!CF90,'Substation 2025$'!CF90*$BL$1,Comms!CB90*$BL$2)</f>
        <v>0</v>
      </c>
      <c r="BD90" s="96">
        <f>SUM('Defect (Total)'!BD90,Planned!CG90,Reconductor!CG90,CTGS!CG90,'Substation 2025$'!CG90*$BL$1,Comms!CC90*$BL$2)</f>
        <v>0</v>
      </c>
      <c r="BE90" s="96">
        <f>SUM('Defect (Total)'!BE90,Planned!CH90,Reconductor!CH90,CTGS!CH90,'Substation 2025$'!CH90*$BL$1,Comms!CD90*$BL$2)</f>
        <v>0</v>
      </c>
      <c r="BF90" s="96">
        <f>SUM('Defect (Total)'!BF90,Planned!CI90,Reconductor!CI90,CTGS!CI90,'Substation 2025$'!CI90*$BL$1,Comms!CE90*$BL$2)</f>
        <v>0</v>
      </c>
      <c r="BG90" s="96">
        <f>SUM('Defect (Total)'!BG90,Planned!CJ90,Reconductor!CJ90,CTGS!CJ90,'Substation 2025$'!CJ90*$BL$1,Comms!CF90*$BL$2)</f>
        <v>0</v>
      </c>
      <c r="BH90" s="96">
        <f>SUM('Defect (Total)'!BH90,Planned!CK90,Reconductor!CK90,CTGS!CK90,'Substation 2025$'!CK90*$BL$1,Comms!CG90*$BL$2)</f>
        <v>0</v>
      </c>
      <c r="BI90" s="286">
        <f>SUM('Defect (Total)'!BI90,Planned!CL90,Reconductor!CL90,CTGS!CL90,'Substation 2025$'!CL90*$BL$1,Comms!CH90*$BL$2)</f>
        <v>0</v>
      </c>
      <c r="BJ90" s="99" t="str">
        <f t="shared" si="54"/>
        <v/>
      </c>
      <c r="BK90" s="992">
        <f>SUM('Defect (Total)'!BK90,Planned!CQ90,Reconductor!CQ90,CTGS!CQ90,'Substation 2025$'!CQ90*$BL$1,Comms!CM90*$BL$2)</f>
        <v>0</v>
      </c>
      <c r="BL90" s="992">
        <f>SUM('Defect (Total)'!BL90,Planned!CR90,Reconductor!CR90,CTGS!CR90,'Substation 2025$'!CR90*$BL$1,Comms!CN90*$BL$2)</f>
        <v>0</v>
      </c>
      <c r="BM90" s="524">
        <f>SUM('Defect (Total)'!BM90,Planned!CS90,Reconductor!CS90,CTGS!CS90,'Substation 2025$'!CS90*$BL$1,Comms!CO90*$BL$2)</f>
        <v>0</v>
      </c>
      <c r="BN90" s="416">
        <f>SUM('Defect (Total)'!BN90,Planned!CT90,Reconductor!CT90,CTGS!CT90,'Substation 2025$'!CT90*$BL$1,Comms!CP90*$BL$2)</f>
        <v>0</v>
      </c>
      <c r="BO90" s="97">
        <f>SUM('Defect (Total)'!BO90,Planned!CU90,Reconductor!CU90,CTGS!CU90,'Substation 2025$'!CU90*$BL$1,Comms!CQ90*$BL$2)</f>
        <v>0</v>
      </c>
      <c r="BP90" s="97">
        <f>SUM('Defect (Total)'!BP90,Planned!CV90,Reconductor!CV90,CTGS!CV90,'Substation 2025$'!CV90*$BL$1,Comms!CR90*$BL$2)</f>
        <v>0</v>
      </c>
      <c r="BQ90" s="97">
        <f>SUM('Defect (Total)'!BQ90,Planned!CW90,Reconductor!CW90,CTGS!CW90,'Substation 2025$'!CW90*$BL$1,Comms!CS90*$BL$2)</f>
        <v>0</v>
      </c>
      <c r="BR90" s="98">
        <f>SUM('Defect (Total)'!BR90,Planned!CX90,Reconductor!CX90,CTGS!CX90,'Substation 2025$'!CX90*$BL$1,Comms!CT90*$BL$2)</f>
        <v>0</v>
      </c>
      <c r="BS90" s="836" t="str">
        <f>'Unit Cost Rate Summary'!AO90</f>
        <v/>
      </c>
      <c r="BT90" s="840" t="str">
        <f t="shared" si="49"/>
        <v/>
      </c>
      <c r="BU90" s="832" t="str">
        <f t="shared" si="50"/>
        <v/>
      </c>
      <c r="BV90" t="s">
        <v>638</v>
      </c>
      <c r="CI90" s="416">
        <f>VLOOKUP($A90,'Distribution Summary'!$A$136:$CG$146,CI$1,0)*BN90</f>
        <v>0</v>
      </c>
      <c r="CJ90" s="97">
        <f>VLOOKUP($A90,'Distribution Summary'!$A$136:$CG$146,CJ$1,0)*BO90</f>
        <v>0</v>
      </c>
      <c r="CK90" s="97">
        <f>VLOOKUP($A90,'Distribution Summary'!$A$136:$CG$146,CK$1,0)*BP90</f>
        <v>0</v>
      </c>
      <c r="CL90" s="97">
        <f>VLOOKUP($A90,'Distribution Summary'!$A$136:$CG$146,CL$1,0)*BQ90</f>
        <v>0</v>
      </c>
      <c r="CM90" s="98">
        <f>VLOOKUP($A90,'Distribution Summary'!$A$136:$CG$146,CM$1,0)*BR90</f>
        <v>0</v>
      </c>
    </row>
    <row r="91" spans="1:91" x14ac:dyDescent="0.25">
      <c r="A91" s="81" t="s">
        <v>138</v>
      </c>
      <c r="B91" s="82" t="s">
        <v>185</v>
      </c>
      <c r="C91" s="83" t="s">
        <v>381</v>
      </c>
      <c r="D91" s="84">
        <f>SUM('Defect (Total)'!D91,Planned!D91,Reconductor!D91,CTGS!D91)</f>
        <v>0</v>
      </c>
      <c r="E91" s="85">
        <f>SUM('Defect (Total)'!E91,Planned!E91,Reconductor!E91,CTGS!E91)</f>
        <v>0</v>
      </c>
      <c r="F91" s="85">
        <f>SUM('Defect (Total)'!F91,Planned!F91,Reconductor!F91,CTGS!F91)</f>
        <v>0</v>
      </c>
      <c r="G91" s="85">
        <f>SUM('Defect (Total)'!G91,Planned!G91,Reconductor!G91,CTGS!G91)</f>
        <v>0</v>
      </c>
      <c r="H91" s="85">
        <f>SUM('Defect (Total)'!H91,Planned!H91,Reconductor!H91,CTGS!H91)</f>
        <v>0</v>
      </c>
      <c r="I91" s="85">
        <f>SUM('Defect (Total)'!I91,Planned!I91,Reconductor!I91,CTGS!I91)</f>
        <v>0</v>
      </c>
      <c r="J91" s="85">
        <f>SUM('Defect (Total)'!J91,Planned!J91,Reconductor!J91,CTGS!J91)</f>
        <v>0</v>
      </c>
      <c r="K91" s="85">
        <f>SUM('Defect (Total)'!K91,Planned!K91,Reconductor!K91,CTGS!K91)</f>
        <v>0</v>
      </c>
      <c r="L91" s="85">
        <f>SUM('Defect (Total)'!L91,Planned!L91,Reconductor!L91,CTGS!L91)</f>
        <v>0</v>
      </c>
      <c r="M91" s="85">
        <f>SUM('Defect (Total)'!M91,Planned!M91,Reconductor!M91,CTGS!M91)</f>
        <v>0</v>
      </c>
      <c r="N91" s="85">
        <f>SUM('Defect (Total)'!N91,Planned!N91,Reconductor!N91,CTGS!N91)</f>
        <v>0</v>
      </c>
      <c r="O91" s="560">
        <f>SUM('Defect (Total)'!O91,Planned!O91,Reconductor!O91,CTGS!O91)</f>
        <v>0</v>
      </c>
      <c r="P91" s="561">
        <f>SUM('Defect (Total)'!P91,Planned!P91,Reconductor!P91,CTGS!P91)</f>
        <v>0</v>
      </c>
      <c r="Q91" s="561">
        <f>SUM('Defect (Total)'!Q91,Planned!Q91,Reconductor!Q91,CTGS!Q91)</f>
        <v>0</v>
      </c>
      <c r="R91" s="561">
        <f>SUM('Defect (Total)'!R91,Planned!R91,Reconductor!R91,CTGS!R91)</f>
        <v>0</v>
      </c>
      <c r="S91" s="561">
        <f>SUM('Defect (Total)'!S91,Planned!S91,Reconductor!S91,CTGS!S91)</f>
        <v>0</v>
      </c>
      <c r="T91" s="561">
        <f>SUM('Defect (Total)'!T91,Planned!T91,Reconductor!T91,CTGS!T91)</f>
        <v>0</v>
      </c>
      <c r="U91" s="561">
        <f>SUM('Defect (Total)'!U91,Planned!U91,Reconductor!U91,CTGS!U91)</f>
        <v>0</v>
      </c>
      <c r="V91" s="561">
        <f>SUM('Defect (Total)'!V91,Planned!V91,Reconductor!V91,CTGS!V91)</f>
        <v>0</v>
      </c>
      <c r="W91" s="561">
        <f>SUM('Defect (Total)'!W91,Planned!W91,Reconductor!W91,CTGS!W91)</f>
        <v>0</v>
      </c>
      <c r="X91" s="561">
        <f>SUM('Defect (Total)'!X91,Planned!X91,Reconductor!X91,CTGS!X91)</f>
        <v>0</v>
      </c>
      <c r="Y91" s="561">
        <f>SUM('Defect (Total)'!Y91,Planned!Y91,Reconductor!Y91,CTGS!Y91)</f>
        <v>0</v>
      </c>
      <c r="Z91" s="86">
        <f>SUM('Defect (Total)'!Z91,Planned!Z91,Reconductor!Z91,CTGS!Z91)</f>
        <v>0</v>
      </c>
      <c r="AA91" s="87">
        <f>SUM('Defect (Total)'!AA91,Planned!AA91,Reconductor!AA91,CTGS!AA91)</f>
        <v>0</v>
      </c>
      <c r="AB91" s="87">
        <f>SUM('Defect (Total)'!AB91,Planned!AB91,Reconductor!AB91,CTGS!AB91)</f>
        <v>0</v>
      </c>
      <c r="AC91" s="87">
        <f>SUM('Defect (Total)'!AC91,Planned!AC91,Reconductor!AC91,CTGS!AC91)</f>
        <v>0</v>
      </c>
      <c r="AD91" s="87">
        <f>SUM('Defect (Total)'!AD91,Planned!AD91,Reconductor!AD91,CTGS!AD91)</f>
        <v>0</v>
      </c>
      <c r="AE91" s="87">
        <f>SUM('Defect (Total)'!AE91,Planned!AE91,Reconductor!AE91,CTGS!AE91)</f>
        <v>0</v>
      </c>
      <c r="AF91" s="87">
        <f>SUM('Defect (Total)'!AF91,Planned!AF91,Reconductor!AF91,CTGS!AF91)</f>
        <v>0</v>
      </c>
      <c r="AG91" s="87">
        <f>SUM('Defect (Total)'!AG91,Planned!AG91,Reconductor!AG91,CTGS!AG91)</f>
        <v>0</v>
      </c>
      <c r="AH91" s="87">
        <f>SUM('Defect (Total)'!AH91,Planned!AH91,Reconductor!AH91,CTGS!AH91)</f>
        <v>0</v>
      </c>
      <c r="AI91" s="87">
        <f>SUM('Defect (Total)'!AI91,Planned!AI91,Reconductor!AI91,CTGS!AI91)</f>
        <v>0</v>
      </c>
      <c r="AJ91" s="87">
        <f>SUM('Defect (Total)'!AJ91,Planned!AJ91,Reconductor!AJ91,CTGS!AJ91)</f>
        <v>0</v>
      </c>
      <c r="AK91" s="88">
        <f t="shared" si="51"/>
        <v>0</v>
      </c>
      <c r="AL91" s="89">
        <f t="shared" si="52"/>
        <v>0</v>
      </c>
      <c r="AM91" s="90">
        <f t="shared" si="53"/>
        <v>0</v>
      </c>
      <c r="AN91" s="91" t="str">
        <f t="shared" si="35"/>
        <v/>
      </c>
      <c r="AO91" s="92" t="str">
        <f t="shared" si="36"/>
        <v/>
      </c>
      <c r="AP91" s="92" t="str">
        <f t="shared" si="37"/>
        <v/>
      </c>
      <c r="AQ91" s="92" t="str">
        <f t="shared" si="38"/>
        <v/>
      </c>
      <c r="AR91" s="92" t="str">
        <f t="shared" si="39"/>
        <v/>
      </c>
      <c r="AS91" s="92" t="str">
        <f t="shared" si="40"/>
        <v/>
      </c>
      <c r="AT91" s="92" t="str">
        <f t="shared" si="41"/>
        <v/>
      </c>
      <c r="AU91" s="92" t="str">
        <f t="shared" si="42"/>
        <v/>
      </c>
      <c r="AV91" s="92" t="str">
        <f t="shared" si="43"/>
        <v/>
      </c>
      <c r="AW91" s="92" t="str">
        <f t="shared" si="44"/>
        <v/>
      </c>
      <c r="AX91" s="92" t="str">
        <f t="shared" si="45"/>
        <v/>
      </c>
      <c r="AY91" s="93" t="str">
        <f t="shared" si="46"/>
        <v/>
      </c>
      <c r="AZ91" s="94" t="str">
        <f t="shared" si="47"/>
        <v/>
      </c>
      <c r="BA91" s="95" t="str">
        <f t="shared" si="48"/>
        <v/>
      </c>
      <c r="BB91" s="689">
        <f>SUM('Defect (Total)'!BB91,Planned!CE91,Reconductor!CE91,CTGS!CE91,'Substation 2025$'!CE91*$BL$1,Comms!CA91*$BL$2)</f>
        <v>0</v>
      </c>
      <c r="BC91" s="689">
        <f>SUM('Defect (Total)'!BC91,Planned!CF91,Reconductor!CF91,CTGS!CF91,'Substation 2025$'!CF91*$BL$1,Comms!CB91*$BL$2)</f>
        <v>0</v>
      </c>
      <c r="BD91" s="96">
        <f>SUM('Defect (Total)'!BD91,Planned!CG91,Reconductor!CG91,CTGS!CG91,'Substation 2025$'!CG91*$BL$1,Comms!CC91*$BL$2)</f>
        <v>0</v>
      </c>
      <c r="BE91" s="96">
        <f>SUM('Defect (Total)'!BE91,Planned!CH91,Reconductor!CH91,CTGS!CH91,'Substation 2025$'!CH91*$BL$1,Comms!CD91*$BL$2)</f>
        <v>0</v>
      </c>
      <c r="BF91" s="96">
        <f>SUM('Defect (Total)'!BF91,Planned!CI91,Reconductor!CI91,CTGS!CI91,'Substation 2025$'!CI91*$BL$1,Comms!CE91*$BL$2)</f>
        <v>0</v>
      </c>
      <c r="BG91" s="96">
        <f>SUM('Defect (Total)'!BG91,Planned!CJ91,Reconductor!CJ91,CTGS!CJ91,'Substation 2025$'!CJ91*$BL$1,Comms!CF91*$BL$2)</f>
        <v>0</v>
      </c>
      <c r="BH91" s="96">
        <f>SUM('Defect (Total)'!BH91,Planned!CK91,Reconductor!CK91,CTGS!CK91,'Substation 2025$'!CK91*$BL$1,Comms!CG91*$BL$2)</f>
        <v>0</v>
      </c>
      <c r="BI91" s="286">
        <f>SUM('Defect (Total)'!BI91,Planned!CL91,Reconductor!CL91,CTGS!CL91,'Substation 2025$'!CL91*$BL$1,Comms!CH91*$BL$2)</f>
        <v>0</v>
      </c>
      <c r="BJ91" s="99" t="str">
        <f t="shared" si="54"/>
        <v/>
      </c>
      <c r="BK91" s="992">
        <f>SUM('Defect (Total)'!BK91,Planned!CQ91,Reconductor!CQ91,CTGS!CQ91,'Substation 2025$'!CQ91*$BL$1,Comms!CM91*$BL$2)</f>
        <v>0</v>
      </c>
      <c r="BL91" s="992">
        <f>SUM('Defect (Total)'!BL91,Planned!CR91,Reconductor!CR91,CTGS!CR91,'Substation 2025$'!CR91*$BL$1,Comms!CN91*$BL$2)</f>
        <v>0</v>
      </c>
      <c r="BM91" s="524">
        <f>SUM('Defect (Total)'!BM91,Planned!CS91,Reconductor!CS91,CTGS!CS91,'Substation 2025$'!CS91*$BL$1,Comms!CO91*$BL$2)</f>
        <v>0</v>
      </c>
      <c r="BN91" s="416">
        <f>SUM('Defect (Total)'!BN91,Planned!CT91,Reconductor!CT91,CTGS!CT91,'Substation 2025$'!CT91*$BL$1,Comms!CP91*$BL$2)</f>
        <v>0</v>
      </c>
      <c r="BO91" s="97">
        <f>SUM('Defect (Total)'!BO91,Planned!CU91,Reconductor!CU91,CTGS!CU91,'Substation 2025$'!CU91*$BL$1,Comms!CQ91*$BL$2)</f>
        <v>0</v>
      </c>
      <c r="BP91" s="97">
        <f>SUM('Defect (Total)'!BP91,Planned!CV91,Reconductor!CV91,CTGS!CV91,'Substation 2025$'!CV91*$BL$1,Comms!CR91*$BL$2)</f>
        <v>0</v>
      </c>
      <c r="BQ91" s="97">
        <f>SUM('Defect (Total)'!BQ91,Planned!CW91,Reconductor!CW91,CTGS!CW91,'Substation 2025$'!CW91*$BL$1,Comms!CS91*$BL$2)</f>
        <v>0</v>
      </c>
      <c r="BR91" s="98">
        <f>SUM('Defect (Total)'!BR91,Planned!CX91,Reconductor!CX91,CTGS!CX91,'Substation 2025$'!CX91*$BL$1,Comms!CT91*$BL$2)</f>
        <v>0</v>
      </c>
      <c r="BS91" s="836" t="str">
        <f>'Unit Cost Rate Summary'!AO91</f>
        <v/>
      </c>
      <c r="BT91" s="840" t="str">
        <f t="shared" si="49"/>
        <v/>
      </c>
      <c r="BU91" s="832" t="str">
        <f t="shared" si="50"/>
        <v/>
      </c>
      <c r="BV91" t="s">
        <v>638</v>
      </c>
      <c r="CI91" s="416">
        <f>VLOOKUP($A91,'Distribution Summary'!$A$136:$CG$146,CI$1,0)*BN91</f>
        <v>0</v>
      </c>
      <c r="CJ91" s="97">
        <f>VLOOKUP($A91,'Distribution Summary'!$A$136:$CG$146,CJ$1,0)*BO91</f>
        <v>0</v>
      </c>
      <c r="CK91" s="97">
        <f>VLOOKUP($A91,'Distribution Summary'!$A$136:$CG$146,CK$1,0)*BP91</f>
        <v>0</v>
      </c>
      <c r="CL91" s="97">
        <f>VLOOKUP($A91,'Distribution Summary'!$A$136:$CG$146,CL$1,0)*BQ91</f>
        <v>0</v>
      </c>
      <c r="CM91" s="98">
        <f>VLOOKUP($A91,'Distribution Summary'!$A$136:$CG$146,CM$1,0)*BR91</f>
        <v>0</v>
      </c>
    </row>
    <row r="92" spans="1:91" x14ac:dyDescent="0.25">
      <c r="A92" s="81" t="s">
        <v>138</v>
      </c>
      <c r="B92" s="82" t="s">
        <v>187</v>
      </c>
      <c r="C92" s="83" t="s">
        <v>382</v>
      </c>
      <c r="D92" s="84">
        <f>SUM('Defect (Total)'!D92,Planned!D92,Reconductor!D92,CTGS!D92)</f>
        <v>0</v>
      </c>
      <c r="E92" s="85">
        <f>SUM('Defect (Total)'!E92,Planned!E92,Reconductor!E92,CTGS!E92)</f>
        <v>0</v>
      </c>
      <c r="F92" s="85">
        <f>SUM('Defect (Total)'!F92,Planned!F92,Reconductor!F92,CTGS!F92)</f>
        <v>0</v>
      </c>
      <c r="G92" s="85">
        <f>SUM('Defect (Total)'!G92,Planned!G92,Reconductor!G92,CTGS!G92)</f>
        <v>0</v>
      </c>
      <c r="H92" s="85">
        <f>SUM('Defect (Total)'!H92,Planned!H92,Reconductor!H92,CTGS!H92)</f>
        <v>0</v>
      </c>
      <c r="I92" s="85">
        <f>SUM('Defect (Total)'!I92,Planned!I92,Reconductor!I92,CTGS!I92)</f>
        <v>0</v>
      </c>
      <c r="J92" s="85">
        <f>SUM('Defect (Total)'!J92,Planned!J92,Reconductor!J92,CTGS!J92)</f>
        <v>0</v>
      </c>
      <c r="K92" s="85">
        <f>SUM('Defect (Total)'!K92,Planned!K92,Reconductor!K92,CTGS!K92)</f>
        <v>0</v>
      </c>
      <c r="L92" s="85">
        <f>SUM('Defect (Total)'!L92,Planned!L92,Reconductor!L92,CTGS!L92)</f>
        <v>0</v>
      </c>
      <c r="M92" s="85">
        <f>SUM('Defect (Total)'!M92,Planned!M92,Reconductor!M92,CTGS!M92)</f>
        <v>0</v>
      </c>
      <c r="N92" s="85">
        <f>SUM('Defect (Total)'!N92,Planned!N92,Reconductor!N92,CTGS!N92)</f>
        <v>0</v>
      </c>
      <c r="O92" s="560">
        <f>SUM('Defect (Total)'!O92,Planned!O92,Reconductor!O92,CTGS!O92)</f>
        <v>0</v>
      </c>
      <c r="P92" s="561">
        <f>SUM('Defect (Total)'!P92,Planned!P92,Reconductor!P92,CTGS!P92)</f>
        <v>0</v>
      </c>
      <c r="Q92" s="561">
        <f>SUM('Defect (Total)'!Q92,Planned!Q92,Reconductor!Q92,CTGS!Q92)</f>
        <v>0</v>
      </c>
      <c r="R92" s="561">
        <f>SUM('Defect (Total)'!R92,Planned!R92,Reconductor!R92,CTGS!R92)</f>
        <v>0</v>
      </c>
      <c r="S92" s="561">
        <f>SUM('Defect (Total)'!S92,Planned!S92,Reconductor!S92,CTGS!S92)</f>
        <v>0</v>
      </c>
      <c r="T92" s="561">
        <f>SUM('Defect (Total)'!T92,Planned!T92,Reconductor!T92,CTGS!T92)</f>
        <v>0</v>
      </c>
      <c r="U92" s="561">
        <f>SUM('Defect (Total)'!U92,Planned!U92,Reconductor!U92,CTGS!U92)</f>
        <v>0</v>
      </c>
      <c r="V92" s="561">
        <f>SUM('Defect (Total)'!V92,Planned!V92,Reconductor!V92,CTGS!V92)</f>
        <v>0</v>
      </c>
      <c r="W92" s="561">
        <f>SUM('Defect (Total)'!W92,Planned!W92,Reconductor!W92,CTGS!W92)</f>
        <v>0</v>
      </c>
      <c r="X92" s="561">
        <f>SUM('Defect (Total)'!X92,Planned!X92,Reconductor!X92,CTGS!X92)</f>
        <v>0</v>
      </c>
      <c r="Y92" s="561">
        <f>SUM('Defect (Total)'!Y92,Planned!Y92,Reconductor!Y92,CTGS!Y92)</f>
        <v>0</v>
      </c>
      <c r="Z92" s="86">
        <f>SUM('Defect (Total)'!Z92,Planned!Z92,Reconductor!Z92,CTGS!Z92)</f>
        <v>0</v>
      </c>
      <c r="AA92" s="87">
        <f>SUM('Defect (Total)'!AA92,Planned!AA92,Reconductor!AA92,CTGS!AA92)</f>
        <v>0</v>
      </c>
      <c r="AB92" s="87">
        <f>SUM('Defect (Total)'!AB92,Planned!AB92,Reconductor!AB92,CTGS!AB92)</f>
        <v>0</v>
      </c>
      <c r="AC92" s="87">
        <f>SUM('Defect (Total)'!AC92,Planned!AC92,Reconductor!AC92,CTGS!AC92)</f>
        <v>0</v>
      </c>
      <c r="AD92" s="87">
        <f>SUM('Defect (Total)'!AD92,Planned!AD92,Reconductor!AD92,CTGS!AD92)</f>
        <v>0</v>
      </c>
      <c r="AE92" s="87">
        <f>SUM('Defect (Total)'!AE92,Planned!AE92,Reconductor!AE92,CTGS!AE92)</f>
        <v>0</v>
      </c>
      <c r="AF92" s="87">
        <f>SUM('Defect (Total)'!AF92,Planned!AF92,Reconductor!AF92,CTGS!AF92)</f>
        <v>0</v>
      </c>
      <c r="AG92" s="87">
        <f>SUM('Defect (Total)'!AG92,Planned!AG92,Reconductor!AG92,CTGS!AG92)</f>
        <v>0</v>
      </c>
      <c r="AH92" s="87">
        <f>SUM('Defect (Total)'!AH92,Planned!AH92,Reconductor!AH92,CTGS!AH92)</f>
        <v>0</v>
      </c>
      <c r="AI92" s="87">
        <f>SUM('Defect (Total)'!AI92,Planned!AI92,Reconductor!AI92,CTGS!AI92)</f>
        <v>0</v>
      </c>
      <c r="AJ92" s="87">
        <f>SUM('Defect (Total)'!AJ92,Planned!AJ92,Reconductor!AJ92,CTGS!AJ92)</f>
        <v>0</v>
      </c>
      <c r="AK92" s="88">
        <f t="shared" si="51"/>
        <v>0</v>
      </c>
      <c r="AL92" s="89">
        <f t="shared" si="52"/>
        <v>0</v>
      </c>
      <c r="AM92" s="90">
        <f t="shared" si="53"/>
        <v>0</v>
      </c>
      <c r="AN92" s="91" t="str">
        <f t="shared" si="35"/>
        <v/>
      </c>
      <c r="AO92" s="92" t="str">
        <f t="shared" si="36"/>
        <v/>
      </c>
      <c r="AP92" s="92" t="str">
        <f t="shared" si="37"/>
        <v/>
      </c>
      <c r="AQ92" s="92" t="str">
        <f t="shared" si="38"/>
        <v/>
      </c>
      <c r="AR92" s="92" t="str">
        <f t="shared" si="39"/>
        <v/>
      </c>
      <c r="AS92" s="92" t="str">
        <f t="shared" si="40"/>
        <v/>
      </c>
      <c r="AT92" s="92" t="str">
        <f t="shared" si="41"/>
        <v/>
      </c>
      <c r="AU92" s="92" t="str">
        <f t="shared" si="42"/>
        <v/>
      </c>
      <c r="AV92" s="92" t="str">
        <f t="shared" si="43"/>
        <v/>
      </c>
      <c r="AW92" s="92" t="str">
        <f t="shared" si="44"/>
        <v/>
      </c>
      <c r="AX92" s="92" t="str">
        <f t="shared" si="45"/>
        <v/>
      </c>
      <c r="AY92" s="93" t="str">
        <f t="shared" si="46"/>
        <v/>
      </c>
      <c r="AZ92" s="94" t="str">
        <f t="shared" si="47"/>
        <v/>
      </c>
      <c r="BA92" s="95" t="str">
        <f t="shared" si="48"/>
        <v/>
      </c>
      <c r="BB92" s="689">
        <f>SUM('Defect (Total)'!BB92,Planned!CE92,Reconductor!CE92,CTGS!CE92,'Substation 2025$'!CE92*$BL$1,Comms!CA92*$BL$2)</f>
        <v>0</v>
      </c>
      <c r="BC92" s="689">
        <f>SUM('Defect (Total)'!BC92,Planned!CF92,Reconductor!CF92,CTGS!CF92,'Substation 2025$'!CF92*$BL$1,Comms!CB92*$BL$2)</f>
        <v>0</v>
      </c>
      <c r="BD92" s="96">
        <f>SUM('Defect (Total)'!BD92,Planned!CG92,Reconductor!CG92,CTGS!CG92,'Substation 2025$'!CG92*$BL$1,Comms!CC92*$BL$2)</f>
        <v>0</v>
      </c>
      <c r="BE92" s="96">
        <f>SUM('Defect (Total)'!BE92,Planned!CH92,Reconductor!CH92,CTGS!CH92,'Substation 2025$'!CH92*$BL$1,Comms!CD92*$BL$2)</f>
        <v>0</v>
      </c>
      <c r="BF92" s="96">
        <f>SUM('Defect (Total)'!BF92,Planned!CI92,Reconductor!CI92,CTGS!CI92,'Substation 2025$'!CI92*$BL$1,Comms!CE92*$BL$2)</f>
        <v>0</v>
      </c>
      <c r="BG92" s="96">
        <f>SUM('Defect (Total)'!BG92,Planned!CJ92,Reconductor!CJ92,CTGS!CJ92,'Substation 2025$'!CJ92*$BL$1,Comms!CF92*$BL$2)</f>
        <v>0</v>
      </c>
      <c r="BH92" s="96">
        <f>SUM('Defect (Total)'!BH92,Planned!CK92,Reconductor!CK92,CTGS!CK92,'Substation 2025$'!CK92*$BL$1,Comms!CG92*$BL$2)</f>
        <v>0</v>
      </c>
      <c r="BI92" s="286">
        <f>SUM('Defect (Total)'!BI92,Planned!CL92,Reconductor!CL92,CTGS!CL92,'Substation 2025$'!CL92*$BL$1,Comms!CH92*$BL$2)</f>
        <v>0</v>
      </c>
      <c r="BJ92" s="99" t="str">
        <f t="shared" si="54"/>
        <v/>
      </c>
      <c r="BK92" s="992">
        <f>SUM('Defect (Total)'!BK92,Planned!CQ92,Reconductor!CQ92,CTGS!CQ92,'Substation 2025$'!CQ92*$BL$1,Comms!CM92*$BL$2)</f>
        <v>0</v>
      </c>
      <c r="BL92" s="992">
        <f>SUM('Defect (Total)'!BL92,Planned!CR92,Reconductor!CR92,CTGS!CR92,'Substation 2025$'!CR92*$BL$1,Comms!CN92*$BL$2)</f>
        <v>0</v>
      </c>
      <c r="BM92" s="524">
        <f>SUM('Defect (Total)'!BM92,Planned!CS92,Reconductor!CS92,CTGS!CS92,'Substation 2025$'!CS92*$BL$1,Comms!CO92*$BL$2)</f>
        <v>0</v>
      </c>
      <c r="BN92" s="416">
        <f>SUM('Defect (Total)'!BN92,Planned!CT92,Reconductor!CT92,CTGS!CT92,'Substation 2025$'!CT92*$BL$1,Comms!CP92*$BL$2)</f>
        <v>0</v>
      </c>
      <c r="BO92" s="97">
        <f>SUM('Defect (Total)'!BO92,Planned!CU92,Reconductor!CU92,CTGS!CU92,'Substation 2025$'!CU92*$BL$1,Comms!CQ92*$BL$2)</f>
        <v>0</v>
      </c>
      <c r="BP92" s="97">
        <f>SUM('Defect (Total)'!BP92,Planned!CV92,Reconductor!CV92,CTGS!CV92,'Substation 2025$'!CV92*$BL$1,Comms!CR92*$BL$2)</f>
        <v>0</v>
      </c>
      <c r="BQ92" s="97">
        <f>SUM('Defect (Total)'!BQ92,Planned!CW92,Reconductor!CW92,CTGS!CW92,'Substation 2025$'!CW92*$BL$1,Comms!CS92*$BL$2)</f>
        <v>0</v>
      </c>
      <c r="BR92" s="98">
        <f>SUM('Defect (Total)'!BR92,Planned!CX92,Reconductor!CX92,CTGS!CX92,'Substation 2025$'!CX92*$BL$1,Comms!CT92*$BL$2)</f>
        <v>0</v>
      </c>
      <c r="BS92" s="836" t="str">
        <f>'Unit Cost Rate Summary'!AO92</f>
        <v/>
      </c>
      <c r="BT92" s="840" t="str">
        <f t="shared" si="49"/>
        <v/>
      </c>
      <c r="BU92" s="832" t="str">
        <f t="shared" si="50"/>
        <v/>
      </c>
      <c r="BV92" t="s">
        <v>638</v>
      </c>
      <c r="CI92" s="416">
        <f>VLOOKUP($A92,'Distribution Summary'!$A$136:$CG$146,CI$1,0)*BN92</f>
        <v>0</v>
      </c>
      <c r="CJ92" s="97">
        <f>VLOOKUP($A92,'Distribution Summary'!$A$136:$CG$146,CJ$1,0)*BO92</f>
        <v>0</v>
      </c>
      <c r="CK92" s="97">
        <f>VLOOKUP($A92,'Distribution Summary'!$A$136:$CG$146,CK$1,0)*BP92</f>
        <v>0</v>
      </c>
      <c r="CL92" s="97">
        <f>VLOOKUP($A92,'Distribution Summary'!$A$136:$CG$146,CL$1,0)*BQ92</f>
        <v>0</v>
      </c>
      <c r="CM92" s="98">
        <f>VLOOKUP($A92,'Distribution Summary'!$A$136:$CG$146,CM$1,0)*BR92</f>
        <v>0</v>
      </c>
    </row>
    <row r="93" spans="1:91" x14ac:dyDescent="0.25">
      <c r="A93" s="81" t="s">
        <v>138</v>
      </c>
      <c r="B93" s="82" t="s">
        <v>189</v>
      </c>
      <c r="C93" s="83" t="s">
        <v>383</v>
      </c>
      <c r="D93" s="84">
        <f>SUM('Defect (Total)'!D93,Planned!D93,Reconductor!D93,CTGS!D93)</f>
        <v>0</v>
      </c>
      <c r="E93" s="85">
        <f>SUM('Defect (Total)'!E93,Planned!E93,Reconductor!E93,CTGS!E93)</f>
        <v>0</v>
      </c>
      <c r="F93" s="85">
        <f>SUM('Defect (Total)'!F93,Planned!F93,Reconductor!F93,CTGS!F93)</f>
        <v>0</v>
      </c>
      <c r="G93" s="85">
        <f>SUM('Defect (Total)'!G93,Planned!G93,Reconductor!G93,CTGS!G93)</f>
        <v>0</v>
      </c>
      <c r="H93" s="85">
        <f>SUM('Defect (Total)'!H93,Planned!H93,Reconductor!H93,CTGS!H93)</f>
        <v>0</v>
      </c>
      <c r="I93" s="85">
        <f>SUM('Defect (Total)'!I93,Planned!I93,Reconductor!I93,CTGS!I93)</f>
        <v>0</v>
      </c>
      <c r="J93" s="85">
        <f>SUM('Defect (Total)'!J93,Planned!J93,Reconductor!J93,CTGS!J93)</f>
        <v>0</v>
      </c>
      <c r="K93" s="85">
        <f>SUM('Defect (Total)'!K93,Planned!K93,Reconductor!K93,CTGS!K93)</f>
        <v>0</v>
      </c>
      <c r="L93" s="85">
        <f>SUM('Defect (Total)'!L93,Planned!L93,Reconductor!L93,CTGS!L93)</f>
        <v>0</v>
      </c>
      <c r="M93" s="85">
        <f>SUM('Defect (Total)'!M93,Planned!M93,Reconductor!M93,CTGS!M93)</f>
        <v>0</v>
      </c>
      <c r="N93" s="85">
        <f>SUM('Defect (Total)'!N93,Planned!N93,Reconductor!N93,CTGS!N93)</f>
        <v>0</v>
      </c>
      <c r="O93" s="560">
        <f>SUM('Defect (Total)'!O93,Planned!O93,Reconductor!O93,CTGS!O93)</f>
        <v>0</v>
      </c>
      <c r="P93" s="561">
        <f>SUM('Defect (Total)'!P93,Planned!P93,Reconductor!P93,CTGS!P93)</f>
        <v>0</v>
      </c>
      <c r="Q93" s="561">
        <f>SUM('Defect (Total)'!Q93,Planned!Q93,Reconductor!Q93,CTGS!Q93)</f>
        <v>0</v>
      </c>
      <c r="R93" s="561">
        <f>SUM('Defect (Total)'!R93,Planned!R93,Reconductor!R93,CTGS!R93)</f>
        <v>0</v>
      </c>
      <c r="S93" s="561">
        <f>SUM('Defect (Total)'!S93,Planned!S93,Reconductor!S93,CTGS!S93)</f>
        <v>0</v>
      </c>
      <c r="T93" s="561">
        <f>SUM('Defect (Total)'!T93,Planned!T93,Reconductor!T93,CTGS!T93)</f>
        <v>0</v>
      </c>
      <c r="U93" s="561">
        <f>SUM('Defect (Total)'!U93,Planned!U93,Reconductor!U93,CTGS!U93)</f>
        <v>0</v>
      </c>
      <c r="V93" s="561">
        <f>SUM('Defect (Total)'!V93,Planned!V93,Reconductor!V93,CTGS!V93)</f>
        <v>0</v>
      </c>
      <c r="W93" s="561">
        <f>SUM('Defect (Total)'!W93,Planned!W93,Reconductor!W93,CTGS!W93)</f>
        <v>0</v>
      </c>
      <c r="X93" s="561">
        <f>SUM('Defect (Total)'!X93,Planned!X93,Reconductor!X93,CTGS!X93)</f>
        <v>0</v>
      </c>
      <c r="Y93" s="561">
        <f>SUM('Defect (Total)'!Y93,Planned!Y93,Reconductor!Y93,CTGS!Y93)</f>
        <v>0</v>
      </c>
      <c r="Z93" s="86">
        <f>SUM('Defect (Total)'!Z93,Planned!Z93,Reconductor!Z93,CTGS!Z93)</f>
        <v>0</v>
      </c>
      <c r="AA93" s="87">
        <f>SUM('Defect (Total)'!AA93,Planned!AA93,Reconductor!AA93,CTGS!AA93)</f>
        <v>0</v>
      </c>
      <c r="AB93" s="87">
        <f>SUM('Defect (Total)'!AB93,Planned!AB93,Reconductor!AB93,CTGS!AB93)</f>
        <v>0</v>
      </c>
      <c r="AC93" s="87">
        <f>SUM('Defect (Total)'!AC93,Planned!AC93,Reconductor!AC93,CTGS!AC93)</f>
        <v>0</v>
      </c>
      <c r="AD93" s="87">
        <f>SUM('Defect (Total)'!AD93,Planned!AD93,Reconductor!AD93,CTGS!AD93)</f>
        <v>0</v>
      </c>
      <c r="AE93" s="87">
        <f>SUM('Defect (Total)'!AE93,Planned!AE93,Reconductor!AE93,CTGS!AE93)</f>
        <v>0</v>
      </c>
      <c r="AF93" s="87">
        <f>SUM('Defect (Total)'!AF93,Planned!AF93,Reconductor!AF93,CTGS!AF93)</f>
        <v>0</v>
      </c>
      <c r="AG93" s="87">
        <f>SUM('Defect (Total)'!AG93,Planned!AG93,Reconductor!AG93,CTGS!AG93)</f>
        <v>0</v>
      </c>
      <c r="AH93" s="87">
        <f>SUM('Defect (Total)'!AH93,Planned!AH93,Reconductor!AH93,CTGS!AH93)</f>
        <v>0</v>
      </c>
      <c r="AI93" s="87">
        <f>SUM('Defect (Total)'!AI93,Planned!AI93,Reconductor!AI93,CTGS!AI93)</f>
        <v>0</v>
      </c>
      <c r="AJ93" s="87">
        <f>SUM('Defect (Total)'!AJ93,Planned!AJ93,Reconductor!AJ93,CTGS!AJ93)</f>
        <v>0</v>
      </c>
      <c r="AK93" s="88">
        <f t="shared" si="51"/>
        <v>0</v>
      </c>
      <c r="AL93" s="89">
        <f t="shared" si="52"/>
        <v>0</v>
      </c>
      <c r="AM93" s="90">
        <f t="shared" si="53"/>
        <v>0</v>
      </c>
      <c r="AN93" s="91" t="str">
        <f t="shared" si="35"/>
        <v/>
      </c>
      <c r="AO93" s="92" t="str">
        <f t="shared" si="36"/>
        <v/>
      </c>
      <c r="AP93" s="92" t="str">
        <f t="shared" si="37"/>
        <v/>
      </c>
      <c r="AQ93" s="92" t="str">
        <f t="shared" si="38"/>
        <v/>
      </c>
      <c r="AR93" s="92" t="str">
        <f t="shared" si="39"/>
        <v/>
      </c>
      <c r="AS93" s="92" t="str">
        <f t="shared" si="40"/>
        <v/>
      </c>
      <c r="AT93" s="92" t="str">
        <f t="shared" si="41"/>
        <v/>
      </c>
      <c r="AU93" s="92" t="str">
        <f t="shared" si="42"/>
        <v/>
      </c>
      <c r="AV93" s="92" t="str">
        <f t="shared" si="43"/>
        <v/>
      </c>
      <c r="AW93" s="92" t="str">
        <f t="shared" si="44"/>
        <v/>
      </c>
      <c r="AX93" s="92" t="str">
        <f t="shared" si="45"/>
        <v/>
      </c>
      <c r="AY93" s="93" t="str">
        <f t="shared" si="46"/>
        <v/>
      </c>
      <c r="AZ93" s="94" t="str">
        <f t="shared" si="47"/>
        <v/>
      </c>
      <c r="BA93" s="95" t="str">
        <f t="shared" si="48"/>
        <v/>
      </c>
      <c r="BB93" s="689">
        <f>SUM('Defect (Total)'!BB93,Planned!CE93,Reconductor!CE93,CTGS!CE93,'Substation 2025$'!CE93*$BL$1,Comms!CA93*$BL$2)</f>
        <v>0</v>
      </c>
      <c r="BC93" s="689">
        <f>SUM('Defect (Total)'!BC93,Planned!CF93,Reconductor!CF93,CTGS!CF93,'Substation 2025$'!CF93*$BL$1,Comms!CB93*$BL$2)</f>
        <v>0</v>
      </c>
      <c r="BD93" s="96">
        <f>SUM('Defect (Total)'!BD93,Planned!CG93,Reconductor!CG93,CTGS!CG93,'Substation 2025$'!CG93*$BL$1,Comms!CC93*$BL$2)</f>
        <v>0</v>
      </c>
      <c r="BE93" s="96">
        <f>SUM('Defect (Total)'!BE93,Planned!CH93,Reconductor!CH93,CTGS!CH93,'Substation 2025$'!CH93*$BL$1,Comms!CD93*$BL$2)</f>
        <v>0</v>
      </c>
      <c r="BF93" s="96">
        <f>SUM('Defect (Total)'!BF93,Planned!CI93,Reconductor!CI93,CTGS!CI93,'Substation 2025$'!CI93*$BL$1,Comms!CE93*$BL$2)</f>
        <v>0</v>
      </c>
      <c r="BG93" s="96">
        <f>SUM('Defect (Total)'!BG93,Planned!CJ93,Reconductor!CJ93,CTGS!CJ93,'Substation 2025$'!CJ93*$BL$1,Comms!CF93*$BL$2)</f>
        <v>0</v>
      </c>
      <c r="BH93" s="96">
        <f>SUM('Defect (Total)'!BH93,Planned!CK93,Reconductor!CK93,CTGS!CK93,'Substation 2025$'!CK93*$BL$1,Comms!CG93*$BL$2)</f>
        <v>0</v>
      </c>
      <c r="BI93" s="286">
        <f>SUM('Defect (Total)'!BI93,Planned!CL93,Reconductor!CL93,CTGS!CL93,'Substation 2025$'!CL93*$BL$1,Comms!CH93*$BL$2)</f>
        <v>0</v>
      </c>
      <c r="BJ93" s="99" t="str">
        <f t="shared" si="54"/>
        <v/>
      </c>
      <c r="BK93" s="992">
        <f>SUM('Defect (Total)'!BK93,Planned!CQ93,Reconductor!CQ93,CTGS!CQ93,'Substation 2025$'!CQ93*$BL$1,Comms!CM93*$BL$2)</f>
        <v>0</v>
      </c>
      <c r="BL93" s="992">
        <f>SUM('Defect (Total)'!BL93,Planned!CR93,Reconductor!CR93,CTGS!CR93,'Substation 2025$'!CR93*$BL$1,Comms!CN93*$BL$2)</f>
        <v>0</v>
      </c>
      <c r="BM93" s="524">
        <f>SUM('Defect (Total)'!BM93,Planned!CS93,Reconductor!CS93,CTGS!CS93,'Substation 2025$'!CS93*$BL$1,Comms!CO93*$BL$2)</f>
        <v>0</v>
      </c>
      <c r="BN93" s="416">
        <f>SUM('Defect (Total)'!BN93,Planned!CT93,Reconductor!CT93,CTGS!CT93,'Substation 2025$'!CT93*$BL$1,Comms!CP93*$BL$2)</f>
        <v>0</v>
      </c>
      <c r="BO93" s="97">
        <f>SUM('Defect (Total)'!BO93,Planned!CU93,Reconductor!CU93,CTGS!CU93,'Substation 2025$'!CU93*$BL$1,Comms!CQ93*$BL$2)</f>
        <v>0</v>
      </c>
      <c r="BP93" s="97">
        <f>SUM('Defect (Total)'!BP93,Planned!CV93,Reconductor!CV93,CTGS!CV93,'Substation 2025$'!CV93*$BL$1,Comms!CR93*$BL$2)</f>
        <v>0</v>
      </c>
      <c r="BQ93" s="97">
        <f>SUM('Defect (Total)'!BQ93,Planned!CW93,Reconductor!CW93,CTGS!CW93,'Substation 2025$'!CW93*$BL$1,Comms!CS93*$BL$2)</f>
        <v>0</v>
      </c>
      <c r="BR93" s="98">
        <f>SUM('Defect (Total)'!BR93,Planned!CX93,Reconductor!CX93,CTGS!CX93,'Substation 2025$'!CX93*$BL$1,Comms!CT93*$BL$2)</f>
        <v>0</v>
      </c>
      <c r="BS93" s="836" t="str">
        <f>'Unit Cost Rate Summary'!AO93</f>
        <v/>
      </c>
      <c r="BT93" s="840" t="str">
        <f t="shared" si="49"/>
        <v/>
      </c>
      <c r="BU93" s="832" t="str">
        <f t="shared" si="50"/>
        <v/>
      </c>
      <c r="BV93" t="s">
        <v>638</v>
      </c>
      <c r="CI93" s="416">
        <f>VLOOKUP($A93,'Distribution Summary'!$A$136:$CG$146,CI$1,0)*BN93</f>
        <v>0</v>
      </c>
      <c r="CJ93" s="97">
        <f>VLOOKUP($A93,'Distribution Summary'!$A$136:$CG$146,CJ$1,0)*BO93</f>
        <v>0</v>
      </c>
      <c r="CK93" s="97">
        <f>VLOOKUP($A93,'Distribution Summary'!$A$136:$CG$146,CK$1,0)*BP93</f>
        <v>0</v>
      </c>
      <c r="CL93" s="97">
        <f>VLOOKUP($A93,'Distribution Summary'!$A$136:$CG$146,CL$1,0)*BQ93</f>
        <v>0</v>
      </c>
      <c r="CM93" s="98">
        <f>VLOOKUP($A93,'Distribution Summary'!$A$136:$CG$146,CM$1,0)*BR93</f>
        <v>0</v>
      </c>
    </row>
    <row r="94" spans="1:91" x14ac:dyDescent="0.25">
      <c r="A94" s="81" t="s">
        <v>138</v>
      </c>
      <c r="B94" s="82" t="s">
        <v>191</v>
      </c>
      <c r="C94" s="83" t="s">
        <v>384</v>
      </c>
      <c r="D94" s="84">
        <f>SUM('Defect (Total)'!D94,Planned!D94,Reconductor!D94,CTGS!D94)</f>
        <v>0</v>
      </c>
      <c r="E94" s="85">
        <f>SUM('Defect (Total)'!E94,Planned!E94,Reconductor!E94,CTGS!E94)</f>
        <v>0</v>
      </c>
      <c r="F94" s="85">
        <f>SUM('Defect (Total)'!F94,Planned!F94,Reconductor!F94,CTGS!F94)</f>
        <v>0</v>
      </c>
      <c r="G94" s="85">
        <f>SUM('Defect (Total)'!G94,Planned!G94,Reconductor!G94,CTGS!G94)</f>
        <v>0</v>
      </c>
      <c r="H94" s="85">
        <f>SUM('Defect (Total)'!H94,Planned!H94,Reconductor!H94,CTGS!H94)</f>
        <v>0</v>
      </c>
      <c r="I94" s="85">
        <f>SUM('Defect (Total)'!I94,Planned!I94,Reconductor!I94,CTGS!I94)</f>
        <v>0</v>
      </c>
      <c r="J94" s="85">
        <f>SUM('Defect (Total)'!J94,Planned!J94,Reconductor!J94,CTGS!J94)</f>
        <v>0</v>
      </c>
      <c r="K94" s="85">
        <f>SUM('Defect (Total)'!K94,Planned!K94,Reconductor!K94,CTGS!K94)</f>
        <v>0</v>
      </c>
      <c r="L94" s="85">
        <f>SUM('Defect (Total)'!L94,Planned!L94,Reconductor!L94,CTGS!L94)</f>
        <v>0</v>
      </c>
      <c r="M94" s="85">
        <f>SUM('Defect (Total)'!M94,Planned!M94,Reconductor!M94,CTGS!M94)</f>
        <v>0</v>
      </c>
      <c r="N94" s="85">
        <f>SUM('Defect (Total)'!N94,Planned!N94,Reconductor!N94,CTGS!N94)</f>
        <v>0</v>
      </c>
      <c r="O94" s="560">
        <f>SUM('Defect (Total)'!O94,Planned!O94,Reconductor!O94,CTGS!O94)</f>
        <v>0</v>
      </c>
      <c r="P94" s="561">
        <f>SUM('Defect (Total)'!P94,Planned!P94,Reconductor!P94,CTGS!P94)</f>
        <v>0</v>
      </c>
      <c r="Q94" s="561">
        <f>SUM('Defect (Total)'!Q94,Planned!Q94,Reconductor!Q94,CTGS!Q94)</f>
        <v>0</v>
      </c>
      <c r="R94" s="561">
        <f>SUM('Defect (Total)'!R94,Planned!R94,Reconductor!R94,CTGS!R94)</f>
        <v>0</v>
      </c>
      <c r="S94" s="561">
        <f>SUM('Defect (Total)'!S94,Planned!S94,Reconductor!S94,CTGS!S94)</f>
        <v>0</v>
      </c>
      <c r="T94" s="561">
        <f>SUM('Defect (Total)'!T94,Planned!T94,Reconductor!T94,CTGS!T94)</f>
        <v>0</v>
      </c>
      <c r="U94" s="561">
        <f>SUM('Defect (Total)'!U94,Planned!U94,Reconductor!U94,CTGS!U94)</f>
        <v>0</v>
      </c>
      <c r="V94" s="561">
        <f>SUM('Defect (Total)'!V94,Planned!V94,Reconductor!V94,CTGS!V94)</f>
        <v>0</v>
      </c>
      <c r="W94" s="561">
        <f>SUM('Defect (Total)'!W94,Planned!W94,Reconductor!W94,CTGS!W94)</f>
        <v>0</v>
      </c>
      <c r="X94" s="561">
        <f>SUM('Defect (Total)'!X94,Planned!X94,Reconductor!X94,CTGS!X94)</f>
        <v>0</v>
      </c>
      <c r="Y94" s="561">
        <f>SUM('Defect (Total)'!Y94,Planned!Y94,Reconductor!Y94,CTGS!Y94)</f>
        <v>0</v>
      </c>
      <c r="Z94" s="86">
        <f>SUM('Defect (Total)'!Z94,Planned!Z94,Reconductor!Z94,CTGS!Z94)</f>
        <v>0</v>
      </c>
      <c r="AA94" s="87">
        <f>SUM('Defect (Total)'!AA94,Planned!AA94,Reconductor!AA94,CTGS!AA94)</f>
        <v>0</v>
      </c>
      <c r="AB94" s="87">
        <f>SUM('Defect (Total)'!AB94,Planned!AB94,Reconductor!AB94,CTGS!AB94)</f>
        <v>0</v>
      </c>
      <c r="AC94" s="87">
        <f>SUM('Defect (Total)'!AC94,Planned!AC94,Reconductor!AC94,CTGS!AC94)</f>
        <v>0</v>
      </c>
      <c r="AD94" s="87">
        <f>SUM('Defect (Total)'!AD94,Planned!AD94,Reconductor!AD94,CTGS!AD94)</f>
        <v>0</v>
      </c>
      <c r="AE94" s="87">
        <f>SUM('Defect (Total)'!AE94,Planned!AE94,Reconductor!AE94,CTGS!AE94)</f>
        <v>0</v>
      </c>
      <c r="AF94" s="87">
        <f>SUM('Defect (Total)'!AF94,Planned!AF94,Reconductor!AF94,CTGS!AF94)</f>
        <v>0</v>
      </c>
      <c r="AG94" s="87">
        <f>SUM('Defect (Total)'!AG94,Planned!AG94,Reconductor!AG94,CTGS!AG94)</f>
        <v>0</v>
      </c>
      <c r="AH94" s="87">
        <f>SUM('Defect (Total)'!AH94,Planned!AH94,Reconductor!AH94,CTGS!AH94)</f>
        <v>0</v>
      </c>
      <c r="AI94" s="87">
        <f>SUM('Defect (Total)'!AI94,Planned!AI94,Reconductor!AI94,CTGS!AI94)</f>
        <v>0</v>
      </c>
      <c r="AJ94" s="87">
        <f>SUM('Defect (Total)'!AJ94,Planned!AJ94,Reconductor!AJ94,CTGS!AJ94)</f>
        <v>0</v>
      </c>
      <c r="AK94" s="88">
        <f t="shared" si="51"/>
        <v>0</v>
      </c>
      <c r="AL94" s="89">
        <f t="shared" si="52"/>
        <v>0</v>
      </c>
      <c r="AM94" s="90">
        <f t="shared" si="53"/>
        <v>0</v>
      </c>
      <c r="AN94" s="91" t="str">
        <f t="shared" si="35"/>
        <v/>
      </c>
      <c r="AO94" s="92" t="str">
        <f t="shared" si="36"/>
        <v/>
      </c>
      <c r="AP94" s="92" t="str">
        <f t="shared" si="37"/>
        <v/>
      </c>
      <c r="AQ94" s="92" t="str">
        <f t="shared" si="38"/>
        <v/>
      </c>
      <c r="AR94" s="92" t="str">
        <f t="shared" si="39"/>
        <v/>
      </c>
      <c r="AS94" s="92" t="str">
        <f t="shared" si="40"/>
        <v/>
      </c>
      <c r="AT94" s="92" t="str">
        <f t="shared" si="41"/>
        <v/>
      </c>
      <c r="AU94" s="92" t="str">
        <f t="shared" si="42"/>
        <v/>
      </c>
      <c r="AV94" s="92" t="str">
        <f t="shared" si="43"/>
        <v/>
      </c>
      <c r="AW94" s="92" t="str">
        <f t="shared" si="44"/>
        <v/>
      </c>
      <c r="AX94" s="92" t="str">
        <f t="shared" si="45"/>
        <v/>
      </c>
      <c r="AY94" s="93" t="str">
        <f t="shared" si="46"/>
        <v/>
      </c>
      <c r="AZ94" s="94" t="str">
        <f t="shared" si="47"/>
        <v/>
      </c>
      <c r="BA94" s="95" t="str">
        <f t="shared" si="48"/>
        <v/>
      </c>
      <c r="BB94" s="689">
        <f>SUM('Defect (Total)'!BB94,Planned!CE94,Reconductor!CE94,CTGS!CE94,'Substation 2025$'!CE94*$BL$1,Comms!CA94*$BL$2)</f>
        <v>0</v>
      </c>
      <c r="BC94" s="689">
        <f>SUM('Defect (Total)'!BC94,Planned!CF94,Reconductor!CF94,CTGS!CF94,'Substation 2025$'!CF94*$BL$1,Comms!CB94*$BL$2)</f>
        <v>0</v>
      </c>
      <c r="BD94" s="96">
        <f>SUM('Defect (Total)'!BD94,Planned!CG94,Reconductor!CG94,CTGS!CG94,'Substation 2025$'!CG94*$BL$1,Comms!CC94*$BL$2)</f>
        <v>0</v>
      </c>
      <c r="BE94" s="96">
        <f>SUM('Defect (Total)'!BE94,Planned!CH94,Reconductor!CH94,CTGS!CH94,'Substation 2025$'!CH94*$BL$1,Comms!CD94*$BL$2)</f>
        <v>0</v>
      </c>
      <c r="BF94" s="96">
        <f>SUM('Defect (Total)'!BF94,Planned!CI94,Reconductor!CI94,CTGS!CI94,'Substation 2025$'!CI94*$BL$1,Comms!CE94*$BL$2)</f>
        <v>0</v>
      </c>
      <c r="BG94" s="96">
        <f>SUM('Defect (Total)'!BG94,Planned!CJ94,Reconductor!CJ94,CTGS!CJ94,'Substation 2025$'!CJ94*$BL$1,Comms!CF94*$BL$2)</f>
        <v>0</v>
      </c>
      <c r="BH94" s="96">
        <f>SUM('Defect (Total)'!BH94,Planned!CK94,Reconductor!CK94,CTGS!CK94,'Substation 2025$'!CK94*$BL$1,Comms!CG94*$BL$2)</f>
        <v>0</v>
      </c>
      <c r="BI94" s="286">
        <f>SUM('Defect (Total)'!BI94,Planned!CL94,Reconductor!CL94,CTGS!CL94,'Substation 2025$'!CL94*$BL$1,Comms!CH94*$BL$2)</f>
        <v>0</v>
      </c>
      <c r="BJ94" s="99" t="str">
        <f t="shared" si="54"/>
        <v/>
      </c>
      <c r="BK94" s="992">
        <f>SUM('Defect (Total)'!BK94,Planned!CQ94,Reconductor!CQ94,CTGS!CQ94,'Substation 2025$'!CQ94*$BL$1,Comms!CM94*$BL$2)</f>
        <v>0</v>
      </c>
      <c r="BL94" s="992">
        <f>SUM('Defect (Total)'!BL94,Planned!CR94,Reconductor!CR94,CTGS!CR94,'Substation 2025$'!CR94*$BL$1,Comms!CN94*$BL$2)</f>
        <v>0</v>
      </c>
      <c r="BM94" s="524">
        <f>SUM('Defect (Total)'!BM94,Planned!CS94,Reconductor!CS94,CTGS!CS94,'Substation 2025$'!CS94*$BL$1,Comms!CO94*$BL$2)</f>
        <v>0</v>
      </c>
      <c r="BN94" s="416">
        <f>SUM('Defect (Total)'!BN94,Planned!CT94,Reconductor!CT94,CTGS!CT94,'Substation 2025$'!CT94*$BL$1,Comms!CP94*$BL$2)</f>
        <v>0</v>
      </c>
      <c r="BO94" s="97">
        <f>SUM('Defect (Total)'!BO94,Planned!CU94,Reconductor!CU94,CTGS!CU94,'Substation 2025$'!CU94*$BL$1,Comms!CQ94*$BL$2)</f>
        <v>0</v>
      </c>
      <c r="BP94" s="97">
        <f>SUM('Defect (Total)'!BP94,Planned!CV94,Reconductor!CV94,CTGS!CV94,'Substation 2025$'!CV94*$BL$1,Comms!CR94*$BL$2)</f>
        <v>0</v>
      </c>
      <c r="BQ94" s="97">
        <f>SUM('Defect (Total)'!BQ94,Planned!CW94,Reconductor!CW94,CTGS!CW94,'Substation 2025$'!CW94*$BL$1,Comms!CS94*$BL$2)</f>
        <v>0</v>
      </c>
      <c r="BR94" s="98">
        <f>SUM('Defect (Total)'!BR94,Planned!CX94,Reconductor!CX94,CTGS!CX94,'Substation 2025$'!CX94*$BL$1,Comms!CT94*$BL$2)</f>
        <v>0</v>
      </c>
      <c r="BS94" s="836" t="str">
        <f>'Unit Cost Rate Summary'!AO94</f>
        <v/>
      </c>
      <c r="BT94" s="840" t="str">
        <f t="shared" si="49"/>
        <v/>
      </c>
      <c r="BU94" s="832" t="str">
        <f t="shared" si="50"/>
        <v/>
      </c>
      <c r="BV94" t="s">
        <v>638</v>
      </c>
      <c r="CI94" s="416">
        <f>VLOOKUP($A94,'Distribution Summary'!$A$136:$CG$146,CI$1,0)*BN94</f>
        <v>0</v>
      </c>
      <c r="CJ94" s="97">
        <f>VLOOKUP($A94,'Distribution Summary'!$A$136:$CG$146,CJ$1,0)*BO94</f>
        <v>0</v>
      </c>
      <c r="CK94" s="97">
        <f>VLOOKUP($A94,'Distribution Summary'!$A$136:$CG$146,CK$1,0)*BP94</f>
        <v>0</v>
      </c>
      <c r="CL94" s="97">
        <f>VLOOKUP($A94,'Distribution Summary'!$A$136:$CG$146,CL$1,0)*BQ94</f>
        <v>0</v>
      </c>
      <c r="CM94" s="98">
        <f>VLOOKUP($A94,'Distribution Summary'!$A$136:$CG$146,CM$1,0)*BR94</f>
        <v>0</v>
      </c>
    </row>
    <row r="95" spans="1:91" ht="15.75" thickBot="1" x14ac:dyDescent="0.3">
      <c r="A95" s="100" t="s">
        <v>138</v>
      </c>
      <c r="B95" s="101" t="s">
        <v>385</v>
      </c>
      <c r="C95" s="102" t="s">
        <v>386</v>
      </c>
      <c r="D95" s="103">
        <f>SUM('Defect (Total)'!D95,Planned!D95,Reconductor!D95,CTGS!D95)</f>
        <v>13539</v>
      </c>
      <c r="E95" s="104">
        <f>SUM('Defect (Total)'!E95,Planned!E95,Reconductor!E95,CTGS!E95)</f>
        <v>0</v>
      </c>
      <c r="F95" s="104">
        <f>SUM('Defect (Total)'!F95,Planned!F95,Reconductor!F95,CTGS!F95)</f>
        <v>99217</v>
      </c>
      <c r="G95" s="104">
        <f>SUM('Defect (Total)'!G95,Planned!G95,Reconductor!G95,CTGS!G95)</f>
        <v>0</v>
      </c>
      <c r="H95" s="104">
        <f>SUM('Defect (Total)'!H95,Planned!H95,Reconductor!H95,CTGS!H95)</f>
        <v>0</v>
      </c>
      <c r="I95" s="104">
        <f>SUM('Defect (Total)'!I95,Planned!I95,Reconductor!I95,CTGS!I95)</f>
        <v>29709.836920557962</v>
      </c>
      <c r="J95" s="104">
        <f>SUM('Defect (Total)'!J95,Planned!J95,Reconductor!J95,CTGS!J95)</f>
        <v>14752.90333395</v>
      </c>
      <c r="K95" s="104">
        <f>SUM('Defect (Total)'!K95,Planned!K95,Reconductor!K95,CTGS!K95)</f>
        <v>46275.077679972004</v>
      </c>
      <c r="L95" s="104">
        <f>SUM('Defect (Total)'!L95,Planned!L95,Reconductor!L95,CTGS!L95)</f>
        <v>0</v>
      </c>
      <c r="M95" s="104">
        <f>SUM('Defect (Total)'!M95,Planned!M95,Reconductor!M95,CTGS!M95)</f>
        <v>0</v>
      </c>
      <c r="N95" s="104">
        <f>SUM('Defect (Total)'!N95,Planned!N95,Reconductor!N95,CTGS!N95)</f>
        <v>0</v>
      </c>
      <c r="O95" s="563">
        <f>SUM('Defect (Total)'!O95,Planned!O95,Reconductor!O95,CTGS!O95)</f>
        <v>18216.133105737841</v>
      </c>
      <c r="P95" s="564">
        <f>SUM('Defect (Total)'!P95,Planned!P95,Reconductor!P95,CTGS!P95)</f>
        <v>0</v>
      </c>
      <c r="Q95" s="564">
        <f>SUM('Defect (Total)'!Q95,Planned!Q95,Reconductor!Q95,CTGS!Q95)</f>
        <v>130173.27427298285</v>
      </c>
      <c r="R95" s="564">
        <f>SUM('Defect (Total)'!R95,Planned!R95,Reconductor!R95,CTGS!R95)</f>
        <v>0</v>
      </c>
      <c r="S95" s="564">
        <f>SUM('Defect (Total)'!S95,Planned!S95,Reconductor!S95,CTGS!S95)</f>
        <v>0</v>
      </c>
      <c r="T95" s="564">
        <f>SUM('Defect (Total)'!T95,Planned!T95,Reconductor!T95,CTGS!T95)</f>
        <v>36874.313422627099</v>
      </c>
      <c r="U95" s="564">
        <f>SUM('Defect (Total)'!U95,Planned!U95,Reconductor!U95,CTGS!U95)</f>
        <v>18374.563681230688</v>
      </c>
      <c r="V95" s="564">
        <f>SUM('Defect (Total)'!V95,Planned!V95,Reconductor!V95,CTGS!V95)</f>
        <v>55500.421154701085</v>
      </c>
      <c r="W95" s="564">
        <f>SUM('Defect (Total)'!W95,Planned!W95,Reconductor!W95,CTGS!W95)</f>
        <v>0</v>
      </c>
      <c r="X95" s="564">
        <f>SUM('Defect (Total)'!X95,Planned!X95,Reconductor!X95,CTGS!X95)</f>
        <v>0</v>
      </c>
      <c r="Y95" s="564">
        <f>SUM('Defect (Total)'!Y95,Planned!Y95,Reconductor!Y95,CTGS!Y95)</f>
        <v>0</v>
      </c>
      <c r="Z95" s="105">
        <f>SUM('Defect (Total)'!Z95,Planned!Z95,Reconductor!Z95,CTGS!Z95)</f>
        <v>1</v>
      </c>
      <c r="AA95" s="106">
        <f>SUM('Defect (Total)'!AA95,Planned!AA95,Reconductor!AA95,CTGS!AA95)</f>
        <v>0</v>
      </c>
      <c r="AB95" s="106">
        <f>SUM('Defect (Total)'!AB95,Planned!AB95,Reconductor!AB95,CTGS!AB95)</f>
        <v>1</v>
      </c>
      <c r="AC95" s="106">
        <f>SUM('Defect (Total)'!AC95,Planned!AC95,Reconductor!AC95,CTGS!AC95)</f>
        <v>0</v>
      </c>
      <c r="AD95" s="106">
        <f>SUM('Defect (Total)'!AD95,Planned!AD95,Reconductor!AD95,CTGS!AD95)</f>
        <v>0</v>
      </c>
      <c r="AE95" s="106">
        <f>SUM('Defect (Total)'!AE95,Planned!AE95,Reconductor!AE95,CTGS!AE95)</f>
        <v>1</v>
      </c>
      <c r="AF95" s="106">
        <f>SUM('Defect (Total)'!AF95,Planned!AF95,Reconductor!AF95,CTGS!AF95)</f>
        <v>0</v>
      </c>
      <c r="AG95" s="106">
        <f>SUM('Defect (Total)'!AG95,Planned!AG95,Reconductor!AG95,CTGS!AG95)</f>
        <v>3</v>
      </c>
      <c r="AH95" s="106">
        <f>SUM('Defect (Total)'!AH95,Planned!AH95,Reconductor!AH95,CTGS!AH95)</f>
        <v>0</v>
      </c>
      <c r="AI95" s="106">
        <f>SUM('Defect (Total)'!AI95,Planned!AI95,Reconductor!AI95,CTGS!AI95)</f>
        <v>0</v>
      </c>
      <c r="AJ95" s="106">
        <f>SUM('Defect (Total)'!AJ95,Planned!AJ95,Reconductor!AJ95,CTGS!AJ95)</f>
        <v>0</v>
      </c>
      <c r="AK95" s="107">
        <f t="shared" si="51"/>
        <v>0.8</v>
      </c>
      <c r="AL95" s="108">
        <f t="shared" si="52"/>
        <v>1</v>
      </c>
      <c r="AM95" s="109">
        <f t="shared" si="53"/>
        <v>0</v>
      </c>
      <c r="AN95" s="110">
        <f t="shared" si="35"/>
        <v>13539</v>
      </c>
      <c r="AO95" s="111" t="str">
        <f t="shared" si="36"/>
        <v/>
      </c>
      <c r="AP95" s="111">
        <f t="shared" si="37"/>
        <v>99217</v>
      </c>
      <c r="AQ95" s="111" t="str">
        <f t="shared" si="38"/>
        <v/>
      </c>
      <c r="AR95" s="111" t="str">
        <f t="shared" si="39"/>
        <v/>
      </c>
      <c r="AS95" s="111">
        <f t="shared" si="40"/>
        <v>29709.836920557962</v>
      </c>
      <c r="AT95" s="111" t="str">
        <f t="shared" si="41"/>
        <v/>
      </c>
      <c r="AU95" s="111">
        <f t="shared" si="42"/>
        <v>15425.025893324002</v>
      </c>
      <c r="AV95" s="111" t="str">
        <f t="shared" si="43"/>
        <v/>
      </c>
      <c r="AW95" s="111" t="str">
        <f t="shared" si="44"/>
        <v/>
      </c>
      <c r="AX95" s="111" t="str">
        <f t="shared" si="45"/>
        <v/>
      </c>
      <c r="AY95" s="112">
        <f t="shared" si="46"/>
        <v>22684.454483619993</v>
      </c>
      <c r="AZ95" s="113">
        <f t="shared" si="47"/>
        <v>20342.660337974001</v>
      </c>
      <c r="BA95" s="114" t="str">
        <f t="shared" si="48"/>
        <v/>
      </c>
      <c r="BB95" s="695">
        <f>SUM('Defect (Total)'!BB95,Planned!CE95,Reconductor!CE95,CTGS!CE95,'Substation 2025$'!CE95*$BL$1,Comms!CA95*$BL$2)</f>
        <v>0.66666666666666663</v>
      </c>
      <c r="BC95" s="695">
        <f>SUM('Defect (Total)'!BC95,Planned!CF95,Reconductor!CF95,CTGS!CF95,'Substation 2025$'!CF95*$BL$1,Comms!CB95*$BL$2)</f>
        <v>0.66666666666666663</v>
      </c>
      <c r="BD95" s="141">
        <f>SUM('Defect (Total)'!BD95,Planned!CG95,Reconductor!CG95,CTGS!CG95,'Substation 2025$'!CG95*$BL$1,Comms!CC95*$BL$2)</f>
        <v>0.66666666666666663</v>
      </c>
      <c r="BE95" s="141">
        <f>SUM('Defect (Total)'!BE95,Planned!CH95,Reconductor!CH95,CTGS!CH95,'Substation 2025$'!CH95*$BL$1,Comms!CD95*$BL$2)</f>
        <v>0.47333333333333327</v>
      </c>
      <c r="BF95" s="141">
        <f>SUM('Defect (Total)'!BF95,Planned!CI95,Reconductor!CI95,CTGS!CI95,'Substation 2025$'!CI95*$BL$1,Comms!CE95*$BL$2)</f>
        <v>0.47333333333333327</v>
      </c>
      <c r="BG95" s="141">
        <f>SUM('Defect (Total)'!BG95,Planned!CJ95,Reconductor!CJ95,CTGS!CJ95,'Substation 2025$'!CJ95*$BL$1,Comms!CF95*$BL$2)</f>
        <v>0.47333333333333327</v>
      </c>
      <c r="BH95" s="141">
        <f>SUM('Defect (Total)'!BH95,Planned!CK95,Reconductor!CK95,CTGS!CK95,'Substation 2025$'!CK95*$BL$1,Comms!CG95*$BL$2)</f>
        <v>0.47333333333333327</v>
      </c>
      <c r="BI95" s="292">
        <f>SUM('Defect (Total)'!BI95,Planned!CL95,Reconductor!CL95,CTGS!CL95,'Substation 2025$'!CL95*$BL$1,Comms!CH95*$BL$2)</f>
        <v>0.47333333333333327</v>
      </c>
      <c r="BJ95" s="116">
        <f t="shared" si="54"/>
        <v>5757.8777173810013</v>
      </c>
      <c r="BK95" s="1013">
        <f>SUM('Defect (Total)'!BK95,Planned!CQ95,Reconductor!CQ95,CTGS!CQ95,'Substation 2025$'!CQ95*$BL$1,Comms!CM95*$BL$2)</f>
        <v>3838.5851449206666</v>
      </c>
      <c r="BL95" s="1013">
        <f>SUM('Defect (Total)'!BL95,Planned!CR95,Reconductor!CR95,CTGS!CR95,'Substation 2025$'!CR95*$BL$1,Comms!CN95*$BL$2)</f>
        <v>3838.5851449206666</v>
      </c>
      <c r="BM95" s="638">
        <f>SUM('Defect (Total)'!BM95,Planned!CS95,Reconductor!CS95,CTGS!CS95,'Substation 2025$'!CS95*$BL$1,Comms!CO95*$BL$2)</f>
        <v>3838.5851449206666</v>
      </c>
      <c r="BN95" s="467">
        <f>SUM('Defect (Total)'!BN95,Planned!CT95,Reconductor!CT95,CTGS!CT95,'Substation 2025$'!CT95*$BL$1,Comms!CP95*$BL$2)</f>
        <v>2725.3954528936733</v>
      </c>
      <c r="BO95" s="117">
        <f>SUM('Defect (Total)'!BO95,Planned!CU95,Reconductor!CU95,CTGS!CU95,'Substation 2025$'!CU95*$BL$1,Comms!CQ95*$BL$2)</f>
        <v>2725.3954528936733</v>
      </c>
      <c r="BP95" s="117">
        <f>SUM('Defect (Total)'!BP95,Planned!CV95,Reconductor!CV95,CTGS!CV95,'Substation 2025$'!CV95*$BL$1,Comms!CR95*$BL$2)</f>
        <v>2725.3954528936733</v>
      </c>
      <c r="BQ95" s="117">
        <f>SUM('Defect (Total)'!BQ95,Planned!CW95,Reconductor!CW95,CTGS!CW95,'Substation 2025$'!CW95*$BL$1,Comms!CS95*$BL$2)</f>
        <v>2725.3954528936733</v>
      </c>
      <c r="BR95" s="118">
        <f>SUM('Defect (Total)'!BR95,Planned!CX95,Reconductor!CX95,CTGS!CX95,'Substation 2025$'!CX95*$BL$1,Comms!CT95*$BL$2)</f>
        <v>2725.3954528936733</v>
      </c>
      <c r="BS95" s="837">
        <f>'Unit Cost Rate Summary'!AO95</f>
        <v>19.024563904839308</v>
      </c>
      <c r="BT95" s="841">
        <f t="shared" si="49"/>
        <v>29326.037835875904</v>
      </c>
      <c r="BU95" s="833">
        <f t="shared" si="50"/>
        <v>146630.18917937952</v>
      </c>
      <c r="BV95" t="s">
        <v>638</v>
      </c>
      <c r="CI95" s="467">
        <f>VLOOKUP($A95,'Distribution Summary'!$A$136:$CG$146,CI$1,0)*BN95</f>
        <v>3105.0440086029571</v>
      </c>
      <c r="CJ95" s="117">
        <f>VLOOKUP($A95,'Distribution Summary'!$A$136:$CG$146,CJ$1,0)*BO95</f>
        <v>3119.9000317573787</v>
      </c>
      <c r="CK95" s="117">
        <f>VLOOKUP($A95,'Distribution Summary'!$A$136:$CG$146,CK$1,0)*BP95</f>
        <v>3134.1841692528105</v>
      </c>
      <c r="CL95" s="117">
        <f>VLOOKUP($A95,'Distribution Summary'!$A$136:$CG$146,CL$1,0)*BQ95</f>
        <v>3150.9989010166164</v>
      </c>
      <c r="CM95" s="118">
        <f>VLOOKUP($A95,'Distribution Summary'!$A$136:$CG$146,CM$1,0)*BR95</f>
        <v>3169.8349989361009</v>
      </c>
    </row>
    <row r="96" spans="1:91" x14ac:dyDescent="0.25">
      <c r="A96" s="63" t="s">
        <v>196</v>
      </c>
      <c r="B96" s="64" t="s">
        <v>193</v>
      </c>
      <c r="C96" s="65" t="s">
        <v>387</v>
      </c>
      <c r="D96" s="66">
        <f>SUM('Defect (Total)'!D96,Planned!D96,Reconductor!D96,CTGS!D96)</f>
        <v>7732379</v>
      </c>
      <c r="E96" s="67">
        <f>SUM('Defect (Total)'!E96,Planned!E96,Reconductor!E96,CTGS!E96)</f>
        <v>12979653</v>
      </c>
      <c r="F96" s="67">
        <f>SUM('Defect (Total)'!F96,Planned!F96,Reconductor!F96,CTGS!F96)</f>
        <v>9529379</v>
      </c>
      <c r="G96" s="67">
        <f>SUM('Defect (Total)'!G96,Planned!G96,Reconductor!G96,CTGS!G96)</f>
        <v>9770613.853181988</v>
      </c>
      <c r="H96" s="67">
        <f>SUM('Defect (Total)'!H96,Planned!H96,Reconductor!H96,CTGS!H96)</f>
        <v>14853760</v>
      </c>
      <c r="I96" s="67">
        <f>SUM('Defect (Total)'!I96,Planned!I96,Reconductor!I96,CTGS!I96)</f>
        <v>20247483.025644697</v>
      </c>
      <c r="J96" s="67">
        <f>SUM('Defect (Total)'!J96,Planned!J96,Reconductor!J96,CTGS!J96)</f>
        <v>31495466.058852024</v>
      </c>
      <c r="K96" s="67">
        <f>SUM('Defect (Total)'!K96,Planned!K96,Reconductor!K96,CTGS!K96)</f>
        <v>36015836.806626536</v>
      </c>
      <c r="L96" s="67">
        <f>SUM('Defect (Total)'!L96,Planned!L96,Reconductor!L96,CTGS!L96)</f>
        <v>32359237.581893343</v>
      </c>
      <c r="M96" s="67">
        <f>SUM('Defect (Total)'!M96,Planned!M96,Reconductor!M96,CTGS!M96)</f>
        <v>38923315.424239181</v>
      </c>
      <c r="N96" s="67">
        <f>SUM('Defect (Total)'!N96,Planned!N96,Reconductor!N96,CTGS!N96)</f>
        <v>41033547.454271652</v>
      </c>
      <c r="O96" s="557">
        <f>SUM('Defect (Total)'!O96,Planned!O96,Reconductor!O96,CTGS!O96)</f>
        <v>10403578.188050231</v>
      </c>
      <c r="P96" s="558">
        <f>SUM('Defect (Total)'!P96,Planned!P96,Reconductor!P96,CTGS!P96)</f>
        <v>17203633.453773174</v>
      </c>
      <c r="Q96" s="558">
        <f>SUM('Defect (Total)'!Q96,Planned!Q96,Reconductor!Q96,CTGS!Q96)</f>
        <v>12502600.020341303</v>
      </c>
      <c r="R96" s="558">
        <f>SUM('Defect (Total)'!R96,Planned!R96,Reconductor!R96,CTGS!R96)</f>
        <v>12575920.746357001</v>
      </c>
      <c r="S96" s="558">
        <f>SUM('Defect (Total)'!S96,Planned!S96,Reconductor!S96,CTGS!S96)</f>
        <v>18729385.208920866</v>
      </c>
      <c r="T96" s="558">
        <f>SUM('Defect (Total)'!T96,Planned!T96,Reconductor!T96,CTGS!T96)</f>
        <v>25130129.024381161</v>
      </c>
      <c r="U96" s="558">
        <f>SUM('Defect (Total)'!U96,Planned!U96,Reconductor!U96,CTGS!U96)</f>
        <v>39227224.2058722</v>
      </c>
      <c r="V96" s="558">
        <f>SUM('Defect (Total)'!V96,Planned!V96,Reconductor!V96,CTGS!V96)</f>
        <v>43195910.438674092</v>
      </c>
      <c r="W96" s="558">
        <f>SUM('Defect (Total)'!W96,Planned!W96,Reconductor!W96,CTGS!W96)</f>
        <v>36563583.814379074</v>
      </c>
      <c r="X96" s="558">
        <f>SUM('Defect (Total)'!X96,Planned!X96,Reconductor!X96,CTGS!X96)</f>
        <v>41393425.067636125</v>
      </c>
      <c r="Y96" s="558">
        <f>SUM('Defect (Total)'!Y96,Planned!Y96,Reconductor!Y96,CTGS!Y96)</f>
        <v>42161907.610206448</v>
      </c>
      <c r="Z96" s="68">
        <f>SUM('Defect (Total)'!Z96,Planned!Z96,Reconductor!Z96,CTGS!Z96)</f>
        <v>1120</v>
      </c>
      <c r="AA96" s="69">
        <f>SUM('Defect (Total)'!AA96,Planned!AA96,Reconductor!AA96,CTGS!AA96)</f>
        <v>1255</v>
      </c>
      <c r="AB96" s="69">
        <f>SUM('Defect (Total)'!AB96,Planned!AB96,Reconductor!AB96,CTGS!AB96)</f>
        <v>1534</v>
      </c>
      <c r="AC96" s="69">
        <f>SUM('Defect (Total)'!AC96,Planned!AC96,Reconductor!AC96,CTGS!AC96)</f>
        <v>1672</v>
      </c>
      <c r="AD96" s="69">
        <f>SUM('Defect (Total)'!AD96,Planned!AD96,Reconductor!AD96,CTGS!AD96)</f>
        <v>2227</v>
      </c>
      <c r="AE96" s="69">
        <f>SUM('Defect (Total)'!AE96,Planned!AE96,Reconductor!AE96,CTGS!AE96)</f>
        <v>71807</v>
      </c>
      <c r="AF96" s="69">
        <f>SUM('Defect (Total)'!AF96,Planned!AF96,Reconductor!AF96,CTGS!AF96)</f>
        <v>3557</v>
      </c>
      <c r="AG96" s="69">
        <f>SUM('Defect (Total)'!AG96,Planned!AG96,Reconductor!AG96,CTGS!AG96)</f>
        <v>3331</v>
      </c>
      <c r="AH96" s="69">
        <f>SUM('Defect (Total)'!AH96,Planned!AH96,Reconductor!AH96,CTGS!AH96)</f>
        <v>3045</v>
      </c>
      <c r="AI96" s="69">
        <f>SUM('Defect (Total)'!AI96,Planned!AI96,Reconductor!AI96,CTGS!AI96)</f>
        <v>2499</v>
      </c>
      <c r="AJ96" s="69">
        <f>SUM('Defect (Total)'!AJ96,Planned!AJ96,Reconductor!AJ96,CTGS!AJ96)</f>
        <v>1995</v>
      </c>
      <c r="AK96" s="70">
        <f t="shared" si="51"/>
        <v>16847.8</v>
      </c>
      <c r="AL96" s="71">
        <f t="shared" si="52"/>
        <v>2958.3333333333335</v>
      </c>
      <c r="AM96" s="72">
        <f t="shared" si="53"/>
        <v>2499</v>
      </c>
      <c r="AN96" s="73">
        <f t="shared" si="35"/>
        <v>6903.9098214285714</v>
      </c>
      <c r="AO96" s="74">
        <f t="shared" si="36"/>
        <v>10342.352988047809</v>
      </c>
      <c r="AP96" s="74">
        <f t="shared" si="37"/>
        <v>6212.11147327249</v>
      </c>
      <c r="AQ96" s="74">
        <f t="shared" si="38"/>
        <v>5843.6685724772651</v>
      </c>
      <c r="AR96" s="74">
        <f t="shared" si="39"/>
        <v>6669.8518185900311</v>
      </c>
      <c r="AS96" s="74">
        <f t="shared" si="40"/>
        <v>281.97088063342983</v>
      </c>
      <c r="AT96" s="74">
        <f t="shared" si="41"/>
        <v>8854.5026873354018</v>
      </c>
      <c r="AU96" s="74">
        <f t="shared" si="42"/>
        <v>10812.319665753988</v>
      </c>
      <c r="AV96" s="74">
        <f t="shared" si="43"/>
        <v>10627.007416056927</v>
      </c>
      <c r="AW96" s="74">
        <f t="shared" si="44"/>
        <v>15575.556392252573</v>
      </c>
      <c r="AX96" s="74">
        <f t="shared" si="45"/>
        <v>20568.194212667495</v>
      </c>
      <c r="AY96" s="75">
        <f t="shared" si="46"/>
        <v>1607.4384397801114</v>
      </c>
      <c r="AZ96" s="76">
        <f t="shared" si="47"/>
        <v>10054.418649690113</v>
      </c>
      <c r="BA96" s="77">
        <f t="shared" si="48"/>
        <v>10627.007416056927</v>
      </c>
      <c r="BB96" s="688">
        <f>SUM('Defect (Total)'!BB96,Planned!CE96,Reconductor!CE96,CTGS!CE96,'Substation 2025$'!CE96*$BL$1,Comms!CA96*$BL$2)</f>
        <v>2666</v>
      </c>
      <c r="BC96" s="688">
        <f>SUM('Defect (Total)'!BC96,Planned!CF96,Reconductor!CF96,CTGS!CF96,'Substation 2025$'!CF96*$BL$1,Comms!CB96*$BL$2)</f>
        <v>2382.5674975757224</v>
      </c>
      <c r="BD96" s="78">
        <f>SUM('Defect (Total)'!BD96,Planned!CG96,Reconductor!CG96,CTGS!CG96,'Substation 2025$'!CG96*$BL$1,Comms!CC96*$BL$2)</f>
        <v>2382.5674975757224</v>
      </c>
      <c r="BE96" s="78">
        <f>SUM('Defect (Total)'!BE96,Planned!CH96,Reconductor!CH96,CTGS!CH96,'Substation 2025$'!CH96*$BL$1,Comms!CD96*$BL$2)</f>
        <v>1522.3022671353715</v>
      </c>
      <c r="BF96" s="78">
        <f>SUM('Defect (Total)'!BF96,Planned!CI96,Reconductor!CI96,CTGS!CI96,'Substation 2025$'!CI96*$BL$1,Comms!CE96*$BL$2)</f>
        <v>1534.8113034197877</v>
      </c>
      <c r="BG96" s="78">
        <f>SUM('Defect (Total)'!BG96,Planned!CJ96,Reconductor!CJ96,CTGS!CJ96,'Substation 2025$'!CJ96*$BL$1,Comms!CF96*$BL$2)</f>
        <v>1543.1506609427315</v>
      </c>
      <c r="BH96" s="78">
        <f>SUM('Defect (Total)'!BH96,Planned!CK96,Reconductor!CK96,CTGS!CK96,'Substation 2025$'!CK96*$BL$1,Comms!CG96*$BL$2)</f>
        <v>1551.4900184656756</v>
      </c>
      <c r="BI96" s="285">
        <f>SUM('Defect (Total)'!BI96,Planned!CL96,Reconductor!CL96,CTGS!CL96,'Substation 2025$'!CL96*$BL$1,Comms!CH96*$BL$2)</f>
        <v>1555.6596972271477</v>
      </c>
      <c r="BJ96" s="124">
        <f>IFERROR(SUM(BN96:BR96)/SUM(BE96:BI96),"")</f>
        <v>12628.046763597084</v>
      </c>
      <c r="BK96" s="974">
        <f>SUM('Defect (Total)'!BK96,Planned!CQ96,Reconductor!CQ96,CTGS!CQ96,'Substation 2025$'!CQ96*$BL$1,Comms!CM96*$BL$2)</f>
        <v>33637334.395002134</v>
      </c>
      <c r="BL96" s="974">
        <f>SUM('Defect (Total)'!BL96,Planned!CR96,Reconductor!CR96,CTGS!CR96,'Substation 2025$'!CR96*$BL$1,Comms!CN96*$BL$2)</f>
        <v>30061222.668648921</v>
      </c>
      <c r="BM96" s="523">
        <f>SUM('Defect (Total)'!BM96,Planned!CS96,Reconductor!CS96,CTGS!CS96,'Substation 2025$'!CS96*$BL$1,Comms!CO96*$BL$2)</f>
        <v>30061222.668648921</v>
      </c>
      <c r="BN96" s="415">
        <f>SUM('Defect (Total)'!BN96,Planned!CT96,Reconductor!CT96,CTGS!CT96,'Substation 2025$'!CT96*$BL$1,Comms!CP96*$BL$2)</f>
        <v>19223913.133437309</v>
      </c>
      <c r="BO96" s="79">
        <f>SUM('Defect (Total)'!BO96,Planned!CU96,Reconductor!CU96,CTGS!CU96,'Substation 2025$'!CU96*$BL$1,Comms!CQ96*$BL$2)</f>
        <v>19381741.579220552</v>
      </c>
      <c r="BP96" s="79">
        <f>SUM('Defect (Total)'!BP96,Planned!CV96,Reconductor!CV96,CTGS!CV96,'Substation 2025$'!CV96*$BL$1,Comms!CR96*$BL$2)</f>
        <v>19486960.543076046</v>
      </c>
      <c r="BQ96" s="79">
        <f>SUM('Defect (Total)'!BQ96,Planned!CW96,Reconductor!CW96,CTGS!CW96,'Substation 2025$'!CW96*$BL$1,Comms!CS96*$BL$2)</f>
        <v>19592179.50693154</v>
      </c>
      <c r="BR96" s="80">
        <f>SUM('Defect (Total)'!BR96,Planned!CX96,Reconductor!CX96,CTGS!CX96,'Substation 2025$'!CX96*$BL$1,Comms!CT96*$BL$2)</f>
        <v>19644788.988859285</v>
      </c>
      <c r="BS96" s="835">
        <f>'Unit Cost Rate Summary'!AO96</f>
        <v>8</v>
      </c>
      <c r="BT96" s="839">
        <f t="shared" si="49"/>
        <v>1599.1285835262834</v>
      </c>
      <c r="BU96" s="834">
        <f t="shared" si="50"/>
        <v>7995.6429176314168</v>
      </c>
      <c r="BV96" t="s">
        <v>639</v>
      </c>
      <c r="CI96" s="415">
        <f>VLOOKUP($A96,'Distribution Summary'!$A$136:$CG$146,CI$1,0)*BN96</f>
        <v>21933421.394589961</v>
      </c>
      <c r="CJ96" s="79">
        <f>VLOOKUP($A96,'Distribution Summary'!$A$136:$CG$146,CJ$1,0)*BO96</f>
        <v>22196769.508326944</v>
      </c>
      <c r="CK96" s="79">
        <f>VLOOKUP($A96,'Distribution Summary'!$A$136:$CG$146,CK$1,0)*BP96</f>
        <v>22407504.398786101</v>
      </c>
      <c r="CL96" s="79">
        <f>VLOOKUP($A96,'Distribution Summary'!$A$136:$CG$146,CL$1,0)*BQ96</f>
        <v>22637973.635054857</v>
      </c>
      <c r="CM96" s="80">
        <f>VLOOKUP($A96,'Distribution Summary'!$A$136:$CG$146,CM$1,0)*BR96</f>
        <v>22827875.408218514</v>
      </c>
    </row>
    <row r="97" spans="1:91" x14ac:dyDescent="0.25">
      <c r="A97" s="81" t="s">
        <v>196</v>
      </c>
      <c r="B97" s="82" t="s">
        <v>197</v>
      </c>
      <c r="C97" s="83" t="s">
        <v>388</v>
      </c>
      <c r="D97" s="84">
        <f>SUM('Defect (Total)'!D97,Planned!D97,Reconductor!D97,CTGS!D97)</f>
        <v>3635816</v>
      </c>
      <c r="E97" s="85">
        <f>SUM('Defect (Total)'!E97,Planned!E97,Reconductor!E97,CTGS!E97)</f>
        <v>5714487</v>
      </c>
      <c r="F97" s="85">
        <f>SUM('Defect (Total)'!F97,Planned!F97,Reconductor!F97,CTGS!F97)</f>
        <v>4672147</v>
      </c>
      <c r="G97" s="85">
        <f>SUM('Defect (Total)'!G97,Planned!G97,Reconductor!G97,CTGS!G97)</f>
        <v>5228652.4073290844</v>
      </c>
      <c r="H97" s="85">
        <f>SUM('Defect (Total)'!H97,Planned!H97,Reconductor!H97,CTGS!H97)</f>
        <v>5223851</v>
      </c>
      <c r="I97" s="85">
        <f>SUM('Defect (Total)'!I97,Planned!I97,Reconductor!I97,CTGS!I97)</f>
        <v>8100962.0602794215</v>
      </c>
      <c r="J97" s="85">
        <f>SUM('Defect (Total)'!J97,Planned!J97,Reconductor!J97,CTGS!J97)</f>
        <v>6416486.3232819932</v>
      </c>
      <c r="K97" s="85">
        <f>SUM('Defect (Total)'!K97,Planned!K97,Reconductor!K97,CTGS!K97)</f>
        <v>8440190.1703399196</v>
      </c>
      <c r="L97" s="85">
        <f>SUM('Defect (Total)'!L97,Planned!L97,Reconductor!L97,CTGS!L97)</f>
        <v>8205291.0403893301</v>
      </c>
      <c r="M97" s="85">
        <f>SUM('Defect (Total)'!M97,Planned!M97,Reconductor!M97,CTGS!M97)</f>
        <v>8392236.2895577494</v>
      </c>
      <c r="N97" s="85">
        <f>SUM('Defect (Total)'!N97,Planned!N97,Reconductor!N97,CTGS!N97)</f>
        <v>8136031.3421527604</v>
      </c>
      <c r="O97" s="560">
        <f>SUM('Defect (Total)'!O97,Planned!O97,Reconductor!O97,CTGS!O97)</f>
        <v>4891831.6126723783</v>
      </c>
      <c r="P97" s="561">
        <f>SUM('Defect (Total)'!P97,Planned!P97,Reconductor!P97,CTGS!P97)</f>
        <v>7574157.7778968289</v>
      </c>
      <c r="Q97" s="561">
        <f>SUM('Defect (Total)'!Q97,Planned!Q97,Reconductor!Q97,CTGS!Q97)</f>
        <v>6129883.7182609234</v>
      </c>
      <c r="R97" s="561">
        <f>SUM('Defect (Total)'!R97,Planned!R97,Reconductor!R97,CTGS!R97)</f>
        <v>6729886.0924080918</v>
      </c>
      <c r="S97" s="561">
        <f>SUM('Defect (Total)'!S97,Planned!S97,Reconductor!S97,CTGS!S97)</f>
        <v>6586851.9252368752</v>
      </c>
      <c r="T97" s="561">
        <f>SUM('Defect (Total)'!T97,Planned!T97,Reconductor!T97,CTGS!T97)</f>
        <v>10054495.24459875</v>
      </c>
      <c r="U97" s="561">
        <f>SUM('Defect (Total)'!U97,Planned!U97,Reconductor!U97,CTGS!U97)</f>
        <v>7991656.5497703776</v>
      </c>
      <c r="V97" s="561">
        <f>SUM('Defect (Total)'!V97,Planned!V97,Reconductor!V97,CTGS!V97)</f>
        <v>10122816.266656935</v>
      </c>
      <c r="W97" s="561">
        <f>SUM('Defect (Total)'!W97,Planned!W97,Reconductor!W97,CTGS!W97)</f>
        <v>9271381.8092093319</v>
      </c>
      <c r="X97" s="561">
        <f>SUM('Defect (Total)'!X97,Planned!X97,Reconductor!X97,CTGS!X97)</f>
        <v>8924815.3764767721</v>
      </c>
      <c r="Y97" s="561">
        <f>SUM('Defect (Total)'!Y97,Planned!Y97,Reconductor!Y97,CTGS!Y97)</f>
        <v>8359759.8317295518</v>
      </c>
      <c r="Z97" s="86">
        <f>SUM('Defect (Total)'!Z97,Planned!Z97,Reconductor!Z97,CTGS!Z97)</f>
        <v>58</v>
      </c>
      <c r="AA97" s="87">
        <f>SUM('Defect (Total)'!AA97,Planned!AA97,Reconductor!AA97,CTGS!AA97)</f>
        <v>419</v>
      </c>
      <c r="AB97" s="87">
        <f>SUM('Defect (Total)'!AB97,Planned!AB97,Reconductor!AB97,CTGS!AB97)</f>
        <v>204</v>
      </c>
      <c r="AC97" s="87">
        <f>SUM('Defect (Total)'!AC97,Planned!AC97,Reconductor!AC97,CTGS!AC97)</f>
        <v>216</v>
      </c>
      <c r="AD97" s="87">
        <f>SUM('Defect (Total)'!AD97,Planned!AD97,Reconductor!AD97,CTGS!AD97)</f>
        <v>227</v>
      </c>
      <c r="AE97" s="87">
        <f>SUM('Defect (Total)'!AE97,Planned!AE97,Reconductor!AE97,CTGS!AE97)</f>
        <v>279</v>
      </c>
      <c r="AF97" s="87">
        <f>SUM('Defect (Total)'!AF97,Planned!AF97,Reconductor!AF97,CTGS!AF97)</f>
        <v>191</v>
      </c>
      <c r="AG97" s="87">
        <f>SUM('Defect (Total)'!AG97,Planned!AG97,Reconductor!AG97,CTGS!AG97)</f>
        <v>316</v>
      </c>
      <c r="AH97" s="87">
        <f>SUM('Defect (Total)'!AH97,Planned!AH97,Reconductor!AH97,CTGS!AH97)</f>
        <v>323</v>
      </c>
      <c r="AI97" s="87">
        <f>SUM('Defect (Total)'!AI97,Planned!AI97,Reconductor!AI97,CTGS!AI97)</f>
        <v>324</v>
      </c>
      <c r="AJ97" s="87">
        <f>SUM('Defect (Total)'!AJ97,Planned!AJ97,Reconductor!AJ97,CTGS!AJ97)</f>
        <v>278</v>
      </c>
      <c r="AK97" s="88">
        <f t="shared" si="51"/>
        <v>286.60000000000002</v>
      </c>
      <c r="AL97" s="89">
        <f t="shared" si="52"/>
        <v>321</v>
      </c>
      <c r="AM97" s="90">
        <f t="shared" si="53"/>
        <v>324</v>
      </c>
      <c r="AN97" s="91">
        <f t="shared" si="35"/>
        <v>62686.482758620688</v>
      </c>
      <c r="AO97" s="92">
        <f t="shared" si="36"/>
        <v>13638.393794749403</v>
      </c>
      <c r="AP97" s="92">
        <f t="shared" si="37"/>
        <v>22902.681372549021</v>
      </c>
      <c r="AQ97" s="92">
        <f t="shared" si="38"/>
        <v>24206.724108005019</v>
      </c>
      <c r="AR97" s="92">
        <f t="shared" si="39"/>
        <v>23012.559471365639</v>
      </c>
      <c r="AS97" s="92">
        <f t="shared" si="40"/>
        <v>29035.706309245237</v>
      </c>
      <c r="AT97" s="92">
        <f t="shared" si="41"/>
        <v>33594.169231842898</v>
      </c>
      <c r="AU97" s="92">
        <f t="shared" si="42"/>
        <v>26709.462564366833</v>
      </c>
      <c r="AV97" s="92">
        <f t="shared" si="43"/>
        <v>25403.377834022693</v>
      </c>
      <c r="AW97" s="92">
        <f t="shared" si="44"/>
        <v>25901.96385665972</v>
      </c>
      <c r="AX97" s="92">
        <f t="shared" si="45"/>
        <v>29266.299791916405</v>
      </c>
      <c r="AY97" s="93">
        <f t="shared" si="46"/>
        <v>27235.614217283433</v>
      </c>
      <c r="AZ97" s="94">
        <f t="shared" si="47"/>
        <v>27785.50305302559</v>
      </c>
      <c r="BA97" s="95">
        <f t="shared" si="48"/>
        <v>25403.377834022693</v>
      </c>
      <c r="BB97" s="689">
        <f>SUM('Defect (Total)'!BB97,Planned!CE97,Reconductor!CE97,CTGS!CE97,'Substation 2025$'!CE97*$BL$1,Comms!CA97*$BL$2)</f>
        <v>310.26666666666671</v>
      </c>
      <c r="BC97" s="689">
        <f>SUM('Defect (Total)'!BC97,Planned!CF97,Reconductor!CF97,CTGS!CF97,'Substation 2025$'!CF97*$BL$1,Comms!CB97*$BL$2)</f>
        <v>295.72589182716797</v>
      </c>
      <c r="BD97" s="96">
        <f>SUM('Defect (Total)'!BD97,Planned!CG97,Reconductor!CG97,CTGS!CG97,'Substation 2025$'!CG97*$BL$1,Comms!CC97*$BL$2)</f>
        <v>295.72589182716797</v>
      </c>
      <c r="BE97" s="96">
        <f>SUM('Defect (Total)'!BE97,Planned!CH97,Reconductor!CH97,CTGS!CH97,'Substation 2025$'!CH97*$BL$1,Comms!CD97*$BL$2)</f>
        <v>198.38707472484677</v>
      </c>
      <c r="BF97" s="96">
        <f>SUM('Defect (Total)'!BF97,Planned!CI97,Reconductor!CI97,CTGS!CI97,'Substation 2025$'!CI97*$BL$1,Comms!CE97*$BL$2)</f>
        <v>199.3679431265459</v>
      </c>
      <c r="BG97" s="96">
        <f>SUM('Defect (Total)'!BG97,Planned!CJ97,Reconductor!CJ97,CTGS!CJ97,'Substation 2025$'!CJ97*$BL$1,Comms!CF97*$BL$2)</f>
        <v>200.02185539434529</v>
      </c>
      <c r="BH97" s="96">
        <f>SUM('Defect (Total)'!BH97,Planned!CK97,Reconductor!CK97,CTGS!CK97,'Substation 2025$'!CK97*$BL$1,Comms!CG97*$BL$2)</f>
        <v>200.67576766214472</v>
      </c>
      <c r="BI97" s="286">
        <f>SUM('Defect (Total)'!BI97,Planned!CL97,Reconductor!CL97,CTGS!CL97,'Substation 2025$'!CL97*$BL$1,Comms!CH97*$BL$2)</f>
        <v>201.00272379604442</v>
      </c>
      <c r="BJ97" s="99">
        <f t="shared" si="54"/>
        <v>22353.322409091154</v>
      </c>
      <c r="BK97" s="992">
        <f>SUM('Defect (Total)'!BK97,Planned!CQ97,Reconductor!CQ97,CTGS!CQ97,'Substation 2025$'!CQ97*$BL$1,Comms!CM97*$BL$2)</f>
        <v>7741326.2889913991</v>
      </c>
      <c r="BL97" s="992">
        <f>SUM('Defect (Total)'!BL97,Planned!CR97,Reconductor!CR97,CTGS!CR97,'Substation 2025$'!CR97*$BL$1,Comms!CN97*$BL$2)</f>
        <v>7016287.9660614058</v>
      </c>
      <c r="BM97" s="524">
        <f>SUM('Defect (Total)'!BM97,Planned!CS97,Reconductor!CS97,CTGS!CS97,'Substation 2025$'!CS97*$BL$1,Comms!CO97*$BL$2)</f>
        <v>7016287.9660614058</v>
      </c>
      <c r="BN97" s="416">
        <f>SUM('Defect (Total)'!BN97,Planned!CT97,Reconductor!CT97,CTGS!CT97,'Substation 2025$'!CT97*$BL$1,Comms!CP97*$BL$2)</f>
        <v>4393236.5990004865</v>
      </c>
      <c r="BO97" s="97">
        <f>SUM('Defect (Total)'!BO97,Planned!CU97,Reconductor!CU97,CTGS!CU97,'Substation 2025$'!CU97*$BL$1,Comms!CQ97*$BL$2)</f>
        <v>4442145.0780074736</v>
      </c>
      <c r="BP97" s="97">
        <f>SUM('Defect (Total)'!BP97,Planned!CV97,Reconductor!CV97,CTGS!CV97,'Substation 2025$'!CV97*$BL$1,Comms!CR97*$BL$2)</f>
        <v>4474750.7306787977</v>
      </c>
      <c r="BQ97" s="97">
        <f>SUM('Defect (Total)'!BQ97,Planned!CW97,Reconductor!CW97,CTGS!CW97,'Substation 2025$'!CW97*$BL$1,Comms!CS97*$BL$2)</f>
        <v>4507356.3833501227</v>
      </c>
      <c r="BR97" s="98">
        <f>SUM('Defect (Total)'!BR97,Planned!CX97,Reconductor!CX97,CTGS!CX97,'Substation 2025$'!CX97*$BL$1,Comms!CT97*$BL$2)</f>
        <v>4523659.2096857848</v>
      </c>
      <c r="BS97" s="836">
        <f>'Unit Cost Rate Summary'!AO97</f>
        <v>75.829712647475247</v>
      </c>
      <c r="BT97" s="840">
        <f t="shared" si="49"/>
        <v>20.309724704082122</v>
      </c>
      <c r="BU97" s="832">
        <f t="shared" si="50"/>
        <v>101.5486235204106</v>
      </c>
      <c r="BV97" s="748" t="s">
        <v>639</v>
      </c>
      <c r="BW97" s="748"/>
      <c r="BX97" s="748"/>
      <c r="BY97" s="748"/>
      <c r="BZ97" s="748"/>
      <c r="CA97" s="748"/>
      <c r="CB97" s="748"/>
      <c r="CC97" s="748"/>
      <c r="CD97" s="748"/>
      <c r="CE97" s="748"/>
      <c r="CF97" s="748"/>
      <c r="CG97" s="748"/>
      <c r="CH97" s="748"/>
      <c r="CI97" s="416">
        <f>VLOOKUP($A97,'Distribution Summary'!$A$136:$CG$146,CI$1,0)*BN97</f>
        <v>5012439.9201747533</v>
      </c>
      <c r="CJ97" s="97">
        <f>VLOOKUP($A97,'Distribution Summary'!$A$136:$CG$146,CJ$1,0)*BO97</f>
        <v>5087327.6798196901</v>
      </c>
      <c r="CK97" s="97">
        <f>VLOOKUP($A97,'Distribution Summary'!$A$136:$CG$146,CK$1,0)*BP97</f>
        <v>5145389.2185758501</v>
      </c>
      <c r="CL97" s="97">
        <f>VLOOKUP($A97,'Distribution Summary'!$A$136:$CG$146,CL$1,0)*BQ97</f>
        <v>5208068.6038006311</v>
      </c>
      <c r="CM97" s="98">
        <f>VLOOKUP($A97,'Distribution Summary'!$A$136:$CG$146,CM$1,0)*BR97</f>
        <v>5256637.2123676175</v>
      </c>
    </row>
    <row r="98" spans="1:91" x14ac:dyDescent="0.25">
      <c r="A98" s="81" t="s">
        <v>196</v>
      </c>
      <c r="B98" s="82" t="s">
        <v>199</v>
      </c>
      <c r="C98" s="83" t="s">
        <v>389</v>
      </c>
      <c r="D98" s="84">
        <f>SUM('Defect (Total)'!D98,Planned!D98,Reconductor!D98,CTGS!D98)</f>
        <v>378710</v>
      </c>
      <c r="E98" s="85">
        <f>SUM('Defect (Total)'!E98,Planned!E98,Reconductor!E98,CTGS!E98)</f>
        <v>218775</v>
      </c>
      <c r="F98" s="85">
        <f>SUM('Defect (Total)'!F98,Planned!F98,Reconductor!F98,CTGS!F98)</f>
        <v>268964</v>
      </c>
      <c r="G98" s="85">
        <f>SUM('Defect (Total)'!G98,Planned!G98,Reconductor!G98,CTGS!G98)</f>
        <v>94919</v>
      </c>
      <c r="H98" s="85">
        <f>SUM('Defect (Total)'!H98,Planned!H98,Reconductor!H98,CTGS!H98)</f>
        <v>-17265</v>
      </c>
      <c r="I98" s="85">
        <f>SUM('Defect (Total)'!I98,Planned!I98,Reconductor!I98,CTGS!I98)</f>
        <v>95505.643745117995</v>
      </c>
      <c r="J98" s="85">
        <f>SUM('Defect (Total)'!J98,Planned!J98,Reconductor!J98,CTGS!J98)</f>
        <v>0</v>
      </c>
      <c r="K98" s="85">
        <f>SUM('Defect (Total)'!K98,Planned!K98,Reconductor!K98,CTGS!K98)</f>
        <v>7911.6376643140011</v>
      </c>
      <c r="L98" s="85">
        <f>SUM('Defect (Total)'!L98,Planned!L98,Reconductor!L98,CTGS!L98)</f>
        <v>11778.04</v>
      </c>
      <c r="M98" s="85">
        <f>SUM('Defect (Total)'!M98,Planned!M98,Reconductor!M98,CTGS!M98)</f>
        <v>0</v>
      </c>
      <c r="N98" s="85">
        <f>SUM('Defect (Total)'!N98,Planned!N98,Reconductor!N98,CTGS!N98)</f>
        <v>0</v>
      </c>
      <c r="O98" s="560">
        <f>SUM('Defect (Total)'!O98,Planned!O98,Reconductor!O98,CTGS!O98)</f>
        <v>509537.76264672267</v>
      </c>
      <c r="P98" s="561">
        <f>SUM('Defect (Total)'!P98,Planned!P98,Reconductor!P98,CTGS!P98)</f>
        <v>289971.15014162753</v>
      </c>
      <c r="Q98" s="561">
        <f>SUM('Defect (Total)'!Q98,Planned!Q98,Reconductor!Q98,CTGS!Q98)</f>
        <v>352882.31393368635</v>
      </c>
      <c r="R98" s="561">
        <f>SUM('Defect (Total)'!R98,Planned!R98,Reconductor!R98,CTGS!R98)</f>
        <v>122171.83477522356</v>
      </c>
      <c r="S98" s="561">
        <f>SUM('Defect (Total)'!S98,Planned!S98,Reconductor!S98,CTGS!S98)</f>
        <v>-21769.763052050035</v>
      </c>
      <c r="T98" s="561">
        <f>SUM('Defect (Total)'!T98,Planned!T98,Reconductor!T98,CTGS!T98)</f>
        <v>118536.66684553136</v>
      </c>
      <c r="U98" s="561">
        <f>SUM('Defect (Total)'!U98,Planned!U98,Reconductor!U98,CTGS!U98)</f>
        <v>0</v>
      </c>
      <c r="V98" s="561">
        <f>SUM('Defect (Total)'!V98,Planned!V98,Reconductor!V98,CTGS!V98)</f>
        <v>9488.8921727918823</v>
      </c>
      <c r="W98" s="561">
        <f>SUM('Defect (Total)'!W98,Planned!W98,Reconductor!W98,CTGS!W98)</f>
        <v>13308.3281588216</v>
      </c>
      <c r="X98" s="561">
        <f>SUM('Defect (Total)'!X98,Planned!X98,Reconductor!X98,CTGS!X98)</f>
        <v>0</v>
      </c>
      <c r="Y98" s="561">
        <f>SUM('Defect (Total)'!Y98,Planned!Y98,Reconductor!Y98,CTGS!Y98)</f>
        <v>0</v>
      </c>
      <c r="Z98" s="86">
        <f>SUM('Defect (Total)'!Z98,Planned!Z98,Reconductor!Z98,CTGS!Z98)</f>
        <v>9</v>
      </c>
      <c r="AA98" s="87">
        <f>SUM('Defect (Total)'!AA98,Planned!AA98,Reconductor!AA98,CTGS!AA98)</f>
        <v>5</v>
      </c>
      <c r="AB98" s="87">
        <f>SUM('Defect (Total)'!AB98,Planned!AB98,Reconductor!AB98,CTGS!AB98)</f>
        <v>5</v>
      </c>
      <c r="AC98" s="87">
        <f>SUM('Defect (Total)'!AC98,Planned!AC98,Reconductor!AC98,CTGS!AC98)</f>
        <v>2</v>
      </c>
      <c r="AD98" s="87">
        <f>SUM('Defect (Total)'!AD98,Planned!AD98,Reconductor!AD98,CTGS!AD98)</f>
        <v>-1</v>
      </c>
      <c r="AE98" s="87">
        <f>SUM('Defect (Total)'!AE98,Planned!AE98,Reconductor!AE98,CTGS!AE98)</f>
        <v>2</v>
      </c>
      <c r="AF98" s="87">
        <f>SUM('Defect (Total)'!AF98,Planned!AF98,Reconductor!AF98,CTGS!AF98)</f>
        <v>0</v>
      </c>
      <c r="AG98" s="87">
        <f>SUM('Defect (Total)'!AG98,Planned!AG98,Reconductor!AG98,CTGS!AG98)</f>
        <v>-1</v>
      </c>
      <c r="AH98" s="87">
        <f>SUM('Defect (Total)'!AH98,Planned!AH98,Reconductor!AH98,CTGS!AH98)</f>
        <v>1</v>
      </c>
      <c r="AI98" s="87">
        <f>SUM('Defect (Total)'!AI98,Planned!AI98,Reconductor!AI98,CTGS!AI98)</f>
        <v>0</v>
      </c>
      <c r="AJ98" s="87">
        <f>SUM('Defect (Total)'!AJ98,Planned!AJ98,Reconductor!AJ98,CTGS!AJ98)</f>
        <v>0</v>
      </c>
      <c r="AK98" s="88">
        <f t="shared" si="51"/>
        <v>0.4</v>
      </c>
      <c r="AL98" s="89">
        <f t="shared" si="52"/>
        <v>0</v>
      </c>
      <c r="AM98" s="90">
        <f t="shared" si="53"/>
        <v>0</v>
      </c>
      <c r="AN98" s="91">
        <f t="shared" si="35"/>
        <v>42078.888888888891</v>
      </c>
      <c r="AO98" s="92">
        <f t="shared" si="36"/>
        <v>43755</v>
      </c>
      <c r="AP98" s="92">
        <f t="shared" si="37"/>
        <v>53792.800000000003</v>
      </c>
      <c r="AQ98" s="92">
        <f t="shared" si="38"/>
        <v>47459.5</v>
      </c>
      <c r="AR98" s="92">
        <f t="shared" si="39"/>
        <v>17265</v>
      </c>
      <c r="AS98" s="92">
        <f t="shared" si="40"/>
        <v>47752.821872558998</v>
      </c>
      <c r="AT98" s="92" t="str">
        <f t="shared" si="41"/>
        <v/>
      </c>
      <c r="AU98" s="92">
        <f t="shared" si="42"/>
        <v>-7911.6376643140011</v>
      </c>
      <c r="AV98" s="92">
        <f t="shared" si="43"/>
        <v>11778.04</v>
      </c>
      <c r="AW98" s="92" t="str">
        <f t="shared" si="44"/>
        <v/>
      </c>
      <c r="AX98" s="92" t="str">
        <f t="shared" si="45"/>
        <v/>
      </c>
      <c r="AY98" s="93">
        <f t="shared" si="46"/>
        <v>97930.321409431985</v>
      </c>
      <c r="AZ98" s="94" t="str">
        <f t="shared" si="47"/>
        <v/>
      </c>
      <c r="BA98" s="95">
        <f t="shared" si="48"/>
        <v>11778.04</v>
      </c>
      <c r="BB98" s="689">
        <f>SUM('Defect (Total)'!BB98,Planned!CE98,Reconductor!CE98,CTGS!CE98,'Substation 2025$'!CE98*$BL$1,Comms!CA98*$BL$2)</f>
        <v>0.33333333333333331</v>
      </c>
      <c r="BC98" s="689">
        <f>SUM('Defect (Total)'!BC98,Planned!CF98,Reconductor!CF98,CTGS!CF98,'Substation 2025$'!CF98*$BL$1,Comms!CB98*$BL$2)</f>
        <v>0.33333333333333331</v>
      </c>
      <c r="BD98" s="96">
        <f>SUM('Defect (Total)'!BD98,Planned!CG98,Reconductor!CG98,CTGS!CG98,'Substation 2025$'!CG98*$BL$1,Comms!CC98*$BL$2)</f>
        <v>0.33333333333333331</v>
      </c>
      <c r="BE98" s="96">
        <f>SUM('Defect (Total)'!BE98,Planned!CH98,Reconductor!CH98,CTGS!CH98,'Substation 2025$'!CH98*$BL$1,Comms!CD98*$BL$2)</f>
        <v>0.26783333333333331</v>
      </c>
      <c r="BF98" s="96">
        <f>SUM('Defect (Total)'!BF98,Planned!CI98,Reconductor!CI98,CTGS!CI98,'Substation 2025$'!CI98*$BL$1,Comms!CE98*$BL$2)</f>
        <v>0.26783333333333331</v>
      </c>
      <c r="BG98" s="96">
        <f>SUM('Defect (Total)'!BG98,Planned!CJ98,Reconductor!CJ98,CTGS!CJ98,'Substation 2025$'!CJ98*$BL$1,Comms!CF98*$BL$2)</f>
        <v>0.26783333333333331</v>
      </c>
      <c r="BH98" s="96">
        <f>SUM('Defect (Total)'!BH98,Planned!CK98,Reconductor!CK98,CTGS!CK98,'Substation 2025$'!CK98*$BL$1,Comms!CG98*$BL$2)</f>
        <v>0.26783333333333331</v>
      </c>
      <c r="BI98" s="286">
        <f>SUM('Defect (Total)'!BI98,Planned!CL98,Reconductor!CL98,CTGS!CL98,'Substation 2025$'!CL98*$BL$1,Comms!CH98*$BL$2)</f>
        <v>0.26783333333333331</v>
      </c>
      <c r="BJ98" s="99">
        <f t="shared" si="54"/>
        <v>23311.647664314001</v>
      </c>
      <c r="BK98" s="992">
        <f>SUM('Defect (Total)'!BK98,Planned!CQ98,Reconductor!CQ98,CTGS!CQ98,'Substation 2025$'!CQ98*$BL$1,Comms!CM98*$BL$2)</f>
        <v>7770.5492214380001</v>
      </c>
      <c r="BL98" s="992">
        <f>SUM('Defect (Total)'!BL98,Planned!CR98,Reconductor!CR98,CTGS!CR98,'Substation 2025$'!CR98*$BL$1,Comms!CN98*$BL$2)</f>
        <v>7770.5492214380001</v>
      </c>
      <c r="BM98" s="524">
        <f>SUM('Defect (Total)'!BM98,Planned!CS98,Reconductor!CS98,CTGS!CS98,'Substation 2025$'!CS98*$BL$1,Comms!CO98*$BL$2)</f>
        <v>7770.5492214380001</v>
      </c>
      <c r="BN98" s="416">
        <f>SUM('Defect (Total)'!BN98,Planned!CT98,Reconductor!CT98,CTGS!CT98,'Substation 2025$'!CT98*$BL$1,Comms!CP98*$BL$2)</f>
        <v>6243.6362994254332</v>
      </c>
      <c r="BO98" s="97">
        <f>SUM('Defect (Total)'!BO98,Planned!CU98,Reconductor!CU98,CTGS!CU98,'Substation 2025$'!CU98*$BL$1,Comms!CQ98*$BL$2)</f>
        <v>6243.6362994254332</v>
      </c>
      <c r="BP98" s="97">
        <f>SUM('Defect (Total)'!BP98,Planned!CV98,Reconductor!CV98,CTGS!CV98,'Substation 2025$'!CV98*$BL$1,Comms!CR98*$BL$2)</f>
        <v>6243.6362994254332</v>
      </c>
      <c r="BQ98" s="97">
        <f>SUM('Defect (Total)'!BQ98,Planned!CW98,Reconductor!CW98,CTGS!CW98,'Substation 2025$'!CW98*$BL$1,Comms!CS98*$BL$2)</f>
        <v>6243.6362994254332</v>
      </c>
      <c r="BR98" s="98">
        <f>SUM('Defect (Total)'!BR98,Planned!CX98,Reconductor!CX98,CTGS!CX98,'Substation 2025$'!CX98*$BL$1,Comms!CT98*$BL$2)</f>
        <v>6243.6362994254332</v>
      </c>
      <c r="BS98" s="836">
        <f>'Unit Cost Rate Summary'!AO98</f>
        <v>78.546066959326467</v>
      </c>
      <c r="BT98" s="840">
        <f t="shared" si="49"/>
        <v>50755.556900855401</v>
      </c>
      <c r="BU98" s="832">
        <f t="shared" si="50"/>
        <v>253777.78450427702</v>
      </c>
      <c r="BV98" t="s">
        <v>639</v>
      </c>
      <c r="CI98" s="416">
        <f>VLOOKUP($A98,'Distribution Summary'!$A$136:$CG$146,CI$1,0)*BN98</f>
        <v>7123.6436119585251</v>
      </c>
      <c r="CJ98" s="97">
        <f>VLOOKUP($A98,'Distribution Summary'!$A$136:$CG$146,CJ$1,0)*BO98</f>
        <v>7150.4696967352274</v>
      </c>
      <c r="CK98" s="97">
        <f>VLOOKUP($A98,'Distribution Summary'!$A$136:$CG$146,CK$1,0)*BP98</f>
        <v>7179.3806701941348</v>
      </c>
      <c r="CL98" s="97">
        <f>VLOOKUP($A98,'Distribution Summary'!$A$136:$CG$146,CL$1,0)*BQ98</f>
        <v>7214.2700552155729</v>
      </c>
      <c r="CM98" s="98">
        <f>VLOOKUP($A98,'Distribution Summary'!$A$136:$CG$146,CM$1,0)*BR98</f>
        <v>7255.305802385742</v>
      </c>
    </row>
    <row r="99" spans="1:91" x14ac:dyDescent="0.25">
      <c r="A99" s="81" t="s">
        <v>196</v>
      </c>
      <c r="B99" s="82" t="s">
        <v>201</v>
      </c>
      <c r="C99" s="83" t="s">
        <v>390</v>
      </c>
      <c r="D99" s="84">
        <f>SUM('Defect (Total)'!D99,Planned!D99,Reconductor!D99,CTGS!D99)</f>
        <v>1927720</v>
      </c>
      <c r="E99" s="85">
        <f>SUM('Defect (Total)'!E99,Planned!E99,Reconductor!E99,CTGS!E99)</f>
        <v>3341057</v>
      </c>
      <c r="F99" s="85">
        <f>SUM('Defect (Total)'!F99,Planned!F99,Reconductor!F99,CTGS!F99)</f>
        <v>4938430</v>
      </c>
      <c r="G99" s="85">
        <f>SUM('Defect (Total)'!G99,Planned!G99,Reconductor!G99,CTGS!G99)</f>
        <v>3589486.1107919114</v>
      </c>
      <c r="H99" s="85">
        <f>SUM('Defect (Total)'!H99,Planned!H99,Reconductor!H99,CTGS!H99)</f>
        <v>4263595.9559755251</v>
      </c>
      <c r="I99" s="85">
        <f>SUM('Defect (Total)'!I99,Planned!I99,Reconductor!I99,CTGS!I99)</f>
        <v>5087953.1400068859</v>
      </c>
      <c r="J99" s="85">
        <f>SUM('Defect (Total)'!J99,Planned!J99,Reconductor!J99,CTGS!J99)</f>
        <v>7135347.7413419923</v>
      </c>
      <c r="K99" s="85">
        <f>SUM('Defect (Total)'!K99,Planned!K99,Reconductor!K99,CTGS!K99)</f>
        <v>6251305.9239517888</v>
      </c>
      <c r="L99" s="85">
        <f>SUM('Defect (Total)'!L99,Planned!L99,Reconductor!L99,CTGS!L99)</f>
        <v>6479710.6673518447</v>
      </c>
      <c r="M99" s="85">
        <f>SUM('Defect (Total)'!M99,Planned!M99,Reconductor!M99,CTGS!M99)</f>
        <v>9296828.6215838734</v>
      </c>
      <c r="N99" s="85">
        <f>SUM('Defect (Total)'!N99,Planned!N99,Reconductor!N99,CTGS!N99)</f>
        <v>10680511.956582388</v>
      </c>
      <c r="O99" s="560">
        <f>SUM('Defect (Total)'!O99,Planned!O99,Reconductor!O99,CTGS!O99)</f>
        <v>2593663.0556609021</v>
      </c>
      <c r="P99" s="561">
        <f>SUM('Defect (Total)'!P99,Planned!P99,Reconductor!P99,CTGS!P99)</f>
        <v>4428340.2627299083</v>
      </c>
      <c r="Q99" s="561">
        <f>SUM('Defect (Total)'!Q99,Planned!Q99,Reconductor!Q99,CTGS!Q99)</f>
        <v>6479248.5447849333</v>
      </c>
      <c r="R99" s="561">
        <f>SUM('Defect (Total)'!R99,Planned!R99,Reconductor!R99,CTGS!R99)</f>
        <v>4620087.6964109307</v>
      </c>
      <c r="S99" s="561">
        <f>SUM('Defect (Total)'!S99,Planned!S99,Reconductor!S99,CTGS!S99)</f>
        <v>5376048.2890973613</v>
      </c>
      <c r="T99" s="561">
        <f>SUM('Defect (Total)'!T99,Planned!T99,Reconductor!T99,CTGS!T99)</f>
        <v>6314904.3620105544</v>
      </c>
      <c r="U99" s="561">
        <f>SUM('Defect (Total)'!U99,Planned!U99,Reconductor!U99,CTGS!U99)</f>
        <v>8886989.8008008134</v>
      </c>
      <c r="V99" s="561">
        <f>SUM('Defect (Total)'!V99,Planned!V99,Reconductor!V99,CTGS!V99)</f>
        <v>7497558.7063436359</v>
      </c>
      <c r="W99" s="561">
        <f>SUM('Defect (Total)'!W99,Planned!W99,Reconductor!W99,CTGS!W99)</f>
        <v>7321601.5513052465</v>
      </c>
      <c r="X99" s="561">
        <f>SUM('Defect (Total)'!X99,Planned!X99,Reconductor!X99,CTGS!X99)</f>
        <v>9886813.9756290801</v>
      </c>
      <c r="Y99" s="561">
        <f>SUM('Defect (Total)'!Y99,Planned!Y99,Reconductor!Y99,CTGS!Y99)</f>
        <v>10974209.793705119</v>
      </c>
      <c r="Z99" s="86">
        <f>SUM('Defect (Total)'!Z99,Planned!Z99,Reconductor!Z99,CTGS!Z99)</f>
        <v>497</v>
      </c>
      <c r="AA99" s="87">
        <f>SUM('Defect (Total)'!AA99,Planned!AA99,Reconductor!AA99,CTGS!AA99)</f>
        <v>668</v>
      </c>
      <c r="AB99" s="87">
        <f>SUM('Defect (Total)'!AB99,Planned!AB99,Reconductor!AB99,CTGS!AB99)</f>
        <v>621</v>
      </c>
      <c r="AC99" s="87">
        <f>SUM('Defect (Total)'!AC99,Planned!AC99,Reconductor!AC99,CTGS!AC99)</f>
        <v>642</v>
      </c>
      <c r="AD99" s="87">
        <f>SUM('Defect (Total)'!AD99,Planned!AD99,Reconductor!AD99,CTGS!AD99)</f>
        <v>854</v>
      </c>
      <c r="AE99" s="87">
        <f>SUM('Defect (Total)'!AE99,Planned!AE99,Reconductor!AE99,CTGS!AE99)</f>
        <v>1147</v>
      </c>
      <c r="AF99" s="87">
        <f>SUM('Defect (Total)'!AF99,Planned!AF99,Reconductor!AF99,CTGS!AF99)</f>
        <v>1122</v>
      </c>
      <c r="AG99" s="87">
        <f>SUM('Defect (Total)'!AG99,Planned!AG99,Reconductor!AG99,CTGS!AG99)</f>
        <v>1155</v>
      </c>
      <c r="AH99" s="87">
        <f>SUM('Defect (Total)'!AH99,Planned!AH99,Reconductor!AH99,CTGS!AH99)</f>
        <v>1337</v>
      </c>
      <c r="AI99" s="87">
        <f>SUM('Defect (Total)'!AI99,Planned!AI99,Reconductor!AI99,CTGS!AI99)</f>
        <v>1576</v>
      </c>
      <c r="AJ99" s="87">
        <f>SUM('Defect (Total)'!AJ99,Planned!AJ99,Reconductor!AJ99,CTGS!AJ99)</f>
        <v>1460.000999999</v>
      </c>
      <c r="AK99" s="88">
        <f t="shared" si="51"/>
        <v>1267.4000000000001</v>
      </c>
      <c r="AL99" s="89">
        <f t="shared" si="52"/>
        <v>1356</v>
      </c>
      <c r="AM99" s="90">
        <f t="shared" si="53"/>
        <v>1576</v>
      </c>
      <c r="AN99" s="91">
        <f t="shared" si="35"/>
        <v>3878.712273641851</v>
      </c>
      <c r="AO99" s="92">
        <f t="shared" si="36"/>
        <v>5001.5823353293417</v>
      </c>
      <c r="AP99" s="92">
        <f t="shared" si="37"/>
        <v>7952.3832528180355</v>
      </c>
      <c r="AQ99" s="92">
        <f t="shared" si="38"/>
        <v>5591.0998610465913</v>
      </c>
      <c r="AR99" s="92">
        <f t="shared" si="39"/>
        <v>4992.5011194092804</v>
      </c>
      <c r="AS99" s="92">
        <f t="shared" si="40"/>
        <v>4435.8789363617143</v>
      </c>
      <c r="AT99" s="92">
        <f t="shared" si="41"/>
        <v>6359.4899655454474</v>
      </c>
      <c r="AU99" s="92">
        <f t="shared" si="42"/>
        <v>5412.3860813435404</v>
      </c>
      <c r="AV99" s="92">
        <f t="shared" si="43"/>
        <v>4846.4552485802878</v>
      </c>
      <c r="AW99" s="92">
        <f t="shared" si="44"/>
        <v>5899.0029324770767</v>
      </c>
      <c r="AX99" s="92">
        <f t="shared" si="45"/>
        <v>7315.414137791483</v>
      </c>
      <c r="AY99" s="93">
        <f t="shared" si="46"/>
        <v>5203.5464699248514</v>
      </c>
      <c r="AZ99" s="94">
        <f t="shared" si="47"/>
        <v>5497.0570925970187</v>
      </c>
      <c r="BA99" s="95">
        <f t="shared" si="48"/>
        <v>4846.4552485802878</v>
      </c>
      <c r="BB99" s="689">
        <f>SUM('Defect (Total)'!BB99,Planned!CE99,Reconductor!CE99,CTGS!CE99,'Substation 2025$'!CE99*$BL$1,Comms!CA99*$BL$2)</f>
        <v>1372.2</v>
      </c>
      <c r="BC99" s="689">
        <f>SUM('Defect (Total)'!BC99,Planned!CF99,Reconductor!CF99,CTGS!CF99,'Substation 2025$'!CF99*$BL$1,Comms!CB99*$BL$2)</f>
        <v>1288.5158077008812</v>
      </c>
      <c r="BD99" s="96">
        <f>SUM('Defect (Total)'!BD99,Planned!CG99,Reconductor!CG99,CTGS!CG99,'Substation 2025$'!CG99*$BL$1,Comms!CC99*$BL$2)</f>
        <v>1288.5158077008812</v>
      </c>
      <c r="BE99" s="96">
        <f>SUM('Defect (Total)'!BE99,Planned!CH99,Reconductor!CH99,CTGS!CH99,'Substation 2025$'!CH99*$BL$1,Comms!CD99*$BL$2)</f>
        <v>637.47326195690448</v>
      </c>
      <c r="BF99" s="96">
        <f>SUM('Defect (Total)'!BF99,Planned!CI99,Reconductor!CI99,CTGS!CI99,'Substation 2025$'!CI99*$BL$1,Comms!CE99*$BL$2)</f>
        <v>643.15704403460745</v>
      </c>
      <c r="BG99" s="96">
        <f>SUM('Defect (Total)'!BG99,Planned!CJ99,Reconductor!CJ99,CTGS!CJ99,'Substation 2025$'!CJ99*$BL$1,Comms!CF99*$BL$2)</f>
        <v>646.94623208640928</v>
      </c>
      <c r="BH99" s="96">
        <f>SUM('Defect (Total)'!BH99,Planned!CK99,Reconductor!CK99,CTGS!CK99,'Substation 2025$'!CK99*$BL$1,Comms!CG99*$BL$2)</f>
        <v>650.73542013821134</v>
      </c>
      <c r="BI99" s="286">
        <f>SUM('Defect (Total)'!BI99,Planned!CL99,Reconductor!CL99,CTGS!CL99,'Substation 2025$'!CL99*$BL$1,Comms!CH99*$BL$2)</f>
        <v>652.63001416411225</v>
      </c>
      <c r="BJ99" s="99">
        <f t="shared" si="54"/>
        <v>5074.9581682561038</v>
      </c>
      <c r="BK99" s="992">
        <f>SUM('Defect (Total)'!BK99,Planned!CQ99,Reconductor!CQ99,CTGS!CQ99,'Substation 2025$'!CQ99*$BL$1,Comms!CM99*$BL$2)</f>
        <v>6931020.7235490112</v>
      </c>
      <c r="BL99" s="992">
        <f>SUM('Defect (Total)'!BL99,Planned!CR99,Reconductor!CR99,CTGS!CR99,'Substation 2025$'!CR99*$BL$1,Comms!CN99*$BL$2)</f>
        <v>6613871.0617912924</v>
      </c>
      <c r="BM99" s="524">
        <f>SUM('Defect (Total)'!BM99,Planned!CS99,Reconductor!CS99,CTGS!CS99,'Substation 2025$'!CS99*$BL$1,Comms!CO99*$BL$2)</f>
        <v>6613871.0617912924</v>
      </c>
      <c r="BN99" s="416">
        <f>SUM('Defect (Total)'!BN99,Planned!CT99,Reconductor!CT99,CTGS!CT99,'Substation 2025$'!CT99*$BL$1,Comms!CP99*$BL$2)</f>
        <v>3246350.1168664051</v>
      </c>
      <c r="BO99" s="97">
        <f>SUM('Defect (Total)'!BO99,Planned!CU99,Reconductor!CU99,CTGS!CU99,'Substation 2025$'!CU99*$BL$1,Comms!CQ99*$BL$2)</f>
        <v>3267890.7389830034</v>
      </c>
      <c r="BP99" s="97">
        <f>SUM('Defect (Total)'!BP99,Planned!CV99,Reconductor!CV99,CTGS!CV99,'Substation 2025$'!CV99*$BL$1,Comms!CR99*$BL$2)</f>
        <v>3282251.153727402</v>
      </c>
      <c r="BQ99" s="97">
        <f>SUM('Defect (Total)'!BQ99,Planned!CW99,Reconductor!CW99,CTGS!CW99,'Substation 2025$'!CW99*$BL$1,Comms!CS99*$BL$2)</f>
        <v>3296611.5684718005</v>
      </c>
      <c r="BR99" s="98">
        <f>SUM('Defect (Total)'!BR99,Planned!CX99,Reconductor!CX99,CTGS!CX99,'Substation 2025$'!CX99*$BL$1,Comms!CT99*$BL$2)</f>
        <v>3303791.7758440003</v>
      </c>
      <c r="BS99" s="836">
        <f>'Unit Cost Rate Summary'!AO99</f>
        <v>17.056781959663503</v>
      </c>
      <c r="BT99" s="840">
        <f t="shared" si="49"/>
        <v>658.6870284164072</v>
      </c>
      <c r="BU99" s="832">
        <f t="shared" si="50"/>
        <v>3293.4351420820362</v>
      </c>
      <c r="BV99" t="s">
        <v>639</v>
      </c>
      <c r="CI99" s="416">
        <f>VLOOKUP($A99,'Distribution Summary'!$A$136:$CG$146,CI$1,0)*BN99</f>
        <v>3703905.8912391039</v>
      </c>
      <c r="CJ99" s="97">
        <f>VLOOKUP($A99,'Distribution Summary'!$A$136:$CG$146,CJ$1,0)*BO99</f>
        <v>3742523.1997401873</v>
      </c>
      <c r="CK99" s="97">
        <f>VLOOKUP($A99,'Distribution Summary'!$A$136:$CG$146,CK$1,0)*BP99</f>
        <v>3774167.7057584887</v>
      </c>
      <c r="CL99" s="97">
        <f>VLOOKUP($A99,'Distribution Summary'!$A$136:$CG$146,CL$1,0)*BQ99</f>
        <v>3809101.7768430775</v>
      </c>
      <c r="CM99" s="98">
        <f>VLOOKUP($A99,'Distribution Summary'!$A$136:$CG$146,CM$1,0)*BR99</f>
        <v>3839112.09616119</v>
      </c>
    </row>
    <row r="100" spans="1:91" x14ac:dyDescent="0.25">
      <c r="A100" s="81" t="s">
        <v>196</v>
      </c>
      <c r="B100" s="82" t="s">
        <v>203</v>
      </c>
      <c r="C100" s="83" t="s">
        <v>391</v>
      </c>
      <c r="D100" s="84">
        <f>SUM('Defect (Total)'!D100,Planned!D100,Reconductor!D100,CTGS!D100)</f>
        <v>408973</v>
      </c>
      <c r="E100" s="85">
        <f>SUM('Defect (Total)'!E100,Planned!E100,Reconductor!E100,CTGS!E100)</f>
        <v>781179</v>
      </c>
      <c r="F100" s="85">
        <f>SUM('Defect (Total)'!F100,Planned!F100,Reconductor!F100,CTGS!F100)</f>
        <v>966856</v>
      </c>
      <c r="G100" s="85">
        <f>SUM('Defect (Total)'!G100,Planned!G100,Reconductor!G100,CTGS!G100)</f>
        <v>578299</v>
      </c>
      <c r="H100" s="85">
        <f>SUM('Defect (Total)'!H100,Planned!H100,Reconductor!H100,CTGS!H100)</f>
        <v>754406</v>
      </c>
      <c r="I100" s="85">
        <f>SUM('Defect (Total)'!I100,Planned!I100,Reconductor!I100,CTGS!I100)</f>
        <v>736071.574462877</v>
      </c>
      <c r="J100" s="85">
        <f>SUM('Defect (Total)'!J100,Planned!J100,Reconductor!J100,CTGS!J100)</f>
        <v>1806543.8950696508</v>
      </c>
      <c r="K100" s="85">
        <f>SUM('Defect (Total)'!K100,Planned!K100,Reconductor!K100,CTGS!K100)</f>
        <v>1089619.2208482549</v>
      </c>
      <c r="L100" s="85">
        <f>SUM('Defect (Total)'!L100,Planned!L100,Reconductor!L100,CTGS!L100)</f>
        <v>1175358.6228021632</v>
      </c>
      <c r="M100" s="85">
        <f>SUM('Defect (Total)'!M100,Planned!M100,Reconductor!M100,CTGS!M100)</f>
        <v>1184392.55431418</v>
      </c>
      <c r="N100" s="85">
        <f>SUM('Defect (Total)'!N100,Planned!N100,Reconductor!N100,CTGS!N100)</f>
        <v>521024.84499668929</v>
      </c>
      <c r="O100" s="560">
        <f>SUM('Defect (Total)'!O100,Planned!O100,Reconductor!O100,CTGS!O100)</f>
        <v>550255.30723487132</v>
      </c>
      <c r="P100" s="561">
        <f>SUM('Defect (Total)'!P100,Planned!P100,Reconductor!P100,CTGS!P100)</f>
        <v>1035398.8028636108</v>
      </c>
      <c r="Q100" s="561">
        <f>SUM('Defect (Total)'!Q100,Planned!Q100,Reconductor!Q100,CTGS!Q100)</f>
        <v>1268520.6292316751</v>
      </c>
      <c r="R100" s="561">
        <f>SUM('Defect (Total)'!R100,Planned!R100,Reconductor!R100,CTGS!R100)</f>
        <v>744338.3292984229</v>
      </c>
      <c r="S100" s="561">
        <f>SUM('Defect (Total)'!S100,Planned!S100,Reconductor!S100,CTGS!S100)</f>
        <v>951244.70692411577</v>
      </c>
      <c r="T100" s="561">
        <f>SUM('Defect (Total)'!T100,Planned!T100,Reconductor!T100,CTGS!T100)</f>
        <v>913573.9792448848</v>
      </c>
      <c r="U100" s="561">
        <f>SUM('Defect (Total)'!U100,Planned!U100,Reconductor!U100,CTGS!U100)</f>
        <v>2250028.6954709012</v>
      </c>
      <c r="V100" s="561">
        <f>SUM('Defect (Total)'!V100,Planned!V100,Reconductor!V100,CTGS!V100)</f>
        <v>1306844.3898368401</v>
      </c>
      <c r="W100" s="561">
        <f>SUM('Defect (Total)'!W100,Planned!W100,Reconductor!W100,CTGS!W100)</f>
        <v>1328069.7175889877</v>
      </c>
      <c r="X100" s="561">
        <f>SUM('Defect (Total)'!X100,Planned!X100,Reconductor!X100,CTGS!X100)</f>
        <v>1259555.2026675399</v>
      </c>
      <c r="Y100" s="561">
        <f>SUM('Defect (Total)'!Y100,Planned!Y100,Reconductor!Y100,CTGS!Y100)</f>
        <v>535352.23591997055</v>
      </c>
      <c r="Z100" s="86">
        <f>SUM('Defect (Total)'!Z100,Planned!Z100,Reconductor!Z100,CTGS!Z100)</f>
        <v>25</v>
      </c>
      <c r="AA100" s="87">
        <f>SUM('Defect (Total)'!AA100,Planned!AA100,Reconductor!AA100,CTGS!AA100)</f>
        <v>50</v>
      </c>
      <c r="AB100" s="87">
        <f>SUM('Defect (Total)'!AB100,Planned!AB100,Reconductor!AB100,CTGS!AB100)</f>
        <v>47</v>
      </c>
      <c r="AC100" s="87">
        <f>SUM('Defect (Total)'!AC100,Planned!AC100,Reconductor!AC100,CTGS!AC100)</f>
        <v>32</v>
      </c>
      <c r="AD100" s="87">
        <f>SUM('Defect (Total)'!AD100,Planned!AD100,Reconductor!AD100,CTGS!AD100)</f>
        <v>42</v>
      </c>
      <c r="AE100" s="87">
        <f>SUM('Defect (Total)'!AE100,Planned!AE100,Reconductor!AE100,CTGS!AE100)</f>
        <v>40</v>
      </c>
      <c r="AF100" s="87">
        <f>SUM('Defect (Total)'!AF100,Planned!AF100,Reconductor!AF100,CTGS!AF100)</f>
        <v>23</v>
      </c>
      <c r="AG100" s="87">
        <f>SUM('Defect (Total)'!AG100,Planned!AG100,Reconductor!AG100,CTGS!AG100)</f>
        <v>48</v>
      </c>
      <c r="AH100" s="87">
        <f>SUM('Defect (Total)'!AH100,Planned!AH100,Reconductor!AH100,CTGS!AH100)</f>
        <v>55</v>
      </c>
      <c r="AI100" s="87">
        <f>SUM('Defect (Total)'!AI100,Planned!AI100,Reconductor!AI100,CTGS!AI100)</f>
        <v>47</v>
      </c>
      <c r="AJ100" s="87">
        <f>SUM('Defect (Total)'!AJ100,Planned!AJ100,Reconductor!AJ100,CTGS!AJ100)</f>
        <v>22</v>
      </c>
      <c r="AK100" s="88">
        <f t="shared" si="51"/>
        <v>42.6</v>
      </c>
      <c r="AL100" s="89">
        <f t="shared" si="52"/>
        <v>50</v>
      </c>
      <c r="AM100" s="90">
        <f t="shared" si="53"/>
        <v>47</v>
      </c>
      <c r="AN100" s="91">
        <f t="shared" si="35"/>
        <v>16358.92</v>
      </c>
      <c r="AO100" s="92">
        <f t="shared" si="36"/>
        <v>15623.58</v>
      </c>
      <c r="AP100" s="92">
        <f t="shared" si="37"/>
        <v>20571.40425531915</v>
      </c>
      <c r="AQ100" s="92">
        <f t="shared" si="38"/>
        <v>18071.84375</v>
      </c>
      <c r="AR100" s="92">
        <f t="shared" si="39"/>
        <v>17962.047619047618</v>
      </c>
      <c r="AS100" s="92">
        <f t="shared" si="40"/>
        <v>18401.789361571926</v>
      </c>
      <c r="AT100" s="92">
        <f t="shared" si="41"/>
        <v>78545.386742158735</v>
      </c>
      <c r="AU100" s="92">
        <f t="shared" si="42"/>
        <v>22700.400434338644</v>
      </c>
      <c r="AV100" s="92">
        <f t="shared" si="43"/>
        <v>21370.15677822115</v>
      </c>
      <c r="AW100" s="92">
        <f t="shared" si="44"/>
        <v>25199.841581152767</v>
      </c>
      <c r="AX100" s="92">
        <f t="shared" si="45"/>
        <v>23682.947499849513</v>
      </c>
      <c r="AY100" s="93">
        <f t="shared" si="46"/>
        <v>26740.381313379548</v>
      </c>
      <c r="AZ100" s="94">
        <f t="shared" si="47"/>
        <v>32313.66459301642</v>
      </c>
      <c r="BA100" s="95">
        <f t="shared" si="48"/>
        <v>21370.15677822115</v>
      </c>
      <c r="BB100" s="689">
        <f>SUM('Defect (Total)'!BB100,Planned!CE100,Reconductor!CE100,CTGS!CE100,'Substation 2025$'!CE100*$BL$1,Comms!CA100*$BL$2)</f>
        <v>47.199999999999996</v>
      </c>
      <c r="BC100" s="689">
        <f>SUM('Defect (Total)'!BC100,Planned!CF100,Reconductor!CF100,CTGS!CF100,'Substation 2025$'!CF100*$BL$1,Comms!CB100*$BL$2)</f>
        <v>45.86666666666666</v>
      </c>
      <c r="BD100" s="96">
        <f>SUM('Defect (Total)'!BD100,Planned!CG100,Reconductor!CG100,CTGS!CG100,'Substation 2025$'!CG100*$BL$1,Comms!CC100*$BL$2)</f>
        <v>45.86666666666666</v>
      </c>
      <c r="BE100" s="96">
        <f>SUM('Defect (Total)'!BE100,Planned!CH100,Reconductor!CH100,CTGS!CH100,'Substation 2025$'!CH100*$BL$1,Comms!CD100*$BL$2)</f>
        <v>38.617309523806668</v>
      </c>
      <c r="BF100" s="96">
        <f>SUM('Defect (Total)'!BF100,Planned!CI100,Reconductor!CI100,CTGS!CI100,'Substation 2025$'!CI100*$BL$1,Comms!CE100*$BL$2)</f>
        <v>38.617309523806668</v>
      </c>
      <c r="BG100" s="96">
        <f>SUM('Defect (Total)'!BG100,Planned!CJ100,Reconductor!CJ100,CTGS!CJ100,'Substation 2025$'!CJ100*$BL$1,Comms!CF100*$BL$2)</f>
        <v>38.617309523806668</v>
      </c>
      <c r="BH100" s="96">
        <f>SUM('Defect (Total)'!BH100,Planned!CK100,Reconductor!CK100,CTGS!CK100,'Substation 2025$'!CK100*$BL$1,Comms!CG100*$BL$2)</f>
        <v>38.617309523806668</v>
      </c>
      <c r="BI100" s="286">
        <f>SUM('Defect (Total)'!BI100,Planned!CL100,Reconductor!CL100,CTGS!CL100,'Substation 2025$'!CL100*$BL$1,Comms!CH100*$BL$2)</f>
        <v>38.617309523806668</v>
      </c>
      <c r="BJ100" s="99">
        <f t="shared" si="54"/>
        <v>21563.182520011265</v>
      </c>
      <c r="BK100" s="992">
        <f>SUM('Defect (Total)'!BK100,Planned!CQ100,Reconductor!CQ100,CTGS!CQ100,'Substation 2025$'!CQ100*$BL$1,Comms!CM100*$BL$2)</f>
        <v>1053649.2038147799</v>
      </c>
      <c r="BL100" s="992">
        <f>SUM('Defect (Total)'!BL100,Planned!CR100,Reconductor!CR100,CTGS!CR100,'Substation 2025$'!CR100*$BL$1,Comms!CN100*$BL$2)</f>
        <v>956746.87455504329</v>
      </c>
      <c r="BM100" s="524">
        <f>SUM('Defect (Total)'!BM100,Planned!CS100,Reconductor!CS100,CTGS!CS100,'Substation 2025$'!CS100*$BL$1,Comms!CO100*$BL$2)</f>
        <v>956746.87455504329</v>
      </c>
      <c r="BN100" s="416">
        <f>SUM('Defect (Total)'!BN100,Planned!CT100,Reconductor!CT100,CTGS!CT100,'Substation 2025$'!CT100*$BL$1,Comms!CP100*$BL$2)</f>
        <v>832712.09369361261</v>
      </c>
      <c r="BO100" s="97">
        <f>SUM('Defect (Total)'!BO100,Planned!CU100,Reconductor!CU100,CTGS!CU100,'Substation 2025$'!CU100*$BL$1,Comms!CQ100*$BL$2)</f>
        <v>832712.09369361261</v>
      </c>
      <c r="BP100" s="97">
        <f>SUM('Defect (Total)'!BP100,Planned!CV100,Reconductor!CV100,CTGS!CV100,'Substation 2025$'!CV100*$BL$1,Comms!CR100*$BL$2)</f>
        <v>832712.09369361261</v>
      </c>
      <c r="BQ100" s="97">
        <f>SUM('Defect (Total)'!BQ100,Planned!CW100,Reconductor!CW100,CTGS!CW100,'Substation 2025$'!CW100*$BL$1,Comms!CS100*$BL$2)</f>
        <v>832712.09369361261</v>
      </c>
      <c r="BR100" s="98">
        <f>SUM('Defect (Total)'!BR100,Planned!CX100,Reconductor!CX100,CTGS!CX100,'Substation 2025$'!CX100*$BL$1,Comms!CT100*$BL$2)</f>
        <v>832712.09369361261</v>
      </c>
      <c r="BS100" s="836">
        <f>'Unit Cost Rate Summary'!AO100</f>
        <v>72.654803403954247</v>
      </c>
      <c r="BT100" s="840">
        <f t="shared" si="49"/>
        <v>972.24411896757124</v>
      </c>
      <c r="BU100" s="832">
        <f t="shared" si="50"/>
        <v>4861.220594837856</v>
      </c>
      <c r="BV100" t="s">
        <v>639</v>
      </c>
      <c r="CI100" s="416">
        <f>VLOOKUP($A100,'Distribution Summary'!$A$136:$CG$146,CI$1,0)*BN100</f>
        <v>950078.43224099965</v>
      </c>
      <c r="CJ100" s="97">
        <f>VLOOKUP($A100,'Distribution Summary'!$A$136:$CG$146,CJ$1,0)*BO100</f>
        <v>953656.21995135455</v>
      </c>
      <c r="CK100" s="97">
        <f>VLOOKUP($A100,'Distribution Summary'!$A$136:$CG$146,CK$1,0)*BP100</f>
        <v>957512.06870441267</v>
      </c>
      <c r="CL100" s="97">
        <f>VLOOKUP($A100,'Distribution Summary'!$A$136:$CG$146,CL$1,0)*BQ100</f>
        <v>962165.25659935095</v>
      </c>
      <c r="CM100" s="98">
        <f>VLOOKUP($A100,'Distribution Summary'!$A$136:$CG$146,CM$1,0)*BR100</f>
        <v>967638.18316067196</v>
      </c>
    </row>
    <row r="101" spans="1:91" x14ac:dyDescent="0.25">
      <c r="A101" s="81" t="s">
        <v>196</v>
      </c>
      <c r="B101" s="82" t="s">
        <v>205</v>
      </c>
      <c r="C101" s="83" t="s">
        <v>206</v>
      </c>
      <c r="D101" s="84">
        <f>SUM('Defect (Total)'!D101,Planned!D101,Reconductor!D101,CTGS!D101)</f>
        <v>36149</v>
      </c>
      <c r="E101" s="85">
        <f>SUM('Defect (Total)'!E101,Planned!E101,Reconductor!E101,CTGS!E101)</f>
        <v>21796</v>
      </c>
      <c r="F101" s="85">
        <f>SUM('Defect (Total)'!F101,Planned!F101,Reconductor!F101,CTGS!F101)</f>
        <v>181589</v>
      </c>
      <c r="G101" s="85">
        <f>SUM('Defect (Total)'!G101,Planned!G101,Reconductor!G101,CTGS!G101)</f>
        <v>362603.49423200655</v>
      </c>
      <c r="H101" s="85">
        <f>SUM('Defect (Total)'!H101,Planned!H101,Reconductor!H101,CTGS!H101)</f>
        <v>83026</v>
      </c>
      <c r="I101" s="85">
        <f>SUM('Defect (Total)'!I101,Planned!I101,Reconductor!I101,CTGS!I101)</f>
        <v>112441.8481748459</v>
      </c>
      <c r="J101" s="85">
        <f>SUM('Defect (Total)'!J101,Planned!J101,Reconductor!J101,CTGS!J101)</f>
        <v>608415.03429043898</v>
      </c>
      <c r="K101" s="85">
        <f>SUM('Defect (Total)'!K101,Planned!K101,Reconductor!K101,CTGS!K101)</f>
        <v>67015.694254380011</v>
      </c>
      <c r="L101" s="85">
        <f>SUM('Defect (Total)'!L101,Planned!L101,Reconductor!L101,CTGS!L101)</f>
        <v>584176.28519701248</v>
      </c>
      <c r="M101" s="85">
        <f>SUM('Defect (Total)'!M101,Planned!M101,Reconductor!M101,CTGS!M101)</f>
        <v>182061.47302960342</v>
      </c>
      <c r="N101" s="85">
        <f>SUM('Defect (Total)'!N101,Planned!N101,Reconductor!N101,CTGS!N101)</f>
        <v>401430.88003524259</v>
      </c>
      <c r="O101" s="560">
        <f>SUM('Defect (Total)'!O101,Planned!O101,Reconductor!O101,CTGS!O101)</f>
        <v>48636.90048299855</v>
      </c>
      <c r="P101" s="561">
        <f>SUM('Defect (Total)'!P101,Planned!P101,Reconductor!P101,CTGS!P101)</f>
        <v>28889.092393952291</v>
      </c>
      <c r="Q101" s="561">
        <f>SUM('Defect (Total)'!Q101,Planned!Q101,Reconductor!Q101,CTGS!Q101)</f>
        <v>238245.81172537652</v>
      </c>
      <c r="R101" s="561">
        <f>SUM('Defect (Total)'!R101,Planned!R101,Reconductor!R101,CTGS!R101)</f>
        <v>466713.03096568055</v>
      </c>
      <c r="S101" s="561">
        <f>SUM('Defect (Total)'!S101,Planned!S101,Reconductor!S101,CTGS!S101)</f>
        <v>104689.04414477303</v>
      </c>
      <c r="T101" s="561">
        <f>SUM('Defect (Total)'!T101,Planned!T101,Reconductor!T101,CTGS!T101)</f>
        <v>139557.0080881094</v>
      </c>
      <c r="U101" s="561">
        <f>SUM('Defect (Total)'!U101,Planned!U101,Reconductor!U101,CTGS!U101)</f>
        <v>757773.60829453892</v>
      </c>
      <c r="V101" s="561">
        <f>SUM('Defect (Total)'!V101,Planned!V101,Reconductor!V101,CTGS!V101)</f>
        <v>80375.861944852863</v>
      </c>
      <c r="W101" s="561">
        <f>SUM('Defect (Total)'!W101,Planned!W101,Reconductor!W101,CTGS!W101)</f>
        <v>660076.69408519566</v>
      </c>
      <c r="X101" s="561">
        <f>SUM('Defect (Total)'!X101,Planned!X101,Reconductor!X101,CTGS!X101)</f>
        <v>193615.26271375304</v>
      </c>
      <c r="Y101" s="561">
        <f>SUM('Defect (Total)'!Y101,Planned!Y101,Reconductor!Y101,CTGS!Y101)</f>
        <v>412469.61878670903</v>
      </c>
      <c r="Z101" s="86">
        <f>SUM('Defect (Total)'!Z101,Planned!Z101,Reconductor!Z101,CTGS!Z101)</f>
        <v>3</v>
      </c>
      <c r="AA101" s="87">
        <f>SUM('Defect (Total)'!AA101,Planned!AA101,Reconductor!AA101,CTGS!AA101)</f>
        <v>8</v>
      </c>
      <c r="AB101" s="87">
        <f>SUM('Defect (Total)'!AB101,Planned!AB101,Reconductor!AB101,CTGS!AB101)</f>
        <v>44</v>
      </c>
      <c r="AC101" s="87">
        <f>SUM('Defect (Total)'!AC101,Planned!AC101,Reconductor!AC101,CTGS!AC101)</f>
        <v>34</v>
      </c>
      <c r="AD101" s="87">
        <f>SUM('Defect (Total)'!AD101,Planned!AD101,Reconductor!AD101,CTGS!AD101)</f>
        <v>20</v>
      </c>
      <c r="AE101" s="87">
        <f>SUM('Defect (Total)'!AE101,Planned!AE101,Reconductor!AE101,CTGS!AE101)</f>
        <v>25</v>
      </c>
      <c r="AF101" s="87">
        <f>SUM('Defect (Total)'!AF101,Planned!AF101,Reconductor!AF101,CTGS!AF101)</f>
        <v>34</v>
      </c>
      <c r="AG101" s="87">
        <f>SUM('Defect (Total)'!AG101,Planned!AG101,Reconductor!AG101,CTGS!AG101)</f>
        <v>19</v>
      </c>
      <c r="AH101" s="87">
        <f>SUM('Defect (Total)'!AH101,Planned!AH101,Reconductor!AH101,CTGS!AH101)</f>
        <v>43</v>
      </c>
      <c r="AI101" s="87">
        <f>SUM('Defect (Total)'!AI101,Planned!AI101,Reconductor!AI101,CTGS!AI101)</f>
        <v>39</v>
      </c>
      <c r="AJ101" s="87">
        <f>SUM('Defect (Total)'!AJ101,Planned!AJ101,Reconductor!AJ101,CTGS!AJ101)</f>
        <v>44</v>
      </c>
      <c r="AK101" s="88">
        <f t="shared" si="51"/>
        <v>32</v>
      </c>
      <c r="AL101" s="89">
        <f t="shared" si="52"/>
        <v>33.666666666666664</v>
      </c>
      <c r="AM101" s="90">
        <f t="shared" si="53"/>
        <v>39</v>
      </c>
      <c r="AN101" s="91">
        <f t="shared" si="35"/>
        <v>12049.666666666666</v>
      </c>
      <c r="AO101" s="92">
        <f t="shared" si="36"/>
        <v>2724.5</v>
      </c>
      <c r="AP101" s="92">
        <f t="shared" si="37"/>
        <v>4127.022727272727</v>
      </c>
      <c r="AQ101" s="92">
        <f t="shared" si="38"/>
        <v>10664.808653882545</v>
      </c>
      <c r="AR101" s="92">
        <f t="shared" si="39"/>
        <v>4151.3</v>
      </c>
      <c r="AS101" s="92">
        <f t="shared" si="40"/>
        <v>4497.6739269938362</v>
      </c>
      <c r="AT101" s="92">
        <f t="shared" si="41"/>
        <v>17894.559832071736</v>
      </c>
      <c r="AU101" s="92">
        <f t="shared" si="42"/>
        <v>3527.141802862106</v>
      </c>
      <c r="AV101" s="92">
        <f t="shared" si="43"/>
        <v>13585.495004581686</v>
      </c>
      <c r="AW101" s="92">
        <f t="shared" si="44"/>
        <v>4668.2428981949597</v>
      </c>
      <c r="AX101" s="92">
        <f t="shared" si="45"/>
        <v>9123.4290917100589</v>
      </c>
      <c r="AY101" s="93">
        <f t="shared" si="46"/>
        <v>10319.679871749486</v>
      </c>
      <c r="AZ101" s="94">
        <f t="shared" si="47"/>
        <v>13120.906393144076</v>
      </c>
      <c r="BA101" s="95">
        <f t="shared" si="48"/>
        <v>13585.495004581686</v>
      </c>
      <c r="BB101" s="689">
        <f>SUM('Defect (Total)'!BB101,Planned!CE101,Reconductor!CE101,CTGS!CE101,'Substation 2025$'!CE101*$BL$1,Comms!CA101*$BL$2)</f>
        <v>31.533333333333331</v>
      </c>
      <c r="BC101" s="689">
        <f>SUM('Defect (Total)'!BC101,Planned!CF101,Reconductor!CF101,CTGS!CF101,'Substation 2025$'!CF101*$BL$1,Comms!CB101*$BL$2)</f>
        <v>31.533333333333331</v>
      </c>
      <c r="BD101" s="96">
        <f>SUM('Defect (Total)'!BD101,Planned!CG101,Reconductor!CG101,CTGS!CG101,'Substation 2025$'!CG101*$BL$1,Comms!CC101*$BL$2)</f>
        <v>31.533333333333331</v>
      </c>
      <c r="BE101" s="96">
        <f>SUM('Defect (Total)'!BE101,Planned!CH101,Reconductor!CH101,CTGS!CH101,'Substation 2025$'!CH101*$BL$1,Comms!CD101*$BL$2)</f>
        <v>13.381690864428883</v>
      </c>
      <c r="BF101" s="96">
        <f>SUM('Defect (Total)'!BF101,Planned!CI101,Reconductor!CI101,CTGS!CI101,'Substation 2025$'!CI101*$BL$1,Comms!CE101*$BL$2)</f>
        <v>13.381690864428883</v>
      </c>
      <c r="BG101" s="96">
        <f>SUM('Defect (Total)'!BG101,Planned!CJ101,Reconductor!CJ101,CTGS!CJ101,'Substation 2025$'!CJ101*$BL$1,Comms!CF101*$BL$2)</f>
        <v>13.381690864428883</v>
      </c>
      <c r="BH101" s="96">
        <f>SUM('Defect (Total)'!BH101,Planned!CK101,Reconductor!CK101,CTGS!CK101,'Substation 2025$'!CK101*$BL$1,Comms!CG101*$BL$2)</f>
        <v>13.381690864428883</v>
      </c>
      <c r="BI101" s="286">
        <f>SUM('Defect (Total)'!BI101,Planned!CL101,Reconductor!CL101,CTGS!CL101,'Substation 2025$'!CL101*$BL$1,Comms!CH101*$BL$2)</f>
        <v>13.381690864428883</v>
      </c>
      <c r="BJ101" s="99">
        <f t="shared" si="54"/>
        <v>5441.0647339385387</v>
      </c>
      <c r="BK101" s="992">
        <f>SUM('Defect (Total)'!BK101,Planned!CQ101,Reconductor!CQ101,CTGS!CQ101,'Substation 2025$'!CQ101*$BL$1,Comms!CM101*$BL$2)</f>
        <v>258091.174556126</v>
      </c>
      <c r="BL101" s="992">
        <f>SUM('Defect (Total)'!BL101,Planned!CR101,Reconductor!CR101,CTGS!CR101,'Substation 2025$'!CR101*$BL$1,Comms!CN101*$BL$2)</f>
        <v>258091.174556126</v>
      </c>
      <c r="BM101" s="524">
        <f>SUM('Defect (Total)'!BM101,Planned!CS101,Reconductor!CS101,CTGS!CS101,'Substation 2025$'!CS101*$BL$1,Comms!CO101*$BL$2)</f>
        <v>258091.174556126</v>
      </c>
      <c r="BN101" s="416">
        <f>SUM('Defect (Total)'!BN101,Planned!CT101,Reconductor!CT101,CTGS!CT101,'Substation 2025$'!CT101*$BL$1,Comms!CP101*$BL$2)</f>
        <v>72810.64624291152</v>
      </c>
      <c r="BO101" s="97">
        <f>SUM('Defect (Total)'!BO101,Planned!CU101,Reconductor!CU101,CTGS!CU101,'Substation 2025$'!CU101*$BL$1,Comms!CQ101*$BL$2)</f>
        <v>72810.64624291152</v>
      </c>
      <c r="BP101" s="97">
        <f>SUM('Defect (Total)'!BP101,Planned!CV101,Reconductor!CV101,CTGS!CV101,'Substation 2025$'!CV101*$BL$1,Comms!CR101*$BL$2)</f>
        <v>72810.64624291152</v>
      </c>
      <c r="BQ101" s="97">
        <f>SUM('Defect (Total)'!BQ101,Planned!CW101,Reconductor!CW101,CTGS!CW101,'Substation 2025$'!CW101*$BL$1,Comms!CS101*$BL$2)</f>
        <v>72810.64624291152</v>
      </c>
      <c r="BR101" s="98">
        <f>SUM('Defect (Total)'!BR101,Planned!CX101,Reconductor!CX101,CTGS!CX101,'Substation 2025$'!CX101*$BL$1,Comms!CT101*$BL$2)</f>
        <v>72810.64624291152</v>
      </c>
      <c r="BS101" s="836">
        <f>'Unit Cost Rate Summary'!AO101</f>
        <v>18.333077141355414</v>
      </c>
      <c r="BT101" s="840">
        <f t="shared" si="49"/>
        <v>0</v>
      </c>
      <c r="BU101" s="832">
        <f t="shared" si="50"/>
        <v>0</v>
      </c>
      <c r="BV101" t="s">
        <v>639</v>
      </c>
      <c r="CI101" s="416">
        <f>VLOOKUP($A101,'Distribution Summary'!$A$136:$CG$146,CI$1,0)*BN101</f>
        <v>83072.919388116759</v>
      </c>
      <c r="CJ101" s="97">
        <f>VLOOKUP($A101,'Distribution Summary'!$A$136:$CG$146,CJ$1,0)*BO101</f>
        <v>83385.753844687933</v>
      </c>
      <c r="CK101" s="97">
        <f>VLOOKUP($A101,'Distribution Summary'!$A$136:$CG$146,CK$1,0)*BP101</f>
        <v>83722.901391422594</v>
      </c>
      <c r="CL101" s="97">
        <f>VLOOKUP($A101,'Distribution Summary'!$A$136:$CG$146,CL$1,0)*BQ101</f>
        <v>84129.76664567554</v>
      </c>
      <c r="CM101" s="98">
        <f>VLOOKUP($A101,'Distribution Summary'!$A$136:$CG$146,CM$1,0)*BR101</f>
        <v>84608.308176160848</v>
      </c>
    </row>
    <row r="102" spans="1:91" x14ac:dyDescent="0.25">
      <c r="A102" s="81" t="s">
        <v>196</v>
      </c>
      <c r="B102" s="82" t="s">
        <v>207</v>
      </c>
      <c r="C102" s="83" t="s">
        <v>208</v>
      </c>
      <c r="D102" s="84">
        <f>SUM('Defect (Total)'!D102,Planned!D102,Reconductor!D102,CTGS!D102)</f>
        <v>0</v>
      </c>
      <c r="E102" s="85">
        <f>SUM('Defect (Total)'!E102,Planned!E102,Reconductor!E102,CTGS!E102)</f>
        <v>0</v>
      </c>
      <c r="F102" s="85">
        <f>SUM('Defect (Total)'!F102,Planned!F102,Reconductor!F102,CTGS!F102)</f>
        <v>0</v>
      </c>
      <c r="G102" s="85">
        <f>SUM('Defect (Total)'!G102,Planned!G102,Reconductor!G102,CTGS!G102)</f>
        <v>0</v>
      </c>
      <c r="H102" s="85">
        <f>SUM('Defect (Total)'!H102,Planned!H102,Reconductor!H102,CTGS!H102)</f>
        <v>0</v>
      </c>
      <c r="I102" s="85">
        <f>SUM('Defect (Total)'!I102,Planned!I102,Reconductor!I102,CTGS!I102)</f>
        <v>0</v>
      </c>
      <c r="J102" s="85">
        <f>SUM('Defect (Total)'!J102,Planned!J102,Reconductor!J102,CTGS!J102)</f>
        <v>0</v>
      </c>
      <c r="K102" s="85">
        <f>SUM('Defect (Total)'!K102,Planned!K102,Reconductor!K102,CTGS!K102)</f>
        <v>0</v>
      </c>
      <c r="L102" s="85">
        <f>SUM('Defect (Total)'!L102,Planned!L102,Reconductor!L102,CTGS!L102)</f>
        <v>0</v>
      </c>
      <c r="M102" s="85">
        <f>SUM('Defect (Total)'!M102,Planned!M102,Reconductor!M102,CTGS!M102)</f>
        <v>0</v>
      </c>
      <c r="N102" s="85">
        <f>SUM('Defect (Total)'!N102,Planned!N102,Reconductor!N102,CTGS!N102)</f>
        <v>0</v>
      </c>
      <c r="O102" s="560">
        <f>SUM('Defect (Total)'!O102,Planned!O102,Reconductor!O102,CTGS!O102)</f>
        <v>0</v>
      </c>
      <c r="P102" s="561">
        <f>SUM('Defect (Total)'!P102,Planned!P102,Reconductor!P102,CTGS!P102)</f>
        <v>0</v>
      </c>
      <c r="Q102" s="561">
        <f>SUM('Defect (Total)'!Q102,Planned!Q102,Reconductor!Q102,CTGS!Q102)</f>
        <v>0</v>
      </c>
      <c r="R102" s="561">
        <f>SUM('Defect (Total)'!R102,Planned!R102,Reconductor!R102,CTGS!R102)</f>
        <v>0</v>
      </c>
      <c r="S102" s="561">
        <f>SUM('Defect (Total)'!S102,Planned!S102,Reconductor!S102,CTGS!S102)</f>
        <v>0</v>
      </c>
      <c r="T102" s="561">
        <f>SUM('Defect (Total)'!T102,Planned!T102,Reconductor!T102,CTGS!T102)</f>
        <v>0</v>
      </c>
      <c r="U102" s="561">
        <f>SUM('Defect (Total)'!U102,Planned!U102,Reconductor!U102,CTGS!U102)</f>
        <v>0</v>
      </c>
      <c r="V102" s="561">
        <f>SUM('Defect (Total)'!V102,Planned!V102,Reconductor!V102,CTGS!V102)</f>
        <v>0</v>
      </c>
      <c r="W102" s="561">
        <f>SUM('Defect (Total)'!W102,Planned!W102,Reconductor!W102,CTGS!W102)</f>
        <v>0</v>
      </c>
      <c r="X102" s="561">
        <f>SUM('Defect (Total)'!X102,Planned!X102,Reconductor!X102,CTGS!X102)</f>
        <v>0</v>
      </c>
      <c r="Y102" s="561">
        <f>SUM('Defect (Total)'!Y102,Planned!Y102,Reconductor!Y102,CTGS!Y102)</f>
        <v>0</v>
      </c>
      <c r="Z102" s="86">
        <f>SUM('Defect (Total)'!Z102,Planned!Z102,Reconductor!Z102,CTGS!Z102)</f>
        <v>0</v>
      </c>
      <c r="AA102" s="87">
        <f>SUM('Defect (Total)'!AA102,Planned!AA102,Reconductor!AA102,CTGS!AA102)</f>
        <v>-1</v>
      </c>
      <c r="AB102" s="87">
        <f>SUM('Defect (Total)'!AB102,Planned!AB102,Reconductor!AB102,CTGS!AB102)</f>
        <v>0</v>
      </c>
      <c r="AC102" s="87">
        <f>SUM('Defect (Total)'!AC102,Planned!AC102,Reconductor!AC102,CTGS!AC102)</f>
        <v>0</v>
      </c>
      <c r="AD102" s="87">
        <f>SUM('Defect (Total)'!AD102,Planned!AD102,Reconductor!AD102,CTGS!AD102)</f>
        <v>0</v>
      </c>
      <c r="AE102" s="87">
        <f>SUM('Defect (Total)'!AE102,Planned!AE102,Reconductor!AE102,CTGS!AE102)</f>
        <v>0</v>
      </c>
      <c r="AF102" s="87">
        <f>SUM('Defect (Total)'!AF102,Planned!AF102,Reconductor!AF102,CTGS!AF102)</f>
        <v>0</v>
      </c>
      <c r="AG102" s="87">
        <f>SUM('Defect (Total)'!AG102,Planned!AG102,Reconductor!AG102,CTGS!AG102)</f>
        <v>0</v>
      </c>
      <c r="AH102" s="87">
        <f>SUM('Defect (Total)'!AH102,Planned!AH102,Reconductor!AH102,CTGS!AH102)</f>
        <v>0</v>
      </c>
      <c r="AI102" s="87">
        <f>SUM('Defect (Total)'!AI102,Planned!AI102,Reconductor!AI102,CTGS!AI102)</f>
        <v>0</v>
      </c>
      <c r="AJ102" s="87">
        <f>SUM('Defect (Total)'!AJ102,Planned!AJ102,Reconductor!AJ102,CTGS!AJ102)</f>
        <v>0</v>
      </c>
      <c r="AK102" s="88">
        <f t="shared" si="51"/>
        <v>0</v>
      </c>
      <c r="AL102" s="89">
        <f t="shared" si="52"/>
        <v>0</v>
      </c>
      <c r="AM102" s="90">
        <f t="shared" si="53"/>
        <v>0</v>
      </c>
      <c r="AN102" s="91" t="str">
        <f t="shared" si="35"/>
        <v/>
      </c>
      <c r="AO102" s="92">
        <f t="shared" si="36"/>
        <v>0</v>
      </c>
      <c r="AP102" s="92" t="str">
        <f t="shared" si="37"/>
        <v/>
      </c>
      <c r="AQ102" s="92" t="str">
        <f t="shared" si="38"/>
        <v/>
      </c>
      <c r="AR102" s="92" t="str">
        <f t="shared" si="39"/>
        <v/>
      </c>
      <c r="AS102" s="92" t="str">
        <f t="shared" si="40"/>
        <v/>
      </c>
      <c r="AT102" s="92" t="str">
        <f t="shared" si="41"/>
        <v/>
      </c>
      <c r="AU102" s="92" t="str">
        <f t="shared" si="42"/>
        <v/>
      </c>
      <c r="AV102" s="92" t="str">
        <f t="shared" si="43"/>
        <v/>
      </c>
      <c r="AW102" s="92" t="str">
        <f t="shared" si="44"/>
        <v/>
      </c>
      <c r="AX102" s="92" t="str">
        <f t="shared" si="45"/>
        <v/>
      </c>
      <c r="AY102" s="93" t="str">
        <f t="shared" si="46"/>
        <v/>
      </c>
      <c r="AZ102" s="94" t="str">
        <f t="shared" si="47"/>
        <v/>
      </c>
      <c r="BA102" s="95" t="str">
        <f t="shared" si="48"/>
        <v/>
      </c>
      <c r="BB102" s="689">
        <f>SUM('Defect (Total)'!BB102,Planned!CE102,Reconductor!CE102,CTGS!CE102,'Substation 2025$'!CE102*$BL$1,Comms!CA102*$BL$2)</f>
        <v>0</v>
      </c>
      <c r="BC102" s="689">
        <f>SUM('Defect (Total)'!BC102,Planned!CF102,Reconductor!CF102,CTGS!CF102,'Substation 2025$'!CF102*$BL$1,Comms!CB102*$BL$2)</f>
        <v>0</v>
      </c>
      <c r="BD102" s="96">
        <f>SUM('Defect (Total)'!BD102,Planned!CG102,Reconductor!CG102,CTGS!CG102,'Substation 2025$'!CG102*$BL$1,Comms!CC102*$BL$2)</f>
        <v>0</v>
      </c>
      <c r="BE102" s="96">
        <f>SUM('Defect (Total)'!BE102,Planned!CH102,Reconductor!CH102,CTGS!CH102,'Substation 2025$'!CH102*$BL$1,Comms!CD102*$BL$2)</f>
        <v>0</v>
      </c>
      <c r="BF102" s="96">
        <f>SUM('Defect (Total)'!BF102,Planned!CI102,Reconductor!CI102,CTGS!CI102,'Substation 2025$'!CI102*$BL$1,Comms!CE102*$BL$2)</f>
        <v>0</v>
      </c>
      <c r="BG102" s="96">
        <f>SUM('Defect (Total)'!BG102,Planned!CJ102,Reconductor!CJ102,CTGS!CJ102,'Substation 2025$'!CJ102*$BL$1,Comms!CF102*$BL$2)</f>
        <v>0</v>
      </c>
      <c r="BH102" s="96">
        <f>SUM('Defect (Total)'!BH102,Planned!CK102,Reconductor!CK102,CTGS!CK102,'Substation 2025$'!CK102*$BL$1,Comms!CG102*$BL$2)</f>
        <v>0</v>
      </c>
      <c r="BI102" s="286">
        <f>SUM('Defect (Total)'!BI102,Planned!CL102,Reconductor!CL102,CTGS!CL102,'Substation 2025$'!CL102*$BL$1,Comms!CH102*$BL$2)</f>
        <v>0</v>
      </c>
      <c r="BJ102" s="99" t="str">
        <f t="shared" si="54"/>
        <v/>
      </c>
      <c r="BK102" s="992">
        <f>SUM('Defect (Total)'!BK102,Planned!CQ102,Reconductor!CQ102,CTGS!CQ102,'Substation 2025$'!CQ102*$BL$1,Comms!CM102*$BL$2)</f>
        <v>0</v>
      </c>
      <c r="BL102" s="992">
        <f>SUM('Defect (Total)'!BL102,Planned!CR102,Reconductor!CR102,CTGS!CR102,'Substation 2025$'!CR102*$BL$1,Comms!CN102*$BL$2)</f>
        <v>0</v>
      </c>
      <c r="BM102" s="524">
        <f>SUM('Defect (Total)'!BM102,Planned!CS102,Reconductor!CS102,CTGS!CS102,'Substation 2025$'!CS102*$BL$1,Comms!CO102*$BL$2)</f>
        <v>0</v>
      </c>
      <c r="BN102" s="416">
        <f>SUM('Defect (Total)'!BN102,Planned!CT102,Reconductor!CT102,CTGS!CT102,'Substation 2025$'!CT102*$BL$1,Comms!CP102*$BL$2)</f>
        <v>0</v>
      </c>
      <c r="BO102" s="97">
        <f>SUM('Defect (Total)'!BO102,Planned!CU102,Reconductor!CU102,CTGS!CU102,'Substation 2025$'!CU102*$BL$1,Comms!CQ102*$BL$2)</f>
        <v>0</v>
      </c>
      <c r="BP102" s="97">
        <f>SUM('Defect (Total)'!BP102,Planned!CV102,Reconductor!CV102,CTGS!CV102,'Substation 2025$'!CV102*$BL$1,Comms!CR102*$BL$2)</f>
        <v>0</v>
      </c>
      <c r="BQ102" s="97">
        <f>SUM('Defect (Total)'!BQ102,Planned!CW102,Reconductor!CW102,CTGS!CW102,'Substation 2025$'!CW102*$BL$1,Comms!CS102*$BL$2)</f>
        <v>0</v>
      </c>
      <c r="BR102" s="98">
        <f>SUM('Defect (Total)'!BR102,Planned!CX102,Reconductor!CX102,CTGS!CX102,'Substation 2025$'!CX102*$BL$1,Comms!CT102*$BL$2)</f>
        <v>0</v>
      </c>
      <c r="BS102" s="836" t="str">
        <f>'Unit Cost Rate Summary'!AO102</f>
        <v/>
      </c>
      <c r="BT102" s="840" t="str">
        <f t="shared" si="49"/>
        <v/>
      </c>
      <c r="BU102" s="832" t="str">
        <f t="shared" si="50"/>
        <v/>
      </c>
      <c r="BV102" t="s">
        <v>639</v>
      </c>
      <c r="CI102" s="416">
        <f>VLOOKUP($A102,'Distribution Summary'!$A$136:$CG$146,CI$1,0)*BN102</f>
        <v>0</v>
      </c>
      <c r="CJ102" s="97">
        <f>VLOOKUP($A102,'Distribution Summary'!$A$136:$CG$146,CJ$1,0)*BO102</f>
        <v>0</v>
      </c>
      <c r="CK102" s="97">
        <f>VLOOKUP($A102,'Distribution Summary'!$A$136:$CG$146,CK$1,0)*BP102</f>
        <v>0</v>
      </c>
      <c r="CL102" s="97">
        <f>VLOOKUP($A102,'Distribution Summary'!$A$136:$CG$146,CL$1,0)*BQ102</f>
        <v>0</v>
      </c>
      <c r="CM102" s="98">
        <f>VLOOKUP($A102,'Distribution Summary'!$A$136:$CG$146,CM$1,0)*BR102</f>
        <v>0</v>
      </c>
    </row>
    <row r="103" spans="1:91" x14ac:dyDescent="0.25">
      <c r="A103" s="81" t="s">
        <v>196</v>
      </c>
      <c r="B103" s="82" t="s">
        <v>209</v>
      </c>
      <c r="C103" s="83" t="s">
        <v>210</v>
      </c>
      <c r="D103" s="84">
        <f>SUM('Defect (Total)'!D103,Planned!D103,Reconductor!D103,CTGS!D103)</f>
        <v>11932</v>
      </c>
      <c r="E103" s="85">
        <f>SUM('Defect (Total)'!E103,Planned!E103,Reconductor!E103,CTGS!E103)</f>
        <v>31965</v>
      </c>
      <c r="F103" s="85">
        <f>SUM('Defect (Total)'!F103,Planned!F103,Reconductor!F103,CTGS!F103)</f>
        <v>257313</v>
      </c>
      <c r="G103" s="85">
        <f>SUM('Defect (Total)'!G103,Planned!G103,Reconductor!G103,CTGS!G103)</f>
        <v>0</v>
      </c>
      <c r="H103" s="85">
        <f>SUM('Defect (Total)'!H103,Planned!H103,Reconductor!H103,CTGS!H103)</f>
        <v>0</v>
      </c>
      <c r="I103" s="85">
        <f>SUM('Defect (Total)'!I103,Planned!I103,Reconductor!I103,CTGS!I103)</f>
        <v>285649.78413438308</v>
      </c>
      <c r="J103" s="85">
        <f>SUM('Defect (Total)'!J103,Planned!J103,Reconductor!J103,CTGS!J103)</f>
        <v>0</v>
      </c>
      <c r="K103" s="85">
        <f>SUM('Defect (Total)'!K103,Planned!K103,Reconductor!K103,CTGS!K103)</f>
        <v>648726.04452124797</v>
      </c>
      <c r="L103" s="85">
        <f>SUM('Defect (Total)'!L103,Planned!L103,Reconductor!L103,CTGS!L103)</f>
        <v>530056.91093700798</v>
      </c>
      <c r="M103" s="85">
        <f>SUM('Defect (Total)'!M103,Planned!M103,Reconductor!M103,CTGS!M103)</f>
        <v>120828.217046758</v>
      </c>
      <c r="N103" s="85">
        <f>SUM('Defect (Total)'!N103,Planned!N103,Reconductor!N103,CTGS!N103)</f>
        <v>118796.53226581504</v>
      </c>
      <c r="O103" s="560">
        <f>SUM('Defect (Total)'!O103,Planned!O103,Reconductor!O103,CTGS!O103)</f>
        <v>16053.984800772874</v>
      </c>
      <c r="P103" s="561">
        <f>SUM('Defect (Total)'!P103,Planned!P103,Reconductor!P103,CTGS!P103)</f>
        <v>42367.399448187061</v>
      </c>
      <c r="Q103" s="561">
        <f>SUM('Defect (Total)'!Q103,Planned!Q103,Reconductor!Q103,CTGS!Q103)</f>
        <v>337596.13496683066</v>
      </c>
      <c r="R103" s="561">
        <f>SUM('Defect (Total)'!R103,Planned!R103,Reconductor!R103,CTGS!R103)</f>
        <v>0</v>
      </c>
      <c r="S103" s="561">
        <f>SUM('Defect (Total)'!S103,Planned!S103,Reconductor!S103,CTGS!S103)</f>
        <v>0</v>
      </c>
      <c r="T103" s="561">
        <f>SUM('Defect (Total)'!T103,Planned!T103,Reconductor!T103,CTGS!T103)</f>
        <v>354533.74239117838</v>
      </c>
      <c r="U103" s="561">
        <f>SUM('Defect (Total)'!U103,Planned!U103,Reconductor!U103,CTGS!U103)</f>
        <v>0</v>
      </c>
      <c r="V103" s="561">
        <f>SUM('Defect (Total)'!V103,Planned!V103,Reconductor!V103,CTGS!V103)</f>
        <v>778055.28353625035</v>
      </c>
      <c r="W103" s="561">
        <f>SUM('Defect (Total)'!W103,Planned!W103,Reconductor!W103,CTGS!W103)</f>
        <v>598925.73922324739</v>
      </c>
      <c r="X103" s="561">
        <f>SUM('Defect (Total)'!X103,Planned!X103,Reconductor!X103,CTGS!X103)</f>
        <v>128496.08759860194</v>
      </c>
      <c r="Y103" s="561">
        <f>SUM('Defect (Total)'!Y103,Planned!Y103,Reconductor!Y103,CTGS!Y103)</f>
        <v>122063.25625114312</v>
      </c>
      <c r="Z103" s="86">
        <f>SUM('Defect (Total)'!Z103,Planned!Z103,Reconductor!Z103,CTGS!Z103)</f>
        <v>1</v>
      </c>
      <c r="AA103" s="87">
        <f>SUM('Defect (Total)'!AA103,Planned!AA103,Reconductor!AA103,CTGS!AA103)</f>
        <v>1</v>
      </c>
      <c r="AB103" s="87">
        <f>SUM('Defect (Total)'!AB103,Planned!AB103,Reconductor!AB103,CTGS!AB103)</f>
        <v>3</v>
      </c>
      <c r="AC103" s="87">
        <f>SUM('Defect (Total)'!AC103,Planned!AC103,Reconductor!AC103,CTGS!AC103)</f>
        <v>0</v>
      </c>
      <c r="AD103" s="87">
        <f>SUM('Defect (Total)'!AD103,Planned!AD103,Reconductor!AD103,CTGS!AD103)</f>
        <v>0</v>
      </c>
      <c r="AE103" s="87">
        <f>SUM('Defect (Total)'!AE103,Planned!AE103,Reconductor!AE103,CTGS!AE103)</f>
        <v>3</v>
      </c>
      <c r="AF103" s="87">
        <f>SUM('Defect (Total)'!AF103,Planned!AF103,Reconductor!AF103,CTGS!AF103)</f>
        <v>0</v>
      </c>
      <c r="AG103" s="87">
        <f>SUM('Defect (Total)'!AG103,Planned!AG103,Reconductor!AG103,CTGS!AG103)</f>
        <v>1</v>
      </c>
      <c r="AH103" s="87">
        <f>SUM('Defect (Total)'!AH103,Planned!AH103,Reconductor!AH103,CTGS!AH103)</f>
        <v>5</v>
      </c>
      <c r="AI103" s="87">
        <f>SUM('Defect (Total)'!AI103,Planned!AI103,Reconductor!AI103,CTGS!AI103)</f>
        <v>1</v>
      </c>
      <c r="AJ103" s="87">
        <f>SUM('Defect (Total)'!AJ103,Planned!AJ103,Reconductor!AJ103,CTGS!AJ103)</f>
        <v>6</v>
      </c>
      <c r="AK103" s="88">
        <f t="shared" si="51"/>
        <v>2</v>
      </c>
      <c r="AL103" s="89">
        <f t="shared" si="52"/>
        <v>2.3333333333333335</v>
      </c>
      <c r="AM103" s="90">
        <f t="shared" si="53"/>
        <v>1</v>
      </c>
      <c r="AN103" s="91">
        <f t="shared" ref="AN103:AN132" si="55">IFERROR(D103/Z103,"")</f>
        <v>11932</v>
      </c>
      <c r="AO103" s="92">
        <f t="shared" ref="AO103:AO132" si="56">IFERROR(E103/AA103,"")</f>
        <v>31965</v>
      </c>
      <c r="AP103" s="92">
        <f t="shared" ref="AP103:AP132" si="57">IFERROR(F103/AB103,"")</f>
        <v>85771</v>
      </c>
      <c r="AQ103" s="92" t="str">
        <f t="shared" ref="AQ103:AQ132" si="58">IFERROR(G103/AC103,"")</f>
        <v/>
      </c>
      <c r="AR103" s="92" t="str">
        <f t="shared" ref="AR103:AR132" si="59">IFERROR(H103/AD103,"")</f>
        <v/>
      </c>
      <c r="AS103" s="92">
        <f t="shared" ref="AS103:AS132" si="60">IFERROR(I103/AE103,"")</f>
        <v>95216.594711461032</v>
      </c>
      <c r="AT103" s="92" t="str">
        <f t="shared" ref="AT103:AT132" si="61">IFERROR(J103/AF103,"")</f>
        <v/>
      </c>
      <c r="AU103" s="92">
        <f t="shared" ref="AU103:AU132" si="62">IFERROR(K103/AG103,"")</f>
        <v>648726.04452124797</v>
      </c>
      <c r="AV103" s="92">
        <f t="shared" ref="AV103:AV132" si="63">IFERROR(L103/AH103,"")</f>
        <v>106011.3821874016</v>
      </c>
      <c r="AW103" s="92">
        <f t="shared" si="44"/>
        <v>120828.217046758</v>
      </c>
      <c r="AX103" s="92">
        <f t="shared" si="45"/>
        <v>19799.422044302508</v>
      </c>
      <c r="AY103" s="93">
        <f t="shared" ref="AY103:AY132" si="64">IFERROR(IF($BA$4="N",SUM(H103:L103)/SUM(AD103:AH103),SUM(I103:M103)/SUM(AE103:AI103)),"")</f>
        <v>162714.74884362656</v>
      </c>
      <c r="AZ103" s="94">
        <f t="shared" ref="AZ103:AZ132" si="65">IFERROR(IF($BA$4="N",SUM(J103:L103)/SUM(AF103:AH103),SUM(K103:M103)/SUM(AG103:AI103)),"")</f>
        <v>196463.82590970933</v>
      </c>
      <c r="BA103" s="95">
        <f t="shared" ref="BA103:BA132" si="66">IFERROR(IF($BA$4="N",L103/AH103,M103/AI103),"")</f>
        <v>106011.3821874016</v>
      </c>
      <c r="BB103" s="689">
        <f>SUM('Defect (Total)'!BB103,Planned!CE103,Reconductor!CE103,CTGS!CE103,'Substation 2025$'!CE103*$BL$1,Comms!CA103*$BL$2)</f>
        <v>0</v>
      </c>
      <c r="BC103" s="689">
        <f>SUM('Defect (Total)'!BC103,Planned!CF103,Reconductor!CF103,CTGS!CF103,'Substation 2025$'!CF103*$BL$1,Comms!CB103*$BL$2)</f>
        <v>0</v>
      </c>
      <c r="BD103" s="96">
        <f>SUM('Defect (Total)'!BD103,Planned!CG103,Reconductor!CG103,CTGS!CG103,'Substation 2025$'!CG103*$BL$1,Comms!CC103*$BL$2)</f>
        <v>0</v>
      </c>
      <c r="BE103" s="96">
        <f>SUM('Defect (Total)'!BE103,Planned!CH103,Reconductor!CH103,CTGS!CH103,'Substation 2025$'!CH103*$BL$1,Comms!CD103*$BL$2)</f>
        <v>0</v>
      </c>
      <c r="BF103" s="96">
        <f>SUM('Defect (Total)'!BF103,Planned!CI103,Reconductor!CI103,CTGS!CI103,'Substation 2025$'!CI103*$BL$1,Comms!CE103*$BL$2)</f>
        <v>0</v>
      </c>
      <c r="BG103" s="96">
        <f>SUM('Defect (Total)'!BG103,Planned!CJ103,Reconductor!CJ103,CTGS!CJ103,'Substation 2025$'!CJ103*$BL$1,Comms!CF103*$BL$2)</f>
        <v>0</v>
      </c>
      <c r="BH103" s="96">
        <f>SUM('Defect (Total)'!BH103,Planned!CK103,Reconductor!CK103,CTGS!CK103,'Substation 2025$'!CK103*$BL$1,Comms!CG103*$BL$2)</f>
        <v>0</v>
      </c>
      <c r="BI103" s="286">
        <f>SUM('Defect (Total)'!BI103,Planned!CL103,Reconductor!CL103,CTGS!CL103,'Substation 2025$'!CL103*$BL$1,Comms!CH103*$BL$2)</f>
        <v>0</v>
      </c>
      <c r="BJ103" s="99" t="str">
        <f t="shared" si="54"/>
        <v/>
      </c>
      <c r="BK103" s="992">
        <f>SUM('Defect (Total)'!BK103,Planned!CQ103,Reconductor!CQ103,CTGS!CQ103,'Substation 2025$'!CQ103*$BL$1,Comms!CM103*$BL$2)</f>
        <v>0</v>
      </c>
      <c r="BL103" s="992">
        <f>SUM('Defect (Total)'!BL103,Planned!CR103,Reconductor!CR103,CTGS!CR103,'Substation 2025$'!CR103*$BL$1,Comms!CN103*$BL$2)</f>
        <v>0</v>
      </c>
      <c r="BM103" s="524">
        <f>SUM('Defect (Total)'!BM103,Planned!CS103,Reconductor!CS103,CTGS!CS103,'Substation 2025$'!CS103*$BL$1,Comms!CO103*$BL$2)</f>
        <v>0</v>
      </c>
      <c r="BN103" s="416">
        <f>SUM('Defect (Total)'!BN103,Planned!CT103,Reconductor!CT103,CTGS!CT103,'Substation 2025$'!CT103*$BL$1,Comms!CP103*$BL$2)</f>
        <v>0</v>
      </c>
      <c r="BO103" s="97">
        <f>SUM('Defect (Total)'!BO103,Planned!CU103,Reconductor!CU103,CTGS!CU103,'Substation 2025$'!CU103*$BL$1,Comms!CQ103*$BL$2)</f>
        <v>0</v>
      </c>
      <c r="BP103" s="97">
        <f>SUM('Defect (Total)'!BP103,Planned!CV103,Reconductor!CV103,CTGS!CV103,'Substation 2025$'!CV103*$BL$1,Comms!CR103*$BL$2)</f>
        <v>0</v>
      </c>
      <c r="BQ103" s="97">
        <f>SUM('Defect (Total)'!BQ103,Planned!CW103,Reconductor!CW103,CTGS!CW103,'Substation 2025$'!CW103*$BL$1,Comms!CS103*$BL$2)</f>
        <v>0</v>
      </c>
      <c r="BR103" s="98">
        <f>SUM('Defect (Total)'!BR103,Planned!CX103,Reconductor!CX103,CTGS!CX103,'Substation 2025$'!CX103*$BL$1,Comms!CT103*$BL$2)</f>
        <v>0</v>
      </c>
      <c r="BS103" s="836" t="str">
        <f>'Unit Cost Rate Summary'!AO103</f>
        <v/>
      </c>
      <c r="BT103" s="840" t="str">
        <f t="shared" ref="BT103:BT126" si="67">IFERROR(BS103*SUM(BE104:BI104)/5,"")</f>
        <v/>
      </c>
      <c r="BU103" s="832" t="str">
        <f t="shared" ref="BU103:BU126" si="68">IFERROR(BS103*SUM(BE104:BI104),"")</f>
        <v/>
      </c>
      <c r="BV103" t="s">
        <v>639</v>
      </c>
      <c r="CI103" s="416">
        <f>VLOOKUP($A103,'Distribution Summary'!$A$136:$CG$146,CI$1,0)*BN103</f>
        <v>0</v>
      </c>
      <c r="CJ103" s="97">
        <f>VLOOKUP($A103,'Distribution Summary'!$A$136:$CG$146,CJ$1,0)*BO103</f>
        <v>0</v>
      </c>
      <c r="CK103" s="97">
        <f>VLOOKUP($A103,'Distribution Summary'!$A$136:$CG$146,CK$1,0)*BP103</f>
        <v>0</v>
      </c>
      <c r="CL103" s="97">
        <f>VLOOKUP($A103,'Distribution Summary'!$A$136:$CG$146,CL$1,0)*BQ103</f>
        <v>0</v>
      </c>
      <c r="CM103" s="98">
        <f>VLOOKUP($A103,'Distribution Summary'!$A$136:$CG$146,CM$1,0)*BR103</f>
        <v>0</v>
      </c>
    </row>
    <row r="104" spans="1:91" x14ac:dyDescent="0.25">
      <c r="A104" s="81" t="s">
        <v>196</v>
      </c>
      <c r="B104" s="82" t="s">
        <v>211</v>
      </c>
      <c r="C104" s="83" t="s">
        <v>212</v>
      </c>
      <c r="D104" s="84">
        <f>SUM('Defect (Total)'!D104,Planned!D104,Reconductor!D104,CTGS!D104)</f>
        <v>0</v>
      </c>
      <c r="E104" s="85">
        <f>SUM('Defect (Total)'!E104,Planned!E104,Reconductor!E104,CTGS!E104)</f>
        <v>0</v>
      </c>
      <c r="F104" s="85">
        <f>SUM('Defect (Total)'!F104,Planned!F104,Reconductor!F104,CTGS!F104)</f>
        <v>0</v>
      </c>
      <c r="G104" s="85">
        <f>SUM('Defect (Total)'!G104,Planned!G104,Reconductor!G104,CTGS!G104)</f>
        <v>0</v>
      </c>
      <c r="H104" s="85">
        <f>SUM('Defect (Total)'!H104,Planned!H104,Reconductor!H104,CTGS!H104)</f>
        <v>0</v>
      </c>
      <c r="I104" s="85">
        <f>SUM('Defect (Total)'!I104,Planned!I104,Reconductor!I104,CTGS!I104)</f>
        <v>0</v>
      </c>
      <c r="J104" s="85">
        <f>SUM('Defect (Total)'!J104,Planned!J104,Reconductor!J104,CTGS!J104)</f>
        <v>0</v>
      </c>
      <c r="K104" s="85">
        <f>SUM('Defect (Total)'!K104,Planned!K104,Reconductor!K104,CTGS!K104)</f>
        <v>0</v>
      </c>
      <c r="L104" s="85">
        <f>SUM('Defect (Total)'!L104,Planned!L104,Reconductor!L104,CTGS!L104)</f>
        <v>489688.91495324398</v>
      </c>
      <c r="M104" s="85">
        <f>SUM('Defect (Total)'!M104,Planned!M104,Reconductor!M104,CTGS!M104)</f>
        <v>0</v>
      </c>
      <c r="N104" s="85">
        <f>SUM('Defect (Total)'!N104,Planned!N104,Reconductor!N104,CTGS!N104)</f>
        <v>0</v>
      </c>
      <c r="O104" s="560">
        <f>SUM('Defect (Total)'!O104,Planned!O104,Reconductor!O104,CTGS!O104)</f>
        <v>0</v>
      </c>
      <c r="P104" s="561">
        <f>SUM('Defect (Total)'!P104,Planned!P104,Reconductor!P104,CTGS!P104)</f>
        <v>0</v>
      </c>
      <c r="Q104" s="561">
        <f>SUM('Defect (Total)'!Q104,Planned!Q104,Reconductor!Q104,CTGS!Q104)</f>
        <v>0</v>
      </c>
      <c r="R104" s="561">
        <f>SUM('Defect (Total)'!R104,Planned!R104,Reconductor!R104,CTGS!R104)</f>
        <v>0</v>
      </c>
      <c r="S104" s="561">
        <f>SUM('Defect (Total)'!S104,Planned!S104,Reconductor!S104,CTGS!S104)</f>
        <v>0</v>
      </c>
      <c r="T104" s="561">
        <f>SUM('Defect (Total)'!T104,Planned!T104,Reconductor!T104,CTGS!T104)</f>
        <v>0</v>
      </c>
      <c r="U104" s="561">
        <f>SUM('Defect (Total)'!U104,Planned!U104,Reconductor!U104,CTGS!U104)</f>
        <v>0</v>
      </c>
      <c r="V104" s="561">
        <f>SUM('Defect (Total)'!V104,Planned!V104,Reconductor!V104,CTGS!V104)</f>
        <v>0</v>
      </c>
      <c r="W104" s="561">
        <f>SUM('Defect (Total)'!W104,Planned!W104,Reconductor!W104,CTGS!W104)</f>
        <v>553312.84118028567</v>
      </c>
      <c r="X104" s="561">
        <f>SUM('Defect (Total)'!X104,Planned!X104,Reconductor!X104,CTGS!X104)</f>
        <v>0</v>
      </c>
      <c r="Y104" s="561">
        <f>SUM('Defect (Total)'!Y104,Planned!Y104,Reconductor!Y104,CTGS!Y104)</f>
        <v>0</v>
      </c>
      <c r="Z104" s="86">
        <f>SUM('Defect (Total)'!Z104,Planned!Z104,Reconductor!Z104,CTGS!Z104)</f>
        <v>0</v>
      </c>
      <c r="AA104" s="87">
        <f>SUM('Defect (Total)'!AA104,Planned!AA104,Reconductor!AA104,CTGS!AA104)</f>
        <v>0</v>
      </c>
      <c r="AB104" s="87">
        <f>SUM('Defect (Total)'!AB104,Planned!AB104,Reconductor!AB104,CTGS!AB104)</f>
        <v>0</v>
      </c>
      <c r="AC104" s="87">
        <f>SUM('Defect (Total)'!AC104,Planned!AC104,Reconductor!AC104,CTGS!AC104)</f>
        <v>0</v>
      </c>
      <c r="AD104" s="87">
        <f>SUM('Defect (Total)'!AD104,Planned!AD104,Reconductor!AD104,CTGS!AD104)</f>
        <v>0</v>
      </c>
      <c r="AE104" s="87">
        <f>SUM('Defect (Total)'!AE104,Planned!AE104,Reconductor!AE104,CTGS!AE104)</f>
        <v>0</v>
      </c>
      <c r="AF104" s="87">
        <f>SUM('Defect (Total)'!AF104,Planned!AF104,Reconductor!AF104,CTGS!AF104)</f>
        <v>0</v>
      </c>
      <c r="AG104" s="87">
        <f>SUM('Defect (Total)'!AG104,Planned!AG104,Reconductor!AG104,CTGS!AG104)</f>
        <v>0</v>
      </c>
      <c r="AH104" s="87">
        <f>SUM('Defect (Total)'!AH104,Planned!AH104,Reconductor!AH104,CTGS!AH104)</f>
        <v>0</v>
      </c>
      <c r="AI104" s="87">
        <f>SUM('Defect (Total)'!AI104,Planned!AI104,Reconductor!AI104,CTGS!AI104)</f>
        <v>0</v>
      </c>
      <c r="AJ104" s="87">
        <f>SUM('Defect (Total)'!AJ104,Planned!AJ104,Reconductor!AJ104,CTGS!AJ104)</f>
        <v>1</v>
      </c>
      <c r="AK104" s="88">
        <f t="shared" si="51"/>
        <v>0</v>
      </c>
      <c r="AL104" s="89">
        <f t="shared" si="52"/>
        <v>0</v>
      </c>
      <c r="AM104" s="90">
        <f t="shared" si="53"/>
        <v>0</v>
      </c>
      <c r="AN104" s="91" t="str">
        <f t="shared" si="55"/>
        <v/>
      </c>
      <c r="AO104" s="92" t="str">
        <f t="shared" si="56"/>
        <v/>
      </c>
      <c r="AP104" s="92" t="str">
        <f t="shared" si="57"/>
        <v/>
      </c>
      <c r="AQ104" s="92" t="str">
        <f t="shared" si="58"/>
        <v/>
      </c>
      <c r="AR104" s="92" t="str">
        <f t="shared" si="59"/>
        <v/>
      </c>
      <c r="AS104" s="92" t="str">
        <f t="shared" si="60"/>
        <v/>
      </c>
      <c r="AT104" s="92" t="str">
        <f t="shared" si="61"/>
        <v/>
      </c>
      <c r="AU104" s="92" t="str">
        <f t="shared" si="62"/>
        <v/>
      </c>
      <c r="AV104" s="92" t="str">
        <f t="shared" si="63"/>
        <v/>
      </c>
      <c r="AW104" s="92" t="str">
        <f t="shared" si="44"/>
        <v/>
      </c>
      <c r="AX104" s="92">
        <f t="shared" si="45"/>
        <v>0</v>
      </c>
      <c r="AY104" s="93" t="str">
        <f t="shared" si="64"/>
        <v/>
      </c>
      <c r="AZ104" s="94" t="str">
        <f t="shared" si="65"/>
        <v/>
      </c>
      <c r="BA104" s="95" t="str">
        <f t="shared" si="66"/>
        <v/>
      </c>
      <c r="BB104" s="689">
        <f>SUM('Defect (Total)'!BB104,Planned!CE104,Reconductor!CE104,CTGS!CE104,'Substation 2025$'!CE104*$BL$1,Comms!CA104*$BL$2)</f>
        <v>0</v>
      </c>
      <c r="BC104" s="689">
        <f>SUM('Defect (Total)'!BC104,Planned!CF104,Reconductor!CF104,CTGS!CF104,'Substation 2025$'!CF104*$BL$1,Comms!CB104*$BL$2)</f>
        <v>0</v>
      </c>
      <c r="BD104" s="96">
        <f>SUM('Defect (Total)'!BD104,Planned!CG104,Reconductor!CG104,CTGS!CG104,'Substation 2025$'!CG104*$BL$1,Comms!CC104*$BL$2)</f>
        <v>0</v>
      </c>
      <c r="BE104" s="96">
        <f>SUM('Defect (Total)'!BE104,Planned!CH104,Reconductor!CH104,CTGS!CH104,'Substation 2025$'!CH104*$BL$1,Comms!CD104*$BL$2)</f>
        <v>0</v>
      </c>
      <c r="BF104" s="96">
        <f>SUM('Defect (Total)'!BF104,Planned!CI104,Reconductor!CI104,CTGS!CI104,'Substation 2025$'!CI104*$BL$1,Comms!CE104*$BL$2)</f>
        <v>0</v>
      </c>
      <c r="BG104" s="96">
        <f>SUM('Defect (Total)'!BG104,Planned!CJ104,Reconductor!CJ104,CTGS!CJ104,'Substation 2025$'!CJ104*$BL$1,Comms!CF104*$BL$2)</f>
        <v>0</v>
      </c>
      <c r="BH104" s="96">
        <f>SUM('Defect (Total)'!BH104,Planned!CK104,Reconductor!CK104,CTGS!CK104,'Substation 2025$'!CK104*$BL$1,Comms!CG104*$BL$2)</f>
        <v>0</v>
      </c>
      <c r="BI104" s="286">
        <f>SUM('Defect (Total)'!BI104,Planned!CL104,Reconductor!CL104,CTGS!CL104,'Substation 2025$'!CL104*$BL$1,Comms!CH104*$BL$2)</f>
        <v>0</v>
      </c>
      <c r="BJ104" s="99" t="str">
        <f t="shared" si="54"/>
        <v/>
      </c>
      <c r="BK104" s="992">
        <f>SUM('Defect (Total)'!BK104,Planned!CQ104,Reconductor!CQ104,CTGS!CQ104,'Substation 2025$'!CQ104*$BL$1,Comms!CM104*$BL$2)</f>
        <v>0</v>
      </c>
      <c r="BL104" s="992">
        <f>SUM('Defect (Total)'!BL104,Planned!CR104,Reconductor!CR104,CTGS!CR104,'Substation 2025$'!CR104*$BL$1,Comms!CN104*$BL$2)</f>
        <v>0</v>
      </c>
      <c r="BM104" s="524">
        <f>SUM('Defect (Total)'!BM104,Planned!CS104,Reconductor!CS104,CTGS!CS104,'Substation 2025$'!CS104*$BL$1,Comms!CO104*$BL$2)</f>
        <v>0</v>
      </c>
      <c r="BN104" s="416">
        <f>SUM('Defect (Total)'!BN104,Planned!CT104,Reconductor!CT104,CTGS!CT104,'Substation 2025$'!CT104*$BL$1,Comms!CP104*$BL$2)</f>
        <v>0</v>
      </c>
      <c r="BO104" s="97">
        <f>SUM('Defect (Total)'!BO104,Planned!CU104,Reconductor!CU104,CTGS!CU104,'Substation 2025$'!CU104*$BL$1,Comms!CQ104*$BL$2)</f>
        <v>0</v>
      </c>
      <c r="BP104" s="97">
        <f>SUM('Defect (Total)'!BP104,Planned!CV104,Reconductor!CV104,CTGS!CV104,'Substation 2025$'!CV104*$BL$1,Comms!CR104*$BL$2)</f>
        <v>0</v>
      </c>
      <c r="BQ104" s="97">
        <f>SUM('Defect (Total)'!BQ104,Planned!CW104,Reconductor!CW104,CTGS!CW104,'Substation 2025$'!CW104*$BL$1,Comms!CS104*$BL$2)</f>
        <v>0</v>
      </c>
      <c r="BR104" s="98">
        <f>SUM('Defect (Total)'!BR104,Planned!CX104,Reconductor!CX104,CTGS!CX104,'Substation 2025$'!CX104*$BL$1,Comms!CT104*$BL$2)</f>
        <v>0</v>
      </c>
      <c r="BS104" s="836" t="str">
        <f>'Unit Cost Rate Summary'!AO104</f>
        <v/>
      </c>
      <c r="BT104" s="840" t="str">
        <f t="shared" si="67"/>
        <v/>
      </c>
      <c r="BU104" s="832" t="str">
        <f t="shared" si="68"/>
        <v/>
      </c>
      <c r="BV104" t="s">
        <v>639</v>
      </c>
      <c r="CI104" s="416">
        <f>VLOOKUP($A104,'Distribution Summary'!$A$136:$CG$146,CI$1,0)*BN104</f>
        <v>0</v>
      </c>
      <c r="CJ104" s="97">
        <f>VLOOKUP($A104,'Distribution Summary'!$A$136:$CG$146,CJ$1,0)*BO104</f>
        <v>0</v>
      </c>
      <c r="CK104" s="97">
        <f>VLOOKUP($A104,'Distribution Summary'!$A$136:$CG$146,CK$1,0)*BP104</f>
        <v>0</v>
      </c>
      <c r="CL104" s="97">
        <f>VLOOKUP($A104,'Distribution Summary'!$A$136:$CG$146,CL$1,0)*BQ104</f>
        <v>0</v>
      </c>
      <c r="CM104" s="98">
        <f>VLOOKUP($A104,'Distribution Summary'!$A$136:$CG$146,CM$1,0)*BR104</f>
        <v>0</v>
      </c>
    </row>
    <row r="105" spans="1:91" x14ac:dyDescent="0.25">
      <c r="A105" s="81" t="s">
        <v>196</v>
      </c>
      <c r="B105" s="82" t="s">
        <v>213</v>
      </c>
      <c r="C105" s="83" t="s">
        <v>214</v>
      </c>
      <c r="D105" s="84">
        <f>SUM('Defect (Total)'!D105,Planned!D105,Reconductor!D105,CTGS!D105)</f>
        <v>0</v>
      </c>
      <c r="E105" s="85">
        <f>SUM('Defect (Total)'!E105,Planned!E105,Reconductor!E105,CTGS!E105)</f>
        <v>0</v>
      </c>
      <c r="F105" s="85">
        <f>SUM('Defect (Total)'!F105,Planned!F105,Reconductor!F105,CTGS!F105)</f>
        <v>0</v>
      </c>
      <c r="G105" s="85">
        <f>SUM('Defect (Total)'!G105,Planned!G105,Reconductor!G105,CTGS!G105)</f>
        <v>0</v>
      </c>
      <c r="H105" s="85">
        <f>SUM('Defect (Total)'!H105,Planned!H105,Reconductor!H105,CTGS!H105)</f>
        <v>0</v>
      </c>
      <c r="I105" s="85">
        <f>SUM('Defect (Total)'!I105,Planned!I105,Reconductor!I105,CTGS!I105)</f>
        <v>0</v>
      </c>
      <c r="J105" s="85">
        <f>SUM('Defect (Total)'!J105,Planned!J105,Reconductor!J105,CTGS!J105)</f>
        <v>0</v>
      </c>
      <c r="K105" s="85">
        <f>SUM('Defect (Total)'!K105,Planned!K105,Reconductor!K105,CTGS!K105)</f>
        <v>0</v>
      </c>
      <c r="L105" s="85">
        <f>SUM('Defect (Total)'!L105,Planned!L105,Reconductor!L105,CTGS!L105)</f>
        <v>0</v>
      </c>
      <c r="M105" s="85">
        <f>SUM('Defect (Total)'!M105,Planned!M105,Reconductor!M105,CTGS!M105)</f>
        <v>0</v>
      </c>
      <c r="N105" s="85">
        <f>SUM('Defect (Total)'!N105,Planned!N105,Reconductor!N105,CTGS!N105)</f>
        <v>0</v>
      </c>
      <c r="O105" s="560">
        <f>SUM('Defect (Total)'!O105,Planned!O105,Reconductor!O105,CTGS!O105)</f>
        <v>0</v>
      </c>
      <c r="P105" s="561">
        <f>SUM('Defect (Total)'!P105,Planned!P105,Reconductor!P105,CTGS!P105)</f>
        <v>0</v>
      </c>
      <c r="Q105" s="561">
        <f>SUM('Defect (Total)'!Q105,Planned!Q105,Reconductor!Q105,CTGS!Q105)</f>
        <v>0</v>
      </c>
      <c r="R105" s="561">
        <f>SUM('Defect (Total)'!R105,Planned!R105,Reconductor!R105,CTGS!R105)</f>
        <v>0</v>
      </c>
      <c r="S105" s="561">
        <f>SUM('Defect (Total)'!S105,Planned!S105,Reconductor!S105,CTGS!S105)</f>
        <v>0</v>
      </c>
      <c r="T105" s="561">
        <f>SUM('Defect (Total)'!T105,Planned!T105,Reconductor!T105,CTGS!T105)</f>
        <v>0</v>
      </c>
      <c r="U105" s="561">
        <f>SUM('Defect (Total)'!U105,Planned!U105,Reconductor!U105,CTGS!U105)</f>
        <v>0</v>
      </c>
      <c r="V105" s="561">
        <f>SUM('Defect (Total)'!V105,Planned!V105,Reconductor!V105,CTGS!V105)</f>
        <v>0</v>
      </c>
      <c r="W105" s="561">
        <f>SUM('Defect (Total)'!W105,Planned!W105,Reconductor!W105,CTGS!W105)</f>
        <v>0</v>
      </c>
      <c r="X105" s="561">
        <f>SUM('Defect (Total)'!X105,Planned!X105,Reconductor!X105,CTGS!X105)</f>
        <v>0</v>
      </c>
      <c r="Y105" s="561">
        <f>SUM('Defect (Total)'!Y105,Planned!Y105,Reconductor!Y105,CTGS!Y105)</f>
        <v>0</v>
      </c>
      <c r="Z105" s="86">
        <f>SUM('Defect (Total)'!Z105,Planned!Z105,Reconductor!Z105,CTGS!Z105)</f>
        <v>0</v>
      </c>
      <c r="AA105" s="87">
        <f>SUM('Defect (Total)'!AA105,Planned!AA105,Reconductor!AA105,CTGS!AA105)</f>
        <v>0</v>
      </c>
      <c r="AB105" s="87">
        <f>SUM('Defect (Total)'!AB105,Planned!AB105,Reconductor!AB105,CTGS!AB105)</f>
        <v>0</v>
      </c>
      <c r="AC105" s="87">
        <f>SUM('Defect (Total)'!AC105,Planned!AC105,Reconductor!AC105,CTGS!AC105)</f>
        <v>0</v>
      </c>
      <c r="AD105" s="87">
        <f>SUM('Defect (Total)'!AD105,Planned!AD105,Reconductor!AD105,CTGS!AD105)</f>
        <v>0</v>
      </c>
      <c r="AE105" s="87">
        <f>SUM('Defect (Total)'!AE105,Planned!AE105,Reconductor!AE105,CTGS!AE105)</f>
        <v>0</v>
      </c>
      <c r="AF105" s="87">
        <f>SUM('Defect (Total)'!AF105,Planned!AF105,Reconductor!AF105,CTGS!AF105)</f>
        <v>0</v>
      </c>
      <c r="AG105" s="87">
        <f>SUM('Defect (Total)'!AG105,Planned!AG105,Reconductor!AG105,CTGS!AG105)</f>
        <v>0</v>
      </c>
      <c r="AH105" s="87">
        <f>SUM('Defect (Total)'!AH105,Planned!AH105,Reconductor!AH105,CTGS!AH105)</f>
        <v>0</v>
      </c>
      <c r="AI105" s="87">
        <f>SUM('Defect (Total)'!AI105,Planned!AI105,Reconductor!AI105,CTGS!AI105)</f>
        <v>0</v>
      </c>
      <c r="AJ105" s="87">
        <f>SUM('Defect (Total)'!AJ105,Planned!AJ105,Reconductor!AJ105,CTGS!AJ105)</f>
        <v>0</v>
      </c>
      <c r="AK105" s="88">
        <f t="shared" si="51"/>
        <v>0</v>
      </c>
      <c r="AL105" s="89">
        <f t="shared" si="52"/>
        <v>0</v>
      </c>
      <c r="AM105" s="90">
        <f t="shared" si="53"/>
        <v>0</v>
      </c>
      <c r="AN105" s="91" t="str">
        <f t="shared" si="55"/>
        <v/>
      </c>
      <c r="AO105" s="92" t="str">
        <f t="shared" si="56"/>
        <v/>
      </c>
      <c r="AP105" s="92" t="str">
        <f t="shared" si="57"/>
        <v/>
      </c>
      <c r="AQ105" s="92" t="str">
        <f t="shared" si="58"/>
        <v/>
      </c>
      <c r="AR105" s="92" t="str">
        <f t="shared" si="59"/>
        <v/>
      </c>
      <c r="AS105" s="92" t="str">
        <f t="shared" si="60"/>
        <v/>
      </c>
      <c r="AT105" s="92" t="str">
        <f t="shared" si="61"/>
        <v/>
      </c>
      <c r="AU105" s="92" t="str">
        <f t="shared" si="62"/>
        <v/>
      </c>
      <c r="AV105" s="92" t="str">
        <f t="shared" si="63"/>
        <v/>
      </c>
      <c r="AW105" s="92" t="str">
        <f t="shared" si="44"/>
        <v/>
      </c>
      <c r="AX105" s="92" t="str">
        <f t="shared" si="45"/>
        <v/>
      </c>
      <c r="AY105" s="93" t="str">
        <f t="shared" si="64"/>
        <v/>
      </c>
      <c r="AZ105" s="94" t="str">
        <f t="shared" si="65"/>
        <v/>
      </c>
      <c r="BA105" s="95" t="str">
        <f t="shared" si="66"/>
        <v/>
      </c>
      <c r="BB105" s="689">
        <f>SUM('Defect (Total)'!BB105,Planned!CE105,Reconductor!CE105,CTGS!CE105,'Substation 2025$'!CE105*$BL$1,Comms!CA105*$BL$2)</f>
        <v>0</v>
      </c>
      <c r="BC105" s="689">
        <f>SUM('Defect (Total)'!BC105,Planned!CF105,Reconductor!CF105,CTGS!CF105,'Substation 2025$'!CF105*$BL$1,Comms!CB105*$BL$2)</f>
        <v>0</v>
      </c>
      <c r="BD105" s="96">
        <f>SUM('Defect (Total)'!BD105,Planned!CG105,Reconductor!CG105,CTGS!CG105,'Substation 2025$'!CG105*$BL$1,Comms!CC105*$BL$2)</f>
        <v>0</v>
      </c>
      <c r="BE105" s="96">
        <f>SUM('Defect (Total)'!BE105,Planned!CH105,Reconductor!CH105,CTGS!CH105,'Substation 2025$'!CH105*$BL$1,Comms!CD105*$BL$2)</f>
        <v>0</v>
      </c>
      <c r="BF105" s="96">
        <f>SUM('Defect (Total)'!BF105,Planned!CI105,Reconductor!CI105,CTGS!CI105,'Substation 2025$'!CI105*$BL$1,Comms!CE105*$BL$2)</f>
        <v>0</v>
      </c>
      <c r="BG105" s="96">
        <f>SUM('Defect (Total)'!BG105,Planned!CJ105,Reconductor!CJ105,CTGS!CJ105,'Substation 2025$'!CJ105*$BL$1,Comms!CF105*$BL$2)</f>
        <v>0</v>
      </c>
      <c r="BH105" s="96">
        <f>SUM('Defect (Total)'!BH105,Planned!CK105,Reconductor!CK105,CTGS!CK105,'Substation 2025$'!CK105*$BL$1,Comms!CG105*$BL$2)</f>
        <v>0</v>
      </c>
      <c r="BI105" s="286">
        <f>SUM('Defect (Total)'!BI105,Planned!CL105,Reconductor!CL105,CTGS!CL105,'Substation 2025$'!CL105*$BL$1,Comms!CH105*$BL$2)</f>
        <v>0</v>
      </c>
      <c r="BJ105" s="99" t="str">
        <f t="shared" si="54"/>
        <v/>
      </c>
      <c r="BK105" s="992">
        <f>SUM('Defect (Total)'!BK105,Planned!CQ105,Reconductor!CQ105,CTGS!CQ105,'Substation 2025$'!CQ105*$BL$1,Comms!CM105*$BL$2)</f>
        <v>0</v>
      </c>
      <c r="BL105" s="992">
        <f>SUM('Defect (Total)'!BL105,Planned!CR105,Reconductor!CR105,CTGS!CR105,'Substation 2025$'!CR105*$BL$1,Comms!CN105*$BL$2)</f>
        <v>0</v>
      </c>
      <c r="BM105" s="524">
        <f>SUM('Defect (Total)'!BM105,Planned!CS105,Reconductor!CS105,CTGS!CS105,'Substation 2025$'!CS105*$BL$1,Comms!CO105*$BL$2)</f>
        <v>0</v>
      </c>
      <c r="BN105" s="416">
        <f>SUM('Defect (Total)'!BN105,Planned!CT105,Reconductor!CT105,CTGS!CT105,'Substation 2025$'!CT105*$BL$1,Comms!CP105*$BL$2)</f>
        <v>0</v>
      </c>
      <c r="BO105" s="97">
        <f>SUM('Defect (Total)'!BO105,Planned!CU105,Reconductor!CU105,CTGS!CU105,'Substation 2025$'!CU105*$BL$1,Comms!CQ105*$BL$2)</f>
        <v>0</v>
      </c>
      <c r="BP105" s="97">
        <f>SUM('Defect (Total)'!BP105,Planned!CV105,Reconductor!CV105,CTGS!CV105,'Substation 2025$'!CV105*$BL$1,Comms!CR105*$BL$2)</f>
        <v>0</v>
      </c>
      <c r="BQ105" s="97">
        <f>SUM('Defect (Total)'!BQ105,Planned!CW105,Reconductor!CW105,CTGS!CW105,'Substation 2025$'!CW105*$BL$1,Comms!CS105*$BL$2)</f>
        <v>0</v>
      </c>
      <c r="BR105" s="98">
        <f>SUM('Defect (Total)'!BR105,Planned!CX105,Reconductor!CX105,CTGS!CX105,'Substation 2025$'!CX105*$BL$1,Comms!CT105*$BL$2)</f>
        <v>0</v>
      </c>
      <c r="BS105" s="836" t="str">
        <f>'Unit Cost Rate Summary'!AO105</f>
        <v/>
      </c>
      <c r="BT105" s="840" t="str">
        <f t="shared" si="67"/>
        <v/>
      </c>
      <c r="BU105" s="832" t="str">
        <f t="shared" si="68"/>
        <v/>
      </c>
      <c r="BV105" t="s">
        <v>639</v>
      </c>
      <c r="CI105" s="416">
        <f>VLOOKUP($A105,'Distribution Summary'!$A$136:$CG$146,CI$1,0)*BN105</f>
        <v>0</v>
      </c>
      <c r="CJ105" s="97">
        <f>VLOOKUP($A105,'Distribution Summary'!$A$136:$CG$146,CJ$1,0)*BO105</f>
        <v>0</v>
      </c>
      <c r="CK105" s="97">
        <f>VLOOKUP($A105,'Distribution Summary'!$A$136:$CG$146,CK$1,0)*BP105</f>
        <v>0</v>
      </c>
      <c r="CL105" s="97">
        <f>VLOOKUP($A105,'Distribution Summary'!$A$136:$CG$146,CL$1,0)*BQ105</f>
        <v>0</v>
      </c>
      <c r="CM105" s="98">
        <f>VLOOKUP($A105,'Distribution Summary'!$A$136:$CG$146,CM$1,0)*BR105</f>
        <v>0</v>
      </c>
    </row>
    <row r="106" spans="1:91" x14ac:dyDescent="0.25">
      <c r="A106" s="81" t="s">
        <v>196</v>
      </c>
      <c r="B106" s="82" t="s">
        <v>215</v>
      </c>
      <c r="C106" s="83" t="s">
        <v>392</v>
      </c>
      <c r="D106" s="84">
        <f>SUM('Defect (Total)'!D106,Planned!D106,Reconductor!D106,CTGS!D106)</f>
        <v>0</v>
      </c>
      <c r="E106" s="85">
        <f>SUM('Defect (Total)'!E106,Planned!E106,Reconductor!E106,CTGS!E106)</f>
        <v>0</v>
      </c>
      <c r="F106" s="85">
        <f>SUM('Defect (Total)'!F106,Planned!F106,Reconductor!F106,CTGS!F106)</f>
        <v>0</v>
      </c>
      <c r="G106" s="85">
        <f>SUM('Defect (Total)'!G106,Planned!G106,Reconductor!G106,CTGS!G106)</f>
        <v>0</v>
      </c>
      <c r="H106" s="85">
        <f>SUM('Defect (Total)'!H106,Planned!H106,Reconductor!H106,CTGS!H106)</f>
        <v>0</v>
      </c>
      <c r="I106" s="85">
        <f>SUM('Defect (Total)'!I106,Planned!I106,Reconductor!I106,CTGS!I106)</f>
        <v>0</v>
      </c>
      <c r="J106" s="85">
        <f>SUM('Defect (Total)'!J106,Planned!J106,Reconductor!J106,CTGS!J106)</f>
        <v>0</v>
      </c>
      <c r="K106" s="85">
        <f>SUM('Defect (Total)'!K106,Planned!K106,Reconductor!K106,CTGS!K106)</f>
        <v>0</v>
      </c>
      <c r="L106" s="85">
        <f>SUM('Defect (Total)'!L106,Planned!L106,Reconductor!L106,CTGS!L106)</f>
        <v>0</v>
      </c>
      <c r="M106" s="85">
        <f>SUM('Defect (Total)'!M106,Planned!M106,Reconductor!M106,CTGS!M106)</f>
        <v>0</v>
      </c>
      <c r="N106" s="85">
        <f>SUM('Defect (Total)'!N106,Planned!N106,Reconductor!N106,CTGS!N106)</f>
        <v>0</v>
      </c>
      <c r="O106" s="560">
        <f>SUM('Defect (Total)'!O106,Planned!O106,Reconductor!O106,CTGS!O106)</f>
        <v>0</v>
      </c>
      <c r="P106" s="561">
        <f>SUM('Defect (Total)'!P106,Planned!P106,Reconductor!P106,CTGS!P106)</f>
        <v>0</v>
      </c>
      <c r="Q106" s="561">
        <f>SUM('Defect (Total)'!Q106,Planned!Q106,Reconductor!Q106,CTGS!Q106)</f>
        <v>0</v>
      </c>
      <c r="R106" s="561">
        <f>SUM('Defect (Total)'!R106,Planned!R106,Reconductor!R106,CTGS!R106)</f>
        <v>0</v>
      </c>
      <c r="S106" s="561">
        <f>SUM('Defect (Total)'!S106,Planned!S106,Reconductor!S106,CTGS!S106)</f>
        <v>0</v>
      </c>
      <c r="T106" s="561">
        <f>SUM('Defect (Total)'!T106,Planned!T106,Reconductor!T106,CTGS!T106)</f>
        <v>0</v>
      </c>
      <c r="U106" s="561">
        <f>SUM('Defect (Total)'!U106,Planned!U106,Reconductor!U106,CTGS!U106)</f>
        <v>0</v>
      </c>
      <c r="V106" s="561">
        <f>SUM('Defect (Total)'!V106,Planned!V106,Reconductor!V106,CTGS!V106)</f>
        <v>0</v>
      </c>
      <c r="W106" s="561">
        <f>SUM('Defect (Total)'!W106,Planned!W106,Reconductor!W106,CTGS!W106)</f>
        <v>0</v>
      </c>
      <c r="X106" s="561">
        <f>SUM('Defect (Total)'!X106,Planned!X106,Reconductor!X106,CTGS!X106)</f>
        <v>0</v>
      </c>
      <c r="Y106" s="561">
        <f>SUM('Defect (Total)'!Y106,Planned!Y106,Reconductor!Y106,CTGS!Y106)</f>
        <v>0</v>
      </c>
      <c r="Z106" s="86">
        <f>SUM('Defect (Total)'!Z106,Planned!Z106,Reconductor!Z106,CTGS!Z106)</f>
        <v>0</v>
      </c>
      <c r="AA106" s="87">
        <f>SUM('Defect (Total)'!AA106,Planned!AA106,Reconductor!AA106,CTGS!AA106)</f>
        <v>0</v>
      </c>
      <c r="AB106" s="87">
        <f>SUM('Defect (Total)'!AB106,Planned!AB106,Reconductor!AB106,CTGS!AB106)</f>
        <v>0</v>
      </c>
      <c r="AC106" s="87">
        <f>SUM('Defect (Total)'!AC106,Planned!AC106,Reconductor!AC106,CTGS!AC106)</f>
        <v>0</v>
      </c>
      <c r="AD106" s="87">
        <f>SUM('Defect (Total)'!AD106,Planned!AD106,Reconductor!AD106,CTGS!AD106)</f>
        <v>0</v>
      </c>
      <c r="AE106" s="87">
        <f>SUM('Defect (Total)'!AE106,Planned!AE106,Reconductor!AE106,CTGS!AE106)</f>
        <v>0</v>
      </c>
      <c r="AF106" s="87">
        <f>SUM('Defect (Total)'!AF106,Planned!AF106,Reconductor!AF106,CTGS!AF106)</f>
        <v>0</v>
      </c>
      <c r="AG106" s="87">
        <f>SUM('Defect (Total)'!AG106,Planned!AG106,Reconductor!AG106,CTGS!AG106)</f>
        <v>0</v>
      </c>
      <c r="AH106" s="87">
        <f>SUM('Defect (Total)'!AH106,Planned!AH106,Reconductor!AH106,CTGS!AH106)</f>
        <v>0</v>
      </c>
      <c r="AI106" s="87">
        <f>SUM('Defect (Total)'!AI106,Planned!AI106,Reconductor!AI106,CTGS!AI106)</f>
        <v>0</v>
      </c>
      <c r="AJ106" s="87">
        <f>SUM('Defect (Total)'!AJ106,Planned!AJ106,Reconductor!AJ106,CTGS!AJ106)</f>
        <v>0</v>
      </c>
      <c r="AK106" s="88">
        <f t="shared" si="51"/>
        <v>0</v>
      </c>
      <c r="AL106" s="89">
        <f t="shared" si="52"/>
        <v>0</v>
      </c>
      <c r="AM106" s="90">
        <f t="shared" si="53"/>
        <v>0</v>
      </c>
      <c r="AN106" s="91" t="str">
        <f t="shared" si="55"/>
        <v/>
      </c>
      <c r="AO106" s="92" t="str">
        <f t="shared" si="56"/>
        <v/>
      </c>
      <c r="AP106" s="92" t="str">
        <f t="shared" si="57"/>
        <v/>
      </c>
      <c r="AQ106" s="92" t="str">
        <f t="shared" si="58"/>
        <v/>
      </c>
      <c r="AR106" s="92" t="str">
        <f t="shared" si="59"/>
        <v/>
      </c>
      <c r="AS106" s="92" t="str">
        <f t="shared" si="60"/>
        <v/>
      </c>
      <c r="AT106" s="92" t="str">
        <f t="shared" si="61"/>
        <v/>
      </c>
      <c r="AU106" s="92" t="str">
        <f t="shared" si="62"/>
        <v/>
      </c>
      <c r="AV106" s="92" t="str">
        <f t="shared" si="63"/>
        <v/>
      </c>
      <c r="AW106" s="92" t="str">
        <f t="shared" si="44"/>
        <v/>
      </c>
      <c r="AX106" s="92" t="str">
        <f t="shared" si="45"/>
        <v/>
      </c>
      <c r="AY106" s="93" t="str">
        <f t="shared" si="64"/>
        <v/>
      </c>
      <c r="AZ106" s="94" t="str">
        <f t="shared" si="65"/>
        <v/>
      </c>
      <c r="BA106" s="95" t="str">
        <f t="shared" si="66"/>
        <v/>
      </c>
      <c r="BB106" s="689">
        <f>SUM('Defect (Total)'!BB106,Planned!CE106,Reconductor!CE106,CTGS!CE106,'Substation 2025$'!CE106*$BL$1,Comms!CA106*$BL$2)</f>
        <v>0</v>
      </c>
      <c r="BC106" s="689">
        <f>SUM('Defect (Total)'!BC106,Planned!CF106,Reconductor!CF106,CTGS!CF106,'Substation 2025$'!CF106*$BL$1,Comms!CB106*$BL$2)</f>
        <v>0</v>
      </c>
      <c r="BD106" s="96">
        <f>SUM('Defect (Total)'!BD106,Planned!CG106,Reconductor!CG106,CTGS!CG106,'Substation 2025$'!CG106*$BL$1,Comms!CC106*$BL$2)</f>
        <v>0</v>
      </c>
      <c r="BE106" s="96">
        <f>SUM('Defect (Total)'!BE106,Planned!CH106,Reconductor!CH106,CTGS!CH106,'Substation 2025$'!CH106*$BL$1,Comms!CD106*$BL$2)</f>
        <v>0</v>
      </c>
      <c r="BF106" s="96">
        <f>SUM('Defect (Total)'!BF106,Planned!CI106,Reconductor!CI106,CTGS!CI106,'Substation 2025$'!CI106*$BL$1,Comms!CE106*$BL$2)</f>
        <v>0</v>
      </c>
      <c r="BG106" s="96">
        <f>SUM('Defect (Total)'!BG106,Planned!CJ106,Reconductor!CJ106,CTGS!CJ106,'Substation 2025$'!CJ106*$BL$1,Comms!CF106*$BL$2)</f>
        <v>0</v>
      </c>
      <c r="BH106" s="96">
        <f>SUM('Defect (Total)'!BH106,Planned!CK106,Reconductor!CK106,CTGS!CK106,'Substation 2025$'!CK106*$BL$1,Comms!CG106*$BL$2)</f>
        <v>0</v>
      </c>
      <c r="BI106" s="286">
        <f>SUM('Defect (Total)'!BI106,Planned!CL106,Reconductor!CL106,CTGS!CL106,'Substation 2025$'!CL106*$BL$1,Comms!CH106*$BL$2)</f>
        <v>0</v>
      </c>
      <c r="BJ106" s="99" t="str">
        <f t="shared" si="54"/>
        <v/>
      </c>
      <c r="BK106" s="992">
        <f>SUM('Defect (Total)'!BK106,Planned!CQ106,Reconductor!CQ106,CTGS!CQ106,'Substation 2025$'!CQ106*$BL$1,Comms!CM106*$BL$2)</f>
        <v>0</v>
      </c>
      <c r="BL106" s="992">
        <f>SUM('Defect (Total)'!BL106,Planned!CR106,Reconductor!CR106,CTGS!CR106,'Substation 2025$'!CR106*$BL$1,Comms!CN106*$BL$2)</f>
        <v>0</v>
      </c>
      <c r="BM106" s="524">
        <f>SUM('Defect (Total)'!BM106,Planned!CS106,Reconductor!CS106,CTGS!CS106,'Substation 2025$'!CS106*$BL$1,Comms!CO106*$BL$2)</f>
        <v>0</v>
      </c>
      <c r="BN106" s="416">
        <f>SUM('Defect (Total)'!BN106,Planned!CT106,Reconductor!CT106,CTGS!CT106,'Substation 2025$'!CT106*$BL$1,Comms!CP106*$BL$2)</f>
        <v>0</v>
      </c>
      <c r="BO106" s="97">
        <f>SUM('Defect (Total)'!BO106,Planned!CU106,Reconductor!CU106,CTGS!CU106,'Substation 2025$'!CU106*$BL$1,Comms!CQ106*$BL$2)</f>
        <v>0</v>
      </c>
      <c r="BP106" s="97">
        <f>SUM('Defect (Total)'!BP106,Planned!CV106,Reconductor!CV106,CTGS!CV106,'Substation 2025$'!CV106*$BL$1,Comms!CR106*$BL$2)</f>
        <v>0</v>
      </c>
      <c r="BQ106" s="97">
        <f>SUM('Defect (Total)'!BQ106,Planned!CW106,Reconductor!CW106,CTGS!CW106,'Substation 2025$'!CW106*$BL$1,Comms!CS106*$BL$2)</f>
        <v>0</v>
      </c>
      <c r="BR106" s="98">
        <f>SUM('Defect (Total)'!BR106,Planned!CX106,Reconductor!CX106,CTGS!CX106,'Substation 2025$'!CX106*$BL$1,Comms!CT106*$BL$2)</f>
        <v>0</v>
      </c>
      <c r="BS106" s="836" t="str">
        <f>'Unit Cost Rate Summary'!AO106</f>
        <v/>
      </c>
      <c r="BT106" s="840" t="str">
        <f t="shared" si="67"/>
        <v/>
      </c>
      <c r="BU106" s="832" t="str">
        <f t="shared" si="68"/>
        <v/>
      </c>
      <c r="BV106" t="s">
        <v>639</v>
      </c>
      <c r="CI106" s="416">
        <f>VLOOKUP($A106,'Distribution Summary'!$A$136:$CG$146,CI$1,0)*BN106</f>
        <v>0</v>
      </c>
      <c r="CJ106" s="97">
        <f>VLOOKUP($A106,'Distribution Summary'!$A$136:$CG$146,CJ$1,0)*BO106</f>
        <v>0</v>
      </c>
      <c r="CK106" s="97">
        <f>VLOOKUP($A106,'Distribution Summary'!$A$136:$CG$146,CK$1,0)*BP106</f>
        <v>0</v>
      </c>
      <c r="CL106" s="97">
        <f>VLOOKUP($A106,'Distribution Summary'!$A$136:$CG$146,CL$1,0)*BQ106</f>
        <v>0</v>
      </c>
      <c r="CM106" s="98">
        <f>VLOOKUP($A106,'Distribution Summary'!$A$136:$CG$146,CM$1,0)*BR106</f>
        <v>0</v>
      </c>
    </row>
    <row r="107" spans="1:91" x14ac:dyDescent="0.25">
      <c r="A107" s="81" t="s">
        <v>196</v>
      </c>
      <c r="B107" s="82" t="s">
        <v>217</v>
      </c>
      <c r="C107" s="83" t="s">
        <v>218</v>
      </c>
      <c r="D107" s="84">
        <f>SUM('Defect (Total)'!D107,Planned!D107,Reconductor!D107,CTGS!D107)</f>
        <v>0</v>
      </c>
      <c r="E107" s="85">
        <f>SUM('Defect (Total)'!E107,Planned!E107,Reconductor!E107,CTGS!E107)</f>
        <v>0</v>
      </c>
      <c r="F107" s="85">
        <f>SUM('Defect (Total)'!F107,Planned!F107,Reconductor!F107,CTGS!F107)</f>
        <v>0</v>
      </c>
      <c r="G107" s="85">
        <f>SUM('Defect (Total)'!G107,Planned!G107,Reconductor!G107,CTGS!G107)</f>
        <v>0</v>
      </c>
      <c r="H107" s="85">
        <f>SUM('Defect (Total)'!H107,Planned!H107,Reconductor!H107,CTGS!H107)</f>
        <v>0</v>
      </c>
      <c r="I107" s="85">
        <f>SUM('Defect (Total)'!I107,Planned!I107,Reconductor!I107,CTGS!I107)</f>
        <v>0</v>
      </c>
      <c r="J107" s="85">
        <f>SUM('Defect (Total)'!J107,Planned!J107,Reconductor!J107,CTGS!J107)</f>
        <v>0</v>
      </c>
      <c r="K107" s="85">
        <f>SUM('Defect (Total)'!K107,Planned!K107,Reconductor!K107,CTGS!K107)</f>
        <v>0</v>
      </c>
      <c r="L107" s="85">
        <f>SUM('Defect (Total)'!L107,Planned!L107,Reconductor!L107,CTGS!L107)</f>
        <v>0</v>
      </c>
      <c r="M107" s="85">
        <f>SUM('Defect (Total)'!M107,Planned!M107,Reconductor!M107,CTGS!M107)</f>
        <v>0</v>
      </c>
      <c r="N107" s="85">
        <f>SUM('Defect (Total)'!N107,Planned!N107,Reconductor!N107,CTGS!N107)</f>
        <v>0</v>
      </c>
      <c r="O107" s="560">
        <f>SUM('Defect (Total)'!O107,Planned!O107,Reconductor!O107,CTGS!O107)</f>
        <v>0</v>
      </c>
      <c r="P107" s="561">
        <f>SUM('Defect (Total)'!P107,Planned!P107,Reconductor!P107,CTGS!P107)</f>
        <v>0</v>
      </c>
      <c r="Q107" s="561">
        <f>SUM('Defect (Total)'!Q107,Planned!Q107,Reconductor!Q107,CTGS!Q107)</f>
        <v>0</v>
      </c>
      <c r="R107" s="561">
        <f>SUM('Defect (Total)'!R107,Planned!R107,Reconductor!R107,CTGS!R107)</f>
        <v>0</v>
      </c>
      <c r="S107" s="561">
        <f>SUM('Defect (Total)'!S107,Planned!S107,Reconductor!S107,CTGS!S107)</f>
        <v>0</v>
      </c>
      <c r="T107" s="561">
        <f>SUM('Defect (Total)'!T107,Planned!T107,Reconductor!T107,CTGS!T107)</f>
        <v>0</v>
      </c>
      <c r="U107" s="561">
        <f>SUM('Defect (Total)'!U107,Planned!U107,Reconductor!U107,CTGS!U107)</f>
        <v>0</v>
      </c>
      <c r="V107" s="561">
        <f>SUM('Defect (Total)'!V107,Planned!V107,Reconductor!V107,CTGS!V107)</f>
        <v>0</v>
      </c>
      <c r="W107" s="561">
        <f>SUM('Defect (Total)'!W107,Planned!W107,Reconductor!W107,CTGS!W107)</f>
        <v>0</v>
      </c>
      <c r="X107" s="561">
        <f>SUM('Defect (Total)'!X107,Planned!X107,Reconductor!X107,CTGS!X107)</f>
        <v>0</v>
      </c>
      <c r="Y107" s="561">
        <f>SUM('Defect (Total)'!Y107,Planned!Y107,Reconductor!Y107,CTGS!Y107)</f>
        <v>0</v>
      </c>
      <c r="Z107" s="86">
        <f>SUM('Defect (Total)'!Z107,Planned!Z107,Reconductor!Z107,CTGS!Z107)</f>
        <v>0</v>
      </c>
      <c r="AA107" s="87">
        <f>SUM('Defect (Total)'!AA107,Planned!AA107,Reconductor!AA107,CTGS!AA107)</f>
        <v>0</v>
      </c>
      <c r="AB107" s="87">
        <f>SUM('Defect (Total)'!AB107,Planned!AB107,Reconductor!AB107,CTGS!AB107)</f>
        <v>0</v>
      </c>
      <c r="AC107" s="87">
        <f>SUM('Defect (Total)'!AC107,Planned!AC107,Reconductor!AC107,CTGS!AC107)</f>
        <v>0</v>
      </c>
      <c r="AD107" s="87">
        <f>SUM('Defect (Total)'!AD107,Planned!AD107,Reconductor!AD107,CTGS!AD107)</f>
        <v>0</v>
      </c>
      <c r="AE107" s="87">
        <f>SUM('Defect (Total)'!AE107,Planned!AE107,Reconductor!AE107,CTGS!AE107)</f>
        <v>0</v>
      </c>
      <c r="AF107" s="87">
        <f>SUM('Defect (Total)'!AF107,Planned!AF107,Reconductor!AF107,CTGS!AF107)</f>
        <v>0</v>
      </c>
      <c r="AG107" s="87">
        <f>SUM('Defect (Total)'!AG107,Planned!AG107,Reconductor!AG107,CTGS!AG107)</f>
        <v>0</v>
      </c>
      <c r="AH107" s="87">
        <f>SUM('Defect (Total)'!AH107,Planned!AH107,Reconductor!AH107,CTGS!AH107)</f>
        <v>0</v>
      </c>
      <c r="AI107" s="87">
        <f>SUM('Defect (Total)'!AI107,Planned!AI107,Reconductor!AI107,CTGS!AI107)</f>
        <v>0</v>
      </c>
      <c r="AJ107" s="87">
        <f>SUM('Defect (Total)'!AJ107,Planned!AJ107,Reconductor!AJ107,CTGS!AJ107)</f>
        <v>0</v>
      </c>
      <c r="AK107" s="88">
        <f t="shared" si="51"/>
        <v>0</v>
      </c>
      <c r="AL107" s="89">
        <f t="shared" si="52"/>
        <v>0</v>
      </c>
      <c r="AM107" s="90">
        <f t="shared" si="53"/>
        <v>0</v>
      </c>
      <c r="AN107" s="91" t="str">
        <f t="shared" si="55"/>
        <v/>
      </c>
      <c r="AO107" s="92" t="str">
        <f t="shared" si="56"/>
        <v/>
      </c>
      <c r="AP107" s="92" t="str">
        <f t="shared" si="57"/>
        <v/>
      </c>
      <c r="AQ107" s="92" t="str">
        <f t="shared" si="58"/>
        <v/>
      </c>
      <c r="AR107" s="92" t="str">
        <f t="shared" si="59"/>
        <v/>
      </c>
      <c r="AS107" s="92" t="str">
        <f t="shared" si="60"/>
        <v/>
      </c>
      <c r="AT107" s="92" t="str">
        <f t="shared" si="61"/>
        <v/>
      </c>
      <c r="AU107" s="92" t="str">
        <f t="shared" si="62"/>
        <v/>
      </c>
      <c r="AV107" s="92" t="str">
        <f t="shared" si="63"/>
        <v/>
      </c>
      <c r="AW107" s="92" t="str">
        <f t="shared" si="44"/>
        <v/>
      </c>
      <c r="AX107" s="92" t="str">
        <f t="shared" si="45"/>
        <v/>
      </c>
      <c r="AY107" s="93" t="str">
        <f t="shared" si="64"/>
        <v/>
      </c>
      <c r="AZ107" s="94" t="str">
        <f t="shared" si="65"/>
        <v/>
      </c>
      <c r="BA107" s="95" t="str">
        <f t="shared" si="66"/>
        <v/>
      </c>
      <c r="BB107" s="689">
        <f>SUM('Defect (Total)'!BB107,Planned!CE107,Reconductor!CE107,CTGS!CE107,'Substation 2025$'!CE107*$BL$1,Comms!CA107*$BL$2)</f>
        <v>0</v>
      </c>
      <c r="BC107" s="689">
        <f>SUM('Defect (Total)'!BC107,Planned!CF107,Reconductor!CF107,CTGS!CF107,'Substation 2025$'!CF107*$BL$1,Comms!CB107*$BL$2)</f>
        <v>0</v>
      </c>
      <c r="BD107" s="96">
        <f>SUM('Defect (Total)'!BD107,Planned!CG107,Reconductor!CG107,CTGS!CG107,'Substation 2025$'!CG107*$BL$1,Comms!CC107*$BL$2)</f>
        <v>0</v>
      </c>
      <c r="BE107" s="96">
        <f>SUM('Defect (Total)'!BE107,Planned!CH107,Reconductor!CH107,CTGS!CH107,'Substation 2025$'!CH107*$BL$1,Comms!CD107*$BL$2)</f>
        <v>0</v>
      </c>
      <c r="BF107" s="96">
        <f>SUM('Defect (Total)'!BF107,Planned!CI107,Reconductor!CI107,CTGS!CI107,'Substation 2025$'!CI107*$BL$1,Comms!CE107*$BL$2)</f>
        <v>0</v>
      </c>
      <c r="BG107" s="96">
        <f>SUM('Defect (Total)'!BG107,Planned!CJ107,Reconductor!CJ107,CTGS!CJ107,'Substation 2025$'!CJ107*$BL$1,Comms!CF107*$BL$2)</f>
        <v>0</v>
      </c>
      <c r="BH107" s="96">
        <f>SUM('Defect (Total)'!BH107,Planned!CK107,Reconductor!CK107,CTGS!CK107,'Substation 2025$'!CK107*$BL$1,Comms!CG107*$BL$2)</f>
        <v>0</v>
      </c>
      <c r="BI107" s="286">
        <f>SUM('Defect (Total)'!BI107,Planned!CL107,Reconductor!CL107,CTGS!CL107,'Substation 2025$'!CL107*$BL$1,Comms!CH107*$BL$2)</f>
        <v>0</v>
      </c>
      <c r="BJ107" s="99" t="str">
        <f t="shared" si="54"/>
        <v/>
      </c>
      <c r="BK107" s="992">
        <f>SUM('Defect (Total)'!BK107,Planned!CQ107,Reconductor!CQ107,CTGS!CQ107,'Substation 2025$'!CQ107*$BL$1,Comms!CM107*$BL$2)</f>
        <v>0</v>
      </c>
      <c r="BL107" s="992">
        <f>SUM('Defect (Total)'!BL107,Planned!CR107,Reconductor!CR107,CTGS!CR107,'Substation 2025$'!CR107*$BL$1,Comms!CN107*$BL$2)</f>
        <v>0</v>
      </c>
      <c r="BM107" s="524">
        <f>SUM('Defect (Total)'!BM107,Planned!CS107,Reconductor!CS107,CTGS!CS107,'Substation 2025$'!CS107*$BL$1,Comms!CO107*$BL$2)</f>
        <v>0</v>
      </c>
      <c r="BN107" s="416">
        <f>SUM('Defect (Total)'!BN107,Planned!CT107,Reconductor!CT107,CTGS!CT107,'Substation 2025$'!CT107*$BL$1,Comms!CP107*$BL$2)</f>
        <v>0</v>
      </c>
      <c r="BO107" s="97">
        <f>SUM('Defect (Total)'!BO107,Planned!CU107,Reconductor!CU107,CTGS!CU107,'Substation 2025$'!CU107*$BL$1,Comms!CQ107*$BL$2)</f>
        <v>0</v>
      </c>
      <c r="BP107" s="97">
        <f>SUM('Defect (Total)'!BP107,Planned!CV107,Reconductor!CV107,CTGS!CV107,'Substation 2025$'!CV107*$BL$1,Comms!CR107*$BL$2)</f>
        <v>0</v>
      </c>
      <c r="BQ107" s="97">
        <f>SUM('Defect (Total)'!BQ107,Planned!CW107,Reconductor!CW107,CTGS!CW107,'Substation 2025$'!CW107*$BL$1,Comms!CS107*$BL$2)</f>
        <v>0</v>
      </c>
      <c r="BR107" s="98">
        <f>SUM('Defect (Total)'!BR107,Planned!CX107,Reconductor!CX107,CTGS!CX107,'Substation 2025$'!CX107*$BL$1,Comms!CT107*$BL$2)</f>
        <v>0</v>
      </c>
      <c r="BS107" s="836" t="str">
        <f>'Unit Cost Rate Summary'!AO107</f>
        <v/>
      </c>
      <c r="BT107" s="840" t="str">
        <f t="shared" si="67"/>
        <v/>
      </c>
      <c r="BU107" s="832" t="str">
        <f t="shared" si="68"/>
        <v/>
      </c>
      <c r="BV107" t="s">
        <v>639</v>
      </c>
      <c r="CI107" s="416">
        <f>VLOOKUP($A107,'Distribution Summary'!$A$136:$CG$146,CI$1,0)*BN107</f>
        <v>0</v>
      </c>
      <c r="CJ107" s="97">
        <f>VLOOKUP($A107,'Distribution Summary'!$A$136:$CG$146,CJ$1,0)*BO107</f>
        <v>0</v>
      </c>
      <c r="CK107" s="97">
        <f>VLOOKUP($A107,'Distribution Summary'!$A$136:$CG$146,CK$1,0)*BP107</f>
        <v>0</v>
      </c>
      <c r="CL107" s="97">
        <f>VLOOKUP($A107,'Distribution Summary'!$A$136:$CG$146,CL$1,0)*BQ107</f>
        <v>0</v>
      </c>
      <c r="CM107" s="98">
        <f>VLOOKUP($A107,'Distribution Summary'!$A$136:$CG$146,CM$1,0)*BR107</f>
        <v>0</v>
      </c>
    </row>
    <row r="108" spans="1:91" x14ac:dyDescent="0.25">
      <c r="A108" s="81" t="s">
        <v>196</v>
      </c>
      <c r="B108" s="82" t="s">
        <v>219</v>
      </c>
      <c r="C108" s="83" t="s">
        <v>220</v>
      </c>
      <c r="D108" s="84">
        <f>SUM('Defect (Total)'!D108,Planned!D108,Reconductor!D108,CTGS!D108)</f>
        <v>0</v>
      </c>
      <c r="E108" s="85">
        <f>SUM('Defect (Total)'!E108,Planned!E108,Reconductor!E108,CTGS!E108)</f>
        <v>0</v>
      </c>
      <c r="F108" s="85">
        <f>SUM('Defect (Total)'!F108,Planned!F108,Reconductor!F108,CTGS!F108)</f>
        <v>0</v>
      </c>
      <c r="G108" s="85">
        <f>SUM('Defect (Total)'!G108,Planned!G108,Reconductor!G108,CTGS!G108)</f>
        <v>0</v>
      </c>
      <c r="H108" s="85">
        <f>SUM('Defect (Total)'!H108,Planned!H108,Reconductor!H108,CTGS!H108)</f>
        <v>0</v>
      </c>
      <c r="I108" s="85">
        <f>SUM('Defect (Total)'!I108,Planned!I108,Reconductor!I108,CTGS!I108)</f>
        <v>0</v>
      </c>
      <c r="J108" s="85">
        <f>SUM('Defect (Total)'!J108,Planned!J108,Reconductor!J108,CTGS!J108)</f>
        <v>0</v>
      </c>
      <c r="K108" s="85">
        <f>SUM('Defect (Total)'!K108,Planned!K108,Reconductor!K108,CTGS!K108)</f>
        <v>0</v>
      </c>
      <c r="L108" s="85">
        <f>SUM('Defect (Total)'!L108,Planned!L108,Reconductor!L108,CTGS!L108)</f>
        <v>0</v>
      </c>
      <c r="M108" s="85">
        <f>SUM('Defect (Total)'!M108,Planned!M108,Reconductor!M108,CTGS!M108)</f>
        <v>0</v>
      </c>
      <c r="N108" s="85">
        <f>SUM('Defect (Total)'!N108,Planned!N108,Reconductor!N108,CTGS!N108)</f>
        <v>0</v>
      </c>
      <c r="O108" s="560">
        <f>SUM('Defect (Total)'!O108,Planned!O108,Reconductor!O108,CTGS!O108)</f>
        <v>0</v>
      </c>
      <c r="P108" s="561">
        <f>SUM('Defect (Total)'!P108,Planned!P108,Reconductor!P108,CTGS!P108)</f>
        <v>0</v>
      </c>
      <c r="Q108" s="561">
        <f>SUM('Defect (Total)'!Q108,Planned!Q108,Reconductor!Q108,CTGS!Q108)</f>
        <v>0</v>
      </c>
      <c r="R108" s="561">
        <f>SUM('Defect (Total)'!R108,Planned!R108,Reconductor!R108,CTGS!R108)</f>
        <v>0</v>
      </c>
      <c r="S108" s="561">
        <f>SUM('Defect (Total)'!S108,Planned!S108,Reconductor!S108,CTGS!S108)</f>
        <v>0</v>
      </c>
      <c r="T108" s="561">
        <f>SUM('Defect (Total)'!T108,Planned!T108,Reconductor!T108,CTGS!T108)</f>
        <v>0</v>
      </c>
      <c r="U108" s="561">
        <f>SUM('Defect (Total)'!U108,Planned!U108,Reconductor!U108,CTGS!U108)</f>
        <v>0</v>
      </c>
      <c r="V108" s="561">
        <f>SUM('Defect (Total)'!V108,Planned!V108,Reconductor!V108,CTGS!V108)</f>
        <v>0</v>
      </c>
      <c r="W108" s="561">
        <f>SUM('Defect (Total)'!W108,Planned!W108,Reconductor!W108,CTGS!W108)</f>
        <v>0</v>
      </c>
      <c r="X108" s="561">
        <f>SUM('Defect (Total)'!X108,Planned!X108,Reconductor!X108,CTGS!X108)</f>
        <v>0</v>
      </c>
      <c r="Y108" s="561">
        <f>SUM('Defect (Total)'!Y108,Planned!Y108,Reconductor!Y108,CTGS!Y108)</f>
        <v>0</v>
      </c>
      <c r="Z108" s="86">
        <f>SUM('Defect (Total)'!Z108,Planned!Z108,Reconductor!Z108,CTGS!Z108)</f>
        <v>0</v>
      </c>
      <c r="AA108" s="87">
        <f>SUM('Defect (Total)'!AA108,Planned!AA108,Reconductor!AA108,CTGS!AA108)</f>
        <v>0</v>
      </c>
      <c r="AB108" s="87">
        <f>SUM('Defect (Total)'!AB108,Planned!AB108,Reconductor!AB108,CTGS!AB108)</f>
        <v>0</v>
      </c>
      <c r="AC108" s="87">
        <f>SUM('Defect (Total)'!AC108,Planned!AC108,Reconductor!AC108,CTGS!AC108)</f>
        <v>0</v>
      </c>
      <c r="AD108" s="87">
        <f>SUM('Defect (Total)'!AD108,Planned!AD108,Reconductor!AD108,CTGS!AD108)</f>
        <v>0</v>
      </c>
      <c r="AE108" s="87">
        <f>SUM('Defect (Total)'!AE108,Planned!AE108,Reconductor!AE108,CTGS!AE108)</f>
        <v>0</v>
      </c>
      <c r="AF108" s="87">
        <f>SUM('Defect (Total)'!AF108,Planned!AF108,Reconductor!AF108,CTGS!AF108)</f>
        <v>0</v>
      </c>
      <c r="AG108" s="87">
        <f>SUM('Defect (Total)'!AG108,Planned!AG108,Reconductor!AG108,CTGS!AG108)</f>
        <v>0</v>
      </c>
      <c r="AH108" s="87">
        <f>SUM('Defect (Total)'!AH108,Planned!AH108,Reconductor!AH108,CTGS!AH108)</f>
        <v>0</v>
      </c>
      <c r="AI108" s="87">
        <f>SUM('Defect (Total)'!AI108,Planned!AI108,Reconductor!AI108,CTGS!AI108)</f>
        <v>0</v>
      </c>
      <c r="AJ108" s="87">
        <f>SUM('Defect (Total)'!AJ108,Planned!AJ108,Reconductor!AJ108,CTGS!AJ108)</f>
        <v>0</v>
      </c>
      <c r="AK108" s="88">
        <f t="shared" si="51"/>
        <v>0</v>
      </c>
      <c r="AL108" s="89">
        <f t="shared" si="52"/>
        <v>0</v>
      </c>
      <c r="AM108" s="90">
        <f t="shared" si="53"/>
        <v>0</v>
      </c>
      <c r="AN108" s="91" t="str">
        <f t="shared" si="55"/>
        <v/>
      </c>
      <c r="AO108" s="92" t="str">
        <f t="shared" si="56"/>
        <v/>
      </c>
      <c r="AP108" s="92" t="str">
        <f t="shared" si="57"/>
        <v/>
      </c>
      <c r="AQ108" s="92" t="str">
        <f t="shared" si="58"/>
        <v/>
      </c>
      <c r="AR108" s="92" t="str">
        <f t="shared" si="59"/>
        <v/>
      </c>
      <c r="AS108" s="92" t="str">
        <f t="shared" si="60"/>
        <v/>
      </c>
      <c r="AT108" s="92" t="str">
        <f t="shared" si="61"/>
        <v/>
      </c>
      <c r="AU108" s="92" t="str">
        <f t="shared" si="62"/>
        <v/>
      </c>
      <c r="AV108" s="92" t="str">
        <f t="shared" si="63"/>
        <v/>
      </c>
      <c r="AW108" s="92" t="str">
        <f t="shared" si="44"/>
        <v/>
      </c>
      <c r="AX108" s="92" t="str">
        <f t="shared" si="45"/>
        <v/>
      </c>
      <c r="AY108" s="93" t="str">
        <f t="shared" si="64"/>
        <v/>
      </c>
      <c r="AZ108" s="94" t="str">
        <f t="shared" si="65"/>
        <v/>
      </c>
      <c r="BA108" s="95" t="str">
        <f t="shared" si="66"/>
        <v/>
      </c>
      <c r="BB108" s="689">
        <f>SUM('Defect (Total)'!BB108,Planned!CE108,Reconductor!CE108,CTGS!CE108,'Substation 2025$'!CE108*$BL$1,Comms!CA108*$BL$2)</f>
        <v>0</v>
      </c>
      <c r="BC108" s="689">
        <f>SUM('Defect (Total)'!BC108,Planned!CF108,Reconductor!CF108,CTGS!CF108,'Substation 2025$'!CF108*$BL$1,Comms!CB108*$BL$2)</f>
        <v>0</v>
      </c>
      <c r="BD108" s="96">
        <f>SUM('Defect (Total)'!BD108,Planned!CG108,Reconductor!CG108,CTGS!CG108,'Substation 2025$'!CG108*$BL$1,Comms!CC108*$BL$2)</f>
        <v>0</v>
      </c>
      <c r="BE108" s="96">
        <f>SUM('Defect (Total)'!BE108,Planned!CH108,Reconductor!CH108,CTGS!CH108,'Substation 2025$'!CH108*$BL$1,Comms!CD108*$BL$2)</f>
        <v>0</v>
      </c>
      <c r="BF108" s="96">
        <f>SUM('Defect (Total)'!BF108,Planned!CI108,Reconductor!CI108,CTGS!CI108,'Substation 2025$'!CI108*$BL$1,Comms!CE108*$BL$2)</f>
        <v>0</v>
      </c>
      <c r="BG108" s="96">
        <f>SUM('Defect (Total)'!BG108,Planned!CJ108,Reconductor!CJ108,CTGS!CJ108,'Substation 2025$'!CJ108*$BL$1,Comms!CF108*$BL$2)</f>
        <v>0</v>
      </c>
      <c r="BH108" s="96">
        <f>SUM('Defect (Total)'!BH108,Planned!CK108,Reconductor!CK108,CTGS!CK108,'Substation 2025$'!CK108*$BL$1,Comms!CG108*$BL$2)</f>
        <v>0</v>
      </c>
      <c r="BI108" s="286">
        <f>SUM('Defect (Total)'!BI108,Planned!CL108,Reconductor!CL108,CTGS!CL108,'Substation 2025$'!CL108*$BL$1,Comms!CH108*$BL$2)</f>
        <v>0</v>
      </c>
      <c r="BJ108" s="99" t="str">
        <f t="shared" si="54"/>
        <v/>
      </c>
      <c r="BK108" s="992">
        <f>SUM('Defect (Total)'!BK108,Planned!CQ108,Reconductor!CQ108,CTGS!CQ108,'Substation 2025$'!CQ108*$BL$1,Comms!CM108*$BL$2)</f>
        <v>0</v>
      </c>
      <c r="BL108" s="992">
        <f>SUM('Defect (Total)'!BL108,Planned!CR108,Reconductor!CR108,CTGS!CR108,'Substation 2025$'!CR108*$BL$1,Comms!CN108*$BL$2)</f>
        <v>0</v>
      </c>
      <c r="BM108" s="524">
        <f>SUM('Defect (Total)'!BM108,Planned!CS108,Reconductor!CS108,CTGS!CS108,'Substation 2025$'!CS108*$BL$1,Comms!CO108*$BL$2)</f>
        <v>0</v>
      </c>
      <c r="BN108" s="416">
        <f>SUM('Defect (Total)'!BN108,Planned!CT108,Reconductor!CT108,CTGS!CT108,'Substation 2025$'!CT108*$BL$1,Comms!CP108*$BL$2)</f>
        <v>0</v>
      </c>
      <c r="BO108" s="97">
        <f>SUM('Defect (Total)'!BO108,Planned!CU108,Reconductor!CU108,CTGS!CU108,'Substation 2025$'!CU108*$BL$1,Comms!CQ108*$BL$2)</f>
        <v>0</v>
      </c>
      <c r="BP108" s="97">
        <f>SUM('Defect (Total)'!BP108,Planned!CV108,Reconductor!CV108,CTGS!CV108,'Substation 2025$'!CV108*$BL$1,Comms!CR108*$BL$2)</f>
        <v>0</v>
      </c>
      <c r="BQ108" s="97">
        <f>SUM('Defect (Total)'!BQ108,Planned!CW108,Reconductor!CW108,CTGS!CW108,'Substation 2025$'!CW108*$BL$1,Comms!CS108*$BL$2)</f>
        <v>0</v>
      </c>
      <c r="BR108" s="98">
        <f>SUM('Defect (Total)'!BR108,Planned!CX108,Reconductor!CX108,CTGS!CX108,'Substation 2025$'!CX108*$BL$1,Comms!CT108*$BL$2)</f>
        <v>0</v>
      </c>
      <c r="BS108" s="836" t="str">
        <f>'Unit Cost Rate Summary'!AO108</f>
        <v/>
      </c>
      <c r="BT108" s="840" t="str">
        <f t="shared" si="67"/>
        <v/>
      </c>
      <c r="BU108" s="832" t="str">
        <f t="shared" si="68"/>
        <v/>
      </c>
      <c r="BV108" t="s">
        <v>639</v>
      </c>
      <c r="CI108" s="416">
        <f>VLOOKUP($A108,'Distribution Summary'!$A$136:$CG$146,CI$1,0)*BN108</f>
        <v>0</v>
      </c>
      <c r="CJ108" s="97">
        <f>VLOOKUP($A108,'Distribution Summary'!$A$136:$CG$146,CJ$1,0)*BO108</f>
        <v>0</v>
      </c>
      <c r="CK108" s="97">
        <f>VLOOKUP($A108,'Distribution Summary'!$A$136:$CG$146,CK$1,0)*BP108</f>
        <v>0</v>
      </c>
      <c r="CL108" s="97">
        <f>VLOOKUP($A108,'Distribution Summary'!$A$136:$CG$146,CL$1,0)*BQ108</f>
        <v>0</v>
      </c>
      <c r="CM108" s="98">
        <f>VLOOKUP($A108,'Distribution Summary'!$A$136:$CG$146,CM$1,0)*BR108</f>
        <v>0</v>
      </c>
    </row>
    <row r="109" spans="1:91" ht="15.75" thickBot="1" x14ac:dyDescent="0.3">
      <c r="A109" s="100" t="s">
        <v>196</v>
      </c>
      <c r="B109" s="101" t="s">
        <v>393</v>
      </c>
      <c r="C109" s="102" t="s">
        <v>394</v>
      </c>
      <c r="D109" s="103">
        <f>SUM('Defect (Total)'!D109,Planned!D109,Reconductor!D109,CTGS!D109)</f>
        <v>0</v>
      </c>
      <c r="E109" s="104">
        <f>SUM('Defect (Total)'!E109,Planned!E109,Reconductor!E109,CTGS!E109)</f>
        <v>0</v>
      </c>
      <c r="F109" s="104">
        <f>SUM('Defect (Total)'!F109,Planned!F109,Reconductor!F109,CTGS!F109)</f>
        <v>45060</v>
      </c>
      <c r="G109" s="104">
        <f>SUM('Defect (Total)'!G109,Planned!G109,Reconductor!G109,CTGS!G109)</f>
        <v>0</v>
      </c>
      <c r="H109" s="104">
        <f>SUM('Defect (Total)'!H109,Planned!H109,Reconductor!H109,CTGS!H109)</f>
        <v>0</v>
      </c>
      <c r="I109" s="104">
        <f>SUM('Defect (Total)'!I109,Planned!I109,Reconductor!I109,CTGS!I109)</f>
        <v>0</v>
      </c>
      <c r="J109" s="104">
        <f>SUM('Defect (Total)'!J109,Planned!J109,Reconductor!J109,CTGS!J109)</f>
        <v>0</v>
      </c>
      <c r="K109" s="104">
        <f>SUM('Defect (Total)'!K109,Planned!K109,Reconductor!K109,CTGS!K109)</f>
        <v>0</v>
      </c>
      <c r="L109" s="104">
        <f>SUM('Defect (Total)'!L109,Planned!L109,Reconductor!L109,CTGS!L109)</f>
        <v>0</v>
      </c>
      <c r="M109" s="104">
        <f>SUM('Defect (Total)'!M109,Planned!M109,Reconductor!M109,CTGS!M109)</f>
        <v>0</v>
      </c>
      <c r="N109" s="104">
        <f>SUM('Defect (Total)'!N109,Planned!N109,Reconductor!N109,CTGS!N109)</f>
        <v>0</v>
      </c>
      <c r="O109" s="563">
        <f>SUM('Defect (Total)'!O109,Planned!O109,Reconductor!O109,CTGS!O109)</f>
        <v>0</v>
      </c>
      <c r="P109" s="564">
        <f>SUM('Defect (Total)'!P109,Planned!P109,Reconductor!P109,CTGS!P109)</f>
        <v>0</v>
      </c>
      <c r="Q109" s="564">
        <f>SUM('Defect (Total)'!Q109,Planned!Q109,Reconductor!Q109,CTGS!Q109)</f>
        <v>59118.978992920638</v>
      </c>
      <c r="R109" s="564">
        <f>SUM('Defect (Total)'!R109,Planned!R109,Reconductor!R109,CTGS!R109)</f>
        <v>0</v>
      </c>
      <c r="S109" s="564">
        <f>SUM('Defect (Total)'!S109,Planned!S109,Reconductor!S109,CTGS!S109)</f>
        <v>0</v>
      </c>
      <c r="T109" s="564">
        <f>SUM('Defect (Total)'!T109,Planned!T109,Reconductor!T109,CTGS!T109)</f>
        <v>0</v>
      </c>
      <c r="U109" s="564">
        <f>SUM('Defect (Total)'!U109,Planned!U109,Reconductor!U109,CTGS!U109)</f>
        <v>0</v>
      </c>
      <c r="V109" s="564">
        <f>SUM('Defect (Total)'!V109,Planned!V109,Reconductor!V109,CTGS!V109)</f>
        <v>0</v>
      </c>
      <c r="W109" s="564">
        <f>SUM('Defect (Total)'!W109,Planned!W109,Reconductor!W109,CTGS!W109)</f>
        <v>0</v>
      </c>
      <c r="X109" s="564">
        <f>SUM('Defect (Total)'!X109,Planned!X109,Reconductor!X109,CTGS!X109)</f>
        <v>0</v>
      </c>
      <c r="Y109" s="564">
        <f>SUM('Defect (Total)'!Y109,Planned!Y109,Reconductor!Y109,CTGS!Y109)</f>
        <v>0</v>
      </c>
      <c r="Z109" s="105">
        <f>SUM('Defect (Total)'!Z109,Planned!Z109,Reconductor!Z109,CTGS!Z109)</f>
        <v>0</v>
      </c>
      <c r="AA109" s="106">
        <f>SUM('Defect (Total)'!AA109,Planned!AA109,Reconductor!AA109,CTGS!AA109)</f>
        <v>0</v>
      </c>
      <c r="AB109" s="106">
        <f>SUM('Defect (Total)'!AB109,Planned!AB109,Reconductor!AB109,CTGS!AB109)</f>
        <v>1</v>
      </c>
      <c r="AC109" s="106">
        <f>SUM('Defect (Total)'!AC109,Planned!AC109,Reconductor!AC109,CTGS!AC109)</f>
        <v>0</v>
      </c>
      <c r="AD109" s="106">
        <f>SUM('Defect (Total)'!AD109,Planned!AD109,Reconductor!AD109,CTGS!AD109)</f>
        <v>0</v>
      </c>
      <c r="AE109" s="106">
        <f>SUM('Defect (Total)'!AE109,Planned!AE109,Reconductor!AE109,CTGS!AE109)</f>
        <v>0</v>
      </c>
      <c r="AF109" s="106">
        <f>SUM('Defect (Total)'!AF109,Planned!AF109,Reconductor!AF109,CTGS!AF109)</f>
        <v>0</v>
      </c>
      <c r="AG109" s="106">
        <f>SUM('Defect (Total)'!AG109,Planned!AG109,Reconductor!AG109,CTGS!AG109)</f>
        <v>0</v>
      </c>
      <c r="AH109" s="106">
        <f>SUM('Defect (Total)'!AH109,Planned!AH109,Reconductor!AH109,CTGS!AH109)</f>
        <v>0</v>
      </c>
      <c r="AI109" s="106">
        <f>SUM('Defect (Total)'!AI109,Planned!AI109,Reconductor!AI109,CTGS!AI109)</f>
        <v>0</v>
      </c>
      <c r="AJ109" s="106">
        <f>SUM('Defect (Total)'!AJ109,Planned!AJ109,Reconductor!AJ109,CTGS!AJ109)</f>
        <v>0</v>
      </c>
      <c r="AK109" s="107">
        <f t="shared" si="51"/>
        <v>0</v>
      </c>
      <c r="AL109" s="108">
        <f t="shared" si="52"/>
        <v>0</v>
      </c>
      <c r="AM109" s="109">
        <f t="shared" si="53"/>
        <v>0</v>
      </c>
      <c r="AN109" s="110" t="str">
        <f t="shared" si="55"/>
        <v/>
      </c>
      <c r="AO109" s="111" t="str">
        <f t="shared" si="56"/>
        <v/>
      </c>
      <c r="AP109" s="111">
        <f t="shared" si="57"/>
        <v>45060</v>
      </c>
      <c r="AQ109" s="111" t="str">
        <f t="shared" si="58"/>
        <v/>
      </c>
      <c r="AR109" s="111" t="str">
        <f t="shared" si="59"/>
        <v/>
      </c>
      <c r="AS109" s="111" t="str">
        <f t="shared" si="60"/>
        <v/>
      </c>
      <c r="AT109" s="111" t="str">
        <f t="shared" si="61"/>
        <v/>
      </c>
      <c r="AU109" s="111" t="str">
        <f t="shared" si="62"/>
        <v/>
      </c>
      <c r="AV109" s="111" t="str">
        <f t="shared" si="63"/>
        <v/>
      </c>
      <c r="AW109" s="111" t="str">
        <f t="shared" si="44"/>
        <v/>
      </c>
      <c r="AX109" s="111" t="str">
        <f t="shared" si="45"/>
        <v/>
      </c>
      <c r="AY109" s="112" t="str">
        <f t="shared" si="64"/>
        <v/>
      </c>
      <c r="AZ109" s="113" t="str">
        <f t="shared" si="65"/>
        <v/>
      </c>
      <c r="BA109" s="114" t="str">
        <f t="shared" si="66"/>
        <v/>
      </c>
      <c r="BB109" s="690">
        <f>SUM('Defect (Total)'!BB109,Planned!CE109,Reconductor!CE109,CTGS!CE109,'Substation 2025$'!CE109*$BL$1,Comms!CA109*$BL$2)</f>
        <v>0</v>
      </c>
      <c r="BC109" s="690">
        <f>SUM('Defect (Total)'!BC109,Planned!CF109,Reconductor!CF109,CTGS!CF109,'Substation 2025$'!CF109*$BL$1,Comms!CB109*$BL$2)</f>
        <v>0</v>
      </c>
      <c r="BD109" s="115">
        <f>SUM('Defect (Total)'!BD109,Planned!CG109,Reconductor!CG109,CTGS!CG109,'Substation 2025$'!CG109*$BL$1,Comms!CC109*$BL$2)</f>
        <v>0</v>
      </c>
      <c r="BE109" s="115">
        <f>SUM('Defect (Total)'!BE109,Planned!CH109,Reconductor!CH109,CTGS!CH109,'Substation 2025$'!CH109*$BL$1,Comms!CD109*$BL$2)</f>
        <v>0</v>
      </c>
      <c r="BF109" s="115">
        <f>SUM('Defect (Total)'!BF109,Planned!CI109,Reconductor!CI109,CTGS!CI109,'Substation 2025$'!CI109*$BL$1,Comms!CE109*$BL$2)</f>
        <v>0</v>
      </c>
      <c r="BG109" s="115">
        <f>SUM('Defect (Total)'!BG109,Planned!CJ109,Reconductor!CJ109,CTGS!CJ109,'Substation 2025$'!CJ109*$BL$1,Comms!CF109*$BL$2)</f>
        <v>0</v>
      </c>
      <c r="BH109" s="115">
        <f>SUM('Defect (Total)'!BH109,Planned!CK109,Reconductor!CK109,CTGS!CK109,'Substation 2025$'!CK109*$BL$1,Comms!CG109*$BL$2)</f>
        <v>0</v>
      </c>
      <c r="BI109" s="287">
        <f>SUM('Defect (Total)'!BI109,Planned!CL109,Reconductor!CL109,CTGS!CL109,'Substation 2025$'!CL109*$BL$1,Comms!CH109*$BL$2)</f>
        <v>0</v>
      </c>
      <c r="BJ109" s="116" t="str">
        <f t="shared" si="54"/>
        <v/>
      </c>
      <c r="BK109" s="1013">
        <f>SUM('Defect (Total)'!BK109,Planned!CQ109,Reconductor!CQ109,CTGS!CQ109,'Substation 2025$'!CQ109*$BL$1,Comms!CM109*$BL$2)</f>
        <v>0</v>
      </c>
      <c r="BL109" s="1013">
        <f>SUM('Defect (Total)'!BL109,Planned!CR109,Reconductor!CR109,CTGS!CR109,'Substation 2025$'!CR109*$BL$1,Comms!CN109*$BL$2)</f>
        <v>0</v>
      </c>
      <c r="BM109" s="638">
        <f>SUM('Defect (Total)'!BM109,Planned!CS109,Reconductor!CS109,CTGS!CS109,'Substation 2025$'!CS109*$BL$1,Comms!CO109*$BL$2)</f>
        <v>0</v>
      </c>
      <c r="BN109" s="467">
        <f>SUM('Defect (Total)'!BN109,Planned!CT109,Reconductor!CT109,CTGS!CT109,'Substation 2025$'!CT109*$BL$1,Comms!CP109*$BL$2)</f>
        <v>0</v>
      </c>
      <c r="BO109" s="117">
        <f>SUM('Defect (Total)'!BO109,Planned!CU109,Reconductor!CU109,CTGS!CU109,'Substation 2025$'!CU109*$BL$1,Comms!CQ109*$BL$2)</f>
        <v>0</v>
      </c>
      <c r="BP109" s="117">
        <f>SUM('Defect (Total)'!BP109,Planned!CV109,Reconductor!CV109,CTGS!CV109,'Substation 2025$'!CV109*$BL$1,Comms!CR109*$BL$2)</f>
        <v>0</v>
      </c>
      <c r="BQ109" s="117">
        <f>SUM('Defect (Total)'!BQ109,Planned!CW109,Reconductor!CW109,CTGS!CW109,'Substation 2025$'!CW109*$BL$1,Comms!CS109*$BL$2)</f>
        <v>0</v>
      </c>
      <c r="BR109" s="118">
        <f>SUM('Defect (Total)'!BR109,Planned!CX109,Reconductor!CX109,CTGS!CX109,'Substation 2025$'!CX109*$BL$1,Comms!CT109*$BL$2)</f>
        <v>0</v>
      </c>
      <c r="BS109" s="837" t="str">
        <f>'Unit Cost Rate Summary'!AO109</f>
        <v/>
      </c>
      <c r="BT109" s="841" t="str">
        <f t="shared" si="67"/>
        <v/>
      </c>
      <c r="BU109" s="833" t="str">
        <f t="shared" si="68"/>
        <v/>
      </c>
      <c r="BV109" t="s">
        <v>639</v>
      </c>
      <c r="CI109" s="467">
        <f>VLOOKUP($A109,'Distribution Summary'!$A$136:$CG$146,CI$1,0)*BN109</f>
        <v>0</v>
      </c>
      <c r="CJ109" s="117">
        <f>VLOOKUP($A109,'Distribution Summary'!$A$136:$CG$146,CJ$1,0)*BO109</f>
        <v>0</v>
      </c>
      <c r="CK109" s="117">
        <f>VLOOKUP($A109,'Distribution Summary'!$A$136:$CG$146,CK$1,0)*BP109</f>
        <v>0</v>
      </c>
      <c r="CL109" s="117">
        <f>VLOOKUP($A109,'Distribution Summary'!$A$136:$CG$146,CL$1,0)*BQ109</f>
        <v>0</v>
      </c>
      <c r="CM109" s="118">
        <f>VLOOKUP($A109,'Distribution Summary'!$A$136:$CG$146,CM$1,0)*BR109</f>
        <v>0</v>
      </c>
    </row>
    <row r="110" spans="1:91" x14ac:dyDescent="0.25">
      <c r="A110" s="63" t="s">
        <v>224</v>
      </c>
      <c r="B110" s="64" t="s">
        <v>221</v>
      </c>
      <c r="C110" s="65" t="s">
        <v>395</v>
      </c>
      <c r="D110" s="66">
        <f>SUM('Defect (Total)'!D110,Planned!D110,Reconductor!D110,CTGS!D110)</f>
        <v>556013</v>
      </c>
      <c r="E110" s="67">
        <f>SUM('Defect (Total)'!E110,Planned!E110,Reconductor!E110,CTGS!E110)</f>
        <v>754700</v>
      </c>
      <c r="F110" s="67">
        <f>SUM('Defect (Total)'!F110,Planned!F110,Reconductor!F110,CTGS!F110)</f>
        <v>898408</v>
      </c>
      <c r="G110" s="67">
        <f>SUM('Defect (Total)'!G110,Planned!G110,Reconductor!G110,CTGS!G110)</f>
        <v>912075.20484481123</v>
      </c>
      <c r="H110" s="67">
        <f>SUM('Defect (Total)'!H110,Planned!H110,Reconductor!H110,CTGS!H110)</f>
        <v>1168840</v>
      </c>
      <c r="I110" s="67">
        <f>SUM('Defect (Total)'!I110,Planned!I110,Reconductor!I110,CTGS!I110)</f>
        <v>1187985.8409988044</v>
      </c>
      <c r="J110" s="67">
        <f>SUM('Defect (Total)'!J110,Planned!J110,Reconductor!J110,CTGS!J110)</f>
        <v>1289452.1432547553</v>
      </c>
      <c r="K110" s="67">
        <f>SUM('Defect (Total)'!K110,Planned!K110,Reconductor!K110,CTGS!K110)</f>
        <v>958659.04818659043</v>
      </c>
      <c r="L110" s="67">
        <f>SUM('Defect (Total)'!L110,Planned!L110,Reconductor!L110,CTGS!L110)</f>
        <v>938646.92503547622</v>
      </c>
      <c r="M110" s="67">
        <f>SUM('Defect (Total)'!M110,Planned!M110,Reconductor!M110,CTGS!M110)</f>
        <v>1110161.1377186542</v>
      </c>
      <c r="N110" s="67">
        <f>SUM('Defect (Total)'!N110,Planned!N110,Reconductor!N110,CTGS!N110)</f>
        <v>1247.6600000000001</v>
      </c>
      <c r="O110" s="557">
        <f>SUM('Defect (Total)'!O110,Planned!O110,Reconductor!O110,CTGS!O110)</f>
        <v>748091.20441100642</v>
      </c>
      <c r="P110" s="558">
        <f>SUM('Defect (Total)'!P110,Planned!P110,Reconductor!P110,CTGS!P110)</f>
        <v>1000302.7174580565</v>
      </c>
      <c r="Q110" s="558">
        <f>SUM('Defect (Total)'!Q110,Planned!Q110,Reconductor!Q110,CTGS!Q110)</f>
        <v>1178716.4598107378</v>
      </c>
      <c r="R110" s="558">
        <f>SUM('Defect (Total)'!R110,Planned!R110,Reconductor!R110,CTGS!R110)</f>
        <v>1173947.2732422217</v>
      </c>
      <c r="S110" s="558">
        <f>SUM('Defect (Total)'!S110,Planned!S110,Reconductor!S110,CTGS!S110)</f>
        <v>1473812.3281643884</v>
      </c>
      <c r="T110" s="558">
        <f>SUM('Defect (Total)'!T110,Planned!T110,Reconductor!T110,CTGS!T110)</f>
        <v>1474466.6003979691</v>
      </c>
      <c r="U110" s="558">
        <f>SUM('Defect (Total)'!U110,Planned!U110,Reconductor!U110,CTGS!U110)</f>
        <v>1605997.1372285951</v>
      </c>
      <c r="V110" s="558">
        <f>SUM('Defect (Total)'!V110,Planned!V110,Reconductor!V110,CTGS!V110)</f>
        <v>1149776.1556680943</v>
      </c>
      <c r="W110" s="558">
        <f>SUM('Defect (Total)'!W110,Planned!W110,Reconductor!W110,CTGS!W110)</f>
        <v>1060602.7236824576</v>
      </c>
      <c r="X110" s="558">
        <f>SUM('Defect (Total)'!X110,Planned!X110,Reconductor!X110,CTGS!X110)</f>
        <v>1180612.9916297342</v>
      </c>
      <c r="Y110" s="558">
        <f>SUM('Defect (Total)'!Y110,Planned!Y110,Reconductor!Y110,CTGS!Y110)</f>
        <v>317578.72582844301</v>
      </c>
      <c r="Z110" s="68">
        <f>SUM('Defect (Total)'!Z110,Planned!Z110,Reconductor!Z110,CTGS!Z110)</f>
        <v>184</v>
      </c>
      <c r="AA110" s="69">
        <f>SUM('Defect (Total)'!AA110,Planned!AA110,Reconductor!AA110,CTGS!AA110)</f>
        <v>288</v>
      </c>
      <c r="AB110" s="69">
        <f>SUM('Defect (Total)'!AB110,Planned!AB110,Reconductor!AB110,CTGS!AB110)</f>
        <v>285</v>
      </c>
      <c r="AC110" s="69">
        <f>SUM('Defect (Total)'!AC110,Planned!AC110,Reconductor!AC110,CTGS!AC110)</f>
        <v>306</v>
      </c>
      <c r="AD110" s="69">
        <f>SUM('Defect (Total)'!AD110,Planned!AD110,Reconductor!AD110,CTGS!AD110)</f>
        <v>323</v>
      </c>
      <c r="AE110" s="69">
        <f>SUM('Defect (Total)'!AE110,Planned!AE110,Reconductor!AE110,CTGS!AE110)</f>
        <v>351</v>
      </c>
      <c r="AF110" s="69">
        <f>SUM('Defect (Total)'!AF110,Planned!AF110,Reconductor!AF110,CTGS!AF110)</f>
        <v>471</v>
      </c>
      <c r="AG110" s="69">
        <f>SUM('Defect (Total)'!AG110,Planned!AG110,Reconductor!AG110,CTGS!AG110)</f>
        <v>370</v>
      </c>
      <c r="AH110" s="69">
        <f>SUM('Defect (Total)'!AH110,Planned!AH110,Reconductor!AH110,CTGS!AH110)</f>
        <v>251</v>
      </c>
      <c r="AI110" s="69">
        <f>SUM('Defect (Total)'!AI110,Planned!AI110,Reconductor!AI110,CTGS!AI110)</f>
        <v>247</v>
      </c>
      <c r="AJ110" s="69">
        <f>SUM('Defect (Total)'!AJ110,Planned!AJ110,Reconductor!AJ110,CTGS!AJ110)</f>
        <v>3</v>
      </c>
      <c r="AK110" s="70">
        <f t="shared" si="51"/>
        <v>338</v>
      </c>
      <c r="AL110" s="71">
        <f t="shared" si="52"/>
        <v>289.33333333333331</v>
      </c>
      <c r="AM110" s="72">
        <f t="shared" si="53"/>
        <v>247</v>
      </c>
      <c r="AN110" s="73">
        <f t="shared" si="55"/>
        <v>3021.8097826086955</v>
      </c>
      <c r="AO110" s="74">
        <f t="shared" si="56"/>
        <v>2620.4861111111113</v>
      </c>
      <c r="AP110" s="74">
        <f t="shared" si="57"/>
        <v>3152.3087719298246</v>
      </c>
      <c r="AQ110" s="74">
        <f t="shared" si="58"/>
        <v>2980.6379243294487</v>
      </c>
      <c r="AR110" s="74">
        <f t="shared" si="59"/>
        <v>3618.6996904024768</v>
      </c>
      <c r="AS110" s="74">
        <f t="shared" si="60"/>
        <v>3384.5750455806392</v>
      </c>
      <c r="AT110" s="74">
        <f t="shared" si="61"/>
        <v>2737.6903253816463</v>
      </c>
      <c r="AU110" s="74">
        <f t="shared" si="62"/>
        <v>2590.9704005042986</v>
      </c>
      <c r="AV110" s="74">
        <f t="shared" si="63"/>
        <v>3739.6291834082717</v>
      </c>
      <c r="AW110" s="74">
        <f t="shared" si="44"/>
        <v>4494.579504933823</v>
      </c>
      <c r="AX110" s="74">
        <f t="shared" si="45"/>
        <v>415.88666666666671</v>
      </c>
      <c r="AY110" s="75">
        <f t="shared" si="64"/>
        <v>3139.0622635762325</v>
      </c>
      <c r="AZ110" s="76">
        <f t="shared" si="65"/>
        <v>2918.2766634403133</v>
      </c>
      <c r="BA110" s="77">
        <f t="shared" si="66"/>
        <v>3739.6291834082717</v>
      </c>
      <c r="BB110" s="688">
        <f>SUM('Defect (Total)'!BB110,Planned!CE110,Reconductor!CE110,CTGS!CE110,'Substation 2025$'!CE110*$BL$1,Comms!CA110*$BL$2)</f>
        <v>0</v>
      </c>
      <c r="BC110" s="688">
        <f>SUM('Defect (Total)'!BC110,Planned!CF110,Reconductor!CF110,CTGS!CF110,'Substation 2025$'!CF110*$BL$1,Comms!CB110*$BL$2)</f>
        <v>0</v>
      </c>
      <c r="BD110" s="78">
        <f>SUM('Defect (Total)'!BD110,Planned!CG110,Reconductor!CG110,CTGS!CG110,'Substation 2025$'!CG110*$BL$1,Comms!CC110*$BL$2)</f>
        <v>0</v>
      </c>
      <c r="BE110" s="78">
        <f>SUM('Defect (Total)'!BE110,Planned!CH110,Reconductor!CH110,CTGS!CH110,'Substation 2025$'!CH110*$BL$1,Comms!CD110*$BL$2)</f>
        <v>0</v>
      </c>
      <c r="BF110" s="78">
        <f>SUM('Defect (Total)'!BF110,Planned!CI110,Reconductor!CI110,CTGS!CI110,'Substation 2025$'!CI110*$BL$1,Comms!CE110*$BL$2)</f>
        <v>0</v>
      </c>
      <c r="BG110" s="78">
        <f>SUM('Defect (Total)'!BG110,Planned!CJ110,Reconductor!CJ110,CTGS!CJ110,'Substation 2025$'!CJ110*$BL$1,Comms!CF110*$BL$2)</f>
        <v>0</v>
      </c>
      <c r="BH110" s="78">
        <f>SUM('Defect (Total)'!BH110,Planned!CK110,Reconductor!CK110,CTGS!CK110,'Substation 2025$'!CK110*$BL$1,Comms!CG110*$BL$2)</f>
        <v>0</v>
      </c>
      <c r="BI110" s="285">
        <f>SUM('Defect (Total)'!BI110,Planned!CL110,Reconductor!CL110,CTGS!CL110,'Substation 2025$'!CL110*$BL$1,Comms!CH110*$BL$2)</f>
        <v>0</v>
      </c>
      <c r="BJ110" s="124" t="str">
        <f t="shared" si="54"/>
        <v/>
      </c>
      <c r="BK110" s="974">
        <f>SUM('Defect (Total)'!BK110,Planned!CQ110,Reconductor!CQ110,CTGS!CQ110,'Substation 2025$'!CQ110*$BL$1,Comms!CM110*$BL$2)</f>
        <v>0</v>
      </c>
      <c r="BL110" s="974">
        <f>SUM('Defect (Total)'!BL110,Planned!CR110,Reconductor!CR110,CTGS!CR110,'Substation 2025$'!CR110*$BL$1,Comms!CN110*$BL$2)</f>
        <v>0</v>
      </c>
      <c r="BM110" s="523">
        <f>SUM('Defect (Total)'!BM110,Planned!CS110,Reconductor!CS110,CTGS!CS110,'Substation 2025$'!CS110*$BL$1,Comms!CO110*$BL$2)</f>
        <v>0</v>
      </c>
      <c r="BN110" s="415">
        <f>SUM('Defect (Total)'!BN110,Planned!CT110,Reconductor!CT110,CTGS!CT110,'Substation 2025$'!CT110*$BL$1,Comms!CP110*$BL$2)</f>
        <v>0</v>
      </c>
      <c r="BO110" s="79">
        <f>SUM('Defect (Total)'!BO110,Planned!CU110,Reconductor!CU110,CTGS!CU110,'Substation 2025$'!CU110*$BL$1,Comms!CQ110*$BL$2)</f>
        <v>0</v>
      </c>
      <c r="BP110" s="79">
        <f>SUM('Defect (Total)'!BP110,Planned!CV110,Reconductor!CV110,CTGS!CV110,'Substation 2025$'!CV110*$BL$1,Comms!CR110*$BL$2)</f>
        <v>0</v>
      </c>
      <c r="BQ110" s="79">
        <f>SUM('Defect (Total)'!BQ110,Planned!CW110,Reconductor!CW110,CTGS!CW110,'Substation 2025$'!CW110*$BL$1,Comms!CS110*$BL$2)</f>
        <v>0</v>
      </c>
      <c r="BR110" s="80">
        <f>SUM('Defect (Total)'!BR110,Planned!CX110,Reconductor!CX110,CTGS!CX110,'Substation 2025$'!CX110*$BL$1,Comms!CT110*$BL$2)</f>
        <v>0</v>
      </c>
      <c r="BS110" s="835" t="str">
        <f>'Unit Cost Rate Summary'!AO110</f>
        <v/>
      </c>
      <c r="BT110" s="839" t="str">
        <f t="shared" si="67"/>
        <v/>
      </c>
      <c r="BU110" s="834" t="str">
        <f t="shared" si="68"/>
        <v/>
      </c>
      <c r="CI110" s="415">
        <f>VLOOKUP($A110,'Distribution Summary'!$A$136:$CG$146,CI$1,0)*BN110</f>
        <v>0</v>
      </c>
      <c r="CJ110" s="79">
        <f>VLOOKUP($A110,'Distribution Summary'!$A$136:$CG$146,CJ$1,0)*BO110</f>
        <v>0</v>
      </c>
      <c r="CK110" s="79">
        <f>VLOOKUP($A110,'Distribution Summary'!$A$136:$CG$146,CK$1,0)*BP110</f>
        <v>0</v>
      </c>
      <c r="CL110" s="79">
        <f>VLOOKUP($A110,'Distribution Summary'!$A$136:$CG$146,CL$1,0)*BQ110</f>
        <v>0</v>
      </c>
      <c r="CM110" s="80">
        <f>VLOOKUP($A110,'Distribution Summary'!$A$136:$CG$146,CM$1,0)*BR110</f>
        <v>0</v>
      </c>
    </row>
    <row r="111" spans="1:91" x14ac:dyDescent="0.25">
      <c r="A111" s="81" t="s">
        <v>224</v>
      </c>
      <c r="B111" s="82" t="s">
        <v>225</v>
      </c>
      <c r="C111" s="83" t="s">
        <v>396</v>
      </c>
      <c r="D111" s="84">
        <f>SUM('Defect (Total)'!D111,Planned!D111,Reconductor!D111,CTGS!D111)</f>
        <v>1194146</v>
      </c>
      <c r="E111" s="85">
        <f>SUM('Defect (Total)'!E111,Planned!E111,Reconductor!E111,CTGS!E111)</f>
        <v>2200169.9999999995</v>
      </c>
      <c r="F111" s="85">
        <f>SUM('Defect (Total)'!F111,Planned!F111,Reconductor!F111,CTGS!F111)</f>
        <v>1234867</v>
      </c>
      <c r="G111" s="85">
        <f>SUM('Defect (Total)'!G111,Planned!G111,Reconductor!G111,CTGS!G111)</f>
        <v>1871159.4359033722</v>
      </c>
      <c r="H111" s="85">
        <f>SUM('Defect (Total)'!H111,Planned!H111,Reconductor!H111,CTGS!H111)</f>
        <v>1051186</v>
      </c>
      <c r="I111" s="85">
        <f>SUM('Defect (Total)'!I111,Planned!I111,Reconductor!I111,CTGS!I111)</f>
        <v>1592848.490974853</v>
      </c>
      <c r="J111" s="85">
        <f>SUM('Defect (Total)'!J111,Planned!J111,Reconductor!J111,CTGS!J111)</f>
        <v>3000057.616529163</v>
      </c>
      <c r="K111" s="85">
        <f>SUM('Defect (Total)'!K111,Planned!K111,Reconductor!K111,CTGS!K111)</f>
        <v>1322073.5502679709</v>
      </c>
      <c r="L111" s="85">
        <f>SUM('Defect (Total)'!L111,Planned!L111,Reconductor!L111,CTGS!L111)</f>
        <v>1026270.1148063598</v>
      </c>
      <c r="M111" s="85">
        <f>SUM('Defect (Total)'!M111,Planned!M111,Reconductor!M111,CTGS!M111)</f>
        <v>1334773.2962086189</v>
      </c>
      <c r="N111" s="85">
        <f>SUM('Defect (Total)'!N111,Planned!N111,Reconductor!N111,CTGS!N111)</f>
        <v>615718.86</v>
      </c>
      <c r="O111" s="560">
        <f>SUM('Defect (Total)'!O111,Planned!O111,Reconductor!O111,CTGS!O111)</f>
        <v>1606671.2817552567</v>
      </c>
      <c r="P111" s="561">
        <f>SUM('Defect (Total)'!P111,Planned!P111,Reconductor!P111,CTGS!P111)</f>
        <v>2916173.3534777951</v>
      </c>
      <c r="Q111" s="561">
        <f>SUM('Defect (Total)'!Q111,Planned!Q111,Reconductor!Q111,CTGS!Q111)</f>
        <v>1620152.6016877701</v>
      </c>
      <c r="R111" s="561">
        <f>SUM('Defect (Total)'!R111,Planned!R111,Reconductor!R111,CTGS!R111)</f>
        <v>2408400.6515164226</v>
      </c>
      <c r="S111" s="561">
        <f>SUM('Defect (Total)'!S111,Planned!S111,Reconductor!S111,CTGS!S111)</f>
        <v>1325460.1878732853</v>
      </c>
      <c r="T111" s="561">
        <f>SUM('Defect (Total)'!T111,Planned!T111,Reconductor!T111,CTGS!T111)</f>
        <v>1976961.1879061863</v>
      </c>
      <c r="U111" s="561">
        <f>SUM('Defect (Total)'!U111,Planned!U111,Reconductor!U111,CTGS!U111)</f>
        <v>3736535.6821271158</v>
      </c>
      <c r="V111" s="561">
        <f>SUM('Defect (Total)'!V111,Planned!V111,Reconductor!V111,CTGS!V111)</f>
        <v>1585640.5330059652</v>
      </c>
      <c r="W111" s="561">
        <f>SUM('Defect (Total)'!W111,Planned!W111,Reconductor!W111,CTGS!W111)</f>
        <v>1159610.5521321502</v>
      </c>
      <c r="X111" s="561">
        <f>SUM('Defect (Total)'!X111,Planned!X111,Reconductor!X111,CTGS!X111)</f>
        <v>1419479.2457090162</v>
      </c>
      <c r="Y111" s="561">
        <f>SUM('Defect (Total)'!Y111,Planned!Y111,Reconductor!Y111,CTGS!Y111)</f>
        <v>2833445.4716554563</v>
      </c>
      <c r="Z111" s="86">
        <f>SUM('Defect (Total)'!Z111,Planned!Z111,Reconductor!Z111,CTGS!Z111)</f>
        <v>760</v>
      </c>
      <c r="AA111" s="87">
        <f>SUM('Defect (Total)'!AA111,Planned!AA111,Reconductor!AA111,CTGS!AA111)</f>
        <v>1158</v>
      </c>
      <c r="AB111" s="87">
        <f>SUM('Defect (Total)'!AB111,Planned!AB111,Reconductor!AB111,CTGS!AB111)</f>
        <v>610</v>
      </c>
      <c r="AC111" s="87">
        <f>SUM('Defect (Total)'!AC111,Planned!AC111,Reconductor!AC111,CTGS!AC111)</f>
        <v>673</v>
      </c>
      <c r="AD111" s="87">
        <f>SUM('Defect (Total)'!AD111,Planned!AD111,Reconductor!AD111,CTGS!AD111)</f>
        <v>587</v>
      </c>
      <c r="AE111" s="87">
        <f>SUM('Defect (Total)'!AE111,Planned!AE111,Reconductor!AE111,CTGS!AE111)</f>
        <v>674</v>
      </c>
      <c r="AF111" s="87">
        <f>SUM('Defect (Total)'!AF111,Planned!AF111,Reconductor!AF111,CTGS!AF111)</f>
        <v>1114</v>
      </c>
      <c r="AG111" s="87">
        <f>SUM('Defect (Total)'!AG111,Planned!AG111,Reconductor!AG111,CTGS!AG111)</f>
        <v>558</v>
      </c>
      <c r="AH111" s="87">
        <f>SUM('Defect (Total)'!AH111,Planned!AH111,Reconductor!AH111,CTGS!AH111)</f>
        <v>198</v>
      </c>
      <c r="AI111" s="87">
        <f>SUM('Defect (Total)'!AI111,Planned!AI111,Reconductor!AI111,CTGS!AI111)</f>
        <v>201</v>
      </c>
      <c r="AJ111" s="87">
        <f>SUM('Defect (Total)'!AJ111,Planned!AJ111,Reconductor!AJ111,CTGS!AJ111)</f>
        <v>4</v>
      </c>
      <c r="AK111" s="88">
        <f t="shared" si="51"/>
        <v>549</v>
      </c>
      <c r="AL111" s="89">
        <f t="shared" si="52"/>
        <v>319</v>
      </c>
      <c r="AM111" s="90">
        <f t="shared" si="53"/>
        <v>201</v>
      </c>
      <c r="AN111" s="91">
        <f t="shared" si="55"/>
        <v>1571.2447368421053</v>
      </c>
      <c r="AO111" s="92">
        <f t="shared" si="56"/>
        <v>1899.9740932642483</v>
      </c>
      <c r="AP111" s="92">
        <f t="shared" si="57"/>
        <v>2024.372131147541</v>
      </c>
      <c r="AQ111" s="92">
        <f t="shared" si="58"/>
        <v>2780.3260563200183</v>
      </c>
      <c r="AR111" s="92">
        <f t="shared" si="59"/>
        <v>1790.7768313458262</v>
      </c>
      <c r="AS111" s="92">
        <f t="shared" si="60"/>
        <v>2363.2766928410283</v>
      </c>
      <c r="AT111" s="92">
        <f t="shared" si="61"/>
        <v>2693.0499250710618</v>
      </c>
      <c r="AU111" s="92">
        <f t="shared" si="62"/>
        <v>2369.3074377562202</v>
      </c>
      <c r="AV111" s="92">
        <f t="shared" si="63"/>
        <v>5183.1823980119179</v>
      </c>
      <c r="AW111" s="92">
        <f t="shared" si="44"/>
        <v>6640.6631652170099</v>
      </c>
      <c r="AX111" s="92">
        <f t="shared" si="45"/>
        <v>153929.715</v>
      </c>
      <c r="AY111" s="93">
        <f t="shared" si="64"/>
        <v>2552.678304879702</v>
      </c>
      <c r="AZ111" s="94">
        <f t="shared" si="65"/>
        <v>2860.1076372211196</v>
      </c>
      <c r="BA111" s="95">
        <f t="shared" si="66"/>
        <v>5183.1823980119179</v>
      </c>
      <c r="BB111" s="689">
        <f>SUM('Defect (Total)'!BB111,Planned!CE111,Reconductor!CE111,CTGS!CE111,'Substation 2025$'!CE111*$BL$1,Comms!CA111*$BL$2)</f>
        <v>0</v>
      </c>
      <c r="BC111" s="689">
        <f>SUM('Defect (Total)'!BC111,Planned!CF111,Reconductor!CF111,CTGS!CF111,'Substation 2025$'!CF111*$BL$1,Comms!CB111*$BL$2)</f>
        <v>0</v>
      </c>
      <c r="BD111" s="96">
        <f>SUM('Defect (Total)'!BD111,Planned!CG111,Reconductor!CG111,CTGS!CG111,'Substation 2025$'!CG111*$BL$1,Comms!CC111*$BL$2)</f>
        <v>0</v>
      </c>
      <c r="BE111" s="96">
        <f>SUM('Defect (Total)'!BE111,Planned!CH111,Reconductor!CH111,CTGS!CH111,'Substation 2025$'!CH111*$BL$1,Comms!CD111*$BL$2)</f>
        <v>0</v>
      </c>
      <c r="BF111" s="96">
        <f>SUM('Defect (Total)'!BF111,Planned!CI111,Reconductor!CI111,CTGS!CI111,'Substation 2025$'!CI111*$BL$1,Comms!CE111*$BL$2)</f>
        <v>0</v>
      </c>
      <c r="BG111" s="96">
        <f>SUM('Defect (Total)'!BG111,Planned!CJ111,Reconductor!CJ111,CTGS!CJ111,'Substation 2025$'!CJ111*$BL$1,Comms!CF111*$BL$2)</f>
        <v>0</v>
      </c>
      <c r="BH111" s="96">
        <f>SUM('Defect (Total)'!BH111,Planned!CK111,Reconductor!CK111,CTGS!CK111,'Substation 2025$'!CK111*$BL$1,Comms!CG111*$BL$2)</f>
        <v>0</v>
      </c>
      <c r="BI111" s="286">
        <f>SUM('Defect (Total)'!BI111,Planned!CL111,Reconductor!CL111,CTGS!CL111,'Substation 2025$'!CL111*$BL$1,Comms!CH111*$BL$2)</f>
        <v>0</v>
      </c>
      <c r="BJ111" s="99" t="str">
        <f t="shared" si="54"/>
        <v/>
      </c>
      <c r="BK111" s="992">
        <f>SUM('Defect (Total)'!BK111,Planned!CQ111,Reconductor!CQ111,CTGS!CQ111,'Substation 2025$'!CQ111*$BL$1,Comms!CM111*$BL$2)</f>
        <v>0</v>
      </c>
      <c r="BL111" s="992">
        <f>SUM('Defect (Total)'!BL111,Planned!CR111,Reconductor!CR111,CTGS!CR111,'Substation 2025$'!CR111*$BL$1,Comms!CN111*$BL$2)</f>
        <v>0</v>
      </c>
      <c r="BM111" s="524">
        <f>SUM('Defect (Total)'!BM111,Planned!CS111,Reconductor!CS111,CTGS!CS111,'Substation 2025$'!CS111*$BL$1,Comms!CO111*$BL$2)</f>
        <v>0</v>
      </c>
      <c r="BN111" s="416">
        <f>SUM('Defect (Total)'!BN111,Planned!CT111,Reconductor!CT111,CTGS!CT111,'Substation 2025$'!CT111*$BL$1,Comms!CP111*$BL$2)</f>
        <v>0</v>
      </c>
      <c r="BO111" s="97">
        <f>SUM('Defect (Total)'!BO111,Planned!CU111,Reconductor!CU111,CTGS!CU111,'Substation 2025$'!CU111*$BL$1,Comms!CQ111*$BL$2)</f>
        <v>0</v>
      </c>
      <c r="BP111" s="97">
        <f>SUM('Defect (Total)'!BP111,Planned!CV111,Reconductor!CV111,CTGS!CV111,'Substation 2025$'!CV111*$BL$1,Comms!CR111*$BL$2)</f>
        <v>0</v>
      </c>
      <c r="BQ111" s="97">
        <f>SUM('Defect (Total)'!BQ111,Planned!CW111,Reconductor!CW111,CTGS!CW111,'Substation 2025$'!CW111*$BL$1,Comms!CS111*$BL$2)</f>
        <v>0</v>
      </c>
      <c r="BR111" s="98">
        <f>SUM('Defect (Total)'!BR111,Planned!CX111,Reconductor!CX111,CTGS!CX111,'Substation 2025$'!CX111*$BL$1,Comms!CT111*$BL$2)</f>
        <v>0</v>
      </c>
      <c r="BS111" s="836" t="str">
        <f>'Unit Cost Rate Summary'!AO111</f>
        <v/>
      </c>
      <c r="BT111" s="840" t="str">
        <f t="shared" si="67"/>
        <v/>
      </c>
      <c r="BU111" s="832" t="str">
        <f t="shared" si="68"/>
        <v/>
      </c>
      <c r="CI111" s="416">
        <f>VLOOKUP($A111,'Distribution Summary'!$A$136:$CG$146,CI$1,0)*BN111</f>
        <v>0</v>
      </c>
      <c r="CJ111" s="97">
        <f>VLOOKUP($A111,'Distribution Summary'!$A$136:$CG$146,CJ$1,0)*BO111</f>
        <v>0</v>
      </c>
      <c r="CK111" s="97">
        <f>VLOOKUP($A111,'Distribution Summary'!$A$136:$CG$146,CK$1,0)*BP111</f>
        <v>0</v>
      </c>
      <c r="CL111" s="97">
        <f>VLOOKUP($A111,'Distribution Summary'!$A$136:$CG$146,CL$1,0)*BQ111</f>
        <v>0</v>
      </c>
      <c r="CM111" s="98">
        <f>VLOOKUP($A111,'Distribution Summary'!$A$136:$CG$146,CM$1,0)*BR111</f>
        <v>0</v>
      </c>
    </row>
    <row r="112" spans="1:91" x14ac:dyDescent="0.25">
      <c r="A112" s="81" t="s">
        <v>224</v>
      </c>
      <c r="B112" s="82" t="s">
        <v>227</v>
      </c>
      <c r="C112" s="83" t="s">
        <v>228</v>
      </c>
      <c r="D112" s="84">
        <f>SUM('Defect (Total)'!D112,Planned!D112,Reconductor!D112,CTGS!D112)</f>
        <v>195749</v>
      </c>
      <c r="E112" s="85">
        <f>SUM('Defect (Total)'!E112,Planned!E112,Reconductor!E112,CTGS!E112)</f>
        <v>287365</v>
      </c>
      <c r="F112" s="85">
        <f>SUM('Defect (Total)'!F112,Planned!F112,Reconductor!F112,CTGS!F112)</f>
        <v>372507</v>
      </c>
      <c r="G112" s="85">
        <f>SUM('Defect (Total)'!G112,Planned!G112,Reconductor!G112,CTGS!G112)</f>
        <v>222886.46442510301</v>
      </c>
      <c r="H112" s="85">
        <f>SUM('Defect (Total)'!H112,Planned!H112,Reconductor!H112,CTGS!H112)</f>
        <v>323409</v>
      </c>
      <c r="I112" s="85">
        <f>SUM('Defect (Total)'!I112,Planned!I112,Reconductor!I112,CTGS!I112)</f>
        <v>414479.04173260205</v>
      </c>
      <c r="J112" s="85">
        <f>SUM('Defect (Total)'!J112,Planned!J112,Reconductor!J112,CTGS!J112)</f>
        <v>736914.72464261984</v>
      </c>
      <c r="K112" s="85">
        <f>SUM('Defect (Total)'!K112,Planned!K112,Reconductor!K112,CTGS!K112)</f>
        <v>756759.76428005786</v>
      </c>
      <c r="L112" s="85">
        <f>SUM('Defect (Total)'!L112,Planned!L112,Reconductor!L112,CTGS!L112)</f>
        <v>683685.63255165576</v>
      </c>
      <c r="M112" s="85">
        <f>SUM('Defect (Total)'!M112,Planned!M112,Reconductor!M112,CTGS!M112)</f>
        <v>757040.93837970309</v>
      </c>
      <c r="N112" s="85">
        <f>SUM('Defect (Total)'!N112,Planned!N112,Reconductor!N112,CTGS!N112)</f>
        <v>3980.900805197</v>
      </c>
      <c r="O112" s="560">
        <f>SUM('Defect (Total)'!O112,Planned!O112,Reconductor!O112,CTGS!O112)</f>
        <v>263371.72902836819</v>
      </c>
      <c r="P112" s="561">
        <f>SUM('Defect (Total)'!P112,Planned!P112,Reconductor!P112,CTGS!P112)</f>
        <v>380882.4571383787</v>
      </c>
      <c r="Q112" s="561">
        <f>SUM('Defect (Total)'!Q112,Planned!Q112,Reconductor!Q112,CTGS!Q112)</f>
        <v>488731.32507136906</v>
      </c>
      <c r="R112" s="561">
        <f>SUM('Defect (Total)'!R112,Planned!R112,Reconductor!R112,CTGS!R112)</f>
        <v>286880.90166749986</v>
      </c>
      <c r="S112" s="561">
        <f>SUM('Defect (Total)'!S112,Planned!S112,Reconductor!S112,CTGS!S112)</f>
        <v>407792.48762817553</v>
      </c>
      <c r="T112" s="561">
        <f>SUM('Defect (Total)'!T112,Planned!T112,Reconductor!T112,CTGS!T112)</f>
        <v>514429.95573572058</v>
      </c>
      <c r="U112" s="561">
        <f>SUM('Defect (Total)'!U112,Planned!U112,Reconductor!U112,CTGS!U112)</f>
        <v>917818.42726661544</v>
      </c>
      <c r="V112" s="561">
        <f>SUM('Defect (Total)'!V112,Planned!V112,Reconductor!V112,CTGS!V112)</f>
        <v>907626.47490170435</v>
      </c>
      <c r="W112" s="561">
        <f>SUM('Defect (Total)'!W112,Planned!W112,Reconductor!W112,CTGS!W112)</f>
        <v>772515.01569607132</v>
      </c>
      <c r="X112" s="561">
        <f>SUM('Defect (Total)'!X112,Planned!X112,Reconductor!X112,CTGS!X112)</f>
        <v>805083.45741890755</v>
      </c>
      <c r="Y112" s="561">
        <f>SUM('Defect (Total)'!Y112,Planned!Y112,Reconductor!Y112,CTGS!Y112)</f>
        <v>616327.74113591458</v>
      </c>
      <c r="Z112" s="86">
        <f>SUM('Defect (Total)'!Z112,Planned!Z112,Reconductor!Z112,CTGS!Z112)</f>
        <v>72</v>
      </c>
      <c r="AA112" s="87">
        <f>SUM('Defect (Total)'!AA112,Planned!AA112,Reconductor!AA112,CTGS!AA112)</f>
        <v>108</v>
      </c>
      <c r="AB112" s="87">
        <f>SUM('Defect (Total)'!AB112,Planned!AB112,Reconductor!AB112,CTGS!AB112)</f>
        <v>135</v>
      </c>
      <c r="AC112" s="87">
        <f>SUM('Defect (Total)'!AC112,Planned!AC112,Reconductor!AC112,CTGS!AC112)</f>
        <v>98</v>
      </c>
      <c r="AD112" s="87">
        <f>SUM('Defect (Total)'!AD112,Planned!AD112,Reconductor!AD112,CTGS!AD112)</f>
        <v>130</v>
      </c>
      <c r="AE112" s="87">
        <f>SUM('Defect (Total)'!AE112,Planned!AE112,Reconductor!AE112,CTGS!AE112)</f>
        <v>180</v>
      </c>
      <c r="AF112" s="87">
        <f>SUM('Defect (Total)'!AF112,Planned!AF112,Reconductor!AF112,CTGS!AF112)</f>
        <v>409</v>
      </c>
      <c r="AG112" s="87">
        <f>SUM('Defect (Total)'!AG112,Planned!AG112,Reconductor!AG112,CTGS!AG112)</f>
        <v>484</v>
      </c>
      <c r="AH112" s="87">
        <f>SUM('Defect (Total)'!AH112,Planned!AH112,Reconductor!AH112,CTGS!AH112)</f>
        <v>344</v>
      </c>
      <c r="AI112" s="87">
        <f>SUM('Defect (Total)'!AI112,Planned!AI112,Reconductor!AI112,CTGS!AI112)</f>
        <v>255</v>
      </c>
      <c r="AJ112" s="87">
        <f>SUM('Defect (Total)'!AJ112,Planned!AJ112,Reconductor!AJ112,CTGS!AJ112)</f>
        <v>26</v>
      </c>
      <c r="AK112" s="88">
        <f t="shared" si="51"/>
        <v>334.4</v>
      </c>
      <c r="AL112" s="89">
        <f t="shared" si="52"/>
        <v>361</v>
      </c>
      <c r="AM112" s="90">
        <f t="shared" si="53"/>
        <v>255</v>
      </c>
      <c r="AN112" s="91">
        <f t="shared" si="55"/>
        <v>2718.7361111111113</v>
      </c>
      <c r="AO112" s="92">
        <f t="shared" si="56"/>
        <v>2660.787037037037</v>
      </c>
      <c r="AP112" s="92">
        <f t="shared" si="57"/>
        <v>2759.3111111111111</v>
      </c>
      <c r="AQ112" s="92">
        <f t="shared" si="58"/>
        <v>2274.3516778071735</v>
      </c>
      <c r="AR112" s="92">
        <f t="shared" si="59"/>
        <v>2487.7615384615383</v>
      </c>
      <c r="AS112" s="92">
        <f t="shared" si="60"/>
        <v>2302.6613429589001</v>
      </c>
      <c r="AT112" s="92">
        <f t="shared" si="61"/>
        <v>1801.7474930137405</v>
      </c>
      <c r="AU112" s="92">
        <f t="shared" si="62"/>
        <v>1563.5532319835906</v>
      </c>
      <c r="AV112" s="92">
        <f t="shared" si="63"/>
        <v>1987.45823416179</v>
      </c>
      <c r="AW112" s="92">
        <f t="shared" si="44"/>
        <v>2968.7879936458944</v>
      </c>
      <c r="AX112" s="92">
        <f t="shared" si="45"/>
        <v>153.11156943065384</v>
      </c>
      <c r="AY112" s="93">
        <f t="shared" si="64"/>
        <v>1884.4525941867714</v>
      </c>
      <c r="AZ112" s="94">
        <f t="shared" si="65"/>
        <v>1760.1941159857183</v>
      </c>
      <c r="BA112" s="95">
        <f t="shared" si="66"/>
        <v>1987.45823416179</v>
      </c>
      <c r="BB112" s="689">
        <f>SUM('Defect (Total)'!BB112,Planned!CE112,Reconductor!CE112,CTGS!CE112,'Substation 2025$'!CE112*$BL$1,Comms!CA112*$BL$2)</f>
        <v>0</v>
      </c>
      <c r="BC112" s="689">
        <f>SUM('Defect (Total)'!BC112,Planned!CF112,Reconductor!CF112,CTGS!CF112,'Substation 2025$'!CF112*$BL$1,Comms!CB112*$BL$2)</f>
        <v>0</v>
      </c>
      <c r="BD112" s="96">
        <f>SUM('Defect (Total)'!BD112,Planned!CG112,Reconductor!CG112,CTGS!CG112,'Substation 2025$'!CG112*$BL$1,Comms!CC112*$BL$2)</f>
        <v>0</v>
      </c>
      <c r="BE112" s="96">
        <f>SUM('Defect (Total)'!BE112,Planned!CH112,Reconductor!CH112,CTGS!CH112,'Substation 2025$'!CH112*$BL$1,Comms!CD112*$BL$2)</f>
        <v>0</v>
      </c>
      <c r="BF112" s="96">
        <f>SUM('Defect (Total)'!BF112,Planned!CI112,Reconductor!CI112,CTGS!CI112,'Substation 2025$'!CI112*$BL$1,Comms!CE112*$BL$2)</f>
        <v>0</v>
      </c>
      <c r="BG112" s="96">
        <f>SUM('Defect (Total)'!BG112,Planned!CJ112,Reconductor!CJ112,CTGS!CJ112,'Substation 2025$'!CJ112*$BL$1,Comms!CF112*$BL$2)</f>
        <v>0</v>
      </c>
      <c r="BH112" s="96">
        <f>SUM('Defect (Total)'!BH112,Planned!CK112,Reconductor!CK112,CTGS!CK112,'Substation 2025$'!CK112*$BL$1,Comms!CG112*$BL$2)</f>
        <v>0</v>
      </c>
      <c r="BI112" s="286">
        <f>SUM('Defect (Total)'!BI112,Planned!CL112,Reconductor!CL112,CTGS!CL112,'Substation 2025$'!CL112*$BL$1,Comms!CH112*$BL$2)</f>
        <v>0</v>
      </c>
      <c r="BJ112" s="99" t="str">
        <f t="shared" si="54"/>
        <v/>
      </c>
      <c r="BK112" s="992">
        <f>SUM('Defect (Total)'!BK112,Planned!CQ112,Reconductor!CQ112,CTGS!CQ112,'Substation 2025$'!CQ112*$BL$1,Comms!CM112*$BL$2)</f>
        <v>0</v>
      </c>
      <c r="BL112" s="992">
        <f>SUM('Defect (Total)'!BL112,Planned!CR112,Reconductor!CR112,CTGS!CR112,'Substation 2025$'!CR112*$BL$1,Comms!CN112*$BL$2)</f>
        <v>0</v>
      </c>
      <c r="BM112" s="524">
        <f>SUM('Defect (Total)'!BM112,Planned!CS112,Reconductor!CS112,CTGS!CS112,'Substation 2025$'!CS112*$BL$1,Comms!CO112*$BL$2)</f>
        <v>0</v>
      </c>
      <c r="BN112" s="416">
        <f>SUM('Defect (Total)'!BN112,Planned!CT112,Reconductor!CT112,CTGS!CT112,'Substation 2025$'!CT112*$BL$1,Comms!CP112*$BL$2)</f>
        <v>0</v>
      </c>
      <c r="BO112" s="97">
        <f>SUM('Defect (Total)'!BO112,Planned!CU112,Reconductor!CU112,CTGS!CU112,'Substation 2025$'!CU112*$BL$1,Comms!CQ112*$BL$2)</f>
        <v>0</v>
      </c>
      <c r="BP112" s="97">
        <f>SUM('Defect (Total)'!BP112,Planned!CV112,Reconductor!CV112,CTGS!CV112,'Substation 2025$'!CV112*$BL$1,Comms!CR112*$BL$2)</f>
        <v>0</v>
      </c>
      <c r="BQ112" s="97">
        <f>SUM('Defect (Total)'!BQ112,Planned!CW112,Reconductor!CW112,CTGS!CW112,'Substation 2025$'!CW112*$BL$1,Comms!CS112*$BL$2)</f>
        <v>0</v>
      </c>
      <c r="BR112" s="98">
        <f>SUM('Defect (Total)'!BR112,Planned!CX112,Reconductor!CX112,CTGS!CX112,'Substation 2025$'!CX112*$BL$1,Comms!CT112*$BL$2)</f>
        <v>0</v>
      </c>
      <c r="BS112" s="836" t="str">
        <f>'Unit Cost Rate Summary'!AO112</f>
        <v/>
      </c>
      <c r="BT112" s="840" t="str">
        <f t="shared" si="67"/>
        <v/>
      </c>
      <c r="BU112" s="832" t="str">
        <f t="shared" si="68"/>
        <v/>
      </c>
      <c r="CI112" s="416">
        <f>VLOOKUP($A112,'Distribution Summary'!$A$136:$CG$146,CI$1,0)*BN112</f>
        <v>0</v>
      </c>
      <c r="CJ112" s="97">
        <f>VLOOKUP($A112,'Distribution Summary'!$A$136:$CG$146,CJ$1,0)*BO112</f>
        <v>0</v>
      </c>
      <c r="CK112" s="97">
        <f>VLOOKUP($A112,'Distribution Summary'!$A$136:$CG$146,CK$1,0)*BP112</f>
        <v>0</v>
      </c>
      <c r="CL112" s="97">
        <f>VLOOKUP($A112,'Distribution Summary'!$A$136:$CG$146,CL$1,0)*BQ112</f>
        <v>0</v>
      </c>
      <c r="CM112" s="98">
        <f>VLOOKUP($A112,'Distribution Summary'!$A$136:$CG$146,CM$1,0)*BR112</f>
        <v>0</v>
      </c>
    </row>
    <row r="113" spans="1:91" x14ac:dyDescent="0.25">
      <c r="A113" s="81" t="s">
        <v>224</v>
      </c>
      <c r="B113" s="82" t="s">
        <v>229</v>
      </c>
      <c r="C113" s="83" t="s">
        <v>230</v>
      </c>
      <c r="D113" s="84">
        <f>SUM('Defect (Total)'!D113,Planned!D113,Reconductor!D113,CTGS!D113)</f>
        <v>307521</v>
      </c>
      <c r="E113" s="85">
        <f>SUM('Defect (Total)'!E113,Planned!E113,Reconductor!E113,CTGS!E113)</f>
        <v>283909</v>
      </c>
      <c r="F113" s="85">
        <f>SUM('Defect (Total)'!F113,Planned!F113,Reconductor!F113,CTGS!F113)</f>
        <v>339947</v>
      </c>
      <c r="G113" s="85">
        <f>SUM('Defect (Total)'!G113,Planned!G113,Reconductor!G113,CTGS!G113)</f>
        <v>246194.43773095025</v>
      </c>
      <c r="H113" s="85">
        <f>SUM('Defect (Total)'!H113,Planned!H113,Reconductor!H113,CTGS!H113)</f>
        <v>245128</v>
      </c>
      <c r="I113" s="85">
        <f>SUM('Defect (Total)'!I113,Planned!I113,Reconductor!I113,CTGS!I113)</f>
        <v>249025.71876388742</v>
      </c>
      <c r="J113" s="85">
        <f>SUM('Defect (Total)'!J113,Planned!J113,Reconductor!J113,CTGS!J113)</f>
        <v>585983.41718993243</v>
      </c>
      <c r="K113" s="85">
        <f>SUM('Defect (Total)'!K113,Planned!K113,Reconductor!K113,CTGS!K113)</f>
        <v>564010.11772546405</v>
      </c>
      <c r="L113" s="85">
        <f>SUM('Defect (Total)'!L113,Planned!L113,Reconductor!L113,CTGS!L113)</f>
        <v>558365.9545301327</v>
      </c>
      <c r="M113" s="85">
        <f>SUM('Defect (Total)'!M113,Planned!M113,Reconductor!M113,CTGS!M113)</f>
        <v>935293.12855472369</v>
      </c>
      <c r="N113" s="85">
        <f>SUM('Defect (Total)'!N113,Planned!N113,Reconductor!N113,CTGS!N113)</f>
        <v>0</v>
      </c>
      <c r="O113" s="560">
        <f>SUM('Defect (Total)'!O113,Planned!O113,Reconductor!O113,CTGS!O113)</f>
        <v>413756.07273872569</v>
      </c>
      <c r="P113" s="561">
        <f>SUM('Defect (Total)'!P113,Planned!P113,Reconductor!P113,CTGS!P113)</f>
        <v>376301.76786908618</v>
      </c>
      <c r="Q113" s="561">
        <f>SUM('Defect (Total)'!Q113,Planned!Q113,Reconductor!Q113,CTGS!Q113)</f>
        <v>446012.41792513081</v>
      </c>
      <c r="R113" s="561">
        <f>SUM('Defect (Total)'!R113,Planned!R113,Reconductor!R113,CTGS!R113)</f>
        <v>316880.98451358231</v>
      </c>
      <c r="S113" s="561">
        <f>SUM('Defect (Total)'!S113,Planned!S113,Reconductor!S113,CTGS!S113)</f>
        <v>309086.50318117131</v>
      </c>
      <c r="T113" s="561">
        <f>SUM('Defect (Total)'!T113,Planned!T113,Reconductor!T113,CTGS!T113)</f>
        <v>309077.84612040618</v>
      </c>
      <c r="U113" s="561">
        <f>SUM('Defect (Total)'!U113,Planned!U113,Reconductor!U113,CTGS!U113)</f>
        <v>729835.29896272509</v>
      </c>
      <c r="V113" s="561">
        <f>SUM('Defect (Total)'!V113,Planned!V113,Reconductor!V113,CTGS!V113)</f>
        <v>676450.49211497582</v>
      </c>
      <c r="W113" s="561">
        <f>SUM('Defect (Total)'!W113,Planned!W113,Reconductor!W113,CTGS!W113)</f>
        <v>630912.89854684356</v>
      </c>
      <c r="X113" s="561">
        <f>SUM('Defect (Total)'!X113,Planned!X113,Reconductor!X113,CTGS!X113)</f>
        <v>994647.6966603793</v>
      </c>
      <c r="Y113" s="561">
        <f>SUM('Defect (Total)'!Y113,Planned!Y113,Reconductor!Y113,CTGS!Y113)</f>
        <v>856460.40970438288</v>
      </c>
      <c r="Z113" s="86">
        <f>SUM('Defect (Total)'!Z113,Planned!Z113,Reconductor!Z113,CTGS!Z113)</f>
        <v>347</v>
      </c>
      <c r="AA113" s="87">
        <f>SUM('Defect (Total)'!AA113,Planned!AA113,Reconductor!AA113,CTGS!AA113)</f>
        <v>317</v>
      </c>
      <c r="AB113" s="87">
        <f>SUM('Defect (Total)'!AB113,Planned!AB113,Reconductor!AB113,CTGS!AB113)</f>
        <v>314</v>
      </c>
      <c r="AC113" s="87">
        <f>SUM('Defect (Total)'!AC113,Planned!AC113,Reconductor!AC113,CTGS!AC113)</f>
        <v>260</v>
      </c>
      <c r="AD113" s="87">
        <f>SUM('Defect (Total)'!AD113,Planned!AD113,Reconductor!AD113,CTGS!AD113)</f>
        <v>273</v>
      </c>
      <c r="AE113" s="87">
        <f>SUM('Defect (Total)'!AE113,Planned!AE113,Reconductor!AE113,CTGS!AE113)</f>
        <v>296</v>
      </c>
      <c r="AF113" s="87">
        <f>SUM('Defect (Total)'!AF113,Planned!AF113,Reconductor!AF113,CTGS!AF113)</f>
        <v>922</v>
      </c>
      <c r="AG113" s="87">
        <f>SUM('Defect (Total)'!AG113,Planned!AG113,Reconductor!AG113,CTGS!AG113)</f>
        <v>1102</v>
      </c>
      <c r="AH113" s="87">
        <f>SUM('Defect (Total)'!AH113,Planned!AH113,Reconductor!AH113,CTGS!AH113)</f>
        <v>806</v>
      </c>
      <c r="AI113" s="87">
        <f>SUM('Defect (Total)'!AI113,Planned!AI113,Reconductor!AI113,CTGS!AI113)</f>
        <v>771</v>
      </c>
      <c r="AJ113" s="87">
        <f>SUM('Defect (Total)'!AJ113,Planned!AJ113,Reconductor!AJ113,CTGS!AJ113)</f>
        <v>114</v>
      </c>
      <c r="AK113" s="88">
        <f t="shared" si="51"/>
        <v>779.4</v>
      </c>
      <c r="AL113" s="89">
        <f t="shared" si="52"/>
        <v>893</v>
      </c>
      <c r="AM113" s="90">
        <f t="shared" si="53"/>
        <v>771</v>
      </c>
      <c r="AN113" s="91">
        <f t="shared" si="55"/>
        <v>886.22766570605188</v>
      </c>
      <c r="AO113" s="92">
        <f t="shared" si="56"/>
        <v>895.61198738170344</v>
      </c>
      <c r="AP113" s="92">
        <f t="shared" si="57"/>
        <v>1082.6337579617834</v>
      </c>
      <c r="AQ113" s="92">
        <f t="shared" si="58"/>
        <v>946.90168358057781</v>
      </c>
      <c r="AR113" s="92">
        <f t="shared" si="59"/>
        <v>897.90476190476193</v>
      </c>
      <c r="AS113" s="92">
        <f t="shared" si="60"/>
        <v>841.30310393205207</v>
      </c>
      <c r="AT113" s="92">
        <f t="shared" si="61"/>
        <v>635.55685161597876</v>
      </c>
      <c r="AU113" s="92">
        <f t="shared" si="62"/>
        <v>511.80591445141926</v>
      </c>
      <c r="AV113" s="92">
        <f t="shared" si="63"/>
        <v>692.76173018626889</v>
      </c>
      <c r="AW113" s="92">
        <f t="shared" si="44"/>
        <v>1213.0909579179295</v>
      </c>
      <c r="AX113" s="92">
        <f t="shared" si="45"/>
        <v>0</v>
      </c>
      <c r="AY113" s="93">
        <f t="shared" si="64"/>
        <v>647.98858729314998</v>
      </c>
      <c r="AZ113" s="94">
        <f t="shared" si="65"/>
        <v>603.6605969772188</v>
      </c>
      <c r="BA113" s="95">
        <f t="shared" si="66"/>
        <v>692.76173018626889</v>
      </c>
      <c r="BB113" s="689">
        <f>SUM('Defect (Total)'!BB113,Planned!CE113,Reconductor!CE113,CTGS!CE113,'Substation 2025$'!CE113*$BL$1,Comms!CA113*$BL$2)</f>
        <v>0</v>
      </c>
      <c r="BC113" s="689">
        <f>SUM('Defect (Total)'!BC113,Planned!CF113,Reconductor!CF113,CTGS!CF113,'Substation 2025$'!CF113*$BL$1,Comms!CB113*$BL$2)</f>
        <v>0</v>
      </c>
      <c r="BD113" s="96">
        <f>SUM('Defect (Total)'!BD113,Planned!CG113,Reconductor!CG113,CTGS!CG113,'Substation 2025$'!CG113*$BL$1,Comms!CC113*$BL$2)</f>
        <v>0</v>
      </c>
      <c r="BE113" s="96">
        <f>SUM('Defect (Total)'!BE113,Planned!CH113,Reconductor!CH113,CTGS!CH113,'Substation 2025$'!CH113*$BL$1,Comms!CD113*$BL$2)</f>
        <v>0</v>
      </c>
      <c r="BF113" s="96">
        <f>SUM('Defect (Total)'!BF113,Planned!CI113,Reconductor!CI113,CTGS!CI113,'Substation 2025$'!CI113*$BL$1,Comms!CE113*$BL$2)</f>
        <v>0</v>
      </c>
      <c r="BG113" s="96">
        <f>SUM('Defect (Total)'!BG113,Planned!CJ113,Reconductor!CJ113,CTGS!CJ113,'Substation 2025$'!CJ113*$BL$1,Comms!CF113*$BL$2)</f>
        <v>0</v>
      </c>
      <c r="BH113" s="96">
        <f>SUM('Defect (Total)'!BH113,Planned!CK113,Reconductor!CK113,CTGS!CK113,'Substation 2025$'!CK113*$BL$1,Comms!CG113*$BL$2)</f>
        <v>0</v>
      </c>
      <c r="BI113" s="286">
        <f>SUM('Defect (Total)'!BI113,Planned!CL113,Reconductor!CL113,CTGS!CL113,'Substation 2025$'!CL113*$BL$1,Comms!CH113*$BL$2)</f>
        <v>0</v>
      </c>
      <c r="BJ113" s="99" t="str">
        <f t="shared" si="54"/>
        <v/>
      </c>
      <c r="BK113" s="992">
        <f>SUM('Defect (Total)'!BK113,Planned!CQ113,Reconductor!CQ113,CTGS!CQ113,'Substation 2025$'!CQ113*$BL$1,Comms!CM113*$BL$2)</f>
        <v>0</v>
      </c>
      <c r="BL113" s="992">
        <f>SUM('Defect (Total)'!BL113,Planned!CR113,Reconductor!CR113,CTGS!CR113,'Substation 2025$'!CR113*$BL$1,Comms!CN113*$BL$2)</f>
        <v>0</v>
      </c>
      <c r="BM113" s="524">
        <f>SUM('Defect (Total)'!BM113,Planned!CS113,Reconductor!CS113,CTGS!CS113,'Substation 2025$'!CS113*$BL$1,Comms!CO113*$BL$2)</f>
        <v>0</v>
      </c>
      <c r="BN113" s="416">
        <f>SUM('Defect (Total)'!BN113,Planned!CT113,Reconductor!CT113,CTGS!CT113,'Substation 2025$'!CT113*$BL$1,Comms!CP113*$BL$2)</f>
        <v>0</v>
      </c>
      <c r="BO113" s="97">
        <f>SUM('Defect (Total)'!BO113,Planned!CU113,Reconductor!CU113,CTGS!CU113,'Substation 2025$'!CU113*$BL$1,Comms!CQ113*$BL$2)</f>
        <v>0</v>
      </c>
      <c r="BP113" s="97">
        <f>SUM('Defect (Total)'!BP113,Planned!CV113,Reconductor!CV113,CTGS!CV113,'Substation 2025$'!CV113*$BL$1,Comms!CR113*$BL$2)</f>
        <v>0</v>
      </c>
      <c r="BQ113" s="97">
        <f>SUM('Defect (Total)'!BQ113,Planned!CW113,Reconductor!CW113,CTGS!CW113,'Substation 2025$'!CW113*$BL$1,Comms!CS113*$BL$2)</f>
        <v>0</v>
      </c>
      <c r="BR113" s="98">
        <f>SUM('Defect (Total)'!BR113,Planned!CX113,Reconductor!CX113,CTGS!CX113,'Substation 2025$'!CX113*$BL$1,Comms!CT113*$BL$2)</f>
        <v>0</v>
      </c>
      <c r="BS113" s="836" t="str">
        <f>'Unit Cost Rate Summary'!AO113</f>
        <v/>
      </c>
      <c r="BT113" s="840" t="str">
        <f t="shared" si="67"/>
        <v/>
      </c>
      <c r="BU113" s="832" t="str">
        <f t="shared" si="68"/>
        <v/>
      </c>
      <c r="CI113" s="416">
        <f>VLOOKUP($A113,'Distribution Summary'!$A$136:$CG$146,CI$1,0)*BN113</f>
        <v>0</v>
      </c>
      <c r="CJ113" s="97">
        <f>VLOOKUP($A113,'Distribution Summary'!$A$136:$CG$146,CJ$1,0)*BO113</f>
        <v>0</v>
      </c>
      <c r="CK113" s="97">
        <f>VLOOKUP($A113,'Distribution Summary'!$A$136:$CG$146,CK$1,0)*BP113</f>
        <v>0</v>
      </c>
      <c r="CL113" s="97">
        <f>VLOOKUP($A113,'Distribution Summary'!$A$136:$CG$146,CL$1,0)*BQ113</f>
        <v>0</v>
      </c>
      <c r="CM113" s="98">
        <f>VLOOKUP($A113,'Distribution Summary'!$A$136:$CG$146,CM$1,0)*BR113</f>
        <v>0</v>
      </c>
    </row>
    <row r="114" spans="1:91" x14ac:dyDescent="0.25">
      <c r="A114" s="81" t="s">
        <v>224</v>
      </c>
      <c r="B114" s="82" t="s">
        <v>231</v>
      </c>
      <c r="C114" s="83" t="s">
        <v>232</v>
      </c>
      <c r="D114" s="84">
        <f>SUM('Defect (Total)'!D114,Planned!D114,Reconductor!D114,CTGS!D114)</f>
        <v>36696</v>
      </c>
      <c r="E114" s="85">
        <f>SUM('Defect (Total)'!E114,Planned!E114,Reconductor!E114,CTGS!E114)</f>
        <v>57818</v>
      </c>
      <c r="F114" s="85">
        <f>SUM('Defect (Total)'!F114,Planned!F114,Reconductor!F114,CTGS!F114)</f>
        <v>293726</v>
      </c>
      <c r="G114" s="85">
        <f>SUM('Defect (Total)'!G114,Planned!G114,Reconductor!G114,CTGS!G114)</f>
        <v>146731.57355568738</v>
      </c>
      <c r="H114" s="85">
        <f>SUM('Defect (Total)'!H114,Planned!H114,Reconductor!H114,CTGS!H114)</f>
        <v>93270</v>
      </c>
      <c r="I114" s="85">
        <f>SUM('Defect (Total)'!I114,Planned!I114,Reconductor!I114,CTGS!I114)</f>
        <v>54061.559292364342</v>
      </c>
      <c r="J114" s="85">
        <f>SUM('Defect (Total)'!J114,Planned!J114,Reconductor!J114,CTGS!J114)</f>
        <v>121210.77187148982</v>
      </c>
      <c r="K114" s="85">
        <f>SUM('Defect (Total)'!K114,Planned!K114,Reconductor!K114,CTGS!K114)</f>
        <v>55263.250618985978</v>
      </c>
      <c r="L114" s="85">
        <f>SUM('Defect (Total)'!L114,Planned!L114,Reconductor!L114,CTGS!L114)</f>
        <v>55515.892467058176</v>
      </c>
      <c r="M114" s="85">
        <f>SUM('Defect (Total)'!M114,Planned!M114,Reconductor!M114,CTGS!M114)</f>
        <v>84929.640916871998</v>
      </c>
      <c r="N114" s="85">
        <f>SUM('Defect (Total)'!N114,Planned!N114,Reconductor!N114,CTGS!N114)</f>
        <v>0</v>
      </c>
      <c r="O114" s="560">
        <f>SUM('Defect (Total)'!O114,Planned!O114,Reconductor!O114,CTGS!O114)</f>
        <v>49372.865089604529</v>
      </c>
      <c r="P114" s="561">
        <f>SUM('Defect (Total)'!P114,Planned!P114,Reconductor!P114,CTGS!P114)</f>
        <v>76633.765096051284</v>
      </c>
      <c r="Q114" s="561">
        <f>SUM('Defect (Total)'!Q114,Planned!Q114,Reconductor!Q114,CTGS!Q114)</f>
        <v>385370.20025909028</v>
      </c>
      <c r="R114" s="561">
        <f>SUM('Defect (Total)'!R114,Planned!R114,Reconductor!R114,CTGS!R114)</f>
        <v>188860.66604951592</v>
      </c>
      <c r="S114" s="561">
        <f>SUM('Defect (Total)'!S114,Planned!S114,Reconductor!S114,CTGS!S114)</f>
        <v>117605.89631420255</v>
      </c>
      <c r="T114" s="561">
        <f>SUM('Defect (Total)'!T114,Planned!T114,Reconductor!T114,CTGS!T114)</f>
        <v>67098.412111551312</v>
      </c>
      <c r="U114" s="561">
        <f>SUM('Defect (Total)'!U114,Planned!U114,Reconductor!U114,CTGS!U114)</f>
        <v>150966.55866228719</v>
      </c>
      <c r="V114" s="561">
        <f>SUM('Defect (Total)'!V114,Planned!V114,Reconductor!V114,CTGS!V114)</f>
        <v>66280.465371514263</v>
      </c>
      <c r="W114" s="561">
        <f>SUM('Defect (Total)'!W114,Planned!W114,Reconductor!W114,CTGS!W114)</f>
        <v>62728.918816837278</v>
      </c>
      <c r="X114" s="561">
        <f>SUM('Defect (Total)'!X114,Planned!X114,Reconductor!X114,CTGS!X114)</f>
        <v>90319.354582125801</v>
      </c>
      <c r="Y114" s="561">
        <f>SUM('Defect (Total)'!Y114,Planned!Y114,Reconductor!Y114,CTGS!Y114)</f>
        <v>141577.33427273456</v>
      </c>
      <c r="Z114" s="86">
        <f>SUM('Defect (Total)'!Z114,Planned!Z114,Reconductor!Z114,CTGS!Z114)</f>
        <v>182</v>
      </c>
      <c r="AA114" s="87">
        <f>SUM('Defect (Total)'!AA114,Planned!AA114,Reconductor!AA114,CTGS!AA114)</f>
        <v>210</v>
      </c>
      <c r="AB114" s="87">
        <f>SUM('Defect (Total)'!AB114,Planned!AB114,Reconductor!AB114,CTGS!AB114)</f>
        <v>315</v>
      </c>
      <c r="AC114" s="87">
        <f>SUM('Defect (Total)'!AC114,Planned!AC114,Reconductor!AC114,CTGS!AC114)</f>
        <v>405</v>
      </c>
      <c r="AD114" s="87">
        <f>SUM('Defect (Total)'!AD114,Planned!AD114,Reconductor!AD114,CTGS!AD114)</f>
        <v>393</v>
      </c>
      <c r="AE114" s="87">
        <f>SUM('Defect (Total)'!AE114,Planned!AE114,Reconductor!AE114,CTGS!AE114)</f>
        <v>333</v>
      </c>
      <c r="AF114" s="87">
        <f>SUM('Defect (Total)'!AF114,Planned!AF114,Reconductor!AF114,CTGS!AF114)</f>
        <v>542</v>
      </c>
      <c r="AG114" s="87">
        <f>SUM('Defect (Total)'!AG114,Planned!AG114,Reconductor!AG114,CTGS!AG114)</f>
        <v>346</v>
      </c>
      <c r="AH114" s="87">
        <f>SUM('Defect (Total)'!AH114,Planned!AH114,Reconductor!AH114,CTGS!AH114)</f>
        <v>259</v>
      </c>
      <c r="AI114" s="87">
        <f>SUM('Defect (Total)'!AI114,Planned!AI114,Reconductor!AI114,CTGS!AI114)</f>
        <v>484</v>
      </c>
      <c r="AJ114" s="87">
        <f>SUM('Defect (Total)'!AJ114,Planned!AJ114,Reconductor!AJ114,CTGS!AJ114)</f>
        <v>5</v>
      </c>
      <c r="AK114" s="88">
        <f t="shared" si="51"/>
        <v>392.8</v>
      </c>
      <c r="AL114" s="89">
        <f t="shared" si="52"/>
        <v>363</v>
      </c>
      <c r="AM114" s="90">
        <f t="shared" si="53"/>
        <v>484</v>
      </c>
      <c r="AN114" s="91">
        <f t="shared" si="55"/>
        <v>201.62637362637363</v>
      </c>
      <c r="AO114" s="92">
        <f t="shared" si="56"/>
        <v>275.32380952380953</v>
      </c>
      <c r="AP114" s="92">
        <f t="shared" si="57"/>
        <v>932.46349206349203</v>
      </c>
      <c r="AQ114" s="92">
        <f t="shared" si="58"/>
        <v>362.30018161898118</v>
      </c>
      <c r="AR114" s="92">
        <f t="shared" si="59"/>
        <v>237.32824427480915</v>
      </c>
      <c r="AS114" s="92">
        <f t="shared" si="60"/>
        <v>162.34702490199501</v>
      </c>
      <c r="AT114" s="92">
        <f t="shared" si="61"/>
        <v>223.63611046400337</v>
      </c>
      <c r="AU114" s="92">
        <f t="shared" si="62"/>
        <v>159.72037751152016</v>
      </c>
      <c r="AV114" s="92">
        <f t="shared" si="63"/>
        <v>214.34707516238677</v>
      </c>
      <c r="AW114" s="92">
        <f t="shared" si="44"/>
        <v>175.47446470428099</v>
      </c>
      <c r="AX114" s="92">
        <f t="shared" si="45"/>
        <v>0</v>
      </c>
      <c r="AY114" s="93">
        <f t="shared" si="64"/>
        <v>202.52080846230558</v>
      </c>
      <c r="AZ114" s="94">
        <f t="shared" si="65"/>
        <v>202.25799037274103</v>
      </c>
      <c r="BA114" s="95">
        <f t="shared" si="66"/>
        <v>214.34707516238677</v>
      </c>
      <c r="BB114" s="689">
        <f>SUM('Defect (Total)'!BB114,Planned!CE114,Reconductor!CE114,CTGS!CE114,'Substation 2025$'!CE114*$BL$1,Comms!CA114*$BL$2)</f>
        <v>0</v>
      </c>
      <c r="BC114" s="689">
        <f>SUM('Defect (Total)'!BC114,Planned!CF114,Reconductor!CF114,CTGS!CF114,'Substation 2025$'!CF114*$BL$1,Comms!CB114*$BL$2)</f>
        <v>0</v>
      </c>
      <c r="BD114" s="96">
        <f>SUM('Defect (Total)'!BD114,Planned!CG114,Reconductor!CG114,CTGS!CG114,'Substation 2025$'!CG114*$BL$1,Comms!CC114*$BL$2)</f>
        <v>0</v>
      </c>
      <c r="BE114" s="96">
        <f>SUM('Defect (Total)'!BE114,Planned!CH114,Reconductor!CH114,CTGS!CH114,'Substation 2025$'!CH114*$BL$1,Comms!CD114*$BL$2)</f>
        <v>0</v>
      </c>
      <c r="BF114" s="96">
        <f>SUM('Defect (Total)'!BF114,Planned!CI114,Reconductor!CI114,CTGS!CI114,'Substation 2025$'!CI114*$BL$1,Comms!CE114*$BL$2)</f>
        <v>0</v>
      </c>
      <c r="BG114" s="96">
        <f>SUM('Defect (Total)'!BG114,Planned!CJ114,Reconductor!CJ114,CTGS!CJ114,'Substation 2025$'!CJ114*$BL$1,Comms!CF114*$BL$2)</f>
        <v>0</v>
      </c>
      <c r="BH114" s="96">
        <f>SUM('Defect (Total)'!BH114,Planned!CK114,Reconductor!CK114,CTGS!CK114,'Substation 2025$'!CK114*$BL$1,Comms!CG114*$BL$2)</f>
        <v>0</v>
      </c>
      <c r="BI114" s="286">
        <f>SUM('Defect (Total)'!BI114,Planned!CL114,Reconductor!CL114,CTGS!CL114,'Substation 2025$'!CL114*$BL$1,Comms!CH114*$BL$2)</f>
        <v>0</v>
      </c>
      <c r="BJ114" s="99" t="str">
        <f t="shared" si="54"/>
        <v/>
      </c>
      <c r="BK114" s="992">
        <f>SUM('Defect (Total)'!BK114,Planned!CQ114,Reconductor!CQ114,CTGS!CQ114,'Substation 2025$'!CQ114*$BL$1,Comms!CM114*$BL$2)</f>
        <v>0</v>
      </c>
      <c r="BL114" s="992">
        <f>SUM('Defect (Total)'!BL114,Planned!CR114,Reconductor!CR114,CTGS!CR114,'Substation 2025$'!CR114*$BL$1,Comms!CN114*$BL$2)</f>
        <v>0</v>
      </c>
      <c r="BM114" s="524">
        <f>SUM('Defect (Total)'!BM114,Planned!CS114,Reconductor!CS114,CTGS!CS114,'Substation 2025$'!CS114*$BL$1,Comms!CO114*$BL$2)</f>
        <v>0</v>
      </c>
      <c r="BN114" s="416">
        <f>SUM('Defect (Total)'!BN114,Planned!CT114,Reconductor!CT114,CTGS!CT114,'Substation 2025$'!CT114*$BL$1,Comms!CP114*$BL$2)</f>
        <v>0</v>
      </c>
      <c r="BO114" s="97">
        <f>SUM('Defect (Total)'!BO114,Planned!CU114,Reconductor!CU114,CTGS!CU114,'Substation 2025$'!CU114*$BL$1,Comms!CQ114*$BL$2)</f>
        <v>0</v>
      </c>
      <c r="BP114" s="97">
        <f>SUM('Defect (Total)'!BP114,Planned!CV114,Reconductor!CV114,CTGS!CV114,'Substation 2025$'!CV114*$BL$1,Comms!CR114*$BL$2)</f>
        <v>0</v>
      </c>
      <c r="BQ114" s="97">
        <f>SUM('Defect (Total)'!BQ114,Planned!CW114,Reconductor!CW114,CTGS!CW114,'Substation 2025$'!CW114*$BL$1,Comms!CS114*$BL$2)</f>
        <v>0</v>
      </c>
      <c r="BR114" s="98">
        <f>SUM('Defect (Total)'!BR114,Planned!CX114,Reconductor!CX114,CTGS!CX114,'Substation 2025$'!CX114*$BL$1,Comms!CT114*$BL$2)</f>
        <v>0</v>
      </c>
      <c r="BS114" s="836" t="str">
        <f>'Unit Cost Rate Summary'!AO114</f>
        <v/>
      </c>
      <c r="BT114" s="840" t="str">
        <f t="shared" si="67"/>
        <v/>
      </c>
      <c r="BU114" s="832" t="str">
        <f t="shared" si="68"/>
        <v/>
      </c>
      <c r="CI114" s="416">
        <f>VLOOKUP($A114,'Distribution Summary'!$A$136:$CG$146,CI$1,0)*BN114</f>
        <v>0</v>
      </c>
      <c r="CJ114" s="97">
        <f>VLOOKUP($A114,'Distribution Summary'!$A$136:$CG$146,CJ$1,0)*BO114</f>
        <v>0</v>
      </c>
      <c r="CK114" s="97">
        <f>VLOOKUP($A114,'Distribution Summary'!$A$136:$CG$146,CK$1,0)*BP114</f>
        <v>0</v>
      </c>
      <c r="CL114" s="97">
        <f>VLOOKUP($A114,'Distribution Summary'!$A$136:$CG$146,CL$1,0)*BQ114</f>
        <v>0</v>
      </c>
      <c r="CM114" s="98">
        <f>VLOOKUP($A114,'Distribution Summary'!$A$136:$CG$146,CM$1,0)*BR114</f>
        <v>0</v>
      </c>
    </row>
    <row r="115" spans="1:91" x14ac:dyDescent="0.25">
      <c r="A115" s="81" t="s">
        <v>224</v>
      </c>
      <c r="B115" s="82" t="s">
        <v>233</v>
      </c>
      <c r="C115" s="83" t="s">
        <v>234</v>
      </c>
      <c r="D115" s="84">
        <f>SUM('Defect (Total)'!D115,Planned!D115,Reconductor!D115,CTGS!D115)</f>
        <v>22542</v>
      </c>
      <c r="E115" s="85">
        <f>SUM('Defect (Total)'!E115,Planned!E115,Reconductor!E115,CTGS!E115)</f>
        <v>39699</v>
      </c>
      <c r="F115" s="85">
        <f>SUM('Defect (Total)'!F115,Planned!F115,Reconductor!F115,CTGS!F115)</f>
        <v>36556</v>
      </c>
      <c r="G115" s="85">
        <f>SUM('Defect (Total)'!G115,Planned!G115,Reconductor!G115,CTGS!G115)</f>
        <v>90603.004376880781</v>
      </c>
      <c r="H115" s="85">
        <f>SUM('Defect (Total)'!H115,Planned!H115,Reconductor!H115,CTGS!H115)</f>
        <v>71114</v>
      </c>
      <c r="I115" s="85">
        <f>SUM('Defect (Total)'!I115,Planned!I115,Reconductor!I115,CTGS!I115)</f>
        <v>34401.234633262131</v>
      </c>
      <c r="J115" s="85">
        <f>SUM('Defect (Total)'!J115,Planned!J115,Reconductor!J115,CTGS!J115)</f>
        <v>136588.22561187376</v>
      </c>
      <c r="K115" s="85">
        <f>SUM('Defect (Total)'!K115,Planned!K115,Reconductor!K115,CTGS!K115)</f>
        <v>61193.642882788983</v>
      </c>
      <c r="L115" s="85">
        <f>SUM('Defect (Total)'!L115,Planned!L115,Reconductor!L115,CTGS!L115)</f>
        <v>72842.440374214231</v>
      </c>
      <c r="M115" s="85">
        <f>SUM('Defect (Total)'!M115,Planned!M115,Reconductor!M115,CTGS!M115)</f>
        <v>46684.871811953824</v>
      </c>
      <c r="N115" s="85">
        <f>SUM('Defect (Total)'!N115,Planned!N115,Reconductor!N115,CTGS!N115)</f>
        <v>0</v>
      </c>
      <c r="O115" s="560">
        <f>SUM('Defect (Total)'!O115,Planned!O115,Reconductor!O115,CTGS!O115)</f>
        <v>30329.276347554653</v>
      </c>
      <c r="P115" s="561">
        <f>SUM('Defect (Total)'!P115,Planned!P115,Reconductor!P115,CTGS!P115)</f>
        <v>52618.282205336407</v>
      </c>
      <c r="Q115" s="561">
        <f>SUM('Defect (Total)'!Q115,Planned!Q115,Reconductor!Q115,CTGS!Q115)</f>
        <v>47961.682114185693</v>
      </c>
      <c r="R115" s="561">
        <f>SUM('Defect (Total)'!R115,Planned!R115,Reconductor!R115,CTGS!R115)</f>
        <v>116616.64451659977</v>
      </c>
      <c r="S115" s="561">
        <f>SUM('Defect (Total)'!S115,Planned!S115,Reconductor!S115,CTGS!S115)</f>
        <v>89668.979419837036</v>
      </c>
      <c r="T115" s="561">
        <f>SUM('Defect (Total)'!T115,Planned!T115,Reconductor!T115,CTGS!T115)</f>
        <v>42697.033692382145</v>
      </c>
      <c r="U115" s="561">
        <f>SUM('Defect (Total)'!U115,Planned!U115,Reconductor!U115,CTGS!U115)</f>
        <v>170118.99236377014</v>
      </c>
      <c r="V115" s="561">
        <f>SUM('Defect (Total)'!V115,Planned!V115,Reconductor!V115,CTGS!V115)</f>
        <v>73393.133458857104</v>
      </c>
      <c r="W115" s="561">
        <f>SUM('Defect (Total)'!W115,Planned!W115,Reconductor!W115,CTGS!W115)</f>
        <v>82306.657167868208</v>
      </c>
      <c r="X115" s="561">
        <f>SUM('Defect (Total)'!X115,Planned!X115,Reconductor!X115,CTGS!X115)</f>
        <v>49647.537011631161</v>
      </c>
      <c r="Y115" s="561">
        <f>SUM('Defect (Total)'!Y115,Planned!Y115,Reconductor!Y115,CTGS!Y115)</f>
        <v>144302.50900239302</v>
      </c>
      <c r="Z115" s="86">
        <f>SUM('Defect (Total)'!Z115,Planned!Z115,Reconductor!Z115,CTGS!Z115)</f>
        <v>737</v>
      </c>
      <c r="AA115" s="87">
        <f>SUM('Defect (Total)'!AA115,Planned!AA115,Reconductor!AA115,CTGS!AA115)</f>
        <v>801</v>
      </c>
      <c r="AB115" s="87">
        <f>SUM('Defect (Total)'!AB115,Planned!AB115,Reconductor!AB115,CTGS!AB115)</f>
        <v>524</v>
      </c>
      <c r="AC115" s="87">
        <f>SUM('Defect (Total)'!AC115,Planned!AC115,Reconductor!AC115,CTGS!AC115)</f>
        <v>909</v>
      </c>
      <c r="AD115" s="87">
        <f>SUM('Defect (Total)'!AD115,Planned!AD115,Reconductor!AD115,CTGS!AD115)</f>
        <v>736</v>
      </c>
      <c r="AE115" s="87">
        <f>SUM('Defect (Total)'!AE115,Planned!AE115,Reconductor!AE115,CTGS!AE115)</f>
        <v>648</v>
      </c>
      <c r="AF115" s="87">
        <f>SUM('Defect (Total)'!AF115,Planned!AF115,Reconductor!AF115,CTGS!AF115)</f>
        <v>1482</v>
      </c>
      <c r="AG115" s="87">
        <f>SUM('Defect (Total)'!AG115,Planned!AG115,Reconductor!AG115,CTGS!AG115)</f>
        <v>489</v>
      </c>
      <c r="AH115" s="87">
        <f>SUM('Defect (Total)'!AH115,Planned!AH115,Reconductor!AH115,CTGS!AH115)</f>
        <v>404</v>
      </c>
      <c r="AI115" s="87">
        <f>SUM('Defect (Total)'!AI115,Planned!AI115,Reconductor!AI115,CTGS!AI115)</f>
        <v>438</v>
      </c>
      <c r="AJ115" s="87">
        <f>SUM('Defect (Total)'!AJ115,Planned!AJ115,Reconductor!AJ115,CTGS!AJ115)</f>
        <v>3</v>
      </c>
      <c r="AK115" s="88">
        <f t="shared" si="51"/>
        <v>692.2</v>
      </c>
      <c r="AL115" s="89">
        <f t="shared" si="52"/>
        <v>443.66666666666669</v>
      </c>
      <c r="AM115" s="90">
        <f t="shared" si="53"/>
        <v>438</v>
      </c>
      <c r="AN115" s="91">
        <f t="shared" si="55"/>
        <v>30.586160108548167</v>
      </c>
      <c r="AO115" s="92">
        <f t="shared" si="56"/>
        <v>49.561797752808985</v>
      </c>
      <c r="AP115" s="92">
        <f t="shared" si="57"/>
        <v>69.763358778625957</v>
      </c>
      <c r="AQ115" s="92">
        <f t="shared" si="58"/>
        <v>99.673272141783031</v>
      </c>
      <c r="AR115" s="92">
        <f t="shared" si="59"/>
        <v>96.622282608695656</v>
      </c>
      <c r="AS115" s="92">
        <f t="shared" si="60"/>
        <v>53.08832505133045</v>
      </c>
      <c r="AT115" s="92">
        <f t="shared" si="61"/>
        <v>92.164794609901321</v>
      </c>
      <c r="AU115" s="92">
        <f t="shared" si="62"/>
        <v>125.1403739934335</v>
      </c>
      <c r="AV115" s="92">
        <f t="shared" si="63"/>
        <v>180.30307023320356</v>
      </c>
      <c r="AW115" s="92">
        <f t="shared" si="44"/>
        <v>106.58646532409549</v>
      </c>
      <c r="AX115" s="92">
        <f t="shared" si="45"/>
        <v>0</v>
      </c>
      <c r="AY115" s="93">
        <f t="shared" si="64"/>
        <v>100.06372532645359</v>
      </c>
      <c r="AZ115" s="94">
        <f t="shared" si="65"/>
        <v>113.94707741847454</v>
      </c>
      <c r="BA115" s="95">
        <f t="shared" si="66"/>
        <v>180.30307023320356</v>
      </c>
      <c r="BB115" s="689">
        <f>SUM('Defect (Total)'!BB115,Planned!CE115,Reconductor!CE115,CTGS!CE115,'Substation 2025$'!CE115*$BL$1,Comms!CA115*$BL$2)</f>
        <v>0</v>
      </c>
      <c r="BC115" s="689">
        <f>SUM('Defect (Total)'!BC115,Planned!CF115,Reconductor!CF115,CTGS!CF115,'Substation 2025$'!CF115*$BL$1,Comms!CB115*$BL$2)</f>
        <v>0</v>
      </c>
      <c r="BD115" s="96">
        <f>SUM('Defect (Total)'!BD115,Planned!CG115,Reconductor!CG115,CTGS!CG115,'Substation 2025$'!CG115*$BL$1,Comms!CC115*$BL$2)</f>
        <v>0</v>
      </c>
      <c r="BE115" s="96">
        <f>SUM('Defect (Total)'!BE115,Planned!CH115,Reconductor!CH115,CTGS!CH115,'Substation 2025$'!CH115*$BL$1,Comms!CD115*$BL$2)</f>
        <v>0</v>
      </c>
      <c r="BF115" s="96">
        <f>SUM('Defect (Total)'!BF115,Planned!CI115,Reconductor!CI115,CTGS!CI115,'Substation 2025$'!CI115*$BL$1,Comms!CE115*$BL$2)</f>
        <v>0</v>
      </c>
      <c r="BG115" s="96">
        <f>SUM('Defect (Total)'!BG115,Planned!CJ115,Reconductor!CJ115,CTGS!CJ115,'Substation 2025$'!CJ115*$BL$1,Comms!CF115*$BL$2)</f>
        <v>0</v>
      </c>
      <c r="BH115" s="96">
        <f>SUM('Defect (Total)'!BH115,Planned!CK115,Reconductor!CK115,CTGS!CK115,'Substation 2025$'!CK115*$BL$1,Comms!CG115*$BL$2)</f>
        <v>0</v>
      </c>
      <c r="BI115" s="286">
        <f>SUM('Defect (Total)'!BI115,Planned!CL115,Reconductor!CL115,CTGS!CL115,'Substation 2025$'!CL115*$BL$1,Comms!CH115*$BL$2)</f>
        <v>0</v>
      </c>
      <c r="BJ115" s="99" t="str">
        <f t="shared" si="54"/>
        <v/>
      </c>
      <c r="BK115" s="992">
        <f>SUM('Defect (Total)'!BK115,Planned!CQ115,Reconductor!CQ115,CTGS!CQ115,'Substation 2025$'!CQ115*$BL$1,Comms!CM115*$BL$2)</f>
        <v>0</v>
      </c>
      <c r="BL115" s="992">
        <f>SUM('Defect (Total)'!BL115,Planned!CR115,Reconductor!CR115,CTGS!CR115,'Substation 2025$'!CR115*$BL$1,Comms!CN115*$BL$2)</f>
        <v>0</v>
      </c>
      <c r="BM115" s="524">
        <f>SUM('Defect (Total)'!BM115,Planned!CS115,Reconductor!CS115,CTGS!CS115,'Substation 2025$'!CS115*$BL$1,Comms!CO115*$BL$2)</f>
        <v>0</v>
      </c>
      <c r="BN115" s="416">
        <f>SUM('Defect (Total)'!BN115,Planned!CT115,Reconductor!CT115,CTGS!CT115,'Substation 2025$'!CT115*$BL$1,Comms!CP115*$BL$2)</f>
        <v>0</v>
      </c>
      <c r="BO115" s="97">
        <f>SUM('Defect (Total)'!BO115,Planned!CU115,Reconductor!CU115,CTGS!CU115,'Substation 2025$'!CU115*$BL$1,Comms!CQ115*$BL$2)</f>
        <v>0</v>
      </c>
      <c r="BP115" s="97">
        <f>SUM('Defect (Total)'!BP115,Planned!CV115,Reconductor!CV115,CTGS!CV115,'Substation 2025$'!CV115*$BL$1,Comms!CR115*$BL$2)</f>
        <v>0</v>
      </c>
      <c r="BQ115" s="97">
        <f>SUM('Defect (Total)'!BQ115,Planned!CW115,Reconductor!CW115,CTGS!CW115,'Substation 2025$'!CW115*$BL$1,Comms!CS115*$BL$2)</f>
        <v>0</v>
      </c>
      <c r="BR115" s="98">
        <f>SUM('Defect (Total)'!BR115,Planned!CX115,Reconductor!CX115,CTGS!CX115,'Substation 2025$'!CX115*$BL$1,Comms!CT115*$BL$2)</f>
        <v>0</v>
      </c>
      <c r="BS115" s="836" t="str">
        <f>'Unit Cost Rate Summary'!AO115</f>
        <v/>
      </c>
      <c r="BT115" s="840" t="str">
        <f t="shared" si="67"/>
        <v/>
      </c>
      <c r="BU115" s="832" t="str">
        <f t="shared" si="68"/>
        <v/>
      </c>
      <c r="CI115" s="416">
        <f>VLOOKUP($A115,'Distribution Summary'!$A$136:$CG$146,CI$1,0)*BN115</f>
        <v>0</v>
      </c>
      <c r="CJ115" s="97">
        <f>VLOOKUP($A115,'Distribution Summary'!$A$136:$CG$146,CJ$1,0)*BO115</f>
        <v>0</v>
      </c>
      <c r="CK115" s="97">
        <f>VLOOKUP($A115,'Distribution Summary'!$A$136:$CG$146,CK$1,0)*BP115</f>
        <v>0</v>
      </c>
      <c r="CL115" s="97">
        <f>VLOOKUP($A115,'Distribution Summary'!$A$136:$CG$146,CL$1,0)*BQ115</f>
        <v>0</v>
      </c>
      <c r="CM115" s="98">
        <f>VLOOKUP($A115,'Distribution Summary'!$A$136:$CG$146,CM$1,0)*BR115</f>
        <v>0</v>
      </c>
    </row>
    <row r="116" spans="1:91" x14ac:dyDescent="0.25">
      <c r="A116" s="81" t="s">
        <v>224</v>
      </c>
      <c r="B116" s="82" t="s">
        <v>235</v>
      </c>
      <c r="C116" s="83" t="s">
        <v>236</v>
      </c>
      <c r="D116" s="84">
        <f>SUM('Defect (Total)'!D116,Planned!D116,Reconductor!D116,CTGS!D116)</f>
        <v>186884</v>
      </c>
      <c r="E116" s="85">
        <f>SUM('Defect (Total)'!E116,Planned!E116,Reconductor!E116,CTGS!E116)</f>
        <v>122614</v>
      </c>
      <c r="F116" s="85">
        <f>SUM('Defect (Total)'!F116,Planned!F116,Reconductor!F116,CTGS!F116)</f>
        <v>451829</v>
      </c>
      <c r="G116" s="85">
        <f>SUM('Defect (Total)'!G116,Planned!G116,Reconductor!G116,CTGS!G116)</f>
        <v>308182.92422913248</v>
      </c>
      <c r="H116" s="85">
        <f>SUM('Defect (Total)'!H116,Planned!H116,Reconductor!H116,CTGS!H116)</f>
        <v>175270</v>
      </c>
      <c r="I116" s="85">
        <f>SUM('Defect (Total)'!I116,Planned!I116,Reconductor!I116,CTGS!I116)</f>
        <v>246128.60559820657</v>
      </c>
      <c r="J116" s="85">
        <f>SUM('Defect (Total)'!J116,Planned!J116,Reconductor!J116,CTGS!J116)</f>
        <v>397559.2013652004</v>
      </c>
      <c r="K116" s="85">
        <f>SUM('Defect (Total)'!K116,Planned!K116,Reconductor!K116,CTGS!K116)</f>
        <v>65755.440700314997</v>
      </c>
      <c r="L116" s="85">
        <f>SUM('Defect (Total)'!L116,Planned!L116,Reconductor!L116,CTGS!L116)</f>
        <v>238480.01422008692</v>
      </c>
      <c r="M116" s="85">
        <f>SUM('Defect (Total)'!M116,Planned!M116,Reconductor!M116,CTGS!M116)</f>
        <v>299780.3468326013</v>
      </c>
      <c r="N116" s="85">
        <f>SUM('Defect (Total)'!N116,Planned!N116,Reconductor!N116,CTGS!N116)</f>
        <v>0</v>
      </c>
      <c r="O116" s="560">
        <f>SUM('Defect (Total)'!O116,Planned!O116,Reconductor!O116,CTGS!O116)</f>
        <v>251444.25875860185</v>
      </c>
      <c r="P116" s="561">
        <f>SUM('Defect (Total)'!P116,Planned!P116,Reconductor!P116,CTGS!P116)</f>
        <v>162516.38717159419</v>
      </c>
      <c r="Q116" s="561">
        <f>SUM('Defect (Total)'!Q116,Planned!Q116,Reconductor!Q116,CTGS!Q116)</f>
        <v>592802.24499317224</v>
      </c>
      <c r="R116" s="561">
        <f>SUM('Defect (Total)'!R116,Planned!R116,Reconductor!R116,CTGS!R116)</f>
        <v>396667.40378076897</v>
      </c>
      <c r="S116" s="561">
        <f>SUM('Defect (Total)'!S116,Planned!S116,Reconductor!S116,CTGS!S116)</f>
        <v>221001.23777195541</v>
      </c>
      <c r="T116" s="561">
        <f>SUM('Defect (Total)'!T116,Planned!T116,Reconductor!T116,CTGS!T116)</f>
        <v>305482.09905596462</v>
      </c>
      <c r="U116" s="561">
        <f>SUM('Defect (Total)'!U116,Planned!U116,Reconductor!U116,CTGS!U116)</f>
        <v>495155.2041782561</v>
      </c>
      <c r="V116" s="561">
        <f>SUM('Defect (Total)'!V116,Planned!V116,Reconductor!V116,CTGS!V116)</f>
        <v>78864.365767665702</v>
      </c>
      <c r="W116" s="561">
        <f>SUM('Defect (Total)'!W116,Planned!W116,Reconductor!W116,CTGS!W116)</f>
        <v>269465.062825509</v>
      </c>
      <c r="X116" s="561">
        <f>SUM('Defect (Total)'!X116,Planned!X116,Reconductor!X116,CTGS!X116)</f>
        <v>318804.68526680762</v>
      </c>
      <c r="Y116" s="561">
        <f>SUM('Defect (Total)'!Y116,Planned!Y116,Reconductor!Y116,CTGS!Y116)</f>
        <v>315911.24410827231</v>
      </c>
      <c r="Z116" s="86">
        <f>SUM('Defect (Total)'!Z116,Planned!Z116,Reconductor!Z116,CTGS!Z116)</f>
        <v>31</v>
      </c>
      <c r="AA116" s="87">
        <f>SUM('Defect (Total)'!AA116,Planned!AA116,Reconductor!AA116,CTGS!AA116)</f>
        <v>22</v>
      </c>
      <c r="AB116" s="87">
        <f>SUM('Defect (Total)'!AB116,Planned!AB116,Reconductor!AB116,CTGS!AB116)</f>
        <v>65</v>
      </c>
      <c r="AC116" s="87">
        <f>SUM('Defect (Total)'!AC116,Planned!AC116,Reconductor!AC116,CTGS!AC116)</f>
        <v>20</v>
      </c>
      <c r="AD116" s="87">
        <f>SUM('Defect (Total)'!AD116,Planned!AD116,Reconductor!AD116,CTGS!AD116)</f>
        <v>31</v>
      </c>
      <c r="AE116" s="87">
        <f>SUM('Defect (Total)'!AE116,Planned!AE116,Reconductor!AE116,CTGS!AE116)</f>
        <v>46</v>
      </c>
      <c r="AF116" s="87">
        <f>SUM('Defect (Total)'!AF116,Planned!AF116,Reconductor!AF116,CTGS!AF116)</f>
        <v>81</v>
      </c>
      <c r="AG116" s="87">
        <f>SUM('Defect (Total)'!AG116,Planned!AG116,Reconductor!AG116,CTGS!AG116)</f>
        <v>16</v>
      </c>
      <c r="AH116" s="87">
        <f>SUM('Defect (Total)'!AH116,Planned!AH116,Reconductor!AH116,CTGS!AH116)</f>
        <v>23</v>
      </c>
      <c r="AI116" s="87">
        <f>SUM('Defect (Total)'!AI116,Planned!AI116,Reconductor!AI116,CTGS!AI116)</f>
        <v>24</v>
      </c>
      <c r="AJ116" s="87">
        <f>SUM('Defect (Total)'!AJ116,Planned!AJ116,Reconductor!AJ116,CTGS!AJ116)</f>
        <v>0</v>
      </c>
      <c r="AK116" s="88">
        <f t="shared" si="51"/>
        <v>38</v>
      </c>
      <c r="AL116" s="89">
        <f t="shared" si="52"/>
        <v>21</v>
      </c>
      <c r="AM116" s="90">
        <f t="shared" si="53"/>
        <v>24</v>
      </c>
      <c r="AN116" s="91">
        <f t="shared" si="55"/>
        <v>6028.5161290322585</v>
      </c>
      <c r="AO116" s="92">
        <f t="shared" si="56"/>
        <v>5573.363636363636</v>
      </c>
      <c r="AP116" s="92">
        <f t="shared" si="57"/>
        <v>6951.2153846153842</v>
      </c>
      <c r="AQ116" s="92">
        <f t="shared" si="58"/>
        <v>15409.146211456624</v>
      </c>
      <c r="AR116" s="92">
        <f t="shared" si="59"/>
        <v>5653.8709677419356</v>
      </c>
      <c r="AS116" s="92">
        <f t="shared" si="60"/>
        <v>5350.621860830578</v>
      </c>
      <c r="AT116" s="92">
        <f t="shared" si="61"/>
        <v>4908.138288459264</v>
      </c>
      <c r="AU116" s="92">
        <f t="shared" si="62"/>
        <v>4109.7150437696873</v>
      </c>
      <c r="AV116" s="92">
        <f t="shared" si="63"/>
        <v>10368.696270438562</v>
      </c>
      <c r="AW116" s="92">
        <f t="shared" si="44"/>
        <v>12490.847784691721</v>
      </c>
      <c r="AX116" s="92" t="str">
        <f t="shared" si="45"/>
        <v/>
      </c>
      <c r="AY116" s="93">
        <f t="shared" si="64"/>
        <v>5701.4886390041056</v>
      </c>
      <c r="AZ116" s="94">
        <f t="shared" si="65"/>
        <v>5848.2888023800197</v>
      </c>
      <c r="BA116" s="95">
        <f t="shared" si="66"/>
        <v>10368.696270438562</v>
      </c>
      <c r="BB116" s="689">
        <f>SUM('Defect (Total)'!BB116,Planned!CE116,Reconductor!CE116,CTGS!CE116,'Substation 2025$'!CE116*$BL$1,Comms!CA116*$BL$2)</f>
        <v>0</v>
      </c>
      <c r="BC116" s="689">
        <f>SUM('Defect (Total)'!BC116,Planned!CF116,Reconductor!CF116,CTGS!CF116,'Substation 2025$'!CF116*$BL$1,Comms!CB116*$BL$2)</f>
        <v>0</v>
      </c>
      <c r="BD116" s="96">
        <f>SUM('Defect (Total)'!BD116,Planned!CG116,Reconductor!CG116,CTGS!CG116,'Substation 2025$'!CG116*$BL$1,Comms!CC116*$BL$2)</f>
        <v>0</v>
      </c>
      <c r="BE116" s="96">
        <f>SUM('Defect (Total)'!BE116,Planned!CH116,Reconductor!CH116,CTGS!CH116,'Substation 2025$'!CH116*$BL$1,Comms!CD116*$BL$2)</f>
        <v>0</v>
      </c>
      <c r="BF116" s="96">
        <f>SUM('Defect (Total)'!BF116,Planned!CI116,Reconductor!CI116,CTGS!CI116,'Substation 2025$'!CI116*$BL$1,Comms!CE116*$BL$2)</f>
        <v>0</v>
      </c>
      <c r="BG116" s="96">
        <f>SUM('Defect (Total)'!BG116,Planned!CJ116,Reconductor!CJ116,CTGS!CJ116,'Substation 2025$'!CJ116*$BL$1,Comms!CF116*$BL$2)</f>
        <v>0</v>
      </c>
      <c r="BH116" s="96">
        <f>SUM('Defect (Total)'!BH116,Planned!CK116,Reconductor!CK116,CTGS!CK116,'Substation 2025$'!CK116*$BL$1,Comms!CG116*$BL$2)</f>
        <v>0</v>
      </c>
      <c r="BI116" s="286">
        <f>SUM('Defect (Total)'!BI116,Planned!CL116,Reconductor!CL116,CTGS!CL116,'Substation 2025$'!CL116*$BL$1,Comms!CH116*$BL$2)</f>
        <v>0</v>
      </c>
      <c r="BJ116" s="99" t="str">
        <f t="shared" si="54"/>
        <v/>
      </c>
      <c r="BK116" s="992">
        <f>SUM('Defect (Total)'!BK116,Planned!CQ116,Reconductor!CQ116,CTGS!CQ116,'Substation 2025$'!CQ116*$BL$1,Comms!CM116*$BL$2)</f>
        <v>0</v>
      </c>
      <c r="BL116" s="992">
        <f>SUM('Defect (Total)'!BL116,Planned!CR116,Reconductor!CR116,CTGS!CR116,'Substation 2025$'!CR116*$BL$1,Comms!CN116*$BL$2)</f>
        <v>0</v>
      </c>
      <c r="BM116" s="524">
        <f>SUM('Defect (Total)'!BM116,Planned!CS116,Reconductor!CS116,CTGS!CS116,'Substation 2025$'!CS116*$BL$1,Comms!CO116*$BL$2)</f>
        <v>0</v>
      </c>
      <c r="BN116" s="416">
        <f>SUM('Defect (Total)'!BN116,Planned!CT116,Reconductor!CT116,CTGS!CT116,'Substation 2025$'!CT116*$BL$1,Comms!CP116*$BL$2)</f>
        <v>0</v>
      </c>
      <c r="BO116" s="97">
        <f>SUM('Defect (Total)'!BO116,Planned!CU116,Reconductor!CU116,CTGS!CU116,'Substation 2025$'!CU116*$BL$1,Comms!CQ116*$BL$2)</f>
        <v>0</v>
      </c>
      <c r="BP116" s="97">
        <f>SUM('Defect (Total)'!BP116,Planned!CV116,Reconductor!CV116,CTGS!CV116,'Substation 2025$'!CV116*$BL$1,Comms!CR116*$BL$2)</f>
        <v>0</v>
      </c>
      <c r="BQ116" s="97">
        <f>SUM('Defect (Total)'!BQ116,Planned!CW116,Reconductor!CW116,CTGS!CW116,'Substation 2025$'!CW116*$BL$1,Comms!CS116*$BL$2)</f>
        <v>0</v>
      </c>
      <c r="BR116" s="98">
        <f>SUM('Defect (Total)'!BR116,Planned!CX116,Reconductor!CX116,CTGS!CX116,'Substation 2025$'!CX116*$BL$1,Comms!CT116*$BL$2)</f>
        <v>0</v>
      </c>
      <c r="BS116" s="836" t="str">
        <f>'Unit Cost Rate Summary'!AO116</f>
        <v/>
      </c>
      <c r="BT116" s="840" t="str">
        <f t="shared" si="67"/>
        <v/>
      </c>
      <c r="BU116" s="832" t="str">
        <f t="shared" si="68"/>
        <v/>
      </c>
      <c r="CI116" s="416">
        <f>VLOOKUP($A116,'Distribution Summary'!$A$136:$CG$146,CI$1,0)*BN116</f>
        <v>0</v>
      </c>
      <c r="CJ116" s="97">
        <f>VLOOKUP($A116,'Distribution Summary'!$A$136:$CG$146,CJ$1,0)*BO116</f>
        <v>0</v>
      </c>
      <c r="CK116" s="97">
        <f>VLOOKUP($A116,'Distribution Summary'!$A$136:$CG$146,CK$1,0)*BP116</f>
        <v>0</v>
      </c>
      <c r="CL116" s="97">
        <f>VLOOKUP($A116,'Distribution Summary'!$A$136:$CG$146,CL$1,0)*BQ116</f>
        <v>0</v>
      </c>
      <c r="CM116" s="98">
        <f>VLOOKUP($A116,'Distribution Summary'!$A$136:$CG$146,CM$1,0)*BR116</f>
        <v>0</v>
      </c>
    </row>
    <row r="117" spans="1:91" x14ac:dyDescent="0.25">
      <c r="A117" s="81" t="s">
        <v>224</v>
      </c>
      <c r="B117" s="82" t="s">
        <v>237</v>
      </c>
      <c r="C117" s="83" t="s">
        <v>238</v>
      </c>
      <c r="D117" s="84">
        <f>SUM('Defect (Total)'!D117,Planned!D117,Reconductor!D117,CTGS!D117)</f>
        <v>760961</v>
      </c>
      <c r="E117" s="85">
        <f>SUM('Defect (Total)'!E117,Planned!E117,Reconductor!E117,CTGS!E117)</f>
        <v>339992</v>
      </c>
      <c r="F117" s="85">
        <f>SUM('Defect (Total)'!F117,Planned!F117,Reconductor!F117,CTGS!F117)</f>
        <v>564615</v>
      </c>
      <c r="G117" s="85">
        <f>SUM('Defect (Total)'!G117,Planned!G117,Reconductor!G117,CTGS!G117)</f>
        <v>612721</v>
      </c>
      <c r="H117" s="85">
        <f>SUM('Defect (Total)'!H117,Planned!H117,Reconductor!H117,CTGS!H117)</f>
        <v>285204</v>
      </c>
      <c r="I117" s="85">
        <f>SUM('Defect (Total)'!I117,Planned!I117,Reconductor!I117,CTGS!I117)</f>
        <v>595636.01373642439</v>
      </c>
      <c r="J117" s="85">
        <f>SUM('Defect (Total)'!J117,Planned!J117,Reconductor!J117,CTGS!J117)</f>
        <v>622978.73421031435</v>
      </c>
      <c r="K117" s="85">
        <f>SUM('Defect (Total)'!K117,Planned!K117,Reconductor!K117,CTGS!K117)</f>
        <v>286797.90969337494</v>
      </c>
      <c r="L117" s="85">
        <f>SUM('Defect (Total)'!L117,Planned!L117,Reconductor!L117,CTGS!L117)</f>
        <v>315216.12086729851</v>
      </c>
      <c r="M117" s="85">
        <f>SUM('Defect (Total)'!M117,Planned!M117,Reconductor!M117,CTGS!M117)</f>
        <v>804917.52853729413</v>
      </c>
      <c r="N117" s="85">
        <f>SUM('Defect (Total)'!N117,Planned!N117,Reconductor!N117,CTGS!N117)</f>
        <v>0</v>
      </c>
      <c r="O117" s="560">
        <f>SUM('Defect (Total)'!O117,Planned!O117,Reconductor!O117,CTGS!O117)</f>
        <v>1023839.7861197558</v>
      </c>
      <c r="P117" s="561">
        <f>SUM('Defect (Total)'!P117,Planned!P117,Reconductor!P117,CTGS!P117)</f>
        <v>450635.91031403141</v>
      </c>
      <c r="Q117" s="561">
        <f>SUM('Defect (Total)'!Q117,Planned!Q117,Reconductor!Q117,CTGS!Q117)</f>
        <v>740778.12525716564</v>
      </c>
      <c r="R117" s="561">
        <f>SUM('Defect (Total)'!R117,Planned!R117,Reconductor!R117,CTGS!R117)</f>
        <v>788643.46206038562</v>
      </c>
      <c r="S117" s="561">
        <f>SUM('Defect (Total)'!S117,Planned!S117,Reconductor!S117,CTGS!S117)</f>
        <v>359619.08494045067</v>
      </c>
      <c r="T117" s="561">
        <f>SUM('Defect (Total)'!T117,Planned!T117,Reconductor!T117,CTGS!T117)</f>
        <v>739272.62256775284</v>
      </c>
      <c r="U117" s="561">
        <f>SUM('Defect (Total)'!U117,Planned!U117,Reconductor!U117,CTGS!U117)</f>
        <v>775912.52139893535</v>
      </c>
      <c r="V117" s="561">
        <f>SUM('Defect (Total)'!V117,Planned!V117,Reconductor!V117,CTGS!V117)</f>
        <v>343973.59382844088</v>
      </c>
      <c r="W117" s="561">
        <f>SUM('Defect (Total)'!W117,Planned!W117,Reconductor!W117,CTGS!W117)</f>
        <v>356171.27955523849</v>
      </c>
      <c r="X117" s="561">
        <f>SUM('Defect (Total)'!X117,Planned!X117,Reconductor!X117,CTGS!X117)</f>
        <v>855998.34032603132</v>
      </c>
      <c r="Y117" s="561">
        <f>SUM('Defect (Total)'!Y117,Planned!Y117,Reconductor!Y117,CTGS!Y117)</f>
        <v>782154.61283102119</v>
      </c>
      <c r="Z117" s="86">
        <f>SUM('Defect (Total)'!Z117,Planned!Z117,Reconductor!Z117,CTGS!Z117)</f>
        <v>303</v>
      </c>
      <c r="AA117" s="87">
        <f>SUM('Defect (Total)'!AA117,Planned!AA117,Reconductor!AA117,CTGS!AA117)</f>
        <v>121</v>
      </c>
      <c r="AB117" s="87">
        <f>SUM('Defect (Total)'!AB117,Planned!AB117,Reconductor!AB117,CTGS!AB117)</f>
        <v>180</v>
      </c>
      <c r="AC117" s="87">
        <f>SUM('Defect (Total)'!AC117,Planned!AC117,Reconductor!AC117,CTGS!AC117)</f>
        <v>195</v>
      </c>
      <c r="AD117" s="87">
        <f>SUM('Defect (Total)'!AD117,Planned!AD117,Reconductor!AD117,CTGS!AD117)</f>
        <v>105</v>
      </c>
      <c r="AE117" s="87">
        <f>SUM('Defect (Total)'!AE117,Planned!AE117,Reconductor!AE117,CTGS!AE117)</f>
        <v>159</v>
      </c>
      <c r="AF117" s="87">
        <f>SUM('Defect (Total)'!AF117,Planned!AF117,Reconductor!AF117,CTGS!AF117)</f>
        <v>273</v>
      </c>
      <c r="AG117" s="87">
        <f>SUM('Defect (Total)'!AG117,Planned!AG117,Reconductor!AG117,CTGS!AG117)</f>
        <v>93</v>
      </c>
      <c r="AH117" s="87">
        <f>SUM('Defect (Total)'!AH117,Planned!AH117,Reconductor!AH117,CTGS!AH117)</f>
        <v>61</v>
      </c>
      <c r="AI117" s="87">
        <f>SUM('Defect (Total)'!AI117,Planned!AI117,Reconductor!AI117,CTGS!AI117)</f>
        <v>98</v>
      </c>
      <c r="AJ117" s="87">
        <f>SUM('Defect (Total)'!AJ117,Planned!AJ117,Reconductor!AJ117,CTGS!AJ117)</f>
        <v>0</v>
      </c>
      <c r="AK117" s="88">
        <f t="shared" si="51"/>
        <v>136.80000000000001</v>
      </c>
      <c r="AL117" s="89">
        <f t="shared" si="52"/>
        <v>84</v>
      </c>
      <c r="AM117" s="90">
        <f t="shared" si="53"/>
        <v>98</v>
      </c>
      <c r="AN117" s="91">
        <f t="shared" si="55"/>
        <v>2511.4224422442244</v>
      </c>
      <c r="AO117" s="92">
        <f t="shared" si="56"/>
        <v>2809.8512396694214</v>
      </c>
      <c r="AP117" s="92">
        <f t="shared" si="57"/>
        <v>3136.75</v>
      </c>
      <c r="AQ117" s="92">
        <f t="shared" si="58"/>
        <v>3142.1589743589743</v>
      </c>
      <c r="AR117" s="92">
        <f t="shared" si="59"/>
        <v>2716.2285714285713</v>
      </c>
      <c r="AS117" s="92">
        <f t="shared" si="60"/>
        <v>3746.1384511724805</v>
      </c>
      <c r="AT117" s="92">
        <f t="shared" si="61"/>
        <v>2281.973385385767</v>
      </c>
      <c r="AU117" s="92">
        <f t="shared" si="62"/>
        <v>3083.848491326612</v>
      </c>
      <c r="AV117" s="92">
        <f t="shared" si="63"/>
        <v>5167.477391267189</v>
      </c>
      <c r="AW117" s="92">
        <f t="shared" si="44"/>
        <v>8213.4441687478993</v>
      </c>
      <c r="AX117" s="92" t="str">
        <f t="shared" si="45"/>
        <v/>
      </c>
      <c r="AY117" s="93">
        <f t="shared" si="64"/>
        <v>3047.5148748298298</v>
      </c>
      <c r="AZ117" s="94">
        <f t="shared" si="65"/>
        <v>2868.8355146861536</v>
      </c>
      <c r="BA117" s="95">
        <f t="shared" si="66"/>
        <v>5167.477391267189</v>
      </c>
      <c r="BB117" s="689">
        <f>SUM('Defect (Total)'!BB117,Planned!CE117,Reconductor!CE117,CTGS!CE117,'Substation 2025$'!CE117*$BL$1,Comms!CA117*$BL$2)</f>
        <v>0</v>
      </c>
      <c r="BC117" s="689">
        <f>SUM('Defect (Total)'!BC117,Planned!CF117,Reconductor!CF117,CTGS!CF117,'Substation 2025$'!CF117*$BL$1,Comms!CB117*$BL$2)</f>
        <v>0</v>
      </c>
      <c r="BD117" s="96">
        <f>SUM('Defect (Total)'!BD117,Planned!CG117,Reconductor!CG117,CTGS!CG117,'Substation 2025$'!CG117*$BL$1,Comms!CC117*$BL$2)</f>
        <v>0</v>
      </c>
      <c r="BE117" s="96">
        <f>SUM('Defect (Total)'!BE117,Planned!CH117,Reconductor!CH117,CTGS!CH117,'Substation 2025$'!CH117*$BL$1,Comms!CD117*$BL$2)</f>
        <v>0</v>
      </c>
      <c r="BF117" s="96">
        <f>SUM('Defect (Total)'!BF117,Planned!CI117,Reconductor!CI117,CTGS!CI117,'Substation 2025$'!CI117*$BL$1,Comms!CE117*$BL$2)</f>
        <v>0</v>
      </c>
      <c r="BG117" s="96">
        <f>SUM('Defect (Total)'!BG117,Planned!CJ117,Reconductor!CJ117,CTGS!CJ117,'Substation 2025$'!CJ117*$BL$1,Comms!CF117*$BL$2)</f>
        <v>0</v>
      </c>
      <c r="BH117" s="96">
        <f>SUM('Defect (Total)'!BH117,Planned!CK117,Reconductor!CK117,CTGS!CK117,'Substation 2025$'!CK117*$BL$1,Comms!CG117*$BL$2)</f>
        <v>0</v>
      </c>
      <c r="BI117" s="286">
        <f>SUM('Defect (Total)'!BI117,Planned!CL117,Reconductor!CL117,CTGS!CL117,'Substation 2025$'!CL117*$BL$1,Comms!CH117*$BL$2)</f>
        <v>0</v>
      </c>
      <c r="BJ117" s="99" t="str">
        <f t="shared" si="54"/>
        <v/>
      </c>
      <c r="BK117" s="992">
        <f>SUM('Defect (Total)'!BK117,Planned!CQ117,Reconductor!CQ117,CTGS!CQ117,'Substation 2025$'!CQ117*$BL$1,Comms!CM117*$BL$2)</f>
        <v>0</v>
      </c>
      <c r="BL117" s="992">
        <f>SUM('Defect (Total)'!BL117,Planned!CR117,Reconductor!CR117,CTGS!CR117,'Substation 2025$'!CR117*$BL$1,Comms!CN117*$BL$2)</f>
        <v>0</v>
      </c>
      <c r="BM117" s="524">
        <f>SUM('Defect (Total)'!BM117,Planned!CS117,Reconductor!CS117,CTGS!CS117,'Substation 2025$'!CS117*$BL$1,Comms!CO117*$BL$2)</f>
        <v>0</v>
      </c>
      <c r="BN117" s="416">
        <f>SUM('Defect (Total)'!BN117,Planned!CT117,Reconductor!CT117,CTGS!CT117,'Substation 2025$'!CT117*$BL$1,Comms!CP117*$BL$2)</f>
        <v>0</v>
      </c>
      <c r="BO117" s="97">
        <f>SUM('Defect (Total)'!BO117,Planned!CU117,Reconductor!CU117,CTGS!CU117,'Substation 2025$'!CU117*$BL$1,Comms!CQ117*$BL$2)</f>
        <v>0</v>
      </c>
      <c r="BP117" s="97">
        <f>SUM('Defect (Total)'!BP117,Planned!CV117,Reconductor!CV117,CTGS!CV117,'Substation 2025$'!CV117*$BL$1,Comms!CR117*$BL$2)</f>
        <v>0</v>
      </c>
      <c r="BQ117" s="97">
        <f>SUM('Defect (Total)'!BQ117,Planned!CW117,Reconductor!CW117,CTGS!CW117,'Substation 2025$'!CW117*$BL$1,Comms!CS117*$BL$2)</f>
        <v>0</v>
      </c>
      <c r="BR117" s="98">
        <f>SUM('Defect (Total)'!BR117,Planned!CX117,Reconductor!CX117,CTGS!CX117,'Substation 2025$'!CX117*$BL$1,Comms!CT117*$BL$2)</f>
        <v>0</v>
      </c>
      <c r="BS117" s="836" t="str">
        <f>'Unit Cost Rate Summary'!AO117</f>
        <v/>
      </c>
      <c r="BT117" s="840" t="str">
        <f t="shared" si="67"/>
        <v/>
      </c>
      <c r="BU117" s="832" t="str">
        <f t="shared" si="68"/>
        <v/>
      </c>
      <c r="CI117" s="416">
        <f>VLOOKUP($A117,'Distribution Summary'!$A$136:$CG$146,CI$1,0)*BN117</f>
        <v>0</v>
      </c>
      <c r="CJ117" s="97">
        <f>VLOOKUP($A117,'Distribution Summary'!$A$136:$CG$146,CJ$1,0)*BO117</f>
        <v>0</v>
      </c>
      <c r="CK117" s="97">
        <f>VLOOKUP($A117,'Distribution Summary'!$A$136:$CG$146,CK$1,0)*BP117</f>
        <v>0</v>
      </c>
      <c r="CL117" s="97">
        <f>VLOOKUP($A117,'Distribution Summary'!$A$136:$CG$146,CL$1,0)*BQ117</f>
        <v>0</v>
      </c>
      <c r="CM117" s="98">
        <f>VLOOKUP($A117,'Distribution Summary'!$A$136:$CG$146,CM$1,0)*BR117</f>
        <v>0</v>
      </c>
    </row>
    <row r="118" spans="1:91" ht="15.75" thickBot="1" x14ac:dyDescent="0.3">
      <c r="A118" s="100" t="s">
        <v>224</v>
      </c>
      <c r="B118" s="101" t="s">
        <v>397</v>
      </c>
      <c r="C118" s="102" t="s">
        <v>398</v>
      </c>
      <c r="D118" s="103">
        <f>SUM('Defect (Total)'!D118,Planned!D118,Reconductor!D118,CTGS!D118)</f>
        <v>0</v>
      </c>
      <c r="E118" s="104">
        <f>SUM('Defect (Total)'!E118,Planned!E118,Reconductor!E118,CTGS!E118)</f>
        <v>0</v>
      </c>
      <c r="F118" s="104">
        <f>SUM('Defect (Total)'!F118,Planned!F118,Reconductor!F118,CTGS!F118)</f>
        <v>0</v>
      </c>
      <c r="G118" s="104">
        <f>SUM('Defect (Total)'!G118,Planned!G118,Reconductor!G118,CTGS!G118)</f>
        <v>0</v>
      </c>
      <c r="H118" s="104">
        <f>SUM('Defect (Total)'!H118,Planned!H118,Reconductor!H118,CTGS!H118)</f>
        <v>0</v>
      </c>
      <c r="I118" s="104">
        <f>SUM('Defect (Total)'!I118,Planned!I118,Reconductor!I118,CTGS!I118)</f>
        <v>0</v>
      </c>
      <c r="J118" s="104">
        <f>SUM('Defect (Total)'!J118,Planned!J118,Reconductor!J118,CTGS!J118)</f>
        <v>0</v>
      </c>
      <c r="K118" s="104">
        <f>SUM('Defect (Total)'!K118,Planned!K118,Reconductor!K118,CTGS!K118)</f>
        <v>0</v>
      </c>
      <c r="L118" s="104">
        <f>SUM('Defect (Total)'!L118,Planned!L118,Reconductor!L118,CTGS!L118)</f>
        <v>0</v>
      </c>
      <c r="M118" s="104">
        <f>SUM('Defect (Total)'!M118,Planned!M118,Reconductor!M118,CTGS!M118)</f>
        <v>0</v>
      </c>
      <c r="N118" s="104">
        <f>SUM('Defect (Total)'!N118,Planned!N118,Reconductor!N118,CTGS!N118)</f>
        <v>0</v>
      </c>
      <c r="O118" s="563">
        <f>SUM('Defect (Total)'!O118,Planned!O118,Reconductor!O118,CTGS!O118)</f>
        <v>0</v>
      </c>
      <c r="P118" s="564">
        <f>SUM('Defect (Total)'!P118,Planned!P118,Reconductor!P118,CTGS!P118)</f>
        <v>0</v>
      </c>
      <c r="Q118" s="564">
        <f>SUM('Defect (Total)'!Q118,Planned!Q118,Reconductor!Q118,CTGS!Q118)</f>
        <v>0</v>
      </c>
      <c r="R118" s="564">
        <f>SUM('Defect (Total)'!R118,Planned!R118,Reconductor!R118,CTGS!R118)</f>
        <v>0</v>
      </c>
      <c r="S118" s="564">
        <f>SUM('Defect (Total)'!S118,Planned!S118,Reconductor!S118,CTGS!S118)</f>
        <v>0</v>
      </c>
      <c r="T118" s="564">
        <f>SUM('Defect (Total)'!T118,Planned!T118,Reconductor!T118,CTGS!T118)</f>
        <v>0</v>
      </c>
      <c r="U118" s="564">
        <f>SUM('Defect (Total)'!U118,Planned!U118,Reconductor!U118,CTGS!U118)</f>
        <v>0</v>
      </c>
      <c r="V118" s="564">
        <f>SUM('Defect (Total)'!V118,Planned!V118,Reconductor!V118,CTGS!V118)</f>
        <v>0</v>
      </c>
      <c r="W118" s="564">
        <f>SUM('Defect (Total)'!W118,Planned!W118,Reconductor!W118,CTGS!W118)</f>
        <v>0</v>
      </c>
      <c r="X118" s="564">
        <f>SUM('Defect (Total)'!X118,Planned!X118,Reconductor!X118,CTGS!X118)</f>
        <v>0</v>
      </c>
      <c r="Y118" s="564">
        <f>SUM('Defect (Total)'!Y118,Planned!Y118,Reconductor!Y118,CTGS!Y118)</f>
        <v>0</v>
      </c>
      <c r="Z118" s="105">
        <f>SUM('Defect (Total)'!Z118,Planned!Z118,Reconductor!Z118,CTGS!Z118)</f>
        <v>0</v>
      </c>
      <c r="AA118" s="106">
        <f>SUM('Defect (Total)'!AA118,Planned!AA118,Reconductor!AA118,CTGS!AA118)</f>
        <v>0</v>
      </c>
      <c r="AB118" s="106">
        <f>SUM('Defect (Total)'!AB118,Planned!AB118,Reconductor!AB118,CTGS!AB118)</f>
        <v>0</v>
      </c>
      <c r="AC118" s="106">
        <f>SUM('Defect (Total)'!AC118,Planned!AC118,Reconductor!AC118,CTGS!AC118)</f>
        <v>0</v>
      </c>
      <c r="AD118" s="106">
        <f>SUM('Defect (Total)'!AD118,Planned!AD118,Reconductor!AD118,CTGS!AD118)</f>
        <v>0</v>
      </c>
      <c r="AE118" s="106">
        <f>SUM('Defect (Total)'!AE118,Planned!AE118,Reconductor!AE118,CTGS!AE118)</f>
        <v>0</v>
      </c>
      <c r="AF118" s="106">
        <f>SUM('Defect (Total)'!AF118,Planned!AF118,Reconductor!AF118,CTGS!AF118)</f>
        <v>0</v>
      </c>
      <c r="AG118" s="106">
        <f>SUM('Defect (Total)'!AG118,Planned!AG118,Reconductor!AG118,CTGS!AG118)</f>
        <v>0</v>
      </c>
      <c r="AH118" s="106">
        <f>SUM('Defect (Total)'!AH118,Planned!AH118,Reconductor!AH118,CTGS!AH118)</f>
        <v>0</v>
      </c>
      <c r="AI118" s="106">
        <f>SUM('Defect (Total)'!AI118,Planned!AI118,Reconductor!AI118,CTGS!AI118)</f>
        <v>0</v>
      </c>
      <c r="AJ118" s="106">
        <f>SUM('Defect (Total)'!AJ118,Planned!AJ118,Reconductor!AJ118,CTGS!AJ118)</f>
        <v>0</v>
      </c>
      <c r="AK118" s="107">
        <f t="shared" si="51"/>
        <v>0</v>
      </c>
      <c r="AL118" s="108">
        <f t="shared" si="52"/>
        <v>0</v>
      </c>
      <c r="AM118" s="109">
        <f t="shared" si="53"/>
        <v>0</v>
      </c>
      <c r="AN118" s="110" t="str">
        <f t="shared" si="55"/>
        <v/>
      </c>
      <c r="AO118" s="111" t="str">
        <f t="shared" si="56"/>
        <v/>
      </c>
      <c r="AP118" s="111" t="str">
        <f t="shared" si="57"/>
        <v/>
      </c>
      <c r="AQ118" s="111" t="str">
        <f t="shared" si="58"/>
        <v/>
      </c>
      <c r="AR118" s="111" t="str">
        <f t="shared" si="59"/>
        <v/>
      </c>
      <c r="AS118" s="111" t="str">
        <f t="shared" si="60"/>
        <v/>
      </c>
      <c r="AT118" s="111" t="str">
        <f t="shared" si="61"/>
        <v/>
      </c>
      <c r="AU118" s="111" t="str">
        <f t="shared" si="62"/>
        <v/>
      </c>
      <c r="AV118" s="111" t="str">
        <f t="shared" si="63"/>
        <v/>
      </c>
      <c r="AW118" s="111" t="str">
        <f t="shared" si="44"/>
        <v/>
      </c>
      <c r="AX118" s="111" t="str">
        <f t="shared" si="45"/>
        <v/>
      </c>
      <c r="AY118" s="112" t="str">
        <f t="shared" si="64"/>
        <v/>
      </c>
      <c r="AZ118" s="113" t="str">
        <f t="shared" si="65"/>
        <v/>
      </c>
      <c r="BA118" s="114" t="str">
        <f t="shared" si="66"/>
        <v/>
      </c>
      <c r="BB118" s="690">
        <f>SUM('Defect (Total)'!BB118,Planned!CE118,Reconductor!CE118,CTGS!CE118,'Substation 2025$'!CE118*$BL$1,Comms!CA118*$BL$2)</f>
        <v>0</v>
      </c>
      <c r="BC118" s="690">
        <f>SUM('Defect (Total)'!BC118,Planned!CF118,Reconductor!CF118,CTGS!CF118,'Substation 2025$'!CF118*$BL$1,Comms!CB118*$BL$2)</f>
        <v>0</v>
      </c>
      <c r="BD118" s="115">
        <f>SUM('Defect (Total)'!BD118,Planned!CG118,Reconductor!CG118,CTGS!CG118,'Substation 2025$'!CG118*$BL$1,Comms!CC118*$BL$2)</f>
        <v>0</v>
      </c>
      <c r="BE118" s="115">
        <f>SUM('Defect (Total)'!BE118,Planned!CH118,Reconductor!CH118,CTGS!CH118,'Substation 2025$'!CH118*$BL$1,Comms!CD118*$BL$2)</f>
        <v>0</v>
      </c>
      <c r="BF118" s="115">
        <f>SUM('Defect (Total)'!BF118,Planned!CI118,Reconductor!CI118,CTGS!CI118,'Substation 2025$'!CI118*$BL$1,Comms!CE118*$BL$2)</f>
        <v>0</v>
      </c>
      <c r="BG118" s="115">
        <f>SUM('Defect (Total)'!BG118,Planned!CJ118,Reconductor!CJ118,CTGS!CJ118,'Substation 2025$'!CJ118*$BL$1,Comms!CF118*$BL$2)</f>
        <v>0</v>
      </c>
      <c r="BH118" s="115">
        <f>SUM('Defect (Total)'!BH118,Planned!CK118,Reconductor!CK118,CTGS!CK118,'Substation 2025$'!CK118*$BL$1,Comms!CG118*$BL$2)</f>
        <v>0</v>
      </c>
      <c r="BI118" s="287">
        <f>SUM('Defect (Total)'!BI118,Planned!CL118,Reconductor!CL118,CTGS!CL118,'Substation 2025$'!CL118*$BL$1,Comms!CH118*$BL$2)</f>
        <v>0</v>
      </c>
      <c r="BJ118" s="116" t="str">
        <f t="shared" si="54"/>
        <v/>
      </c>
      <c r="BK118" s="1013">
        <f>SUM('Defect (Total)'!BK118,Planned!CQ118,Reconductor!CQ118,CTGS!CQ118,'Substation 2025$'!CQ118*$BL$1,Comms!CM118*$BL$2)</f>
        <v>0</v>
      </c>
      <c r="BL118" s="1013">
        <f>SUM('Defect (Total)'!BL118,Planned!CR118,Reconductor!CR118,CTGS!CR118,'Substation 2025$'!CR118*$BL$1,Comms!CN118*$BL$2)</f>
        <v>0</v>
      </c>
      <c r="BM118" s="638">
        <f>SUM('Defect (Total)'!BM118,Planned!CS118,Reconductor!CS118,CTGS!CS118,'Substation 2025$'!CS118*$BL$1,Comms!CO118*$BL$2)</f>
        <v>0</v>
      </c>
      <c r="BN118" s="467">
        <f>SUM('Defect (Total)'!BN118,Planned!CT118,Reconductor!CT118,CTGS!CT118,'Substation 2025$'!CT118*$BL$1,Comms!CP118*$BL$2)</f>
        <v>0</v>
      </c>
      <c r="BO118" s="117">
        <f>SUM('Defect (Total)'!BO118,Planned!CU118,Reconductor!CU118,CTGS!CU118,'Substation 2025$'!CU118*$BL$1,Comms!CQ118*$BL$2)</f>
        <v>0</v>
      </c>
      <c r="BP118" s="117">
        <f>SUM('Defect (Total)'!BP118,Planned!CV118,Reconductor!CV118,CTGS!CV118,'Substation 2025$'!CV118*$BL$1,Comms!CR118*$BL$2)</f>
        <v>0</v>
      </c>
      <c r="BQ118" s="117">
        <f>SUM('Defect (Total)'!BQ118,Planned!CW118,Reconductor!CW118,CTGS!CW118,'Substation 2025$'!CW118*$BL$1,Comms!CS118*$BL$2)</f>
        <v>0</v>
      </c>
      <c r="BR118" s="118">
        <f>SUM('Defect (Total)'!BR118,Planned!CX118,Reconductor!CX118,CTGS!CX118,'Substation 2025$'!CX118*$BL$1,Comms!CT118*$BL$2)</f>
        <v>0</v>
      </c>
      <c r="BS118" s="837" t="str">
        <f>'Unit Cost Rate Summary'!AO118</f>
        <v/>
      </c>
      <c r="BT118" s="841" t="str">
        <f t="shared" si="67"/>
        <v/>
      </c>
      <c r="BU118" s="833" t="str">
        <f t="shared" si="68"/>
        <v/>
      </c>
      <c r="CI118" s="467">
        <f>VLOOKUP($A118,'Distribution Summary'!$A$136:$CG$146,CI$1,0)*BN118</f>
        <v>0</v>
      </c>
      <c r="CJ118" s="117">
        <f>VLOOKUP($A118,'Distribution Summary'!$A$136:$CG$146,CJ$1,0)*BO118</f>
        <v>0</v>
      </c>
      <c r="CK118" s="117">
        <f>VLOOKUP($A118,'Distribution Summary'!$A$136:$CG$146,CK$1,0)*BP118</f>
        <v>0</v>
      </c>
      <c r="CL118" s="117">
        <f>VLOOKUP($A118,'Distribution Summary'!$A$136:$CG$146,CL$1,0)*BQ118</f>
        <v>0</v>
      </c>
      <c r="CM118" s="118">
        <f>VLOOKUP($A118,'Distribution Summary'!$A$136:$CG$146,CM$1,0)*BR118</f>
        <v>0</v>
      </c>
    </row>
    <row r="119" spans="1:91" x14ac:dyDescent="0.25">
      <c r="A119" s="63" t="s">
        <v>242</v>
      </c>
      <c r="B119" s="64" t="s">
        <v>239</v>
      </c>
      <c r="C119" s="65" t="s">
        <v>241</v>
      </c>
      <c r="D119" s="66">
        <f>SUM('Defect (Total)'!D119,Planned!D119,Reconductor!D119,CTGS!D119)</f>
        <v>0</v>
      </c>
      <c r="E119" s="67">
        <f>SUM('Defect (Total)'!E119,Planned!E119,Reconductor!E119,CTGS!E119)</f>
        <v>0</v>
      </c>
      <c r="F119" s="67">
        <f>SUM('Defect (Total)'!F119,Planned!F119,Reconductor!F119,CTGS!F119)</f>
        <v>651258</v>
      </c>
      <c r="G119" s="67">
        <f>SUM('Defect (Total)'!G119,Planned!G119,Reconductor!G119,CTGS!G119)</f>
        <v>580051.2492048007</v>
      </c>
      <c r="H119" s="67">
        <f>SUM('Defect (Total)'!H119,Planned!H119,Reconductor!H119,CTGS!H119)</f>
        <v>20358</v>
      </c>
      <c r="I119" s="67">
        <f>SUM('Defect (Total)'!I119,Planned!I119,Reconductor!I119,CTGS!I119)</f>
        <v>0</v>
      </c>
      <c r="J119" s="67">
        <f>SUM('Defect (Total)'!J119,Planned!J119,Reconductor!J119,CTGS!J119)</f>
        <v>0</v>
      </c>
      <c r="K119" s="67">
        <f>SUM('Defect (Total)'!K119,Planned!K119,Reconductor!K119,CTGS!K119)</f>
        <v>0</v>
      </c>
      <c r="L119" s="67">
        <f>SUM('Defect (Total)'!L119,Planned!L119,Reconductor!L119,CTGS!L119)</f>
        <v>74970.09770742101</v>
      </c>
      <c r="M119" s="67">
        <f>SUM('Defect (Total)'!M119,Planned!M119,Reconductor!M119,CTGS!M119)</f>
        <v>0</v>
      </c>
      <c r="N119" s="67">
        <f>SUM('Defect (Total)'!N119,Planned!N119,Reconductor!N119,CTGS!N119)</f>
        <v>5185.1099999999997</v>
      </c>
      <c r="O119" s="557">
        <f>SUM('Defect (Total)'!O119,Planned!O119,Reconductor!O119,CTGS!O119)</f>
        <v>0</v>
      </c>
      <c r="P119" s="558">
        <f>SUM('Defect (Total)'!P119,Planned!P119,Reconductor!P119,CTGS!P119)</f>
        <v>0</v>
      </c>
      <c r="Q119" s="558">
        <f>SUM('Defect (Total)'!Q119,Planned!Q119,Reconductor!Q119,CTGS!Q119)</f>
        <v>854454.23925813381</v>
      </c>
      <c r="R119" s="558">
        <f>SUM('Defect (Total)'!R119,Planned!R119,Reconductor!R119,CTGS!R119)</f>
        <v>746593.6785997632</v>
      </c>
      <c r="S119" s="558">
        <f>SUM('Defect (Total)'!S119,Planned!S119,Reconductor!S119,CTGS!S119)</f>
        <v>25669.784895084544</v>
      </c>
      <c r="T119" s="558">
        <f>SUM('Defect (Total)'!T119,Planned!T119,Reconductor!T119,CTGS!T119)</f>
        <v>0</v>
      </c>
      <c r="U119" s="558">
        <f>SUM('Defect (Total)'!U119,Planned!U119,Reconductor!U119,CTGS!U119)</f>
        <v>0</v>
      </c>
      <c r="V119" s="558">
        <f>SUM('Defect (Total)'!V119,Planned!V119,Reconductor!V119,CTGS!V119)</f>
        <v>0</v>
      </c>
      <c r="W119" s="558">
        <f>SUM('Defect (Total)'!W119,Planned!W119,Reconductor!W119,CTGS!W119)</f>
        <v>84710.755133220606</v>
      </c>
      <c r="X119" s="558">
        <f>SUM('Defect (Total)'!X119,Planned!X119,Reconductor!X119,CTGS!X119)</f>
        <v>0</v>
      </c>
      <c r="Y119" s="558">
        <f>SUM('Defect (Total)'!Y119,Planned!Y119,Reconductor!Y119,CTGS!Y119)</f>
        <v>5327.6926400863604</v>
      </c>
      <c r="Z119" s="68">
        <f>SUM('Defect (Total)'!Z119,Planned!Z119,Reconductor!Z119,CTGS!Z119)</f>
        <v>0</v>
      </c>
      <c r="AA119" s="69">
        <f>SUM('Defect (Total)'!AA119,Planned!AA119,Reconductor!AA119,CTGS!AA119)</f>
        <v>0</v>
      </c>
      <c r="AB119" s="69">
        <f>SUM('Defect (Total)'!AB119,Planned!AB119,Reconductor!AB119,CTGS!AB119)</f>
        <v>1</v>
      </c>
      <c r="AC119" s="69">
        <f>SUM('Defect (Total)'!AC119,Planned!AC119,Reconductor!AC119,CTGS!AC119)</f>
        <v>3</v>
      </c>
      <c r="AD119" s="69">
        <f>SUM('Defect (Total)'!AD119,Planned!AD119,Reconductor!AD119,CTGS!AD119)</f>
        <v>2</v>
      </c>
      <c r="AE119" s="69">
        <f>SUM('Defect (Total)'!AE119,Planned!AE119,Reconductor!AE119,CTGS!AE119)</f>
        <v>0</v>
      </c>
      <c r="AF119" s="69">
        <f>SUM('Defect (Total)'!AF119,Planned!AF119,Reconductor!AF119,CTGS!AF119)</f>
        <v>0</v>
      </c>
      <c r="AG119" s="69">
        <f>SUM('Defect (Total)'!AG119,Planned!AG119,Reconductor!AG119,CTGS!AG119)</f>
        <v>0</v>
      </c>
      <c r="AH119" s="69">
        <f>SUM('Defect (Total)'!AH119,Planned!AH119,Reconductor!AH119,CTGS!AH119)</f>
        <v>0</v>
      </c>
      <c r="AI119" s="69">
        <f>SUM('Defect (Total)'!AI119,Planned!AI119,Reconductor!AI119,CTGS!AI119)</f>
        <v>0</v>
      </c>
      <c r="AJ119" s="69">
        <f>SUM('Defect (Total)'!AJ119,Planned!AJ119,Reconductor!AJ119,CTGS!AJ119)</f>
        <v>1</v>
      </c>
      <c r="AK119" s="70">
        <f t="shared" si="51"/>
        <v>0</v>
      </c>
      <c r="AL119" s="71">
        <f t="shared" si="52"/>
        <v>0</v>
      </c>
      <c r="AM119" s="72">
        <f t="shared" si="53"/>
        <v>0</v>
      </c>
      <c r="AN119" s="73" t="str">
        <f t="shared" si="55"/>
        <v/>
      </c>
      <c r="AO119" s="74" t="str">
        <f t="shared" si="56"/>
        <v/>
      </c>
      <c r="AP119" s="74">
        <f t="shared" si="57"/>
        <v>651258</v>
      </c>
      <c r="AQ119" s="74">
        <f t="shared" si="58"/>
        <v>193350.41640160023</v>
      </c>
      <c r="AR119" s="74">
        <f t="shared" si="59"/>
        <v>10179</v>
      </c>
      <c r="AS119" s="74" t="str">
        <f t="shared" si="60"/>
        <v/>
      </c>
      <c r="AT119" s="74" t="str">
        <f t="shared" si="61"/>
        <v/>
      </c>
      <c r="AU119" s="74" t="str">
        <f t="shared" si="62"/>
        <v/>
      </c>
      <c r="AV119" s="74" t="str">
        <f t="shared" si="63"/>
        <v/>
      </c>
      <c r="AW119" s="74" t="str">
        <f t="shared" si="44"/>
        <v/>
      </c>
      <c r="AX119" s="74">
        <f t="shared" si="45"/>
        <v>5185.1099999999997</v>
      </c>
      <c r="AY119" s="75">
        <f t="shared" si="64"/>
        <v>47664.048853710505</v>
      </c>
      <c r="AZ119" s="76" t="str">
        <f t="shared" si="65"/>
        <v/>
      </c>
      <c r="BA119" s="77" t="str">
        <f t="shared" si="66"/>
        <v/>
      </c>
      <c r="BB119" s="696">
        <f>SUM('Defect (Total)'!BB119,Planned!CE119,Reconductor!CE119,CTGS!CE119,'Substation 2025$'!CE119*$BL$1,Comms!CA119*$BL$2)</f>
        <v>0</v>
      </c>
      <c r="BC119" s="696">
        <f>SUM('Defect (Total)'!BC119,Planned!CF119,Reconductor!CF119,CTGS!CF119,'Substation 2025$'!CF119*$BL$1,Comms!CB119*$BL$2)</f>
        <v>0</v>
      </c>
      <c r="BD119" s="144">
        <f>SUM('Defect (Total)'!BD119,Planned!CG119,Reconductor!CG119,CTGS!CG119,'Substation 2025$'!CG119*$BL$1,Comms!CC119*$BL$2)</f>
        <v>0</v>
      </c>
      <c r="BE119" s="144">
        <f>SUM('Defect (Total)'!BE119,Planned!CH119,Reconductor!CH119,CTGS!CH119,'Substation 2025$'!CH119*$BL$1,Comms!CD119*$BL$2)</f>
        <v>0</v>
      </c>
      <c r="BF119" s="144">
        <f>SUM('Defect (Total)'!BF119,Planned!CI119,Reconductor!CI119,CTGS!CI119,'Substation 2025$'!CI119*$BL$1,Comms!CE119*$BL$2)</f>
        <v>0</v>
      </c>
      <c r="BG119" s="144">
        <f>SUM('Defect (Total)'!BG119,Planned!CJ119,Reconductor!CJ119,CTGS!CJ119,'Substation 2025$'!CJ119*$BL$1,Comms!CF119*$BL$2)</f>
        <v>0</v>
      </c>
      <c r="BH119" s="144">
        <f>SUM('Defect (Total)'!BH119,Planned!CK119,Reconductor!CK119,CTGS!CK119,'Substation 2025$'!CK119*$BL$1,Comms!CG119*$BL$2)</f>
        <v>0</v>
      </c>
      <c r="BI119" s="293">
        <f>SUM('Defect (Total)'!BI119,Planned!CL119,Reconductor!CL119,CTGS!CL119,'Substation 2025$'!CL119*$BL$1,Comms!CH119*$BL$2)</f>
        <v>0</v>
      </c>
      <c r="BJ119" s="124" t="str">
        <f t="shared" si="54"/>
        <v/>
      </c>
      <c r="BK119" s="974">
        <f>SUM('Defect (Total)'!BK119,Planned!CQ119,Reconductor!CQ119,CTGS!CQ119,'Substation 2025$'!CQ119*$BL$1,Comms!CM119*$BL$2)</f>
        <v>0</v>
      </c>
      <c r="BL119" s="974">
        <f>SUM('Defect (Total)'!BL119,Planned!CR119,Reconductor!CR119,CTGS!CR119,'Substation 2025$'!CR119*$BL$1,Comms!CN119*$BL$2)</f>
        <v>0</v>
      </c>
      <c r="BM119" s="523">
        <f>SUM('Defect (Total)'!BM119,Planned!CS119,Reconductor!CS119,CTGS!CS119,'Substation 2025$'!CS119*$BL$1,Comms!CO119*$BL$2)</f>
        <v>0</v>
      </c>
      <c r="BN119" s="415">
        <f>SUM('Defect (Total)'!BN119,Planned!CT119,Reconductor!CT119,CTGS!CT119,'Substation 2025$'!CT119*$BL$1,Comms!CP119*$BL$2)</f>
        <v>0</v>
      </c>
      <c r="BO119" s="79">
        <f>SUM('Defect (Total)'!BO119,Planned!CU119,Reconductor!CU119,CTGS!CU119,'Substation 2025$'!CU119*$BL$1,Comms!CQ119*$BL$2)</f>
        <v>0</v>
      </c>
      <c r="BP119" s="79">
        <f>SUM('Defect (Total)'!BP119,Planned!CV119,Reconductor!CV119,CTGS!CV119,'Substation 2025$'!CV119*$BL$1,Comms!CR119*$BL$2)</f>
        <v>0</v>
      </c>
      <c r="BQ119" s="79">
        <f>SUM('Defect (Total)'!BQ119,Planned!CW119,Reconductor!CW119,CTGS!CW119,'Substation 2025$'!CW119*$BL$1,Comms!CS119*$BL$2)</f>
        <v>0</v>
      </c>
      <c r="BR119" s="80">
        <f>SUM('Defect (Total)'!BR119,Planned!CX119,Reconductor!CX119,CTGS!CX119,'Substation 2025$'!CX119*$BL$1,Comms!CT119*$BL$2)</f>
        <v>0</v>
      </c>
      <c r="BS119" s="835" t="str">
        <f>'Unit Cost Rate Summary'!AO119</f>
        <v/>
      </c>
      <c r="BT119" s="839" t="str">
        <f t="shared" si="67"/>
        <v/>
      </c>
      <c r="BU119" s="834" t="str">
        <f t="shared" si="68"/>
        <v/>
      </c>
      <c r="CI119" s="415">
        <f>VLOOKUP($A119,'Distribution Summary'!$A$136:$CG$146,CI$1,0)*BN119</f>
        <v>0</v>
      </c>
      <c r="CJ119" s="79">
        <f>VLOOKUP($A119,'Distribution Summary'!$A$136:$CG$146,CJ$1,0)*BO119</f>
        <v>0</v>
      </c>
      <c r="CK119" s="79">
        <f>VLOOKUP($A119,'Distribution Summary'!$A$136:$CG$146,CK$1,0)*BP119</f>
        <v>0</v>
      </c>
      <c r="CL119" s="79">
        <f>VLOOKUP($A119,'Distribution Summary'!$A$136:$CG$146,CL$1,0)*BQ119</f>
        <v>0</v>
      </c>
      <c r="CM119" s="80">
        <f>VLOOKUP($A119,'Distribution Summary'!$A$136:$CG$146,CM$1,0)*BR119</f>
        <v>0</v>
      </c>
    </row>
    <row r="120" spans="1:91" x14ac:dyDescent="0.25">
      <c r="A120" s="81" t="s">
        <v>242</v>
      </c>
      <c r="B120" s="82" t="s">
        <v>243</v>
      </c>
      <c r="C120" s="83" t="s">
        <v>244</v>
      </c>
      <c r="D120" s="84">
        <f>SUM('Defect (Total)'!D120,Planned!D120,Reconductor!D120,CTGS!D120)</f>
        <v>0</v>
      </c>
      <c r="E120" s="85">
        <f>SUM('Defect (Total)'!E120,Planned!E120,Reconductor!E120,CTGS!E120)</f>
        <v>0</v>
      </c>
      <c r="F120" s="85">
        <f>SUM('Defect (Total)'!F120,Planned!F120,Reconductor!F120,CTGS!F120)</f>
        <v>0</v>
      </c>
      <c r="G120" s="85">
        <f>SUM('Defect (Total)'!G120,Planned!G120,Reconductor!G120,CTGS!G120)</f>
        <v>0</v>
      </c>
      <c r="H120" s="85">
        <f>SUM('Defect (Total)'!H120,Planned!H120,Reconductor!H120,CTGS!H120)</f>
        <v>0</v>
      </c>
      <c r="I120" s="85">
        <f>SUM('Defect (Total)'!I120,Planned!I120,Reconductor!I120,CTGS!I120)</f>
        <v>0</v>
      </c>
      <c r="J120" s="85">
        <f>SUM('Defect (Total)'!J120,Planned!J120,Reconductor!J120,CTGS!J120)</f>
        <v>0</v>
      </c>
      <c r="K120" s="85">
        <f>SUM('Defect (Total)'!K120,Planned!K120,Reconductor!K120,CTGS!K120)</f>
        <v>0</v>
      </c>
      <c r="L120" s="85">
        <f>SUM('Defect (Total)'!L120,Planned!L120,Reconductor!L120,CTGS!L120)</f>
        <v>0</v>
      </c>
      <c r="M120" s="85">
        <f>SUM('Defect (Total)'!M120,Planned!M120,Reconductor!M120,CTGS!M120)</f>
        <v>0</v>
      </c>
      <c r="N120" s="85">
        <f>SUM('Defect (Total)'!N120,Planned!N120,Reconductor!N120,CTGS!N120)</f>
        <v>0</v>
      </c>
      <c r="O120" s="560">
        <f>SUM('Defect (Total)'!O120,Planned!O120,Reconductor!O120,CTGS!O120)</f>
        <v>0</v>
      </c>
      <c r="P120" s="561">
        <f>SUM('Defect (Total)'!P120,Planned!P120,Reconductor!P120,CTGS!P120)</f>
        <v>0</v>
      </c>
      <c r="Q120" s="561">
        <f>SUM('Defect (Total)'!Q120,Planned!Q120,Reconductor!Q120,CTGS!Q120)</f>
        <v>0</v>
      </c>
      <c r="R120" s="561">
        <f>SUM('Defect (Total)'!R120,Planned!R120,Reconductor!R120,CTGS!R120)</f>
        <v>0</v>
      </c>
      <c r="S120" s="561">
        <f>SUM('Defect (Total)'!S120,Planned!S120,Reconductor!S120,CTGS!S120)</f>
        <v>0</v>
      </c>
      <c r="T120" s="561">
        <f>SUM('Defect (Total)'!T120,Planned!T120,Reconductor!T120,CTGS!T120)</f>
        <v>0</v>
      </c>
      <c r="U120" s="561">
        <f>SUM('Defect (Total)'!U120,Planned!U120,Reconductor!U120,CTGS!U120)</f>
        <v>0</v>
      </c>
      <c r="V120" s="561">
        <f>SUM('Defect (Total)'!V120,Planned!V120,Reconductor!V120,CTGS!V120)</f>
        <v>0</v>
      </c>
      <c r="W120" s="561">
        <f>SUM('Defect (Total)'!W120,Planned!W120,Reconductor!W120,CTGS!W120)</f>
        <v>0</v>
      </c>
      <c r="X120" s="561">
        <f>SUM('Defect (Total)'!X120,Planned!X120,Reconductor!X120,CTGS!X120)</f>
        <v>0</v>
      </c>
      <c r="Y120" s="561">
        <f>SUM('Defect (Total)'!Y120,Planned!Y120,Reconductor!Y120,CTGS!Y120)</f>
        <v>0</v>
      </c>
      <c r="Z120" s="86">
        <f>SUM('Defect (Total)'!Z120,Planned!Z120,Reconductor!Z120,CTGS!Z120)</f>
        <v>0</v>
      </c>
      <c r="AA120" s="87">
        <f>SUM('Defect (Total)'!AA120,Planned!AA120,Reconductor!AA120,CTGS!AA120)</f>
        <v>0</v>
      </c>
      <c r="AB120" s="87">
        <f>SUM('Defect (Total)'!AB120,Planned!AB120,Reconductor!AB120,CTGS!AB120)</f>
        <v>0</v>
      </c>
      <c r="AC120" s="87">
        <f>SUM('Defect (Total)'!AC120,Planned!AC120,Reconductor!AC120,CTGS!AC120)</f>
        <v>0</v>
      </c>
      <c r="AD120" s="87">
        <f>SUM('Defect (Total)'!AD120,Planned!AD120,Reconductor!AD120,CTGS!AD120)</f>
        <v>0</v>
      </c>
      <c r="AE120" s="87">
        <f>SUM('Defect (Total)'!AE120,Planned!AE120,Reconductor!AE120,CTGS!AE120)</f>
        <v>0</v>
      </c>
      <c r="AF120" s="87">
        <f>SUM('Defect (Total)'!AF120,Planned!AF120,Reconductor!AF120,CTGS!AF120)</f>
        <v>0</v>
      </c>
      <c r="AG120" s="87">
        <f>SUM('Defect (Total)'!AG120,Planned!AG120,Reconductor!AG120,CTGS!AG120)</f>
        <v>0</v>
      </c>
      <c r="AH120" s="87">
        <f>SUM('Defect (Total)'!AH120,Planned!AH120,Reconductor!AH120,CTGS!AH120)</f>
        <v>0</v>
      </c>
      <c r="AI120" s="87">
        <f>SUM('Defect (Total)'!AI120,Planned!AI120,Reconductor!AI120,CTGS!AI120)</f>
        <v>0</v>
      </c>
      <c r="AJ120" s="87">
        <f>SUM('Defect (Total)'!AJ120,Planned!AJ120,Reconductor!AJ120,CTGS!AJ120)</f>
        <v>0</v>
      </c>
      <c r="AK120" s="88">
        <f t="shared" si="51"/>
        <v>0</v>
      </c>
      <c r="AL120" s="89">
        <f t="shared" si="52"/>
        <v>0</v>
      </c>
      <c r="AM120" s="90">
        <f t="shared" si="53"/>
        <v>0</v>
      </c>
      <c r="AN120" s="91" t="str">
        <f t="shared" si="55"/>
        <v/>
      </c>
      <c r="AO120" s="92" t="str">
        <f t="shared" si="56"/>
        <v/>
      </c>
      <c r="AP120" s="92" t="str">
        <f t="shared" si="57"/>
        <v/>
      </c>
      <c r="AQ120" s="92" t="str">
        <f t="shared" si="58"/>
        <v/>
      </c>
      <c r="AR120" s="92" t="str">
        <f t="shared" si="59"/>
        <v/>
      </c>
      <c r="AS120" s="92" t="str">
        <f t="shared" si="60"/>
        <v/>
      </c>
      <c r="AT120" s="92" t="str">
        <f t="shared" si="61"/>
        <v/>
      </c>
      <c r="AU120" s="92" t="str">
        <f t="shared" si="62"/>
        <v/>
      </c>
      <c r="AV120" s="92" t="str">
        <f t="shared" si="63"/>
        <v/>
      </c>
      <c r="AW120" s="92" t="str">
        <f t="shared" si="44"/>
        <v/>
      </c>
      <c r="AX120" s="92" t="str">
        <f t="shared" si="45"/>
        <v/>
      </c>
      <c r="AY120" s="93" t="str">
        <f t="shared" si="64"/>
        <v/>
      </c>
      <c r="AZ120" s="94" t="str">
        <f t="shared" si="65"/>
        <v/>
      </c>
      <c r="BA120" s="95" t="str">
        <f t="shared" si="66"/>
        <v/>
      </c>
      <c r="BB120" s="689">
        <f>SUM('Defect (Total)'!BB120,Planned!CE120,Reconductor!CE120,CTGS!CE120,'Substation 2025$'!CE120*$BL$1,Comms!CA120*$BL$2)</f>
        <v>0</v>
      </c>
      <c r="BC120" s="689">
        <f>SUM('Defect (Total)'!BC120,Planned!CF120,Reconductor!CF120,CTGS!CF120,'Substation 2025$'!CF120*$BL$1,Comms!CB120*$BL$2)</f>
        <v>0</v>
      </c>
      <c r="BD120" s="96">
        <f>SUM('Defect (Total)'!BD120,Planned!CG120,Reconductor!CG120,CTGS!CG120,'Substation 2025$'!CG120*$BL$1,Comms!CC120*$BL$2)</f>
        <v>0</v>
      </c>
      <c r="BE120" s="96">
        <f>SUM('Defect (Total)'!BE120,Planned!CH120,Reconductor!CH120,CTGS!CH120,'Substation 2025$'!CH120*$BL$1,Comms!CD120*$BL$2)</f>
        <v>0</v>
      </c>
      <c r="BF120" s="96">
        <f>SUM('Defect (Total)'!BF120,Planned!CI120,Reconductor!CI120,CTGS!CI120,'Substation 2025$'!CI120*$BL$1,Comms!CE120*$BL$2)</f>
        <v>0</v>
      </c>
      <c r="BG120" s="96">
        <f>SUM('Defect (Total)'!BG120,Planned!CJ120,Reconductor!CJ120,CTGS!CJ120,'Substation 2025$'!CJ120*$BL$1,Comms!CF120*$BL$2)</f>
        <v>0</v>
      </c>
      <c r="BH120" s="96">
        <f>SUM('Defect (Total)'!BH120,Planned!CK120,Reconductor!CK120,CTGS!CK120,'Substation 2025$'!CK120*$BL$1,Comms!CG120*$BL$2)</f>
        <v>0</v>
      </c>
      <c r="BI120" s="286">
        <f>SUM('Defect (Total)'!BI120,Planned!CL120,Reconductor!CL120,CTGS!CL120,'Substation 2025$'!CL120*$BL$1,Comms!CH120*$BL$2)</f>
        <v>0</v>
      </c>
      <c r="BJ120" s="99" t="str">
        <f t="shared" si="54"/>
        <v/>
      </c>
      <c r="BK120" s="992">
        <f>SUM('Defect (Total)'!BK120,Planned!CQ120,Reconductor!CQ120,CTGS!CQ120,'Substation 2025$'!CQ120*$BL$1,Comms!CM120*$BL$2)</f>
        <v>0</v>
      </c>
      <c r="BL120" s="992">
        <f>SUM('Defect (Total)'!BL120,Planned!CR120,Reconductor!CR120,CTGS!CR120,'Substation 2025$'!CR120*$BL$1,Comms!CN120*$BL$2)</f>
        <v>0</v>
      </c>
      <c r="BM120" s="524">
        <f>SUM('Defect (Total)'!BM120,Planned!CS120,Reconductor!CS120,CTGS!CS120,'Substation 2025$'!CS120*$BL$1,Comms!CO120*$BL$2)</f>
        <v>0</v>
      </c>
      <c r="BN120" s="416">
        <f>SUM('Defect (Total)'!BN120,Planned!CT120,Reconductor!CT120,CTGS!CT120,'Substation 2025$'!CT120*$BL$1,Comms!CP120*$BL$2)</f>
        <v>0</v>
      </c>
      <c r="BO120" s="97">
        <f>SUM('Defect (Total)'!BO120,Planned!CU120,Reconductor!CU120,CTGS!CU120,'Substation 2025$'!CU120*$BL$1,Comms!CQ120*$BL$2)</f>
        <v>0</v>
      </c>
      <c r="BP120" s="97">
        <f>SUM('Defect (Total)'!BP120,Planned!CV120,Reconductor!CV120,CTGS!CV120,'Substation 2025$'!CV120*$BL$1,Comms!CR120*$BL$2)</f>
        <v>0</v>
      </c>
      <c r="BQ120" s="97">
        <f>SUM('Defect (Total)'!BQ120,Planned!CW120,Reconductor!CW120,CTGS!CW120,'Substation 2025$'!CW120*$BL$1,Comms!CS120*$BL$2)</f>
        <v>0</v>
      </c>
      <c r="BR120" s="98">
        <f>SUM('Defect (Total)'!BR120,Planned!CX120,Reconductor!CX120,CTGS!CX120,'Substation 2025$'!CX120*$BL$1,Comms!CT120*$BL$2)</f>
        <v>0</v>
      </c>
      <c r="BS120" s="836" t="str">
        <f>'Unit Cost Rate Summary'!AO120</f>
        <v/>
      </c>
      <c r="BT120" s="840" t="str">
        <f t="shared" si="67"/>
        <v/>
      </c>
      <c r="BU120" s="832" t="str">
        <f t="shared" si="68"/>
        <v/>
      </c>
      <c r="CI120" s="416">
        <f>VLOOKUP($A120,'Distribution Summary'!$A$136:$CG$146,CI$1,0)*BN120</f>
        <v>0</v>
      </c>
      <c r="CJ120" s="97">
        <f>VLOOKUP($A120,'Distribution Summary'!$A$136:$CG$146,CJ$1,0)*BO120</f>
        <v>0</v>
      </c>
      <c r="CK120" s="97">
        <f>VLOOKUP($A120,'Distribution Summary'!$A$136:$CG$146,CK$1,0)*BP120</f>
        <v>0</v>
      </c>
      <c r="CL120" s="97">
        <f>VLOOKUP($A120,'Distribution Summary'!$A$136:$CG$146,CL$1,0)*BQ120</f>
        <v>0</v>
      </c>
      <c r="CM120" s="98">
        <f>VLOOKUP($A120,'Distribution Summary'!$A$136:$CG$146,CM$1,0)*BR120</f>
        <v>0</v>
      </c>
    </row>
    <row r="121" spans="1:91" x14ac:dyDescent="0.25">
      <c r="A121" s="81" t="s">
        <v>242</v>
      </c>
      <c r="B121" s="82" t="s">
        <v>245</v>
      </c>
      <c r="C121" s="83" t="s">
        <v>246</v>
      </c>
      <c r="D121" s="84">
        <f>SUM('Defect (Total)'!D121,Planned!D121,Reconductor!D121,CTGS!D121)</f>
        <v>0</v>
      </c>
      <c r="E121" s="85">
        <f>SUM('Defect (Total)'!E121,Planned!E121,Reconductor!E121,CTGS!E121)</f>
        <v>0</v>
      </c>
      <c r="F121" s="85">
        <f>SUM('Defect (Total)'!F121,Planned!F121,Reconductor!F121,CTGS!F121)</f>
        <v>0</v>
      </c>
      <c r="G121" s="85">
        <f>SUM('Defect (Total)'!G121,Planned!G121,Reconductor!G121,CTGS!G121)</f>
        <v>0</v>
      </c>
      <c r="H121" s="85">
        <f>SUM('Defect (Total)'!H121,Planned!H121,Reconductor!H121,CTGS!H121)</f>
        <v>0</v>
      </c>
      <c r="I121" s="85">
        <f>SUM('Defect (Total)'!I121,Planned!I121,Reconductor!I121,CTGS!I121)</f>
        <v>0</v>
      </c>
      <c r="J121" s="85">
        <f>SUM('Defect (Total)'!J121,Planned!J121,Reconductor!J121,CTGS!J121)</f>
        <v>0</v>
      </c>
      <c r="K121" s="85">
        <f>SUM('Defect (Total)'!K121,Planned!K121,Reconductor!K121,CTGS!K121)</f>
        <v>415860.17992264399</v>
      </c>
      <c r="L121" s="85">
        <f>SUM('Defect (Total)'!L121,Planned!L121,Reconductor!L121,CTGS!L121)</f>
        <v>266866.98751652392</v>
      </c>
      <c r="M121" s="85">
        <f>SUM('Defect (Total)'!M121,Planned!M121,Reconductor!M121,CTGS!M121)</f>
        <v>0</v>
      </c>
      <c r="N121" s="85">
        <f>SUM('Defect (Total)'!N121,Planned!N121,Reconductor!N121,CTGS!N121)</f>
        <v>-284.04000000000002</v>
      </c>
      <c r="O121" s="560">
        <f>SUM('Defect (Total)'!O121,Planned!O121,Reconductor!O121,CTGS!O121)</f>
        <v>0</v>
      </c>
      <c r="P121" s="561">
        <f>SUM('Defect (Total)'!P121,Planned!P121,Reconductor!P121,CTGS!P121)</f>
        <v>0</v>
      </c>
      <c r="Q121" s="561">
        <f>SUM('Defect (Total)'!Q121,Planned!Q121,Reconductor!Q121,CTGS!Q121)</f>
        <v>0</v>
      </c>
      <c r="R121" s="561">
        <f>SUM('Defect (Total)'!R121,Planned!R121,Reconductor!R121,CTGS!R121)</f>
        <v>0</v>
      </c>
      <c r="S121" s="561">
        <f>SUM('Defect (Total)'!S121,Planned!S121,Reconductor!S121,CTGS!S121)</f>
        <v>0</v>
      </c>
      <c r="T121" s="561">
        <f>SUM('Defect (Total)'!T121,Planned!T121,Reconductor!T121,CTGS!T121)</f>
        <v>0</v>
      </c>
      <c r="U121" s="561">
        <f>SUM('Defect (Total)'!U121,Planned!U121,Reconductor!U121,CTGS!U121)</f>
        <v>0</v>
      </c>
      <c r="V121" s="561">
        <f>SUM('Defect (Total)'!V121,Planned!V121,Reconductor!V121,CTGS!V121)</f>
        <v>498765.56203309813</v>
      </c>
      <c r="W121" s="561">
        <f>SUM('Defect (Total)'!W121,Planned!W121,Reconductor!W121,CTGS!W121)</f>
        <v>301540.27704321325</v>
      </c>
      <c r="X121" s="561">
        <f>SUM('Defect (Total)'!X121,Planned!X121,Reconductor!X121,CTGS!X121)</f>
        <v>0</v>
      </c>
      <c r="Y121" s="561">
        <f>SUM('Defect (Total)'!Y121,Planned!Y121,Reconductor!Y121,CTGS!Y121)</f>
        <v>-291.85066806492631</v>
      </c>
      <c r="Z121" s="86">
        <f>SUM('Defect (Total)'!Z121,Planned!Z121,Reconductor!Z121,CTGS!Z121)</f>
        <v>0</v>
      </c>
      <c r="AA121" s="87">
        <f>SUM('Defect (Total)'!AA121,Planned!AA121,Reconductor!AA121,CTGS!AA121)</f>
        <v>0</v>
      </c>
      <c r="AB121" s="87">
        <f>SUM('Defect (Total)'!AB121,Planned!AB121,Reconductor!AB121,CTGS!AB121)</f>
        <v>0</v>
      </c>
      <c r="AC121" s="87">
        <f>SUM('Defect (Total)'!AC121,Planned!AC121,Reconductor!AC121,CTGS!AC121)</f>
        <v>0</v>
      </c>
      <c r="AD121" s="87">
        <f>SUM('Defect (Total)'!AD121,Planned!AD121,Reconductor!AD121,CTGS!AD121)</f>
        <v>0</v>
      </c>
      <c r="AE121" s="87">
        <f>SUM('Defect (Total)'!AE121,Planned!AE121,Reconductor!AE121,CTGS!AE121)</f>
        <v>0</v>
      </c>
      <c r="AF121" s="87">
        <f>SUM('Defect (Total)'!AF121,Planned!AF121,Reconductor!AF121,CTGS!AF121)</f>
        <v>0</v>
      </c>
      <c r="AG121" s="87">
        <f>SUM('Defect (Total)'!AG121,Planned!AG121,Reconductor!AG121,CTGS!AG121)</f>
        <v>0</v>
      </c>
      <c r="AH121" s="87">
        <f>SUM('Defect (Total)'!AH121,Planned!AH121,Reconductor!AH121,CTGS!AH121)</f>
        <v>0</v>
      </c>
      <c r="AI121" s="87">
        <f>SUM('Defect (Total)'!AI121,Planned!AI121,Reconductor!AI121,CTGS!AI121)</f>
        <v>0</v>
      </c>
      <c r="AJ121" s="87">
        <f>SUM('Defect (Total)'!AJ121,Planned!AJ121,Reconductor!AJ121,CTGS!AJ121)</f>
        <v>-5</v>
      </c>
      <c r="AK121" s="88">
        <f t="shared" si="51"/>
        <v>0</v>
      </c>
      <c r="AL121" s="89">
        <f t="shared" si="52"/>
        <v>0</v>
      </c>
      <c r="AM121" s="90">
        <f t="shared" si="53"/>
        <v>0</v>
      </c>
      <c r="AN121" s="91" t="str">
        <f t="shared" si="55"/>
        <v/>
      </c>
      <c r="AO121" s="92" t="str">
        <f t="shared" si="56"/>
        <v/>
      </c>
      <c r="AP121" s="92" t="str">
        <f t="shared" si="57"/>
        <v/>
      </c>
      <c r="AQ121" s="92" t="str">
        <f t="shared" si="58"/>
        <v/>
      </c>
      <c r="AR121" s="92" t="str">
        <f t="shared" si="59"/>
        <v/>
      </c>
      <c r="AS121" s="92" t="str">
        <f t="shared" si="60"/>
        <v/>
      </c>
      <c r="AT121" s="92" t="str">
        <f t="shared" si="61"/>
        <v/>
      </c>
      <c r="AU121" s="92" t="str">
        <f t="shared" si="62"/>
        <v/>
      </c>
      <c r="AV121" s="92" t="str">
        <f t="shared" si="63"/>
        <v/>
      </c>
      <c r="AW121" s="92" t="str">
        <f t="shared" si="44"/>
        <v/>
      </c>
      <c r="AX121" s="92">
        <f t="shared" si="45"/>
        <v>56.808000000000007</v>
      </c>
      <c r="AY121" s="93" t="str">
        <f t="shared" si="64"/>
        <v/>
      </c>
      <c r="AZ121" s="94" t="str">
        <f t="shared" si="65"/>
        <v/>
      </c>
      <c r="BA121" s="95" t="str">
        <f t="shared" si="66"/>
        <v/>
      </c>
      <c r="BB121" s="689">
        <f>SUM('Defect (Total)'!BB121,Planned!CE121,Reconductor!CE121,CTGS!CE121,'Substation 2025$'!CE121*$BL$1,Comms!CA121*$BL$2)</f>
        <v>0</v>
      </c>
      <c r="BC121" s="689">
        <f>SUM('Defect (Total)'!BC121,Planned!CF121,Reconductor!CF121,CTGS!CF121,'Substation 2025$'!CF121*$BL$1,Comms!CB121*$BL$2)</f>
        <v>0</v>
      </c>
      <c r="BD121" s="96">
        <f>SUM('Defect (Total)'!BD121,Planned!CG121,Reconductor!CG121,CTGS!CG121,'Substation 2025$'!CG121*$BL$1,Comms!CC121*$BL$2)</f>
        <v>0</v>
      </c>
      <c r="BE121" s="96">
        <f>SUM('Defect (Total)'!BE121,Planned!CH121,Reconductor!CH121,CTGS!CH121,'Substation 2025$'!CH121*$BL$1,Comms!CD121*$BL$2)</f>
        <v>0</v>
      </c>
      <c r="BF121" s="96">
        <f>SUM('Defect (Total)'!BF121,Planned!CI121,Reconductor!CI121,CTGS!CI121,'Substation 2025$'!CI121*$BL$1,Comms!CE121*$BL$2)</f>
        <v>0</v>
      </c>
      <c r="BG121" s="96">
        <f>SUM('Defect (Total)'!BG121,Planned!CJ121,Reconductor!CJ121,CTGS!CJ121,'Substation 2025$'!CJ121*$BL$1,Comms!CF121*$BL$2)</f>
        <v>0</v>
      </c>
      <c r="BH121" s="96">
        <f>SUM('Defect (Total)'!BH121,Planned!CK121,Reconductor!CK121,CTGS!CK121,'Substation 2025$'!CK121*$BL$1,Comms!CG121*$BL$2)</f>
        <v>0</v>
      </c>
      <c r="BI121" s="286">
        <f>SUM('Defect (Total)'!BI121,Planned!CL121,Reconductor!CL121,CTGS!CL121,'Substation 2025$'!CL121*$BL$1,Comms!CH121*$BL$2)</f>
        <v>0</v>
      </c>
      <c r="BJ121" s="99" t="str">
        <f t="shared" si="54"/>
        <v/>
      </c>
      <c r="BK121" s="992">
        <f>SUM('Defect (Total)'!BK121,Planned!CQ121,Reconductor!CQ121,CTGS!CQ121,'Substation 2025$'!CQ121*$BL$1,Comms!CM121*$BL$2)</f>
        <v>0</v>
      </c>
      <c r="BL121" s="992">
        <f>SUM('Defect (Total)'!BL121,Planned!CR121,Reconductor!CR121,CTGS!CR121,'Substation 2025$'!CR121*$BL$1,Comms!CN121*$BL$2)</f>
        <v>0</v>
      </c>
      <c r="BM121" s="524">
        <f>SUM('Defect (Total)'!BM121,Planned!CS121,Reconductor!CS121,CTGS!CS121,'Substation 2025$'!CS121*$BL$1,Comms!CO121*$BL$2)</f>
        <v>0</v>
      </c>
      <c r="BN121" s="416">
        <f>SUM('Defect (Total)'!BN121,Planned!CT121,Reconductor!CT121,CTGS!CT121,'Substation 2025$'!CT121*$BL$1,Comms!CP121*$BL$2)</f>
        <v>0</v>
      </c>
      <c r="BO121" s="97">
        <f>SUM('Defect (Total)'!BO121,Planned!CU121,Reconductor!CU121,CTGS!CU121,'Substation 2025$'!CU121*$BL$1,Comms!CQ121*$BL$2)</f>
        <v>0</v>
      </c>
      <c r="BP121" s="97">
        <f>SUM('Defect (Total)'!BP121,Planned!CV121,Reconductor!CV121,CTGS!CV121,'Substation 2025$'!CV121*$BL$1,Comms!CR121*$BL$2)</f>
        <v>0</v>
      </c>
      <c r="BQ121" s="97">
        <f>SUM('Defect (Total)'!BQ121,Planned!CW121,Reconductor!CW121,CTGS!CW121,'Substation 2025$'!CW121*$BL$1,Comms!CS121*$BL$2)</f>
        <v>0</v>
      </c>
      <c r="BR121" s="98">
        <f>SUM('Defect (Total)'!BR121,Planned!CX121,Reconductor!CX121,CTGS!CX121,'Substation 2025$'!CX121*$BL$1,Comms!CT121*$BL$2)</f>
        <v>0</v>
      </c>
      <c r="BS121" s="836" t="str">
        <f>'Unit Cost Rate Summary'!AO121</f>
        <v/>
      </c>
      <c r="BT121" s="840" t="str">
        <f t="shared" si="67"/>
        <v/>
      </c>
      <c r="BU121" s="832" t="str">
        <f t="shared" si="68"/>
        <v/>
      </c>
      <c r="CI121" s="416">
        <f>VLOOKUP($A121,'Distribution Summary'!$A$136:$CG$146,CI$1,0)*BN121</f>
        <v>0</v>
      </c>
      <c r="CJ121" s="97">
        <f>VLOOKUP($A121,'Distribution Summary'!$A$136:$CG$146,CJ$1,0)*BO121</f>
        <v>0</v>
      </c>
      <c r="CK121" s="97">
        <f>VLOOKUP($A121,'Distribution Summary'!$A$136:$CG$146,CK$1,0)*BP121</f>
        <v>0</v>
      </c>
      <c r="CL121" s="97">
        <f>VLOOKUP($A121,'Distribution Summary'!$A$136:$CG$146,CL$1,0)*BQ121</f>
        <v>0</v>
      </c>
      <c r="CM121" s="98">
        <f>VLOOKUP($A121,'Distribution Summary'!$A$136:$CG$146,CM$1,0)*BR121</f>
        <v>0</v>
      </c>
    </row>
    <row r="122" spans="1:91" x14ac:dyDescent="0.25">
      <c r="A122" s="81" t="s">
        <v>242</v>
      </c>
      <c r="B122" s="82" t="s">
        <v>247</v>
      </c>
      <c r="C122" s="83" t="s">
        <v>248</v>
      </c>
      <c r="D122" s="84">
        <f>SUM('Defect (Total)'!D122,Planned!D122,Reconductor!D122,CTGS!D122)</f>
        <v>0</v>
      </c>
      <c r="E122" s="85">
        <f>SUM('Defect (Total)'!E122,Planned!E122,Reconductor!E122,CTGS!E122)</f>
        <v>0</v>
      </c>
      <c r="F122" s="85">
        <f>SUM('Defect (Total)'!F122,Planned!F122,Reconductor!F122,CTGS!F122)</f>
        <v>0</v>
      </c>
      <c r="G122" s="85">
        <f>SUM('Defect (Total)'!G122,Planned!G122,Reconductor!G122,CTGS!G122)</f>
        <v>0</v>
      </c>
      <c r="H122" s="85">
        <f>SUM('Defect (Total)'!H122,Planned!H122,Reconductor!H122,CTGS!H122)</f>
        <v>0</v>
      </c>
      <c r="I122" s="85">
        <f>SUM('Defect (Total)'!I122,Planned!I122,Reconductor!I122,CTGS!I122)</f>
        <v>0</v>
      </c>
      <c r="J122" s="85">
        <f>SUM('Defect (Total)'!J122,Planned!J122,Reconductor!J122,CTGS!J122)</f>
        <v>0</v>
      </c>
      <c r="K122" s="85">
        <f>SUM('Defect (Total)'!K122,Planned!K122,Reconductor!K122,CTGS!K122)</f>
        <v>0</v>
      </c>
      <c r="L122" s="85">
        <f>SUM('Defect (Total)'!L122,Planned!L122,Reconductor!L122,CTGS!L122)</f>
        <v>0</v>
      </c>
      <c r="M122" s="85">
        <f>SUM('Defect (Total)'!M122,Planned!M122,Reconductor!M122,CTGS!M122)</f>
        <v>0</v>
      </c>
      <c r="N122" s="85">
        <f>SUM('Defect (Total)'!N122,Planned!N122,Reconductor!N122,CTGS!N122)</f>
        <v>0</v>
      </c>
      <c r="O122" s="560">
        <f>SUM('Defect (Total)'!O122,Planned!O122,Reconductor!O122,CTGS!O122)</f>
        <v>0</v>
      </c>
      <c r="P122" s="561">
        <f>SUM('Defect (Total)'!P122,Planned!P122,Reconductor!P122,CTGS!P122)</f>
        <v>0</v>
      </c>
      <c r="Q122" s="561">
        <f>SUM('Defect (Total)'!Q122,Planned!Q122,Reconductor!Q122,CTGS!Q122)</f>
        <v>0</v>
      </c>
      <c r="R122" s="561">
        <f>SUM('Defect (Total)'!R122,Planned!R122,Reconductor!R122,CTGS!R122)</f>
        <v>0</v>
      </c>
      <c r="S122" s="561">
        <f>SUM('Defect (Total)'!S122,Planned!S122,Reconductor!S122,CTGS!S122)</f>
        <v>0</v>
      </c>
      <c r="T122" s="561">
        <f>SUM('Defect (Total)'!T122,Planned!T122,Reconductor!T122,CTGS!T122)</f>
        <v>0</v>
      </c>
      <c r="U122" s="561">
        <f>SUM('Defect (Total)'!U122,Planned!U122,Reconductor!U122,CTGS!U122)</f>
        <v>0</v>
      </c>
      <c r="V122" s="561">
        <f>SUM('Defect (Total)'!V122,Planned!V122,Reconductor!V122,CTGS!V122)</f>
        <v>0</v>
      </c>
      <c r="W122" s="561">
        <f>SUM('Defect (Total)'!W122,Planned!W122,Reconductor!W122,CTGS!W122)</f>
        <v>0</v>
      </c>
      <c r="X122" s="561">
        <f>SUM('Defect (Total)'!X122,Planned!X122,Reconductor!X122,CTGS!X122)</f>
        <v>0</v>
      </c>
      <c r="Y122" s="561">
        <f>SUM('Defect (Total)'!Y122,Planned!Y122,Reconductor!Y122,CTGS!Y122)</f>
        <v>0</v>
      </c>
      <c r="Z122" s="86">
        <f>SUM('Defect (Total)'!Z122,Planned!Z122,Reconductor!Z122,CTGS!Z122)</f>
        <v>0</v>
      </c>
      <c r="AA122" s="87">
        <f>SUM('Defect (Total)'!AA122,Planned!AA122,Reconductor!AA122,CTGS!AA122)</f>
        <v>0</v>
      </c>
      <c r="AB122" s="87">
        <f>SUM('Defect (Total)'!AB122,Planned!AB122,Reconductor!AB122,CTGS!AB122)</f>
        <v>0</v>
      </c>
      <c r="AC122" s="87">
        <f>SUM('Defect (Total)'!AC122,Planned!AC122,Reconductor!AC122,CTGS!AC122)</f>
        <v>0</v>
      </c>
      <c r="AD122" s="87">
        <f>SUM('Defect (Total)'!AD122,Planned!AD122,Reconductor!AD122,CTGS!AD122)</f>
        <v>0</v>
      </c>
      <c r="AE122" s="87">
        <f>SUM('Defect (Total)'!AE122,Planned!AE122,Reconductor!AE122,CTGS!AE122)</f>
        <v>0</v>
      </c>
      <c r="AF122" s="87">
        <f>SUM('Defect (Total)'!AF122,Planned!AF122,Reconductor!AF122,CTGS!AF122)</f>
        <v>0</v>
      </c>
      <c r="AG122" s="87">
        <f>SUM('Defect (Total)'!AG122,Planned!AG122,Reconductor!AG122,CTGS!AG122)</f>
        <v>0</v>
      </c>
      <c r="AH122" s="87">
        <f>SUM('Defect (Total)'!AH122,Planned!AH122,Reconductor!AH122,CTGS!AH122)</f>
        <v>0</v>
      </c>
      <c r="AI122" s="87">
        <f>SUM('Defect (Total)'!AI122,Planned!AI122,Reconductor!AI122,CTGS!AI122)</f>
        <v>0</v>
      </c>
      <c r="AJ122" s="87">
        <f>SUM('Defect (Total)'!AJ122,Planned!AJ122,Reconductor!AJ122,CTGS!AJ122)</f>
        <v>0</v>
      </c>
      <c r="AK122" s="88">
        <f t="shared" si="51"/>
        <v>0</v>
      </c>
      <c r="AL122" s="89">
        <f t="shared" si="52"/>
        <v>0</v>
      </c>
      <c r="AM122" s="90">
        <f t="shared" si="53"/>
        <v>0</v>
      </c>
      <c r="AN122" s="91" t="str">
        <f t="shared" si="55"/>
        <v/>
      </c>
      <c r="AO122" s="92" t="str">
        <f t="shared" si="56"/>
        <v/>
      </c>
      <c r="AP122" s="92" t="str">
        <f t="shared" si="57"/>
        <v/>
      </c>
      <c r="AQ122" s="92" t="str">
        <f t="shared" si="58"/>
        <v/>
      </c>
      <c r="AR122" s="92" t="str">
        <f t="shared" si="59"/>
        <v/>
      </c>
      <c r="AS122" s="92" t="str">
        <f t="shared" si="60"/>
        <v/>
      </c>
      <c r="AT122" s="92" t="str">
        <f t="shared" si="61"/>
        <v/>
      </c>
      <c r="AU122" s="92" t="str">
        <f t="shared" si="62"/>
        <v/>
      </c>
      <c r="AV122" s="92" t="str">
        <f t="shared" si="63"/>
        <v/>
      </c>
      <c r="AW122" s="92" t="str">
        <f t="shared" si="44"/>
        <v/>
      </c>
      <c r="AX122" s="92" t="str">
        <f t="shared" si="45"/>
        <v/>
      </c>
      <c r="AY122" s="93" t="str">
        <f t="shared" si="64"/>
        <v/>
      </c>
      <c r="AZ122" s="94" t="str">
        <f t="shared" si="65"/>
        <v/>
      </c>
      <c r="BA122" s="95" t="str">
        <f t="shared" si="66"/>
        <v/>
      </c>
      <c r="BB122" s="689">
        <f>SUM('Defect (Total)'!BB122,Planned!CE122,Reconductor!CE122,CTGS!CE122,'Substation 2025$'!CE122*$BL$1,Comms!CA122*$BL$2)</f>
        <v>0</v>
      </c>
      <c r="BC122" s="689">
        <f>SUM('Defect (Total)'!BC122,Planned!CF122,Reconductor!CF122,CTGS!CF122,'Substation 2025$'!CF122*$BL$1,Comms!CB122*$BL$2)</f>
        <v>0</v>
      </c>
      <c r="BD122" s="96">
        <f>SUM('Defect (Total)'!BD122,Planned!CG122,Reconductor!CG122,CTGS!CG122,'Substation 2025$'!CG122*$BL$1,Comms!CC122*$BL$2)</f>
        <v>0</v>
      </c>
      <c r="BE122" s="96">
        <f>SUM('Defect (Total)'!BE122,Planned!CH122,Reconductor!CH122,CTGS!CH122,'Substation 2025$'!CH122*$BL$1,Comms!CD122*$BL$2)</f>
        <v>0</v>
      </c>
      <c r="BF122" s="96">
        <f>SUM('Defect (Total)'!BF122,Planned!CI122,Reconductor!CI122,CTGS!CI122,'Substation 2025$'!CI122*$BL$1,Comms!CE122*$BL$2)</f>
        <v>0</v>
      </c>
      <c r="BG122" s="96">
        <f>SUM('Defect (Total)'!BG122,Planned!CJ122,Reconductor!CJ122,CTGS!CJ122,'Substation 2025$'!CJ122*$BL$1,Comms!CF122*$BL$2)</f>
        <v>0</v>
      </c>
      <c r="BH122" s="96">
        <f>SUM('Defect (Total)'!BH122,Planned!CK122,Reconductor!CK122,CTGS!CK122,'Substation 2025$'!CK122*$BL$1,Comms!CG122*$BL$2)</f>
        <v>0</v>
      </c>
      <c r="BI122" s="286">
        <f>SUM('Defect (Total)'!BI122,Planned!CL122,Reconductor!CL122,CTGS!CL122,'Substation 2025$'!CL122*$BL$1,Comms!CH122*$BL$2)</f>
        <v>0</v>
      </c>
      <c r="BJ122" s="99" t="str">
        <f t="shared" si="54"/>
        <v/>
      </c>
      <c r="BK122" s="992">
        <f>SUM('Defect (Total)'!BK122,Planned!CQ122,Reconductor!CQ122,CTGS!CQ122,'Substation 2025$'!CQ122*$BL$1,Comms!CM122*$BL$2)</f>
        <v>0</v>
      </c>
      <c r="BL122" s="992">
        <f>SUM('Defect (Total)'!BL122,Planned!CR122,Reconductor!CR122,CTGS!CR122,'Substation 2025$'!CR122*$BL$1,Comms!CN122*$BL$2)</f>
        <v>0</v>
      </c>
      <c r="BM122" s="524">
        <f>SUM('Defect (Total)'!BM122,Planned!CS122,Reconductor!CS122,CTGS!CS122,'Substation 2025$'!CS122*$BL$1,Comms!CO122*$BL$2)</f>
        <v>0</v>
      </c>
      <c r="BN122" s="416">
        <f>SUM('Defect (Total)'!BN122,Planned!CT122,Reconductor!CT122,CTGS!CT122,'Substation 2025$'!CT122*$BL$1,Comms!CP122*$BL$2)</f>
        <v>0</v>
      </c>
      <c r="BO122" s="97">
        <f>SUM('Defect (Total)'!BO122,Planned!CU122,Reconductor!CU122,CTGS!CU122,'Substation 2025$'!CU122*$BL$1,Comms!CQ122*$BL$2)</f>
        <v>0</v>
      </c>
      <c r="BP122" s="97">
        <f>SUM('Defect (Total)'!BP122,Planned!CV122,Reconductor!CV122,CTGS!CV122,'Substation 2025$'!CV122*$BL$1,Comms!CR122*$BL$2)</f>
        <v>0</v>
      </c>
      <c r="BQ122" s="97">
        <f>SUM('Defect (Total)'!BQ122,Planned!CW122,Reconductor!CW122,CTGS!CW122,'Substation 2025$'!CW122*$BL$1,Comms!CS122*$BL$2)</f>
        <v>0</v>
      </c>
      <c r="BR122" s="98">
        <f>SUM('Defect (Total)'!BR122,Planned!CX122,Reconductor!CX122,CTGS!CX122,'Substation 2025$'!CX122*$BL$1,Comms!CT122*$BL$2)</f>
        <v>0</v>
      </c>
      <c r="BS122" s="836" t="str">
        <f>'Unit Cost Rate Summary'!AO122</f>
        <v/>
      </c>
      <c r="BT122" s="840" t="str">
        <f t="shared" si="67"/>
        <v/>
      </c>
      <c r="BU122" s="832" t="str">
        <f t="shared" si="68"/>
        <v/>
      </c>
      <c r="CI122" s="416">
        <f>VLOOKUP($A122,'Distribution Summary'!$A$136:$CG$146,CI$1,0)*BN122</f>
        <v>0</v>
      </c>
      <c r="CJ122" s="97">
        <f>VLOOKUP($A122,'Distribution Summary'!$A$136:$CG$146,CJ$1,0)*BO122</f>
        <v>0</v>
      </c>
      <c r="CK122" s="97">
        <f>VLOOKUP($A122,'Distribution Summary'!$A$136:$CG$146,CK$1,0)*BP122</f>
        <v>0</v>
      </c>
      <c r="CL122" s="97">
        <f>VLOOKUP($A122,'Distribution Summary'!$A$136:$CG$146,CL$1,0)*BQ122</f>
        <v>0</v>
      </c>
      <c r="CM122" s="98">
        <f>VLOOKUP($A122,'Distribution Summary'!$A$136:$CG$146,CM$1,0)*BR122</f>
        <v>0</v>
      </c>
    </row>
    <row r="123" spans="1:91" x14ac:dyDescent="0.25">
      <c r="A123" s="81" t="s">
        <v>242</v>
      </c>
      <c r="B123" s="82" t="s">
        <v>249</v>
      </c>
      <c r="C123" s="83" t="s">
        <v>250</v>
      </c>
      <c r="D123" s="84">
        <f>SUM('Defect (Total)'!D123,Planned!D123,Reconductor!D123,CTGS!D123)</f>
        <v>0</v>
      </c>
      <c r="E123" s="85">
        <f>SUM('Defect (Total)'!E123,Planned!E123,Reconductor!E123,CTGS!E123)</f>
        <v>0</v>
      </c>
      <c r="F123" s="85">
        <f>SUM('Defect (Total)'!F123,Planned!F123,Reconductor!F123,CTGS!F123)</f>
        <v>0</v>
      </c>
      <c r="G123" s="85">
        <f>SUM('Defect (Total)'!G123,Planned!G123,Reconductor!G123,CTGS!G123)</f>
        <v>0</v>
      </c>
      <c r="H123" s="85">
        <f>SUM('Defect (Total)'!H123,Planned!H123,Reconductor!H123,CTGS!H123)</f>
        <v>0</v>
      </c>
      <c r="I123" s="85">
        <f>SUM('Defect (Total)'!I123,Planned!I123,Reconductor!I123,CTGS!I123)</f>
        <v>0</v>
      </c>
      <c r="J123" s="85">
        <f>SUM('Defect (Total)'!J123,Planned!J123,Reconductor!J123,CTGS!J123)</f>
        <v>0</v>
      </c>
      <c r="K123" s="85">
        <f>SUM('Defect (Total)'!K123,Planned!K123,Reconductor!K123,CTGS!K123)</f>
        <v>0</v>
      </c>
      <c r="L123" s="85">
        <f>SUM('Defect (Total)'!L123,Planned!L123,Reconductor!L123,CTGS!L123)</f>
        <v>0</v>
      </c>
      <c r="M123" s="85">
        <f>SUM('Defect (Total)'!M123,Planned!M123,Reconductor!M123,CTGS!M123)</f>
        <v>0</v>
      </c>
      <c r="N123" s="85">
        <f>SUM('Defect (Total)'!N123,Planned!N123,Reconductor!N123,CTGS!N123)</f>
        <v>0</v>
      </c>
      <c r="O123" s="560">
        <f>SUM('Defect (Total)'!O123,Planned!O123,Reconductor!O123,CTGS!O123)</f>
        <v>0</v>
      </c>
      <c r="P123" s="561">
        <f>SUM('Defect (Total)'!P123,Planned!P123,Reconductor!P123,CTGS!P123)</f>
        <v>0</v>
      </c>
      <c r="Q123" s="561">
        <f>SUM('Defect (Total)'!Q123,Planned!Q123,Reconductor!Q123,CTGS!Q123)</f>
        <v>0</v>
      </c>
      <c r="R123" s="561">
        <f>SUM('Defect (Total)'!R123,Planned!R123,Reconductor!R123,CTGS!R123)</f>
        <v>0</v>
      </c>
      <c r="S123" s="561">
        <f>SUM('Defect (Total)'!S123,Planned!S123,Reconductor!S123,CTGS!S123)</f>
        <v>0</v>
      </c>
      <c r="T123" s="561">
        <f>SUM('Defect (Total)'!T123,Planned!T123,Reconductor!T123,CTGS!T123)</f>
        <v>0</v>
      </c>
      <c r="U123" s="561">
        <f>SUM('Defect (Total)'!U123,Planned!U123,Reconductor!U123,CTGS!U123)</f>
        <v>0</v>
      </c>
      <c r="V123" s="561">
        <f>SUM('Defect (Total)'!V123,Planned!V123,Reconductor!V123,CTGS!V123)</f>
        <v>0</v>
      </c>
      <c r="W123" s="561">
        <f>SUM('Defect (Total)'!W123,Planned!W123,Reconductor!W123,CTGS!W123)</f>
        <v>0</v>
      </c>
      <c r="X123" s="561">
        <f>SUM('Defect (Total)'!X123,Planned!X123,Reconductor!X123,CTGS!X123)</f>
        <v>0</v>
      </c>
      <c r="Y123" s="561">
        <f>SUM('Defect (Total)'!Y123,Planned!Y123,Reconductor!Y123,CTGS!Y123)</f>
        <v>0</v>
      </c>
      <c r="Z123" s="86">
        <f>SUM('Defect (Total)'!Z123,Planned!Z123,Reconductor!Z123,CTGS!Z123)</f>
        <v>0</v>
      </c>
      <c r="AA123" s="87">
        <f>SUM('Defect (Total)'!AA123,Planned!AA123,Reconductor!AA123,CTGS!AA123)</f>
        <v>0</v>
      </c>
      <c r="AB123" s="87">
        <f>SUM('Defect (Total)'!AB123,Planned!AB123,Reconductor!AB123,CTGS!AB123)</f>
        <v>0</v>
      </c>
      <c r="AC123" s="87">
        <f>SUM('Defect (Total)'!AC123,Planned!AC123,Reconductor!AC123,CTGS!AC123)</f>
        <v>0</v>
      </c>
      <c r="AD123" s="87">
        <f>SUM('Defect (Total)'!AD123,Planned!AD123,Reconductor!AD123,CTGS!AD123)</f>
        <v>0</v>
      </c>
      <c r="AE123" s="87">
        <f>SUM('Defect (Total)'!AE123,Planned!AE123,Reconductor!AE123,CTGS!AE123)</f>
        <v>0</v>
      </c>
      <c r="AF123" s="87">
        <f>SUM('Defect (Total)'!AF123,Planned!AF123,Reconductor!AF123,CTGS!AF123)</f>
        <v>0</v>
      </c>
      <c r="AG123" s="87">
        <f>SUM('Defect (Total)'!AG123,Planned!AG123,Reconductor!AG123,CTGS!AG123)</f>
        <v>0</v>
      </c>
      <c r="AH123" s="87">
        <f>SUM('Defect (Total)'!AH123,Planned!AH123,Reconductor!AH123,CTGS!AH123)</f>
        <v>0</v>
      </c>
      <c r="AI123" s="87">
        <f>SUM('Defect (Total)'!AI123,Planned!AI123,Reconductor!AI123,CTGS!AI123)</f>
        <v>0</v>
      </c>
      <c r="AJ123" s="87">
        <f>SUM('Defect (Total)'!AJ123,Planned!AJ123,Reconductor!AJ123,CTGS!AJ123)</f>
        <v>0</v>
      </c>
      <c r="AK123" s="88">
        <f t="shared" si="51"/>
        <v>0</v>
      </c>
      <c r="AL123" s="89">
        <f t="shared" si="52"/>
        <v>0</v>
      </c>
      <c r="AM123" s="90">
        <f t="shared" si="53"/>
        <v>0</v>
      </c>
      <c r="AN123" s="91" t="str">
        <f t="shared" si="55"/>
        <v/>
      </c>
      <c r="AO123" s="92" t="str">
        <f t="shared" si="56"/>
        <v/>
      </c>
      <c r="AP123" s="92" t="str">
        <f t="shared" si="57"/>
        <v/>
      </c>
      <c r="AQ123" s="92" t="str">
        <f t="shared" si="58"/>
        <v/>
      </c>
      <c r="AR123" s="92" t="str">
        <f t="shared" si="59"/>
        <v/>
      </c>
      <c r="AS123" s="92" t="str">
        <f t="shared" si="60"/>
        <v/>
      </c>
      <c r="AT123" s="92" t="str">
        <f t="shared" si="61"/>
        <v/>
      </c>
      <c r="AU123" s="92" t="str">
        <f t="shared" si="62"/>
        <v/>
      </c>
      <c r="AV123" s="92" t="str">
        <f t="shared" si="63"/>
        <v/>
      </c>
      <c r="AW123" s="92" t="str">
        <f t="shared" si="44"/>
        <v/>
      </c>
      <c r="AX123" s="92" t="str">
        <f t="shared" si="45"/>
        <v/>
      </c>
      <c r="AY123" s="93" t="str">
        <f t="shared" si="64"/>
        <v/>
      </c>
      <c r="AZ123" s="94" t="str">
        <f t="shared" si="65"/>
        <v/>
      </c>
      <c r="BA123" s="95" t="str">
        <f t="shared" si="66"/>
        <v/>
      </c>
      <c r="BB123" s="689">
        <f>SUM('Defect (Total)'!BB123,Planned!CE123,Reconductor!CE123,CTGS!CE123,'Substation 2025$'!CE123*$BL$1,Comms!CA123*$BL$2)</f>
        <v>0</v>
      </c>
      <c r="BC123" s="689">
        <f>SUM('Defect (Total)'!BC123,Planned!CF123,Reconductor!CF123,CTGS!CF123,'Substation 2025$'!CF123*$BL$1,Comms!CB123*$BL$2)</f>
        <v>0</v>
      </c>
      <c r="BD123" s="96">
        <f>SUM('Defect (Total)'!BD123,Planned!CG123,Reconductor!CG123,CTGS!CG123,'Substation 2025$'!CG123*$BL$1,Comms!CC123*$BL$2)</f>
        <v>0</v>
      </c>
      <c r="BE123" s="96">
        <f>SUM('Defect (Total)'!BE123,Planned!CH123,Reconductor!CH123,CTGS!CH123,'Substation 2025$'!CH123*$BL$1,Comms!CD123*$BL$2)</f>
        <v>0</v>
      </c>
      <c r="BF123" s="96">
        <f>SUM('Defect (Total)'!BF123,Planned!CI123,Reconductor!CI123,CTGS!CI123,'Substation 2025$'!CI123*$BL$1,Comms!CE123*$BL$2)</f>
        <v>0</v>
      </c>
      <c r="BG123" s="96">
        <f>SUM('Defect (Total)'!BG123,Planned!CJ123,Reconductor!CJ123,CTGS!CJ123,'Substation 2025$'!CJ123*$BL$1,Comms!CF123*$BL$2)</f>
        <v>0</v>
      </c>
      <c r="BH123" s="96">
        <f>SUM('Defect (Total)'!BH123,Planned!CK123,Reconductor!CK123,CTGS!CK123,'Substation 2025$'!CK123*$BL$1,Comms!CG123*$BL$2)</f>
        <v>0</v>
      </c>
      <c r="BI123" s="286">
        <f>SUM('Defect (Total)'!BI123,Planned!CL123,Reconductor!CL123,CTGS!CL123,'Substation 2025$'!CL123*$BL$1,Comms!CH123*$BL$2)</f>
        <v>0</v>
      </c>
      <c r="BJ123" s="99" t="str">
        <f t="shared" si="54"/>
        <v/>
      </c>
      <c r="BK123" s="992">
        <f>SUM('Defect (Total)'!BK123,Planned!CQ123,Reconductor!CQ123,CTGS!CQ123,'Substation 2025$'!CQ123*$BL$1,Comms!CM123*$BL$2)</f>
        <v>0</v>
      </c>
      <c r="BL123" s="992">
        <f>SUM('Defect (Total)'!BL123,Planned!CR123,Reconductor!CR123,CTGS!CR123,'Substation 2025$'!CR123*$BL$1,Comms!CN123*$BL$2)</f>
        <v>0</v>
      </c>
      <c r="BM123" s="524">
        <f>SUM('Defect (Total)'!BM123,Planned!CS123,Reconductor!CS123,CTGS!CS123,'Substation 2025$'!CS123*$BL$1,Comms!CO123*$BL$2)</f>
        <v>0</v>
      </c>
      <c r="BN123" s="416">
        <f>SUM('Defect (Total)'!BN123,Planned!CT123,Reconductor!CT123,CTGS!CT123,'Substation 2025$'!CT123*$BL$1,Comms!CP123*$BL$2)</f>
        <v>0</v>
      </c>
      <c r="BO123" s="97">
        <f>SUM('Defect (Total)'!BO123,Planned!CU123,Reconductor!CU123,CTGS!CU123,'Substation 2025$'!CU123*$BL$1,Comms!CQ123*$BL$2)</f>
        <v>0</v>
      </c>
      <c r="BP123" s="97">
        <f>SUM('Defect (Total)'!BP123,Planned!CV123,Reconductor!CV123,CTGS!CV123,'Substation 2025$'!CV123*$BL$1,Comms!CR123*$BL$2)</f>
        <v>0</v>
      </c>
      <c r="BQ123" s="97">
        <f>SUM('Defect (Total)'!BQ123,Planned!CW123,Reconductor!CW123,CTGS!CW123,'Substation 2025$'!CW123*$BL$1,Comms!CS123*$BL$2)</f>
        <v>0</v>
      </c>
      <c r="BR123" s="98">
        <f>SUM('Defect (Total)'!BR123,Planned!CX123,Reconductor!CX123,CTGS!CX123,'Substation 2025$'!CX123*$BL$1,Comms!CT123*$BL$2)</f>
        <v>0</v>
      </c>
      <c r="BS123" s="836" t="str">
        <f>'Unit Cost Rate Summary'!AO123</f>
        <v/>
      </c>
      <c r="BT123" s="840" t="str">
        <f t="shared" si="67"/>
        <v/>
      </c>
      <c r="BU123" s="832" t="str">
        <f t="shared" si="68"/>
        <v/>
      </c>
      <c r="CI123" s="416">
        <f>VLOOKUP($A123,'Distribution Summary'!$A$136:$CG$146,CI$1,0)*BN123</f>
        <v>0</v>
      </c>
      <c r="CJ123" s="97">
        <f>VLOOKUP($A123,'Distribution Summary'!$A$136:$CG$146,CJ$1,0)*BO123</f>
        <v>0</v>
      </c>
      <c r="CK123" s="97">
        <f>VLOOKUP($A123,'Distribution Summary'!$A$136:$CG$146,CK$1,0)*BP123</f>
        <v>0</v>
      </c>
      <c r="CL123" s="97">
        <f>VLOOKUP($A123,'Distribution Summary'!$A$136:$CG$146,CL$1,0)*BQ123</f>
        <v>0</v>
      </c>
      <c r="CM123" s="98">
        <f>VLOOKUP($A123,'Distribution Summary'!$A$136:$CG$146,CM$1,0)*BR123</f>
        <v>0</v>
      </c>
    </row>
    <row r="124" spans="1:91" x14ac:dyDescent="0.25">
      <c r="A124" s="81" t="s">
        <v>242</v>
      </c>
      <c r="B124" s="82" t="s">
        <v>251</v>
      </c>
      <c r="C124" s="83" t="s">
        <v>252</v>
      </c>
      <c r="D124" s="84">
        <f>SUM('Defect (Total)'!D124,Planned!D124,Reconductor!D124,CTGS!D124)</f>
        <v>5089</v>
      </c>
      <c r="E124" s="85">
        <f>SUM('Defect (Total)'!E124,Planned!E124,Reconductor!E124,CTGS!E124)</f>
        <v>0</v>
      </c>
      <c r="F124" s="85">
        <f>SUM('Defect (Total)'!F124,Planned!F124,Reconductor!F124,CTGS!F124)</f>
        <v>0</v>
      </c>
      <c r="G124" s="85">
        <f>SUM('Defect (Total)'!G124,Planned!G124,Reconductor!G124,CTGS!G124)</f>
        <v>0</v>
      </c>
      <c r="H124" s="85">
        <f>SUM('Defect (Total)'!H124,Planned!H124,Reconductor!H124,CTGS!H124)</f>
        <v>0</v>
      </c>
      <c r="I124" s="85">
        <f>SUM('Defect (Total)'!I124,Planned!I124,Reconductor!I124,CTGS!I124)</f>
        <v>112730.04323198114</v>
      </c>
      <c r="J124" s="85">
        <f>SUM('Defect (Total)'!J124,Planned!J124,Reconductor!J124,CTGS!J124)</f>
        <v>69084.392102603015</v>
      </c>
      <c r="K124" s="85">
        <f>SUM('Defect (Total)'!K124,Planned!K124,Reconductor!K124,CTGS!K124)</f>
        <v>11854.520309713</v>
      </c>
      <c r="L124" s="85">
        <f>SUM('Defect (Total)'!L124,Planned!L124,Reconductor!L124,CTGS!L124)</f>
        <v>5464712.4404555578</v>
      </c>
      <c r="M124" s="85">
        <f>SUM('Defect (Total)'!M124,Planned!M124,Reconductor!M124,CTGS!M124)</f>
        <v>1871992.2575244261</v>
      </c>
      <c r="N124" s="85">
        <f>SUM('Defect (Total)'!N124,Planned!N124,Reconductor!N124,CTGS!N124)</f>
        <v>0</v>
      </c>
      <c r="O124" s="560">
        <f>SUM('Defect (Total)'!O124,Planned!O124,Reconductor!O124,CTGS!O124)</f>
        <v>6847.0272084422686</v>
      </c>
      <c r="P124" s="561">
        <f>SUM('Defect (Total)'!P124,Planned!P124,Reconductor!P124,CTGS!P124)</f>
        <v>0</v>
      </c>
      <c r="Q124" s="561">
        <f>SUM('Defect (Total)'!Q124,Planned!Q124,Reconductor!Q124,CTGS!Q124)</f>
        <v>0</v>
      </c>
      <c r="R124" s="561">
        <f>SUM('Defect (Total)'!R124,Planned!R124,Reconductor!R124,CTGS!R124)</f>
        <v>0</v>
      </c>
      <c r="S124" s="561">
        <f>SUM('Defect (Total)'!S124,Planned!S124,Reconductor!S124,CTGS!S124)</f>
        <v>0</v>
      </c>
      <c r="T124" s="561">
        <f>SUM('Defect (Total)'!T124,Planned!T124,Reconductor!T124,CTGS!T124)</f>
        <v>139914.70089174452</v>
      </c>
      <c r="U124" s="561">
        <f>SUM('Defect (Total)'!U124,Planned!U124,Reconductor!U124,CTGS!U124)</f>
        <v>86043.779541834534</v>
      </c>
      <c r="V124" s="561">
        <f>SUM('Defect (Total)'!V124,Planned!V124,Reconductor!V124,CTGS!V124)</f>
        <v>14217.823129895762</v>
      </c>
      <c r="W124" s="561">
        <f>SUM('Defect (Total)'!W124,Planned!W124,Reconductor!W124,CTGS!W124)</f>
        <v>6174727.4123009751</v>
      </c>
      <c r="X124" s="561">
        <f>SUM('Defect (Total)'!X124,Planned!X124,Reconductor!X124,CTGS!X124)</f>
        <v>1990790.619824158</v>
      </c>
      <c r="Y124" s="561">
        <f>SUM('Defect (Total)'!Y124,Planned!Y124,Reconductor!Y124,CTGS!Y124)</f>
        <v>0</v>
      </c>
      <c r="Z124" s="86">
        <f>SUM('Defect (Total)'!Z124,Planned!Z124,Reconductor!Z124,CTGS!Z124)</f>
        <v>468</v>
      </c>
      <c r="AA124" s="87">
        <f>SUM('Defect (Total)'!AA124,Planned!AA124,Reconductor!AA124,CTGS!AA124)</f>
        <v>0</v>
      </c>
      <c r="AB124" s="87">
        <f>SUM('Defect (Total)'!AB124,Planned!AB124,Reconductor!AB124,CTGS!AB124)</f>
        <v>0</v>
      </c>
      <c r="AC124" s="87">
        <f>SUM('Defect (Total)'!AC124,Planned!AC124,Reconductor!AC124,CTGS!AC124)</f>
        <v>0</v>
      </c>
      <c r="AD124" s="87">
        <f>SUM('Defect (Total)'!AD124,Planned!AD124,Reconductor!AD124,CTGS!AD124)</f>
        <v>0</v>
      </c>
      <c r="AE124" s="87">
        <f>SUM('Defect (Total)'!AE124,Planned!AE124,Reconductor!AE124,CTGS!AE124)</f>
        <v>4000</v>
      </c>
      <c r="AF124" s="87">
        <f>SUM('Defect (Total)'!AF124,Planned!AF124,Reconductor!AF124,CTGS!AF124)</f>
        <v>11893</v>
      </c>
      <c r="AG124" s="87">
        <f>SUM('Defect (Total)'!AG124,Planned!AG124,Reconductor!AG124,CTGS!AG124)</f>
        <v>1.536</v>
      </c>
      <c r="AH124" s="87">
        <f>SUM('Defect (Total)'!AH124,Planned!AH124,Reconductor!AH124,CTGS!AH124)</f>
        <v>2932</v>
      </c>
      <c r="AI124" s="87">
        <f>SUM('Defect (Total)'!AI124,Planned!AI124,Reconductor!AI124,CTGS!AI124)</f>
        <v>534</v>
      </c>
      <c r="AJ124" s="87">
        <f>SUM('Defect (Total)'!AJ124,Planned!AJ124,Reconductor!AJ124,CTGS!AJ124)</f>
        <v>127450</v>
      </c>
      <c r="AK124" s="88">
        <f t="shared" si="51"/>
        <v>3872.1071999999999</v>
      </c>
      <c r="AL124" s="89">
        <f t="shared" si="52"/>
        <v>1155.8453333333334</v>
      </c>
      <c r="AM124" s="90">
        <f t="shared" si="53"/>
        <v>534</v>
      </c>
      <c r="AN124" s="91">
        <f t="shared" si="55"/>
        <v>10.873931623931623</v>
      </c>
      <c r="AO124" s="92" t="str">
        <f t="shared" si="56"/>
        <v/>
      </c>
      <c r="AP124" s="92" t="str">
        <f t="shared" si="57"/>
        <v/>
      </c>
      <c r="AQ124" s="92" t="str">
        <f t="shared" si="58"/>
        <v/>
      </c>
      <c r="AR124" s="92" t="str">
        <f t="shared" si="59"/>
        <v/>
      </c>
      <c r="AS124" s="92">
        <f t="shared" si="60"/>
        <v>28.182510807995286</v>
      </c>
      <c r="AT124" s="92">
        <f t="shared" si="61"/>
        <v>5.8088280587406889</v>
      </c>
      <c r="AU124" s="92">
        <f t="shared" si="62"/>
        <v>7717.7866599694007</v>
      </c>
      <c r="AV124" s="92">
        <f t="shared" si="63"/>
        <v>1863.8173398552381</v>
      </c>
      <c r="AW124" s="92">
        <f t="shared" si="44"/>
        <v>3505.603478510161</v>
      </c>
      <c r="AX124" s="92">
        <f t="shared" si="45"/>
        <v>0</v>
      </c>
      <c r="AY124" s="93">
        <f t="shared" si="64"/>
        <v>300.55350575909745</v>
      </c>
      <c r="AZ124" s="94">
        <f t="shared" si="65"/>
        <v>374.03553688251077</v>
      </c>
      <c r="BA124" s="95">
        <f t="shared" si="66"/>
        <v>1863.8173398552381</v>
      </c>
      <c r="BB124" s="689">
        <f>SUM('Defect (Total)'!BB124,Planned!CE124,Reconductor!CE124,CTGS!CE124,'Substation 2025$'!CE124*$BL$1,Comms!CA124*$BL$2)</f>
        <v>0</v>
      </c>
      <c r="BC124" s="689">
        <f>SUM('Defect (Total)'!BC124,Planned!CF124,Reconductor!CF124,CTGS!CF124,'Substation 2025$'!CF124*$BL$1,Comms!CB124*$BL$2)</f>
        <v>0</v>
      </c>
      <c r="BD124" s="96">
        <f>SUM('Defect (Total)'!BD124,Planned!CG124,Reconductor!CG124,CTGS!CG124,'Substation 2025$'!CG124*$BL$1,Comms!CC124*$BL$2)</f>
        <v>0</v>
      </c>
      <c r="BE124" s="96">
        <f>SUM('Defect (Total)'!BE124,Planned!CH124,Reconductor!CH124,CTGS!CH124,'Substation 2025$'!CH124*$BL$1,Comms!CD124*$BL$2)</f>
        <v>0</v>
      </c>
      <c r="BF124" s="96">
        <f>SUM('Defect (Total)'!BF124,Planned!CI124,Reconductor!CI124,CTGS!CI124,'Substation 2025$'!CI124*$BL$1,Comms!CE124*$BL$2)</f>
        <v>0</v>
      </c>
      <c r="BG124" s="96">
        <f>SUM('Defect (Total)'!BG124,Planned!CJ124,Reconductor!CJ124,CTGS!CJ124,'Substation 2025$'!CJ124*$BL$1,Comms!CF124*$BL$2)</f>
        <v>0</v>
      </c>
      <c r="BH124" s="96">
        <f>SUM('Defect (Total)'!BH124,Planned!CK124,Reconductor!CK124,CTGS!CK124,'Substation 2025$'!CK124*$BL$1,Comms!CG124*$BL$2)</f>
        <v>0</v>
      </c>
      <c r="BI124" s="286">
        <f>SUM('Defect (Total)'!BI124,Planned!CL124,Reconductor!CL124,CTGS!CL124,'Substation 2025$'!CL124*$BL$1,Comms!CH124*$BL$2)</f>
        <v>0</v>
      </c>
      <c r="BJ124" s="99" t="str">
        <f t="shared" si="54"/>
        <v/>
      </c>
      <c r="BK124" s="992">
        <f>SUM('Defect (Total)'!BK124,Planned!CQ124,Reconductor!CQ124,CTGS!CQ124,'Substation 2025$'!CQ124*$BL$1,Comms!CM124*$BL$2)</f>
        <v>0</v>
      </c>
      <c r="BL124" s="992">
        <f>SUM('Defect (Total)'!BL124,Planned!CR124,Reconductor!CR124,CTGS!CR124,'Substation 2025$'!CR124*$BL$1,Comms!CN124*$BL$2)</f>
        <v>0</v>
      </c>
      <c r="BM124" s="524">
        <f>SUM('Defect (Total)'!BM124,Planned!CS124,Reconductor!CS124,CTGS!CS124,'Substation 2025$'!CS124*$BL$1,Comms!CO124*$BL$2)</f>
        <v>0</v>
      </c>
      <c r="BN124" s="416">
        <f>SUM('Defect (Total)'!BN124,Planned!CT124,Reconductor!CT124,CTGS!CT124,'Substation 2025$'!CT124*$BL$1,Comms!CP124*$BL$2)</f>
        <v>0</v>
      </c>
      <c r="BO124" s="97">
        <f>SUM('Defect (Total)'!BO124,Planned!CU124,Reconductor!CU124,CTGS!CU124,'Substation 2025$'!CU124*$BL$1,Comms!CQ124*$BL$2)</f>
        <v>0</v>
      </c>
      <c r="BP124" s="97">
        <f>SUM('Defect (Total)'!BP124,Planned!CV124,Reconductor!CV124,CTGS!CV124,'Substation 2025$'!CV124*$BL$1,Comms!CR124*$BL$2)</f>
        <v>0</v>
      </c>
      <c r="BQ124" s="97">
        <f>SUM('Defect (Total)'!BQ124,Planned!CW124,Reconductor!CW124,CTGS!CW124,'Substation 2025$'!CW124*$BL$1,Comms!CS124*$BL$2)</f>
        <v>0</v>
      </c>
      <c r="BR124" s="98">
        <f>SUM('Defect (Total)'!BR124,Planned!CX124,Reconductor!CX124,CTGS!CX124,'Substation 2025$'!CX124*$BL$1,Comms!CT124*$BL$2)</f>
        <v>0</v>
      </c>
      <c r="BS124" s="836" t="str">
        <f>'Unit Cost Rate Summary'!AO124</f>
        <v/>
      </c>
      <c r="BT124" s="840" t="str">
        <f t="shared" si="67"/>
        <v/>
      </c>
      <c r="BU124" s="832" t="str">
        <f t="shared" si="68"/>
        <v/>
      </c>
      <c r="CI124" s="416">
        <f>VLOOKUP($A124,'Distribution Summary'!$A$136:$CG$146,CI$1,0)*BN124</f>
        <v>0</v>
      </c>
      <c r="CJ124" s="97">
        <f>VLOOKUP($A124,'Distribution Summary'!$A$136:$CG$146,CJ$1,0)*BO124</f>
        <v>0</v>
      </c>
      <c r="CK124" s="97">
        <f>VLOOKUP($A124,'Distribution Summary'!$A$136:$CG$146,CK$1,0)*BP124</f>
        <v>0</v>
      </c>
      <c r="CL124" s="97">
        <f>VLOOKUP($A124,'Distribution Summary'!$A$136:$CG$146,CL$1,0)*BQ124</f>
        <v>0</v>
      </c>
      <c r="CM124" s="98">
        <f>VLOOKUP($A124,'Distribution Summary'!$A$136:$CG$146,CM$1,0)*BR124</f>
        <v>0</v>
      </c>
    </row>
    <row r="125" spans="1:91" x14ac:dyDescent="0.25">
      <c r="A125" s="81" t="s">
        <v>242</v>
      </c>
      <c r="B125" s="82" t="s">
        <v>253</v>
      </c>
      <c r="C125" s="83" t="s">
        <v>254</v>
      </c>
      <c r="D125" s="84">
        <f>SUM('Defect (Total)'!D125,Planned!D125,Reconductor!D125,CTGS!D125)</f>
        <v>0</v>
      </c>
      <c r="E125" s="85">
        <f>SUM('Defect (Total)'!E125,Planned!E125,Reconductor!E125,CTGS!E125)</f>
        <v>0</v>
      </c>
      <c r="F125" s="85">
        <f>SUM('Defect (Total)'!F125,Planned!F125,Reconductor!F125,CTGS!F125)</f>
        <v>0</v>
      </c>
      <c r="G125" s="85">
        <f>SUM('Defect (Total)'!G125,Planned!G125,Reconductor!G125,CTGS!G125)</f>
        <v>36975.419945300338</v>
      </c>
      <c r="H125" s="85">
        <f>SUM('Defect (Total)'!H125,Planned!H125,Reconductor!H125,CTGS!H125)</f>
        <v>0</v>
      </c>
      <c r="I125" s="85">
        <f>SUM('Defect (Total)'!I125,Planned!I125,Reconductor!I125,CTGS!I125)</f>
        <v>0</v>
      </c>
      <c r="J125" s="85">
        <f>SUM('Defect (Total)'!J125,Planned!J125,Reconductor!J125,CTGS!J125)</f>
        <v>0</v>
      </c>
      <c r="K125" s="85">
        <f>SUM('Defect (Total)'!K125,Planned!K125,Reconductor!K125,CTGS!K125)</f>
        <v>0</v>
      </c>
      <c r="L125" s="85">
        <f>SUM('Defect (Total)'!L125,Planned!L125,Reconductor!L125,CTGS!L125)</f>
        <v>0</v>
      </c>
      <c r="M125" s="85">
        <f>SUM('Defect (Total)'!M125,Planned!M125,Reconductor!M125,CTGS!M125)</f>
        <v>0</v>
      </c>
      <c r="N125" s="85">
        <f>SUM('Defect (Total)'!N125,Planned!N125,Reconductor!N125,CTGS!N125)</f>
        <v>0</v>
      </c>
      <c r="O125" s="560">
        <f>SUM('Defect (Total)'!O125,Planned!O125,Reconductor!O125,CTGS!O125)</f>
        <v>0</v>
      </c>
      <c r="P125" s="561">
        <f>SUM('Defect (Total)'!P125,Planned!P125,Reconductor!P125,CTGS!P125)</f>
        <v>0</v>
      </c>
      <c r="Q125" s="561">
        <f>SUM('Defect (Total)'!Q125,Planned!Q125,Reconductor!Q125,CTGS!Q125)</f>
        <v>0</v>
      </c>
      <c r="R125" s="561">
        <f>SUM('Defect (Total)'!R125,Planned!R125,Reconductor!R125,CTGS!R125)</f>
        <v>47591.682342857996</v>
      </c>
      <c r="S125" s="561">
        <f>SUM('Defect (Total)'!S125,Planned!S125,Reconductor!S125,CTGS!S125)</f>
        <v>0</v>
      </c>
      <c r="T125" s="561">
        <f>SUM('Defect (Total)'!T125,Planned!T125,Reconductor!T125,CTGS!T125)</f>
        <v>0</v>
      </c>
      <c r="U125" s="561">
        <f>SUM('Defect (Total)'!U125,Planned!U125,Reconductor!U125,CTGS!U125)</f>
        <v>0</v>
      </c>
      <c r="V125" s="561">
        <f>SUM('Defect (Total)'!V125,Planned!V125,Reconductor!V125,CTGS!V125)</f>
        <v>0</v>
      </c>
      <c r="W125" s="561">
        <f>SUM('Defect (Total)'!W125,Planned!W125,Reconductor!W125,CTGS!W125)</f>
        <v>0</v>
      </c>
      <c r="X125" s="561">
        <f>SUM('Defect (Total)'!X125,Planned!X125,Reconductor!X125,CTGS!X125)</f>
        <v>0</v>
      </c>
      <c r="Y125" s="561">
        <f>SUM('Defect (Total)'!Y125,Planned!Y125,Reconductor!Y125,CTGS!Y125)</f>
        <v>0</v>
      </c>
      <c r="Z125" s="86">
        <f>SUM('Defect (Total)'!Z125,Planned!Z125,Reconductor!Z125,CTGS!Z125)</f>
        <v>0</v>
      </c>
      <c r="AA125" s="87">
        <f>SUM('Defect (Total)'!AA125,Planned!AA125,Reconductor!AA125,CTGS!AA125)</f>
        <v>0</v>
      </c>
      <c r="AB125" s="87">
        <f>SUM('Defect (Total)'!AB125,Planned!AB125,Reconductor!AB125,CTGS!AB125)</f>
        <v>0</v>
      </c>
      <c r="AC125" s="87">
        <f>SUM('Defect (Total)'!AC125,Planned!AC125,Reconductor!AC125,CTGS!AC125)</f>
        <v>3</v>
      </c>
      <c r="AD125" s="87">
        <f>SUM('Defect (Total)'!AD125,Planned!AD125,Reconductor!AD125,CTGS!AD125)</f>
        <v>0</v>
      </c>
      <c r="AE125" s="87">
        <f>SUM('Defect (Total)'!AE125,Planned!AE125,Reconductor!AE125,CTGS!AE125)</f>
        <v>0</v>
      </c>
      <c r="AF125" s="87">
        <f>SUM('Defect (Total)'!AF125,Planned!AF125,Reconductor!AF125,CTGS!AF125)</f>
        <v>0</v>
      </c>
      <c r="AG125" s="87">
        <f>SUM('Defect (Total)'!AG125,Planned!AG125,Reconductor!AG125,CTGS!AG125)</f>
        <v>0</v>
      </c>
      <c r="AH125" s="87">
        <f>SUM('Defect (Total)'!AH125,Planned!AH125,Reconductor!AH125,CTGS!AH125)</f>
        <v>0</v>
      </c>
      <c r="AI125" s="87">
        <f>SUM('Defect (Total)'!AI125,Planned!AI125,Reconductor!AI125,CTGS!AI125)</f>
        <v>0</v>
      </c>
      <c r="AJ125" s="87">
        <f>SUM('Defect (Total)'!AJ125,Planned!AJ125,Reconductor!AJ125,CTGS!AJ125)</f>
        <v>0</v>
      </c>
      <c r="AK125" s="88">
        <f t="shared" si="51"/>
        <v>0</v>
      </c>
      <c r="AL125" s="89">
        <f t="shared" si="52"/>
        <v>0</v>
      </c>
      <c r="AM125" s="90">
        <f t="shared" si="53"/>
        <v>0</v>
      </c>
      <c r="AN125" s="91" t="str">
        <f t="shared" si="55"/>
        <v/>
      </c>
      <c r="AO125" s="92" t="str">
        <f t="shared" si="56"/>
        <v/>
      </c>
      <c r="AP125" s="92" t="str">
        <f t="shared" si="57"/>
        <v/>
      </c>
      <c r="AQ125" s="92">
        <f t="shared" si="58"/>
        <v>12325.139981766779</v>
      </c>
      <c r="AR125" s="92" t="str">
        <f t="shared" si="59"/>
        <v/>
      </c>
      <c r="AS125" s="92" t="str">
        <f t="shared" si="60"/>
        <v/>
      </c>
      <c r="AT125" s="92" t="str">
        <f t="shared" si="61"/>
        <v/>
      </c>
      <c r="AU125" s="92" t="str">
        <f t="shared" si="62"/>
        <v/>
      </c>
      <c r="AV125" s="92" t="str">
        <f t="shared" si="63"/>
        <v/>
      </c>
      <c r="AW125" s="92" t="str">
        <f t="shared" si="44"/>
        <v/>
      </c>
      <c r="AX125" s="92" t="str">
        <f t="shared" si="45"/>
        <v/>
      </c>
      <c r="AY125" s="93" t="str">
        <f t="shared" si="64"/>
        <v/>
      </c>
      <c r="AZ125" s="94" t="str">
        <f t="shared" si="65"/>
        <v/>
      </c>
      <c r="BA125" s="95" t="str">
        <f t="shared" si="66"/>
        <v/>
      </c>
      <c r="BB125" s="689">
        <f>SUM('Defect (Total)'!BB125,Planned!CE125,Reconductor!CE125,CTGS!CE125,'Substation 2025$'!CE125*$BL$1,Comms!CA125*$BL$2)</f>
        <v>0</v>
      </c>
      <c r="BC125" s="689">
        <f>SUM('Defect (Total)'!BC125,Planned!CF125,Reconductor!CF125,CTGS!CF125,'Substation 2025$'!CF125*$BL$1,Comms!CB125*$BL$2)</f>
        <v>0</v>
      </c>
      <c r="BD125" s="96">
        <f>SUM('Defect (Total)'!BD125,Planned!CG125,Reconductor!CG125,CTGS!CG125,'Substation 2025$'!CG125*$BL$1,Comms!CC125*$BL$2)</f>
        <v>0</v>
      </c>
      <c r="BE125" s="96">
        <f>SUM('Defect (Total)'!BE125,Planned!CH125,Reconductor!CH125,CTGS!CH125,'Substation 2025$'!CH125*$BL$1,Comms!CD125*$BL$2)</f>
        <v>0</v>
      </c>
      <c r="BF125" s="96">
        <f>SUM('Defect (Total)'!BF125,Planned!CI125,Reconductor!CI125,CTGS!CI125,'Substation 2025$'!CI125*$BL$1,Comms!CE125*$BL$2)</f>
        <v>0</v>
      </c>
      <c r="BG125" s="96">
        <f>SUM('Defect (Total)'!BG125,Planned!CJ125,Reconductor!CJ125,CTGS!CJ125,'Substation 2025$'!CJ125*$BL$1,Comms!CF125*$BL$2)</f>
        <v>0</v>
      </c>
      <c r="BH125" s="96">
        <f>SUM('Defect (Total)'!BH125,Planned!CK125,Reconductor!CK125,CTGS!CK125,'Substation 2025$'!CK125*$BL$1,Comms!CG125*$BL$2)</f>
        <v>0</v>
      </c>
      <c r="BI125" s="286">
        <f>SUM('Defect (Total)'!BI125,Planned!CL125,Reconductor!CL125,CTGS!CL125,'Substation 2025$'!CL125*$BL$1,Comms!CH125*$BL$2)</f>
        <v>0</v>
      </c>
      <c r="BJ125" s="99" t="str">
        <f t="shared" si="54"/>
        <v/>
      </c>
      <c r="BK125" s="992">
        <f>SUM('Defect (Total)'!BK125,Planned!CQ125,Reconductor!CQ125,CTGS!CQ125,'Substation 2025$'!CQ125*$BL$1,Comms!CM125*$BL$2)</f>
        <v>0</v>
      </c>
      <c r="BL125" s="992">
        <f>SUM('Defect (Total)'!BL125,Planned!CR125,Reconductor!CR125,CTGS!CR125,'Substation 2025$'!CR125*$BL$1,Comms!CN125*$BL$2)</f>
        <v>0</v>
      </c>
      <c r="BM125" s="524">
        <f>SUM('Defect (Total)'!BM125,Planned!CS125,Reconductor!CS125,CTGS!CS125,'Substation 2025$'!CS125*$BL$1,Comms!CO125*$BL$2)</f>
        <v>0</v>
      </c>
      <c r="BN125" s="416">
        <f>SUM('Defect (Total)'!BN125,Planned!CT125,Reconductor!CT125,CTGS!CT125,'Substation 2025$'!CT125*$BL$1,Comms!CP125*$BL$2)</f>
        <v>0</v>
      </c>
      <c r="BO125" s="97">
        <f>SUM('Defect (Total)'!BO125,Planned!CU125,Reconductor!CU125,CTGS!CU125,'Substation 2025$'!CU125*$BL$1,Comms!CQ125*$BL$2)</f>
        <v>0</v>
      </c>
      <c r="BP125" s="97">
        <f>SUM('Defect (Total)'!BP125,Planned!CV125,Reconductor!CV125,CTGS!CV125,'Substation 2025$'!CV125*$BL$1,Comms!CR125*$BL$2)</f>
        <v>0</v>
      </c>
      <c r="BQ125" s="97">
        <f>SUM('Defect (Total)'!BQ125,Planned!CW125,Reconductor!CW125,CTGS!CW125,'Substation 2025$'!CW125*$BL$1,Comms!CS125*$BL$2)</f>
        <v>0</v>
      </c>
      <c r="BR125" s="98">
        <f>SUM('Defect (Total)'!BR125,Planned!CX125,Reconductor!CX125,CTGS!CX125,'Substation 2025$'!CX125*$BL$1,Comms!CT125*$BL$2)</f>
        <v>0</v>
      </c>
      <c r="BS125" s="836" t="str">
        <f>'Unit Cost Rate Summary'!AO125</f>
        <v/>
      </c>
      <c r="BT125" s="840" t="str">
        <f t="shared" si="67"/>
        <v/>
      </c>
      <c r="BU125" s="832" t="str">
        <f t="shared" si="68"/>
        <v/>
      </c>
      <c r="CI125" s="416">
        <f>VLOOKUP($A125,'Distribution Summary'!$A$136:$CG$146,CI$1,0)*BN125</f>
        <v>0</v>
      </c>
      <c r="CJ125" s="97">
        <f>VLOOKUP($A125,'Distribution Summary'!$A$136:$CG$146,CJ$1,0)*BO125</f>
        <v>0</v>
      </c>
      <c r="CK125" s="97">
        <f>VLOOKUP($A125,'Distribution Summary'!$A$136:$CG$146,CK$1,0)*BP125</f>
        <v>0</v>
      </c>
      <c r="CL125" s="97">
        <f>VLOOKUP($A125,'Distribution Summary'!$A$136:$CG$146,CL$1,0)*BQ125</f>
        <v>0</v>
      </c>
      <c r="CM125" s="98">
        <f>VLOOKUP($A125,'Distribution Summary'!$A$136:$CG$146,CM$1,0)*BR125</f>
        <v>0</v>
      </c>
    </row>
    <row r="126" spans="1:91" ht="15.75" thickBot="1" x14ac:dyDescent="0.3">
      <c r="A126" s="81" t="s">
        <v>242</v>
      </c>
      <c r="B126" s="82" t="s">
        <v>399</v>
      </c>
      <c r="C126" s="102" t="s">
        <v>400</v>
      </c>
      <c r="D126" s="103">
        <f>SUM('Defect (Total)'!D126,Planned!D126,Reconductor!D126,CTGS!D126)</f>
        <v>0</v>
      </c>
      <c r="E126" s="104">
        <f>SUM('Defect (Total)'!E126,Planned!E126,Reconductor!E126,CTGS!E126)</f>
        <v>0</v>
      </c>
      <c r="F126" s="104">
        <f>SUM('Defect (Total)'!F126,Planned!F126,Reconductor!F126,CTGS!F126)</f>
        <v>0</v>
      </c>
      <c r="G126" s="104">
        <f>SUM('Defect (Total)'!G126,Planned!G126,Reconductor!G126,CTGS!G126)</f>
        <v>0</v>
      </c>
      <c r="H126" s="104">
        <f>SUM('Defect (Total)'!H126,Planned!H126,Reconductor!H126,CTGS!H126)</f>
        <v>0</v>
      </c>
      <c r="I126" s="104">
        <f>SUM('Defect (Total)'!I126,Planned!I126,Reconductor!I126,CTGS!I126)</f>
        <v>0</v>
      </c>
      <c r="J126" s="104">
        <f>SUM('Defect (Total)'!J126,Planned!J126,Reconductor!J126,CTGS!J126)</f>
        <v>0</v>
      </c>
      <c r="K126" s="104">
        <f>SUM('Defect (Total)'!K126,Planned!K126,Reconductor!K126,CTGS!K126)</f>
        <v>0</v>
      </c>
      <c r="L126" s="104">
        <f>SUM('Defect (Total)'!L126,Planned!L126,Reconductor!L126,CTGS!L126)</f>
        <v>0</v>
      </c>
      <c r="M126" s="104">
        <f>SUM('Defect (Total)'!M126,Planned!M126,Reconductor!M126,CTGS!M126)</f>
        <v>0</v>
      </c>
      <c r="N126" s="104">
        <f>SUM('Defect (Total)'!N126,Planned!N126,Reconductor!N126,CTGS!N126)</f>
        <v>0</v>
      </c>
      <c r="O126" s="563">
        <f>SUM('Defect (Total)'!O126,Planned!O126,Reconductor!O126,CTGS!O126)</f>
        <v>0</v>
      </c>
      <c r="P126" s="564">
        <f>SUM('Defect (Total)'!P126,Planned!P126,Reconductor!P126,CTGS!P126)</f>
        <v>0</v>
      </c>
      <c r="Q126" s="564">
        <f>SUM('Defect (Total)'!Q126,Planned!Q126,Reconductor!Q126,CTGS!Q126)</f>
        <v>0</v>
      </c>
      <c r="R126" s="564">
        <f>SUM('Defect (Total)'!R126,Planned!R126,Reconductor!R126,CTGS!R126)</f>
        <v>0</v>
      </c>
      <c r="S126" s="564">
        <f>SUM('Defect (Total)'!S126,Planned!S126,Reconductor!S126,CTGS!S126)</f>
        <v>0</v>
      </c>
      <c r="T126" s="564">
        <f>SUM('Defect (Total)'!T126,Planned!T126,Reconductor!T126,CTGS!T126)</f>
        <v>0</v>
      </c>
      <c r="U126" s="564">
        <f>SUM('Defect (Total)'!U126,Planned!U126,Reconductor!U126,CTGS!U126)</f>
        <v>0</v>
      </c>
      <c r="V126" s="564">
        <f>SUM('Defect (Total)'!V126,Planned!V126,Reconductor!V126,CTGS!V126)</f>
        <v>0</v>
      </c>
      <c r="W126" s="564">
        <f>SUM('Defect (Total)'!W126,Planned!W126,Reconductor!W126,CTGS!W126)</f>
        <v>0</v>
      </c>
      <c r="X126" s="564">
        <f>SUM('Defect (Total)'!X126,Planned!X126,Reconductor!X126,CTGS!X126)</f>
        <v>0</v>
      </c>
      <c r="Y126" s="564">
        <f>SUM('Defect (Total)'!Y126,Planned!Y126,Reconductor!Y126,CTGS!Y126)</f>
        <v>0</v>
      </c>
      <c r="Z126" s="105">
        <f>SUM('Defect (Total)'!Z126,Planned!Z126,Reconductor!Z126,CTGS!Z126)</f>
        <v>0</v>
      </c>
      <c r="AA126" s="106">
        <f>SUM('Defect (Total)'!AA126,Planned!AA126,Reconductor!AA126,CTGS!AA126)</f>
        <v>0</v>
      </c>
      <c r="AB126" s="106">
        <f>SUM('Defect (Total)'!AB126,Planned!AB126,Reconductor!AB126,CTGS!AB126)</f>
        <v>0</v>
      </c>
      <c r="AC126" s="106">
        <f>SUM('Defect (Total)'!AC126,Planned!AC126,Reconductor!AC126,CTGS!AC126)</f>
        <v>0</v>
      </c>
      <c r="AD126" s="106">
        <f>SUM('Defect (Total)'!AD126,Planned!AD126,Reconductor!AD126,CTGS!AD126)</f>
        <v>0</v>
      </c>
      <c r="AE126" s="106">
        <f>SUM('Defect (Total)'!AE126,Planned!AE126,Reconductor!AE126,CTGS!AE126)</f>
        <v>0</v>
      </c>
      <c r="AF126" s="106">
        <f>SUM('Defect (Total)'!AF126,Planned!AF126,Reconductor!AF126,CTGS!AF126)</f>
        <v>0</v>
      </c>
      <c r="AG126" s="106">
        <f>SUM('Defect (Total)'!AG126,Planned!AG126,Reconductor!AG126,CTGS!AG126)</f>
        <v>0</v>
      </c>
      <c r="AH126" s="106">
        <f>SUM('Defect (Total)'!AH126,Planned!AH126,Reconductor!AH126,CTGS!AH126)</f>
        <v>0</v>
      </c>
      <c r="AI126" s="106">
        <f>SUM('Defect (Total)'!AI126,Planned!AI126,Reconductor!AI126,CTGS!AI126)</f>
        <v>0</v>
      </c>
      <c r="AJ126" s="106">
        <f>SUM('Defect (Total)'!AJ126,Planned!AJ126,Reconductor!AJ126,CTGS!AJ126)</f>
        <v>0</v>
      </c>
      <c r="AK126" s="107">
        <f t="shared" si="51"/>
        <v>0</v>
      </c>
      <c r="AL126" s="108">
        <f t="shared" si="52"/>
        <v>0</v>
      </c>
      <c r="AM126" s="109">
        <f t="shared" si="53"/>
        <v>0</v>
      </c>
      <c r="AN126" s="110" t="str">
        <f t="shared" si="55"/>
        <v/>
      </c>
      <c r="AO126" s="111" t="str">
        <f t="shared" si="56"/>
        <v/>
      </c>
      <c r="AP126" s="111" t="str">
        <f t="shared" si="57"/>
        <v/>
      </c>
      <c r="AQ126" s="111" t="str">
        <f t="shared" si="58"/>
        <v/>
      </c>
      <c r="AR126" s="111" t="str">
        <f t="shared" si="59"/>
        <v/>
      </c>
      <c r="AS126" s="111" t="str">
        <f t="shared" si="60"/>
        <v/>
      </c>
      <c r="AT126" s="111" t="str">
        <f t="shared" si="61"/>
        <v/>
      </c>
      <c r="AU126" s="111" t="str">
        <f t="shared" si="62"/>
        <v/>
      </c>
      <c r="AV126" s="111" t="str">
        <f t="shared" si="63"/>
        <v/>
      </c>
      <c r="AW126" s="111" t="str">
        <f t="shared" si="44"/>
        <v/>
      </c>
      <c r="AX126" s="111" t="str">
        <f t="shared" si="45"/>
        <v/>
      </c>
      <c r="AY126" s="112" t="str">
        <f t="shared" si="64"/>
        <v/>
      </c>
      <c r="AZ126" s="113" t="str">
        <f t="shared" si="65"/>
        <v/>
      </c>
      <c r="BA126" s="114" t="str">
        <f t="shared" si="66"/>
        <v/>
      </c>
      <c r="BB126" s="690">
        <f>SUM('Defect (Total)'!BB126,Planned!CE126,Reconductor!CE126,CTGS!CE126,'Substation 2025$'!CE126*$BL$1,Comms!CA126*$BL$2)</f>
        <v>0</v>
      </c>
      <c r="BC126" s="690">
        <f>SUM('Defect (Total)'!BC126,Planned!CF126,Reconductor!CF126,CTGS!CF126,'Substation 2025$'!CF126*$BL$1,Comms!CB126*$BL$2)</f>
        <v>0</v>
      </c>
      <c r="BD126" s="115">
        <f>SUM('Defect (Total)'!BD126,Planned!CG126,Reconductor!CG126,CTGS!CG126,'Substation 2025$'!CG126*$BL$1,Comms!CC126*$BL$2)</f>
        <v>0</v>
      </c>
      <c r="BE126" s="115">
        <f>SUM('Defect (Total)'!BE126,Planned!CH126,Reconductor!CH126,CTGS!CH126,'Substation 2025$'!CH126*$BL$1,Comms!CD126*$BL$2)</f>
        <v>0</v>
      </c>
      <c r="BF126" s="115">
        <f>SUM('Defect (Total)'!BF126,Planned!CI126,Reconductor!CI126,CTGS!CI126,'Substation 2025$'!CI126*$BL$1,Comms!CE126*$BL$2)</f>
        <v>0</v>
      </c>
      <c r="BG126" s="115">
        <f>SUM('Defect (Total)'!BG126,Planned!CJ126,Reconductor!CJ126,CTGS!CJ126,'Substation 2025$'!CJ126*$BL$1,Comms!CF126*$BL$2)</f>
        <v>0</v>
      </c>
      <c r="BH126" s="115">
        <f>SUM('Defect (Total)'!BH126,Planned!CK126,Reconductor!CK126,CTGS!CK126,'Substation 2025$'!CK126*$BL$1,Comms!CG126*$BL$2)</f>
        <v>0</v>
      </c>
      <c r="BI126" s="287">
        <f>SUM('Defect (Total)'!BI126,Planned!CL126,Reconductor!CL126,CTGS!CL126,'Substation 2025$'!CL126*$BL$1,Comms!CH126*$BL$2)</f>
        <v>0</v>
      </c>
      <c r="BJ126" s="116" t="str">
        <f t="shared" si="54"/>
        <v/>
      </c>
      <c r="BK126" s="1013">
        <f>SUM('Defect (Total)'!BK126,Planned!CQ126,Reconductor!CQ126,CTGS!CQ126,'Substation 2025$'!CQ126*$BL$1,Comms!CM126*$BL$2)</f>
        <v>0</v>
      </c>
      <c r="BL126" s="1013">
        <f>SUM('Defect (Total)'!BL126,Planned!CR126,Reconductor!CR126,CTGS!CR126,'Substation 2025$'!CR126*$BL$1,Comms!CN126*$BL$2)</f>
        <v>0</v>
      </c>
      <c r="BM126" s="638">
        <f>SUM('Defect (Total)'!BM126,Planned!CS126,Reconductor!CS126,CTGS!CS126,'Substation 2025$'!CS126*$BL$1,Comms!CO126*$BL$2)</f>
        <v>0</v>
      </c>
      <c r="BN126" s="467">
        <f>SUM('Defect (Total)'!BN126,Planned!CT126,Reconductor!CT126,CTGS!CT126,'Substation 2025$'!CT126*$BL$1,Comms!CP126*$BL$2)</f>
        <v>0</v>
      </c>
      <c r="BO126" s="117">
        <f>SUM('Defect (Total)'!BO126,Planned!CU126,Reconductor!CU126,CTGS!CU126,'Substation 2025$'!CU126*$BL$1,Comms!CQ126*$BL$2)</f>
        <v>0</v>
      </c>
      <c r="BP126" s="117">
        <f>SUM('Defect (Total)'!BP126,Planned!CV126,Reconductor!CV126,CTGS!CV126,'Substation 2025$'!CV126*$BL$1,Comms!CR126*$BL$2)</f>
        <v>0</v>
      </c>
      <c r="BQ126" s="117">
        <f>SUM('Defect (Total)'!BQ126,Planned!CW126,Reconductor!CW126,CTGS!CW126,'Substation 2025$'!CW126*$BL$1,Comms!CS126*$BL$2)</f>
        <v>0</v>
      </c>
      <c r="BR126" s="118">
        <f>SUM('Defect (Total)'!BR126,Planned!CX126,Reconductor!CX126,CTGS!CX126,'Substation 2025$'!CX126*$BL$1,Comms!CT126*$BL$2)</f>
        <v>0</v>
      </c>
      <c r="BS126" s="837" t="str">
        <f>'Unit Cost Rate Summary'!AO126</f>
        <v/>
      </c>
      <c r="BT126" s="841" t="str">
        <f t="shared" si="67"/>
        <v/>
      </c>
      <c r="BU126" s="833" t="str">
        <f t="shared" si="68"/>
        <v/>
      </c>
      <c r="CI126" s="467">
        <f>VLOOKUP($A126,'Distribution Summary'!$A$136:$CG$146,CI$1,0)*BN126</f>
        <v>0</v>
      </c>
      <c r="CJ126" s="117">
        <f>VLOOKUP($A126,'Distribution Summary'!$A$136:$CG$146,CJ$1,0)*BO126</f>
        <v>0</v>
      </c>
      <c r="CK126" s="117">
        <f>VLOOKUP($A126,'Distribution Summary'!$A$136:$CG$146,CK$1,0)*BP126</f>
        <v>0</v>
      </c>
      <c r="CL126" s="117">
        <f>VLOOKUP($A126,'Distribution Summary'!$A$136:$CG$146,CL$1,0)*BQ126</f>
        <v>0</v>
      </c>
      <c r="CM126" s="118">
        <f>VLOOKUP($A126,'Distribution Summary'!$A$136:$CG$146,CM$1,0)*BR126</f>
        <v>0</v>
      </c>
    </row>
    <row r="127" spans="1:91" x14ac:dyDescent="0.25">
      <c r="A127" s="81" t="s">
        <v>258</v>
      </c>
      <c r="B127" s="82" t="s">
        <v>255</v>
      </c>
      <c r="C127" s="145" t="s">
        <v>401</v>
      </c>
      <c r="D127" s="146">
        <f>SUM('Defect (Total)'!D127,Planned!D127,Reconductor!D127,CTGS!D127)</f>
        <v>0</v>
      </c>
      <c r="E127" s="147">
        <f>SUM('Defect (Total)'!E127,Planned!E127,Reconductor!E127,CTGS!E127)</f>
        <v>0</v>
      </c>
      <c r="F127" s="147">
        <f>SUM('Defect (Total)'!F127,Planned!F127,Reconductor!F127,CTGS!F127)</f>
        <v>0</v>
      </c>
      <c r="G127" s="147">
        <f>SUM('Defect (Total)'!G127,Planned!G127,Reconductor!G127,CTGS!G127)</f>
        <v>0</v>
      </c>
      <c r="H127" s="147">
        <f>SUM('Defect (Total)'!H127,Planned!H127,Reconductor!H127,CTGS!H127)</f>
        <v>0</v>
      </c>
      <c r="I127" s="147">
        <f>SUM('Defect (Total)'!I127,Planned!I127,Reconductor!I127,CTGS!I127)</f>
        <v>0</v>
      </c>
      <c r="J127" s="147">
        <f>SUM('Defect (Total)'!J127,Planned!J127,Reconductor!J127,CTGS!J127)</f>
        <v>0</v>
      </c>
      <c r="K127" s="147">
        <f>SUM('Defect (Total)'!K127,Planned!K127,Reconductor!K127,CTGS!K127)</f>
        <v>0</v>
      </c>
      <c r="L127" s="147">
        <f>SUM('Defect (Total)'!L127,Planned!L127,Reconductor!L127,CTGS!L127)</f>
        <v>0</v>
      </c>
      <c r="M127" s="147">
        <f>SUM('Defect (Total)'!M127,Planned!M127,Reconductor!M127,CTGS!M127)</f>
        <v>0</v>
      </c>
      <c r="N127" s="147">
        <f>SUM('Defect (Total)'!N127,Planned!N127,Reconductor!N127,CTGS!N127)</f>
        <v>0</v>
      </c>
      <c r="O127" s="566">
        <f>SUM('Defect (Total)'!O127,Planned!O127,Reconductor!O127,CTGS!O127)</f>
        <v>0</v>
      </c>
      <c r="P127" s="567">
        <f>SUM('Defect (Total)'!P127,Planned!P127,Reconductor!P127,CTGS!P127)</f>
        <v>0</v>
      </c>
      <c r="Q127" s="567">
        <f>SUM('Defect (Total)'!Q127,Planned!Q127,Reconductor!Q127,CTGS!Q127)</f>
        <v>0</v>
      </c>
      <c r="R127" s="567">
        <f>SUM('Defect (Total)'!R127,Planned!R127,Reconductor!R127,CTGS!R127)</f>
        <v>0</v>
      </c>
      <c r="S127" s="567">
        <f>SUM('Defect (Total)'!S127,Planned!S127,Reconductor!S127,CTGS!S127)</f>
        <v>0</v>
      </c>
      <c r="T127" s="567">
        <f>SUM('Defect (Total)'!T127,Planned!T127,Reconductor!T127,CTGS!T127)</f>
        <v>0</v>
      </c>
      <c r="U127" s="567">
        <f>SUM('Defect (Total)'!U127,Planned!U127,Reconductor!U127,CTGS!U127)</f>
        <v>0</v>
      </c>
      <c r="V127" s="567">
        <f>SUM('Defect (Total)'!V127,Planned!V127,Reconductor!V127,CTGS!V127)</f>
        <v>0</v>
      </c>
      <c r="W127" s="567">
        <f>SUM('Defect (Total)'!W127,Planned!W127,Reconductor!W127,CTGS!W127)</f>
        <v>0</v>
      </c>
      <c r="X127" s="567">
        <f>SUM('Defect (Total)'!X127,Planned!X127,Reconductor!X127,CTGS!X127)</f>
        <v>0</v>
      </c>
      <c r="Y127" s="567">
        <f>SUM('Defect (Total)'!Y127,Planned!Y127,Reconductor!Y127,CTGS!Y127)</f>
        <v>0</v>
      </c>
      <c r="Z127" s="148">
        <f>SUM('Defect (Total)'!Z127,Planned!Z127,Reconductor!Z127,CTGS!Z127)</f>
        <v>0</v>
      </c>
      <c r="AA127" s="149">
        <f>SUM('Defect (Total)'!AA127,Planned!AA127,Reconductor!AA127,CTGS!AA127)</f>
        <v>0</v>
      </c>
      <c r="AB127" s="149">
        <f>SUM('Defect (Total)'!AB127,Planned!AB127,Reconductor!AB127,CTGS!AB127)</f>
        <v>0</v>
      </c>
      <c r="AC127" s="149">
        <f>SUM('Defect (Total)'!AC127,Planned!AC127,Reconductor!AC127,CTGS!AC127)</f>
        <v>0</v>
      </c>
      <c r="AD127" s="149">
        <f>SUM('Defect (Total)'!AD127,Planned!AD127,Reconductor!AD127,CTGS!AD127)</f>
        <v>0</v>
      </c>
      <c r="AE127" s="149">
        <f>SUM('Defect (Total)'!AE127,Planned!AE127,Reconductor!AE127,CTGS!AE127)</f>
        <v>0</v>
      </c>
      <c r="AF127" s="149">
        <f>SUM('Defect (Total)'!AF127,Planned!AF127,Reconductor!AF127,CTGS!AF127)</f>
        <v>0</v>
      </c>
      <c r="AG127" s="149">
        <f>SUM('Defect (Total)'!AG127,Planned!AG127,Reconductor!AG127,CTGS!AG127)</f>
        <v>0</v>
      </c>
      <c r="AH127" s="149">
        <f>SUM('Defect (Total)'!AH127,Planned!AH127,Reconductor!AH127,CTGS!AH127)</f>
        <v>0</v>
      </c>
      <c r="AI127" s="149">
        <f>SUM('Defect (Total)'!AI127,Planned!AI127,Reconductor!AI127,CTGS!AI127)</f>
        <v>0</v>
      </c>
      <c r="AJ127" s="149">
        <f>SUM('Defect (Total)'!AJ127,Planned!AJ127,Reconductor!AJ127,CTGS!AJ127)</f>
        <v>0</v>
      </c>
      <c r="AK127" s="150">
        <f t="shared" si="51"/>
        <v>0</v>
      </c>
      <c r="AL127" s="151">
        <f t="shared" si="52"/>
        <v>0</v>
      </c>
      <c r="AM127" s="152">
        <f t="shared" si="53"/>
        <v>0</v>
      </c>
      <c r="AN127" s="153" t="str">
        <f t="shared" si="55"/>
        <v/>
      </c>
      <c r="AO127" s="154" t="str">
        <f t="shared" si="56"/>
        <v/>
      </c>
      <c r="AP127" s="154" t="str">
        <f t="shared" si="57"/>
        <v/>
      </c>
      <c r="AQ127" s="154" t="str">
        <f t="shared" si="58"/>
        <v/>
      </c>
      <c r="AR127" s="154" t="str">
        <f t="shared" si="59"/>
        <v/>
      </c>
      <c r="AS127" s="154" t="str">
        <f t="shared" si="60"/>
        <v/>
      </c>
      <c r="AT127" s="154" t="str">
        <f t="shared" si="61"/>
        <v/>
      </c>
      <c r="AU127" s="154" t="str">
        <f t="shared" si="62"/>
        <v/>
      </c>
      <c r="AV127" s="154" t="str">
        <f t="shared" si="63"/>
        <v/>
      </c>
      <c r="AW127" s="154" t="str">
        <f t="shared" si="44"/>
        <v/>
      </c>
      <c r="AX127" s="154" t="str">
        <f t="shared" si="45"/>
        <v/>
      </c>
      <c r="AY127" s="155" t="str">
        <f t="shared" si="64"/>
        <v/>
      </c>
      <c r="AZ127" s="156" t="str">
        <f t="shared" si="65"/>
        <v/>
      </c>
      <c r="BA127" s="157" t="str">
        <f t="shared" si="66"/>
        <v/>
      </c>
      <c r="BB127" s="688">
        <f>SUM('Defect (Total)'!BB127*$BL$3,Planned!CE127,Reconductor!CE127,CTGS!CE127,'Substation 2025$'!CE127*$BL$1,Comms!CA127*$BL$2)</f>
        <v>0</v>
      </c>
      <c r="BC127" s="688">
        <f>SUM('Defect (Total)'!BC127*$BL$3,Planned!CF127,Reconductor!CF127,CTGS!CF127,'Substation 2025$'!CF127*$BL$1,Comms!CB127*$BL$2)</f>
        <v>0</v>
      </c>
      <c r="BD127" s="78">
        <f>SUM('Defect (Total)'!BD127*$BL$3,Planned!CG127,Reconductor!CG127,CTGS!CG127,'Substation 2025$'!CG127*$BL$1,Comms!CC127*$BL$2)</f>
        <v>0</v>
      </c>
      <c r="BE127" s="78">
        <f>SUM('Defect (Total)'!BE127*$BL$3,Planned!CH127,Reconductor!CH127,CTGS!CH127,'Substation 2025$'!CH127*$BL$1,Comms!CD127*$BL$2)</f>
        <v>0</v>
      </c>
      <c r="BF127" s="78">
        <f>SUM('Defect (Total)'!BF127*$BL$3,Planned!CI127,Reconductor!CI127,CTGS!CI127,'Substation 2025$'!CI127*$BL$1,Comms!CE127*$BL$2)</f>
        <v>0</v>
      </c>
      <c r="BG127" s="78">
        <f>SUM('Defect (Total)'!BG127*$BL$3,Planned!CJ127,Reconductor!CJ127,CTGS!CJ127,'Substation 2025$'!CJ127*$BL$1,Comms!CF127*$BL$2)</f>
        <v>0</v>
      </c>
      <c r="BH127" s="78">
        <f>SUM('Defect (Total)'!BH127*$BL$3,Planned!CK127,Reconductor!CK127,CTGS!CK127,'Substation 2025$'!CK127*$BL$1,Comms!CG127*$BL$2)</f>
        <v>0</v>
      </c>
      <c r="BI127" s="285">
        <f>SUM('Defect (Total)'!BI127*$BL$3,Planned!CL127,Reconductor!CL127,CTGS!CL127,'Substation 2025$'!CL127*$BL$1,Comms!CH127*$BL$2)</f>
        <v>0</v>
      </c>
      <c r="BJ127" s="158" t="str">
        <f t="shared" si="54"/>
        <v/>
      </c>
      <c r="BK127" s="974">
        <f>SUM('Defect (Total)'!BK127*$BL$3,Planned!CQ127,Reconductor!CQ127,CTGS!CQ127,'Substation 2025$'!CQ127*$BL$1,Comms!CM127*$BL$2)</f>
        <v>0</v>
      </c>
      <c r="BL127" s="974">
        <f>SUM('Defect (Total)'!BL127*$BL$3,Planned!CR127,Reconductor!CR127,CTGS!CR127,'Substation 2025$'!CR127*$BL$1,Comms!CN127*$BL$2)</f>
        <v>0</v>
      </c>
      <c r="BM127" s="523">
        <f>SUM('Defect (Total)'!BM127*$BL$3,Planned!CS127,Reconductor!CS127,CTGS!CS127,'Substation 2025$'!CS127*$BL$1,Comms!CO127*$BL$2)</f>
        <v>0</v>
      </c>
      <c r="BN127" s="415">
        <f>SUM('Defect (Total)'!BN127*$BL$3,Planned!CT127,Reconductor!CT127,CTGS!CT127,'Substation 2025$'!CT127*$BL$1,Comms!CP127*$BL$2)</f>
        <v>0</v>
      </c>
      <c r="BO127" s="79">
        <f>SUM('Defect (Total)'!BO127*$BL$3,Planned!CU127,Reconductor!CU127,CTGS!CU127,'Substation 2025$'!CU127*$BL$1,Comms!CQ127*$BL$2)</f>
        <v>0</v>
      </c>
      <c r="BP127" s="79">
        <f>SUM('Defect (Total)'!BP127*$BL$3,Planned!CV127,Reconductor!CV127,CTGS!CV127,'Substation 2025$'!CV127*$BL$1,Comms!CR127*$BL$2)</f>
        <v>0</v>
      </c>
      <c r="BQ127" s="79">
        <f>SUM('Defect (Total)'!BQ127*$BL$3,Planned!CW127,Reconductor!CW127,CTGS!CW127,'Substation 2025$'!CW127*$BL$1,Comms!CS127*$BL$2)</f>
        <v>0</v>
      </c>
      <c r="BR127" s="80">
        <f>SUM('Defect (Total)'!BR127*$BL$3,Planned!CX127,Reconductor!CX127,CTGS!CX127,'Substation 2025$'!CX127*$BL$1,Comms!CT127*$BL$2)</f>
        <v>0</v>
      </c>
      <c r="BS127" s="835"/>
      <c r="BT127" s="839"/>
      <c r="BU127" s="834"/>
      <c r="BV127" t="s">
        <v>688</v>
      </c>
      <c r="CI127" s="415">
        <f>VLOOKUP($A127,'Distribution Summary'!$A$136:$CG$146,CI$1,0)*BN127</f>
        <v>0</v>
      </c>
      <c r="CJ127" s="79">
        <f>VLOOKUP($A127,'Distribution Summary'!$A$136:$CG$146,CJ$1,0)*BO127</f>
        <v>0</v>
      </c>
      <c r="CK127" s="79">
        <f>VLOOKUP($A127,'Distribution Summary'!$A$136:$CG$146,CK$1,0)*BP127</f>
        <v>0</v>
      </c>
      <c r="CL127" s="79">
        <f>VLOOKUP($A127,'Distribution Summary'!$A$136:$CG$146,CL$1,0)*BQ127</f>
        <v>0</v>
      </c>
      <c r="CM127" s="80">
        <f>VLOOKUP($A127,'Distribution Summary'!$A$136:$CG$146,CM$1,0)*BR127</f>
        <v>0</v>
      </c>
    </row>
    <row r="128" spans="1:91" x14ac:dyDescent="0.25">
      <c r="A128" s="81" t="s">
        <v>258</v>
      </c>
      <c r="B128" s="82" t="s">
        <v>259</v>
      </c>
      <c r="C128" s="83" t="s">
        <v>257</v>
      </c>
      <c r="D128" s="84">
        <f>SUM('Defect (Total)'!D128,Planned!D128,Reconductor!D128,CTGS!D128)</f>
        <v>56980</v>
      </c>
      <c r="E128" s="85">
        <f>SUM('Defect (Total)'!E128,Planned!E128,Reconductor!E128,CTGS!E128)</f>
        <v>79395</v>
      </c>
      <c r="F128" s="85">
        <f>SUM('Defect (Total)'!F128,Planned!F128,Reconductor!F128,CTGS!F128)</f>
        <v>127343</v>
      </c>
      <c r="G128" s="85">
        <f>SUM('Defect (Total)'!G128,Planned!G128,Reconductor!G128,CTGS!G128)</f>
        <v>71550</v>
      </c>
      <c r="H128" s="85">
        <f>SUM('Defect (Total)'!H128,Planned!H128,Reconductor!H128,CTGS!H128)</f>
        <v>76847</v>
      </c>
      <c r="I128" s="85">
        <f>SUM('Defect (Total)'!I128,Planned!I128,Reconductor!I128,CTGS!I128)</f>
        <v>108190.57457639799</v>
      </c>
      <c r="J128" s="85">
        <f>SUM('Defect (Total)'!J128,Planned!J128,Reconductor!J128,CTGS!J128)</f>
        <v>2725826.0662792921</v>
      </c>
      <c r="K128" s="85">
        <f>SUM('Defect (Total)'!K128,Planned!K128,Reconductor!K128,CTGS!K128)</f>
        <v>175205.44439869601</v>
      </c>
      <c r="L128" s="85">
        <f>SUM('Defect (Total)'!L128,Planned!L128,Reconductor!L128,CTGS!L128)</f>
        <v>292893.14275300608</v>
      </c>
      <c r="M128" s="85">
        <f>SUM('Defect (Total)'!M128,Planned!M128,Reconductor!M128,CTGS!M128)</f>
        <v>175121.57533152096</v>
      </c>
      <c r="N128" s="85">
        <f>SUM('Defect (Total)'!N128,Planned!N128,Reconductor!N128,CTGS!N128)</f>
        <v>186642.36813700796</v>
      </c>
      <c r="O128" s="560">
        <f>SUM('Defect (Total)'!O128,Planned!O128,Reconductor!O128,CTGS!O128)</f>
        <v>76664.101068390737</v>
      </c>
      <c r="P128" s="561">
        <f>SUM('Defect (Total)'!P128,Planned!P128,Reconductor!P128,CTGS!P128)</f>
        <v>105232.58811790432</v>
      </c>
      <c r="Q128" s="561">
        <f>SUM('Defect (Total)'!Q128,Planned!Q128,Reconductor!Q128,CTGS!Q128)</f>
        <v>167074.74793376596</v>
      </c>
      <c r="R128" s="561">
        <f>SUM('Defect (Total)'!R128,Planned!R128,Reconductor!R128,CTGS!R128)</f>
        <v>92093.203448911649</v>
      </c>
      <c r="S128" s="561">
        <f>SUM('Defect (Total)'!S128,Planned!S128,Reconductor!S128,CTGS!S128)</f>
        <v>96897.826890291879</v>
      </c>
      <c r="T128" s="561">
        <f>SUM('Defect (Total)'!T128,Planned!T128,Reconductor!T128,CTGS!T128)</f>
        <v>134280.54711211415</v>
      </c>
      <c r="U128" s="561">
        <f>SUM('Defect (Total)'!U128,Planned!U128,Reconductor!U128,CTGS!U128)</f>
        <v>3394983.5842513586</v>
      </c>
      <c r="V128" s="561">
        <f>SUM('Defect (Total)'!V128,Planned!V128,Reconductor!V128,CTGS!V128)</f>
        <v>210134.18972460763</v>
      </c>
      <c r="W128" s="561">
        <f>SUM('Defect (Total)'!W128,Planned!W128,Reconductor!W128,CTGS!W128)</f>
        <v>330947.93864051951</v>
      </c>
      <c r="X128" s="561">
        <f>SUM('Defect (Total)'!X128,Planned!X128,Reconductor!X128,CTGS!X128)</f>
        <v>186234.95268076588</v>
      </c>
      <c r="Y128" s="561">
        <f>SUM('Defect (Total)'!Y128,Planned!Y128,Reconductor!Y128,CTGS!Y128)</f>
        <v>191774.74943671905</v>
      </c>
      <c r="Z128" s="86">
        <f>SUM('Defect (Total)'!Z128,Planned!Z128,Reconductor!Z128,CTGS!Z128)</f>
        <v>8</v>
      </c>
      <c r="AA128" s="87">
        <f>SUM('Defect (Total)'!AA128,Planned!AA128,Reconductor!AA128,CTGS!AA128)</f>
        <v>14</v>
      </c>
      <c r="AB128" s="87">
        <f>SUM('Defect (Total)'!AB128,Planned!AB128,Reconductor!AB128,CTGS!AB128)</f>
        <v>23</v>
      </c>
      <c r="AC128" s="87">
        <f>SUM('Defect (Total)'!AC128,Planned!AC128,Reconductor!AC128,CTGS!AC128)</f>
        <v>12</v>
      </c>
      <c r="AD128" s="87">
        <f>SUM('Defect (Total)'!AD128,Planned!AD128,Reconductor!AD128,CTGS!AD128)</f>
        <v>13</v>
      </c>
      <c r="AE128" s="87">
        <f>SUM('Defect (Total)'!AE128,Planned!AE128,Reconductor!AE128,CTGS!AE128)</f>
        <v>19</v>
      </c>
      <c r="AF128" s="87">
        <f>SUM('Defect (Total)'!AF128,Planned!AF128,Reconductor!AF128,CTGS!AF128)</f>
        <v>15</v>
      </c>
      <c r="AG128" s="87">
        <f>SUM('Defect (Total)'!AG128,Planned!AG128,Reconductor!AG128,CTGS!AG128)</f>
        <v>0</v>
      </c>
      <c r="AH128" s="87">
        <f>SUM('Defect (Total)'!AH128,Planned!AH128,Reconductor!AH128,CTGS!AH128)</f>
        <v>31</v>
      </c>
      <c r="AI128" s="87">
        <f>SUM('Defect (Total)'!AI128,Planned!AI128,Reconductor!AI128,CTGS!AI128)</f>
        <v>26</v>
      </c>
      <c r="AJ128" s="87">
        <f>SUM('Defect (Total)'!AJ128,Planned!AJ128,Reconductor!AJ128,CTGS!AJ128)</f>
        <v>26</v>
      </c>
      <c r="AK128" s="88">
        <f t="shared" si="51"/>
        <v>18.2</v>
      </c>
      <c r="AL128" s="89">
        <f t="shared" si="52"/>
        <v>19</v>
      </c>
      <c r="AM128" s="90">
        <f t="shared" si="53"/>
        <v>26</v>
      </c>
      <c r="AN128" s="91">
        <f t="shared" si="55"/>
        <v>7122.5</v>
      </c>
      <c r="AO128" s="92">
        <f t="shared" si="56"/>
        <v>5671.0714285714284</v>
      </c>
      <c r="AP128" s="92">
        <f t="shared" si="57"/>
        <v>5536.652173913043</v>
      </c>
      <c r="AQ128" s="92">
        <f t="shared" si="58"/>
        <v>5962.5</v>
      </c>
      <c r="AR128" s="92">
        <f t="shared" si="59"/>
        <v>5911.3076923076924</v>
      </c>
      <c r="AS128" s="92">
        <f t="shared" si="60"/>
        <v>5694.2407671788415</v>
      </c>
      <c r="AT128" s="92">
        <f t="shared" si="61"/>
        <v>181721.73775195281</v>
      </c>
      <c r="AU128" s="92" t="str">
        <f t="shared" si="62"/>
        <v/>
      </c>
      <c r="AV128" s="92">
        <f t="shared" si="63"/>
        <v>9448.1658952582602</v>
      </c>
      <c r="AW128" s="92">
        <f t="shared" si="44"/>
        <v>6735.4452050584987</v>
      </c>
      <c r="AX128" s="92">
        <f t="shared" si="45"/>
        <v>7178.5526206541526</v>
      </c>
      <c r="AY128" s="93">
        <f t="shared" si="64"/>
        <v>43320.028564197331</v>
      </c>
      <c r="AZ128" s="94">
        <f t="shared" si="65"/>
        <v>69433.144639804217</v>
      </c>
      <c r="BA128" s="95">
        <f t="shared" si="66"/>
        <v>9448.1658952582602</v>
      </c>
      <c r="BB128" s="689">
        <f>SUM('Defect (Total)'!BB128*$BL$3,Planned!CE128,Reconductor!CE128,CTGS!CE128,'Substation 2025$'!CE128*$BL$1,Comms!CA128*$BL$2)</f>
        <v>0</v>
      </c>
      <c r="BC128" s="689">
        <f>SUM('Defect (Total)'!BC128*$BL$3,Planned!CF128,Reconductor!CF128,CTGS!CF128,'Substation 2025$'!CF128*$BL$1,Comms!CB128*$BL$2)</f>
        <v>0</v>
      </c>
      <c r="BD128" s="96">
        <f>SUM('Defect (Total)'!BD128*$BL$3,Planned!CG128,Reconductor!CG128,CTGS!CG128,'Substation 2025$'!CG128*$BL$1,Comms!CC128*$BL$2)</f>
        <v>0</v>
      </c>
      <c r="BE128" s="96">
        <f>SUM('Defect (Total)'!BE128*$BL$3,Planned!CH128,Reconductor!CH128,CTGS!CH128,'Substation 2025$'!CH128*$BL$1,Comms!CD128*$BL$2)</f>
        <v>0</v>
      </c>
      <c r="BF128" s="96">
        <f>SUM('Defect (Total)'!BF128*$BL$3,Planned!CI128,Reconductor!CI128,CTGS!CI128,'Substation 2025$'!CI128*$BL$1,Comms!CE128*$BL$2)</f>
        <v>0</v>
      </c>
      <c r="BG128" s="96">
        <f>SUM('Defect (Total)'!BG128*$BL$3,Planned!CJ128,Reconductor!CJ128,CTGS!CJ128,'Substation 2025$'!CJ128*$BL$1,Comms!CF128*$BL$2)</f>
        <v>0</v>
      </c>
      <c r="BH128" s="96">
        <f>SUM('Defect (Total)'!BH128*$BL$3,Planned!CK128,Reconductor!CK128,CTGS!CK128,'Substation 2025$'!CK128*$BL$1,Comms!CG128*$BL$2)</f>
        <v>0</v>
      </c>
      <c r="BI128" s="286">
        <f>SUM('Defect (Total)'!BI128*$BL$3,Planned!CL128,Reconductor!CL128,CTGS!CL128,'Substation 2025$'!CL128*$BL$1,Comms!CH128*$BL$2)</f>
        <v>0</v>
      </c>
      <c r="BJ128" s="99" t="str">
        <f t="shared" si="54"/>
        <v/>
      </c>
      <c r="BK128" s="992">
        <f>SUM('Defect (Total)'!BK128*$BL$3,Planned!CQ128,Reconductor!CQ128,CTGS!CQ128,'Substation 2025$'!CQ128*$BL$1,Comms!CM128*$BL$2)</f>
        <v>0</v>
      </c>
      <c r="BL128" s="992">
        <f>SUM('Defect (Total)'!BL128*$BL$3,Planned!CR128,Reconductor!CR128,CTGS!CR128,'Substation 2025$'!CR128*$BL$1,Comms!CN128*$BL$2)</f>
        <v>0</v>
      </c>
      <c r="BM128" s="524">
        <f>SUM('Defect (Total)'!BM128*$BL$3,Planned!CS128,Reconductor!CS128,CTGS!CS128,'Substation 2025$'!CS128*$BL$1,Comms!CO128*$BL$2)</f>
        <v>0</v>
      </c>
      <c r="BN128" s="416">
        <f>SUM('Defect (Total)'!BN128*$BL$3,Planned!CT128,Reconductor!CT128,CTGS!CT128,'Substation 2025$'!CT128*$BL$1,Comms!CP128*$BL$2)</f>
        <v>0</v>
      </c>
      <c r="BO128" s="97">
        <f>SUM('Defect (Total)'!BO128*$BL$3,Planned!CU128,Reconductor!CU128,CTGS!CU128,'Substation 2025$'!CU128*$BL$1,Comms!CQ128*$BL$2)</f>
        <v>0</v>
      </c>
      <c r="BP128" s="97">
        <f>SUM('Defect (Total)'!BP128*$BL$3,Planned!CV128,Reconductor!CV128,CTGS!CV128,'Substation 2025$'!CV128*$BL$1,Comms!CR128*$BL$2)</f>
        <v>0</v>
      </c>
      <c r="BQ128" s="97">
        <f>SUM('Defect (Total)'!BQ128*$BL$3,Planned!CW128,Reconductor!CW128,CTGS!CW128,'Substation 2025$'!CW128*$BL$1,Comms!CS128*$BL$2)</f>
        <v>0</v>
      </c>
      <c r="BR128" s="98">
        <f>SUM('Defect (Total)'!BR128*$BL$3,Planned!CX128,Reconductor!CX128,CTGS!CX128,'Substation 2025$'!CX128*$BL$1,Comms!CT128*$BL$2)</f>
        <v>0</v>
      </c>
      <c r="BS128" s="836"/>
      <c r="BT128" s="840"/>
      <c r="BU128" s="832"/>
      <c r="BV128" t="s">
        <v>688</v>
      </c>
      <c r="CI128" s="416">
        <f>VLOOKUP($A128,'Distribution Summary'!$A$136:$CG$146,CI$1,0)*BN128</f>
        <v>0</v>
      </c>
      <c r="CJ128" s="97">
        <f>VLOOKUP($A128,'Distribution Summary'!$A$136:$CG$146,CJ$1,0)*BO128</f>
        <v>0</v>
      </c>
      <c r="CK128" s="97">
        <f>VLOOKUP($A128,'Distribution Summary'!$A$136:$CG$146,CK$1,0)*BP128</f>
        <v>0</v>
      </c>
      <c r="CL128" s="97">
        <f>VLOOKUP($A128,'Distribution Summary'!$A$136:$CG$146,CL$1,0)*BQ128</f>
        <v>0</v>
      </c>
      <c r="CM128" s="98">
        <f>VLOOKUP($A128,'Distribution Summary'!$A$136:$CG$146,CM$1,0)*BR128</f>
        <v>0</v>
      </c>
    </row>
    <row r="129" spans="1:93" x14ac:dyDescent="0.25">
      <c r="A129" s="81" t="s">
        <v>258</v>
      </c>
      <c r="B129" s="82" t="s">
        <v>261</v>
      </c>
      <c r="C129" s="83" t="s">
        <v>402</v>
      </c>
      <c r="D129" s="84">
        <f>SUM('Defect (Total)'!D129,Planned!D129,Reconductor!D129,CTGS!D129)</f>
        <v>0</v>
      </c>
      <c r="E129" s="85">
        <f>SUM('Defect (Total)'!E129,Planned!E129,Reconductor!E129,CTGS!E129)</f>
        <v>0</v>
      </c>
      <c r="F129" s="85">
        <f>SUM('Defect (Total)'!F129,Planned!F129,Reconductor!F129,CTGS!F129)</f>
        <v>0</v>
      </c>
      <c r="G129" s="85">
        <f>SUM('Defect (Total)'!G129,Planned!G129,Reconductor!G129,CTGS!G129)</f>
        <v>0</v>
      </c>
      <c r="H129" s="85">
        <f>SUM('Defect (Total)'!H129,Planned!H129,Reconductor!H129,CTGS!H129)</f>
        <v>0</v>
      </c>
      <c r="I129" s="85">
        <f>SUM('Defect (Total)'!I129,Planned!I129,Reconductor!I129,CTGS!I129)</f>
        <v>0</v>
      </c>
      <c r="J129" s="85">
        <f>SUM('Defect (Total)'!J129,Planned!J129,Reconductor!J129,CTGS!J129)</f>
        <v>0</v>
      </c>
      <c r="K129" s="85">
        <f>SUM('Defect (Total)'!K129,Planned!K129,Reconductor!K129,CTGS!K129)</f>
        <v>0</v>
      </c>
      <c r="L129" s="85">
        <f>SUM('Defect (Total)'!L129,Planned!L129,Reconductor!L129,CTGS!L129)</f>
        <v>0</v>
      </c>
      <c r="M129" s="85">
        <f>SUM('Defect (Total)'!M129,Planned!M129,Reconductor!M129,CTGS!M129)</f>
        <v>0</v>
      </c>
      <c r="N129" s="85">
        <f>SUM('Defect (Total)'!N129,Planned!N129,Reconductor!N129,CTGS!N129)</f>
        <v>0</v>
      </c>
      <c r="O129" s="560">
        <f>SUM('Defect (Total)'!O129,Planned!O129,Reconductor!O129,CTGS!O129)</f>
        <v>0</v>
      </c>
      <c r="P129" s="561">
        <f>SUM('Defect (Total)'!P129,Planned!P129,Reconductor!P129,CTGS!P129)</f>
        <v>0</v>
      </c>
      <c r="Q129" s="561">
        <f>SUM('Defect (Total)'!Q129,Planned!Q129,Reconductor!Q129,CTGS!Q129)</f>
        <v>0</v>
      </c>
      <c r="R129" s="561">
        <f>SUM('Defect (Total)'!R129,Planned!R129,Reconductor!R129,CTGS!R129)</f>
        <v>0</v>
      </c>
      <c r="S129" s="561">
        <f>SUM('Defect (Total)'!S129,Planned!S129,Reconductor!S129,CTGS!S129)</f>
        <v>0</v>
      </c>
      <c r="T129" s="561">
        <f>SUM('Defect (Total)'!T129,Planned!T129,Reconductor!T129,CTGS!T129)</f>
        <v>0</v>
      </c>
      <c r="U129" s="561">
        <f>SUM('Defect (Total)'!U129,Planned!U129,Reconductor!U129,CTGS!U129)</f>
        <v>0</v>
      </c>
      <c r="V129" s="561">
        <f>SUM('Defect (Total)'!V129,Planned!V129,Reconductor!V129,CTGS!V129)</f>
        <v>0</v>
      </c>
      <c r="W129" s="561">
        <f>SUM('Defect (Total)'!W129,Planned!W129,Reconductor!W129,CTGS!W129)</f>
        <v>0</v>
      </c>
      <c r="X129" s="561">
        <f>SUM('Defect (Total)'!X129,Planned!X129,Reconductor!X129,CTGS!X129)</f>
        <v>0</v>
      </c>
      <c r="Y129" s="561">
        <f>SUM('Defect (Total)'!Y129,Planned!Y129,Reconductor!Y129,CTGS!Y129)</f>
        <v>0</v>
      </c>
      <c r="Z129" s="86">
        <f>SUM('Defect (Total)'!Z129,Planned!Z129,Reconductor!Z129,CTGS!Z129)</f>
        <v>0</v>
      </c>
      <c r="AA129" s="87">
        <f>SUM('Defect (Total)'!AA129,Planned!AA129,Reconductor!AA129,CTGS!AA129)</f>
        <v>0</v>
      </c>
      <c r="AB129" s="87">
        <f>SUM('Defect (Total)'!AB129,Planned!AB129,Reconductor!AB129,CTGS!AB129)</f>
        <v>0</v>
      </c>
      <c r="AC129" s="87">
        <f>SUM('Defect (Total)'!AC129,Planned!AC129,Reconductor!AC129,CTGS!AC129)</f>
        <v>0</v>
      </c>
      <c r="AD129" s="87">
        <f>SUM('Defect (Total)'!AD129,Planned!AD129,Reconductor!AD129,CTGS!AD129)</f>
        <v>0</v>
      </c>
      <c r="AE129" s="87">
        <f>SUM('Defect (Total)'!AE129,Planned!AE129,Reconductor!AE129,CTGS!AE129)</f>
        <v>0</v>
      </c>
      <c r="AF129" s="87">
        <f>SUM('Defect (Total)'!AF129,Planned!AF129,Reconductor!AF129,CTGS!AF129)</f>
        <v>0</v>
      </c>
      <c r="AG129" s="87">
        <f>SUM('Defect (Total)'!AG129,Planned!AG129,Reconductor!AG129,CTGS!AG129)</f>
        <v>0</v>
      </c>
      <c r="AH129" s="87">
        <f>SUM('Defect (Total)'!AH129,Planned!AH129,Reconductor!AH129,CTGS!AH129)</f>
        <v>0</v>
      </c>
      <c r="AI129" s="87">
        <f>SUM('Defect (Total)'!AI129,Planned!AI129,Reconductor!AI129,CTGS!AI129)</f>
        <v>0</v>
      </c>
      <c r="AJ129" s="87">
        <f>SUM('Defect (Total)'!AJ129,Planned!AJ129,Reconductor!AJ129,CTGS!AJ129)</f>
        <v>0</v>
      </c>
      <c r="AK129" s="88">
        <f t="shared" si="51"/>
        <v>0</v>
      </c>
      <c r="AL129" s="89">
        <f t="shared" si="52"/>
        <v>0</v>
      </c>
      <c r="AM129" s="90">
        <f t="shared" si="53"/>
        <v>0</v>
      </c>
      <c r="AN129" s="91" t="str">
        <f t="shared" si="55"/>
        <v/>
      </c>
      <c r="AO129" s="92" t="str">
        <f t="shared" si="56"/>
        <v/>
      </c>
      <c r="AP129" s="92" t="str">
        <f t="shared" si="57"/>
        <v/>
      </c>
      <c r="AQ129" s="92" t="str">
        <f t="shared" si="58"/>
        <v/>
      </c>
      <c r="AR129" s="92" t="str">
        <f t="shared" si="59"/>
        <v/>
      </c>
      <c r="AS129" s="92" t="str">
        <f t="shared" si="60"/>
        <v/>
      </c>
      <c r="AT129" s="92" t="str">
        <f t="shared" si="61"/>
        <v/>
      </c>
      <c r="AU129" s="92" t="str">
        <f t="shared" si="62"/>
        <v/>
      </c>
      <c r="AV129" s="92" t="str">
        <f t="shared" si="63"/>
        <v/>
      </c>
      <c r="AW129" s="92" t="str">
        <f t="shared" si="44"/>
        <v/>
      </c>
      <c r="AX129" s="92" t="str">
        <f t="shared" si="45"/>
        <v/>
      </c>
      <c r="AY129" s="93" t="str">
        <f t="shared" si="64"/>
        <v/>
      </c>
      <c r="AZ129" s="94" t="str">
        <f t="shared" si="65"/>
        <v/>
      </c>
      <c r="BA129" s="95" t="str">
        <f t="shared" si="66"/>
        <v/>
      </c>
      <c r="BB129" s="689">
        <f>SUM('Defect (Total)'!BB129*$BL$3,Planned!CE129,Reconductor!CE129,CTGS!CE129,'Substation 2025$'!CE129*$BL$1,Comms!CA129*$BL$2)</f>
        <v>0</v>
      </c>
      <c r="BC129" s="689">
        <f>SUM('Defect (Total)'!BC129*$BL$3,Planned!CF129,Reconductor!CF129,CTGS!CF129,'Substation 2025$'!CF129*$BL$1,Comms!CB129*$BL$2)</f>
        <v>0</v>
      </c>
      <c r="BD129" s="96">
        <f>SUM('Defect (Total)'!BD129*$BL$3,Planned!CG129,Reconductor!CG129,CTGS!CG129,'Substation 2025$'!CG129*$BL$1,Comms!CC129*$BL$2)</f>
        <v>0</v>
      </c>
      <c r="BE129" s="96">
        <f>SUM('Defect (Total)'!BE129*$BL$3,Planned!CH129,Reconductor!CH129,CTGS!CH129,'Substation 2025$'!CH129*$BL$1,Comms!CD129*$BL$2)</f>
        <v>0</v>
      </c>
      <c r="BF129" s="96">
        <f>SUM('Defect (Total)'!BF129*$BL$3,Planned!CI129,Reconductor!CI129,CTGS!CI129,'Substation 2025$'!CI129*$BL$1,Comms!CE129*$BL$2)</f>
        <v>0</v>
      </c>
      <c r="BG129" s="96">
        <f>SUM('Defect (Total)'!BG129*$BL$3,Planned!CJ129,Reconductor!CJ129,CTGS!CJ129,'Substation 2025$'!CJ129*$BL$1,Comms!CF129*$BL$2)</f>
        <v>0</v>
      </c>
      <c r="BH129" s="96">
        <f>SUM('Defect (Total)'!BH129*$BL$3,Planned!CK129,Reconductor!CK129,CTGS!CK129,'Substation 2025$'!CK129*$BL$1,Comms!CG129*$BL$2)</f>
        <v>0</v>
      </c>
      <c r="BI129" s="286">
        <f>SUM('Defect (Total)'!BI129*$BL$3,Planned!CL129,Reconductor!CL129,CTGS!CL129,'Substation 2025$'!CL129*$BL$1,Comms!CH129*$BL$2)</f>
        <v>0</v>
      </c>
      <c r="BJ129" s="99" t="str">
        <f t="shared" si="54"/>
        <v/>
      </c>
      <c r="BK129" s="992">
        <f>SUM('Defect (Total)'!BK129*$BL$3,Planned!CQ129,Reconductor!CQ129,CTGS!CQ129,'Substation 2025$'!CQ129*$BL$1,Comms!CM129*$BL$2)</f>
        <v>0</v>
      </c>
      <c r="BL129" s="992">
        <f>SUM('Defect (Total)'!BL129*$BL$3,Planned!CR129,Reconductor!CR129,CTGS!CR129,'Substation 2025$'!CR129*$BL$1,Comms!CN129*$BL$2)</f>
        <v>0</v>
      </c>
      <c r="BM129" s="524">
        <f>SUM('Defect (Total)'!BM129*$BL$3,Planned!CS129,Reconductor!CS129,CTGS!CS129,'Substation 2025$'!CS129*$BL$1,Comms!CO129*$BL$2)</f>
        <v>0</v>
      </c>
      <c r="BN129" s="416">
        <f>SUM('Defect (Total)'!BN129*$BL$3,Planned!CT129,Reconductor!CT129,CTGS!CT129,'Substation 2025$'!CT129*$BL$1,Comms!CP129*$BL$2)</f>
        <v>0</v>
      </c>
      <c r="BO129" s="97">
        <f>SUM('Defect (Total)'!BO129*$BL$3,Planned!CU129,Reconductor!CU129,CTGS!CU129,'Substation 2025$'!CU129*$BL$1,Comms!CQ129*$BL$2)</f>
        <v>0</v>
      </c>
      <c r="BP129" s="97">
        <f>SUM('Defect (Total)'!BP129*$BL$3,Planned!CV129,Reconductor!CV129,CTGS!CV129,'Substation 2025$'!CV129*$BL$1,Comms!CR129*$BL$2)</f>
        <v>0</v>
      </c>
      <c r="BQ129" s="97">
        <f>SUM('Defect (Total)'!BQ129*$BL$3,Planned!CW129,Reconductor!CW129,CTGS!CW129,'Substation 2025$'!CW129*$BL$1,Comms!CS129*$BL$2)</f>
        <v>0</v>
      </c>
      <c r="BR129" s="98">
        <f>SUM('Defect (Total)'!BR129*$BL$3,Planned!CX129,Reconductor!CX129,CTGS!CX129,'Substation 2025$'!CX129*$BL$1,Comms!CT129*$BL$2)</f>
        <v>0</v>
      </c>
      <c r="BS129" s="836"/>
      <c r="BT129" s="840"/>
      <c r="BU129" s="832"/>
      <c r="BV129" s="815" t="s">
        <v>688</v>
      </c>
      <c r="BW129" s="815"/>
      <c r="BX129" s="815"/>
      <c r="BY129" s="815"/>
      <c r="BZ129" s="815"/>
      <c r="CA129" s="815"/>
      <c r="CB129" s="815"/>
      <c r="CC129" s="815"/>
      <c r="CD129" s="815"/>
      <c r="CE129" s="815"/>
      <c r="CF129" s="815"/>
      <c r="CG129" s="815"/>
      <c r="CH129" s="815"/>
      <c r="CI129" s="416">
        <f>VLOOKUP($A129,'Distribution Summary'!$A$136:$CG$146,CI$1,0)*BN129</f>
        <v>0</v>
      </c>
      <c r="CJ129" s="97">
        <f>VLOOKUP($A129,'Distribution Summary'!$A$136:$CG$146,CJ$1,0)*BO129</f>
        <v>0</v>
      </c>
      <c r="CK129" s="97">
        <f>VLOOKUP($A129,'Distribution Summary'!$A$136:$CG$146,CK$1,0)*BP129</f>
        <v>0</v>
      </c>
      <c r="CL129" s="97">
        <f>VLOOKUP($A129,'Distribution Summary'!$A$136:$CG$146,CL$1,0)*BQ129</f>
        <v>0</v>
      </c>
      <c r="CM129" s="98">
        <f>VLOOKUP($A129,'Distribution Summary'!$A$136:$CG$146,CM$1,0)*BR129</f>
        <v>0</v>
      </c>
    </row>
    <row r="130" spans="1:93" x14ac:dyDescent="0.25">
      <c r="A130" s="81" t="s">
        <v>258</v>
      </c>
      <c r="B130" s="82" t="s">
        <v>263</v>
      </c>
      <c r="C130" s="83" t="s">
        <v>403</v>
      </c>
      <c r="D130" s="84">
        <f>SUM('Defect (Total)'!D130,Planned!D130,Reconductor!D130,CTGS!D130)</f>
        <v>0</v>
      </c>
      <c r="E130" s="85">
        <f>SUM('Defect (Total)'!E130,Planned!E130,Reconductor!E130,CTGS!E130)</f>
        <v>0</v>
      </c>
      <c r="F130" s="85">
        <f>SUM('Defect (Total)'!F130,Planned!F130,Reconductor!F130,CTGS!F130)</f>
        <v>0</v>
      </c>
      <c r="G130" s="85">
        <f>SUM('Defect (Total)'!G130,Planned!G130,Reconductor!G130,CTGS!G130)</f>
        <v>0</v>
      </c>
      <c r="H130" s="85">
        <f>SUM('Defect (Total)'!H130,Planned!H130,Reconductor!H130,CTGS!H130)</f>
        <v>0</v>
      </c>
      <c r="I130" s="85">
        <f>SUM('Defect (Total)'!I130,Planned!I130,Reconductor!I130,CTGS!I130)</f>
        <v>0</v>
      </c>
      <c r="J130" s="85">
        <f>SUM('Defect (Total)'!J130,Planned!J130,Reconductor!J130,CTGS!J130)</f>
        <v>0</v>
      </c>
      <c r="K130" s="85">
        <f>SUM('Defect (Total)'!K130,Planned!K130,Reconductor!K130,CTGS!K130)</f>
        <v>0</v>
      </c>
      <c r="L130" s="85">
        <f>SUM('Defect (Total)'!L130,Planned!L130,Reconductor!L130,CTGS!L130)</f>
        <v>0</v>
      </c>
      <c r="M130" s="85">
        <f>SUM('Defect (Total)'!M130,Planned!M130,Reconductor!M130,CTGS!M130)</f>
        <v>0</v>
      </c>
      <c r="N130" s="85">
        <f>SUM('Defect (Total)'!N130,Planned!N130,Reconductor!N130,CTGS!N130)</f>
        <v>0</v>
      </c>
      <c r="O130" s="560">
        <f>SUM('Defect (Total)'!O130,Planned!O130,Reconductor!O130,CTGS!O130)</f>
        <v>0</v>
      </c>
      <c r="P130" s="561">
        <f>SUM('Defect (Total)'!P130,Planned!P130,Reconductor!P130,CTGS!P130)</f>
        <v>0</v>
      </c>
      <c r="Q130" s="561">
        <f>SUM('Defect (Total)'!Q130,Planned!Q130,Reconductor!Q130,CTGS!Q130)</f>
        <v>0</v>
      </c>
      <c r="R130" s="561">
        <f>SUM('Defect (Total)'!R130,Planned!R130,Reconductor!R130,CTGS!R130)</f>
        <v>0</v>
      </c>
      <c r="S130" s="561">
        <f>SUM('Defect (Total)'!S130,Planned!S130,Reconductor!S130,CTGS!S130)</f>
        <v>0</v>
      </c>
      <c r="T130" s="561">
        <f>SUM('Defect (Total)'!T130,Planned!T130,Reconductor!T130,CTGS!T130)</f>
        <v>0</v>
      </c>
      <c r="U130" s="561">
        <f>SUM('Defect (Total)'!U130,Planned!U130,Reconductor!U130,CTGS!U130)</f>
        <v>0</v>
      </c>
      <c r="V130" s="561">
        <f>SUM('Defect (Total)'!V130,Planned!V130,Reconductor!V130,CTGS!V130)</f>
        <v>0</v>
      </c>
      <c r="W130" s="561">
        <f>SUM('Defect (Total)'!W130,Planned!W130,Reconductor!W130,CTGS!W130)</f>
        <v>0</v>
      </c>
      <c r="X130" s="561">
        <f>SUM('Defect (Total)'!X130,Planned!X130,Reconductor!X130,CTGS!X130)</f>
        <v>0</v>
      </c>
      <c r="Y130" s="561">
        <f>SUM('Defect (Total)'!Y130,Planned!Y130,Reconductor!Y130,CTGS!Y130)</f>
        <v>0</v>
      </c>
      <c r="Z130" s="86">
        <f>SUM('Defect (Total)'!Z130,Planned!Z130,Reconductor!Z130,CTGS!Z130)</f>
        <v>0</v>
      </c>
      <c r="AA130" s="87">
        <f>SUM('Defect (Total)'!AA130,Planned!AA130,Reconductor!AA130,CTGS!AA130)</f>
        <v>0</v>
      </c>
      <c r="AB130" s="87">
        <f>SUM('Defect (Total)'!AB130,Planned!AB130,Reconductor!AB130,CTGS!AB130)</f>
        <v>0</v>
      </c>
      <c r="AC130" s="87">
        <f>SUM('Defect (Total)'!AC130,Planned!AC130,Reconductor!AC130,CTGS!AC130)</f>
        <v>0</v>
      </c>
      <c r="AD130" s="87">
        <f>SUM('Defect (Total)'!AD130,Planned!AD130,Reconductor!AD130,CTGS!AD130)</f>
        <v>0</v>
      </c>
      <c r="AE130" s="87">
        <f>SUM('Defect (Total)'!AE130,Planned!AE130,Reconductor!AE130,CTGS!AE130)</f>
        <v>0</v>
      </c>
      <c r="AF130" s="87">
        <f>SUM('Defect (Total)'!AF130,Planned!AF130,Reconductor!AF130,CTGS!AF130)</f>
        <v>0</v>
      </c>
      <c r="AG130" s="87">
        <f>SUM('Defect (Total)'!AG130,Planned!AG130,Reconductor!AG130,CTGS!AG130)</f>
        <v>0</v>
      </c>
      <c r="AH130" s="87">
        <f>SUM('Defect (Total)'!AH130,Planned!AH130,Reconductor!AH130,CTGS!AH130)</f>
        <v>0</v>
      </c>
      <c r="AI130" s="87">
        <f>SUM('Defect (Total)'!AI130,Planned!AI130,Reconductor!AI130,CTGS!AI130)</f>
        <v>0</v>
      </c>
      <c r="AJ130" s="87">
        <f>SUM('Defect (Total)'!AJ130,Planned!AJ130,Reconductor!AJ130,CTGS!AJ130)</f>
        <v>0</v>
      </c>
      <c r="AK130" s="88">
        <f t="shared" si="51"/>
        <v>0</v>
      </c>
      <c r="AL130" s="89">
        <f t="shared" si="52"/>
        <v>0</v>
      </c>
      <c r="AM130" s="90">
        <f t="shared" si="53"/>
        <v>0</v>
      </c>
      <c r="AN130" s="91" t="str">
        <f t="shared" si="55"/>
        <v/>
      </c>
      <c r="AO130" s="92" t="str">
        <f t="shared" si="56"/>
        <v/>
      </c>
      <c r="AP130" s="92" t="str">
        <f t="shared" si="57"/>
        <v/>
      </c>
      <c r="AQ130" s="92" t="str">
        <f t="shared" si="58"/>
        <v/>
      </c>
      <c r="AR130" s="92" t="str">
        <f t="shared" si="59"/>
        <v/>
      </c>
      <c r="AS130" s="92" t="str">
        <f t="shared" si="60"/>
        <v/>
      </c>
      <c r="AT130" s="92" t="str">
        <f t="shared" si="61"/>
        <v/>
      </c>
      <c r="AU130" s="92" t="str">
        <f t="shared" si="62"/>
        <v/>
      </c>
      <c r="AV130" s="92" t="str">
        <f t="shared" si="63"/>
        <v/>
      </c>
      <c r="AW130" s="92" t="str">
        <f t="shared" si="44"/>
        <v/>
      </c>
      <c r="AX130" s="92" t="str">
        <f t="shared" si="45"/>
        <v/>
      </c>
      <c r="AY130" s="93" t="str">
        <f t="shared" si="64"/>
        <v/>
      </c>
      <c r="AZ130" s="94" t="str">
        <f t="shared" si="65"/>
        <v/>
      </c>
      <c r="BA130" s="95" t="str">
        <f t="shared" si="66"/>
        <v/>
      </c>
      <c r="BB130" s="689">
        <f>SUM('Defect (Total)'!BB130*$BL$3,Planned!CE130,Reconductor!CE130,CTGS!CE130,'Substation 2025$'!CE130*$BL$1,Comms!CA130*$BL$2)</f>
        <v>0</v>
      </c>
      <c r="BC130" s="689">
        <f>SUM('Defect (Total)'!BC130*$BL$3,Planned!CF130,Reconductor!CF130,CTGS!CF130,'Substation 2025$'!CF130*$BL$1,Comms!CB130*$BL$2)</f>
        <v>0</v>
      </c>
      <c r="BD130" s="96">
        <f>SUM('Defect (Total)'!BD130*$BL$3,Planned!CG130,Reconductor!CG130,CTGS!CG130,'Substation 2025$'!CG130*$BL$1,Comms!CC130*$BL$2)</f>
        <v>0</v>
      </c>
      <c r="BE130" s="96">
        <f>SUM('Defect (Total)'!BE130*$BL$3,Planned!CH130,Reconductor!CH130,CTGS!CH130,'Substation 2025$'!CH130*$BL$1,Comms!CD130*$BL$2)</f>
        <v>0</v>
      </c>
      <c r="BF130" s="96">
        <f>SUM('Defect (Total)'!BF130*$BL$3,Planned!CI130,Reconductor!CI130,CTGS!CI130,'Substation 2025$'!CI130*$BL$1,Comms!CE130*$BL$2)</f>
        <v>0</v>
      </c>
      <c r="BG130" s="96">
        <f>SUM('Defect (Total)'!BG130*$BL$3,Planned!CJ130,Reconductor!CJ130,CTGS!CJ130,'Substation 2025$'!CJ130*$BL$1,Comms!CF130*$BL$2)</f>
        <v>0</v>
      </c>
      <c r="BH130" s="96">
        <f>SUM('Defect (Total)'!BH130*$BL$3,Planned!CK130,Reconductor!CK130,CTGS!CK130,'Substation 2025$'!CK130*$BL$1,Comms!CG130*$BL$2)</f>
        <v>0</v>
      </c>
      <c r="BI130" s="286">
        <f>SUM('Defect (Total)'!BI130*$BL$3,Planned!CL130,Reconductor!CL130,CTGS!CL130,'Substation 2025$'!CL130*$BL$1,Comms!CH130*$BL$2)</f>
        <v>0</v>
      </c>
      <c r="BJ130" s="99" t="str">
        <f t="shared" si="54"/>
        <v/>
      </c>
      <c r="BK130" s="992">
        <f>SUM('Defect (Total)'!BK130*$BL$3,Planned!CQ130,Reconductor!CQ130,CTGS!CQ130,'Substation 2025$'!CQ130*$BL$1,Comms!CM130*$BL$2)</f>
        <v>0</v>
      </c>
      <c r="BL130" s="992">
        <f>SUM('Defect (Total)'!BL130*$BL$3,Planned!CR130,Reconductor!CR130,CTGS!CR130,'Substation 2025$'!CR130*$BL$1,Comms!CN130*$BL$2)</f>
        <v>0</v>
      </c>
      <c r="BM130" s="524">
        <f>SUM('Defect (Total)'!BM130*$BL$3,Planned!CS130,Reconductor!CS130,CTGS!CS130,'Substation 2025$'!CS130*$BL$1,Comms!CO130*$BL$2)</f>
        <v>0</v>
      </c>
      <c r="BN130" s="416">
        <f>SUM('Defect (Total)'!BN130*$BL$3,Planned!CT130,Reconductor!CT130,CTGS!CT130,'Substation 2025$'!CT130*$BL$1,Comms!CP130*$BL$2)</f>
        <v>0</v>
      </c>
      <c r="BO130" s="97">
        <f>SUM('Defect (Total)'!BO130*$BL$3,Planned!CU130,Reconductor!CU130,CTGS!CU130,'Substation 2025$'!CU130*$BL$1,Comms!CQ130*$BL$2)</f>
        <v>0</v>
      </c>
      <c r="BP130" s="97">
        <f>SUM('Defect (Total)'!BP130*$BL$3,Planned!CV130,Reconductor!CV130,CTGS!CV130,'Substation 2025$'!CV130*$BL$1,Comms!CR130*$BL$2)</f>
        <v>0</v>
      </c>
      <c r="BQ130" s="97">
        <f>SUM('Defect (Total)'!BQ130*$BL$3,Planned!CW130,Reconductor!CW130,CTGS!CW130,'Substation 2025$'!CW130*$BL$1,Comms!CS130*$BL$2)</f>
        <v>0</v>
      </c>
      <c r="BR130" s="98">
        <f>SUM('Defect (Total)'!BR130*$BL$3,Planned!CX130,Reconductor!CX130,CTGS!CX130,'Substation 2025$'!CX130*$BL$1,Comms!CT130*$BL$2)</f>
        <v>0</v>
      </c>
      <c r="BS130" s="836"/>
      <c r="BT130" s="840"/>
      <c r="BU130" s="832"/>
      <c r="BV130" t="s">
        <v>688</v>
      </c>
      <c r="CI130" s="416">
        <f>VLOOKUP($A130,'Distribution Summary'!$A$136:$CG$146,CI$1,0)*BN130</f>
        <v>0</v>
      </c>
      <c r="CJ130" s="97">
        <f>VLOOKUP($A130,'Distribution Summary'!$A$136:$CG$146,CJ$1,0)*BO130</f>
        <v>0</v>
      </c>
      <c r="CK130" s="97">
        <f>VLOOKUP($A130,'Distribution Summary'!$A$136:$CG$146,CK$1,0)*BP130</f>
        <v>0</v>
      </c>
      <c r="CL130" s="97">
        <f>VLOOKUP($A130,'Distribution Summary'!$A$136:$CG$146,CL$1,0)*BQ130</f>
        <v>0</v>
      </c>
      <c r="CM130" s="98">
        <f>VLOOKUP($A130,'Distribution Summary'!$A$136:$CG$146,CM$1,0)*BR130</f>
        <v>0</v>
      </c>
    </row>
    <row r="131" spans="1:93" x14ac:dyDescent="0.25">
      <c r="A131" s="81" t="s">
        <v>258</v>
      </c>
      <c r="B131" s="82" t="s">
        <v>404</v>
      </c>
      <c r="C131" s="83" t="s">
        <v>405</v>
      </c>
      <c r="D131" s="84">
        <f>SUM('Defect (Total)'!D131,Planned!D131,Reconductor!D131,CTGS!D131)</f>
        <v>52394</v>
      </c>
      <c r="E131" s="85">
        <f>SUM('Defect (Total)'!E131,Planned!E131,Reconductor!E131,CTGS!E131)</f>
        <v>33586</v>
      </c>
      <c r="F131" s="85">
        <f>SUM('Defect (Total)'!F131,Planned!F131,Reconductor!F131,CTGS!F131)</f>
        <v>0</v>
      </c>
      <c r="G131" s="85">
        <f>SUM('Defect (Total)'!G131,Planned!G131,Reconductor!G131,CTGS!G131)</f>
        <v>181427</v>
      </c>
      <c r="H131" s="85">
        <f>SUM('Defect (Total)'!H131,Planned!H131,Reconductor!H131,CTGS!H131)</f>
        <v>411969</v>
      </c>
      <c r="I131" s="85">
        <f>SUM('Defect (Total)'!I131,Planned!I131,Reconductor!I131,CTGS!I131)</f>
        <v>0</v>
      </c>
      <c r="J131" s="85">
        <f>SUM('Defect (Total)'!J131,Planned!J131,Reconductor!J131,CTGS!J131)</f>
        <v>3402491.1146438019</v>
      </c>
      <c r="K131" s="85">
        <f>SUM('Defect (Total)'!K131,Planned!K131,Reconductor!K131,CTGS!K131)</f>
        <v>0</v>
      </c>
      <c r="L131" s="85">
        <f>SUM('Defect (Total)'!L131,Planned!L131,Reconductor!L131,CTGS!L131)</f>
        <v>0</v>
      </c>
      <c r="M131" s="85">
        <f>SUM('Defect (Total)'!M131,Planned!M131,Reconductor!M131,CTGS!M131)</f>
        <v>11845.6</v>
      </c>
      <c r="N131" s="85">
        <f>SUM('Defect (Total)'!N131,Planned!N131,Reconductor!N131,CTGS!N131)</f>
        <v>10162872.439999998</v>
      </c>
      <c r="O131" s="560">
        <f>SUM('Defect (Total)'!O131,Planned!O131,Reconductor!O131,CTGS!O131)</f>
        <v>70493.838388509379</v>
      </c>
      <c r="P131" s="561">
        <f>SUM('Defect (Total)'!P131,Planned!P131,Reconductor!P131,CTGS!P131)</f>
        <v>44515.922974090747</v>
      </c>
      <c r="Q131" s="561">
        <f>SUM('Defect (Total)'!Q131,Planned!Q131,Reconductor!Q131,CTGS!Q131)</f>
        <v>0</v>
      </c>
      <c r="R131" s="561">
        <f>SUM('Defect (Total)'!R131,Planned!R131,Reconductor!R131,CTGS!R131)</f>
        <v>233517.73056779447</v>
      </c>
      <c r="S131" s="561">
        <f>SUM('Defect (Total)'!S131,Planned!S131,Reconductor!S131,CTGS!S131)</f>
        <v>519459.45640254859</v>
      </c>
      <c r="T131" s="561">
        <f>SUM('Defect (Total)'!T131,Planned!T131,Reconductor!T131,CTGS!T131)</f>
        <v>0</v>
      </c>
      <c r="U131" s="561">
        <f>SUM('Defect (Total)'!U131,Planned!U131,Reconductor!U131,CTGS!U131)</f>
        <v>4237761.7642875835</v>
      </c>
      <c r="V131" s="561">
        <f>SUM('Defect (Total)'!V131,Planned!V131,Reconductor!V131,CTGS!V131)</f>
        <v>0</v>
      </c>
      <c r="W131" s="561">
        <f>SUM('Defect (Total)'!W131,Planned!W131,Reconductor!W131,CTGS!W131)</f>
        <v>0</v>
      </c>
      <c r="X131" s="561">
        <f>SUM('Defect (Total)'!X131,Planned!X131,Reconductor!X131,CTGS!X131)</f>
        <v>12597.332746116523</v>
      </c>
      <c r="Y131" s="561">
        <f>SUM('Defect (Total)'!Y131,Planned!Y131,Reconductor!Y131,CTGS!Y131)</f>
        <v>10442335.977582829</v>
      </c>
      <c r="Z131" s="86">
        <f>SUM('Defect (Total)'!Z131,Planned!Z131,Reconductor!Z131,CTGS!Z131)</f>
        <v>2</v>
      </c>
      <c r="AA131" s="87">
        <f>SUM('Defect (Total)'!AA131,Planned!AA131,Reconductor!AA131,CTGS!AA131)</f>
        <v>1</v>
      </c>
      <c r="AB131" s="87">
        <f>SUM('Defect (Total)'!AB131,Planned!AB131,Reconductor!AB131,CTGS!AB131)</f>
        <v>0</v>
      </c>
      <c r="AC131" s="87">
        <f>SUM('Defect (Total)'!AC131,Planned!AC131,Reconductor!AC131,CTGS!AC131)</f>
        <v>5</v>
      </c>
      <c r="AD131" s="87">
        <f>SUM('Defect (Total)'!AD131,Planned!AD131,Reconductor!AD131,CTGS!AD131)</f>
        <v>12</v>
      </c>
      <c r="AE131" s="87">
        <f>SUM('Defect (Total)'!AE131,Planned!AE131,Reconductor!AE131,CTGS!AE131)</f>
        <v>0</v>
      </c>
      <c r="AF131" s="87">
        <f>SUM('Defect (Total)'!AF131,Planned!AF131,Reconductor!AF131,CTGS!AF131)</f>
        <v>0</v>
      </c>
      <c r="AG131" s="87">
        <f>SUM('Defect (Total)'!AG131,Planned!AG131,Reconductor!AG131,CTGS!AG131)</f>
        <v>2</v>
      </c>
      <c r="AH131" s="87">
        <f>SUM('Defect (Total)'!AH131,Planned!AH131,Reconductor!AH131,CTGS!AH131)</f>
        <v>0</v>
      </c>
      <c r="AI131" s="87">
        <f>SUM('Defect (Total)'!AI131,Planned!AI131,Reconductor!AI131,CTGS!AI131)</f>
        <v>2</v>
      </c>
      <c r="AJ131" s="87">
        <f>SUM('Defect (Total)'!AJ131,Planned!AJ131,Reconductor!AJ131,CTGS!AJ131)</f>
        <v>0</v>
      </c>
      <c r="AK131" s="88">
        <f t="shared" si="51"/>
        <v>0.8</v>
      </c>
      <c r="AL131" s="89">
        <f t="shared" si="52"/>
        <v>1.3333333333333333</v>
      </c>
      <c r="AM131" s="90">
        <f t="shared" si="53"/>
        <v>2</v>
      </c>
      <c r="AN131" s="91">
        <f t="shared" si="55"/>
        <v>26197</v>
      </c>
      <c r="AO131" s="92">
        <f t="shared" si="56"/>
        <v>33586</v>
      </c>
      <c r="AP131" s="92" t="str">
        <f t="shared" si="57"/>
        <v/>
      </c>
      <c r="AQ131" s="92">
        <f t="shared" si="58"/>
        <v>36285.4</v>
      </c>
      <c r="AR131" s="92">
        <f t="shared" si="59"/>
        <v>34330.75</v>
      </c>
      <c r="AS131" s="92" t="str">
        <f t="shared" si="60"/>
        <v/>
      </c>
      <c r="AT131" s="92" t="str">
        <f t="shared" si="61"/>
        <v/>
      </c>
      <c r="AU131" s="92">
        <f t="shared" si="62"/>
        <v>0</v>
      </c>
      <c r="AV131" s="92" t="str">
        <f t="shared" si="63"/>
        <v/>
      </c>
      <c r="AW131" s="92">
        <f t="shared" si="44"/>
        <v>5922.8</v>
      </c>
      <c r="AX131" s="92" t="str">
        <f t="shared" si="45"/>
        <v/>
      </c>
      <c r="AY131" s="93">
        <f t="shared" si="64"/>
        <v>272461.43676027155</v>
      </c>
      <c r="AZ131" s="94">
        <f t="shared" si="65"/>
        <v>1701245.557321901</v>
      </c>
      <c r="BA131" s="95" t="str">
        <f t="shared" si="66"/>
        <v/>
      </c>
      <c r="BB131" s="689">
        <f>SUM('Defect (Total)'!BB131*$BL$3,Planned!CE131,Reconductor!CE131,CTGS!CE131,'Substation 2025$'!CE131*$BL$1,Comms!CA131*$BL$2)</f>
        <v>0</v>
      </c>
      <c r="BC131" s="689">
        <f>SUM('Defect (Total)'!BC131*$BL$3,Planned!CF131,Reconductor!CF131,CTGS!CF131,'Substation 2025$'!CF131*$BL$1,Comms!CB131*$BL$2)</f>
        <v>0</v>
      </c>
      <c r="BD131" s="96">
        <f>SUM('Defect (Total)'!BD131*$BL$3,Planned!CG131,Reconductor!CG131,CTGS!CG131,'Substation 2025$'!CG131*$BL$1,Comms!CC131*$BL$2)</f>
        <v>0</v>
      </c>
      <c r="BE131" s="96">
        <f>SUM('Defect (Total)'!BE131*$BL$3,Planned!CH131,Reconductor!CH131,CTGS!CH131,'Substation 2025$'!CH131*$BL$1,Comms!CD131*$BL$2)</f>
        <v>0</v>
      </c>
      <c r="BF131" s="96">
        <f>SUM('Defect (Total)'!BF131*$BL$3,Planned!CI131,Reconductor!CI131,CTGS!CI131,'Substation 2025$'!CI131*$BL$1,Comms!CE131*$BL$2)</f>
        <v>0</v>
      </c>
      <c r="BG131" s="96">
        <f>SUM('Defect (Total)'!BG131*$BL$3,Planned!CJ131,Reconductor!CJ131,CTGS!CJ131,'Substation 2025$'!CJ131*$BL$1,Comms!CF131*$BL$2)</f>
        <v>0</v>
      </c>
      <c r="BH131" s="96">
        <f>SUM('Defect (Total)'!BH131*$BL$3,Planned!CK131,Reconductor!CK131,CTGS!CK131,'Substation 2025$'!CK131*$BL$1,Comms!CG131*$BL$2)</f>
        <v>0</v>
      </c>
      <c r="BI131" s="286">
        <f>SUM('Defect (Total)'!BI131*$BL$3,Planned!CL131,Reconductor!CL131,CTGS!CL131,'Substation 2025$'!CL131*$BL$1,Comms!CH131*$BL$2)</f>
        <v>0</v>
      </c>
      <c r="BJ131" s="99" t="str">
        <f t="shared" si="54"/>
        <v/>
      </c>
      <c r="BK131" s="992">
        <f>SUM('Defect (Total)'!BK131*$BL$3,Planned!CQ131,Reconductor!CQ131,CTGS!CQ131,'Substation 2025$'!CQ131*$BL$1,Comms!CM131*$BL$2)</f>
        <v>0</v>
      </c>
      <c r="BL131" s="992">
        <f>SUM('Defect (Total)'!BL131*$BL$3,Planned!CR131,Reconductor!CR131,CTGS!CR131,'Substation 2025$'!CR131*$BL$1,Comms!CN131*$BL$2)</f>
        <v>0</v>
      </c>
      <c r="BM131" s="524">
        <f>SUM('Defect (Total)'!BM131*$BL$3,Planned!CS131,Reconductor!CS131,CTGS!CS131,'Substation 2025$'!CS131*$BL$1,Comms!CO131*$BL$2)</f>
        <v>0</v>
      </c>
      <c r="BN131" s="416">
        <f>SUM('Defect (Total)'!BN131*$BL$3,Planned!CT131,Reconductor!CT131,CTGS!CT131,'Substation 2025$'!CT131*$BL$1,Comms!CP131*$BL$2)</f>
        <v>0</v>
      </c>
      <c r="BO131" s="97">
        <f>SUM('Defect (Total)'!BO131*$BL$3,Planned!CU131,Reconductor!CU131,CTGS!CU131,'Substation 2025$'!CU131*$BL$1,Comms!CQ131*$BL$2)</f>
        <v>0</v>
      </c>
      <c r="BP131" s="97">
        <f>SUM('Defect (Total)'!BP131*$BL$3,Planned!CV131,Reconductor!CV131,CTGS!CV131,'Substation 2025$'!CV131*$BL$1,Comms!CR131*$BL$2)</f>
        <v>0</v>
      </c>
      <c r="BQ131" s="97">
        <f>SUM('Defect (Total)'!BQ131*$BL$3,Planned!CW131,Reconductor!CW131,CTGS!CW131,'Substation 2025$'!CW131*$BL$1,Comms!CS131*$BL$2)</f>
        <v>0</v>
      </c>
      <c r="BR131" s="98">
        <f>SUM('Defect (Total)'!BR131*$BL$3,Planned!CX131,Reconductor!CX131,CTGS!CX131,'Substation 2025$'!CX131*$BL$1,Comms!CT131*$BL$2)</f>
        <v>0</v>
      </c>
      <c r="BS131" s="836"/>
      <c r="BT131" s="840"/>
      <c r="BU131" s="832"/>
      <c r="BV131" t="s">
        <v>688</v>
      </c>
      <c r="CI131" s="416">
        <f>VLOOKUP($A131,'Distribution Summary'!$A$136:$CG$146,CI$1,0)*BN131</f>
        <v>0</v>
      </c>
      <c r="CJ131" s="97">
        <f>VLOOKUP($A131,'Distribution Summary'!$A$136:$CG$146,CJ$1,0)*BO131</f>
        <v>0</v>
      </c>
      <c r="CK131" s="97">
        <f>VLOOKUP($A131,'Distribution Summary'!$A$136:$CG$146,CK$1,0)*BP131</f>
        <v>0</v>
      </c>
      <c r="CL131" s="97">
        <f>VLOOKUP($A131,'Distribution Summary'!$A$136:$CG$146,CL$1,0)*BQ131</f>
        <v>0</v>
      </c>
      <c r="CM131" s="98">
        <f>VLOOKUP($A131,'Distribution Summary'!$A$136:$CG$146,CM$1,0)*BR131</f>
        <v>0</v>
      </c>
    </row>
    <row r="132" spans="1:93" ht="15.75" thickBot="1" x14ac:dyDescent="0.3">
      <c r="A132" s="100" t="s">
        <v>258</v>
      </c>
      <c r="B132" s="101" t="s">
        <v>265</v>
      </c>
      <c r="C132" s="159" t="s">
        <v>406</v>
      </c>
      <c r="D132" s="103">
        <f>SUM('Defect (Total)'!D132,Planned!D132,Reconductor!D132,CTGS!D132)</f>
        <v>0</v>
      </c>
      <c r="E132" s="104">
        <f>SUM('Defect (Total)'!E132,Planned!E132,Reconductor!E132,CTGS!E132)</f>
        <v>0</v>
      </c>
      <c r="F132" s="104">
        <f>SUM('Defect (Total)'!F132,Planned!F132,Reconductor!F132,CTGS!F132)</f>
        <v>0</v>
      </c>
      <c r="G132" s="104">
        <f>SUM('Defect (Total)'!G132,Planned!G132,Reconductor!G132,CTGS!G132)</f>
        <v>0</v>
      </c>
      <c r="H132" s="104">
        <f>SUM('Defect (Total)'!H132,Planned!H132,Reconductor!H132,CTGS!H132)</f>
        <v>0</v>
      </c>
      <c r="I132" s="104">
        <f>SUM('Defect (Total)'!I132,Planned!I132,Reconductor!I132,CTGS!I132)</f>
        <v>52101.720000000008</v>
      </c>
      <c r="J132" s="104">
        <f>SUM('Defect (Total)'!J132,Planned!J132,Reconductor!J132,CTGS!J132)</f>
        <v>64920.800000000003</v>
      </c>
      <c r="K132" s="104">
        <f>SUM('Defect (Total)'!K132,Planned!K132,Reconductor!K132,CTGS!K132)</f>
        <v>2890023.14</v>
      </c>
      <c r="L132" s="104">
        <f>SUM('Defect (Total)'!L132,Planned!L132,Reconductor!L132,CTGS!L132)</f>
        <v>252283.24000000017</v>
      </c>
      <c r="M132" s="104">
        <f>SUM('Defect (Total)'!M132,Planned!M132,Reconductor!M132,CTGS!M132)</f>
        <v>7156709.8999999985</v>
      </c>
      <c r="N132" s="104">
        <f>SUM('Defect (Total)'!N132,Planned!N132,Reconductor!N132,CTGS!N132)</f>
        <v>104299.29999999999</v>
      </c>
      <c r="O132" s="563">
        <f>SUM('Defect (Total)'!O132,Planned!O132,Reconductor!O132,CTGS!O132)</f>
        <v>0</v>
      </c>
      <c r="P132" s="564">
        <f>SUM('Defect (Total)'!P132,Planned!P132,Reconductor!P132,CTGS!P132)</f>
        <v>0</v>
      </c>
      <c r="Q132" s="564">
        <f>SUM('Defect (Total)'!Q132,Planned!Q132,Reconductor!Q132,CTGS!Q132)</f>
        <v>0</v>
      </c>
      <c r="R132" s="564">
        <f>SUM('Defect (Total)'!R132,Planned!R132,Reconductor!R132,CTGS!R132)</f>
        <v>0</v>
      </c>
      <c r="S132" s="564">
        <f>SUM('Defect (Total)'!S132,Planned!S132,Reconductor!S132,CTGS!S132)</f>
        <v>0</v>
      </c>
      <c r="T132" s="564">
        <f>SUM('Defect (Total)'!T132,Planned!T132,Reconductor!T132,CTGS!T132)</f>
        <v>64665.960916418182</v>
      </c>
      <c r="U132" s="564">
        <f>SUM('Defect (Total)'!U132,Planned!U132,Reconductor!U132,CTGS!U132)</f>
        <v>80858.075650188097</v>
      </c>
      <c r="V132" s="564">
        <f>SUM('Defect (Total)'!V132,Planned!V132,Reconductor!V132,CTGS!V132)</f>
        <v>3466174.655094143</v>
      </c>
      <c r="W132" s="564">
        <f>SUM('Defect (Total)'!W132,Planned!W132,Reconductor!W132,CTGS!W132)</f>
        <v>285061.70355090906</v>
      </c>
      <c r="X132" s="564">
        <f>SUM('Defect (Total)'!X132,Planned!X132,Reconductor!X132,CTGS!X132)</f>
        <v>7610881.338026464</v>
      </c>
      <c r="Y132" s="564">
        <f>SUM('Defect (Total)'!Y132,Planned!Y132,Reconductor!Y132,CTGS!Y132)</f>
        <v>107167.37214372681</v>
      </c>
      <c r="Z132" s="105">
        <f>SUM('Defect (Total)'!Z132,Planned!Z132,Reconductor!Z132,CTGS!Z132)</f>
        <v>0</v>
      </c>
      <c r="AA132" s="106">
        <f>SUM('Defect (Total)'!AA132,Planned!AA132,Reconductor!AA132,CTGS!AA132)</f>
        <v>0</v>
      </c>
      <c r="AB132" s="106">
        <f>SUM('Defect (Total)'!AB132,Planned!AB132,Reconductor!AB132,CTGS!AB132)</f>
        <v>0</v>
      </c>
      <c r="AC132" s="106">
        <f>SUM('Defect (Total)'!AC132,Planned!AC132,Reconductor!AC132,CTGS!AC132)</f>
        <v>0</v>
      </c>
      <c r="AD132" s="106">
        <f>SUM('Defect (Total)'!AD132,Planned!AD132,Reconductor!AD132,CTGS!AD132)</f>
        <v>0</v>
      </c>
      <c r="AE132" s="106">
        <f>SUM('Defect (Total)'!AE132,Planned!AE132,Reconductor!AE132,CTGS!AE132)</f>
        <v>1146</v>
      </c>
      <c r="AF132" s="106">
        <f>SUM('Defect (Total)'!AF132,Planned!AF132,Reconductor!AF132,CTGS!AF132)</f>
        <v>1075</v>
      </c>
      <c r="AG132" s="106">
        <f>SUM('Defect (Total)'!AG132,Planned!AG132,Reconductor!AG132,CTGS!AG132)</f>
        <v>1262</v>
      </c>
      <c r="AH132" s="106">
        <f>SUM('Defect (Total)'!AH132,Planned!AH132,Reconductor!AH132,CTGS!AH132)</f>
        <v>1077</v>
      </c>
      <c r="AI132" s="106">
        <f>SUM('Defect (Total)'!AI132,Planned!AI132,Reconductor!AI132,CTGS!AI132)</f>
        <v>1451</v>
      </c>
      <c r="AJ132" s="106">
        <f>SUM('Defect (Total)'!AJ132,Planned!AJ132,Reconductor!AJ132,CTGS!AJ132)</f>
        <v>1057.1666666670001</v>
      </c>
      <c r="AK132" s="107">
        <f t="shared" si="51"/>
        <v>1202.2</v>
      </c>
      <c r="AL132" s="108">
        <f t="shared" si="52"/>
        <v>1263.3333333333333</v>
      </c>
      <c r="AM132" s="109">
        <f t="shared" si="53"/>
        <v>1451</v>
      </c>
      <c r="AN132" s="110" t="str">
        <f t="shared" si="55"/>
        <v/>
      </c>
      <c r="AO132" s="111" t="str">
        <f t="shared" si="56"/>
        <v/>
      </c>
      <c r="AP132" s="111" t="str">
        <f t="shared" si="57"/>
        <v/>
      </c>
      <c r="AQ132" s="111" t="str">
        <f t="shared" si="58"/>
        <v/>
      </c>
      <c r="AR132" s="111" t="str">
        <f t="shared" si="59"/>
        <v/>
      </c>
      <c r="AS132" s="111">
        <f t="shared" si="60"/>
        <v>45.463979057591629</v>
      </c>
      <c r="AT132" s="111">
        <f t="shared" si="61"/>
        <v>60.391441860465122</v>
      </c>
      <c r="AU132" s="111">
        <f t="shared" si="62"/>
        <v>2290.0341838351824</v>
      </c>
      <c r="AV132" s="111">
        <f t="shared" si="63"/>
        <v>234.24627669452198</v>
      </c>
      <c r="AW132" s="111">
        <f t="shared" si="44"/>
        <v>4932.2604410751192</v>
      </c>
      <c r="AX132" s="111">
        <f t="shared" si="45"/>
        <v>98.659277944159314</v>
      </c>
      <c r="AY132" s="112">
        <f t="shared" si="64"/>
        <v>714.76510964912291</v>
      </c>
      <c r="AZ132" s="113">
        <f t="shared" si="65"/>
        <v>939.4338547158759</v>
      </c>
      <c r="BA132" s="114">
        <f t="shared" si="66"/>
        <v>234.24627669452198</v>
      </c>
      <c r="BB132" s="690">
        <f>SUM('Defect (Total)'!BB132*$BL$3,Planned!CE132,Reconductor!CE132,CTGS!CE132,'Substation 2025$'!CE132*$BL$1,Comms!CA132*$BL$2)</f>
        <v>0</v>
      </c>
      <c r="BC132" s="690">
        <f>SUM('Defect (Total)'!BC132*$BL$3,Planned!CF132,Reconductor!CF132,CTGS!CF132,'Substation 2025$'!CF132*$BL$1,Comms!CB132*$BL$2)</f>
        <v>0</v>
      </c>
      <c r="BD132" s="115">
        <f>SUM('Defect (Total)'!BD132*$BL$3,Planned!CG132,Reconductor!CG132,CTGS!CG132,'Substation 2025$'!CG132*$BL$1,Comms!CC132*$BL$2)</f>
        <v>0</v>
      </c>
      <c r="BE132" s="115">
        <f>SUM('Defect (Total)'!BE132*$BL$3,Planned!CH132,Reconductor!CH132,CTGS!CH132,'Substation 2025$'!CH132*$BL$1,Comms!CD132*$BL$2)</f>
        <v>0</v>
      </c>
      <c r="BF132" s="115">
        <f>SUM('Defect (Total)'!BF132*$BL$3,Planned!CI132,Reconductor!CI132,CTGS!CI132,'Substation 2025$'!CI132*$BL$1,Comms!CE132*$BL$2)</f>
        <v>26.085065208566085</v>
      </c>
      <c r="BG132" s="115">
        <f>SUM('Defect (Total)'!BG132*$BL$3,Planned!CJ132,Reconductor!CJ132,CTGS!CJ132,'Substation 2025$'!CJ132*$BL$1,Comms!CF132*$BL$2)</f>
        <v>45.845069305522095</v>
      </c>
      <c r="BH132" s="115">
        <f>SUM('Defect (Total)'!BH132*$BL$3,Planned!CK132,Reconductor!CK132,CTGS!CK132,'Substation 2025$'!CK132*$BL$1,Comms!CG132*$BL$2)</f>
        <v>169.8762281855621</v>
      </c>
      <c r="BI132" s="287">
        <f>SUM('Defect (Total)'!BI132*$BL$3,Planned!CL132,Reconductor!CL132,CTGS!CL132,'Substation 2025$'!CL132*$BL$1,Comms!CH132*$BL$2)</f>
        <v>412.92522796535678</v>
      </c>
      <c r="BJ132" s="116">
        <f t="shared" si="54"/>
        <v>30000.000000000004</v>
      </c>
      <c r="BK132" s="1013">
        <f>SUM('Defect (Total)'!BK132*$BL$3,Planned!CQ132,Reconductor!CQ132,CTGS!CQ132,'Substation 2025$'!CQ132*$BL$1,Comms!CM132*$BL$2)</f>
        <v>0</v>
      </c>
      <c r="BL132" s="1013">
        <f>SUM('Defect (Total)'!BL132*$BL$3,Planned!CR132,Reconductor!CR132,CTGS!CR132,'Substation 2025$'!CR132*$BL$1,Comms!CN132*$BL$2)</f>
        <v>0</v>
      </c>
      <c r="BM132" s="638">
        <f>SUM('Defect (Total)'!BM132*$BL$3,Planned!CS132,Reconductor!CS132,CTGS!CS132,'Substation 2025$'!CS132*$BL$1,Comms!CO132*$BL$2)</f>
        <v>0</v>
      </c>
      <c r="BN132" s="467">
        <f>SUM('Defect (Total)'!BN132*$BL$3,Planned!CT132,Reconductor!CT132,CTGS!CT132,'Substation 2025$'!CT132*$BL$1,Comms!CP132*$BL$2)</f>
        <v>0</v>
      </c>
      <c r="BO132" s="117">
        <f>SUM('Defect (Total)'!BO132*$BL$3,Planned!CU132,Reconductor!CU132,CTGS!CU132,'Substation 2025$'!CU132*$BL$1,Comms!CQ132*$BL$2)</f>
        <v>782551.95625698252</v>
      </c>
      <c r="BP132" s="117">
        <f>SUM('Defect (Total)'!BP132*$BL$3,Planned!CV132,Reconductor!CV132,CTGS!CV132,'Substation 2025$'!CV132*$BL$1,Comms!CR132*$BL$2)</f>
        <v>1375352.0791656629</v>
      </c>
      <c r="BQ132" s="117">
        <f>SUM('Defect (Total)'!BQ132*$BL$3,Planned!CW132,Reconductor!CW132,CTGS!CW132,'Substation 2025$'!CW132*$BL$1,Comms!CS132*$BL$2)</f>
        <v>5096286.8455668632</v>
      </c>
      <c r="BR132" s="118">
        <f>SUM('Defect (Total)'!BR132*$BL$3,Planned!CX132,Reconductor!CX132,CTGS!CX132,'Substation 2025$'!CX132*$BL$1,Comms!CT132*$BL$2)</f>
        <v>12387756.838960703</v>
      </c>
      <c r="BS132" s="836"/>
      <c r="BT132" s="840"/>
      <c r="BU132" s="832"/>
      <c r="BV132" t="s">
        <v>688</v>
      </c>
      <c r="CI132" s="467">
        <f>VLOOKUP($A132,'Distribution Summary'!$A$136:$CG$146,CI$1,0)*BN132</f>
        <v>0</v>
      </c>
      <c r="CJ132" s="117">
        <f>VLOOKUP($A132,'Distribution Summary'!$A$136:$CG$146,CJ$1,0)*BO132</f>
        <v>870911.96859644388</v>
      </c>
      <c r="CK132" s="117">
        <f>VLOOKUP($A132,'Distribution Summary'!$A$136:$CG$146,CK$1,0)*BP132</f>
        <v>1530646.7221788238</v>
      </c>
      <c r="CL132" s="117">
        <f>VLOOKUP($A132,'Distribution Summary'!$A$136:$CG$146,CL$1,0)*BQ132</f>
        <v>5671722.080197908</v>
      </c>
      <c r="CM132" s="118">
        <f>VLOOKUP($A132,'Distribution Summary'!$A$136:$CG$146,CM$1,0)*BR132</f>
        <v>13786491.24681305</v>
      </c>
    </row>
    <row r="133" spans="1:93" ht="15.75" thickBot="1" x14ac:dyDescent="0.3">
      <c r="A133" s="19"/>
      <c r="B133" s="19"/>
      <c r="C133" s="160" t="s">
        <v>407</v>
      </c>
      <c r="D133" s="336">
        <f>SUM(D7:D132)</f>
        <v>95141198</v>
      </c>
      <c r="E133" s="337">
        <f t="shared" ref="E133:L133" si="69">SUM(E7:E132)</f>
        <v>147041615</v>
      </c>
      <c r="F133" s="337">
        <f t="shared" si="69"/>
        <v>141620382</v>
      </c>
      <c r="G133" s="337">
        <f t="shared" si="69"/>
        <v>137594919.00000003</v>
      </c>
      <c r="H133" s="337">
        <f t="shared" si="69"/>
        <v>165761807</v>
      </c>
      <c r="I133" s="337">
        <f t="shared" si="69"/>
        <v>217731522.16976932</v>
      </c>
      <c r="J133" s="337">
        <f t="shared" si="69"/>
        <v>332104725.71429402</v>
      </c>
      <c r="K133" s="337">
        <f t="shared" si="69"/>
        <v>347205605.19673896</v>
      </c>
      <c r="L133" s="337">
        <f t="shared" si="69"/>
        <v>336149388.47895175</v>
      </c>
      <c r="M133" s="337">
        <f t="shared" ref="M133:N133" si="70">SUM(M7:M132)</f>
        <v>375827657.08846831</v>
      </c>
      <c r="N133" s="337">
        <f t="shared" si="70"/>
        <v>425937968.06485796</v>
      </c>
      <c r="O133" s="572">
        <f>SUM(O7:O132)</f>
        <v>128008326.06598409</v>
      </c>
      <c r="P133" s="573">
        <f t="shared" ref="P133:W133" si="71">SUM(P7:P132)</f>
        <v>194893503.46352366</v>
      </c>
      <c r="Q133" s="573">
        <f t="shared" si="71"/>
        <v>185806755.18036827</v>
      </c>
      <c r="R133" s="573">
        <f t="shared" si="71"/>
        <v>177100724.93366203</v>
      </c>
      <c r="S133" s="573">
        <f t="shared" si="71"/>
        <v>209012178.48072103</v>
      </c>
      <c r="T133" s="573">
        <f t="shared" si="71"/>
        <v>270237107.3911289</v>
      </c>
      <c r="U133" s="573">
        <f t="shared" si="71"/>
        <v>413632441.92294824</v>
      </c>
      <c r="V133" s="573">
        <f t="shared" si="71"/>
        <v>416424094.38962471</v>
      </c>
      <c r="W133" s="573">
        <f t="shared" si="71"/>
        <v>379824348.72568721</v>
      </c>
      <c r="X133" s="573">
        <f t="shared" ref="X133:Y133" si="72">SUM(X7:X132)</f>
        <v>399678028.25832504</v>
      </c>
      <c r="Y133" s="573">
        <f t="shared" si="72"/>
        <v>439142618.19593084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732">
        <f t="shared" ref="BB133:BI133" si="73">SUM(BB7:BB132)</f>
        <v>64976.702534263684</v>
      </c>
      <c r="BC133" s="1116">
        <f t="shared" si="73"/>
        <v>63305.17476251976</v>
      </c>
      <c r="BD133" s="733">
        <f t="shared" si="73"/>
        <v>63306.17476251976</v>
      </c>
      <c r="BE133" s="733">
        <f t="shared" si="73"/>
        <v>71486.101403004257</v>
      </c>
      <c r="BF133" s="733">
        <f t="shared" si="73"/>
        <v>72013.618949925818</v>
      </c>
      <c r="BG133" s="733">
        <f t="shared" si="73"/>
        <v>72367.000608498085</v>
      </c>
      <c r="BH133" s="733">
        <f t="shared" si="73"/>
        <v>72825.653421853436</v>
      </c>
      <c r="BI133" s="734">
        <f t="shared" si="73"/>
        <v>73235.513248870906</v>
      </c>
      <c r="BJ133" s="19"/>
      <c r="BK133" s="1055">
        <f t="shared" ref="BK133:BR133" si="74">SUM(BK7:BK132)</f>
        <v>315651112.90634978</v>
      </c>
      <c r="BL133" s="1056">
        <f t="shared" si="74"/>
        <v>307776182.08234102</v>
      </c>
      <c r="BM133" s="765">
        <f t="shared" si="74"/>
        <v>308076182.08234102</v>
      </c>
      <c r="BN133" s="206">
        <f t="shared" si="74"/>
        <v>309328002.02926087</v>
      </c>
      <c r="BO133" s="163">
        <f>SUM(BO7:BO132)</f>
        <v>313575625.08113521</v>
      </c>
      <c r="BP133" s="163">
        <f t="shared" si="74"/>
        <v>316278865.85301459</v>
      </c>
      <c r="BQ133" s="163">
        <f t="shared" si="74"/>
        <v>322410519.34172237</v>
      </c>
      <c r="BR133" s="164">
        <f t="shared" si="74"/>
        <v>330757444.46667522</v>
      </c>
      <c r="BS133" s="873">
        <f>SUM(BN133:BR133)</f>
        <v>1592350456.7718084</v>
      </c>
      <c r="BT133" s="395"/>
      <c r="CI133" s="206">
        <f t="shared" ref="CI133:CM133" si="75">SUM(CI7:CI132)</f>
        <v>351611524.71285242</v>
      </c>
      <c r="CJ133" s="163">
        <f>SUM(CJ7:CJ132)</f>
        <v>358279243.20532387</v>
      </c>
      <c r="CK133" s="163">
        <f t="shared" si="75"/>
        <v>363076618.228118</v>
      </c>
      <c r="CL133" s="163">
        <f t="shared" si="75"/>
        <v>371993401.27163374</v>
      </c>
      <c r="CM133" s="164">
        <f t="shared" si="75"/>
        <v>383483807.08577764</v>
      </c>
    </row>
    <row r="134" spans="1:93" ht="15.75" thickBo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 t="s">
        <v>629</v>
      </c>
      <c r="AX134" s="282"/>
      <c r="AY134" s="19"/>
      <c r="AZ134" s="19"/>
      <c r="BA134" s="19"/>
      <c r="BB134" s="685"/>
      <c r="BC134" s="19"/>
      <c r="BD134" s="19"/>
      <c r="BE134" s="19"/>
      <c r="BF134" s="19"/>
      <c r="BG134" s="19"/>
      <c r="BH134" s="19"/>
      <c r="BI134" s="282"/>
      <c r="BJ134" s="19"/>
      <c r="BK134" s="19"/>
      <c r="BL134" s="19"/>
      <c r="BM134" s="19"/>
      <c r="BN134" s="20">
        <v>399008018.11703491</v>
      </c>
      <c r="BO134" s="20">
        <v>399008018.11703491</v>
      </c>
      <c r="BP134" s="20">
        <v>399008018.11703491</v>
      </c>
      <c r="BQ134" s="20">
        <v>399008018.11703491</v>
      </c>
      <c r="BR134" s="20">
        <v>399008018.11703491</v>
      </c>
      <c r="BS134" s="395"/>
      <c r="BT134" s="395"/>
    </row>
    <row r="135" spans="1:93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65">
        <v>0</v>
      </c>
      <c r="AA135" s="165">
        <v>3.7499999999999999E-2</v>
      </c>
      <c r="AB135" s="165">
        <v>0</v>
      </c>
      <c r="AC135" s="165">
        <v>0</v>
      </c>
      <c r="AD135" s="165">
        <v>0</v>
      </c>
      <c r="AE135" s="165">
        <v>0</v>
      </c>
      <c r="AF135" s="165">
        <v>0</v>
      </c>
      <c r="AG135" s="165"/>
      <c r="AH135" s="165"/>
      <c r="AI135" s="165"/>
      <c r="AJ135" s="165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282" t="s">
        <v>516</v>
      </c>
      <c r="AX135" s="282"/>
      <c r="AY135" s="19"/>
      <c r="AZ135" s="19"/>
      <c r="BA135" s="19"/>
      <c r="BB135" s="697"/>
      <c r="BC135" s="165"/>
      <c r="BD135" s="165"/>
      <c r="BE135" s="165"/>
      <c r="BF135" s="165"/>
      <c r="BG135" s="165"/>
      <c r="BH135" s="165"/>
      <c r="BI135" s="294"/>
      <c r="BJ135" s="26" t="s">
        <v>631</v>
      </c>
      <c r="BK135" s="19"/>
      <c r="BL135" s="19"/>
      <c r="BM135" s="19"/>
      <c r="BN135" s="19"/>
      <c r="BO135" s="19"/>
      <c r="BP135" s="19"/>
      <c r="BQ135" s="19"/>
      <c r="BR135" s="19"/>
      <c r="BS135" s="835">
        <f t="shared" ref="BS135:BS145" si="76">SUMIF($A$7:$A$132,$A136,BS$7:BS$132)</f>
        <v>0</v>
      </c>
      <c r="BT135" s="839">
        <f t="shared" ref="BT135:BT145" si="77">SUMIF($A$7:$A$132,$A136,BT$7:BT$132)</f>
        <v>0</v>
      </c>
      <c r="BU135" s="834">
        <f t="shared" ref="BU135:BU145" si="78">SUMIF($A$7:$A$132,$A136,BU$7:BU$132)</f>
        <v>0</v>
      </c>
      <c r="BW135" t="s">
        <v>824</v>
      </c>
      <c r="CC135" t="s">
        <v>825</v>
      </c>
    </row>
    <row r="136" spans="1:93" x14ac:dyDescent="0.25">
      <c r="A136" s="63" t="s">
        <v>296</v>
      </c>
      <c r="B136" s="166"/>
      <c r="C136" s="64" t="s">
        <v>409</v>
      </c>
      <c r="D136" s="167">
        <f>SUMIF($A$7:$A$132,$A136,D$7:D$132)</f>
        <v>6688577</v>
      </c>
      <c r="E136" s="168">
        <f t="shared" ref="E136:AF146" si="79">SUMIF($A$7:$A$132,$A136,E$7:E$132)</f>
        <v>3664797</v>
      </c>
      <c r="F136" s="168">
        <f t="shared" si="79"/>
        <v>4782199</v>
      </c>
      <c r="G136" s="168">
        <f t="shared" si="79"/>
        <v>3687764</v>
      </c>
      <c r="H136" s="168">
        <f t="shared" si="79"/>
        <v>5309061</v>
      </c>
      <c r="I136" s="168">
        <f t="shared" si="79"/>
        <v>3689144.5943493401</v>
      </c>
      <c r="J136" s="168">
        <f t="shared" si="79"/>
        <v>7934044.6888067247</v>
      </c>
      <c r="K136" s="168">
        <f t="shared" si="79"/>
        <v>7371639.3099999987</v>
      </c>
      <c r="L136" s="168">
        <f t="shared" si="79"/>
        <v>9045812.0399999991</v>
      </c>
      <c r="M136" s="168">
        <f t="shared" ref="M136:N146" si="80">SUMIF($A$7:$A$132,$A136,M$7:M$132)</f>
        <v>8954422.3600000031</v>
      </c>
      <c r="N136" s="168">
        <f t="shared" si="80"/>
        <v>9464302.1000000238</v>
      </c>
      <c r="O136" s="578">
        <f>SUMIF($A$7:$A$132,$A136,O$7:O$132)</f>
        <v>8999188.1911497675</v>
      </c>
      <c r="P136" s="575">
        <f t="shared" si="79"/>
        <v>4857435.2696861438</v>
      </c>
      <c r="Q136" s="575">
        <f t="shared" si="79"/>
        <v>6274272.5748106102</v>
      </c>
      <c r="R136" s="575">
        <f t="shared" si="79"/>
        <v>4746582.8137466423</v>
      </c>
      <c r="S136" s="575">
        <f t="shared" si="79"/>
        <v>6694294.8160370607</v>
      </c>
      <c r="T136" s="575">
        <f t="shared" si="79"/>
        <v>4578775.5212920001</v>
      </c>
      <c r="U136" s="575">
        <f t="shared" si="79"/>
        <v>9881757.2435876802</v>
      </c>
      <c r="V136" s="575">
        <f t="shared" si="79"/>
        <v>8841240.4001781363</v>
      </c>
      <c r="W136" s="575">
        <f t="shared" si="79"/>
        <v>10221109.377395511</v>
      </c>
      <c r="X136" s="575">
        <f t="shared" ref="X136:Y143" si="81">SUMIF($A$7:$A$132,$A136,X$7:X$132)</f>
        <v>9522678.2955853678</v>
      </c>
      <c r="Y136" s="575">
        <f t="shared" si="81"/>
        <v>9724556.0155375712</v>
      </c>
      <c r="Z136" s="169">
        <f t="shared" si="79"/>
        <v>2373</v>
      </c>
      <c r="AA136" s="170">
        <f t="shared" si="79"/>
        <v>1176</v>
      </c>
      <c r="AB136" s="170">
        <f t="shared" si="79"/>
        <v>1487</v>
      </c>
      <c r="AC136" s="170">
        <f t="shared" si="79"/>
        <v>1285</v>
      </c>
      <c r="AD136" s="170">
        <f t="shared" si="79"/>
        <v>1563</v>
      </c>
      <c r="AE136" s="170">
        <f t="shared" si="79"/>
        <v>1101</v>
      </c>
      <c r="AF136" s="170">
        <f t="shared" si="79"/>
        <v>5017</v>
      </c>
      <c r="AG136" s="170">
        <f t="shared" ref="AG136:AJ146" si="82">SUMIF($A$7:$A$132,$A136,AG$7:AG$132)</f>
        <v>4542</v>
      </c>
      <c r="AH136" s="170">
        <f t="shared" si="82"/>
        <v>5172</v>
      </c>
      <c r="AI136" s="170">
        <f t="shared" si="82"/>
        <v>4260</v>
      </c>
      <c r="AJ136" s="170">
        <f t="shared" si="82"/>
        <v>6395</v>
      </c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388">
        <f>BN136/BE136</f>
        <v>1800</v>
      </c>
      <c r="AX136" s="388"/>
      <c r="AY136" s="19"/>
      <c r="AZ136" s="19"/>
      <c r="BA136" s="19"/>
      <c r="BB136" s="698">
        <f t="shared" ref="BB136:BI146" si="83">SUMIF($A$7:$A$132,$A136,BB$7:BB$132)</f>
        <v>4658</v>
      </c>
      <c r="BC136" s="1117">
        <f t="shared" si="83"/>
        <v>4658</v>
      </c>
      <c r="BD136" s="632">
        <f t="shared" si="83"/>
        <v>4658</v>
      </c>
      <c r="BE136" s="75">
        <f t="shared" si="83"/>
        <v>4658</v>
      </c>
      <c r="BF136" s="76">
        <f t="shared" si="83"/>
        <v>4658</v>
      </c>
      <c r="BG136" s="76">
        <f t="shared" si="83"/>
        <v>4658</v>
      </c>
      <c r="BH136" s="76">
        <f t="shared" si="83"/>
        <v>4658</v>
      </c>
      <c r="BI136" s="633">
        <f t="shared" si="83"/>
        <v>4658</v>
      </c>
      <c r="BJ136" s="747">
        <f>IFERROR(SUM(BN136:BR136)/SUM(BE136:BI136),0)</f>
        <v>1800</v>
      </c>
      <c r="BK136" s="973">
        <f>SUMIF($A$7:$A$132,$A136,BK$7:BK$132)</f>
        <v>8384400</v>
      </c>
      <c r="BL136" s="974">
        <f t="shared" ref="BL136:BR146" si="84">SUMIF($A$7:$A$132,$A136,BL$7:BL$132)</f>
        <v>8384400</v>
      </c>
      <c r="BM136" s="523">
        <f t="shared" si="84"/>
        <v>8384400</v>
      </c>
      <c r="BN136" s="415">
        <f t="shared" si="84"/>
        <v>8384400</v>
      </c>
      <c r="BO136" s="79">
        <f t="shared" si="84"/>
        <v>8384400</v>
      </c>
      <c r="BP136" s="79">
        <f t="shared" si="84"/>
        <v>8384400</v>
      </c>
      <c r="BQ136" s="79">
        <f t="shared" si="84"/>
        <v>8384400</v>
      </c>
      <c r="BR136" s="80">
        <f t="shared" si="84"/>
        <v>8384400</v>
      </c>
      <c r="BS136" s="836">
        <f t="shared" si="76"/>
        <v>155.27738332355264</v>
      </c>
      <c r="BT136" s="840">
        <f t="shared" si="77"/>
        <v>132800.41142787965</v>
      </c>
      <c r="BU136" s="832">
        <f t="shared" si="78"/>
        <v>664002.05713939818</v>
      </c>
      <c r="BW136" s="415">
        <f>'Business Case Split 2025$'!AD143</f>
        <v>9581829.561527079</v>
      </c>
      <c r="BX136" s="79">
        <f>'Business Case Split 2025$'!AE143</f>
        <v>9627125.8012696691</v>
      </c>
      <c r="BY136" s="79">
        <f>'Business Case Split 2025$'!AF143</f>
        <v>9672317.5764718987</v>
      </c>
      <c r="BZ136" s="79">
        <f>'Business Case Split 2025$'!AG143</f>
        <v>9726280.1703267973</v>
      </c>
      <c r="CA136" s="80">
        <f>'Business Case Split 2025$'!AH143</f>
        <v>9788730.5031053461</v>
      </c>
      <c r="CC136" s="902">
        <f>IFERROR(BW136/BN136,0)</f>
        <v>1.1428163686760029</v>
      </c>
      <c r="CD136" s="915">
        <f t="shared" ref="CD136:CD146" si="85">IFERROR(BX136/BO136,0)</f>
        <v>1.1482188112768557</v>
      </c>
      <c r="CE136" s="915">
        <f t="shared" ref="CE136:CE146" si="86">IFERROR(BY136/BP136,0)</f>
        <v>1.1536087944840296</v>
      </c>
      <c r="CF136" s="915">
        <f t="shared" ref="CF136:CF146" si="87">IFERROR(BZ136/BQ136,0)</f>
        <v>1.1600448655034108</v>
      </c>
      <c r="CG136" s="916">
        <f t="shared" ref="CG136:CG146" si="88">IFERROR(CA136/BR136,0)</f>
        <v>1.1674932616651574</v>
      </c>
      <c r="CI136" s="415">
        <f t="shared" ref="CI136:CM146" si="89">SUMIF($A$7:$A$132,$A136,CI$7:CI$132)</f>
        <v>9581829.561527079</v>
      </c>
      <c r="CJ136" s="79">
        <f t="shared" si="89"/>
        <v>9627125.8012696691</v>
      </c>
      <c r="CK136" s="79">
        <f t="shared" si="89"/>
        <v>9672317.5764718987</v>
      </c>
      <c r="CL136" s="79">
        <f t="shared" si="89"/>
        <v>9726280.1703267973</v>
      </c>
      <c r="CM136" s="80">
        <f t="shared" si="89"/>
        <v>9788730.5031053461</v>
      </c>
      <c r="CN136" s="923">
        <f>SUM(CI136:CM136)</f>
        <v>48396283.61270079</v>
      </c>
      <c r="CO136" s="395">
        <f>CN136-'Business Case Split 2025$'!AI143</f>
        <v>0</v>
      </c>
    </row>
    <row r="137" spans="1:93" x14ac:dyDescent="0.25">
      <c r="A137" s="81" t="s">
        <v>27</v>
      </c>
      <c r="B137" s="171"/>
      <c r="C137" s="82" t="s">
        <v>410</v>
      </c>
      <c r="D137" s="172">
        <f t="shared" ref="D137:D146" si="90">SUMIF($A$7:$A$132,$A137,D$7:D$132)</f>
        <v>21623480</v>
      </c>
      <c r="E137" s="173">
        <f t="shared" si="79"/>
        <v>30377700</v>
      </c>
      <c r="F137" s="173">
        <f t="shared" si="79"/>
        <v>32020931</v>
      </c>
      <c r="G137" s="173">
        <f t="shared" si="79"/>
        <v>37358676.15651504</v>
      </c>
      <c r="H137" s="173">
        <f t="shared" si="79"/>
        <v>41735759.607460216</v>
      </c>
      <c r="I137" s="173">
        <f t="shared" si="79"/>
        <v>65826973.542401388</v>
      </c>
      <c r="J137" s="173">
        <f t="shared" si="79"/>
        <v>91942765.034401402</v>
      </c>
      <c r="K137" s="173">
        <f t="shared" si="79"/>
        <v>126919850.92777322</v>
      </c>
      <c r="L137" s="173">
        <f t="shared" si="79"/>
        <v>85471523.67120108</v>
      </c>
      <c r="M137" s="173">
        <f t="shared" si="80"/>
        <v>92632153.380781651</v>
      </c>
      <c r="N137" s="173">
        <f t="shared" si="80"/>
        <v>125387412.28100635</v>
      </c>
      <c r="O137" s="580">
        <f t="shared" si="79"/>
        <v>29093447.809237029</v>
      </c>
      <c r="P137" s="576">
        <f t="shared" si="79"/>
        <v>40263542.944382675</v>
      </c>
      <c r="Q137" s="576">
        <f t="shared" si="79"/>
        <v>42011645.51981274</v>
      </c>
      <c r="R137" s="576">
        <f t="shared" si="79"/>
        <v>48084977.831781194</v>
      </c>
      <c r="S137" s="576">
        <f t="shared" si="79"/>
        <v>52625403.848927297</v>
      </c>
      <c r="T137" s="576">
        <f t="shared" si="79"/>
        <v>81701035.941596955</v>
      </c>
      <c r="U137" s="576">
        <f t="shared" si="79"/>
        <v>114513608.12927592</v>
      </c>
      <c r="V137" s="576">
        <f t="shared" si="79"/>
        <v>152222438.78440866</v>
      </c>
      <c r="W137" s="576">
        <f t="shared" si="79"/>
        <v>96576602.325245261</v>
      </c>
      <c r="X137" s="576">
        <f t="shared" si="81"/>
        <v>98510675.620231032</v>
      </c>
      <c r="Y137" s="576">
        <f t="shared" si="81"/>
        <v>126702533.95064051</v>
      </c>
      <c r="Z137" s="174">
        <f t="shared" si="79"/>
        <v>3384</v>
      </c>
      <c r="AA137" s="175">
        <f t="shared" si="79"/>
        <v>4342</v>
      </c>
      <c r="AB137" s="175">
        <f t="shared" si="79"/>
        <v>4059</v>
      </c>
      <c r="AC137" s="175">
        <f t="shared" si="79"/>
        <v>4363</v>
      </c>
      <c r="AD137" s="175">
        <f t="shared" si="79"/>
        <v>5837</v>
      </c>
      <c r="AE137" s="175">
        <f t="shared" si="79"/>
        <v>8919</v>
      </c>
      <c r="AF137" s="175">
        <f t="shared" si="79"/>
        <v>14309</v>
      </c>
      <c r="AG137" s="175">
        <f t="shared" si="82"/>
        <v>20019</v>
      </c>
      <c r="AH137" s="175">
        <f t="shared" si="82"/>
        <v>14583</v>
      </c>
      <c r="AI137" s="175">
        <f t="shared" si="82"/>
        <v>13155</v>
      </c>
      <c r="AJ137" s="175">
        <f t="shared" si="82"/>
        <v>13845</v>
      </c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388">
        <f t="shared" ref="AW137:AW146" si="91">BN137/BE137</f>
        <v>6224.9599793022235</v>
      </c>
      <c r="AX137" s="388"/>
      <c r="AY137" s="19"/>
      <c r="AZ137" s="19"/>
      <c r="BA137" s="19"/>
      <c r="BB137" s="699">
        <f t="shared" si="83"/>
        <v>14449.733333333332</v>
      </c>
      <c r="BC137" s="1118">
        <f t="shared" si="83"/>
        <v>13980.067439449182</v>
      </c>
      <c r="BD137" s="634">
        <f t="shared" si="83"/>
        <v>13980.067439449182</v>
      </c>
      <c r="BE137" s="93">
        <f t="shared" si="83"/>
        <v>14501.628115367692</v>
      </c>
      <c r="BF137" s="94">
        <f t="shared" si="83"/>
        <v>14610.376550596677</v>
      </c>
      <c r="BG137" s="94">
        <f t="shared" si="83"/>
        <v>14682.875507415998</v>
      </c>
      <c r="BH137" s="94">
        <f t="shared" si="83"/>
        <v>14755.374464235318</v>
      </c>
      <c r="BI137" s="635">
        <f t="shared" si="83"/>
        <v>14791.623942644976</v>
      </c>
      <c r="BJ137" s="746">
        <f t="shared" ref="BJ137:BJ142" si="92">IFERROR(SUM(BN137:BR137)/SUM(BE137:BI137),0)</f>
        <v>6236.1822982950935</v>
      </c>
      <c r="BK137" s="991">
        <f t="shared" ref="BK137:BK146" si="93">SUMIF($A$7:$A$132,$A137,BK$7:BK$132)</f>
        <v>89829083.905473039</v>
      </c>
      <c r="BL137" s="992">
        <f t="shared" si="84"/>
        <v>86510475.744373277</v>
      </c>
      <c r="BM137" s="524">
        <f t="shared" si="84"/>
        <v>86510475.744373277</v>
      </c>
      <c r="BN137" s="416">
        <f t="shared" si="84"/>
        <v>90272054.652887806</v>
      </c>
      <c r="BO137" s="97">
        <f t="shared" si="84"/>
        <v>91056365.73916921</v>
      </c>
      <c r="BP137" s="97">
        <f t="shared" si="84"/>
        <v>91579239.796690121</v>
      </c>
      <c r="BQ137" s="97">
        <f t="shared" si="84"/>
        <v>92102113.854211047</v>
      </c>
      <c r="BR137" s="98">
        <f t="shared" si="84"/>
        <v>92363550.882971525</v>
      </c>
      <c r="BS137" s="836">
        <f t="shared" si="76"/>
        <v>56.664821338805851</v>
      </c>
      <c r="BT137" s="840">
        <f t="shared" si="77"/>
        <v>155479.65161125478</v>
      </c>
      <c r="BU137" s="832">
        <f t="shared" si="78"/>
        <v>777398.25805627392</v>
      </c>
      <c r="BW137" s="416">
        <f>'Business Case Split 2025$'!AD144</f>
        <v>103092030.08332522</v>
      </c>
      <c r="BX137" s="97">
        <f>'Business Case Split 2025$'!AE144</f>
        <v>104299505.22480039</v>
      </c>
      <c r="BY137" s="97">
        <f>'Business Case Split 2025$'!AF144</f>
        <v>105253523.54312852</v>
      </c>
      <c r="BZ137" s="97">
        <f>'Business Case Split 2025$'!AG144</f>
        <v>106296060.35591088</v>
      </c>
      <c r="CA137" s="98">
        <f>'Business Case Split 2025$'!AH144</f>
        <v>107167801.48866029</v>
      </c>
      <c r="CC137" s="917">
        <f t="shared" ref="CC137:CC146" si="94">IFERROR(BW137/BN137,0)</f>
        <v>1.1420148846698186</v>
      </c>
      <c r="CD137" s="918">
        <f t="shared" si="85"/>
        <v>1.145438919927533</v>
      </c>
      <c r="CE137" s="918">
        <f t="shared" si="86"/>
        <v>1.1493164146895727</v>
      </c>
      <c r="CF137" s="918">
        <f t="shared" si="87"/>
        <v>1.1541109743058395</v>
      </c>
      <c r="CG137" s="919">
        <f t="shared" si="88"/>
        <v>1.1602823891477101</v>
      </c>
      <c r="CI137" s="416">
        <f t="shared" si="89"/>
        <v>103092030.08332525</v>
      </c>
      <c r="CJ137" s="97">
        <f t="shared" si="89"/>
        <v>104299505.22480039</v>
      </c>
      <c r="CK137" s="97">
        <f t="shared" si="89"/>
        <v>105253523.54312854</v>
      </c>
      <c r="CL137" s="97">
        <f t="shared" si="89"/>
        <v>106296060.35591087</v>
      </c>
      <c r="CM137" s="98">
        <f t="shared" si="89"/>
        <v>107167801.48866026</v>
      </c>
      <c r="CN137" s="924">
        <f t="shared" ref="CN137:CN146" si="95">SUM(CI137:CM137)</f>
        <v>526108920.69582528</v>
      </c>
      <c r="CO137" s="395">
        <f>CN137-'Business Case Split 2025$'!AI144</f>
        <v>0</v>
      </c>
    </row>
    <row r="138" spans="1:93" x14ac:dyDescent="0.25">
      <c r="A138" s="81" t="s">
        <v>68</v>
      </c>
      <c r="B138" s="171"/>
      <c r="C138" s="82" t="s">
        <v>411</v>
      </c>
      <c r="D138" s="172">
        <f t="shared" si="90"/>
        <v>12185579</v>
      </c>
      <c r="E138" s="173">
        <f t="shared" si="79"/>
        <v>22225236</v>
      </c>
      <c r="F138" s="173">
        <f t="shared" si="79"/>
        <v>22283052</v>
      </c>
      <c r="G138" s="173">
        <f t="shared" si="79"/>
        <v>17805502.313259616</v>
      </c>
      <c r="H138" s="173">
        <f t="shared" si="79"/>
        <v>28666166.015586212</v>
      </c>
      <c r="I138" s="173">
        <f t="shared" si="79"/>
        <v>30099310.491715267</v>
      </c>
      <c r="J138" s="173">
        <f t="shared" si="79"/>
        <v>61118473.888565466</v>
      </c>
      <c r="K138" s="173">
        <f t="shared" si="79"/>
        <v>59325035.24911993</v>
      </c>
      <c r="L138" s="173">
        <f t="shared" si="79"/>
        <v>57613033.720209531</v>
      </c>
      <c r="M138" s="173">
        <f t="shared" si="80"/>
        <v>64511952.861215807</v>
      </c>
      <c r="N138" s="173">
        <f t="shared" si="80"/>
        <v>71339115.371101528</v>
      </c>
      <c r="O138" s="580">
        <f t="shared" si="79"/>
        <v>16395164.268740959</v>
      </c>
      <c r="P138" s="576">
        <f t="shared" si="79"/>
        <v>29458015.061543159</v>
      </c>
      <c r="Q138" s="576">
        <f t="shared" si="79"/>
        <v>29235492.301068757</v>
      </c>
      <c r="R138" s="576">
        <f t="shared" si="79"/>
        <v>22917760.266178682</v>
      </c>
      <c r="S138" s="576">
        <f t="shared" si="79"/>
        <v>36145707.603245929</v>
      </c>
      <c r="T138" s="576">
        <f t="shared" si="79"/>
        <v>37357707.881206125</v>
      </c>
      <c r="U138" s="576">
        <f t="shared" si="79"/>
        <v>76122324.205888897</v>
      </c>
      <c r="V138" s="576">
        <f t="shared" si="79"/>
        <v>71152002.46911037</v>
      </c>
      <c r="W138" s="576">
        <f t="shared" si="79"/>
        <v>65098535.832260959</v>
      </c>
      <c r="X138" s="576">
        <f t="shared" si="81"/>
        <v>68605941.133798137</v>
      </c>
      <c r="Y138" s="576">
        <f t="shared" si="81"/>
        <v>71877440.151107609</v>
      </c>
      <c r="Z138" s="174">
        <f t="shared" si="79"/>
        <v>9944</v>
      </c>
      <c r="AA138" s="175">
        <f t="shared" si="79"/>
        <v>14063</v>
      </c>
      <c r="AB138" s="175">
        <f t="shared" si="79"/>
        <v>13159</v>
      </c>
      <c r="AC138" s="175">
        <f t="shared" si="79"/>
        <v>11503</v>
      </c>
      <c r="AD138" s="175">
        <f t="shared" si="79"/>
        <v>17518</v>
      </c>
      <c r="AE138" s="175">
        <f t="shared" si="79"/>
        <v>15611</v>
      </c>
      <c r="AF138" s="175">
        <f t="shared" si="79"/>
        <v>25856</v>
      </c>
      <c r="AG138" s="175">
        <f t="shared" si="82"/>
        <v>24084</v>
      </c>
      <c r="AH138" s="175">
        <f t="shared" si="82"/>
        <v>24018</v>
      </c>
      <c r="AI138" s="175">
        <f t="shared" si="82"/>
        <v>21264</v>
      </c>
      <c r="AJ138" s="175">
        <f t="shared" si="82"/>
        <v>20385</v>
      </c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388">
        <f t="shared" si="91"/>
        <v>2818.6789216962998</v>
      </c>
      <c r="AX138" s="388"/>
      <c r="AY138" s="19"/>
      <c r="AZ138" s="19"/>
      <c r="BA138" s="19"/>
      <c r="BB138" s="699">
        <f t="shared" si="83"/>
        <v>21842.399999999998</v>
      </c>
      <c r="BC138" s="1118">
        <f t="shared" si="83"/>
        <v>20911.171175362408</v>
      </c>
      <c r="BD138" s="634">
        <f t="shared" si="83"/>
        <v>20911.171175362408</v>
      </c>
      <c r="BE138" s="93">
        <f t="shared" si="83"/>
        <v>30184.285044535602</v>
      </c>
      <c r="BF138" s="94">
        <f t="shared" si="83"/>
        <v>30402.739680878618</v>
      </c>
      <c r="BG138" s="94">
        <f t="shared" si="83"/>
        <v>30548.376105107294</v>
      </c>
      <c r="BH138" s="94">
        <f t="shared" si="83"/>
        <v>30694.012529335971</v>
      </c>
      <c r="BI138" s="635">
        <f t="shared" si="83"/>
        <v>30766.830741450311</v>
      </c>
      <c r="BJ138" s="746">
        <f t="shared" si="92"/>
        <v>2810.5410327755412</v>
      </c>
      <c r="BK138" s="991">
        <f t="shared" si="93"/>
        <v>58375555.510384932</v>
      </c>
      <c r="BL138" s="992">
        <f t="shared" si="84"/>
        <v>56439431.187919118</v>
      </c>
      <c r="BM138" s="524">
        <f t="shared" si="84"/>
        <v>56439431.187919118</v>
      </c>
      <c r="BN138" s="416">
        <f t="shared" si="84"/>
        <v>85079808.021505356</v>
      </c>
      <c r="BO138" s="97">
        <f t="shared" si="84"/>
        <v>85533586.1154138</v>
      </c>
      <c r="BP138" s="97">
        <f t="shared" si="84"/>
        <v>85836104.844686106</v>
      </c>
      <c r="BQ138" s="97">
        <f t="shared" si="84"/>
        <v>86138623.573958412</v>
      </c>
      <c r="BR138" s="98">
        <f t="shared" si="84"/>
        <v>86289882.938594565</v>
      </c>
      <c r="BS138" s="836">
        <f t="shared" si="76"/>
        <v>1156.8945340488217</v>
      </c>
      <c r="BT138" s="840">
        <f t="shared" si="77"/>
        <v>42215.03413739043</v>
      </c>
      <c r="BU138" s="832">
        <f t="shared" si="78"/>
        <v>211075.17068695219</v>
      </c>
      <c r="BW138" s="416">
        <f>'Business Case Split 2025$'!AD145</f>
        <v>96866767.446720392</v>
      </c>
      <c r="BX138" s="97">
        <f>'Business Case Split 2025$'!AE145</f>
        <v>98003168.205642149</v>
      </c>
      <c r="BY138" s="97">
        <f>'Business Case Split 2025$'!AF145</f>
        <v>98910005.89397192</v>
      </c>
      <c r="BZ138" s="97">
        <f>'Business Case Split 2025$'!AG145</f>
        <v>99905353.423389599</v>
      </c>
      <c r="CA138" s="98">
        <f>'Business Case Split 2025$'!AH145</f>
        <v>100754174.38563122</v>
      </c>
      <c r="CC138" s="917">
        <f t="shared" si="94"/>
        <v>1.1385400331678661</v>
      </c>
      <c r="CD138" s="918">
        <f t="shared" si="85"/>
        <v>1.1457857977964663</v>
      </c>
      <c r="CE138" s="918">
        <f t="shared" si="86"/>
        <v>1.1523123756948437</v>
      </c>
      <c r="CF138" s="918">
        <f t="shared" si="87"/>
        <v>1.1598206388521068</v>
      </c>
      <c r="CG138" s="919">
        <f t="shared" si="88"/>
        <v>1.1676244184654845</v>
      </c>
      <c r="CI138" s="416">
        <f t="shared" si="89"/>
        <v>96866767.446720406</v>
      </c>
      <c r="CJ138" s="97">
        <f t="shared" si="89"/>
        <v>98003168.205642179</v>
      </c>
      <c r="CK138" s="97">
        <f t="shared" si="89"/>
        <v>98910005.893971935</v>
      </c>
      <c r="CL138" s="97">
        <f t="shared" si="89"/>
        <v>99905353.423389599</v>
      </c>
      <c r="CM138" s="98">
        <f t="shared" si="89"/>
        <v>100754174.3856312</v>
      </c>
      <c r="CN138" s="924">
        <f t="shared" si="95"/>
        <v>494439469.35535532</v>
      </c>
      <c r="CO138" s="395">
        <f>CN138-'Business Case Split 2025$'!AI145</f>
        <v>0</v>
      </c>
    </row>
    <row r="139" spans="1:93" x14ac:dyDescent="0.25">
      <c r="A139" s="81" t="s">
        <v>81</v>
      </c>
      <c r="B139" s="171"/>
      <c r="C139" s="82" t="s">
        <v>270</v>
      </c>
      <c r="D139" s="172">
        <f t="shared" si="90"/>
        <v>6934720</v>
      </c>
      <c r="E139" s="173">
        <f t="shared" si="79"/>
        <v>9985809</v>
      </c>
      <c r="F139" s="173">
        <f t="shared" si="79"/>
        <v>10414561</v>
      </c>
      <c r="G139" s="173">
        <f t="shared" si="79"/>
        <v>8510444.5114625636</v>
      </c>
      <c r="H139" s="173">
        <f t="shared" si="79"/>
        <v>12634430.493708391</v>
      </c>
      <c r="I139" s="173">
        <f t="shared" si="79"/>
        <v>19984618.061632831</v>
      </c>
      <c r="J139" s="173">
        <f t="shared" si="79"/>
        <v>25725096.993365247</v>
      </c>
      <c r="K139" s="173">
        <f t="shared" si="79"/>
        <v>25508900.492317818</v>
      </c>
      <c r="L139" s="173">
        <f t="shared" si="79"/>
        <v>44372189.279239692</v>
      </c>
      <c r="M139" s="173">
        <f t="shared" si="80"/>
        <v>43034386.527363405</v>
      </c>
      <c r="N139" s="173">
        <f t="shared" si="80"/>
        <v>38619071.937047288</v>
      </c>
      <c r="O139" s="580">
        <f t="shared" si="79"/>
        <v>9330362.8459282331</v>
      </c>
      <c r="P139" s="576">
        <f t="shared" si="79"/>
        <v>13235500.038051035</v>
      </c>
      <c r="Q139" s="576">
        <f t="shared" si="79"/>
        <v>13663963.892132504</v>
      </c>
      <c r="R139" s="576">
        <f t="shared" si="79"/>
        <v>10953935.67903278</v>
      </c>
      <c r="S139" s="576">
        <f t="shared" si="79"/>
        <v>15930990.914892979</v>
      </c>
      <c r="T139" s="576">
        <f t="shared" si="79"/>
        <v>24803874.62262461</v>
      </c>
      <c r="U139" s="576">
        <f t="shared" si="79"/>
        <v>32040298.930357501</v>
      </c>
      <c r="V139" s="576">
        <f t="shared" si="79"/>
        <v>30594324.018385038</v>
      </c>
      <c r="W139" s="576">
        <f t="shared" si="79"/>
        <v>50137345.097611107</v>
      </c>
      <c r="X139" s="576">
        <f t="shared" si="81"/>
        <v>45765388.550195061</v>
      </c>
      <c r="Y139" s="576">
        <f t="shared" si="81"/>
        <v>39359539.798230924</v>
      </c>
      <c r="Z139" s="174">
        <f t="shared" si="79"/>
        <v>167</v>
      </c>
      <c r="AA139" s="175">
        <f t="shared" si="79"/>
        <v>312</v>
      </c>
      <c r="AB139" s="175">
        <f t="shared" si="79"/>
        <v>119</v>
      </c>
      <c r="AC139" s="175">
        <f t="shared" si="79"/>
        <v>220.89299999999997</v>
      </c>
      <c r="AD139" s="175">
        <f t="shared" si="79"/>
        <v>327.75</v>
      </c>
      <c r="AE139" s="175">
        <f t="shared" si="79"/>
        <v>480.8269733690002</v>
      </c>
      <c r="AF139" s="175">
        <f t="shared" si="79"/>
        <v>504.15833340400008</v>
      </c>
      <c r="AG139" s="175">
        <f t="shared" si="82"/>
        <v>540.75549999999896</v>
      </c>
      <c r="AH139" s="175">
        <f t="shared" si="82"/>
        <v>656.63299164000023</v>
      </c>
      <c r="AI139" s="175">
        <f t="shared" si="82"/>
        <v>476.71415849066653</v>
      </c>
      <c r="AJ139" s="175">
        <f t="shared" si="82"/>
        <v>711.30549027599989</v>
      </c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388">
        <f t="shared" si="91"/>
        <v>57689.310383884134</v>
      </c>
      <c r="AX139" s="388"/>
      <c r="AY139" s="19"/>
      <c r="AZ139" s="19"/>
      <c r="BA139" s="19">
        <f>BN139/BE139</f>
        <v>57689.310383884134</v>
      </c>
      <c r="BB139" s="699">
        <f t="shared" si="83"/>
        <v>492.34471183239975</v>
      </c>
      <c r="BC139" s="1118">
        <f t="shared" si="83"/>
        <v>550.02877600199997</v>
      </c>
      <c r="BD139" s="634">
        <f t="shared" si="83"/>
        <v>550.02877600199997</v>
      </c>
      <c r="BE139" s="93">
        <f t="shared" si="83"/>
        <v>700.02877600199997</v>
      </c>
      <c r="BF139" s="94">
        <f t="shared" si="83"/>
        <v>730.02877600199986</v>
      </c>
      <c r="BG139" s="94">
        <f t="shared" si="83"/>
        <v>750.02877600200009</v>
      </c>
      <c r="BH139" s="94">
        <f t="shared" si="83"/>
        <v>770.02877600200009</v>
      </c>
      <c r="BI139" s="635">
        <f t="shared" si="83"/>
        <v>780.02877600199997</v>
      </c>
      <c r="BJ139" s="746">
        <f t="shared" si="92"/>
        <v>56912.19365276918</v>
      </c>
      <c r="BK139" s="991">
        <f t="shared" si="93"/>
        <v>30832640.739492904</v>
      </c>
      <c r="BL139" s="992">
        <f t="shared" si="84"/>
        <v>33485266.497734725</v>
      </c>
      <c r="BM139" s="524">
        <f t="shared" si="84"/>
        <v>33485266.497734725</v>
      </c>
      <c r="BN139" s="416">
        <f t="shared" si="84"/>
        <v>40384177.336429879</v>
      </c>
      <c r="BO139" s="97">
        <f t="shared" si="84"/>
        <v>41736372.596932232</v>
      </c>
      <c r="BP139" s="97">
        <f t="shared" si="84"/>
        <v>42638229.355826184</v>
      </c>
      <c r="BQ139" s="97">
        <f t="shared" si="84"/>
        <v>43540364.188055947</v>
      </c>
      <c r="BR139" s="98">
        <f t="shared" si="84"/>
        <v>43991527.374576665</v>
      </c>
      <c r="BS139" s="836">
        <f t="shared" si="76"/>
        <v>7325.4785603308101</v>
      </c>
      <c r="BT139" s="840">
        <f t="shared" si="77"/>
        <v>3706.0987760560961</v>
      </c>
      <c r="BU139" s="832">
        <f t="shared" si="78"/>
        <v>18530.493880280479</v>
      </c>
      <c r="BW139" s="416">
        <f>'Business Case Split 2025$'!AD146</f>
        <v>44877396.34011133</v>
      </c>
      <c r="BX139" s="97">
        <f>'Business Case Split 2025$'!AE146</f>
        <v>46902139.43267712</v>
      </c>
      <c r="BY139" s="97">
        <f>'Business Case Split 2025$'!AF146</f>
        <v>48291123.784105808</v>
      </c>
      <c r="BZ139" s="97">
        <f>'Business Case Split 2025$'!AG146</f>
        <v>49706389.07739076</v>
      </c>
      <c r="CA139" s="98">
        <f>'Business Case Split 2025$'!AH146</f>
        <v>50501433.307152078</v>
      </c>
      <c r="CC139" s="917">
        <f t="shared" si="94"/>
        <v>1.1112618678907245</v>
      </c>
      <c r="CD139" s="918">
        <f t="shared" si="85"/>
        <v>1.1237713417414859</v>
      </c>
      <c r="CE139" s="918">
        <f t="shared" si="86"/>
        <v>1.1325780763808195</v>
      </c>
      <c r="CF139" s="918">
        <f t="shared" si="87"/>
        <v>1.1416162910972225</v>
      </c>
      <c r="CG139" s="919">
        <f t="shared" si="88"/>
        <v>1.1479809027121342</v>
      </c>
      <c r="CI139" s="416">
        <f t="shared" si="89"/>
        <v>44877396.340111338</v>
      </c>
      <c r="CJ139" s="97">
        <f t="shared" si="89"/>
        <v>46902139.432677113</v>
      </c>
      <c r="CK139" s="97">
        <f t="shared" si="89"/>
        <v>48291123.7841058</v>
      </c>
      <c r="CL139" s="97">
        <f t="shared" si="89"/>
        <v>49706389.077390768</v>
      </c>
      <c r="CM139" s="98">
        <f t="shared" si="89"/>
        <v>50501433.30715207</v>
      </c>
      <c r="CN139" s="924">
        <f t="shared" si="95"/>
        <v>240278481.94143707</v>
      </c>
      <c r="CO139" s="395">
        <f>CN139-'Business Case Split 2025$'!AI146</f>
        <v>0</v>
      </c>
    </row>
    <row r="140" spans="1:93" x14ac:dyDescent="0.25">
      <c r="A140" s="81" t="s">
        <v>94</v>
      </c>
      <c r="B140" s="171"/>
      <c r="C140" s="82" t="s">
        <v>412</v>
      </c>
      <c r="D140" s="172">
        <f t="shared" si="90"/>
        <v>1412498</v>
      </c>
      <c r="E140" s="173">
        <f t="shared" si="79"/>
        <v>2669699</v>
      </c>
      <c r="F140" s="173">
        <f t="shared" si="79"/>
        <v>2843677</v>
      </c>
      <c r="G140" s="173">
        <f t="shared" si="79"/>
        <v>2108213.5397750521</v>
      </c>
      <c r="H140" s="173">
        <f t="shared" si="79"/>
        <v>5027309.1802812489</v>
      </c>
      <c r="I140" s="173">
        <f t="shared" si="79"/>
        <v>2379889.029682721</v>
      </c>
      <c r="J140" s="173">
        <f t="shared" si="79"/>
        <v>8056546.7339933189</v>
      </c>
      <c r="K140" s="173">
        <f t="shared" si="79"/>
        <v>7959369.859099973</v>
      </c>
      <c r="L140" s="173">
        <f t="shared" si="79"/>
        <v>6116749.2154848799</v>
      </c>
      <c r="M140" s="173">
        <f t="shared" si="80"/>
        <v>4904960.1741560185</v>
      </c>
      <c r="N140" s="173">
        <f t="shared" si="80"/>
        <v>10595292.31292736</v>
      </c>
      <c r="O140" s="580">
        <f t="shared" si="79"/>
        <v>1900454.3599666513</v>
      </c>
      <c r="P140" s="576">
        <f t="shared" si="79"/>
        <v>3538501.6092421571</v>
      </c>
      <c r="Q140" s="576">
        <f t="shared" si="79"/>
        <v>3730920.5687006577</v>
      </c>
      <c r="R140" s="576">
        <f t="shared" si="79"/>
        <v>2713516.9592208811</v>
      </c>
      <c r="S140" s="576">
        <f t="shared" si="79"/>
        <v>6339028.6501082359</v>
      </c>
      <c r="T140" s="576">
        <f t="shared" si="79"/>
        <v>2953795.2101941211</v>
      </c>
      <c r="U140" s="576">
        <f t="shared" si="79"/>
        <v>10034332.067634834</v>
      </c>
      <c r="V140" s="576">
        <f t="shared" si="79"/>
        <v>9546140.2001551352</v>
      </c>
      <c r="W140" s="576">
        <f t="shared" si="79"/>
        <v>6911481.5219584368</v>
      </c>
      <c r="X140" s="576">
        <f t="shared" si="81"/>
        <v>5216233.4892528029</v>
      </c>
      <c r="Y140" s="576">
        <f t="shared" si="81"/>
        <v>10886646.739441728</v>
      </c>
      <c r="Z140" s="174">
        <f t="shared" si="79"/>
        <v>5</v>
      </c>
      <c r="AA140" s="175">
        <f t="shared" si="79"/>
        <v>9</v>
      </c>
      <c r="AB140" s="175">
        <f t="shared" si="79"/>
        <v>12</v>
      </c>
      <c r="AC140" s="175">
        <f t="shared" si="79"/>
        <v>8.086666666666666</v>
      </c>
      <c r="AD140" s="175">
        <f t="shared" si="79"/>
        <v>10.993333333333332</v>
      </c>
      <c r="AE140" s="175">
        <f t="shared" si="79"/>
        <v>9.3751234820000029</v>
      </c>
      <c r="AF140" s="175">
        <f t="shared" si="79"/>
        <v>9.5686666970000047</v>
      </c>
      <c r="AG140" s="175">
        <f t="shared" si="82"/>
        <v>17.420333333333311</v>
      </c>
      <c r="AH140" s="175">
        <f t="shared" si="82"/>
        <v>17.387333358000003</v>
      </c>
      <c r="AI140" s="175">
        <f t="shared" si="82"/>
        <v>7.5116667330000002</v>
      </c>
      <c r="AJ140" s="175">
        <f t="shared" si="82"/>
        <v>18.557333327000006</v>
      </c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388">
        <f t="shared" si="91"/>
        <v>324092.73938700533</v>
      </c>
      <c r="AX140" s="388"/>
      <c r="AY140" s="19"/>
      <c r="AZ140" s="19"/>
      <c r="BA140" s="19"/>
      <c r="BB140" s="699">
        <f t="shared" si="83"/>
        <v>10.867024912488883</v>
      </c>
      <c r="BC140" s="1118">
        <f t="shared" si="83"/>
        <v>18.980691549933333</v>
      </c>
      <c r="BD140" s="634">
        <f t="shared" si="83"/>
        <v>19.980691549933333</v>
      </c>
      <c r="BE140" s="93">
        <f t="shared" si="83"/>
        <v>19.980691549933333</v>
      </c>
      <c r="BF140" s="94">
        <f t="shared" si="83"/>
        <v>20.980691549933333</v>
      </c>
      <c r="BG140" s="94">
        <f t="shared" si="83"/>
        <v>20.980691549933333</v>
      </c>
      <c r="BH140" s="94">
        <f t="shared" si="83"/>
        <v>21.980691549933333</v>
      </c>
      <c r="BI140" s="635">
        <f t="shared" si="83"/>
        <v>21.980691549933333</v>
      </c>
      <c r="BJ140" s="746">
        <f t="shared" si="92"/>
        <v>322727.75622787437</v>
      </c>
      <c r="BK140" s="991">
        <f t="shared" si="93"/>
        <v>3502423.7396393484</v>
      </c>
      <c r="BL140" s="992">
        <f t="shared" si="84"/>
        <v>6175597.0592646832</v>
      </c>
      <c r="BM140" s="524">
        <f t="shared" si="84"/>
        <v>6475597.0592646832</v>
      </c>
      <c r="BN140" s="416">
        <f t="shared" si="84"/>
        <v>6475597.0592646832</v>
      </c>
      <c r="BO140" s="97">
        <f t="shared" si="84"/>
        <v>6775597.0592646832</v>
      </c>
      <c r="BP140" s="97">
        <f t="shared" si="84"/>
        <v>6775597.0592646832</v>
      </c>
      <c r="BQ140" s="97">
        <f t="shared" si="84"/>
        <v>7075597.0592646832</v>
      </c>
      <c r="BR140" s="98">
        <f t="shared" si="84"/>
        <v>7075597.0592646832</v>
      </c>
      <c r="BS140" s="836">
        <f t="shared" si="76"/>
        <v>28.465826254470208</v>
      </c>
      <c r="BT140" s="840">
        <f t="shared" si="77"/>
        <v>2592.0230102932719</v>
      </c>
      <c r="BU140" s="832">
        <f t="shared" si="78"/>
        <v>12960.11505146636</v>
      </c>
      <c r="BW140" s="416">
        <f>'Business Case Split 2025$'!AD147</f>
        <v>7304015.0386646874</v>
      </c>
      <c r="BX140" s="97">
        <f>'Business Case Split 2025$'!AE147</f>
        <v>7660775.3947364474</v>
      </c>
      <c r="BY140" s="97">
        <f>'Business Case Split 2025$'!AF147</f>
        <v>7679114.5938289212</v>
      </c>
      <c r="BZ140" s="97">
        <f>'Business Case Split 2025$'!AG147</f>
        <v>8041987.2867767299</v>
      </c>
      <c r="CA140" s="98">
        <f>'Business Case Split 2025$'!AH147</f>
        <v>8068452.2468346898</v>
      </c>
      <c r="CC140" s="917">
        <f t="shared" si="94"/>
        <v>1.127929204337194</v>
      </c>
      <c r="CD140" s="918">
        <f t="shared" si="85"/>
        <v>1.1306421157765583</v>
      </c>
      <c r="CE140" s="918">
        <f t="shared" si="86"/>
        <v>1.1333487701026737</v>
      </c>
      <c r="CF140" s="918">
        <f t="shared" si="87"/>
        <v>1.1365807322573109</v>
      </c>
      <c r="CG140" s="919">
        <f t="shared" si="88"/>
        <v>1.1403210470090261</v>
      </c>
      <c r="CI140" s="416">
        <f t="shared" si="89"/>
        <v>7304015.0386646874</v>
      </c>
      <c r="CJ140" s="97">
        <f t="shared" si="89"/>
        <v>7660775.3947364474</v>
      </c>
      <c r="CK140" s="97">
        <f t="shared" si="89"/>
        <v>7679114.5938289212</v>
      </c>
      <c r="CL140" s="97">
        <f t="shared" si="89"/>
        <v>8041987.2867767289</v>
      </c>
      <c r="CM140" s="98">
        <f t="shared" si="89"/>
        <v>8068452.2468346898</v>
      </c>
      <c r="CN140" s="924">
        <f t="shared" si="95"/>
        <v>38754344.560841471</v>
      </c>
      <c r="CO140" s="395">
        <f>CN140-'Business Case Split 2025$'!AI147</f>
        <v>0</v>
      </c>
    </row>
    <row r="141" spans="1:93" x14ac:dyDescent="0.25">
      <c r="A141" s="81" t="s">
        <v>106</v>
      </c>
      <c r="B141" s="171"/>
      <c r="C141" s="82" t="s">
        <v>272</v>
      </c>
      <c r="D141" s="172">
        <f t="shared" si="90"/>
        <v>4146752</v>
      </c>
      <c r="E141" s="173">
        <f t="shared" si="79"/>
        <v>8408243</v>
      </c>
      <c r="F141" s="173">
        <f t="shared" si="79"/>
        <v>6340596</v>
      </c>
      <c r="G141" s="173">
        <f t="shared" si="79"/>
        <v>5329626.9800492655</v>
      </c>
      <c r="H141" s="173">
        <f t="shared" si="79"/>
        <v>5373901.7469884073</v>
      </c>
      <c r="I141" s="173">
        <f t="shared" si="79"/>
        <v>7169379.041949396</v>
      </c>
      <c r="J141" s="173">
        <f t="shared" si="79"/>
        <v>10976147.460494608</v>
      </c>
      <c r="K141" s="173">
        <f t="shared" si="79"/>
        <v>8732459.3557683397</v>
      </c>
      <c r="L141" s="173">
        <f t="shared" si="79"/>
        <v>14365479.53456215</v>
      </c>
      <c r="M141" s="173">
        <f t="shared" si="80"/>
        <v>29008429.56946288</v>
      </c>
      <c r="N141" s="173">
        <f t="shared" si="80"/>
        <v>33589114.92281992</v>
      </c>
      <c r="O141" s="580">
        <f t="shared" si="79"/>
        <v>5579273.6825825097</v>
      </c>
      <c r="P141" s="576">
        <f t="shared" si="79"/>
        <v>11144545.278849451</v>
      </c>
      <c r="Q141" s="576">
        <f t="shared" si="79"/>
        <v>8318898.3960629534</v>
      </c>
      <c r="R141" s="576">
        <f t="shared" si="79"/>
        <v>6859852.1562611535</v>
      </c>
      <c r="S141" s="576">
        <f t="shared" si="79"/>
        <v>6776053.732808304</v>
      </c>
      <c r="T141" s="576">
        <f t="shared" si="79"/>
        <v>8898262.5702507924</v>
      </c>
      <c r="U141" s="576">
        <f t="shared" si="79"/>
        <v>13670659.660822</v>
      </c>
      <c r="V141" s="576">
        <f t="shared" si="79"/>
        <v>10473351.883128501</v>
      </c>
      <c r="W141" s="576">
        <f t="shared" si="79"/>
        <v>16231946.55518141</v>
      </c>
      <c r="X141" s="576">
        <f t="shared" si="81"/>
        <v>30849331.374418311</v>
      </c>
      <c r="Y141" s="576">
        <f t="shared" si="81"/>
        <v>34512764.504768968</v>
      </c>
      <c r="Z141" s="174">
        <f t="shared" si="79"/>
        <v>5614</v>
      </c>
      <c r="AA141" s="175">
        <f t="shared" si="79"/>
        <v>10916</v>
      </c>
      <c r="AB141" s="175">
        <f t="shared" si="79"/>
        <v>6160</v>
      </c>
      <c r="AC141" s="175">
        <f t="shared" si="79"/>
        <v>5522.46</v>
      </c>
      <c r="AD141" s="175">
        <f t="shared" si="79"/>
        <v>7067.5583333333334</v>
      </c>
      <c r="AE141" s="175">
        <f t="shared" si="79"/>
        <v>9771.449771354999</v>
      </c>
      <c r="AF141" s="175">
        <f t="shared" si="79"/>
        <v>13949.404546907994</v>
      </c>
      <c r="AG141" s="175">
        <f t="shared" si="82"/>
        <v>1242.4621907900189</v>
      </c>
      <c r="AH141" s="175">
        <f t="shared" si="82"/>
        <v>13752.624848082978</v>
      </c>
      <c r="AI141" s="175">
        <f t="shared" si="82"/>
        <v>19671.469987090994</v>
      </c>
      <c r="AJ141" s="175">
        <f t="shared" si="82"/>
        <v>14776.880084709986</v>
      </c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388">
        <f t="shared" si="91"/>
        <v>1337.1565383846241</v>
      </c>
      <c r="AX141" s="388"/>
      <c r="AY141" s="19"/>
      <c r="AZ141" s="19"/>
      <c r="BA141" s="19"/>
      <c r="BB141" s="699">
        <f t="shared" si="83"/>
        <v>17338.357464185465</v>
      </c>
      <c r="BC141" s="689">
        <f t="shared" si="83"/>
        <v>17508.467067597943</v>
      </c>
      <c r="BD141" s="521">
        <f t="shared" si="83"/>
        <v>17508.467067597943</v>
      </c>
      <c r="BE141" s="421">
        <f t="shared" si="83"/>
        <v>18073.445093230996</v>
      </c>
      <c r="BF141" s="96">
        <f t="shared" si="83"/>
        <v>18191.246298465947</v>
      </c>
      <c r="BG141" s="96">
        <f t="shared" si="83"/>
        <v>18269.780435289242</v>
      </c>
      <c r="BH141" s="96">
        <f t="shared" si="83"/>
        <v>18348.314572112544</v>
      </c>
      <c r="BI141" s="286">
        <f t="shared" si="83"/>
        <v>18387.581640524189</v>
      </c>
      <c r="BJ141" s="746">
        <f t="shared" si="92"/>
        <v>1339.2666347282993</v>
      </c>
      <c r="BK141" s="991">
        <f t="shared" si="93"/>
        <v>23124005.076242168</v>
      </c>
      <c r="BL141" s="992">
        <f t="shared" si="84"/>
        <v>23291083.333353411</v>
      </c>
      <c r="BM141" s="524">
        <f t="shared" si="84"/>
        <v>23291083.333353411</v>
      </c>
      <c r="BN141" s="416">
        <f t="shared" si="84"/>
        <v>24167025.277549326</v>
      </c>
      <c r="BO141" s="97">
        <f t="shared" si="84"/>
        <v>24349664.268909216</v>
      </c>
      <c r="BP141" s="97">
        <f t="shared" si="84"/>
        <v>24471423.596482471</v>
      </c>
      <c r="BQ141" s="97">
        <f t="shared" si="84"/>
        <v>24593182.924055733</v>
      </c>
      <c r="BR141" s="98">
        <f t="shared" si="84"/>
        <v>24654062.58784236</v>
      </c>
      <c r="BS141" s="836">
        <f t="shared" si="76"/>
        <v>1792.910567232082</v>
      </c>
      <c r="BT141" s="840">
        <f t="shared" si="77"/>
        <v>58021.255654530993</v>
      </c>
      <c r="BU141" s="832">
        <f t="shared" si="78"/>
        <v>290106.27827265498</v>
      </c>
      <c r="BW141" s="416">
        <f>'Business Case Split 2025$'!AD148</f>
        <v>27677959.546624064</v>
      </c>
      <c r="BX141" s="97">
        <f>'Business Case Split 2025$'!AE148</f>
        <v>27989699.866141103</v>
      </c>
      <c r="BY141" s="97">
        <f>'Business Case Split 2025$'!AF148</f>
        <v>28242406.146504268</v>
      </c>
      <c r="BZ141" s="97">
        <f>'Business Case Split 2025$'!AG148</f>
        <v>28521676.428639706</v>
      </c>
      <c r="CA141" s="98">
        <f>'Business Case Split 2025$'!AH148</f>
        <v>28766992.440750431</v>
      </c>
      <c r="CC141" s="917">
        <f t="shared" si="94"/>
        <v>1.1452778829315136</v>
      </c>
      <c r="CD141" s="918">
        <f t="shared" si="85"/>
        <v>1.1494901760054101</v>
      </c>
      <c r="CE141" s="918">
        <f t="shared" si="86"/>
        <v>1.1540973918069826</v>
      </c>
      <c r="CF141" s="918">
        <f t="shared" si="87"/>
        <v>1.1597391243221848</v>
      </c>
      <c r="CG141" s="919">
        <f t="shared" si="88"/>
        <v>1.1668256433702848</v>
      </c>
      <c r="CI141" s="416">
        <f t="shared" si="89"/>
        <v>27677959.546624072</v>
      </c>
      <c r="CJ141" s="97">
        <f t="shared" si="89"/>
        <v>27989699.866141096</v>
      </c>
      <c r="CK141" s="97">
        <f t="shared" si="89"/>
        <v>28242406.146504272</v>
      </c>
      <c r="CL141" s="97">
        <f t="shared" si="89"/>
        <v>28521676.428639706</v>
      </c>
      <c r="CM141" s="98">
        <f t="shared" si="89"/>
        <v>28766992.440750431</v>
      </c>
      <c r="CN141" s="924">
        <f t="shared" si="95"/>
        <v>141198734.42865959</v>
      </c>
      <c r="CO141" s="395">
        <f>CN141-'Business Case Split 2025$'!AI148</f>
        <v>0</v>
      </c>
    </row>
    <row r="142" spans="1:93" x14ac:dyDescent="0.25">
      <c r="A142" s="81" t="s">
        <v>138</v>
      </c>
      <c r="B142" s="171"/>
      <c r="C142" s="82" t="s">
        <v>413</v>
      </c>
      <c r="D142" s="172">
        <f t="shared" si="90"/>
        <v>24642938</v>
      </c>
      <c r="E142" s="173">
        <f t="shared" si="79"/>
        <v>42421971</v>
      </c>
      <c r="F142" s="173">
        <f t="shared" si="79"/>
        <v>37104572</v>
      </c>
      <c r="G142" s="173">
        <f t="shared" si="79"/>
        <v>37889559.919187427</v>
      </c>
      <c r="H142" s="173">
        <f t="shared" si="79"/>
        <v>37931210</v>
      </c>
      <c r="I142" s="173">
        <f t="shared" si="79"/>
        <v>49268551.488051273</v>
      </c>
      <c r="J142" s="173">
        <f t="shared" si="79"/>
        <v>65736324.654129915</v>
      </c>
      <c r="K142" s="173">
        <f t="shared" si="79"/>
        <v>51304288.495466486</v>
      </c>
      <c r="L142" s="173">
        <f t="shared" si="79"/>
        <v>59088553.951445639</v>
      </c>
      <c r="M142" s="173">
        <f t="shared" si="80"/>
        <v>60092439.413900979</v>
      </c>
      <c r="N142" s="173">
        <f t="shared" si="80"/>
        <v>64972653.530708782</v>
      </c>
      <c r="O142" s="580">
        <f t="shared" si="79"/>
        <v>33155996.655915879</v>
      </c>
      <c r="P142" s="576">
        <f t="shared" si="79"/>
        <v>56227392.170699447</v>
      </c>
      <c r="Q142" s="576">
        <f t="shared" si="79"/>
        <v>48681411.731231943</v>
      </c>
      <c r="R142" s="576">
        <f t="shared" si="79"/>
        <v>48768287.214919046</v>
      </c>
      <c r="S142" s="576">
        <f t="shared" si="79"/>
        <v>47828175.729947925</v>
      </c>
      <c r="T142" s="576">
        <f t="shared" si="79"/>
        <v>61149578.649896011</v>
      </c>
      <c r="U142" s="576">
        <f t="shared" si="79"/>
        <v>81873801.799253255</v>
      </c>
      <c r="V142" s="576">
        <f t="shared" si="79"/>
        <v>61532249.35099446</v>
      </c>
      <c r="W142" s="576">
        <f t="shared" si="79"/>
        <v>66765766.325812548</v>
      </c>
      <c r="X142" s="576">
        <f t="shared" si="81"/>
        <v>63905961.270240247</v>
      </c>
      <c r="Y142" s="576">
        <f t="shared" si="81"/>
        <v>66759302.699930824</v>
      </c>
      <c r="Z142" s="174">
        <f t="shared" si="79"/>
        <v>1221</v>
      </c>
      <c r="AA142" s="175">
        <f t="shared" si="79"/>
        <v>1752</v>
      </c>
      <c r="AB142" s="175">
        <f t="shared" si="79"/>
        <v>1509</v>
      </c>
      <c r="AC142" s="175">
        <f t="shared" si="79"/>
        <v>1211</v>
      </c>
      <c r="AD142" s="175">
        <f t="shared" si="79"/>
        <v>1499</v>
      </c>
      <c r="AE142" s="175">
        <f t="shared" si="79"/>
        <v>1747</v>
      </c>
      <c r="AF142" s="175">
        <f t="shared" si="79"/>
        <v>2261</v>
      </c>
      <c r="AG142" s="175">
        <f t="shared" si="82"/>
        <v>2140</v>
      </c>
      <c r="AH142" s="175">
        <f t="shared" si="82"/>
        <v>2000</v>
      </c>
      <c r="AI142" s="175">
        <f t="shared" si="82"/>
        <v>1462</v>
      </c>
      <c r="AJ142" s="175">
        <f t="shared" si="82"/>
        <v>1284</v>
      </c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388">
        <f t="shared" si="91"/>
        <v>28551.158758087939</v>
      </c>
      <c r="AX142" s="388"/>
      <c r="AY142" s="19"/>
      <c r="AZ142" s="19"/>
      <c r="BA142" s="19"/>
      <c r="BB142" s="699">
        <f t="shared" si="83"/>
        <v>1757.4666666666669</v>
      </c>
      <c r="BC142" s="689">
        <f t="shared" si="83"/>
        <v>1633.9170821211947</v>
      </c>
      <c r="BD142" s="521">
        <f t="shared" si="83"/>
        <v>1633.9170821211947</v>
      </c>
      <c r="BE142" s="421">
        <f t="shared" si="83"/>
        <v>938.30424477936936</v>
      </c>
      <c r="BF142" s="96">
        <f t="shared" si="83"/>
        <v>944.55876292157745</v>
      </c>
      <c r="BG142" s="96">
        <f t="shared" si="83"/>
        <v>948.72844168304937</v>
      </c>
      <c r="BH142" s="96">
        <f t="shared" si="83"/>
        <v>952.89812044452151</v>
      </c>
      <c r="BI142" s="286">
        <f t="shared" si="83"/>
        <v>954.98295982525747</v>
      </c>
      <c r="BJ142" s="746">
        <f t="shared" si="92"/>
        <v>28527.37387874335</v>
      </c>
      <c r="BK142" s="991">
        <f t="shared" si="93"/>
        <v>51973811.599982396</v>
      </c>
      <c r="BL142" s="992">
        <f t="shared" si="84"/>
        <v>48575937.964861527</v>
      </c>
      <c r="BM142" s="524">
        <f t="shared" si="84"/>
        <v>48575937.964861527</v>
      </c>
      <c r="BN142" s="416">
        <f t="shared" si="84"/>
        <v>26789673.456083581</v>
      </c>
      <c r="BO142" s="97">
        <f t="shared" si="84"/>
        <v>26953543.572742127</v>
      </c>
      <c r="BP142" s="97">
        <f t="shared" si="84"/>
        <v>27062790.317181163</v>
      </c>
      <c r="BQ142" s="97">
        <f t="shared" si="84"/>
        <v>27172037.061620191</v>
      </c>
      <c r="BR142" s="98">
        <f t="shared" si="84"/>
        <v>27226660.433839709</v>
      </c>
      <c r="BS142" s="836">
        <f t="shared" si="76"/>
        <v>270.42044211177489</v>
      </c>
      <c r="BT142" s="840">
        <f t="shared" si="77"/>
        <v>54005.926356469754</v>
      </c>
      <c r="BU142" s="832">
        <f t="shared" si="78"/>
        <v>270029.63178234873</v>
      </c>
      <c r="BW142" s="416">
        <f>'Business Case Split 2025$'!AD149</f>
        <v>30521484.494634636</v>
      </c>
      <c r="BX142" s="97">
        <f>'Business Case Split 2025$'!AE149</f>
        <v>30855104.480081029</v>
      </c>
      <c r="BY142" s="97">
        <f>'Business Case Split 2025$'!AF149</f>
        <v>31122004.294041269</v>
      </c>
      <c r="BZ142" s="97">
        <f>'Business Case Split 2025$'!AG149</f>
        <v>31415279.140002396</v>
      </c>
      <c r="CA142" s="98">
        <f>'Business Case Split 2025$'!AH149</f>
        <v>31666604.952944007</v>
      </c>
      <c r="CC142" s="917">
        <f t="shared" si="94"/>
        <v>1.1393003555892023</v>
      </c>
      <c r="CD142" s="918">
        <f t="shared" si="85"/>
        <v>1.144751316160318</v>
      </c>
      <c r="CE142" s="918">
        <f t="shared" si="86"/>
        <v>1.1499924408860036</v>
      </c>
      <c r="CF142" s="918">
        <f t="shared" si="87"/>
        <v>1.1561620893111351</v>
      </c>
      <c r="CG142" s="919">
        <f t="shared" si="88"/>
        <v>1.1630734158488987</v>
      </c>
      <c r="CI142" s="416">
        <f t="shared" si="89"/>
        <v>30521484.494634639</v>
      </c>
      <c r="CJ142" s="97">
        <f t="shared" si="89"/>
        <v>30855104.480081033</v>
      </c>
      <c r="CK142" s="97">
        <f t="shared" si="89"/>
        <v>31122004.294041261</v>
      </c>
      <c r="CL142" s="97">
        <f t="shared" si="89"/>
        <v>31415279.140002396</v>
      </c>
      <c r="CM142" s="98">
        <f t="shared" si="89"/>
        <v>31666604.952943999</v>
      </c>
      <c r="CN142" s="924">
        <f t="shared" si="95"/>
        <v>155580477.36170334</v>
      </c>
      <c r="CO142" s="395">
        <f>CN142-'Business Case Split 2025$'!AI149</f>
        <v>0</v>
      </c>
    </row>
    <row r="143" spans="1:93" x14ac:dyDescent="0.25">
      <c r="A143" s="81" t="s">
        <v>196</v>
      </c>
      <c r="B143" s="171"/>
      <c r="C143" s="82" t="s">
        <v>274</v>
      </c>
      <c r="D143" s="172">
        <f t="shared" si="90"/>
        <v>14131679</v>
      </c>
      <c r="E143" s="173">
        <f t="shared" si="79"/>
        <v>23088912</v>
      </c>
      <c r="F143" s="173">
        <f t="shared" si="79"/>
        <v>20859738</v>
      </c>
      <c r="G143" s="173">
        <f t="shared" si="79"/>
        <v>19624573.865534991</v>
      </c>
      <c r="H143" s="173">
        <f t="shared" si="79"/>
        <v>25161373.955975525</v>
      </c>
      <c r="I143" s="173">
        <f t="shared" si="79"/>
        <v>34666067.076448224</v>
      </c>
      <c r="J143" s="173">
        <f t="shared" si="79"/>
        <v>47462259.052836105</v>
      </c>
      <c r="K143" s="173">
        <f t="shared" si="79"/>
        <v>52520605.498206444</v>
      </c>
      <c r="L143" s="173">
        <f t="shared" si="79"/>
        <v>49835298.063523948</v>
      </c>
      <c r="M143" s="173">
        <f t="shared" si="80"/>
        <v>58099662.579771347</v>
      </c>
      <c r="N143" s="173">
        <f t="shared" si="80"/>
        <v>60891343.010304548</v>
      </c>
      <c r="O143" s="580">
        <f t="shared" si="79"/>
        <v>19013556.811548881</v>
      </c>
      <c r="P143" s="576">
        <f t="shared" si="79"/>
        <v>30602757.939247288</v>
      </c>
      <c r="Q143" s="576">
        <f t="shared" si="79"/>
        <v>27368096.152237654</v>
      </c>
      <c r="R143" s="576">
        <f t="shared" si="79"/>
        <v>25259117.730215352</v>
      </c>
      <c r="S143" s="576">
        <f t="shared" si="79"/>
        <v>31726449.411271937</v>
      </c>
      <c r="T143" s="576">
        <f t="shared" si="79"/>
        <v>43025730.027560167</v>
      </c>
      <c r="U143" s="576">
        <f t="shared" si="79"/>
        <v>59113672.860208832</v>
      </c>
      <c r="V143" s="576">
        <f t="shared" si="79"/>
        <v>62991049.839165397</v>
      </c>
      <c r="W143" s="576">
        <f t="shared" si="79"/>
        <v>56310260.495130196</v>
      </c>
      <c r="X143" s="576">
        <f t="shared" si="81"/>
        <v>61786720.972721867</v>
      </c>
      <c r="Y143" s="576">
        <f t="shared" si="81"/>
        <v>62565762.346598938</v>
      </c>
      <c r="Z143" s="174">
        <f t="shared" si="79"/>
        <v>1713</v>
      </c>
      <c r="AA143" s="175">
        <f t="shared" si="79"/>
        <v>2405</v>
      </c>
      <c r="AB143" s="175">
        <f t="shared" si="79"/>
        <v>2459</v>
      </c>
      <c r="AC143" s="175">
        <f t="shared" si="79"/>
        <v>2598</v>
      </c>
      <c r="AD143" s="175">
        <f t="shared" si="79"/>
        <v>3369</v>
      </c>
      <c r="AE143" s="175">
        <f t="shared" si="79"/>
        <v>73303</v>
      </c>
      <c r="AF143" s="175">
        <f t="shared" si="79"/>
        <v>4927</v>
      </c>
      <c r="AG143" s="175">
        <f t="shared" si="82"/>
        <v>4869</v>
      </c>
      <c r="AH143" s="175">
        <f t="shared" si="82"/>
        <v>4809</v>
      </c>
      <c r="AI143" s="175">
        <f t="shared" si="82"/>
        <v>4486</v>
      </c>
      <c r="AJ143" s="175">
        <f t="shared" si="82"/>
        <v>3806.0009999989998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388">
        <f t="shared" si="91"/>
        <v>11522.9534592399</v>
      </c>
      <c r="AX143" s="388"/>
      <c r="AY143" s="19"/>
      <c r="AZ143" s="19"/>
      <c r="BA143" s="19"/>
      <c r="BB143" s="699">
        <f t="shared" si="83"/>
        <v>4427.5333333333338</v>
      </c>
      <c r="BC143" s="689">
        <f t="shared" si="83"/>
        <v>4044.5425304371051</v>
      </c>
      <c r="BD143" s="521">
        <f t="shared" si="83"/>
        <v>4044.5425304371051</v>
      </c>
      <c r="BE143" s="421">
        <f>SUMIF($A$7:$A$132,$A143,BE$7:BE$132)</f>
        <v>2410.4294375386917</v>
      </c>
      <c r="BF143" s="96">
        <f t="shared" si="83"/>
        <v>2429.60312430251</v>
      </c>
      <c r="BG143" s="96">
        <f t="shared" si="83"/>
        <v>2442.3855821450552</v>
      </c>
      <c r="BH143" s="96">
        <f t="shared" si="83"/>
        <v>2455.1680399876009</v>
      </c>
      <c r="BI143" s="286">
        <f t="shared" si="83"/>
        <v>2461.5592689088735</v>
      </c>
      <c r="BJ143" s="746">
        <f>SUM(BN97:BR101)/SUM(BE97:BI101)</f>
        <v>9639.239384840419</v>
      </c>
      <c r="BK143" s="991">
        <f t="shared" si="93"/>
        <v>49629192.335134894</v>
      </c>
      <c r="BL143" s="992">
        <f t="shared" si="84"/>
        <v>44913990.294834234</v>
      </c>
      <c r="BM143" s="524">
        <f t="shared" si="84"/>
        <v>44913990.294834234</v>
      </c>
      <c r="BN143" s="416">
        <f t="shared" si="84"/>
        <v>27775266.225540154</v>
      </c>
      <c r="BO143" s="97">
        <f t="shared" si="84"/>
        <v>28003543.772446979</v>
      </c>
      <c r="BP143" s="97">
        <f t="shared" si="84"/>
        <v>28155728.803718194</v>
      </c>
      <c r="BQ143" s="97">
        <f t="shared" si="84"/>
        <v>28307913.834989414</v>
      </c>
      <c r="BR143" s="98">
        <f t="shared" si="84"/>
        <v>28384006.35062502</v>
      </c>
      <c r="BS143" s="836">
        <f t="shared" si="76"/>
        <v>0</v>
      </c>
      <c r="BT143" s="840">
        <f t="shared" si="77"/>
        <v>0</v>
      </c>
      <c r="BU143" s="832">
        <f t="shared" si="78"/>
        <v>0</v>
      </c>
      <c r="BW143" s="416">
        <f>'Business Case Split 2025$'!AD150</f>
        <v>31690042.201244898</v>
      </c>
      <c r="BX143" s="97">
        <f>'Business Case Split 2025$'!AE150</f>
        <v>32070812.831379596</v>
      </c>
      <c r="BY143" s="97">
        <f>'Business Case Split 2025$'!AF150</f>
        <v>32375475.67388647</v>
      </c>
      <c r="BZ143" s="97">
        <f>'Business Case Split 2025$'!AG150</f>
        <v>32708653.308998808</v>
      </c>
      <c r="CA143" s="98">
        <f>'Business Case Split 2025$'!AH150</f>
        <v>32983126.513886541</v>
      </c>
      <c r="CC143" s="917">
        <f t="shared" si="94"/>
        <v>1.1409446787626105</v>
      </c>
      <c r="CD143" s="918">
        <f t="shared" si="85"/>
        <v>1.1452412270383598</v>
      </c>
      <c r="CE143" s="918">
        <f t="shared" si="86"/>
        <v>1.1498716975001912</v>
      </c>
      <c r="CF143" s="918">
        <f t="shared" si="87"/>
        <v>1.1554596887521238</v>
      </c>
      <c r="CG143" s="919">
        <f t="shared" si="88"/>
        <v>1.1620321002767902</v>
      </c>
      <c r="CI143" s="416">
        <f t="shared" si="89"/>
        <v>31690042.201244894</v>
      </c>
      <c r="CJ143" s="97">
        <f t="shared" si="89"/>
        <v>32070812.8313796</v>
      </c>
      <c r="CK143" s="97">
        <f t="shared" si="89"/>
        <v>32375475.67388647</v>
      </c>
      <c r="CL143" s="97">
        <f t="shared" si="89"/>
        <v>32708653.308998812</v>
      </c>
      <c r="CM143" s="98">
        <f t="shared" si="89"/>
        <v>32983126.513886541</v>
      </c>
      <c r="CN143" s="924">
        <f t="shared" si="95"/>
        <v>161828110.5293963</v>
      </c>
      <c r="CO143" s="395">
        <f>CN143-'Business Case Split 2025$'!AI150</f>
        <v>0</v>
      </c>
    </row>
    <row r="144" spans="1:93" x14ac:dyDescent="0.25">
      <c r="A144" s="81" t="s">
        <v>224</v>
      </c>
      <c r="B144" s="171"/>
      <c r="C144" s="82" t="s">
        <v>414</v>
      </c>
      <c r="D144" s="172">
        <f t="shared" si="90"/>
        <v>3260512</v>
      </c>
      <c r="E144" s="173">
        <f t="shared" si="79"/>
        <v>4086266.9999999995</v>
      </c>
      <c r="F144" s="173">
        <f t="shared" si="79"/>
        <v>4192455</v>
      </c>
      <c r="G144" s="173">
        <f t="shared" si="79"/>
        <v>4410554.0450659376</v>
      </c>
      <c r="H144" s="173">
        <f t="shared" si="79"/>
        <v>3413421</v>
      </c>
      <c r="I144" s="173">
        <f t="shared" si="79"/>
        <v>4374566.5057304045</v>
      </c>
      <c r="J144" s="173">
        <f t="shared" si="79"/>
        <v>6890744.8346753484</v>
      </c>
      <c r="K144" s="173">
        <f t="shared" si="79"/>
        <v>4070512.7243555477</v>
      </c>
      <c r="L144" s="173">
        <f t="shared" si="79"/>
        <v>3889023.0948522822</v>
      </c>
      <c r="M144" s="173">
        <f t="shared" si="80"/>
        <v>5373580.8889604211</v>
      </c>
      <c r="N144" s="173">
        <f t="shared" si="80"/>
        <v>620947.42080519698</v>
      </c>
      <c r="O144" s="580">
        <f t="shared" ref="O144:Y146" si="96">SUMIF($A$7:$A$132,$A144,O$7:O$132)</f>
        <v>4386876.474248874</v>
      </c>
      <c r="P144" s="576">
        <f t="shared" si="96"/>
        <v>5416064.6407303307</v>
      </c>
      <c r="Q144" s="576">
        <f t="shared" si="96"/>
        <v>5500525.0571186226</v>
      </c>
      <c r="R144" s="576">
        <f t="shared" si="96"/>
        <v>5676897.9873469956</v>
      </c>
      <c r="S144" s="576">
        <f t="shared" si="96"/>
        <v>4304046.7052934654</v>
      </c>
      <c r="T144" s="576">
        <f t="shared" si="96"/>
        <v>5429485.7575879339</v>
      </c>
      <c r="U144" s="576">
        <f t="shared" si="96"/>
        <v>8582339.822188301</v>
      </c>
      <c r="V144" s="576">
        <f t="shared" si="96"/>
        <v>4882005.2141172187</v>
      </c>
      <c r="W144" s="576">
        <f t="shared" si="96"/>
        <v>4394313.108422976</v>
      </c>
      <c r="X144" s="576">
        <f t="shared" si="96"/>
        <v>5714593.3086046334</v>
      </c>
      <c r="Y144" s="576">
        <f t="shared" si="96"/>
        <v>6007758.0485386178</v>
      </c>
      <c r="Z144" s="174">
        <f t="shared" si="79"/>
        <v>2616</v>
      </c>
      <c r="AA144" s="175">
        <f t="shared" si="79"/>
        <v>3025</v>
      </c>
      <c r="AB144" s="175">
        <f t="shared" si="79"/>
        <v>2428</v>
      </c>
      <c r="AC144" s="175">
        <f t="shared" si="79"/>
        <v>2866</v>
      </c>
      <c r="AD144" s="175">
        <f t="shared" si="79"/>
        <v>2578</v>
      </c>
      <c r="AE144" s="175">
        <f t="shared" si="79"/>
        <v>2687</v>
      </c>
      <c r="AF144" s="175">
        <f t="shared" si="79"/>
        <v>5294</v>
      </c>
      <c r="AG144" s="175">
        <f t="shared" si="82"/>
        <v>3458</v>
      </c>
      <c r="AH144" s="175">
        <f t="shared" si="82"/>
        <v>2346</v>
      </c>
      <c r="AI144" s="175">
        <f t="shared" si="82"/>
        <v>2518</v>
      </c>
      <c r="AJ144" s="175">
        <f t="shared" si="82"/>
        <v>155</v>
      </c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388" t="e">
        <f t="shared" si="91"/>
        <v>#DIV/0!</v>
      </c>
      <c r="AX144" s="388"/>
      <c r="AY144" s="19"/>
      <c r="AZ144" s="19"/>
      <c r="BA144" s="19"/>
      <c r="BB144" s="699">
        <f t="shared" si="83"/>
        <v>0</v>
      </c>
      <c r="BC144" s="689">
        <f t="shared" si="83"/>
        <v>0</v>
      </c>
      <c r="BD144" s="521">
        <f t="shared" si="83"/>
        <v>0</v>
      </c>
      <c r="BE144" s="421">
        <f t="shared" si="83"/>
        <v>0</v>
      </c>
      <c r="BF144" s="96">
        <f t="shared" si="83"/>
        <v>0</v>
      </c>
      <c r="BG144" s="96">
        <f>SUMIF($A$7:$A$132,$A144,BG$7:BG$132)</f>
        <v>0</v>
      </c>
      <c r="BH144" s="96">
        <f t="shared" si="83"/>
        <v>0</v>
      </c>
      <c r="BI144" s="286">
        <f t="shared" si="83"/>
        <v>0</v>
      </c>
      <c r="BJ144" s="99">
        <f t="shared" ref="BJ144:BJ146" si="97">IFERROR(BR144/BI144,0)</f>
        <v>0</v>
      </c>
      <c r="BK144" s="991">
        <f t="shared" si="93"/>
        <v>0</v>
      </c>
      <c r="BL144" s="992">
        <f t="shared" si="84"/>
        <v>0</v>
      </c>
      <c r="BM144" s="524">
        <f t="shared" si="84"/>
        <v>0</v>
      </c>
      <c r="BN144" s="416">
        <f t="shared" si="84"/>
        <v>0</v>
      </c>
      <c r="BO144" s="97">
        <f t="shared" si="84"/>
        <v>0</v>
      </c>
      <c r="BP144" s="97">
        <f t="shared" si="84"/>
        <v>0</v>
      </c>
      <c r="BQ144" s="97">
        <f t="shared" si="84"/>
        <v>0</v>
      </c>
      <c r="BR144" s="98">
        <f t="shared" si="84"/>
        <v>0</v>
      </c>
      <c r="BS144" s="836">
        <f t="shared" si="76"/>
        <v>0</v>
      </c>
      <c r="BT144" s="840">
        <f t="shared" si="77"/>
        <v>0</v>
      </c>
      <c r="BU144" s="832">
        <f t="shared" si="78"/>
        <v>0</v>
      </c>
      <c r="BW144" s="416">
        <f>'Business Case Split 2025$'!AD151</f>
        <v>0</v>
      </c>
      <c r="BX144" s="97">
        <f>'Business Case Split 2025$'!AE151</f>
        <v>0</v>
      </c>
      <c r="BY144" s="97">
        <f>'Business Case Split 2025$'!AF151</f>
        <v>0</v>
      </c>
      <c r="BZ144" s="97">
        <f>'Business Case Split 2025$'!AG151</f>
        <v>0</v>
      </c>
      <c r="CA144" s="98">
        <f>'Business Case Split 2025$'!AH151</f>
        <v>0</v>
      </c>
      <c r="CC144" s="917">
        <f t="shared" si="94"/>
        <v>0</v>
      </c>
      <c r="CD144" s="918">
        <f t="shared" si="85"/>
        <v>0</v>
      </c>
      <c r="CE144" s="918">
        <f t="shared" si="86"/>
        <v>0</v>
      </c>
      <c r="CF144" s="918">
        <f t="shared" si="87"/>
        <v>0</v>
      </c>
      <c r="CG144" s="919">
        <f t="shared" si="88"/>
        <v>0</v>
      </c>
      <c r="CI144" s="416">
        <f t="shared" si="89"/>
        <v>0</v>
      </c>
      <c r="CJ144" s="97">
        <f t="shared" si="89"/>
        <v>0</v>
      </c>
      <c r="CK144" s="97">
        <f t="shared" si="89"/>
        <v>0</v>
      </c>
      <c r="CL144" s="97">
        <f t="shared" si="89"/>
        <v>0</v>
      </c>
      <c r="CM144" s="98">
        <f t="shared" si="89"/>
        <v>0</v>
      </c>
      <c r="CN144" s="924">
        <f t="shared" si="95"/>
        <v>0</v>
      </c>
      <c r="CO144" s="395">
        <f>CN144-'Business Case Split 2025$'!AI151</f>
        <v>0</v>
      </c>
    </row>
    <row r="145" spans="1:93" ht="15.75" thickBot="1" x14ac:dyDescent="0.3">
      <c r="A145" s="81" t="s">
        <v>242</v>
      </c>
      <c r="B145" s="171"/>
      <c r="C145" s="82" t="s">
        <v>415</v>
      </c>
      <c r="D145" s="172">
        <f t="shared" si="90"/>
        <v>5089</v>
      </c>
      <c r="E145" s="173">
        <f t="shared" si="79"/>
        <v>0</v>
      </c>
      <c r="F145" s="173">
        <f t="shared" si="79"/>
        <v>651258</v>
      </c>
      <c r="G145" s="173">
        <f t="shared" si="79"/>
        <v>617026.66915010102</v>
      </c>
      <c r="H145" s="173">
        <f t="shared" si="79"/>
        <v>20358</v>
      </c>
      <c r="I145" s="173">
        <f t="shared" si="79"/>
        <v>112730.04323198114</v>
      </c>
      <c r="J145" s="173">
        <f t="shared" si="79"/>
        <v>69084.392102603015</v>
      </c>
      <c r="K145" s="173">
        <f t="shared" si="79"/>
        <v>427714.70023235702</v>
      </c>
      <c r="L145" s="173">
        <f t="shared" si="79"/>
        <v>5806549.5256795026</v>
      </c>
      <c r="M145" s="173">
        <f t="shared" si="80"/>
        <v>1871992.2575244261</v>
      </c>
      <c r="N145" s="173">
        <f t="shared" si="80"/>
        <v>4901.07</v>
      </c>
      <c r="O145" s="580">
        <f t="shared" si="96"/>
        <v>6847.0272084422686</v>
      </c>
      <c r="P145" s="576">
        <f t="shared" si="96"/>
        <v>0</v>
      </c>
      <c r="Q145" s="576">
        <f t="shared" si="96"/>
        <v>854454.23925813381</v>
      </c>
      <c r="R145" s="576">
        <f t="shared" si="96"/>
        <v>794185.36094262125</v>
      </c>
      <c r="S145" s="576">
        <f t="shared" si="96"/>
        <v>25669.784895084544</v>
      </c>
      <c r="T145" s="576">
        <f t="shared" si="96"/>
        <v>139914.70089174452</v>
      </c>
      <c r="U145" s="576">
        <f t="shared" si="96"/>
        <v>86043.779541834534</v>
      </c>
      <c r="V145" s="576">
        <f t="shared" si="96"/>
        <v>512983.38516299392</v>
      </c>
      <c r="W145" s="576">
        <f t="shared" si="96"/>
        <v>6560978.4444774091</v>
      </c>
      <c r="X145" s="576">
        <f t="shared" si="96"/>
        <v>1990790.619824158</v>
      </c>
      <c r="Y145" s="576">
        <f t="shared" si="96"/>
        <v>5035.8419720214342</v>
      </c>
      <c r="Z145" s="174">
        <f t="shared" si="79"/>
        <v>468</v>
      </c>
      <c r="AA145" s="175">
        <f t="shared" si="79"/>
        <v>0</v>
      </c>
      <c r="AB145" s="175">
        <f t="shared" si="79"/>
        <v>1</v>
      </c>
      <c r="AC145" s="175">
        <f t="shared" si="79"/>
        <v>6</v>
      </c>
      <c r="AD145" s="175">
        <f t="shared" si="79"/>
        <v>2</v>
      </c>
      <c r="AE145" s="175">
        <f t="shared" si="79"/>
        <v>4000</v>
      </c>
      <c r="AF145" s="175">
        <f t="shared" si="79"/>
        <v>11893</v>
      </c>
      <c r="AG145" s="175">
        <f t="shared" si="82"/>
        <v>1.536</v>
      </c>
      <c r="AH145" s="175">
        <f t="shared" si="82"/>
        <v>2932</v>
      </c>
      <c r="AI145" s="175">
        <f t="shared" si="82"/>
        <v>534</v>
      </c>
      <c r="AJ145" s="175">
        <f t="shared" si="82"/>
        <v>127446</v>
      </c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388" t="e">
        <f t="shared" si="91"/>
        <v>#DIV/0!</v>
      </c>
      <c r="AX145" s="388"/>
      <c r="AY145" s="19"/>
      <c r="AZ145" s="19"/>
      <c r="BA145" s="19"/>
      <c r="BB145" s="699">
        <f t="shared" si="83"/>
        <v>0</v>
      </c>
      <c r="BC145" s="689">
        <f t="shared" si="83"/>
        <v>0</v>
      </c>
      <c r="BD145" s="521">
        <f t="shared" si="83"/>
        <v>0</v>
      </c>
      <c r="BE145" s="421">
        <f t="shared" si="83"/>
        <v>0</v>
      </c>
      <c r="BF145" s="96">
        <f t="shared" si="83"/>
        <v>0</v>
      </c>
      <c r="BG145" s="96">
        <f t="shared" si="83"/>
        <v>0</v>
      </c>
      <c r="BH145" s="96">
        <f t="shared" si="83"/>
        <v>0</v>
      </c>
      <c r="BI145" s="286">
        <f>SUMIF($A$7:$A$132,$A145,BI$7:BI$132)</f>
        <v>0</v>
      </c>
      <c r="BJ145" s="99">
        <f t="shared" si="97"/>
        <v>0</v>
      </c>
      <c r="BK145" s="991">
        <f t="shared" si="93"/>
        <v>0</v>
      </c>
      <c r="BL145" s="992">
        <f t="shared" si="84"/>
        <v>0</v>
      </c>
      <c r="BM145" s="524">
        <f t="shared" si="84"/>
        <v>0</v>
      </c>
      <c r="BN145" s="416">
        <f t="shared" si="84"/>
        <v>0</v>
      </c>
      <c r="BO145" s="97">
        <f t="shared" si="84"/>
        <v>0</v>
      </c>
      <c r="BP145" s="97">
        <f t="shared" si="84"/>
        <v>0</v>
      </c>
      <c r="BQ145" s="97">
        <f t="shared" si="84"/>
        <v>0</v>
      </c>
      <c r="BR145" s="98">
        <f t="shared" si="84"/>
        <v>0</v>
      </c>
      <c r="BS145" s="837">
        <f t="shared" si="76"/>
        <v>0</v>
      </c>
      <c r="BT145" s="841">
        <f t="shared" si="77"/>
        <v>0</v>
      </c>
      <c r="BU145" s="833">
        <f t="shared" si="78"/>
        <v>0</v>
      </c>
      <c r="BW145" s="416">
        <f>'Business Case Split 2025$'!AD152</f>
        <v>0</v>
      </c>
      <c r="BX145" s="97">
        <f>'Business Case Split 2025$'!AE152</f>
        <v>0</v>
      </c>
      <c r="BY145" s="97">
        <f>'Business Case Split 2025$'!AF152</f>
        <v>0</v>
      </c>
      <c r="BZ145" s="97">
        <f>'Business Case Split 2025$'!AG152</f>
        <v>0</v>
      </c>
      <c r="CA145" s="98">
        <f>'Business Case Split 2025$'!AH152</f>
        <v>0</v>
      </c>
      <c r="CC145" s="917">
        <f t="shared" si="94"/>
        <v>0</v>
      </c>
      <c r="CD145" s="918">
        <f t="shared" si="85"/>
        <v>0</v>
      </c>
      <c r="CE145" s="918">
        <f t="shared" si="86"/>
        <v>0</v>
      </c>
      <c r="CF145" s="918">
        <f t="shared" si="87"/>
        <v>0</v>
      </c>
      <c r="CG145" s="919">
        <f t="shared" si="88"/>
        <v>0</v>
      </c>
      <c r="CI145" s="416">
        <f t="shared" si="89"/>
        <v>0</v>
      </c>
      <c r="CJ145" s="97">
        <f t="shared" si="89"/>
        <v>0</v>
      </c>
      <c r="CK145" s="97">
        <f t="shared" si="89"/>
        <v>0</v>
      </c>
      <c r="CL145" s="97">
        <f t="shared" si="89"/>
        <v>0</v>
      </c>
      <c r="CM145" s="98">
        <f t="shared" si="89"/>
        <v>0</v>
      </c>
      <c r="CN145" s="924">
        <f t="shared" si="95"/>
        <v>0</v>
      </c>
      <c r="CO145" s="395">
        <f>CN145-'Business Case Split 2025$'!AI152</f>
        <v>0</v>
      </c>
    </row>
    <row r="146" spans="1:93" ht="15.75" thickBot="1" x14ac:dyDescent="0.3">
      <c r="A146" s="100" t="s">
        <v>258</v>
      </c>
      <c r="B146" s="176"/>
      <c r="C146" s="101" t="s">
        <v>64</v>
      </c>
      <c r="D146" s="177">
        <f t="shared" si="90"/>
        <v>109374</v>
      </c>
      <c r="E146" s="178">
        <f t="shared" si="79"/>
        <v>112981</v>
      </c>
      <c r="F146" s="178">
        <f t="shared" si="79"/>
        <v>127343</v>
      </c>
      <c r="G146" s="178">
        <f t="shared" si="79"/>
        <v>252977</v>
      </c>
      <c r="H146" s="178">
        <f t="shared" si="79"/>
        <v>488816</v>
      </c>
      <c r="I146" s="178">
        <f t="shared" si="79"/>
        <v>160292.29457639801</v>
      </c>
      <c r="J146" s="178">
        <f t="shared" si="79"/>
        <v>6193237.9809230939</v>
      </c>
      <c r="K146" s="178">
        <f t="shared" si="79"/>
        <v>3065228.5843986962</v>
      </c>
      <c r="L146" s="178">
        <f t="shared" si="79"/>
        <v>545176.38275300618</v>
      </c>
      <c r="M146" s="178">
        <f t="shared" si="80"/>
        <v>7343677.0753315194</v>
      </c>
      <c r="N146" s="178">
        <f t="shared" si="80"/>
        <v>10453814.108137006</v>
      </c>
      <c r="O146" s="582">
        <f t="shared" si="96"/>
        <v>147157.93945690012</v>
      </c>
      <c r="P146" s="577">
        <f t="shared" si="96"/>
        <v>149748.51109199505</v>
      </c>
      <c r="Q146" s="577">
        <f t="shared" si="96"/>
        <v>167074.74793376596</v>
      </c>
      <c r="R146" s="577">
        <f t="shared" si="96"/>
        <v>325610.93401670613</v>
      </c>
      <c r="S146" s="577">
        <f t="shared" si="96"/>
        <v>616357.28329284047</v>
      </c>
      <c r="T146" s="577">
        <f t="shared" si="96"/>
        <v>198946.50802853232</v>
      </c>
      <c r="U146" s="577">
        <f t="shared" si="96"/>
        <v>7713603.4241891308</v>
      </c>
      <c r="V146" s="577">
        <f t="shared" si="96"/>
        <v>3676308.8448187504</v>
      </c>
      <c r="W146" s="577">
        <f t="shared" si="96"/>
        <v>616009.64219142857</v>
      </c>
      <c r="X146" s="577">
        <f t="shared" si="96"/>
        <v>7809713.6234533461</v>
      </c>
      <c r="Y146" s="577">
        <f t="shared" si="96"/>
        <v>10741278.099163275</v>
      </c>
      <c r="Z146" s="179">
        <f t="shared" si="79"/>
        <v>10</v>
      </c>
      <c r="AA146" s="180">
        <f t="shared" si="79"/>
        <v>15</v>
      </c>
      <c r="AB146" s="180">
        <f t="shared" si="79"/>
        <v>23</v>
      </c>
      <c r="AC146" s="180">
        <f t="shared" si="79"/>
        <v>17</v>
      </c>
      <c r="AD146" s="180">
        <f t="shared" si="79"/>
        <v>25</v>
      </c>
      <c r="AE146" s="180">
        <f t="shared" si="79"/>
        <v>1165</v>
      </c>
      <c r="AF146" s="180">
        <f t="shared" si="79"/>
        <v>1090</v>
      </c>
      <c r="AG146" s="180">
        <f t="shared" si="82"/>
        <v>1264</v>
      </c>
      <c r="AH146" s="180">
        <f t="shared" si="82"/>
        <v>1108</v>
      </c>
      <c r="AI146" s="180">
        <f t="shared" si="82"/>
        <v>1479</v>
      </c>
      <c r="AJ146" s="180">
        <f t="shared" si="82"/>
        <v>1083.1666666670001</v>
      </c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388" t="e">
        <f t="shared" si="91"/>
        <v>#DIV/0!</v>
      </c>
      <c r="AX146" s="388"/>
      <c r="AY146" s="19"/>
      <c r="AZ146" s="19"/>
      <c r="BA146" s="19"/>
      <c r="BB146" s="700">
        <f t="shared" si="83"/>
        <v>0</v>
      </c>
      <c r="BC146" s="690">
        <f t="shared" si="83"/>
        <v>0</v>
      </c>
      <c r="BD146" s="522">
        <f t="shared" si="83"/>
        <v>0</v>
      </c>
      <c r="BE146" s="422">
        <f t="shared" si="83"/>
        <v>0</v>
      </c>
      <c r="BF146" s="115">
        <f t="shared" si="83"/>
        <v>26.085065208566085</v>
      </c>
      <c r="BG146" s="115">
        <f t="shared" si="83"/>
        <v>45.845069305522095</v>
      </c>
      <c r="BH146" s="115">
        <f t="shared" si="83"/>
        <v>169.8762281855621</v>
      </c>
      <c r="BI146" s="287">
        <f t="shared" si="83"/>
        <v>412.92522796535678</v>
      </c>
      <c r="BJ146" s="116">
        <f t="shared" si="97"/>
        <v>30000</v>
      </c>
      <c r="BK146" s="1059">
        <f t="shared" si="93"/>
        <v>0</v>
      </c>
      <c r="BL146" s="1060">
        <f t="shared" si="84"/>
        <v>0</v>
      </c>
      <c r="BM146" s="525">
        <f t="shared" si="84"/>
        <v>0</v>
      </c>
      <c r="BN146" s="467">
        <f t="shared" si="84"/>
        <v>0</v>
      </c>
      <c r="BO146" s="117">
        <f t="shared" si="84"/>
        <v>782551.95625698252</v>
      </c>
      <c r="BP146" s="117">
        <f t="shared" si="84"/>
        <v>1375352.0791656629</v>
      </c>
      <c r="BQ146" s="117">
        <f t="shared" si="84"/>
        <v>5096286.8455668632</v>
      </c>
      <c r="BR146" s="118">
        <f t="shared" si="84"/>
        <v>12387756.838960703</v>
      </c>
      <c r="BS146" s="627">
        <f>SUM(BN147:BR147)</f>
        <v>1592350456.7718084</v>
      </c>
      <c r="BT146" s="842"/>
      <c r="BW146" s="467">
        <f>'Business Case Split 2025$'!AD153</f>
        <v>0</v>
      </c>
      <c r="BX146" s="117">
        <f>'Business Case Split 2025$'!AE153</f>
        <v>870911.96859644388</v>
      </c>
      <c r="BY146" s="117">
        <f>'Business Case Split 2025$'!AF153</f>
        <v>1530646.7221788238</v>
      </c>
      <c r="BZ146" s="117">
        <f>'Business Case Split 2025$'!AG153</f>
        <v>5671722.080197908</v>
      </c>
      <c r="CA146" s="118">
        <f>'Business Case Split 2025$'!AH153</f>
        <v>13786491.24681305</v>
      </c>
      <c r="CC146" s="920">
        <f t="shared" si="94"/>
        <v>0</v>
      </c>
      <c r="CD146" s="921">
        <f t="shared" si="85"/>
        <v>1.1129126464165975</v>
      </c>
      <c r="CE146" s="921">
        <f t="shared" si="86"/>
        <v>1.1129126464165948</v>
      </c>
      <c r="CF146" s="921">
        <f t="shared" si="87"/>
        <v>1.1129126464165968</v>
      </c>
      <c r="CG146" s="922">
        <f t="shared" si="88"/>
        <v>1.1129126464165966</v>
      </c>
      <c r="CI146" s="467">
        <f t="shared" si="89"/>
        <v>0</v>
      </c>
      <c r="CJ146" s="117">
        <f t="shared" si="89"/>
        <v>870911.96859644388</v>
      </c>
      <c r="CK146" s="117">
        <f t="shared" si="89"/>
        <v>1530646.7221788238</v>
      </c>
      <c r="CL146" s="117">
        <f t="shared" si="89"/>
        <v>5671722.080197908</v>
      </c>
      <c r="CM146" s="118">
        <f t="shared" si="89"/>
        <v>13786491.24681305</v>
      </c>
      <c r="CN146" s="925">
        <f t="shared" si="95"/>
        <v>21859772.017786227</v>
      </c>
      <c r="CO146" s="395">
        <f>CN146-'Business Case Split 2025$'!AI153</f>
        <v>0</v>
      </c>
    </row>
    <row r="147" spans="1:93" ht="15.75" thickBot="1" x14ac:dyDescent="0.3">
      <c r="D147" s="183">
        <f>SUM(D136:D146)</f>
        <v>95141198</v>
      </c>
      <c r="E147" s="184">
        <f t="shared" ref="E147:L147" si="98">SUM(E136:E146)</f>
        <v>147041615</v>
      </c>
      <c r="F147" s="184">
        <f t="shared" si="98"/>
        <v>141620382</v>
      </c>
      <c r="G147" s="184">
        <f t="shared" si="98"/>
        <v>137594919</v>
      </c>
      <c r="H147" s="184">
        <f t="shared" si="98"/>
        <v>165761807</v>
      </c>
      <c r="I147" s="184">
        <f t="shared" si="98"/>
        <v>217731522.16976923</v>
      </c>
      <c r="J147" s="184">
        <f t="shared" si="98"/>
        <v>332104725.7142939</v>
      </c>
      <c r="K147" s="184">
        <f t="shared" si="98"/>
        <v>347205605.19673884</v>
      </c>
      <c r="L147" s="184">
        <f t="shared" si="98"/>
        <v>336149388.47895175</v>
      </c>
      <c r="M147" s="184">
        <f t="shared" ref="M147:N147" si="99">SUM(M136:M146)</f>
        <v>375827657.08846843</v>
      </c>
      <c r="N147" s="184">
        <f t="shared" si="99"/>
        <v>425937968.06485802</v>
      </c>
      <c r="O147" s="183">
        <f>SUM(O136:O146)</f>
        <v>128008326.06598413</v>
      </c>
      <c r="P147" s="184">
        <f t="shared" ref="P147:W147" si="100">SUM(P136:P146)</f>
        <v>194893503.46352366</v>
      </c>
      <c r="Q147" s="184">
        <f t="shared" si="100"/>
        <v>185806755.18036836</v>
      </c>
      <c r="R147" s="184">
        <f t="shared" si="100"/>
        <v>177100724.93366206</v>
      </c>
      <c r="S147" s="184">
        <f t="shared" si="100"/>
        <v>209012178.48072106</v>
      </c>
      <c r="T147" s="184">
        <f t="shared" si="100"/>
        <v>270237107.3911289</v>
      </c>
      <c r="U147" s="184">
        <f t="shared" si="100"/>
        <v>413632441.92294818</v>
      </c>
      <c r="V147" s="184">
        <f t="shared" si="100"/>
        <v>416424094.38962471</v>
      </c>
      <c r="W147" s="184">
        <f t="shared" si="100"/>
        <v>379824348.72568727</v>
      </c>
      <c r="X147" s="184">
        <f t="shared" ref="X147:Y147" si="101">SUM(X136:X146)</f>
        <v>399678028.25832504</v>
      </c>
      <c r="Y147" s="184">
        <f t="shared" si="101"/>
        <v>439142618.19593102</v>
      </c>
      <c r="BB147" s="685"/>
      <c r="BC147" s="19"/>
      <c r="BD147" s="19"/>
      <c r="BE147" s="19"/>
      <c r="BF147" s="19"/>
      <c r="BG147" s="19"/>
      <c r="BH147" s="19"/>
      <c r="BI147" s="282"/>
      <c r="BJ147" s="19"/>
      <c r="BK147" s="1061">
        <f>SUM(BK136:BK146)</f>
        <v>315651112.90634966</v>
      </c>
      <c r="BL147" s="1062">
        <f t="shared" ref="BL147:BR147" si="102">SUM(BL136:BL146)</f>
        <v>307776182.08234102</v>
      </c>
      <c r="BM147" s="526">
        <f t="shared" si="102"/>
        <v>308076182.08234102</v>
      </c>
      <c r="BN147" s="527">
        <f t="shared" si="102"/>
        <v>309328002.02926081</v>
      </c>
      <c r="BO147" s="528">
        <f t="shared" si="102"/>
        <v>313575625.08113527</v>
      </c>
      <c r="BP147" s="528">
        <f t="shared" si="102"/>
        <v>316278865.85301459</v>
      </c>
      <c r="BQ147" s="528">
        <f t="shared" si="102"/>
        <v>322410519.34172231</v>
      </c>
      <c r="BR147" s="529">
        <f t="shared" si="102"/>
        <v>330757444.46667522</v>
      </c>
      <c r="BS147" s="625">
        <v>1869884979.0138216</v>
      </c>
      <c r="BT147" s="843"/>
      <c r="BW147" s="527">
        <f t="shared" ref="BW147:CA147" si="103">SUM(BW136:BW146)</f>
        <v>351611524.7128523</v>
      </c>
      <c r="BX147" s="528">
        <f t="shared" si="103"/>
        <v>358279243.20532393</v>
      </c>
      <c r="BY147" s="528">
        <f t="shared" si="103"/>
        <v>363076618.22811794</v>
      </c>
      <c r="BZ147" s="528">
        <f t="shared" si="103"/>
        <v>371993401.27163363</v>
      </c>
      <c r="CA147" s="529">
        <f t="shared" si="103"/>
        <v>383483807.08577764</v>
      </c>
      <c r="CI147" s="527">
        <f t="shared" ref="CI147:CM147" si="104">SUM(CI136:CI146)</f>
        <v>351611524.71285236</v>
      </c>
      <c r="CJ147" s="528">
        <f t="shared" si="104"/>
        <v>358279243.20532393</v>
      </c>
      <c r="CK147" s="528">
        <f t="shared" si="104"/>
        <v>363076618.22811794</v>
      </c>
      <c r="CL147" s="528">
        <f t="shared" si="104"/>
        <v>371993401.27163363</v>
      </c>
      <c r="CM147" s="529">
        <f t="shared" si="104"/>
        <v>383483807.08577752</v>
      </c>
      <c r="CO147" s="395"/>
    </row>
    <row r="148" spans="1:93" ht="15.75" thickBot="1" x14ac:dyDescent="0.3">
      <c r="CM148" s="628">
        <f>SUM(CI147:CM147)</f>
        <v>1828444594.5037053</v>
      </c>
      <c r="CO148" s="395"/>
    </row>
    <row r="149" spans="1:93" ht="15.75" thickBot="1" x14ac:dyDescent="0.3">
      <c r="AI149" s="280">
        <f>SUM(K138:M138)/SUM(AG138:AI138)</f>
        <v>2615.8351617585745</v>
      </c>
      <c r="AK149">
        <f>AI149*1.05</f>
        <v>2746.6269198465034</v>
      </c>
      <c r="BI149" s="650"/>
      <c r="BJ149" s="395"/>
      <c r="CM149" s="629">
        <f>'Business Case Split 2025$'!AI139</f>
        <v>1828444594.5037055</v>
      </c>
      <c r="CO149" s="395"/>
    </row>
    <row r="150" spans="1:93" ht="15.75" thickBot="1" x14ac:dyDescent="0.3">
      <c r="BI150" s="650"/>
      <c r="BJ150" s="395"/>
      <c r="BS150" s="627">
        <v>1613131096.2603467</v>
      </c>
      <c r="BT150" s="842"/>
      <c r="CM150" s="395">
        <f>CM149-CM148</f>
        <v>0</v>
      </c>
      <c r="CO150" s="395"/>
    </row>
    <row r="151" spans="1:93" x14ac:dyDescent="0.25">
      <c r="BI151" s="650"/>
      <c r="BJ151" s="395"/>
      <c r="BS151" s="395"/>
      <c r="BT151" s="395"/>
    </row>
    <row r="152" spans="1:93" x14ac:dyDescent="0.25">
      <c r="BI152" s="650"/>
      <c r="BJ152" s="395"/>
      <c r="BN152" s="395"/>
      <c r="BO152" s="395"/>
      <c r="BP152" s="395"/>
      <c r="BQ152" s="395"/>
      <c r="BR152" s="395"/>
    </row>
    <row r="153" spans="1:93" ht="15.75" thickBot="1" x14ac:dyDescent="0.3">
      <c r="BI153" s="650"/>
      <c r="BJ153" s="822">
        <v>0.1</v>
      </c>
    </row>
    <row r="154" spans="1:93" x14ac:dyDescent="0.25">
      <c r="BE154" s="75">
        <f>IFERROR(BN154/$BJ154,"")</f>
        <v>4234.545454545454</v>
      </c>
      <c r="BF154" s="76">
        <f t="shared" ref="BF154:BI164" si="105">IFERROR(BO154/$BJ154,"")</f>
        <v>4234.545454545454</v>
      </c>
      <c r="BG154" s="76">
        <f t="shared" si="105"/>
        <v>4234.545454545454</v>
      </c>
      <c r="BH154" s="76">
        <f t="shared" si="105"/>
        <v>4234.545454545454</v>
      </c>
      <c r="BI154" s="633">
        <f t="shared" si="105"/>
        <v>4234.545454545454</v>
      </c>
      <c r="BJ154" s="747">
        <f>BJ136*(1+$BJ$153)</f>
        <v>1980.0000000000002</v>
      </c>
      <c r="BK154" s="823">
        <f>1/1.1</f>
        <v>0.90909090909090906</v>
      </c>
      <c r="BN154" s="415">
        <f t="shared" ref="BN154:BR164" si="106">BN136</f>
        <v>8384400</v>
      </c>
      <c r="BO154" s="79">
        <f t="shared" si="106"/>
        <v>8384400</v>
      </c>
      <c r="BP154" s="79">
        <f t="shared" si="106"/>
        <v>8384400</v>
      </c>
      <c r="BQ154" s="79">
        <f t="shared" si="106"/>
        <v>8384400</v>
      </c>
      <c r="BR154" s="80">
        <f>BR136</f>
        <v>8384400</v>
      </c>
    </row>
    <row r="155" spans="1:93" x14ac:dyDescent="0.25">
      <c r="BE155" s="93">
        <f t="shared" ref="BE155:BE164" si="107">IFERROR(BN155/$BJ155,"")</f>
        <v>13159.574288316402</v>
      </c>
      <c r="BF155" s="94">
        <f t="shared" si="105"/>
        <v>13273.908675018434</v>
      </c>
      <c r="BG155" s="94">
        <f t="shared" si="105"/>
        <v>13350.131599486453</v>
      </c>
      <c r="BH155" s="94">
        <f t="shared" si="105"/>
        <v>13426.354523954473</v>
      </c>
      <c r="BI155" s="635">
        <f t="shared" si="105"/>
        <v>13464.465986188485</v>
      </c>
      <c r="BJ155" s="746">
        <f t="shared" ref="BJ155:BJ163" si="108">BJ137*(1+$BJ$153)</f>
        <v>6859.8005281246033</v>
      </c>
      <c r="BN155" s="416">
        <f t="shared" si="106"/>
        <v>90272054.652887806</v>
      </c>
      <c r="BO155" s="97">
        <f t="shared" si="106"/>
        <v>91056365.73916921</v>
      </c>
      <c r="BP155" s="97">
        <f t="shared" si="106"/>
        <v>91579239.796690121</v>
      </c>
      <c r="BQ155" s="97">
        <f t="shared" si="106"/>
        <v>92102113.854211047</v>
      </c>
      <c r="BR155" s="98">
        <f t="shared" si="106"/>
        <v>92363550.882971525</v>
      </c>
    </row>
    <row r="156" spans="1:93" x14ac:dyDescent="0.25">
      <c r="BE156" s="93">
        <f t="shared" si="107"/>
        <v>27519.712083039121</v>
      </c>
      <c r="BF156" s="94">
        <f t="shared" si="105"/>
        <v>27666.490064611367</v>
      </c>
      <c r="BG156" s="94">
        <f t="shared" si="105"/>
        <v>27764.342052326199</v>
      </c>
      <c r="BH156" s="94">
        <f t="shared" si="105"/>
        <v>27862.194040041035</v>
      </c>
      <c r="BI156" s="635">
        <f t="shared" si="105"/>
        <v>27911.120033898449</v>
      </c>
      <c r="BJ156" s="746">
        <f t="shared" si="108"/>
        <v>3091.5951360530958</v>
      </c>
      <c r="BN156" s="416">
        <f t="shared" si="106"/>
        <v>85079808.021505356</v>
      </c>
      <c r="BO156" s="97">
        <f t="shared" si="106"/>
        <v>85533586.1154138</v>
      </c>
      <c r="BP156" s="97">
        <f t="shared" si="106"/>
        <v>85836104.844686106</v>
      </c>
      <c r="BQ156" s="97">
        <f t="shared" si="106"/>
        <v>86138623.573958412</v>
      </c>
      <c r="BR156" s="98">
        <f t="shared" si="106"/>
        <v>86289882.938594565</v>
      </c>
    </row>
    <row r="157" spans="1:93" x14ac:dyDescent="0.25">
      <c r="BE157" s="93">
        <f t="shared" si="107"/>
        <v>645.07948352254709</v>
      </c>
      <c r="BF157" s="94">
        <f t="shared" si="105"/>
        <v>666.67886916806401</v>
      </c>
      <c r="BG157" s="94">
        <f t="shared" si="105"/>
        <v>681.08474123503879</v>
      </c>
      <c r="BH157" s="94">
        <f t="shared" si="105"/>
        <v>695.49505512590781</v>
      </c>
      <c r="BI157" s="635">
        <f t="shared" si="105"/>
        <v>702.70174186662382</v>
      </c>
      <c r="BJ157" s="746">
        <f t="shared" si="108"/>
        <v>62603.4130180461</v>
      </c>
      <c r="BN157" s="416">
        <f t="shared" si="106"/>
        <v>40384177.336429879</v>
      </c>
      <c r="BO157" s="97">
        <f t="shared" si="106"/>
        <v>41736372.596932232</v>
      </c>
      <c r="BP157" s="97">
        <f t="shared" si="106"/>
        <v>42638229.355826184</v>
      </c>
      <c r="BQ157" s="97">
        <f t="shared" si="106"/>
        <v>43540364.188055947</v>
      </c>
      <c r="BR157" s="98">
        <f t="shared" si="106"/>
        <v>43991527.374576665</v>
      </c>
    </row>
    <row r="158" spans="1:93" x14ac:dyDescent="0.25">
      <c r="BE158" s="93">
        <f t="shared" si="107"/>
        <v>18.241091148530373</v>
      </c>
      <c r="BF158" s="94">
        <f t="shared" si="105"/>
        <v>19.086160305007585</v>
      </c>
      <c r="BG158" s="94">
        <f t="shared" si="105"/>
        <v>19.086160305007585</v>
      </c>
      <c r="BH158" s="94">
        <f t="shared" si="105"/>
        <v>19.931229461484797</v>
      </c>
      <c r="BI158" s="635">
        <f t="shared" si="105"/>
        <v>19.931229461484797</v>
      </c>
      <c r="BJ158" s="746">
        <f t="shared" si="108"/>
        <v>355000.53185066185</v>
      </c>
      <c r="BN158" s="416">
        <f t="shared" si="106"/>
        <v>6475597.0592646832</v>
      </c>
      <c r="BO158" s="97">
        <f t="shared" si="106"/>
        <v>6775597.0592646832</v>
      </c>
      <c r="BP158" s="97">
        <f t="shared" si="106"/>
        <v>6775597.0592646832</v>
      </c>
      <c r="BQ158" s="97">
        <f t="shared" si="106"/>
        <v>7075597.0592646832</v>
      </c>
      <c r="BR158" s="98">
        <f t="shared" si="106"/>
        <v>7075597.0592646832</v>
      </c>
    </row>
    <row r="159" spans="1:93" x14ac:dyDescent="0.25">
      <c r="BE159" s="421">
        <f t="shared" si="107"/>
        <v>16404.51752465812</v>
      </c>
      <c r="BF159" s="96">
        <f t="shared" si="105"/>
        <v>16528.492424342301</v>
      </c>
      <c r="BG159" s="96">
        <f t="shared" si="105"/>
        <v>16611.142357465083</v>
      </c>
      <c r="BH159" s="96">
        <f t="shared" si="105"/>
        <v>16693.79229058787</v>
      </c>
      <c r="BI159" s="286">
        <f t="shared" si="105"/>
        <v>16735.117257149261</v>
      </c>
      <c r="BJ159" s="746">
        <f t="shared" si="108"/>
        <v>1473.1932982011294</v>
      </c>
      <c r="BN159" s="416">
        <f t="shared" si="106"/>
        <v>24167025.277549326</v>
      </c>
      <c r="BO159" s="97">
        <f t="shared" si="106"/>
        <v>24349664.268909216</v>
      </c>
      <c r="BP159" s="97">
        <f t="shared" si="106"/>
        <v>24471423.596482471</v>
      </c>
      <c r="BQ159" s="97">
        <f t="shared" si="106"/>
        <v>24593182.924055733</v>
      </c>
      <c r="BR159" s="98">
        <f t="shared" si="106"/>
        <v>24654062.58784236</v>
      </c>
    </row>
    <row r="160" spans="1:93" x14ac:dyDescent="0.25">
      <c r="BE160" s="421">
        <f t="shared" si="107"/>
        <v>853.71505628096872</v>
      </c>
      <c r="BF160" s="96">
        <f t="shared" si="105"/>
        <v>858.93715747959868</v>
      </c>
      <c r="BG160" s="96">
        <f t="shared" si="105"/>
        <v>862.41855827868551</v>
      </c>
      <c r="BH160" s="96">
        <f t="shared" si="105"/>
        <v>865.89995907777211</v>
      </c>
      <c r="BI160" s="286">
        <f t="shared" si="105"/>
        <v>867.64065947731547</v>
      </c>
      <c r="BJ160" s="746">
        <f t="shared" si="108"/>
        <v>31380.111266617689</v>
      </c>
      <c r="BN160" s="416">
        <f t="shared" si="106"/>
        <v>26789673.456083581</v>
      </c>
      <c r="BO160" s="97">
        <f t="shared" si="106"/>
        <v>26953543.572742127</v>
      </c>
      <c r="BP160" s="97">
        <f t="shared" si="106"/>
        <v>27062790.317181163</v>
      </c>
      <c r="BQ160" s="97">
        <f t="shared" si="106"/>
        <v>27172037.061620191</v>
      </c>
      <c r="BR160" s="98">
        <f t="shared" si="106"/>
        <v>27226660.433839709</v>
      </c>
    </row>
    <row r="161" spans="57:70" x14ac:dyDescent="0.25">
      <c r="BE161" s="421">
        <f t="shared" si="107"/>
        <v>2619.5263977912246</v>
      </c>
      <c r="BF161" s="96">
        <f t="shared" si="105"/>
        <v>2641.0555905373803</v>
      </c>
      <c r="BG161" s="96">
        <f t="shared" si="105"/>
        <v>2655.4083857014843</v>
      </c>
      <c r="BH161" s="96">
        <f t="shared" si="105"/>
        <v>2669.7611808655888</v>
      </c>
      <c r="BI161" s="286">
        <f t="shared" si="105"/>
        <v>2676.9375784476406</v>
      </c>
      <c r="BJ161" s="746">
        <f t="shared" si="108"/>
        <v>10603.163323324461</v>
      </c>
      <c r="BN161" s="416">
        <f t="shared" si="106"/>
        <v>27775266.225540154</v>
      </c>
      <c r="BO161" s="97">
        <f t="shared" si="106"/>
        <v>28003543.772446979</v>
      </c>
      <c r="BP161" s="97">
        <f t="shared" si="106"/>
        <v>28155728.803718194</v>
      </c>
      <c r="BQ161" s="97">
        <f t="shared" si="106"/>
        <v>28307913.834989414</v>
      </c>
      <c r="BR161" s="98">
        <f t="shared" si="106"/>
        <v>28384006.35062502</v>
      </c>
    </row>
    <row r="162" spans="57:70" x14ac:dyDescent="0.25">
      <c r="BE162" s="421" t="str">
        <f t="shared" si="107"/>
        <v/>
      </c>
      <c r="BF162" s="96" t="str">
        <f t="shared" si="105"/>
        <v/>
      </c>
      <c r="BG162" s="96" t="str">
        <f t="shared" si="105"/>
        <v/>
      </c>
      <c r="BH162" s="96" t="str">
        <f t="shared" si="105"/>
        <v/>
      </c>
      <c r="BI162" s="286" t="str">
        <f t="shared" si="105"/>
        <v/>
      </c>
      <c r="BJ162" s="99">
        <f t="shared" si="108"/>
        <v>0</v>
      </c>
      <c r="BN162" s="416">
        <f t="shared" si="106"/>
        <v>0</v>
      </c>
      <c r="BO162" s="97">
        <f t="shared" si="106"/>
        <v>0</v>
      </c>
      <c r="BP162" s="97">
        <f t="shared" si="106"/>
        <v>0</v>
      </c>
      <c r="BQ162" s="97">
        <f t="shared" si="106"/>
        <v>0</v>
      </c>
      <c r="BR162" s="98">
        <f t="shared" si="106"/>
        <v>0</v>
      </c>
    </row>
    <row r="163" spans="57:70" x14ac:dyDescent="0.25">
      <c r="BE163" s="421" t="str">
        <f t="shared" si="107"/>
        <v/>
      </c>
      <c r="BF163" s="96" t="str">
        <f t="shared" si="105"/>
        <v/>
      </c>
      <c r="BG163" s="96" t="str">
        <f t="shared" si="105"/>
        <v/>
      </c>
      <c r="BH163" s="96" t="str">
        <f t="shared" si="105"/>
        <v/>
      </c>
      <c r="BI163" s="286" t="str">
        <f t="shared" si="105"/>
        <v/>
      </c>
      <c r="BJ163" s="99">
        <f t="shared" si="108"/>
        <v>0</v>
      </c>
      <c r="BN163" s="416">
        <f t="shared" si="106"/>
        <v>0</v>
      </c>
      <c r="BO163" s="97">
        <f t="shared" si="106"/>
        <v>0</v>
      </c>
      <c r="BP163" s="97">
        <f t="shared" si="106"/>
        <v>0</v>
      </c>
      <c r="BQ163" s="97">
        <f t="shared" si="106"/>
        <v>0</v>
      </c>
      <c r="BR163" s="98">
        <f t="shared" si="106"/>
        <v>0</v>
      </c>
    </row>
    <row r="164" spans="57:70" ht="15.75" thickBot="1" x14ac:dyDescent="0.3">
      <c r="BE164" s="422">
        <f t="shared" si="107"/>
        <v>0</v>
      </c>
      <c r="BF164" s="115">
        <f t="shared" si="105"/>
        <v>23.713695644150985</v>
      </c>
      <c r="BG164" s="115">
        <f t="shared" si="105"/>
        <v>41.677335732292818</v>
      </c>
      <c r="BH164" s="115">
        <f t="shared" si="105"/>
        <v>154.43293471414736</v>
      </c>
      <c r="BI164" s="287">
        <f t="shared" si="105"/>
        <v>375.38657087759708</v>
      </c>
      <c r="BJ164" s="116">
        <f>BJ146*(1+$BJ$153)</f>
        <v>33000</v>
      </c>
      <c r="BN164" s="467">
        <f t="shared" si="106"/>
        <v>0</v>
      </c>
      <c r="BO164" s="117">
        <f t="shared" si="106"/>
        <v>782551.95625698252</v>
      </c>
      <c r="BP164" s="117">
        <f t="shared" si="106"/>
        <v>1375352.0791656629</v>
      </c>
      <c r="BQ164" s="117">
        <f t="shared" si="106"/>
        <v>5096286.8455668632</v>
      </c>
      <c r="BR164" s="118">
        <f>BR146</f>
        <v>12387756.838960703</v>
      </c>
    </row>
    <row r="166" spans="57:70" ht="15.75" thickBot="1" x14ac:dyDescent="0.3">
      <c r="BJ166" s="822">
        <v>0.2</v>
      </c>
    </row>
    <row r="167" spans="57:70" x14ac:dyDescent="0.25">
      <c r="BE167" s="75">
        <f>IFERROR(BN154/$BJ167,"")</f>
        <v>3881.6666666666665</v>
      </c>
      <c r="BF167" s="76">
        <f t="shared" ref="BF167:BI167" si="109">IFERROR(BO154/$BJ167,"")</f>
        <v>3881.6666666666665</v>
      </c>
      <c r="BG167" s="76">
        <f t="shared" si="109"/>
        <v>3881.6666666666665</v>
      </c>
      <c r="BH167" s="76">
        <f t="shared" si="109"/>
        <v>3881.6666666666665</v>
      </c>
      <c r="BI167" s="633">
        <f t="shared" si="109"/>
        <v>3881.6666666666665</v>
      </c>
      <c r="BJ167" s="747">
        <f>BJ136*(1+$BJ$166)</f>
        <v>2160</v>
      </c>
      <c r="BK167" s="823">
        <f>1/1.2</f>
        <v>0.83333333333333337</v>
      </c>
      <c r="BN167" s="415">
        <f>BN136</f>
        <v>8384400</v>
      </c>
      <c r="BO167" s="79">
        <f t="shared" ref="BO167:BR167" si="110">BO136</f>
        <v>8384400</v>
      </c>
      <c r="BP167" s="79">
        <f t="shared" si="110"/>
        <v>8384400</v>
      </c>
      <c r="BQ167" s="79">
        <f t="shared" si="110"/>
        <v>8384400</v>
      </c>
      <c r="BR167" s="80">
        <f t="shared" si="110"/>
        <v>8384400</v>
      </c>
    </row>
    <row r="168" spans="57:70" x14ac:dyDescent="0.25">
      <c r="BE168" s="93">
        <f t="shared" ref="BE168:BI168" si="111">IFERROR(BN155/$BJ168,"")</f>
        <v>12062.943097623369</v>
      </c>
      <c r="BF168" s="94">
        <f t="shared" si="111"/>
        <v>12167.749618766898</v>
      </c>
      <c r="BG168" s="94">
        <f t="shared" si="111"/>
        <v>12237.620632862583</v>
      </c>
      <c r="BH168" s="94">
        <f t="shared" si="111"/>
        <v>12307.491646958268</v>
      </c>
      <c r="BI168" s="635">
        <f t="shared" si="111"/>
        <v>12342.427154006113</v>
      </c>
      <c r="BJ168" s="746">
        <f t="shared" ref="BJ168:BJ177" si="112">BJ137*(1+$BJ$166)</f>
        <v>7483.4187579541122</v>
      </c>
      <c r="BN168" s="416">
        <f t="shared" ref="BN168:BR168" si="113">BN137</f>
        <v>90272054.652887806</v>
      </c>
      <c r="BO168" s="97">
        <f t="shared" si="113"/>
        <v>91056365.73916921</v>
      </c>
      <c r="BP168" s="97">
        <f t="shared" si="113"/>
        <v>91579239.796690121</v>
      </c>
      <c r="BQ168" s="97">
        <f t="shared" si="113"/>
        <v>92102113.854211047</v>
      </c>
      <c r="BR168" s="98">
        <f t="shared" si="113"/>
        <v>92363550.882971525</v>
      </c>
    </row>
    <row r="169" spans="57:70" x14ac:dyDescent="0.25">
      <c r="BE169" s="93">
        <f t="shared" ref="BE169:BI169" si="114">IFERROR(BN156/$BJ169,"")</f>
        <v>25226.402742785864</v>
      </c>
      <c r="BF169" s="94">
        <f t="shared" si="114"/>
        <v>25360.949225893757</v>
      </c>
      <c r="BG169" s="94">
        <f t="shared" si="114"/>
        <v>25450.646881299021</v>
      </c>
      <c r="BH169" s="94">
        <f t="shared" si="114"/>
        <v>25540.344536704284</v>
      </c>
      <c r="BI169" s="635">
        <f t="shared" si="114"/>
        <v>25585.193364406918</v>
      </c>
      <c r="BJ169" s="746">
        <f t="shared" si="112"/>
        <v>3372.6492393306494</v>
      </c>
      <c r="BN169" s="416">
        <f t="shared" ref="BN169:BR169" si="115">BN138</f>
        <v>85079808.021505356</v>
      </c>
      <c r="BO169" s="97">
        <f t="shared" si="115"/>
        <v>85533586.1154138</v>
      </c>
      <c r="BP169" s="97">
        <f t="shared" si="115"/>
        <v>85836104.844686106</v>
      </c>
      <c r="BQ169" s="97">
        <f t="shared" si="115"/>
        <v>86138623.573958412</v>
      </c>
      <c r="BR169" s="98">
        <f t="shared" si="115"/>
        <v>86289882.938594565</v>
      </c>
    </row>
    <row r="170" spans="57:70" x14ac:dyDescent="0.25">
      <c r="BE170" s="93">
        <f t="shared" ref="BE170:BI170" si="116">IFERROR(BN157/$BJ170,"")</f>
        <v>591.32285989566822</v>
      </c>
      <c r="BF170" s="94">
        <f t="shared" si="116"/>
        <v>611.12229673739205</v>
      </c>
      <c r="BG170" s="94">
        <f t="shared" si="116"/>
        <v>624.32767946545221</v>
      </c>
      <c r="BH170" s="94">
        <f t="shared" si="116"/>
        <v>637.53713386541551</v>
      </c>
      <c r="BI170" s="635">
        <f t="shared" si="116"/>
        <v>644.14326337773855</v>
      </c>
      <c r="BJ170" s="746">
        <f t="shared" si="112"/>
        <v>68294.632383323013</v>
      </c>
      <c r="BN170" s="416">
        <f t="shared" ref="BN170:BR170" si="117">BN139</f>
        <v>40384177.336429879</v>
      </c>
      <c r="BO170" s="97">
        <f t="shared" si="117"/>
        <v>41736372.596932232</v>
      </c>
      <c r="BP170" s="97">
        <f t="shared" si="117"/>
        <v>42638229.355826184</v>
      </c>
      <c r="BQ170" s="97">
        <f t="shared" si="117"/>
        <v>43540364.188055947</v>
      </c>
      <c r="BR170" s="98">
        <f t="shared" si="117"/>
        <v>43991527.374576665</v>
      </c>
    </row>
    <row r="171" spans="57:70" x14ac:dyDescent="0.25">
      <c r="BE171" s="93">
        <f t="shared" ref="BE171:BI171" si="118">IFERROR(BN158/$BJ171,"")</f>
        <v>16.721000219486179</v>
      </c>
      <c r="BF171" s="94">
        <f t="shared" si="118"/>
        <v>17.495646946256958</v>
      </c>
      <c r="BG171" s="94">
        <f t="shared" si="118"/>
        <v>17.495646946256958</v>
      </c>
      <c r="BH171" s="94">
        <f t="shared" si="118"/>
        <v>18.270293673027734</v>
      </c>
      <c r="BI171" s="635">
        <f t="shared" si="118"/>
        <v>18.270293673027734</v>
      </c>
      <c r="BJ171" s="746">
        <f t="shared" si="112"/>
        <v>387273.30747344921</v>
      </c>
      <c r="BN171" s="416">
        <f t="shared" ref="BN171:BR171" si="119">BN140</f>
        <v>6475597.0592646832</v>
      </c>
      <c r="BO171" s="97">
        <f t="shared" si="119"/>
        <v>6775597.0592646832</v>
      </c>
      <c r="BP171" s="97">
        <f t="shared" si="119"/>
        <v>6775597.0592646832</v>
      </c>
      <c r="BQ171" s="97">
        <f t="shared" si="119"/>
        <v>7075597.0592646832</v>
      </c>
      <c r="BR171" s="98">
        <f t="shared" si="119"/>
        <v>7075597.0592646832</v>
      </c>
    </row>
    <row r="172" spans="57:70" x14ac:dyDescent="0.25">
      <c r="BE172" s="421">
        <f t="shared" ref="BE172:BI172" si="120">IFERROR(BN159/$BJ172,"")</f>
        <v>15037.474397603281</v>
      </c>
      <c r="BF172" s="96">
        <f t="shared" si="120"/>
        <v>15151.118055647112</v>
      </c>
      <c r="BG172" s="96">
        <f t="shared" si="120"/>
        <v>15226.880494342995</v>
      </c>
      <c r="BH172" s="96">
        <f t="shared" si="120"/>
        <v>15302.642933038884</v>
      </c>
      <c r="BI172" s="286">
        <f t="shared" si="120"/>
        <v>15340.524152386826</v>
      </c>
      <c r="BJ172" s="746">
        <f t="shared" si="112"/>
        <v>1607.1199616739591</v>
      </c>
      <c r="BN172" s="416">
        <f t="shared" ref="BN172:BR172" si="121">BN141</f>
        <v>24167025.277549326</v>
      </c>
      <c r="BO172" s="97">
        <f t="shared" si="121"/>
        <v>24349664.268909216</v>
      </c>
      <c r="BP172" s="97">
        <f t="shared" si="121"/>
        <v>24471423.596482471</v>
      </c>
      <c r="BQ172" s="97">
        <f t="shared" si="121"/>
        <v>24593182.924055733</v>
      </c>
      <c r="BR172" s="98">
        <f t="shared" si="121"/>
        <v>24654062.58784236</v>
      </c>
    </row>
    <row r="173" spans="57:70" x14ac:dyDescent="0.25">
      <c r="BE173" s="421">
        <f t="shared" ref="BE173:BI173" si="122">IFERROR(BN160/$BJ173,"")</f>
        <v>782.57213492422147</v>
      </c>
      <c r="BF173" s="96">
        <f t="shared" si="122"/>
        <v>787.35906102296565</v>
      </c>
      <c r="BG173" s="96">
        <f t="shared" si="122"/>
        <v>790.55034508879521</v>
      </c>
      <c r="BH173" s="96">
        <f t="shared" si="122"/>
        <v>793.74162915462455</v>
      </c>
      <c r="BI173" s="286">
        <f t="shared" si="122"/>
        <v>795.33727118753939</v>
      </c>
      <c r="BJ173" s="746">
        <f t="shared" si="112"/>
        <v>34232.848654492016</v>
      </c>
      <c r="BN173" s="416">
        <f t="shared" ref="BN173:BR173" si="123">BN142</f>
        <v>26789673.456083581</v>
      </c>
      <c r="BO173" s="97">
        <f t="shared" si="123"/>
        <v>26953543.572742127</v>
      </c>
      <c r="BP173" s="97">
        <f t="shared" si="123"/>
        <v>27062790.317181163</v>
      </c>
      <c r="BQ173" s="97">
        <f t="shared" si="123"/>
        <v>27172037.061620191</v>
      </c>
      <c r="BR173" s="98">
        <f t="shared" si="123"/>
        <v>27226660.433839709</v>
      </c>
    </row>
    <row r="174" spans="57:70" x14ac:dyDescent="0.25">
      <c r="BE174" s="421">
        <f t="shared" ref="BE174:BI174" si="124">IFERROR(BN161/$BJ174,"")</f>
        <v>2401.2325313086226</v>
      </c>
      <c r="BF174" s="96">
        <f t="shared" si="124"/>
        <v>2420.9676246592653</v>
      </c>
      <c r="BG174" s="96">
        <f t="shared" si="124"/>
        <v>2434.1243535596941</v>
      </c>
      <c r="BH174" s="96">
        <f t="shared" si="124"/>
        <v>2447.2810824601229</v>
      </c>
      <c r="BI174" s="286">
        <f t="shared" si="124"/>
        <v>2453.8594469103373</v>
      </c>
      <c r="BJ174" s="746">
        <f t="shared" si="112"/>
        <v>11567.087261808503</v>
      </c>
      <c r="BN174" s="416">
        <f t="shared" ref="BN174:BR174" si="125">BN143</f>
        <v>27775266.225540154</v>
      </c>
      <c r="BO174" s="97">
        <f t="shared" si="125"/>
        <v>28003543.772446979</v>
      </c>
      <c r="BP174" s="97">
        <f t="shared" si="125"/>
        <v>28155728.803718194</v>
      </c>
      <c r="BQ174" s="97">
        <f t="shared" si="125"/>
        <v>28307913.834989414</v>
      </c>
      <c r="BR174" s="98">
        <f t="shared" si="125"/>
        <v>28384006.35062502</v>
      </c>
    </row>
    <row r="175" spans="57:70" x14ac:dyDescent="0.25">
      <c r="BE175" s="421" t="str">
        <f t="shared" ref="BE175:BI175" si="126">IFERROR(BN162/$BJ175,"")</f>
        <v/>
      </c>
      <c r="BF175" s="96" t="str">
        <f t="shared" si="126"/>
        <v/>
      </c>
      <c r="BG175" s="96" t="str">
        <f t="shared" si="126"/>
        <v/>
      </c>
      <c r="BH175" s="96" t="str">
        <f t="shared" si="126"/>
        <v/>
      </c>
      <c r="BI175" s="286" t="str">
        <f t="shared" si="126"/>
        <v/>
      </c>
      <c r="BJ175" s="99">
        <f t="shared" si="112"/>
        <v>0</v>
      </c>
      <c r="BN175" s="416">
        <f t="shared" ref="BN175:BR175" si="127">BN144</f>
        <v>0</v>
      </c>
      <c r="BO175" s="97">
        <f t="shared" si="127"/>
        <v>0</v>
      </c>
      <c r="BP175" s="97">
        <f t="shared" si="127"/>
        <v>0</v>
      </c>
      <c r="BQ175" s="97">
        <f t="shared" si="127"/>
        <v>0</v>
      </c>
      <c r="BR175" s="98">
        <f t="shared" si="127"/>
        <v>0</v>
      </c>
    </row>
    <row r="176" spans="57:70" x14ac:dyDescent="0.25">
      <c r="BE176" s="421" t="str">
        <f t="shared" ref="BE176:BI176" si="128">IFERROR(BN163/$BJ176,"")</f>
        <v/>
      </c>
      <c r="BF176" s="96" t="str">
        <f t="shared" si="128"/>
        <v/>
      </c>
      <c r="BG176" s="96" t="str">
        <f t="shared" si="128"/>
        <v/>
      </c>
      <c r="BH176" s="96" t="str">
        <f t="shared" si="128"/>
        <v/>
      </c>
      <c r="BI176" s="286" t="str">
        <f t="shared" si="128"/>
        <v/>
      </c>
      <c r="BJ176" s="99">
        <f t="shared" si="112"/>
        <v>0</v>
      </c>
      <c r="BN176" s="416">
        <f t="shared" ref="BN176:BR176" si="129">BN145</f>
        <v>0</v>
      </c>
      <c r="BO176" s="97">
        <f t="shared" si="129"/>
        <v>0</v>
      </c>
      <c r="BP176" s="97">
        <f t="shared" si="129"/>
        <v>0</v>
      </c>
      <c r="BQ176" s="97">
        <f t="shared" si="129"/>
        <v>0</v>
      </c>
      <c r="BR176" s="98">
        <f t="shared" si="129"/>
        <v>0</v>
      </c>
    </row>
    <row r="177" spans="57:70" ht="15.75" thickBot="1" x14ac:dyDescent="0.3">
      <c r="BE177" s="422">
        <f t="shared" ref="BE177:BI177" si="130">IFERROR(BN164/$BJ177,"")</f>
        <v>0</v>
      </c>
      <c r="BF177" s="115">
        <f t="shared" si="130"/>
        <v>21.737554340471736</v>
      </c>
      <c r="BG177" s="115">
        <f t="shared" si="130"/>
        <v>38.204224421268414</v>
      </c>
      <c r="BH177" s="115">
        <f t="shared" si="130"/>
        <v>141.56352348796841</v>
      </c>
      <c r="BI177" s="287">
        <f t="shared" si="130"/>
        <v>344.10435663779731</v>
      </c>
      <c r="BJ177" s="116">
        <f t="shared" si="112"/>
        <v>36000</v>
      </c>
      <c r="BN177" s="467">
        <f t="shared" ref="BN177:BR177" si="131">BN146</f>
        <v>0</v>
      </c>
      <c r="BO177" s="117">
        <f t="shared" si="131"/>
        <v>782551.95625698252</v>
      </c>
      <c r="BP177" s="117">
        <f t="shared" si="131"/>
        <v>1375352.0791656629</v>
      </c>
      <c r="BQ177" s="117">
        <f t="shared" si="131"/>
        <v>5096286.8455668632</v>
      </c>
      <c r="BR177" s="118">
        <f t="shared" si="131"/>
        <v>12387756.838960703</v>
      </c>
    </row>
    <row r="179" spans="57:70" ht="15.75" thickBot="1" x14ac:dyDescent="0.3">
      <c r="BJ179" s="822">
        <v>0.3</v>
      </c>
    </row>
    <row r="180" spans="57:70" x14ac:dyDescent="0.25">
      <c r="BE180" s="75">
        <f>IFERROR(BN167/$BJ180,"")</f>
        <v>3583.0769230769229</v>
      </c>
      <c r="BF180" s="76">
        <f t="shared" ref="BF180" si="132">IFERROR(BO167/$BJ180,"")</f>
        <v>3583.0769230769229</v>
      </c>
      <c r="BG180" s="76">
        <f t="shared" ref="BG180" si="133">IFERROR(BP167/$BJ180,"")</f>
        <v>3583.0769230769229</v>
      </c>
      <c r="BH180" s="76">
        <f t="shared" ref="BH180" si="134">IFERROR(BQ167/$BJ180,"")</f>
        <v>3583.0769230769229</v>
      </c>
      <c r="BI180" s="633">
        <f t="shared" ref="BI180" si="135">IFERROR(BR167/$BJ180,"")</f>
        <v>3583.0769230769229</v>
      </c>
      <c r="BJ180" s="747">
        <f>BJ136*(1+$BJ$179)</f>
        <v>2340</v>
      </c>
      <c r="BK180" s="823">
        <f>1/1.3</f>
        <v>0.76923076923076916</v>
      </c>
      <c r="BN180" s="415">
        <f>BN136</f>
        <v>8384400</v>
      </c>
      <c r="BO180" s="79">
        <f t="shared" ref="BO180:BR180" si="136">BO136</f>
        <v>8384400</v>
      </c>
      <c r="BP180" s="79">
        <f t="shared" si="136"/>
        <v>8384400</v>
      </c>
      <c r="BQ180" s="79">
        <f t="shared" si="136"/>
        <v>8384400</v>
      </c>
      <c r="BR180" s="80">
        <f t="shared" si="136"/>
        <v>8384400</v>
      </c>
    </row>
    <row r="181" spans="57:70" x14ac:dyDescent="0.25">
      <c r="BE181" s="93">
        <f t="shared" ref="BE181:BE190" si="137">IFERROR(BN168/$BJ181,"")</f>
        <v>11135.024397806186</v>
      </c>
      <c r="BF181" s="94">
        <f t="shared" ref="BF181:BF190" si="138">IFERROR(BO168/$BJ181,"")</f>
        <v>11231.768878861752</v>
      </c>
      <c r="BG181" s="94">
        <f t="shared" ref="BG181:BG190" si="139">IFERROR(BP168/$BJ181,"")</f>
        <v>11296.26519956546</v>
      </c>
      <c r="BH181" s="94">
        <f t="shared" ref="BH181:BH190" si="140">IFERROR(BQ168/$BJ181,"")</f>
        <v>11360.761520269169</v>
      </c>
      <c r="BI181" s="635">
        <f t="shared" ref="BI181:BI190" si="141">IFERROR(BR168/$BJ181,"")</f>
        <v>11393.009680621026</v>
      </c>
      <c r="BJ181" s="746">
        <f t="shared" ref="BJ181:BJ190" si="142">BJ137*(1+$BJ$179)</f>
        <v>8107.036987783622</v>
      </c>
      <c r="BN181" s="416">
        <f t="shared" ref="BN181:BR181" si="143">BN137</f>
        <v>90272054.652887806</v>
      </c>
      <c r="BO181" s="97">
        <f t="shared" si="143"/>
        <v>91056365.73916921</v>
      </c>
      <c r="BP181" s="97">
        <f t="shared" si="143"/>
        <v>91579239.796690121</v>
      </c>
      <c r="BQ181" s="97">
        <f t="shared" si="143"/>
        <v>92102113.854211047</v>
      </c>
      <c r="BR181" s="98">
        <f t="shared" si="143"/>
        <v>92363550.882971525</v>
      </c>
    </row>
    <row r="182" spans="57:70" x14ac:dyDescent="0.25">
      <c r="BE182" s="93">
        <f t="shared" si="137"/>
        <v>23285.910224110026</v>
      </c>
      <c r="BF182" s="94">
        <f t="shared" si="138"/>
        <v>23410.106977748081</v>
      </c>
      <c r="BG182" s="94">
        <f t="shared" si="139"/>
        <v>23492.904813506786</v>
      </c>
      <c r="BH182" s="94">
        <f t="shared" si="140"/>
        <v>23575.702649265491</v>
      </c>
      <c r="BI182" s="635">
        <f t="shared" si="141"/>
        <v>23617.101567144844</v>
      </c>
      <c r="BJ182" s="746">
        <f t="shared" si="142"/>
        <v>3653.7033426082039</v>
      </c>
      <c r="BN182" s="416">
        <f t="shared" ref="BN182:BR182" si="144">BN138</f>
        <v>85079808.021505356</v>
      </c>
      <c r="BO182" s="97">
        <f t="shared" si="144"/>
        <v>85533586.1154138</v>
      </c>
      <c r="BP182" s="97">
        <f t="shared" si="144"/>
        <v>85836104.844686106</v>
      </c>
      <c r="BQ182" s="97">
        <f t="shared" si="144"/>
        <v>86138623.573958412</v>
      </c>
      <c r="BR182" s="98">
        <f t="shared" si="144"/>
        <v>86289882.938594565</v>
      </c>
    </row>
    <row r="183" spans="57:70" x14ac:dyDescent="0.25">
      <c r="BE183" s="93">
        <f t="shared" si="137"/>
        <v>545.8364860575399</v>
      </c>
      <c r="BF183" s="94">
        <f t="shared" si="138"/>
        <v>564.11288929605416</v>
      </c>
      <c r="BG183" s="94">
        <f t="shared" si="139"/>
        <v>576.30247335272509</v>
      </c>
      <c r="BH183" s="94">
        <f t="shared" si="140"/>
        <v>588.49581587576813</v>
      </c>
      <c r="BI183" s="635">
        <f t="shared" si="141"/>
        <v>594.59378157945093</v>
      </c>
      <c r="BJ183" s="746">
        <f t="shared" si="142"/>
        <v>73985.851748599933</v>
      </c>
      <c r="BN183" s="416">
        <f t="shared" ref="BN183:BR183" si="145">BN139</f>
        <v>40384177.336429879</v>
      </c>
      <c r="BO183" s="97">
        <f t="shared" si="145"/>
        <v>41736372.596932232</v>
      </c>
      <c r="BP183" s="97">
        <f t="shared" si="145"/>
        <v>42638229.355826184</v>
      </c>
      <c r="BQ183" s="97">
        <f t="shared" si="145"/>
        <v>43540364.188055947</v>
      </c>
      <c r="BR183" s="98">
        <f t="shared" si="145"/>
        <v>43991527.374576665</v>
      </c>
    </row>
    <row r="184" spans="57:70" x14ac:dyDescent="0.25">
      <c r="BE184" s="93">
        <f t="shared" si="137"/>
        <v>15.434769433371857</v>
      </c>
      <c r="BF184" s="94">
        <f t="shared" si="138"/>
        <v>16.149827950391035</v>
      </c>
      <c r="BG184" s="94">
        <f t="shared" si="139"/>
        <v>16.149827950391035</v>
      </c>
      <c r="BH184" s="94">
        <f t="shared" si="140"/>
        <v>16.864886467410212</v>
      </c>
      <c r="BI184" s="635">
        <f t="shared" si="141"/>
        <v>16.864886467410212</v>
      </c>
      <c r="BJ184" s="746">
        <f t="shared" si="142"/>
        <v>419546.08309623669</v>
      </c>
      <c r="BN184" s="416">
        <f t="shared" ref="BN184:BR184" si="146">BN140</f>
        <v>6475597.0592646832</v>
      </c>
      <c r="BO184" s="97">
        <f t="shared" si="146"/>
        <v>6775597.0592646832</v>
      </c>
      <c r="BP184" s="97">
        <f t="shared" si="146"/>
        <v>6775597.0592646832</v>
      </c>
      <c r="BQ184" s="97">
        <f t="shared" si="146"/>
        <v>7075597.0592646832</v>
      </c>
      <c r="BR184" s="98">
        <f t="shared" si="146"/>
        <v>7075597.0592646832</v>
      </c>
    </row>
    <row r="185" spans="57:70" x14ac:dyDescent="0.25">
      <c r="BE185" s="421">
        <f t="shared" si="137"/>
        <v>13880.745597787643</v>
      </c>
      <c r="BF185" s="96">
        <f t="shared" si="138"/>
        <v>13985.647435981948</v>
      </c>
      <c r="BG185" s="96">
        <f t="shared" si="139"/>
        <v>14055.581994778149</v>
      </c>
      <c r="BH185" s="96">
        <f t="shared" si="140"/>
        <v>14125.516553574353</v>
      </c>
      <c r="BI185" s="286">
        <f t="shared" si="141"/>
        <v>14160.483832972453</v>
      </c>
      <c r="BJ185" s="746">
        <f t="shared" si="142"/>
        <v>1741.0466251467892</v>
      </c>
      <c r="BN185" s="416">
        <f t="shared" ref="BN185:BR185" si="147">BN141</f>
        <v>24167025.277549326</v>
      </c>
      <c r="BO185" s="97">
        <f t="shared" si="147"/>
        <v>24349664.268909216</v>
      </c>
      <c r="BP185" s="97">
        <f t="shared" si="147"/>
        <v>24471423.596482471</v>
      </c>
      <c r="BQ185" s="97">
        <f t="shared" si="147"/>
        <v>24593182.924055733</v>
      </c>
      <c r="BR185" s="98">
        <f t="shared" si="147"/>
        <v>24654062.58784236</v>
      </c>
    </row>
    <row r="186" spans="57:70" x14ac:dyDescent="0.25">
      <c r="BE186" s="421">
        <f t="shared" si="137"/>
        <v>722.37427839158897</v>
      </c>
      <c r="BF186" s="96">
        <f t="shared" si="138"/>
        <v>726.79297940581432</v>
      </c>
      <c r="BG186" s="96">
        <f t="shared" si="139"/>
        <v>729.73878008196471</v>
      </c>
      <c r="BH186" s="96">
        <f t="shared" si="140"/>
        <v>732.68458075811498</v>
      </c>
      <c r="BI186" s="286">
        <f t="shared" si="141"/>
        <v>734.15748109619005</v>
      </c>
      <c r="BJ186" s="746">
        <f t="shared" si="142"/>
        <v>37085.586042366354</v>
      </c>
      <c r="BN186" s="416">
        <f t="shared" ref="BN186:BR186" si="148">BN142</f>
        <v>26789673.456083581</v>
      </c>
      <c r="BO186" s="97">
        <f t="shared" si="148"/>
        <v>26953543.572742127</v>
      </c>
      <c r="BP186" s="97">
        <f t="shared" si="148"/>
        <v>27062790.317181163</v>
      </c>
      <c r="BQ186" s="97">
        <f t="shared" si="148"/>
        <v>27172037.061620191</v>
      </c>
      <c r="BR186" s="98">
        <f t="shared" si="148"/>
        <v>27226660.433839709</v>
      </c>
    </row>
    <row r="187" spans="57:70" x14ac:dyDescent="0.25">
      <c r="BE187" s="421">
        <f t="shared" si="137"/>
        <v>2216.5223365925744</v>
      </c>
      <c r="BF187" s="96">
        <f t="shared" si="138"/>
        <v>2234.7393458393221</v>
      </c>
      <c r="BG187" s="96">
        <f t="shared" si="139"/>
        <v>2246.884018670487</v>
      </c>
      <c r="BH187" s="96">
        <f t="shared" si="140"/>
        <v>2259.0286915016518</v>
      </c>
      <c r="BI187" s="286">
        <f t="shared" si="141"/>
        <v>2265.1010279172342</v>
      </c>
      <c r="BJ187" s="746">
        <f t="shared" si="142"/>
        <v>12531.011200292545</v>
      </c>
      <c r="BN187" s="416">
        <f t="shared" ref="BN187:BR187" si="149">BN143</f>
        <v>27775266.225540154</v>
      </c>
      <c r="BO187" s="97">
        <f t="shared" si="149"/>
        <v>28003543.772446979</v>
      </c>
      <c r="BP187" s="97">
        <f t="shared" si="149"/>
        <v>28155728.803718194</v>
      </c>
      <c r="BQ187" s="97">
        <f t="shared" si="149"/>
        <v>28307913.834989414</v>
      </c>
      <c r="BR187" s="98">
        <f t="shared" si="149"/>
        <v>28384006.35062502</v>
      </c>
    </row>
    <row r="188" spans="57:70" x14ac:dyDescent="0.25">
      <c r="BE188" s="421" t="str">
        <f t="shared" si="137"/>
        <v/>
      </c>
      <c r="BF188" s="96" t="str">
        <f t="shared" si="138"/>
        <v/>
      </c>
      <c r="BG188" s="96" t="str">
        <f t="shared" si="139"/>
        <v/>
      </c>
      <c r="BH188" s="96" t="str">
        <f t="shared" si="140"/>
        <v/>
      </c>
      <c r="BI188" s="286" t="str">
        <f t="shared" si="141"/>
        <v/>
      </c>
      <c r="BJ188" s="99">
        <f t="shared" si="142"/>
        <v>0</v>
      </c>
      <c r="BN188" s="416">
        <f t="shared" ref="BN188:BR188" si="150">BN144</f>
        <v>0</v>
      </c>
      <c r="BO188" s="97">
        <f t="shared" si="150"/>
        <v>0</v>
      </c>
      <c r="BP188" s="97">
        <f t="shared" si="150"/>
        <v>0</v>
      </c>
      <c r="BQ188" s="97">
        <f t="shared" si="150"/>
        <v>0</v>
      </c>
      <c r="BR188" s="98">
        <f t="shared" si="150"/>
        <v>0</v>
      </c>
    </row>
    <row r="189" spans="57:70" x14ac:dyDescent="0.25">
      <c r="BE189" s="421" t="str">
        <f t="shared" si="137"/>
        <v/>
      </c>
      <c r="BF189" s="96" t="str">
        <f t="shared" si="138"/>
        <v/>
      </c>
      <c r="BG189" s="96" t="str">
        <f t="shared" si="139"/>
        <v/>
      </c>
      <c r="BH189" s="96" t="str">
        <f t="shared" si="140"/>
        <v/>
      </c>
      <c r="BI189" s="286" t="str">
        <f t="shared" si="141"/>
        <v/>
      </c>
      <c r="BJ189" s="99">
        <f t="shared" si="142"/>
        <v>0</v>
      </c>
      <c r="BN189" s="416">
        <f t="shared" ref="BN189:BR189" si="151">BN145</f>
        <v>0</v>
      </c>
      <c r="BO189" s="97">
        <f t="shared" si="151"/>
        <v>0</v>
      </c>
      <c r="BP189" s="97">
        <f t="shared" si="151"/>
        <v>0</v>
      </c>
      <c r="BQ189" s="97">
        <f t="shared" si="151"/>
        <v>0</v>
      </c>
      <c r="BR189" s="98">
        <f t="shared" si="151"/>
        <v>0</v>
      </c>
    </row>
    <row r="190" spans="57:70" ht="15.75" thickBot="1" x14ac:dyDescent="0.3">
      <c r="BE190" s="422">
        <f t="shared" si="137"/>
        <v>0</v>
      </c>
      <c r="BF190" s="115">
        <f t="shared" si="138"/>
        <v>20.065434775820066</v>
      </c>
      <c r="BG190" s="115">
        <f t="shared" si="139"/>
        <v>35.26543792732469</v>
      </c>
      <c r="BH190" s="115">
        <f t="shared" si="140"/>
        <v>130.67402168120162</v>
      </c>
      <c r="BI190" s="287">
        <f t="shared" si="141"/>
        <v>317.63479074258214</v>
      </c>
      <c r="BJ190" s="116">
        <f t="shared" si="142"/>
        <v>39000</v>
      </c>
      <c r="BN190" s="467">
        <f t="shared" ref="BN190:BR190" si="152">BN146</f>
        <v>0</v>
      </c>
      <c r="BO190" s="117">
        <f t="shared" si="152"/>
        <v>782551.95625698252</v>
      </c>
      <c r="BP190" s="117">
        <f t="shared" si="152"/>
        <v>1375352.0791656629</v>
      </c>
      <c r="BQ190" s="117">
        <f t="shared" si="152"/>
        <v>5096286.8455668632</v>
      </c>
      <c r="BR190" s="118">
        <f t="shared" si="152"/>
        <v>12387756.838960703</v>
      </c>
    </row>
  </sheetData>
  <autoFilter ref="A6:BU147" xr:uid="{26E82B06-5461-4E93-BA38-5F7061E93D76}"/>
  <phoneticPr fontId="17" type="noConversion"/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3624E-A47B-4E21-B0F0-D08BE7A3BED6}">
  <sheetPr codeName="Sheet19">
    <tabColor theme="9" tint="-0.249977111117893"/>
  </sheetPr>
  <dimension ref="A1:BY164"/>
  <sheetViews>
    <sheetView zoomScaleNormal="100" workbookViewId="0">
      <pane xSplit="3" ySplit="7" topLeftCell="AJ8" activePane="bottomRight" state="frozen"/>
      <selection activeCell="N4" sqref="N4"/>
      <selection pane="topRight" activeCell="N4" sqref="N4"/>
      <selection pane="bottomLeft" activeCell="N4" sqref="N4"/>
      <selection pane="bottomRight" activeCell="P155" sqref="P155"/>
    </sheetView>
  </sheetViews>
  <sheetFormatPr defaultRowHeight="15" x14ac:dyDescent="0.25"/>
  <cols>
    <col min="1" max="1" width="5.7109375" bestFit="1" customWidth="1"/>
    <col min="2" max="2" width="9.140625" customWidth="1"/>
    <col min="3" max="3" width="23.140625" customWidth="1"/>
    <col min="4" max="4" width="9.28515625" customWidth="1"/>
    <col min="5" max="10" width="9.5703125" customWidth="1"/>
    <col min="11" max="11" width="9.28515625" customWidth="1"/>
    <col min="12" max="12" width="9.5703125" customWidth="1"/>
    <col min="13" max="15" width="9.28515625" customWidth="1"/>
    <col min="16" max="21" width="9.5703125" customWidth="1"/>
    <col min="22" max="22" width="9.28515625" customWidth="1"/>
    <col min="23" max="23" width="9.5703125" customWidth="1"/>
    <col min="24" max="25" width="9.28515625" style="280" customWidth="1"/>
    <col min="26" max="48" width="9.140625" customWidth="1"/>
    <col min="49" max="50" width="9.140625" style="280" customWidth="1"/>
    <col min="51" max="53" width="9.140625" customWidth="1"/>
    <col min="54" max="55" width="9.140625" style="684"/>
    <col min="61" max="61" width="9.140625" style="280" customWidth="1"/>
    <col min="62" max="62" width="9.140625" customWidth="1"/>
    <col min="63" max="70" width="13.7109375" customWidth="1"/>
    <col min="71" max="71" width="13" bestFit="1" customWidth="1"/>
    <col min="73" max="73" width="24.28515625" customWidth="1"/>
    <col min="74" max="74" width="14.5703125" customWidth="1"/>
    <col min="76" max="76" width="51.7109375" customWidth="1"/>
  </cols>
  <sheetData>
    <row r="1" spans="1:77" ht="15.75" thickBot="1" x14ac:dyDescent="0.3">
      <c r="A1" t="s">
        <v>553</v>
      </c>
      <c r="J1" s="22"/>
      <c r="U1" s="22"/>
      <c r="AT1" t="s">
        <v>279</v>
      </c>
      <c r="AW1" s="701"/>
      <c r="AX1" s="701"/>
      <c r="BI1"/>
      <c r="BK1" s="418" t="s">
        <v>489</v>
      </c>
      <c r="BL1" s="419">
        <v>1</v>
      </c>
    </row>
    <row r="2" spans="1:77" ht="15.75" thickBot="1" x14ac:dyDescent="0.3">
      <c r="BI2"/>
      <c r="BK2" s="418" t="s">
        <v>490</v>
      </c>
      <c r="BL2" s="419">
        <v>0</v>
      </c>
    </row>
    <row r="3" spans="1:77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388"/>
      <c r="Y3" s="388"/>
      <c r="Z3" s="25"/>
      <c r="AA3" s="25"/>
      <c r="BB3" s="685"/>
      <c r="BC3" s="685"/>
      <c r="BD3" s="19"/>
      <c r="BE3" s="19"/>
      <c r="BF3" s="19"/>
      <c r="BG3" s="19"/>
      <c r="BH3" s="19"/>
      <c r="BI3" s="19"/>
      <c r="BJ3" s="19"/>
      <c r="BK3" s="418" t="s">
        <v>600</v>
      </c>
      <c r="BL3" s="419">
        <v>0</v>
      </c>
      <c r="BM3" s="19"/>
      <c r="BN3" s="19"/>
      <c r="BO3" s="19"/>
      <c r="BP3" s="19"/>
      <c r="BQ3" s="19"/>
      <c r="BR3" s="19"/>
    </row>
    <row r="4" spans="1:77" ht="15.75" thickBot="1" x14ac:dyDescent="0.3">
      <c r="AK4" s="220" t="s">
        <v>427</v>
      </c>
      <c r="AL4" s="221"/>
      <c r="AM4" s="222" t="s">
        <v>428</v>
      </c>
      <c r="AY4" s="223" t="s">
        <v>427</v>
      </c>
      <c r="AZ4" s="224"/>
      <c r="BA4" s="225" t="s">
        <v>630</v>
      </c>
      <c r="BB4" s="685"/>
      <c r="BC4" s="685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</row>
    <row r="5" spans="1:77" s="186" customFormat="1" ht="15.75" thickBot="1" x14ac:dyDescent="0.3">
      <c r="A5" s="27" t="s">
        <v>281</v>
      </c>
      <c r="B5" s="27" t="s">
        <v>282</v>
      </c>
      <c r="C5" s="28"/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552" t="s">
        <v>582</v>
      </c>
      <c r="P5" s="553"/>
      <c r="Q5" s="553"/>
      <c r="R5" s="553"/>
      <c r="S5" s="553"/>
      <c r="T5" s="553"/>
      <c r="U5" s="553"/>
      <c r="V5" s="553"/>
      <c r="W5" s="553"/>
      <c r="X5" s="554"/>
      <c r="Y5" s="554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3" t="s">
        <v>286</v>
      </c>
      <c r="AL5" s="34"/>
      <c r="AM5" s="35"/>
      <c r="AN5" s="36" t="s">
        <v>287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686"/>
      <c r="BC5" s="1119"/>
      <c r="BD5" s="189"/>
      <c r="BE5" s="189" t="s">
        <v>691</v>
      </c>
      <c r="BF5" s="189"/>
      <c r="BG5" s="189"/>
      <c r="BH5" s="189"/>
      <c r="BI5" s="283"/>
      <c r="BJ5" s="42" t="s">
        <v>289</v>
      </c>
      <c r="BK5" s="190"/>
      <c r="BL5" s="191"/>
      <c r="BM5" s="191"/>
      <c r="BN5" s="766" t="s">
        <v>515</v>
      </c>
      <c r="BO5" s="766"/>
      <c r="BP5" s="766"/>
      <c r="BQ5" s="766"/>
      <c r="BR5" s="767"/>
      <c r="BS5"/>
      <c r="BT5"/>
      <c r="BU5"/>
      <c r="BV5"/>
      <c r="BW5"/>
      <c r="BX5"/>
      <c r="BY5"/>
    </row>
    <row r="6" spans="1:77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46" t="s">
        <v>14</v>
      </c>
      <c r="N6" s="46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556" t="s">
        <v>13</v>
      </c>
      <c r="X6" s="673" t="s">
        <v>14</v>
      </c>
      <c r="Y6" s="1085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48" t="s">
        <v>14</v>
      </c>
      <c r="AJ6" s="48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687" t="s">
        <v>14</v>
      </c>
      <c r="BC6" s="687" t="s">
        <v>15</v>
      </c>
      <c r="BD6" s="59" t="s">
        <v>280</v>
      </c>
      <c r="BE6" s="59" t="s">
        <v>422</v>
      </c>
      <c r="BF6" s="59" t="s">
        <v>423</v>
      </c>
      <c r="BG6" s="59" t="s">
        <v>424</v>
      </c>
      <c r="BH6" s="59" t="s">
        <v>425</v>
      </c>
      <c r="BI6" s="284" t="s">
        <v>426</v>
      </c>
      <c r="BJ6" s="60" t="s">
        <v>446</v>
      </c>
      <c r="BK6" s="1054" t="s">
        <v>14</v>
      </c>
      <c r="BL6" s="1054" t="s">
        <v>15</v>
      </c>
      <c r="BM6" s="764" t="s">
        <v>280</v>
      </c>
      <c r="BN6" s="768" t="s">
        <v>422</v>
      </c>
      <c r="BO6" s="769" t="s">
        <v>423</v>
      </c>
      <c r="BP6" s="769" t="s">
        <v>424</v>
      </c>
      <c r="BQ6" s="769" t="s">
        <v>425</v>
      </c>
      <c r="BR6" s="770" t="s">
        <v>426</v>
      </c>
    </row>
    <row r="7" spans="1:77" x14ac:dyDescent="0.25">
      <c r="A7" s="63" t="s">
        <v>296</v>
      </c>
      <c r="B7" s="64" t="s">
        <v>22</v>
      </c>
      <c r="C7" s="65" t="s">
        <v>24</v>
      </c>
      <c r="D7" s="66">
        <f>SUM('Defect (Total)'!D7,Planned!D7,Reconductor!D7,CTGS!D7)</f>
        <v>6688577</v>
      </c>
      <c r="E7" s="67">
        <f>SUM('Defect (Total)'!E7,Planned!E7,Reconductor!E7,CTGS!E7)</f>
        <v>3664797</v>
      </c>
      <c r="F7" s="67">
        <f>SUM('Defect (Total)'!F7,Planned!F7,Reconductor!F7,CTGS!F7)</f>
        <v>4782199</v>
      </c>
      <c r="G7" s="67">
        <f>SUM('Defect (Total)'!G7,Planned!G7,Reconductor!G7,CTGS!G7)</f>
        <v>3687764</v>
      </c>
      <c r="H7" s="67">
        <f>SUM('Defect (Total)'!H7,Planned!H7,Reconductor!H7,CTGS!H7)</f>
        <v>5309061</v>
      </c>
      <c r="I7" s="67">
        <f>SUM('Defect (Total)'!I7,Planned!I7,Reconductor!I7,CTGS!I7)</f>
        <v>3689144.5943493401</v>
      </c>
      <c r="J7" s="67">
        <f>SUM('Defect (Total)'!J7,Planned!J7,Reconductor!J7,CTGS!J7)</f>
        <v>7934044.6888067247</v>
      </c>
      <c r="K7" s="67">
        <f>SUM('Defect (Total)'!K7,Planned!K7,Reconductor!K7,CTGS!K7)</f>
        <v>7371639.3099999987</v>
      </c>
      <c r="L7" s="67">
        <f>SUM('Defect (Total)'!L7,Planned!L7,Reconductor!L7,CTGS!L7)</f>
        <v>9045812.0399999991</v>
      </c>
      <c r="M7" s="67">
        <f>SUM('Defect (Total)'!M7,Planned!M7,Reconductor!M7,CTGS!M7)</f>
        <v>8954422.3600000031</v>
      </c>
      <c r="N7" s="67">
        <f>SUM('Defect (Total)'!N7,Planned!N7,Reconductor!N7,CTGS!N7)</f>
        <v>9464302.1000000238</v>
      </c>
      <c r="O7" s="557">
        <f>SUM('Defect (Total)'!O7,Planned!O7,Reconductor!O7,CTGS!O7)</f>
        <v>8999188.1911497675</v>
      </c>
      <c r="P7" s="558">
        <f>SUM('Defect (Total)'!P7,Planned!P7,Reconductor!P7,CTGS!P7)</f>
        <v>4857435.2696861438</v>
      </c>
      <c r="Q7" s="558">
        <f>SUM('Defect (Total)'!Q7,Planned!Q7,Reconductor!Q7,CTGS!Q7)</f>
        <v>6274272.5748106102</v>
      </c>
      <c r="R7" s="558">
        <f>SUM('Defect (Total)'!R7,Planned!R7,Reconductor!R7,CTGS!R7)</f>
        <v>4746582.8137466423</v>
      </c>
      <c r="S7" s="558">
        <f>SUM('Defect (Total)'!S7,Planned!S7,Reconductor!S7,CTGS!S7)</f>
        <v>6694294.8160370607</v>
      </c>
      <c r="T7" s="558">
        <f>SUM('Defect (Total)'!T7,Planned!T7,Reconductor!T7,CTGS!T7)</f>
        <v>4578775.5212920001</v>
      </c>
      <c r="U7" s="558">
        <f>SUM('Defect (Total)'!U7,Planned!U7,Reconductor!U7,CTGS!U7)</f>
        <v>9881757.2435876802</v>
      </c>
      <c r="V7" s="558">
        <f>SUM('Defect (Total)'!V7,Planned!V7,Reconductor!V7,CTGS!V7)</f>
        <v>8841240.4001781363</v>
      </c>
      <c r="W7" s="558">
        <f>SUM('Defect (Total)'!W7,Planned!W7,Reconductor!W7,CTGS!W7)</f>
        <v>10221109.377395511</v>
      </c>
      <c r="X7" s="674">
        <f>SUM('Defect (Total)'!X7,Planned!X7,Reconductor!X7,CTGS!X7)</f>
        <v>9522678.2955853678</v>
      </c>
      <c r="Y7" s="674">
        <f>SUM('Defect (Total)'!Y7,Planned!Y7,Reconductor!Y7,CTGS!Y7)</f>
        <v>9724556.0155375712</v>
      </c>
      <c r="Z7" s="68">
        <f>SUM('Defect (Total)'!Z7,Planned!Z7,Reconductor!Z7,CTGS!Z7)</f>
        <v>2373</v>
      </c>
      <c r="AA7" s="69">
        <f>SUM('Defect (Total)'!AA7,Planned!AA7,Reconductor!AA7,CTGS!AA7)</f>
        <v>1176</v>
      </c>
      <c r="AB7" s="69">
        <f>SUM('Defect (Total)'!AB7,Planned!AB7,Reconductor!AB7,CTGS!AB7)</f>
        <v>1487</v>
      </c>
      <c r="AC7" s="69">
        <f>SUM('Defect (Total)'!AC7,Planned!AC7,Reconductor!AC7,CTGS!AC7)</f>
        <v>1285</v>
      </c>
      <c r="AD7" s="69">
        <f>SUM('Defect (Total)'!AD7,Planned!AD7,Reconductor!AD7,CTGS!AD7)</f>
        <v>1563</v>
      </c>
      <c r="AE7" s="69">
        <f>SUM('Defect (Total)'!AE7,Planned!AE7,Reconductor!AE7,CTGS!AE7)</f>
        <v>1101</v>
      </c>
      <c r="AF7" s="69">
        <f>SUM('Defect (Total)'!AF7,Planned!AF7,Reconductor!AF7,CTGS!AF7)</f>
        <v>5017</v>
      </c>
      <c r="AG7" s="69">
        <f>SUM('Defect (Total)'!AG7,Planned!AG7,Reconductor!AG7,CTGS!AG7)</f>
        <v>4542</v>
      </c>
      <c r="AH7" s="69">
        <f>SUM('Defect (Total)'!AH7,Planned!AH7,Reconductor!AH7,CTGS!AH7)</f>
        <v>5172</v>
      </c>
      <c r="AI7" s="69">
        <f>SUM('Defect (Total)'!AI7,Planned!AI7,Reconductor!AI7,CTGS!AI7)</f>
        <v>4260</v>
      </c>
      <c r="AJ7" s="69">
        <f>SUM('Defect (Total)'!AJ7,Planned!AJ7,Reconductor!AJ7,CTGS!AJ7)</f>
        <v>6395</v>
      </c>
      <c r="AK7" s="70">
        <f>IFERROR(IF($AM$4="N",SUM(AD7:AH7)/5,SUM(AE7:AI7)/5),"")</f>
        <v>3479</v>
      </c>
      <c r="AL7" s="71">
        <f t="shared" ref="AL7:AL38" si="0">IFERROR(IF($AM$4="N",SUM(AF7:AH7)/3,SUM(AG7:AI7)/3),"")</f>
        <v>4910.333333333333</v>
      </c>
      <c r="AM7" s="72">
        <f>IFERROR(IF($AM$4="N",AH7,AI7),"")</f>
        <v>5172</v>
      </c>
      <c r="AN7" s="73">
        <f t="shared" ref="AN7:AN38" si="1">IFERROR(D7/Z7,"")</f>
        <v>2818.6165191740415</v>
      </c>
      <c r="AO7" s="74">
        <f t="shared" ref="AO7:AO38" si="2">IFERROR(E7/AA7,"")</f>
        <v>3116.3239795918366</v>
      </c>
      <c r="AP7" s="74">
        <f t="shared" ref="AP7:AP38" si="3">IFERROR(F7/AB7,"")</f>
        <v>3216.0047074646941</v>
      </c>
      <c r="AQ7" s="74">
        <f t="shared" ref="AQ7:AQ38" si="4">IFERROR(G7/AC7,"")</f>
        <v>2869.855252918288</v>
      </c>
      <c r="AR7" s="74">
        <f t="shared" ref="AR7:AR38" si="5">IFERROR(H7/AD7,"")</f>
        <v>3396.7120921305182</v>
      </c>
      <c r="AS7" s="74">
        <f t="shared" ref="AS7:AS38" si="6">IFERROR(I7/AE7,"")</f>
        <v>3350.7217024063034</v>
      </c>
      <c r="AT7" s="74">
        <f t="shared" ref="AT7:AT38" si="7">IFERROR(J7/AF7,"")</f>
        <v>1581.4320687276709</v>
      </c>
      <c r="AU7" s="74">
        <f t="shared" ref="AU7:AU38" si="8">IFERROR(K7/AG7,"")</f>
        <v>1622.9941237340377</v>
      </c>
      <c r="AV7" s="74">
        <f t="shared" ref="AV7:AV38" si="9">IFERROR(L7/AH7,"")</f>
        <v>1748.9969141531321</v>
      </c>
      <c r="AW7" s="74">
        <f t="shared" ref="AW7:AX22" si="10">IFERROR(M7/AI7,"")</f>
        <v>2101.9770798122072</v>
      </c>
      <c r="AX7" s="74">
        <f t="shared" si="10"/>
        <v>1479.9534167318254</v>
      </c>
      <c r="AY7" s="75">
        <f t="shared" ref="AY7:AY38" si="11">IFERROR(IF($BA$4="N",SUM(H7:L7)/SUM(AD7:AH7),SUM(I7:M7)/SUM(AE7:AI7)),"")</f>
        <v>1841.2832467228777</v>
      </c>
      <c r="AZ7" s="76">
        <f t="shared" ref="AZ7:AZ70" si="12">IFERROR(IF($BA$4="N",SUM(J7:L7)/SUM(AF7:AH7),SUM(K7:M7)/SUM(AG7:AI7)),"")</f>
        <v>1815.6486124230714</v>
      </c>
      <c r="BA7" s="77">
        <f t="shared" ref="BA7:BA70" si="13">IFERROR(IF($BA$4="N",L7/AH7,M7/AI7),"")</f>
        <v>2101.9770798122072</v>
      </c>
      <c r="BB7" s="688">
        <f>SUM('Defect (Total)'!BB7,Planned!CE7,Reconductor!CE7,CTGS!CE7,'Substation 2025$'!CE7*$BL$1,Comms!CA7*$BL$2)</f>
        <v>4658</v>
      </c>
      <c r="BC7" s="688">
        <f>SUM('Defect (Total)'!BC7,Planned!CF7,Reconductor!CF7,CTGS!CF7,'Substation 2025$'!CF7*$BL$1,Comms!CB7*$BL$2)</f>
        <v>4658</v>
      </c>
      <c r="BD7" s="78">
        <f>SUM('Defect (Total)'!BD7,Planned!CG7,Reconductor!CG7,CTGS!CG7,'Substation 2025$'!CG7*$BL$1,Comms!CC7*$BL$2)</f>
        <v>4658</v>
      </c>
      <c r="BE7" s="78">
        <f>SUM('Defect (Total)'!BE7,Planned!CH7,Reconductor!CH7,CTGS!CH7,'Substation 2025$'!CH7*$BL$1,Comms!CD7*$BL$2)</f>
        <v>4658</v>
      </c>
      <c r="BF7" s="78">
        <f>SUM('Defect (Total)'!BF7,Planned!CI7,Reconductor!CI7,CTGS!CI7,'Substation 2025$'!CI7*$BL$1,Comms!CE7*$BL$2)</f>
        <v>4658</v>
      </c>
      <c r="BG7" s="78">
        <f>SUM('Defect (Total)'!BG7,Planned!CJ7,Reconductor!CJ7,CTGS!CJ7,'Substation 2025$'!CJ7*$BL$1,Comms!CF7*$BL$2)</f>
        <v>4658</v>
      </c>
      <c r="BH7" s="78">
        <f>SUM('Defect (Total)'!BH7,Planned!CK7,Reconductor!CK7,CTGS!CK7,'Substation 2025$'!CK7*$BL$1,Comms!CG7*$BL$2)</f>
        <v>4658</v>
      </c>
      <c r="BI7" s="285">
        <f>SUM('Defect (Total)'!BI7,Planned!CL7,Reconductor!CL7,CTGS!CL7,'Substation 2025$'!CL7*$BL$1,Comms!CH7*$BL$2)</f>
        <v>4658</v>
      </c>
      <c r="BJ7" s="124">
        <f>IFERROR(SUM(BN7:BR7)/SUM(BE7:BI7),"")</f>
        <v>1800</v>
      </c>
      <c r="BK7" s="974">
        <f>SUM('Defect (Total)'!BK7,Planned!CQ7,Reconductor!CQ7,CTGS!CQ7,'Substation 2025$'!CQ7*$BL$1,Comms!CM7*$BL$2)</f>
        <v>8384400</v>
      </c>
      <c r="BL7" s="974">
        <f>SUM('Defect (Total)'!BL7,Planned!CR7,Reconductor!CR7,CTGS!CR7,'Substation 2025$'!CR7*$BL$1,Comms!CN7*$BL$2)</f>
        <v>8384400</v>
      </c>
      <c r="BM7" s="523">
        <f>SUM('Defect (Total)'!BM7,Planned!CS7,Reconductor!CS7,CTGS!CS7,'Substation 2025$'!CS7*$BL$1,Comms!CO7*$BL$2)</f>
        <v>8384400</v>
      </c>
      <c r="BN7" s="415">
        <f>SUM('Defect (Total)'!BN7,Planned!CT7,Reconductor!CT7,CTGS!CT7,'Substation 2025$'!CT7*$BL$1,Comms!CP7*$BL$2)</f>
        <v>8384400</v>
      </c>
      <c r="BO7" s="79">
        <f>SUM('Defect (Total)'!BO7,Planned!CU7,Reconductor!CU7,CTGS!CU7,'Substation 2025$'!CU7*$BL$1,Comms!CQ7*$BL$2)</f>
        <v>8384400</v>
      </c>
      <c r="BP7" s="79">
        <f>SUM('Defect (Total)'!BP7,Planned!CV7,Reconductor!CV7,CTGS!CV7,'Substation 2025$'!CV7*$BL$1,Comms!CR7*$BL$2)</f>
        <v>8384400</v>
      </c>
      <c r="BQ7" s="79">
        <f>SUM('Defect (Total)'!BQ7,Planned!CW7,Reconductor!CW7,CTGS!CW7,'Substation 2025$'!CW7*$BL$1,Comms!CS7*$BL$2)</f>
        <v>8384400</v>
      </c>
      <c r="BR7" s="80">
        <f>SUM('Defect (Total)'!BR7,Planned!CX7,Reconductor!CX7,CTGS!CX7,'Substation 2025$'!CX7*$BL$1,Comms!CT7*$BL$2)</f>
        <v>8384400</v>
      </c>
      <c r="BT7" s="1120">
        <f>SUM(BN7:BR7)/SUM(BE7:BI7)</f>
        <v>1800</v>
      </c>
      <c r="BU7" s="1120">
        <f>SUM(BE7:BI7)</f>
        <v>23290</v>
      </c>
      <c r="BV7" s="395">
        <f>SUM(BN7:BR7)</f>
        <v>41922000</v>
      </c>
    </row>
    <row r="8" spans="1:77" x14ac:dyDescent="0.25">
      <c r="A8" s="81" t="s">
        <v>27</v>
      </c>
      <c r="B8" s="82" t="s">
        <v>25</v>
      </c>
      <c r="C8" s="83" t="s">
        <v>297</v>
      </c>
      <c r="D8" s="84">
        <f>SUM('Defect (Total)'!D8,Planned!D8,Reconductor!D8,CTGS!D8)</f>
        <v>6176694</v>
      </c>
      <c r="E8" s="85">
        <f>SUM('Defect (Total)'!E8,Planned!E8,Reconductor!E8,CTGS!E8)</f>
        <v>9175248.5999999996</v>
      </c>
      <c r="F8" s="85">
        <f>SUM('Defect (Total)'!F8,Planned!F8,Reconductor!F8,CTGS!F8)</f>
        <v>11026738.600000001</v>
      </c>
      <c r="G8" s="85">
        <f>SUM('Defect (Total)'!G8,Planned!G8,Reconductor!G8,CTGS!G8)</f>
        <v>12311007.729060391</v>
      </c>
      <c r="H8" s="85">
        <f>SUM('Defect (Total)'!H8,Planned!H8,Reconductor!H8,CTGS!H8)</f>
        <v>12040725.721492045</v>
      </c>
      <c r="I8" s="85">
        <f>SUM('Defect (Total)'!I8,Planned!I8,Reconductor!I8,CTGS!I8)</f>
        <v>9015463.2618118525</v>
      </c>
      <c r="J8" s="85">
        <f>SUM('Defect (Total)'!J8,Planned!J8,Reconductor!J8,CTGS!J8)</f>
        <v>19586719.116851203</v>
      </c>
      <c r="K8" s="85">
        <f>SUM('Defect (Total)'!K8,Planned!K8,Reconductor!K8,CTGS!K8)</f>
        <v>18080397.891638912</v>
      </c>
      <c r="L8" s="85">
        <f>SUM('Defect (Total)'!L8,Planned!L8,Reconductor!L8,CTGS!L8)</f>
        <v>22641374.742922097</v>
      </c>
      <c r="M8" s="85">
        <f>SUM('Defect (Total)'!M8,Planned!M8,Reconductor!M8,CTGS!M8)</f>
        <v>19758125.884632397</v>
      </c>
      <c r="N8" s="85">
        <f>SUM('Defect (Total)'!N8,Planned!N8,Reconductor!N8,CTGS!N8)</f>
        <v>17855268.165800024</v>
      </c>
      <c r="O8" s="560">
        <f>SUM('Defect (Total)'!O8,Planned!O8,Reconductor!O8,CTGS!O8)</f>
        <v>8310471.9741053469</v>
      </c>
      <c r="P8" s="561">
        <f>SUM('Defect (Total)'!P8,Planned!P8,Reconductor!P8,CTGS!P8)</f>
        <v>12161158.219071457</v>
      </c>
      <c r="Q8" s="561">
        <f>SUM('Defect (Total)'!Q8,Planned!Q8,Reconductor!Q8,CTGS!Q8)</f>
        <v>14467144.421966877</v>
      </c>
      <c r="R8" s="561">
        <f>SUM('Defect (Total)'!R8,Planned!R8,Reconductor!R8,CTGS!R8)</f>
        <v>15845704.255115062</v>
      </c>
      <c r="S8" s="561">
        <f>SUM('Defect (Total)'!S8,Planned!S8,Reconductor!S8,CTGS!S8)</f>
        <v>15182377.406985579</v>
      </c>
      <c r="T8" s="561">
        <f>SUM('Defect (Total)'!T8,Planned!T8,Reconductor!T8,CTGS!T8)</f>
        <v>11189526.851162095</v>
      </c>
      <c r="U8" s="561">
        <f>SUM('Defect (Total)'!U8,Planned!U8,Reconductor!U8,CTGS!U8)</f>
        <v>24395023.106451854</v>
      </c>
      <c r="V8" s="561">
        <f>SUM('Defect (Total)'!V8,Planned!V8,Reconductor!V8,CTGS!V8)</f>
        <v>21684884.130725816</v>
      </c>
      <c r="W8" s="561">
        <f>SUM('Defect (Total)'!W8,Planned!W8,Reconductor!W8,CTGS!W8)</f>
        <v>25583105.936612733</v>
      </c>
      <c r="X8" s="675">
        <f>SUM('Defect (Total)'!X8,Planned!X8,Reconductor!X8,CTGS!X8)</f>
        <v>21011994.851115361</v>
      </c>
      <c r="Y8" s="675">
        <f>SUM('Defect (Total)'!Y8,Planned!Y8,Reconductor!Y8,CTGS!Y8)</f>
        <v>18042115.051113978</v>
      </c>
      <c r="Z8" s="86">
        <f>SUM('Defect (Total)'!Z8,Planned!Z8,Reconductor!Z8,CTGS!Z8)</f>
        <v>1338.4</v>
      </c>
      <c r="AA8" s="87">
        <f>SUM('Defect (Total)'!AA8,Planned!AA8,Reconductor!AA8,CTGS!AA8)</f>
        <v>1849.2</v>
      </c>
      <c r="AB8" s="87">
        <f>SUM('Defect (Total)'!AB8,Planned!AB8,Reconductor!AB8,CTGS!AB8)</f>
        <v>1741.4</v>
      </c>
      <c r="AC8" s="87">
        <f>SUM('Defect (Total)'!AC8,Planned!AC8,Reconductor!AC8,CTGS!AC8)</f>
        <v>1931.4</v>
      </c>
      <c r="AD8" s="87">
        <f>SUM('Defect (Total)'!AD8,Planned!AD8,Reconductor!AD8,CTGS!AD8)</f>
        <v>2258.1999999999998</v>
      </c>
      <c r="AE8" s="87">
        <f>SUM('Defect (Total)'!AE8,Planned!AE8,Reconductor!AE8,CTGS!AE8)</f>
        <v>1854</v>
      </c>
      <c r="AF8" s="87">
        <f>SUM('Defect (Total)'!AF8,Planned!AF8,Reconductor!AF8,CTGS!AF8)</f>
        <v>4373</v>
      </c>
      <c r="AG8" s="87">
        <f>SUM('Defect (Total)'!AG8,Planned!AG8,Reconductor!AG8,CTGS!AG8)</f>
        <v>4153</v>
      </c>
      <c r="AH8" s="87">
        <f>SUM('Defect (Total)'!AH8,Planned!AH8,Reconductor!AH8,CTGS!AH8)</f>
        <v>4471</v>
      </c>
      <c r="AI8" s="87">
        <f>SUM('Defect (Total)'!AI8,Planned!AI8,Reconductor!AI8,CTGS!AI8)</f>
        <v>3315</v>
      </c>
      <c r="AJ8" s="87">
        <f>SUM('Defect (Total)'!AJ8,Planned!AJ8,Reconductor!AJ8,CTGS!AJ8)</f>
        <v>2695</v>
      </c>
      <c r="AK8" s="88">
        <f t="shared" ref="AK8:AK71" si="14">IFERROR(IF($AM$4="N",SUM(AD8:AH8)/5,SUM(AE8:AI8)/5),"")</f>
        <v>3421.84</v>
      </c>
      <c r="AL8" s="89">
        <f t="shared" si="0"/>
        <v>4332.333333333333</v>
      </c>
      <c r="AM8" s="90">
        <f t="shared" ref="AM8:AM71" si="15">IFERROR(IF($AM$4="N",AH8,AI8),"")</f>
        <v>4471</v>
      </c>
      <c r="AN8" s="91">
        <f t="shared" si="1"/>
        <v>4614.9835624626412</v>
      </c>
      <c r="AO8" s="92">
        <f t="shared" si="2"/>
        <v>4961.7394548994153</v>
      </c>
      <c r="AP8" s="92">
        <f t="shared" si="3"/>
        <v>6332.1112897668545</v>
      </c>
      <c r="AQ8" s="92">
        <f t="shared" si="4"/>
        <v>6374.1367552347474</v>
      </c>
      <c r="AR8" s="92">
        <f t="shared" si="5"/>
        <v>5332.0014708582257</v>
      </c>
      <c r="AS8" s="92">
        <f t="shared" si="6"/>
        <v>4862.7094184529951</v>
      </c>
      <c r="AT8" s="92">
        <f t="shared" si="7"/>
        <v>4479.0119178713021</v>
      </c>
      <c r="AU8" s="92">
        <f t="shared" si="8"/>
        <v>4353.5752207172918</v>
      </c>
      <c r="AV8" s="92">
        <f t="shared" si="9"/>
        <v>5064.0516087949227</v>
      </c>
      <c r="AW8" s="92">
        <f t="shared" si="10"/>
        <v>5960.218969723197</v>
      </c>
      <c r="AX8" s="92">
        <f t="shared" si="10"/>
        <v>6625.33141588127</v>
      </c>
      <c r="AY8" s="93">
        <f t="shared" si="11"/>
        <v>4903.7807386247086</v>
      </c>
      <c r="AZ8" s="94">
        <f t="shared" si="12"/>
        <v>5065.742400468499</v>
      </c>
      <c r="BA8" s="95">
        <f t="shared" si="13"/>
        <v>5960.218969723197</v>
      </c>
      <c r="BB8" s="689">
        <f>SUM('Defect (Total)'!BB8,Planned!CE8,Reconductor!CE8,CTGS!CE8,'Substation 2025$'!CE8*$BL$1,Comms!CA8*$BL$2)</f>
        <v>3592.6666666666665</v>
      </c>
      <c r="BC8" s="689">
        <f>SUM('Defect (Total)'!BC8,Planned!CF8,Reconductor!CF8,CTGS!CF8,'Substation 2025$'!CF8*$BL$1,Comms!CB8*$BL$2)</f>
        <v>3321.3179790343656</v>
      </c>
      <c r="BD8" s="96">
        <f>SUM('Defect (Total)'!BD8,Planned!CG8,Reconductor!CG8,CTGS!CG8,'Substation 2025$'!CG8*$BL$1,Comms!CC8*$BL$2)</f>
        <v>3321.3179790343656</v>
      </c>
      <c r="BE8" s="96">
        <f>SUM('Defect (Total)'!BE8,Planned!CH8,Reconductor!CH8,CTGS!CH8,'Substation 2025$'!CH8*$BL$1,Comms!CD8*$BL$2)</f>
        <v>3546.0683268273033</v>
      </c>
      <c r="BF8" s="96">
        <f>SUM('Defect (Total)'!BF8,Planned!CI8,Reconductor!CI8,CTGS!CI8,'Substation 2025$'!CI8*$BL$1,Comms!CE8*$BL$2)</f>
        <v>3592.930081879309</v>
      </c>
      <c r="BG8" s="96">
        <f>SUM('Defect (Total)'!BG8,Planned!CJ8,Reconductor!CJ8,CTGS!CJ8,'Substation 2025$'!CJ8*$BL$1,Comms!CF8*$BL$2)</f>
        <v>3624.1712519139792</v>
      </c>
      <c r="BH8" s="96">
        <f>SUM('Defect (Total)'!BH8,Planned!CK8,Reconductor!CK8,CTGS!CK8,'Substation 2025$'!CK8*$BL$1,Comms!CG8*$BL$2)</f>
        <v>3655.4124219486494</v>
      </c>
      <c r="BI8" s="286">
        <f>SUM('Defect (Total)'!BI8,Planned!CL8,Reconductor!CL8,CTGS!CL8,'Substation 2025$'!CL8*$BL$1,Comms!CH8*$BL$2)</f>
        <v>3671.033006965984</v>
      </c>
      <c r="BJ8" s="99">
        <f t="shared" ref="BJ8:BJ71" si="16">IFERROR(SUM(BN8:BR8)/SUM(BE8:BI8),"")</f>
        <v>4954.9458625350535</v>
      </c>
      <c r="BK8" s="992">
        <f>SUM('Defect (Total)'!BK8,Planned!CQ8,Reconductor!CQ8,CTGS!CQ8,'Substation 2025$'!CQ8*$BL$1,Comms!CM8*$BL$2)</f>
        <v>17756359.822206676</v>
      </c>
      <c r="BL8" s="992">
        <f>SUM('Defect (Total)'!BL8,Planned!CR8,Reconductor!CR8,CTGS!CR8,'Substation 2025$'!CR8*$BL$1,Comms!CN8*$BL$2)</f>
        <v>15927200.439368829</v>
      </c>
      <c r="BM8" s="524">
        <f>SUM('Defect (Total)'!BM8,Planned!CS8,Reconductor!CS8,CTGS!CS8,'Substation 2025$'!CS8*$BL$1,Comms!CO8*$BL$2)</f>
        <v>15927200.439368829</v>
      </c>
      <c r="BN8" s="416">
        <f>SUM('Defect (Total)'!BN8,Planned!CT8,Reconductor!CT8,CTGS!CT8,'Substation 2025$'!CT8*$BL$1,Comms!CP8*$BL$2)</f>
        <v>17442240.77749864</v>
      </c>
      <c r="BO8" s="97">
        <f>SUM('Defect (Total)'!BO8,Planned!CU8,Reconductor!CU8,CTGS!CU8,'Substation 2025$'!CU8*$BL$1,Comms!CQ8*$BL$2)</f>
        <v>17758135.502096605</v>
      </c>
      <c r="BP8" s="97">
        <f>SUM('Defect (Total)'!BP8,Planned!CV8,Reconductor!CV8,CTGS!CV8,'Substation 2025$'!CV8*$BL$1,Comms!CR8*$BL$2)</f>
        <v>17968731.985161908</v>
      </c>
      <c r="BQ8" s="97">
        <f>SUM('Defect (Total)'!BQ8,Planned!CW8,Reconductor!CW8,CTGS!CW8,'Substation 2025$'!CW8*$BL$1,Comms!CS8*$BL$2)</f>
        <v>18179328.468227219</v>
      </c>
      <c r="BR8" s="98">
        <f>SUM('Defect (Total)'!BR8,Planned!CX8,Reconductor!CX8,CTGS!CX8,'Substation 2025$'!CX8*$BL$1,Comms!CT8*$BL$2)</f>
        <v>18284626.709759872</v>
      </c>
      <c r="BT8" s="1120">
        <f>SUM(BN8:BR8,BN15:BR15)/SUM(BE8:BI8,BE15:BI15)</f>
        <v>4975.135714803605</v>
      </c>
      <c r="BU8" s="1120">
        <f>SUM(BE8:BI8,BE15:BI15)</f>
        <v>18193.581427289508</v>
      </c>
      <c r="BV8" s="395">
        <f>SUM(BN8:BR8,BN15:BR15)</f>
        <v>90515536.739095584</v>
      </c>
    </row>
    <row r="9" spans="1:77" x14ac:dyDescent="0.25">
      <c r="A9" s="81" t="s">
        <v>27</v>
      </c>
      <c r="B9" s="82" t="s">
        <v>28</v>
      </c>
      <c r="C9" s="83" t="s">
        <v>29</v>
      </c>
      <c r="D9" s="84">
        <f>SUM('Defect (Total)'!D9,Planned!D9,Reconductor!D9,CTGS!D9)</f>
        <v>6057626</v>
      </c>
      <c r="E9" s="85">
        <f>SUM('Defect (Total)'!E9,Planned!E9,Reconductor!E9,CTGS!E9)</f>
        <v>7032109.1999999993</v>
      </c>
      <c r="F9" s="85">
        <f>SUM('Defect (Total)'!F9,Planned!F9,Reconductor!F9,CTGS!F9)</f>
        <v>8792681.1999999993</v>
      </c>
      <c r="G9" s="85">
        <f>SUM('Defect (Total)'!G9,Planned!G9,Reconductor!G9,CTGS!G9)</f>
        <v>10228209.344847918</v>
      </c>
      <c r="H9" s="85">
        <f>SUM('Defect (Total)'!H9,Planned!H9,Reconductor!H9,CTGS!H9)</f>
        <v>12538749.442984086</v>
      </c>
      <c r="I9" s="85">
        <f>SUM('Defect (Total)'!I9,Planned!I9,Reconductor!I9,CTGS!I9)</f>
        <v>40012773.263372585</v>
      </c>
      <c r="J9" s="85">
        <f>SUM('Defect (Total)'!J9,Planned!J9,Reconductor!J9,CTGS!J9)</f>
        <v>60360997.883991726</v>
      </c>
      <c r="K9" s="85">
        <f>SUM('Defect (Total)'!K9,Planned!K9,Reconductor!K9,CTGS!K9)</f>
        <v>97952974.330028072</v>
      </c>
      <c r="L9" s="85">
        <f>SUM('Defect (Total)'!L9,Planned!L9,Reconductor!L9,CTGS!L9)</f>
        <v>54721954.772656314</v>
      </c>
      <c r="M9" s="85">
        <f>SUM('Defect (Total)'!M9,Planned!M9,Reconductor!M9,CTGS!M9)</f>
        <v>63728723.523810156</v>
      </c>
      <c r="N9" s="85">
        <f>SUM('Defect (Total)'!N9,Planned!N9,Reconductor!N9,CTGS!N9)</f>
        <v>82549220.900945663</v>
      </c>
      <c r="O9" s="560">
        <f>SUM('Defect (Total)'!O9,Planned!O9,Reconductor!O9,CTGS!O9)</f>
        <v>8150271.1810900578</v>
      </c>
      <c r="P9" s="561">
        <f>SUM('Defect (Total)'!P9,Planned!P9,Reconductor!P9,CTGS!P9)</f>
        <v>9320574.9863810781</v>
      </c>
      <c r="Q9" s="561">
        <f>SUM('Defect (Total)'!Q9,Planned!Q9,Reconductor!Q9,CTGS!Q9)</f>
        <v>11536048.272397874</v>
      </c>
      <c r="R9" s="561">
        <f>SUM('Defect (Total)'!R9,Planned!R9,Reconductor!R9,CTGS!R9)</f>
        <v>13164899.568317803</v>
      </c>
      <c r="S9" s="561">
        <f>SUM('Defect (Total)'!S9,Planned!S9,Reconductor!S9,CTGS!S9)</f>
        <v>15810344.879396925</v>
      </c>
      <c r="T9" s="561">
        <f>SUM('Defect (Total)'!T9,Planned!T9,Reconductor!T9,CTGS!T9)</f>
        <v>49661785.292438589</v>
      </c>
      <c r="U9" s="561">
        <f>SUM('Defect (Total)'!U9,Planned!U9,Reconductor!U9,CTGS!U9)</f>
        <v>75178896.951741904</v>
      </c>
      <c r="V9" s="561">
        <f>SUM('Defect (Total)'!V9,Planned!V9,Reconductor!V9,CTGS!V9)</f>
        <v>117480760.72976723</v>
      </c>
      <c r="W9" s="561">
        <f>SUM('Defect (Total)'!W9,Planned!W9,Reconductor!W9,CTGS!W9)</f>
        <v>61831826.993855007</v>
      </c>
      <c r="X9" s="675">
        <f>SUM('Defect (Total)'!X9,Planned!X9,Reconductor!X9,CTGS!X9)</f>
        <v>67773007.337298214</v>
      </c>
      <c r="Y9" s="675">
        <f>SUM('Defect (Total)'!Y9,Planned!Y9,Reconductor!Y9,CTGS!Y9)</f>
        <v>83252705.349336818</v>
      </c>
      <c r="Z9" s="86">
        <f>SUM('Defect (Total)'!Z9,Planned!Z9,Reconductor!Z9,CTGS!Z9)</f>
        <v>926.8</v>
      </c>
      <c r="AA9" s="87">
        <f>SUM('Defect (Total)'!AA9,Planned!AA9,Reconductor!AA9,CTGS!AA9)</f>
        <v>1092.3999999999999</v>
      </c>
      <c r="AB9" s="87">
        <f>SUM('Defect (Total)'!AB9,Planned!AB9,Reconductor!AB9,CTGS!AB9)</f>
        <v>1058.8000000000002</v>
      </c>
      <c r="AC9" s="87">
        <f>SUM('Defect (Total)'!AC9,Planned!AC9,Reconductor!AC9,CTGS!AC9)</f>
        <v>1124.8000000000002</v>
      </c>
      <c r="AD9" s="87">
        <f>SUM('Defect (Total)'!AD9,Planned!AD9,Reconductor!AD9,CTGS!AD9)</f>
        <v>1634.3999999999996</v>
      </c>
      <c r="AE9" s="87">
        <f>SUM('Defect (Total)'!AE9,Planned!AE9,Reconductor!AE9,CTGS!AE9)</f>
        <v>5169</v>
      </c>
      <c r="AF9" s="87">
        <f>SUM('Defect (Total)'!AF9,Planned!AF9,Reconductor!AF9,CTGS!AF9)</f>
        <v>9088</v>
      </c>
      <c r="AG9" s="87">
        <f>SUM('Defect (Total)'!AG9,Planned!AG9,Reconductor!AG9,CTGS!AG9)</f>
        <v>14690</v>
      </c>
      <c r="AH9" s="87">
        <f>SUM('Defect (Total)'!AH9,Planned!AH9,Reconductor!AH9,CTGS!AH9)</f>
        <v>9253</v>
      </c>
      <c r="AI9" s="87">
        <f>SUM('Defect (Total)'!AI9,Planned!AI9,Reconductor!AI9,CTGS!AI9)</f>
        <v>9236</v>
      </c>
      <c r="AJ9" s="87">
        <f>SUM('Defect (Total)'!AJ9,Planned!AJ9,Reconductor!AJ9,CTGS!AJ9)</f>
        <v>9901</v>
      </c>
      <c r="AK9" s="88">
        <f t="shared" si="14"/>
        <v>7966.88</v>
      </c>
      <c r="AL9" s="89">
        <f t="shared" si="0"/>
        <v>11010.333333333334</v>
      </c>
      <c r="AM9" s="90">
        <f t="shared" si="15"/>
        <v>9253</v>
      </c>
      <c r="AN9" s="91">
        <f t="shared" si="1"/>
        <v>6536.0660336642213</v>
      </c>
      <c r="AO9" s="92">
        <f t="shared" si="2"/>
        <v>6437.302453313805</v>
      </c>
      <c r="AP9" s="92">
        <f t="shared" si="3"/>
        <v>8304.3834529656197</v>
      </c>
      <c r="AQ9" s="92">
        <f t="shared" si="4"/>
        <v>9093.3582368847055</v>
      </c>
      <c r="AR9" s="92">
        <f t="shared" si="5"/>
        <v>7671.775234327024</v>
      </c>
      <c r="AS9" s="92">
        <f t="shared" si="6"/>
        <v>7740.9118327283004</v>
      </c>
      <c r="AT9" s="92">
        <f t="shared" si="7"/>
        <v>6641.8351544885263</v>
      </c>
      <c r="AU9" s="92">
        <f t="shared" si="8"/>
        <v>6668.0036984362196</v>
      </c>
      <c r="AV9" s="92">
        <f t="shared" si="9"/>
        <v>5913.9689584628031</v>
      </c>
      <c r="AW9" s="92">
        <f t="shared" si="10"/>
        <v>6900.0350285632476</v>
      </c>
      <c r="AX9" s="92">
        <f t="shared" si="10"/>
        <v>8337.4629735325379</v>
      </c>
      <c r="AY9" s="93">
        <f t="shared" si="11"/>
        <v>6677.9961163221778</v>
      </c>
      <c r="AZ9" s="94">
        <f t="shared" si="12"/>
        <v>6522.30786420611</v>
      </c>
      <c r="BA9" s="95">
        <f t="shared" si="13"/>
        <v>6900.0350285632476</v>
      </c>
      <c r="BB9" s="689">
        <f>SUM('Defect (Total)'!BB9,Planned!CE9,Reconductor!CE9,CTGS!CE9,'Substation 2025$'!CE9*$BL$1,Comms!CA9*$BL$2)</f>
        <v>10167.866666666667</v>
      </c>
      <c r="BC9" s="689">
        <f>SUM('Defect (Total)'!BC9,Planned!CF9,Reconductor!CF9,CTGS!CF9,'Substation 2025$'!CF9*$BL$1,Comms!CB9*$BL$2)</f>
        <v>9975.5417605468101</v>
      </c>
      <c r="BD9" s="96">
        <f>SUM('Defect (Total)'!BD9,Planned!CG9,Reconductor!CG9,CTGS!CG9,'Substation 2025$'!CG9*$BL$1,Comms!CC9*$BL$2)</f>
        <v>9975.5417605468101</v>
      </c>
      <c r="BE9" s="96">
        <f>SUM('Defect (Total)'!BE9,Planned!CH9,Reconductor!CH9,CTGS!CH9,'Substation 2025$'!CH9*$BL$1,Comms!CD9*$BL$2)</f>
        <v>10251.097479820703</v>
      </c>
      <c r="BF9" s="96">
        <f>SUM('Defect (Total)'!BF9,Planned!CI9,Reconductor!CI9,CTGS!CI9,'Substation 2025$'!CI9*$BL$1,Comms!CE9*$BL$2)</f>
        <v>10308.552450398498</v>
      </c>
      <c r="BG9" s="96">
        <f>SUM('Defect (Total)'!BG9,Planned!CJ9,Reconductor!CJ9,CTGS!CJ9,'Substation 2025$'!CJ9*$BL$1,Comms!CF9*$BL$2)</f>
        <v>10346.855764117026</v>
      </c>
      <c r="BH9" s="96">
        <f>SUM('Defect (Total)'!BH9,Planned!CK9,Reconductor!CK9,CTGS!CK9,'Substation 2025$'!CK9*$BL$1,Comms!CG9*$BL$2)</f>
        <v>10385.159077835557</v>
      </c>
      <c r="BI9" s="286">
        <f>SUM('Defect (Total)'!BI9,Planned!CL9,Reconductor!CL9,CTGS!CL9,'Substation 2025$'!CL9*$BL$1,Comms!CH9*$BL$2)</f>
        <v>10404.31073469482</v>
      </c>
      <c r="BJ9" s="99">
        <f t="shared" si="16"/>
        <v>6366.438048278922</v>
      </c>
      <c r="BK9" s="992">
        <f>SUM('Defect (Total)'!BK9,Planned!CQ9,Reconductor!CQ9,CTGS!CQ9,'Substation 2025$'!CQ9*$BL$1,Comms!CM9*$BL$2)</f>
        <v>64577346.402396902</v>
      </c>
      <c r="BL9" s="992">
        <f>SUM('Defect (Total)'!BL9,Planned!CR9,Reconductor!CR9,CTGS!CR9,'Substation 2025$'!CR9*$BL$1,Comms!CN9*$BL$2)</f>
        <v>63178088.06015861</v>
      </c>
      <c r="BM9" s="524">
        <f>SUM('Defect (Total)'!BM9,Planned!CS9,Reconductor!CS9,CTGS!CS9,'Substation 2025$'!CS9*$BL$1,Comms!CO9*$BL$2)</f>
        <v>63178088.06015861</v>
      </c>
      <c r="BN9" s="416">
        <f>SUM('Defect (Total)'!BN9,Planned!CT9,Reconductor!CT9,CTGS!CT9,'Substation 2025$'!CT9*$BL$1,Comms!CP9*$BL$2)</f>
        <v>65182891.52906128</v>
      </c>
      <c r="BO9" s="97">
        <f>SUM('Defect (Total)'!BO9,Planned!CU9,Reconductor!CU9,CTGS!CU9,'Substation 2025$'!CU9*$BL$1,Comms!CQ9*$BL$2)</f>
        <v>65600904.715735778</v>
      </c>
      <c r="BP9" s="97">
        <f>SUM('Defect (Total)'!BP9,Planned!CV9,Reconductor!CV9,CTGS!CV9,'Substation 2025$'!CV9*$BL$1,Comms!CR9*$BL$2)</f>
        <v>65879580.173518777</v>
      </c>
      <c r="BQ9" s="97">
        <f>SUM('Defect (Total)'!BQ9,Planned!CW9,Reconductor!CW9,CTGS!CW9,'Substation 2025$'!CW9*$BL$1,Comms!CS9*$BL$2)</f>
        <v>66158255.631301776</v>
      </c>
      <c r="BR9" s="98">
        <f>SUM('Defect (Total)'!BR9,Planned!CX9,Reconductor!CX9,CTGS!CX9,'Substation 2025$'!CX9*$BL$1,Comms!CT9*$BL$2)</f>
        <v>66297593.360193267</v>
      </c>
      <c r="BT9" s="1120">
        <f>SUM(BN9:BR10,BN16:BR16)/SUM(BE9:BI10,BE16:BI16)</f>
        <v>6369.2215730752123</v>
      </c>
      <c r="BU9" s="1120">
        <f>SUM(BE9:BI10,BE16:BI16)</f>
        <v>51768.84281739287</v>
      </c>
      <c r="BV9" s="395">
        <f>SUM(BN9:BR10,BN16:BR16)</f>
        <v>329727230.48567843</v>
      </c>
    </row>
    <row r="10" spans="1:77" x14ac:dyDescent="0.25">
      <c r="A10" s="81" t="s">
        <v>27</v>
      </c>
      <c r="B10" s="82" t="s">
        <v>30</v>
      </c>
      <c r="C10" s="83" t="s">
        <v>298</v>
      </c>
      <c r="D10" s="84">
        <f>SUM('Defect (Total)'!D10,Planned!D10,Reconductor!D10,CTGS!D10)</f>
        <v>6057626</v>
      </c>
      <c r="E10" s="85">
        <f>SUM('Defect (Total)'!E10,Planned!E10,Reconductor!E10,CTGS!E10)</f>
        <v>7032109.2000000002</v>
      </c>
      <c r="F10" s="85">
        <f>SUM('Defect (Total)'!F10,Planned!F10,Reconductor!F10,CTGS!F10)</f>
        <v>8792681.1999999993</v>
      </c>
      <c r="G10" s="85">
        <f>SUM('Defect (Total)'!G10,Planned!G10,Reconductor!G10,CTGS!G10)</f>
        <v>10228209.344847918</v>
      </c>
      <c r="H10" s="85">
        <f>SUM('Defect (Total)'!H10,Planned!H10,Reconductor!H10,CTGS!H10)</f>
        <v>12538749.442984089</v>
      </c>
      <c r="I10" s="85">
        <f>SUM('Defect (Total)'!I10,Planned!I10,Reconductor!I10,CTGS!I10)</f>
        <v>6946267.7883578483</v>
      </c>
      <c r="J10" s="85">
        <f>SUM('Defect (Total)'!J10,Planned!J10,Reconductor!J10,CTGS!J10)</f>
        <v>0</v>
      </c>
      <c r="K10" s="85">
        <f>SUM('Defect (Total)'!K10,Planned!K10,Reconductor!K10,CTGS!K10)</f>
        <v>0</v>
      </c>
      <c r="L10" s="85">
        <f>SUM('Defect (Total)'!L10,Planned!L10,Reconductor!L10,CTGS!L10)</f>
        <v>0</v>
      </c>
      <c r="M10" s="85">
        <f>SUM('Defect (Total)'!M10,Planned!M10,Reconductor!M10,CTGS!M10)</f>
        <v>0</v>
      </c>
      <c r="N10" s="85">
        <f>SUM('Defect (Total)'!N10,Planned!N10,Reconductor!N10,CTGS!N10)</f>
        <v>0</v>
      </c>
      <c r="O10" s="560">
        <f>SUM('Defect (Total)'!O10,Planned!O10,Reconductor!O10,CTGS!O10)</f>
        <v>8150271.1810900588</v>
      </c>
      <c r="P10" s="561">
        <f>SUM('Defect (Total)'!P10,Planned!P10,Reconductor!P10,CTGS!P10)</f>
        <v>9320574.9863810781</v>
      </c>
      <c r="Q10" s="561">
        <f>SUM('Defect (Total)'!Q10,Planned!Q10,Reconductor!Q10,CTGS!Q10)</f>
        <v>11536048.27239788</v>
      </c>
      <c r="R10" s="561">
        <f>SUM('Defect (Total)'!R10,Planned!R10,Reconductor!R10,CTGS!R10)</f>
        <v>13164899.568317801</v>
      </c>
      <c r="S10" s="561">
        <f>SUM('Defect (Total)'!S10,Planned!S10,Reconductor!S10,CTGS!S10)</f>
        <v>15810344.87939693</v>
      </c>
      <c r="T10" s="561">
        <f>SUM('Defect (Total)'!T10,Planned!T10,Reconductor!T10,CTGS!T10)</f>
        <v>8621348.4183808733</v>
      </c>
      <c r="U10" s="561">
        <f>SUM('Defect (Total)'!U10,Planned!U10,Reconductor!U10,CTGS!U10)</f>
        <v>0</v>
      </c>
      <c r="V10" s="561">
        <f>SUM('Defect (Total)'!V10,Planned!V10,Reconductor!V10,CTGS!V10)</f>
        <v>0</v>
      </c>
      <c r="W10" s="561">
        <f>SUM('Defect (Total)'!W10,Planned!W10,Reconductor!W10,CTGS!W10)</f>
        <v>0</v>
      </c>
      <c r="X10" s="675">
        <f>SUM('Defect (Total)'!X10,Planned!X10,Reconductor!X10,CTGS!X10)</f>
        <v>0</v>
      </c>
      <c r="Y10" s="675">
        <f>SUM('Defect (Total)'!Y10,Planned!Y10,Reconductor!Y10,CTGS!Y10)</f>
        <v>0</v>
      </c>
      <c r="Z10" s="86">
        <f>SUM('Defect (Total)'!Z10,Planned!Z10,Reconductor!Z10,CTGS!Z10)</f>
        <v>926.80000000000007</v>
      </c>
      <c r="AA10" s="87">
        <f>SUM('Defect (Total)'!AA10,Planned!AA10,Reconductor!AA10,CTGS!AA10)</f>
        <v>1092.4000000000001</v>
      </c>
      <c r="AB10" s="87">
        <f>SUM('Defect (Total)'!AB10,Planned!AB10,Reconductor!AB10,CTGS!AB10)</f>
        <v>1058.8</v>
      </c>
      <c r="AC10" s="87">
        <f>SUM('Defect (Total)'!AC10,Planned!AC10,Reconductor!AC10,CTGS!AC10)</f>
        <v>1124.8</v>
      </c>
      <c r="AD10" s="87">
        <f>SUM('Defect (Total)'!AD10,Planned!AD10,Reconductor!AD10,CTGS!AD10)</f>
        <v>1634.4</v>
      </c>
      <c r="AE10" s="87">
        <f>SUM('Defect (Total)'!AE10,Planned!AE10,Reconductor!AE10,CTGS!AE10)</f>
        <v>560</v>
      </c>
      <c r="AF10" s="87">
        <f>SUM('Defect (Total)'!AF10,Planned!AF10,Reconductor!AF10,CTGS!AF10)</f>
        <v>0</v>
      </c>
      <c r="AG10" s="87">
        <f>SUM('Defect (Total)'!AG10,Planned!AG10,Reconductor!AG10,CTGS!AG10)</f>
        <v>0</v>
      </c>
      <c r="AH10" s="87">
        <f>SUM('Defect (Total)'!AH10,Planned!AH10,Reconductor!AH10,CTGS!AH10)</f>
        <v>0</v>
      </c>
      <c r="AI10" s="87">
        <f>SUM('Defect (Total)'!AI10,Planned!AI10,Reconductor!AI10,CTGS!AI10)</f>
        <v>0</v>
      </c>
      <c r="AJ10" s="87">
        <f>SUM('Defect (Total)'!AJ10,Planned!AJ10,Reconductor!AJ10,CTGS!AJ10)</f>
        <v>0</v>
      </c>
      <c r="AK10" s="88">
        <f t="shared" si="14"/>
        <v>438.88</v>
      </c>
      <c r="AL10" s="89">
        <f t="shared" si="0"/>
        <v>0</v>
      </c>
      <c r="AM10" s="90">
        <f t="shared" si="15"/>
        <v>0</v>
      </c>
      <c r="AN10" s="91">
        <f t="shared" si="1"/>
        <v>6536.0660336642204</v>
      </c>
      <c r="AO10" s="92">
        <f t="shared" si="2"/>
        <v>6437.3024533138041</v>
      </c>
      <c r="AP10" s="92">
        <f t="shared" si="3"/>
        <v>8304.3834529656215</v>
      </c>
      <c r="AQ10" s="92">
        <f t="shared" si="4"/>
        <v>9093.3582368847074</v>
      </c>
      <c r="AR10" s="92">
        <f t="shared" si="5"/>
        <v>7671.775234327024</v>
      </c>
      <c r="AS10" s="92">
        <f t="shared" si="6"/>
        <v>12404.049622067587</v>
      </c>
      <c r="AT10" s="92" t="str">
        <f t="shared" si="7"/>
        <v/>
      </c>
      <c r="AU10" s="92" t="str">
        <f t="shared" si="8"/>
        <v/>
      </c>
      <c r="AV10" s="92" t="str">
        <f t="shared" si="9"/>
        <v/>
      </c>
      <c r="AW10" s="92" t="str">
        <f t="shared" si="10"/>
        <v/>
      </c>
      <c r="AX10" s="92" t="str">
        <f t="shared" si="10"/>
        <v/>
      </c>
      <c r="AY10" s="93">
        <f t="shared" si="11"/>
        <v>12404.049622067587</v>
      </c>
      <c r="AZ10" s="94" t="str">
        <f t="shared" si="12"/>
        <v/>
      </c>
      <c r="BA10" s="95" t="str">
        <f t="shared" si="13"/>
        <v/>
      </c>
      <c r="BB10" s="689">
        <f>SUM('Defect (Total)'!BB10,Planned!CE10,Reconductor!CE10,CTGS!CE10,'Substation 2025$'!CE10*$BL$1,Comms!CA10*$BL$2)</f>
        <v>6.8</v>
      </c>
      <c r="BC10" s="689">
        <f>SUM('Defect (Total)'!BC10,Planned!CF10,Reconductor!CF10,CTGS!CF10,'Substation 2025$'!CF10*$BL$1,Comms!CB10*$BL$2)</f>
        <v>11.650008807836905</v>
      </c>
      <c r="BD10" s="96">
        <f>SUM('Defect (Total)'!BD10,Planned!CG10,Reconductor!CG10,CTGS!CG10,'Substation 2025$'!CG10*$BL$1,Comms!CC10*$BL$2)</f>
        <v>11.650008807836905</v>
      </c>
      <c r="BE10" s="96">
        <f>SUM('Defect (Total)'!BE10,Planned!CH10,Reconductor!CH10,CTGS!CH10,'Substation 2025$'!CH10*$BL$1,Comms!CD10*$BL$2)</f>
        <v>13.158400403762666</v>
      </c>
      <c r="BF10" s="96">
        <f>SUM('Defect (Total)'!BF10,Planned!CI10,Reconductor!CI10,CTGS!CI10,'Substation 2025$'!CI10*$BL$1,Comms!CE10*$BL$2)</f>
        <v>13.472908826930485</v>
      </c>
      <c r="BG10" s="96">
        <f>SUM('Defect (Total)'!BG10,Planned!CJ10,Reconductor!CJ10,CTGS!CJ10,'Substation 2025$'!CJ10*$BL$1,Comms!CF10*$BL$2)</f>
        <v>13.682581109042365</v>
      </c>
      <c r="BH10" s="96">
        <f>SUM('Defect (Total)'!BH10,Planned!CK10,Reconductor!CK10,CTGS!CK10,'Substation 2025$'!CK10*$BL$1,Comms!CG10*$BL$2)</f>
        <v>13.892253391154247</v>
      </c>
      <c r="BI10" s="286">
        <f>SUM('Defect (Total)'!BI10,Planned!CL10,Reconductor!CL10,CTGS!CL10,'Substation 2025$'!CL10*$BL$1,Comms!CH10*$BL$2)</f>
        <v>13.997089532210186</v>
      </c>
      <c r="BJ10" s="99">
        <f t="shared" si="16"/>
        <v>7903.2400907676647</v>
      </c>
      <c r="BK10" s="992">
        <f>SUM('Defect (Total)'!BK10,Planned!CQ10,Reconductor!CQ10,CTGS!CQ10,'Substation 2025$'!CQ10*$BL$1,Comms!CM10*$BL$2)</f>
        <v>63474.71163358257</v>
      </c>
      <c r="BL10" s="992">
        <f>SUM('Defect (Total)'!BL10,Planned!CR10,Reconductor!CR10,CTGS!CR10,'Substation 2025$'!CR10*$BL$1,Comms!CN10*$BL$2)</f>
        <v>94905.040018250846</v>
      </c>
      <c r="BM10" s="524">
        <f>SUM('Defect (Total)'!BM10,Planned!CS10,Reconductor!CS10,CTGS!CS10,'Substation 2025$'!CS10*$BL$1,Comms!CO10*$BL$2)</f>
        <v>94905.040018250846</v>
      </c>
      <c r="BN10" s="416">
        <f>SUM('Defect (Total)'!BN10,Planned!CT10,Reconductor!CT10,CTGS!CT10,'Substation 2025$'!CT10*$BL$1,Comms!CP10*$BL$2)</f>
        <v>104680.12395542103</v>
      </c>
      <c r="BO10" s="97">
        <f>SUM('Defect (Total)'!BO10,Planned!CU10,Reconductor!CU10,CTGS!CU10,'Substation 2025$'!CU10*$BL$1,Comms!CQ10*$BL$2)</f>
        <v>106718.28582513474</v>
      </c>
      <c r="BP10" s="97">
        <f>SUM('Defect (Total)'!BP10,Planned!CV10,Reconductor!CV10,CTGS!CV10,'Substation 2025$'!CV10*$BL$1,Comms!CR10*$BL$2)</f>
        <v>108077.06040494386</v>
      </c>
      <c r="BQ10" s="97">
        <f>SUM('Defect (Total)'!BQ10,Planned!CW10,Reconductor!CW10,CTGS!CW10,'Substation 2025$'!CW10*$BL$1,Comms!CS10*$BL$2)</f>
        <v>109435.83498475302</v>
      </c>
      <c r="BR10" s="98">
        <f>SUM('Defect (Total)'!BR10,Planned!CX10,Reconductor!CX10,CTGS!CX10,'Substation 2025$'!CX10*$BL$1,Comms!CT10*$BL$2)</f>
        <v>110115.22227465757</v>
      </c>
      <c r="BT10" s="1120"/>
      <c r="BU10" s="1120"/>
      <c r="BV10" s="395"/>
    </row>
    <row r="11" spans="1:77" x14ac:dyDescent="0.25">
      <c r="A11" s="81" t="s">
        <v>27</v>
      </c>
      <c r="B11" s="82" t="s">
        <v>32</v>
      </c>
      <c r="C11" s="83" t="s">
        <v>33</v>
      </c>
      <c r="D11" s="84">
        <f>SUM('Defect (Total)'!D11,Planned!D11,Reconductor!D11,CTGS!D11)</f>
        <v>2886253</v>
      </c>
      <c r="E11" s="85">
        <f>SUM('Defect (Total)'!E11,Planned!E11,Reconductor!E11,CTGS!E11)</f>
        <v>3416493</v>
      </c>
      <c r="F11" s="85">
        <f>SUM('Defect (Total)'!F11,Planned!F11,Reconductor!F11,CTGS!F11)</f>
        <v>3209167</v>
      </c>
      <c r="G11" s="85">
        <f>SUM('Defect (Total)'!G11,Planned!G11,Reconductor!G11,CTGS!G11)</f>
        <v>4012995.6945411037</v>
      </c>
      <c r="H11" s="85">
        <f>SUM('Defect (Total)'!H11,Planned!H11,Reconductor!H11,CTGS!H11)</f>
        <v>4540604</v>
      </c>
      <c r="I11" s="85">
        <f>SUM('Defect (Total)'!I11,Planned!I11,Reconductor!I11,CTGS!I11)</f>
        <v>156753.18565892015</v>
      </c>
      <c r="J11" s="85">
        <f>SUM('Defect (Total)'!J11,Planned!J11,Reconductor!J11,CTGS!J11)</f>
        <v>11097076.496250996</v>
      </c>
      <c r="K11" s="85">
        <f>SUM('Defect (Total)'!K11,Planned!K11,Reconductor!K11,CTGS!K11)</f>
        <v>10329770.718329817</v>
      </c>
      <c r="L11" s="85">
        <f>SUM('Defect (Total)'!L11,Planned!L11,Reconductor!L11,CTGS!L11)</f>
        <v>7534580.893029063</v>
      </c>
      <c r="M11" s="85">
        <f>SUM('Defect (Total)'!M11,Planned!M11,Reconductor!M11,CTGS!M11)</f>
        <v>9000354.0445279498</v>
      </c>
      <c r="N11" s="85">
        <f>SUM('Defect (Total)'!N11,Planned!N11,Reconductor!N11,CTGS!N11)</f>
        <v>12719257.245964967</v>
      </c>
      <c r="O11" s="560">
        <f>SUM('Defect (Total)'!O11,Planned!O11,Reconductor!O11,CTGS!O11)</f>
        <v>3883327.33767894</v>
      </c>
      <c r="P11" s="561">
        <f>SUM('Defect (Total)'!P11,Planned!P11,Reconductor!P11,CTGS!P11)</f>
        <v>4528325.4698243374</v>
      </c>
      <c r="Q11" s="561">
        <f>SUM('Defect (Total)'!Q11,Planned!Q11,Reconductor!Q11,CTGS!Q11)</f>
        <v>4210445.5494401725</v>
      </c>
      <c r="R11" s="561">
        <f>SUM('Defect (Total)'!R11,Planned!R11,Reconductor!R11,CTGS!R11)</f>
        <v>5165193.975359614</v>
      </c>
      <c r="S11" s="561">
        <f>SUM('Defect (Total)'!S11,Planned!S11,Reconductor!S11,CTGS!S11)</f>
        <v>5725332.9390785191</v>
      </c>
      <c r="T11" s="561">
        <f>SUM('Defect (Total)'!T11,Planned!T11,Reconductor!T11,CTGS!T11)</f>
        <v>194553.94903169747</v>
      </c>
      <c r="U11" s="561">
        <f>SUM('Defect (Total)'!U11,Planned!U11,Reconductor!U11,CTGS!U11)</f>
        <v>13821275.32054114</v>
      </c>
      <c r="V11" s="561">
        <f>SUM('Defect (Total)'!V11,Planned!V11,Reconductor!V11,CTGS!V11)</f>
        <v>12389101.305537794</v>
      </c>
      <c r="W11" s="561">
        <f>SUM('Defect (Total)'!W11,Planned!W11,Reconductor!W11,CTGS!W11)</f>
        <v>8513528.1476050243</v>
      </c>
      <c r="X11" s="675">
        <f>SUM('Defect (Total)'!X11,Planned!X11,Reconductor!X11,CTGS!X11)</f>
        <v>9571524.8473504279</v>
      </c>
      <c r="Y11" s="675">
        <f>SUM('Defect (Total)'!Y11,Planned!Y11,Reconductor!Y11,CTGS!Y11)</f>
        <v>12814572.467131773</v>
      </c>
      <c r="Z11" s="86">
        <f>SUM('Defect (Total)'!Z11,Planned!Z11,Reconductor!Z11,CTGS!Z11)</f>
        <v>184</v>
      </c>
      <c r="AA11" s="87">
        <f>SUM('Defect (Total)'!AA11,Planned!AA11,Reconductor!AA11,CTGS!AA11)</f>
        <v>240</v>
      </c>
      <c r="AB11" s="87">
        <f>SUM('Defect (Total)'!AB11,Planned!AB11,Reconductor!AB11,CTGS!AB11)</f>
        <v>184</v>
      </c>
      <c r="AC11" s="87">
        <f>SUM('Defect (Total)'!AC11,Planned!AC11,Reconductor!AC11,CTGS!AC11)</f>
        <v>181</v>
      </c>
      <c r="AD11" s="87">
        <f>SUM('Defect (Total)'!AD11,Planned!AD11,Reconductor!AD11,CTGS!AD11)</f>
        <v>307</v>
      </c>
      <c r="AE11" s="87">
        <f>SUM('Defect (Total)'!AE11,Planned!AE11,Reconductor!AE11,CTGS!AE11)</f>
        <v>7</v>
      </c>
      <c r="AF11" s="87">
        <f>SUM('Defect (Total)'!AF11,Planned!AF11,Reconductor!AF11,CTGS!AF11)</f>
        <v>816</v>
      </c>
      <c r="AG11" s="87">
        <f>SUM('Defect (Total)'!AG11,Planned!AG11,Reconductor!AG11,CTGS!AG11)</f>
        <v>1125</v>
      </c>
      <c r="AH11" s="87">
        <f>SUM('Defect (Total)'!AH11,Planned!AH11,Reconductor!AH11,CTGS!AH11)</f>
        <v>788</v>
      </c>
      <c r="AI11" s="87">
        <f>SUM('Defect (Total)'!AI11,Planned!AI11,Reconductor!AI11,CTGS!AI11)</f>
        <v>599</v>
      </c>
      <c r="AJ11" s="87">
        <f>SUM('Defect (Total)'!AJ11,Planned!AJ11,Reconductor!AJ11,CTGS!AJ11)</f>
        <v>765</v>
      </c>
      <c r="AK11" s="88">
        <f t="shared" si="14"/>
        <v>608.6</v>
      </c>
      <c r="AL11" s="89">
        <f t="shared" si="0"/>
        <v>909.66666666666663</v>
      </c>
      <c r="AM11" s="90">
        <f t="shared" si="15"/>
        <v>788</v>
      </c>
      <c r="AN11" s="91">
        <f t="shared" si="1"/>
        <v>15686.157608695652</v>
      </c>
      <c r="AO11" s="92">
        <f t="shared" si="2"/>
        <v>14235.387500000001</v>
      </c>
      <c r="AP11" s="92">
        <f t="shared" si="3"/>
        <v>17441.125</v>
      </c>
      <c r="AQ11" s="92">
        <f t="shared" si="4"/>
        <v>22171.246931166319</v>
      </c>
      <c r="AR11" s="92">
        <f t="shared" si="5"/>
        <v>14790.241042345277</v>
      </c>
      <c r="AS11" s="92">
        <f t="shared" si="6"/>
        <v>22393.312236988593</v>
      </c>
      <c r="AT11" s="92">
        <f t="shared" si="7"/>
        <v>13599.358451287986</v>
      </c>
      <c r="AU11" s="92">
        <f t="shared" si="8"/>
        <v>9182.018416293171</v>
      </c>
      <c r="AV11" s="92">
        <f t="shared" si="9"/>
        <v>9561.6508794785059</v>
      </c>
      <c r="AW11" s="92">
        <f t="shared" si="10"/>
        <v>15025.632795539148</v>
      </c>
      <c r="AX11" s="92">
        <f t="shared" si="10"/>
        <v>16626.480060084923</v>
      </c>
      <c r="AY11" s="93">
        <f t="shared" si="11"/>
        <v>11429.845678499774</v>
      </c>
      <c r="AZ11" s="94">
        <f t="shared" si="12"/>
        <v>10694.548429891254</v>
      </c>
      <c r="BA11" s="95">
        <f t="shared" si="13"/>
        <v>15025.632795539148</v>
      </c>
      <c r="BB11" s="689">
        <f>SUM('Defect (Total)'!BB11,Planned!CE11,Reconductor!CE11,CTGS!CE11,'Substation 2025$'!CE11*$BL$1,Comms!CA11*$BL$2)</f>
        <v>650.86666666666667</v>
      </c>
      <c r="BC11" s="689">
        <f>SUM('Defect (Total)'!BC11,Planned!CF11,Reconductor!CF11,CTGS!CF11,'Substation 2025$'!CF11*$BL$1,Comms!CB11*$BL$2)</f>
        <v>644.7652500027823</v>
      </c>
      <c r="BD11" s="96">
        <f>SUM('Defect (Total)'!BD11,Planned!CG11,Reconductor!CG11,CTGS!CG11,'Substation 2025$'!CG11*$BL$1,Comms!CC11*$BL$2)</f>
        <v>644.7652500027823</v>
      </c>
      <c r="BE11" s="96">
        <f>SUM('Defect (Total)'!BE11,Planned!CH11,Reconductor!CH11,CTGS!CH11,'Substation 2025$'!CH11*$BL$1,Comms!CD11*$BL$2)</f>
        <v>661.63181057540669</v>
      </c>
      <c r="BF11" s="96">
        <f>SUM('Defect (Total)'!BF11,Planned!CI11,Reconductor!CI11,CTGS!CI11,'Substation 2025$'!CI11*$BL$1,Comms!CE11*$BL$2)</f>
        <v>665.14858657991965</v>
      </c>
      <c r="BG11" s="96">
        <f>SUM('Defect (Total)'!BG11,Planned!CJ11,Reconductor!CJ11,CTGS!CJ11,'Substation 2025$'!CJ11*$BL$1,Comms!CF11*$BL$2)</f>
        <v>667.49310391626159</v>
      </c>
      <c r="BH11" s="96">
        <f>SUM('Defect (Total)'!BH11,Planned!CK11,Reconductor!CK11,CTGS!CK11,'Substation 2025$'!CK11*$BL$1,Comms!CG11*$BL$2)</f>
        <v>669.83762125260353</v>
      </c>
      <c r="BI11" s="286">
        <f>SUM('Defect (Total)'!BI11,Planned!CL11,Reconductor!CL11,CTGS!CL11,'Substation 2025$'!CL11*$BL$1,Comms!CH11*$BL$2)</f>
        <v>671.00987992077444</v>
      </c>
      <c r="BJ11" s="99">
        <f t="shared" si="16"/>
        <v>10959.448392123179</v>
      </c>
      <c r="BK11" s="992">
        <f>SUM('Defect (Total)'!BK11,Planned!CQ11,Reconductor!CQ11,CTGS!CQ11,'Substation 2025$'!CQ11*$BL$1,Comms!CM11*$BL$2)</f>
        <v>7116129.9080637954</v>
      </c>
      <c r="BL11" s="992">
        <f>SUM('Defect (Total)'!BL11,Planned!CR11,Reconductor!CR11,CTGS!CR11,'Substation 2025$'!CR11*$BL$1,Comms!CN11*$BL$2)</f>
        <v>7042838.5215078909</v>
      </c>
      <c r="BM11" s="524">
        <f>SUM('Defect (Total)'!BM11,Planned!CS11,Reconductor!CS11,CTGS!CS11,'Substation 2025$'!CS11*$BL$1,Comms!CO11*$BL$2)</f>
        <v>7042838.5215078909</v>
      </c>
      <c r="BN11" s="416">
        <f>SUM('Defect (Total)'!BN11,Planned!CT11,Reconductor!CT11,CTGS!CT11,'Substation 2025$'!CT11*$BL$1,Comms!CP11*$BL$2)</f>
        <v>7245442.8802814838</v>
      </c>
      <c r="BO11" s="97">
        <f>SUM('Defect (Total)'!BO11,Planned!CU11,Reconductor!CU11,CTGS!CU11,'Substation 2025$'!CU11*$BL$1,Comms!CQ11*$BL$2)</f>
        <v>7287687.0677835383</v>
      </c>
      <c r="BP11" s="97">
        <f>SUM('Defect (Total)'!BP11,Planned!CV11,Reconductor!CV11,CTGS!CV11,'Substation 2025$'!CV11*$BL$1,Comms!CR11*$BL$2)</f>
        <v>7315849.8594515743</v>
      </c>
      <c r="BQ11" s="97">
        <f>SUM('Defect (Total)'!BQ11,Planned!CW11,Reconductor!CW11,CTGS!CW11,'Substation 2025$'!CW11*$BL$1,Comms!CS11*$BL$2)</f>
        <v>7344012.6511196103</v>
      </c>
      <c r="BR11" s="98">
        <f>SUM('Defect (Total)'!BR11,Planned!CX11,Reconductor!CX11,CTGS!CX11,'Substation 2025$'!CX11*$BL$1,Comms!CT11*$BL$2)</f>
        <v>7358094.0469536278</v>
      </c>
      <c r="BT11" s="1120">
        <f>SUM(BN11:BR11)/SUM(BE11:BI11)</f>
        <v>10959.448392123179</v>
      </c>
      <c r="BU11" s="1120">
        <f t="shared" ref="BU11:BU12" si="17">SUM(BE11:BI11)</f>
        <v>3335.1210022449659</v>
      </c>
      <c r="BV11" s="395">
        <f t="shared" ref="BV11:BV12" si="18">SUM(BN11:BR11)</f>
        <v>36551086.505589835</v>
      </c>
    </row>
    <row r="12" spans="1:77" x14ac:dyDescent="0.25">
      <c r="A12" s="81" t="s">
        <v>27</v>
      </c>
      <c r="B12" s="82" t="s">
        <v>34</v>
      </c>
      <c r="C12" s="83" t="s">
        <v>35</v>
      </c>
      <c r="D12" s="84">
        <f>SUM('Defect (Total)'!D12,Planned!D12,Reconductor!D12,CTGS!D12)</f>
        <v>260333</v>
      </c>
      <c r="E12" s="85">
        <f>SUM('Defect (Total)'!E12,Planned!E12,Reconductor!E12,CTGS!E12)</f>
        <v>524124</v>
      </c>
      <c r="F12" s="85">
        <f>SUM('Defect (Total)'!F12,Planned!F12,Reconductor!F12,CTGS!F12)</f>
        <v>0</v>
      </c>
      <c r="G12" s="85">
        <f>SUM('Defect (Total)'!G12,Planned!G12,Reconductor!G12,CTGS!G12)</f>
        <v>578254.04321771057</v>
      </c>
      <c r="H12" s="85">
        <f>SUM('Defect (Total)'!H12,Planned!H12,Reconductor!H12,CTGS!H12)</f>
        <v>76931</v>
      </c>
      <c r="I12" s="85">
        <f>SUM('Defect (Total)'!I12,Planned!I12,Reconductor!I12,CTGS!I12)</f>
        <v>9695716.0432001855</v>
      </c>
      <c r="J12" s="85">
        <f>SUM('Defect (Total)'!J12,Planned!J12,Reconductor!J12,CTGS!J12)</f>
        <v>590146.23023702623</v>
      </c>
      <c r="K12" s="85">
        <f>SUM('Defect (Total)'!K12,Planned!K12,Reconductor!K12,CTGS!K12)</f>
        <v>377217.96442130196</v>
      </c>
      <c r="L12" s="85">
        <f>SUM('Defect (Total)'!L12,Planned!L12,Reconductor!L12,CTGS!L12)</f>
        <v>121625.33933916573</v>
      </c>
      <c r="M12" s="85">
        <f>SUM('Defect (Total)'!M12,Planned!M12,Reconductor!M12,CTGS!M12)</f>
        <v>144949.92781114599</v>
      </c>
      <c r="N12" s="85">
        <f>SUM('Defect (Total)'!N12,Planned!N12,Reconductor!N12,CTGS!N12)</f>
        <v>377704.05090497085</v>
      </c>
      <c r="O12" s="560">
        <f>SUM('Defect (Total)'!O12,Planned!O12,Reconductor!O12,CTGS!O12)</f>
        <v>350266.67994800571</v>
      </c>
      <c r="P12" s="561">
        <f>SUM('Defect (Total)'!P12,Planned!P12,Reconductor!P12,CTGS!P12)</f>
        <v>694690.15699613944</v>
      </c>
      <c r="Q12" s="561">
        <f>SUM('Defect (Total)'!Q12,Planned!Q12,Reconductor!Q12,CTGS!Q12)</f>
        <v>0</v>
      </c>
      <c r="R12" s="561">
        <f>SUM('Defect (Total)'!R12,Planned!R12,Reconductor!R12,CTGS!R12)</f>
        <v>744280.46467092063</v>
      </c>
      <c r="S12" s="561">
        <f>SUM('Defect (Total)'!S12,Planned!S12,Reconductor!S12,CTGS!S12)</f>
        <v>97003.744069346169</v>
      </c>
      <c r="T12" s="561">
        <f>SUM('Defect (Total)'!T12,Planned!T12,Reconductor!T12,CTGS!T12)</f>
        <v>12033821.430583708</v>
      </c>
      <c r="U12" s="561">
        <f>SUM('Defect (Total)'!U12,Planned!U12,Reconductor!U12,CTGS!U12)</f>
        <v>735020.03255010385</v>
      </c>
      <c r="V12" s="561">
        <f>SUM('Defect (Total)'!V12,Planned!V12,Reconductor!V12,CTGS!V12)</f>
        <v>452419.68122210994</v>
      </c>
      <c r="W12" s="561">
        <f>SUM('Defect (Total)'!W12,Planned!W12,Reconductor!W12,CTGS!W12)</f>
        <v>137427.78326051292</v>
      </c>
      <c r="X12" s="675">
        <f>SUM('Defect (Total)'!X12,Planned!X12,Reconductor!X12,CTGS!X12)</f>
        <v>154148.58446702364</v>
      </c>
      <c r="Y12" s="675">
        <f>SUM('Defect (Total)'!Y12,Planned!Y12,Reconductor!Y12,CTGS!Y12)</f>
        <v>380333.28773068049</v>
      </c>
      <c r="Z12" s="86">
        <f>SUM('Defect (Total)'!Z12,Planned!Z12,Reconductor!Z12,CTGS!Z12)</f>
        <v>3</v>
      </c>
      <c r="AA12" s="87">
        <f>SUM('Defect (Total)'!AA12,Planned!AA12,Reconductor!AA12,CTGS!AA12)</f>
        <v>18</v>
      </c>
      <c r="AB12" s="87">
        <f>SUM('Defect (Total)'!AB12,Planned!AB12,Reconductor!AB12,CTGS!AB12)</f>
        <v>0</v>
      </c>
      <c r="AC12" s="87">
        <f>SUM('Defect (Total)'!AC12,Planned!AC12,Reconductor!AC12,CTGS!AC12)</f>
        <v>1</v>
      </c>
      <c r="AD12" s="87">
        <f>SUM('Defect (Total)'!AD12,Planned!AD12,Reconductor!AD12,CTGS!AD12)</f>
        <v>3</v>
      </c>
      <c r="AE12" s="87">
        <f>SUM('Defect (Total)'!AE12,Planned!AE12,Reconductor!AE12,CTGS!AE12)</f>
        <v>1329</v>
      </c>
      <c r="AF12" s="87">
        <f>SUM('Defect (Total)'!AF12,Planned!AF12,Reconductor!AF12,CTGS!AF12)</f>
        <v>27</v>
      </c>
      <c r="AG12" s="87">
        <f>SUM('Defect (Total)'!AG12,Planned!AG12,Reconductor!AG12,CTGS!AG12)</f>
        <v>34</v>
      </c>
      <c r="AH12" s="87">
        <f>SUM('Defect (Total)'!AH12,Planned!AH12,Reconductor!AH12,CTGS!AH12)</f>
        <v>16</v>
      </c>
      <c r="AI12" s="87">
        <f>SUM('Defect (Total)'!AI12,Planned!AI12,Reconductor!AI12,CTGS!AI12)</f>
        <v>5</v>
      </c>
      <c r="AJ12" s="87">
        <f>SUM('Defect (Total)'!AJ12,Planned!AJ12,Reconductor!AJ12,CTGS!AJ12)</f>
        <v>20</v>
      </c>
      <c r="AK12" s="88">
        <f t="shared" si="14"/>
        <v>281.8</v>
      </c>
      <c r="AL12" s="89">
        <f t="shared" si="0"/>
        <v>25.666666666666668</v>
      </c>
      <c r="AM12" s="90">
        <f t="shared" si="15"/>
        <v>16</v>
      </c>
      <c r="AN12" s="91">
        <f t="shared" si="1"/>
        <v>86777.666666666672</v>
      </c>
      <c r="AO12" s="92">
        <f t="shared" si="2"/>
        <v>29118</v>
      </c>
      <c r="AP12" s="92" t="str">
        <f t="shared" si="3"/>
        <v/>
      </c>
      <c r="AQ12" s="92">
        <f t="shared" si="4"/>
        <v>578254.04321771057</v>
      </c>
      <c r="AR12" s="92">
        <f t="shared" si="5"/>
        <v>25643.666666666668</v>
      </c>
      <c r="AS12" s="92">
        <f t="shared" si="6"/>
        <v>7295.4973989467162</v>
      </c>
      <c r="AT12" s="92">
        <f t="shared" si="7"/>
        <v>21857.267786556527</v>
      </c>
      <c r="AU12" s="92">
        <f t="shared" si="8"/>
        <v>11094.646012391235</v>
      </c>
      <c r="AV12" s="92">
        <f t="shared" si="9"/>
        <v>7601.5837086978581</v>
      </c>
      <c r="AW12" s="92">
        <f t="shared" si="10"/>
        <v>28989.985562229198</v>
      </c>
      <c r="AX12" s="92">
        <f t="shared" si="10"/>
        <v>18885.202545248543</v>
      </c>
      <c r="AY12" s="93">
        <f t="shared" si="11"/>
        <v>7746.03508505232</v>
      </c>
      <c r="AZ12" s="94">
        <f t="shared" si="12"/>
        <v>11705.33148312025</v>
      </c>
      <c r="BA12" s="95">
        <f t="shared" si="13"/>
        <v>28989.985562229198</v>
      </c>
      <c r="BB12" s="689">
        <f>SUM('Defect (Total)'!BB12,Planned!CE12,Reconductor!CE12,CTGS!CE12,'Substation 2025$'!CE12*$BL$1,Comms!CA12*$BL$2)</f>
        <v>8.8666666666666654</v>
      </c>
      <c r="BC12" s="689">
        <f>SUM('Defect (Total)'!BC12,Planned!CF12,Reconductor!CF12,CTGS!CF12,'Substation 2025$'!CF12*$BL$1,Comms!CB12*$BL$2)</f>
        <v>8.8666666666666654</v>
      </c>
      <c r="BD12" s="96">
        <f>SUM('Defect (Total)'!BD12,Planned!CG12,Reconductor!CG12,CTGS!CG12,'Substation 2025$'!CG12*$BL$1,Comms!CC12*$BL$2)</f>
        <v>8.8666666666666654</v>
      </c>
      <c r="BE12" s="96">
        <f>SUM('Defect (Total)'!BE12,Planned!CH12,Reconductor!CH12,CTGS!CH12,'Substation 2025$'!CH12*$BL$1,Comms!CD12*$BL$2)</f>
        <v>8.8666666666666654</v>
      </c>
      <c r="BF12" s="96">
        <f>SUM('Defect (Total)'!BF12,Planned!CI12,Reconductor!CI12,CTGS!CI12,'Substation 2025$'!CI12*$BL$1,Comms!CE12*$BL$2)</f>
        <v>8.8666666666666654</v>
      </c>
      <c r="BG12" s="96">
        <f>SUM('Defect (Total)'!BG12,Planned!CJ12,Reconductor!CJ12,CTGS!CJ12,'Substation 2025$'!CJ12*$BL$1,Comms!CF12*$BL$2)</f>
        <v>8.8666666666666654</v>
      </c>
      <c r="BH12" s="96">
        <f>SUM('Defect (Total)'!BH12,Planned!CK12,Reconductor!CK12,CTGS!CK12,'Substation 2025$'!CK12*$BL$1,Comms!CG12*$BL$2)</f>
        <v>8.8666666666666654</v>
      </c>
      <c r="BI12" s="286">
        <f>SUM('Defect (Total)'!BI12,Planned!CL12,Reconductor!CL12,CTGS!CL12,'Substation 2025$'!CL12*$BL$1,Comms!CH12*$BL$2)</f>
        <v>8.8666666666666654</v>
      </c>
      <c r="BJ12" s="99">
        <f t="shared" si="16"/>
        <v>13070.77884734946</v>
      </c>
      <c r="BK12" s="992">
        <f>SUM('Defect (Total)'!BK12,Planned!CQ12,Reconductor!CQ12,CTGS!CQ12,'Substation 2025$'!CQ12*$BL$1,Comms!CM12*$BL$2)</f>
        <v>115894.23911316521</v>
      </c>
      <c r="BL12" s="992">
        <f>SUM('Defect (Total)'!BL12,Planned!CR12,Reconductor!CR12,CTGS!CR12,'Substation 2025$'!CR12*$BL$1,Comms!CN12*$BL$2)</f>
        <v>115894.23911316521</v>
      </c>
      <c r="BM12" s="524">
        <f>SUM('Defect (Total)'!BM12,Planned!CS12,Reconductor!CS12,CTGS!CS12,'Substation 2025$'!CS12*$BL$1,Comms!CO12*$BL$2)</f>
        <v>115894.23911316521</v>
      </c>
      <c r="BN12" s="416">
        <f>SUM('Defect (Total)'!BN12,Planned!CT12,Reconductor!CT12,CTGS!CT12,'Substation 2025$'!CT12*$BL$1,Comms!CP12*$BL$2)</f>
        <v>115894.23911316521</v>
      </c>
      <c r="BO12" s="97">
        <f>SUM('Defect (Total)'!BO12,Planned!CU12,Reconductor!CU12,CTGS!CU12,'Substation 2025$'!CU12*$BL$1,Comms!CQ12*$BL$2)</f>
        <v>115894.23911316521</v>
      </c>
      <c r="BP12" s="97">
        <f>SUM('Defect (Total)'!BP12,Planned!CV12,Reconductor!CV12,CTGS!CV12,'Substation 2025$'!CV12*$BL$1,Comms!CR12*$BL$2)</f>
        <v>115894.23911316521</v>
      </c>
      <c r="BQ12" s="97">
        <f>SUM('Defect (Total)'!BQ12,Planned!CW12,Reconductor!CW12,CTGS!CW12,'Substation 2025$'!CW12*$BL$1,Comms!CS12*$BL$2)</f>
        <v>115894.23911316521</v>
      </c>
      <c r="BR12" s="98">
        <f>SUM('Defect (Total)'!BR12,Planned!CX12,Reconductor!CX12,CTGS!CX12,'Substation 2025$'!CX12*$BL$1,Comms!CT12*$BL$2)</f>
        <v>115894.23911316521</v>
      </c>
      <c r="BT12" s="1120">
        <f t="shared" ref="BT12" si="19">SUM(BN12:BR12)/SUM(BE12:BI12)</f>
        <v>13070.77884734946</v>
      </c>
      <c r="BU12" s="1120">
        <f t="shared" si="17"/>
        <v>44.333333333333329</v>
      </c>
      <c r="BV12" s="395">
        <f t="shared" si="18"/>
        <v>579471.19556582603</v>
      </c>
    </row>
    <row r="13" spans="1:77" x14ac:dyDescent="0.25">
      <c r="A13" s="81" t="s">
        <v>27</v>
      </c>
      <c r="B13" s="82" t="s">
        <v>36</v>
      </c>
      <c r="C13" s="83" t="s">
        <v>37</v>
      </c>
      <c r="D13" s="84">
        <f>SUM('Defect (Total)'!D13,Planned!D13,Reconductor!D13,CTGS!D13)</f>
        <v>0</v>
      </c>
      <c r="E13" s="85">
        <f>SUM('Defect (Total)'!E13,Planned!E13,Reconductor!E13,CTGS!E13)</f>
        <v>0</v>
      </c>
      <c r="F13" s="85">
        <f>SUM('Defect (Total)'!F13,Planned!F13,Reconductor!F13,CTGS!F13)</f>
        <v>0</v>
      </c>
      <c r="G13" s="85">
        <f>SUM('Defect (Total)'!G13,Planned!G13,Reconductor!G13,CTGS!G13)</f>
        <v>0</v>
      </c>
      <c r="H13" s="85">
        <f>SUM('Defect (Total)'!H13,Planned!H13,Reconductor!H13,CTGS!H13)</f>
        <v>0</v>
      </c>
      <c r="I13" s="85">
        <f>SUM('Defect (Total)'!I13,Planned!I13,Reconductor!I13,CTGS!I13)</f>
        <v>0</v>
      </c>
      <c r="J13" s="85">
        <f>SUM('Defect (Total)'!J13,Planned!J13,Reconductor!J13,CTGS!J13)</f>
        <v>0</v>
      </c>
      <c r="K13" s="85">
        <f>SUM('Defect (Total)'!K13,Planned!K13,Reconductor!K13,CTGS!K13)</f>
        <v>0</v>
      </c>
      <c r="L13" s="85">
        <f>SUM('Defect (Total)'!L13,Planned!L13,Reconductor!L13,CTGS!L13)</f>
        <v>0</v>
      </c>
      <c r="M13" s="85">
        <f>SUM('Defect (Total)'!M13,Planned!M13,Reconductor!M13,CTGS!M13)</f>
        <v>0</v>
      </c>
      <c r="N13" s="85">
        <f>SUM('Defect (Total)'!N13,Planned!N13,Reconductor!N13,CTGS!N13)</f>
        <v>0</v>
      </c>
      <c r="O13" s="560">
        <f>SUM('Defect (Total)'!O13,Planned!O13,Reconductor!O13,CTGS!O13)</f>
        <v>0</v>
      </c>
      <c r="P13" s="561">
        <f>SUM('Defect (Total)'!P13,Planned!P13,Reconductor!P13,CTGS!P13)</f>
        <v>0</v>
      </c>
      <c r="Q13" s="561">
        <f>SUM('Defect (Total)'!Q13,Planned!Q13,Reconductor!Q13,CTGS!Q13)</f>
        <v>0</v>
      </c>
      <c r="R13" s="561">
        <f>SUM('Defect (Total)'!R13,Planned!R13,Reconductor!R13,CTGS!R13)</f>
        <v>0</v>
      </c>
      <c r="S13" s="561">
        <f>SUM('Defect (Total)'!S13,Planned!S13,Reconductor!S13,CTGS!S13)</f>
        <v>0</v>
      </c>
      <c r="T13" s="561">
        <f>SUM('Defect (Total)'!T13,Planned!T13,Reconductor!T13,CTGS!T13)</f>
        <v>0</v>
      </c>
      <c r="U13" s="561">
        <f>SUM('Defect (Total)'!U13,Planned!U13,Reconductor!U13,CTGS!U13)</f>
        <v>0</v>
      </c>
      <c r="V13" s="561">
        <f>SUM('Defect (Total)'!V13,Planned!V13,Reconductor!V13,CTGS!V13)</f>
        <v>0</v>
      </c>
      <c r="W13" s="561">
        <f>SUM('Defect (Total)'!W13,Planned!W13,Reconductor!W13,CTGS!W13)</f>
        <v>0</v>
      </c>
      <c r="X13" s="675">
        <f>SUM('Defect (Total)'!X13,Planned!X13,Reconductor!X13,CTGS!X13)</f>
        <v>0</v>
      </c>
      <c r="Y13" s="675">
        <f>SUM('Defect (Total)'!Y13,Planned!Y13,Reconductor!Y13,CTGS!Y13)</f>
        <v>0</v>
      </c>
      <c r="Z13" s="86">
        <f>SUM('Defect (Total)'!Z13,Planned!Z13,Reconductor!Z13,CTGS!Z13)</f>
        <v>0</v>
      </c>
      <c r="AA13" s="87">
        <f>SUM('Defect (Total)'!AA13,Planned!AA13,Reconductor!AA13,CTGS!AA13)</f>
        <v>0</v>
      </c>
      <c r="AB13" s="87">
        <f>SUM('Defect (Total)'!AB13,Planned!AB13,Reconductor!AB13,CTGS!AB13)</f>
        <v>0</v>
      </c>
      <c r="AC13" s="87">
        <f>SUM('Defect (Total)'!AC13,Planned!AC13,Reconductor!AC13,CTGS!AC13)</f>
        <v>0</v>
      </c>
      <c r="AD13" s="87">
        <f>SUM('Defect (Total)'!AD13,Planned!AD13,Reconductor!AD13,CTGS!AD13)</f>
        <v>0</v>
      </c>
      <c r="AE13" s="87">
        <f>SUM('Defect (Total)'!AE13,Planned!AE13,Reconductor!AE13,CTGS!AE13)</f>
        <v>0</v>
      </c>
      <c r="AF13" s="87">
        <f>SUM('Defect (Total)'!AF13,Planned!AF13,Reconductor!AF13,CTGS!AF13)</f>
        <v>0</v>
      </c>
      <c r="AG13" s="87">
        <f>SUM('Defect (Total)'!AG13,Planned!AG13,Reconductor!AG13,CTGS!AG13)</f>
        <v>0</v>
      </c>
      <c r="AH13" s="87">
        <f>SUM('Defect (Total)'!AH13,Planned!AH13,Reconductor!AH13,CTGS!AH13)</f>
        <v>0</v>
      </c>
      <c r="AI13" s="87">
        <f>SUM('Defect (Total)'!AI13,Planned!AI13,Reconductor!AI13,CTGS!AI13)</f>
        <v>0</v>
      </c>
      <c r="AJ13" s="87">
        <f>SUM('Defect (Total)'!AJ13,Planned!AJ13,Reconductor!AJ13,CTGS!AJ13)</f>
        <v>0</v>
      </c>
      <c r="AK13" s="88">
        <f t="shared" si="14"/>
        <v>0</v>
      </c>
      <c r="AL13" s="89">
        <f t="shared" si="0"/>
        <v>0</v>
      </c>
      <c r="AM13" s="90">
        <f t="shared" si="15"/>
        <v>0</v>
      </c>
      <c r="AN13" s="91" t="str">
        <f t="shared" si="1"/>
        <v/>
      </c>
      <c r="AO13" s="92" t="str">
        <f t="shared" si="2"/>
        <v/>
      </c>
      <c r="AP13" s="92" t="str">
        <f t="shared" si="3"/>
        <v/>
      </c>
      <c r="AQ13" s="92" t="str">
        <f t="shared" si="4"/>
        <v/>
      </c>
      <c r="AR13" s="92" t="str">
        <f t="shared" si="5"/>
        <v/>
      </c>
      <c r="AS13" s="92" t="str">
        <f t="shared" si="6"/>
        <v/>
      </c>
      <c r="AT13" s="92" t="str">
        <f t="shared" si="7"/>
        <v/>
      </c>
      <c r="AU13" s="92" t="str">
        <f t="shared" si="8"/>
        <v/>
      </c>
      <c r="AV13" s="92" t="str">
        <f t="shared" si="9"/>
        <v/>
      </c>
      <c r="AW13" s="92" t="str">
        <f t="shared" si="10"/>
        <v/>
      </c>
      <c r="AX13" s="92" t="str">
        <f t="shared" si="10"/>
        <v/>
      </c>
      <c r="AY13" s="93" t="str">
        <f t="shared" si="11"/>
        <v/>
      </c>
      <c r="AZ13" s="94" t="str">
        <f t="shared" si="12"/>
        <v/>
      </c>
      <c r="BA13" s="95" t="str">
        <f t="shared" si="13"/>
        <v/>
      </c>
      <c r="BB13" s="689">
        <f>SUM('Defect (Total)'!BB13,Planned!CE13,Reconductor!CE13,CTGS!CE13,'Substation 2025$'!CE13*$BL$1,Comms!CA13*$BL$2)</f>
        <v>0</v>
      </c>
      <c r="BC13" s="689">
        <f>SUM('Defect (Total)'!BC13,Planned!CF13,Reconductor!CF13,CTGS!CF13,'Substation 2025$'!CF13*$BL$1,Comms!CB13*$BL$2)</f>
        <v>0</v>
      </c>
      <c r="BD13" s="96">
        <f>SUM('Defect (Total)'!BD13,Planned!CG13,Reconductor!CG13,CTGS!CG13,'Substation 2025$'!CG13*$BL$1,Comms!CC13*$BL$2)</f>
        <v>0</v>
      </c>
      <c r="BE13" s="96">
        <f>SUM('Defect (Total)'!BE13,Planned!CH13,Reconductor!CH13,CTGS!CH13,'Substation 2025$'!CH13*$BL$1,Comms!CD13*$BL$2)</f>
        <v>0</v>
      </c>
      <c r="BF13" s="96">
        <f>SUM('Defect (Total)'!BF13,Planned!CI13,Reconductor!CI13,CTGS!CI13,'Substation 2025$'!CI13*$BL$1,Comms!CE13*$BL$2)</f>
        <v>0</v>
      </c>
      <c r="BG13" s="96">
        <f>SUM('Defect (Total)'!BG13,Planned!CJ13,Reconductor!CJ13,CTGS!CJ13,'Substation 2025$'!CJ13*$BL$1,Comms!CF13*$BL$2)</f>
        <v>0</v>
      </c>
      <c r="BH13" s="96">
        <f>SUM('Defect (Total)'!BH13,Planned!CK13,Reconductor!CK13,CTGS!CK13,'Substation 2025$'!CK13*$BL$1,Comms!CG13*$BL$2)</f>
        <v>0</v>
      </c>
      <c r="BI13" s="286">
        <f>SUM('Defect (Total)'!BI13,Planned!CL13,Reconductor!CL13,CTGS!CL13,'Substation 2025$'!CL13*$BL$1,Comms!CH13*$BL$2)</f>
        <v>0</v>
      </c>
      <c r="BJ13" s="99" t="str">
        <f t="shared" si="16"/>
        <v/>
      </c>
      <c r="BK13" s="992">
        <f>SUM('Defect (Total)'!BK13,Planned!CQ13,Reconductor!CQ13,CTGS!CQ13,'Substation 2025$'!CQ13*$BL$1,Comms!CM13*$BL$2)</f>
        <v>0</v>
      </c>
      <c r="BL13" s="992">
        <f>SUM('Defect (Total)'!BL13,Planned!CR13,Reconductor!CR13,CTGS!CR13,'Substation 2025$'!CR13*$BL$1,Comms!CN13*$BL$2)</f>
        <v>0</v>
      </c>
      <c r="BM13" s="524">
        <f>SUM('Defect (Total)'!BM13,Planned!CS13,Reconductor!CS13,CTGS!CS13,'Substation 2025$'!CS13*$BL$1,Comms!CO13*$BL$2)</f>
        <v>0</v>
      </c>
      <c r="BN13" s="416">
        <f>SUM('Defect (Total)'!BN13,Planned!CT13,Reconductor!CT13,CTGS!CT13,'Substation 2025$'!CT13*$BL$1,Comms!CP13*$BL$2)</f>
        <v>0</v>
      </c>
      <c r="BO13" s="97">
        <f>SUM('Defect (Total)'!BO13,Planned!CU13,Reconductor!CU13,CTGS!CU13,'Substation 2025$'!CU13*$BL$1,Comms!CQ13*$BL$2)</f>
        <v>0</v>
      </c>
      <c r="BP13" s="97">
        <f>SUM('Defect (Total)'!BP13,Planned!CV13,Reconductor!CV13,CTGS!CV13,'Substation 2025$'!CV13*$BL$1,Comms!CR13*$BL$2)</f>
        <v>0</v>
      </c>
      <c r="BQ13" s="97">
        <f>SUM('Defect (Total)'!BQ13,Planned!CW13,Reconductor!CW13,CTGS!CW13,'Substation 2025$'!CW13*$BL$1,Comms!CS13*$BL$2)</f>
        <v>0</v>
      </c>
      <c r="BR13" s="98">
        <f>SUM('Defect (Total)'!BR13,Planned!CX13,Reconductor!CX13,CTGS!CX13,'Substation 2025$'!CX13*$BL$1,Comms!CT13*$BL$2)</f>
        <v>0</v>
      </c>
      <c r="BT13" s="1120"/>
      <c r="BU13" s="1120"/>
      <c r="BV13" s="395"/>
    </row>
    <row r="14" spans="1:77" x14ac:dyDescent="0.25">
      <c r="A14" s="81" t="s">
        <v>27</v>
      </c>
      <c r="B14" s="82" t="s">
        <v>39</v>
      </c>
      <c r="C14" s="83" t="s">
        <v>299</v>
      </c>
      <c r="D14" s="84">
        <f>SUM('Defect (Total)'!D14,Planned!D14,Reconductor!D14,CTGS!D14)</f>
        <v>0</v>
      </c>
      <c r="E14" s="85">
        <f>SUM('Defect (Total)'!E14,Planned!E14,Reconductor!E14,CTGS!E14)</f>
        <v>20187</v>
      </c>
      <c r="F14" s="85">
        <f>SUM('Defect (Total)'!F14,Planned!F14,Reconductor!F14,CTGS!F14)</f>
        <v>84719</v>
      </c>
      <c r="G14" s="85">
        <f>SUM('Defect (Total)'!G14,Planned!G14,Reconductor!G14,CTGS!G14)</f>
        <v>0</v>
      </c>
      <c r="H14" s="85">
        <f>SUM('Defect (Total)'!H14,Planned!H14,Reconductor!H14,CTGS!H14)</f>
        <v>0</v>
      </c>
      <c r="I14" s="85">
        <f>SUM('Defect (Total)'!I14,Planned!I14,Reconductor!I14,CTGS!I14)</f>
        <v>0</v>
      </c>
      <c r="J14" s="85">
        <f>SUM('Defect (Total)'!J14,Planned!J14,Reconductor!J14,CTGS!J14)</f>
        <v>0</v>
      </c>
      <c r="K14" s="85">
        <f>SUM('Defect (Total)'!K14,Planned!K14,Reconductor!K14,CTGS!K14)</f>
        <v>0</v>
      </c>
      <c r="L14" s="85">
        <f>SUM('Defect (Total)'!L14,Planned!L14,Reconductor!L14,CTGS!L14)</f>
        <v>0</v>
      </c>
      <c r="M14" s="85">
        <f>SUM('Defect (Total)'!M14,Planned!M14,Reconductor!M14,CTGS!M14)</f>
        <v>0</v>
      </c>
      <c r="N14" s="85">
        <f>SUM('Defect (Total)'!N14,Planned!N14,Reconductor!N14,CTGS!N14)</f>
        <v>0</v>
      </c>
      <c r="O14" s="560">
        <f>SUM('Defect (Total)'!O14,Planned!O14,Reconductor!O14,CTGS!O14)</f>
        <v>0</v>
      </c>
      <c r="P14" s="561">
        <f>SUM('Defect (Total)'!P14,Planned!P14,Reconductor!P14,CTGS!P14)</f>
        <v>26756.474039122546</v>
      </c>
      <c r="Q14" s="561">
        <f>SUM('Defect (Total)'!Q14,Planned!Q14,Reconductor!Q14,CTGS!Q14)</f>
        <v>111151.81494232676</v>
      </c>
      <c r="R14" s="561">
        <f>SUM('Defect (Total)'!R14,Planned!R14,Reconductor!R14,CTGS!R14)</f>
        <v>0</v>
      </c>
      <c r="S14" s="561">
        <f>SUM('Defect (Total)'!S14,Planned!S14,Reconductor!S14,CTGS!S14)</f>
        <v>0</v>
      </c>
      <c r="T14" s="561">
        <f>SUM('Defect (Total)'!T14,Planned!T14,Reconductor!T14,CTGS!T14)</f>
        <v>0</v>
      </c>
      <c r="U14" s="561">
        <f>SUM('Defect (Total)'!U14,Planned!U14,Reconductor!U14,CTGS!U14)</f>
        <v>0</v>
      </c>
      <c r="V14" s="561">
        <f>SUM('Defect (Total)'!V14,Planned!V14,Reconductor!V14,CTGS!V14)</f>
        <v>0</v>
      </c>
      <c r="W14" s="561">
        <f>SUM('Defect (Total)'!W14,Planned!W14,Reconductor!W14,CTGS!W14)</f>
        <v>0</v>
      </c>
      <c r="X14" s="675">
        <f>SUM('Defect (Total)'!X14,Planned!X14,Reconductor!X14,CTGS!X14)</f>
        <v>0</v>
      </c>
      <c r="Y14" s="675">
        <f>SUM('Defect (Total)'!Y14,Planned!Y14,Reconductor!Y14,CTGS!Y14)</f>
        <v>0</v>
      </c>
      <c r="Z14" s="86">
        <f>SUM('Defect (Total)'!Z14,Planned!Z14,Reconductor!Z14,CTGS!Z14)</f>
        <v>0</v>
      </c>
      <c r="AA14" s="87">
        <f>SUM('Defect (Total)'!AA14,Planned!AA14,Reconductor!AA14,CTGS!AA14)</f>
        <v>1</v>
      </c>
      <c r="AB14" s="87">
        <f>SUM('Defect (Total)'!AB14,Planned!AB14,Reconductor!AB14,CTGS!AB14)</f>
        <v>1</v>
      </c>
      <c r="AC14" s="87">
        <f>SUM('Defect (Total)'!AC14,Planned!AC14,Reconductor!AC14,CTGS!AC14)</f>
        <v>0</v>
      </c>
      <c r="AD14" s="87">
        <f>SUM('Defect (Total)'!AD14,Planned!AD14,Reconductor!AD14,CTGS!AD14)</f>
        <v>0</v>
      </c>
      <c r="AE14" s="87">
        <f>SUM('Defect (Total)'!AE14,Planned!AE14,Reconductor!AE14,CTGS!AE14)</f>
        <v>0</v>
      </c>
      <c r="AF14" s="87">
        <f>SUM('Defect (Total)'!AF14,Planned!AF14,Reconductor!AF14,CTGS!AF14)</f>
        <v>0</v>
      </c>
      <c r="AG14" s="87">
        <f>SUM('Defect (Total)'!AG14,Planned!AG14,Reconductor!AG14,CTGS!AG14)</f>
        <v>0</v>
      </c>
      <c r="AH14" s="87">
        <f>SUM('Defect (Total)'!AH14,Planned!AH14,Reconductor!AH14,CTGS!AH14)</f>
        <v>0</v>
      </c>
      <c r="AI14" s="87">
        <f>SUM('Defect (Total)'!AI14,Planned!AI14,Reconductor!AI14,CTGS!AI14)</f>
        <v>0</v>
      </c>
      <c r="AJ14" s="87">
        <f>SUM('Defect (Total)'!AJ14,Planned!AJ14,Reconductor!AJ14,CTGS!AJ14)</f>
        <v>0</v>
      </c>
      <c r="AK14" s="88">
        <f t="shared" si="14"/>
        <v>0</v>
      </c>
      <c r="AL14" s="89">
        <f t="shared" si="0"/>
        <v>0</v>
      </c>
      <c r="AM14" s="90">
        <f t="shared" si="15"/>
        <v>0</v>
      </c>
      <c r="AN14" s="91" t="str">
        <f t="shared" si="1"/>
        <v/>
      </c>
      <c r="AO14" s="92">
        <f t="shared" si="2"/>
        <v>20187</v>
      </c>
      <c r="AP14" s="92">
        <f t="shared" si="3"/>
        <v>84719</v>
      </c>
      <c r="AQ14" s="92" t="str">
        <f t="shared" si="4"/>
        <v/>
      </c>
      <c r="AR14" s="92" t="str">
        <f t="shared" si="5"/>
        <v/>
      </c>
      <c r="AS14" s="92" t="str">
        <f t="shared" si="6"/>
        <v/>
      </c>
      <c r="AT14" s="92" t="str">
        <f t="shared" si="7"/>
        <v/>
      </c>
      <c r="AU14" s="92" t="str">
        <f t="shared" si="8"/>
        <v/>
      </c>
      <c r="AV14" s="92" t="str">
        <f t="shared" si="9"/>
        <v/>
      </c>
      <c r="AW14" s="92" t="str">
        <f t="shared" si="10"/>
        <v/>
      </c>
      <c r="AX14" s="92" t="str">
        <f t="shared" si="10"/>
        <v/>
      </c>
      <c r="AY14" s="93" t="str">
        <f t="shared" si="11"/>
        <v/>
      </c>
      <c r="AZ14" s="94" t="str">
        <f t="shared" si="12"/>
        <v/>
      </c>
      <c r="BA14" s="95" t="str">
        <f t="shared" si="13"/>
        <v/>
      </c>
      <c r="BB14" s="689">
        <f>SUM('Defect (Total)'!BB14,Planned!CE14,Reconductor!CE14,CTGS!CE14,'Substation 2025$'!CE14*$BL$1,Comms!CA14*$BL$2)</f>
        <v>0</v>
      </c>
      <c r="BC14" s="689">
        <f>SUM('Defect (Total)'!BC14,Planned!CF14,Reconductor!CF14,CTGS!CF14,'Substation 2025$'!CF14*$BL$1,Comms!CB14*$BL$2)</f>
        <v>0</v>
      </c>
      <c r="BD14" s="96">
        <f>SUM('Defect (Total)'!BD14,Planned!CG14,Reconductor!CG14,CTGS!CG14,'Substation 2025$'!CG14*$BL$1,Comms!CC14*$BL$2)</f>
        <v>0</v>
      </c>
      <c r="BE14" s="96">
        <f>SUM('Defect (Total)'!BE14,Planned!CH14,Reconductor!CH14,CTGS!CH14,'Substation 2025$'!CH14*$BL$1,Comms!CD14*$BL$2)</f>
        <v>0</v>
      </c>
      <c r="BF14" s="96">
        <f>SUM('Defect (Total)'!BF14,Planned!CI14,Reconductor!CI14,CTGS!CI14,'Substation 2025$'!CI14*$BL$1,Comms!CE14*$BL$2)</f>
        <v>0</v>
      </c>
      <c r="BG14" s="96">
        <f>SUM('Defect (Total)'!BG14,Planned!CJ14,Reconductor!CJ14,CTGS!CJ14,'Substation 2025$'!CJ14*$BL$1,Comms!CF14*$BL$2)</f>
        <v>0</v>
      </c>
      <c r="BH14" s="96">
        <f>SUM('Defect (Total)'!BH14,Planned!CK14,Reconductor!CK14,CTGS!CK14,'Substation 2025$'!CK14*$BL$1,Comms!CG14*$BL$2)</f>
        <v>0</v>
      </c>
      <c r="BI14" s="286">
        <f>SUM('Defect (Total)'!BI14,Planned!CL14,Reconductor!CL14,CTGS!CL14,'Substation 2025$'!CL14*$BL$1,Comms!CH14*$BL$2)</f>
        <v>0</v>
      </c>
      <c r="BJ14" s="99" t="str">
        <f t="shared" si="16"/>
        <v/>
      </c>
      <c r="BK14" s="992">
        <f>SUM('Defect (Total)'!BK14,Planned!CQ14,Reconductor!CQ14,CTGS!CQ14,'Substation 2025$'!CQ14*$BL$1,Comms!CM14*$BL$2)</f>
        <v>0</v>
      </c>
      <c r="BL14" s="992">
        <f>SUM('Defect (Total)'!BL14,Planned!CR14,Reconductor!CR14,CTGS!CR14,'Substation 2025$'!CR14*$BL$1,Comms!CN14*$BL$2)</f>
        <v>0</v>
      </c>
      <c r="BM14" s="524">
        <f>SUM('Defect (Total)'!BM14,Planned!CS14,Reconductor!CS14,CTGS!CS14,'Substation 2025$'!CS14*$BL$1,Comms!CO14*$BL$2)</f>
        <v>0</v>
      </c>
      <c r="BN14" s="416">
        <f>SUM('Defect (Total)'!BN14,Planned!CT14,Reconductor!CT14,CTGS!CT14,'Substation 2025$'!CT14*$BL$1,Comms!CP14*$BL$2)</f>
        <v>0</v>
      </c>
      <c r="BO14" s="97">
        <f>SUM('Defect (Total)'!BO14,Planned!CU14,Reconductor!CU14,CTGS!CU14,'Substation 2025$'!CU14*$BL$1,Comms!CQ14*$BL$2)</f>
        <v>0</v>
      </c>
      <c r="BP14" s="97">
        <f>SUM('Defect (Total)'!BP14,Planned!CV14,Reconductor!CV14,CTGS!CV14,'Substation 2025$'!CV14*$BL$1,Comms!CR14*$BL$2)</f>
        <v>0</v>
      </c>
      <c r="BQ14" s="97">
        <f>SUM('Defect (Total)'!BQ14,Planned!CW14,Reconductor!CW14,CTGS!CW14,'Substation 2025$'!CW14*$BL$1,Comms!CS14*$BL$2)</f>
        <v>0</v>
      </c>
      <c r="BR14" s="98">
        <f>SUM('Defect (Total)'!BR14,Planned!CX14,Reconductor!CX14,CTGS!CX14,'Substation 2025$'!CX14*$BL$1,Comms!CT14*$BL$2)</f>
        <v>0</v>
      </c>
      <c r="BT14" s="1120"/>
      <c r="BU14" s="1120"/>
      <c r="BV14" s="395"/>
    </row>
    <row r="15" spans="1:77" x14ac:dyDescent="0.25">
      <c r="A15" s="81" t="s">
        <v>27</v>
      </c>
      <c r="B15" s="82" t="s">
        <v>41</v>
      </c>
      <c r="C15" s="83" t="s">
        <v>42</v>
      </c>
      <c r="D15" s="84">
        <f>SUM('Defect (Total)'!D15,Planned!D15,Reconductor!D15,CTGS!D15)</f>
        <v>0</v>
      </c>
      <c r="E15" s="85">
        <f>SUM('Defect (Total)'!E15,Planned!E15,Reconductor!E15,CTGS!E15)</f>
        <v>0</v>
      </c>
      <c r="F15" s="85">
        <f>SUM('Defect (Total)'!F15,Planned!F15,Reconductor!F15,CTGS!F15)</f>
        <v>0</v>
      </c>
      <c r="G15" s="85">
        <f>SUM('Defect (Total)'!G15,Planned!G15,Reconductor!G15,CTGS!G15)</f>
        <v>0</v>
      </c>
      <c r="H15" s="85">
        <f>SUM('Defect (Total)'!H15,Planned!H15,Reconductor!H15,CTGS!H15)</f>
        <v>0</v>
      </c>
      <c r="I15" s="85">
        <f>SUM('Defect (Total)'!I15,Planned!I15,Reconductor!I15,CTGS!I15)</f>
        <v>0</v>
      </c>
      <c r="J15" s="85">
        <f>SUM('Defect (Total)'!J15,Planned!J15,Reconductor!J15,CTGS!J15)</f>
        <v>0</v>
      </c>
      <c r="K15" s="85">
        <f>SUM('Defect (Total)'!K15,Planned!K15,Reconductor!K15,CTGS!K15)</f>
        <v>169451.531848521</v>
      </c>
      <c r="L15" s="85">
        <f>SUM('Defect (Total)'!L15,Planned!L15,Reconductor!L15,CTGS!L15)</f>
        <v>409726.45214406005</v>
      </c>
      <c r="M15" s="85">
        <f>SUM('Defect (Total)'!M15,Planned!M15,Reconductor!M15,CTGS!M15)</f>
        <v>0</v>
      </c>
      <c r="N15" s="85">
        <f>SUM('Defect (Total)'!N15,Planned!N15,Reconductor!N15,CTGS!N15)</f>
        <v>0</v>
      </c>
      <c r="O15" s="560">
        <f>SUM('Defect (Total)'!O15,Planned!O15,Reconductor!O15,CTGS!O15)</f>
        <v>0</v>
      </c>
      <c r="P15" s="561">
        <f>SUM('Defect (Total)'!P15,Planned!P15,Reconductor!P15,CTGS!P15)</f>
        <v>0</v>
      </c>
      <c r="Q15" s="561">
        <f>SUM('Defect (Total)'!Q15,Planned!Q15,Reconductor!Q15,CTGS!Q15)</f>
        <v>0</v>
      </c>
      <c r="R15" s="561">
        <f>SUM('Defect (Total)'!R15,Planned!R15,Reconductor!R15,CTGS!R15)</f>
        <v>0</v>
      </c>
      <c r="S15" s="561">
        <f>SUM('Defect (Total)'!S15,Planned!S15,Reconductor!S15,CTGS!S15)</f>
        <v>0</v>
      </c>
      <c r="T15" s="561">
        <f>SUM('Defect (Total)'!T15,Planned!T15,Reconductor!T15,CTGS!T15)</f>
        <v>0</v>
      </c>
      <c r="U15" s="561">
        <f>SUM('Defect (Total)'!U15,Planned!U15,Reconductor!U15,CTGS!U15)</f>
        <v>0</v>
      </c>
      <c r="V15" s="561">
        <f>SUM('Defect (Total)'!V15,Planned!V15,Reconductor!V15,CTGS!V15)</f>
        <v>203233.18413298985</v>
      </c>
      <c r="W15" s="561">
        <f>SUM('Defect (Total)'!W15,Planned!W15,Reconductor!W15,CTGS!W15)</f>
        <v>462961.0767566475</v>
      </c>
      <c r="X15" s="675">
        <f>SUM('Defect (Total)'!X15,Planned!X15,Reconductor!X15,CTGS!X15)</f>
        <v>0</v>
      </c>
      <c r="Y15" s="675">
        <f>SUM('Defect (Total)'!Y15,Planned!Y15,Reconductor!Y15,CTGS!Y15)</f>
        <v>0</v>
      </c>
      <c r="Z15" s="86">
        <f>SUM('Defect (Total)'!Z15,Planned!Z15,Reconductor!Z15,CTGS!Z15)</f>
        <v>0</v>
      </c>
      <c r="AA15" s="87">
        <f>SUM('Defect (Total)'!AA15,Planned!AA15,Reconductor!AA15,CTGS!AA15)</f>
        <v>0</v>
      </c>
      <c r="AB15" s="87">
        <f>SUM('Defect (Total)'!AB15,Planned!AB15,Reconductor!AB15,CTGS!AB15)</f>
        <v>0</v>
      </c>
      <c r="AC15" s="87">
        <f>SUM('Defect (Total)'!AC15,Planned!AC15,Reconductor!AC15,CTGS!AC15)</f>
        <v>0</v>
      </c>
      <c r="AD15" s="87">
        <f>SUM('Defect (Total)'!AD15,Planned!AD15,Reconductor!AD15,CTGS!AD15)</f>
        <v>0</v>
      </c>
      <c r="AE15" s="87">
        <f>SUM('Defect (Total)'!AE15,Planned!AE15,Reconductor!AE15,CTGS!AE15)</f>
        <v>0</v>
      </c>
      <c r="AF15" s="87">
        <f>SUM('Defect (Total)'!AF15,Planned!AF15,Reconductor!AF15,CTGS!AF15)</f>
        <v>0</v>
      </c>
      <c r="AG15" s="87">
        <f>SUM('Defect (Total)'!AG15,Planned!AG15,Reconductor!AG15,CTGS!AG15)</f>
        <v>16</v>
      </c>
      <c r="AH15" s="87">
        <f>SUM('Defect (Total)'!AH15,Planned!AH15,Reconductor!AH15,CTGS!AH15)</f>
        <v>53</v>
      </c>
      <c r="AI15" s="87">
        <f>SUM('Defect (Total)'!AI15,Planned!AI15,Reconductor!AI15,CTGS!AI15)</f>
        <v>0</v>
      </c>
      <c r="AJ15" s="87">
        <f>SUM('Defect (Total)'!AJ15,Planned!AJ15,Reconductor!AJ15,CTGS!AJ15)</f>
        <v>0</v>
      </c>
      <c r="AK15" s="88">
        <f t="shared" si="14"/>
        <v>13.8</v>
      </c>
      <c r="AL15" s="89">
        <f t="shared" si="0"/>
        <v>23</v>
      </c>
      <c r="AM15" s="90">
        <f t="shared" si="15"/>
        <v>53</v>
      </c>
      <c r="AN15" s="91" t="str">
        <f t="shared" si="1"/>
        <v/>
      </c>
      <c r="AO15" s="92" t="str">
        <f t="shared" si="2"/>
        <v/>
      </c>
      <c r="AP15" s="92" t="str">
        <f t="shared" si="3"/>
        <v/>
      </c>
      <c r="AQ15" s="92" t="str">
        <f t="shared" si="4"/>
        <v/>
      </c>
      <c r="AR15" s="92" t="str">
        <f t="shared" si="5"/>
        <v/>
      </c>
      <c r="AS15" s="92" t="str">
        <f t="shared" si="6"/>
        <v/>
      </c>
      <c r="AT15" s="92" t="str">
        <f t="shared" si="7"/>
        <v/>
      </c>
      <c r="AU15" s="92">
        <f t="shared" si="8"/>
        <v>10590.720740532563</v>
      </c>
      <c r="AV15" s="92">
        <f t="shared" si="9"/>
        <v>7730.6877763030197</v>
      </c>
      <c r="AW15" s="92" t="str">
        <f t="shared" si="10"/>
        <v/>
      </c>
      <c r="AX15" s="92" t="str">
        <f t="shared" si="10"/>
        <v/>
      </c>
      <c r="AY15" s="93">
        <f t="shared" si="11"/>
        <v>8393.8838259794356</v>
      </c>
      <c r="AZ15" s="94">
        <f t="shared" si="12"/>
        <v>8393.8838259794356</v>
      </c>
      <c r="BA15" s="95" t="str">
        <f t="shared" si="13"/>
        <v/>
      </c>
      <c r="BB15" s="689">
        <f>SUM('Defect (Total)'!BB15,Planned!CE15,Reconductor!CE15,CTGS!CE15,'Substation 2025$'!CE15*$BL$1,Comms!CA15*$BL$2)</f>
        <v>21.666666666666664</v>
      </c>
      <c r="BC15" s="689">
        <f>SUM('Defect (Total)'!BC15,Planned!CF15,Reconductor!CF15,CTGS!CF15,'Substation 2025$'!CF15*$BL$1,Comms!CB15*$BL$2)</f>
        <v>17.264409553286633</v>
      </c>
      <c r="BD15" s="96">
        <f>SUM('Defect (Total)'!BD15,Planned!CG15,Reconductor!CG15,CTGS!CG15,'Substation 2025$'!CG15*$BL$1,Comms!CC15*$BL$2)</f>
        <v>17.264409553286633</v>
      </c>
      <c r="BE15" s="96">
        <f>SUM('Defect (Total)'!BE15,Planned!CH15,Reconductor!CH15,CTGS!CH15,'Substation 2025$'!CH15*$BL$1,Comms!CD15*$BL$2)</f>
        <v>19.938376473336845</v>
      </c>
      <c r="BF15" s="96">
        <f>SUM('Defect (Total)'!BF15,Planned!CI15,Reconductor!CI15,CTGS!CI15,'Substation 2025$'!CI15*$BL$1,Comms!CE15*$BL$2)</f>
        <v>20.495914132588894</v>
      </c>
      <c r="BG15" s="96">
        <f>SUM('Defect (Total)'!BG15,Planned!CJ15,Reconductor!CJ15,CTGS!CJ15,'Substation 2025$'!CJ15*$BL$1,Comms!CF15*$BL$2)</f>
        <v>20.867605905423584</v>
      </c>
      <c r="BH15" s="96">
        <f>SUM('Defect (Total)'!BH15,Planned!CK15,Reconductor!CK15,CTGS!CK15,'Substation 2025$'!CK15*$BL$1,Comms!CG15*$BL$2)</f>
        <v>21.239297678258286</v>
      </c>
      <c r="BI15" s="286">
        <f>SUM('Defect (Total)'!BI15,Planned!CL15,Reconductor!CL15,CTGS!CL15,'Substation 2025$'!CL15*$BL$1,Comms!CH15*$BL$2)</f>
        <v>21.425143564675633</v>
      </c>
      <c r="BJ15" s="99">
        <f t="shared" si="16"/>
        <v>8488.0675362155034</v>
      </c>
      <c r="BK15" s="992">
        <f>SUM('Defect (Total)'!BK15,Planned!CQ15,Reconductor!CQ15,CTGS!CQ15,'Substation 2025$'!CQ15*$BL$1,Comms!CM15*$BL$2)</f>
        <v>185089.49835546233</v>
      </c>
      <c r="BL15" s="992">
        <f>SUM('Defect (Total)'!BL15,Planned!CR15,Reconductor!CR15,CTGS!CR15,'Substation 2025$'!CR15*$BL$1,Comms!CN15*$BL$2)</f>
        <v>141768.30553967203</v>
      </c>
      <c r="BM15" s="524">
        <f>SUM('Defect (Total)'!BM15,Planned!CS15,Reconductor!CS15,CTGS!CS15,'Substation 2025$'!CS15*$BL$1,Comms!CO15*$BL$2)</f>
        <v>141768.30553967203</v>
      </c>
      <c r="BN15" s="416">
        <f>SUM('Defect (Total)'!BN15,Planned!CT15,Reconductor!CT15,CTGS!CT15,'Substation 2025$'!CT15*$BL$1,Comms!CP15*$BL$2)</f>
        <v>168081.95182227163</v>
      </c>
      <c r="BO15" s="97">
        <f>SUM('Defect (Total)'!BO15,Planned!CU15,Reconductor!CU15,CTGS!CU15,'Substation 2025$'!CU15*$BL$1,Comms!CQ15*$BL$2)</f>
        <v>173568.50015792248</v>
      </c>
      <c r="BP15" s="97">
        <f>SUM('Defect (Total)'!BP15,Planned!CV15,Reconductor!CV15,CTGS!CV15,'Substation 2025$'!CV15*$BL$1,Comms!CR15*$BL$2)</f>
        <v>177226.19904835633</v>
      </c>
      <c r="BQ15" s="97">
        <f>SUM('Defect (Total)'!BQ15,Planned!CW15,Reconductor!CW15,CTGS!CW15,'Substation 2025$'!CW15*$BL$1,Comms!CS15*$BL$2)</f>
        <v>180883.89793879027</v>
      </c>
      <c r="BR15" s="98">
        <f>SUM('Defect (Total)'!BR15,Planned!CX15,Reconductor!CX15,CTGS!CX15,'Substation 2025$'!CX15*$BL$1,Comms!CT15*$BL$2)</f>
        <v>182712.74738400721</v>
      </c>
      <c r="BT15" s="1120"/>
      <c r="BU15" s="1120"/>
      <c r="BV15" s="395"/>
    </row>
    <row r="16" spans="1:77" x14ac:dyDescent="0.25">
      <c r="A16" s="81" t="s">
        <v>27</v>
      </c>
      <c r="B16" s="82" t="s">
        <v>43</v>
      </c>
      <c r="C16" s="83" t="s">
        <v>300</v>
      </c>
      <c r="D16" s="84">
        <f>SUM('Defect (Total)'!D16,Planned!D16,Reconductor!D16,CTGS!D16)</f>
        <v>0</v>
      </c>
      <c r="E16" s="85">
        <f>SUM('Defect (Total)'!E16,Planned!E16,Reconductor!E16,CTGS!E16)</f>
        <v>0</v>
      </c>
      <c r="F16" s="85">
        <f>SUM('Defect (Total)'!F16,Planned!F16,Reconductor!F16,CTGS!F16)</f>
        <v>0</v>
      </c>
      <c r="G16" s="85">
        <f>SUM('Defect (Total)'!G16,Planned!G16,Reconductor!G16,CTGS!G16)</f>
        <v>0</v>
      </c>
      <c r="H16" s="85">
        <f>SUM('Defect (Total)'!H16,Planned!H16,Reconductor!H16,CTGS!H16)</f>
        <v>0</v>
      </c>
      <c r="I16" s="85">
        <f>SUM('Defect (Total)'!I16,Planned!I16,Reconductor!I16,CTGS!I16)</f>
        <v>0</v>
      </c>
      <c r="J16" s="85">
        <f>SUM('Defect (Total)'!J16,Planned!J16,Reconductor!J16,CTGS!J16)</f>
        <v>0</v>
      </c>
      <c r="K16" s="85">
        <f>SUM('Defect (Total)'!K16,Planned!K16,Reconductor!K16,CTGS!K16)</f>
        <v>10038.491506586</v>
      </c>
      <c r="L16" s="85">
        <f>SUM('Defect (Total)'!L16,Planned!L16,Reconductor!L16,CTGS!L16)</f>
        <v>42261.471110367005</v>
      </c>
      <c r="M16" s="85">
        <f>SUM('Defect (Total)'!M16,Planned!M16,Reconductor!M16,CTGS!M16)</f>
        <v>0</v>
      </c>
      <c r="N16" s="85">
        <f>SUM('Defect (Total)'!N16,Planned!N16,Reconductor!N16,CTGS!N16)</f>
        <v>0</v>
      </c>
      <c r="O16" s="560">
        <f>SUM('Defect (Total)'!O16,Planned!O16,Reconductor!O16,CTGS!O16)</f>
        <v>0</v>
      </c>
      <c r="P16" s="561">
        <f>SUM('Defect (Total)'!P16,Planned!P16,Reconductor!P16,CTGS!P16)</f>
        <v>0</v>
      </c>
      <c r="Q16" s="561">
        <f>SUM('Defect (Total)'!Q16,Planned!Q16,Reconductor!Q16,CTGS!Q16)</f>
        <v>0</v>
      </c>
      <c r="R16" s="561">
        <f>SUM('Defect (Total)'!R16,Planned!R16,Reconductor!R16,CTGS!R16)</f>
        <v>0</v>
      </c>
      <c r="S16" s="561">
        <f>SUM('Defect (Total)'!S16,Planned!S16,Reconductor!S16,CTGS!S16)</f>
        <v>0</v>
      </c>
      <c r="T16" s="561">
        <f>SUM('Defect (Total)'!T16,Planned!T16,Reconductor!T16,CTGS!T16)</f>
        <v>0</v>
      </c>
      <c r="U16" s="561">
        <f>SUM('Defect (Total)'!U16,Planned!U16,Reconductor!U16,CTGS!U16)</f>
        <v>0</v>
      </c>
      <c r="V16" s="561">
        <f>SUM('Defect (Total)'!V16,Planned!V16,Reconductor!V16,CTGS!V16)</f>
        <v>12039.753022706323</v>
      </c>
      <c r="W16" s="561">
        <f>SUM('Defect (Total)'!W16,Planned!W16,Reconductor!W16,CTGS!W16)</f>
        <v>47752.387155360542</v>
      </c>
      <c r="X16" s="675">
        <f>SUM('Defect (Total)'!X16,Planned!X16,Reconductor!X16,CTGS!X16)</f>
        <v>0</v>
      </c>
      <c r="Y16" s="675">
        <f>SUM('Defect (Total)'!Y16,Planned!Y16,Reconductor!Y16,CTGS!Y16)</f>
        <v>0</v>
      </c>
      <c r="Z16" s="86">
        <f>SUM('Defect (Total)'!Z16,Planned!Z16,Reconductor!Z16,CTGS!Z16)</f>
        <v>0</v>
      </c>
      <c r="AA16" s="87">
        <f>SUM('Defect (Total)'!AA16,Planned!AA16,Reconductor!AA16,CTGS!AA16)</f>
        <v>0</v>
      </c>
      <c r="AB16" s="87">
        <f>SUM('Defect (Total)'!AB16,Planned!AB16,Reconductor!AB16,CTGS!AB16)</f>
        <v>0</v>
      </c>
      <c r="AC16" s="87">
        <f>SUM('Defect (Total)'!AC16,Planned!AC16,Reconductor!AC16,CTGS!AC16)</f>
        <v>0</v>
      </c>
      <c r="AD16" s="87">
        <f>SUM('Defect (Total)'!AD16,Planned!AD16,Reconductor!AD16,CTGS!AD16)</f>
        <v>0</v>
      </c>
      <c r="AE16" s="87">
        <f>SUM('Defect (Total)'!AE16,Planned!AE16,Reconductor!AE16,CTGS!AE16)</f>
        <v>0</v>
      </c>
      <c r="AF16" s="87">
        <f>SUM('Defect (Total)'!AF16,Planned!AF16,Reconductor!AF16,CTGS!AF16)</f>
        <v>0</v>
      </c>
      <c r="AG16" s="87">
        <f>SUM('Defect (Total)'!AG16,Planned!AG16,Reconductor!AG16,CTGS!AG16)</f>
        <v>1</v>
      </c>
      <c r="AH16" s="87">
        <f>SUM('Defect (Total)'!AH16,Planned!AH16,Reconductor!AH16,CTGS!AH16)</f>
        <v>2</v>
      </c>
      <c r="AI16" s="87">
        <f>SUM('Defect (Total)'!AI16,Planned!AI16,Reconductor!AI16,CTGS!AI16)</f>
        <v>0</v>
      </c>
      <c r="AJ16" s="87">
        <f>SUM('Defect (Total)'!AJ16,Planned!AJ16,Reconductor!AJ16,CTGS!AJ16)</f>
        <v>0</v>
      </c>
      <c r="AK16" s="88">
        <f t="shared" si="14"/>
        <v>0.6</v>
      </c>
      <c r="AL16" s="89">
        <f t="shared" si="0"/>
        <v>1</v>
      </c>
      <c r="AM16" s="90">
        <f t="shared" si="15"/>
        <v>2</v>
      </c>
      <c r="AN16" s="91" t="str">
        <f t="shared" si="1"/>
        <v/>
      </c>
      <c r="AO16" s="92" t="str">
        <f t="shared" si="2"/>
        <v/>
      </c>
      <c r="AP16" s="92" t="str">
        <f t="shared" si="3"/>
        <v/>
      </c>
      <c r="AQ16" s="92" t="str">
        <f t="shared" si="4"/>
        <v/>
      </c>
      <c r="AR16" s="92" t="str">
        <f t="shared" si="5"/>
        <v/>
      </c>
      <c r="AS16" s="92" t="str">
        <f t="shared" si="6"/>
        <v/>
      </c>
      <c r="AT16" s="92" t="str">
        <f t="shared" si="7"/>
        <v/>
      </c>
      <c r="AU16" s="92">
        <f t="shared" si="8"/>
        <v>10038.491506586</v>
      </c>
      <c r="AV16" s="92">
        <f t="shared" si="9"/>
        <v>21130.735555183503</v>
      </c>
      <c r="AW16" s="92" t="str">
        <f t="shared" si="10"/>
        <v/>
      </c>
      <c r="AX16" s="92" t="str">
        <f t="shared" si="10"/>
        <v/>
      </c>
      <c r="AY16" s="93">
        <f t="shared" si="11"/>
        <v>17433.320872317669</v>
      </c>
      <c r="AZ16" s="94">
        <f t="shared" si="12"/>
        <v>17433.320872317669</v>
      </c>
      <c r="BA16" s="95" t="str">
        <f t="shared" si="13"/>
        <v/>
      </c>
      <c r="BB16" s="689">
        <f>SUM('Defect (Total)'!BB16,Planned!CE16,Reconductor!CE16,CTGS!CE16,'Substation 2025$'!CE16*$BL$1,Comms!CA16*$BL$2)</f>
        <v>1</v>
      </c>
      <c r="BC16" s="689">
        <f>SUM('Defect (Total)'!BC16,Planned!CF16,Reconductor!CF16,CTGS!CF16,'Substation 2025$'!CF16*$BL$1,Comms!CB16*$BL$2)</f>
        <v>0.66136483743230523</v>
      </c>
      <c r="BD16" s="96">
        <f>SUM('Defect (Total)'!BD16,Planned!CG16,Reconductor!CG16,CTGS!CG16,'Substation 2025$'!CG16*$BL$1,Comms!CC16*$BL$2)</f>
        <v>0.66136483743230523</v>
      </c>
      <c r="BE16" s="96">
        <f>SUM('Defect (Total)'!BE16,Planned!CH16,Reconductor!CH16,CTGS!CH16,'Substation 2025$'!CH16*$BL$1,Comms!CD16*$BL$2)</f>
        <v>0.86705460051309069</v>
      </c>
      <c r="BF16" s="96">
        <f>SUM('Defect (Total)'!BF16,Planned!CI16,Reconductor!CI16,CTGS!CI16,'Substation 2025$'!CI16*$BL$1,Comms!CE16*$BL$2)</f>
        <v>0.9099421127632481</v>
      </c>
      <c r="BG16" s="96">
        <f>SUM('Defect (Total)'!BG16,Planned!CJ16,Reconductor!CJ16,CTGS!CJ16,'Substation 2025$'!CJ16*$BL$1,Comms!CF16*$BL$2)</f>
        <v>0.93853378759668615</v>
      </c>
      <c r="BH16" s="96">
        <f>SUM('Defect (Total)'!BH16,Planned!CK16,Reconductor!CK16,CTGS!CK16,'Substation 2025$'!CK16*$BL$1,Comms!CG16*$BL$2)</f>
        <v>0.96712546243012432</v>
      </c>
      <c r="BI16" s="286">
        <f>SUM('Defect (Total)'!BI16,Planned!CL16,Reconductor!CL16,CTGS!CL16,'Substation 2025$'!CL16*$BL$1,Comms!CH16*$BL$2)</f>
        <v>0.98142129984684345</v>
      </c>
      <c r="BJ16" s="99">
        <f t="shared" si="16"/>
        <v>14789.323703455666</v>
      </c>
      <c r="BK16" s="992">
        <f>SUM('Defect (Total)'!BK16,Planned!CQ16,Reconductor!CQ16,CTGS!CQ16,'Substation 2025$'!CQ16*$BL$1,Comms!CM16*$BL$2)</f>
        <v>14789.323703455668</v>
      </c>
      <c r="BL16" s="992">
        <f>SUM('Defect (Total)'!BL16,Planned!CR16,Reconductor!CR16,CTGS!CR16,'Substation 2025$'!CR16*$BL$1,Comms!CN16*$BL$2)</f>
        <v>9781.138666869696</v>
      </c>
      <c r="BM16" s="524">
        <f>SUM('Defect (Total)'!BM16,Planned!CS16,Reconductor!CS16,CTGS!CS16,'Substation 2025$'!CS16*$BL$1,Comms!CO16*$BL$2)</f>
        <v>9781.138666869696</v>
      </c>
      <c r="BN16" s="416">
        <f>SUM('Defect (Total)'!BN16,Planned!CT16,Reconductor!CT16,CTGS!CT16,'Substation 2025$'!CT16*$BL$1,Comms!CP16*$BL$2)</f>
        <v>12823.151155558537</v>
      </c>
      <c r="BO16" s="97">
        <f>SUM('Defect (Total)'!BO16,Planned!CU16,Reconductor!CU16,CTGS!CU16,'Substation 2025$'!CU16*$BL$1,Comms!CQ16*$BL$2)</f>
        <v>13457.428457062035</v>
      </c>
      <c r="BP16" s="97">
        <f>SUM('Defect (Total)'!BP16,Planned!CV16,Reconductor!CV16,CTGS!CV16,'Substation 2025$'!CV16*$BL$1,Comms!CR16*$BL$2)</f>
        <v>13880.279991397698</v>
      </c>
      <c r="BQ16" s="97">
        <f>SUM('Defect (Total)'!BQ16,Planned!CW16,Reconductor!CW16,CTGS!CW16,'Substation 2025$'!CW16*$BL$1,Comms!CS16*$BL$2)</f>
        <v>14303.131525733361</v>
      </c>
      <c r="BR16" s="98">
        <f>SUM('Defect (Total)'!BR16,Planned!CX16,Reconductor!CX16,CTGS!CX16,'Substation 2025$'!CX16*$BL$1,Comms!CT16*$BL$2)</f>
        <v>14514.557292901194</v>
      </c>
      <c r="BT16" s="1120"/>
      <c r="BU16" s="1120"/>
      <c r="BV16" s="395"/>
    </row>
    <row r="17" spans="1:74" x14ac:dyDescent="0.25">
      <c r="A17" s="81" t="s">
        <v>27</v>
      </c>
      <c r="B17" s="82" t="s">
        <v>45</v>
      </c>
      <c r="C17" s="83" t="s">
        <v>46</v>
      </c>
      <c r="D17" s="84">
        <f>SUM('Defect (Total)'!D17,Planned!D17,Reconductor!D17,CTGS!D17)</f>
        <v>155932</v>
      </c>
      <c r="E17" s="85">
        <f>SUM('Defect (Total)'!E17,Planned!E17,Reconductor!E17,CTGS!E17)</f>
        <v>1879751</v>
      </c>
      <c r="F17" s="85">
        <f>SUM('Defect (Total)'!F17,Planned!F17,Reconductor!F17,CTGS!F17)</f>
        <v>0</v>
      </c>
      <c r="G17" s="85">
        <f>SUM('Defect (Total)'!G17,Planned!G17,Reconductor!G17,CTGS!G17)</f>
        <v>0</v>
      </c>
      <c r="H17" s="85">
        <f>SUM('Defect (Total)'!H17,Planned!H17,Reconductor!H17,CTGS!H17)</f>
        <v>0</v>
      </c>
      <c r="I17" s="85">
        <f>SUM('Defect (Total)'!I17,Planned!I17,Reconductor!I17,CTGS!I17)</f>
        <v>0</v>
      </c>
      <c r="J17" s="85">
        <f>SUM('Defect (Total)'!J17,Planned!J17,Reconductor!J17,CTGS!J17)</f>
        <v>292150.60757172696</v>
      </c>
      <c r="K17" s="85">
        <f>SUM('Defect (Total)'!K17,Planned!K17,Reconductor!K17,CTGS!K17)</f>
        <v>0</v>
      </c>
      <c r="L17" s="85">
        <f>SUM('Defect (Total)'!L17,Planned!L17,Reconductor!L17,CTGS!L17)</f>
        <v>0</v>
      </c>
      <c r="M17" s="85">
        <f>SUM('Defect (Total)'!M17,Planned!M17,Reconductor!M17,CTGS!M17)</f>
        <v>0</v>
      </c>
      <c r="N17" s="85">
        <f>SUM('Defect (Total)'!N17,Planned!N17,Reconductor!N17,CTGS!N17)</f>
        <v>9680355.7248925883</v>
      </c>
      <c r="O17" s="560">
        <f>SUM('Defect (Total)'!O17,Planned!O17,Reconductor!O17,CTGS!O17)</f>
        <v>209799.69476651991</v>
      </c>
      <c r="P17" s="561">
        <f>SUM('Defect (Total)'!P17,Planned!P17,Reconductor!P17,CTGS!P17)</f>
        <v>2491480.1026162701</v>
      </c>
      <c r="Q17" s="561">
        <f>SUM('Defect (Total)'!Q17,Planned!Q17,Reconductor!Q17,CTGS!Q17)</f>
        <v>0</v>
      </c>
      <c r="R17" s="561">
        <f>SUM('Defect (Total)'!R17,Planned!R17,Reconductor!R17,CTGS!R17)</f>
        <v>0</v>
      </c>
      <c r="S17" s="561">
        <f>SUM('Defect (Total)'!S17,Planned!S17,Reconductor!S17,CTGS!S17)</f>
        <v>0</v>
      </c>
      <c r="T17" s="561">
        <f>SUM('Defect (Total)'!T17,Planned!T17,Reconductor!T17,CTGS!T17)</f>
        <v>0</v>
      </c>
      <c r="U17" s="561">
        <f>SUM('Defect (Total)'!U17,Planned!U17,Reconductor!U17,CTGS!U17)</f>
        <v>363870.06827215798</v>
      </c>
      <c r="V17" s="561">
        <f>SUM('Defect (Total)'!V17,Planned!V17,Reconductor!V17,CTGS!V17)</f>
        <v>0</v>
      </c>
      <c r="W17" s="561">
        <f>SUM('Defect (Total)'!W17,Planned!W17,Reconductor!W17,CTGS!W17)</f>
        <v>0</v>
      </c>
      <c r="X17" s="675">
        <f>SUM('Defect (Total)'!X17,Planned!X17,Reconductor!X17,CTGS!X17)</f>
        <v>0</v>
      </c>
      <c r="Y17" s="675">
        <f>SUM('Defect (Total)'!Y17,Planned!Y17,Reconductor!Y17,CTGS!Y17)</f>
        <v>9946550.7865653988</v>
      </c>
      <c r="Z17" s="86">
        <f>SUM('Defect (Total)'!Z17,Planned!Z17,Reconductor!Z17,CTGS!Z17)</f>
        <v>3</v>
      </c>
      <c r="AA17" s="87">
        <f>SUM('Defect (Total)'!AA17,Planned!AA17,Reconductor!AA17,CTGS!AA17)</f>
        <v>42</v>
      </c>
      <c r="AB17" s="87">
        <f>SUM('Defect (Total)'!AB17,Planned!AB17,Reconductor!AB17,CTGS!AB17)</f>
        <v>0</v>
      </c>
      <c r="AC17" s="87">
        <f>SUM('Defect (Total)'!AC17,Planned!AC17,Reconductor!AC17,CTGS!AC17)</f>
        <v>0</v>
      </c>
      <c r="AD17" s="87">
        <f>SUM('Defect (Total)'!AD17,Planned!AD17,Reconductor!AD17,CTGS!AD17)</f>
        <v>0</v>
      </c>
      <c r="AE17" s="87">
        <f>SUM('Defect (Total)'!AE17,Planned!AE17,Reconductor!AE17,CTGS!AE17)</f>
        <v>0</v>
      </c>
      <c r="AF17" s="87">
        <f>SUM('Defect (Total)'!AF17,Planned!AF17,Reconductor!AF17,CTGS!AF17)</f>
        <v>4</v>
      </c>
      <c r="AG17" s="87">
        <f>SUM('Defect (Total)'!AG17,Planned!AG17,Reconductor!AG17,CTGS!AG17)</f>
        <v>0</v>
      </c>
      <c r="AH17" s="87">
        <f>SUM('Defect (Total)'!AH17,Planned!AH17,Reconductor!AH17,CTGS!AH17)</f>
        <v>0</v>
      </c>
      <c r="AI17" s="87">
        <f>SUM('Defect (Total)'!AI17,Planned!AI17,Reconductor!AI17,CTGS!AI17)</f>
        <v>0</v>
      </c>
      <c r="AJ17" s="87">
        <f>SUM('Defect (Total)'!AJ17,Planned!AJ17,Reconductor!AJ17,CTGS!AJ17)</f>
        <v>464</v>
      </c>
      <c r="AK17" s="88">
        <f t="shared" si="14"/>
        <v>0.8</v>
      </c>
      <c r="AL17" s="89">
        <f t="shared" si="0"/>
        <v>1.3333333333333333</v>
      </c>
      <c r="AM17" s="90">
        <f t="shared" si="15"/>
        <v>0</v>
      </c>
      <c r="AN17" s="91">
        <f t="shared" si="1"/>
        <v>51977.333333333336</v>
      </c>
      <c r="AO17" s="92">
        <f t="shared" si="2"/>
        <v>44755.976190476191</v>
      </c>
      <c r="AP17" s="92" t="str">
        <f t="shared" si="3"/>
        <v/>
      </c>
      <c r="AQ17" s="92" t="str">
        <f t="shared" si="4"/>
        <v/>
      </c>
      <c r="AR17" s="92" t="str">
        <f t="shared" si="5"/>
        <v/>
      </c>
      <c r="AS17" s="92" t="str">
        <f t="shared" si="6"/>
        <v/>
      </c>
      <c r="AT17" s="92">
        <f t="shared" si="7"/>
        <v>73037.651892931739</v>
      </c>
      <c r="AU17" s="92" t="str">
        <f t="shared" si="8"/>
        <v/>
      </c>
      <c r="AV17" s="92" t="str">
        <f t="shared" si="9"/>
        <v/>
      </c>
      <c r="AW17" s="92" t="str">
        <f t="shared" si="10"/>
        <v/>
      </c>
      <c r="AX17" s="92">
        <f t="shared" si="10"/>
        <v>20862.835613992647</v>
      </c>
      <c r="AY17" s="93">
        <f t="shared" si="11"/>
        <v>73037.651892931739</v>
      </c>
      <c r="AZ17" s="94" t="str">
        <f t="shared" si="12"/>
        <v/>
      </c>
      <c r="BA17" s="95" t="str">
        <f t="shared" si="13"/>
        <v/>
      </c>
      <c r="BB17" s="689">
        <f>SUM('Defect (Total)'!BB17,Planned!CE17,Reconductor!CE17,CTGS!CE17,'Substation 2025$'!CE17*$BL$1,Comms!CA17*$BL$2)</f>
        <v>0</v>
      </c>
      <c r="BC17" s="689">
        <f>SUM('Defect (Total)'!BC17,Planned!CF17,Reconductor!CF17,CTGS!CF17,'Substation 2025$'!CF17*$BL$1,Comms!CB17*$BL$2)</f>
        <v>0</v>
      </c>
      <c r="BD17" s="96">
        <f>SUM('Defect (Total)'!BD17,Planned!CG17,Reconductor!CG17,CTGS!CG17,'Substation 2025$'!CG17*$BL$1,Comms!CC17*$BL$2)</f>
        <v>0</v>
      </c>
      <c r="BE17" s="96">
        <f>SUM('Defect (Total)'!BE17,Planned!CH17,Reconductor!CH17,CTGS!CH17,'Substation 2025$'!CH17*$BL$1,Comms!CD17*$BL$2)</f>
        <v>0</v>
      </c>
      <c r="BF17" s="96">
        <f>SUM('Defect (Total)'!BF17,Planned!CI17,Reconductor!CI17,CTGS!CI17,'Substation 2025$'!CI17*$BL$1,Comms!CE17*$BL$2)</f>
        <v>0</v>
      </c>
      <c r="BG17" s="96">
        <f>SUM('Defect (Total)'!BG17,Planned!CJ17,Reconductor!CJ17,CTGS!CJ17,'Substation 2025$'!CJ17*$BL$1,Comms!CF17*$BL$2)</f>
        <v>0</v>
      </c>
      <c r="BH17" s="96">
        <f>SUM('Defect (Total)'!BH17,Planned!CK17,Reconductor!CK17,CTGS!CK17,'Substation 2025$'!CK17*$BL$1,Comms!CG17*$BL$2)</f>
        <v>0</v>
      </c>
      <c r="BI17" s="286">
        <f>SUM('Defect (Total)'!BI17,Planned!CL17,Reconductor!CL17,CTGS!CL17,'Substation 2025$'!CL17*$BL$1,Comms!CH17*$BL$2)</f>
        <v>0</v>
      </c>
      <c r="BJ17" s="99" t="str">
        <f t="shared" si="16"/>
        <v/>
      </c>
      <c r="BK17" s="992">
        <f>SUM('Defect (Total)'!BK17,Planned!CQ17,Reconductor!CQ17,CTGS!CQ17,'Substation 2025$'!CQ17*$BL$1,Comms!CM17*$BL$2)</f>
        <v>0</v>
      </c>
      <c r="BL17" s="992">
        <f>SUM('Defect (Total)'!BL17,Planned!CR17,Reconductor!CR17,CTGS!CR17,'Substation 2025$'!CR17*$BL$1,Comms!CN17*$BL$2)</f>
        <v>0</v>
      </c>
      <c r="BM17" s="524">
        <f>SUM('Defect (Total)'!BM17,Planned!CS17,Reconductor!CS17,CTGS!CS17,'Substation 2025$'!CS17*$BL$1,Comms!CO17*$BL$2)</f>
        <v>0</v>
      </c>
      <c r="BN17" s="416">
        <f>SUM('Defect (Total)'!BN17,Planned!CT17,Reconductor!CT17,CTGS!CT17,'Substation 2025$'!CT17*$BL$1,Comms!CP17*$BL$2)</f>
        <v>0</v>
      </c>
      <c r="BO17" s="97">
        <f>SUM('Defect (Total)'!BO17,Planned!CU17,Reconductor!CU17,CTGS!CU17,'Substation 2025$'!CU17*$BL$1,Comms!CQ17*$BL$2)</f>
        <v>0</v>
      </c>
      <c r="BP17" s="97">
        <f>SUM('Defect (Total)'!BP17,Planned!CV17,Reconductor!CV17,CTGS!CV17,'Substation 2025$'!CV17*$BL$1,Comms!CR17*$BL$2)</f>
        <v>0</v>
      </c>
      <c r="BQ17" s="97">
        <f>SUM('Defect (Total)'!BQ17,Planned!CW17,Reconductor!CW17,CTGS!CW17,'Substation 2025$'!CW17*$BL$1,Comms!CS17*$BL$2)</f>
        <v>0</v>
      </c>
      <c r="BR17" s="98">
        <f>SUM('Defect (Total)'!BR17,Planned!CX17,Reconductor!CX17,CTGS!CX17,'Substation 2025$'!CX17*$BL$1,Comms!CT17*$BL$2)</f>
        <v>0</v>
      </c>
      <c r="BT17" s="1120"/>
      <c r="BU17" s="1120"/>
      <c r="BV17" s="395"/>
    </row>
    <row r="18" spans="1:74" x14ac:dyDescent="0.25">
      <c r="A18" s="81" t="s">
        <v>27</v>
      </c>
      <c r="B18" s="82" t="s">
        <v>47</v>
      </c>
      <c r="C18" s="83" t="s">
        <v>48</v>
      </c>
      <c r="D18" s="84">
        <f>SUM('Defect (Total)'!D18,Planned!D18,Reconductor!D18,CTGS!D18)</f>
        <v>0</v>
      </c>
      <c r="E18" s="85">
        <f>SUM('Defect (Total)'!E18,Planned!E18,Reconductor!E18,CTGS!E18)</f>
        <v>1297678</v>
      </c>
      <c r="F18" s="85">
        <f>SUM('Defect (Total)'!F18,Planned!F18,Reconductor!F18,CTGS!F18)</f>
        <v>0</v>
      </c>
      <c r="G18" s="85">
        <f>SUM('Defect (Total)'!G18,Planned!G18,Reconductor!G18,CTGS!G18)</f>
        <v>0</v>
      </c>
      <c r="H18" s="85">
        <f>SUM('Defect (Total)'!H18,Planned!H18,Reconductor!H18,CTGS!H18)</f>
        <v>0</v>
      </c>
      <c r="I18" s="85">
        <f>SUM('Defect (Total)'!I18,Planned!I18,Reconductor!I18,CTGS!I18)</f>
        <v>0</v>
      </c>
      <c r="J18" s="85">
        <f>SUM('Defect (Total)'!J18,Planned!J18,Reconductor!J18,CTGS!J18)</f>
        <v>0</v>
      </c>
      <c r="K18" s="85">
        <f>SUM('Defect (Total)'!K18,Planned!K18,Reconductor!K18,CTGS!K18)</f>
        <v>0</v>
      </c>
      <c r="L18" s="85">
        <f>SUM('Defect (Total)'!L18,Planned!L18,Reconductor!L18,CTGS!L18)</f>
        <v>0</v>
      </c>
      <c r="M18" s="85">
        <f>SUM('Defect (Total)'!M18,Planned!M18,Reconductor!M18,CTGS!M18)</f>
        <v>0</v>
      </c>
      <c r="N18" s="85">
        <f>SUM('Defect (Total)'!N18,Planned!N18,Reconductor!N18,CTGS!N18)</f>
        <v>2205606.1924981433</v>
      </c>
      <c r="O18" s="560">
        <f>SUM('Defect (Total)'!O18,Planned!O18,Reconductor!O18,CTGS!O18)</f>
        <v>0</v>
      </c>
      <c r="P18" s="561">
        <f>SUM('Defect (Total)'!P18,Planned!P18,Reconductor!P18,CTGS!P18)</f>
        <v>1719982.549073189</v>
      </c>
      <c r="Q18" s="561">
        <f>SUM('Defect (Total)'!Q18,Planned!Q18,Reconductor!Q18,CTGS!Q18)</f>
        <v>0</v>
      </c>
      <c r="R18" s="561">
        <f>SUM('Defect (Total)'!R18,Planned!R18,Reconductor!R18,CTGS!R18)</f>
        <v>0</v>
      </c>
      <c r="S18" s="561">
        <f>SUM('Defect (Total)'!S18,Planned!S18,Reconductor!S18,CTGS!S18)</f>
        <v>0</v>
      </c>
      <c r="T18" s="561">
        <f>SUM('Defect (Total)'!T18,Planned!T18,Reconductor!T18,CTGS!T18)</f>
        <v>0</v>
      </c>
      <c r="U18" s="561">
        <f>SUM('Defect (Total)'!U18,Planned!U18,Reconductor!U18,CTGS!U18)</f>
        <v>0</v>
      </c>
      <c r="V18" s="561">
        <f>SUM('Defect (Total)'!V18,Planned!V18,Reconductor!V18,CTGS!V18)</f>
        <v>0</v>
      </c>
      <c r="W18" s="561">
        <f>SUM('Defect (Total)'!W18,Planned!W18,Reconductor!W18,CTGS!W18)</f>
        <v>0</v>
      </c>
      <c r="X18" s="675">
        <f>SUM('Defect (Total)'!X18,Planned!X18,Reconductor!X18,CTGS!X18)</f>
        <v>0</v>
      </c>
      <c r="Y18" s="675">
        <f>SUM('Defect (Total)'!Y18,Planned!Y18,Reconductor!Y18,CTGS!Y18)</f>
        <v>2266257.0087618702</v>
      </c>
      <c r="Z18" s="86">
        <f>SUM('Defect (Total)'!Z18,Planned!Z18,Reconductor!Z18,CTGS!Z18)</f>
        <v>0</v>
      </c>
      <c r="AA18" s="87">
        <f>SUM('Defect (Total)'!AA18,Planned!AA18,Reconductor!AA18,CTGS!AA18)</f>
        <v>7</v>
      </c>
      <c r="AB18" s="87">
        <f>SUM('Defect (Total)'!AB18,Planned!AB18,Reconductor!AB18,CTGS!AB18)</f>
        <v>0</v>
      </c>
      <c r="AC18" s="87">
        <f>SUM('Defect (Total)'!AC18,Planned!AC18,Reconductor!AC18,CTGS!AC18)</f>
        <v>0</v>
      </c>
      <c r="AD18" s="87">
        <f>SUM('Defect (Total)'!AD18,Planned!AD18,Reconductor!AD18,CTGS!AD18)</f>
        <v>0</v>
      </c>
      <c r="AE18" s="87">
        <f>SUM('Defect (Total)'!AE18,Planned!AE18,Reconductor!AE18,CTGS!AE18)</f>
        <v>0</v>
      </c>
      <c r="AF18" s="87">
        <f>SUM('Defect (Total)'!AF18,Planned!AF18,Reconductor!AF18,CTGS!AF18)</f>
        <v>0</v>
      </c>
      <c r="AG18" s="87">
        <f>SUM('Defect (Total)'!AG18,Planned!AG18,Reconductor!AG18,CTGS!AG18)</f>
        <v>0</v>
      </c>
      <c r="AH18" s="87">
        <f>SUM('Defect (Total)'!AH18,Planned!AH18,Reconductor!AH18,CTGS!AH18)</f>
        <v>0</v>
      </c>
      <c r="AI18" s="87">
        <f>SUM('Defect (Total)'!AI18,Planned!AI18,Reconductor!AI18,CTGS!AI18)</f>
        <v>0</v>
      </c>
      <c r="AJ18" s="87">
        <f>SUM('Defect (Total)'!AJ18,Planned!AJ18,Reconductor!AJ18,CTGS!AJ18)</f>
        <v>0</v>
      </c>
      <c r="AK18" s="88">
        <f t="shared" si="14"/>
        <v>0</v>
      </c>
      <c r="AL18" s="89">
        <f t="shared" si="0"/>
        <v>0</v>
      </c>
      <c r="AM18" s="90">
        <f t="shared" si="15"/>
        <v>0</v>
      </c>
      <c r="AN18" s="91" t="str">
        <f t="shared" si="1"/>
        <v/>
      </c>
      <c r="AO18" s="92">
        <f t="shared" si="2"/>
        <v>185382.57142857142</v>
      </c>
      <c r="AP18" s="92" t="str">
        <f t="shared" si="3"/>
        <v/>
      </c>
      <c r="AQ18" s="92" t="str">
        <f t="shared" si="4"/>
        <v/>
      </c>
      <c r="AR18" s="92" t="str">
        <f t="shared" si="5"/>
        <v/>
      </c>
      <c r="AS18" s="92" t="str">
        <f t="shared" si="6"/>
        <v/>
      </c>
      <c r="AT18" s="92" t="str">
        <f t="shared" si="7"/>
        <v/>
      </c>
      <c r="AU18" s="92" t="str">
        <f t="shared" si="8"/>
        <v/>
      </c>
      <c r="AV18" s="92" t="str">
        <f t="shared" si="9"/>
        <v/>
      </c>
      <c r="AW18" s="92" t="str">
        <f t="shared" si="10"/>
        <v/>
      </c>
      <c r="AX18" s="92" t="str">
        <f t="shared" si="10"/>
        <v/>
      </c>
      <c r="AY18" s="93" t="str">
        <f t="shared" si="11"/>
        <v/>
      </c>
      <c r="AZ18" s="94" t="str">
        <f t="shared" si="12"/>
        <v/>
      </c>
      <c r="BA18" s="95" t="str">
        <f t="shared" si="13"/>
        <v/>
      </c>
      <c r="BB18" s="689">
        <f>SUM('Defect (Total)'!BB18,Planned!CE18,Reconductor!CE18,CTGS!CE18,'Substation 2025$'!CE18*$BL$1,Comms!CA18*$BL$2)</f>
        <v>0</v>
      </c>
      <c r="BC18" s="689">
        <f>SUM('Defect (Total)'!BC18,Planned!CF18,Reconductor!CF18,CTGS!CF18,'Substation 2025$'!CF18*$BL$1,Comms!CB18*$BL$2)</f>
        <v>0</v>
      </c>
      <c r="BD18" s="96">
        <f>SUM('Defect (Total)'!BD18,Planned!CG18,Reconductor!CG18,CTGS!CG18,'Substation 2025$'!CG18*$BL$1,Comms!CC18*$BL$2)</f>
        <v>0</v>
      </c>
      <c r="BE18" s="96">
        <f>SUM('Defect (Total)'!BE18,Planned!CH18,Reconductor!CH18,CTGS!CH18,'Substation 2025$'!CH18*$BL$1,Comms!CD18*$BL$2)</f>
        <v>0</v>
      </c>
      <c r="BF18" s="96">
        <f>SUM('Defect (Total)'!BF18,Planned!CI18,Reconductor!CI18,CTGS!CI18,'Substation 2025$'!CI18*$BL$1,Comms!CE18*$BL$2)</f>
        <v>0</v>
      </c>
      <c r="BG18" s="96">
        <f>SUM('Defect (Total)'!BG18,Planned!CJ18,Reconductor!CJ18,CTGS!CJ18,'Substation 2025$'!CJ18*$BL$1,Comms!CF18*$BL$2)</f>
        <v>0</v>
      </c>
      <c r="BH18" s="96">
        <f>SUM('Defect (Total)'!BH18,Planned!CK18,Reconductor!CK18,CTGS!CK18,'Substation 2025$'!CK18*$BL$1,Comms!CG18*$BL$2)</f>
        <v>0</v>
      </c>
      <c r="BI18" s="286">
        <f>SUM('Defect (Total)'!BI18,Planned!CL18,Reconductor!CL18,CTGS!CL18,'Substation 2025$'!CL18*$BL$1,Comms!CH18*$BL$2)</f>
        <v>0</v>
      </c>
      <c r="BJ18" s="99" t="str">
        <f t="shared" si="16"/>
        <v/>
      </c>
      <c r="BK18" s="992">
        <f>SUM('Defect (Total)'!BK18,Planned!CQ18,Reconductor!CQ18,CTGS!CQ18,'Substation 2025$'!CQ18*$BL$1,Comms!CM18*$BL$2)</f>
        <v>0</v>
      </c>
      <c r="BL18" s="992">
        <f>SUM('Defect (Total)'!BL18,Planned!CR18,Reconductor!CR18,CTGS!CR18,'Substation 2025$'!CR18*$BL$1,Comms!CN18*$BL$2)</f>
        <v>0</v>
      </c>
      <c r="BM18" s="524">
        <f>SUM('Defect (Total)'!BM18,Planned!CS18,Reconductor!CS18,CTGS!CS18,'Substation 2025$'!CS18*$BL$1,Comms!CO18*$BL$2)</f>
        <v>0</v>
      </c>
      <c r="BN18" s="416">
        <f>SUM('Defect (Total)'!BN18,Planned!CT18,Reconductor!CT18,CTGS!CT18,'Substation 2025$'!CT18*$BL$1,Comms!CP18*$BL$2)</f>
        <v>0</v>
      </c>
      <c r="BO18" s="97">
        <f>SUM('Defect (Total)'!BO18,Planned!CU18,Reconductor!CU18,CTGS!CU18,'Substation 2025$'!CU18*$BL$1,Comms!CQ18*$BL$2)</f>
        <v>0</v>
      </c>
      <c r="BP18" s="97">
        <f>SUM('Defect (Total)'!BP18,Planned!CV18,Reconductor!CV18,CTGS!CV18,'Substation 2025$'!CV18*$BL$1,Comms!CR18*$BL$2)</f>
        <v>0</v>
      </c>
      <c r="BQ18" s="97">
        <f>SUM('Defect (Total)'!BQ18,Planned!CW18,Reconductor!CW18,CTGS!CW18,'Substation 2025$'!CW18*$BL$1,Comms!CS18*$BL$2)</f>
        <v>0</v>
      </c>
      <c r="BR18" s="98">
        <f>SUM('Defect (Total)'!BR18,Planned!CX18,Reconductor!CX18,CTGS!CX18,'Substation 2025$'!CX18*$BL$1,Comms!CT18*$BL$2)</f>
        <v>0</v>
      </c>
      <c r="BT18" s="1120"/>
      <c r="BU18" s="1120"/>
    </row>
    <row r="19" spans="1:74" x14ac:dyDescent="0.25">
      <c r="A19" s="81" t="s">
        <v>27</v>
      </c>
      <c r="B19" s="82" t="s">
        <v>49</v>
      </c>
      <c r="C19" s="83" t="s">
        <v>50</v>
      </c>
      <c r="D19" s="84">
        <f>SUM('Defect (Total)'!D19,Planned!D19,Reconductor!D19,CTGS!D19)</f>
        <v>0</v>
      </c>
      <c r="E19" s="85">
        <f>SUM('Defect (Total)'!E19,Planned!E19,Reconductor!E19,CTGS!E19)</f>
        <v>0</v>
      </c>
      <c r="F19" s="85">
        <f>SUM('Defect (Total)'!F19,Planned!F19,Reconductor!F19,CTGS!F19)</f>
        <v>0</v>
      </c>
      <c r="G19" s="85">
        <f>SUM('Defect (Total)'!G19,Planned!G19,Reconductor!G19,CTGS!G19)</f>
        <v>0</v>
      </c>
      <c r="H19" s="85">
        <f>SUM('Defect (Total)'!H19,Planned!H19,Reconductor!H19,CTGS!H19)</f>
        <v>0</v>
      </c>
      <c r="I19" s="85">
        <f>SUM('Defect (Total)'!I19,Planned!I19,Reconductor!I19,CTGS!I19)</f>
        <v>0</v>
      </c>
      <c r="J19" s="85">
        <f>SUM('Defect (Total)'!J19,Planned!J19,Reconductor!J19,CTGS!J19)</f>
        <v>0</v>
      </c>
      <c r="K19" s="85">
        <f>SUM('Defect (Total)'!K19,Planned!K19,Reconductor!K19,CTGS!K19)</f>
        <v>0</v>
      </c>
      <c r="L19" s="85">
        <f>SUM('Defect (Total)'!L19,Planned!L19,Reconductor!L19,CTGS!L19)</f>
        <v>0</v>
      </c>
      <c r="M19" s="85">
        <f>SUM('Defect (Total)'!M19,Planned!M19,Reconductor!M19,CTGS!M19)</f>
        <v>0</v>
      </c>
      <c r="N19" s="85">
        <f>SUM('Defect (Total)'!N19,Planned!N19,Reconductor!N19,CTGS!N19)</f>
        <v>0</v>
      </c>
      <c r="O19" s="560">
        <f>SUM('Defect (Total)'!O19,Planned!O19,Reconductor!O19,CTGS!O19)</f>
        <v>0</v>
      </c>
      <c r="P19" s="561">
        <f>SUM('Defect (Total)'!P19,Planned!P19,Reconductor!P19,CTGS!P19)</f>
        <v>0</v>
      </c>
      <c r="Q19" s="561">
        <f>SUM('Defect (Total)'!Q19,Planned!Q19,Reconductor!Q19,CTGS!Q19)</f>
        <v>0</v>
      </c>
      <c r="R19" s="561">
        <f>SUM('Defect (Total)'!R19,Planned!R19,Reconductor!R19,CTGS!R19)</f>
        <v>0</v>
      </c>
      <c r="S19" s="561">
        <f>SUM('Defect (Total)'!S19,Planned!S19,Reconductor!S19,CTGS!S19)</f>
        <v>0</v>
      </c>
      <c r="T19" s="561">
        <f>SUM('Defect (Total)'!T19,Planned!T19,Reconductor!T19,CTGS!T19)</f>
        <v>0</v>
      </c>
      <c r="U19" s="561">
        <f>SUM('Defect (Total)'!U19,Planned!U19,Reconductor!U19,CTGS!U19)</f>
        <v>0</v>
      </c>
      <c r="V19" s="561">
        <f>SUM('Defect (Total)'!V19,Planned!V19,Reconductor!V19,CTGS!V19)</f>
        <v>0</v>
      </c>
      <c r="W19" s="561">
        <f>SUM('Defect (Total)'!W19,Planned!W19,Reconductor!W19,CTGS!W19)</f>
        <v>0</v>
      </c>
      <c r="X19" s="675">
        <f>SUM('Defect (Total)'!X19,Planned!X19,Reconductor!X19,CTGS!X19)</f>
        <v>0</v>
      </c>
      <c r="Y19" s="675">
        <f>SUM('Defect (Total)'!Y19,Planned!Y19,Reconductor!Y19,CTGS!Y19)</f>
        <v>0</v>
      </c>
      <c r="Z19" s="86">
        <f>SUM('Defect (Total)'!Z19,Planned!Z19,Reconductor!Z19,CTGS!Z19)</f>
        <v>0</v>
      </c>
      <c r="AA19" s="87">
        <f>SUM('Defect (Total)'!AA19,Planned!AA19,Reconductor!AA19,CTGS!AA19)</f>
        <v>0</v>
      </c>
      <c r="AB19" s="87">
        <f>SUM('Defect (Total)'!AB19,Planned!AB19,Reconductor!AB19,CTGS!AB19)</f>
        <v>0</v>
      </c>
      <c r="AC19" s="87">
        <f>SUM('Defect (Total)'!AC19,Planned!AC19,Reconductor!AC19,CTGS!AC19)</f>
        <v>0</v>
      </c>
      <c r="AD19" s="87">
        <f>SUM('Defect (Total)'!AD19,Planned!AD19,Reconductor!AD19,CTGS!AD19)</f>
        <v>0</v>
      </c>
      <c r="AE19" s="87">
        <f>SUM('Defect (Total)'!AE19,Planned!AE19,Reconductor!AE19,CTGS!AE19)</f>
        <v>0</v>
      </c>
      <c r="AF19" s="87">
        <f>SUM('Defect (Total)'!AF19,Planned!AF19,Reconductor!AF19,CTGS!AF19)</f>
        <v>0</v>
      </c>
      <c r="AG19" s="87">
        <f>SUM('Defect (Total)'!AG19,Planned!AG19,Reconductor!AG19,CTGS!AG19)</f>
        <v>0</v>
      </c>
      <c r="AH19" s="87">
        <f>SUM('Defect (Total)'!AH19,Planned!AH19,Reconductor!AH19,CTGS!AH19)</f>
        <v>0</v>
      </c>
      <c r="AI19" s="87">
        <f>SUM('Defect (Total)'!AI19,Planned!AI19,Reconductor!AI19,CTGS!AI19)</f>
        <v>0</v>
      </c>
      <c r="AJ19" s="87">
        <f>SUM('Defect (Total)'!AJ19,Planned!AJ19,Reconductor!AJ19,CTGS!AJ19)</f>
        <v>0</v>
      </c>
      <c r="AK19" s="88">
        <f t="shared" si="14"/>
        <v>0</v>
      </c>
      <c r="AL19" s="89">
        <f t="shared" si="0"/>
        <v>0</v>
      </c>
      <c r="AM19" s="90">
        <f t="shared" si="15"/>
        <v>0</v>
      </c>
      <c r="AN19" s="91" t="str">
        <f t="shared" si="1"/>
        <v/>
      </c>
      <c r="AO19" s="92" t="str">
        <f t="shared" si="2"/>
        <v/>
      </c>
      <c r="AP19" s="92" t="str">
        <f t="shared" si="3"/>
        <v/>
      </c>
      <c r="AQ19" s="92" t="str">
        <f t="shared" si="4"/>
        <v/>
      </c>
      <c r="AR19" s="92" t="str">
        <f t="shared" si="5"/>
        <v/>
      </c>
      <c r="AS19" s="92" t="str">
        <f t="shared" si="6"/>
        <v/>
      </c>
      <c r="AT19" s="92" t="str">
        <f t="shared" si="7"/>
        <v/>
      </c>
      <c r="AU19" s="92" t="str">
        <f t="shared" si="8"/>
        <v/>
      </c>
      <c r="AV19" s="92" t="str">
        <f t="shared" si="9"/>
        <v/>
      </c>
      <c r="AW19" s="92" t="str">
        <f t="shared" si="10"/>
        <v/>
      </c>
      <c r="AX19" s="92" t="str">
        <f t="shared" si="10"/>
        <v/>
      </c>
      <c r="AY19" s="93" t="str">
        <f t="shared" si="11"/>
        <v/>
      </c>
      <c r="AZ19" s="94" t="str">
        <f t="shared" si="12"/>
        <v/>
      </c>
      <c r="BA19" s="95" t="str">
        <f t="shared" si="13"/>
        <v/>
      </c>
      <c r="BB19" s="689">
        <f>SUM('Defect (Total)'!BB19,Planned!CE19,Reconductor!CE19,CTGS!CE19,'Substation 2025$'!CE19*$BL$1,Comms!CA19*$BL$2)</f>
        <v>0</v>
      </c>
      <c r="BC19" s="689">
        <f>SUM('Defect (Total)'!BC19,Planned!CF19,Reconductor!CF19,CTGS!CF19,'Substation 2025$'!CF19*$BL$1,Comms!CB19*$BL$2)</f>
        <v>0</v>
      </c>
      <c r="BD19" s="96">
        <f>SUM('Defect (Total)'!BD19,Planned!CG19,Reconductor!CG19,CTGS!CG19,'Substation 2025$'!CG19*$BL$1,Comms!CC19*$BL$2)</f>
        <v>0</v>
      </c>
      <c r="BE19" s="96">
        <f>SUM('Defect (Total)'!BE19,Planned!CH19,Reconductor!CH19,CTGS!CH19,'Substation 2025$'!CH19*$BL$1,Comms!CD19*$BL$2)</f>
        <v>0</v>
      </c>
      <c r="BF19" s="96">
        <f>SUM('Defect (Total)'!BF19,Planned!CI19,Reconductor!CI19,CTGS!CI19,'Substation 2025$'!CI19*$BL$1,Comms!CE19*$BL$2)</f>
        <v>0</v>
      </c>
      <c r="BG19" s="96">
        <f>SUM('Defect (Total)'!BG19,Planned!CJ19,Reconductor!CJ19,CTGS!CJ19,'Substation 2025$'!CJ19*$BL$1,Comms!CF19*$BL$2)</f>
        <v>0</v>
      </c>
      <c r="BH19" s="96">
        <f>SUM('Defect (Total)'!BH19,Planned!CK19,Reconductor!CK19,CTGS!CK19,'Substation 2025$'!CK19*$BL$1,Comms!CG19*$BL$2)</f>
        <v>0</v>
      </c>
      <c r="BI19" s="286">
        <f>SUM('Defect (Total)'!BI19,Planned!CL19,Reconductor!CL19,CTGS!CL19,'Substation 2025$'!CL19*$BL$1,Comms!CH19*$BL$2)</f>
        <v>0</v>
      </c>
      <c r="BJ19" s="99" t="str">
        <f t="shared" si="16"/>
        <v/>
      </c>
      <c r="BK19" s="992">
        <f>SUM('Defect (Total)'!BK19,Planned!CQ19,Reconductor!CQ19,CTGS!CQ19,'Substation 2025$'!CQ19*$BL$1,Comms!CM19*$BL$2)</f>
        <v>0</v>
      </c>
      <c r="BL19" s="992">
        <f>SUM('Defect (Total)'!BL19,Planned!CR19,Reconductor!CR19,CTGS!CR19,'Substation 2025$'!CR19*$BL$1,Comms!CN19*$BL$2)</f>
        <v>0</v>
      </c>
      <c r="BM19" s="524">
        <f>SUM('Defect (Total)'!BM19,Planned!CS19,Reconductor!CS19,CTGS!CS19,'Substation 2025$'!CS19*$BL$1,Comms!CO19*$BL$2)</f>
        <v>0</v>
      </c>
      <c r="BN19" s="416">
        <f>SUM('Defect (Total)'!BN19,Planned!CT19,Reconductor!CT19,CTGS!CT19,'Substation 2025$'!CT19*$BL$1,Comms!CP19*$BL$2)</f>
        <v>0</v>
      </c>
      <c r="BO19" s="97">
        <f>SUM('Defect (Total)'!BO19,Planned!CU19,Reconductor!CU19,CTGS!CU19,'Substation 2025$'!CU19*$BL$1,Comms!CQ19*$BL$2)</f>
        <v>0</v>
      </c>
      <c r="BP19" s="97">
        <f>SUM('Defect (Total)'!BP19,Planned!CV19,Reconductor!CV19,CTGS!CV19,'Substation 2025$'!CV19*$BL$1,Comms!CR19*$BL$2)</f>
        <v>0</v>
      </c>
      <c r="BQ19" s="97">
        <f>SUM('Defect (Total)'!BQ19,Planned!CW19,Reconductor!CW19,CTGS!CW19,'Substation 2025$'!CW19*$BL$1,Comms!CS19*$BL$2)</f>
        <v>0</v>
      </c>
      <c r="BR19" s="98">
        <f>SUM('Defect (Total)'!BR19,Planned!CX19,Reconductor!CX19,CTGS!CX19,'Substation 2025$'!CX19*$BL$1,Comms!CT19*$BL$2)</f>
        <v>0</v>
      </c>
      <c r="BT19" s="1120"/>
      <c r="BU19" s="1120"/>
    </row>
    <row r="20" spans="1:74" x14ac:dyDescent="0.25">
      <c r="A20" s="81" t="s">
        <v>27</v>
      </c>
      <c r="B20" s="82" t="s">
        <v>51</v>
      </c>
      <c r="C20" s="83" t="s">
        <v>301</v>
      </c>
      <c r="D20" s="84">
        <f>SUM('Defect (Total)'!D20,Planned!D20,Reconductor!D20,CTGS!D20)</f>
        <v>0</v>
      </c>
      <c r="E20" s="85">
        <f>SUM('Defect (Total)'!E20,Planned!E20,Reconductor!E20,CTGS!E20)</f>
        <v>0</v>
      </c>
      <c r="F20" s="85">
        <f>SUM('Defect (Total)'!F20,Planned!F20,Reconductor!F20,CTGS!F20)</f>
        <v>0</v>
      </c>
      <c r="G20" s="85">
        <f>SUM('Defect (Total)'!G20,Planned!G20,Reconductor!G20,CTGS!G20)</f>
        <v>0</v>
      </c>
      <c r="H20" s="85">
        <f>SUM('Defect (Total)'!H20,Planned!H20,Reconductor!H20,CTGS!H20)</f>
        <v>0</v>
      </c>
      <c r="I20" s="85">
        <f>SUM('Defect (Total)'!I20,Planned!I20,Reconductor!I20,CTGS!I20)</f>
        <v>0</v>
      </c>
      <c r="J20" s="85">
        <f>SUM('Defect (Total)'!J20,Planned!J20,Reconductor!J20,CTGS!J20)</f>
        <v>0</v>
      </c>
      <c r="K20" s="85">
        <f>SUM('Defect (Total)'!K20,Planned!K20,Reconductor!K20,CTGS!K20)</f>
        <v>0</v>
      </c>
      <c r="L20" s="85">
        <f>SUM('Defect (Total)'!L20,Planned!L20,Reconductor!L20,CTGS!L20)</f>
        <v>0</v>
      </c>
      <c r="M20" s="85">
        <f>SUM('Defect (Total)'!M20,Planned!M20,Reconductor!M20,CTGS!M20)</f>
        <v>0</v>
      </c>
      <c r="N20" s="85">
        <f>SUM('Defect (Total)'!N20,Planned!N20,Reconductor!N20,CTGS!N20)</f>
        <v>0</v>
      </c>
      <c r="O20" s="560">
        <f>SUM('Defect (Total)'!O20,Planned!O20,Reconductor!O20,CTGS!O20)</f>
        <v>0</v>
      </c>
      <c r="P20" s="561">
        <f>SUM('Defect (Total)'!P20,Planned!P20,Reconductor!P20,CTGS!P20)</f>
        <v>0</v>
      </c>
      <c r="Q20" s="561">
        <f>SUM('Defect (Total)'!Q20,Planned!Q20,Reconductor!Q20,CTGS!Q20)</f>
        <v>0</v>
      </c>
      <c r="R20" s="561">
        <f>SUM('Defect (Total)'!R20,Planned!R20,Reconductor!R20,CTGS!R20)</f>
        <v>0</v>
      </c>
      <c r="S20" s="561">
        <f>SUM('Defect (Total)'!S20,Planned!S20,Reconductor!S20,CTGS!S20)</f>
        <v>0</v>
      </c>
      <c r="T20" s="561">
        <f>SUM('Defect (Total)'!T20,Planned!T20,Reconductor!T20,CTGS!T20)</f>
        <v>0</v>
      </c>
      <c r="U20" s="561">
        <f>SUM('Defect (Total)'!U20,Planned!U20,Reconductor!U20,CTGS!U20)</f>
        <v>0</v>
      </c>
      <c r="V20" s="561">
        <f>SUM('Defect (Total)'!V20,Planned!V20,Reconductor!V20,CTGS!V20)</f>
        <v>0</v>
      </c>
      <c r="W20" s="561">
        <f>SUM('Defect (Total)'!W20,Planned!W20,Reconductor!W20,CTGS!W20)</f>
        <v>0</v>
      </c>
      <c r="X20" s="675">
        <f>SUM('Defect (Total)'!X20,Planned!X20,Reconductor!X20,CTGS!X20)</f>
        <v>0</v>
      </c>
      <c r="Y20" s="675">
        <f>SUM('Defect (Total)'!Y20,Planned!Y20,Reconductor!Y20,CTGS!Y20)</f>
        <v>0</v>
      </c>
      <c r="Z20" s="86">
        <f>SUM('Defect (Total)'!Z20,Planned!Z20,Reconductor!Z20,CTGS!Z20)</f>
        <v>0</v>
      </c>
      <c r="AA20" s="87">
        <f>SUM('Defect (Total)'!AA20,Planned!AA20,Reconductor!AA20,CTGS!AA20)</f>
        <v>0</v>
      </c>
      <c r="AB20" s="87">
        <f>SUM('Defect (Total)'!AB20,Planned!AB20,Reconductor!AB20,CTGS!AB20)</f>
        <v>0</v>
      </c>
      <c r="AC20" s="87">
        <f>SUM('Defect (Total)'!AC20,Planned!AC20,Reconductor!AC20,CTGS!AC20)</f>
        <v>0</v>
      </c>
      <c r="AD20" s="87">
        <f>SUM('Defect (Total)'!AD20,Planned!AD20,Reconductor!AD20,CTGS!AD20)</f>
        <v>0</v>
      </c>
      <c r="AE20" s="87">
        <f>SUM('Defect (Total)'!AE20,Planned!AE20,Reconductor!AE20,CTGS!AE20)</f>
        <v>0</v>
      </c>
      <c r="AF20" s="87">
        <f>SUM('Defect (Total)'!AF20,Planned!AF20,Reconductor!AF20,CTGS!AF20)</f>
        <v>0</v>
      </c>
      <c r="AG20" s="87">
        <f>SUM('Defect (Total)'!AG20,Planned!AG20,Reconductor!AG20,CTGS!AG20)</f>
        <v>0</v>
      </c>
      <c r="AH20" s="87">
        <f>SUM('Defect (Total)'!AH20,Planned!AH20,Reconductor!AH20,CTGS!AH20)</f>
        <v>0</v>
      </c>
      <c r="AI20" s="87">
        <f>SUM('Defect (Total)'!AI20,Planned!AI20,Reconductor!AI20,CTGS!AI20)</f>
        <v>0</v>
      </c>
      <c r="AJ20" s="87">
        <f>SUM('Defect (Total)'!AJ20,Planned!AJ20,Reconductor!AJ20,CTGS!AJ20)</f>
        <v>0</v>
      </c>
      <c r="AK20" s="88">
        <f t="shared" si="14"/>
        <v>0</v>
      </c>
      <c r="AL20" s="89">
        <f t="shared" si="0"/>
        <v>0</v>
      </c>
      <c r="AM20" s="90">
        <f t="shared" si="15"/>
        <v>0</v>
      </c>
      <c r="AN20" s="91" t="str">
        <f t="shared" si="1"/>
        <v/>
      </c>
      <c r="AO20" s="92" t="str">
        <f t="shared" si="2"/>
        <v/>
      </c>
      <c r="AP20" s="92" t="str">
        <f t="shared" si="3"/>
        <v/>
      </c>
      <c r="AQ20" s="92" t="str">
        <f t="shared" si="4"/>
        <v/>
      </c>
      <c r="AR20" s="92" t="str">
        <f t="shared" si="5"/>
        <v/>
      </c>
      <c r="AS20" s="92" t="str">
        <f t="shared" si="6"/>
        <v/>
      </c>
      <c r="AT20" s="92" t="str">
        <f t="shared" si="7"/>
        <v/>
      </c>
      <c r="AU20" s="92" t="str">
        <f t="shared" si="8"/>
        <v/>
      </c>
      <c r="AV20" s="92" t="str">
        <f t="shared" si="9"/>
        <v/>
      </c>
      <c r="AW20" s="92" t="str">
        <f t="shared" si="10"/>
        <v/>
      </c>
      <c r="AX20" s="92" t="str">
        <f t="shared" si="10"/>
        <v/>
      </c>
      <c r="AY20" s="93" t="str">
        <f t="shared" si="11"/>
        <v/>
      </c>
      <c r="AZ20" s="94" t="str">
        <f t="shared" si="12"/>
        <v/>
      </c>
      <c r="BA20" s="95" t="str">
        <f t="shared" si="13"/>
        <v/>
      </c>
      <c r="BB20" s="689">
        <f>SUM('Defect (Total)'!BB20,Planned!CE20,Reconductor!CE20,CTGS!CE20,'Substation 2025$'!CE20*$BL$1,Comms!CA20*$BL$2)</f>
        <v>0</v>
      </c>
      <c r="BC20" s="689">
        <f>SUM('Defect (Total)'!BC20,Planned!CF20,Reconductor!CF20,CTGS!CF20,'Substation 2025$'!CF20*$BL$1,Comms!CB20*$BL$2)</f>
        <v>0</v>
      </c>
      <c r="BD20" s="96">
        <f>SUM('Defect (Total)'!BD20,Planned!CG20,Reconductor!CG20,CTGS!CG20,'Substation 2025$'!CG20*$BL$1,Comms!CC20*$BL$2)</f>
        <v>0</v>
      </c>
      <c r="BE20" s="96">
        <f>SUM('Defect (Total)'!BE20,Planned!CH20,Reconductor!CH20,CTGS!CH20,'Substation 2025$'!CH20*$BL$1,Comms!CD20*$BL$2)</f>
        <v>0</v>
      </c>
      <c r="BF20" s="96">
        <f>SUM('Defect (Total)'!BF20,Planned!CI20,Reconductor!CI20,CTGS!CI20,'Substation 2025$'!CI20*$BL$1,Comms!CE20*$BL$2)</f>
        <v>0</v>
      </c>
      <c r="BG20" s="96">
        <f>SUM('Defect (Total)'!BG20,Planned!CJ20,Reconductor!CJ20,CTGS!CJ20,'Substation 2025$'!CJ20*$BL$1,Comms!CF20*$BL$2)</f>
        <v>0</v>
      </c>
      <c r="BH20" s="96">
        <f>SUM('Defect (Total)'!BH20,Planned!CK20,Reconductor!CK20,CTGS!CK20,'Substation 2025$'!CK20*$BL$1,Comms!CG20*$BL$2)</f>
        <v>0</v>
      </c>
      <c r="BI20" s="286">
        <f>SUM('Defect (Total)'!BI20,Planned!CL20,Reconductor!CL20,CTGS!CL20,'Substation 2025$'!CL20*$BL$1,Comms!CH20*$BL$2)</f>
        <v>0</v>
      </c>
      <c r="BJ20" s="99" t="str">
        <f t="shared" si="16"/>
        <v/>
      </c>
      <c r="BK20" s="992">
        <f>SUM('Defect (Total)'!BK20,Planned!CQ20,Reconductor!CQ20,CTGS!CQ20,'Substation 2025$'!CQ20*$BL$1,Comms!CM20*$BL$2)</f>
        <v>0</v>
      </c>
      <c r="BL20" s="992">
        <f>SUM('Defect (Total)'!BL20,Planned!CR20,Reconductor!CR20,CTGS!CR20,'Substation 2025$'!CR20*$BL$1,Comms!CN20*$BL$2)</f>
        <v>0</v>
      </c>
      <c r="BM20" s="524">
        <f>SUM('Defect (Total)'!BM20,Planned!CS20,Reconductor!CS20,CTGS!CS20,'Substation 2025$'!CS20*$BL$1,Comms!CO20*$BL$2)</f>
        <v>0</v>
      </c>
      <c r="BN20" s="416">
        <f>SUM('Defect (Total)'!BN20,Planned!CT20,Reconductor!CT20,CTGS!CT20,'Substation 2025$'!CT20*$BL$1,Comms!CP20*$BL$2)</f>
        <v>0</v>
      </c>
      <c r="BO20" s="97">
        <f>SUM('Defect (Total)'!BO20,Planned!CU20,Reconductor!CU20,CTGS!CU20,'Substation 2025$'!CU20*$BL$1,Comms!CQ20*$BL$2)</f>
        <v>0</v>
      </c>
      <c r="BP20" s="97">
        <f>SUM('Defect (Total)'!BP20,Planned!CV20,Reconductor!CV20,CTGS!CV20,'Substation 2025$'!CV20*$BL$1,Comms!CR20*$BL$2)</f>
        <v>0</v>
      </c>
      <c r="BQ20" s="97">
        <f>SUM('Defect (Total)'!BQ20,Planned!CW20,Reconductor!CW20,CTGS!CW20,'Substation 2025$'!CW20*$BL$1,Comms!CS20*$BL$2)</f>
        <v>0</v>
      </c>
      <c r="BR20" s="98">
        <f>SUM('Defect (Total)'!BR20,Planned!CX20,Reconductor!CX20,CTGS!CX20,'Substation 2025$'!CX20*$BL$1,Comms!CT20*$BL$2)</f>
        <v>0</v>
      </c>
      <c r="BT20" s="1120"/>
      <c r="BU20" s="1120"/>
    </row>
    <row r="21" spans="1:74" x14ac:dyDescent="0.25">
      <c r="A21" s="81" t="s">
        <v>27</v>
      </c>
      <c r="B21" s="82" t="s">
        <v>53</v>
      </c>
      <c r="C21" s="83" t="s">
        <v>54</v>
      </c>
      <c r="D21" s="84">
        <f>SUM('Defect (Total)'!D21,Planned!D21,Reconductor!D21,CTGS!D21)</f>
        <v>0</v>
      </c>
      <c r="E21" s="85">
        <f>SUM('Defect (Total)'!E21,Planned!E21,Reconductor!E21,CTGS!E21)</f>
        <v>0</v>
      </c>
      <c r="F21" s="85">
        <f>SUM('Defect (Total)'!F21,Planned!F21,Reconductor!F21,CTGS!F21)</f>
        <v>0</v>
      </c>
      <c r="G21" s="85">
        <f>SUM('Defect (Total)'!G21,Planned!G21,Reconductor!G21,CTGS!G21)</f>
        <v>0</v>
      </c>
      <c r="H21" s="85">
        <f>SUM('Defect (Total)'!H21,Planned!H21,Reconductor!H21,CTGS!H21)</f>
        <v>0</v>
      </c>
      <c r="I21" s="85">
        <f>SUM('Defect (Total)'!I21,Planned!I21,Reconductor!I21,CTGS!I21)</f>
        <v>0</v>
      </c>
      <c r="J21" s="85">
        <f>SUM('Defect (Total)'!J21,Planned!J21,Reconductor!J21,CTGS!J21)</f>
        <v>0</v>
      </c>
      <c r="K21" s="85">
        <f>SUM('Defect (Total)'!K21,Planned!K21,Reconductor!K21,CTGS!K21)</f>
        <v>0</v>
      </c>
      <c r="L21" s="85">
        <f>SUM('Defect (Total)'!L21,Planned!L21,Reconductor!L21,CTGS!L21)</f>
        <v>0</v>
      </c>
      <c r="M21" s="85">
        <f>SUM('Defect (Total)'!M21,Planned!M21,Reconductor!M21,CTGS!M21)</f>
        <v>0</v>
      </c>
      <c r="N21" s="85">
        <f>SUM('Defect (Total)'!N21,Planned!N21,Reconductor!N21,CTGS!N21)</f>
        <v>0</v>
      </c>
      <c r="O21" s="560">
        <f>SUM('Defect (Total)'!O21,Planned!O21,Reconductor!O21,CTGS!O21)</f>
        <v>0</v>
      </c>
      <c r="P21" s="561">
        <f>SUM('Defect (Total)'!P21,Planned!P21,Reconductor!P21,CTGS!P21)</f>
        <v>0</v>
      </c>
      <c r="Q21" s="561">
        <f>SUM('Defect (Total)'!Q21,Planned!Q21,Reconductor!Q21,CTGS!Q21)</f>
        <v>0</v>
      </c>
      <c r="R21" s="561">
        <f>SUM('Defect (Total)'!R21,Planned!R21,Reconductor!R21,CTGS!R21)</f>
        <v>0</v>
      </c>
      <c r="S21" s="561">
        <f>SUM('Defect (Total)'!S21,Planned!S21,Reconductor!S21,CTGS!S21)</f>
        <v>0</v>
      </c>
      <c r="T21" s="561">
        <f>SUM('Defect (Total)'!T21,Planned!T21,Reconductor!T21,CTGS!T21)</f>
        <v>0</v>
      </c>
      <c r="U21" s="561">
        <f>SUM('Defect (Total)'!U21,Planned!U21,Reconductor!U21,CTGS!U21)</f>
        <v>0</v>
      </c>
      <c r="V21" s="561">
        <f>SUM('Defect (Total)'!V21,Planned!V21,Reconductor!V21,CTGS!V21)</f>
        <v>0</v>
      </c>
      <c r="W21" s="561">
        <f>SUM('Defect (Total)'!W21,Planned!W21,Reconductor!W21,CTGS!W21)</f>
        <v>0</v>
      </c>
      <c r="X21" s="675">
        <f>SUM('Defect (Total)'!X21,Planned!X21,Reconductor!X21,CTGS!X21)</f>
        <v>0</v>
      </c>
      <c r="Y21" s="675">
        <f>SUM('Defect (Total)'!Y21,Planned!Y21,Reconductor!Y21,CTGS!Y21)</f>
        <v>0</v>
      </c>
      <c r="Z21" s="86">
        <f>SUM('Defect (Total)'!Z21,Planned!Z21,Reconductor!Z21,CTGS!Z21)</f>
        <v>0</v>
      </c>
      <c r="AA21" s="87">
        <f>SUM('Defect (Total)'!AA21,Planned!AA21,Reconductor!AA21,CTGS!AA21)</f>
        <v>0</v>
      </c>
      <c r="AB21" s="87">
        <f>SUM('Defect (Total)'!AB21,Planned!AB21,Reconductor!AB21,CTGS!AB21)</f>
        <v>0</v>
      </c>
      <c r="AC21" s="87">
        <f>SUM('Defect (Total)'!AC21,Planned!AC21,Reconductor!AC21,CTGS!AC21)</f>
        <v>0</v>
      </c>
      <c r="AD21" s="87">
        <f>SUM('Defect (Total)'!AD21,Planned!AD21,Reconductor!AD21,CTGS!AD21)</f>
        <v>0</v>
      </c>
      <c r="AE21" s="87">
        <f>SUM('Defect (Total)'!AE21,Planned!AE21,Reconductor!AE21,CTGS!AE21)</f>
        <v>0</v>
      </c>
      <c r="AF21" s="87">
        <f>SUM('Defect (Total)'!AF21,Planned!AF21,Reconductor!AF21,CTGS!AF21)</f>
        <v>0</v>
      </c>
      <c r="AG21" s="87">
        <f>SUM('Defect (Total)'!AG21,Planned!AG21,Reconductor!AG21,CTGS!AG21)</f>
        <v>0</v>
      </c>
      <c r="AH21" s="87">
        <f>SUM('Defect (Total)'!AH21,Planned!AH21,Reconductor!AH21,CTGS!AH21)</f>
        <v>0</v>
      </c>
      <c r="AI21" s="87">
        <f>SUM('Defect (Total)'!AI21,Planned!AI21,Reconductor!AI21,CTGS!AI21)</f>
        <v>0</v>
      </c>
      <c r="AJ21" s="87">
        <f>SUM('Defect (Total)'!AJ21,Planned!AJ21,Reconductor!AJ21,CTGS!AJ21)</f>
        <v>0</v>
      </c>
      <c r="AK21" s="88">
        <f t="shared" si="14"/>
        <v>0</v>
      </c>
      <c r="AL21" s="89">
        <f t="shared" si="0"/>
        <v>0</v>
      </c>
      <c r="AM21" s="90">
        <f t="shared" si="15"/>
        <v>0</v>
      </c>
      <c r="AN21" s="91" t="str">
        <f t="shared" si="1"/>
        <v/>
      </c>
      <c r="AO21" s="92" t="str">
        <f t="shared" si="2"/>
        <v/>
      </c>
      <c r="AP21" s="92" t="str">
        <f t="shared" si="3"/>
        <v/>
      </c>
      <c r="AQ21" s="92" t="str">
        <f t="shared" si="4"/>
        <v/>
      </c>
      <c r="AR21" s="92" t="str">
        <f t="shared" si="5"/>
        <v/>
      </c>
      <c r="AS21" s="92" t="str">
        <f t="shared" si="6"/>
        <v/>
      </c>
      <c r="AT21" s="92" t="str">
        <f t="shared" si="7"/>
        <v/>
      </c>
      <c r="AU21" s="92" t="str">
        <f t="shared" si="8"/>
        <v/>
      </c>
      <c r="AV21" s="92" t="str">
        <f t="shared" si="9"/>
        <v/>
      </c>
      <c r="AW21" s="92" t="str">
        <f t="shared" si="10"/>
        <v/>
      </c>
      <c r="AX21" s="92" t="str">
        <f t="shared" si="10"/>
        <v/>
      </c>
      <c r="AY21" s="93" t="str">
        <f t="shared" si="11"/>
        <v/>
      </c>
      <c r="AZ21" s="94" t="str">
        <f t="shared" si="12"/>
        <v/>
      </c>
      <c r="BA21" s="95" t="str">
        <f t="shared" si="13"/>
        <v/>
      </c>
      <c r="BB21" s="689">
        <f>SUM('Defect (Total)'!BB21,Planned!CE21,Reconductor!CE21,CTGS!CE21,'Substation 2025$'!CE21*$BL$1,Comms!CA21*$BL$2)</f>
        <v>0</v>
      </c>
      <c r="BC21" s="689">
        <f>SUM('Defect (Total)'!BC21,Planned!CF21,Reconductor!CF21,CTGS!CF21,'Substation 2025$'!CF21*$BL$1,Comms!CB21*$BL$2)</f>
        <v>0</v>
      </c>
      <c r="BD21" s="96">
        <f>SUM('Defect (Total)'!BD21,Planned!CG21,Reconductor!CG21,CTGS!CG21,'Substation 2025$'!CG21*$BL$1,Comms!CC21*$BL$2)</f>
        <v>0</v>
      </c>
      <c r="BE21" s="96">
        <f>SUM('Defect (Total)'!BE21,Planned!CH21,Reconductor!CH21,CTGS!CH21,'Substation 2025$'!CH21*$BL$1,Comms!CD21*$BL$2)</f>
        <v>0</v>
      </c>
      <c r="BF21" s="96">
        <f>SUM('Defect (Total)'!BF21,Planned!CI21,Reconductor!CI21,CTGS!CI21,'Substation 2025$'!CI21*$BL$1,Comms!CE21*$BL$2)</f>
        <v>0</v>
      </c>
      <c r="BG21" s="96">
        <f>SUM('Defect (Total)'!BG21,Planned!CJ21,Reconductor!CJ21,CTGS!CJ21,'Substation 2025$'!CJ21*$BL$1,Comms!CF21*$BL$2)</f>
        <v>0</v>
      </c>
      <c r="BH21" s="96">
        <f>SUM('Defect (Total)'!BH21,Planned!CK21,Reconductor!CK21,CTGS!CK21,'Substation 2025$'!CK21*$BL$1,Comms!CG21*$BL$2)</f>
        <v>0</v>
      </c>
      <c r="BI21" s="286">
        <f>SUM('Defect (Total)'!BI21,Planned!CL21,Reconductor!CL21,CTGS!CL21,'Substation 2025$'!CL21*$BL$1,Comms!CH21*$BL$2)</f>
        <v>0</v>
      </c>
      <c r="BJ21" s="99" t="str">
        <f t="shared" si="16"/>
        <v/>
      </c>
      <c r="BK21" s="992">
        <f>SUM('Defect (Total)'!BK21,Planned!CQ21,Reconductor!CQ21,CTGS!CQ21,'Substation 2025$'!CQ21*$BL$1,Comms!CM21*$BL$2)</f>
        <v>0</v>
      </c>
      <c r="BL21" s="992">
        <f>SUM('Defect (Total)'!BL21,Planned!CR21,Reconductor!CR21,CTGS!CR21,'Substation 2025$'!CR21*$BL$1,Comms!CN21*$BL$2)</f>
        <v>0</v>
      </c>
      <c r="BM21" s="524">
        <f>SUM('Defect (Total)'!BM21,Planned!CS21,Reconductor!CS21,CTGS!CS21,'Substation 2025$'!CS21*$BL$1,Comms!CO21*$BL$2)</f>
        <v>0</v>
      </c>
      <c r="BN21" s="416">
        <f>SUM('Defect (Total)'!BN21,Planned!CT21,Reconductor!CT21,CTGS!CT21,'Substation 2025$'!CT21*$BL$1,Comms!CP21*$BL$2)</f>
        <v>0</v>
      </c>
      <c r="BO21" s="97">
        <f>SUM('Defect (Total)'!BO21,Planned!CU21,Reconductor!CU21,CTGS!CU21,'Substation 2025$'!CU21*$BL$1,Comms!CQ21*$BL$2)</f>
        <v>0</v>
      </c>
      <c r="BP21" s="97">
        <f>SUM('Defect (Total)'!BP21,Planned!CV21,Reconductor!CV21,CTGS!CV21,'Substation 2025$'!CV21*$BL$1,Comms!CR21*$BL$2)</f>
        <v>0</v>
      </c>
      <c r="BQ21" s="97">
        <f>SUM('Defect (Total)'!BQ21,Planned!CW21,Reconductor!CW21,CTGS!CW21,'Substation 2025$'!CW21*$BL$1,Comms!CS21*$BL$2)</f>
        <v>0</v>
      </c>
      <c r="BR21" s="98">
        <f>SUM('Defect (Total)'!BR21,Planned!CX21,Reconductor!CX21,CTGS!CX21,'Substation 2025$'!CX21*$BL$1,Comms!CT21*$BL$2)</f>
        <v>0</v>
      </c>
      <c r="BT21" s="1120"/>
      <c r="BU21" s="1120"/>
    </row>
    <row r="22" spans="1:74" x14ac:dyDescent="0.25">
      <c r="A22" s="81" t="s">
        <v>27</v>
      </c>
      <c r="B22" s="82" t="s">
        <v>55</v>
      </c>
      <c r="C22" s="83" t="s">
        <v>302</v>
      </c>
      <c r="D22" s="84">
        <f>SUM('Defect (Total)'!D22,Planned!D22,Reconductor!D22,CTGS!D22)</f>
        <v>29016</v>
      </c>
      <c r="E22" s="85">
        <f>SUM('Defect (Total)'!E22,Planned!E22,Reconductor!E22,CTGS!E22)</f>
        <v>0</v>
      </c>
      <c r="F22" s="85">
        <f>SUM('Defect (Total)'!F22,Planned!F22,Reconductor!F22,CTGS!F22)</f>
        <v>114944</v>
      </c>
      <c r="G22" s="85">
        <f>SUM('Defect (Total)'!G22,Planned!G22,Reconductor!G22,CTGS!G22)</f>
        <v>0</v>
      </c>
      <c r="H22" s="85">
        <f>SUM('Defect (Total)'!H22,Planned!H22,Reconductor!H22,CTGS!H22)</f>
        <v>0</v>
      </c>
      <c r="I22" s="85">
        <f>SUM('Defect (Total)'!I22,Planned!I22,Reconductor!I22,CTGS!I22)</f>
        <v>0</v>
      </c>
      <c r="J22" s="85">
        <f>SUM('Defect (Total)'!J22,Planned!J22,Reconductor!J22,CTGS!J22)</f>
        <v>15674.699498721004</v>
      </c>
      <c r="K22" s="85">
        <f>SUM('Defect (Total)'!K22,Planned!K22,Reconductor!K22,CTGS!K22)</f>
        <v>0</v>
      </c>
      <c r="L22" s="85">
        <f>SUM('Defect (Total)'!L22,Planned!L22,Reconductor!L22,CTGS!L22)</f>
        <v>0</v>
      </c>
      <c r="M22" s="85">
        <f>SUM('Defect (Total)'!M22,Planned!M22,Reconductor!M22,CTGS!M22)</f>
        <v>0</v>
      </c>
      <c r="N22" s="85">
        <f>SUM('Defect (Total)'!N22,Planned!N22,Reconductor!N22,CTGS!N22)</f>
        <v>0</v>
      </c>
      <c r="O22" s="560">
        <f>SUM('Defect (Total)'!O22,Planned!O22,Reconductor!O22,CTGS!O22)</f>
        <v>39039.760558098031</v>
      </c>
      <c r="P22" s="561">
        <f>SUM('Defect (Total)'!P22,Planned!P22,Reconductor!P22,CTGS!P22)</f>
        <v>0</v>
      </c>
      <c r="Q22" s="561">
        <f>SUM('Defect (Total)'!Q22,Planned!Q22,Reconductor!Q22,CTGS!Q22)</f>
        <v>150807.18866760473</v>
      </c>
      <c r="R22" s="561">
        <f>SUM('Defect (Total)'!R22,Planned!R22,Reconductor!R22,CTGS!R22)</f>
        <v>0</v>
      </c>
      <c r="S22" s="561">
        <f>SUM('Defect (Total)'!S22,Planned!S22,Reconductor!S22,CTGS!S22)</f>
        <v>0</v>
      </c>
      <c r="T22" s="561">
        <f>SUM('Defect (Total)'!T22,Planned!T22,Reconductor!T22,CTGS!T22)</f>
        <v>0</v>
      </c>
      <c r="U22" s="561">
        <f>SUM('Defect (Total)'!U22,Planned!U22,Reconductor!U22,CTGS!U22)</f>
        <v>19522.649718758061</v>
      </c>
      <c r="V22" s="561">
        <f>SUM('Defect (Total)'!V22,Planned!V22,Reconductor!V22,CTGS!V22)</f>
        <v>0</v>
      </c>
      <c r="W22" s="561">
        <f>SUM('Defect (Total)'!W22,Planned!W22,Reconductor!W22,CTGS!W22)</f>
        <v>0</v>
      </c>
      <c r="X22" s="675">
        <f>SUM('Defect (Total)'!X22,Planned!X22,Reconductor!X22,CTGS!X22)</f>
        <v>0</v>
      </c>
      <c r="Y22" s="675">
        <f>SUM('Defect (Total)'!Y22,Planned!Y22,Reconductor!Y22,CTGS!Y22)</f>
        <v>0</v>
      </c>
      <c r="Z22" s="86">
        <f>SUM('Defect (Total)'!Z22,Planned!Z22,Reconductor!Z22,CTGS!Z22)</f>
        <v>2</v>
      </c>
      <c r="AA22" s="87">
        <f>SUM('Defect (Total)'!AA22,Planned!AA22,Reconductor!AA22,CTGS!AA22)</f>
        <v>0</v>
      </c>
      <c r="AB22" s="87">
        <f>SUM('Defect (Total)'!AB22,Planned!AB22,Reconductor!AB22,CTGS!AB22)</f>
        <v>15</v>
      </c>
      <c r="AC22" s="87">
        <f>SUM('Defect (Total)'!AC22,Planned!AC22,Reconductor!AC22,CTGS!AC22)</f>
        <v>0</v>
      </c>
      <c r="AD22" s="87">
        <f>SUM('Defect (Total)'!AD22,Planned!AD22,Reconductor!AD22,CTGS!AD22)</f>
        <v>0</v>
      </c>
      <c r="AE22" s="87">
        <f>SUM('Defect (Total)'!AE22,Planned!AE22,Reconductor!AE22,CTGS!AE22)</f>
        <v>0</v>
      </c>
      <c r="AF22" s="87">
        <f>SUM('Defect (Total)'!AF22,Planned!AF22,Reconductor!AF22,CTGS!AF22)</f>
        <v>1</v>
      </c>
      <c r="AG22" s="87">
        <f>SUM('Defect (Total)'!AG22,Planned!AG22,Reconductor!AG22,CTGS!AG22)</f>
        <v>0</v>
      </c>
      <c r="AH22" s="87">
        <f>SUM('Defect (Total)'!AH22,Planned!AH22,Reconductor!AH22,CTGS!AH22)</f>
        <v>0</v>
      </c>
      <c r="AI22" s="87">
        <f>SUM('Defect (Total)'!AI22,Planned!AI22,Reconductor!AI22,CTGS!AI22)</f>
        <v>0</v>
      </c>
      <c r="AJ22" s="87">
        <f>SUM('Defect (Total)'!AJ22,Planned!AJ22,Reconductor!AJ22,CTGS!AJ22)</f>
        <v>0</v>
      </c>
      <c r="AK22" s="88">
        <f t="shared" si="14"/>
        <v>0.2</v>
      </c>
      <c r="AL22" s="89">
        <f t="shared" si="0"/>
        <v>0.33333333333333331</v>
      </c>
      <c r="AM22" s="90">
        <f t="shared" si="15"/>
        <v>0</v>
      </c>
      <c r="AN22" s="91">
        <f t="shared" si="1"/>
        <v>14508</v>
      </c>
      <c r="AO22" s="92" t="str">
        <f t="shared" si="2"/>
        <v/>
      </c>
      <c r="AP22" s="92">
        <f t="shared" si="3"/>
        <v>7662.9333333333334</v>
      </c>
      <c r="AQ22" s="92" t="str">
        <f t="shared" si="4"/>
        <v/>
      </c>
      <c r="AR22" s="92" t="str">
        <f t="shared" si="5"/>
        <v/>
      </c>
      <c r="AS22" s="92" t="str">
        <f t="shared" si="6"/>
        <v/>
      </c>
      <c r="AT22" s="92">
        <f t="shared" si="7"/>
        <v>15674.699498721004</v>
      </c>
      <c r="AU22" s="92" t="str">
        <f t="shared" si="8"/>
        <v/>
      </c>
      <c r="AV22" s="92" t="str">
        <f t="shared" si="9"/>
        <v/>
      </c>
      <c r="AW22" s="92" t="str">
        <f t="shared" si="10"/>
        <v/>
      </c>
      <c r="AX22" s="92" t="str">
        <f t="shared" si="10"/>
        <v/>
      </c>
      <c r="AY22" s="93">
        <f t="shared" si="11"/>
        <v>15674.699498721004</v>
      </c>
      <c r="AZ22" s="94" t="str">
        <f t="shared" si="12"/>
        <v/>
      </c>
      <c r="BA22" s="95" t="str">
        <f t="shared" si="13"/>
        <v/>
      </c>
      <c r="BB22" s="689">
        <f>SUM('Defect (Total)'!BB22,Planned!CE22,Reconductor!CE22,CTGS!CE22,'Substation 2025$'!CE22*$BL$1,Comms!CA22*$BL$2)</f>
        <v>0</v>
      </c>
      <c r="BC22" s="689">
        <f>SUM('Defect (Total)'!BC22,Planned!CF22,Reconductor!CF22,CTGS!CF22,'Substation 2025$'!CF22*$BL$1,Comms!CB22*$BL$2)</f>
        <v>0</v>
      </c>
      <c r="BD22" s="96">
        <f>SUM('Defect (Total)'!BD22,Planned!CG22,Reconductor!CG22,CTGS!CG22,'Substation 2025$'!CG22*$BL$1,Comms!CC22*$BL$2)</f>
        <v>0</v>
      </c>
      <c r="BE22" s="96">
        <f>SUM('Defect (Total)'!BE22,Planned!CH22,Reconductor!CH22,CTGS!CH22,'Substation 2025$'!CH22*$BL$1,Comms!CD22*$BL$2)</f>
        <v>0</v>
      </c>
      <c r="BF22" s="96">
        <f>SUM('Defect (Total)'!BF22,Planned!CI22,Reconductor!CI22,CTGS!CI22,'Substation 2025$'!CI22*$BL$1,Comms!CE22*$BL$2)</f>
        <v>0</v>
      </c>
      <c r="BG22" s="96">
        <f>SUM('Defect (Total)'!BG22,Planned!CJ22,Reconductor!CJ22,CTGS!CJ22,'Substation 2025$'!CJ22*$BL$1,Comms!CF22*$BL$2)</f>
        <v>0</v>
      </c>
      <c r="BH22" s="96">
        <f>SUM('Defect (Total)'!BH22,Planned!CK22,Reconductor!CK22,CTGS!CK22,'Substation 2025$'!CK22*$BL$1,Comms!CG22*$BL$2)</f>
        <v>0</v>
      </c>
      <c r="BI22" s="286">
        <f>SUM('Defect (Total)'!BI22,Planned!CL22,Reconductor!CL22,CTGS!CL22,'Substation 2025$'!CL22*$BL$1,Comms!CH22*$BL$2)</f>
        <v>0</v>
      </c>
      <c r="BJ22" s="99" t="str">
        <f t="shared" si="16"/>
        <v/>
      </c>
      <c r="BK22" s="992">
        <f>SUM('Defect (Total)'!BK22,Planned!CQ22,Reconductor!CQ22,CTGS!CQ22,'Substation 2025$'!CQ22*$BL$1,Comms!CM22*$BL$2)</f>
        <v>0</v>
      </c>
      <c r="BL22" s="992">
        <f>SUM('Defect (Total)'!BL22,Planned!CR22,Reconductor!CR22,CTGS!CR22,'Substation 2025$'!CR22*$BL$1,Comms!CN22*$BL$2)</f>
        <v>0</v>
      </c>
      <c r="BM22" s="524">
        <f>SUM('Defect (Total)'!BM22,Planned!CS22,Reconductor!CS22,CTGS!CS22,'Substation 2025$'!CS22*$BL$1,Comms!CO22*$BL$2)</f>
        <v>0</v>
      </c>
      <c r="BN22" s="416">
        <f>SUM('Defect (Total)'!BN22,Planned!CT22,Reconductor!CT22,CTGS!CT22,'Substation 2025$'!CT22*$BL$1,Comms!CP22*$BL$2)</f>
        <v>0</v>
      </c>
      <c r="BO22" s="97">
        <f>SUM('Defect (Total)'!BO22,Planned!CU22,Reconductor!CU22,CTGS!CU22,'Substation 2025$'!CU22*$BL$1,Comms!CQ22*$BL$2)</f>
        <v>0</v>
      </c>
      <c r="BP22" s="97">
        <f>SUM('Defect (Total)'!BP22,Planned!CV22,Reconductor!CV22,CTGS!CV22,'Substation 2025$'!CV22*$BL$1,Comms!CR22*$BL$2)</f>
        <v>0</v>
      </c>
      <c r="BQ22" s="97">
        <f>SUM('Defect (Total)'!BQ22,Planned!CW22,Reconductor!CW22,CTGS!CW22,'Substation 2025$'!CW22*$BL$1,Comms!CS22*$BL$2)</f>
        <v>0</v>
      </c>
      <c r="BR22" s="98">
        <f>SUM('Defect (Total)'!BR22,Planned!CX22,Reconductor!CX22,CTGS!CX22,'Substation 2025$'!CX22*$BL$1,Comms!CT22*$BL$2)</f>
        <v>0</v>
      </c>
      <c r="BT22" s="1120"/>
      <c r="BU22" s="1120"/>
    </row>
    <row r="23" spans="1:74" x14ac:dyDescent="0.25">
      <c r="A23" s="81" t="s">
        <v>27</v>
      </c>
      <c r="B23" s="82" t="s">
        <v>57</v>
      </c>
      <c r="C23" s="83" t="s">
        <v>58</v>
      </c>
      <c r="D23" s="84">
        <f>SUM('Defect (Total)'!D23,Planned!D23,Reconductor!D23,CTGS!D23)</f>
        <v>0</v>
      </c>
      <c r="E23" s="85">
        <f>SUM('Defect (Total)'!E23,Planned!E23,Reconductor!E23,CTGS!E23)</f>
        <v>0</v>
      </c>
      <c r="F23" s="85">
        <f>SUM('Defect (Total)'!F23,Planned!F23,Reconductor!F23,CTGS!F23)</f>
        <v>0</v>
      </c>
      <c r="G23" s="85">
        <f>SUM('Defect (Total)'!G23,Planned!G23,Reconductor!G23,CTGS!G23)</f>
        <v>0</v>
      </c>
      <c r="H23" s="85">
        <f>SUM('Defect (Total)'!H23,Planned!H23,Reconductor!H23,CTGS!H23)</f>
        <v>0</v>
      </c>
      <c r="I23" s="85">
        <f>SUM('Defect (Total)'!I23,Planned!I23,Reconductor!I23,CTGS!I23)</f>
        <v>0</v>
      </c>
      <c r="J23" s="85">
        <f>SUM('Defect (Total)'!J23,Planned!J23,Reconductor!J23,CTGS!J23)</f>
        <v>0</v>
      </c>
      <c r="K23" s="85">
        <f>SUM('Defect (Total)'!K23,Planned!K23,Reconductor!K23,CTGS!K23)</f>
        <v>0</v>
      </c>
      <c r="L23" s="85">
        <f>SUM('Defect (Total)'!L23,Planned!L23,Reconductor!L23,CTGS!L23)</f>
        <v>0</v>
      </c>
      <c r="M23" s="85">
        <f>SUM('Defect (Total)'!M23,Planned!M23,Reconductor!M23,CTGS!M23)</f>
        <v>0</v>
      </c>
      <c r="N23" s="85">
        <f>SUM('Defect (Total)'!N23,Planned!N23,Reconductor!N23,CTGS!N23)</f>
        <v>0</v>
      </c>
      <c r="O23" s="560">
        <f>SUM('Defect (Total)'!O23,Planned!O23,Reconductor!O23,CTGS!O23)</f>
        <v>0</v>
      </c>
      <c r="P23" s="561">
        <f>SUM('Defect (Total)'!P23,Planned!P23,Reconductor!P23,CTGS!P23)</f>
        <v>0</v>
      </c>
      <c r="Q23" s="561">
        <f>SUM('Defect (Total)'!Q23,Planned!Q23,Reconductor!Q23,CTGS!Q23)</f>
        <v>0</v>
      </c>
      <c r="R23" s="561">
        <f>SUM('Defect (Total)'!R23,Planned!R23,Reconductor!R23,CTGS!R23)</f>
        <v>0</v>
      </c>
      <c r="S23" s="561">
        <f>SUM('Defect (Total)'!S23,Planned!S23,Reconductor!S23,CTGS!S23)</f>
        <v>0</v>
      </c>
      <c r="T23" s="561">
        <f>SUM('Defect (Total)'!T23,Planned!T23,Reconductor!T23,CTGS!T23)</f>
        <v>0</v>
      </c>
      <c r="U23" s="561">
        <f>SUM('Defect (Total)'!U23,Planned!U23,Reconductor!U23,CTGS!U23)</f>
        <v>0</v>
      </c>
      <c r="V23" s="561">
        <f>SUM('Defect (Total)'!V23,Planned!V23,Reconductor!V23,CTGS!V23)</f>
        <v>0</v>
      </c>
      <c r="W23" s="561">
        <f>SUM('Defect (Total)'!W23,Planned!W23,Reconductor!W23,CTGS!W23)</f>
        <v>0</v>
      </c>
      <c r="X23" s="675">
        <f>SUM('Defect (Total)'!X23,Planned!X23,Reconductor!X23,CTGS!X23)</f>
        <v>0</v>
      </c>
      <c r="Y23" s="675">
        <f>SUM('Defect (Total)'!Y23,Planned!Y23,Reconductor!Y23,CTGS!Y23)</f>
        <v>0</v>
      </c>
      <c r="Z23" s="86">
        <f>SUM('Defect (Total)'!Z23,Planned!Z23,Reconductor!Z23,CTGS!Z23)</f>
        <v>0</v>
      </c>
      <c r="AA23" s="87">
        <f>SUM('Defect (Total)'!AA23,Planned!AA23,Reconductor!AA23,CTGS!AA23)</f>
        <v>0</v>
      </c>
      <c r="AB23" s="87">
        <f>SUM('Defect (Total)'!AB23,Planned!AB23,Reconductor!AB23,CTGS!AB23)</f>
        <v>0</v>
      </c>
      <c r="AC23" s="87">
        <f>SUM('Defect (Total)'!AC23,Planned!AC23,Reconductor!AC23,CTGS!AC23)</f>
        <v>0</v>
      </c>
      <c r="AD23" s="87">
        <f>SUM('Defect (Total)'!AD23,Planned!AD23,Reconductor!AD23,CTGS!AD23)</f>
        <v>0</v>
      </c>
      <c r="AE23" s="87">
        <f>SUM('Defect (Total)'!AE23,Planned!AE23,Reconductor!AE23,CTGS!AE23)</f>
        <v>0</v>
      </c>
      <c r="AF23" s="87">
        <f>SUM('Defect (Total)'!AF23,Planned!AF23,Reconductor!AF23,CTGS!AF23)</f>
        <v>0</v>
      </c>
      <c r="AG23" s="87">
        <f>SUM('Defect (Total)'!AG23,Planned!AG23,Reconductor!AG23,CTGS!AG23)</f>
        <v>0</v>
      </c>
      <c r="AH23" s="87">
        <f>SUM('Defect (Total)'!AH23,Planned!AH23,Reconductor!AH23,CTGS!AH23)</f>
        <v>0</v>
      </c>
      <c r="AI23" s="87">
        <f>SUM('Defect (Total)'!AI23,Planned!AI23,Reconductor!AI23,CTGS!AI23)</f>
        <v>0</v>
      </c>
      <c r="AJ23" s="87">
        <f>SUM('Defect (Total)'!AJ23,Planned!AJ23,Reconductor!AJ23,CTGS!AJ23)</f>
        <v>0</v>
      </c>
      <c r="AK23" s="88">
        <f t="shared" si="14"/>
        <v>0</v>
      </c>
      <c r="AL23" s="89">
        <f t="shared" si="0"/>
        <v>0</v>
      </c>
      <c r="AM23" s="90">
        <f t="shared" si="15"/>
        <v>0</v>
      </c>
      <c r="AN23" s="91" t="str">
        <f t="shared" si="1"/>
        <v/>
      </c>
      <c r="AO23" s="92" t="str">
        <f t="shared" si="2"/>
        <v/>
      </c>
      <c r="AP23" s="92" t="str">
        <f t="shared" si="3"/>
        <v/>
      </c>
      <c r="AQ23" s="92" t="str">
        <f t="shared" si="4"/>
        <v/>
      </c>
      <c r="AR23" s="92" t="str">
        <f t="shared" si="5"/>
        <v/>
      </c>
      <c r="AS23" s="92" t="str">
        <f t="shared" si="6"/>
        <v/>
      </c>
      <c r="AT23" s="92" t="str">
        <f t="shared" si="7"/>
        <v/>
      </c>
      <c r="AU23" s="92" t="str">
        <f t="shared" si="8"/>
        <v/>
      </c>
      <c r="AV23" s="92" t="str">
        <f t="shared" si="9"/>
        <v/>
      </c>
      <c r="AW23" s="92" t="str">
        <f t="shared" ref="AW23:AX38" si="20">IFERROR(M23/AI23,"")</f>
        <v/>
      </c>
      <c r="AX23" s="92" t="str">
        <f t="shared" si="20"/>
        <v/>
      </c>
      <c r="AY23" s="93" t="str">
        <f t="shared" si="11"/>
        <v/>
      </c>
      <c r="AZ23" s="94" t="str">
        <f t="shared" si="12"/>
        <v/>
      </c>
      <c r="BA23" s="95" t="str">
        <f t="shared" si="13"/>
        <v/>
      </c>
      <c r="BB23" s="689">
        <f>SUM('Defect (Total)'!BB23,Planned!CE23,Reconductor!CE23,CTGS!CE23,'Substation 2025$'!CE23*$BL$1,Comms!CA23*$BL$2)</f>
        <v>0</v>
      </c>
      <c r="BC23" s="689">
        <f>SUM('Defect (Total)'!BC23,Planned!CF23,Reconductor!CF23,CTGS!CF23,'Substation 2025$'!CF23*$BL$1,Comms!CB23*$BL$2)</f>
        <v>0</v>
      </c>
      <c r="BD23" s="96">
        <f>SUM('Defect (Total)'!BD23,Planned!CG23,Reconductor!CG23,CTGS!CG23,'Substation 2025$'!CG23*$BL$1,Comms!CC23*$BL$2)</f>
        <v>0</v>
      </c>
      <c r="BE23" s="96">
        <f>SUM('Defect (Total)'!BE23,Planned!CH23,Reconductor!CH23,CTGS!CH23,'Substation 2025$'!CH23*$BL$1,Comms!CD23*$BL$2)</f>
        <v>0</v>
      </c>
      <c r="BF23" s="96">
        <f>SUM('Defect (Total)'!BF23,Planned!CI23,Reconductor!CI23,CTGS!CI23,'Substation 2025$'!CI23*$BL$1,Comms!CE23*$BL$2)</f>
        <v>0</v>
      </c>
      <c r="BG23" s="96">
        <f>SUM('Defect (Total)'!BG23,Planned!CJ23,Reconductor!CJ23,CTGS!CJ23,'Substation 2025$'!CJ23*$BL$1,Comms!CF23*$BL$2)</f>
        <v>0</v>
      </c>
      <c r="BH23" s="96">
        <f>SUM('Defect (Total)'!BH23,Planned!CK23,Reconductor!CK23,CTGS!CK23,'Substation 2025$'!CK23*$BL$1,Comms!CG23*$BL$2)</f>
        <v>0</v>
      </c>
      <c r="BI23" s="286">
        <f>SUM('Defect (Total)'!BI23,Planned!CL23,Reconductor!CL23,CTGS!CL23,'Substation 2025$'!CL23*$BL$1,Comms!CH23*$BL$2)</f>
        <v>0</v>
      </c>
      <c r="BJ23" s="99" t="str">
        <f t="shared" si="16"/>
        <v/>
      </c>
      <c r="BK23" s="992">
        <f>SUM('Defect (Total)'!BK23,Planned!CQ23,Reconductor!CQ23,CTGS!CQ23,'Substation 2025$'!CQ23*$BL$1,Comms!CM23*$BL$2)</f>
        <v>0</v>
      </c>
      <c r="BL23" s="992">
        <f>SUM('Defect (Total)'!BL23,Planned!CR23,Reconductor!CR23,CTGS!CR23,'Substation 2025$'!CR23*$BL$1,Comms!CN23*$BL$2)</f>
        <v>0</v>
      </c>
      <c r="BM23" s="524">
        <f>SUM('Defect (Total)'!BM23,Planned!CS23,Reconductor!CS23,CTGS!CS23,'Substation 2025$'!CS23*$BL$1,Comms!CO23*$BL$2)</f>
        <v>0</v>
      </c>
      <c r="BN23" s="416">
        <f>SUM('Defect (Total)'!BN23,Planned!CT23,Reconductor!CT23,CTGS!CT23,'Substation 2025$'!CT23*$BL$1,Comms!CP23*$BL$2)</f>
        <v>0</v>
      </c>
      <c r="BO23" s="97">
        <f>SUM('Defect (Total)'!BO23,Planned!CU23,Reconductor!CU23,CTGS!CU23,'Substation 2025$'!CU23*$BL$1,Comms!CQ23*$BL$2)</f>
        <v>0</v>
      </c>
      <c r="BP23" s="97">
        <f>SUM('Defect (Total)'!BP23,Planned!CV23,Reconductor!CV23,CTGS!CV23,'Substation 2025$'!CV23*$BL$1,Comms!CR23*$BL$2)</f>
        <v>0</v>
      </c>
      <c r="BQ23" s="97">
        <f>SUM('Defect (Total)'!BQ23,Planned!CW23,Reconductor!CW23,CTGS!CW23,'Substation 2025$'!CW23*$BL$1,Comms!CS23*$BL$2)</f>
        <v>0</v>
      </c>
      <c r="BR23" s="98">
        <f>SUM('Defect (Total)'!BR23,Planned!CX23,Reconductor!CX23,CTGS!CX23,'Substation 2025$'!CX23*$BL$1,Comms!CT23*$BL$2)</f>
        <v>0</v>
      </c>
      <c r="BT23" s="1120"/>
      <c r="BU23" s="1120"/>
    </row>
    <row r="24" spans="1:74" x14ac:dyDescent="0.25">
      <c r="A24" s="81" t="s">
        <v>27</v>
      </c>
      <c r="B24" s="82" t="s">
        <v>59</v>
      </c>
      <c r="C24" s="83" t="s">
        <v>60</v>
      </c>
      <c r="D24" s="84">
        <f>SUM('Defect (Total)'!D24,Planned!D24,Reconductor!D24,CTGS!D24)</f>
        <v>0</v>
      </c>
      <c r="E24" s="85">
        <f>SUM('Defect (Total)'!E24,Planned!E24,Reconductor!E24,CTGS!E24)</f>
        <v>0</v>
      </c>
      <c r="F24" s="85">
        <f>SUM('Defect (Total)'!F24,Planned!F24,Reconductor!F24,CTGS!F24)</f>
        <v>0</v>
      </c>
      <c r="G24" s="85">
        <f>SUM('Defect (Total)'!G24,Planned!G24,Reconductor!G24,CTGS!G24)</f>
        <v>0</v>
      </c>
      <c r="H24" s="85">
        <f>SUM('Defect (Total)'!H24,Planned!H24,Reconductor!H24,CTGS!H24)</f>
        <v>0</v>
      </c>
      <c r="I24" s="85">
        <f>SUM('Defect (Total)'!I24,Planned!I24,Reconductor!I24,CTGS!I24)</f>
        <v>0</v>
      </c>
      <c r="J24" s="85">
        <f>SUM('Defect (Total)'!J24,Planned!J24,Reconductor!J24,CTGS!J24)</f>
        <v>0</v>
      </c>
      <c r="K24" s="85">
        <f>SUM('Defect (Total)'!K24,Planned!K24,Reconductor!K24,CTGS!K24)</f>
        <v>0</v>
      </c>
      <c r="L24" s="85">
        <f>SUM('Defect (Total)'!L24,Planned!L24,Reconductor!L24,CTGS!L24)</f>
        <v>0</v>
      </c>
      <c r="M24" s="85">
        <f>SUM('Defect (Total)'!M24,Planned!M24,Reconductor!M24,CTGS!M24)</f>
        <v>0</v>
      </c>
      <c r="N24" s="85">
        <f>SUM('Defect (Total)'!N24,Planned!N24,Reconductor!N24,CTGS!N24)</f>
        <v>0</v>
      </c>
      <c r="O24" s="560">
        <f>SUM('Defect (Total)'!O24,Planned!O24,Reconductor!O24,CTGS!O24)</f>
        <v>0</v>
      </c>
      <c r="P24" s="561">
        <f>SUM('Defect (Total)'!P24,Planned!P24,Reconductor!P24,CTGS!P24)</f>
        <v>0</v>
      </c>
      <c r="Q24" s="561">
        <f>SUM('Defect (Total)'!Q24,Planned!Q24,Reconductor!Q24,CTGS!Q24)</f>
        <v>0</v>
      </c>
      <c r="R24" s="561">
        <f>SUM('Defect (Total)'!R24,Planned!R24,Reconductor!R24,CTGS!R24)</f>
        <v>0</v>
      </c>
      <c r="S24" s="561">
        <f>SUM('Defect (Total)'!S24,Planned!S24,Reconductor!S24,CTGS!S24)</f>
        <v>0</v>
      </c>
      <c r="T24" s="561">
        <f>SUM('Defect (Total)'!T24,Planned!T24,Reconductor!T24,CTGS!T24)</f>
        <v>0</v>
      </c>
      <c r="U24" s="561">
        <f>SUM('Defect (Total)'!U24,Planned!U24,Reconductor!U24,CTGS!U24)</f>
        <v>0</v>
      </c>
      <c r="V24" s="561">
        <f>SUM('Defect (Total)'!V24,Planned!V24,Reconductor!V24,CTGS!V24)</f>
        <v>0</v>
      </c>
      <c r="W24" s="561">
        <f>SUM('Defect (Total)'!W24,Planned!W24,Reconductor!W24,CTGS!W24)</f>
        <v>0</v>
      </c>
      <c r="X24" s="675">
        <f>SUM('Defect (Total)'!X24,Planned!X24,Reconductor!X24,CTGS!X24)</f>
        <v>0</v>
      </c>
      <c r="Y24" s="675">
        <f>SUM('Defect (Total)'!Y24,Planned!Y24,Reconductor!Y24,CTGS!Y24)</f>
        <v>0</v>
      </c>
      <c r="Z24" s="86">
        <f>SUM('Defect (Total)'!Z24,Planned!Z24,Reconductor!Z24,CTGS!Z24)</f>
        <v>0</v>
      </c>
      <c r="AA24" s="87">
        <f>SUM('Defect (Total)'!AA24,Planned!AA24,Reconductor!AA24,CTGS!AA24)</f>
        <v>0</v>
      </c>
      <c r="AB24" s="87">
        <f>SUM('Defect (Total)'!AB24,Planned!AB24,Reconductor!AB24,CTGS!AB24)</f>
        <v>0</v>
      </c>
      <c r="AC24" s="87">
        <f>SUM('Defect (Total)'!AC24,Planned!AC24,Reconductor!AC24,CTGS!AC24)</f>
        <v>0</v>
      </c>
      <c r="AD24" s="87">
        <f>SUM('Defect (Total)'!AD24,Planned!AD24,Reconductor!AD24,CTGS!AD24)</f>
        <v>0</v>
      </c>
      <c r="AE24" s="87">
        <f>SUM('Defect (Total)'!AE24,Planned!AE24,Reconductor!AE24,CTGS!AE24)</f>
        <v>0</v>
      </c>
      <c r="AF24" s="87">
        <f>SUM('Defect (Total)'!AF24,Planned!AF24,Reconductor!AF24,CTGS!AF24)</f>
        <v>0</v>
      </c>
      <c r="AG24" s="87">
        <f>SUM('Defect (Total)'!AG24,Planned!AG24,Reconductor!AG24,CTGS!AG24)</f>
        <v>0</v>
      </c>
      <c r="AH24" s="87">
        <f>SUM('Defect (Total)'!AH24,Planned!AH24,Reconductor!AH24,CTGS!AH24)</f>
        <v>0</v>
      </c>
      <c r="AI24" s="87">
        <f>SUM('Defect (Total)'!AI24,Planned!AI24,Reconductor!AI24,CTGS!AI24)</f>
        <v>0</v>
      </c>
      <c r="AJ24" s="87">
        <f>SUM('Defect (Total)'!AJ24,Planned!AJ24,Reconductor!AJ24,CTGS!AJ24)</f>
        <v>0</v>
      </c>
      <c r="AK24" s="88">
        <f t="shared" si="14"/>
        <v>0</v>
      </c>
      <c r="AL24" s="89">
        <f t="shared" si="0"/>
        <v>0</v>
      </c>
      <c r="AM24" s="90">
        <f t="shared" si="15"/>
        <v>0</v>
      </c>
      <c r="AN24" s="91" t="str">
        <f t="shared" si="1"/>
        <v/>
      </c>
      <c r="AO24" s="92" t="str">
        <f t="shared" si="2"/>
        <v/>
      </c>
      <c r="AP24" s="92" t="str">
        <f t="shared" si="3"/>
        <v/>
      </c>
      <c r="AQ24" s="92" t="str">
        <f t="shared" si="4"/>
        <v/>
      </c>
      <c r="AR24" s="92" t="str">
        <f t="shared" si="5"/>
        <v/>
      </c>
      <c r="AS24" s="92" t="str">
        <f t="shared" si="6"/>
        <v/>
      </c>
      <c r="AT24" s="92" t="str">
        <f t="shared" si="7"/>
        <v/>
      </c>
      <c r="AU24" s="92" t="str">
        <f t="shared" si="8"/>
        <v/>
      </c>
      <c r="AV24" s="92" t="str">
        <f t="shared" si="9"/>
        <v/>
      </c>
      <c r="AW24" s="92" t="str">
        <f t="shared" si="20"/>
        <v/>
      </c>
      <c r="AX24" s="92" t="str">
        <f t="shared" si="20"/>
        <v/>
      </c>
      <c r="AY24" s="93" t="str">
        <f t="shared" si="11"/>
        <v/>
      </c>
      <c r="AZ24" s="94" t="str">
        <f t="shared" si="12"/>
        <v/>
      </c>
      <c r="BA24" s="95" t="str">
        <f t="shared" si="13"/>
        <v/>
      </c>
      <c r="BB24" s="689">
        <f>SUM('Defect (Total)'!BB24,Planned!CE24,Reconductor!CE24,CTGS!CE24,'Substation 2025$'!CE24*$BL$1,Comms!CA24*$BL$2)</f>
        <v>0</v>
      </c>
      <c r="BC24" s="689">
        <f>SUM('Defect (Total)'!BC24,Planned!CF24,Reconductor!CF24,CTGS!CF24,'Substation 2025$'!CF24*$BL$1,Comms!CB24*$BL$2)</f>
        <v>0</v>
      </c>
      <c r="BD24" s="96">
        <f>SUM('Defect (Total)'!BD24,Planned!CG24,Reconductor!CG24,CTGS!CG24,'Substation 2025$'!CG24*$BL$1,Comms!CC24*$BL$2)</f>
        <v>0</v>
      </c>
      <c r="BE24" s="96">
        <f>SUM('Defect (Total)'!BE24,Planned!CH24,Reconductor!CH24,CTGS!CH24,'Substation 2025$'!CH24*$BL$1,Comms!CD24*$BL$2)</f>
        <v>0</v>
      </c>
      <c r="BF24" s="96">
        <f>SUM('Defect (Total)'!BF24,Planned!CI24,Reconductor!CI24,CTGS!CI24,'Substation 2025$'!CI24*$BL$1,Comms!CE24*$BL$2)</f>
        <v>0</v>
      </c>
      <c r="BG24" s="96">
        <f>SUM('Defect (Total)'!BG24,Planned!CJ24,Reconductor!CJ24,CTGS!CJ24,'Substation 2025$'!CJ24*$BL$1,Comms!CF24*$BL$2)</f>
        <v>0</v>
      </c>
      <c r="BH24" s="96">
        <f>SUM('Defect (Total)'!BH24,Planned!CK24,Reconductor!CK24,CTGS!CK24,'Substation 2025$'!CK24*$BL$1,Comms!CG24*$BL$2)</f>
        <v>0</v>
      </c>
      <c r="BI24" s="286">
        <f>SUM('Defect (Total)'!BI24,Planned!CL24,Reconductor!CL24,CTGS!CL24,'Substation 2025$'!CL24*$BL$1,Comms!CH24*$BL$2)</f>
        <v>0</v>
      </c>
      <c r="BJ24" s="99" t="str">
        <f t="shared" si="16"/>
        <v/>
      </c>
      <c r="BK24" s="992">
        <f>SUM('Defect (Total)'!BK24,Planned!CQ24,Reconductor!CQ24,CTGS!CQ24,'Substation 2025$'!CQ24*$BL$1,Comms!CM24*$BL$2)</f>
        <v>0</v>
      </c>
      <c r="BL24" s="992">
        <f>SUM('Defect (Total)'!BL24,Planned!CR24,Reconductor!CR24,CTGS!CR24,'Substation 2025$'!CR24*$BL$1,Comms!CN24*$BL$2)</f>
        <v>0</v>
      </c>
      <c r="BM24" s="524">
        <f>SUM('Defect (Total)'!BM24,Planned!CS24,Reconductor!CS24,CTGS!CS24,'Substation 2025$'!CS24*$BL$1,Comms!CO24*$BL$2)</f>
        <v>0</v>
      </c>
      <c r="BN24" s="416">
        <f>SUM('Defect (Total)'!BN24,Planned!CT24,Reconductor!CT24,CTGS!CT24,'Substation 2025$'!CT24*$BL$1,Comms!CP24*$BL$2)</f>
        <v>0</v>
      </c>
      <c r="BO24" s="97">
        <f>SUM('Defect (Total)'!BO24,Planned!CU24,Reconductor!CU24,CTGS!CU24,'Substation 2025$'!CU24*$BL$1,Comms!CQ24*$BL$2)</f>
        <v>0</v>
      </c>
      <c r="BP24" s="97">
        <f>SUM('Defect (Total)'!BP24,Planned!CV24,Reconductor!CV24,CTGS!CV24,'Substation 2025$'!CV24*$BL$1,Comms!CR24*$BL$2)</f>
        <v>0</v>
      </c>
      <c r="BQ24" s="97">
        <f>SUM('Defect (Total)'!BQ24,Planned!CW24,Reconductor!CW24,CTGS!CW24,'Substation 2025$'!CW24*$BL$1,Comms!CS24*$BL$2)</f>
        <v>0</v>
      </c>
      <c r="BR24" s="98">
        <f>SUM('Defect (Total)'!BR24,Planned!CX24,Reconductor!CX24,CTGS!CX24,'Substation 2025$'!CX24*$BL$1,Comms!CT24*$BL$2)</f>
        <v>0</v>
      </c>
      <c r="BT24" s="1120"/>
      <c r="BU24" s="1120"/>
    </row>
    <row r="25" spans="1:74" x14ac:dyDescent="0.25">
      <c r="A25" s="81" t="s">
        <v>27</v>
      </c>
      <c r="B25" s="82" t="s">
        <v>61</v>
      </c>
      <c r="C25" s="83" t="s">
        <v>62</v>
      </c>
      <c r="D25" s="84">
        <f>SUM('Defect (Total)'!D25,Planned!D25,Reconductor!D25,CTGS!D25)</f>
        <v>0</v>
      </c>
      <c r="E25" s="85">
        <f>SUM('Defect (Total)'!E25,Planned!E25,Reconductor!E25,CTGS!E25)</f>
        <v>0</v>
      </c>
      <c r="F25" s="85">
        <f>SUM('Defect (Total)'!F25,Planned!F25,Reconductor!F25,CTGS!F25)</f>
        <v>0</v>
      </c>
      <c r="G25" s="85">
        <f>SUM('Defect (Total)'!G25,Planned!G25,Reconductor!G25,CTGS!G25)</f>
        <v>0</v>
      </c>
      <c r="H25" s="85">
        <f>SUM('Defect (Total)'!H25,Planned!H25,Reconductor!H25,CTGS!H25)</f>
        <v>0</v>
      </c>
      <c r="I25" s="85">
        <f>SUM('Defect (Total)'!I25,Planned!I25,Reconductor!I25,CTGS!I25)</f>
        <v>0</v>
      </c>
      <c r="J25" s="85">
        <f>SUM('Defect (Total)'!J25,Planned!J25,Reconductor!J25,CTGS!J25)</f>
        <v>0</v>
      </c>
      <c r="K25" s="85">
        <f>SUM('Defect (Total)'!K25,Planned!K25,Reconductor!K25,CTGS!K25)</f>
        <v>0</v>
      </c>
      <c r="L25" s="85">
        <f>SUM('Defect (Total)'!L25,Planned!L25,Reconductor!L25,CTGS!L25)</f>
        <v>0</v>
      </c>
      <c r="M25" s="85">
        <f>SUM('Defect (Total)'!M25,Planned!M25,Reconductor!M25,CTGS!M25)</f>
        <v>0</v>
      </c>
      <c r="N25" s="85">
        <f>SUM('Defect (Total)'!N25,Planned!N25,Reconductor!N25,CTGS!N25)</f>
        <v>0</v>
      </c>
      <c r="O25" s="560">
        <f>SUM('Defect (Total)'!O25,Planned!O25,Reconductor!O25,CTGS!O25)</f>
        <v>0</v>
      </c>
      <c r="P25" s="561">
        <f>SUM('Defect (Total)'!P25,Planned!P25,Reconductor!P25,CTGS!P25)</f>
        <v>0</v>
      </c>
      <c r="Q25" s="561">
        <f>SUM('Defect (Total)'!Q25,Planned!Q25,Reconductor!Q25,CTGS!Q25)</f>
        <v>0</v>
      </c>
      <c r="R25" s="561">
        <f>SUM('Defect (Total)'!R25,Planned!R25,Reconductor!R25,CTGS!R25)</f>
        <v>0</v>
      </c>
      <c r="S25" s="561">
        <f>SUM('Defect (Total)'!S25,Planned!S25,Reconductor!S25,CTGS!S25)</f>
        <v>0</v>
      </c>
      <c r="T25" s="561">
        <f>SUM('Defect (Total)'!T25,Planned!T25,Reconductor!T25,CTGS!T25)</f>
        <v>0</v>
      </c>
      <c r="U25" s="561">
        <f>SUM('Defect (Total)'!U25,Planned!U25,Reconductor!U25,CTGS!U25)</f>
        <v>0</v>
      </c>
      <c r="V25" s="561">
        <f>SUM('Defect (Total)'!V25,Planned!V25,Reconductor!V25,CTGS!V25)</f>
        <v>0</v>
      </c>
      <c r="W25" s="561">
        <f>SUM('Defect (Total)'!W25,Planned!W25,Reconductor!W25,CTGS!W25)</f>
        <v>0</v>
      </c>
      <c r="X25" s="675">
        <f>SUM('Defect (Total)'!X25,Planned!X25,Reconductor!X25,CTGS!X25)</f>
        <v>0</v>
      </c>
      <c r="Y25" s="675">
        <f>SUM('Defect (Total)'!Y25,Planned!Y25,Reconductor!Y25,CTGS!Y25)</f>
        <v>0</v>
      </c>
      <c r="Z25" s="86">
        <f>SUM('Defect (Total)'!Z25,Planned!Z25,Reconductor!Z25,CTGS!Z25)</f>
        <v>0</v>
      </c>
      <c r="AA25" s="87">
        <f>SUM('Defect (Total)'!AA25,Planned!AA25,Reconductor!AA25,CTGS!AA25)</f>
        <v>0</v>
      </c>
      <c r="AB25" s="87">
        <f>SUM('Defect (Total)'!AB25,Planned!AB25,Reconductor!AB25,CTGS!AB25)</f>
        <v>0</v>
      </c>
      <c r="AC25" s="87">
        <f>SUM('Defect (Total)'!AC25,Planned!AC25,Reconductor!AC25,CTGS!AC25)</f>
        <v>0</v>
      </c>
      <c r="AD25" s="87">
        <f>SUM('Defect (Total)'!AD25,Planned!AD25,Reconductor!AD25,CTGS!AD25)</f>
        <v>0</v>
      </c>
      <c r="AE25" s="87">
        <f>SUM('Defect (Total)'!AE25,Planned!AE25,Reconductor!AE25,CTGS!AE25)</f>
        <v>0</v>
      </c>
      <c r="AF25" s="87">
        <f>SUM('Defect (Total)'!AF25,Planned!AF25,Reconductor!AF25,CTGS!AF25)</f>
        <v>0</v>
      </c>
      <c r="AG25" s="87">
        <f>SUM('Defect (Total)'!AG25,Planned!AG25,Reconductor!AG25,CTGS!AG25)</f>
        <v>0</v>
      </c>
      <c r="AH25" s="87">
        <f>SUM('Defect (Total)'!AH25,Planned!AH25,Reconductor!AH25,CTGS!AH25)</f>
        <v>0</v>
      </c>
      <c r="AI25" s="87">
        <f>SUM('Defect (Total)'!AI25,Planned!AI25,Reconductor!AI25,CTGS!AI25)</f>
        <v>0</v>
      </c>
      <c r="AJ25" s="87">
        <f>SUM('Defect (Total)'!AJ25,Planned!AJ25,Reconductor!AJ25,CTGS!AJ25)</f>
        <v>0</v>
      </c>
      <c r="AK25" s="88">
        <f t="shared" si="14"/>
        <v>0</v>
      </c>
      <c r="AL25" s="89">
        <f t="shared" si="0"/>
        <v>0</v>
      </c>
      <c r="AM25" s="90">
        <f t="shared" si="15"/>
        <v>0</v>
      </c>
      <c r="AN25" s="91" t="str">
        <f t="shared" si="1"/>
        <v/>
      </c>
      <c r="AO25" s="92" t="str">
        <f t="shared" si="2"/>
        <v/>
      </c>
      <c r="AP25" s="92" t="str">
        <f t="shared" si="3"/>
        <v/>
      </c>
      <c r="AQ25" s="92" t="str">
        <f t="shared" si="4"/>
        <v/>
      </c>
      <c r="AR25" s="92" t="str">
        <f t="shared" si="5"/>
        <v/>
      </c>
      <c r="AS25" s="92" t="str">
        <f t="shared" si="6"/>
        <v/>
      </c>
      <c r="AT25" s="92" t="str">
        <f t="shared" si="7"/>
        <v/>
      </c>
      <c r="AU25" s="92" t="str">
        <f t="shared" si="8"/>
        <v/>
      </c>
      <c r="AV25" s="92" t="str">
        <f t="shared" si="9"/>
        <v/>
      </c>
      <c r="AW25" s="92" t="str">
        <f t="shared" si="20"/>
        <v/>
      </c>
      <c r="AX25" s="92" t="str">
        <f t="shared" si="20"/>
        <v/>
      </c>
      <c r="AY25" s="93" t="str">
        <f t="shared" si="11"/>
        <v/>
      </c>
      <c r="AZ25" s="94" t="str">
        <f t="shared" si="12"/>
        <v/>
      </c>
      <c r="BA25" s="95" t="str">
        <f t="shared" si="13"/>
        <v/>
      </c>
      <c r="BB25" s="689">
        <f>SUM('Defect (Total)'!BB25,Planned!CE25,Reconductor!CE25,CTGS!CE25,'Substation 2025$'!CE25*$BL$1,Comms!CA25*$BL$2)</f>
        <v>0</v>
      </c>
      <c r="BC25" s="689">
        <f>SUM('Defect (Total)'!BC25,Planned!CF25,Reconductor!CF25,CTGS!CF25,'Substation 2025$'!CF25*$BL$1,Comms!CB25*$BL$2)</f>
        <v>0</v>
      </c>
      <c r="BD25" s="96">
        <f>SUM('Defect (Total)'!BD25,Planned!CG25,Reconductor!CG25,CTGS!CG25,'Substation 2025$'!CG25*$BL$1,Comms!CC25*$BL$2)</f>
        <v>0</v>
      </c>
      <c r="BE25" s="96">
        <f>SUM('Defect (Total)'!BE25,Planned!CH25,Reconductor!CH25,CTGS!CH25,'Substation 2025$'!CH25*$BL$1,Comms!CD25*$BL$2)</f>
        <v>0</v>
      </c>
      <c r="BF25" s="96">
        <f>SUM('Defect (Total)'!BF25,Planned!CI25,Reconductor!CI25,CTGS!CI25,'Substation 2025$'!CI25*$BL$1,Comms!CE25*$BL$2)</f>
        <v>0</v>
      </c>
      <c r="BG25" s="96">
        <f>SUM('Defect (Total)'!BG25,Planned!CJ25,Reconductor!CJ25,CTGS!CJ25,'Substation 2025$'!CJ25*$BL$1,Comms!CF25*$BL$2)</f>
        <v>0</v>
      </c>
      <c r="BH25" s="96">
        <f>SUM('Defect (Total)'!BH25,Planned!CK25,Reconductor!CK25,CTGS!CK25,'Substation 2025$'!CK25*$BL$1,Comms!CG25*$BL$2)</f>
        <v>0</v>
      </c>
      <c r="BI25" s="286">
        <f>SUM('Defect (Total)'!BI25,Planned!CL25,Reconductor!CL25,CTGS!CL25,'Substation 2025$'!CL25*$BL$1,Comms!CH25*$BL$2)</f>
        <v>0</v>
      </c>
      <c r="BJ25" s="99" t="str">
        <f t="shared" si="16"/>
        <v/>
      </c>
      <c r="BK25" s="992">
        <f>SUM('Defect (Total)'!BK25,Planned!CQ25,Reconductor!CQ25,CTGS!CQ25,'Substation 2025$'!CQ25*$BL$1,Comms!CM25*$BL$2)</f>
        <v>0</v>
      </c>
      <c r="BL25" s="992">
        <f>SUM('Defect (Total)'!BL25,Planned!CR25,Reconductor!CR25,CTGS!CR25,'Substation 2025$'!CR25*$BL$1,Comms!CN25*$BL$2)</f>
        <v>0</v>
      </c>
      <c r="BM25" s="524">
        <f>SUM('Defect (Total)'!BM25,Planned!CS25,Reconductor!CS25,CTGS!CS25,'Substation 2025$'!CS25*$BL$1,Comms!CO25*$BL$2)</f>
        <v>0</v>
      </c>
      <c r="BN25" s="416">
        <f>SUM('Defect (Total)'!BN25,Planned!CT25,Reconductor!CT25,CTGS!CT25,'Substation 2025$'!CT25*$BL$1,Comms!CP25*$BL$2)</f>
        <v>0</v>
      </c>
      <c r="BO25" s="97">
        <f>SUM('Defect (Total)'!BO25,Planned!CU25,Reconductor!CU25,CTGS!CU25,'Substation 2025$'!CU25*$BL$1,Comms!CQ25*$BL$2)</f>
        <v>0</v>
      </c>
      <c r="BP25" s="97">
        <f>SUM('Defect (Total)'!BP25,Planned!CV25,Reconductor!CV25,CTGS!CV25,'Substation 2025$'!CV25*$BL$1,Comms!CR25*$BL$2)</f>
        <v>0</v>
      </c>
      <c r="BQ25" s="97">
        <f>SUM('Defect (Total)'!BQ25,Planned!CW25,Reconductor!CW25,CTGS!CW25,'Substation 2025$'!CW25*$BL$1,Comms!CS25*$BL$2)</f>
        <v>0</v>
      </c>
      <c r="BR25" s="98">
        <f>SUM('Defect (Total)'!BR25,Planned!CX25,Reconductor!CX25,CTGS!CX25,'Substation 2025$'!CX25*$BL$1,Comms!CT25*$BL$2)</f>
        <v>0</v>
      </c>
      <c r="BT25" s="1120"/>
      <c r="BU25" s="1120"/>
    </row>
    <row r="26" spans="1:74" ht="15.75" thickBot="1" x14ac:dyDescent="0.3">
      <c r="A26" s="100" t="s">
        <v>27</v>
      </c>
      <c r="B26" s="101" t="s">
        <v>303</v>
      </c>
      <c r="C26" s="102" t="s">
        <v>304</v>
      </c>
      <c r="D26" s="103">
        <f>SUM('Defect (Total)'!D26,Planned!D26,Reconductor!D26,CTGS!D26)</f>
        <v>0</v>
      </c>
      <c r="E26" s="104">
        <f>SUM('Defect (Total)'!E26,Planned!E26,Reconductor!E26,CTGS!E26)</f>
        <v>0</v>
      </c>
      <c r="F26" s="104">
        <f>SUM('Defect (Total)'!F26,Planned!F26,Reconductor!F26,CTGS!F26)</f>
        <v>0</v>
      </c>
      <c r="G26" s="104">
        <f>SUM('Defect (Total)'!G26,Planned!G26,Reconductor!G26,CTGS!G26)</f>
        <v>0</v>
      </c>
      <c r="H26" s="104">
        <f>SUM('Defect (Total)'!H26,Planned!H26,Reconductor!H26,CTGS!H26)</f>
        <v>0</v>
      </c>
      <c r="I26" s="104">
        <f>SUM('Defect (Total)'!I26,Planned!I26,Reconductor!I26,CTGS!I26)</f>
        <v>0</v>
      </c>
      <c r="J26" s="104">
        <f>SUM('Defect (Total)'!J26,Planned!J26,Reconductor!J26,CTGS!J26)</f>
        <v>0</v>
      </c>
      <c r="K26" s="104">
        <f>SUM('Defect (Total)'!K26,Planned!K26,Reconductor!K26,CTGS!K26)</f>
        <v>0</v>
      </c>
      <c r="L26" s="104">
        <f>SUM('Defect (Total)'!L26,Planned!L26,Reconductor!L26,CTGS!L26)</f>
        <v>0</v>
      </c>
      <c r="M26" s="104">
        <f>SUM('Defect (Total)'!M26,Planned!M26,Reconductor!M26,CTGS!M26)</f>
        <v>0</v>
      </c>
      <c r="N26" s="104">
        <f>SUM('Defect (Total)'!N26,Planned!N26,Reconductor!N26,CTGS!N26)</f>
        <v>0</v>
      </c>
      <c r="O26" s="563">
        <f>SUM('Defect (Total)'!O26,Planned!O26,Reconductor!O26,CTGS!O26)</f>
        <v>0</v>
      </c>
      <c r="P26" s="564">
        <f>SUM('Defect (Total)'!P26,Planned!P26,Reconductor!P26,CTGS!P26)</f>
        <v>0</v>
      </c>
      <c r="Q26" s="564">
        <f>SUM('Defect (Total)'!Q26,Planned!Q26,Reconductor!Q26,CTGS!Q26)</f>
        <v>0</v>
      </c>
      <c r="R26" s="564">
        <f>SUM('Defect (Total)'!R26,Planned!R26,Reconductor!R26,CTGS!R26)</f>
        <v>0</v>
      </c>
      <c r="S26" s="564">
        <f>SUM('Defect (Total)'!S26,Planned!S26,Reconductor!S26,CTGS!S26)</f>
        <v>0</v>
      </c>
      <c r="T26" s="564">
        <f>SUM('Defect (Total)'!T26,Planned!T26,Reconductor!T26,CTGS!T26)</f>
        <v>0</v>
      </c>
      <c r="U26" s="564">
        <f>SUM('Defect (Total)'!U26,Planned!U26,Reconductor!U26,CTGS!U26)</f>
        <v>0</v>
      </c>
      <c r="V26" s="564">
        <f>SUM('Defect (Total)'!V26,Planned!V26,Reconductor!V26,CTGS!V26)</f>
        <v>0</v>
      </c>
      <c r="W26" s="564">
        <f>SUM('Defect (Total)'!W26,Planned!W26,Reconductor!W26,CTGS!W26)</f>
        <v>0</v>
      </c>
      <c r="X26" s="676">
        <f>SUM('Defect (Total)'!X26,Planned!X26,Reconductor!X26,CTGS!X26)</f>
        <v>0</v>
      </c>
      <c r="Y26" s="676">
        <f>SUM('Defect (Total)'!Y26,Planned!Y26,Reconductor!Y26,CTGS!Y26)</f>
        <v>0</v>
      </c>
      <c r="Z26" s="105">
        <f>SUM('Defect (Total)'!Z26,Planned!Z26,Reconductor!Z26,CTGS!Z26)</f>
        <v>0</v>
      </c>
      <c r="AA26" s="106">
        <f>SUM('Defect (Total)'!AA26,Planned!AA26,Reconductor!AA26,CTGS!AA26)</f>
        <v>0</v>
      </c>
      <c r="AB26" s="106">
        <f>SUM('Defect (Total)'!AB26,Planned!AB26,Reconductor!AB26,CTGS!AB26)</f>
        <v>0</v>
      </c>
      <c r="AC26" s="106">
        <f>SUM('Defect (Total)'!AC26,Planned!AC26,Reconductor!AC26,CTGS!AC26)</f>
        <v>0</v>
      </c>
      <c r="AD26" s="106">
        <f>SUM('Defect (Total)'!AD26,Planned!AD26,Reconductor!AD26,CTGS!AD26)</f>
        <v>0</v>
      </c>
      <c r="AE26" s="106">
        <f>SUM('Defect (Total)'!AE26,Planned!AE26,Reconductor!AE26,CTGS!AE26)</f>
        <v>0</v>
      </c>
      <c r="AF26" s="106">
        <f>SUM('Defect (Total)'!AF26,Planned!AF26,Reconductor!AF26,CTGS!AF26)</f>
        <v>0</v>
      </c>
      <c r="AG26" s="106">
        <f>SUM('Defect (Total)'!AG26,Planned!AG26,Reconductor!AG26,CTGS!AG26)</f>
        <v>0</v>
      </c>
      <c r="AH26" s="106">
        <f>SUM('Defect (Total)'!AH26,Planned!AH26,Reconductor!AH26,CTGS!AH26)</f>
        <v>0</v>
      </c>
      <c r="AI26" s="106">
        <f>SUM('Defect (Total)'!AI26,Planned!AI26,Reconductor!AI26,CTGS!AI26)</f>
        <v>0</v>
      </c>
      <c r="AJ26" s="106">
        <f>SUM('Defect (Total)'!AJ26,Planned!AJ26,Reconductor!AJ26,CTGS!AJ26)</f>
        <v>0</v>
      </c>
      <c r="AK26" s="107">
        <f t="shared" si="14"/>
        <v>0</v>
      </c>
      <c r="AL26" s="108">
        <f t="shared" si="0"/>
        <v>0</v>
      </c>
      <c r="AM26" s="109">
        <f t="shared" si="15"/>
        <v>0</v>
      </c>
      <c r="AN26" s="110" t="str">
        <f t="shared" si="1"/>
        <v/>
      </c>
      <c r="AO26" s="111" t="str">
        <f t="shared" si="2"/>
        <v/>
      </c>
      <c r="AP26" s="111" t="str">
        <f t="shared" si="3"/>
        <v/>
      </c>
      <c r="AQ26" s="111" t="str">
        <f t="shared" si="4"/>
        <v/>
      </c>
      <c r="AR26" s="111" t="str">
        <f t="shared" si="5"/>
        <v/>
      </c>
      <c r="AS26" s="111" t="str">
        <f t="shared" si="6"/>
        <v/>
      </c>
      <c r="AT26" s="111" t="str">
        <f t="shared" si="7"/>
        <v/>
      </c>
      <c r="AU26" s="111" t="str">
        <f t="shared" si="8"/>
        <v/>
      </c>
      <c r="AV26" s="111" t="str">
        <f t="shared" si="9"/>
        <v/>
      </c>
      <c r="AW26" s="111" t="str">
        <f t="shared" si="20"/>
        <v/>
      </c>
      <c r="AX26" s="111" t="str">
        <f t="shared" si="20"/>
        <v/>
      </c>
      <c r="AY26" s="112" t="str">
        <f t="shared" si="11"/>
        <v/>
      </c>
      <c r="AZ26" s="113" t="str">
        <f t="shared" si="12"/>
        <v/>
      </c>
      <c r="BA26" s="114" t="str">
        <f t="shared" si="13"/>
        <v/>
      </c>
      <c r="BB26" s="690">
        <f>SUM('Defect (Total)'!BB26,Planned!CE26,Reconductor!CE26,CTGS!CE26,'Substation 2025$'!CE26*$BL$1,Comms!CA26*$BL$2)</f>
        <v>0</v>
      </c>
      <c r="BC26" s="690">
        <f>SUM('Defect (Total)'!BC26,Planned!CF26,Reconductor!CF26,CTGS!CF26,'Substation 2025$'!CF26*$BL$1,Comms!CB26*$BL$2)</f>
        <v>0</v>
      </c>
      <c r="BD26" s="115">
        <f>SUM('Defect (Total)'!BD26,Planned!CG26,Reconductor!CG26,CTGS!CG26,'Substation 2025$'!CG26*$BL$1,Comms!CC26*$BL$2)</f>
        <v>0</v>
      </c>
      <c r="BE26" s="115">
        <f>SUM('Defect (Total)'!BE26,Planned!CH26,Reconductor!CH26,CTGS!CH26,'Substation 2025$'!CH26*$BL$1,Comms!CD26*$BL$2)</f>
        <v>0</v>
      </c>
      <c r="BF26" s="115">
        <f>SUM('Defect (Total)'!BF26,Planned!CI26,Reconductor!CI26,CTGS!CI26,'Substation 2025$'!CI26*$BL$1,Comms!CE26*$BL$2)</f>
        <v>0</v>
      </c>
      <c r="BG26" s="115">
        <f>SUM('Defect (Total)'!BG26,Planned!CJ26,Reconductor!CJ26,CTGS!CJ26,'Substation 2025$'!CJ26*$BL$1,Comms!CF26*$BL$2)</f>
        <v>0</v>
      </c>
      <c r="BH26" s="115">
        <f>SUM('Defect (Total)'!BH26,Planned!CK26,Reconductor!CK26,CTGS!CK26,'Substation 2025$'!CK26*$BL$1,Comms!CG26*$BL$2)</f>
        <v>0</v>
      </c>
      <c r="BI26" s="287">
        <f>SUM('Defect (Total)'!BI26,Planned!CL26,Reconductor!CL26,CTGS!CL26,'Substation 2025$'!CL26*$BL$1,Comms!CH26*$BL$2)</f>
        <v>0</v>
      </c>
      <c r="BJ26" s="116" t="str">
        <f t="shared" si="16"/>
        <v/>
      </c>
      <c r="BK26" s="1013">
        <f>SUM('Defect (Total)'!BK26,Planned!CQ26,Reconductor!CQ26,CTGS!CQ26,'Substation 2025$'!CQ26*$BL$1,Comms!CM26*$BL$2)</f>
        <v>0</v>
      </c>
      <c r="BL26" s="1013">
        <f>SUM('Defect (Total)'!BL26,Planned!CR26,Reconductor!CR26,CTGS!CR26,'Substation 2025$'!CR26*$BL$1,Comms!CN26*$BL$2)</f>
        <v>0</v>
      </c>
      <c r="BM26" s="638">
        <f>SUM('Defect (Total)'!BM26,Planned!CS26,Reconductor!CS26,CTGS!CS26,'Substation 2025$'!CS26*$BL$1,Comms!CO26*$BL$2)</f>
        <v>0</v>
      </c>
      <c r="BN26" s="467">
        <f>SUM('Defect (Total)'!BN26,Planned!CT26,Reconductor!CT26,CTGS!CT26,'Substation 2025$'!CT26*$BL$1,Comms!CP26*$BL$2)</f>
        <v>0</v>
      </c>
      <c r="BO26" s="117">
        <f>SUM('Defect (Total)'!BO26,Planned!CU26,Reconductor!CU26,CTGS!CU26,'Substation 2025$'!CU26*$BL$1,Comms!CQ26*$BL$2)</f>
        <v>0</v>
      </c>
      <c r="BP26" s="117">
        <f>SUM('Defect (Total)'!BP26,Planned!CV26,Reconductor!CV26,CTGS!CV26,'Substation 2025$'!CV26*$BL$1,Comms!CR26*$BL$2)</f>
        <v>0</v>
      </c>
      <c r="BQ26" s="117">
        <f>SUM('Defect (Total)'!BQ26,Planned!CW26,Reconductor!CW26,CTGS!CW26,'Substation 2025$'!CW26*$BL$1,Comms!CS26*$BL$2)</f>
        <v>0</v>
      </c>
      <c r="BR26" s="118">
        <f>SUM('Defect (Total)'!BR26,Planned!CX26,Reconductor!CX26,CTGS!CX26,'Substation 2025$'!CX26*$BL$1,Comms!CT26*$BL$2)</f>
        <v>0</v>
      </c>
      <c r="BT26" s="1120"/>
      <c r="BU26" s="1120"/>
    </row>
    <row r="27" spans="1:74" x14ac:dyDescent="0.25">
      <c r="A27" s="63" t="s">
        <v>68</v>
      </c>
      <c r="B27" s="64" t="s">
        <v>65</v>
      </c>
      <c r="C27" s="65" t="s">
        <v>305</v>
      </c>
      <c r="D27" s="66">
        <f>SUM('Defect (Total)'!D27,Planned!D27,Reconductor!D27,CTGS!D27)</f>
        <v>3146559</v>
      </c>
      <c r="E27" s="67">
        <f>SUM('Defect (Total)'!E27,Planned!E27,Reconductor!E27,CTGS!E27)</f>
        <v>4386057</v>
      </c>
      <c r="F27" s="67">
        <f>SUM('Defect (Total)'!F27,Planned!F27,Reconductor!F27,CTGS!F27)</f>
        <v>5033193</v>
      </c>
      <c r="G27" s="67">
        <f>SUM('Defect (Total)'!G27,Planned!G27,Reconductor!G27,CTGS!G27)</f>
        <v>4498783.8656652225</v>
      </c>
      <c r="H27" s="67">
        <f>SUM('Defect (Total)'!H27,Planned!H27,Reconductor!H27,CTGS!H27)</f>
        <v>6646575</v>
      </c>
      <c r="I27" s="67">
        <f>SUM('Defect (Total)'!I27,Planned!I27,Reconductor!I27,CTGS!I27)</f>
        <v>13722228.490170907</v>
      </c>
      <c r="J27" s="67">
        <f>SUM('Defect (Total)'!J27,Planned!J27,Reconductor!J27,CTGS!J27)</f>
        <v>20171306.432252809</v>
      </c>
      <c r="K27" s="67">
        <f>SUM('Defect (Total)'!K27,Planned!K27,Reconductor!K27,CTGS!K27)</f>
        <v>17559588.629588861</v>
      </c>
      <c r="L27" s="67">
        <f>SUM('Defect (Total)'!L27,Planned!L27,Reconductor!L27,CTGS!L27)</f>
        <v>18130027.107079104</v>
      </c>
      <c r="M27" s="67">
        <f>SUM('Defect (Total)'!M27,Planned!M27,Reconductor!M27,CTGS!M27)</f>
        <v>14924172.302468948</v>
      </c>
      <c r="N27" s="67">
        <f>SUM('Defect (Total)'!N27,Planned!N27,Reconductor!N27,CTGS!N27)</f>
        <v>16340952.953079855</v>
      </c>
      <c r="O27" s="557">
        <f>SUM('Defect (Total)'!O27,Planned!O27,Reconductor!O27,CTGS!O27)</f>
        <v>4233557.6903063273</v>
      </c>
      <c r="P27" s="558">
        <f>SUM('Defect (Total)'!P27,Planned!P27,Reconductor!P27,CTGS!P27)</f>
        <v>5813415.5770848431</v>
      </c>
      <c r="Q27" s="558">
        <f>SUM('Defect (Total)'!Q27,Planned!Q27,Reconductor!Q27,CTGS!Q27)</f>
        <v>6603578.1454575043</v>
      </c>
      <c r="R27" s="558">
        <f>SUM('Defect (Total)'!R27,Planned!R27,Reconductor!R27,CTGS!R27)</f>
        <v>5790460.0672730757</v>
      </c>
      <c r="S27" s="558">
        <f>SUM('Defect (Total)'!S27,Planned!S27,Reconductor!S27,CTGS!S27)</f>
        <v>8380791.361580044</v>
      </c>
      <c r="T27" s="558">
        <f>SUM('Defect (Total)'!T27,Planned!T27,Reconductor!T27,CTGS!T27)</f>
        <v>17031320.486762278</v>
      </c>
      <c r="U27" s="558">
        <f>SUM('Defect (Total)'!U27,Planned!U27,Reconductor!U27,CTGS!U27)</f>
        <v>25123119.577427007</v>
      </c>
      <c r="V27" s="558">
        <f>SUM('Defect (Total)'!V27,Planned!V27,Reconductor!V27,CTGS!V27)</f>
        <v>21060246.964583199</v>
      </c>
      <c r="W27" s="558">
        <f>SUM('Defect (Total)'!W27,Planned!W27,Reconductor!W27,CTGS!W27)</f>
        <v>20485611.380954701</v>
      </c>
      <c r="X27" s="674">
        <f>SUM('Defect (Total)'!X27,Planned!X27,Reconductor!X27,CTGS!X27)</f>
        <v>15871274.09794162</v>
      </c>
      <c r="Y27" s="674">
        <f>SUM('Defect (Total)'!Y27,Planned!Y27,Reconductor!Y27,CTGS!Y27)</f>
        <v>16474532.253546346</v>
      </c>
      <c r="Z27" s="68">
        <f>SUM('Defect (Total)'!Z27,Planned!Z27,Reconductor!Z27,CTGS!Z27)</f>
        <v>2944</v>
      </c>
      <c r="AA27" s="69">
        <f>SUM('Defect (Total)'!AA27,Planned!AA27,Reconductor!AA27,CTGS!AA27)</f>
        <v>4221</v>
      </c>
      <c r="AB27" s="69">
        <f>SUM('Defect (Total)'!AB27,Planned!AB27,Reconductor!AB27,CTGS!AB27)</f>
        <v>4068</v>
      </c>
      <c r="AC27" s="69">
        <f>SUM('Defect (Total)'!AC27,Planned!AC27,Reconductor!AC27,CTGS!AC27)</f>
        <v>4111</v>
      </c>
      <c r="AD27" s="69">
        <f>SUM('Defect (Total)'!AD27,Planned!AD27,Reconductor!AD27,CTGS!AD27)</f>
        <v>5368</v>
      </c>
      <c r="AE27" s="69">
        <f>SUM('Defect (Total)'!AE27,Planned!AE27,Reconductor!AE27,CTGS!AE27)</f>
        <v>7582</v>
      </c>
      <c r="AF27" s="69">
        <f>SUM('Defect (Total)'!AF27,Planned!AF27,Reconductor!AF27,CTGS!AF27)</f>
        <v>8996</v>
      </c>
      <c r="AG27" s="69">
        <f>SUM('Defect (Total)'!AG27,Planned!AG27,Reconductor!AG27,CTGS!AG27)</f>
        <v>7864</v>
      </c>
      <c r="AH27" s="69">
        <f>SUM('Defect (Total)'!AH27,Planned!AH27,Reconductor!AH27,CTGS!AH27)</f>
        <v>7544</v>
      </c>
      <c r="AI27" s="69">
        <f>SUM('Defect (Total)'!AI27,Planned!AI27,Reconductor!AI27,CTGS!AI27)</f>
        <v>6079</v>
      </c>
      <c r="AJ27" s="69">
        <f>SUM('Defect (Total)'!AJ27,Planned!AJ27,Reconductor!AJ27,CTGS!AJ27)</f>
        <v>4477</v>
      </c>
      <c r="AK27" s="70">
        <f t="shared" si="14"/>
        <v>7470.8</v>
      </c>
      <c r="AL27" s="71">
        <f t="shared" si="0"/>
        <v>8134.666666666667</v>
      </c>
      <c r="AM27" s="72">
        <f t="shared" si="15"/>
        <v>7544</v>
      </c>
      <c r="AN27" s="73">
        <f t="shared" si="1"/>
        <v>1068.804008152174</v>
      </c>
      <c r="AO27" s="74">
        <f t="shared" si="2"/>
        <v>1039.1037668798863</v>
      </c>
      <c r="AP27" s="74">
        <f t="shared" si="3"/>
        <v>1237.264749262537</v>
      </c>
      <c r="AQ27" s="74">
        <f t="shared" si="4"/>
        <v>1094.3283545767995</v>
      </c>
      <c r="AR27" s="74">
        <f t="shared" si="5"/>
        <v>1238.1846125186289</v>
      </c>
      <c r="AS27" s="74">
        <f t="shared" si="6"/>
        <v>1809.842850194</v>
      </c>
      <c r="AT27" s="74">
        <f t="shared" si="7"/>
        <v>2242.2528270623397</v>
      </c>
      <c r="AU27" s="74">
        <f t="shared" si="8"/>
        <v>2232.9080149528054</v>
      </c>
      <c r="AV27" s="74">
        <f t="shared" si="9"/>
        <v>2403.2379516276646</v>
      </c>
      <c r="AW27" s="74">
        <f t="shared" si="20"/>
        <v>2455.0373914244033</v>
      </c>
      <c r="AX27" s="74">
        <f t="shared" si="20"/>
        <v>3649.9783232253417</v>
      </c>
      <c r="AY27" s="75">
        <f t="shared" si="11"/>
        <v>2220.0794157772398</v>
      </c>
      <c r="AZ27" s="76">
        <f t="shared" si="12"/>
        <v>2355.5539646826878</v>
      </c>
      <c r="BA27" s="77">
        <f t="shared" si="13"/>
        <v>2455.0373914244033</v>
      </c>
      <c r="BB27" s="688">
        <f>SUM('Defect (Total)'!BB27,Planned!CE27,Reconductor!CE27,CTGS!CE27,'Substation 2025$'!CE27*$BL$1,Comms!CA27*$BL$2)</f>
        <v>6628.2666666666664</v>
      </c>
      <c r="BC27" s="688">
        <f>SUM('Defect (Total)'!BC27,Planned!CF27,Reconductor!CF27,CTGS!CF27,'Substation 2025$'!CF27*$BL$1,Comms!CB27*$BL$2)</f>
        <v>6235.6550351357037</v>
      </c>
      <c r="BD27" s="78">
        <f>SUM('Defect (Total)'!BD27,Planned!CG27,Reconductor!CG27,CTGS!CG27,'Substation 2025$'!CG27*$BL$1,Comms!CC27*$BL$2)</f>
        <v>6235.6550351357037</v>
      </c>
      <c r="BE27" s="78">
        <f>SUM('Defect (Total)'!BE27,Planned!CH27,Reconductor!CH27,CTGS!CH27,'Substation 2025$'!CH27*$BL$1,Comms!CD27*$BL$2)</f>
        <v>9495.4960353210172</v>
      </c>
      <c r="BF27" s="78">
        <f>SUM('Defect (Total)'!BF27,Planned!CI27,Reconductor!CI27,CTGS!CI27,'Substation 2025$'!CI27*$BL$1,Comms!CE27*$BL$2)</f>
        <v>9604.7019181582855</v>
      </c>
      <c r="BG27" s="78">
        <f>SUM('Defect (Total)'!BG27,Planned!CJ27,Reconductor!CJ27,CTGS!CJ27,'Substation 2025$'!CJ27*$BL$1,Comms!CF27*$BL$2)</f>
        <v>9677.5058400497983</v>
      </c>
      <c r="BH27" s="78">
        <f>SUM('Defect (Total)'!BH27,Planned!CK27,Reconductor!CK27,CTGS!CK27,'Substation 2025$'!CK27*$BL$1,Comms!CG27*$BL$2)</f>
        <v>9750.3097619413111</v>
      </c>
      <c r="BI27" s="285">
        <f>SUM('Defect (Total)'!BI27,Planned!CL27,Reconductor!CL27,CTGS!CL27,'Substation 2025$'!CL27*$BL$1,Comms!CH27*$BL$2)</f>
        <v>9786.7117228870666</v>
      </c>
      <c r="BJ27" s="124">
        <f t="shared" si="16"/>
        <v>2326.34506980985</v>
      </c>
      <c r="BK27" s="974">
        <f>SUM('Defect (Total)'!BK27,Planned!CQ27,Reconductor!CQ27,CTGS!CQ27,'Substation 2025$'!CQ27*$BL$1,Comms!CM27*$BL$2)</f>
        <v>15127376.717979826</v>
      </c>
      <c r="BL27" s="974">
        <f>SUM('Defect (Total)'!BL27,Planned!CR27,Reconductor!CR27,CTGS!CR27,'Substation 2025$'!CR27*$BL$1,Comms!CN27*$BL$2)</f>
        <v>14349113.353181802</v>
      </c>
      <c r="BM27" s="523">
        <f>SUM('Defect (Total)'!BM27,Planned!CS27,Reconductor!CS27,CTGS!CS27,'Substation 2025$'!CS27*$BL$1,Comms!CO27*$BL$2)</f>
        <v>14349113.353181802</v>
      </c>
      <c r="BN27" s="415">
        <f>SUM('Defect (Total)'!BN27,Planned!CT27,Reconductor!CT27,CTGS!CT27,'Substation 2025$'!CT27*$BL$1,Comms!CP27*$BL$2)</f>
        <v>22147414.948840979</v>
      </c>
      <c r="BO27" s="79">
        <f>SUM('Defect (Total)'!BO27,Planned!CU27,Reconductor!CU27,CTGS!CU27,'Substation 2025$'!CU27*$BL$1,Comms!CQ27*$BL$2)</f>
        <v>22363890.801839158</v>
      </c>
      <c r="BP27" s="79">
        <f>SUM('Defect (Total)'!BP27,Planned!CV27,Reconductor!CV27,CTGS!CV27,'Substation 2025$'!CV27*$BL$1,Comms!CR27*$BL$2)</f>
        <v>22508208.037171274</v>
      </c>
      <c r="BQ27" s="79">
        <f>SUM('Defect (Total)'!BQ27,Planned!CW27,Reconductor!CW27,CTGS!CW27,'Substation 2025$'!CW27*$BL$1,Comms!CS27*$BL$2)</f>
        <v>22652525.272503391</v>
      </c>
      <c r="BR27" s="80">
        <f>SUM('Defect (Total)'!BR27,Planned!CX27,Reconductor!CX27,CTGS!CX27,'Substation 2025$'!CX27*$BL$1,Comms!CT27*$BL$2)</f>
        <v>22724683.890169453</v>
      </c>
    </row>
    <row r="28" spans="1:74" x14ac:dyDescent="0.25">
      <c r="A28" s="81" t="s">
        <v>68</v>
      </c>
      <c r="B28" s="82" t="s">
        <v>69</v>
      </c>
      <c r="C28" s="83" t="s">
        <v>70</v>
      </c>
      <c r="D28" s="84">
        <f>SUM('Defect (Total)'!D28,Planned!D28,Reconductor!D28,CTGS!D28)</f>
        <v>3799338</v>
      </c>
      <c r="E28" s="85">
        <f>SUM('Defect (Total)'!E28,Planned!E28,Reconductor!E28,CTGS!E28)</f>
        <v>5680549</v>
      </c>
      <c r="F28" s="85">
        <f>SUM('Defect (Total)'!F28,Planned!F28,Reconductor!F28,CTGS!F28)</f>
        <v>6868124</v>
      </c>
      <c r="G28" s="85">
        <f>SUM('Defect (Total)'!G28,Planned!G28,Reconductor!G28,CTGS!G28)</f>
        <v>6214574.5373849673</v>
      </c>
      <c r="H28" s="85">
        <f>SUM('Defect (Total)'!H28,Planned!H28,Reconductor!H28,CTGS!H28)</f>
        <v>10051566.593127301</v>
      </c>
      <c r="I28" s="85">
        <f>SUM('Defect (Total)'!I28,Planned!I28,Reconductor!I28,CTGS!I28)</f>
        <v>12866164.303453926</v>
      </c>
      <c r="J28" s="85">
        <f>SUM('Defect (Total)'!J28,Planned!J28,Reconductor!J28,CTGS!J28)</f>
        <v>22361416.082202949</v>
      </c>
      <c r="K28" s="85">
        <f>SUM('Defect (Total)'!K28,Planned!K28,Reconductor!K28,CTGS!K28)</f>
        <v>24001075.945424039</v>
      </c>
      <c r="L28" s="85">
        <f>SUM('Defect (Total)'!L28,Planned!L28,Reconductor!L28,CTGS!L28)</f>
        <v>21300028.898128554</v>
      </c>
      <c r="M28" s="85">
        <f>SUM('Defect (Total)'!M28,Planned!M28,Reconductor!M28,CTGS!M28)</f>
        <v>25760754.949028958</v>
      </c>
      <c r="N28" s="85">
        <f>SUM('Defect (Total)'!N28,Planned!N28,Reconductor!N28,CTGS!N28)</f>
        <v>22856159.810986951</v>
      </c>
      <c r="O28" s="560">
        <f>SUM('Defect (Total)'!O28,Planned!O28,Reconductor!O28,CTGS!O28)</f>
        <v>5111843.320901677</v>
      </c>
      <c r="P28" s="561">
        <f>SUM('Defect (Total)'!P28,Planned!P28,Reconductor!P28,CTGS!P28)</f>
        <v>7529175.3032379011</v>
      </c>
      <c r="Q28" s="561">
        <f>SUM('Defect (Total)'!Q28,Planned!Q28,Reconductor!Q28,CTGS!Q28)</f>
        <v>9011018.164153887</v>
      </c>
      <c r="R28" s="561">
        <f>SUM('Defect (Total)'!R28,Planned!R28,Reconductor!R28,CTGS!R28)</f>
        <v>7998882.9800114576</v>
      </c>
      <c r="S28" s="561">
        <f>SUM('Defect (Total)'!S28,Planned!S28,Reconductor!S28,CTGS!S28)</f>
        <v>12674209.269289495</v>
      </c>
      <c r="T28" s="561">
        <f>SUM('Defect (Total)'!T28,Planned!T28,Reconductor!T28,CTGS!T28)</f>
        <v>15968817.881470444</v>
      </c>
      <c r="U28" s="561">
        <f>SUM('Defect (Total)'!U28,Planned!U28,Reconductor!U28,CTGS!U28)</f>
        <v>27850874.807767287</v>
      </c>
      <c r="V28" s="561">
        <f>SUM('Defect (Total)'!V28,Planned!V28,Reconductor!V28,CTGS!V28)</f>
        <v>28785901.394899733</v>
      </c>
      <c r="W28" s="561">
        <f>SUM('Defect (Total)'!W28,Planned!W28,Reconductor!W28,CTGS!W28)</f>
        <v>24067482.736404188</v>
      </c>
      <c r="X28" s="675">
        <f>SUM('Defect (Total)'!X28,Planned!X28,Reconductor!X28,CTGS!X28)</f>
        <v>27395556.314925861</v>
      </c>
      <c r="Y28" s="675">
        <f>SUM('Defect (Total)'!Y28,Planned!Y28,Reconductor!Y28,CTGS!Y28)</f>
        <v>23034729.099741191</v>
      </c>
      <c r="Z28" s="86">
        <f>SUM('Defect (Total)'!Z28,Planned!Z28,Reconductor!Z28,CTGS!Z28)</f>
        <v>3594</v>
      </c>
      <c r="AA28" s="87">
        <f>SUM('Defect (Total)'!AA28,Planned!AA28,Reconductor!AA28,CTGS!AA28)</f>
        <v>4709</v>
      </c>
      <c r="AB28" s="87">
        <f>SUM('Defect (Total)'!AB28,Planned!AB28,Reconductor!AB28,CTGS!AB28)</f>
        <v>4662</v>
      </c>
      <c r="AC28" s="87">
        <f>SUM('Defect (Total)'!AC28,Planned!AC28,Reconductor!AC28,CTGS!AC28)</f>
        <v>3699</v>
      </c>
      <c r="AD28" s="87">
        <f>SUM('Defect (Total)'!AD28,Planned!AD28,Reconductor!AD28,CTGS!AD28)</f>
        <v>6452</v>
      </c>
      <c r="AE28" s="87">
        <f>SUM('Defect (Total)'!AE28,Planned!AE28,Reconductor!AE28,CTGS!AE28)</f>
        <v>5993</v>
      </c>
      <c r="AF28" s="87">
        <f>SUM('Defect (Total)'!AF28,Planned!AF28,Reconductor!AF28,CTGS!AF28)</f>
        <v>9410</v>
      </c>
      <c r="AG28" s="87">
        <f>SUM('Defect (Total)'!AG28,Planned!AG28,Reconductor!AG28,CTGS!AG28)</f>
        <v>9991</v>
      </c>
      <c r="AH28" s="87">
        <f>SUM('Defect (Total)'!AH28,Planned!AH28,Reconductor!AH28,CTGS!AH28)</f>
        <v>9418</v>
      </c>
      <c r="AI28" s="87">
        <f>SUM('Defect (Total)'!AI28,Planned!AI28,Reconductor!AI28,CTGS!AI28)</f>
        <v>8544</v>
      </c>
      <c r="AJ28" s="87">
        <f>SUM('Defect (Total)'!AJ28,Planned!AJ28,Reconductor!AJ28,CTGS!AJ28)</f>
        <v>7832</v>
      </c>
      <c r="AK28" s="88">
        <f t="shared" si="14"/>
        <v>8252.7999999999993</v>
      </c>
      <c r="AL28" s="89">
        <f t="shared" si="0"/>
        <v>9606.3333333333339</v>
      </c>
      <c r="AM28" s="90">
        <f t="shared" si="15"/>
        <v>9418</v>
      </c>
      <c r="AN28" s="91">
        <f t="shared" si="1"/>
        <v>1057.1335559265442</v>
      </c>
      <c r="AO28" s="92">
        <f t="shared" si="2"/>
        <v>1206.3174771713739</v>
      </c>
      <c r="AP28" s="92">
        <f t="shared" si="3"/>
        <v>1473.2140712140713</v>
      </c>
      <c r="AQ28" s="92">
        <f t="shared" si="4"/>
        <v>1680.0688124857982</v>
      </c>
      <c r="AR28" s="92">
        <f t="shared" si="5"/>
        <v>1557.8993479738533</v>
      </c>
      <c r="AS28" s="92">
        <f t="shared" si="6"/>
        <v>2146.8653935347784</v>
      </c>
      <c r="AT28" s="92">
        <f t="shared" si="7"/>
        <v>2376.3460236134906</v>
      </c>
      <c r="AU28" s="92">
        <f t="shared" si="8"/>
        <v>2402.269637215898</v>
      </c>
      <c r="AV28" s="92">
        <f t="shared" si="9"/>
        <v>2261.6297407229299</v>
      </c>
      <c r="AW28" s="92">
        <f t="shared" si="20"/>
        <v>3015.0696335473967</v>
      </c>
      <c r="AX28" s="92">
        <f t="shared" si="20"/>
        <v>2918.3043681035433</v>
      </c>
      <c r="AY28" s="93">
        <f t="shared" si="11"/>
        <v>2451.5508851886343</v>
      </c>
      <c r="AZ28" s="94">
        <f t="shared" si="12"/>
        <v>2542.1908128852556</v>
      </c>
      <c r="BA28" s="95">
        <f t="shared" si="13"/>
        <v>3015.0696335473967</v>
      </c>
      <c r="BB28" s="689">
        <f>SUM('Defect (Total)'!BB28,Planned!CE28,Reconductor!CE28,CTGS!CE28,'Substation 2025$'!CE28*$BL$1,Comms!CA28*$BL$2)</f>
        <v>8638.3333333333339</v>
      </c>
      <c r="BC28" s="689">
        <f>SUM('Defect (Total)'!BC28,Planned!CF28,Reconductor!CF28,CTGS!CF28,'Substation 2025$'!CF28*$BL$1,Comms!CB28*$BL$2)</f>
        <v>8209.1931360623148</v>
      </c>
      <c r="BD28" s="96">
        <f>SUM('Defect (Total)'!BD28,Planned!CG28,Reconductor!CG28,CTGS!CG28,'Substation 2025$'!CG28*$BL$1,Comms!CC28*$BL$2)</f>
        <v>8209.1931360623148</v>
      </c>
      <c r="BE28" s="96">
        <f>SUM('Defect (Total)'!BE28,Planned!CH28,Reconductor!CH28,CTGS!CH28,'Substation 2025$'!CH28*$BL$1,Comms!CD28*$BL$2)</f>
        <v>10550.152210096836</v>
      </c>
      <c r="BF28" s="96">
        <f>SUM('Defect (Total)'!BF28,Planned!CI28,Reconductor!CI28,CTGS!CI28,'Substation 2025$'!CI28*$BL$1,Comms!CE28*$BL$2)</f>
        <v>10638.594399167741</v>
      </c>
      <c r="BG28" s="96">
        <f>SUM('Defect (Total)'!BG28,Planned!CJ28,Reconductor!CJ28,CTGS!CJ28,'Substation 2025$'!CJ28*$BL$1,Comms!CF28*$BL$2)</f>
        <v>10697.555858548345</v>
      </c>
      <c r="BH28" s="96">
        <f>SUM('Defect (Total)'!BH28,Planned!CK28,Reconductor!CK28,CTGS!CK28,'Substation 2025$'!CK28*$BL$1,Comms!CG28*$BL$2)</f>
        <v>10756.517317928949</v>
      </c>
      <c r="BI28" s="286">
        <f>SUM('Defect (Total)'!BI28,Planned!CL28,Reconductor!CL28,CTGS!CL28,'Substation 2025$'!CL28*$BL$1,Comms!CH28*$BL$2)</f>
        <v>10785.99804761925</v>
      </c>
      <c r="BJ28" s="99">
        <f t="shared" si="16"/>
        <v>2698.1302279115503</v>
      </c>
      <c r="BK28" s="992">
        <f>SUM('Defect (Total)'!BK28,Planned!CQ28,Reconductor!CQ28,CTGS!CQ28,'Substation 2025$'!CQ28*$BL$1,Comms!CM28*$BL$2)</f>
        <v>23248505.310419507</v>
      </c>
      <c r="BL28" s="992">
        <f>SUM('Defect (Total)'!BL28,Planned!CR28,Reconductor!CR28,CTGS!CR28,'Substation 2025$'!CR28*$BL$1,Comms!CN28*$BL$2)</f>
        <v>22341654.657497548</v>
      </c>
      <c r="BM28" s="524">
        <f>SUM('Defect (Total)'!BM28,Planned!CS28,Reconductor!CS28,CTGS!CS28,'Substation 2025$'!CS28*$BL$1,Comms!CO28*$BL$2)</f>
        <v>22341654.657497548</v>
      </c>
      <c r="BN28" s="416">
        <f>SUM('Defect (Total)'!BN28,Planned!CT28,Reconductor!CT28,CTGS!CT28,'Substation 2025$'!CT28*$BL$1,Comms!CP28*$BL$2)</f>
        <v>28545010.427075595</v>
      </c>
      <c r="BO28" s="97">
        <f>SUM('Defect (Total)'!BO28,Planned!CU28,Reconductor!CU28,CTGS!CU28,'Substation 2025$'!CU28*$BL$1,Comms!CQ28*$BL$2)</f>
        <v>28731904.727387775</v>
      </c>
      <c r="BP28" s="97">
        <f>SUM('Defect (Total)'!BP28,Planned!CV28,Reconductor!CV28,CTGS!CV28,'Substation 2025$'!CV28*$BL$1,Comms!CR28*$BL$2)</f>
        <v>28856500.927595891</v>
      </c>
      <c r="BQ28" s="97">
        <f>SUM('Defect (Total)'!BQ28,Planned!CW28,Reconductor!CW28,CTGS!CW28,'Substation 2025$'!CW28*$BL$1,Comms!CS28*$BL$2)</f>
        <v>28981097.127804011</v>
      </c>
      <c r="BR28" s="98">
        <f>SUM('Defect (Total)'!BR28,Planned!CX28,Reconductor!CX28,CTGS!CX28,'Substation 2025$'!CX28*$BL$1,Comms!CT28*$BL$2)</f>
        <v>29043395.227908071</v>
      </c>
    </row>
    <row r="29" spans="1:74" x14ac:dyDescent="0.25">
      <c r="A29" s="81" t="s">
        <v>68</v>
      </c>
      <c r="B29" s="82" t="s">
        <v>71</v>
      </c>
      <c r="C29" s="83" t="s">
        <v>306</v>
      </c>
      <c r="D29" s="84">
        <f>SUM('Defect (Total)'!D29,Planned!D29,Reconductor!D29,CTGS!D29)</f>
        <v>3848968</v>
      </c>
      <c r="E29" s="85">
        <f>SUM('Defect (Total)'!E29,Planned!E29,Reconductor!E29,CTGS!E29)</f>
        <v>5244190.9999999991</v>
      </c>
      <c r="F29" s="85">
        <f>SUM('Defect (Total)'!F29,Planned!F29,Reconductor!F29,CTGS!F29)</f>
        <v>6932018</v>
      </c>
      <c r="G29" s="85">
        <f>SUM('Defect (Total)'!G29,Planned!G29,Reconductor!G29,CTGS!G29)</f>
        <v>5942215.9102094267</v>
      </c>
      <c r="H29" s="85">
        <f>SUM('Defect (Total)'!H29,Planned!H29,Reconductor!H29,CTGS!H29)</f>
        <v>9484483.4224589095</v>
      </c>
      <c r="I29" s="85">
        <f>SUM('Defect (Total)'!I29,Planned!I29,Reconductor!I29,CTGS!I29)</f>
        <v>3377437.5732450285</v>
      </c>
      <c r="J29" s="85">
        <f>SUM('Defect (Total)'!J29,Planned!J29,Reconductor!J29,CTGS!J29)</f>
        <v>15022406.400347563</v>
      </c>
      <c r="K29" s="85">
        <f>SUM('Defect (Total)'!K29,Planned!K29,Reconductor!K29,CTGS!K29)</f>
        <v>11609952.112739109</v>
      </c>
      <c r="L29" s="85">
        <f>SUM('Defect (Total)'!L29,Planned!L29,Reconductor!L29,CTGS!L29)</f>
        <v>12906682.474731416</v>
      </c>
      <c r="M29" s="85">
        <f>SUM('Defect (Total)'!M29,Planned!M29,Reconductor!M29,CTGS!M29)</f>
        <v>16915634.558253527</v>
      </c>
      <c r="N29" s="85">
        <f>SUM('Defect (Total)'!N29,Planned!N29,Reconductor!N29,CTGS!N29)</f>
        <v>22645875.844948944</v>
      </c>
      <c r="O29" s="560">
        <f>SUM('Defect (Total)'!O29,Planned!O29,Reconductor!O29,CTGS!O29)</f>
        <v>5178618.3180238996</v>
      </c>
      <c r="P29" s="561">
        <f>SUM('Defect (Total)'!P29,Planned!P29,Reconductor!P29,CTGS!P29)</f>
        <v>6950812.9166146582</v>
      </c>
      <c r="Q29" s="561">
        <f>SUM('Defect (Total)'!Q29,Planned!Q29,Reconductor!Q29,CTGS!Q29)</f>
        <v>9094847.4593996368</v>
      </c>
      <c r="R29" s="561">
        <f>SUM('Defect (Total)'!R29,Planned!R29,Reconductor!R29,CTGS!R29)</f>
        <v>7648325.6290185386</v>
      </c>
      <c r="S29" s="561">
        <f>SUM('Defect (Total)'!S29,Planned!S29,Reconductor!S29,CTGS!S29)</f>
        <v>11959163.439213846</v>
      </c>
      <c r="T29" s="561">
        <f>SUM('Defect (Total)'!T29,Planned!T29,Reconductor!T29,CTGS!T29)</f>
        <v>4191900.8836772614</v>
      </c>
      <c r="U29" s="561">
        <f>SUM('Defect (Total)'!U29,Planned!U29,Reconductor!U29,CTGS!U29)</f>
        <v>18710226.509334035</v>
      </c>
      <c r="V29" s="561">
        <f>SUM('Defect (Total)'!V29,Planned!V29,Reconductor!V29,CTGS!V29)</f>
        <v>13924498.113199536</v>
      </c>
      <c r="W29" s="561">
        <f>SUM('Defect (Total)'!W29,Planned!W29,Reconductor!W29,CTGS!W29)</f>
        <v>14583612.02843914</v>
      </c>
      <c r="X29" s="675">
        <f>SUM('Defect (Total)'!X29,Planned!X29,Reconductor!X29,CTGS!X29)</f>
        <v>17989116.392755743</v>
      </c>
      <c r="Y29" s="675">
        <f>SUM('Defect (Total)'!Y29,Planned!Y29,Reconductor!Y29,CTGS!Y29)</f>
        <v>22829384.111567147</v>
      </c>
      <c r="Z29" s="86">
        <f>SUM('Defect (Total)'!Z29,Planned!Z29,Reconductor!Z29,CTGS!Z29)</f>
        <v>1998</v>
      </c>
      <c r="AA29" s="87">
        <f>SUM('Defect (Total)'!AA29,Planned!AA29,Reconductor!AA29,CTGS!AA29)</f>
        <v>2787</v>
      </c>
      <c r="AB29" s="87">
        <f>SUM('Defect (Total)'!AB29,Planned!AB29,Reconductor!AB29,CTGS!AB29)</f>
        <v>3047</v>
      </c>
      <c r="AC29" s="87">
        <f>SUM('Defect (Total)'!AC29,Planned!AC29,Reconductor!AC29,CTGS!AC29)</f>
        <v>2719</v>
      </c>
      <c r="AD29" s="87">
        <f>SUM('Defect (Total)'!AD29,Planned!AD29,Reconductor!AD29,CTGS!AD29)</f>
        <v>4291</v>
      </c>
      <c r="AE29" s="87">
        <f>SUM('Defect (Total)'!AE29,Planned!AE29,Reconductor!AE29,CTGS!AE29)</f>
        <v>2023</v>
      </c>
      <c r="AF29" s="87">
        <f>SUM('Defect (Total)'!AF29,Planned!AF29,Reconductor!AF29,CTGS!AF29)</f>
        <v>6140</v>
      </c>
      <c r="AG29" s="87">
        <f>SUM('Defect (Total)'!AG29,Planned!AG29,Reconductor!AG29,CTGS!AG29)</f>
        <v>4659</v>
      </c>
      <c r="AH29" s="87">
        <f>SUM('Defect (Total)'!AH29,Planned!AH29,Reconductor!AH29,CTGS!AH29)</f>
        <v>5351</v>
      </c>
      <c r="AI29" s="87">
        <f>SUM('Defect (Total)'!AI29,Planned!AI29,Reconductor!AI29,CTGS!AI29)</f>
        <v>5259</v>
      </c>
      <c r="AJ29" s="87">
        <f>SUM('Defect (Total)'!AJ29,Planned!AJ29,Reconductor!AJ29,CTGS!AJ29)</f>
        <v>6715</v>
      </c>
      <c r="AK29" s="88">
        <f t="shared" si="14"/>
        <v>4492.8</v>
      </c>
      <c r="AL29" s="89">
        <f t="shared" si="0"/>
        <v>5383.333333333333</v>
      </c>
      <c r="AM29" s="90">
        <f t="shared" si="15"/>
        <v>5351</v>
      </c>
      <c r="AN29" s="91">
        <f t="shared" si="1"/>
        <v>1926.4104104104103</v>
      </c>
      <c r="AO29" s="92">
        <f t="shared" si="2"/>
        <v>1881.6616433440972</v>
      </c>
      <c r="AP29" s="92">
        <f t="shared" si="3"/>
        <v>2275.0305218247458</v>
      </c>
      <c r="AQ29" s="92">
        <f t="shared" si="4"/>
        <v>2185.4416734863653</v>
      </c>
      <c r="AR29" s="92">
        <f t="shared" si="5"/>
        <v>2210.3200704868118</v>
      </c>
      <c r="AS29" s="92">
        <f t="shared" si="6"/>
        <v>1669.5193145056987</v>
      </c>
      <c r="AT29" s="92">
        <f t="shared" si="7"/>
        <v>2446.6459935419484</v>
      </c>
      <c r="AU29" s="92">
        <f t="shared" si="8"/>
        <v>2491.9407840178383</v>
      </c>
      <c r="AV29" s="92">
        <f t="shared" si="9"/>
        <v>2412.0131703852394</v>
      </c>
      <c r="AW29" s="92">
        <f t="shared" si="20"/>
        <v>3216.5116102402599</v>
      </c>
      <c r="AX29" s="92">
        <f t="shared" si="20"/>
        <v>3372.4312501785471</v>
      </c>
      <c r="AY29" s="93">
        <f t="shared" si="11"/>
        <v>2553.4360327465279</v>
      </c>
      <c r="AZ29" s="94">
        <f t="shared" si="12"/>
        <v>2713.4893670655611</v>
      </c>
      <c r="BA29" s="95">
        <f t="shared" si="13"/>
        <v>3216.5116102402599</v>
      </c>
      <c r="BB29" s="689">
        <f>SUM('Defect (Total)'!BB29,Planned!CE29,Reconductor!CE29,CTGS!CE29,'Substation 2025$'!CE29*$BL$1,Comms!CA29*$BL$2)</f>
        <v>5144.4666666666672</v>
      </c>
      <c r="BC29" s="689">
        <f>SUM('Defect (Total)'!BC29,Planned!CF29,Reconductor!CF29,CTGS!CF29,'Substation 2025$'!CF29*$BL$1,Comms!CB29*$BL$2)</f>
        <v>5047.0400862188553</v>
      </c>
      <c r="BD29" s="96">
        <f>SUM('Defect (Total)'!BD29,Planned!CG29,Reconductor!CG29,CTGS!CG29,'Substation 2025$'!CG29*$BL$1,Comms!CC29*$BL$2)</f>
        <v>5047.0400862188553</v>
      </c>
      <c r="BE29" s="96">
        <f>SUM('Defect (Total)'!BE29,Planned!CH29,Reconductor!CH29,CTGS!CH29,'Substation 2025$'!CH29*$BL$1,Comms!CD29*$BL$2)</f>
        <v>5941.5745180929098</v>
      </c>
      <c r="BF29" s="96">
        <f>SUM('Defect (Total)'!BF29,Planned!CI29,Reconductor!CI29,CTGS!CI29,'Substation 2025$'!CI29*$BL$1,Comms!CE29*$BL$2)</f>
        <v>5959.4230064027433</v>
      </c>
      <c r="BG29" s="96">
        <f>SUM('Defect (Total)'!BG29,Planned!CJ29,Reconductor!CJ29,CTGS!CJ29,'Substation 2025$'!CJ29*$BL$1,Comms!CF29*$BL$2)</f>
        <v>5971.321998609299</v>
      </c>
      <c r="BH29" s="96">
        <f>SUM('Defect (Total)'!BH29,Planned!CK29,Reconductor!CK29,CTGS!CK29,'Substation 2025$'!CK29*$BL$1,Comms!CG29*$BL$2)</f>
        <v>5983.2209908158547</v>
      </c>
      <c r="BI29" s="286">
        <f>SUM('Defect (Total)'!BI29,Planned!CL29,Reconductor!CL29,CTGS!CL29,'Substation 2025$'!CL29*$BL$1,Comms!CH29*$BL$2)</f>
        <v>5989.1704869191326</v>
      </c>
      <c r="BJ29" s="99">
        <f t="shared" si="16"/>
        <v>2650.2771064884423</v>
      </c>
      <c r="BK29" s="992">
        <f>SUM('Defect (Total)'!BK29,Planned!CQ29,Reconductor!CQ29,CTGS!CQ29,'Substation 2025$'!CQ29*$BL$1,Comms!CM29*$BL$2)</f>
        <v>13564124.999413114</v>
      </c>
      <c r="BL29" s="992">
        <f>SUM('Defect (Total)'!BL29,Planned!CR29,Reconductor!CR29,CTGS!CR29,'Substation 2025$'!CR29*$BL$1,Comms!CN29*$BL$2)</f>
        <v>13384137.793497391</v>
      </c>
      <c r="BM29" s="524">
        <f>SUM('Defect (Total)'!BM29,Planned!CS29,Reconductor!CS29,CTGS!CS29,'Substation 2025$'!CS29*$BL$1,Comms!CO29*$BL$2)</f>
        <v>13384137.793497391</v>
      </c>
      <c r="BN29" s="416">
        <f>SUM('Defect (Total)'!BN29,Planned!CT29,Reconductor!CT29,CTGS!CT29,'Substation 2025$'!CT29*$BL$1,Comms!CP29*$BL$2)</f>
        <v>15768791.430442745</v>
      </c>
      <c r="BO29" s="97">
        <f>SUM('Defect (Total)'!BO29,Planned!CU29,Reconductor!CU29,CTGS!CU29,'Substation 2025$'!CU29*$BL$1,Comms!CQ29*$BL$2)</f>
        <v>15801764.973452676</v>
      </c>
      <c r="BP29" s="97">
        <f>SUM('Defect (Total)'!BP29,Planned!CV29,Reconductor!CV29,CTGS!CV29,'Substation 2025$'!CV29*$BL$1,Comms!CR29*$BL$2)</f>
        <v>15823747.335459296</v>
      </c>
      <c r="BQ29" s="97">
        <f>SUM('Defect (Total)'!BQ29,Planned!CW29,Reconductor!CW29,CTGS!CW29,'Substation 2025$'!CW29*$BL$1,Comms!CS29*$BL$2)</f>
        <v>15845729.697465917</v>
      </c>
      <c r="BR29" s="98">
        <f>SUM('Defect (Total)'!BR29,Planned!CX29,Reconductor!CX29,CTGS!CX29,'Substation 2025$'!CX29*$BL$1,Comms!CT29*$BL$2)</f>
        <v>15856720.878469227</v>
      </c>
    </row>
    <row r="30" spans="1:74" x14ac:dyDescent="0.25">
      <c r="A30" s="81" t="s">
        <v>68</v>
      </c>
      <c r="B30" s="82" t="s">
        <v>73</v>
      </c>
      <c r="C30" s="83" t="s">
        <v>307</v>
      </c>
      <c r="D30" s="84">
        <f>SUM('Defect (Total)'!D30,Planned!D30,Reconductor!D30,CTGS!D30)</f>
        <v>1391384</v>
      </c>
      <c r="E30" s="85">
        <f>SUM('Defect (Total)'!E30,Planned!E30,Reconductor!E30,CTGS!E30)</f>
        <v>2375295.9999999995</v>
      </c>
      <c r="F30" s="85">
        <f>SUM('Defect (Total)'!F30,Planned!F30,Reconductor!F30,CTGS!F30)</f>
        <v>3261221</v>
      </c>
      <c r="G30" s="85">
        <f>SUM('Defect (Total)'!G30,Planned!G30,Reconductor!G30,CTGS!G30)</f>
        <v>1109684</v>
      </c>
      <c r="H30" s="85">
        <f>SUM('Defect (Total)'!H30,Planned!H30,Reconductor!H30,CTGS!H30)</f>
        <v>2475247</v>
      </c>
      <c r="I30" s="85">
        <f>SUM('Defect (Total)'!I30,Planned!I30,Reconductor!I30,CTGS!I30)</f>
        <v>133480.1248454054</v>
      </c>
      <c r="J30" s="85">
        <f>SUM('Defect (Total)'!J30,Planned!J30,Reconductor!J30,CTGS!J30)</f>
        <v>3535556.8352875714</v>
      </c>
      <c r="K30" s="85">
        <f>SUM('Defect (Total)'!K30,Planned!K30,Reconductor!K30,CTGS!K30)</f>
        <v>6067191.2235127445</v>
      </c>
      <c r="L30" s="85">
        <f>SUM('Defect (Total)'!L30,Planned!L30,Reconductor!L30,CTGS!L30)</f>
        <v>5276295.240270461</v>
      </c>
      <c r="M30" s="85">
        <f>SUM('Defect (Total)'!M30,Planned!M30,Reconductor!M30,CTGS!M30)</f>
        <v>6595458.5023778966</v>
      </c>
      <c r="N30" s="85">
        <f>SUM('Defect (Total)'!N30,Planned!N30,Reconductor!N30,CTGS!N30)</f>
        <v>8827868.3872600347</v>
      </c>
      <c r="O30" s="560">
        <f>SUM('Defect (Total)'!O30,Planned!O30,Reconductor!O30,CTGS!O30)</f>
        <v>1872046.3952429236</v>
      </c>
      <c r="P30" s="561">
        <f>SUM('Defect (Total)'!P30,Planned!P30,Reconductor!P30,CTGS!P30)</f>
        <v>3148290.769268916</v>
      </c>
      <c r="Q30" s="561">
        <f>SUM('Defect (Total)'!Q30,Planned!Q30,Reconductor!Q30,CTGS!Q30)</f>
        <v>4278740.6966327485</v>
      </c>
      <c r="R30" s="561">
        <f>SUM('Defect (Total)'!R30,Planned!R30,Reconductor!R30,CTGS!R30)</f>
        <v>1428292.8633962555</v>
      </c>
      <c r="S30" s="561">
        <f>SUM('Defect (Total)'!S30,Planned!S30,Reconductor!S30,CTGS!S30)</f>
        <v>3121085.4726497368</v>
      </c>
      <c r="T30" s="561">
        <f>SUM('Defect (Total)'!T30,Planned!T30,Reconductor!T30,CTGS!T30)</f>
        <v>165668.62929614616</v>
      </c>
      <c r="U30" s="561">
        <f>SUM('Defect (Total)'!U30,Planned!U30,Reconductor!U30,CTGS!U30)</f>
        <v>4403493.5190758901</v>
      </c>
      <c r="V30" s="561">
        <f>SUM('Defect (Total)'!V30,Planned!V30,Reconductor!V30,CTGS!V30)</f>
        <v>7276739.1220782734</v>
      </c>
      <c r="W30" s="561">
        <f>SUM('Defect (Total)'!W30,Planned!W30,Reconductor!W30,CTGS!W30)</f>
        <v>5961829.6864629211</v>
      </c>
      <c r="X30" s="675">
        <f>SUM('Defect (Total)'!X30,Planned!X30,Reconductor!X30,CTGS!X30)</f>
        <v>7014012.4069407806</v>
      </c>
      <c r="Y30" s="675">
        <f>SUM('Defect (Total)'!Y30,Planned!Y30,Reconductor!Y30,CTGS!Y30)</f>
        <v>8867810.8155014496</v>
      </c>
      <c r="Z30" s="86">
        <f>SUM('Defect (Total)'!Z30,Planned!Z30,Reconductor!Z30,CTGS!Z30)</f>
        <v>1409</v>
      </c>
      <c r="AA30" s="87">
        <f>SUM('Defect (Total)'!AA30,Planned!AA30,Reconductor!AA30,CTGS!AA30)</f>
        <v>1517</v>
      </c>
      <c r="AB30" s="87">
        <f>SUM('Defect (Total)'!AB30,Planned!AB30,Reconductor!AB30,CTGS!AB30)</f>
        <v>1301</v>
      </c>
      <c r="AC30" s="87">
        <f>SUM('Defect (Total)'!AC30,Planned!AC30,Reconductor!AC30,CTGS!AC30)</f>
        <v>969</v>
      </c>
      <c r="AD30" s="87">
        <f>SUM('Defect (Total)'!AD30,Planned!AD30,Reconductor!AD30,CTGS!AD30)</f>
        <v>1406</v>
      </c>
      <c r="AE30" s="87">
        <f>SUM('Defect (Total)'!AE30,Planned!AE30,Reconductor!AE30,CTGS!AE30)</f>
        <v>13</v>
      </c>
      <c r="AF30" s="87">
        <f>SUM('Defect (Total)'!AF30,Planned!AF30,Reconductor!AF30,CTGS!AF30)</f>
        <v>1296</v>
      </c>
      <c r="AG30" s="87">
        <f>SUM('Defect (Total)'!AG30,Planned!AG30,Reconductor!AG30,CTGS!AG30)</f>
        <v>1561</v>
      </c>
      <c r="AH30" s="87">
        <f>SUM('Defect (Total)'!AH30,Planned!AH30,Reconductor!AH30,CTGS!AH30)</f>
        <v>1705</v>
      </c>
      <c r="AI30" s="87">
        <f>SUM('Defect (Total)'!AI30,Planned!AI30,Reconductor!AI30,CTGS!AI30)</f>
        <v>1333</v>
      </c>
      <c r="AJ30" s="87">
        <f>SUM('Defect (Total)'!AJ30,Planned!AJ30,Reconductor!AJ30,CTGS!AJ30)</f>
        <v>1282</v>
      </c>
      <c r="AK30" s="88">
        <f t="shared" si="14"/>
        <v>1196.2</v>
      </c>
      <c r="AL30" s="89">
        <f t="shared" si="0"/>
        <v>1520.6666666666667</v>
      </c>
      <c r="AM30" s="90">
        <f t="shared" si="15"/>
        <v>1705</v>
      </c>
      <c r="AN30" s="91">
        <f t="shared" si="1"/>
        <v>987.49751596877218</v>
      </c>
      <c r="AO30" s="92">
        <f t="shared" si="2"/>
        <v>1565.7851021753459</v>
      </c>
      <c r="AP30" s="92">
        <f t="shared" si="3"/>
        <v>2506.7033051498847</v>
      </c>
      <c r="AQ30" s="92">
        <f t="shared" si="4"/>
        <v>1145.1847265221879</v>
      </c>
      <c r="AR30" s="92">
        <f t="shared" si="5"/>
        <v>1760.4886201991465</v>
      </c>
      <c r="AS30" s="92">
        <f t="shared" si="6"/>
        <v>10267.701911185031</v>
      </c>
      <c r="AT30" s="92">
        <f t="shared" si="7"/>
        <v>2728.0531136478176</v>
      </c>
      <c r="AU30" s="92">
        <f t="shared" si="8"/>
        <v>3886.7336473496121</v>
      </c>
      <c r="AV30" s="92">
        <f t="shared" si="9"/>
        <v>3094.6013139416195</v>
      </c>
      <c r="AW30" s="92">
        <f t="shared" si="20"/>
        <v>4947.8308344920451</v>
      </c>
      <c r="AX30" s="92">
        <f t="shared" si="20"/>
        <v>6886.0127825741301</v>
      </c>
      <c r="AY30" s="93">
        <f t="shared" si="11"/>
        <v>3657.4106171790927</v>
      </c>
      <c r="AZ30" s="94">
        <f t="shared" si="12"/>
        <v>3900.6186053840188</v>
      </c>
      <c r="BA30" s="95">
        <f t="shared" si="13"/>
        <v>4947.8308344920451</v>
      </c>
      <c r="BB30" s="689">
        <f>SUM('Defect (Total)'!BB30,Planned!CE30,Reconductor!CE30,CTGS!CE30,'Substation 2025$'!CE30*$BL$1,Comms!CA30*$BL$2)</f>
        <v>1411.8</v>
      </c>
      <c r="BC30" s="689">
        <f>SUM('Defect (Total)'!BC30,Planned!CF30,Reconductor!CF30,CTGS!CF30,'Substation 2025$'!CF30*$BL$1,Comms!CB30*$BL$2)</f>
        <v>1399.7495846121988</v>
      </c>
      <c r="BD30" s="96">
        <f>SUM('Defect (Total)'!BD30,Planned!CG30,Reconductor!CG30,CTGS!CG30,'Substation 2025$'!CG30*$BL$1,Comms!CC30*$BL$2)</f>
        <v>1399.7495846121988</v>
      </c>
      <c r="BE30" s="96">
        <f>SUM('Defect (Total)'!BE30,Planned!CH30,Reconductor!CH30,CTGS!CH30,'Substation 2025$'!CH30*$BL$1,Comms!CD30*$BL$2)</f>
        <v>4175.7842611203041</v>
      </c>
      <c r="BF30" s="96">
        <f>SUM('Defect (Total)'!BF30,Planned!CI30,Reconductor!CI30,CTGS!CI30,'Substation 2025$'!CI30*$BL$1,Comms!CE30*$BL$2)</f>
        <v>4178.7423372453122</v>
      </c>
      <c r="BG30" s="96">
        <f>SUM('Defect (Total)'!BG30,Planned!CJ30,Reconductor!CJ30,CTGS!CJ30,'Substation 2025$'!CJ30*$BL$1,Comms!CF30*$BL$2)</f>
        <v>4180.7143879953182</v>
      </c>
      <c r="BH30" s="96">
        <f>SUM('Defect (Total)'!BH30,Planned!CK30,Reconductor!CK30,CTGS!CK30,'Substation 2025$'!CK30*$BL$1,Comms!CG30*$BL$2)</f>
        <v>4182.6864387453243</v>
      </c>
      <c r="BI30" s="286">
        <f>SUM('Defect (Total)'!BI30,Planned!CL30,Reconductor!CL30,CTGS!CL30,'Substation 2025$'!CL30*$BL$1,Comms!CH30*$BL$2)</f>
        <v>4183.6724641203264</v>
      </c>
      <c r="BJ30" s="99">
        <f t="shared" si="16"/>
        <v>4425.2437753572249</v>
      </c>
      <c r="BK30" s="992">
        <f>SUM('Defect (Total)'!BK30,Planned!CQ30,Reconductor!CQ30,CTGS!CQ30,'Substation 2025$'!CQ30*$BL$1,Comms!CM30*$BL$2)</f>
        <v>6301161.8535919376</v>
      </c>
      <c r="BL30" s="992">
        <f>SUM('Defect (Total)'!BL30,Planned!CR30,Reconductor!CR30,CTGS!CR30,'Substation 2025$'!CR30*$BL$1,Comms!CN30*$BL$2)</f>
        <v>6230138.75476183</v>
      </c>
      <c r="BM30" s="524">
        <f>SUM('Defect (Total)'!BM30,Planned!CS30,Reconductor!CS30,CTGS!CS30,'Substation 2025$'!CS30*$BL$1,Comms!CO30*$BL$2)</f>
        <v>6230138.75476183</v>
      </c>
      <c r="BN30" s="416">
        <f>SUM('Defect (Total)'!BN30,Planned!CT30,Reconductor!CT30,CTGS!CT30,'Substation 2025$'!CT30*$BL$1,Comms!CP30*$BL$2)</f>
        <v>18472202.217992924</v>
      </c>
      <c r="BO30" s="97">
        <f>SUM('Defect (Total)'!BO30,Planned!CU30,Reconductor!CU30,CTGS!CU30,'Substation 2025$'!CU30*$BL$1,Comms!CQ30*$BL$2)</f>
        <v>18489636.615581088</v>
      </c>
      <c r="BP30" s="97">
        <f>SUM('Defect (Total)'!BP30,Planned!CV30,Reconductor!CV30,CTGS!CV30,'Substation 2025$'!CV30*$BL$1,Comms!CR30*$BL$2)</f>
        <v>18501259.54730653</v>
      </c>
      <c r="BQ30" s="97">
        <f>SUM('Defect (Total)'!BQ30,Planned!CW30,Reconductor!CW30,CTGS!CW30,'Substation 2025$'!CW30*$BL$1,Comms!CS30*$BL$2)</f>
        <v>18512882.479031973</v>
      </c>
      <c r="BR30" s="98">
        <f>SUM('Defect (Total)'!BR30,Planned!CX30,Reconductor!CX30,CTGS!CX30,'Substation 2025$'!CX30*$BL$1,Comms!CT30*$BL$2)</f>
        <v>18518693.944894694</v>
      </c>
    </row>
    <row r="31" spans="1:74" x14ac:dyDescent="0.25">
      <c r="A31" s="81" t="s">
        <v>68</v>
      </c>
      <c r="B31" s="82" t="s">
        <v>75</v>
      </c>
      <c r="C31" s="83" t="s">
        <v>76</v>
      </c>
      <c r="D31" s="84">
        <f>SUM('Defect (Total)'!D31,Planned!D31,Reconductor!D31,CTGS!D31)</f>
        <v>-670</v>
      </c>
      <c r="E31" s="85">
        <f>SUM('Defect (Total)'!E31,Planned!E31,Reconductor!E31,CTGS!E31)</f>
        <v>4539143</v>
      </c>
      <c r="F31" s="85">
        <f>SUM('Defect (Total)'!F31,Planned!F31,Reconductor!F31,CTGS!F31)</f>
        <v>188496</v>
      </c>
      <c r="G31" s="85">
        <f>SUM('Defect (Total)'!G31,Planned!G31,Reconductor!G31,CTGS!G31)</f>
        <v>40244</v>
      </c>
      <c r="H31" s="85">
        <f>SUM('Defect (Total)'!H31,Planned!H31,Reconductor!H31,CTGS!H31)</f>
        <v>8294</v>
      </c>
      <c r="I31" s="85">
        <f>SUM('Defect (Total)'!I31,Planned!I31,Reconductor!I31,CTGS!I31)</f>
        <v>0</v>
      </c>
      <c r="J31" s="85">
        <f>SUM('Defect (Total)'!J31,Planned!J31,Reconductor!J31,CTGS!J31)</f>
        <v>27788.138474576001</v>
      </c>
      <c r="K31" s="85">
        <f>SUM('Defect (Total)'!K31,Planned!K31,Reconductor!K31,CTGS!K31)</f>
        <v>87227.337855171994</v>
      </c>
      <c r="L31" s="85">
        <f>SUM('Defect (Total)'!L31,Planned!L31,Reconductor!L31,CTGS!L31)</f>
        <v>0</v>
      </c>
      <c r="M31" s="85">
        <f>SUM('Defect (Total)'!M31,Planned!M31,Reconductor!M31,CTGS!M31)</f>
        <v>315932.54908647679</v>
      </c>
      <c r="N31" s="85">
        <f>SUM('Defect (Total)'!N31,Planned!N31,Reconductor!N31,CTGS!N31)</f>
        <v>668258.37482574454</v>
      </c>
      <c r="O31" s="560">
        <f>SUM('Defect (Total)'!O31,Planned!O31,Reconductor!O31,CTGS!O31)</f>
        <v>-901.45573386840647</v>
      </c>
      <c r="P31" s="561">
        <f>SUM('Defect (Total)'!P31,Planned!P31,Reconductor!P31,CTGS!P31)</f>
        <v>6016320.4953368418</v>
      </c>
      <c r="Q31" s="561">
        <f>SUM('Defect (Total)'!Q31,Planned!Q31,Reconductor!Q31,CTGS!Q31)</f>
        <v>247307.83542497933</v>
      </c>
      <c r="R31" s="561">
        <f>SUM('Defect (Total)'!R31,Planned!R31,Reconductor!R31,CTGS!R31)</f>
        <v>51798.726479357094</v>
      </c>
      <c r="S31" s="561">
        <f>SUM('Defect (Total)'!S31,Planned!S31,Reconductor!S31,CTGS!S31)</f>
        <v>10458.060512812222</v>
      </c>
      <c r="T31" s="561">
        <f>SUM('Defect (Total)'!T31,Planned!T31,Reconductor!T31,CTGS!T31)</f>
        <v>0</v>
      </c>
      <c r="U31" s="561">
        <f>SUM('Defect (Total)'!U31,Planned!U31,Reconductor!U31,CTGS!U31)</f>
        <v>34609.79228467869</v>
      </c>
      <c r="V31" s="561">
        <f>SUM('Defect (Total)'!V31,Planned!V31,Reconductor!V31,CTGS!V31)</f>
        <v>104616.87434963968</v>
      </c>
      <c r="W31" s="561">
        <f>SUM('Defect (Total)'!W31,Planned!W31,Reconductor!W31,CTGS!W31)</f>
        <v>0</v>
      </c>
      <c r="X31" s="675">
        <f>SUM('Defect (Total)'!X31,Planned!X31,Reconductor!X31,CTGS!X31)</f>
        <v>335981.92123414087</v>
      </c>
      <c r="Y31" s="675">
        <f>SUM('Defect (Total)'!Y31,Planned!Y31,Reconductor!Y31,CTGS!Y31)</f>
        <v>670983.87075147906</v>
      </c>
      <c r="Z31" s="86">
        <f>SUM('Defect (Total)'!Z31,Planned!Z31,Reconductor!Z31,CTGS!Z31)</f>
        <v>-1</v>
      </c>
      <c r="AA31" s="87">
        <f>SUM('Defect (Total)'!AA31,Planned!AA31,Reconductor!AA31,CTGS!AA31)</f>
        <v>829</v>
      </c>
      <c r="AB31" s="87">
        <f>SUM('Defect (Total)'!AB31,Planned!AB31,Reconductor!AB31,CTGS!AB31)</f>
        <v>81</v>
      </c>
      <c r="AC31" s="87">
        <f>SUM('Defect (Total)'!AC31,Planned!AC31,Reconductor!AC31,CTGS!AC31)</f>
        <v>5</v>
      </c>
      <c r="AD31" s="87">
        <f>SUM('Defect (Total)'!AD31,Planned!AD31,Reconductor!AD31,CTGS!AD31)</f>
        <v>1</v>
      </c>
      <c r="AE31" s="87">
        <f>SUM('Defect (Total)'!AE31,Planned!AE31,Reconductor!AE31,CTGS!AE31)</f>
        <v>0</v>
      </c>
      <c r="AF31" s="87">
        <f>SUM('Defect (Total)'!AF31,Planned!AF31,Reconductor!AF31,CTGS!AF31)</f>
        <v>14</v>
      </c>
      <c r="AG31" s="87">
        <f>SUM('Defect (Total)'!AG31,Planned!AG31,Reconductor!AG31,CTGS!AG31)</f>
        <v>9</v>
      </c>
      <c r="AH31" s="87">
        <f>SUM('Defect (Total)'!AH31,Planned!AH31,Reconductor!AH31,CTGS!AH31)</f>
        <v>0</v>
      </c>
      <c r="AI31" s="87">
        <f>SUM('Defect (Total)'!AI31,Planned!AI31,Reconductor!AI31,CTGS!AI31)</f>
        <v>49</v>
      </c>
      <c r="AJ31" s="87">
        <f>SUM('Defect (Total)'!AJ31,Planned!AJ31,Reconductor!AJ31,CTGS!AJ31)</f>
        <v>79</v>
      </c>
      <c r="AK31" s="88">
        <f t="shared" si="14"/>
        <v>4.8</v>
      </c>
      <c r="AL31" s="89">
        <f t="shared" si="0"/>
        <v>7.666666666666667</v>
      </c>
      <c r="AM31" s="90">
        <f t="shared" si="15"/>
        <v>0</v>
      </c>
      <c r="AN31" s="91">
        <f t="shared" si="1"/>
        <v>670</v>
      </c>
      <c r="AO31" s="92">
        <f t="shared" si="2"/>
        <v>5475.443908323281</v>
      </c>
      <c r="AP31" s="92">
        <f t="shared" si="3"/>
        <v>2327.1111111111113</v>
      </c>
      <c r="AQ31" s="92">
        <f t="shared" si="4"/>
        <v>8048.8</v>
      </c>
      <c r="AR31" s="92">
        <f t="shared" si="5"/>
        <v>8294</v>
      </c>
      <c r="AS31" s="92" t="str">
        <f t="shared" si="6"/>
        <v/>
      </c>
      <c r="AT31" s="92">
        <f t="shared" si="7"/>
        <v>1984.8670338982859</v>
      </c>
      <c r="AU31" s="92">
        <f t="shared" si="8"/>
        <v>9691.9264283524444</v>
      </c>
      <c r="AV31" s="92" t="str">
        <f t="shared" si="9"/>
        <v/>
      </c>
      <c r="AW31" s="92">
        <f t="shared" si="20"/>
        <v>6447.6030425811587</v>
      </c>
      <c r="AX31" s="92">
        <f t="shared" si="20"/>
        <v>8458.9667699461334</v>
      </c>
      <c r="AY31" s="93">
        <f t="shared" si="11"/>
        <v>5985.3892418920113</v>
      </c>
      <c r="AZ31" s="94">
        <f t="shared" si="12"/>
        <v>6951.0325334767031</v>
      </c>
      <c r="BA31" s="95">
        <f t="shared" si="13"/>
        <v>6447.6030425811587</v>
      </c>
      <c r="BB31" s="689">
        <f>SUM('Defect (Total)'!BB31,Planned!CE31,Reconductor!CE31,CTGS!CE31,'Substation 2025$'!CE31*$BL$1,Comms!CA31*$BL$2)</f>
        <v>19.533333333333331</v>
      </c>
      <c r="BC31" s="689">
        <f>SUM('Defect (Total)'!BC31,Planned!CF31,Reconductor!CF31,CTGS!CF31,'Substation 2025$'!CF31*$BL$1,Comms!CB31*$BL$2)</f>
        <v>19.533333333333331</v>
      </c>
      <c r="BD31" s="96">
        <f>SUM('Defect (Total)'!BD31,Planned!CG31,Reconductor!CG31,CTGS!CG31,'Substation 2025$'!CG31*$BL$1,Comms!CC31*$BL$2)</f>
        <v>19.533333333333331</v>
      </c>
      <c r="BE31" s="96">
        <f>SUM('Defect (Total)'!BE31,Planned!CH31,Reconductor!CH31,CTGS!CH31,'Substation 2025$'!CH31*$BL$1,Comms!CD31*$BL$2)</f>
        <v>21.278019904533334</v>
      </c>
      <c r="BF31" s="96">
        <f>SUM('Defect (Total)'!BF31,Planned!CI31,Reconductor!CI31,CTGS!CI31,'Substation 2025$'!CI31*$BL$1,Comms!CE31*$BL$2)</f>
        <v>21.278019904533334</v>
      </c>
      <c r="BG31" s="96">
        <f>SUM('Defect (Total)'!BG31,Planned!CJ31,Reconductor!CJ31,CTGS!CJ31,'Substation 2025$'!CJ31*$BL$1,Comms!CF31*$BL$2)</f>
        <v>21.278019904533334</v>
      </c>
      <c r="BH31" s="96">
        <f>SUM('Defect (Total)'!BH31,Planned!CK31,Reconductor!CK31,CTGS!CK31,'Substation 2025$'!CK31*$BL$1,Comms!CG31*$BL$2)</f>
        <v>21.278019904533334</v>
      </c>
      <c r="BI31" s="286">
        <f>SUM('Defect (Total)'!BI31,Planned!CL31,Reconductor!CL31,CTGS!CL31,'Substation 2025$'!CL31*$BL$1,Comms!CH31*$BL$2)</f>
        <v>21.278019904533334</v>
      </c>
      <c r="BJ31" s="99">
        <f t="shared" si="16"/>
        <v>6879.822361756992</v>
      </c>
      <c r="BK31" s="992">
        <f>SUM('Defect (Total)'!BK31,Planned!CQ31,Reconductor!CQ31,CTGS!CQ31,'Substation 2025$'!CQ31*$BL$1,Comms!CM31*$BL$2)</f>
        <v>134386.62898054958</v>
      </c>
      <c r="BL31" s="992">
        <f>SUM('Defect (Total)'!BL31,Planned!CR31,Reconductor!CR31,CTGS!CR31,'Substation 2025$'!CR31*$BL$1,Comms!CN31*$BL$2)</f>
        <v>134386.62898054958</v>
      </c>
      <c r="BM31" s="524">
        <f>SUM('Defect (Total)'!BM31,Planned!CS31,Reconductor!CS31,CTGS!CS31,'Substation 2025$'!CS31*$BL$1,Comms!CO31*$BL$2)</f>
        <v>134386.62898054958</v>
      </c>
      <c r="BN31" s="416">
        <f>SUM('Defect (Total)'!BN31,Planned!CT31,Reconductor!CT31,CTGS!CT31,'Substation 2025$'!CT31*$BL$1,Comms!CP31*$BL$2)</f>
        <v>146388.99715311881</v>
      </c>
      <c r="BO31" s="97">
        <f>SUM('Defect (Total)'!BO31,Planned!CU31,Reconductor!CU31,CTGS!CU31,'Substation 2025$'!CU31*$BL$1,Comms!CQ31*$BL$2)</f>
        <v>146388.99715311881</v>
      </c>
      <c r="BP31" s="97">
        <f>SUM('Defect (Total)'!BP31,Planned!CV31,Reconductor!CV31,CTGS!CV31,'Substation 2025$'!CV31*$BL$1,Comms!CR31*$BL$2)</f>
        <v>146388.99715311881</v>
      </c>
      <c r="BQ31" s="97">
        <f>SUM('Defect (Total)'!BQ31,Planned!CW31,Reconductor!CW31,CTGS!CW31,'Substation 2025$'!CW31*$BL$1,Comms!CS31*$BL$2)</f>
        <v>146388.99715311881</v>
      </c>
      <c r="BR31" s="98">
        <f>SUM('Defect (Total)'!BR31,Planned!CX31,Reconductor!CX31,CTGS!CX31,'Substation 2025$'!CX31*$BL$1,Comms!CT31*$BL$2)</f>
        <v>146388.99715311881</v>
      </c>
    </row>
    <row r="32" spans="1:74" x14ac:dyDescent="0.25">
      <c r="A32" s="81" t="s">
        <v>68</v>
      </c>
      <c r="B32" s="82" t="s">
        <v>77</v>
      </c>
      <c r="C32" s="83" t="s">
        <v>78</v>
      </c>
      <c r="D32" s="84">
        <f>SUM('Defect (Total)'!D32,Planned!D32,Reconductor!D32,CTGS!D32)</f>
        <v>0</v>
      </c>
      <c r="E32" s="85">
        <f>SUM('Defect (Total)'!E32,Planned!E32,Reconductor!E32,CTGS!E32)</f>
        <v>0</v>
      </c>
      <c r="F32" s="85">
        <f>SUM('Defect (Total)'!F32,Planned!F32,Reconductor!F32,CTGS!F32)</f>
        <v>0</v>
      </c>
      <c r="G32" s="85">
        <f>SUM('Defect (Total)'!G32,Planned!G32,Reconductor!G32,CTGS!G32)</f>
        <v>0</v>
      </c>
      <c r="H32" s="85">
        <f>SUM('Defect (Total)'!H32,Planned!H32,Reconductor!H32,CTGS!H32)</f>
        <v>0</v>
      </c>
      <c r="I32" s="85">
        <f>SUM('Defect (Total)'!I32,Planned!I32,Reconductor!I32,CTGS!I32)</f>
        <v>0</v>
      </c>
      <c r="J32" s="85">
        <f>SUM('Defect (Total)'!J32,Planned!J32,Reconductor!J32,CTGS!J32)</f>
        <v>0</v>
      </c>
      <c r="K32" s="85">
        <f>SUM('Defect (Total)'!K32,Planned!K32,Reconductor!K32,CTGS!K32)</f>
        <v>0</v>
      </c>
      <c r="L32" s="85">
        <f>SUM('Defect (Total)'!L32,Planned!L32,Reconductor!L32,CTGS!L32)</f>
        <v>0</v>
      </c>
      <c r="M32" s="85">
        <f>SUM('Defect (Total)'!M32,Planned!M32,Reconductor!M32,CTGS!M32)</f>
        <v>0</v>
      </c>
      <c r="N32" s="85">
        <f>SUM('Defect (Total)'!N32,Planned!N32,Reconductor!N32,CTGS!N32)</f>
        <v>0</v>
      </c>
      <c r="O32" s="560">
        <f>SUM('Defect (Total)'!O32,Planned!O32,Reconductor!O32,CTGS!O32)</f>
        <v>0</v>
      </c>
      <c r="P32" s="561">
        <f>SUM('Defect (Total)'!P32,Planned!P32,Reconductor!P32,CTGS!P32)</f>
        <v>0</v>
      </c>
      <c r="Q32" s="561">
        <f>SUM('Defect (Total)'!Q32,Planned!Q32,Reconductor!Q32,CTGS!Q32)</f>
        <v>0</v>
      </c>
      <c r="R32" s="561">
        <f>SUM('Defect (Total)'!R32,Planned!R32,Reconductor!R32,CTGS!R32)</f>
        <v>0</v>
      </c>
      <c r="S32" s="561">
        <f>SUM('Defect (Total)'!S32,Planned!S32,Reconductor!S32,CTGS!S32)</f>
        <v>0</v>
      </c>
      <c r="T32" s="561">
        <f>SUM('Defect (Total)'!T32,Planned!T32,Reconductor!T32,CTGS!T32)</f>
        <v>0</v>
      </c>
      <c r="U32" s="561">
        <f>SUM('Defect (Total)'!U32,Planned!U32,Reconductor!U32,CTGS!U32)</f>
        <v>0</v>
      </c>
      <c r="V32" s="561">
        <f>SUM('Defect (Total)'!V32,Planned!V32,Reconductor!V32,CTGS!V32)</f>
        <v>0</v>
      </c>
      <c r="W32" s="561">
        <f>SUM('Defect (Total)'!W32,Planned!W32,Reconductor!W32,CTGS!W32)</f>
        <v>0</v>
      </c>
      <c r="X32" s="675">
        <f>SUM('Defect (Total)'!X32,Planned!X32,Reconductor!X32,CTGS!X32)</f>
        <v>0</v>
      </c>
      <c r="Y32" s="675">
        <f>SUM('Defect (Total)'!Y32,Planned!Y32,Reconductor!Y32,CTGS!Y32)</f>
        <v>0</v>
      </c>
      <c r="Z32" s="86">
        <f>SUM('Defect (Total)'!Z32,Planned!Z32,Reconductor!Z32,CTGS!Z32)</f>
        <v>0</v>
      </c>
      <c r="AA32" s="87">
        <f>SUM('Defect (Total)'!AA32,Planned!AA32,Reconductor!AA32,CTGS!AA32)</f>
        <v>0</v>
      </c>
      <c r="AB32" s="87">
        <f>SUM('Defect (Total)'!AB32,Planned!AB32,Reconductor!AB32,CTGS!AB32)</f>
        <v>0</v>
      </c>
      <c r="AC32" s="87">
        <f>SUM('Defect (Total)'!AC32,Planned!AC32,Reconductor!AC32,CTGS!AC32)</f>
        <v>0</v>
      </c>
      <c r="AD32" s="87">
        <f>SUM('Defect (Total)'!AD32,Planned!AD32,Reconductor!AD32,CTGS!AD32)</f>
        <v>0</v>
      </c>
      <c r="AE32" s="87">
        <f>SUM('Defect (Total)'!AE32,Planned!AE32,Reconductor!AE32,CTGS!AE32)</f>
        <v>0</v>
      </c>
      <c r="AF32" s="87">
        <f>SUM('Defect (Total)'!AF32,Planned!AF32,Reconductor!AF32,CTGS!AF32)</f>
        <v>0</v>
      </c>
      <c r="AG32" s="87">
        <f>SUM('Defect (Total)'!AG32,Planned!AG32,Reconductor!AG32,CTGS!AG32)</f>
        <v>0</v>
      </c>
      <c r="AH32" s="87">
        <f>SUM('Defect (Total)'!AH32,Planned!AH32,Reconductor!AH32,CTGS!AH32)</f>
        <v>0</v>
      </c>
      <c r="AI32" s="87">
        <f>SUM('Defect (Total)'!AI32,Planned!AI32,Reconductor!AI32,CTGS!AI32)</f>
        <v>0</v>
      </c>
      <c r="AJ32" s="87">
        <f>SUM('Defect (Total)'!AJ32,Planned!AJ32,Reconductor!AJ32,CTGS!AJ32)</f>
        <v>0</v>
      </c>
      <c r="AK32" s="88">
        <f t="shared" si="14"/>
        <v>0</v>
      </c>
      <c r="AL32" s="89">
        <f t="shared" si="0"/>
        <v>0</v>
      </c>
      <c r="AM32" s="90">
        <f t="shared" si="15"/>
        <v>0</v>
      </c>
      <c r="AN32" s="91" t="str">
        <f t="shared" si="1"/>
        <v/>
      </c>
      <c r="AO32" s="92" t="str">
        <f t="shared" si="2"/>
        <v/>
      </c>
      <c r="AP32" s="92" t="str">
        <f t="shared" si="3"/>
        <v/>
      </c>
      <c r="AQ32" s="92" t="str">
        <f t="shared" si="4"/>
        <v/>
      </c>
      <c r="AR32" s="92" t="str">
        <f t="shared" si="5"/>
        <v/>
      </c>
      <c r="AS32" s="92" t="str">
        <f t="shared" si="6"/>
        <v/>
      </c>
      <c r="AT32" s="92" t="str">
        <f t="shared" si="7"/>
        <v/>
      </c>
      <c r="AU32" s="92" t="str">
        <f t="shared" si="8"/>
        <v/>
      </c>
      <c r="AV32" s="92" t="str">
        <f t="shared" si="9"/>
        <v/>
      </c>
      <c r="AW32" s="92" t="str">
        <f t="shared" si="20"/>
        <v/>
      </c>
      <c r="AX32" s="92" t="str">
        <f t="shared" si="20"/>
        <v/>
      </c>
      <c r="AY32" s="93" t="str">
        <f t="shared" si="11"/>
        <v/>
      </c>
      <c r="AZ32" s="94" t="str">
        <f t="shared" si="12"/>
        <v/>
      </c>
      <c r="BA32" s="95" t="str">
        <f t="shared" si="13"/>
        <v/>
      </c>
      <c r="BB32" s="689">
        <f>SUM('Defect (Total)'!BB32,Planned!CE32,Reconductor!CE32,CTGS!CE32,'Substation 2025$'!CE32*$BL$1,Comms!CA32*$BL$2)</f>
        <v>0</v>
      </c>
      <c r="BC32" s="689">
        <f>SUM('Defect (Total)'!BC32,Planned!CF32,Reconductor!CF32,CTGS!CF32,'Substation 2025$'!CF32*$BL$1,Comms!CB32*$BL$2)</f>
        <v>0</v>
      </c>
      <c r="BD32" s="96">
        <f>SUM('Defect (Total)'!BD32,Planned!CG32,Reconductor!CG32,CTGS!CG32,'Substation 2025$'!CG32*$BL$1,Comms!CC32*$BL$2)</f>
        <v>0</v>
      </c>
      <c r="BE32" s="96">
        <f>SUM('Defect (Total)'!BE32,Planned!CH32,Reconductor!CH32,CTGS!CH32,'Substation 2025$'!CH32*$BL$1,Comms!CD32*$BL$2)</f>
        <v>0</v>
      </c>
      <c r="BF32" s="96">
        <f>SUM('Defect (Total)'!BF32,Planned!CI32,Reconductor!CI32,CTGS!CI32,'Substation 2025$'!CI32*$BL$1,Comms!CE32*$BL$2)</f>
        <v>0</v>
      </c>
      <c r="BG32" s="96">
        <f>SUM('Defect (Total)'!BG32,Planned!CJ32,Reconductor!CJ32,CTGS!CJ32,'Substation 2025$'!CJ32*$BL$1,Comms!CF32*$BL$2)</f>
        <v>0</v>
      </c>
      <c r="BH32" s="96">
        <f>SUM('Defect (Total)'!BH32,Planned!CK32,Reconductor!CK32,CTGS!CK32,'Substation 2025$'!CK32*$BL$1,Comms!CG32*$BL$2)</f>
        <v>0</v>
      </c>
      <c r="BI32" s="286">
        <f>SUM('Defect (Total)'!BI32,Planned!CL32,Reconductor!CL32,CTGS!CL32,'Substation 2025$'!CL32*$BL$1,Comms!CH32*$BL$2)</f>
        <v>0</v>
      </c>
      <c r="BJ32" s="99" t="str">
        <f t="shared" si="16"/>
        <v/>
      </c>
      <c r="BK32" s="992">
        <f>SUM('Defect (Total)'!BK32,Planned!CQ32,Reconductor!CQ32,CTGS!CQ32,'Substation 2025$'!CQ32*$BL$1,Comms!CM32*$BL$2)</f>
        <v>0</v>
      </c>
      <c r="BL32" s="992">
        <f>SUM('Defect (Total)'!BL32,Planned!CR32,Reconductor!CR32,CTGS!CR32,'Substation 2025$'!CR32*$BL$1,Comms!CN32*$BL$2)</f>
        <v>0</v>
      </c>
      <c r="BM32" s="524">
        <f>SUM('Defect (Total)'!BM32,Planned!CS32,Reconductor!CS32,CTGS!CS32,'Substation 2025$'!CS32*$BL$1,Comms!CO32*$BL$2)</f>
        <v>0</v>
      </c>
      <c r="BN32" s="416">
        <f>SUM('Defect (Total)'!BN32,Planned!CT32,Reconductor!CT32,CTGS!CT32,'Substation 2025$'!CT32*$BL$1,Comms!CP32*$BL$2)</f>
        <v>0</v>
      </c>
      <c r="BO32" s="97">
        <f>SUM('Defect (Total)'!BO32,Planned!CU32,Reconductor!CU32,CTGS!CU32,'Substation 2025$'!CU32*$BL$1,Comms!CQ32*$BL$2)</f>
        <v>0</v>
      </c>
      <c r="BP32" s="97">
        <f>SUM('Defect (Total)'!BP32,Planned!CV32,Reconductor!CV32,CTGS!CV32,'Substation 2025$'!CV32*$BL$1,Comms!CR32*$BL$2)</f>
        <v>0</v>
      </c>
      <c r="BQ32" s="97">
        <f>SUM('Defect (Total)'!BQ32,Planned!CW32,Reconductor!CW32,CTGS!CW32,'Substation 2025$'!CW32*$BL$1,Comms!CS32*$BL$2)</f>
        <v>0</v>
      </c>
      <c r="BR32" s="98">
        <f>SUM('Defect (Total)'!BR32,Planned!CX32,Reconductor!CX32,CTGS!CX32,'Substation 2025$'!CX32*$BL$1,Comms!CT32*$BL$2)</f>
        <v>0</v>
      </c>
    </row>
    <row r="33" spans="1:70" ht="15.75" thickBot="1" x14ac:dyDescent="0.3">
      <c r="A33" s="100" t="s">
        <v>68</v>
      </c>
      <c r="B33" s="101" t="s">
        <v>308</v>
      </c>
      <c r="C33" s="102" t="s">
        <v>309</v>
      </c>
      <c r="D33" s="103">
        <f>SUM('Defect (Total)'!D33,Planned!D33,Reconductor!D33,CTGS!D33)</f>
        <v>0</v>
      </c>
      <c r="E33" s="104">
        <f>SUM('Defect (Total)'!E33,Planned!E33,Reconductor!E33,CTGS!E33)</f>
        <v>0</v>
      </c>
      <c r="F33" s="104">
        <f>SUM('Defect (Total)'!F33,Planned!F33,Reconductor!F33,CTGS!F33)</f>
        <v>0</v>
      </c>
      <c r="G33" s="104">
        <f>SUM('Defect (Total)'!G33,Planned!G33,Reconductor!G33,CTGS!G33)</f>
        <v>0</v>
      </c>
      <c r="H33" s="104">
        <f>SUM('Defect (Total)'!H33,Planned!H33,Reconductor!H33,CTGS!H33)</f>
        <v>0</v>
      </c>
      <c r="I33" s="104">
        <f>SUM('Defect (Total)'!I33,Planned!I33,Reconductor!I33,CTGS!I33)</f>
        <v>0</v>
      </c>
      <c r="J33" s="104">
        <f>SUM('Defect (Total)'!J33,Planned!J33,Reconductor!J33,CTGS!J33)</f>
        <v>0</v>
      </c>
      <c r="K33" s="104">
        <f>SUM('Defect (Total)'!K33,Planned!K33,Reconductor!K33,CTGS!K33)</f>
        <v>0</v>
      </c>
      <c r="L33" s="104">
        <f>SUM('Defect (Total)'!L33,Planned!L33,Reconductor!L33,CTGS!L33)</f>
        <v>0</v>
      </c>
      <c r="M33" s="104">
        <f>SUM('Defect (Total)'!M33,Planned!M33,Reconductor!M33,CTGS!M33)</f>
        <v>0</v>
      </c>
      <c r="N33" s="104">
        <f>SUM('Defect (Total)'!N33,Planned!N33,Reconductor!N33,CTGS!N33)</f>
        <v>0</v>
      </c>
      <c r="O33" s="563">
        <f>SUM('Defect (Total)'!O33,Planned!O33,Reconductor!O33,CTGS!O33)</f>
        <v>0</v>
      </c>
      <c r="P33" s="564">
        <f>SUM('Defect (Total)'!P33,Planned!P33,Reconductor!P33,CTGS!P33)</f>
        <v>0</v>
      </c>
      <c r="Q33" s="564">
        <f>SUM('Defect (Total)'!Q33,Planned!Q33,Reconductor!Q33,CTGS!Q33)</f>
        <v>0</v>
      </c>
      <c r="R33" s="564">
        <f>SUM('Defect (Total)'!R33,Planned!R33,Reconductor!R33,CTGS!R33)</f>
        <v>0</v>
      </c>
      <c r="S33" s="564">
        <f>SUM('Defect (Total)'!S33,Planned!S33,Reconductor!S33,CTGS!S33)</f>
        <v>0</v>
      </c>
      <c r="T33" s="564">
        <f>SUM('Defect (Total)'!T33,Planned!T33,Reconductor!T33,CTGS!T33)</f>
        <v>0</v>
      </c>
      <c r="U33" s="564">
        <f>SUM('Defect (Total)'!U33,Planned!U33,Reconductor!U33,CTGS!U33)</f>
        <v>0</v>
      </c>
      <c r="V33" s="564">
        <f>SUM('Defect (Total)'!V33,Planned!V33,Reconductor!V33,CTGS!V33)</f>
        <v>0</v>
      </c>
      <c r="W33" s="564">
        <f>SUM('Defect (Total)'!W33,Planned!W33,Reconductor!W33,CTGS!W33)</f>
        <v>0</v>
      </c>
      <c r="X33" s="676">
        <f>SUM('Defect (Total)'!X33,Planned!X33,Reconductor!X33,CTGS!X33)</f>
        <v>0</v>
      </c>
      <c r="Y33" s="676">
        <f>SUM('Defect (Total)'!Y33,Planned!Y33,Reconductor!Y33,CTGS!Y33)</f>
        <v>0</v>
      </c>
      <c r="Z33" s="105">
        <f>SUM('Defect (Total)'!Z33,Planned!Z33,Reconductor!Z33,CTGS!Z33)</f>
        <v>0</v>
      </c>
      <c r="AA33" s="106">
        <f>SUM('Defect (Total)'!AA33,Planned!AA33,Reconductor!AA33,CTGS!AA33)</f>
        <v>0</v>
      </c>
      <c r="AB33" s="106">
        <f>SUM('Defect (Total)'!AB33,Planned!AB33,Reconductor!AB33,CTGS!AB33)</f>
        <v>0</v>
      </c>
      <c r="AC33" s="106">
        <f>SUM('Defect (Total)'!AC33,Planned!AC33,Reconductor!AC33,CTGS!AC33)</f>
        <v>0</v>
      </c>
      <c r="AD33" s="106">
        <f>SUM('Defect (Total)'!AD33,Planned!AD33,Reconductor!AD33,CTGS!AD33)</f>
        <v>0</v>
      </c>
      <c r="AE33" s="106">
        <f>SUM('Defect (Total)'!AE33,Planned!AE33,Reconductor!AE33,CTGS!AE33)</f>
        <v>0</v>
      </c>
      <c r="AF33" s="106">
        <f>SUM('Defect (Total)'!AF33,Planned!AF33,Reconductor!AF33,CTGS!AF33)</f>
        <v>0</v>
      </c>
      <c r="AG33" s="106">
        <f>SUM('Defect (Total)'!AG33,Planned!AG33,Reconductor!AG33,CTGS!AG33)</f>
        <v>0</v>
      </c>
      <c r="AH33" s="106">
        <f>SUM('Defect (Total)'!AH33,Planned!AH33,Reconductor!AH33,CTGS!AH33)</f>
        <v>0</v>
      </c>
      <c r="AI33" s="106">
        <f>SUM('Defect (Total)'!AI33,Planned!AI33,Reconductor!AI33,CTGS!AI33)</f>
        <v>0</v>
      </c>
      <c r="AJ33" s="106">
        <f>SUM('Defect (Total)'!AJ33,Planned!AJ33,Reconductor!AJ33,CTGS!AJ33)</f>
        <v>0</v>
      </c>
      <c r="AK33" s="107">
        <f t="shared" si="14"/>
        <v>0</v>
      </c>
      <c r="AL33" s="108">
        <f t="shared" si="0"/>
        <v>0</v>
      </c>
      <c r="AM33" s="109">
        <f t="shared" si="15"/>
        <v>0</v>
      </c>
      <c r="AN33" s="110" t="str">
        <f t="shared" si="1"/>
        <v/>
      </c>
      <c r="AO33" s="111" t="str">
        <f t="shared" si="2"/>
        <v/>
      </c>
      <c r="AP33" s="111" t="str">
        <f t="shared" si="3"/>
        <v/>
      </c>
      <c r="AQ33" s="111" t="str">
        <f t="shared" si="4"/>
        <v/>
      </c>
      <c r="AR33" s="111" t="str">
        <f t="shared" si="5"/>
        <v/>
      </c>
      <c r="AS33" s="111" t="str">
        <f t="shared" si="6"/>
        <v/>
      </c>
      <c r="AT33" s="111" t="str">
        <f t="shared" si="7"/>
        <v/>
      </c>
      <c r="AU33" s="111" t="str">
        <f t="shared" si="8"/>
        <v/>
      </c>
      <c r="AV33" s="111" t="str">
        <f t="shared" si="9"/>
        <v/>
      </c>
      <c r="AW33" s="111" t="str">
        <f t="shared" si="20"/>
        <v/>
      </c>
      <c r="AX33" s="111" t="str">
        <f t="shared" si="20"/>
        <v/>
      </c>
      <c r="AY33" s="112" t="str">
        <f t="shared" si="11"/>
        <v/>
      </c>
      <c r="AZ33" s="113" t="str">
        <f t="shared" si="12"/>
        <v/>
      </c>
      <c r="BA33" s="114" t="str">
        <f t="shared" si="13"/>
        <v/>
      </c>
      <c r="BB33" s="690">
        <f>SUM('Defect (Total)'!BB33,Planned!CE33,Reconductor!CE33,CTGS!CE33,'Substation 2025$'!CE33*$BL$1,Comms!CA33*$BL$2)</f>
        <v>0</v>
      </c>
      <c r="BC33" s="690">
        <f>SUM('Defect (Total)'!BC33,Planned!CF33,Reconductor!CF33,CTGS!CF33,'Substation 2025$'!CF33*$BL$1,Comms!CB33*$BL$2)</f>
        <v>0</v>
      </c>
      <c r="BD33" s="115">
        <f>SUM('Defect (Total)'!BD33,Planned!CG33,Reconductor!CG33,CTGS!CG33,'Substation 2025$'!CG33*$BL$1,Comms!CC33*$BL$2)</f>
        <v>0</v>
      </c>
      <c r="BE33" s="115">
        <f>SUM('Defect (Total)'!BE33,Planned!CH33,Reconductor!CH33,CTGS!CH33,'Substation 2025$'!CH33*$BL$1,Comms!CD33*$BL$2)</f>
        <v>0</v>
      </c>
      <c r="BF33" s="115">
        <f>SUM('Defect (Total)'!BF33,Planned!CI33,Reconductor!CI33,CTGS!CI33,'Substation 2025$'!CI33*$BL$1,Comms!CE33*$BL$2)</f>
        <v>0</v>
      </c>
      <c r="BG33" s="115">
        <f>SUM('Defect (Total)'!BG33,Planned!CJ33,Reconductor!CJ33,CTGS!CJ33,'Substation 2025$'!CJ33*$BL$1,Comms!CF33*$BL$2)</f>
        <v>0</v>
      </c>
      <c r="BH33" s="115">
        <f>SUM('Defect (Total)'!BH33,Planned!CK33,Reconductor!CK33,CTGS!CK33,'Substation 2025$'!CK33*$BL$1,Comms!CG33*$BL$2)</f>
        <v>0</v>
      </c>
      <c r="BI33" s="287">
        <f>SUM('Defect (Total)'!BI33,Planned!CL33,Reconductor!CL33,CTGS!CL33,'Substation 2025$'!CL33*$BL$1,Comms!CH33*$BL$2)</f>
        <v>0</v>
      </c>
      <c r="BJ33" s="116" t="str">
        <f t="shared" si="16"/>
        <v/>
      </c>
      <c r="BK33" s="1013">
        <f>SUM('Defect (Total)'!BK33,Planned!CQ33,Reconductor!CQ33,CTGS!CQ33,'Substation 2025$'!CQ33*$BL$1,Comms!CM33*$BL$2)</f>
        <v>0</v>
      </c>
      <c r="BL33" s="1013">
        <f>SUM('Defect (Total)'!BL33,Planned!CR33,Reconductor!CR33,CTGS!CR33,'Substation 2025$'!CR33*$BL$1,Comms!CN33*$BL$2)</f>
        <v>0</v>
      </c>
      <c r="BM33" s="638">
        <f>SUM('Defect (Total)'!BM33,Planned!CS33,Reconductor!CS33,CTGS!CS33,'Substation 2025$'!CS33*$BL$1,Comms!CO33*$BL$2)</f>
        <v>0</v>
      </c>
      <c r="BN33" s="467">
        <f>SUM('Defect (Total)'!BN33,Planned!CT33,Reconductor!CT33,CTGS!CT33,'Substation 2025$'!CT33*$BL$1,Comms!CP33*$BL$2)</f>
        <v>0</v>
      </c>
      <c r="BO33" s="117">
        <f>SUM('Defect (Total)'!BO33,Planned!CU33,Reconductor!CU33,CTGS!CU33,'Substation 2025$'!CU33*$BL$1,Comms!CQ33*$BL$2)</f>
        <v>0</v>
      </c>
      <c r="BP33" s="117">
        <f>SUM('Defect (Total)'!BP33,Planned!CV33,Reconductor!CV33,CTGS!CV33,'Substation 2025$'!CV33*$BL$1,Comms!CR33*$BL$2)</f>
        <v>0</v>
      </c>
      <c r="BQ33" s="117">
        <f>SUM('Defect (Total)'!BQ33,Planned!CW33,Reconductor!CW33,CTGS!CW33,'Substation 2025$'!CW33*$BL$1,Comms!CS33*$BL$2)</f>
        <v>0</v>
      </c>
      <c r="BR33" s="118">
        <f>SUM('Defect (Total)'!BR33,Planned!CX33,Reconductor!CX33,CTGS!CX33,'Substation 2025$'!CX33*$BL$1,Comms!CT33*$BL$2)</f>
        <v>0</v>
      </c>
    </row>
    <row r="34" spans="1:70" x14ac:dyDescent="0.25">
      <c r="A34" s="63" t="s">
        <v>81</v>
      </c>
      <c r="B34" s="334" t="s">
        <v>79</v>
      </c>
      <c r="C34" s="65" t="s">
        <v>305</v>
      </c>
      <c r="D34" s="66">
        <f>SUM('Defect (Total)'!D34,Planned!D34,Reconductor!D34,CTGS!D34)</f>
        <v>3967444</v>
      </c>
      <c r="E34" s="67">
        <f>SUM('Defect (Total)'!E34,Planned!E34,Reconductor!E34,CTGS!E34)</f>
        <v>6027337</v>
      </c>
      <c r="F34" s="67">
        <f>SUM('Defect (Total)'!F34,Planned!F34,Reconductor!F34,CTGS!F34)</f>
        <v>7542258</v>
      </c>
      <c r="G34" s="67">
        <f>SUM('Defect (Total)'!G34,Planned!G34,Reconductor!G34,CTGS!G34)</f>
        <v>5393631.8508771956</v>
      </c>
      <c r="H34" s="67">
        <f>SUM('Defect (Total)'!H34,Planned!H34,Reconductor!H34,CTGS!H34)</f>
        <v>8714389.4937083907</v>
      </c>
      <c r="I34" s="67">
        <f>SUM('Defect (Total)'!I34,Planned!I34,Reconductor!I34,CTGS!I34)</f>
        <v>12840240.664226912</v>
      </c>
      <c r="J34" s="67">
        <f>SUM('Defect (Total)'!J34,Planned!J34,Reconductor!J34,CTGS!J34)</f>
        <v>18768696.3676074</v>
      </c>
      <c r="K34" s="67">
        <f>SUM('Defect (Total)'!K34,Planned!K34,Reconductor!K34,CTGS!K34)</f>
        <v>16524542.692370255</v>
      </c>
      <c r="L34" s="67">
        <f>SUM('Defect (Total)'!L34,Planned!L34,Reconductor!L34,CTGS!L34)</f>
        <v>21430571.062679317</v>
      </c>
      <c r="M34" s="67">
        <f>SUM('Defect (Total)'!M34,Planned!M34,Reconductor!M34,CTGS!M34)</f>
        <v>11549690.658025421</v>
      </c>
      <c r="N34" s="67">
        <f>SUM('Defect (Total)'!N34,Planned!N34,Reconductor!N34,CTGS!N34)</f>
        <v>14061301.039981874</v>
      </c>
      <c r="O34" s="557">
        <f>SUM('Defect (Total)'!O34,Planned!O34,Reconductor!O34,CTGS!O34)</f>
        <v>5338022.6008982174</v>
      </c>
      <c r="P34" s="558">
        <f>SUM('Defect (Total)'!P34,Planned!P34,Reconductor!P34,CTGS!P34)</f>
        <v>7988818.842103471</v>
      </c>
      <c r="Q34" s="558">
        <f>SUM('Defect (Total)'!Q34,Planned!Q34,Reconductor!Q34,CTGS!Q34)</f>
        <v>9895485.846897196</v>
      </c>
      <c r="R34" s="558">
        <f>SUM('Defect (Total)'!R34,Planned!R34,Reconductor!R34,CTGS!R34)</f>
        <v>6942233.897573215</v>
      </c>
      <c r="S34" s="558">
        <f>SUM('Defect (Total)'!S34,Planned!S34,Reconductor!S34,CTGS!S34)</f>
        <v>10988137.528022356</v>
      </c>
      <c r="T34" s="558">
        <f>SUM('Defect (Total)'!T34,Planned!T34,Reconductor!T34,CTGS!T34)</f>
        <v>15936642.800857645</v>
      </c>
      <c r="U34" s="558">
        <f>SUM('Defect (Total)'!U34,Planned!U34,Reconductor!U34,CTGS!U34)</f>
        <v>23376185.609964903</v>
      </c>
      <c r="V34" s="558">
        <f>SUM('Defect (Total)'!V34,Planned!V34,Reconductor!V34,CTGS!V34)</f>
        <v>19818855.522144683</v>
      </c>
      <c r="W34" s="558">
        <f>SUM('Defect (Total)'!W34,Planned!W34,Reconductor!W34,CTGS!W34)</f>
        <v>24214985.883311864</v>
      </c>
      <c r="X34" s="674">
        <f>SUM('Defect (Total)'!X34,Planned!X34,Reconductor!X34,CTGS!X34)</f>
        <v>12282644.723260932</v>
      </c>
      <c r="Y34" s="674">
        <f>SUM('Defect (Total)'!Y34,Planned!Y34,Reconductor!Y34,CTGS!Y34)</f>
        <v>14262628.35871698</v>
      </c>
      <c r="Z34" s="119">
        <f>SUM('Defect (Total)'!Z34,Planned!Z34,Reconductor!Z34,CTGS!Z34)</f>
        <v>48</v>
      </c>
      <c r="AA34" s="120">
        <f>SUM('Defect (Total)'!AA34,Planned!AA34,Reconductor!AA34,CTGS!AA34)</f>
        <v>102</v>
      </c>
      <c r="AB34" s="120">
        <f>SUM('Defect (Total)'!AB34,Planned!AB34,Reconductor!AB34,CTGS!AB34)</f>
        <v>66</v>
      </c>
      <c r="AC34" s="120">
        <f>SUM('Defect (Total)'!AC34,Planned!AC34,Reconductor!AC34,CTGS!AC34)</f>
        <v>107.41933333333333</v>
      </c>
      <c r="AD34" s="120">
        <f>SUM('Defect (Total)'!AD34,Planned!AD34,Reconductor!AD34,CTGS!AD34)</f>
        <v>135.75</v>
      </c>
      <c r="AE34" s="120">
        <f>SUM('Defect (Total)'!AE34,Planned!AE34,Reconductor!AE34,CTGS!AE34)</f>
        <v>172.93993920600008</v>
      </c>
      <c r="AF34" s="120">
        <f>SUM('Defect (Total)'!AF34,Planned!AF34,Reconductor!AF34,CTGS!AF34)</f>
        <v>245.85400008100001</v>
      </c>
      <c r="AG34" s="120">
        <f>SUM('Defect (Total)'!AG34,Planned!AG34,Reconductor!AG34,CTGS!AG34)</f>
        <v>311.3581666666658</v>
      </c>
      <c r="AH34" s="120">
        <f>SUM('Defect (Total)'!AH34,Planned!AH34,Reconductor!AH34,CTGS!AH34)</f>
        <v>284.10183223800016</v>
      </c>
      <c r="AI34" s="120">
        <f>SUM('Defect (Total)'!AI34,Planned!AI34,Reconductor!AI34,CTGS!AI34)</f>
        <v>97.198999728333234</v>
      </c>
      <c r="AJ34" s="120">
        <f>SUM('Defect (Total)'!AJ34,Planned!AJ34,Reconductor!AJ34,CTGS!AJ34)</f>
        <v>139.60883302899995</v>
      </c>
      <c r="AK34" s="121">
        <f t="shared" si="14"/>
        <v>230.00078763833318</v>
      </c>
      <c r="AL34" s="122">
        <f t="shared" si="0"/>
        <v>280.43799966188868</v>
      </c>
      <c r="AM34" s="123">
        <f t="shared" si="15"/>
        <v>284.10183223800016</v>
      </c>
      <c r="AN34" s="73">
        <f t="shared" si="1"/>
        <v>82655.083333333328</v>
      </c>
      <c r="AO34" s="74">
        <f t="shared" si="2"/>
        <v>59091.539215686273</v>
      </c>
      <c r="AP34" s="74">
        <f t="shared" si="3"/>
        <v>114276.63636363637</v>
      </c>
      <c r="AQ34" s="74">
        <f t="shared" si="4"/>
        <v>50210.997252609981</v>
      </c>
      <c r="AR34" s="74">
        <f t="shared" si="5"/>
        <v>64194.397743708221</v>
      </c>
      <c r="AS34" s="74">
        <f t="shared" si="6"/>
        <v>74246.820735446541</v>
      </c>
      <c r="AT34" s="74">
        <f t="shared" si="7"/>
        <v>76340.821631634186</v>
      </c>
      <c r="AU34" s="74">
        <f t="shared" si="8"/>
        <v>53072.456294557771</v>
      </c>
      <c r="AV34" s="74">
        <f t="shared" si="9"/>
        <v>75432.709792333611</v>
      </c>
      <c r="AW34" s="74">
        <f t="shared" si="20"/>
        <v>118825.20077682157</v>
      </c>
      <c r="AX34" s="74">
        <f t="shared" si="20"/>
        <v>100719.27925263166</v>
      </c>
      <c r="AY34" s="75">
        <f t="shared" si="11"/>
        <v>72979.91545796585</v>
      </c>
      <c r="AZ34" s="76">
        <f t="shared" si="12"/>
        <v>71470.672453220788</v>
      </c>
      <c r="BA34" s="77">
        <f t="shared" si="13"/>
        <v>118825.20077682157</v>
      </c>
      <c r="BB34" s="691">
        <f>SUM('Defect (Total)'!BB34,Planned!CE34,Reconductor!CE34,CTGS!CE34,'Substation 2025$'!CE34*$BL$1,Comms!CA34*$BL$2)</f>
        <v>204.07552715577756</v>
      </c>
      <c r="BC34" s="691">
        <f>SUM('Defect (Total)'!BC34,Planned!CF34,Reconductor!CF34,CTGS!CF34,'Substation 2025$'!CF34*$BL$1,Comms!CB34*$BL$2)</f>
        <v>260.6237401538794</v>
      </c>
      <c r="BD34" s="360">
        <f>SUM('Defect (Total)'!BD34,Planned!CG34,Reconductor!CG34,CTGS!CG34,'Substation 2025$'!CG34*$BL$1,Comms!CC34*$BL$2)</f>
        <v>260.6237401538794</v>
      </c>
      <c r="BE34" s="360">
        <f>SUM('Defect (Total)'!BE34,Planned!CH34,Reconductor!CH34,CTGS!CH34,'Substation 2025$'!CH34*$BL$1,Comms!CD34*$BL$2)</f>
        <v>331.67759136931437</v>
      </c>
      <c r="BF34" s="360">
        <f>SUM('Defect (Total)'!BF34,Planned!CI34,Reconductor!CI34,CTGS!CI34,'Substation 2025$'!CI34*$BL$1,Comms!CE34*$BL$2)</f>
        <v>345.60751142760466</v>
      </c>
      <c r="BG34" s="360">
        <f>SUM('Defect (Total)'!BG34,Planned!CJ34,Reconductor!CJ34,CTGS!CJ34,'Substation 2025$'!CJ34*$BL$1,Comms!CF34*$BL$2)</f>
        <v>354.89792906116696</v>
      </c>
      <c r="BH34" s="360">
        <f>SUM('Defect (Total)'!BH34,Planned!CK34,Reconductor!CK34,CTGS!CK34,'Substation 2025$'!CK34*$BL$1,Comms!CG34*$BL$2)</f>
        <v>364.19104122623412</v>
      </c>
      <c r="BI34" s="361">
        <f>SUM('Defect (Total)'!BI34,Planned!CL34,Reconductor!CL34,CTGS!CL34,'Substation 2025$'!CL34*$BL$1,Comms!CH34*$BL$2)</f>
        <v>368.83852636428321</v>
      </c>
      <c r="BJ34" s="124">
        <f t="shared" si="16"/>
        <v>59600.070554695099</v>
      </c>
      <c r="BK34" s="974">
        <f>SUM('Defect (Total)'!BK34,Planned!CQ34,Reconductor!CQ34,CTGS!CQ34,'Substation 2025$'!CQ34*$BL$1,Comms!CM34*$BL$2)</f>
        <v>14523353.023986205</v>
      </c>
      <c r="BL34" s="974">
        <f>SUM('Defect (Total)'!BL34,Planned!CR34,Reconductor!CR34,CTGS!CR34,'Substation 2025$'!CR34*$BL$1,Comms!CN34*$BL$2)</f>
        <v>16985838.874635853</v>
      </c>
      <c r="BM34" s="523">
        <f>SUM('Defect (Total)'!BM34,Planned!CS34,Reconductor!CS34,CTGS!CS34,'Substation 2025$'!CS34*$BL$1,Comms!CO34*$BL$2)</f>
        <v>16985838.874635853</v>
      </c>
      <c r="BN34" s="415">
        <f>SUM('Defect (Total)'!BN34,Planned!CT34,Reconductor!CT34,CTGS!CT34,'Substation 2025$'!CT34*$BL$1,Comms!CP34*$BL$2)</f>
        <v>20110987.798798583</v>
      </c>
      <c r="BO34" s="79">
        <f>SUM('Defect (Total)'!BO34,Planned!CU34,Reconductor!CU34,CTGS!CU34,'Substation 2025$'!CU34*$BL$1,Comms!CQ34*$BL$2)</f>
        <v>20717589.302640479</v>
      </c>
      <c r="BP34" s="79">
        <f>SUM('Defect (Total)'!BP34,Planned!CV34,Reconductor!CV34,CTGS!CV34,'Substation 2025$'!CV34*$BL$1,Comms!CR34*$BL$2)</f>
        <v>21122155.968081191</v>
      </c>
      <c r="BQ34" s="79">
        <f>SUM('Defect (Total)'!BQ34,Planned!CW34,Reconductor!CW34,CTGS!CW34,'Substation 2025$'!CW34*$BL$1,Comms!CS34*$BL$2)</f>
        <v>21526839.971371375</v>
      </c>
      <c r="BR34" s="80">
        <f>SUM('Defect (Total)'!BR34,Planned!CX34,Reconductor!CX34,CTGS!CX34,'Substation 2025$'!CX34*$BL$1,Comms!CT34*$BL$2)</f>
        <v>21729222.430281878</v>
      </c>
    </row>
    <row r="35" spans="1:70" x14ac:dyDescent="0.25">
      <c r="A35" s="81" t="s">
        <v>81</v>
      </c>
      <c r="B35" s="82" t="s">
        <v>310</v>
      </c>
      <c r="C35" s="83" t="s">
        <v>70</v>
      </c>
      <c r="D35" s="84">
        <f>SUM('Defect (Total)'!D35,Planned!D35,Reconductor!D35,CTGS!D35)</f>
        <v>1535493</v>
      </c>
      <c r="E35" s="85">
        <f>SUM('Defect (Total)'!E35,Planned!E35,Reconductor!E35,CTGS!E35)</f>
        <v>2584293</v>
      </c>
      <c r="F35" s="85">
        <f>SUM('Defect (Total)'!F35,Planned!F35,Reconductor!F35,CTGS!F35)</f>
        <v>1407069</v>
      </c>
      <c r="G35" s="85">
        <f>SUM('Defect (Total)'!G35,Planned!G35,Reconductor!G35,CTGS!G35)</f>
        <v>2323579.4664839301</v>
      </c>
      <c r="H35" s="85">
        <f>SUM('Defect (Total)'!H35,Planned!H35,Reconductor!H35,CTGS!H35)</f>
        <v>2351204</v>
      </c>
      <c r="I35" s="85">
        <f>SUM('Defect (Total)'!I35,Planned!I35,Reconductor!I35,CTGS!I35)</f>
        <v>2880704.9739493756</v>
      </c>
      <c r="J35" s="85">
        <f>SUM('Defect (Total)'!J35,Planned!J35,Reconductor!J35,CTGS!J35)</f>
        <v>4473039.7938799355</v>
      </c>
      <c r="K35" s="85">
        <f>SUM('Defect (Total)'!K35,Planned!K35,Reconductor!K35,CTGS!K35)</f>
        <v>5399061.7173091015</v>
      </c>
      <c r="L35" s="85">
        <f>SUM('Defect (Total)'!L35,Planned!L35,Reconductor!L35,CTGS!L35)</f>
        <v>9599830.3715368193</v>
      </c>
      <c r="M35" s="85">
        <f>SUM('Defect (Total)'!M35,Planned!M35,Reconductor!M35,CTGS!M35)</f>
        <v>18319582.24128259</v>
      </c>
      <c r="N35" s="85">
        <f>SUM('Defect (Total)'!N35,Planned!N35,Reconductor!N35,CTGS!N35)</f>
        <v>10418990.788758639</v>
      </c>
      <c r="O35" s="560">
        <f>SUM('Defect (Total)'!O35,Planned!O35,Reconductor!O35,CTGS!O35)</f>
        <v>2065938.7599474641</v>
      </c>
      <c r="P35" s="561">
        <f>SUM('Defect (Total)'!P35,Planned!P35,Reconductor!P35,CTGS!P35)</f>
        <v>3425301.8558471352</v>
      </c>
      <c r="Q35" s="561">
        <f>SUM('Defect (Total)'!Q35,Planned!Q35,Reconductor!Q35,CTGS!Q35)</f>
        <v>1846082.6154591623</v>
      </c>
      <c r="R35" s="561">
        <f>SUM('Defect (Total)'!R35,Planned!R35,Reconductor!R35,CTGS!R35)</f>
        <v>2990718.0508262496</v>
      </c>
      <c r="S35" s="561">
        <f>SUM('Defect (Total)'!S35,Planned!S35,Reconductor!S35,CTGS!S35)</f>
        <v>2964677.3221565168</v>
      </c>
      <c r="T35" s="561">
        <f>SUM('Defect (Total)'!T35,Planned!T35,Reconductor!T35,CTGS!T35)</f>
        <v>3575382.0652589151</v>
      </c>
      <c r="U35" s="561">
        <f>SUM('Defect (Total)'!U35,Planned!U35,Reconductor!U35,CTGS!U35)</f>
        <v>5571117.2696554195</v>
      </c>
      <c r="V35" s="561">
        <f>SUM('Defect (Total)'!V35,Planned!V35,Reconductor!V35,CTGS!V35)</f>
        <v>6475412.1262246603</v>
      </c>
      <c r="W35" s="561">
        <f>SUM('Defect (Total)'!W35,Planned!W35,Reconductor!W35,CTGS!W35)</f>
        <v>10847109.778319165</v>
      </c>
      <c r="X35" s="675">
        <f>SUM('Defect (Total)'!X35,Planned!X35,Reconductor!X35,CTGS!X35)</f>
        <v>19482159.895934686</v>
      </c>
      <c r="Y35" s="675">
        <f>SUM('Defect (Total)'!Y35,Planned!Y35,Reconductor!Y35,CTGS!Y35)</f>
        <v>10649857.219487309</v>
      </c>
      <c r="Z35" s="125">
        <f>SUM('Defect (Total)'!Z35,Planned!Z35,Reconductor!Z35,CTGS!Z35)</f>
        <v>63</v>
      </c>
      <c r="AA35" s="126">
        <f>SUM('Defect (Total)'!AA35,Planned!AA35,Reconductor!AA35,CTGS!AA35)</f>
        <v>97</v>
      </c>
      <c r="AB35" s="126">
        <f>SUM('Defect (Total)'!AB35,Planned!AB35,Reconductor!AB35,CTGS!AB35)</f>
        <v>42</v>
      </c>
      <c r="AC35" s="126">
        <f>SUM('Defect (Total)'!AC35,Planned!AC35,Reconductor!AC35,CTGS!AC35)</f>
        <v>73.156666666666666</v>
      </c>
      <c r="AD35" s="126">
        <f>SUM('Defect (Total)'!AD35,Planned!AD35,Reconductor!AD35,CTGS!AD35)</f>
        <v>87</v>
      </c>
      <c r="AE35" s="126">
        <f>SUM('Defect (Total)'!AE35,Planned!AE35,Reconductor!AE35,CTGS!AE35)</f>
        <v>100.65825248100003</v>
      </c>
      <c r="AF35" s="126">
        <f>SUM('Defect (Total)'!AF35,Planned!AF35,Reconductor!AF35,CTGS!AF35)</f>
        <v>133.71200000300001</v>
      </c>
      <c r="AG35" s="126">
        <f>SUM('Defect (Total)'!AG35,Planned!AG35,Reconductor!AG35,CTGS!AG35)</f>
        <v>129.6723333333332</v>
      </c>
      <c r="AH35" s="126">
        <f>SUM('Defect (Total)'!AH35,Planned!AH35,Reconductor!AH35,CTGS!AH35)</f>
        <v>259.55516201200004</v>
      </c>
      <c r="AI35" s="126">
        <f>SUM('Defect (Total)'!AI35,Planned!AI35,Reconductor!AI35,CTGS!AI35)</f>
        <v>254.68382865399994</v>
      </c>
      <c r="AJ35" s="126">
        <f>SUM('Defect (Total)'!AJ35,Planned!AJ35,Reconductor!AJ35,CTGS!AJ35)</f>
        <v>286.6449944859998</v>
      </c>
      <c r="AK35" s="127">
        <f t="shared" si="14"/>
        <v>142.11954956586663</v>
      </c>
      <c r="AL35" s="128">
        <f t="shared" si="0"/>
        <v>174.31316511611109</v>
      </c>
      <c r="AM35" s="129">
        <f t="shared" si="15"/>
        <v>259.55516201200004</v>
      </c>
      <c r="AN35" s="91">
        <f t="shared" si="1"/>
        <v>24372.904761904763</v>
      </c>
      <c r="AO35" s="92">
        <f t="shared" si="2"/>
        <v>26642.195876288661</v>
      </c>
      <c r="AP35" s="92">
        <f t="shared" si="3"/>
        <v>33501.642857142855</v>
      </c>
      <c r="AQ35" s="92">
        <f t="shared" si="4"/>
        <v>31761.691344838888</v>
      </c>
      <c r="AR35" s="92">
        <f t="shared" si="5"/>
        <v>27025.333333333332</v>
      </c>
      <c r="AS35" s="92">
        <f t="shared" si="6"/>
        <v>28618.666656200188</v>
      </c>
      <c r="AT35" s="92">
        <f t="shared" si="7"/>
        <v>33452.792522582691</v>
      </c>
      <c r="AU35" s="92">
        <f t="shared" si="8"/>
        <v>41636.188526278595</v>
      </c>
      <c r="AV35" s="92">
        <f t="shared" si="9"/>
        <v>36985.703914041165</v>
      </c>
      <c r="AW35" s="92">
        <f t="shared" si="20"/>
        <v>71930.684952010095</v>
      </c>
      <c r="AX35" s="92">
        <f t="shared" si="20"/>
        <v>36348.064641566656</v>
      </c>
      <c r="AY35" s="93">
        <f t="shared" si="11"/>
        <v>46308.860605741786</v>
      </c>
      <c r="AZ35" s="94">
        <f t="shared" si="12"/>
        <v>51743.886290409479</v>
      </c>
      <c r="BA35" s="95">
        <f t="shared" si="13"/>
        <v>71930.684952010095</v>
      </c>
      <c r="BB35" s="692">
        <f>SUM('Defect (Total)'!BB35,Planned!CE35,Reconductor!CE35,CTGS!CE35,'Substation 2025$'!CE35*$BL$1,Comms!CA35*$BL$2)</f>
        <v>185.4875267405333</v>
      </c>
      <c r="BC35" s="692">
        <f>SUM('Defect (Total)'!BC35,Planned!CF35,Reconductor!CF35,CTGS!CF35,'Substation 2025$'!CF35*$BL$1,Comms!CB35*$BL$2)</f>
        <v>169.2715174553519</v>
      </c>
      <c r="BD35" s="363">
        <f>SUM('Defect (Total)'!BD35,Planned!CG35,Reconductor!CG35,CTGS!CG35,'Substation 2025$'!CG35*$BL$1,Comms!CC35*$BL$2)</f>
        <v>169.2715174553519</v>
      </c>
      <c r="BE35" s="363">
        <f>SUM('Defect (Total)'!BE35,Planned!CH35,Reconductor!CH35,CTGS!CH35,'Substation 2025$'!CH35*$BL$1,Comms!CD35*$BL$2)</f>
        <v>218.51252193526636</v>
      </c>
      <c r="BF35" s="363">
        <f>SUM('Defect (Total)'!BF35,Planned!CI35,Reconductor!CI35,CTGS!CI35,'Substation 2025$'!CI35*$BL$1,Comms!CE35*$BL$2)</f>
        <v>226.60649780011798</v>
      </c>
      <c r="BG35" s="363">
        <f>SUM('Defect (Total)'!BG35,Planned!CJ35,Reconductor!CJ35,CTGS!CJ35,'Substation 2025$'!CJ35*$BL$1,Comms!CF35*$BL$2)</f>
        <v>232.01243390053722</v>
      </c>
      <c r="BH35" s="363">
        <f>SUM('Defect (Total)'!BH35,Planned!CK35,Reconductor!CK35,CTGS!CK35,'Substation 2025$'!CK35*$BL$1,Comms!CG35*$BL$2)</f>
        <v>237.4254129107772</v>
      </c>
      <c r="BI35" s="364">
        <f>SUM('Defect (Total)'!BI35,Planned!CL35,Reconductor!CL35,CTGS!CL35,'Substation 2025$'!CL35*$BL$1,Comms!CH35*$BL$2)</f>
        <v>240.1343293382788</v>
      </c>
      <c r="BJ35" s="99">
        <f t="shared" si="16"/>
        <v>50880.135484374965</v>
      </c>
      <c r="BK35" s="992">
        <f>SUM('Defect (Total)'!BK35,Planned!CQ35,Reconductor!CQ35,CTGS!CQ35,'Substation 2025$'!CQ35*$BL$1,Comms!CM35*$BL$2)</f>
        <v>9676400.7698584963</v>
      </c>
      <c r="BL35" s="992">
        <f>SUM('Defect (Total)'!BL35,Planned!CR35,Reconductor!CR35,CTGS!CR35,'Substation 2025$'!CR35*$BL$1,Comms!CN35*$BL$2)</f>
        <v>8915969.3770975545</v>
      </c>
      <c r="BM35" s="524">
        <f>SUM('Defect (Total)'!BM35,Planned!CS35,Reconductor!CS35,CTGS!CS35,'Substation 2025$'!CS35*$BL$1,Comms!CO35*$BL$2)</f>
        <v>8915969.3770975545</v>
      </c>
      <c r="BN35" s="416">
        <f>SUM('Defect (Total)'!BN35,Planned!CT35,Reconductor!CT35,CTGS!CT35,'Substation 2025$'!CT35*$BL$1,Comms!CP35*$BL$2)</f>
        <v>11167478.958418332</v>
      </c>
      <c r="BO35" s="97">
        <f>SUM('Defect (Total)'!BO35,Planned!CU35,Reconductor!CU35,CTGS!CU35,'Substation 2025$'!CU35*$BL$1,Comms!CQ35*$BL$2)</f>
        <v>11547036.791152623</v>
      </c>
      <c r="BP35" s="97">
        <f>SUM('Defect (Total)'!BP35,Planned!CV35,Reconductor!CV35,CTGS!CV35,'Substation 2025$'!CV35*$BL$1,Comms!CR35*$BL$2)</f>
        <v>11800542.043013513</v>
      </c>
      <c r="BQ35" s="97">
        <f>SUM('Defect (Total)'!BQ35,Planned!CW35,Reconductor!CW35,CTGS!CW35,'Substation 2025$'!CW35*$BL$1,Comms!CS35*$BL$2)</f>
        <v>12054377.564155202</v>
      </c>
      <c r="BR35" s="98">
        <f>SUM('Defect (Total)'!BR35,Planned!CX35,Reconductor!CX35,CTGS!CX35,'Substation 2025$'!CX35*$BL$1,Comms!CT35*$BL$2)</f>
        <v>12181409.13250294</v>
      </c>
    </row>
    <row r="36" spans="1:70" x14ac:dyDescent="0.25">
      <c r="A36" s="81" t="s">
        <v>81</v>
      </c>
      <c r="B36" s="82" t="s">
        <v>311</v>
      </c>
      <c r="C36" s="83" t="s">
        <v>312</v>
      </c>
      <c r="D36" s="84">
        <f>SUM('Defect (Total)'!D36,Planned!D36,Reconductor!D36,CTGS!D36)</f>
        <v>386970</v>
      </c>
      <c r="E36" s="85">
        <f>SUM('Defect (Total)'!E36,Planned!E36,Reconductor!E36,CTGS!E36)</f>
        <v>824940</v>
      </c>
      <c r="F36" s="85">
        <f>SUM('Defect (Total)'!F36,Planned!F36,Reconductor!F36,CTGS!F36)</f>
        <v>603780</v>
      </c>
      <c r="G36" s="85">
        <f>SUM('Defect (Total)'!G36,Planned!G36,Reconductor!G36,CTGS!G36)</f>
        <v>427709.42908102879</v>
      </c>
      <c r="H36" s="85">
        <f>SUM('Defect (Total)'!H36,Planned!H36,Reconductor!H36,CTGS!H36)</f>
        <v>1092339</v>
      </c>
      <c r="I36" s="85">
        <f>SUM('Defect (Total)'!I36,Planned!I36,Reconductor!I36,CTGS!I36)</f>
        <v>2898913.8779004295</v>
      </c>
      <c r="J36" s="85">
        <f>SUM('Defect (Total)'!J36,Planned!J36,Reconductor!J36,CTGS!J36)</f>
        <v>1692631.9395586671</v>
      </c>
      <c r="K36" s="85">
        <f>SUM('Defect (Total)'!K36,Planned!K36,Reconductor!K36,CTGS!K36)</f>
        <v>1825867.3841027769</v>
      </c>
      <c r="L36" s="85">
        <f>SUM('Defect (Total)'!L36,Planned!L36,Reconductor!L36,CTGS!L36)</f>
        <v>2539931.7166806371</v>
      </c>
      <c r="M36" s="85">
        <f>SUM('Defect (Total)'!M36,Planned!M36,Reconductor!M36,CTGS!M36)</f>
        <v>2058858.2727303552</v>
      </c>
      <c r="N36" s="85">
        <f>SUM('Defect (Total)'!N36,Planned!N36,Reconductor!N36,CTGS!N36)</f>
        <v>4681412.0813009739</v>
      </c>
      <c r="O36" s="560">
        <f>SUM('Defect (Total)'!O36,Planned!O36,Reconductor!O36,CTGS!O36)</f>
        <v>520651.23184336902</v>
      </c>
      <c r="P36" s="561">
        <f>SUM('Defect (Total)'!P36,Planned!P36,Reconductor!P36,CTGS!P36)</f>
        <v>1093400.9854774731</v>
      </c>
      <c r="Q36" s="561">
        <f>SUM('Defect (Total)'!Q36,Planned!Q36,Reconductor!Q36,CTGS!Q36)</f>
        <v>792162.830367191</v>
      </c>
      <c r="R36" s="561">
        <f>SUM('Defect (Total)'!R36,Planned!R36,Reconductor!R36,CTGS!R36)</f>
        <v>550511.9702219012</v>
      </c>
      <c r="S36" s="561">
        <f>SUM('Defect (Total)'!S36,Planned!S36,Reconductor!S36,CTGS!S36)</f>
        <v>1377350.7791782964</v>
      </c>
      <c r="T36" s="561">
        <f>SUM('Defect (Total)'!T36,Planned!T36,Reconductor!T36,CTGS!T36)</f>
        <v>3597982.0153417471</v>
      </c>
      <c r="U36" s="561">
        <f>SUM('Defect (Total)'!U36,Planned!U36,Reconductor!U36,CTGS!U36)</f>
        <v>2108152.724808679</v>
      </c>
      <c r="V36" s="561">
        <f>SUM('Defect (Total)'!V36,Planned!V36,Reconductor!V36,CTGS!V36)</f>
        <v>2189870.0957598868</v>
      </c>
      <c r="W36" s="561">
        <f>SUM('Defect (Total)'!W36,Planned!W36,Reconductor!W36,CTGS!W36)</f>
        <v>2869938.0191088677</v>
      </c>
      <c r="X36" s="675">
        <f>SUM('Defect (Total)'!X36,Planned!X36,Reconductor!X36,CTGS!X36)</f>
        <v>2189515.3254101952</v>
      </c>
      <c r="Y36" s="675">
        <f>SUM('Defect (Total)'!Y36,Planned!Y36,Reconductor!Y36,CTGS!Y36)</f>
        <v>4765222.848111121</v>
      </c>
      <c r="Z36" s="125">
        <f>SUM('Defect (Total)'!Z36,Planned!Z36,Reconductor!Z36,CTGS!Z36)</f>
        <v>28</v>
      </c>
      <c r="AA36" s="126">
        <f>SUM('Defect (Total)'!AA36,Planned!AA36,Reconductor!AA36,CTGS!AA36)</f>
        <v>63</v>
      </c>
      <c r="AB36" s="126">
        <f>SUM('Defect (Total)'!AB36,Planned!AB36,Reconductor!AB36,CTGS!AB36)</f>
        <v>12</v>
      </c>
      <c r="AC36" s="126">
        <f>SUM('Defect (Total)'!AC36,Planned!AC36,Reconductor!AC36,CTGS!AC36)</f>
        <v>24.050333333333334</v>
      </c>
      <c r="AD36" s="126">
        <f>SUM('Defect (Total)'!AD36,Planned!AD36,Reconductor!AD36,CTGS!AD36)</f>
        <v>79</v>
      </c>
      <c r="AE36" s="126">
        <f>SUM('Defect (Total)'!AE36,Planned!AE36,Reconductor!AE36,CTGS!AE36)</f>
        <v>153.46089098000013</v>
      </c>
      <c r="AF36" s="126">
        <f>SUM('Defect (Total)'!AF36,Planned!AF36,Reconductor!AF36,CTGS!AF36)</f>
        <v>78.187999992000016</v>
      </c>
      <c r="AG36" s="126">
        <f>SUM('Defect (Total)'!AG36,Planned!AG36,Reconductor!AG36,CTGS!AG36)</f>
        <v>63.740333333333282</v>
      </c>
      <c r="AH36" s="126">
        <f>SUM('Defect (Total)'!AH36,Planned!AH36,Reconductor!AH36,CTGS!AH36)</f>
        <v>63.734998626000007</v>
      </c>
      <c r="AI36" s="126">
        <f>SUM('Defect (Total)'!AI36,Planned!AI36,Reconductor!AI36,CTGS!AI36)</f>
        <v>59.721331628000002</v>
      </c>
      <c r="AJ36" s="126">
        <f>SUM('Defect (Total)'!AJ36,Planned!AJ36,Reconductor!AJ36,CTGS!AJ36)</f>
        <v>100.62766474600005</v>
      </c>
      <c r="AK36" s="127">
        <f t="shared" si="14"/>
        <v>87.624844586266676</v>
      </c>
      <c r="AL36" s="128">
        <f t="shared" si="0"/>
        <v>68.554443983777773</v>
      </c>
      <c r="AM36" s="129">
        <f t="shared" si="15"/>
        <v>63.734998626000007</v>
      </c>
      <c r="AN36" s="91">
        <f t="shared" si="1"/>
        <v>13820.357142857143</v>
      </c>
      <c r="AO36" s="92">
        <f t="shared" si="2"/>
        <v>13094.285714285714</v>
      </c>
      <c r="AP36" s="92">
        <f t="shared" si="3"/>
        <v>50315</v>
      </c>
      <c r="AQ36" s="92">
        <f t="shared" si="4"/>
        <v>17783.929359857608</v>
      </c>
      <c r="AR36" s="92">
        <f t="shared" si="5"/>
        <v>13827.075949367088</v>
      </c>
      <c r="AS36" s="92">
        <f t="shared" si="6"/>
        <v>18890.245321710219</v>
      </c>
      <c r="AT36" s="92">
        <f t="shared" si="7"/>
        <v>21648.231694529244</v>
      </c>
      <c r="AU36" s="92">
        <f t="shared" si="8"/>
        <v>28645.40062183722</v>
      </c>
      <c r="AV36" s="92">
        <f t="shared" si="9"/>
        <v>39851.443813234808</v>
      </c>
      <c r="AW36" s="92">
        <f t="shared" si="20"/>
        <v>34474.42005404098</v>
      </c>
      <c r="AX36" s="92">
        <f t="shared" si="20"/>
        <v>46522.117879984493</v>
      </c>
      <c r="AY36" s="93">
        <f t="shared" si="11"/>
        <v>26301.349199140932</v>
      </c>
      <c r="AZ36" s="94">
        <f t="shared" si="12"/>
        <v>34320.362609008036</v>
      </c>
      <c r="BA36" s="95">
        <f t="shared" si="13"/>
        <v>34474.42005404098</v>
      </c>
      <c r="BB36" s="692">
        <f>SUM('Defect (Total)'!BB36,Planned!CE36,Reconductor!CE36,CTGS!CE36,'Substation 2025$'!CE36*$BL$1,Comms!CA36*$BL$2)</f>
        <v>54.716976388244447</v>
      </c>
      <c r="BC36" s="692">
        <f>SUM('Defect (Total)'!BC36,Planned!CF36,Reconductor!CF36,CTGS!CF36,'Substation 2025$'!CF36*$BL$1,Comms!CB36*$BL$2)</f>
        <v>66.693465533045412</v>
      </c>
      <c r="BD36" s="363">
        <f>SUM('Defect (Total)'!BD36,Planned!CG36,Reconductor!CG36,CTGS!CG36,'Substation 2025$'!CG36*$BL$1,Comms!CC36*$BL$2)</f>
        <v>66.693465533045412</v>
      </c>
      <c r="BE36" s="363">
        <f>SUM('Defect (Total)'!BE36,Planned!CH36,Reconductor!CH36,CTGS!CH36,'Substation 2025$'!CH36*$BL$1,Comms!CD36*$BL$2)</f>
        <v>80.870125299563369</v>
      </c>
      <c r="BF36" s="363">
        <f>SUM('Defect (Total)'!BF36,Planned!CI36,Reconductor!CI36,CTGS!CI36,'Substation 2025$'!CI36*$BL$1,Comms!CE36*$BL$2)</f>
        <v>86.404000485845515</v>
      </c>
      <c r="BG36" s="363">
        <f>SUM('Defect (Total)'!BG36,Planned!CJ36,Reconductor!CJ36,CTGS!CJ36,'Substation 2025$'!CJ36*$BL$1,Comms!CF36*$BL$2)</f>
        <v>90.076548890123902</v>
      </c>
      <c r="BH36" s="363">
        <f>SUM('Defect (Total)'!BH36,Planned!CK36,Reconductor!CK36,CTGS!CK36,'Substation 2025$'!CK36*$BL$1,Comms!CG36*$BL$2)</f>
        <v>93.737276754844714</v>
      </c>
      <c r="BI36" s="364">
        <f>SUM('Defect (Total)'!BI36,Planned!CL36,Reconductor!CL36,CTGS!CL36,'Substation 2025$'!CL36*$BL$1,Comms!CH36*$BL$2)</f>
        <v>95.563567168604024</v>
      </c>
      <c r="BJ36" s="99">
        <f t="shared" si="16"/>
        <v>28859.070479020444</v>
      </c>
      <c r="BK36" s="992">
        <f>SUM('Defect (Total)'!BK36,Planned!CQ36,Reconductor!CQ36,CTGS!CQ36,'Substation 2025$'!CQ36*$BL$1,Comms!CM36*$BL$2)</f>
        <v>1894533.0263624394</v>
      </c>
      <c r="BL36" s="992">
        <f>SUM('Defect (Total)'!BL36,Planned!CR36,Reconductor!CR36,CTGS!CR36,'Substation 2025$'!CR36*$BL$1,Comms!CN36*$BL$2)</f>
        <v>2140289.225137033</v>
      </c>
      <c r="BM36" s="524">
        <f>SUM('Defect (Total)'!BM36,Planned!CS36,Reconductor!CS36,CTGS!CS36,'Substation 2025$'!CS36*$BL$1,Comms!CO36*$BL$2)</f>
        <v>2140289.225137033</v>
      </c>
      <c r="BN36" s="416">
        <f>SUM('Defect (Total)'!BN36,Planned!CT36,Reconductor!CT36,CTGS!CT36,'Substation 2025$'!CT36*$BL$1,Comms!CP36*$BL$2)</f>
        <v>2404387.6294051479</v>
      </c>
      <c r="BO36" s="97">
        <f>SUM('Defect (Total)'!BO36,Planned!CU36,Reconductor!CU36,CTGS!CU36,'Substation 2025$'!CU36*$BL$1,Comms!CQ36*$BL$2)</f>
        <v>2517942.1205277923</v>
      </c>
      <c r="BP36" s="97">
        <f>SUM('Defect (Total)'!BP36,Planned!CV36,Reconductor!CV36,CTGS!CV36,'Substation 2025$'!CV36*$BL$1,Comms!CR36*$BL$2)</f>
        <v>2593302.3972114609</v>
      </c>
      <c r="BQ36" s="97">
        <f>SUM('Defect (Total)'!BQ36,Planned!CW36,Reconductor!CW36,CTGS!CW36,'Substation 2025$'!CW36*$BL$1,Comms!CS36*$BL$2)</f>
        <v>2668420.1177641954</v>
      </c>
      <c r="BR36" s="98">
        <f>SUM('Defect (Total)'!BR36,Planned!CX36,Reconductor!CX36,CTGS!CX36,'Substation 2025$'!CX36*$BL$1,Comms!CT36*$BL$2)</f>
        <v>2705895.3899009223</v>
      </c>
    </row>
    <row r="37" spans="1:70" x14ac:dyDescent="0.25">
      <c r="A37" s="81" t="s">
        <v>81</v>
      </c>
      <c r="B37" s="82" t="s">
        <v>313</v>
      </c>
      <c r="C37" s="83" t="s">
        <v>314</v>
      </c>
      <c r="D37" s="84">
        <f>SUM('Defect (Total)'!D37,Planned!D37,Reconductor!D37,CTGS!D37)</f>
        <v>0</v>
      </c>
      <c r="E37" s="85">
        <f>SUM('Defect (Total)'!E37,Planned!E37,Reconductor!E37,CTGS!E37)</f>
        <v>0</v>
      </c>
      <c r="F37" s="85">
        <f>SUM('Defect (Total)'!F37,Planned!F37,Reconductor!F37,CTGS!F37)</f>
        <v>0</v>
      </c>
      <c r="G37" s="85">
        <f>SUM('Defect (Total)'!G37,Planned!G37,Reconductor!G37,CTGS!G37)</f>
        <v>0</v>
      </c>
      <c r="H37" s="85">
        <f>SUM('Defect (Total)'!H37,Planned!H37,Reconductor!H37,CTGS!H37)</f>
        <v>0</v>
      </c>
      <c r="I37" s="85">
        <f>SUM('Defect (Total)'!I37,Planned!I37,Reconductor!I37,CTGS!I37)</f>
        <v>0</v>
      </c>
      <c r="J37" s="85">
        <f>SUM('Defect (Total)'!J37,Planned!J37,Reconductor!J37,CTGS!J37)</f>
        <v>0</v>
      </c>
      <c r="K37" s="85">
        <f>SUM('Defect (Total)'!K37,Planned!K37,Reconductor!K37,CTGS!K37)</f>
        <v>0</v>
      </c>
      <c r="L37" s="85">
        <f>SUM('Defect (Total)'!L37,Planned!L37,Reconductor!L37,CTGS!L37)</f>
        <v>0</v>
      </c>
      <c r="M37" s="85">
        <f>SUM('Defect (Total)'!M37,Planned!M37,Reconductor!M37,CTGS!M37)</f>
        <v>0</v>
      </c>
      <c r="N37" s="85">
        <f>SUM('Defect (Total)'!N37,Planned!N37,Reconductor!N37,CTGS!N37)</f>
        <v>0</v>
      </c>
      <c r="O37" s="560">
        <f>SUM('Defect (Total)'!O37,Planned!O37,Reconductor!O37,CTGS!O37)</f>
        <v>0</v>
      </c>
      <c r="P37" s="561">
        <f>SUM('Defect (Total)'!P37,Planned!P37,Reconductor!P37,CTGS!P37)</f>
        <v>0</v>
      </c>
      <c r="Q37" s="561">
        <f>SUM('Defect (Total)'!Q37,Planned!Q37,Reconductor!Q37,CTGS!Q37)</f>
        <v>0</v>
      </c>
      <c r="R37" s="561">
        <f>SUM('Defect (Total)'!R37,Planned!R37,Reconductor!R37,CTGS!R37)</f>
        <v>0</v>
      </c>
      <c r="S37" s="561">
        <f>SUM('Defect (Total)'!S37,Planned!S37,Reconductor!S37,CTGS!S37)</f>
        <v>0</v>
      </c>
      <c r="T37" s="561">
        <f>SUM('Defect (Total)'!T37,Planned!T37,Reconductor!T37,CTGS!T37)</f>
        <v>0</v>
      </c>
      <c r="U37" s="561">
        <f>SUM('Defect (Total)'!U37,Planned!U37,Reconductor!U37,CTGS!U37)</f>
        <v>0</v>
      </c>
      <c r="V37" s="561">
        <f>SUM('Defect (Total)'!V37,Planned!V37,Reconductor!V37,CTGS!V37)</f>
        <v>0</v>
      </c>
      <c r="W37" s="561">
        <f>SUM('Defect (Total)'!W37,Planned!W37,Reconductor!W37,CTGS!W37)</f>
        <v>0</v>
      </c>
      <c r="X37" s="675">
        <f>SUM('Defect (Total)'!X37,Planned!X37,Reconductor!X37,CTGS!X37)</f>
        <v>0</v>
      </c>
      <c r="Y37" s="675">
        <f>SUM('Defect (Total)'!Y37,Planned!Y37,Reconductor!Y37,CTGS!Y37)</f>
        <v>0</v>
      </c>
      <c r="Z37" s="125">
        <f>SUM('Defect (Total)'!Z37,Planned!Z37,Reconductor!Z37,CTGS!Z37)</f>
        <v>0</v>
      </c>
      <c r="AA37" s="126">
        <f>SUM('Defect (Total)'!AA37,Planned!AA37,Reconductor!AA37,CTGS!AA37)</f>
        <v>0</v>
      </c>
      <c r="AB37" s="126">
        <f>SUM('Defect (Total)'!AB37,Planned!AB37,Reconductor!AB37,CTGS!AB37)</f>
        <v>0</v>
      </c>
      <c r="AC37" s="126">
        <f>SUM('Defect (Total)'!AC37,Planned!AC37,Reconductor!AC37,CTGS!AC37)</f>
        <v>0</v>
      </c>
      <c r="AD37" s="126">
        <f>SUM('Defect (Total)'!AD37,Planned!AD37,Reconductor!AD37,CTGS!AD37)</f>
        <v>0</v>
      </c>
      <c r="AE37" s="126">
        <f>SUM('Defect (Total)'!AE37,Planned!AE37,Reconductor!AE37,CTGS!AE37)</f>
        <v>0</v>
      </c>
      <c r="AF37" s="126">
        <f>SUM('Defect (Total)'!AF37,Planned!AF37,Reconductor!AF37,CTGS!AF37)</f>
        <v>0</v>
      </c>
      <c r="AG37" s="126">
        <f>SUM('Defect (Total)'!AG37,Planned!AG37,Reconductor!AG37,CTGS!AG37)</f>
        <v>0</v>
      </c>
      <c r="AH37" s="126">
        <f>SUM('Defect (Total)'!AH37,Planned!AH37,Reconductor!AH37,CTGS!AH37)</f>
        <v>0</v>
      </c>
      <c r="AI37" s="126">
        <f>SUM('Defect (Total)'!AI37,Planned!AI37,Reconductor!AI37,CTGS!AI37)</f>
        <v>0</v>
      </c>
      <c r="AJ37" s="126">
        <f>SUM('Defect (Total)'!AJ37,Planned!AJ37,Reconductor!AJ37,CTGS!AJ37)</f>
        <v>0</v>
      </c>
      <c r="AK37" s="127">
        <f t="shared" si="14"/>
        <v>0</v>
      </c>
      <c r="AL37" s="128">
        <f t="shared" si="0"/>
        <v>0</v>
      </c>
      <c r="AM37" s="129">
        <f t="shared" si="15"/>
        <v>0</v>
      </c>
      <c r="AN37" s="91" t="str">
        <f t="shared" si="1"/>
        <v/>
      </c>
      <c r="AO37" s="92" t="str">
        <f t="shared" si="2"/>
        <v/>
      </c>
      <c r="AP37" s="92" t="str">
        <f t="shared" si="3"/>
        <v/>
      </c>
      <c r="AQ37" s="92" t="str">
        <f t="shared" si="4"/>
        <v/>
      </c>
      <c r="AR37" s="92" t="str">
        <f t="shared" si="5"/>
        <v/>
      </c>
      <c r="AS37" s="92" t="str">
        <f t="shared" si="6"/>
        <v/>
      </c>
      <c r="AT37" s="92" t="str">
        <f t="shared" si="7"/>
        <v/>
      </c>
      <c r="AU37" s="92" t="str">
        <f t="shared" si="8"/>
        <v/>
      </c>
      <c r="AV37" s="92" t="str">
        <f t="shared" si="9"/>
        <v/>
      </c>
      <c r="AW37" s="92" t="str">
        <f t="shared" si="20"/>
        <v/>
      </c>
      <c r="AX37" s="92" t="str">
        <f t="shared" si="20"/>
        <v/>
      </c>
      <c r="AY37" s="93" t="str">
        <f t="shared" si="11"/>
        <v/>
      </c>
      <c r="AZ37" s="94" t="str">
        <f t="shared" si="12"/>
        <v/>
      </c>
      <c r="BA37" s="95" t="str">
        <f t="shared" si="13"/>
        <v/>
      </c>
      <c r="BB37" s="692">
        <f>SUM('Defect (Total)'!BB37,Planned!CE37,Reconductor!CE37,CTGS!CE37,'Substation 2025$'!CE37*$BL$1,Comms!CA37*$BL$2)</f>
        <v>0</v>
      </c>
      <c r="BC37" s="692">
        <f>SUM('Defect (Total)'!BC37,Planned!CF37,Reconductor!CF37,CTGS!CF37,'Substation 2025$'!CF37*$BL$1,Comms!CB37*$BL$2)</f>
        <v>0</v>
      </c>
      <c r="BD37" s="363">
        <f>SUM('Defect (Total)'!BD37,Planned!CG37,Reconductor!CG37,CTGS!CG37,'Substation 2025$'!CG37*$BL$1,Comms!CC37*$BL$2)</f>
        <v>0</v>
      </c>
      <c r="BE37" s="363">
        <f>SUM('Defect (Total)'!BE37,Planned!CH37,Reconductor!CH37,CTGS!CH37,'Substation 2025$'!CH37*$BL$1,Comms!CD37*$BL$2)</f>
        <v>0</v>
      </c>
      <c r="BF37" s="363">
        <f>SUM('Defect (Total)'!BF37,Planned!CI37,Reconductor!CI37,CTGS!CI37,'Substation 2025$'!CI37*$BL$1,Comms!CE37*$BL$2)</f>
        <v>0</v>
      </c>
      <c r="BG37" s="363">
        <f>SUM('Defect (Total)'!BG37,Planned!CJ37,Reconductor!CJ37,CTGS!CJ37,'Substation 2025$'!CJ37*$BL$1,Comms!CF37*$BL$2)</f>
        <v>0</v>
      </c>
      <c r="BH37" s="363">
        <f>SUM('Defect (Total)'!BH37,Planned!CK37,Reconductor!CK37,CTGS!CK37,'Substation 2025$'!CK37*$BL$1,Comms!CG37*$BL$2)</f>
        <v>0</v>
      </c>
      <c r="BI37" s="364">
        <f>SUM('Defect (Total)'!BI37,Planned!CL37,Reconductor!CL37,CTGS!CL37,'Substation 2025$'!CL37*$BL$1,Comms!CH37*$BL$2)</f>
        <v>0</v>
      </c>
      <c r="BJ37" s="99" t="str">
        <f t="shared" si="16"/>
        <v/>
      </c>
      <c r="BK37" s="992">
        <f>SUM('Defect (Total)'!BK37,Planned!CQ37,Reconductor!CQ37,CTGS!CQ37,'Substation 2025$'!CQ37*$BL$1,Comms!CM37*$BL$2)</f>
        <v>0</v>
      </c>
      <c r="BL37" s="992">
        <f>SUM('Defect (Total)'!BL37,Planned!CR37,Reconductor!CR37,CTGS!CR37,'Substation 2025$'!CR37*$BL$1,Comms!CN37*$BL$2)</f>
        <v>0</v>
      </c>
      <c r="BM37" s="524">
        <f>SUM('Defect (Total)'!BM37,Planned!CS37,Reconductor!CS37,CTGS!CS37,'Substation 2025$'!CS37*$BL$1,Comms!CO37*$BL$2)</f>
        <v>0</v>
      </c>
      <c r="BN37" s="416">
        <f>SUM('Defect (Total)'!BN37,Planned!CT37,Reconductor!CT37,CTGS!CT37,'Substation 2025$'!CT37*$BL$1,Comms!CP37*$BL$2)</f>
        <v>0</v>
      </c>
      <c r="BO37" s="97">
        <f>SUM('Defect (Total)'!BO37,Planned!CU37,Reconductor!CU37,CTGS!CU37,'Substation 2025$'!CU37*$BL$1,Comms!CQ37*$BL$2)</f>
        <v>0</v>
      </c>
      <c r="BP37" s="97">
        <f>SUM('Defect (Total)'!BP37,Planned!CV37,Reconductor!CV37,CTGS!CV37,'Substation 2025$'!CV37*$BL$1,Comms!CR37*$BL$2)</f>
        <v>0</v>
      </c>
      <c r="BQ37" s="97">
        <f>SUM('Defect (Total)'!BQ37,Planned!CW37,Reconductor!CW37,CTGS!CW37,'Substation 2025$'!CW37*$BL$1,Comms!CS37*$BL$2)</f>
        <v>0</v>
      </c>
      <c r="BR37" s="98">
        <f>SUM('Defect (Total)'!BR37,Planned!CX37,Reconductor!CX37,CTGS!CX37,'Substation 2025$'!CX37*$BL$1,Comms!CT37*$BL$2)</f>
        <v>0</v>
      </c>
    </row>
    <row r="38" spans="1:70" x14ac:dyDescent="0.25">
      <c r="A38" s="81" t="s">
        <v>81</v>
      </c>
      <c r="B38" s="82" t="s">
        <v>449</v>
      </c>
      <c r="C38" s="83" t="s">
        <v>315</v>
      </c>
      <c r="D38" s="84">
        <f>SUM('Defect (Total)'!D38,Planned!D38,Reconductor!D38,CTGS!D38)</f>
        <v>437338</v>
      </c>
      <c r="E38" s="85">
        <f>SUM('Defect (Total)'!E38,Planned!E38,Reconductor!E38,CTGS!E38)</f>
        <v>274441</v>
      </c>
      <c r="F38" s="85">
        <f>SUM('Defect (Total)'!F38,Planned!F38,Reconductor!F38,CTGS!F38)</f>
        <v>350529</v>
      </c>
      <c r="G38" s="85">
        <f>SUM('Defect (Total)'!G38,Planned!G38,Reconductor!G38,CTGS!G38)</f>
        <v>354835.7650204089</v>
      </c>
      <c r="H38" s="85">
        <f>SUM('Defect (Total)'!H38,Planned!H38,Reconductor!H38,CTGS!H38)</f>
        <v>441651</v>
      </c>
      <c r="I38" s="85">
        <f>SUM('Defect (Total)'!I38,Planned!I38,Reconductor!I38,CTGS!I38)</f>
        <v>1245549.6428246717</v>
      </c>
      <c r="J38" s="85">
        <f>SUM('Defect (Total)'!J38,Planned!J38,Reconductor!J38,CTGS!J38)</f>
        <v>558899.44599917717</v>
      </c>
      <c r="K38" s="85">
        <f>SUM('Defect (Total)'!K38,Planned!K38,Reconductor!K38,CTGS!K38)</f>
        <v>893618.78305501945</v>
      </c>
      <c r="L38" s="85">
        <f>SUM('Defect (Total)'!L38,Planned!L38,Reconductor!L38,CTGS!L38)</f>
        <v>1836067.5991669835</v>
      </c>
      <c r="M38" s="85">
        <f>SUM('Defect (Total)'!M38,Planned!M38,Reconductor!M38,CTGS!M38)</f>
        <v>4069540.2721248278</v>
      </c>
      <c r="N38" s="85">
        <f>SUM('Defect (Total)'!N38,Planned!N38,Reconductor!N38,CTGS!N38)</f>
        <v>2188972.4248955608</v>
      </c>
      <c r="O38" s="560">
        <f>SUM('Defect (Total)'!O38,Planned!O38,Reconductor!O38,CTGS!O38)</f>
        <v>588419.1757291659</v>
      </c>
      <c r="P38" s="561">
        <f>SUM('Defect (Total)'!P38,Planned!P38,Reconductor!P38,CTGS!P38)</f>
        <v>363752.58789175365</v>
      </c>
      <c r="Q38" s="561">
        <f>SUM('Defect (Total)'!Q38,Planned!Q38,Reconductor!Q38,CTGS!Q38)</f>
        <v>459896.06274765829</v>
      </c>
      <c r="R38" s="561">
        <f>SUM('Defect (Total)'!R38,Planned!R38,Reconductor!R38,CTGS!R38)</f>
        <v>456715.05658944405</v>
      </c>
      <c r="S38" s="561">
        <f>SUM('Defect (Total)'!S38,Planned!S38,Reconductor!S38,CTGS!S38)</f>
        <v>556886.04817265854</v>
      </c>
      <c r="T38" s="561">
        <f>SUM('Defect (Total)'!T38,Planned!T38,Reconductor!T38,CTGS!T38)</f>
        <v>1545911.8148567616</v>
      </c>
      <c r="U38" s="561">
        <f>SUM('Defect (Total)'!U38,Planned!U38,Reconductor!U38,CTGS!U38)</f>
        <v>696102.5385615963</v>
      </c>
      <c r="V38" s="561">
        <f>SUM('Defect (Total)'!V38,Planned!V38,Reconductor!V38,CTGS!V38)</f>
        <v>1071769.5420049061</v>
      </c>
      <c r="W38" s="561">
        <f>SUM('Defect (Total)'!W38,Planned!W38,Reconductor!W38,CTGS!W38)</f>
        <v>2074622.7837139231</v>
      </c>
      <c r="X38" s="675">
        <f>SUM('Defect (Total)'!X38,Planned!X38,Reconductor!X38,CTGS!X38)</f>
        <v>4327797.066562946</v>
      </c>
      <c r="Y38" s="675">
        <f>SUM('Defect (Total)'!Y38,Planned!Y38,Reconductor!Y38,CTGS!Y38)</f>
        <v>2226430.8678805656</v>
      </c>
      <c r="Z38" s="125">
        <f>SUM('Defect (Total)'!Z38,Planned!Z38,Reconductor!Z38,CTGS!Z38)</f>
        <v>19</v>
      </c>
      <c r="AA38" s="126">
        <f>SUM('Defect (Total)'!AA38,Planned!AA38,Reconductor!AA38,CTGS!AA38)</f>
        <v>37</v>
      </c>
      <c r="AB38" s="126">
        <f>SUM('Defect (Total)'!AB38,Planned!AB38,Reconductor!AB38,CTGS!AB38)</f>
        <v>-4</v>
      </c>
      <c r="AC38" s="126">
        <f>SUM('Defect (Total)'!AC38,Planned!AC38,Reconductor!AC38,CTGS!AC38)</f>
        <v>16.266666666666666</v>
      </c>
      <c r="AD38" s="126">
        <f>SUM('Defect (Total)'!AD38,Planned!AD38,Reconductor!AD38,CTGS!AD38)</f>
        <v>25</v>
      </c>
      <c r="AE38" s="126">
        <f>SUM('Defect (Total)'!AE38,Planned!AE38,Reconductor!AE38,CTGS!AE38)</f>
        <v>52.729380624999997</v>
      </c>
      <c r="AF38" s="126">
        <f>SUM('Defect (Total)'!AF38,Planned!AF38,Reconductor!AF38,CTGS!AF38)</f>
        <v>45.078666662000018</v>
      </c>
      <c r="AG38" s="126">
        <f>SUM('Defect (Total)'!AG38,Planned!AG38,Reconductor!AG38,CTGS!AG38)</f>
        <v>21.840666666666642</v>
      </c>
      <c r="AH38" s="126">
        <f>SUM('Defect (Total)'!AH38,Planned!AH38,Reconductor!AH38,CTGS!AH38)</f>
        <v>39.785665558999995</v>
      </c>
      <c r="AI38" s="126">
        <f>SUM('Defect (Total)'!AI38,Planned!AI38,Reconductor!AI38,CTGS!AI38)</f>
        <v>61.964998411333355</v>
      </c>
      <c r="AJ38" s="126">
        <f>SUM('Defect (Total)'!AJ38,Planned!AJ38,Reconductor!AJ38,CTGS!AJ38)</f>
        <v>59.524998494000016</v>
      </c>
      <c r="AK38" s="127">
        <f t="shared" si="14"/>
        <v>36.886875902533333</v>
      </c>
      <c r="AL38" s="128">
        <f t="shared" si="0"/>
        <v>35.568332962555552</v>
      </c>
      <c r="AM38" s="129">
        <f t="shared" si="15"/>
        <v>39.785665558999995</v>
      </c>
      <c r="AN38" s="91">
        <f t="shared" si="1"/>
        <v>23017.78947368421</v>
      </c>
      <c r="AO38" s="92">
        <f t="shared" si="2"/>
        <v>7417.3243243243242</v>
      </c>
      <c r="AP38" s="92">
        <f t="shared" si="3"/>
        <v>-87632.25</v>
      </c>
      <c r="AQ38" s="92">
        <f t="shared" si="4"/>
        <v>21813.674079123499</v>
      </c>
      <c r="AR38" s="92">
        <f t="shared" si="5"/>
        <v>17666.04</v>
      </c>
      <c r="AS38" s="92">
        <f t="shared" si="6"/>
        <v>23621.548898568573</v>
      </c>
      <c r="AT38" s="92">
        <f t="shared" si="7"/>
        <v>12398.313601194262</v>
      </c>
      <c r="AU38" s="92">
        <f t="shared" si="8"/>
        <v>40915.362003068607</v>
      </c>
      <c r="AV38" s="92">
        <f t="shared" si="9"/>
        <v>46148.97283656583</v>
      </c>
      <c r="AW38" s="92">
        <f t="shared" si="20"/>
        <v>65674.822503997872</v>
      </c>
      <c r="AX38" s="92">
        <f t="shared" si="20"/>
        <v>36774.002188613311</v>
      </c>
      <c r="AY38" s="93">
        <f t="shared" si="11"/>
        <v>38860.433230865136</v>
      </c>
      <c r="AZ38" s="94">
        <f t="shared" si="12"/>
        <v>55013.78308092527</v>
      </c>
      <c r="BA38" s="95">
        <f t="shared" si="13"/>
        <v>65674.822503997872</v>
      </c>
      <c r="BB38" s="692">
        <f>SUM('Defect (Total)'!BB38,Planned!CE38,Reconductor!CE38,CTGS!CE38,'Substation 2025$'!CE38*$BL$1,Comms!CA38*$BL$2)</f>
        <v>39.275997325444436</v>
      </c>
      <c r="BC38" s="692">
        <f>SUM('Defect (Total)'!BC38,Planned!CF38,Reconductor!CF38,CTGS!CF38,'Substation 2025$'!CF38*$BL$1,Comms!CB38*$BL$2)</f>
        <v>43.240895420921568</v>
      </c>
      <c r="BD38" s="363">
        <f>SUM('Defect (Total)'!BD38,Planned!CG38,Reconductor!CG38,CTGS!CG38,'Substation 2025$'!CG38*$BL$1,Comms!CC38*$BL$2)</f>
        <v>43.240895420921568</v>
      </c>
      <c r="BE38" s="363">
        <f>SUM('Defect (Total)'!BE38,Planned!CH38,Reconductor!CH38,CTGS!CH38,'Substation 2025$'!CH38*$BL$1,Comms!CD38*$BL$2)</f>
        <v>56.152640392414114</v>
      </c>
      <c r="BF38" s="363">
        <f>SUM('Defect (Total)'!BF38,Planned!CI38,Reconductor!CI38,CTGS!CI38,'Substation 2025$'!CI38*$BL$1,Comms!CE38*$BL$2)</f>
        <v>58.124349026461473</v>
      </c>
      <c r="BG38" s="363">
        <f>SUM('Defect (Total)'!BG38,Planned!CJ38,Reconductor!CJ38,CTGS!CJ38,'Substation 2025$'!CJ38*$BL$1,Comms!CF38*$BL$2)</f>
        <v>59.441704303829283</v>
      </c>
      <c r="BH38" s="363">
        <f>SUM('Defect (Total)'!BH38,Planned!CK38,Reconductor!CK38,CTGS!CK38,'Substation 2025$'!CK38*$BL$1,Comms!CG38*$BL$2)</f>
        <v>60.7610991841198</v>
      </c>
      <c r="BI38" s="364">
        <f>SUM('Defect (Total)'!BI38,Planned!CL38,Reconductor!CL38,CTGS!CL38,'Substation 2025$'!CL38*$BL$1,Comms!CH38*$BL$2)</f>
        <v>61.42149933262138</v>
      </c>
      <c r="BJ38" s="99">
        <f t="shared" si="16"/>
        <v>44838.334973013094</v>
      </c>
      <c r="BK38" s="992">
        <f>SUM('Defect (Total)'!BK38,Planned!CQ38,Reconductor!CQ38,CTGS!CQ38,'Substation 2025$'!CQ38*$BL$1,Comms!CM38*$BL$2)</f>
        <v>2140684.8979861061</v>
      </c>
      <c r="BL38" s="992">
        <f>SUM('Defect (Total)'!BL38,Planned!CR38,Reconductor!CR38,CTGS!CR38,'Substation 2025$'!CR38*$BL$1,Comms!CN38*$BL$2)</f>
        <v>2246743.7439941941</v>
      </c>
      <c r="BM38" s="524">
        <f>SUM('Defect (Total)'!BM38,Planned!CS38,Reconductor!CS38,CTGS!CS38,'Substation 2025$'!CS38*$BL$1,Comms!CO38*$BL$2)</f>
        <v>2246743.7439941941</v>
      </c>
      <c r="BN38" s="416">
        <f>SUM('Defect (Total)'!BN38,Planned!CT38,Reconductor!CT38,CTGS!CT38,'Substation 2025$'!CT38*$BL$1,Comms!CP38*$BL$2)</f>
        <v>2572557.132259869</v>
      </c>
      <c r="BO38" s="97">
        <f>SUM('Defect (Total)'!BO38,Planned!CU38,Reconductor!CU38,CTGS!CU38,'Substation 2025$'!CU38*$BL$1,Comms!CQ38*$BL$2)</f>
        <v>2625299.2550977273</v>
      </c>
      <c r="BP38" s="97">
        <f>SUM('Defect (Total)'!BP38,Planned!CV38,Reconductor!CV38,CTGS!CV38,'Substation 2025$'!CV38*$BL$1,Comms!CR38*$BL$2)</f>
        <v>2660537.7851017322</v>
      </c>
      <c r="BQ38" s="97">
        <f>SUM('Defect (Total)'!BQ38,Planned!CW38,Reconductor!CW38,CTGS!CW38,'Substation 2025$'!CW38*$BL$1,Comms!CS38*$BL$2)</f>
        <v>2695830.8733635005</v>
      </c>
      <c r="BR38" s="98">
        <f>SUM('Defect (Total)'!BR38,Planned!CX38,Reconductor!CX38,CTGS!CX38,'Substation 2025$'!CX38*$BL$1,Comms!CT38*$BL$2)</f>
        <v>2713496.2145568961</v>
      </c>
    </row>
    <row r="39" spans="1:70" x14ac:dyDescent="0.25">
      <c r="A39" s="81" t="s">
        <v>81</v>
      </c>
      <c r="B39" s="82" t="s">
        <v>316</v>
      </c>
      <c r="C39" s="83" t="s">
        <v>74</v>
      </c>
      <c r="D39" s="84">
        <f>SUM('Defect (Total)'!D39,Planned!D39,Reconductor!D39,CTGS!D39)</f>
        <v>607475</v>
      </c>
      <c r="E39" s="85">
        <f>SUM('Defect (Total)'!E39,Planned!E39,Reconductor!E39,CTGS!E39)</f>
        <v>274798</v>
      </c>
      <c r="F39" s="85">
        <f>SUM('Defect (Total)'!F39,Planned!F39,Reconductor!F39,CTGS!F39)</f>
        <v>81377</v>
      </c>
      <c r="G39" s="85">
        <f>SUM('Defect (Total)'!G39,Planned!G39,Reconductor!G39,CTGS!G39)</f>
        <v>10688</v>
      </c>
      <c r="H39" s="85">
        <f>SUM('Defect (Total)'!H39,Planned!H39,Reconductor!H39,CTGS!H39)</f>
        <v>34847</v>
      </c>
      <c r="I39" s="85">
        <f>SUM('Defect (Total)'!I39,Planned!I39,Reconductor!I39,CTGS!I39)</f>
        <v>126115.73273143986</v>
      </c>
      <c r="J39" s="85">
        <f>SUM('Defect (Total)'!J39,Planned!J39,Reconductor!J39,CTGS!J39)</f>
        <v>231829.44632006879</v>
      </c>
      <c r="K39" s="85">
        <f>SUM('Defect (Total)'!K39,Planned!K39,Reconductor!K39,CTGS!K39)</f>
        <v>862982.08648066688</v>
      </c>
      <c r="L39" s="85">
        <f>SUM('Defect (Total)'!L39,Planned!L39,Reconductor!L39,CTGS!L39)</f>
        <v>8965788.5291759353</v>
      </c>
      <c r="M39" s="85">
        <f>SUM('Defect (Total)'!M39,Planned!M39,Reconductor!M39,CTGS!M39)</f>
        <v>7036715.0832002051</v>
      </c>
      <c r="N39" s="85">
        <f>SUM('Defect (Total)'!N39,Planned!N39,Reconductor!N39,CTGS!N39)</f>
        <v>2862095.4180845474</v>
      </c>
      <c r="O39" s="560">
        <f>SUM('Defect (Total)'!O39,Planned!O39,Reconductor!O39,CTGS!O39)</f>
        <v>817331.07751001522</v>
      </c>
      <c r="P39" s="561">
        <f>SUM('Defect (Total)'!P39,Planned!P39,Reconductor!P39,CTGS!P39)</f>
        <v>364225.76673120313</v>
      </c>
      <c r="Q39" s="561">
        <f>SUM('Defect (Total)'!Q39,Planned!Q39,Reconductor!Q39,CTGS!Q39)</f>
        <v>106767.09173339774</v>
      </c>
      <c r="R39" s="561">
        <f>SUM('Defect (Total)'!R39,Planned!R39,Reconductor!R39,CTGS!R39)</f>
        <v>13756.703821970197</v>
      </c>
      <c r="S39" s="561">
        <f>SUM('Defect (Total)'!S39,Planned!S39,Reconductor!S39,CTGS!S39)</f>
        <v>43939.237363150161</v>
      </c>
      <c r="T39" s="561">
        <f>SUM('Defect (Total)'!T39,Planned!T39,Reconductor!T39,CTGS!T39)</f>
        <v>156528.32658416516</v>
      </c>
      <c r="U39" s="561">
        <f>SUM('Defect (Total)'!U39,Planned!U39,Reconductor!U39,CTGS!U39)</f>
        <v>288740.78736690461</v>
      </c>
      <c r="V39" s="561">
        <f>SUM('Defect (Total)'!V39,Planned!V39,Reconductor!V39,CTGS!V39)</f>
        <v>1035025.1506842778</v>
      </c>
      <c r="W39" s="561">
        <f>SUM('Defect (Total)'!W39,Planned!W39,Reconductor!W39,CTGS!W39)</f>
        <v>10130688.633157281</v>
      </c>
      <c r="X39" s="675">
        <f>SUM('Defect (Total)'!X39,Planned!X39,Reconductor!X39,CTGS!X39)</f>
        <v>7483271.5390263051</v>
      </c>
      <c r="Y39" s="675">
        <f>SUM('Defect (Total)'!Y39,Planned!Y39,Reconductor!Y39,CTGS!Y39)</f>
        <v>2929777.6296998817</v>
      </c>
      <c r="Z39" s="125">
        <f>SUM('Defect (Total)'!Z39,Planned!Z39,Reconductor!Z39,CTGS!Z39)</f>
        <v>9</v>
      </c>
      <c r="AA39" s="126">
        <f>SUM('Defect (Total)'!AA39,Planned!AA39,Reconductor!AA39,CTGS!AA39)</f>
        <v>13</v>
      </c>
      <c r="AB39" s="126">
        <f>SUM('Defect (Total)'!AB39,Planned!AB39,Reconductor!AB39,CTGS!AB39)</f>
        <v>2</v>
      </c>
      <c r="AC39" s="126">
        <f>SUM('Defect (Total)'!AC39,Planned!AC39,Reconductor!AC39,CTGS!AC39)</f>
        <v>0</v>
      </c>
      <c r="AD39" s="126">
        <f>SUM('Defect (Total)'!AD39,Planned!AD39,Reconductor!AD39,CTGS!AD39)</f>
        <v>1</v>
      </c>
      <c r="AE39" s="126">
        <f>SUM('Defect (Total)'!AE39,Planned!AE39,Reconductor!AE39,CTGS!AE39)</f>
        <v>1.286010079</v>
      </c>
      <c r="AF39" s="126">
        <f>SUM('Defect (Total)'!AF39,Planned!AF39,Reconductor!AF39,CTGS!AF39)</f>
        <v>1.325666666</v>
      </c>
      <c r="AG39" s="126">
        <f>SUM('Defect (Total)'!AG39,Planned!AG39,Reconductor!AG39,CTGS!AG39)</f>
        <v>14.143999999999986</v>
      </c>
      <c r="AH39" s="126">
        <f>SUM('Defect (Total)'!AH39,Planned!AH39,Reconductor!AH39,CTGS!AH39)</f>
        <v>9.4553332049999987</v>
      </c>
      <c r="AI39" s="126">
        <f>SUM('Defect (Total)'!AI39,Planned!AI39,Reconductor!AI39,CTGS!AI39)</f>
        <v>3.1450000690000004</v>
      </c>
      <c r="AJ39" s="126">
        <f>SUM('Defect (Total)'!AJ39,Planned!AJ39,Reconductor!AJ39,CTGS!AJ39)</f>
        <v>124.765666189</v>
      </c>
      <c r="AK39" s="127">
        <f t="shared" si="14"/>
        <v>5.4422019899999965</v>
      </c>
      <c r="AL39" s="128">
        <f t="shared" ref="AL39:AL70" si="21">IFERROR(IF($AM$4="N",SUM(AF39:AH39)/3,SUM(AG39:AI39)/3),"")</f>
        <v>8.3083332903333282</v>
      </c>
      <c r="AM39" s="129">
        <f t="shared" si="15"/>
        <v>9.4553332049999987</v>
      </c>
      <c r="AN39" s="91">
        <f t="shared" ref="AN39:AN70" si="22">IFERROR(D39/Z39,"")</f>
        <v>67497.222222222219</v>
      </c>
      <c r="AO39" s="92">
        <f t="shared" ref="AO39:AO70" si="23">IFERROR(E39/AA39,"")</f>
        <v>21138.307692307691</v>
      </c>
      <c r="AP39" s="92">
        <f t="shared" ref="AP39:AP70" si="24">IFERROR(F39/AB39,"")</f>
        <v>40688.5</v>
      </c>
      <c r="AQ39" s="92" t="str">
        <f t="shared" ref="AQ39:AQ70" si="25">IFERROR(G39/AC39,"")</f>
        <v/>
      </c>
      <c r="AR39" s="92">
        <f t="shared" ref="AR39:AR70" si="26">IFERROR(H39/AD39,"")</f>
        <v>34847</v>
      </c>
      <c r="AS39" s="92">
        <f t="shared" ref="AS39:AS70" si="27">IFERROR(I39/AE39,"")</f>
        <v>98067.452806829722</v>
      </c>
      <c r="AT39" s="92">
        <f t="shared" ref="AT39:AT70" si="28">IFERROR(J39/AF39,"")</f>
        <v>174877.63120693024</v>
      </c>
      <c r="AU39" s="92">
        <f t="shared" ref="AU39:AU70" si="29">IFERROR(K39/AG39,"")</f>
        <v>61014.004983078885</v>
      </c>
      <c r="AV39" s="92">
        <f t="shared" ref="AV39:AV70" si="30">IFERROR(L39/AH39,"")</f>
        <v>948225.55004564079</v>
      </c>
      <c r="AW39" s="92">
        <f t="shared" ref="AW39:AX54" si="31">IFERROR(M39/AI39,"")</f>
        <v>2237429.2301486763</v>
      </c>
      <c r="AX39" s="92">
        <f t="shared" si="31"/>
        <v>22939.767850467222</v>
      </c>
      <c r="AY39" s="93">
        <f t="shared" ref="AY39:AY102" si="32">IFERROR(IF($BA$4="N",SUM(H39:L39)/SUM(AD39:AH39),SUM(I39:M39)/SUM(AE39:AI39)),"")</f>
        <v>586708.8499684002</v>
      </c>
      <c r="AZ39" s="94">
        <f t="shared" si="12"/>
        <v>630619.03716451628</v>
      </c>
      <c r="BA39" s="95">
        <f t="shared" si="13"/>
        <v>2237429.2301486763</v>
      </c>
      <c r="BB39" s="692">
        <f>SUM('Defect (Total)'!BB39,Planned!CE39,Reconductor!CE39,CTGS!CE39,'Substation 2025$'!CE39*$BL$1,Comms!CA39*$BL$2)</f>
        <v>8.7886842223999952</v>
      </c>
      <c r="BC39" s="692">
        <f>SUM('Defect (Total)'!BC39,Planned!CF39,Reconductor!CF39,CTGS!CF39,'Substation 2025$'!CF39*$BL$1,Comms!CB39*$BL$2)</f>
        <v>13.199157438801667</v>
      </c>
      <c r="BD39" s="363">
        <f>SUM('Defect (Total)'!BD39,Planned!CG39,Reconductor!CG39,CTGS!CG39,'Substation 2025$'!CG39*$BL$1,Comms!CC39*$BL$2)</f>
        <v>11.199157438801668</v>
      </c>
      <c r="BE39" s="363">
        <f>SUM('Defect (Total)'!BE39,Planned!CH39,Reconductor!CH39,CTGS!CH39,'Substation 2025$'!CH39*$BL$1,Comms!CD39*$BL$2)</f>
        <v>12.815897005441695</v>
      </c>
      <c r="BF39" s="363">
        <f>SUM('Defect (Total)'!BF39,Planned!CI39,Reconductor!CI39,CTGS!CI39,'Substation 2025$'!CI39*$BL$1,Comms!CE39*$BL$2)</f>
        <v>13.286417261970323</v>
      </c>
      <c r="BG39" s="363">
        <f>SUM('Defect (Total)'!BG39,Planned!CJ39,Reconductor!CJ39,CTGS!CJ39,'Substation 2025$'!CJ39*$BL$1,Comms!CF39*$BL$2)</f>
        <v>13.600159846342658</v>
      </c>
      <c r="BH39" s="363">
        <f>SUM('Defect (Total)'!BH39,Planned!CK39,Reconductor!CK39,CTGS!CK39,'Substation 2025$'!CK39*$BL$1,Comms!CG39*$BL$2)</f>
        <v>13.913945926024271</v>
      </c>
      <c r="BI39" s="364">
        <f>SUM('Defect (Total)'!BI39,Planned!CL39,Reconductor!CL39,CTGS!CL39,'Substation 2025$'!CL39*$BL$1,Comms!CH39*$BL$2)</f>
        <v>14.070853798212644</v>
      </c>
      <c r="BJ39" s="99">
        <f t="shared" si="16"/>
        <v>327614.9373262088</v>
      </c>
      <c r="BK39" s="992">
        <f>SUM('Defect (Total)'!BK39,Planned!CQ39,Reconductor!CQ39,CTGS!CQ39,'Substation 2025$'!CQ39*$BL$1,Comms!CM39*$BL$2)</f>
        <v>2597669.0212996602</v>
      </c>
      <c r="BL39" s="992">
        <f>SUM('Defect (Total)'!BL39,Planned!CR39,Reconductor!CR39,CTGS!CR39,'Substation 2025$'!CR39*$BL$1,Comms!CN39*$BL$2)</f>
        <v>8727938.0203787722</v>
      </c>
      <c r="BM39" s="524">
        <f>SUM('Defect (Total)'!BM39,Planned!CS39,Reconductor!CS39,CTGS!CS39,'Substation 2025$'!CS39*$BL$1,Comms!CO39*$BL$2)</f>
        <v>5063806.897831575</v>
      </c>
      <c r="BN39" s="416">
        <f>SUM('Defect (Total)'!BN39,Planned!CT39,Reconductor!CT39,CTGS!CT39,'Substation 2025$'!CT39*$BL$1,Comms!CP39*$BL$2)</f>
        <v>4128765.8175479504</v>
      </c>
      <c r="BO39" s="97">
        <f>SUM('Defect (Total)'!BO39,Planned!CU39,Reconductor!CU39,CTGS!CU39,'Substation 2025$'!CU39*$BL$1,Comms!CQ39*$BL$2)</f>
        <v>4328505.1275136136</v>
      </c>
      <c r="BP39" s="97">
        <f>SUM('Defect (Total)'!BP39,Planned!CV39,Reconductor!CV39,CTGS!CV39,'Substation 2025$'!CV39*$BL$1,Comms!CR39*$BL$2)</f>
        <v>4461691.1624182798</v>
      </c>
      <c r="BQ39" s="97">
        <f>SUM('Defect (Total)'!BQ39,Planned!CW39,Reconductor!CW39,CTGS!CW39,'Substation 2025$'!CW39*$BL$1,Comms!CS39*$BL$2)</f>
        <v>4594895.6614016779</v>
      </c>
      <c r="BR39" s="98">
        <f>SUM('Defect (Total)'!BR39,Planned!CX39,Reconductor!CX39,CTGS!CX39,'Substation 2025$'!CX39*$BL$1,Comms!CT39*$BL$2)</f>
        <v>4661504.2073340239</v>
      </c>
    </row>
    <row r="40" spans="1:70" x14ac:dyDescent="0.25">
      <c r="A40" s="81" t="s">
        <v>81</v>
      </c>
      <c r="B40" s="82" t="s">
        <v>317</v>
      </c>
      <c r="C40" s="83" t="s">
        <v>76</v>
      </c>
      <c r="D40" s="84">
        <f>SUM('Defect (Total)'!D40,Planned!D40,Reconductor!D40,CTGS!D40)</f>
        <v>0</v>
      </c>
      <c r="E40" s="85">
        <f>SUM('Defect (Total)'!E40,Planned!E40,Reconductor!E40,CTGS!E40)</f>
        <v>0</v>
      </c>
      <c r="F40" s="85">
        <f>SUM('Defect (Total)'!F40,Planned!F40,Reconductor!F40,CTGS!F40)</f>
        <v>429548</v>
      </c>
      <c r="G40" s="85">
        <f>SUM('Defect (Total)'!G40,Planned!G40,Reconductor!G40,CTGS!G40)</f>
        <v>0</v>
      </c>
      <c r="H40" s="85">
        <f>SUM('Defect (Total)'!H40,Planned!H40,Reconductor!H40,CTGS!H40)</f>
        <v>0</v>
      </c>
      <c r="I40" s="85">
        <f>SUM('Defect (Total)'!I40,Planned!I40,Reconductor!I40,CTGS!I40)</f>
        <v>-6906.83</v>
      </c>
      <c r="J40" s="85">
        <f>SUM('Defect (Total)'!J40,Planned!J40,Reconductor!J40,CTGS!J40)</f>
        <v>0</v>
      </c>
      <c r="K40" s="85">
        <f>SUM('Defect (Total)'!K40,Planned!K40,Reconductor!K40,CTGS!K40)</f>
        <v>2827.8290000000002</v>
      </c>
      <c r="L40" s="85">
        <f>SUM('Defect (Total)'!L40,Planned!L40,Reconductor!L40,CTGS!L40)</f>
        <v>0</v>
      </c>
      <c r="M40" s="85">
        <f>SUM('Defect (Total)'!M40,Planned!M40,Reconductor!M40,CTGS!M40)</f>
        <v>0</v>
      </c>
      <c r="N40" s="85">
        <f>SUM('Defect (Total)'!N40,Planned!N40,Reconductor!N40,CTGS!N40)</f>
        <v>4406300.18402569</v>
      </c>
      <c r="O40" s="560">
        <f>SUM('Defect (Total)'!O40,Planned!O40,Reconductor!O40,CTGS!O40)</f>
        <v>0</v>
      </c>
      <c r="P40" s="561">
        <f>SUM('Defect (Total)'!P40,Planned!P40,Reconductor!P40,CTGS!P40)</f>
        <v>0</v>
      </c>
      <c r="Q40" s="561">
        <f>SUM('Defect (Total)'!Q40,Planned!Q40,Reconductor!Q40,CTGS!Q40)</f>
        <v>563569.44492789777</v>
      </c>
      <c r="R40" s="561">
        <f>SUM('Defect (Total)'!R40,Planned!R40,Reconductor!R40,CTGS!R40)</f>
        <v>0</v>
      </c>
      <c r="S40" s="561">
        <f>SUM('Defect (Total)'!S40,Planned!S40,Reconductor!S40,CTGS!S40)</f>
        <v>0</v>
      </c>
      <c r="T40" s="561">
        <f>SUM('Defect (Total)'!T40,Planned!T40,Reconductor!T40,CTGS!T40)</f>
        <v>-8572.4002746232673</v>
      </c>
      <c r="U40" s="561">
        <f>SUM('Defect (Total)'!U40,Planned!U40,Reconductor!U40,CTGS!U40)</f>
        <v>0</v>
      </c>
      <c r="V40" s="561">
        <f>SUM('Defect (Total)'!V40,Planned!V40,Reconductor!V40,CTGS!V40)</f>
        <v>3391.5815666237945</v>
      </c>
      <c r="W40" s="561">
        <f>SUM('Defect (Total)'!W40,Planned!W40,Reconductor!W40,CTGS!W40)</f>
        <v>0</v>
      </c>
      <c r="X40" s="675">
        <f>SUM('Defect (Total)'!X40,Planned!X40,Reconductor!X40,CTGS!X40)</f>
        <v>0</v>
      </c>
      <c r="Y40" s="675">
        <f>SUM('Defect (Total)'!Y40,Planned!Y40,Reconductor!Y40,CTGS!Y40)</f>
        <v>4525622.8743350627</v>
      </c>
      <c r="Z40" s="125">
        <f>SUM('Defect (Total)'!Z40,Planned!Z40,Reconductor!Z40,CTGS!Z40)</f>
        <v>0</v>
      </c>
      <c r="AA40" s="126">
        <f>SUM('Defect (Total)'!AA40,Planned!AA40,Reconductor!AA40,CTGS!AA40)</f>
        <v>0</v>
      </c>
      <c r="AB40" s="126">
        <f>SUM('Defect (Total)'!AB40,Planned!AB40,Reconductor!AB40,CTGS!AB40)</f>
        <v>1</v>
      </c>
      <c r="AC40" s="126">
        <f>SUM('Defect (Total)'!AC40,Planned!AC40,Reconductor!AC40,CTGS!AC40)</f>
        <v>0</v>
      </c>
      <c r="AD40" s="126">
        <f>SUM('Defect (Total)'!AD40,Planned!AD40,Reconductor!AD40,CTGS!AD40)</f>
        <v>0</v>
      </c>
      <c r="AE40" s="126">
        <f>SUM('Defect (Total)'!AE40,Planned!AE40,Reconductor!AE40,CTGS!AE40)</f>
        <v>-0.247500002</v>
      </c>
      <c r="AF40" s="126">
        <f>SUM('Defect (Total)'!AF40,Planned!AF40,Reconductor!AF40,CTGS!AF40)</f>
        <v>0</v>
      </c>
      <c r="AG40" s="126">
        <f>SUM('Defect (Total)'!AG40,Planned!AG40,Reconductor!AG40,CTGS!AG40)</f>
        <v>0</v>
      </c>
      <c r="AH40" s="126">
        <f>SUM('Defect (Total)'!AH40,Planned!AH40,Reconductor!AH40,CTGS!AH40)</f>
        <v>0</v>
      </c>
      <c r="AI40" s="126">
        <f>SUM('Defect (Total)'!AI40,Planned!AI40,Reconductor!AI40,CTGS!AI40)</f>
        <v>0</v>
      </c>
      <c r="AJ40" s="126">
        <f>SUM('Defect (Total)'!AJ40,Planned!AJ40,Reconductor!AJ40,CTGS!AJ40)</f>
        <v>0.133333332</v>
      </c>
      <c r="AK40" s="127">
        <f t="shared" si="14"/>
        <v>-4.9500000400000001E-2</v>
      </c>
      <c r="AL40" s="128">
        <f t="shared" si="21"/>
        <v>0</v>
      </c>
      <c r="AM40" s="129">
        <f t="shared" si="15"/>
        <v>0</v>
      </c>
      <c r="AN40" s="91" t="str">
        <f t="shared" si="22"/>
        <v/>
      </c>
      <c r="AO40" s="92" t="str">
        <f t="shared" si="23"/>
        <v/>
      </c>
      <c r="AP40" s="92">
        <f t="shared" si="24"/>
        <v>429548</v>
      </c>
      <c r="AQ40" s="92" t="str">
        <f t="shared" si="25"/>
        <v/>
      </c>
      <c r="AR40" s="92" t="str">
        <f t="shared" si="26"/>
        <v/>
      </c>
      <c r="AS40" s="92">
        <f t="shared" si="27"/>
        <v>27906.383612877707</v>
      </c>
      <c r="AT40" s="92" t="str">
        <f t="shared" si="28"/>
        <v/>
      </c>
      <c r="AU40" s="92" t="str">
        <f t="shared" si="29"/>
        <v/>
      </c>
      <c r="AV40" s="92" t="str">
        <f t="shared" si="30"/>
        <v/>
      </c>
      <c r="AW40" s="92" t="str">
        <f t="shared" si="31"/>
        <v/>
      </c>
      <c r="AX40" s="92">
        <f t="shared" si="31"/>
        <v>33047251.710665192</v>
      </c>
      <c r="AY40" s="93">
        <f t="shared" si="32"/>
        <v>16480.811988033842</v>
      </c>
      <c r="AZ40" s="94" t="str">
        <f t="shared" si="12"/>
        <v/>
      </c>
      <c r="BA40" s="95" t="str">
        <f t="shared" si="13"/>
        <v/>
      </c>
      <c r="BB40" s="692">
        <f>SUM('Defect (Total)'!BB40,Planned!CE40,Reconductor!CE40,CTGS!CE40,'Substation 2025$'!CE40*$BL$1,Comms!CA40*$BL$2)</f>
        <v>0</v>
      </c>
      <c r="BC40" s="692">
        <f>SUM('Defect (Total)'!BC40,Planned!CF40,Reconductor!CF40,CTGS!CF40,'Substation 2025$'!CF40*$BL$1,Comms!CB40*$BL$2)</f>
        <v>0</v>
      </c>
      <c r="BD40" s="363">
        <f>SUM('Defect (Total)'!BD40,Planned!CG40,Reconductor!CG40,CTGS!CG40,'Substation 2025$'!CG40*$BL$1,Comms!CC40*$BL$2)</f>
        <v>0</v>
      </c>
      <c r="BE40" s="363">
        <f>SUM('Defect (Total)'!BE40,Planned!CH40,Reconductor!CH40,CTGS!CH40,'Substation 2025$'!CH40*$BL$1,Comms!CD40*$BL$2)</f>
        <v>0</v>
      </c>
      <c r="BF40" s="363">
        <f>SUM('Defect (Total)'!BF40,Planned!CI40,Reconductor!CI40,CTGS!CI40,'Substation 2025$'!CI40*$BL$1,Comms!CE40*$BL$2)</f>
        <v>0</v>
      </c>
      <c r="BG40" s="363">
        <f>SUM('Defect (Total)'!BG40,Planned!CJ40,Reconductor!CJ40,CTGS!CJ40,'Substation 2025$'!CJ40*$BL$1,Comms!CF40*$BL$2)</f>
        <v>0</v>
      </c>
      <c r="BH40" s="363">
        <f>SUM('Defect (Total)'!BH40,Planned!CK40,Reconductor!CK40,CTGS!CK40,'Substation 2025$'!CK40*$BL$1,Comms!CG40*$BL$2)</f>
        <v>0</v>
      </c>
      <c r="BI40" s="364">
        <f>SUM('Defect (Total)'!BI40,Planned!CL40,Reconductor!CL40,CTGS!CL40,'Substation 2025$'!CL40*$BL$1,Comms!CH40*$BL$2)</f>
        <v>0</v>
      </c>
      <c r="BJ40" s="99" t="str">
        <f t="shared" si="16"/>
        <v/>
      </c>
      <c r="BK40" s="992">
        <f>SUM('Defect (Total)'!BK40,Planned!CQ40,Reconductor!CQ40,CTGS!CQ40,'Substation 2025$'!CQ40*$BL$1,Comms!CM40*$BL$2)</f>
        <v>0</v>
      </c>
      <c r="BL40" s="992">
        <f>SUM('Defect (Total)'!BL40,Planned!CR40,Reconductor!CR40,CTGS!CR40,'Substation 2025$'!CR40*$BL$1,Comms!CN40*$BL$2)</f>
        <v>0</v>
      </c>
      <c r="BM40" s="524">
        <f>SUM('Defect (Total)'!BM40,Planned!CS40,Reconductor!CS40,CTGS!CS40,'Substation 2025$'!CS40*$BL$1,Comms!CO40*$BL$2)</f>
        <v>0</v>
      </c>
      <c r="BN40" s="416">
        <f>SUM('Defect (Total)'!BN40,Planned!CT40,Reconductor!CT40,CTGS!CT40,'Substation 2025$'!CT40*$BL$1,Comms!CP40*$BL$2)</f>
        <v>0</v>
      </c>
      <c r="BO40" s="97">
        <f>SUM('Defect (Total)'!BO40,Planned!CU40,Reconductor!CU40,CTGS!CU40,'Substation 2025$'!CU40*$BL$1,Comms!CQ40*$BL$2)</f>
        <v>0</v>
      </c>
      <c r="BP40" s="97">
        <f>SUM('Defect (Total)'!BP40,Planned!CV40,Reconductor!CV40,CTGS!CV40,'Substation 2025$'!CV40*$BL$1,Comms!CR40*$BL$2)</f>
        <v>0</v>
      </c>
      <c r="BQ40" s="97">
        <f>SUM('Defect (Total)'!BQ40,Planned!CW40,Reconductor!CW40,CTGS!CW40,'Substation 2025$'!CW40*$BL$1,Comms!CS40*$BL$2)</f>
        <v>0</v>
      </c>
      <c r="BR40" s="98">
        <f>SUM('Defect (Total)'!BR40,Planned!CX40,Reconductor!CX40,CTGS!CX40,'Substation 2025$'!CX40*$BL$1,Comms!CT40*$BL$2)</f>
        <v>0</v>
      </c>
    </row>
    <row r="41" spans="1:70" x14ac:dyDescent="0.25">
      <c r="A41" s="81" t="s">
        <v>81</v>
      </c>
      <c r="B41" s="82" t="s">
        <v>318</v>
      </c>
      <c r="C41" s="83" t="s">
        <v>78</v>
      </c>
      <c r="D41" s="84">
        <f>SUM('Defect (Total)'!D41,Planned!D41,Reconductor!D41,CTGS!D41)</f>
        <v>0</v>
      </c>
      <c r="E41" s="85">
        <f>SUM('Defect (Total)'!E41,Planned!E41,Reconductor!E41,CTGS!E41)</f>
        <v>0</v>
      </c>
      <c r="F41" s="85">
        <f>SUM('Defect (Total)'!F41,Planned!F41,Reconductor!F41,CTGS!F41)</f>
        <v>0</v>
      </c>
      <c r="G41" s="85">
        <f>SUM('Defect (Total)'!G41,Planned!G41,Reconductor!G41,CTGS!G41)</f>
        <v>0</v>
      </c>
      <c r="H41" s="85">
        <f>SUM('Defect (Total)'!H41,Planned!H41,Reconductor!H41,CTGS!H41)</f>
        <v>0</v>
      </c>
      <c r="I41" s="85">
        <f>SUM('Defect (Total)'!I41,Planned!I41,Reconductor!I41,CTGS!I41)</f>
        <v>0</v>
      </c>
      <c r="J41" s="85">
        <f>SUM('Defect (Total)'!J41,Planned!J41,Reconductor!J41,CTGS!J41)</f>
        <v>0</v>
      </c>
      <c r="K41" s="85">
        <f>SUM('Defect (Total)'!K41,Planned!K41,Reconductor!K41,CTGS!K41)</f>
        <v>0</v>
      </c>
      <c r="L41" s="85">
        <f>SUM('Defect (Total)'!L41,Planned!L41,Reconductor!L41,CTGS!L41)</f>
        <v>0</v>
      </c>
      <c r="M41" s="85">
        <f>SUM('Defect (Total)'!M41,Planned!M41,Reconductor!M41,CTGS!M41)</f>
        <v>0</v>
      </c>
      <c r="N41" s="85">
        <f>SUM('Defect (Total)'!N41,Planned!N41,Reconductor!N41,CTGS!N41)</f>
        <v>0</v>
      </c>
      <c r="O41" s="560">
        <f>SUM('Defect (Total)'!O41,Planned!O41,Reconductor!O41,CTGS!O41)</f>
        <v>0</v>
      </c>
      <c r="P41" s="561">
        <f>SUM('Defect (Total)'!P41,Planned!P41,Reconductor!P41,CTGS!P41)</f>
        <v>0</v>
      </c>
      <c r="Q41" s="561">
        <f>SUM('Defect (Total)'!Q41,Planned!Q41,Reconductor!Q41,CTGS!Q41)</f>
        <v>0</v>
      </c>
      <c r="R41" s="561">
        <f>SUM('Defect (Total)'!R41,Planned!R41,Reconductor!R41,CTGS!R41)</f>
        <v>0</v>
      </c>
      <c r="S41" s="561">
        <f>SUM('Defect (Total)'!S41,Planned!S41,Reconductor!S41,CTGS!S41)</f>
        <v>0</v>
      </c>
      <c r="T41" s="561">
        <f>SUM('Defect (Total)'!T41,Planned!T41,Reconductor!T41,CTGS!T41)</f>
        <v>0</v>
      </c>
      <c r="U41" s="561">
        <f>SUM('Defect (Total)'!U41,Planned!U41,Reconductor!U41,CTGS!U41)</f>
        <v>0</v>
      </c>
      <c r="V41" s="561">
        <f>SUM('Defect (Total)'!V41,Planned!V41,Reconductor!V41,CTGS!V41)</f>
        <v>0</v>
      </c>
      <c r="W41" s="561">
        <f>SUM('Defect (Total)'!W41,Planned!W41,Reconductor!W41,CTGS!W41)</f>
        <v>0</v>
      </c>
      <c r="X41" s="675">
        <f>SUM('Defect (Total)'!X41,Planned!X41,Reconductor!X41,CTGS!X41)</f>
        <v>0</v>
      </c>
      <c r="Y41" s="675">
        <f>SUM('Defect (Total)'!Y41,Planned!Y41,Reconductor!Y41,CTGS!Y41)</f>
        <v>0</v>
      </c>
      <c r="Z41" s="125">
        <f>SUM('Defect (Total)'!Z41,Planned!Z41,Reconductor!Z41,CTGS!Z41)</f>
        <v>0</v>
      </c>
      <c r="AA41" s="126">
        <f>SUM('Defect (Total)'!AA41,Planned!AA41,Reconductor!AA41,CTGS!AA41)</f>
        <v>0</v>
      </c>
      <c r="AB41" s="126">
        <f>SUM('Defect (Total)'!AB41,Planned!AB41,Reconductor!AB41,CTGS!AB41)</f>
        <v>0</v>
      </c>
      <c r="AC41" s="126">
        <f>SUM('Defect (Total)'!AC41,Planned!AC41,Reconductor!AC41,CTGS!AC41)</f>
        <v>0</v>
      </c>
      <c r="AD41" s="126">
        <f>SUM('Defect (Total)'!AD41,Planned!AD41,Reconductor!AD41,CTGS!AD41)</f>
        <v>0</v>
      </c>
      <c r="AE41" s="126">
        <f>SUM('Defect (Total)'!AE41,Planned!AE41,Reconductor!AE41,CTGS!AE41)</f>
        <v>0</v>
      </c>
      <c r="AF41" s="126">
        <f>SUM('Defect (Total)'!AF41,Planned!AF41,Reconductor!AF41,CTGS!AF41)</f>
        <v>0</v>
      </c>
      <c r="AG41" s="126">
        <f>SUM('Defect (Total)'!AG41,Planned!AG41,Reconductor!AG41,CTGS!AG41)</f>
        <v>0</v>
      </c>
      <c r="AH41" s="126">
        <f>SUM('Defect (Total)'!AH41,Planned!AH41,Reconductor!AH41,CTGS!AH41)</f>
        <v>0</v>
      </c>
      <c r="AI41" s="126">
        <f>SUM('Defect (Total)'!AI41,Planned!AI41,Reconductor!AI41,CTGS!AI41)</f>
        <v>0</v>
      </c>
      <c r="AJ41" s="126">
        <f>SUM('Defect (Total)'!AJ41,Planned!AJ41,Reconductor!AJ41,CTGS!AJ41)</f>
        <v>0</v>
      </c>
      <c r="AK41" s="127">
        <f t="shared" si="14"/>
        <v>0</v>
      </c>
      <c r="AL41" s="128">
        <f t="shared" si="21"/>
        <v>0</v>
      </c>
      <c r="AM41" s="129">
        <f t="shared" si="15"/>
        <v>0</v>
      </c>
      <c r="AN41" s="91" t="str">
        <f t="shared" si="22"/>
        <v/>
      </c>
      <c r="AO41" s="92" t="str">
        <f t="shared" si="23"/>
        <v/>
      </c>
      <c r="AP41" s="92" t="str">
        <f t="shared" si="24"/>
        <v/>
      </c>
      <c r="AQ41" s="92" t="str">
        <f t="shared" si="25"/>
        <v/>
      </c>
      <c r="AR41" s="92" t="str">
        <f t="shared" si="26"/>
        <v/>
      </c>
      <c r="AS41" s="92" t="str">
        <f t="shared" si="27"/>
        <v/>
      </c>
      <c r="AT41" s="92" t="str">
        <f t="shared" si="28"/>
        <v/>
      </c>
      <c r="AU41" s="92" t="str">
        <f t="shared" si="29"/>
        <v/>
      </c>
      <c r="AV41" s="92" t="str">
        <f t="shared" si="30"/>
        <v/>
      </c>
      <c r="AW41" s="92" t="str">
        <f t="shared" si="31"/>
        <v/>
      </c>
      <c r="AX41" s="92" t="str">
        <f t="shared" si="31"/>
        <v/>
      </c>
      <c r="AY41" s="93" t="str">
        <f t="shared" si="32"/>
        <v/>
      </c>
      <c r="AZ41" s="94" t="str">
        <f t="shared" si="12"/>
        <v/>
      </c>
      <c r="BA41" s="95" t="str">
        <f t="shared" si="13"/>
        <v/>
      </c>
      <c r="BB41" s="692">
        <f>SUM('Defect (Total)'!BB41,Planned!CE41,Reconductor!CE41,CTGS!CE41,'Substation 2025$'!CE41*$BL$1,Comms!CA41*$BL$2)</f>
        <v>0</v>
      </c>
      <c r="BC41" s="692">
        <f>SUM('Defect (Total)'!BC41,Planned!CF41,Reconductor!CF41,CTGS!CF41,'Substation 2025$'!CF41*$BL$1,Comms!CB41*$BL$2)</f>
        <v>0</v>
      </c>
      <c r="BD41" s="363">
        <f>SUM('Defect (Total)'!BD41,Planned!CG41,Reconductor!CG41,CTGS!CG41,'Substation 2025$'!CG41*$BL$1,Comms!CC41*$BL$2)</f>
        <v>0</v>
      </c>
      <c r="BE41" s="363">
        <f>SUM('Defect (Total)'!BE41,Planned!CH41,Reconductor!CH41,CTGS!CH41,'Substation 2025$'!CH41*$BL$1,Comms!CD41*$BL$2)</f>
        <v>0</v>
      </c>
      <c r="BF41" s="363">
        <f>SUM('Defect (Total)'!BF41,Planned!CI41,Reconductor!CI41,CTGS!CI41,'Substation 2025$'!CI41*$BL$1,Comms!CE41*$BL$2)</f>
        <v>0</v>
      </c>
      <c r="BG41" s="363">
        <f>SUM('Defect (Total)'!BG41,Planned!CJ41,Reconductor!CJ41,CTGS!CJ41,'Substation 2025$'!CJ41*$BL$1,Comms!CF41*$BL$2)</f>
        <v>0</v>
      </c>
      <c r="BH41" s="363">
        <f>SUM('Defect (Total)'!BH41,Planned!CK41,Reconductor!CK41,CTGS!CK41,'Substation 2025$'!CK41*$BL$1,Comms!CG41*$BL$2)</f>
        <v>0</v>
      </c>
      <c r="BI41" s="364">
        <f>SUM('Defect (Total)'!BI41,Planned!CL41,Reconductor!CL41,CTGS!CL41,'Substation 2025$'!CL41*$BL$1,Comms!CH41*$BL$2)</f>
        <v>0</v>
      </c>
      <c r="BJ41" s="99" t="str">
        <f t="shared" si="16"/>
        <v/>
      </c>
      <c r="BK41" s="992">
        <f>SUM('Defect (Total)'!BK41,Planned!CQ41,Reconductor!CQ41,CTGS!CQ41,'Substation 2025$'!CQ41*$BL$1,Comms!CM41*$BL$2)</f>
        <v>0</v>
      </c>
      <c r="BL41" s="992">
        <f>SUM('Defect (Total)'!BL41,Planned!CR41,Reconductor!CR41,CTGS!CR41,'Substation 2025$'!CR41*$BL$1,Comms!CN41*$BL$2)</f>
        <v>0</v>
      </c>
      <c r="BM41" s="524">
        <f>SUM('Defect (Total)'!BM41,Planned!CS41,Reconductor!CS41,CTGS!CS41,'Substation 2025$'!CS41*$BL$1,Comms!CO41*$BL$2)</f>
        <v>0</v>
      </c>
      <c r="BN41" s="416">
        <f>SUM('Defect (Total)'!BN41,Planned!CT41,Reconductor!CT41,CTGS!CT41,'Substation 2025$'!CT41*$BL$1,Comms!CP41*$BL$2)</f>
        <v>0</v>
      </c>
      <c r="BO41" s="97">
        <f>SUM('Defect (Total)'!BO41,Planned!CU41,Reconductor!CU41,CTGS!CU41,'Substation 2025$'!CU41*$BL$1,Comms!CQ41*$BL$2)</f>
        <v>0</v>
      </c>
      <c r="BP41" s="97">
        <f>SUM('Defect (Total)'!BP41,Planned!CV41,Reconductor!CV41,CTGS!CV41,'Substation 2025$'!CV41*$BL$1,Comms!CR41*$BL$2)</f>
        <v>0</v>
      </c>
      <c r="BQ41" s="97">
        <f>SUM('Defect (Total)'!BQ41,Planned!CW41,Reconductor!CW41,CTGS!CW41,'Substation 2025$'!CW41*$BL$1,Comms!CS41*$BL$2)</f>
        <v>0</v>
      </c>
      <c r="BR41" s="98">
        <f>SUM('Defect (Total)'!BR41,Planned!CX41,Reconductor!CX41,CTGS!CX41,'Substation 2025$'!CX41*$BL$1,Comms!CT41*$BL$2)</f>
        <v>0</v>
      </c>
    </row>
    <row r="42" spans="1:70" ht="15.75" thickBot="1" x14ac:dyDescent="0.3">
      <c r="A42" s="100" t="s">
        <v>81</v>
      </c>
      <c r="B42" s="101" t="s">
        <v>319</v>
      </c>
      <c r="C42" s="102" t="s">
        <v>320</v>
      </c>
      <c r="D42" s="103">
        <f>SUM('Defect (Total)'!D42,Planned!D42,Reconductor!D42,CTGS!D42)</f>
        <v>0</v>
      </c>
      <c r="E42" s="104">
        <f>SUM('Defect (Total)'!E42,Planned!E42,Reconductor!E42,CTGS!E42)</f>
        <v>0</v>
      </c>
      <c r="F42" s="104">
        <f>SUM('Defect (Total)'!F42,Planned!F42,Reconductor!F42,CTGS!F42)</f>
        <v>0</v>
      </c>
      <c r="G42" s="104">
        <f>SUM('Defect (Total)'!G42,Planned!G42,Reconductor!G42,CTGS!G42)</f>
        <v>0</v>
      </c>
      <c r="H42" s="104">
        <f>SUM('Defect (Total)'!H42,Planned!H42,Reconductor!H42,CTGS!H42)</f>
        <v>0</v>
      </c>
      <c r="I42" s="104">
        <f>SUM('Defect (Total)'!I42,Planned!I42,Reconductor!I42,CTGS!I42)</f>
        <v>0</v>
      </c>
      <c r="J42" s="104">
        <f>SUM('Defect (Total)'!J42,Planned!J42,Reconductor!J42,CTGS!J42)</f>
        <v>0</v>
      </c>
      <c r="K42" s="104">
        <f>SUM('Defect (Total)'!K42,Planned!K42,Reconductor!K42,CTGS!K42)</f>
        <v>0</v>
      </c>
      <c r="L42" s="104">
        <f>SUM('Defect (Total)'!L42,Planned!L42,Reconductor!L42,CTGS!L42)</f>
        <v>0</v>
      </c>
      <c r="M42" s="104">
        <f>SUM('Defect (Total)'!M42,Planned!M42,Reconductor!M42,CTGS!M42)</f>
        <v>0</v>
      </c>
      <c r="N42" s="104">
        <f>SUM('Defect (Total)'!N42,Planned!N42,Reconductor!N42,CTGS!N42)</f>
        <v>0</v>
      </c>
      <c r="O42" s="563">
        <f>SUM('Defect (Total)'!O42,Planned!O42,Reconductor!O42,CTGS!O42)</f>
        <v>0</v>
      </c>
      <c r="P42" s="564">
        <f>SUM('Defect (Total)'!P42,Planned!P42,Reconductor!P42,CTGS!P42)</f>
        <v>0</v>
      </c>
      <c r="Q42" s="564">
        <f>SUM('Defect (Total)'!Q42,Planned!Q42,Reconductor!Q42,CTGS!Q42)</f>
        <v>0</v>
      </c>
      <c r="R42" s="564">
        <f>SUM('Defect (Total)'!R42,Planned!R42,Reconductor!R42,CTGS!R42)</f>
        <v>0</v>
      </c>
      <c r="S42" s="564">
        <f>SUM('Defect (Total)'!S42,Planned!S42,Reconductor!S42,CTGS!S42)</f>
        <v>0</v>
      </c>
      <c r="T42" s="564">
        <f>SUM('Defect (Total)'!T42,Planned!T42,Reconductor!T42,CTGS!T42)</f>
        <v>0</v>
      </c>
      <c r="U42" s="564">
        <f>SUM('Defect (Total)'!U42,Planned!U42,Reconductor!U42,CTGS!U42)</f>
        <v>0</v>
      </c>
      <c r="V42" s="564">
        <f>SUM('Defect (Total)'!V42,Planned!V42,Reconductor!V42,CTGS!V42)</f>
        <v>0</v>
      </c>
      <c r="W42" s="564">
        <f>SUM('Defect (Total)'!W42,Planned!W42,Reconductor!W42,CTGS!W42)</f>
        <v>0</v>
      </c>
      <c r="X42" s="676">
        <f>SUM('Defect (Total)'!X42,Planned!X42,Reconductor!X42,CTGS!X42)</f>
        <v>0</v>
      </c>
      <c r="Y42" s="676">
        <f>SUM('Defect (Total)'!Y42,Planned!Y42,Reconductor!Y42,CTGS!Y42)</f>
        <v>0</v>
      </c>
      <c r="Z42" s="131">
        <f>SUM('Defect (Total)'!Z42,Planned!Z42,Reconductor!Z42,CTGS!Z42)</f>
        <v>0</v>
      </c>
      <c r="AA42" s="132">
        <f>SUM('Defect (Total)'!AA42,Planned!AA42,Reconductor!AA42,CTGS!AA42)</f>
        <v>0</v>
      </c>
      <c r="AB42" s="132">
        <f>SUM('Defect (Total)'!AB42,Planned!AB42,Reconductor!AB42,CTGS!AB42)</f>
        <v>0</v>
      </c>
      <c r="AC42" s="132">
        <f>SUM('Defect (Total)'!AC42,Planned!AC42,Reconductor!AC42,CTGS!AC42)</f>
        <v>0</v>
      </c>
      <c r="AD42" s="132">
        <f>SUM('Defect (Total)'!AD42,Planned!AD42,Reconductor!AD42,CTGS!AD42)</f>
        <v>0</v>
      </c>
      <c r="AE42" s="132">
        <f>SUM('Defect (Total)'!AE42,Planned!AE42,Reconductor!AE42,CTGS!AE42)</f>
        <v>0</v>
      </c>
      <c r="AF42" s="132">
        <f>SUM('Defect (Total)'!AF42,Planned!AF42,Reconductor!AF42,CTGS!AF42)</f>
        <v>0</v>
      </c>
      <c r="AG42" s="132">
        <f>SUM('Defect (Total)'!AG42,Planned!AG42,Reconductor!AG42,CTGS!AG42)</f>
        <v>0</v>
      </c>
      <c r="AH42" s="132">
        <f>SUM('Defect (Total)'!AH42,Planned!AH42,Reconductor!AH42,CTGS!AH42)</f>
        <v>0</v>
      </c>
      <c r="AI42" s="132">
        <f>SUM('Defect (Total)'!AI42,Planned!AI42,Reconductor!AI42,CTGS!AI42)</f>
        <v>0</v>
      </c>
      <c r="AJ42" s="132">
        <f>SUM('Defect (Total)'!AJ42,Planned!AJ42,Reconductor!AJ42,CTGS!AJ42)</f>
        <v>0</v>
      </c>
      <c r="AK42" s="133">
        <f t="shared" si="14"/>
        <v>0</v>
      </c>
      <c r="AL42" s="134">
        <f t="shared" si="21"/>
        <v>0</v>
      </c>
      <c r="AM42" s="135">
        <f t="shared" si="15"/>
        <v>0</v>
      </c>
      <c r="AN42" s="110" t="str">
        <f t="shared" si="22"/>
        <v/>
      </c>
      <c r="AO42" s="111" t="str">
        <f t="shared" si="23"/>
        <v/>
      </c>
      <c r="AP42" s="111" t="str">
        <f t="shared" si="24"/>
        <v/>
      </c>
      <c r="AQ42" s="111" t="str">
        <f t="shared" si="25"/>
        <v/>
      </c>
      <c r="AR42" s="111" t="str">
        <f t="shared" si="26"/>
        <v/>
      </c>
      <c r="AS42" s="111" t="str">
        <f t="shared" si="27"/>
        <v/>
      </c>
      <c r="AT42" s="111" t="str">
        <f t="shared" si="28"/>
        <v/>
      </c>
      <c r="AU42" s="111" t="str">
        <f t="shared" si="29"/>
        <v/>
      </c>
      <c r="AV42" s="111" t="str">
        <f t="shared" si="30"/>
        <v/>
      </c>
      <c r="AW42" s="111" t="str">
        <f t="shared" si="31"/>
        <v/>
      </c>
      <c r="AX42" s="111" t="str">
        <f t="shared" si="31"/>
        <v/>
      </c>
      <c r="AY42" s="112" t="str">
        <f t="shared" si="32"/>
        <v/>
      </c>
      <c r="AZ42" s="113" t="str">
        <f t="shared" si="12"/>
        <v/>
      </c>
      <c r="BA42" s="114" t="str">
        <f t="shared" si="13"/>
        <v/>
      </c>
      <c r="BB42" s="693">
        <f>SUM('Defect (Total)'!BB42,Planned!CE42,Reconductor!CE42,CTGS!CE42,'Substation 2025$'!CE42*$BL$1,Comms!CA42*$BL$2)</f>
        <v>0</v>
      </c>
      <c r="BC42" s="693">
        <f>SUM('Defect (Total)'!BC42,Planned!CF42,Reconductor!CF42,CTGS!CF42,'Substation 2025$'!CF42*$BL$1,Comms!CB42*$BL$2)</f>
        <v>0</v>
      </c>
      <c r="BD42" s="366">
        <f>SUM('Defect (Total)'!BD42,Planned!CG42,Reconductor!CG42,CTGS!CG42,'Substation 2025$'!CG42*$BL$1,Comms!CC42*$BL$2)</f>
        <v>0</v>
      </c>
      <c r="BE42" s="366">
        <f>SUM('Defect (Total)'!BE42,Planned!CH42,Reconductor!CH42,CTGS!CH42,'Substation 2025$'!CH42*$BL$1,Comms!CD42*$BL$2)</f>
        <v>0</v>
      </c>
      <c r="BF42" s="366">
        <f>SUM('Defect (Total)'!BF42,Planned!CI42,Reconductor!CI42,CTGS!CI42,'Substation 2025$'!CI42*$BL$1,Comms!CE42*$BL$2)</f>
        <v>0</v>
      </c>
      <c r="BG42" s="366">
        <f>SUM('Defect (Total)'!BG42,Planned!CJ42,Reconductor!CJ42,CTGS!CJ42,'Substation 2025$'!CJ42*$BL$1,Comms!CF42*$BL$2)</f>
        <v>0</v>
      </c>
      <c r="BH42" s="366">
        <f>SUM('Defect (Total)'!BH42,Planned!CK42,Reconductor!CK42,CTGS!CK42,'Substation 2025$'!CK42*$BL$1,Comms!CG42*$BL$2)</f>
        <v>0</v>
      </c>
      <c r="BI42" s="367">
        <f>SUM('Defect (Total)'!BI42,Planned!CL42,Reconductor!CL42,CTGS!CL42,'Substation 2025$'!CL42*$BL$1,Comms!CH42*$BL$2)</f>
        <v>0</v>
      </c>
      <c r="BJ42" s="116" t="str">
        <f t="shared" si="16"/>
        <v/>
      </c>
      <c r="BK42" s="1013">
        <f>SUM('Defect (Total)'!BK42,Planned!CQ42,Reconductor!CQ42,CTGS!CQ42,'Substation 2025$'!CQ42*$BL$1,Comms!CM42*$BL$2)</f>
        <v>0</v>
      </c>
      <c r="BL42" s="1013">
        <f>SUM('Defect (Total)'!BL42,Planned!CR42,Reconductor!CR42,CTGS!CR42,'Substation 2025$'!CR42*$BL$1,Comms!CN42*$BL$2)</f>
        <v>0</v>
      </c>
      <c r="BM42" s="638">
        <f>SUM('Defect (Total)'!BM42,Planned!CS42,Reconductor!CS42,CTGS!CS42,'Substation 2025$'!CS42*$BL$1,Comms!CO42*$BL$2)</f>
        <v>0</v>
      </c>
      <c r="BN42" s="467">
        <f>SUM('Defect (Total)'!BN42,Planned!CT42,Reconductor!CT42,CTGS!CT42,'Substation 2025$'!CT42*$BL$1,Comms!CP42*$BL$2)</f>
        <v>0</v>
      </c>
      <c r="BO42" s="117">
        <f>SUM('Defect (Total)'!BO42,Planned!CU42,Reconductor!CU42,CTGS!CU42,'Substation 2025$'!CU42*$BL$1,Comms!CQ42*$BL$2)</f>
        <v>0</v>
      </c>
      <c r="BP42" s="117">
        <f>SUM('Defect (Total)'!BP42,Planned!CV42,Reconductor!CV42,CTGS!CV42,'Substation 2025$'!CV42*$BL$1,Comms!CR42*$BL$2)</f>
        <v>0</v>
      </c>
      <c r="BQ42" s="117">
        <f>SUM('Defect (Total)'!BQ42,Planned!CW42,Reconductor!CW42,CTGS!CW42,'Substation 2025$'!CW42*$BL$1,Comms!CS42*$BL$2)</f>
        <v>0</v>
      </c>
      <c r="BR42" s="118">
        <f>SUM('Defect (Total)'!BR42,Planned!CX42,Reconductor!CX42,CTGS!CX42,'Substation 2025$'!CX42*$BL$1,Comms!CT42*$BL$2)</f>
        <v>0</v>
      </c>
    </row>
    <row r="43" spans="1:70" x14ac:dyDescent="0.25">
      <c r="A43" s="63" t="s">
        <v>94</v>
      </c>
      <c r="B43" s="334" t="s">
        <v>92</v>
      </c>
      <c r="C43" s="65" t="s">
        <v>305</v>
      </c>
      <c r="D43" s="66">
        <f>SUM('Defect (Total)'!D43,Planned!D43,Reconductor!D43,CTGS!D43)</f>
        <v>749767</v>
      </c>
      <c r="E43" s="67">
        <f>SUM('Defect (Total)'!E43,Planned!E43,Reconductor!E43,CTGS!E43)</f>
        <v>1618342</v>
      </c>
      <c r="F43" s="67">
        <f>SUM('Defect (Total)'!F43,Planned!F43,Reconductor!F43,CTGS!F43)</f>
        <v>1893474</v>
      </c>
      <c r="G43" s="67">
        <f>SUM('Defect (Total)'!G43,Planned!G43,Reconductor!G43,CTGS!G43)</f>
        <v>1523393.5397750521</v>
      </c>
      <c r="H43" s="67">
        <f>SUM('Defect (Total)'!H43,Planned!H43,Reconductor!H43,CTGS!H43)</f>
        <v>1390163.6677463539</v>
      </c>
      <c r="I43" s="67">
        <f>SUM('Defect (Total)'!I43,Planned!I43,Reconductor!I43,CTGS!I43)</f>
        <v>1575911.5422132332</v>
      </c>
      <c r="J43" s="67">
        <f>SUM('Defect (Total)'!J43,Planned!J43,Reconductor!J43,CTGS!J43)</f>
        <v>3265911.0194878643</v>
      </c>
      <c r="K43" s="67">
        <f>SUM('Defect (Total)'!K43,Planned!K43,Reconductor!K43,CTGS!K43)</f>
        <v>4374136.2633900307</v>
      </c>
      <c r="L43" s="67">
        <f>SUM('Defect (Total)'!L43,Planned!L43,Reconductor!L43,CTGS!L43)</f>
        <v>4439821.4098038366</v>
      </c>
      <c r="M43" s="67">
        <f>SUM('Defect (Total)'!M43,Planned!M43,Reconductor!M43,CTGS!M43)</f>
        <v>3935503.2921129577</v>
      </c>
      <c r="N43" s="67">
        <f>SUM('Defect (Total)'!N43,Planned!N43,Reconductor!N43,CTGS!N43)</f>
        <v>7830182.5878123324</v>
      </c>
      <c r="O43" s="557">
        <f>SUM('Defect (Total)'!O43,Planned!O43,Reconductor!O43,CTGS!O43)</f>
        <v>1008778.7480825575</v>
      </c>
      <c r="P43" s="558">
        <f>SUM('Defect (Total)'!P43,Planned!P43,Reconductor!P43,CTGS!P43)</f>
        <v>2145000.5305108074</v>
      </c>
      <c r="Q43" s="558">
        <f>SUM('Defect (Total)'!Q43,Planned!Q43,Reconductor!Q43,CTGS!Q43)</f>
        <v>2484248.7711860063</v>
      </c>
      <c r="R43" s="558">
        <f>SUM('Defect (Total)'!R43,Planned!R43,Reconductor!R43,CTGS!R43)</f>
        <v>1960785.3415969468</v>
      </c>
      <c r="S43" s="558">
        <f>SUM('Defect (Total)'!S43,Planned!S43,Reconductor!S43,CTGS!S43)</f>
        <v>1752883.5013267847</v>
      </c>
      <c r="T43" s="558">
        <f>SUM('Defect (Total)'!T43,Planned!T43,Reconductor!T43,CTGS!T43)</f>
        <v>1955939.9228373505</v>
      </c>
      <c r="U43" s="558">
        <f>SUM('Defect (Total)'!U43,Planned!U43,Reconductor!U43,CTGS!U43)</f>
        <v>4067652.898308903</v>
      </c>
      <c r="V43" s="558">
        <f>SUM('Defect (Total)'!V43,Planned!V43,Reconductor!V43,CTGS!V43)</f>
        <v>5246158.7743863966</v>
      </c>
      <c r="W43" s="558">
        <f>SUM('Defect (Total)'!W43,Planned!W43,Reconductor!W43,CTGS!W43)</f>
        <v>5016675.1249130927</v>
      </c>
      <c r="X43" s="674">
        <f>SUM('Defect (Total)'!X43,Planned!X43,Reconductor!X43,CTGS!X43)</f>
        <v>4185253.9756689346</v>
      </c>
      <c r="Y43" s="674">
        <f>SUM('Defect (Total)'!Y43,Planned!Y43,Reconductor!Y43,CTGS!Y43)</f>
        <v>8045500.7017440591</v>
      </c>
      <c r="Z43" s="119">
        <f>SUM('Defect (Total)'!Z43,Planned!Z43,Reconductor!Z43,CTGS!Z43)</f>
        <v>4</v>
      </c>
      <c r="AA43" s="120">
        <f>SUM('Defect (Total)'!AA43,Planned!AA43,Reconductor!AA43,CTGS!AA43)</f>
        <v>6</v>
      </c>
      <c r="AB43" s="120">
        <f>SUM('Defect (Total)'!AB43,Planned!AB43,Reconductor!AB43,CTGS!AB43)</f>
        <v>10</v>
      </c>
      <c r="AC43" s="120">
        <f>SUM('Defect (Total)'!AC43,Planned!AC43,Reconductor!AC43,CTGS!AC43)</f>
        <v>7.0866666666666669</v>
      </c>
      <c r="AD43" s="120">
        <f>SUM('Defect (Total)'!AD43,Planned!AD43,Reconductor!AD43,CTGS!AD43)</f>
        <v>7.0170000000000003</v>
      </c>
      <c r="AE43" s="120">
        <f>SUM('Defect (Total)'!AE43,Planned!AE43,Reconductor!AE43,CTGS!AE43)</f>
        <v>8.0610234390000031</v>
      </c>
      <c r="AF43" s="120">
        <f>SUM('Defect (Total)'!AF43,Planned!AF43,Reconductor!AF43,CTGS!AF43)</f>
        <v>8.2950000300000042</v>
      </c>
      <c r="AG43" s="120">
        <f>SUM('Defect (Total)'!AG43,Planned!AG43,Reconductor!AG43,CTGS!AG43)</f>
        <v>13.713666666666647</v>
      </c>
      <c r="AH43" s="120">
        <f>SUM('Defect (Total)'!AH43,Planned!AH43,Reconductor!AH43,CTGS!AH43)</f>
        <v>15.669999973000003</v>
      </c>
      <c r="AI43" s="120">
        <f>SUM('Defect (Total)'!AI43,Planned!AI43,Reconductor!AI43,CTGS!AI43)</f>
        <v>6.7330000670000008</v>
      </c>
      <c r="AJ43" s="120">
        <f>SUM('Defect (Total)'!AJ43,Planned!AJ43,Reconductor!AJ43,CTGS!AJ43)</f>
        <v>10.906666707000005</v>
      </c>
      <c r="AK43" s="121">
        <f t="shared" si="14"/>
        <v>10.551338021733333</v>
      </c>
      <c r="AL43" s="122">
        <f t="shared" si="21"/>
        <v>12.559555556555551</v>
      </c>
      <c r="AM43" s="123">
        <f t="shared" si="15"/>
        <v>15.669999973000003</v>
      </c>
      <c r="AN43" s="73">
        <f t="shared" si="22"/>
        <v>187441.75</v>
      </c>
      <c r="AO43" s="74">
        <f t="shared" si="23"/>
        <v>269723.66666666669</v>
      </c>
      <c r="AP43" s="74">
        <f t="shared" si="24"/>
        <v>189347.4</v>
      </c>
      <c r="AQ43" s="74">
        <f t="shared" si="25"/>
        <v>214966.16271520019</v>
      </c>
      <c r="AR43" s="74">
        <f t="shared" si="26"/>
        <v>198113.67646378136</v>
      </c>
      <c r="AS43" s="74">
        <f t="shared" si="27"/>
        <v>195497.70003010068</v>
      </c>
      <c r="AT43" s="74">
        <f t="shared" si="28"/>
        <v>393720.43492179021</v>
      </c>
      <c r="AU43" s="74">
        <f t="shared" si="29"/>
        <v>318961.83345495031</v>
      </c>
      <c r="AV43" s="74">
        <f t="shared" si="30"/>
        <v>283332.57290707179</v>
      </c>
      <c r="AW43" s="74">
        <f t="shared" si="31"/>
        <v>584509.61725097476</v>
      </c>
      <c r="AX43" s="74">
        <f t="shared" si="31"/>
        <v>717926.27373373799</v>
      </c>
      <c r="AY43" s="75">
        <f t="shared" si="32"/>
        <v>335246.45807402476</v>
      </c>
      <c r="AZ43" s="76">
        <f t="shared" si="12"/>
        <v>353007.68669644278</v>
      </c>
      <c r="BA43" s="77">
        <f t="shared" si="13"/>
        <v>584509.61725097476</v>
      </c>
      <c r="BB43" s="691">
        <f>SUM('Defect (Total)'!BB43,Planned!CE43,Reconductor!CE43,CTGS!CE43,'Substation 2025$'!CE43*$BL$1,Comms!CA43*$BL$2)</f>
        <v>9.693136002422218</v>
      </c>
      <c r="BC43" s="691">
        <f>SUM('Defect (Total)'!BC43,Planned!CF43,Reconductor!CF43,CTGS!CF43,'Substation 2025$'!CF43*$BL$1,Comms!CB43*$BL$2)</f>
        <v>16.710135995866665</v>
      </c>
      <c r="BD43" s="360">
        <f>SUM('Defect (Total)'!BD43,Planned!CG43,Reconductor!CG43,CTGS!CG43,'Substation 2025$'!CG43*$BL$1,Comms!CC43*$BL$2)</f>
        <v>17.710135995866665</v>
      </c>
      <c r="BE43" s="360">
        <f>SUM('Defect (Total)'!BE43,Planned!CH43,Reconductor!CH43,CTGS!CH43,'Substation 2025$'!CH43*$BL$1,Comms!CD43*$BL$2)</f>
        <v>17.710135995866665</v>
      </c>
      <c r="BF43" s="360">
        <f>SUM('Defect (Total)'!BF43,Planned!CI43,Reconductor!CI43,CTGS!CI43,'Substation 2025$'!CI43*$BL$1,Comms!CE43*$BL$2)</f>
        <v>18.710135995866665</v>
      </c>
      <c r="BG43" s="360">
        <f>SUM('Defect (Total)'!BG43,Planned!CJ43,Reconductor!CJ43,CTGS!CJ43,'Substation 2025$'!CJ43*$BL$1,Comms!CF43*$BL$2)</f>
        <v>18.710135995866665</v>
      </c>
      <c r="BH43" s="360">
        <f>SUM('Defect (Total)'!BH43,Planned!CK43,Reconductor!CK43,CTGS!CK43,'Substation 2025$'!CK43*$BL$1,Comms!CG43*$BL$2)</f>
        <v>19.710135995866665</v>
      </c>
      <c r="BI43" s="361">
        <f>SUM('Defect (Total)'!BI43,Planned!CL43,Reconductor!CL43,CTGS!CL43,'Substation 2025$'!CL43*$BL$1,Comms!CH43*$BL$2)</f>
        <v>19.710135995866665</v>
      </c>
      <c r="BJ43" s="124">
        <f t="shared" si="16"/>
        <v>294409.0621976938</v>
      </c>
      <c r="BK43" s="974">
        <f>SUM('Defect (Total)'!BK43,Planned!CQ43,Reconductor!CQ43,CTGS!CQ43,'Substation 2025$'!CQ43*$BL$1,Comms!CM43*$BL$2)</f>
        <v>2802215.4065406229</v>
      </c>
      <c r="BL43" s="974">
        <f>SUM('Defect (Total)'!BL43,Planned!CR43,Reconductor!CR43,CTGS!CR43,'Substation 2025$'!CR43*$BL$1,Comms!CN43*$BL$2)</f>
        <v>4907315.4045739574</v>
      </c>
      <c r="BM43" s="523">
        <f>SUM('Defect (Total)'!BM43,Planned!CS43,Reconductor!CS43,CTGS!CS43,'Substation 2025$'!CS43*$BL$1,Comms!CO43*$BL$2)</f>
        <v>5207315.4045739574</v>
      </c>
      <c r="BN43" s="415">
        <f>SUM('Defect (Total)'!BN43,Planned!CT43,Reconductor!CT43,CTGS!CT43,'Substation 2025$'!CT43*$BL$1,Comms!CP43*$BL$2)</f>
        <v>5207315.4045739574</v>
      </c>
      <c r="BO43" s="79">
        <f>SUM('Defect (Total)'!BO43,Planned!CU43,Reconductor!CU43,CTGS!CU43,'Substation 2025$'!CU43*$BL$1,Comms!CQ43*$BL$2)</f>
        <v>5507315.4045739574</v>
      </c>
      <c r="BP43" s="79">
        <f>SUM('Defect (Total)'!BP43,Planned!CV43,Reconductor!CV43,CTGS!CV43,'Substation 2025$'!CV43*$BL$1,Comms!CR43*$BL$2)</f>
        <v>5507315.4045739574</v>
      </c>
      <c r="BQ43" s="79">
        <f>SUM('Defect (Total)'!BQ43,Planned!CW43,Reconductor!CW43,CTGS!CW43,'Substation 2025$'!CW43*$BL$1,Comms!CS43*$BL$2)</f>
        <v>5807315.4045739574</v>
      </c>
      <c r="BR43" s="80">
        <f>SUM('Defect (Total)'!BR43,Planned!CX43,Reconductor!CX43,CTGS!CX43,'Substation 2025$'!CX43*$BL$1,Comms!CT43*$BL$2)</f>
        <v>5807315.4045739574</v>
      </c>
    </row>
    <row r="44" spans="1:70" x14ac:dyDescent="0.25">
      <c r="A44" s="81" t="s">
        <v>94</v>
      </c>
      <c r="B44" s="82" t="s">
        <v>450</v>
      </c>
      <c r="C44" s="83" t="s">
        <v>70</v>
      </c>
      <c r="D44" s="84">
        <f>SUM('Defect (Total)'!D44,Planned!D44,Reconductor!D44,CTGS!D44)</f>
        <v>509333</v>
      </c>
      <c r="E44" s="85">
        <f>SUM('Defect (Total)'!E44,Planned!E44,Reconductor!E44,CTGS!E44)</f>
        <v>251119</v>
      </c>
      <c r="F44" s="85">
        <f>SUM('Defect (Total)'!F44,Planned!F44,Reconductor!F44,CTGS!F44)</f>
        <v>789354</v>
      </c>
      <c r="G44" s="85">
        <f>SUM('Defect (Total)'!G44,Planned!G44,Reconductor!G44,CTGS!G44)</f>
        <v>496868</v>
      </c>
      <c r="H44" s="85">
        <f>SUM('Defect (Total)'!H44,Planned!H44,Reconductor!H44,CTGS!H44)</f>
        <v>602005</v>
      </c>
      <c r="I44" s="85">
        <f>SUM('Defect (Total)'!I44,Planned!I44,Reconductor!I44,CTGS!I44)</f>
        <v>659068.26264213398</v>
      </c>
      <c r="J44" s="85">
        <f>SUM('Defect (Total)'!J44,Planned!J44,Reconductor!J44,CTGS!J44)</f>
        <v>269170.49318973796</v>
      </c>
      <c r="K44" s="85">
        <f>SUM('Defect (Total)'!K44,Planned!K44,Reconductor!K44,CTGS!K44)</f>
        <v>2014471.6377697799</v>
      </c>
      <c r="L44" s="85">
        <f>SUM('Defect (Total)'!L44,Planned!L44,Reconductor!L44,CTGS!L44)</f>
        <v>813777.5654024278</v>
      </c>
      <c r="M44" s="85">
        <f>SUM('Defect (Total)'!M44,Planned!M44,Reconductor!M44,CTGS!M44)</f>
        <v>131217.81677955485</v>
      </c>
      <c r="N44" s="85">
        <f>SUM('Defect (Total)'!N44,Planned!N44,Reconductor!N44,CTGS!N44)</f>
        <v>0</v>
      </c>
      <c r="O44" s="560">
        <f>SUM('Defect (Total)'!O44,Planned!O44,Reconductor!O44,CTGS!O44)</f>
        <v>685285.3034304434</v>
      </c>
      <c r="P44" s="561">
        <f>SUM('Defect (Total)'!P44,Planned!P44,Reconductor!P44,CTGS!P44)</f>
        <v>332840.88790956623</v>
      </c>
      <c r="Q44" s="561">
        <f>SUM('Defect (Total)'!Q44,Planned!Q44,Reconductor!Q44,CTGS!Q44)</f>
        <v>1035636.98499729</v>
      </c>
      <c r="R44" s="561">
        <f>SUM('Defect (Total)'!R44,Planned!R44,Reconductor!R44,CTGS!R44)</f>
        <v>639527.12524463783</v>
      </c>
      <c r="S44" s="561">
        <f>SUM('Defect (Total)'!S44,Planned!S44,Reconductor!S44,CTGS!S44)</f>
        <v>759079.42114968912</v>
      </c>
      <c r="T44" s="561">
        <f>SUM('Defect (Total)'!T44,Planned!T44,Reconductor!T44,CTGS!T44)</f>
        <v>818001.45011081907</v>
      </c>
      <c r="U44" s="561">
        <f>SUM('Defect (Total)'!U44,Planned!U44,Reconductor!U44,CTGS!U44)</f>
        <v>335248.61217258987</v>
      </c>
      <c r="V44" s="561">
        <f>SUM('Defect (Total)'!V44,Planned!V44,Reconductor!V44,CTGS!V44)</f>
        <v>2416074.2651505554</v>
      </c>
      <c r="W44" s="561">
        <f>SUM('Defect (Total)'!W44,Planned!W44,Reconductor!W44,CTGS!W44)</f>
        <v>919509.43354432611</v>
      </c>
      <c r="X44" s="675">
        <f>SUM('Defect (Total)'!X44,Planned!X44,Reconductor!X44,CTGS!X44)</f>
        <v>139545.02095216827</v>
      </c>
      <c r="Y44" s="675">
        <f>SUM('Defect (Total)'!Y44,Planned!Y44,Reconductor!Y44,CTGS!Y44)</f>
        <v>0</v>
      </c>
      <c r="Z44" s="125">
        <f>SUM('Defect (Total)'!Z44,Planned!Z44,Reconductor!Z44,CTGS!Z44)</f>
        <v>1</v>
      </c>
      <c r="AA44" s="126">
        <f>SUM('Defect (Total)'!AA44,Planned!AA44,Reconductor!AA44,CTGS!AA44)</f>
        <v>2</v>
      </c>
      <c r="AB44" s="126">
        <f>SUM('Defect (Total)'!AB44,Planned!AB44,Reconductor!AB44,CTGS!AB44)</f>
        <v>2</v>
      </c>
      <c r="AC44" s="126">
        <f>SUM('Defect (Total)'!AC44,Planned!AC44,Reconductor!AC44,CTGS!AC44)</f>
        <v>1</v>
      </c>
      <c r="AD44" s="126">
        <f>SUM('Defect (Total)'!AD44,Planned!AD44,Reconductor!AD44,CTGS!AD44)</f>
        <v>3</v>
      </c>
      <c r="AE44" s="126">
        <f>SUM('Defect (Total)'!AE44,Planned!AE44,Reconductor!AE44,CTGS!AE44)</f>
        <v>0.95473003099999998</v>
      </c>
      <c r="AF44" s="126">
        <f>SUM('Defect (Total)'!AF44,Planned!AF44,Reconductor!AF44,CTGS!AF44)</f>
        <v>-0.52633333299999996</v>
      </c>
      <c r="AG44" s="126">
        <f>SUM('Defect (Total)'!AG44,Planned!AG44,Reconductor!AG44,CTGS!AG44)</f>
        <v>1.7429999999999983</v>
      </c>
      <c r="AH44" s="126">
        <f>SUM('Defect (Total)'!AH44,Planned!AH44,Reconductor!AH44,CTGS!AH44)</f>
        <v>1.6276667210000002</v>
      </c>
      <c r="AI44" s="126">
        <f>SUM('Defect (Total)'!AI44,Planned!AI44,Reconductor!AI44,CTGS!AI44)</f>
        <v>-0.30233332200000002</v>
      </c>
      <c r="AJ44" s="126">
        <f>SUM('Defect (Total)'!AJ44,Planned!AJ44,Reconductor!AJ44,CTGS!AJ44)</f>
        <v>0</v>
      </c>
      <c r="AK44" s="127">
        <f t="shared" si="14"/>
        <v>1.3598126838</v>
      </c>
      <c r="AL44" s="128">
        <f t="shared" si="21"/>
        <v>0.94811112933333286</v>
      </c>
      <c r="AM44" s="129">
        <f t="shared" si="15"/>
        <v>1.6276667210000002</v>
      </c>
      <c r="AN44" s="91">
        <f t="shared" si="22"/>
        <v>509333</v>
      </c>
      <c r="AO44" s="92">
        <f t="shared" si="23"/>
        <v>125559.5</v>
      </c>
      <c r="AP44" s="92">
        <f t="shared" si="24"/>
        <v>394677</v>
      </c>
      <c r="AQ44" s="92">
        <f t="shared" si="25"/>
        <v>496868</v>
      </c>
      <c r="AR44" s="92">
        <f t="shared" si="26"/>
        <v>200668.33333333334</v>
      </c>
      <c r="AS44" s="92">
        <f t="shared" si="27"/>
        <v>690318.98153639829</v>
      </c>
      <c r="AT44" s="92">
        <f t="shared" si="28"/>
        <v>-511406.8904880436</v>
      </c>
      <c r="AU44" s="92">
        <f t="shared" si="29"/>
        <v>1155749.6487491578</v>
      </c>
      <c r="AV44" s="92">
        <f t="shared" si="30"/>
        <v>499965.72080951679</v>
      </c>
      <c r="AW44" s="92">
        <f t="shared" si="31"/>
        <v>-434017.05082165851</v>
      </c>
      <c r="AX44" s="92" t="str">
        <f t="shared" si="31"/>
        <v/>
      </c>
      <c r="AY44" s="93">
        <f t="shared" si="32"/>
        <v>1111811.7978619714</v>
      </c>
      <c r="AZ44" s="94">
        <f t="shared" si="12"/>
        <v>964519.37749538023</v>
      </c>
      <c r="BA44" s="95">
        <f t="shared" si="13"/>
        <v>-434017.05082165851</v>
      </c>
      <c r="BB44" s="692">
        <f>SUM('Defect (Total)'!BB44,Planned!CE44,Reconductor!CE44,CTGS!CE44,'Substation 2025$'!CE44*$BL$1,Comms!CA44*$BL$2)</f>
        <v>0.57253335757777757</v>
      </c>
      <c r="BC44" s="692">
        <f>SUM('Defect (Total)'!BC44,Planned!CF44,Reconductor!CF44,CTGS!CF44,'Substation 2025$'!CF44*$BL$1,Comms!CB44*$BL$2)</f>
        <v>2.0692000015777778</v>
      </c>
      <c r="BD44" s="363">
        <f>SUM('Defect (Total)'!BD44,Planned!CG44,Reconductor!CG44,CTGS!CG44,'Substation 2025$'!CG44*$BL$1,Comms!CC44*$BL$2)</f>
        <v>1.6702000015777778</v>
      </c>
      <c r="BE44" s="363">
        <f>SUM('Defect (Total)'!BE44,Planned!CH44,Reconductor!CH44,CTGS!CH44,'Substation 2025$'!CH44*$BL$1,Comms!CD44*$BL$2)</f>
        <v>1.6692000015777779</v>
      </c>
      <c r="BF44" s="363">
        <f>SUM('Defect (Total)'!BF44,Planned!CI44,Reconductor!CI44,CTGS!CI44,'Substation 2025$'!CI44*$BL$1,Comms!CE44*$BL$2)</f>
        <v>6.1942000015777783</v>
      </c>
      <c r="BG44" s="363">
        <f>SUM('Defect (Total)'!BG44,Planned!CJ44,Reconductor!CJ44,CTGS!CJ44,'Substation 2025$'!CJ44*$BL$1,Comms!CF44*$BL$2)</f>
        <v>1.6692000015777779</v>
      </c>
      <c r="BH44" s="363">
        <f>SUM('Defect (Total)'!BH44,Planned!CK44,Reconductor!CK44,CTGS!CK44,'Substation 2025$'!CK44*$BL$1,Comms!CG44*$BL$2)</f>
        <v>1.6692000015777779</v>
      </c>
      <c r="BI44" s="364">
        <f>SUM('Defect (Total)'!BI44,Planned!CL44,Reconductor!CL44,CTGS!CL44,'Substation 2025$'!CL44*$BL$1,Comms!CH44*$BL$2)</f>
        <v>8.1702000015777791</v>
      </c>
      <c r="BJ44" s="99">
        <f t="shared" si="16"/>
        <v>442966.40737451991</v>
      </c>
      <c r="BK44" s="992">
        <f>SUM('Defect (Total)'!BK44,Planned!CQ44,Reconductor!CQ44,CTGS!CQ44,'Substation 2025$'!CQ44*$BL$1,Comms!CM44*$BL$2)</f>
        <v>362587.27423315059</v>
      </c>
      <c r="BL44" s="992">
        <f>SUM('Defect (Total)'!BL44,Planned!CR44,Reconductor!CR44,CTGS!CR44,'Substation 2025$'!CR44*$BL$1,Comms!CN44*$BL$2)</f>
        <v>4149715.1048090477</v>
      </c>
      <c r="BM44" s="524">
        <f>SUM('Defect (Total)'!BM44,Planned!CS44,Reconductor!CS44,CTGS!CS44,'Substation 2025$'!CS44*$BL$1,Comms!CO44*$BL$2)</f>
        <v>3216573.8364058058</v>
      </c>
      <c r="BN44" s="416">
        <f>SUM('Defect (Total)'!BN44,Planned!CT44,Reconductor!CT44,CTGS!CT44,'Substation 2025$'!CT44*$BL$1,Comms!CP44*$BL$2)</f>
        <v>1688316.9456645167</v>
      </c>
      <c r="BO44" s="97">
        <f>SUM('Defect (Total)'!BO44,Planned!CU44,Reconductor!CU44,CTGS!CU44,'Substation 2025$'!CU44*$BL$1,Comms!CQ44*$BL$2)</f>
        <v>1340086.8403920769</v>
      </c>
      <c r="BP44" s="97">
        <f>SUM('Defect (Total)'!BP44,Planned!CV44,Reconductor!CV44,CTGS!CV44,'Substation 2025$'!CV44*$BL$1,Comms!CR44*$BL$2)</f>
        <v>1493893.8819603436</v>
      </c>
      <c r="BQ44" s="97">
        <f>SUM('Defect (Total)'!BQ44,Planned!CW44,Reconductor!CW44,CTGS!CW44,'Substation 2025$'!CW44*$BL$1,Comms!CS44*$BL$2)</f>
        <v>1689926.8305574963</v>
      </c>
      <c r="BR44" s="98">
        <f>SUM('Defect (Total)'!BR44,Planned!CX44,Reconductor!CX44,CTGS!CX44,'Substation 2025$'!CX44*$BL$1,Comms!CT44*$BL$2)</f>
        <v>2368920.7485792823</v>
      </c>
    </row>
    <row r="45" spans="1:70" x14ac:dyDescent="0.25">
      <c r="A45" s="81" t="s">
        <v>94</v>
      </c>
      <c r="B45" s="82" t="s">
        <v>451</v>
      </c>
      <c r="C45" s="83" t="s">
        <v>72</v>
      </c>
      <c r="D45" s="84">
        <f>SUM('Defect (Total)'!D45,Planned!D45,Reconductor!D45,CTGS!D45)</f>
        <v>31728</v>
      </c>
      <c r="E45" s="85">
        <f>SUM('Defect (Total)'!E45,Planned!E45,Reconductor!E45,CTGS!E45)</f>
        <v>475780</v>
      </c>
      <c r="F45" s="85">
        <f>SUM('Defect (Total)'!F45,Planned!F45,Reconductor!F45,CTGS!F45)</f>
        <v>109674</v>
      </c>
      <c r="G45" s="85">
        <f>SUM('Defect (Total)'!G45,Planned!G45,Reconductor!G45,CTGS!G45)</f>
        <v>75000</v>
      </c>
      <c r="H45" s="85">
        <f>SUM('Defect (Total)'!H45,Planned!H45,Reconductor!H45,CTGS!H45)</f>
        <v>3020633.512534895</v>
      </c>
      <c r="I45" s="85">
        <f>SUM('Defect (Total)'!I45,Planned!I45,Reconductor!I45,CTGS!I45)</f>
        <v>139891.86488126704</v>
      </c>
      <c r="J45" s="85">
        <f>SUM('Defect (Total)'!J45,Planned!J45,Reconductor!J45,CTGS!J45)</f>
        <v>1266352.5827685168</v>
      </c>
      <c r="K45" s="85">
        <f>SUM('Defect (Total)'!K45,Planned!K45,Reconductor!K45,CTGS!K45)</f>
        <v>1570761.9579401626</v>
      </c>
      <c r="L45" s="85">
        <f>SUM('Defect (Total)'!L45,Planned!L45,Reconductor!L45,CTGS!L45)</f>
        <v>863150.24027861527</v>
      </c>
      <c r="M45" s="85">
        <f>SUM('Defect (Total)'!M45,Planned!M45,Reconductor!M45,CTGS!M45)</f>
        <v>838239.06526350579</v>
      </c>
      <c r="N45" s="85">
        <f>SUM('Defect (Total)'!N45,Planned!N45,Reconductor!N45,CTGS!N45)</f>
        <v>2473996.0427172133</v>
      </c>
      <c r="O45" s="560">
        <f>SUM('Defect (Total)'!O45,Planned!O45,Reconductor!O45,CTGS!O45)</f>
        <v>42688.638095786264</v>
      </c>
      <c r="P45" s="561">
        <f>SUM('Defect (Total)'!P45,Planned!P45,Reconductor!P45,CTGS!P45)</f>
        <v>630613.52446295752</v>
      </c>
      <c r="Q45" s="561">
        <f>SUM('Defect (Total)'!Q45,Planned!Q45,Reconductor!Q45,CTGS!Q45)</f>
        <v>143892.91837704345</v>
      </c>
      <c r="R45" s="561">
        <f>SUM('Defect (Total)'!R45,Planned!R45,Reconductor!R45,CTGS!R45)</f>
        <v>96533.756235756446</v>
      </c>
      <c r="S45" s="561">
        <f>SUM('Defect (Total)'!S45,Planned!S45,Reconductor!S45,CTGS!S45)</f>
        <v>3808773.5786253274</v>
      </c>
      <c r="T45" s="561">
        <f>SUM('Defect (Total)'!T45,Planned!T45,Reconductor!T45,CTGS!T45)</f>
        <v>173626.54950617498</v>
      </c>
      <c r="U45" s="561">
        <f>SUM('Defect (Total)'!U45,Planned!U45,Reconductor!U45,CTGS!U45)</f>
        <v>1577226.9124426658</v>
      </c>
      <c r="V45" s="561">
        <f>SUM('Defect (Total)'!V45,Planned!V45,Reconductor!V45,CTGS!V45)</f>
        <v>1883907.160618183</v>
      </c>
      <c r="W45" s="561">
        <f>SUM('Defect (Total)'!W45,Planned!W45,Reconductor!W45,CTGS!W45)</f>
        <v>975296.96350101754</v>
      </c>
      <c r="X45" s="675">
        <f>SUM('Defect (Total)'!X45,Planned!X45,Reconductor!X45,CTGS!X45)</f>
        <v>891434.49263170001</v>
      </c>
      <c r="Y45" s="675">
        <f>SUM('Defect (Total)'!Y45,Planned!Y45,Reconductor!Y45,CTGS!Y45)</f>
        <v>2542027.1717258226</v>
      </c>
      <c r="Z45" s="125">
        <f>SUM('Defect (Total)'!Z45,Planned!Z45,Reconductor!Z45,CTGS!Z45)</f>
        <v>0</v>
      </c>
      <c r="AA45" s="126">
        <f>SUM('Defect (Total)'!AA45,Planned!AA45,Reconductor!AA45,CTGS!AA45)</f>
        <v>1</v>
      </c>
      <c r="AB45" s="126">
        <f>SUM('Defect (Total)'!AB45,Planned!AB45,Reconductor!AB45,CTGS!AB45)</f>
        <v>0</v>
      </c>
      <c r="AC45" s="126">
        <f>SUM('Defect (Total)'!AC45,Planned!AC45,Reconductor!AC45,CTGS!AC45)</f>
        <v>0</v>
      </c>
      <c r="AD45" s="126">
        <f>SUM('Defect (Total)'!AD45,Planned!AD45,Reconductor!AD45,CTGS!AD45)</f>
        <v>0.97633333333333328</v>
      </c>
      <c r="AE45" s="126">
        <f>SUM('Defect (Total)'!AE45,Planned!AE45,Reconductor!AE45,CTGS!AE45)</f>
        <v>0.26466000900000003</v>
      </c>
      <c r="AF45" s="126">
        <f>SUM('Defect (Total)'!AF45,Planned!AF45,Reconductor!AF45,CTGS!AF45)</f>
        <v>1.4726666660000001</v>
      </c>
      <c r="AG45" s="126">
        <f>SUM('Defect (Total)'!AG45,Planned!AG45,Reconductor!AG45,CTGS!AG45)</f>
        <v>1.9636666666666656</v>
      </c>
      <c r="AH45" s="126">
        <f>SUM('Defect (Total)'!AH45,Planned!AH45,Reconductor!AH45,CTGS!AH45)</f>
        <v>8.9666663999999993E-2</v>
      </c>
      <c r="AI45" s="126">
        <f>SUM('Defect (Total)'!AI45,Planned!AI45,Reconductor!AI45,CTGS!AI45)</f>
        <v>1.0809999879999999</v>
      </c>
      <c r="AJ45" s="126">
        <f>SUM('Defect (Total)'!AJ45,Planned!AJ45,Reconductor!AJ45,CTGS!AJ45)</f>
        <v>7.4439999490000002</v>
      </c>
      <c r="AK45" s="127">
        <f t="shared" si="14"/>
        <v>0.95339866779999982</v>
      </c>
      <c r="AL45" s="128">
        <f t="shared" si="21"/>
        <v>1.1753333322222219</v>
      </c>
      <c r="AM45" s="129">
        <f t="shared" si="15"/>
        <v>8.9666663999999993E-2</v>
      </c>
      <c r="AN45" s="91" t="str">
        <f t="shared" si="22"/>
        <v/>
      </c>
      <c r="AO45" s="92">
        <f t="shared" si="23"/>
        <v>475780</v>
      </c>
      <c r="AP45" s="92" t="str">
        <f t="shared" si="24"/>
        <v/>
      </c>
      <c r="AQ45" s="92" t="str">
        <f t="shared" si="25"/>
        <v/>
      </c>
      <c r="AR45" s="92">
        <f t="shared" si="26"/>
        <v>3093854.7414150513</v>
      </c>
      <c r="AS45" s="92">
        <f t="shared" si="27"/>
        <v>528571.97961202753</v>
      </c>
      <c r="AT45" s="92">
        <f t="shared" si="28"/>
        <v>859904.42508496135</v>
      </c>
      <c r="AU45" s="92">
        <f t="shared" si="29"/>
        <v>799912.72684102703</v>
      </c>
      <c r="AV45" s="92">
        <f t="shared" si="30"/>
        <v>9626211.1444071941</v>
      </c>
      <c r="AW45" s="92">
        <f t="shared" si="31"/>
        <v>775429.30117359618</v>
      </c>
      <c r="AX45" s="92">
        <f t="shared" si="31"/>
        <v>332347.67056245892</v>
      </c>
      <c r="AY45" s="93">
        <f t="shared" si="32"/>
        <v>960328.86474305496</v>
      </c>
      <c r="AZ45" s="94">
        <f t="shared" si="12"/>
        <v>1043970.4175668993</v>
      </c>
      <c r="BA45" s="95">
        <f t="shared" si="13"/>
        <v>775429.30117359618</v>
      </c>
      <c r="BB45" s="692">
        <f>SUM('Defect (Total)'!BB45,Planned!CE45,Reconductor!CE45,CTGS!CE45,'Substation 2025$'!CE45*$BL$1,Comms!CA45*$BL$2)</f>
        <v>0.60135555248888872</v>
      </c>
      <c r="BC45" s="692">
        <f>SUM('Defect (Total)'!BC45,Planned!CF45,Reconductor!CF45,CTGS!CF45,'Substation 2025$'!CF45*$BL$1,Comms!CB45*$BL$2)</f>
        <v>0.60135555248888872</v>
      </c>
      <c r="BD45" s="363">
        <f>SUM('Defect (Total)'!BD45,Planned!CG45,Reconductor!CG45,CTGS!CG45,'Substation 2025$'!CG45*$BL$1,Comms!CC45*$BL$2)</f>
        <v>0.60135555248888872</v>
      </c>
      <c r="BE45" s="363">
        <f>SUM('Defect (Total)'!BE45,Planned!CH45,Reconductor!CH45,CTGS!CH45,'Substation 2025$'!CH45*$BL$1,Comms!CD45*$BL$2)</f>
        <v>0.60135555248888872</v>
      </c>
      <c r="BF45" s="363">
        <f>SUM('Defect (Total)'!BF45,Planned!CI45,Reconductor!CI45,CTGS!CI45,'Substation 2025$'!CI45*$BL$1,Comms!CE45*$BL$2)</f>
        <v>0.60135555248888872</v>
      </c>
      <c r="BG45" s="363">
        <f>SUM('Defect (Total)'!BG45,Planned!CJ45,Reconductor!CJ45,CTGS!CJ45,'Substation 2025$'!CJ45*$BL$1,Comms!CF45*$BL$2)</f>
        <v>0.60135555248888872</v>
      </c>
      <c r="BH45" s="363">
        <f>SUM('Defect (Total)'!BH45,Planned!CK45,Reconductor!CK45,CTGS!CK45,'Substation 2025$'!CK45*$BL$1,Comms!CG45*$BL$2)</f>
        <v>0.60135555248888872</v>
      </c>
      <c r="BI45" s="364">
        <f>SUM('Defect (Total)'!BI45,Planned!CL45,Reconductor!CL45,CTGS!CL45,'Substation 2025$'!CL45*$BL$1,Comms!CH45*$BL$2)</f>
        <v>0.60135555248888872</v>
      </c>
      <c r="BJ45" s="99">
        <f t="shared" si="16"/>
        <v>768568.05250081676</v>
      </c>
      <c r="BK45" s="992">
        <f>SUM('Defect (Total)'!BK45,Planned!CQ45,Reconductor!CQ45,CTGS!CQ45,'Substation 2025$'!CQ45*$BL$1,Comms!CM45*$BL$2)</f>
        <v>462182.66583693796</v>
      </c>
      <c r="BL45" s="992">
        <f>SUM('Defect (Total)'!BL45,Planned!CR45,Reconductor!CR45,CTGS!CR45,'Substation 2025$'!CR45*$BL$1,Comms!CN45*$BL$2)</f>
        <v>462182.66583693796</v>
      </c>
      <c r="BM45" s="524">
        <f>SUM('Defect (Total)'!BM45,Planned!CS45,Reconductor!CS45,CTGS!CS45,'Substation 2025$'!CS45*$BL$1,Comms!CO45*$BL$2)</f>
        <v>462182.66583693796</v>
      </c>
      <c r="BN45" s="416">
        <f>SUM('Defect (Total)'!BN45,Planned!CT45,Reconductor!CT45,CTGS!CT45,'Substation 2025$'!CT45*$BL$1,Comms!CP45*$BL$2)</f>
        <v>462182.66583693796</v>
      </c>
      <c r="BO45" s="97">
        <f>SUM('Defect (Total)'!BO45,Planned!CU45,Reconductor!CU45,CTGS!CU45,'Substation 2025$'!CU45*$BL$1,Comms!CQ45*$BL$2)</f>
        <v>462182.66583693796</v>
      </c>
      <c r="BP45" s="97">
        <f>SUM('Defect (Total)'!BP45,Planned!CV45,Reconductor!CV45,CTGS!CV45,'Substation 2025$'!CV45*$BL$1,Comms!CR45*$BL$2)</f>
        <v>462182.66583693796</v>
      </c>
      <c r="BQ45" s="97">
        <f>SUM('Defect (Total)'!BQ45,Planned!CW45,Reconductor!CW45,CTGS!CW45,'Substation 2025$'!CW45*$BL$1,Comms!CS45*$BL$2)</f>
        <v>462182.66583693796</v>
      </c>
      <c r="BR45" s="98">
        <f>SUM('Defect (Total)'!BR45,Planned!CX45,Reconductor!CX45,CTGS!CX45,'Substation 2025$'!CX45*$BL$1,Comms!CT45*$BL$2)</f>
        <v>462182.66583693796</v>
      </c>
    </row>
    <row r="46" spans="1:70" x14ac:dyDescent="0.25">
      <c r="A46" s="81" t="s">
        <v>94</v>
      </c>
      <c r="B46" s="82" t="s">
        <v>452</v>
      </c>
      <c r="C46" s="83" t="s">
        <v>98</v>
      </c>
      <c r="D46" s="84">
        <f>SUM('Defect (Total)'!D46,Planned!D46,Reconductor!D46,CTGS!D46)</f>
        <v>121670</v>
      </c>
      <c r="E46" s="85">
        <f>SUM('Defect (Total)'!E46,Planned!E46,Reconductor!E46,CTGS!E46)</f>
        <v>324458</v>
      </c>
      <c r="F46" s="85">
        <f>SUM('Defect (Total)'!F46,Planned!F46,Reconductor!F46,CTGS!F46)</f>
        <v>51175</v>
      </c>
      <c r="G46" s="85">
        <f>SUM('Defect (Total)'!G46,Planned!G46,Reconductor!G46,CTGS!G46)</f>
        <v>12952</v>
      </c>
      <c r="H46" s="85">
        <f>SUM('Defect (Total)'!H46,Planned!H46,Reconductor!H46,CTGS!H46)</f>
        <v>14507</v>
      </c>
      <c r="I46" s="85">
        <f>SUM('Defect (Total)'!I46,Planned!I46,Reconductor!I46,CTGS!I46)</f>
        <v>5017.3599460870018</v>
      </c>
      <c r="J46" s="85">
        <f>SUM('Defect (Total)'!J46,Planned!J46,Reconductor!J46,CTGS!J46)</f>
        <v>3255112.6385471998</v>
      </c>
      <c r="K46" s="85">
        <f>SUM('Defect (Total)'!K46,Planned!K46,Reconductor!K46,CTGS!K46)</f>
        <v>0</v>
      </c>
      <c r="L46" s="85">
        <f>SUM('Defect (Total)'!L46,Planned!L46,Reconductor!L46,CTGS!L46)</f>
        <v>0</v>
      </c>
      <c r="M46" s="85">
        <f>SUM('Defect (Total)'!M46,Planned!M46,Reconductor!M46,CTGS!M46)</f>
        <v>0</v>
      </c>
      <c r="N46" s="85">
        <f>SUM('Defect (Total)'!N46,Planned!N46,Reconductor!N46,CTGS!N46)</f>
        <v>291113.68239781511</v>
      </c>
      <c r="O46" s="560">
        <f>SUM('Defect (Total)'!O46,Planned!O46,Reconductor!O46,CTGS!O46)</f>
        <v>163701.67035786418</v>
      </c>
      <c r="P46" s="561">
        <f>SUM('Defect (Total)'!P46,Planned!P46,Reconductor!P46,CTGS!P46)</f>
        <v>430046.6663588261</v>
      </c>
      <c r="Q46" s="561">
        <f>SUM('Defect (Total)'!Q46,Planned!Q46,Reconductor!Q46,CTGS!Q46)</f>
        <v>67141.894140317658</v>
      </c>
      <c r="R46" s="561">
        <f>SUM('Defect (Total)'!R46,Planned!R46,Reconductor!R46,CTGS!R46)</f>
        <v>16670.736143540234</v>
      </c>
      <c r="S46" s="561">
        <f>SUM('Defect (Total)'!S46,Planned!S46,Reconductor!S46,CTGS!S46)</f>
        <v>18292.1490064344</v>
      </c>
      <c r="T46" s="561">
        <f>SUM('Defect (Total)'!T46,Planned!T46,Reconductor!T46,CTGS!T46)</f>
        <v>6227.2877397764232</v>
      </c>
      <c r="U46" s="561">
        <f>SUM('Defect (Total)'!U46,Planned!U46,Reconductor!U46,CTGS!U46)</f>
        <v>4054203.6447106758</v>
      </c>
      <c r="V46" s="561">
        <f>SUM('Defect (Total)'!V46,Planned!V46,Reconductor!V46,CTGS!V46)</f>
        <v>0</v>
      </c>
      <c r="W46" s="561">
        <f>SUM('Defect (Total)'!W46,Planned!W46,Reconductor!W46,CTGS!W46)</f>
        <v>0</v>
      </c>
      <c r="X46" s="675">
        <f>SUM('Defect (Total)'!X46,Planned!X46,Reconductor!X46,CTGS!X46)</f>
        <v>0</v>
      </c>
      <c r="Y46" s="675">
        <f>SUM('Defect (Total)'!Y46,Planned!Y46,Reconductor!Y46,CTGS!Y46)</f>
        <v>299118.86597184592</v>
      </c>
      <c r="Z46" s="125">
        <f>SUM('Defect (Total)'!Z46,Planned!Z46,Reconductor!Z46,CTGS!Z46)</f>
        <v>0</v>
      </c>
      <c r="AA46" s="126">
        <f>SUM('Defect (Total)'!AA46,Planned!AA46,Reconductor!AA46,CTGS!AA46)</f>
        <v>0</v>
      </c>
      <c r="AB46" s="126">
        <f>SUM('Defect (Total)'!AB46,Planned!AB46,Reconductor!AB46,CTGS!AB46)</f>
        <v>0</v>
      </c>
      <c r="AC46" s="126">
        <f>SUM('Defect (Total)'!AC46,Planned!AC46,Reconductor!AC46,CTGS!AC46)</f>
        <v>0</v>
      </c>
      <c r="AD46" s="126">
        <f>SUM('Defect (Total)'!AD46,Planned!AD46,Reconductor!AD46,CTGS!AD46)</f>
        <v>0</v>
      </c>
      <c r="AE46" s="126">
        <f>SUM('Defect (Total)'!AE46,Planned!AE46,Reconductor!AE46,CTGS!AE46)</f>
        <v>9.4710003000000001E-2</v>
      </c>
      <c r="AF46" s="126">
        <f>SUM('Defect (Total)'!AF46,Planned!AF46,Reconductor!AF46,CTGS!AF46)</f>
        <v>0.32733333399999998</v>
      </c>
      <c r="AG46" s="126">
        <f>SUM('Defect (Total)'!AG46,Planned!AG46,Reconductor!AG46,CTGS!AG46)</f>
        <v>0</v>
      </c>
      <c r="AH46" s="126">
        <f>SUM('Defect (Total)'!AH46,Planned!AH46,Reconductor!AH46,CTGS!AH46)</f>
        <v>0</v>
      </c>
      <c r="AI46" s="126">
        <f>SUM('Defect (Total)'!AI46,Planned!AI46,Reconductor!AI46,CTGS!AI46)</f>
        <v>0</v>
      </c>
      <c r="AJ46" s="126">
        <f>SUM('Defect (Total)'!AJ46,Planned!AJ46,Reconductor!AJ46,CTGS!AJ46)</f>
        <v>0.206666671</v>
      </c>
      <c r="AK46" s="127">
        <f t="shared" si="14"/>
        <v>8.4408667399999998E-2</v>
      </c>
      <c r="AL46" s="128">
        <f t="shared" si="21"/>
        <v>0.10911111133333333</v>
      </c>
      <c r="AM46" s="129">
        <f t="shared" si="15"/>
        <v>0</v>
      </c>
      <c r="AN46" s="91" t="str">
        <f t="shared" si="22"/>
        <v/>
      </c>
      <c r="AO46" s="92" t="str">
        <f t="shared" si="23"/>
        <v/>
      </c>
      <c r="AP46" s="92" t="str">
        <f t="shared" si="24"/>
        <v/>
      </c>
      <c r="AQ46" s="92" t="str">
        <f t="shared" si="25"/>
        <v/>
      </c>
      <c r="AR46" s="92" t="str">
        <f t="shared" si="26"/>
        <v/>
      </c>
      <c r="AS46" s="92">
        <f t="shared" si="27"/>
        <v>52976.029850690655</v>
      </c>
      <c r="AT46" s="92">
        <f t="shared" si="28"/>
        <v>9944335.942721922</v>
      </c>
      <c r="AU46" s="92" t="str">
        <f t="shared" si="29"/>
        <v/>
      </c>
      <c r="AV46" s="92" t="str">
        <f t="shared" si="30"/>
        <v/>
      </c>
      <c r="AW46" s="92" t="str">
        <f t="shared" si="31"/>
        <v/>
      </c>
      <c r="AX46" s="92">
        <f t="shared" si="31"/>
        <v>1408614.5627120258</v>
      </c>
      <c r="AY46" s="93">
        <f t="shared" si="32"/>
        <v>7724633.2608096292</v>
      </c>
      <c r="AZ46" s="94" t="str">
        <f t="shared" si="12"/>
        <v/>
      </c>
      <c r="BA46" s="95" t="str">
        <f t="shared" si="13"/>
        <v/>
      </c>
      <c r="BB46" s="692">
        <f>SUM('Defect (Total)'!BB46,Planned!CE46,Reconductor!CE46,CTGS!CE46,'Substation 2025$'!CE46*$BL$1,Comms!CA46*$BL$2)</f>
        <v>0</v>
      </c>
      <c r="BC46" s="692">
        <f>SUM('Defect (Total)'!BC46,Planned!CF46,Reconductor!CF46,CTGS!CF46,'Substation 2025$'!CF46*$BL$1,Comms!CB46*$BL$2)</f>
        <v>0</v>
      </c>
      <c r="BD46" s="363">
        <f>SUM('Defect (Total)'!BD46,Planned!CG46,Reconductor!CG46,CTGS!CG46,'Substation 2025$'!CG46*$BL$1,Comms!CC46*$BL$2)</f>
        <v>0</v>
      </c>
      <c r="BE46" s="363">
        <f>SUM('Defect (Total)'!BE46,Planned!CH46,Reconductor!CH46,CTGS!CH46,'Substation 2025$'!CH46*$BL$1,Comms!CD46*$BL$2)</f>
        <v>0</v>
      </c>
      <c r="BF46" s="363">
        <f>SUM('Defect (Total)'!BF46,Planned!CI46,Reconductor!CI46,CTGS!CI46,'Substation 2025$'!CI46*$BL$1,Comms!CE46*$BL$2)</f>
        <v>0</v>
      </c>
      <c r="BG46" s="363">
        <f>SUM('Defect (Total)'!BG46,Planned!CJ46,Reconductor!CJ46,CTGS!CJ46,'Substation 2025$'!CJ46*$BL$1,Comms!CF46*$BL$2)</f>
        <v>0</v>
      </c>
      <c r="BH46" s="363">
        <f>SUM('Defect (Total)'!BH46,Planned!CK46,Reconductor!CK46,CTGS!CK46,'Substation 2025$'!CK46*$BL$1,Comms!CG46*$BL$2)</f>
        <v>0</v>
      </c>
      <c r="BI46" s="364">
        <f>SUM('Defect (Total)'!BI46,Planned!CL46,Reconductor!CL46,CTGS!CL46,'Substation 2025$'!CL46*$BL$1,Comms!CH46*$BL$2)</f>
        <v>0.2</v>
      </c>
      <c r="BJ46" s="99">
        <f t="shared" si="16"/>
        <v>422577.28163056844</v>
      </c>
      <c r="BK46" s="992">
        <f>SUM('Defect (Total)'!BK46,Planned!CQ46,Reconductor!CQ46,CTGS!CQ46,'Substation 2025$'!CQ46*$BL$1,Comms!CM46*$BL$2)</f>
        <v>0</v>
      </c>
      <c r="BL46" s="992">
        <f>SUM('Defect (Total)'!BL46,Planned!CR46,Reconductor!CR46,CTGS!CR46,'Substation 2025$'!CR46*$BL$1,Comms!CN46*$BL$2)</f>
        <v>0</v>
      </c>
      <c r="BM46" s="524">
        <f>SUM('Defect (Total)'!BM46,Planned!CS46,Reconductor!CS46,CTGS!CS46,'Substation 2025$'!CS46*$BL$1,Comms!CO46*$BL$2)</f>
        <v>0</v>
      </c>
      <c r="BN46" s="416">
        <f>SUM('Defect (Total)'!BN46,Planned!CT46,Reconductor!CT46,CTGS!CT46,'Substation 2025$'!CT46*$BL$1,Comms!CP46*$BL$2)</f>
        <v>0</v>
      </c>
      <c r="BO46" s="97">
        <f>SUM('Defect (Total)'!BO46,Planned!CU46,Reconductor!CU46,CTGS!CU46,'Substation 2025$'!CU46*$BL$1,Comms!CQ46*$BL$2)</f>
        <v>0</v>
      </c>
      <c r="BP46" s="97">
        <f>SUM('Defect (Total)'!BP46,Planned!CV46,Reconductor!CV46,CTGS!CV46,'Substation 2025$'!CV46*$BL$1,Comms!CR46*$BL$2)</f>
        <v>4385.1251381691236</v>
      </c>
      <c r="BQ46" s="97">
        <f>SUM('Defect (Total)'!BQ46,Planned!CW46,Reconductor!CW46,CTGS!CW46,'Substation 2025$'!CW46*$BL$1,Comms!CS46*$BL$2)</f>
        <v>12738.066064035187</v>
      </c>
      <c r="BR46" s="98">
        <f>SUM('Defect (Total)'!BR46,Planned!CX46,Reconductor!CX46,CTGS!CX46,'Substation 2025$'!CX46*$BL$1,Comms!CT46*$BL$2)</f>
        <v>67392.265123909383</v>
      </c>
    </row>
    <row r="47" spans="1:70" x14ac:dyDescent="0.25">
      <c r="A47" s="81" t="s">
        <v>94</v>
      </c>
      <c r="B47" s="82" t="s">
        <v>453</v>
      </c>
      <c r="C47" s="83" t="s">
        <v>100</v>
      </c>
      <c r="D47" s="84">
        <f>SUM('Defect (Total)'!D47,Planned!D47,Reconductor!D47,CTGS!D47)</f>
        <v>0</v>
      </c>
      <c r="E47" s="85">
        <f>SUM('Defect (Total)'!E47,Planned!E47,Reconductor!E47,CTGS!E47)</f>
        <v>0</v>
      </c>
      <c r="F47" s="85">
        <f>SUM('Defect (Total)'!F47,Planned!F47,Reconductor!F47,CTGS!F47)</f>
        <v>0</v>
      </c>
      <c r="G47" s="85">
        <f>SUM('Defect (Total)'!G47,Planned!G47,Reconductor!G47,CTGS!G47)</f>
        <v>0</v>
      </c>
      <c r="H47" s="85">
        <f>SUM('Defect (Total)'!H47,Planned!H47,Reconductor!H47,CTGS!H47)</f>
        <v>0</v>
      </c>
      <c r="I47" s="85">
        <f>SUM('Defect (Total)'!I47,Planned!I47,Reconductor!I47,CTGS!I47)</f>
        <v>0</v>
      </c>
      <c r="J47" s="85">
        <f>SUM('Defect (Total)'!J47,Planned!J47,Reconductor!J47,CTGS!J47)</f>
        <v>0</v>
      </c>
      <c r="K47" s="85">
        <f>SUM('Defect (Total)'!K47,Planned!K47,Reconductor!K47,CTGS!K47)</f>
        <v>0</v>
      </c>
      <c r="L47" s="85">
        <f>SUM('Defect (Total)'!L47,Planned!L47,Reconductor!L47,CTGS!L47)</f>
        <v>0</v>
      </c>
      <c r="M47" s="85">
        <f>SUM('Defect (Total)'!M47,Planned!M47,Reconductor!M47,CTGS!M47)</f>
        <v>0</v>
      </c>
      <c r="N47" s="85">
        <f>SUM('Defect (Total)'!N47,Planned!N47,Reconductor!N47,CTGS!N47)</f>
        <v>0</v>
      </c>
      <c r="O47" s="560">
        <f>SUM('Defect (Total)'!O47,Planned!O47,Reconductor!O47,CTGS!O47)</f>
        <v>0</v>
      </c>
      <c r="P47" s="561">
        <f>SUM('Defect (Total)'!P47,Planned!P47,Reconductor!P47,CTGS!P47)</f>
        <v>0</v>
      </c>
      <c r="Q47" s="561">
        <f>SUM('Defect (Total)'!Q47,Planned!Q47,Reconductor!Q47,CTGS!Q47)</f>
        <v>0</v>
      </c>
      <c r="R47" s="561">
        <f>SUM('Defect (Total)'!R47,Planned!R47,Reconductor!R47,CTGS!R47)</f>
        <v>0</v>
      </c>
      <c r="S47" s="561">
        <f>SUM('Defect (Total)'!S47,Planned!S47,Reconductor!S47,CTGS!S47)</f>
        <v>0</v>
      </c>
      <c r="T47" s="561">
        <f>SUM('Defect (Total)'!T47,Planned!T47,Reconductor!T47,CTGS!T47)</f>
        <v>0</v>
      </c>
      <c r="U47" s="561">
        <f>SUM('Defect (Total)'!U47,Planned!U47,Reconductor!U47,CTGS!U47)</f>
        <v>0</v>
      </c>
      <c r="V47" s="561">
        <f>SUM('Defect (Total)'!V47,Planned!V47,Reconductor!V47,CTGS!V47)</f>
        <v>0</v>
      </c>
      <c r="W47" s="561">
        <f>SUM('Defect (Total)'!W47,Planned!W47,Reconductor!W47,CTGS!W47)</f>
        <v>0</v>
      </c>
      <c r="X47" s="675">
        <f>SUM('Defect (Total)'!X47,Planned!X47,Reconductor!X47,CTGS!X47)</f>
        <v>0</v>
      </c>
      <c r="Y47" s="675">
        <f>SUM('Defect (Total)'!Y47,Planned!Y47,Reconductor!Y47,CTGS!Y47)</f>
        <v>0</v>
      </c>
      <c r="Z47" s="125">
        <f>SUM('Defect (Total)'!Z47,Planned!Z47,Reconductor!Z47,CTGS!Z47)</f>
        <v>0</v>
      </c>
      <c r="AA47" s="126">
        <f>SUM('Defect (Total)'!AA47,Planned!AA47,Reconductor!AA47,CTGS!AA47)</f>
        <v>0</v>
      </c>
      <c r="AB47" s="126">
        <f>SUM('Defect (Total)'!AB47,Planned!AB47,Reconductor!AB47,CTGS!AB47)</f>
        <v>0</v>
      </c>
      <c r="AC47" s="126">
        <f>SUM('Defect (Total)'!AC47,Planned!AC47,Reconductor!AC47,CTGS!AC47)</f>
        <v>0</v>
      </c>
      <c r="AD47" s="126">
        <f>SUM('Defect (Total)'!AD47,Planned!AD47,Reconductor!AD47,CTGS!AD47)</f>
        <v>0</v>
      </c>
      <c r="AE47" s="126">
        <f>SUM('Defect (Total)'!AE47,Planned!AE47,Reconductor!AE47,CTGS!AE47)</f>
        <v>0</v>
      </c>
      <c r="AF47" s="126">
        <f>SUM('Defect (Total)'!AF47,Planned!AF47,Reconductor!AF47,CTGS!AF47)</f>
        <v>0</v>
      </c>
      <c r="AG47" s="126">
        <f>SUM('Defect (Total)'!AG47,Planned!AG47,Reconductor!AG47,CTGS!AG47)</f>
        <v>0</v>
      </c>
      <c r="AH47" s="126">
        <f>SUM('Defect (Total)'!AH47,Planned!AH47,Reconductor!AH47,CTGS!AH47)</f>
        <v>0</v>
      </c>
      <c r="AI47" s="126">
        <f>SUM('Defect (Total)'!AI47,Planned!AI47,Reconductor!AI47,CTGS!AI47)</f>
        <v>0</v>
      </c>
      <c r="AJ47" s="126">
        <f>SUM('Defect (Total)'!AJ47,Planned!AJ47,Reconductor!AJ47,CTGS!AJ47)</f>
        <v>0</v>
      </c>
      <c r="AK47" s="127">
        <f t="shared" si="14"/>
        <v>0</v>
      </c>
      <c r="AL47" s="128">
        <f t="shared" si="21"/>
        <v>0</v>
      </c>
      <c r="AM47" s="129">
        <f t="shared" si="15"/>
        <v>0</v>
      </c>
      <c r="AN47" s="91" t="str">
        <f t="shared" si="22"/>
        <v/>
      </c>
      <c r="AO47" s="92" t="str">
        <f t="shared" si="23"/>
        <v/>
      </c>
      <c r="AP47" s="92" t="str">
        <f t="shared" si="24"/>
        <v/>
      </c>
      <c r="AQ47" s="92" t="str">
        <f t="shared" si="25"/>
        <v/>
      </c>
      <c r="AR47" s="92" t="str">
        <f t="shared" si="26"/>
        <v/>
      </c>
      <c r="AS47" s="92" t="str">
        <f t="shared" si="27"/>
        <v/>
      </c>
      <c r="AT47" s="92" t="str">
        <f t="shared" si="28"/>
        <v/>
      </c>
      <c r="AU47" s="92" t="str">
        <f t="shared" si="29"/>
        <v/>
      </c>
      <c r="AV47" s="92" t="str">
        <f t="shared" si="30"/>
        <v/>
      </c>
      <c r="AW47" s="92" t="str">
        <f t="shared" si="31"/>
        <v/>
      </c>
      <c r="AX47" s="92" t="str">
        <f t="shared" si="31"/>
        <v/>
      </c>
      <c r="AY47" s="93" t="str">
        <f t="shared" si="32"/>
        <v/>
      </c>
      <c r="AZ47" s="94" t="str">
        <f t="shared" si="12"/>
        <v/>
      </c>
      <c r="BA47" s="95" t="str">
        <f t="shared" si="13"/>
        <v/>
      </c>
      <c r="BB47" s="692">
        <f>SUM('Defect (Total)'!BB47,Planned!CE47,Reconductor!CE47,CTGS!CE47,'Substation 2025$'!CE47*$BL$1,Comms!CA47*$BL$2)</f>
        <v>0</v>
      </c>
      <c r="BC47" s="692">
        <f>SUM('Defect (Total)'!BC47,Planned!CF47,Reconductor!CF47,CTGS!CF47,'Substation 2025$'!CF47*$BL$1,Comms!CB47*$BL$2)</f>
        <v>0</v>
      </c>
      <c r="BD47" s="363">
        <f>SUM('Defect (Total)'!BD47,Planned!CG47,Reconductor!CG47,CTGS!CG47,'Substation 2025$'!CG47*$BL$1,Comms!CC47*$BL$2)</f>
        <v>0</v>
      </c>
      <c r="BE47" s="363">
        <f>SUM('Defect (Total)'!BE47,Planned!CH47,Reconductor!CH47,CTGS!CH47,'Substation 2025$'!CH47*$BL$1,Comms!CD47*$BL$2)</f>
        <v>0</v>
      </c>
      <c r="BF47" s="363">
        <f>SUM('Defect (Total)'!BF47,Planned!CI47,Reconductor!CI47,CTGS!CI47,'Substation 2025$'!CI47*$BL$1,Comms!CE47*$BL$2)</f>
        <v>0</v>
      </c>
      <c r="BG47" s="363">
        <f>SUM('Defect (Total)'!BG47,Planned!CJ47,Reconductor!CJ47,CTGS!CJ47,'Substation 2025$'!CJ47*$BL$1,Comms!CF47*$BL$2)</f>
        <v>0</v>
      </c>
      <c r="BH47" s="363">
        <f>SUM('Defect (Total)'!BH47,Planned!CK47,Reconductor!CK47,CTGS!CK47,'Substation 2025$'!CK47*$BL$1,Comms!CG47*$BL$2)</f>
        <v>0</v>
      </c>
      <c r="BI47" s="364">
        <f>SUM('Defect (Total)'!BI47,Planned!CL47,Reconductor!CL47,CTGS!CL47,'Substation 2025$'!CL47*$BL$1,Comms!CH47*$BL$2)</f>
        <v>0</v>
      </c>
      <c r="BJ47" s="99" t="str">
        <f t="shared" si="16"/>
        <v/>
      </c>
      <c r="BK47" s="992">
        <f>SUM('Defect (Total)'!BK47,Planned!CQ47,Reconductor!CQ47,CTGS!CQ47,'Substation 2025$'!CQ47*$BL$1,Comms!CM47*$BL$2)</f>
        <v>0</v>
      </c>
      <c r="BL47" s="992">
        <f>SUM('Defect (Total)'!BL47,Planned!CR47,Reconductor!CR47,CTGS!CR47,'Substation 2025$'!CR47*$BL$1,Comms!CN47*$BL$2)</f>
        <v>0</v>
      </c>
      <c r="BM47" s="524">
        <f>SUM('Defect (Total)'!BM47,Planned!CS47,Reconductor!CS47,CTGS!CS47,'Substation 2025$'!CS47*$BL$1,Comms!CO47*$BL$2)</f>
        <v>0</v>
      </c>
      <c r="BN47" s="416">
        <f>SUM('Defect (Total)'!BN47,Planned!CT47,Reconductor!CT47,CTGS!CT47,'Substation 2025$'!CT47*$BL$1,Comms!CP47*$BL$2)</f>
        <v>0</v>
      </c>
      <c r="BO47" s="97">
        <f>SUM('Defect (Total)'!BO47,Planned!CU47,Reconductor!CU47,CTGS!CU47,'Substation 2025$'!CU47*$BL$1,Comms!CQ47*$BL$2)</f>
        <v>0</v>
      </c>
      <c r="BP47" s="97">
        <f>SUM('Defect (Total)'!BP47,Planned!CV47,Reconductor!CV47,CTGS!CV47,'Substation 2025$'!CV47*$BL$1,Comms!CR47*$BL$2)</f>
        <v>0</v>
      </c>
      <c r="BQ47" s="97">
        <f>SUM('Defect (Total)'!BQ47,Planned!CW47,Reconductor!CW47,CTGS!CW47,'Substation 2025$'!CW47*$BL$1,Comms!CS47*$BL$2)</f>
        <v>0</v>
      </c>
      <c r="BR47" s="98">
        <f>SUM('Defect (Total)'!BR47,Planned!CX47,Reconductor!CX47,CTGS!CX47,'Substation 2025$'!CX47*$BL$1,Comms!CT47*$BL$2)</f>
        <v>0</v>
      </c>
    </row>
    <row r="48" spans="1:70" x14ac:dyDescent="0.25">
      <c r="A48" s="81" t="s">
        <v>94</v>
      </c>
      <c r="B48" s="82" t="s">
        <v>321</v>
      </c>
      <c r="C48" s="83" t="s">
        <v>76</v>
      </c>
      <c r="D48" s="84">
        <f>SUM('Defect (Total)'!D48,Planned!D48,Reconductor!D48,CTGS!D48)</f>
        <v>0</v>
      </c>
      <c r="E48" s="85">
        <f>SUM('Defect (Total)'!E48,Planned!E48,Reconductor!E48,CTGS!E48)</f>
        <v>0</v>
      </c>
      <c r="F48" s="85">
        <f>SUM('Defect (Total)'!F48,Planned!F48,Reconductor!F48,CTGS!F48)</f>
        <v>0</v>
      </c>
      <c r="G48" s="85">
        <f>SUM('Defect (Total)'!G48,Planned!G48,Reconductor!G48,CTGS!G48)</f>
        <v>0</v>
      </c>
      <c r="H48" s="85">
        <f>SUM('Defect (Total)'!H48,Planned!H48,Reconductor!H48,CTGS!H48)</f>
        <v>0</v>
      </c>
      <c r="I48" s="85">
        <f>SUM('Defect (Total)'!I48,Planned!I48,Reconductor!I48,CTGS!I48)</f>
        <v>0</v>
      </c>
      <c r="J48" s="85">
        <f>SUM('Defect (Total)'!J48,Planned!J48,Reconductor!J48,CTGS!J48)</f>
        <v>0</v>
      </c>
      <c r="K48" s="85">
        <f>SUM('Defect (Total)'!K48,Planned!K48,Reconductor!K48,CTGS!K48)</f>
        <v>0</v>
      </c>
      <c r="L48" s="85">
        <f>SUM('Defect (Total)'!L48,Planned!L48,Reconductor!L48,CTGS!L48)</f>
        <v>0</v>
      </c>
      <c r="M48" s="85">
        <f>SUM('Defect (Total)'!M48,Planned!M48,Reconductor!M48,CTGS!M48)</f>
        <v>0</v>
      </c>
      <c r="N48" s="85">
        <f>SUM('Defect (Total)'!N48,Planned!N48,Reconductor!N48,CTGS!N48)</f>
        <v>0</v>
      </c>
      <c r="O48" s="560">
        <f>SUM('Defect (Total)'!O48,Planned!O48,Reconductor!O48,CTGS!O48)</f>
        <v>0</v>
      </c>
      <c r="P48" s="561">
        <f>SUM('Defect (Total)'!P48,Planned!P48,Reconductor!P48,CTGS!P48)</f>
        <v>0</v>
      </c>
      <c r="Q48" s="561">
        <f>SUM('Defect (Total)'!Q48,Planned!Q48,Reconductor!Q48,CTGS!Q48)</f>
        <v>0</v>
      </c>
      <c r="R48" s="561">
        <f>SUM('Defect (Total)'!R48,Planned!R48,Reconductor!R48,CTGS!R48)</f>
        <v>0</v>
      </c>
      <c r="S48" s="561">
        <f>SUM('Defect (Total)'!S48,Planned!S48,Reconductor!S48,CTGS!S48)</f>
        <v>0</v>
      </c>
      <c r="T48" s="561">
        <f>SUM('Defect (Total)'!T48,Planned!T48,Reconductor!T48,CTGS!T48)</f>
        <v>0</v>
      </c>
      <c r="U48" s="561">
        <f>SUM('Defect (Total)'!U48,Planned!U48,Reconductor!U48,CTGS!U48)</f>
        <v>0</v>
      </c>
      <c r="V48" s="561">
        <f>SUM('Defect (Total)'!V48,Planned!V48,Reconductor!V48,CTGS!V48)</f>
        <v>0</v>
      </c>
      <c r="W48" s="561">
        <f>SUM('Defect (Total)'!W48,Planned!W48,Reconductor!W48,CTGS!W48)</f>
        <v>0</v>
      </c>
      <c r="X48" s="675">
        <f>SUM('Defect (Total)'!X48,Planned!X48,Reconductor!X48,CTGS!X48)</f>
        <v>0</v>
      </c>
      <c r="Y48" s="675">
        <f>SUM('Defect (Total)'!Y48,Planned!Y48,Reconductor!Y48,CTGS!Y48)</f>
        <v>0</v>
      </c>
      <c r="Z48" s="125">
        <f>SUM('Defect (Total)'!Z48,Planned!Z48,Reconductor!Z48,CTGS!Z48)</f>
        <v>0</v>
      </c>
      <c r="AA48" s="126">
        <f>SUM('Defect (Total)'!AA48,Planned!AA48,Reconductor!AA48,CTGS!AA48)</f>
        <v>0</v>
      </c>
      <c r="AB48" s="126">
        <f>SUM('Defect (Total)'!AB48,Planned!AB48,Reconductor!AB48,CTGS!AB48)</f>
        <v>0</v>
      </c>
      <c r="AC48" s="126">
        <f>SUM('Defect (Total)'!AC48,Planned!AC48,Reconductor!AC48,CTGS!AC48)</f>
        <v>0</v>
      </c>
      <c r="AD48" s="126">
        <f>SUM('Defect (Total)'!AD48,Planned!AD48,Reconductor!AD48,CTGS!AD48)</f>
        <v>0</v>
      </c>
      <c r="AE48" s="126">
        <f>SUM('Defect (Total)'!AE48,Planned!AE48,Reconductor!AE48,CTGS!AE48)</f>
        <v>0</v>
      </c>
      <c r="AF48" s="126">
        <f>SUM('Defect (Total)'!AF48,Planned!AF48,Reconductor!AF48,CTGS!AF48)</f>
        <v>0</v>
      </c>
      <c r="AG48" s="126">
        <f>SUM('Defect (Total)'!AG48,Planned!AG48,Reconductor!AG48,CTGS!AG48)</f>
        <v>0</v>
      </c>
      <c r="AH48" s="126">
        <f>SUM('Defect (Total)'!AH48,Planned!AH48,Reconductor!AH48,CTGS!AH48)</f>
        <v>0</v>
      </c>
      <c r="AI48" s="126">
        <f>SUM('Defect (Total)'!AI48,Planned!AI48,Reconductor!AI48,CTGS!AI48)</f>
        <v>0</v>
      </c>
      <c r="AJ48" s="126">
        <f>SUM('Defect (Total)'!AJ48,Planned!AJ48,Reconductor!AJ48,CTGS!AJ48)</f>
        <v>0</v>
      </c>
      <c r="AK48" s="127">
        <f t="shared" si="14"/>
        <v>0</v>
      </c>
      <c r="AL48" s="128">
        <f t="shared" si="21"/>
        <v>0</v>
      </c>
      <c r="AM48" s="129">
        <f t="shared" si="15"/>
        <v>0</v>
      </c>
      <c r="AN48" s="91" t="str">
        <f t="shared" si="22"/>
        <v/>
      </c>
      <c r="AO48" s="92" t="str">
        <f t="shared" si="23"/>
        <v/>
      </c>
      <c r="AP48" s="92" t="str">
        <f t="shared" si="24"/>
        <v/>
      </c>
      <c r="AQ48" s="92" t="str">
        <f t="shared" si="25"/>
        <v/>
      </c>
      <c r="AR48" s="92" t="str">
        <f t="shared" si="26"/>
        <v/>
      </c>
      <c r="AS48" s="92" t="str">
        <f t="shared" si="27"/>
        <v/>
      </c>
      <c r="AT48" s="92" t="str">
        <f t="shared" si="28"/>
        <v/>
      </c>
      <c r="AU48" s="92" t="str">
        <f t="shared" si="29"/>
        <v/>
      </c>
      <c r="AV48" s="92" t="str">
        <f t="shared" si="30"/>
        <v/>
      </c>
      <c r="AW48" s="92" t="str">
        <f t="shared" si="31"/>
        <v/>
      </c>
      <c r="AX48" s="92" t="str">
        <f t="shared" si="31"/>
        <v/>
      </c>
      <c r="AY48" s="93" t="str">
        <f t="shared" si="32"/>
        <v/>
      </c>
      <c r="AZ48" s="94" t="str">
        <f t="shared" si="12"/>
        <v/>
      </c>
      <c r="BA48" s="95" t="str">
        <f t="shared" si="13"/>
        <v/>
      </c>
      <c r="BB48" s="692">
        <f>SUM('Defect (Total)'!BB48,Planned!CE48,Reconductor!CE48,CTGS!CE48,'Substation 2025$'!CE48*$BL$1,Comms!CA48*$BL$2)</f>
        <v>0</v>
      </c>
      <c r="BC48" s="692">
        <f>SUM('Defect (Total)'!BC48,Planned!CF48,Reconductor!CF48,CTGS!CF48,'Substation 2025$'!CF48*$BL$1,Comms!CB48*$BL$2)</f>
        <v>0</v>
      </c>
      <c r="BD48" s="363">
        <f>SUM('Defect (Total)'!BD48,Planned!CG48,Reconductor!CG48,CTGS!CG48,'Substation 2025$'!CG48*$BL$1,Comms!CC48*$BL$2)</f>
        <v>0</v>
      </c>
      <c r="BE48" s="363">
        <f>SUM('Defect (Total)'!BE48,Planned!CH48,Reconductor!CH48,CTGS!CH48,'Substation 2025$'!CH48*$BL$1,Comms!CD48*$BL$2)</f>
        <v>0</v>
      </c>
      <c r="BF48" s="363">
        <f>SUM('Defect (Total)'!BF48,Planned!CI48,Reconductor!CI48,CTGS!CI48,'Substation 2025$'!CI48*$BL$1,Comms!CE48*$BL$2)</f>
        <v>0</v>
      </c>
      <c r="BG48" s="363">
        <f>SUM('Defect (Total)'!BG48,Planned!CJ48,Reconductor!CJ48,CTGS!CJ48,'Substation 2025$'!CJ48*$BL$1,Comms!CF48*$BL$2)</f>
        <v>0</v>
      </c>
      <c r="BH48" s="363">
        <f>SUM('Defect (Total)'!BH48,Planned!CK48,Reconductor!CK48,CTGS!CK48,'Substation 2025$'!CK48*$BL$1,Comms!CG48*$BL$2)</f>
        <v>0</v>
      </c>
      <c r="BI48" s="364">
        <f>SUM('Defect (Total)'!BI48,Planned!CL48,Reconductor!CL48,CTGS!CL48,'Substation 2025$'!CL48*$BL$1,Comms!CH48*$BL$2)</f>
        <v>0</v>
      </c>
      <c r="BJ48" s="99" t="str">
        <f t="shared" si="16"/>
        <v/>
      </c>
      <c r="BK48" s="992">
        <f>SUM('Defect (Total)'!BK48,Planned!CQ48,Reconductor!CQ48,CTGS!CQ48,'Substation 2025$'!CQ48*$BL$1,Comms!CM48*$BL$2)</f>
        <v>0</v>
      </c>
      <c r="BL48" s="992">
        <f>SUM('Defect (Total)'!BL48,Planned!CR48,Reconductor!CR48,CTGS!CR48,'Substation 2025$'!CR48*$BL$1,Comms!CN48*$BL$2)</f>
        <v>0</v>
      </c>
      <c r="BM48" s="524">
        <f>SUM('Defect (Total)'!BM48,Planned!CS48,Reconductor!CS48,CTGS!CS48,'Substation 2025$'!CS48*$BL$1,Comms!CO48*$BL$2)</f>
        <v>0</v>
      </c>
      <c r="BN48" s="416">
        <f>SUM('Defect (Total)'!BN48,Planned!CT48,Reconductor!CT48,CTGS!CT48,'Substation 2025$'!CT48*$BL$1,Comms!CP48*$BL$2)</f>
        <v>0</v>
      </c>
      <c r="BO48" s="97">
        <f>SUM('Defect (Total)'!BO48,Planned!CU48,Reconductor!CU48,CTGS!CU48,'Substation 2025$'!CU48*$BL$1,Comms!CQ48*$BL$2)</f>
        <v>0</v>
      </c>
      <c r="BP48" s="97">
        <f>SUM('Defect (Total)'!BP48,Planned!CV48,Reconductor!CV48,CTGS!CV48,'Substation 2025$'!CV48*$BL$1,Comms!CR48*$BL$2)</f>
        <v>0</v>
      </c>
      <c r="BQ48" s="97">
        <f>SUM('Defect (Total)'!BQ48,Planned!CW48,Reconductor!CW48,CTGS!CW48,'Substation 2025$'!CW48*$BL$1,Comms!CS48*$BL$2)</f>
        <v>0</v>
      </c>
      <c r="BR48" s="98">
        <f>SUM('Defect (Total)'!BR48,Planned!CX48,Reconductor!CX48,CTGS!CX48,'Substation 2025$'!CX48*$BL$1,Comms!CT48*$BL$2)</f>
        <v>0</v>
      </c>
    </row>
    <row r="49" spans="1:70" x14ac:dyDescent="0.25">
      <c r="A49" s="81" t="s">
        <v>94</v>
      </c>
      <c r="B49" s="82" t="s">
        <v>322</v>
      </c>
      <c r="C49" s="83" t="s">
        <v>323</v>
      </c>
      <c r="D49" s="84">
        <f>SUM('Defect (Total)'!D49,Planned!D49,Reconductor!D49,CTGS!D49)</f>
        <v>0</v>
      </c>
      <c r="E49" s="85">
        <f>SUM('Defect (Total)'!E49,Planned!E49,Reconductor!E49,CTGS!E49)</f>
        <v>0</v>
      </c>
      <c r="F49" s="85">
        <f>SUM('Defect (Total)'!F49,Planned!F49,Reconductor!F49,CTGS!F49)</f>
        <v>0</v>
      </c>
      <c r="G49" s="85">
        <f>SUM('Defect (Total)'!G49,Planned!G49,Reconductor!G49,CTGS!G49)</f>
        <v>0</v>
      </c>
      <c r="H49" s="85">
        <f>SUM('Defect (Total)'!H49,Planned!H49,Reconductor!H49,CTGS!H49)</f>
        <v>0</v>
      </c>
      <c r="I49" s="85">
        <f>SUM('Defect (Total)'!I49,Planned!I49,Reconductor!I49,CTGS!I49)</f>
        <v>0</v>
      </c>
      <c r="J49" s="85">
        <f>SUM('Defect (Total)'!J49,Planned!J49,Reconductor!J49,CTGS!J49)</f>
        <v>0</v>
      </c>
      <c r="K49" s="85">
        <f>SUM('Defect (Total)'!K49,Planned!K49,Reconductor!K49,CTGS!K49)</f>
        <v>0</v>
      </c>
      <c r="L49" s="85">
        <f>SUM('Defect (Total)'!L49,Planned!L49,Reconductor!L49,CTGS!L49)</f>
        <v>0</v>
      </c>
      <c r="M49" s="85">
        <f>SUM('Defect (Total)'!M49,Planned!M49,Reconductor!M49,CTGS!M49)</f>
        <v>0</v>
      </c>
      <c r="N49" s="85">
        <f>SUM('Defect (Total)'!N49,Planned!N49,Reconductor!N49,CTGS!N49)</f>
        <v>0</v>
      </c>
      <c r="O49" s="560">
        <f>SUM('Defect (Total)'!O49,Planned!O49,Reconductor!O49,CTGS!O49)</f>
        <v>0</v>
      </c>
      <c r="P49" s="561">
        <f>SUM('Defect (Total)'!P49,Planned!P49,Reconductor!P49,CTGS!P49)</f>
        <v>0</v>
      </c>
      <c r="Q49" s="561">
        <f>SUM('Defect (Total)'!Q49,Planned!Q49,Reconductor!Q49,CTGS!Q49)</f>
        <v>0</v>
      </c>
      <c r="R49" s="561">
        <f>SUM('Defect (Total)'!R49,Planned!R49,Reconductor!R49,CTGS!R49)</f>
        <v>0</v>
      </c>
      <c r="S49" s="561">
        <f>SUM('Defect (Total)'!S49,Planned!S49,Reconductor!S49,CTGS!S49)</f>
        <v>0</v>
      </c>
      <c r="T49" s="561">
        <f>SUM('Defect (Total)'!T49,Planned!T49,Reconductor!T49,CTGS!T49)</f>
        <v>0</v>
      </c>
      <c r="U49" s="561">
        <f>SUM('Defect (Total)'!U49,Planned!U49,Reconductor!U49,CTGS!U49)</f>
        <v>0</v>
      </c>
      <c r="V49" s="561">
        <f>SUM('Defect (Total)'!V49,Planned!V49,Reconductor!V49,CTGS!V49)</f>
        <v>0</v>
      </c>
      <c r="W49" s="561">
        <f>SUM('Defect (Total)'!W49,Planned!W49,Reconductor!W49,CTGS!W49)</f>
        <v>0</v>
      </c>
      <c r="X49" s="675">
        <f>SUM('Defect (Total)'!X49,Planned!X49,Reconductor!X49,CTGS!X49)</f>
        <v>0</v>
      </c>
      <c r="Y49" s="675">
        <f>SUM('Defect (Total)'!Y49,Planned!Y49,Reconductor!Y49,CTGS!Y49)</f>
        <v>0</v>
      </c>
      <c r="Z49" s="125">
        <f>SUM('Defect (Total)'!Z49,Planned!Z49,Reconductor!Z49,CTGS!Z49)</f>
        <v>0</v>
      </c>
      <c r="AA49" s="126">
        <f>SUM('Defect (Total)'!AA49,Planned!AA49,Reconductor!AA49,CTGS!AA49)</f>
        <v>0</v>
      </c>
      <c r="AB49" s="126">
        <f>SUM('Defect (Total)'!AB49,Planned!AB49,Reconductor!AB49,CTGS!AB49)</f>
        <v>0</v>
      </c>
      <c r="AC49" s="126">
        <f>SUM('Defect (Total)'!AC49,Planned!AC49,Reconductor!AC49,CTGS!AC49)</f>
        <v>0</v>
      </c>
      <c r="AD49" s="126">
        <f>SUM('Defect (Total)'!AD49,Planned!AD49,Reconductor!AD49,CTGS!AD49)</f>
        <v>0</v>
      </c>
      <c r="AE49" s="126">
        <f>SUM('Defect (Total)'!AE49,Planned!AE49,Reconductor!AE49,CTGS!AE49)</f>
        <v>0</v>
      </c>
      <c r="AF49" s="126">
        <f>SUM('Defect (Total)'!AF49,Planned!AF49,Reconductor!AF49,CTGS!AF49)</f>
        <v>0</v>
      </c>
      <c r="AG49" s="126">
        <f>SUM('Defect (Total)'!AG49,Planned!AG49,Reconductor!AG49,CTGS!AG49)</f>
        <v>0</v>
      </c>
      <c r="AH49" s="126">
        <f>SUM('Defect (Total)'!AH49,Planned!AH49,Reconductor!AH49,CTGS!AH49)</f>
        <v>0</v>
      </c>
      <c r="AI49" s="126">
        <f>SUM('Defect (Total)'!AI49,Planned!AI49,Reconductor!AI49,CTGS!AI49)</f>
        <v>0</v>
      </c>
      <c r="AJ49" s="126">
        <f>SUM('Defect (Total)'!AJ49,Planned!AJ49,Reconductor!AJ49,CTGS!AJ49)</f>
        <v>0</v>
      </c>
      <c r="AK49" s="127">
        <f t="shared" si="14"/>
        <v>0</v>
      </c>
      <c r="AL49" s="128">
        <f t="shared" si="21"/>
        <v>0</v>
      </c>
      <c r="AM49" s="129">
        <f t="shared" si="15"/>
        <v>0</v>
      </c>
      <c r="AN49" s="91" t="str">
        <f t="shared" si="22"/>
        <v/>
      </c>
      <c r="AO49" s="92" t="str">
        <f t="shared" si="23"/>
        <v/>
      </c>
      <c r="AP49" s="92" t="str">
        <f t="shared" si="24"/>
        <v/>
      </c>
      <c r="AQ49" s="92" t="str">
        <f t="shared" si="25"/>
        <v/>
      </c>
      <c r="AR49" s="92" t="str">
        <f t="shared" si="26"/>
        <v/>
      </c>
      <c r="AS49" s="92" t="str">
        <f t="shared" si="27"/>
        <v/>
      </c>
      <c r="AT49" s="92" t="str">
        <f t="shared" si="28"/>
        <v/>
      </c>
      <c r="AU49" s="92" t="str">
        <f t="shared" si="29"/>
        <v/>
      </c>
      <c r="AV49" s="92" t="str">
        <f t="shared" si="30"/>
        <v/>
      </c>
      <c r="AW49" s="92" t="str">
        <f t="shared" si="31"/>
        <v/>
      </c>
      <c r="AX49" s="92" t="str">
        <f t="shared" si="31"/>
        <v/>
      </c>
      <c r="AY49" s="93" t="str">
        <f t="shared" si="32"/>
        <v/>
      </c>
      <c r="AZ49" s="94" t="str">
        <f t="shared" si="12"/>
        <v/>
      </c>
      <c r="BA49" s="95" t="str">
        <f t="shared" si="13"/>
        <v/>
      </c>
      <c r="BB49" s="692">
        <f>SUM('Defect (Total)'!BB49,Planned!CE49,Reconductor!CE49,CTGS!CE49,'Substation 2025$'!CE49*$BL$1,Comms!CA49*$BL$2)</f>
        <v>0</v>
      </c>
      <c r="BC49" s="692">
        <f>SUM('Defect (Total)'!BC49,Planned!CF49,Reconductor!CF49,CTGS!CF49,'Substation 2025$'!CF49*$BL$1,Comms!CB49*$BL$2)</f>
        <v>0</v>
      </c>
      <c r="BD49" s="363">
        <f>SUM('Defect (Total)'!BD49,Planned!CG49,Reconductor!CG49,CTGS!CG49,'Substation 2025$'!CG49*$BL$1,Comms!CC49*$BL$2)</f>
        <v>0</v>
      </c>
      <c r="BE49" s="363">
        <f>SUM('Defect (Total)'!BE49,Planned!CH49,Reconductor!CH49,CTGS!CH49,'Substation 2025$'!CH49*$BL$1,Comms!CD49*$BL$2)</f>
        <v>0</v>
      </c>
      <c r="BF49" s="363">
        <f>SUM('Defect (Total)'!BF49,Planned!CI49,Reconductor!CI49,CTGS!CI49,'Substation 2025$'!CI49*$BL$1,Comms!CE49*$BL$2)</f>
        <v>0</v>
      </c>
      <c r="BG49" s="363">
        <f>SUM('Defect (Total)'!BG49,Planned!CJ49,Reconductor!CJ49,CTGS!CJ49,'Substation 2025$'!CJ49*$BL$1,Comms!CF49*$BL$2)</f>
        <v>0</v>
      </c>
      <c r="BH49" s="363">
        <f>SUM('Defect (Total)'!BH49,Planned!CK49,Reconductor!CK49,CTGS!CK49,'Substation 2025$'!CK49*$BL$1,Comms!CG49*$BL$2)</f>
        <v>0</v>
      </c>
      <c r="BI49" s="364">
        <f>SUM('Defect (Total)'!BI49,Planned!CL49,Reconductor!CL49,CTGS!CL49,'Substation 2025$'!CL49*$BL$1,Comms!CH49*$BL$2)</f>
        <v>0</v>
      </c>
      <c r="BJ49" s="99" t="str">
        <f t="shared" si="16"/>
        <v/>
      </c>
      <c r="BK49" s="992">
        <f>SUM('Defect (Total)'!BK49,Planned!CQ49,Reconductor!CQ49,CTGS!CQ49,'Substation 2025$'!CQ49*$BL$1,Comms!CM49*$BL$2)</f>
        <v>0</v>
      </c>
      <c r="BL49" s="992">
        <f>SUM('Defect (Total)'!BL49,Planned!CR49,Reconductor!CR49,CTGS!CR49,'Substation 2025$'!CR49*$BL$1,Comms!CN49*$BL$2)</f>
        <v>0</v>
      </c>
      <c r="BM49" s="524">
        <f>SUM('Defect (Total)'!BM49,Planned!CS49,Reconductor!CS49,CTGS!CS49,'Substation 2025$'!CS49*$BL$1,Comms!CO49*$BL$2)</f>
        <v>0</v>
      </c>
      <c r="BN49" s="416">
        <f>SUM('Defect (Total)'!BN49,Planned!CT49,Reconductor!CT49,CTGS!CT49,'Substation 2025$'!CT49*$BL$1,Comms!CP49*$BL$2)</f>
        <v>0</v>
      </c>
      <c r="BO49" s="97">
        <f>SUM('Defect (Total)'!BO49,Planned!CU49,Reconductor!CU49,CTGS!CU49,'Substation 2025$'!CU49*$BL$1,Comms!CQ49*$BL$2)</f>
        <v>0</v>
      </c>
      <c r="BP49" s="97">
        <f>SUM('Defect (Total)'!BP49,Planned!CV49,Reconductor!CV49,CTGS!CV49,'Substation 2025$'!CV49*$BL$1,Comms!CR49*$BL$2)</f>
        <v>0</v>
      </c>
      <c r="BQ49" s="97">
        <f>SUM('Defect (Total)'!BQ49,Planned!CW49,Reconductor!CW49,CTGS!CW49,'Substation 2025$'!CW49*$BL$1,Comms!CS49*$BL$2)</f>
        <v>0</v>
      </c>
      <c r="BR49" s="98">
        <f>SUM('Defect (Total)'!BR49,Planned!CX49,Reconductor!CX49,CTGS!CX49,'Substation 2025$'!CX49*$BL$1,Comms!CT49*$BL$2)</f>
        <v>0</v>
      </c>
    </row>
    <row r="50" spans="1:70" ht="15.75" thickBot="1" x14ac:dyDescent="0.3">
      <c r="A50" s="138" t="s">
        <v>94</v>
      </c>
      <c r="B50" s="139" t="s">
        <v>324</v>
      </c>
      <c r="C50" s="102" t="s">
        <v>325</v>
      </c>
      <c r="D50" s="103">
        <f>SUM('Defect (Total)'!D50,Planned!D50,Reconductor!D50,CTGS!D50)</f>
        <v>0</v>
      </c>
      <c r="E50" s="104">
        <f>SUM('Defect (Total)'!E50,Planned!E50,Reconductor!E50,CTGS!E50)</f>
        <v>0</v>
      </c>
      <c r="F50" s="104">
        <f>SUM('Defect (Total)'!F50,Planned!F50,Reconductor!F50,CTGS!F50)</f>
        <v>0</v>
      </c>
      <c r="G50" s="104">
        <f>SUM('Defect (Total)'!G50,Planned!G50,Reconductor!G50,CTGS!G50)</f>
        <v>0</v>
      </c>
      <c r="H50" s="104">
        <f>SUM('Defect (Total)'!H50,Planned!H50,Reconductor!H50,CTGS!H50)</f>
        <v>0</v>
      </c>
      <c r="I50" s="104">
        <f>SUM('Defect (Total)'!I50,Planned!I50,Reconductor!I50,CTGS!I50)</f>
        <v>0</v>
      </c>
      <c r="J50" s="104">
        <f>SUM('Defect (Total)'!J50,Planned!J50,Reconductor!J50,CTGS!J50)</f>
        <v>0</v>
      </c>
      <c r="K50" s="104">
        <f>SUM('Defect (Total)'!K50,Planned!K50,Reconductor!K50,CTGS!K50)</f>
        <v>0</v>
      </c>
      <c r="L50" s="104">
        <f>SUM('Defect (Total)'!L50,Planned!L50,Reconductor!L50,CTGS!L50)</f>
        <v>0</v>
      </c>
      <c r="M50" s="104">
        <f>SUM('Defect (Total)'!M50,Planned!M50,Reconductor!M50,CTGS!M50)</f>
        <v>0</v>
      </c>
      <c r="N50" s="104">
        <f>SUM('Defect (Total)'!N50,Planned!N50,Reconductor!N50,CTGS!N50)</f>
        <v>0</v>
      </c>
      <c r="O50" s="563">
        <f>SUM('Defect (Total)'!O50,Planned!O50,Reconductor!O50,CTGS!O50)</f>
        <v>0</v>
      </c>
      <c r="P50" s="564">
        <f>SUM('Defect (Total)'!P50,Planned!P50,Reconductor!P50,CTGS!P50)</f>
        <v>0</v>
      </c>
      <c r="Q50" s="564">
        <f>SUM('Defect (Total)'!Q50,Planned!Q50,Reconductor!Q50,CTGS!Q50)</f>
        <v>0</v>
      </c>
      <c r="R50" s="564">
        <f>SUM('Defect (Total)'!R50,Planned!R50,Reconductor!R50,CTGS!R50)</f>
        <v>0</v>
      </c>
      <c r="S50" s="564">
        <f>SUM('Defect (Total)'!S50,Planned!S50,Reconductor!S50,CTGS!S50)</f>
        <v>0</v>
      </c>
      <c r="T50" s="564">
        <f>SUM('Defect (Total)'!T50,Planned!T50,Reconductor!T50,CTGS!T50)</f>
        <v>0</v>
      </c>
      <c r="U50" s="564">
        <f>SUM('Defect (Total)'!U50,Planned!U50,Reconductor!U50,CTGS!U50)</f>
        <v>0</v>
      </c>
      <c r="V50" s="564">
        <f>SUM('Defect (Total)'!V50,Planned!V50,Reconductor!V50,CTGS!V50)</f>
        <v>0</v>
      </c>
      <c r="W50" s="564">
        <f>SUM('Defect (Total)'!W50,Planned!W50,Reconductor!W50,CTGS!W50)</f>
        <v>0</v>
      </c>
      <c r="X50" s="676">
        <f>SUM('Defect (Total)'!X50,Planned!X50,Reconductor!X50,CTGS!X50)</f>
        <v>0</v>
      </c>
      <c r="Y50" s="676">
        <f>SUM('Defect (Total)'!Y50,Planned!Y50,Reconductor!Y50,CTGS!Y50)</f>
        <v>0</v>
      </c>
      <c r="Z50" s="131">
        <f>SUM('Defect (Total)'!Z50,Planned!Z50,Reconductor!Z50,CTGS!Z50)</f>
        <v>0</v>
      </c>
      <c r="AA50" s="132">
        <f>SUM('Defect (Total)'!AA50,Planned!AA50,Reconductor!AA50,CTGS!AA50)</f>
        <v>0</v>
      </c>
      <c r="AB50" s="132">
        <f>SUM('Defect (Total)'!AB50,Planned!AB50,Reconductor!AB50,CTGS!AB50)</f>
        <v>0</v>
      </c>
      <c r="AC50" s="132">
        <f>SUM('Defect (Total)'!AC50,Planned!AC50,Reconductor!AC50,CTGS!AC50)</f>
        <v>0</v>
      </c>
      <c r="AD50" s="132">
        <f>SUM('Defect (Total)'!AD50,Planned!AD50,Reconductor!AD50,CTGS!AD50)</f>
        <v>0</v>
      </c>
      <c r="AE50" s="132">
        <f>SUM('Defect (Total)'!AE50,Planned!AE50,Reconductor!AE50,CTGS!AE50)</f>
        <v>0</v>
      </c>
      <c r="AF50" s="132">
        <f>SUM('Defect (Total)'!AF50,Planned!AF50,Reconductor!AF50,CTGS!AF50)</f>
        <v>0</v>
      </c>
      <c r="AG50" s="132">
        <f>SUM('Defect (Total)'!AG50,Planned!AG50,Reconductor!AG50,CTGS!AG50)</f>
        <v>0</v>
      </c>
      <c r="AH50" s="132">
        <f>SUM('Defect (Total)'!AH50,Planned!AH50,Reconductor!AH50,CTGS!AH50)</f>
        <v>0</v>
      </c>
      <c r="AI50" s="132">
        <f>SUM('Defect (Total)'!AI50,Planned!AI50,Reconductor!AI50,CTGS!AI50)</f>
        <v>0</v>
      </c>
      <c r="AJ50" s="132">
        <f>SUM('Defect (Total)'!AJ50,Planned!AJ50,Reconductor!AJ50,CTGS!AJ50)</f>
        <v>0</v>
      </c>
      <c r="AK50" s="133">
        <f t="shared" si="14"/>
        <v>0</v>
      </c>
      <c r="AL50" s="134">
        <f t="shared" si="21"/>
        <v>0</v>
      </c>
      <c r="AM50" s="135">
        <f t="shared" si="15"/>
        <v>0</v>
      </c>
      <c r="AN50" s="110" t="str">
        <f t="shared" si="22"/>
        <v/>
      </c>
      <c r="AO50" s="111" t="str">
        <f t="shared" si="23"/>
        <v/>
      </c>
      <c r="AP50" s="111" t="str">
        <f t="shared" si="24"/>
        <v/>
      </c>
      <c r="AQ50" s="111" t="str">
        <f t="shared" si="25"/>
        <v/>
      </c>
      <c r="AR50" s="111" t="str">
        <f t="shared" si="26"/>
        <v/>
      </c>
      <c r="AS50" s="111" t="str">
        <f t="shared" si="27"/>
        <v/>
      </c>
      <c r="AT50" s="111" t="str">
        <f t="shared" si="28"/>
        <v/>
      </c>
      <c r="AU50" s="111" t="str">
        <f t="shared" si="29"/>
        <v/>
      </c>
      <c r="AV50" s="111" t="str">
        <f t="shared" si="30"/>
        <v/>
      </c>
      <c r="AW50" s="111" t="str">
        <f t="shared" si="31"/>
        <v/>
      </c>
      <c r="AX50" s="111" t="str">
        <f t="shared" si="31"/>
        <v/>
      </c>
      <c r="AY50" s="112" t="str">
        <f t="shared" si="32"/>
        <v/>
      </c>
      <c r="AZ50" s="113" t="str">
        <f t="shared" si="12"/>
        <v/>
      </c>
      <c r="BA50" s="114" t="str">
        <f t="shared" si="13"/>
        <v/>
      </c>
      <c r="BB50" s="693">
        <f>SUM('Defect (Total)'!BB50,Planned!CE50,Reconductor!CE50,CTGS!CE50,'Substation 2025$'!CE50*$BL$1,Comms!CA50*$BL$2)</f>
        <v>0</v>
      </c>
      <c r="BC50" s="693">
        <f>SUM('Defect (Total)'!BC50,Planned!CF50,Reconductor!CF50,CTGS!CF50,'Substation 2025$'!CF50*$BL$1,Comms!CB50*$BL$2)</f>
        <v>0</v>
      </c>
      <c r="BD50" s="366">
        <f>SUM('Defect (Total)'!BD50,Planned!CG50,Reconductor!CG50,CTGS!CG50,'Substation 2025$'!CG50*$BL$1,Comms!CC50*$BL$2)</f>
        <v>0</v>
      </c>
      <c r="BE50" s="366">
        <f>SUM('Defect (Total)'!BE50,Planned!CH50,Reconductor!CH50,CTGS!CH50,'Substation 2025$'!CH50*$BL$1,Comms!CD50*$BL$2)</f>
        <v>0</v>
      </c>
      <c r="BF50" s="366">
        <f>SUM('Defect (Total)'!BF50,Planned!CI50,Reconductor!CI50,CTGS!CI50,'Substation 2025$'!CI50*$BL$1,Comms!CE50*$BL$2)</f>
        <v>0</v>
      </c>
      <c r="BG50" s="366">
        <f>SUM('Defect (Total)'!BG50,Planned!CJ50,Reconductor!CJ50,CTGS!CJ50,'Substation 2025$'!CJ50*$BL$1,Comms!CF50*$BL$2)</f>
        <v>0</v>
      </c>
      <c r="BH50" s="366">
        <f>SUM('Defect (Total)'!BH50,Planned!CK50,Reconductor!CK50,CTGS!CK50,'Substation 2025$'!CK50*$BL$1,Comms!CG50*$BL$2)</f>
        <v>0</v>
      </c>
      <c r="BI50" s="367">
        <f>SUM('Defect (Total)'!BI50,Planned!CL50,Reconductor!CL50,CTGS!CL50,'Substation 2025$'!CL50*$BL$1,Comms!CH50*$BL$2)</f>
        <v>0</v>
      </c>
      <c r="BJ50" s="116" t="str">
        <f t="shared" si="16"/>
        <v/>
      </c>
      <c r="BK50" s="1013">
        <f>SUM('Defect (Total)'!BK50,Planned!CQ50,Reconductor!CQ50,CTGS!CQ50,'Substation 2025$'!CQ50*$BL$1,Comms!CM50*$BL$2)</f>
        <v>0</v>
      </c>
      <c r="BL50" s="1013">
        <f>SUM('Defect (Total)'!BL50,Planned!CR50,Reconductor!CR50,CTGS!CR50,'Substation 2025$'!CR50*$BL$1,Comms!CN50*$BL$2)</f>
        <v>0</v>
      </c>
      <c r="BM50" s="638">
        <f>SUM('Defect (Total)'!BM50,Planned!CS50,Reconductor!CS50,CTGS!CS50,'Substation 2025$'!CS50*$BL$1,Comms!CO50*$BL$2)</f>
        <v>0</v>
      </c>
      <c r="BN50" s="467">
        <f>SUM('Defect (Total)'!BN50,Planned!CT50,Reconductor!CT50,CTGS!CT50,'Substation 2025$'!CT50*$BL$1,Comms!CP50*$BL$2)</f>
        <v>0</v>
      </c>
      <c r="BO50" s="117">
        <f>SUM('Defect (Total)'!BO50,Planned!CU50,Reconductor!CU50,CTGS!CU50,'Substation 2025$'!CU50*$BL$1,Comms!CQ50*$BL$2)</f>
        <v>0</v>
      </c>
      <c r="BP50" s="117">
        <f>SUM('Defect (Total)'!BP50,Planned!CV50,Reconductor!CV50,CTGS!CV50,'Substation 2025$'!CV50*$BL$1,Comms!CR50*$BL$2)</f>
        <v>0</v>
      </c>
      <c r="BQ50" s="117">
        <f>SUM('Defect (Total)'!BQ50,Planned!CW50,Reconductor!CW50,CTGS!CW50,'Substation 2025$'!CW50*$BL$1,Comms!CS50*$BL$2)</f>
        <v>0</v>
      </c>
      <c r="BR50" s="118">
        <f>SUM('Defect (Total)'!BR50,Planned!CX50,Reconductor!CX50,CTGS!CX50,'Substation 2025$'!CX50*$BL$1,Comms!CT50*$BL$2)</f>
        <v>0</v>
      </c>
    </row>
    <row r="51" spans="1:70" x14ac:dyDescent="0.25">
      <c r="A51" s="63" t="s">
        <v>106</v>
      </c>
      <c r="B51" s="64" t="s">
        <v>103</v>
      </c>
      <c r="C51" s="65" t="s">
        <v>326</v>
      </c>
      <c r="D51" s="66">
        <f>SUM('Defect (Total)'!D51,Planned!D51,Reconductor!D51,CTGS!D51)</f>
        <v>1954633</v>
      </c>
      <c r="E51" s="67">
        <f>SUM('Defect (Total)'!E51,Planned!E51,Reconductor!E51,CTGS!E51)</f>
        <v>6388028</v>
      </c>
      <c r="F51" s="67">
        <f>SUM('Defect (Total)'!F51,Planned!F51,Reconductor!F51,CTGS!F51)</f>
        <v>3981781</v>
      </c>
      <c r="G51" s="67">
        <f>SUM('Defect (Total)'!G51,Planned!G51,Reconductor!G51,CTGS!G51)</f>
        <v>3662014.9800492651</v>
      </c>
      <c r="H51" s="67">
        <f>SUM('Defect (Total)'!H51,Planned!H51,Reconductor!H51,CTGS!H51)</f>
        <v>3255307.9144500908</v>
      </c>
      <c r="I51" s="67">
        <f>SUM('Defect (Total)'!I51,Planned!I51,Reconductor!I51,CTGS!I51)</f>
        <v>7169379.041949396</v>
      </c>
      <c r="J51" s="67">
        <f>SUM('Defect (Total)'!J51,Planned!J51,Reconductor!J51,CTGS!J51)</f>
        <v>10976147.460494608</v>
      </c>
      <c r="K51" s="67">
        <f>SUM('Defect (Total)'!K51,Planned!K51,Reconductor!K51,CTGS!K51)</f>
        <v>0</v>
      </c>
      <c r="L51" s="67">
        <f>SUM('Defect (Total)'!L51,Planned!L51,Reconductor!L51,CTGS!L51)</f>
        <v>14365479.53456215</v>
      </c>
      <c r="M51" s="67">
        <f>SUM('Defect (Total)'!M51,Planned!M51,Reconductor!M51,CTGS!M51)</f>
        <v>18306562.936667074</v>
      </c>
      <c r="N51" s="67">
        <f>SUM('Defect (Total)'!N51,Planned!N51,Reconductor!N51,CTGS!N51)</f>
        <v>21874760.55285845</v>
      </c>
      <c r="O51" s="557">
        <f>SUM('Defect (Total)'!O51,Planned!O51,Reconductor!O51,CTGS!O51)</f>
        <v>2629873.3215797087</v>
      </c>
      <c r="P51" s="558">
        <f>SUM('Defect (Total)'!P51,Planned!P51,Reconductor!P51,CTGS!P51)</f>
        <v>8466889.8470891118</v>
      </c>
      <c r="Q51" s="558">
        <f>SUM('Defect (Total)'!Q51,Planned!Q51,Reconductor!Q51,CTGS!Q51)</f>
        <v>5224119.5582203856</v>
      </c>
      <c r="R51" s="558">
        <f>SUM('Defect (Total)'!R51,Planned!R51,Reconductor!R51,CTGS!R51)</f>
        <v>4713440.8188768569</v>
      </c>
      <c r="S51" s="558">
        <f>SUM('Defect (Total)'!S51,Planned!S51,Reconductor!S51,CTGS!S51)</f>
        <v>4104678.9434718592</v>
      </c>
      <c r="T51" s="558">
        <f>SUM('Defect (Total)'!T51,Planned!T51,Reconductor!T51,CTGS!T51)</f>
        <v>8898262.5702507924</v>
      </c>
      <c r="U51" s="558">
        <f>SUM('Defect (Total)'!U51,Planned!U51,Reconductor!U51,CTGS!U51)</f>
        <v>13670659.660822</v>
      </c>
      <c r="V51" s="558">
        <f>SUM('Defect (Total)'!V51,Planned!V51,Reconductor!V51,CTGS!V51)</f>
        <v>0</v>
      </c>
      <c r="W51" s="558">
        <f>SUM('Defect (Total)'!W51,Planned!W51,Reconductor!W51,CTGS!W51)</f>
        <v>16231946.55518141</v>
      </c>
      <c r="X51" s="674">
        <f>SUM('Defect (Total)'!X51,Planned!X51,Reconductor!X51,CTGS!X51)</f>
        <v>19468314.374191191</v>
      </c>
      <c r="Y51" s="674">
        <f>SUM('Defect (Total)'!Y51,Planned!Y51,Reconductor!Y51,CTGS!Y51)</f>
        <v>22476283.203464422</v>
      </c>
      <c r="Z51" s="68">
        <f>SUM('Defect (Total)'!Z51,Planned!Z51,Reconductor!Z51,CTGS!Z51)</f>
        <v>4201</v>
      </c>
      <c r="AA51" s="69">
        <f>SUM('Defect (Total)'!AA51,Planned!AA51,Reconductor!AA51,CTGS!AA51)</f>
        <v>8899</v>
      </c>
      <c r="AB51" s="69">
        <f>SUM('Defect (Total)'!AB51,Planned!AB51,Reconductor!AB51,CTGS!AB51)</f>
        <v>4513</v>
      </c>
      <c r="AC51" s="69">
        <f>SUM('Defect (Total)'!AC51,Planned!AC51,Reconductor!AC51,CTGS!AC51)</f>
        <v>4116.46</v>
      </c>
      <c r="AD51" s="69">
        <f>SUM('Defect (Total)'!AD51,Planned!AD51,Reconductor!AD51,CTGS!AD51)</f>
        <v>5247.0583333333334</v>
      </c>
      <c r="AE51" s="69">
        <f>SUM('Defect (Total)'!AE51,Planned!AE51,Reconductor!AE51,CTGS!AE51)</f>
        <v>9771.449771354999</v>
      </c>
      <c r="AF51" s="69">
        <f>SUM('Defect (Total)'!AF51,Planned!AF51,Reconductor!AF51,CTGS!AF51)</f>
        <v>13949.404546907994</v>
      </c>
      <c r="AG51" s="69">
        <f>SUM('Defect (Total)'!AG51,Planned!AG51,Reconductor!AG51,CTGS!AG51)</f>
        <v>0</v>
      </c>
      <c r="AH51" s="69">
        <f>SUM('Defect (Total)'!AH51,Planned!AH51,Reconductor!AH51,CTGS!AH51)</f>
        <v>13752.624848082978</v>
      </c>
      <c r="AI51" s="69">
        <f>SUM('Defect (Total)'!AI51,Planned!AI51,Reconductor!AI51,CTGS!AI51)</f>
        <v>18445.963582347009</v>
      </c>
      <c r="AJ51" s="69">
        <f>SUM('Defect (Total)'!AJ51,Planned!AJ51,Reconductor!AJ51,CTGS!AJ51)</f>
        <v>13438.736097019999</v>
      </c>
      <c r="AK51" s="121">
        <f t="shared" si="14"/>
        <v>8544.1074999358607</v>
      </c>
      <c r="AL51" s="122">
        <f t="shared" si="21"/>
        <v>9234.009798330324</v>
      </c>
      <c r="AM51" s="123">
        <f t="shared" si="15"/>
        <v>13752.624848082978</v>
      </c>
      <c r="AN51" s="73">
        <f t="shared" si="22"/>
        <v>465.27802904070461</v>
      </c>
      <c r="AO51" s="74">
        <f t="shared" si="23"/>
        <v>717.83661085515223</v>
      </c>
      <c r="AP51" s="74">
        <f t="shared" si="24"/>
        <v>882.29138045645914</v>
      </c>
      <c r="AQ51" s="74">
        <f t="shared" si="25"/>
        <v>889.60295497812808</v>
      </c>
      <c r="AR51" s="74">
        <f t="shared" si="26"/>
        <v>620.40627483972912</v>
      </c>
      <c r="AS51" s="74">
        <f t="shared" si="27"/>
        <v>733.70678964818785</v>
      </c>
      <c r="AT51" s="74">
        <f t="shared" si="28"/>
        <v>786.85419320838082</v>
      </c>
      <c r="AU51" s="74" t="str">
        <f t="shared" si="29"/>
        <v/>
      </c>
      <c r="AV51" s="74">
        <f t="shared" si="30"/>
        <v>1044.5627429853582</v>
      </c>
      <c r="AW51" s="74">
        <f t="shared" si="31"/>
        <v>992.44275610446596</v>
      </c>
      <c r="AX51" s="74">
        <f t="shared" si="31"/>
        <v>1627.7394239261173</v>
      </c>
      <c r="AY51" s="75">
        <f t="shared" si="32"/>
        <v>908.76386594286998</v>
      </c>
      <c r="AZ51" s="76">
        <f t="shared" si="12"/>
        <v>1014.7041862354373</v>
      </c>
      <c r="BA51" s="77">
        <f t="shared" si="13"/>
        <v>992.44275610446596</v>
      </c>
      <c r="BB51" s="688">
        <f>SUM('Defect (Total)'!BB51,Planned!CE51,Reconductor!CE51,CTGS!CE51,'Substation 2025$'!CE51*$BL$1,Comms!CA51*$BL$2)</f>
        <v>16597.402785238595</v>
      </c>
      <c r="BC51" s="688">
        <f>SUM('Defect (Total)'!BC51,Planned!CF51,Reconductor!CF51,CTGS!CF51,'Substation 2025$'!CF51*$BL$1,Comms!CB51*$BL$2)</f>
        <v>16774.926364352144</v>
      </c>
      <c r="BD51" s="78">
        <f>SUM('Defect (Total)'!BD51,Planned!CG51,Reconductor!CG51,CTGS!CG51,'Substation 2025$'!CG51*$BL$1,Comms!CC51*$BL$2)</f>
        <v>16774.926364352144</v>
      </c>
      <c r="BE51" s="78">
        <f>SUM('Defect (Total)'!BE51,Planned!CH51,Reconductor!CH51,CTGS!CH51,'Substation 2025$'!CH51*$BL$1,Comms!CD51*$BL$2)</f>
        <v>17315.770586805509</v>
      </c>
      <c r="BF51" s="78">
        <f>SUM('Defect (Total)'!BF51,Planned!CI51,Reconductor!CI51,CTGS!CI51,'Substation 2025$'!CI51*$BL$1,Comms!CE51*$BL$2)</f>
        <v>17428.539753673507</v>
      </c>
      <c r="BG51" s="78">
        <f>SUM('Defect (Total)'!BG51,Planned!CJ51,Reconductor!CJ51,CTGS!CJ51,'Substation 2025$'!CJ51*$BL$1,Comms!CF51*$BL$2)</f>
        <v>17503.719198252169</v>
      </c>
      <c r="BH51" s="78">
        <f>SUM('Defect (Total)'!BH51,Planned!CK51,Reconductor!CK51,CTGS!CK51,'Substation 2025$'!CK51*$BL$1,Comms!CG51*$BL$2)</f>
        <v>17578.898642830834</v>
      </c>
      <c r="BI51" s="285">
        <f>SUM('Defect (Total)'!BI51,Planned!CL51,Reconductor!CL51,CTGS!CL51,'Substation 2025$'!CL51*$BL$1,Comms!CH51*$BL$2)</f>
        <v>17616.488365120164</v>
      </c>
      <c r="BJ51" s="124">
        <f t="shared" si="16"/>
        <v>1055.3436927319137</v>
      </c>
      <c r="BK51" s="974">
        <f>SUM('Defect (Total)'!BK51,Planned!CQ51,Reconductor!CQ51,CTGS!CQ51,'Substation 2025$'!CQ51*$BL$1,Comms!CM51*$BL$2)</f>
        <v>17325407.539674062</v>
      </c>
      <c r="BL51" s="974">
        <f>SUM('Defect (Total)'!BL51,Planned!CR51,Reconductor!CR51,CTGS!CR51,'Substation 2025$'!CR51*$BL$1,Comms!CN51*$BL$2)</f>
        <v>17550710.675452463</v>
      </c>
      <c r="BM51" s="523">
        <f>SUM('Defect (Total)'!BM51,Planned!CS51,Reconductor!CS51,CTGS!CS51,'Substation 2025$'!CS51*$BL$1,Comms!CO51*$BL$2)</f>
        <v>17550710.675452463</v>
      </c>
      <c r="BN51" s="415">
        <f>SUM('Defect (Total)'!BN51,Planned!CT51,Reconductor!CT51,CTGS!CT51,'Substation 2025$'!CT51*$BL$1,Comms!CP51*$BL$2)</f>
        <v>18237120.333791051</v>
      </c>
      <c r="BO51" s="79">
        <f>SUM('Defect (Total)'!BO51,Planned!CU51,Reconductor!CU51,CTGS!CU51,'Substation 2025$'!CU51*$BL$1,Comms!CQ51*$BL$2)</f>
        <v>18380240.740901735</v>
      </c>
      <c r="BP51" s="79">
        <f>SUM('Defect (Total)'!BP51,Planned!CV51,Reconductor!CV51,CTGS!CV51,'Substation 2025$'!CV51*$BL$1,Comms!CR51*$BL$2)</f>
        <v>18475654.34564219</v>
      </c>
      <c r="BQ51" s="79">
        <f>SUM('Defect (Total)'!BQ51,Planned!CW51,Reconductor!CW51,CTGS!CW51,'Substation 2025$'!CW51*$BL$1,Comms!CS51*$BL$2)</f>
        <v>18571067.95038265</v>
      </c>
      <c r="BR51" s="80">
        <f>SUM('Defect (Total)'!BR51,Planned!CX51,Reconductor!CX51,CTGS!CX51,'Substation 2025$'!CX51*$BL$1,Comms!CT51*$BL$2)</f>
        <v>18618774.752752878</v>
      </c>
    </row>
    <row r="52" spans="1:70" x14ac:dyDescent="0.25">
      <c r="A52" s="81" t="s">
        <v>106</v>
      </c>
      <c r="B52" s="82" t="s">
        <v>107</v>
      </c>
      <c r="C52" s="83" t="s">
        <v>328</v>
      </c>
      <c r="D52" s="84">
        <f>SUM('Defect (Total)'!D52,Planned!D52,Reconductor!D52,CTGS!D52)</f>
        <v>2076776</v>
      </c>
      <c r="E52" s="85">
        <f>SUM('Defect (Total)'!E52,Planned!E52,Reconductor!E52,CTGS!E52)</f>
        <v>1977268</v>
      </c>
      <c r="F52" s="85">
        <f>SUM('Defect (Total)'!F52,Planned!F52,Reconductor!F52,CTGS!F52)</f>
        <v>2249459</v>
      </c>
      <c r="G52" s="85">
        <f>SUM('Defect (Total)'!G52,Planned!G52,Reconductor!G52,CTGS!G52)</f>
        <v>1526470</v>
      </c>
      <c r="H52" s="85">
        <f>SUM('Defect (Total)'!H52,Planned!H52,Reconductor!H52,CTGS!H52)</f>
        <v>2084207.8325383167</v>
      </c>
      <c r="I52" s="85">
        <f>SUM('Defect (Total)'!I52,Planned!I52,Reconductor!I52,CTGS!I52)</f>
        <v>0</v>
      </c>
      <c r="J52" s="85">
        <f>SUM('Defect (Total)'!J52,Planned!J52,Reconductor!J52,CTGS!J52)</f>
        <v>0</v>
      </c>
      <c r="K52" s="85">
        <f>SUM('Defect (Total)'!K52,Planned!K52,Reconductor!K52,CTGS!K52)</f>
        <v>8732459.3557683397</v>
      </c>
      <c r="L52" s="85">
        <f>SUM('Defect (Total)'!L52,Planned!L52,Reconductor!L52,CTGS!L52)</f>
        <v>0</v>
      </c>
      <c r="M52" s="85">
        <f>SUM('Defect (Total)'!M52,Planned!M52,Reconductor!M52,CTGS!M52)</f>
        <v>10701866.632795805</v>
      </c>
      <c r="N52" s="85">
        <f>SUM('Defect (Total)'!N52,Planned!N52,Reconductor!N52,CTGS!N52)</f>
        <v>11714354.36996147</v>
      </c>
      <c r="O52" s="560">
        <f>SUM('Defect (Total)'!O52,Planned!O52,Reconductor!O52,CTGS!O52)</f>
        <v>2794211.3927765572</v>
      </c>
      <c r="P52" s="561">
        <f>SUM('Defect (Total)'!P52,Planned!P52,Reconductor!P52,CTGS!P52)</f>
        <v>2620732.149917658</v>
      </c>
      <c r="Q52" s="561">
        <f>SUM('Defect (Total)'!Q52,Planned!Q52,Reconductor!Q52,CTGS!Q52)</f>
        <v>2951303.1372933043</v>
      </c>
      <c r="R52" s="561">
        <f>SUM('Defect (Total)'!R52,Planned!R52,Reconductor!R52,CTGS!R52)</f>
        <v>1964745.1050826018</v>
      </c>
      <c r="S52" s="561">
        <f>SUM('Defect (Total)'!S52,Planned!S52,Reconductor!S52,CTGS!S52)</f>
        <v>2628016.8355392953</v>
      </c>
      <c r="T52" s="561">
        <f>SUM('Defect (Total)'!T52,Planned!T52,Reconductor!T52,CTGS!T52)</f>
        <v>0</v>
      </c>
      <c r="U52" s="561">
        <f>SUM('Defect (Total)'!U52,Planned!U52,Reconductor!U52,CTGS!U52)</f>
        <v>0</v>
      </c>
      <c r="V52" s="561">
        <f>SUM('Defect (Total)'!V52,Planned!V52,Reconductor!V52,CTGS!V52)</f>
        <v>10473351.883128501</v>
      </c>
      <c r="W52" s="561">
        <f>SUM('Defect (Total)'!W52,Planned!W52,Reconductor!W52,CTGS!W52)</f>
        <v>0</v>
      </c>
      <c r="X52" s="675">
        <f>SUM('Defect (Total)'!X52,Planned!X52,Reconductor!X52,CTGS!X52)</f>
        <v>11381017.000227118</v>
      </c>
      <c r="Y52" s="675">
        <f>SUM('Defect (Total)'!Y52,Planned!Y52,Reconductor!Y52,CTGS!Y52)</f>
        <v>12036481.301304547</v>
      </c>
      <c r="Z52" s="86">
        <f>SUM('Defect (Total)'!Z52,Planned!Z52,Reconductor!Z52,CTGS!Z52)</f>
        <v>1323</v>
      </c>
      <c r="AA52" s="87">
        <f>SUM('Defect (Total)'!AA52,Planned!AA52,Reconductor!AA52,CTGS!AA52)</f>
        <v>1994</v>
      </c>
      <c r="AB52" s="87">
        <f>SUM('Defect (Total)'!AB52,Planned!AB52,Reconductor!AB52,CTGS!AB52)</f>
        <v>1603</v>
      </c>
      <c r="AC52" s="87">
        <f>SUM('Defect (Total)'!AC52,Planned!AC52,Reconductor!AC52,CTGS!AC52)</f>
        <v>1348</v>
      </c>
      <c r="AD52" s="87">
        <f>SUM('Defect (Total)'!AD52,Planned!AD52,Reconductor!AD52,CTGS!AD52)</f>
        <v>1789.5</v>
      </c>
      <c r="AE52" s="87">
        <f>SUM('Defect (Total)'!AE52,Planned!AE52,Reconductor!AE52,CTGS!AE52)</f>
        <v>0</v>
      </c>
      <c r="AF52" s="87">
        <f>SUM('Defect (Total)'!AF52,Planned!AF52,Reconductor!AF52,CTGS!AF52)</f>
        <v>0</v>
      </c>
      <c r="AG52" s="87">
        <f>SUM('Defect (Total)'!AG52,Planned!AG52,Reconductor!AG52,CTGS!AG52)</f>
        <v>1242.4621907900189</v>
      </c>
      <c r="AH52" s="87">
        <f>SUM('Defect (Total)'!AH52,Planned!AH52,Reconductor!AH52,CTGS!AH52)</f>
        <v>0</v>
      </c>
      <c r="AI52" s="87">
        <f>SUM('Defect (Total)'!AI52,Planned!AI52,Reconductor!AI52,CTGS!AI52)</f>
        <v>1225.5064047439844</v>
      </c>
      <c r="AJ52" s="87">
        <f>SUM('Defect (Total)'!AJ52,Planned!AJ52,Reconductor!AJ52,CTGS!AJ52)</f>
        <v>1338.1439876899883</v>
      </c>
      <c r="AK52" s="127">
        <f t="shared" si="14"/>
        <v>606.39243815800387</v>
      </c>
      <c r="AL52" s="128">
        <f t="shared" si="21"/>
        <v>414.15406359667298</v>
      </c>
      <c r="AM52" s="129">
        <f t="shared" si="15"/>
        <v>0</v>
      </c>
      <c r="AN52" s="91">
        <f t="shared" si="22"/>
        <v>1569.7475434618291</v>
      </c>
      <c r="AO52" s="92">
        <f t="shared" si="23"/>
        <v>991.60882647943833</v>
      </c>
      <c r="AP52" s="92">
        <f t="shared" si="24"/>
        <v>1403.280723643169</v>
      </c>
      <c r="AQ52" s="92">
        <f t="shared" si="25"/>
        <v>1132.3961424332344</v>
      </c>
      <c r="AR52" s="92">
        <f t="shared" si="26"/>
        <v>1164.6872492530408</v>
      </c>
      <c r="AS52" s="92" t="str">
        <f t="shared" si="27"/>
        <v/>
      </c>
      <c r="AT52" s="92" t="str">
        <f t="shared" si="28"/>
        <v/>
      </c>
      <c r="AU52" s="92">
        <f t="shared" si="29"/>
        <v>7028.3501747572782</v>
      </c>
      <c r="AV52" s="92" t="str">
        <f t="shared" si="30"/>
        <v/>
      </c>
      <c r="AW52" s="92">
        <f t="shared" si="31"/>
        <v>8732.6076725249659</v>
      </c>
      <c r="AX52" s="92">
        <f t="shared" si="31"/>
        <v>8754.1807740613403</v>
      </c>
      <c r="AY52" s="93">
        <f t="shared" si="32"/>
        <v>7874.6245084853153</v>
      </c>
      <c r="AZ52" s="94">
        <f t="shared" si="12"/>
        <v>7874.6245084853153</v>
      </c>
      <c r="BA52" s="95">
        <f t="shared" si="13"/>
        <v>8732.6076725249659</v>
      </c>
      <c r="BB52" s="689">
        <f>SUM('Defect (Total)'!BB52,Planned!CE52,Reconductor!CE52,CTGS!CE52,'Substation 2025$'!CE52*$BL$1,Comms!CA52*$BL$2)</f>
        <v>740.95467894686794</v>
      </c>
      <c r="BC52" s="689">
        <f>SUM('Defect (Total)'!BC52,Planned!CF52,Reconductor!CF52,CTGS!CF52,'Substation 2025$'!CF52*$BL$1,Comms!CB52*$BL$2)</f>
        <v>733.54070324579834</v>
      </c>
      <c r="BD52" s="96">
        <f>SUM('Defect (Total)'!BD52,Planned!CG52,Reconductor!CG52,CTGS!CG52,'Substation 2025$'!CG52*$BL$1,Comms!CC52*$BL$2)</f>
        <v>733.54070324579834</v>
      </c>
      <c r="BE52" s="96">
        <f>SUM('Defect (Total)'!BE52,Planned!CH52,Reconductor!CH52,CTGS!CH52,'Substation 2025$'!CH52*$BL$1,Comms!CD52*$BL$2)</f>
        <v>757.6745064254867</v>
      </c>
      <c r="BF52" s="96">
        <f>SUM('Defect (Total)'!BF52,Planned!CI52,Reconductor!CI52,CTGS!CI52,'Substation 2025$'!CI52*$BL$1,Comms!CE52*$BL$2)</f>
        <v>762.70654479243865</v>
      </c>
      <c r="BG52" s="96">
        <f>SUM('Defect (Total)'!BG52,Planned!CJ52,Reconductor!CJ52,CTGS!CJ52,'Substation 2025$'!CJ52*$BL$1,Comms!CF52*$BL$2)</f>
        <v>766.06123703707328</v>
      </c>
      <c r="BH52" s="96">
        <f>SUM('Defect (Total)'!BH52,Planned!CK52,Reconductor!CK52,CTGS!CK52,'Substation 2025$'!CK52*$BL$1,Comms!CG52*$BL$2)</f>
        <v>769.41592928170792</v>
      </c>
      <c r="BI52" s="286">
        <f>SUM('Defect (Total)'!BI52,Planned!CL52,Reconductor!CL52,CTGS!CL52,'Substation 2025$'!CL52*$BL$1,Comms!CH52*$BL$2)</f>
        <v>771.09327540402523</v>
      </c>
      <c r="BJ52" s="99">
        <f t="shared" si="16"/>
        <v>7826.7259427300196</v>
      </c>
      <c r="BK52" s="992">
        <f>SUM('Defect (Total)'!BK52,Planned!CQ52,Reconductor!CQ52,CTGS!CQ52,'Substation 2025$'!CQ52*$BL$1,Comms!CM52*$BL$2)</f>
        <v>5798597.5365681062</v>
      </c>
      <c r="BL52" s="992">
        <f>SUM('Defect (Total)'!BL52,Planned!CR52,Reconductor!CR52,CTGS!CR52,'Substation 2025$'!CR52*$BL$1,Comms!CN52*$BL$2)</f>
        <v>5740372.657900949</v>
      </c>
      <c r="BM52" s="524">
        <f>SUM('Defect (Total)'!BM52,Planned!CS52,Reconductor!CS52,CTGS!CS52,'Substation 2025$'!CS52*$BL$1,Comms!CO52*$BL$2)</f>
        <v>5740372.657900949</v>
      </c>
      <c r="BN52" s="416">
        <f>SUM('Defect (Total)'!BN52,Planned!CT52,Reconductor!CT52,CTGS!CT52,'Substation 2025$'!CT52*$BL$1,Comms!CP52*$BL$2)</f>
        <v>5929904.9437582772</v>
      </c>
      <c r="BO52" s="97">
        <f>SUM('Defect (Total)'!BO52,Planned!CU52,Reconductor!CU52,CTGS!CU52,'Substation 2025$'!CU52*$BL$1,Comms!CQ52*$BL$2)</f>
        <v>5969423.5280074794</v>
      </c>
      <c r="BP52" s="97">
        <f>SUM('Defect (Total)'!BP52,Planned!CV52,Reconductor!CV52,CTGS!CV52,'Substation 2025$'!CV52*$BL$1,Comms!CR52*$BL$2)</f>
        <v>5995769.2508402811</v>
      </c>
      <c r="BQ52" s="97">
        <f>SUM('Defect (Total)'!BQ52,Planned!CW52,Reconductor!CW52,CTGS!CW52,'Substation 2025$'!CW52*$BL$1,Comms!CS52*$BL$2)</f>
        <v>6022114.9736730829</v>
      </c>
      <c r="BR52" s="98">
        <f>SUM('Defect (Total)'!BR52,Planned!CX52,Reconductor!CX52,CTGS!CX52,'Substation 2025$'!CX52*$BL$1,Comms!CT52*$BL$2)</f>
        <v>6035287.8350894833</v>
      </c>
    </row>
    <row r="53" spans="1:70" x14ac:dyDescent="0.25">
      <c r="A53" s="81" t="s">
        <v>106</v>
      </c>
      <c r="B53" s="82" t="s">
        <v>109</v>
      </c>
      <c r="C53" s="83" t="s">
        <v>329</v>
      </c>
      <c r="D53" s="84">
        <f>SUM('Defect (Total)'!D53,Planned!D53,Reconductor!D53,CTGS!D53)</f>
        <v>115343</v>
      </c>
      <c r="E53" s="85">
        <f>SUM('Defect (Total)'!E53,Planned!E53,Reconductor!E53,CTGS!E53)</f>
        <v>42947</v>
      </c>
      <c r="F53" s="85">
        <f>SUM('Defect (Total)'!F53,Planned!F53,Reconductor!F53,CTGS!F53)</f>
        <v>109356</v>
      </c>
      <c r="G53" s="85">
        <f>SUM('Defect (Total)'!G53,Planned!G53,Reconductor!G53,CTGS!G53)</f>
        <v>141142</v>
      </c>
      <c r="H53" s="85">
        <f>SUM('Defect (Total)'!H53,Planned!H53,Reconductor!H53,CTGS!H53)</f>
        <v>34386</v>
      </c>
      <c r="I53" s="85">
        <f>SUM('Defect (Total)'!I53,Planned!I53,Reconductor!I53,CTGS!I53)</f>
        <v>0</v>
      </c>
      <c r="J53" s="85">
        <f>SUM('Defect (Total)'!J53,Planned!J53,Reconductor!J53,CTGS!J53)</f>
        <v>0</v>
      </c>
      <c r="K53" s="85">
        <f>SUM('Defect (Total)'!K53,Planned!K53,Reconductor!K53,CTGS!K53)</f>
        <v>0</v>
      </c>
      <c r="L53" s="85">
        <f>SUM('Defect (Total)'!L53,Planned!L53,Reconductor!L53,CTGS!L53)</f>
        <v>0</v>
      </c>
      <c r="M53" s="85">
        <f>SUM('Defect (Total)'!M53,Planned!M53,Reconductor!M53,CTGS!M53)</f>
        <v>0</v>
      </c>
      <c r="N53" s="85">
        <f>SUM('Defect (Total)'!N53,Planned!N53,Reconductor!N53,CTGS!N53)</f>
        <v>0</v>
      </c>
      <c r="O53" s="560">
        <f>SUM('Defect (Total)'!O53,Planned!O53,Reconductor!O53,CTGS!O53)</f>
        <v>155188.96822624418</v>
      </c>
      <c r="P53" s="561">
        <f>SUM('Defect (Total)'!P53,Planned!P53,Reconductor!P53,CTGS!P53)</f>
        <v>56923.281842680735</v>
      </c>
      <c r="Q53" s="561">
        <f>SUM('Defect (Total)'!Q53,Planned!Q53,Reconductor!Q53,CTGS!Q53)</f>
        <v>143475.70054926386</v>
      </c>
      <c r="R53" s="561">
        <f>SUM('Defect (Total)'!R53,Planned!R53,Reconductor!R53,CTGS!R53)</f>
        <v>181666.23230169513</v>
      </c>
      <c r="S53" s="561">
        <f>SUM('Defect (Total)'!S53,Planned!S53,Reconductor!S53,CTGS!S53)</f>
        <v>43357.953797149872</v>
      </c>
      <c r="T53" s="561">
        <f>SUM('Defect (Total)'!T53,Planned!T53,Reconductor!T53,CTGS!T53)</f>
        <v>0</v>
      </c>
      <c r="U53" s="561">
        <f>SUM('Defect (Total)'!U53,Planned!U53,Reconductor!U53,CTGS!U53)</f>
        <v>0</v>
      </c>
      <c r="V53" s="561">
        <f>SUM('Defect (Total)'!V53,Planned!V53,Reconductor!V53,CTGS!V53)</f>
        <v>0</v>
      </c>
      <c r="W53" s="561">
        <f>SUM('Defect (Total)'!W53,Planned!W53,Reconductor!W53,CTGS!W53)</f>
        <v>0</v>
      </c>
      <c r="X53" s="675">
        <f>SUM('Defect (Total)'!X53,Planned!X53,Reconductor!X53,CTGS!X53)</f>
        <v>0</v>
      </c>
      <c r="Y53" s="675">
        <f>SUM('Defect (Total)'!Y53,Planned!Y53,Reconductor!Y53,CTGS!Y53)</f>
        <v>0</v>
      </c>
      <c r="Z53" s="86">
        <f>SUM('Defect (Total)'!Z53,Planned!Z53,Reconductor!Z53,CTGS!Z53)</f>
        <v>90</v>
      </c>
      <c r="AA53" s="87">
        <f>SUM('Defect (Total)'!AA53,Planned!AA53,Reconductor!AA53,CTGS!AA53)</f>
        <v>23</v>
      </c>
      <c r="AB53" s="87">
        <f>SUM('Defect (Total)'!AB53,Planned!AB53,Reconductor!AB53,CTGS!AB53)</f>
        <v>44</v>
      </c>
      <c r="AC53" s="87">
        <f>SUM('Defect (Total)'!AC53,Planned!AC53,Reconductor!AC53,CTGS!AC53)</f>
        <v>58</v>
      </c>
      <c r="AD53" s="87">
        <f>SUM('Defect (Total)'!AD53,Planned!AD53,Reconductor!AD53,CTGS!AD53)</f>
        <v>31</v>
      </c>
      <c r="AE53" s="87">
        <f>SUM('Defect (Total)'!AE53,Planned!AE53,Reconductor!AE53,CTGS!AE53)</f>
        <v>0</v>
      </c>
      <c r="AF53" s="87">
        <f>SUM('Defect (Total)'!AF53,Planned!AF53,Reconductor!AF53,CTGS!AF53)</f>
        <v>0</v>
      </c>
      <c r="AG53" s="87">
        <f>SUM('Defect (Total)'!AG53,Planned!AG53,Reconductor!AG53,CTGS!AG53)</f>
        <v>0</v>
      </c>
      <c r="AH53" s="87">
        <f>SUM('Defect (Total)'!AH53,Planned!AH53,Reconductor!AH53,CTGS!AH53)</f>
        <v>0</v>
      </c>
      <c r="AI53" s="87">
        <f>SUM('Defect (Total)'!AI53,Planned!AI53,Reconductor!AI53,CTGS!AI53)</f>
        <v>0</v>
      </c>
      <c r="AJ53" s="87">
        <f>SUM('Defect (Total)'!AJ53,Planned!AJ53,Reconductor!AJ53,CTGS!AJ53)</f>
        <v>0</v>
      </c>
      <c r="AK53" s="127">
        <f t="shared" si="14"/>
        <v>6.2</v>
      </c>
      <c r="AL53" s="128">
        <f t="shared" si="21"/>
        <v>0</v>
      </c>
      <c r="AM53" s="129">
        <f t="shared" si="15"/>
        <v>0</v>
      </c>
      <c r="AN53" s="91">
        <f t="shared" si="22"/>
        <v>1281.588888888889</v>
      </c>
      <c r="AO53" s="92">
        <f t="shared" si="23"/>
        <v>1867.2608695652175</v>
      </c>
      <c r="AP53" s="92">
        <f t="shared" si="24"/>
        <v>2485.3636363636365</v>
      </c>
      <c r="AQ53" s="92">
        <f t="shared" si="25"/>
        <v>2433.4827586206898</v>
      </c>
      <c r="AR53" s="92">
        <f t="shared" si="26"/>
        <v>1109.2258064516129</v>
      </c>
      <c r="AS53" s="92" t="str">
        <f t="shared" si="27"/>
        <v/>
      </c>
      <c r="AT53" s="92" t="str">
        <f t="shared" si="28"/>
        <v/>
      </c>
      <c r="AU53" s="92" t="str">
        <f t="shared" si="29"/>
        <v/>
      </c>
      <c r="AV53" s="92" t="str">
        <f t="shared" si="30"/>
        <v/>
      </c>
      <c r="AW53" s="92" t="str">
        <f t="shared" si="31"/>
        <v/>
      </c>
      <c r="AX53" s="92" t="str">
        <f t="shared" si="31"/>
        <v/>
      </c>
      <c r="AY53" s="93" t="str">
        <f t="shared" si="32"/>
        <v/>
      </c>
      <c r="AZ53" s="94" t="str">
        <f t="shared" si="12"/>
        <v/>
      </c>
      <c r="BA53" s="95" t="str">
        <f t="shared" si="13"/>
        <v/>
      </c>
      <c r="BB53" s="689">
        <f>SUM('Defect (Total)'!BB53,Planned!CE53,Reconductor!CE53,CTGS!CE53,'Substation 2025$'!CE53*$BL$1,Comms!CA53*$BL$2)</f>
        <v>0</v>
      </c>
      <c r="BC53" s="689">
        <f>SUM('Defect (Total)'!BC53,Planned!CF53,Reconductor!CF53,CTGS!CF53,'Substation 2025$'!CF53*$BL$1,Comms!CB53*$BL$2)</f>
        <v>0</v>
      </c>
      <c r="BD53" s="96">
        <f>SUM('Defect (Total)'!BD53,Planned!CG53,Reconductor!CG53,CTGS!CG53,'Substation 2025$'!CG53*$BL$1,Comms!CC53*$BL$2)</f>
        <v>0</v>
      </c>
      <c r="BE53" s="96">
        <f>SUM('Defect (Total)'!BE53,Planned!CH53,Reconductor!CH53,CTGS!CH53,'Substation 2025$'!CH53*$BL$1,Comms!CD53*$BL$2)</f>
        <v>0</v>
      </c>
      <c r="BF53" s="96">
        <f>SUM('Defect (Total)'!BF53,Planned!CI53,Reconductor!CI53,CTGS!CI53,'Substation 2025$'!CI53*$BL$1,Comms!CE53*$BL$2)</f>
        <v>0</v>
      </c>
      <c r="BG53" s="96">
        <f>SUM('Defect (Total)'!BG53,Planned!CJ53,Reconductor!CJ53,CTGS!CJ53,'Substation 2025$'!CJ53*$BL$1,Comms!CF53*$BL$2)</f>
        <v>0</v>
      </c>
      <c r="BH53" s="96">
        <f>SUM('Defect (Total)'!BH53,Planned!CK53,Reconductor!CK53,CTGS!CK53,'Substation 2025$'!CK53*$BL$1,Comms!CG53*$BL$2)</f>
        <v>0</v>
      </c>
      <c r="BI53" s="286">
        <f>SUM('Defect (Total)'!BI53,Planned!CL53,Reconductor!CL53,CTGS!CL53,'Substation 2025$'!CL53*$BL$1,Comms!CH53*$BL$2)</f>
        <v>0</v>
      </c>
      <c r="BJ53" s="99" t="str">
        <f t="shared" si="16"/>
        <v/>
      </c>
      <c r="BK53" s="992">
        <f>SUM('Defect (Total)'!BK53,Planned!CQ53,Reconductor!CQ53,CTGS!CQ53,'Substation 2025$'!CQ53*$BL$1,Comms!CM53*$BL$2)</f>
        <v>0</v>
      </c>
      <c r="BL53" s="992">
        <f>SUM('Defect (Total)'!BL53,Planned!CR53,Reconductor!CR53,CTGS!CR53,'Substation 2025$'!CR53*$BL$1,Comms!CN53*$BL$2)</f>
        <v>0</v>
      </c>
      <c r="BM53" s="524">
        <f>SUM('Defect (Total)'!BM53,Planned!CS53,Reconductor!CS53,CTGS!CS53,'Substation 2025$'!CS53*$BL$1,Comms!CO53*$BL$2)</f>
        <v>0</v>
      </c>
      <c r="BN53" s="416">
        <f>SUM('Defect (Total)'!BN53,Planned!CT53,Reconductor!CT53,CTGS!CT53,'Substation 2025$'!CT53*$BL$1,Comms!CP53*$BL$2)</f>
        <v>0</v>
      </c>
      <c r="BO53" s="97">
        <f>SUM('Defect (Total)'!BO53,Planned!CU53,Reconductor!CU53,CTGS!CU53,'Substation 2025$'!CU53*$BL$1,Comms!CQ53*$BL$2)</f>
        <v>0</v>
      </c>
      <c r="BP53" s="97">
        <f>SUM('Defect (Total)'!BP53,Planned!CV53,Reconductor!CV53,CTGS!CV53,'Substation 2025$'!CV53*$BL$1,Comms!CR53*$BL$2)</f>
        <v>0</v>
      </c>
      <c r="BQ53" s="97">
        <f>SUM('Defect (Total)'!BQ53,Planned!CW53,Reconductor!CW53,CTGS!CW53,'Substation 2025$'!CW53*$BL$1,Comms!CS53*$BL$2)</f>
        <v>0</v>
      </c>
      <c r="BR53" s="98">
        <f>SUM('Defect (Total)'!BR53,Planned!CX53,Reconductor!CX53,CTGS!CX53,'Substation 2025$'!CX53*$BL$1,Comms!CT53*$BL$2)</f>
        <v>0</v>
      </c>
    </row>
    <row r="54" spans="1:70" x14ac:dyDescent="0.25">
      <c r="A54" s="81" t="s">
        <v>106</v>
      </c>
      <c r="B54" s="82" t="s">
        <v>111</v>
      </c>
      <c r="C54" s="83" t="s">
        <v>331</v>
      </c>
      <c r="D54" s="84">
        <f>SUM('Defect (Total)'!D54,Planned!D54,Reconductor!D54,CTGS!D54)</f>
        <v>0</v>
      </c>
      <c r="E54" s="85">
        <f>SUM('Defect (Total)'!E54,Planned!E54,Reconductor!E54,CTGS!E54)</f>
        <v>0</v>
      </c>
      <c r="F54" s="85">
        <f>SUM('Defect (Total)'!F54,Planned!F54,Reconductor!F54,CTGS!F54)</f>
        <v>0</v>
      </c>
      <c r="G54" s="85">
        <f>SUM('Defect (Total)'!G54,Planned!G54,Reconductor!G54,CTGS!G54)</f>
        <v>0</v>
      </c>
      <c r="H54" s="85">
        <f>SUM('Defect (Total)'!H54,Planned!H54,Reconductor!H54,CTGS!H54)</f>
        <v>0</v>
      </c>
      <c r="I54" s="85">
        <f>SUM('Defect (Total)'!I54,Planned!I54,Reconductor!I54,CTGS!I54)</f>
        <v>0</v>
      </c>
      <c r="J54" s="85">
        <f>SUM('Defect (Total)'!J54,Planned!J54,Reconductor!J54,CTGS!J54)</f>
        <v>0</v>
      </c>
      <c r="K54" s="85">
        <f>SUM('Defect (Total)'!K54,Planned!K54,Reconductor!K54,CTGS!K54)</f>
        <v>0</v>
      </c>
      <c r="L54" s="85">
        <f>SUM('Defect (Total)'!L54,Planned!L54,Reconductor!L54,CTGS!L54)</f>
        <v>0</v>
      </c>
      <c r="M54" s="85">
        <f>SUM('Defect (Total)'!M54,Planned!M54,Reconductor!M54,CTGS!M54)</f>
        <v>0</v>
      </c>
      <c r="N54" s="85">
        <f>SUM('Defect (Total)'!N54,Planned!N54,Reconductor!N54,CTGS!N54)</f>
        <v>0</v>
      </c>
      <c r="O54" s="560">
        <f>SUM('Defect (Total)'!O54,Planned!O54,Reconductor!O54,CTGS!O54)</f>
        <v>0</v>
      </c>
      <c r="P54" s="561">
        <f>SUM('Defect (Total)'!P54,Planned!P54,Reconductor!P54,CTGS!P54)</f>
        <v>0</v>
      </c>
      <c r="Q54" s="561">
        <f>SUM('Defect (Total)'!Q54,Planned!Q54,Reconductor!Q54,CTGS!Q54)</f>
        <v>0</v>
      </c>
      <c r="R54" s="561">
        <f>SUM('Defect (Total)'!R54,Planned!R54,Reconductor!R54,CTGS!R54)</f>
        <v>0</v>
      </c>
      <c r="S54" s="561">
        <f>SUM('Defect (Total)'!S54,Planned!S54,Reconductor!S54,CTGS!S54)</f>
        <v>0</v>
      </c>
      <c r="T54" s="561">
        <f>SUM('Defect (Total)'!T54,Planned!T54,Reconductor!T54,CTGS!T54)</f>
        <v>0</v>
      </c>
      <c r="U54" s="561">
        <f>SUM('Defect (Total)'!U54,Planned!U54,Reconductor!U54,CTGS!U54)</f>
        <v>0</v>
      </c>
      <c r="V54" s="561">
        <f>SUM('Defect (Total)'!V54,Planned!V54,Reconductor!V54,CTGS!V54)</f>
        <v>0</v>
      </c>
      <c r="W54" s="561">
        <f>SUM('Defect (Total)'!W54,Planned!W54,Reconductor!W54,CTGS!W54)</f>
        <v>0</v>
      </c>
      <c r="X54" s="675">
        <f>SUM('Defect (Total)'!X54,Planned!X54,Reconductor!X54,CTGS!X54)</f>
        <v>0</v>
      </c>
      <c r="Y54" s="675">
        <f>SUM('Defect (Total)'!Y54,Planned!Y54,Reconductor!Y54,CTGS!Y54)</f>
        <v>0</v>
      </c>
      <c r="Z54" s="86">
        <f>SUM('Defect (Total)'!Z54,Planned!Z54,Reconductor!Z54,CTGS!Z54)</f>
        <v>0</v>
      </c>
      <c r="AA54" s="87">
        <f>SUM('Defect (Total)'!AA54,Planned!AA54,Reconductor!AA54,CTGS!AA54)</f>
        <v>0</v>
      </c>
      <c r="AB54" s="87">
        <f>SUM('Defect (Total)'!AB54,Planned!AB54,Reconductor!AB54,CTGS!AB54)</f>
        <v>0</v>
      </c>
      <c r="AC54" s="87">
        <f>SUM('Defect (Total)'!AC54,Planned!AC54,Reconductor!AC54,CTGS!AC54)</f>
        <v>0</v>
      </c>
      <c r="AD54" s="87">
        <f>SUM('Defect (Total)'!AD54,Planned!AD54,Reconductor!AD54,CTGS!AD54)</f>
        <v>0</v>
      </c>
      <c r="AE54" s="87">
        <f>SUM('Defect (Total)'!AE54,Planned!AE54,Reconductor!AE54,CTGS!AE54)</f>
        <v>0</v>
      </c>
      <c r="AF54" s="87">
        <f>SUM('Defect (Total)'!AF54,Planned!AF54,Reconductor!AF54,CTGS!AF54)</f>
        <v>0</v>
      </c>
      <c r="AG54" s="87">
        <f>SUM('Defect (Total)'!AG54,Planned!AG54,Reconductor!AG54,CTGS!AG54)</f>
        <v>0</v>
      </c>
      <c r="AH54" s="87">
        <f>SUM('Defect (Total)'!AH54,Planned!AH54,Reconductor!AH54,CTGS!AH54)</f>
        <v>0</v>
      </c>
      <c r="AI54" s="87">
        <f>SUM('Defect (Total)'!AI54,Planned!AI54,Reconductor!AI54,CTGS!AI54)</f>
        <v>0</v>
      </c>
      <c r="AJ54" s="87">
        <f>SUM('Defect (Total)'!AJ54,Planned!AJ54,Reconductor!AJ54,CTGS!AJ54)</f>
        <v>0</v>
      </c>
      <c r="AK54" s="127">
        <f t="shared" si="14"/>
        <v>0</v>
      </c>
      <c r="AL54" s="128">
        <f t="shared" si="21"/>
        <v>0</v>
      </c>
      <c r="AM54" s="129">
        <f t="shared" si="15"/>
        <v>0</v>
      </c>
      <c r="AN54" s="91" t="str">
        <f t="shared" si="22"/>
        <v/>
      </c>
      <c r="AO54" s="92" t="str">
        <f t="shared" si="23"/>
        <v/>
      </c>
      <c r="AP54" s="92" t="str">
        <f t="shared" si="24"/>
        <v/>
      </c>
      <c r="AQ54" s="92" t="str">
        <f t="shared" si="25"/>
        <v/>
      </c>
      <c r="AR54" s="92" t="str">
        <f t="shared" si="26"/>
        <v/>
      </c>
      <c r="AS54" s="92" t="str">
        <f t="shared" si="27"/>
        <v/>
      </c>
      <c r="AT54" s="92" t="str">
        <f t="shared" si="28"/>
        <v/>
      </c>
      <c r="AU54" s="92" t="str">
        <f t="shared" si="29"/>
        <v/>
      </c>
      <c r="AV54" s="92" t="str">
        <f t="shared" si="30"/>
        <v/>
      </c>
      <c r="AW54" s="92" t="str">
        <f t="shared" si="31"/>
        <v/>
      </c>
      <c r="AX54" s="92" t="str">
        <f t="shared" si="31"/>
        <v/>
      </c>
      <c r="AY54" s="93" t="str">
        <f t="shared" si="32"/>
        <v/>
      </c>
      <c r="AZ54" s="94" t="str">
        <f t="shared" si="12"/>
        <v/>
      </c>
      <c r="BA54" s="95" t="str">
        <f t="shared" si="13"/>
        <v/>
      </c>
      <c r="BB54" s="689">
        <f>SUM('Defect (Total)'!BB54,Planned!CE54,Reconductor!CE54,CTGS!CE54,'Substation 2025$'!CE54*$BL$1,Comms!CA54*$BL$2)</f>
        <v>0</v>
      </c>
      <c r="BC54" s="689">
        <f>SUM('Defect (Total)'!BC54,Planned!CF54,Reconductor!CF54,CTGS!CF54,'Substation 2025$'!CF54*$BL$1,Comms!CB54*$BL$2)</f>
        <v>0</v>
      </c>
      <c r="BD54" s="96">
        <f>SUM('Defect (Total)'!BD54,Planned!CG54,Reconductor!CG54,CTGS!CG54,'Substation 2025$'!CG54*$BL$1,Comms!CC54*$BL$2)</f>
        <v>0</v>
      </c>
      <c r="BE54" s="96">
        <f>SUM('Defect (Total)'!BE54,Planned!CH54,Reconductor!CH54,CTGS!CH54,'Substation 2025$'!CH54*$BL$1,Comms!CD54*$BL$2)</f>
        <v>0</v>
      </c>
      <c r="BF54" s="96">
        <f>SUM('Defect (Total)'!BF54,Planned!CI54,Reconductor!CI54,CTGS!CI54,'Substation 2025$'!CI54*$BL$1,Comms!CE54*$BL$2)</f>
        <v>0</v>
      </c>
      <c r="BG54" s="96">
        <f>SUM('Defect (Total)'!BG54,Planned!CJ54,Reconductor!CJ54,CTGS!CJ54,'Substation 2025$'!CJ54*$BL$1,Comms!CF54*$BL$2)</f>
        <v>0</v>
      </c>
      <c r="BH54" s="96">
        <f>SUM('Defect (Total)'!BH54,Planned!CK54,Reconductor!CK54,CTGS!CK54,'Substation 2025$'!CK54*$BL$1,Comms!CG54*$BL$2)</f>
        <v>0</v>
      </c>
      <c r="BI54" s="286">
        <f>SUM('Defect (Total)'!BI54,Planned!CL54,Reconductor!CL54,CTGS!CL54,'Substation 2025$'!CL54*$BL$1,Comms!CH54*$BL$2)</f>
        <v>0</v>
      </c>
      <c r="BJ54" s="99" t="str">
        <f t="shared" si="16"/>
        <v/>
      </c>
      <c r="BK54" s="992">
        <f>SUM('Defect (Total)'!BK54,Planned!CQ54,Reconductor!CQ54,CTGS!CQ54,'Substation 2025$'!CQ54*$BL$1,Comms!CM54*$BL$2)</f>
        <v>0</v>
      </c>
      <c r="BL54" s="992">
        <f>SUM('Defect (Total)'!BL54,Planned!CR54,Reconductor!CR54,CTGS!CR54,'Substation 2025$'!CR54*$BL$1,Comms!CN54*$BL$2)</f>
        <v>0</v>
      </c>
      <c r="BM54" s="524">
        <f>SUM('Defect (Total)'!BM54,Planned!CS54,Reconductor!CS54,CTGS!CS54,'Substation 2025$'!CS54*$BL$1,Comms!CO54*$BL$2)</f>
        <v>0</v>
      </c>
      <c r="BN54" s="416">
        <f>SUM('Defect (Total)'!BN54,Planned!CT54,Reconductor!CT54,CTGS!CT54,'Substation 2025$'!CT54*$BL$1,Comms!CP54*$BL$2)</f>
        <v>0</v>
      </c>
      <c r="BO54" s="97">
        <f>SUM('Defect (Total)'!BO54,Planned!CU54,Reconductor!CU54,CTGS!CU54,'Substation 2025$'!CU54*$BL$1,Comms!CQ54*$BL$2)</f>
        <v>0</v>
      </c>
      <c r="BP54" s="97">
        <f>SUM('Defect (Total)'!BP54,Planned!CV54,Reconductor!CV54,CTGS!CV54,'Substation 2025$'!CV54*$BL$1,Comms!CR54*$BL$2)</f>
        <v>0</v>
      </c>
      <c r="BQ54" s="97">
        <f>SUM('Defect (Total)'!BQ54,Planned!CW54,Reconductor!CW54,CTGS!CW54,'Substation 2025$'!CW54*$BL$1,Comms!CS54*$BL$2)</f>
        <v>0</v>
      </c>
      <c r="BR54" s="98">
        <f>SUM('Defect (Total)'!BR54,Planned!CX54,Reconductor!CX54,CTGS!CX54,'Substation 2025$'!CX54*$BL$1,Comms!CT54*$BL$2)</f>
        <v>0</v>
      </c>
    </row>
    <row r="55" spans="1:70" x14ac:dyDescent="0.25">
      <c r="A55" s="81" t="s">
        <v>106</v>
      </c>
      <c r="B55" s="82" t="s">
        <v>113</v>
      </c>
      <c r="C55" s="83" t="s">
        <v>333</v>
      </c>
      <c r="D55" s="84">
        <f>SUM('Defect (Total)'!D55,Planned!D55,Reconductor!D55,CTGS!D55)</f>
        <v>0</v>
      </c>
      <c r="E55" s="85">
        <f>SUM('Defect (Total)'!E55,Planned!E55,Reconductor!E55,CTGS!E55)</f>
        <v>0</v>
      </c>
      <c r="F55" s="85">
        <f>SUM('Defect (Total)'!F55,Planned!F55,Reconductor!F55,CTGS!F55)</f>
        <v>0</v>
      </c>
      <c r="G55" s="85">
        <f>SUM('Defect (Total)'!G55,Planned!G55,Reconductor!G55,CTGS!G55)</f>
        <v>0</v>
      </c>
      <c r="H55" s="85">
        <f>SUM('Defect (Total)'!H55,Planned!H55,Reconductor!H55,CTGS!H55)</f>
        <v>0</v>
      </c>
      <c r="I55" s="85">
        <f>SUM('Defect (Total)'!I55,Planned!I55,Reconductor!I55,CTGS!I55)</f>
        <v>0</v>
      </c>
      <c r="J55" s="85">
        <f>SUM('Defect (Total)'!J55,Planned!J55,Reconductor!J55,CTGS!J55)</f>
        <v>0</v>
      </c>
      <c r="K55" s="85">
        <f>SUM('Defect (Total)'!K55,Planned!K55,Reconductor!K55,CTGS!K55)</f>
        <v>0</v>
      </c>
      <c r="L55" s="85">
        <f>SUM('Defect (Total)'!L55,Planned!L55,Reconductor!L55,CTGS!L55)</f>
        <v>0</v>
      </c>
      <c r="M55" s="85">
        <f>SUM('Defect (Total)'!M55,Planned!M55,Reconductor!M55,CTGS!M55)</f>
        <v>0</v>
      </c>
      <c r="N55" s="85">
        <f>SUM('Defect (Total)'!N55,Planned!N55,Reconductor!N55,CTGS!N55)</f>
        <v>0</v>
      </c>
      <c r="O55" s="560">
        <f>SUM('Defect (Total)'!O55,Planned!O55,Reconductor!O55,CTGS!O55)</f>
        <v>0</v>
      </c>
      <c r="P55" s="561">
        <f>SUM('Defect (Total)'!P55,Planned!P55,Reconductor!P55,CTGS!P55)</f>
        <v>0</v>
      </c>
      <c r="Q55" s="561">
        <f>SUM('Defect (Total)'!Q55,Planned!Q55,Reconductor!Q55,CTGS!Q55)</f>
        <v>0</v>
      </c>
      <c r="R55" s="561">
        <f>SUM('Defect (Total)'!R55,Planned!R55,Reconductor!R55,CTGS!R55)</f>
        <v>0</v>
      </c>
      <c r="S55" s="561">
        <f>SUM('Defect (Total)'!S55,Planned!S55,Reconductor!S55,CTGS!S55)</f>
        <v>0</v>
      </c>
      <c r="T55" s="561">
        <f>SUM('Defect (Total)'!T55,Planned!T55,Reconductor!T55,CTGS!T55)</f>
        <v>0</v>
      </c>
      <c r="U55" s="561">
        <f>SUM('Defect (Total)'!U55,Planned!U55,Reconductor!U55,CTGS!U55)</f>
        <v>0</v>
      </c>
      <c r="V55" s="561">
        <f>SUM('Defect (Total)'!V55,Planned!V55,Reconductor!V55,CTGS!V55)</f>
        <v>0</v>
      </c>
      <c r="W55" s="561">
        <f>SUM('Defect (Total)'!W55,Planned!W55,Reconductor!W55,CTGS!W55)</f>
        <v>0</v>
      </c>
      <c r="X55" s="675">
        <f>SUM('Defect (Total)'!X55,Planned!X55,Reconductor!X55,CTGS!X55)</f>
        <v>0</v>
      </c>
      <c r="Y55" s="675">
        <f>SUM('Defect (Total)'!Y55,Planned!Y55,Reconductor!Y55,CTGS!Y55)</f>
        <v>0</v>
      </c>
      <c r="Z55" s="86">
        <f>SUM('Defect (Total)'!Z55,Planned!Z55,Reconductor!Z55,CTGS!Z55)</f>
        <v>0</v>
      </c>
      <c r="AA55" s="87">
        <f>SUM('Defect (Total)'!AA55,Planned!AA55,Reconductor!AA55,CTGS!AA55)</f>
        <v>0</v>
      </c>
      <c r="AB55" s="87">
        <f>SUM('Defect (Total)'!AB55,Planned!AB55,Reconductor!AB55,CTGS!AB55)</f>
        <v>0</v>
      </c>
      <c r="AC55" s="87">
        <f>SUM('Defect (Total)'!AC55,Planned!AC55,Reconductor!AC55,CTGS!AC55)</f>
        <v>0</v>
      </c>
      <c r="AD55" s="87">
        <f>SUM('Defect (Total)'!AD55,Planned!AD55,Reconductor!AD55,CTGS!AD55)</f>
        <v>0</v>
      </c>
      <c r="AE55" s="87">
        <f>SUM('Defect (Total)'!AE55,Planned!AE55,Reconductor!AE55,CTGS!AE55)</f>
        <v>0</v>
      </c>
      <c r="AF55" s="87">
        <f>SUM('Defect (Total)'!AF55,Planned!AF55,Reconductor!AF55,CTGS!AF55)</f>
        <v>0</v>
      </c>
      <c r="AG55" s="87">
        <f>SUM('Defect (Total)'!AG55,Planned!AG55,Reconductor!AG55,CTGS!AG55)</f>
        <v>0</v>
      </c>
      <c r="AH55" s="87">
        <f>SUM('Defect (Total)'!AH55,Planned!AH55,Reconductor!AH55,CTGS!AH55)</f>
        <v>0</v>
      </c>
      <c r="AI55" s="87">
        <f>SUM('Defect (Total)'!AI55,Planned!AI55,Reconductor!AI55,CTGS!AI55)</f>
        <v>0</v>
      </c>
      <c r="AJ55" s="87">
        <f>SUM('Defect (Total)'!AJ55,Planned!AJ55,Reconductor!AJ55,CTGS!AJ55)</f>
        <v>0</v>
      </c>
      <c r="AK55" s="127">
        <f t="shared" si="14"/>
        <v>0</v>
      </c>
      <c r="AL55" s="128">
        <f t="shared" si="21"/>
        <v>0</v>
      </c>
      <c r="AM55" s="129">
        <f t="shared" si="15"/>
        <v>0</v>
      </c>
      <c r="AN55" s="91" t="str">
        <f t="shared" si="22"/>
        <v/>
      </c>
      <c r="AO55" s="92" t="str">
        <f t="shared" si="23"/>
        <v/>
      </c>
      <c r="AP55" s="92" t="str">
        <f t="shared" si="24"/>
        <v/>
      </c>
      <c r="AQ55" s="92" t="str">
        <f t="shared" si="25"/>
        <v/>
      </c>
      <c r="AR55" s="92" t="str">
        <f t="shared" si="26"/>
        <v/>
      </c>
      <c r="AS55" s="92" t="str">
        <f t="shared" si="27"/>
        <v/>
      </c>
      <c r="AT55" s="92" t="str">
        <f t="shared" si="28"/>
        <v/>
      </c>
      <c r="AU55" s="92" t="str">
        <f t="shared" si="29"/>
        <v/>
      </c>
      <c r="AV55" s="92" t="str">
        <f t="shared" si="30"/>
        <v/>
      </c>
      <c r="AW55" s="92" t="str">
        <f t="shared" ref="AW55:AX70" si="33">IFERROR(M55/AI55,"")</f>
        <v/>
      </c>
      <c r="AX55" s="92" t="str">
        <f t="shared" si="33"/>
        <v/>
      </c>
      <c r="AY55" s="93" t="str">
        <f t="shared" si="32"/>
        <v/>
      </c>
      <c r="AZ55" s="94" t="str">
        <f t="shared" si="12"/>
        <v/>
      </c>
      <c r="BA55" s="95" t="str">
        <f t="shared" si="13"/>
        <v/>
      </c>
      <c r="BB55" s="689">
        <f>SUM('Defect (Total)'!BB55,Planned!CE55,Reconductor!CE55,CTGS!CE55,'Substation 2025$'!CE55*$BL$1,Comms!CA55*$BL$2)</f>
        <v>0</v>
      </c>
      <c r="BC55" s="689">
        <f>SUM('Defect (Total)'!BC55,Planned!CF55,Reconductor!CF55,CTGS!CF55,'Substation 2025$'!CF55*$BL$1,Comms!CB55*$BL$2)</f>
        <v>0</v>
      </c>
      <c r="BD55" s="96">
        <f>SUM('Defect (Total)'!BD55,Planned!CG55,Reconductor!CG55,CTGS!CG55,'Substation 2025$'!CG55*$BL$1,Comms!CC55*$BL$2)</f>
        <v>0</v>
      </c>
      <c r="BE55" s="96">
        <f>SUM('Defect (Total)'!BE55,Planned!CH55,Reconductor!CH55,CTGS!CH55,'Substation 2025$'!CH55*$BL$1,Comms!CD55*$BL$2)</f>
        <v>0</v>
      </c>
      <c r="BF55" s="96">
        <f>SUM('Defect (Total)'!BF55,Planned!CI55,Reconductor!CI55,CTGS!CI55,'Substation 2025$'!CI55*$BL$1,Comms!CE55*$BL$2)</f>
        <v>0</v>
      </c>
      <c r="BG55" s="96">
        <f>SUM('Defect (Total)'!BG55,Planned!CJ55,Reconductor!CJ55,CTGS!CJ55,'Substation 2025$'!CJ55*$BL$1,Comms!CF55*$BL$2)</f>
        <v>0</v>
      </c>
      <c r="BH55" s="96">
        <f>SUM('Defect (Total)'!BH55,Planned!CK55,Reconductor!CK55,CTGS!CK55,'Substation 2025$'!CK55*$BL$1,Comms!CG55*$BL$2)</f>
        <v>0</v>
      </c>
      <c r="BI55" s="286">
        <f>SUM('Defect (Total)'!BI55,Planned!CL55,Reconductor!CL55,CTGS!CL55,'Substation 2025$'!CL55*$BL$1,Comms!CH55*$BL$2)</f>
        <v>0</v>
      </c>
      <c r="BJ55" s="99" t="str">
        <f t="shared" si="16"/>
        <v/>
      </c>
      <c r="BK55" s="992">
        <f>SUM('Defect (Total)'!BK55,Planned!CQ55,Reconductor!CQ55,CTGS!CQ55,'Substation 2025$'!CQ55*$BL$1,Comms!CM55*$BL$2)</f>
        <v>0</v>
      </c>
      <c r="BL55" s="992">
        <f>SUM('Defect (Total)'!BL55,Planned!CR55,Reconductor!CR55,CTGS!CR55,'Substation 2025$'!CR55*$BL$1,Comms!CN55*$BL$2)</f>
        <v>0</v>
      </c>
      <c r="BM55" s="524">
        <f>SUM('Defect (Total)'!BM55,Planned!CS55,Reconductor!CS55,CTGS!CS55,'Substation 2025$'!CS55*$BL$1,Comms!CO55*$BL$2)</f>
        <v>0</v>
      </c>
      <c r="BN55" s="416">
        <f>SUM('Defect (Total)'!BN55,Planned!CT55,Reconductor!CT55,CTGS!CT55,'Substation 2025$'!CT55*$BL$1,Comms!CP55*$BL$2)</f>
        <v>0</v>
      </c>
      <c r="BO55" s="97">
        <f>SUM('Defect (Total)'!BO55,Planned!CU55,Reconductor!CU55,CTGS!CU55,'Substation 2025$'!CU55*$BL$1,Comms!CQ55*$BL$2)</f>
        <v>0</v>
      </c>
      <c r="BP55" s="97">
        <f>SUM('Defect (Total)'!BP55,Planned!CV55,Reconductor!CV55,CTGS!CV55,'Substation 2025$'!CV55*$BL$1,Comms!CR55*$BL$2)</f>
        <v>0</v>
      </c>
      <c r="BQ55" s="97">
        <f>SUM('Defect (Total)'!BQ55,Planned!CW55,Reconductor!CW55,CTGS!CW55,'Substation 2025$'!CW55*$BL$1,Comms!CS55*$BL$2)</f>
        <v>0</v>
      </c>
      <c r="BR55" s="98">
        <f>SUM('Defect (Total)'!BR55,Planned!CX55,Reconductor!CX55,CTGS!CX55,'Substation 2025$'!CX55*$BL$1,Comms!CT55*$BL$2)</f>
        <v>0</v>
      </c>
    </row>
    <row r="56" spans="1:70" x14ac:dyDescent="0.25">
      <c r="A56" s="81" t="s">
        <v>106</v>
      </c>
      <c r="B56" s="82" t="s">
        <v>115</v>
      </c>
      <c r="C56" s="83" t="s">
        <v>335</v>
      </c>
      <c r="D56" s="84">
        <f>SUM('Defect (Total)'!D56,Planned!D56,Reconductor!D56,CTGS!D56)</f>
        <v>0</v>
      </c>
      <c r="E56" s="85">
        <f>SUM('Defect (Total)'!E56,Planned!E56,Reconductor!E56,CTGS!E56)</f>
        <v>0</v>
      </c>
      <c r="F56" s="85">
        <f>SUM('Defect (Total)'!F56,Planned!F56,Reconductor!F56,CTGS!F56)</f>
        <v>0</v>
      </c>
      <c r="G56" s="85">
        <f>SUM('Defect (Total)'!G56,Planned!G56,Reconductor!G56,CTGS!G56)</f>
        <v>0</v>
      </c>
      <c r="H56" s="85">
        <f>SUM('Defect (Total)'!H56,Planned!H56,Reconductor!H56,CTGS!H56)</f>
        <v>0</v>
      </c>
      <c r="I56" s="85">
        <f>SUM('Defect (Total)'!I56,Planned!I56,Reconductor!I56,CTGS!I56)</f>
        <v>0</v>
      </c>
      <c r="J56" s="85">
        <f>SUM('Defect (Total)'!J56,Planned!J56,Reconductor!J56,CTGS!J56)</f>
        <v>0</v>
      </c>
      <c r="K56" s="85">
        <f>SUM('Defect (Total)'!K56,Planned!K56,Reconductor!K56,CTGS!K56)</f>
        <v>0</v>
      </c>
      <c r="L56" s="85">
        <f>SUM('Defect (Total)'!L56,Planned!L56,Reconductor!L56,CTGS!L56)</f>
        <v>0</v>
      </c>
      <c r="M56" s="85">
        <f>SUM('Defect (Total)'!M56,Planned!M56,Reconductor!M56,CTGS!M56)</f>
        <v>0</v>
      </c>
      <c r="N56" s="85">
        <f>SUM('Defect (Total)'!N56,Planned!N56,Reconductor!N56,CTGS!N56)</f>
        <v>0</v>
      </c>
      <c r="O56" s="560">
        <f>SUM('Defect (Total)'!O56,Planned!O56,Reconductor!O56,CTGS!O56)</f>
        <v>0</v>
      </c>
      <c r="P56" s="561">
        <f>SUM('Defect (Total)'!P56,Planned!P56,Reconductor!P56,CTGS!P56)</f>
        <v>0</v>
      </c>
      <c r="Q56" s="561">
        <f>SUM('Defect (Total)'!Q56,Planned!Q56,Reconductor!Q56,CTGS!Q56)</f>
        <v>0</v>
      </c>
      <c r="R56" s="561">
        <f>SUM('Defect (Total)'!R56,Planned!R56,Reconductor!R56,CTGS!R56)</f>
        <v>0</v>
      </c>
      <c r="S56" s="561">
        <f>SUM('Defect (Total)'!S56,Planned!S56,Reconductor!S56,CTGS!S56)</f>
        <v>0</v>
      </c>
      <c r="T56" s="561">
        <f>SUM('Defect (Total)'!T56,Planned!T56,Reconductor!T56,CTGS!T56)</f>
        <v>0</v>
      </c>
      <c r="U56" s="561">
        <f>SUM('Defect (Total)'!U56,Planned!U56,Reconductor!U56,CTGS!U56)</f>
        <v>0</v>
      </c>
      <c r="V56" s="561">
        <f>SUM('Defect (Total)'!V56,Planned!V56,Reconductor!V56,CTGS!V56)</f>
        <v>0</v>
      </c>
      <c r="W56" s="561">
        <f>SUM('Defect (Total)'!W56,Planned!W56,Reconductor!W56,CTGS!W56)</f>
        <v>0</v>
      </c>
      <c r="X56" s="675">
        <f>SUM('Defect (Total)'!X56,Planned!X56,Reconductor!X56,CTGS!X56)</f>
        <v>0</v>
      </c>
      <c r="Y56" s="675">
        <f>SUM('Defect (Total)'!Y56,Planned!Y56,Reconductor!Y56,CTGS!Y56)</f>
        <v>0</v>
      </c>
      <c r="Z56" s="86">
        <f>SUM('Defect (Total)'!Z56,Planned!Z56,Reconductor!Z56,CTGS!Z56)</f>
        <v>0</v>
      </c>
      <c r="AA56" s="87">
        <f>SUM('Defect (Total)'!AA56,Planned!AA56,Reconductor!AA56,CTGS!AA56)</f>
        <v>0</v>
      </c>
      <c r="AB56" s="87">
        <f>SUM('Defect (Total)'!AB56,Planned!AB56,Reconductor!AB56,CTGS!AB56)</f>
        <v>0</v>
      </c>
      <c r="AC56" s="87">
        <f>SUM('Defect (Total)'!AC56,Planned!AC56,Reconductor!AC56,CTGS!AC56)</f>
        <v>0</v>
      </c>
      <c r="AD56" s="87">
        <f>SUM('Defect (Total)'!AD56,Planned!AD56,Reconductor!AD56,CTGS!AD56)</f>
        <v>0</v>
      </c>
      <c r="AE56" s="87">
        <f>SUM('Defect (Total)'!AE56,Planned!AE56,Reconductor!AE56,CTGS!AE56)</f>
        <v>0</v>
      </c>
      <c r="AF56" s="87">
        <f>SUM('Defect (Total)'!AF56,Planned!AF56,Reconductor!AF56,CTGS!AF56)</f>
        <v>0</v>
      </c>
      <c r="AG56" s="87">
        <f>SUM('Defect (Total)'!AG56,Planned!AG56,Reconductor!AG56,CTGS!AG56)</f>
        <v>0</v>
      </c>
      <c r="AH56" s="87">
        <f>SUM('Defect (Total)'!AH56,Planned!AH56,Reconductor!AH56,CTGS!AH56)</f>
        <v>0</v>
      </c>
      <c r="AI56" s="87">
        <f>SUM('Defect (Total)'!AI56,Planned!AI56,Reconductor!AI56,CTGS!AI56)</f>
        <v>0</v>
      </c>
      <c r="AJ56" s="87">
        <f>SUM('Defect (Total)'!AJ56,Planned!AJ56,Reconductor!AJ56,CTGS!AJ56)</f>
        <v>0</v>
      </c>
      <c r="AK56" s="127">
        <f t="shared" si="14"/>
        <v>0</v>
      </c>
      <c r="AL56" s="128">
        <f t="shared" si="21"/>
        <v>0</v>
      </c>
      <c r="AM56" s="129">
        <f t="shared" si="15"/>
        <v>0</v>
      </c>
      <c r="AN56" s="91" t="str">
        <f t="shared" si="22"/>
        <v/>
      </c>
      <c r="AO56" s="92" t="str">
        <f t="shared" si="23"/>
        <v/>
      </c>
      <c r="AP56" s="92" t="str">
        <f t="shared" si="24"/>
        <v/>
      </c>
      <c r="AQ56" s="92" t="str">
        <f t="shared" si="25"/>
        <v/>
      </c>
      <c r="AR56" s="92" t="str">
        <f t="shared" si="26"/>
        <v/>
      </c>
      <c r="AS56" s="92" t="str">
        <f t="shared" si="27"/>
        <v/>
      </c>
      <c r="AT56" s="92" t="str">
        <f t="shared" si="28"/>
        <v/>
      </c>
      <c r="AU56" s="92" t="str">
        <f t="shared" si="29"/>
        <v/>
      </c>
      <c r="AV56" s="92" t="str">
        <f t="shared" si="30"/>
        <v/>
      </c>
      <c r="AW56" s="92" t="str">
        <f t="shared" si="33"/>
        <v/>
      </c>
      <c r="AX56" s="92" t="str">
        <f t="shared" si="33"/>
        <v/>
      </c>
      <c r="AY56" s="93" t="str">
        <f t="shared" si="32"/>
        <v/>
      </c>
      <c r="AZ56" s="94" t="str">
        <f t="shared" si="12"/>
        <v/>
      </c>
      <c r="BA56" s="95" t="str">
        <f t="shared" si="13"/>
        <v/>
      </c>
      <c r="BB56" s="694">
        <f>SUM('Defect (Total)'!BB56,Planned!CE56,Reconductor!CE56,CTGS!CE56,'Substation 2025$'!CE56*$BL$1,Comms!CA56*$BL$2)</f>
        <v>0</v>
      </c>
      <c r="BC56" s="694">
        <f>SUM('Defect (Total)'!BC56,Planned!CF56,Reconductor!CF56,CTGS!CF56,'Substation 2025$'!CF56*$BL$1,Comms!CB56*$BL$2)</f>
        <v>0</v>
      </c>
      <c r="BD56" s="140">
        <f>SUM('Defect (Total)'!BD56,Planned!CG56,Reconductor!CG56,CTGS!CG56,'Substation 2025$'!CG56*$BL$1,Comms!CC56*$BL$2)</f>
        <v>0</v>
      </c>
      <c r="BE56" s="140">
        <f>SUM('Defect (Total)'!BE56,Planned!CH56,Reconductor!CH56,CTGS!CH56,'Substation 2025$'!CH56*$BL$1,Comms!CD56*$BL$2)</f>
        <v>0</v>
      </c>
      <c r="BF56" s="140">
        <f>SUM('Defect (Total)'!BF56,Planned!CI56,Reconductor!CI56,CTGS!CI56,'Substation 2025$'!CI56*$BL$1,Comms!CE56*$BL$2)</f>
        <v>0</v>
      </c>
      <c r="BG56" s="140">
        <f>SUM('Defect (Total)'!BG56,Planned!CJ56,Reconductor!CJ56,CTGS!CJ56,'Substation 2025$'!CJ56*$BL$1,Comms!CF56*$BL$2)</f>
        <v>0</v>
      </c>
      <c r="BH56" s="140">
        <f>SUM('Defect (Total)'!BH56,Planned!CK56,Reconductor!CK56,CTGS!CK56,'Substation 2025$'!CK56*$BL$1,Comms!CG56*$BL$2)</f>
        <v>0</v>
      </c>
      <c r="BI56" s="291">
        <f>SUM('Defect (Total)'!BI56,Planned!CL56,Reconductor!CL56,CTGS!CL56,'Substation 2025$'!CL56*$BL$1,Comms!CH56*$BL$2)</f>
        <v>0</v>
      </c>
      <c r="BJ56" s="99" t="str">
        <f t="shared" si="16"/>
        <v/>
      </c>
      <c r="BK56" s="992">
        <f>SUM('Defect (Total)'!BK56,Planned!CQ56,Reconductor!CQ56,CTGS!CQ56,'Substation 2025$'!CQ56*$BL$1,Comms!CM56*$BL$2)</f>
        <v>0</v>
      </c>
      <c r="BL56" s="992">
        <f>SUM('Defect (Total)'!BL56,Planned!CR56,Reconductor!CR56,CTGS!CR56,'Substation 2025$'!CR56*$BL$1,Comms!CN56*$BL$2)</f>
        <v>0</v>
      </c>
      <c r="BM56" s="524">
        <f>SUM('Defect (Total)'!BM56,Planned!CS56,Reconductor!CS56,CTGS!CS56,'Substation 2025$'!CS56*$BL$1,Comms!CO56*$BL$2)</f>
        <v>0</v>
      </c>
      <c r="BN56" s="416">
        <f>SUM('Defect (Total)'!BN56,Planned!CT56,Reconductor!CT56,CTGS!CT56,'Substation 2025$'!CT56*$BL$1,Comms!CP56*$BL$2)</f>
        <v>0</v>
      </c>
      <c r="BO56" s="97">
        <f>SUM('Defect (Total)'!BO56,Planned!CU56,Reconductor!CU56,CTGS!CU56,'Substation 2025$'!CU56*$BL$1,Comms!CQ56*$BL$2)</f>
        <v>0</v>
      </c>
      <c r="BP56" s="97">
        <f>SUM('Defect (Total)'!BP56,Planned!CV56,Reconductor!CV56,CTGS!CV56,'Substation 2025$'!CV56*$BL$1,Comms!CR56*$BL$2)</f>
        <v>0</v>
      </c>
      <c r="BQ56" s="97">
        <f>SUM('Defect (Total)'!BQ56,Planned!CW56,Reconductor!CW56,CTGS!CW56,'Substation 2025$'!CW56*$BL$1,Comms!CS56*$BL$2)</f>
        <v>0</v>
      </c>
      <c r="BR56" s="98">
        <f>SUM('Defect (Total)'!BR56,Planned!CX56,Reconductor!CX56,CTGS!CX56,'Substation 2025$'!CX56*$BL$1,Comms!CT56*$BL$2)</f>
        <v>0</v>
      </c>
    </row>
    <row r="57" spans="1:70" x14ac:dyDescent="0.25">
      <c r="A57" s="81" t="s">
        <v>106</v>
      </c>
      <c r="B57" s="82" t="s">
        <v>117</v>
      </c>
      <c r="C57" s="83" t="s">
        <v>337</v>
      </c>
      <c r="D57" s="84">
        <f>SUM('Defect (Total)'!D57,Planned!D57,Reconductor!D57,CTGS!D57)</f>
        <v>0</v>
      </c>
      <c r="E57" s="85">
        <f>SUM('Defect (Total)'!E57,Planned!E57,Reconductor!E57,CTGS!E57)</f>
        <v>0</v>
      </c>
      <c r="F57" s="85">
        <f>SUM('Defect (Total)'!F57,Planned!F57,Reconductor!F57,CTGS!F57)</f>
        <v>0</v>
      </c>
      <c r="G57" s="85">
        <f>SUM('Defect (Total)'!G57,Planned!G57,Reconductor!G57,CTGS!G57)</f>
        <v>0</v>
      </c>
      <c r="H57" s="85">
        <f>SUM('Defect (Total)'!H57,Planned!H57,Reconductor!H57,CTGS!H57)</f>
        <v>0</v>
      </c>
      <c r="I57" s="85">
        <f>SUM('Defect (Total)'!I57,Planned!I57,Reconductor!I57,CTGS!I57)</f>
        <v>0</v>
      </c>
      <c r="J57" s="85">
        <f>SUM('Defect (Total)'!J57,Planned!J57,Reconductor!J57,CTGS!J57)</f>
        <v>0</v>
      </c>
      <c r="K57" s="85">
        <f>SUM('Defect (Total)'!K57,Planned!K57,Reconductor!K57,CTGS!K57)</f>
        <v>0</v>
      </c>
      <c r="L57" s="85">
        <f>SUM('Defect (Total)'!L57,Planned!L57,Reconductor!L57,CTGS!L57)</f>
        <v>0</v>
      </c>
      <c r="M57" s="85">
        <f>SUM('Defect (Total)'!M57,Planned!M57,Reconductor!M57,CTGS!M57)</f>
        <v>0</v>
      </c>
      <c r="N57" s="85">
        <f>SUM('Defect (Total)'!N57,Planned!N57,Reconductor!N57,CTGS!N57)</f>
        <v>0</v>
      </c>
      <c r="O57" s="560">
        <f>SUM('Defect (Total)'!O57,Planned!O57,Reconductor!O57,CTGS!O57)</f>
        <v>0</v>
      </c>
      <c r="P57" s="561">
        <f>SUM('Defect (Total)'!P57,Planned!P57,Reconductor!P57,CTGS!P57)</f>
        <v>0</v>
      </c>
      <c r="Q57" s="561">
        <f>SUM('Defect (Total)'!Q57,Planned!Q57,Reconductor!Q57,CTGS!Q57)</f>
        <v>0</v>
      </c>
      <c r="R57" s="561">
        <f>SUM('Defect (Total)'!R57,Planned!R57,Reconductor!R57,CTGS!R57)</f>
        <v>0</v>
      </c>
      <c r="S57" s="561">
        <f>SUM('Defect (Total)'!S57,Planned!S57,Reconductor!S57,CTGS!S57)</f>
        <v>0</v>
      </c>
      <c r="T57" s="561">
        <f>SUM('Defect (Total)'!T57,Planned!T57,Reconductor!T57,CTGS!T57)</f>
        <v>0</v>
      </c>
      <c r="U57" s="561">
        <f>SUM('Defect (Total)'!U57,Planned!U57,Reconductor!U57,CTGS!U57)</f>
        <v>0</v>
      </c>
      <c r="V57" s="561">
        <f>SUM('Defect (Total)'!V57,Planned!V57,Reconductor!V57,CTGS!V57)</f>
        <v>0</v>
      </c>
      <c r="W57" s="561">
        <f>SUM('Defect (Total)'!W57,Planned!W57,Reconductor!W57,CTGS!W57)</f>
        <v>0</v>
      </c>
      <c r="X57" s="675">
        <f>SUM('Defect (Total)'!X57,Planned!X57,Reconductor!X57,CTGS!X57)</f>
        <v>0</v>
      </c>
      <c r="Y57" s="675">
        <f>SUM('Defect (Total)'!Y57,Planned!Y57,Reconductor!Y57,CTGS!Y57)</f>
        <v>0</v>
      </c>
      <c r="Z57" s="86">
        <f>SUM('Defect (Total)'!Z57,Planned!Z57,Reconductor!Z57,CTGS!Z57)</f>
        <v>0</v>
      </c>
      <c r="AA57" s="87">
        <f>SUM('Defect (Total)'!AA57,Planned!AA57,Reconductor!AA57,CTGS!AA57)</f>
        <v>0</v>
      </c>
      <c r="AB57" s="87">
        <f>SUM('Defect (Total)'!AB57,Planned!AB57,Reconductor!AB57,CTGS!AB57)</f>
        <v>0</v>
      </c>
      <c r="AC57" s="87">
        <f>SUM('Defect (Total)'!AC57,Planned!AC57,Reconductor!AC57,CTGS!AC57)</f>
        <v>0</v>
      </c>
      <c r="AD57" s="87">
        <f>SUM('Defect (Total)'!AD57,Planned!AD57,Reconductor!AD57,CTGS!AD57)</f>
        <v>0</v>
      </c>
      <c r="AE57" s="87">
        <f>SUM('Defect (Total)'!AE57,Planned!AE57,Reconductor!AE57,CTGS!AE57)</f>
        <v>0</v>
      </c>
      <c r="AF57" s="87">
        <f>SUM('Defect (Total)'!AF57,Planned!AF57,Reconductor!AF57,CTGS!AF57)</f>
        <v>0</v>
      </c>
      <c r="AG57" s="87">
        <f>SUM('Defect (Total)'!AG57,Planned!AG57,Reconductor!AG57,CTGS!AG57)</f>
        <v>0</v>
      </c>
      <c r="AH57" s="87">
        <f>SUM('Defect (Total)'!AH57,Planned!AH57,Reconductor!AH57,CTGS!AH57)</f>
        <v>0</v>
      </c>
      <c r="AI57" s="87">
        <f>SUM('Defect (Total)'!AI57,Planned!AI57,Reconductor!AI57,CTGS!AI57)</f>
        <v>0</v>
      </c>
      <c r="AJ57" s="87">
        <f>SUM('Defect (Total)'!AJ57,Planned!AJ57,Reconductor!AJ57,CTGS!AJ57)</f>
        <v>0</v>
      </c>
      <c r="AK57" s="127">
        <f t="shared" si="14"/>
        <v>0</v>
      </c>
      <c r="AL57" s="128">
        <f t="shared" si="21"/>
        <v>0</v>
      </c>
      <c r="AM57" s="129">
        <f t="shared" si="15"/>
        <v>0</v>
      </c>
      <c r="AN57" s="91" t="str">
        <f t="shared" si="22"/>
        <v/>
      </c>
      <c r="AO57" s="92" t="str">
        <f t="shared" si="23"/>
        <v/>
      </c>
      <c r="AP57" s="92" t="str">
        <f t="shared" si="24"/>
        <v/>
      </c>
      <c r="AQ57" s="92" t="str">
        <f t="shared" si="25"/>
        <v/>
      </c>
      <c r="AR57" s="92" t="str">
        <f t="shared" si="26"/>
        <v/>
      </c>
      <c r="AS57" s="92" t="str">
        <f t="shared" si="27"/>
        <v/>
      </c>
      <c r="AT57" s="92" t="str">
        <f t="shared" si="28"/>
        <v/>
      </c>
      <c r="AU57" s="92" t="str">
        <f t="shared" si="29"/>
        <v/>
      </c>
      <c r="AV57" s="92" t="str">
        <f t="shared" si="30"/>
        <v/>
      </c>
      <c r="AW57" s="92" t="str">
        <f t="shared" si="33"/>
        <v/>
      </c>
      <c r="AX57" s="92" t="str">
        <f t="shared" si="33"/>
        <v/>
      </c>
      <c r="AY57" s="93" t="str">
        <f t="shared" si="32"/>
        <v/>
      </c>
      <c r="AZ57" s="94" t="str">
        <f t="shared" si="12"/>
        <v/>
      </c>
      <c r="BA57" s="95" t="str">
        <f t="shared" si="13"/>
        <v/>
      </c>
      <c r="BB57" s="694">
        <f>SUM('Defect (Total)'!BB57,Planned!CE57,Reconductor!CE57,CTGS!CE57,'Substation 2025$'!CE57*$BL$1,Comms!CA57*$BL$2)</f>
        <v>0</v>
      </c>
      <c r="BC57" s="694">
        <f>SUM('Defect (Total)'!BC57,Planned!CF57,Reconductor!CF57,CTGS!CF57,'Substation 2025$'!CF57*$BL$1,Comms!CB57*$BL$2)</f>
        <v>0</v>
      </c>
      <c r="BD57" s="140">
        <f>SUM('Defect (Total)'!BD57,Planned!CG57,Reconductor!CG57,CTGS!CG57,'Substation 2025$'!CG57*$BL$1,Comms!CC57*$BL$2)</f>
        <v>0</v>
      </c>
      <c r="BE57" s="140">
        <f>SUM('Defect (Total)'!BE57,Planned!CH57,Reconductor!CH57,CTGS!CH57,'Substation 2025$'!CH57*$BL$1,Comms!CD57*$BL$2)</f>
        <v>0</v>
      </c>
      <c r="BF57" s="140">
        <f>SUM('Defect (Total)'!BF57,Planned!CI57,Reconductor!CI57,CTGS!CI57,'Substation 2025$'!CI57*$BL$1,Comms!CE57*$BL$2)</f>
        <v>0</v>
      </c>
      <c r="BG57" s="140">
        <f>SUM('Defect (Total)'!BG57,Planned!CJ57,Reconductor!CJ57,CTGS!CJ57,'Substation 2025$'!CJ57*$BL$1,Comms!CF57*$BL$2)</f>
        <v>0</v>
      </c>
      <c r="BH57" s="140">
        <f>SUM('Defect (Total)'!BH57,Planned!CK57,Reconductor!CK57,CTGS!CK57,'Substation 2025$'!CK57*$BL$1,Comms!CG57*$BL$2)</f>
        <v>0</v>
      </c>
      <c r="BI57" s="291">
        <f>SUM('Defect (Total)'!BI57,Planned!CL57,Reconductor!CL57,CTGS!CL57,'Substation 2025$'!CL57*$BL$1,Comms!CH57*$BL$2)</f>
        <v>0</v>
      </c>
      <c r="BJ57" s="99" t="str">
        <f t="shared" si="16"/>
        <v/>
      </c>
      <c r="BK57" s="992">
        <f>SUM('Defect (Total)'!BK57,Planned!CQ57,Reconductor!CQ57,CTGS!CQ57,'Substation 2025$'!CQ57*$BL$1,Comms!CM57*$BL$2)</f>
        <v>0</v>
      </c>
      <c r="BL57" s="992">
        <f>SUM('Defect (Total)'!BL57,Planned!CR57,Reconductor!CR57,CTGS!CR57,'Substation 2025$'!CR57*$BL$1,Comms!CN57*$BL$2)</f>
        <v>0</v>
      </c>
      <c r="BM57" s="524">
        <f>SUM('Defect (Total)'!BM57,Planned!CS57,Reconductor!CS57,CTGS!CS57,'Substation 2025$'!CS57*$BL$1,Comms!CO57*$BL$2)</f>
        <v>0</v>
      </c>
      <c r="BN57" s="416">
        <f>SUM('Defect (Total)'!BN57,Planned!CT57,Reconductor!CT57,CTGS!CT57,'Substation 2025$'!CT57*$BL$1,Comms!CP57*$BL$2)</f>
        <v>0</v>
      </c>
      <c r="BO57" s="97">
        <f>SUM('Defect (Total)'!BO57,Planned!CU57,Reconductor!CU57,CTGS!CU57,'Substation 2025$'!CU57*$BL$1,Comms!CQ57*$BL$2)</f>
        <v>0</v>
      </c>
      <c r="BP57" s="97">
        <f>SUM('Defect (Total)'!BP57,Planned!CV57,Reconductor!CV57,CTGS!CV57,'Substation 2025$'!CV57*$BL$1,Comms!CR57*$BL$2)</f>
        <v>0</v>
      </c>
      <c r="BQ57" s="97">
        <f>SUM('Defect (Total)'!BQ57,Planned!CW57,Reconductor!CW57,CTGS!CW57,'Substation 2025$'!CW57*$BL$1,Comms!CS57*$BL$2)</f>
        <v>0</v>
      </c>
      <c r="BR57" s="98">
        <f>SUM('Defect (Total)'!BR57,Planned!CX57,Reconductor!CX57,CTGS!CX57,'Substation 2025$'!CX57*$BL$1,Comms!CT57*$BL$2)</f>
        <v>0</v>
      </c>
    </row>
    <row r="58" spans="1:70" x14ac:dyDescent="0.25">
      <c r="A58" s="81" t="s">
        <v>106</v>
      </c>
      <c r="B58" s="82" t="s">
        <v>119</v>
      </c>
      <c r="C58" s="83" t="s">
        <v>339</v>
      </c>
      <c r="D58" s="84">
        <f>SUM('Defect (Total)'!D58,Planned!D58,Reconductor!D58,CTGS!D58)</f>
        <v>0</v>
      </c>
      <c r="E58" s="85">
        <f>SUM('Defect (Total)'!E58,Planned!E58,Reconductor!E58,CTGS!E58)</f>
        <v>0</v>
      </c>
      <c r="F58" s="85">
        <f>SUM('Defect (Total)'!F58,Planned!F58,Reconductor!F58,CTGS!F58)</f>
        <v>0</v>
      </c>
      <c r="G58" s="85">
        <f>SUM('Defect (Total)'!G58,Planned!G58,Reconductor!G58,CTGS!G58)</f>
        <v>0</v>
      </c>
      <c r="H58" s="85">
        <f>SUM('Defect (Total)'!H58,Planned!H58,Reconductor!H58,CTGS!H58)</f>
        <v>0</v>
      </c>
      <c r="I58" s="85">
        <f>SUM('Defect (Total)'!I58,Planned!I58,Reconductor!I58,CTGS!I58)</f>
        <v>0</v>
      </c>
      <c r="J58" s="85">
        <f>SUM('Defect (Total)'!J58,Planned!J58,Reconductor!J58,CTGS!J58)</f>
        <v>0</v>
      </c>
      <c r="K58" s="85">
        <f>SUM('Defect (Total)'!K58,Planned!K58,Reconductor!K58,CTGS!K58)</f>
        <v>0</v>
      </c>
      <c r="L58" s="85">
        <f>SUM('Defect (Total)'!L58,Planned!L58,Reconductor!L58,CTGS!L58)</f>
        <v>0</v>
      </c>
      <c r="M58" s="85">
        <f>SUM('Defect (Total)'!M58,Planned!M58,Reconductor!M58,CTGS!M58)</f>
        <v>0</v>
      </c>
      <c r="N58" s="85">
        <f>SUM('Defect (Total)'!N58,Planned!N58,Reconductor!N58,CTGS!N58)</f>
        <v>0</v>
      </c>
      <c r="O58" s="560">
        <f>SUM('Defect (Total)'!O58,Planned!O58,Reconductor!O58,CTGS!O58)</f>
        <v>0</v>
      </c>
      <c r="P58" s="561">
        <f>SUM('Defect (Total)'!P58,Planned!P58,Reconductor!P58,CTGS!P58)</f>
        <v>0</v>
      </c>
      <c r="Q58" s="561">
        <f>SUM('Defect (Total)'!Q58,Planned!Q58,Reconductor!Q58,CTGS!Q58)</f>
        <v>0</v>
      </c>
      <c r="R58" s="561">
        <f>SUM('Defect (Total)'!R58,Planned!R58,Reconductor!R58,CTGS!R58)</f>
        <v>0</v>
      </c>
      <c r="S58" s="561">
        <f>SUM('Defect (Total)'!S58,Planned!S58,Reconductor!S58,CTGS!S58)</f>
        <v>0</v>
      </c>
      <c r="T58" s="561">
        <f>SUM('Defect (Total)'!T58,Planned!T58,Reconductor!T58,CTGS!T58)</f>
        <v>0</v>
      </c>
      <c r="U58" s="561">
        <f>SUM('Defect (Total)'!U58,Planned!U58,Reconductor!U58,CTGS!U58)</f>
        <v>0</v>
      </c>
      <c r="V58" s="561">
        <f>SUM('Defect (Total)'!V58,Planned!V58,Reconductor!V58,CTGS!V58)</f>
        <v>0</v>
      </c>
      <c r="W58" s="561">
        <f>SUM('Defect (Total)'!W58,Planned!W58,Reconductor!W58,CTGS!W58)</f>
        <v>0</v>
      </c>
      <c r="X58" s="675">
        <f>SUM('Defect (Total)'!X58,Planned!X58,Reconductor!X58,CTGS!X58)</f>
        <v>0</v>
      </c>
      <c r="Y58" s="675">
        <f>SUM('Defect (Total)'!Y58,Planned!Y58,Reconductor!Y58,CTGS!Y58)</f>
        <v>0</v>
      </c>
      <c r="Z58" s="86">
        <f>SUM('Defect (Total)'!Z58,Planned!Z58,Reconductor!Z58,CTGS!Z58)</f>
        <v>0</v>
      </c>
      <c r="AA58" s="87">
        <f>SUM('Defect (Total)'!AA58,Planned!AA58,Reconductor!AA58,CTGS!AA58)</f>
        <v>0</v>
      </c>
      <c r="AB58" s="87">
        <f>SUM('Defect (Total)'!AB58,Planned!AB58,Reconductor!AB58,CTGS!AB58)</f>
        <v>0</v>
      </c>
      <c r="AC58" s="87">
        <f>SUM('Defect (Total)'!AC58,Planned!AC58,Reconductor!AC58,CTGS!AC58)</f>
        <v>0</v>
      </c>
      <c r="AD58" s="87">
        <f>SUM('Defect (Total)'!AD58,Planned!AD58,Reconductor!AD58,CTGS!AD58)</f>
        <v>0</v>
      </c>
      <c r="AE58" s="87">
        <f>SUM('Defect (Total)'!AE58,Planned!AE58,Reconductor!AE58,CTGS!AE58)</f>
        <v>0</v>
      </c>
      <c r="AF58" s="87">
        <f>SUM('Defect (Total)'!AF58,Planned!AF58,Reconductor!AF58,CTGS!AF58)</f>
        <v>0</v>
      </c>
      <c r="AG58" s="87">
        <f>SUM('Defect (Total)'!AG58,Planned!AG58,Reconductor!AG58,CTGS!AG58)</f>
        <v>0</v>
      </c>
      <c r="AH58" s="87">
        <f>SUM('Defect (Total)'!AH58,Planned!AH58,Reconductor!AH58,CTGS!AH58)</f>
        <v>0</v>
      </c>
      <c r="AI58" s="87">
        <f>SUM('Defect (Total)'!AI58,Planned!AI58,Reconductor!AI58,CTGS!AI58)</f>
        <v>0</v>
      </c>
      <c r="AJ58" s="87">
        <f>SUM('Defect (Total)'!AJ58,Planned!AJ58,Reconductor!AJ58,CTGS!AJ58)</f>
        <v>0</v>
      </c>
      <c r="AK58" s="127">
        <f t="shared" si="14"/>
        <v>0</v>
      </c>
      <c r="AL58" s="128">
        <f t="shared" si="21"/>
        <v>0</v>
      </c>
      <c r="AM58" s="129">
        <f t="shared" si="15"/>
        <v>0</v>
      </c>
      <c r="AN58" s="91" t="str">
        <f t="shared" si="22"/>
        <v/>
      </c>
      <c r="AO58" s="92" t="str">
        <f t="shared" si="23"/>
        <v/>
      </c>
      <c r="AP58" s="92" t="str">
        <f t="shared" si="24"/>
        <v/>
      </c>
      <c r="AQ58" s="92" t="str">
        <f t="shared" si="25"/>
        <v/>
      </c>
      <c r="AR58" s="92" t="str">
        <f t="shared" si="26"/>
        <v/>
      </c>
      <c r="AS58" s="92" t="str">
        <f t="shared" si="27"/>
        <v/>
      </c>
      <c r="AT58" s="92" t="str">
        <f t="shared" si="28"/>
        <v/>
      </c>
      <c r="AU58" s="92" t="str">
        <f t="shared" si="29"/>
        <v/>
      </c>
      <c r="AV58" s="92" t="str">
        <f t="shared" si="30"/>
        <v/>
      </c>
      <c r="AW58" s="92" t="str">
        <f t="shared" si="33"/>
        <v/>
      </c>
      <c r="AX58" s="92" t="str">
        <f t="shared" si="33"/>
        <v/>
      </c>
      <c r="AY58" s="93" t="str">
        <f t="shared" si="32"/>
        <v/>
      </c>
      <c r="AZ58" s="94" t="str">
        <f t="shared" si="12"/>
        <v/>
      </c>
      <c r="BA58" s="95" t="str">
        <f t="shared" si="13"/>
        <v/>
      </c>
      <c r="BB58" s="694">
        <f>SUM('Defect (Total)'!BB58,Planned!CE58,Reconductor!CE58,CTGS!CE58,'Substation 2025$'!CE58*$BL$1,Comms!CA58*$BL$2)</f>
        <v>0</v>
      </c>
      <c r="BC58" s="694">
        <f>SUM('Defect (Total)'!BC58,Planned!CF58,Reconductor!CF58,CTGS!CF58,'Substation 2025$'!CF58*$BL$1,Comms!CB58*$BL$2)</f>
        <v>0</v>
      </c>
      <c r="BD58" s="140">
        <f>SUM('Defect (Total)'!BD58,Planned!CG58,Reconductor!CG58,CTGS!CG58,'Substation 2025$'!CG58*$BL$1,Comms!CC58*$BL$2)</f>
        <v>0</v>
      </c>
      <c r="BE58" s="140">
        <f>SUM('Defect (Total)'!BE58,Planned!CH58,Reconductor!CH58,CTGS!CH58,'Substation 2025$'!CH58*$BL$1,Comms!CD58*$BL$2)</f>
        <v>0</v>
      </c>
      <c r="BF58" s="140">
        <f>SUM('Defect (Total)'!BF58,Planned!CI58,Reconductor!CI58,CTGS!CI58,'Substation 2025$'!CI58*$BL$1,Comms!CE58*$BL$2)</f>
        <v>0</v>
      </c>
      <c r="BG58" s="140">
        <f>SUM('Defect (Total)'!BG58,Planned!CJ58,Reconductor!CJ58,CTGS!CJ58,'Substation 2025$'!CJ58*$BL$1,Comms!CF58*$BL$2)</f>
        <v>0</v>
      </c>
      <c r="BH58" s="140">
        <f>SUM('Defect (Total)'!BH58,Planned!CK58,Reconductor!CK58,CTGS!CK58,'Substation 2025$'!CK58*$BL$1,Comms!CG58*$BL$2)</f>
        <v>0</v>
      </c>
      <c r="BI58" s="291">
        <f>SUM('Defect (Total)'!BI58,Planned!CL58,Reconductor!CL58,CTGS!CL58,'Substation 2025$'!CL58*$BL$1,Comms!CH58*$BL$2)</f>
        <v>0</v>
      </c>
      <c r="BJ58" s="99" t="str">
        <f t="shared" si="16"/>
        <v/>
      </c>
      <c r="BK58" s="992">
        <f>SUM('Defect (Total)'!BK58,Planned!CQ58,Reconductor!CQ58,CTGS!CQ58,'Substation 2025$'!CQ58*$BL$1,Comms!CM58*$BL$2)</f>
        <v>0</v>
      </c>
      <c r="BL58" s="992">
        <f>SUM('Defect (Total)'!BL58,Planned!CR58,Reconductor!CR58,CTGS!CR58,'Substation 2025$'!CR58*$BL$1,Comms!CN58*$BL$2)</f>
        <v>0</v>
      </c>
      <c r="BM58" s="524">
        <f>SUM('Defect (Total)'!BM58,Planned!CS58,Reconductor!CS58,CTGS!CS58,'Substation 2025$'!CS58*$BL$1,Comms!CO58*$BL$2)</f>
        <v>0</v>
      </c>
      <c r="BN58" s="416">
        <f>SUM('Defect (Total)'!BN58,Planned!CT58,Reconductor!CT58,CTGS!CT58,'Substation 2025$'!CT58*$BL$1,Comms!CP58*$BL$2)</f>
        <v>0</v>
      </c>
      <c r="BO58" s="97">
        <f>SUM('Defect (Total)'!BO58,Planned!CU58,Reconductor!CU58,CTGS!CU58,'Substation 2025$'!CU58*$BL$1,Comms!CQ58*$BL$2)</f>
        <v>0</v>
      </c>
      <c r="BP58" s="97">
        <f>SUM('Defect (Total)'!BP58,Planned!CV58,Reconductor!CV58,CTGS!CV58,'Substation 2025$'!CV58*$BL$1,Comms!CR58*$BL$2)</f>
        <v>0</v>
      </c>
      <c r="BQ58" s="97">
        <f>SUM('Defect (Total)'!BQ58,Planned!CW58,Reconductor!CW58,CTGS!CW58,'Substation 2025$'!CW58*$BL$1,Comms!CS58*$BL$2)</f>
        <v>0</v>
      </c>
      <c r="BR58" s="98">
        <f>SUM('Defect (Total)'!BR58,Planned!CX58,Reconductor!CX58,CTGS!CX58,'Substation 2025$'!CX58*$BL$1,Comms!CT58*$BL$2)</f>
        <v>0</v>
      </c>
    </row>
    <row r="59" spans="1:70" x14ac:dyDescent="0.25">
      <c r="A59" s="81" t="s">
        <v>106</v>
      </c>
      <c r="B59" s="82" t="s">
        <v>121</v>
      </c>
      <c r="C59" s="83" t="s">
        <v>341</v>
      </c>
      <c r="D59" s="84">
        <f>SUM('Defect (Total)'!D59,Planned!D59,Reconductor!D59,CTGS!D59)</f>
        <v>0</v>
      </c>
      <c r="E59" s="85">
        <f>SUM('Defect (Total)'!E59,Planned!E59,Reconductor!E59,CTGS!E59)</f>
        <v>0</v>
      </c>
      <c r="F59" s="85">
        <f>SUM('Defect (Total)'!F59,Planned!F59,Reconductor!F59,CTGS!F59)</f>
        <v>0</v>
      </c>
      <c r="G59" s="85">
        <f>SUM('Defect (Total)'!G59,Planned!G59,Reconductor!G59,CTGS!G59)</f>
        <v>0</v>
      </c>
      <c r="H59" s="85">
        <f>SUM('Defect (Total)'!H59,Planned!H59,Reconductor!H59,CTGS!H59)</f>
        <v>0</v>
      </c>
      <c r="I59" s="85">
        <f>SUM('Defect (Total)'!I59,Planned!I59,Reconductor!I59,CTGS!I59)</f>
        <v>0</v>
      </c>
      <c r="J59" s="85">
        <f>SUM('Defect (Total)'!J59,Planned!J59,Reconductor!J59,CTGS!J59)</f>
        <v>0</v>
      </c>
      <c r="K59" s="85">
        <f>SUM('Defect (Total)'!K59,Planned!K59,Reconductor!K59,CTGS!K59)</f>
        <v>0</v>
      </c>
      <c r="L59" s="85">
        <f>SUM('Defect (Total)'!L59,Planned!L59,Reconductor!L59,CTGS!L59)</f>
        <v>0</v>
      </c>
      <c r="M59" s="85">
        <f>SUM('Defect (Total)'!M59,Planned!M59,Reconductor!M59,CTGS!M59)</f>
        <v>0</v>
      </c>
      <c r="N59" s="85">
        <f>SUM('Defect (Total)'!N59,Planned!N59,Reconductor!N59,CTGS!N59)</f>
        <v>0</v>
      </c>
      <c r="O59" s="560">
        <f>SUM('Defect (Total)'!O59,Planned!O59,Reconductor!O59,CTGS!O59)</f>
        <v>0</v>
      </c>
      <c r="P59" s="561">
        <f>SUM('Defect (Total)'!P59,Planned!P59,Reconductor!P59,CTGS!P59)</f>
        <v>0</v>
      </c>
      <c r="Q59" s="561">
        <f>SUM('Defect (Total)'!Q59,Planned!Q59,Reconductor!Q59,CTGS!Q59)</f>
        <v>0</v>
      </c>
      <c r="R59" s="561">
        <f>SUM('Defect (Total)'!R59,Planned!R59,Reconductor!R59,CTGS!R59)</f>
        <v>0</v>
      </c>
      <c r="S59" s="561">
        <f>SUM('Defect (Total)'!S59,Planned!S59,Reconductor!S59,CTGS!S59)</f>
        <v>0</v>
      </c>
      <c r="T59" s="561">
        <f>SUM('Defect (Total)'!T59,Planned!T59,Reconductor!T59,CTGS!T59)</f>
        <v>0</v>
      </c>
      <c r="U59" s="561">
        <f>SUM('Defect (Total)'!U59,Planned!U59,Reconductor!U59,CTGS!U59)</f>
        <v>0</v>
      </c>
      <c r="V59" s="561">
        <f>SUM('Defect (Total)'!V59,Planned!V59,Reconductor!V59,CTGS!V59)</f>
        <v>0</v>
      </c>
      <c r="W59" s="561">
        <f>SUM('Defect (Total)'!W59,Planned!W59,Reconductor!W59,CTGS!W59)</f>
        <v>0</v>
      </c>
      <c r="X59" s="675">
        <f>SUM('Defect (Total)'!X59,Planned!X59,Reconductor!X59,CTGS!X59)</f>
        <v>0</v>
      </c>
      <c r="Y59" s="675">
        <f>SUM('Defect (Total)'!Y59,Planned!Y59,Reconductor!Y59,CTGS!Y59)</f>
        <v>0</v>
      </c>
      <c r="Z59" s="86">
        <f>SUM('Defect (Total)'!Z59,Planned!Z59,Reconductor!Z59,CTGS!Z59)</f>
        <v>0</v>
      </c>
      <c r="AA59" s="87">
        <f>SUM('Defect (Total)'!AA59,Planned!AA59,Reconductor!AA59,CTGS!AA59)</f>
        <v>0</v>
      </c>
      <c r="AB59" s="87">
        <f>SUM('Defect (Total)'!AB59,Planned!AB59,Reconductor!AB59,CTGS!AB59)</f>
        <v>0</v>
      </c>
      <c r="AC59" s="87">
        <f>SUM('Defect (Total)'!AC59,Planned!AC59,Reconductor!AC59,CTGS!AC59)</f>
        <v>0</v>
      </c>
      <c r="AD59" s="87">
        <f>SUM('Defect (Total)'!AD59,Planned!AD59,Reconductor!AD59,CTGS!AD59)</f>
        <v>0</v>
      </c>
      <c r="AE59" s="87">
        <f>SUM('Defect (Total)'!AE59,Planned!AE59,Reconductor!AE59,CTGS!AE59)</f>
        <v>0</v>
      </c>
      <c r="AF59" s="87">
        <f>SUM('Defect (Total)'!AF59,Planned!AF59,Reconductor!AF59,CTGS!AF59)</f>
        <v>0</v>
      </c>
      <c r="AG59" s="87">
        <f>SUM('Defect (Total)'!AG59,Planned!AG59,Reconductor!AG59,CTGS!AG59)</f>
        <v>0</v>
      </c>
      <c r="AH59" s="87">
        <f>SUM('Defect (Total)'!AH59,Planned!AH59,Reconductor!AH59,CTGS!AH59)</f>
        <v>0</v>
      </c>
      <c r="AI59" s="87">
        <f>SUM('Defect (Total)'!AI59,Planned!AI59,Reconductor!AI59,CTGS!AI59)</f>
        <v>0</v>
      </c>
      <c r="AJ59" s="87">
        <f>SUM('Defect (Total)'!AJ59,Planned!AJ59,Reconductor!AJ59,CTGS!AJ59)</f>
        <v>0</v>
      </c>
      <c r="AK59" s="127">
        <f t="shared" si="14"/>
        <v>0</v>
      </c>
      <c r="AL59" s="128">
        <f t="shared" si="21"/>
        <v>0</v>
      </c>
      <c r="AM59" s="129">
        <f t="shared" si="15"/>
        <v>0</v>
      </c>
      <c r="AN59" s="91" t="str">
        <f t="shared" si="22"/>
        <v/>
      </c>
      <c r="AO59" s="92" t="str">
        <f t="shared" si="23"/>
        <v/>
      </c>
      <c r="AP59" s="92" t="str">
        <f t="shared" si="24"/>
        <v/>
      </c>
      <c r="AQ59" s="92" t="str">
        <f t="shared" si="25"/>
        <v/>
      </c>
      <c r="AR59" s="92" t="str">
        <f t="shared" si="26"/>
        <v/>
      </c>
      <c r="AS59" s="92" t="str">
        <f t="shared" si="27"/>
        <v/>
      </c>
      <c r="AT59" s="92" t="str">
        <f t="shared" si="28"/>
        <v/>
      </c>
      <c r="AU59" s="92" t="str">
        <f t="shared" si="29"/>
        <v/>
      </c>
      <c r="AV59" s="92" t="str">
        <f t="shared" si="30"/>
        <v/>
      </c>
      <c r="AW59" s="92" t="str">
        <f t="shared" si="33"/>
        <v/>
      </c>
      <c r="AX59" s="92" t="str">
        <f t="shared" si="33"/>
        <v/>
      </c>
      <c r="AY59" s="93" t="str">
        <f t="shared" si="32"/>
        <v/>
      </c>
      <c r="AZ59" s="94" t="str">
        <f t="shared" si="12"/>
        <v/>
      </c>
      <c r="BA59" s="95" t="str">
        <f t="shared" si="13"/>
        <v/>
      </c>
      <c r="BB59" s="694">
        <f>SUM('Defect (Total)'!BB59,Planned!CE59,Reconductor!CE59,CTGS!CE59,'Substation 2025$'!CE59*$BL$1,Comms!CA59*$BL$2)</f>
        <v>0</v>
      </c>
      <c r="BC59" s="694">
        <f>SUM('Defect (Total)'!BC59,Planned!CF59,Reconductor!CF59,CTGS!CF59,'Substation 2025$'!CF59*$BL$1,Comms!CB59*$BL$2)</f>
        <v>0</v>
      </c>
      <c r="BD59" s="140">
        <f>SUM('Defect (Total)'!BD59,Planned!CG59,Reconductor!CG59,CTGS!CG59,'Substation 2025$'!CG59*$BL$1,Comms!CC59*$BL$2)</f>
        <v>0</v>
      </c>
      <c r="BE59" s="140">
        <f>SUM('Defect (Total)'!BE59,Planned!CH59,Reconductor!CH59,CTGS!CH59,'Substation 2025$'!CH59*$BL$1,Comms!CD59*$BL$2)</f>
        <v>0</v>
      </c>
      <c r="BF59" s="140">
        <f>SUM('Defect (Total)'!BF59,Planned!CI59,Reconductor!CI59,CTGS!CI59,'Substation 2025$'!CI59*$BL$1,Comms!CE59*$BL$2)</f>
        <v>0</v>
      </c>
      <c r="BG59" s="140">
        <f>SUM('Defect (Total)'!BG59,Planned!CJ59,Reconductor!CJ59,CTGS!CJ59,'Substation 2025$'!CJ59*$BL$1,Comms!CF59*$BL$2)</f>
        <v>0</v>
      </c>
      <c r="BH59" s="140">
        <f>SUM('Defect (Total)'!BH59,Planned!CK59,Reconductor!CK59,CTGS!CK59,'Substation 2025$'!CK59*$BL$1,Comms!CG59*$BL$2)</f>
        <v>0</v>
      </c>
      <c r="BI59" s="291">
        <f>SUM('Defect (Total)'!BI59,Planned!CL59,Reconductor!CL59,CTGS!CL59,'Substation 2025$'!CL59*$BL$1,Comms!CH59*$BL$2)</f>
        <v>0</v>
      </c>
      <c r="BJ59" s="99" t="str">
        <f t="shared" si="16"/>
        <v/>
      </c>
      <c r="BK59" s="992">
        <f>SUM('Defect (Total)'!BK59,Planned!CQ59,Reconductor!CQ59,CTGS!CQ59,'Substation 2025$'!CQ59*$BL$1,Comms!CM59*$BL$2)</f>
        <v>0</v>
      </c>
      <c r="BL59" s="992">
        <f>SUM('Defect (Total)'!BL59,Planned!CR59,Reconductor!CR59,CTGS!CR59,'Substation 2025$'!CR59*$BL$1,Comms!CN59*$BL$2)</f>
        <v>0</v>
      </c>
      <c r="BM59" s="524">
        <f>SUM('Defect (Total)'!BM59,Planned!CS59,Reconductor!CS59,CTGS!CS59,'Substation 2025$'!CS59*$BL$1,Comms!CO59*$BL$2)</f>
        <v>0</v>
      </c>
      <c r="BN59" s="416">
        <f>SUM('Defect (Total)'!BN59,Planned!CT59,Reconductor!CT59,CTGS!CT59,'Substation 2025$'!CT59*$BL$1,Comms!CP59*$BL$2)</f>
        <v>0</v>
      </c>
      <c r="BO59" s="97">
        <f>SUM('Defect (Total)'!BO59,Planned!CU59,Reconductor!CU59,CTGS!CU59,'Substation 2025$'!CU59*$BL$1,Comms!CQ59*$BL$2)</f>
        <v>0</v>
      </c>
      <c r="BP59" s="97">
        <f>SUM('Defect (Total)'!BP59,Planned!CV59,Reconductor!CV59,CTGS!CV59,'Substation 2025$'!CV59*$BL$1,Comms!CR59*$BL$2)</f>
        <v>0</v>
      </c>
      <c r="BQ59" s="97">
        <f>SUM('Defect (Total)'!BQ59,Planned!CW59,Reconductor!CW59,CTGS!CW59,'Substation 2025$'!CW59*$BL$1,Comms!CS59*$BL$2)</f>
        <v>0</v>
      </c>
      <c r="BR59" s="98">
        <f>SUM('Defect (Total)'!BR59,Planned!CX59,Reconductor!CX59,CTGS!CX59,'Substation 2025$'!CX59*$BL$1,Comms!CT59*$BL$2)</f>
        <v>0</v>
      </c>
    </row>
    <row r="60" spans="1:70" x14ac:dyDescent="0.25">
      <c r="A60" s="81" t="s">
        <v>106</v>
      </c>
      <c r="B60" s="82" t="s">
        <v>123</v>
      </c>
      <c r="C60" s="83" t="s">
        <v>343</v>
      </c>
      <c r="D60" s="84">
        <f>SUM('Defect (Total)'!D60,Planned!D60,Reconductor!D60,CTGS!D60)</f>
        <v>0</v>
      </c>
      <c r="E60" s="85">
        <f>SUM('Defect (Total)'!E60,Planned!E60,Reconductor!E60,CTGS!E60)</f>
        <v>0</v>
      </c>
      <c r="F60" s="85">
        <f>SUM('Defect (Total)'!F60,Planned!F60,Reconductor!F60,CTGS!F60)</f>
        <v>0</v>
      </c>
      <c r="G60" s="85">
        <f>SUM('Defect (Total)'!G60,Planned!G60,Reconductor!G60,CTGS!G60)</f>
        <v>0</v>
      </c>
      <c r="H60" s="85">
        <f>SUM('Defect (Total)'!H60,Planned!H60,Reconductor!H60,CTGS!H60)</f>
        <v>0</v>
      </c>
      <c r="I60" s="85">
        <f>SUM('Defect (Total)'!I60,Planned!I60,Reconductor!I60,CTGS!I60)</f>
        <v>0</v>
      </c>
      <c r="J60" s="85">
        <f>SUM('Defect (Total)'!J60,Planned!J60,Reconductor!J60,CTGS!J60)</f>
        <v>0</v>
      </c>
      <c r="K60" s="85">
        <f>SUM('Defect (Total)'!K60,Planned!K60,Reconductor!K60,CTGS!K60)</f>
        <v>0</v>
      </c>
      <c r="L60" s="85">
        <f>SUM('Defect (Total)'!L60,Planned!L60,Reconductor!L60,CTGS!L60)</f>
        <v>0</v>
      </c>
      <c r="M60" s="85">
        <f>SUM('Defect (Total)'!M60,Planned!M60,Reconductor!M60,CTGS!M60)</f>
        <v>0</v>
      </c>
      <c r="N60" s="85">
        <f>SUM('Defect (Total)'!N60,Planned!N60,Reconductor!N60,CTGS!N60)</f>
        <v>0</v>
      </c>
      <c r="O60" s="560">
        <f>SUM('Defect (Total)'!O60,Planned!O60,Reconductor!O60,CTGS!O60)</f>
        <v>0</v>
      </c>
      <c r="P60" s="561">
        <f>SUM('Defect (Total)'!P60,Planned!P60,Reconductor!P60,CTGS!P60)</f>
        <v>0</v>
      </c>
      <c r="Q60" s="561">
        <f>SUM('Defect (Total)'!Q60,Planned!Q60,Reconductor!Q60,CTGS!Q60)</f>
        <v>0</v>
      </c>
      <c r="R60" s="561">
        <f>SUM('Defect (Total)'!R60,Planned!R60,Reconductor!R60,CTGS!R60)</f>
        <v>0</v>
      </c>
      <c r="S60" s="561">
        <f>SUM('Defect (Total)'!S60,Planned!S60,Reconductor!S60,CTGS!S60)</f>
        <v>0</v>
      </c>
      <c r="T60" s="561">
        <f>SUM('Defect (Total)'!T60,Planned!T60,Reconductor!T60,CTGS!T60)</f>
        <v>0</v>
      </c>
      <c r="U60" s="561">
        <f>SUM('Defect (Total)'!U60,Planned!U60,Reconductor!U60,CTGS!U60)</f>
        <v>0</v>
      </c>
      <c r="V60" s="561">
        <f>SUM('Defect (Total)'!V60,Planned!V60,Reconductor!V60,CTGS!V60)</f>
        <v>0</v>
      </c>
      <c r="W60" s="561">
        <f>SUM('Defect (Total)'!W60,Planned!W60,Reconductor!W60,CTGS!W60)</f>
        <v>0</v>
      </c>
      <c r="X60" s="675">
        <f>SUM('Defect (Total)'!X60,Planned!X60,Reconductor!X60,CTGS!X60)</f>
        <v>0</v>
      </c>
      <c r="Y60" s="675">
        <f>SUM('Defect (Total)'!Y60,Planned!Y60,Reconductor!Y60,CTGS!Y60)</f>
        <v>0</v>
      </c>
      <c r="Z60" s="86">
        <f>SUM('Defect (Total)'!Z60,Planned!Z60,Reconductor!Z60,CTGS!Z60)</f>
        <v>0</v>
      </c>
      <c r="AA60" s="87">
        <f>SUM('Defect (Total)'!AA60,Planned!AA60,Reconductor!AA60,CTGS!AA60)</f>
        <v>0</v>
      </c>
      <c r="AB60" s="87">
        <f>SUM('Defect (Total)'!AB60,Planned!AB60,Reconductor!AB60,CTGS!AB60)</f>
        <v>0</v>
      </c>
      <c r="AC60" s="87">
        <f>SUM('Defect (Total)'!AC60,Planned!AC60,Reconductor!AC60,CTGS!AC60)</f>
        <v>0</v>
      </c>
      <c r="AD60" s="87">
        <f>SUM('Defect (Total)'!AD60,Planned!AD60,Reconductor!AD60,CTGS!AD60)</f>
        <v>0</v>
      </c>
      <c r="AE60" s="87">
        <f>SUM('Defect (Total)'!AE60,Planned!AE60,Reconductor!AE60,CTGS!AE60)</f>
        <v>0</v>
      </c>
      <c r="AF60" s="87">
        <f>SUM('Defect (Total)'!AF60,Planned!AF60,Reconductor!AF60,CTGS!AF60)</f>
        <v>0</v>
      </c>
      <c r="AG60" s="87">
        <f>SUM('Defect (Total)'!AG60,Planned!AG60,Reconductor!AG60,CTGS!AG60)</f>
        <v>0</v>
      </c>
      <c r="AH60" s="87">
        <f>SUM('Defect (Total)'!AH60,Planned!AH60,Reconductor!AH60,CTGS!AH60)</f>
        <v>0</v>
      </c>
      <c r="AI60" s="87">
        <f>SUM('Defect (Total)'!AI60,Planned!AI60,Reconductor!AI60,CTGS!AI60)</f>
        <v>0</v>
      </c>
      <c r="AJ60" s="87">
        <f>SUM('Defect (Total)'!AJ60,Planned!AJ60,Reconductor!AJ60,CTGS!AJ60)</f>
        <v>0</v>
      </c>
      <c r="AK60" s="127">
        <f t="shared" si="14"/>
        <v>0</v>
      </c>
      <c r="AL60" s="128">
        <f t="shared" si="21"/>
        <v>0</v>
      </c>
      <c r="AM60" s="129">
        <f t="shared" si="15"/>
        <v>0</v>
      </c>
      <c r="AN60" s="91" t="str">
        <f t="shared" si="22"/>
        <v/>
      </c>
      <c r="AO60" s="92" t="str">
        <f t="shared" si="23"/>
        <v/>
      </c>
      <c r="AP60" s="92" t="str">
        <f t="shared" si="24"/>
        <v/>
      </c>
      <c r="AQ60" s="92" t="str">
        <f t="shared" si="25"/>
        <v/>
      </c>
      <c r="AR60" s="92" t="str">
        <f t="shared" si="26"/>
        <v/>
      </c>
      <c r="AS60" s="92" t="str">
        <f t="shared" si="27"/>
        <v/>
      </c>
      <c r="AT60" s="92" t="str">
        <f t="shared" si="28"/>
        <v/>
      </c>
      <c r="AU60" s="92" t="str">
        <f t="shared" si="29"/>
        <v/>
      </c>
      <c r="AV60" s="92" t="str">
        <f t="shared" si="30"/>
        <v/>
      </c>
      <c r="AW60" s="92" t="str">
        <f t="shared" si="33"/>
        <v/>
      </c>
      <c r="AX60" s="92" t="str">
        <f t="shared" si="33"/>
        <v/>
      </c>
      <c r="AY60" s="93" t="str">
        <f t="shared" si="32"/>
        <v/>
      </c>
      <c r="AZ60" s="94" t="str">
        <f t="shared" si="12"/>
        <v/>
      </c>
      <c r="BA60" s="95" t="str">
        <f t="shared" si="13"/>
        <v/>
      </c>
      <c r="BB60" s="694">
        <f>SUM('Defect (Total)'!BB60,Planned!CE60,Reconductor!CE60,CTGS!CE60,'Substation 2025$'!CE60*$BL$1,Comms!CA60*$BL$2)</f>
        <v>0</v>
      </c>
      <c r="BC60" s="694">
        <f>SUM('Defect (Total)'!BC60,Planned!CF60,Reconductor!CF60,CTGS!CF60,'Substation 2025$'!CF60*$BL$1,Comms!CB60*$BL$2)</f>
        <v>0</v>
      </c>
      <c r="BD60" s="140">
        <f>SUM('Defect (Total)'!BD60,Planned!CG60,Reconductor!CG60,CTGS!CG60,'Substation 2025$'!CG60*$BL$1,Comms!CC60*$BL$2)</f>
        <v>0</v>
      </c>
      <c r="BE60" s="140">
        <f>SUM('Defect (Total)'!BE60,Planned!CH60,Reconductor!CH60,CTGS!CH60,'Substation 2025$'!CH60*$BL$1,Comms!CD60*$BL$2)</f>
        <v>0</v>
      </c>
      <c r="BF60" s="140">
        <f>SUM('Defect (Total)'!BF60,Planned!CI60,Reconductor!CI60,CTGS!CI60,'Substation 2025$'!CI60*$BL$1,Comms!CE60*$BL$2)</f>
        <v>0</v>
      </c>
      <c r="BG60" s="140">
        <f>SUM('Defect (Total)'!BG60,Planned!CJ60,Reconductor!CJ60,CTGS!CJ60,'Substation 2025$'!CJ60*$BL$1,Comms!CF60*$BL$2)</f>
        <v>0</v>
      </c>
      <c r="BH60" s="140">
        <f>SUM('Defect (Total)'!BH60,Planned!CK60,Reconductor!CK60,CTGS!CK60,'Substation 2025$'!CK60*$BL$1,Comms!CG60*$BL$2)</f>
        <v>0</v>
      </c>
      <c r="BI60" s="291">
        <f>SUM('Defect (Total)'!BI60,Planned!CL60,Reconductor!CL60,CTGS!CL60,'Substation 2025$'!CL60*$BL$1,Comms!CH60*$BL$2)</f>
        <v>0</v>
      </c>
      <c r="BJ60" s="99" t="str">
        <f t="shared" si="16"/>
        <v/>
      </c>
      <c r="BK60" s="992">
        <f>SUM('Defect (Total)'!BK60,Planned!CQ60,Reconductor!CQ60,CTGS!CQ60,'Substation 2025$'!CQ60*$BL$1,Comms!CM60*$BL$2)</f>
        <v>0</v>
      </c>
      <c r="BL60" s="992">
        <f>SUM('Defect (Total)'!BL60,Planned!CR60,Reconductor!CR60,CTGS!CR60,'Substation 2025$'!CR60*$BL$1,Comms!CN60*$BL$2)</f>
        <v>0</v>
      </c>
      <c r="BM60" s="524">
        <f>SUM('Defect (Total)'!BM60,Planned!CS60,Reconductor!CS60,CTGS!CS60,'Substation 2025$'!CS60*$BL$1,Comms!CO60*$BL$2)</f>
        <v>0</v>
      </c>
      <c r="BN60" s="416">
        <f>SUM('Defect (Total)'!BN60,Planned!CT60,Reconductor!CT60,CTGS!CT60,'Substation 2025$'!CT60*$BL$1,Comms!CP60*$BL$2)</f>
        <v>0</v>
      </c>
      <c r="BO60" s="97">
        <f>SUM('Defect (Total)'!BO60,Planned!CU60,Reconductor!CU60,CTGS!CU60,'Substation 2025$'!CU60*$BL$1,Comms!CQ60*$BL$2)</f>
        <v>0</v>
      </c>
      <c r="BP60" s="97">
        <f>SUM('Defect (Total)'!BP60,Planned!CV60,Reconductor!CV60,CTGS!CV60,'Substation 2025$'!CV60*$BL$1,Comms!CR60*$BL$2)</f>
        <v>0</v>
      </c>
      <c r="BQ60" s="97">
        <f>SUM('Defect (Total)'!BQ60,Planned!CW60,Reconductor!CW60,CTGS!CW60,'Substation 2025$'!CW60*$BL$1,Comms!CS60*$BL$2)</f>
        <v>0</v>
      </c>
      <c r="BR60" s="98">
        <f>SUM('Defect (Total)'!BR60,Planned!CX60,Reconductor!CX60,CTGS!CX60,'Substation 2025$'!CX60*$BL$1,Comms!CT60*$BL$2)</f>
        <v>0</v>
      </c>
    </row>
    <row r="61" spans="1:70" x14ac:dyDescent="0.25">
      <c r="A61" s="81" t="s">
        <v>106</v>
      </c>
      <c r="B61" s="82" t="s">
        <v>125</v>
      </c>
      <c r="C61" s="83" t="s">
        <v>345</v>
      </c>
      <c r="D61" s="84">
        <f>SUM('Defect (Total)'!D61,Planned!D61,Reconductor!D61,CTGS!D61)</f>
        <v>0</v>
      </c>
      <c r="E61" s="85">
        <f>SUM('Defect (Total)'!E61,Planned!E61,Reconductor!E61,CTGS!E61)</f>
        <v>0</v>
      </c>
      <c r="F61" s="85">
        <f>SUM('Defect (Total)'!F61,Planned!F61,Reconductor!F61,CTGS!F61)</f>
        <v>0</v>
      </c>
      <c r="G61" s="85">
        <f>SUM('Defect (Total)'!G61,Planned!G61,Reconductor!G61,CTGS!G61)</f>
        <v>0</v>
      </c>
      <c r="H61" s="85">
        <f>SUM('Defect (Total)'!H61,Planned!H61,Reconductor!H61,CTGS!H61)</f>
        <v>0</v>
      </c>
      <c r="I61" s="85">
        <f>SUM('Defect (Total)'!I61,Planned!I61,Reconductor!I61,CTGS!I61)</f>
        <v>0</v>
      </c>
      <c r="J61" s="85">
        <f>SUM('Defect (Total)'!J61,Planned!J61,Reconductor!J61,CTGS!J61)</f>
        <v>0</v>
      </c>
      <c r="K61" s="85">
        <f>SUM('Defect (Total)'!K61,Planned!K61,Reconductor!K61,CTGS!K61)</f>
        <v>0</v>
      </c>
      <c r="L61" s="85">
        <f>SUM('Defect (Total)'!L61,Planned!L61,Reconductor!L61,CTGS!L61)</f>
        <v>0</v>
      </c>
      <c r="M61" s="85">
        <f>SUM('Defect (Total)'!M61,Planned!M61,Reconductor!M61,CTGS!M61)</f>
        <v>0</v>
      </c>
      <c r="N61" s="85">
        <f>SUM('Defect (Total)'!N61,Planned!N61,Reconductor!N61,CTGS!N61)</f>
        <v>0</v>
      </c>
      <c r="O61" s="560">
        <f>SUM('Defect (Total)'!O61,Planned!O61,Reconductor!O61,CTGS!O61)</f>
        <v>0</v>
      </c>
      <c r="P61" s="561">
        <f>SUM('Defect (Total)'!P61,Planned!P61,Reconductor!P61,CTGS!P61)</f>
        <v>0</v>
      </c>
      <c r="Q61" s="561">
        <f>SUM('Defect (Total)'!Q61,Planned!Q61,Reconductor!Q61,CTGS!Q61)</f>
        <v>0</v>
      </c>
      <c r="R61" s="561">
        <f>SUM('Defect (Total)'!R61,Planned!R61,Reconductor!R61,CTGS!R61)</f>
        <v>0</v>
      </c>
      <c r="S61" s="561">
        <f>SUM('Defect (Total)'!S61,Planned!S61,Reconductor!S61,CTGS!S61)</f>
        <v>0</v>
      </c>
      <c r="T61" s="561">
        <f>SUM('Defect (Total)'!T61,Planned!T61,Reconductor!T61,CTGS!T61)</f>
        <v>0</v>
      </c>
      <c r="U61" s="561">
        <f>SUM('Defect (Total)'!U61,Planned!U61,Reconductor!U61,CTGS!U61)</f>
        <v>0</v>
      </c>
      <c r="V61" s="561">
        <f>SUM('Defect (Total)'!V61,Planned!V61,Reconductor!V61,CTGS!V61)</f>
        <v>0</v>
      </c>
      <c r="W61" s="561">
        <f>SUM('Defect (Total)'!W61,Planned!W61,Reconductor!W61,CTGS!W61)</f>
        <v>0</v>
      </c>
      <c r="X61" s="675">
        <f>SUM('Defect (Total)'!X61,Planned!X61,Reconductor!X61,CTGS!X61)</f>
        <v>0</v>
      </c>
      <c r="Y61" s="675">
        <f>SUM('Defect (Total)'!Y61,Planned!Y61,Reconductor!Y61,CTGS!Y61)</f>
        <v>0</v>
      </c>
      <c r="Z61" s="86">
        <f>SUM('Defect (Total)'!Z61,Planned!Z61,Reconductor!Z61,CTGS!Z61)</f>
        <v>0</v>
      </c>
      <c r="AA61" s="87">
        <f>SUM('Defect (Total)'!AA61,Planned!AA61,Reconductor!AA61,CTGS!AA61)</f>
        <v>0</v>
      </c>
      <c r="AB61" s="87">
        <f>SUM('Defect (Total)'!AB61,Planned!AB61,Reconductor!AB61,CTGS!AB61)</f>
        <v>0</v>
      </c>
      <c r="AC61" s="87">
        <f>SUM('Defect (Total)'!AC61,Planned!AC61,Reconductor!AC61,CTGS!AC61)</f>
        <v>0</v>
      </c>
      <c r="AD61" s="87">
        <f>SUM('Defect (Total)'!AD61,Planned!AD61,Reconductor!AD61,CTGS!AD61)</f>
        <v>0</v>
      </c>
      <c r="AE61" s="87">
        <f>SUM('Defect (Total)'!AE61,Planned!AE61,Reconductor!AE61,CTGS!AE61)</f>
        <v>0</v>
      </c>
      <c r="AF61" s="87">
        <f>SUM('Defect (Total)'!AF61,Planned!AF61,Reconductor!AF61,CTGS!AF61)</f>
        <v>0</v>
      </c>
      <c r="AG61" s="87">
        <f>SUM('Defect (Total)'!AG61,Planned!AG61,Reconductor!AG61,CTGS!AG61)</f>
        <v>0</v>
      </c>
      <c r="AH61" s="87">
        <f>SUM('Defect (Total)'!AH61,Planned!AH61,Reconductor!AH61,CTGS!AH61)</f>
        <v>0</v>
      </c>
      <c r="AI61" s="87">
        <f>SUM('Defect (Total)'!AI61,Planned!AI61,Reconductor!AI61,CTGS!AI61)</f>
        <v>0</v>
      </c>
      <c r="AJ61" s="87">
        <f>SUM('Defect (Total)'!AJ61,Planned!AJ61,Reconductor!AJ61,CTGS!AJ61)</f>
        <v>0</v>
      </c>
      <c r="AK61" s="127">
        <f t="shared" si="14"/>
        <v>0</v>
      </c>
      <c r="AL61" s="128">
        <f t="shared" si="21"/>
        <v>0</v>
      </c>
      <c r="AM61" s="129">
        <f t="shared" si="15"/>
        <v>0</v>
      </c>
      <c r="AN61" s="91" t="str">
        <f t="shared" si="22"/>
        <v/>
      </c>
      <c r="AO61" s="92" t="str">
        <f t="shared" si="23"/>
        <v/>
      </c>
      <c r="AP61" s="92" t="str">
        <f t="shared" si="24"/>
        <v/>
      </c>
      <c r="AQ61" s="92" t="str">
        <f t="shared" si="25"/>
        <v/>
      </c>
      <c r="AR61" s="92" t="str">
        <f t="shared" si="26"/>
        <v/>
      </c>
      <c r="AS61" s="92" t="str">
        <f t="shared" si="27"/>
        <v/>
      </c>
      <c r="AT61" s="92" t="str">
        <f t="shared" si="28"/>
        <v/>
      </c>
      <c r="AU61" s="92" t="str">
        <f t="shared" si="29"/>
        <v/>
      </c>
      <c r="AV61" s="92" t="str">
        <f t="shared" si="30"/>
        <v/>
      </c>
      <c r="AW61" s="92" t="str">
        <f t="shared" si="33"/>
        <v/>
      </c>
      <c r="AX61" s="92" t="str">
        <f t="shared" si="33"/>
        <v/>
      </c>
      <c r="AY61" s="93" t="str">
        <f t="shared" si="32"/>
        <v/>
      </c>
      <c r="AZ61" s="94" t="str">
        <f t="shared" si="12"/>
        <v/>
      </c>
      <c r="BA61" s="95" t="str">
        <f t="shared" si="13"/>
        <v/>
      </c>
      <c r="BB61" s="694">
        <f>SUM('Defect (Total)'!BB61,Planned!CE61,Reconductor!CE61,CTGS!CE61,'Substation 2025$'!CE61*$BL$1,Comms!CA61*$BL$2)</f>
        <v>0</v>
      </c>
      <c r="BC61" s="694">
        <f>SUM('Defect (Total)'!BC61,Planned!CF61,Reconductor!CF61,CTGS!CF61,'Substation 2025$'!CF61*$BL$1,Comms!CB61*$BL$2)</f>
        <v>0</v>
      </c>
      <c r="BD61" s="140">
        <f>SUM('Defect (Total)'!BD61,Planned!CG61,Reconductor!CG61,CTGS!CG61,'Substation 2025$'!CG61*$BL$1,Comms!CC61*$BL$2)</f>
        <v>0</v>
      </c>
      <c r="BE61" s="140">
        <f>SUM('Defect (Total)'!BE61,Planned!CH61,Reconductor!CH61,CTGS!CH61,'Substation 2025$'!CH61*$BL$1,Comms!CD61*$BL$2)</f>
        <v>0</v>
      </c>
      <c r="BF61" s="140">
        <f>SUM('Defect (Total)'!BF61,Planned!CI61,Reconductor!CI61,CTGS!CI61,'Substation 2025$'!CI61*$BL$1,Comms!CE61*$BL$2)</f>
        <v>0</v>
      </c>
      <c r="BG61" s="140">
        <f>SUM('Defect (Total)'!BG61,Planned!CJ61,Reconductor!CJ61,CTGS!CJ61,'Substation 2025$'!CJ61*$BL$1,Comms!CF61*$BL$2)</f>
        <v>0</v>
      </c>
      <c r="BH61" s="140">
        <f>SUM('Defect (Total)'!BH61,Planned!CK61,Reconductor!CK61,CTGS!CK61,'Substation 2025$'!CK61*$BL$1,Comms!CG61*$BL$2)</f>
        <v>0</v>
      </c>
      <c r="BI61" s="291">
        <f>SUM('Defect (Total)'!BI61,Planned!CL61,Reconductor!CL61,CTGS!CL61,'Substation 2025$'!CL61*$BL$1,Comms!CH61*$BL$2)</f>
        <v>0</v>
      </c>
      <c r="BJ61" s="99" t="str">
        <f t="shared" si="16"/>
        <v/>
      </c>
      <c r="BK61" s="992">
        <f>SUM('Defect (Total)'!BK61,Planned!CQ61,Reconductor!CQ61,CTGS!CQ61,'Substation 2025$'!CQ61*$BL$1,Comms!CM61*$BL$2)</f>
        <v>0</v>
      </c>
      <c r="BL61" s="992">
        <f>SUM('Defect (Total)'!BL61,Planned!CR61,Reconductor!CR61,CTGS!CR61,'Substation 2025$'!CR61*$BL$1,Comms!CN61*$BL$2)</f>
        <v>0</v>
      </c>
      <c r="BM61" s="524">
        <f>SUM('Defect (Total)'!BM61,Planned!CS61,Reconductor!CS61,CTGS!CS61,'Substation 2025$'!CS61*$BL$1,Comms!CO61*$BL$2)</f>
        <v>0</v>
      </c>
      <c r="BN61" s="416">
        <f>SUM('Defect (Total)'!BN61,Planned!CT61,Reconductor!CT61,CTGS!CT61,'Substation 2025$'!CT61*$BL$1,Comms!CP61*$BL$2)</f>
        <v>0</v>
      </c>
      <c r="BO61" s="97">
        <f>SUM('Defect (Total)'!BO61,Planned!CU61,Reconductor!CU61,CTGS!CU61,'Substation 2025$'!CU61*$BL$1,Comms!CQ61*$BL$2)</f>
        <v>0</v>
      </c>
      <c r="BP61" s="97">
        <f>SUM('Defect (Total)'!BP61,Planned!CV61,Reconductor!CV61,CTGS!CV61,'Substation 2025$'!CV61*$BL$1,Comms!CR61*$BL$2)</f>
        <v>0</v>
      </c>
      <c r="BQ61" s="97">
        <f>SUM('Defect (Total)'!BQ61,Planned!CW61,Reconductor!CW61,CTGS!CW61,'Substation 2025$'!CW61*$BL$1,Comms!CS61*$BL$2)</f>
        <v>0</v>
      </c>
      <c r="BR61" s="98">
        <f>SUM('Defect (Total)'!BR61,Planned!CX61,Reconductor!CX61,CTGS!CX61,'Substation 2025$'!CX61*$BL$1,Comms!CT61*$BL$2)</f>
        <v>0</v>
      </c>
    </row>
    <row r="62" spans="1:70" x14ac:dyDescent="0.25">
      <c r="A62" s="81" t="s">
        <v>106</v>
      </c>
      <c r="B62" s="82" t="s">
        <v>127</v>
      </c>
      <c r="C62" s="83" t="s">
        <v>347</v>
      </c>
      <c r="D62" s="84">
        <f>SUM('Defect (Total)'!D62,Planned!D62,Reconductor!D62,CTGS!D62)</f>
        <v>0</v>
      </c>
      <c r="E62" s="85">
        <f>SUM('Defect (Total)'!E62,Planned!E62,Reconductor!E62,CTGS!E62)</f>
        <v>0</v>
      </c>
      <c r="F62" s="85">
        <f>SUM('Defect (Total)'!F62,Planned!F62,Reconductor!F62,CTGS!F62)</f>
        <v>0</v>
      </c>
      <c r="G62" s="85">
        <f>SUM('Defect (Total)'!G62,Planned!G62,Reconductor!G62,CTGS!G62)</f>
        <v>0</v>
      </c>
      <c r="H62" s="85">
        <f>SUM('Defect (Total)'!H62,Planned!H62,Reconductor!H62,CTGS!H62)</f>
        <v>0</v>
      </c>
      <c r="I62" s="85">
        <f>SUM('Defect (Total)'!I62,Planned!I62,Reconductor!I62,CTGS!I62)</f>
        <v>0</v>
      </c>
      <c r="J62" s="85">
        <f>SUM('Defect (Total)'!J62,Planned!J62,Reconductor!J62,CTGS!J62)</f>
        <v>0</v>
      </c>
      <c r="K62" s="85">
        <f>SUM('Defect (Total)'!K62,Planned!K62,Reconductor!K62,CTGS!K62)</f>
        <v>0</v>
      </c>
      <c r="L62" s="85">
        <f>SUM('Defect (Total)'!L62,Planned!L62,Reconductor!L62,CTGS!L62)</f>
        <v>0</v>
      </c>
      <c r="M62" s="85">
        <f>SUM('Defect (Total)'!M62,Planned!M62,Reconductor!M62,CTGS!M62)</f>
        <v>0</v>
      </c>
      <c r="N62" s="85">
        <f>SUM('Defect (Total)'!N62,Planned!N62,Reconductor!N62,CTGS!N62)</f>
        <v>0</v>
      </c>
      <c r="O62" s="560">
        <f>SUM('Defect (Total)'!O62,Planned!O62,Reconductor!O62,CTGS!O62)</f>
        <v>0</v>
      </c>
      <c r="P62" s="561">
        <f>SUM('Defect (Total)'!P62,Planned!P62,Reconductor!P62,CTGS!P62)</f>
        <v>0</v>
      </c>
      <c r="Q62" s="561">
        <f>SUM('Defect (Total)'!Q62,Planned!Q62,Reconductor!Q62,CTGS!Q62)</f>
        <v>0</v>
      </c>
      <c r="R62" s="561">
        <f>SUM('Defect (Total)'!R62,Planned!R62,Reconductor!R62,CTGS!R62)</f>
        <v>0</v>
      </c>
      <c r="S62" s="561">
        <f>SUM('Defect (Total)'!S62,Planned!S62,Reconductor!S62,CTGS!S62)</f>
        <v>0</v>
      </c>
      <c r="T62" s="561">
        <f>SUM('Defect (Total)'!T62,Planned!T62,Reconductor!T62,CTGS!T62)</f>
        <v>0</v>
      </c>
      <c r="U62" s="561">
        <f>SUM('Defect (Total)'!U62,Planned!U62,Reconductor!U62,CTGS!U62)</f>
        <v>0</v>
      </c>
      <c r="V62" s="561">
        <f>SUM('Defect (Total)'!V62,Planned!V62,Reconductor!V62,CTGS!V62)</f>
        <v>0</v>
      </c>
      <c r="W62" s="561">
        <f>SUM('Defect (Total)'!W62,Planned!W62,Reconductor!W62,CTGS!W62)</f>
        <v>0</v>
      </c>
      <c r="X62" s="675">
        <f>SUM('Defect (Total)'!X62,Planned!X62,Reconductor!X62,CTGS!X62)</f>
        <v>0</v>
      </c>
      <c r="Y62" s="675">
        <f>SUM('Defect (Total)'!Y62,Planned!Y62,Reconductor!Y62,CTGS!Y62)</f>
        <v>0</v>
      </c>
      <c r="Z62" s="86">
        <f>SUM('Defect (Total)'!Z62,Planned!Z62,Reconductor!Z62,CTGS!Z62)</f>
        <v>0</v>
      </c>
      <c r="AA62" s="87">
        <f>SUM('Defect (Total)'!AA62,Planned!AA62,Reconductor!AA62,CTGS!AA62)</f>
        <v>0</v>
      </c>
      <c r="AB62" s="87">
        <f>SUM('Defect (Total)'!AB62,Planned!AB62,Reconductor!AB62,CTGS!AB62)</f>
        <v>0</v>
      </c>
      <c r="AC62" s="87">
        <f>SUM('Defect (Total)'!AC62,Planned!AC62,Reconductor!AC62,CTGS!AC62)</f>
        <v>0</v>
      </c>
      <c r="AD62" s="87">
        <f>SUM('Defect (Total)'!AD62,Planned!AD62,Reconductor!AD62,CTGS!AD62)</f>
        <v>0</v>
      </c>
      <c r="AE62" s="87">
        <f>SUM('Defect (Total)'!AE62,Planned!AE62,Reconductor!AE62,CTGS!AE62)</f>
        <v>0</v>
      </c>
      <c r="AF62" s="87">
        <f>SUM('Defect (Total)'!AF62,Planned!AF62,Reconductor!AF62,CTGS!AF62)</f>
        <v>0</v>
      </c>
      <c r="AG62" s="87">
        <f>SUM('Defect (Total)'!AG62,Planned!AG62,Reconductor!AG62,CTGS!AG62)</f>
        <v>0</v>
      </c>
      <c r="AH62" s="87">
        <f>SUM('Defect (Total)'!AH62,Planned!AH62,Reconductor!AH62,CTGS!AH62)</f>
        <v>0</v>
      </c>
      <c r="AI62" s="87">
        <f>SUM('Defect (Total)'!AI62,Planned!AI62,Reconductor!AI62,CTGS!AI62)</f>
        <v>0</v>
      </c>
      <c r="AJ62" s="87">
        <f>SUM('Defect (Total)'!AJ62,Planned!AJ62,Reconductor!AJ62,CTGS!AJ62)</f>
        <v>0</v>
      </c>
      <c r="AK62" s="127">
        <f t="shared" si="14"/>
        <v>0</v>
      </c>
      <c r="AL62" s="128">
        <f t="shared" si="21"/>
        <v>0</v>
      </c>
      <c r="AM62" s="129">
        <f t="shared" si="15"/>
        <v>0</v>
      </c>
      <c r="AN62" s="91" t="str">
        <f t="shared" si="22"/>
        <v/>
      </c>
      <c r="AO62" s="92" t="str">
        <f t="shared" si="23"/>
        <v/>
      </c>
      <c r="AP62" s="92" t="str">
        <f t="shared" si="24"/>
        <v/>
      </c>
      <c r="AQ62" s="92" t="str">
        <f t="shared" si="25"/>
        <v/>
      </c>
      <c r="AR62" s="92" t="str">
        <f t="shared" si="26"/>
        <v/>
      </c>
      <c r="AS62" s="92" t="str">
        <f t="shared" si="27"/>
        <v/>
      </c>
      <c r="AT62" s="92" t="str">
        <f t="shared" si="28"/>
        <v/>
      </c>
      <c r="AU62" s="92" t="str">
        <f t="shared" si="29"/>
        <v/>
      </c>
      <c r="AV62" s="92" t="str">
        <f t="shared" si="30"/>
        <v/>
      </c>
      <c r="AW62" s="92" t="str">
        <f t="shared" si="33"/>
        <v/>
      </c>
      <c r="AX62" s="92" t="str">
        <f t="shared" si="33"/>
        <v/>
      </c>
      <c r="AY62" s="93" t="str">
        <f t="shared" si="32"/>
        <v/>
      </c>
      <c r="AZ62" s="94" t="str">
        <f t="shared" si="12"/>
        <v/>
      </c>
      <c r="BA62" s="95" t="str">
        <f t="shared" si="13"/>
        <v/>
      </c>
      <c r="BB62" s="694">
        <f>SUM('Defect (Total)'!BB62,Planned!CE62,Reconductor!CE62,CTGS!CE62,'Substation 2025$'!CE62*$BL$1,Comms!CA62*$BL$2)</f>
        <v>0</v>
      </c>
      <c r="BC62" s="694">
        <f>SUM('Defect (Total)'!BC62,Planned!CF62,Reconductor!CF62,CTGS!CF62,'Substation 2025$'!CF62*$BL$1,Comms!CB62*$BL$2)</f>
        <v>0</v>
      </c>
      <c r="BD62" s="140">
        <f>SUM('Defect (Total)'!BD62,Planned!CG62,Reconductor!CG62,CTGS!CG62,'Substation 2025$'!CG62*$BL$1,Comms!CC62*$BL$2)</f>
        <v>0</v>
      </c>
      <c r="BE62" s="140">
        <f>SUM('Defect (Total)'!BE62,Planned!CH62,Reconductor!CH62,CTGS!CH62,'Substation 2025$'!CH62*$BL$1,Comms!CD62*$BL$2)</f>
        <v>0</v>
      </c>
      <c r="BF62" s="140">
        <f>SUM('Defect (Total)'!BF62,Planned!CI62,Reconductor!CI62,CTGS!CI62,'Substation 2025$'!CI62*$BL$1,Comms!CE62*$BL$2)</f>
        <v>0</v>
      </c>
      <c r="BG62" s="140">
        <f>SUM('Defect (Total)'!BG62,Planned!CJ62,Reconductor!CJ62,CTGS!CJ62,'Substation 2025$'!CJ62*$BL$1,Comms!CF62*$BL$2)</f>
        <v>0</v>
      </c>
      <c r="BH62" s="140">
        <f>SUM('Defect (Total)'!BH62,Planned!CK62,Reconductor!CK62,CTGS!CK62,'Substation 2025$'!CK62*$BL$1,Comms!CG62*$BL$2)</f>
        <v>0</v>
      </c>
      <c r="BI62" s="291">
        <f>SUM('Defect (Total)'!BI62,Planned!CL62,Reconductor!CL62,CTGS!CL62,'Substation 2025$'!CL62*$BL$1,Comms!CH62*$BL$2)</f>
        <v>0</v>
      </c>
      <c r="BJ62" s="99" t="str">
        <f t="shared" si="16"/>
        <v/>
      </c>
      <c r="BK62" s="992">
        <f>SUM('Defect (Total)'!BK62,Planned!CQ62,Reconductor!CQ62,CTGS!CQ62,'Substation 2025$'!CQ62*$BL$1,Comms!CM62*$BL$2)</f>
        <v>0</v>
      </c>
      <c r="BL62" s="992">
        <f>SUM('Defect (Total)'!BL62,Planned!CR62,Reconductor!CR62,CTGS!CR62,'Substation 2025$'!CR62*$BL$1,Comms!CN62*$BL$2)</f>
        <v>0</v>
      </c>
      <c r="BM62" s="524">
        <f>SUM('Defect (Total)'!BM62,Planned!CS62,Reconductor!CS62,CTGS!CS62,'Substation 2025$'!CS62*$BL$1,Comms!CO62*$BL$2)</f>
        <v>0</v>
      </c>
      <c r="BN62" s="416">
        <f>SUM('Defect (Total)'!BN62,Planned!CT62,Reconductor!CT62,CTGS!CT62,'Substation 2025$'!CT62*$BL$1,Comms!CP62*$BL$2)</f>
        <v>0</v>
      </c>
      <c r="BO62" s="97">
        <f>SUM('Defect (Total)'!BO62,Planned!CU62,Reconductor!CU62,CTGS!CU62,'Substation 2025$'!CU62*$BL$1,Comms!CQ62*$BL$2)</f>
        <v>0</v>
      </c>
      <c r="BP62" s="97">
        <f>SUM('Defect (Total)'!BP62,Planned!CV62,Reconductor!CV62,CTGS!CV62,'Substation 2025$'!CV62*$BL$1,Comms!CR62*$BL$2)</f>
        <v>0</v>
      </c>
      <c r="BQ62" s="97">
        <f>SUM('Defect (Total)'!BQ62,Planned!CW62,Reconductor!CW62,CTGS!CW62,'Substation 2025$'!CW62*$BL$1,Comms!CS62*$BL$2)</f>
        <v>0</v>
      </c>
      <c r="BR62" s="98">
        <f>SUM('Defect (Total)'!BR62,Planned!CX62,Reconductor!CX62,CTGS!CX62,'Substation 2025$'!CX62*$BL$1,Comms!CT62*$BL$2)</f>
        <v>0</v>
      </c>
    </row>
    <row r="63" spans="1:70" x14ac:dyDescent="0.25">
      <c r="A63" s="81" t="s">
        <v>106</v>
      </c>
      <c r="B63" s="82" t="s">
        <v>129</v>
      </c>
      <c r="C63" s="83" t="s">
        <v>349</v>
      </c>
      <c r="D63" s="84">
        <f>SUM('Defect (Total)'!D63,Planned!D63,Reconductor!D63,CTGS!D63)</f>
        <v>0</v>
      </c>
      <c r="E63" s="85">
        <f>SUM('Defect (Total)'!E63,Planned!E63,Reconductor!E63,CTGS!E63)</f>
        <v>0</v>
      </c>
      <c r="F63" s="85">
        <f>SUM('Defect (Total)'!F63,Planned!F63,Reconductor!F63,CTGS!F63)</f>
        <v>0</v>
      </c>
      <c r="G63" s="85">
        <f>SUM('Defect (Total)'!G63,Planned!G63,Reconductor!G63,CTGS!G63)</f>
        <v>0</v>
      </c>
      <c r="H63" s="85">
        <f>SUM('Defect (Total)'!H63,Planned!H63,Reconductor!H63,CTGS!H63)</f>
        <v>0</v>
      </c>
      <c r="I63" s="85">
        <f>SUM('Defect (Total)'!I63,Planned!I63,Reconductor!I63,CTGS!I63)</f>
        <v>0</v>
      </c>
      <c r="J63" s="85">
        <f>SUM('Defect (Total)'!J63,Planned!J63,Reconductor!J63,CTGS!J63)</f>
        <v>0</v>
      </c>
      <c r="K63" s="85">
        <f>SUM('Defect (Total)'!K63,Planned!K63,Reconductor!K63,CTGS!K63)</f>
        <v>0</v>
      </c>
      <c r="L63" s="85">
        <f>SUM('Defect (Total)'!L63,Planned!L63,Reconductor!L63,CTGS!L63)</f>
        <v>0</v>
      </c>
      <c r="M63" s="85">
        <f>SUM('Defect (Total)'!M63,Planned!M63,Reconductor!M63,CTGS!M63)</f>
        <v>0</v>
      </c>
      <c r="N63" s="85">
        <f>SUM('Defect (Total)'!N63,Planned!N63,Reconductor!N63,CTGS!N63)</f>
        <v>0</v>
      </c>
      <c r="O63" s="560">
        <f>SUM('Defect (Total)'!O63,Planned!O63,Reconductor!O63,CTGS!O63)</f>
        <v>0</v>
      </c>
      <c r="P63" s="561">
        <f>SUM('Defect (Total)'!P63,Planned!P63,Reconductor!P63,CTGS!P63)</f>
        <v>0</v>
      </c>
      <c r="Q63" s="561">
        <f>SUM('Defect (Total)'!Q63,Planned!Q63,Reconductor!Q63,CTGS!Q63)</f>
        <v>0</v>
      </c>
      <c r="R63" s="561">
        <f>SUM('Defect (Total)'!R63,Planned!R63,Reconductor!R63,CTGS!R63)</f>
        <v>0</v>
      </c>
      <c r="S63" s="561">
        <f>SUM('Defect (Total)'!S63,Planned!S63,Reconductor!S63,CTGS!S63)</f>
        <v>0</v>
      </c>
      <c r="T63" s="561">
        <f>SUM('Defect (Total)'!T63,Planned!T63,Reconductor!T63,CTGS!T63)</f>
        <v>0</v>
      </c>
      <c r="U63" s="561">
        <f>SUM('Defect (Total)'!U63,Planned!U63,Reconductor!U63,CTGS!U63)</f>
        <v>0</v>
      </c>
      <c r="V63" s="561">
        <f>SUM('Defect (Total)'!V63,Planned!V63,Reconductor!V63,CTGS!V63)</f>
        <v>0</v>
      </c>
      <c r="W63" s="561">
        <f>SUM('Defect (Total)'!W63,Planned!W63,Reconductor!W63,CTGS!W63)</f>
        <v>0</v>
      </c>
      <c r="X63" s="675">
        <f>SUM('Defect (Total)'!X63,Planned!X63,Reconductor!X63,CTGS!X63)</f>
        <v>0</v>
      </c>
      <c r="Y63" s="675">
        <f>SUM('Defect (Total)'!Y63,Planned!Y63,Reconductor!Y63,CTGS!Y63)</f>
        <v>0</v>
      </c>
      <c r="Z63" s="86">
        <f>SUM('Defect (Total)'!Z63,Planned!Z63,Reconductor!Z63,CTGS!Z63)</f>
        <v>0</v>
      </c>
      <c r="AA63" s="87">
        <f>SUM('Defect (Total)'!AA63,Planned!AA63,Reconductor!AA63,CTGS!AA63)</f>
        <v>0</v>
      </c>
      <c r="AB63" s="87">
        <f>SUM('Defect (Total)'!AB63,Planned!AB63,Reconductor!AB63,CTGS!AB63)</f>
        <v>0</v>
      </c>
      <c r="AC63" s="87">
        <f>SUM('Defect (Total)'!AC63,Planned!AC63,Reconductor!AC63,CTGS!AC63)</f>
        <v>0</v>
      </c>
      <c r="AD63" s="87">
        <f>SUM('Defect (Total)'!AD63,Planned!AD63,Reconductor!AD63,CTGS!AD63)</f>
        <v>0</v>
      </c>
      <c r="AE63" s="87">
        <f>SUM('Defect (Total)'!AE63,Planned!AE63,Reconductor!AE63,CTGS!AE63)</f>
        <v>0</v>
      </c>
      <c r="AF63" s="87">
        <f>SUM('Defect (Total)'!AF63,Planned!AF63,Reconductor!AF63,CTGS!AF63)</f>
        <v>0</v>
      </c>
      <c r="AG63" s="87">
        <f>SUM('Defect (Total)'!AG63,Planned!AG63,Reconductor!AG63,CTGS!AG63)</f>
        <v>0</v>
      </c>
      <c r="AH63" s="87">
        <f>SUM('Defect (Total)'!AH63,Planned!AH63,Reconductor!AH63,CTGS!AH63)</f>
        <v>0</v>
      </c>
      <c r="AI63" s="87">
        <f>SUM('Defect (Total)'!AI63,Planned!AI63,Reconductor!AI63,CTGS!AI63)</f>
        <v>0</v>
      </c>
      <c r="AJ63" s="87">
        <f>SUM('Defect (Total)'!AJ63,Planned!AJ63,Reconductor!AJ63,CTGS!AJ63)</f>
        <v>0</v>
      </c>
      <c r="AK63" s="127">
        <f t="shared" si="14"/>
        <v>0</v>
      </c>
      <c r="AL63" s="128">
        <f t="shared" si="21"/>
        <v>0</v>
      </c>
      <c r="AM63" s="129">
        <f t="shared" si="15"/>
        <v>0</v>
      </c>
      <c r="AN63" s="91" t="str">
        <f t="shared" si="22"/>
        <v/>
      </c>
      <c r="AO63" s="92" t="str">
        <f t="shared" si="23"/>
        <v/>
      </c>
      <c r="AP63" s="92" t="str">
        <f t="shared" si="24"/>
        <v/>
      </c>
      <c r="AQ63" s="92" t="str">
        <f t="shared" si="25"/>
        <v/>
      </c>
      <c r="AR63" s="92" t="str">
        <f t="shared" si="26"/>
        <v/>
      </c>
      <c r="AS63" s="92" t="str">
        <f t="shared" si="27"/>
        <v/>
      </c>
      <c r="AT63" s="92" t="str">
        <f t="shared" si="28"/>
        <v/>
      </c>
      <c r="AU63" s="92" t="str">
        <f t="shared" si="29"/>
        <v/>
      </c>
      <c r="AV63" s="92" t="str">
        <f t="shared" si="30"/>
        <v/>
      </c>
      <c r="AW63" s="92" t="str">
        <f t="shared" si="33"/>
        <v/>
      </c>
      <c r="AX63" s="92" t="str">
        <f t="shared" si="33"/>
        <v/>
      </c>
      <c r="AY63" s="93" t="str">
        <f t="shared" si="32"/>
        <v/>
      </c>
      <c r="AZ63" s="94" t="str">
        <f t="shared" si="12"/>
        <v/>
      </c>
      <c r="BA63" s="95" t="str">
        <f t="shared" si="13"/>
        <v/>
      </c>
      <c r="BB63" s="694">
        <f>SUM('Defect (Total)'!BB63,Planned!CE63,Reconductor!CE63,CTGS!CE63,'Substation 2025$'!CE63*$BL$1,Comms!CA63*$BL$2)</f>
        <v>0</v>
      </c>
      <c r="BC63" s="694">
        <f>SUM('Defect (Total)'!BC63,Planned!CF63,Reconductor!CF63,CTGS!CF63,'Substation 2025$'!CF63*$BL$1,Comms!CB63*$BL$2)</f>
        <v>0</v>
      </c>
      <c r="BD63" s="140">
        <f>SUM('Defect (Total)'!BD63,Planned!CG63,Reconductor!CG63,CTGS!CG63,'Substation 2025$'!CG63*$BL$1,Comms!CC63*$BL$2)</f>
        <v>0</v>
      </c>
      <c r="BE63" s="140">
        <f>SUM('Defect (Total)'!BE63,Planned!CH63,Reconductor!CH63,CTGS!CH63,'Substation 2025$'!CH63*$BL$1,Comms!CD63*$BL$2)</f>
        <v>0</v>
      </c>
      <c r="BF63" s="140">
        <f>SUM('Defect (Total)'!BF63,Planned!CI63,Reconductor!CI63,CTGS!CI63,'Substation 2025$'!CI63*$BL$1,Comms!CE63*$BL$2)</f>
        <v>0</v>
      </c>
      <c r="BG63" s="140">
        <f>SUM('Defect (Total)'!BG63,Planned!CJ63,Reconductor!CJ63,CTGS!CJ63,'Substation 2025$'!CJ63*$BL$1,Comms!CF63*$BL$2)</f>
        <v>0</v>
      </c>
      <c r="BH63" s="140">
        <f>SUM('Defect (Total)'!BH63,Planned!CK63,Reconductor!CK63,CTGS!CK63,'Substation 2025$'!CK63*$BL$1,Comms!CG63*$BL$2)</f>
        <v>0</v>
      </c>
      <c r="BI63" s="291">
        <f>SUM('Defect (Total)'!BI63,Planned!CL63,Reconductor!CL63,CTGS!CL63,'Substation 2025$'!CL63*$BL$1,Comms!CH63*$BL$2)</f>
        <v>0</v>
      </c>
      <c r="BJ63" s="99" t="str">
        <f t="shared" si="16"/>
        <v/>
      </c>
      <c r="BK63" s="992">
        <f>SUM('Defect (Total)'!BK63,Planned!CQ63,Reconductor!CQ63,CTGS!CQ63,'Substation 2025$'!CQ63*$BL$1,Comms!CM63*$BL$2)</f>
        <v>0</v>
      </c>
      <c r="BL63" s="992">
        <f>SUM('Defect (Total)'!BL63,Planned!CR63,Reconductor!CR63,CTGS!CR63,'Substation 2025$'!CR63*$BL$1,Comms!CN63*$BL$2)</f>
        <v>0</v>
      </c>
      <c r="BM63" s="524">
        <f>SUM('Defect (Total)'!BM63,Planned!CS63,Reconductor!CS63,CTGS!CS63,'Substation 2025$'!CS63*$BL$1,Comms!CO63*$BL$2)</f>
        <v>0</v>
      </c>
      <c r="BN63" s="416">
        <f>SUM('Defect (Total)'!BN63,Planned!CT63,Reconductor!CT63,CTGS!CT63,'Substation 2025$'!CT63*$BL$1,Comms!CP63*$BL$2)</f>
        <v>0</v>
      </c>
      <c r="BO63" s="97">
        <f>SUM('Defect (Total)'!BO63,Planned!CU63,Reconductor!CU63,CTGS!CU63,'Substation 2025$'!CU63*$BL$1,Comms!CQ63*$BL$2)</f>
        <v>0</v>
      </c>
      <c r="BP63" s="97">
        <f>SUM('Defect (Total)'!BP63,Planned!CV63,Reconductor!CV63,CTGS!CV63,'Substation 2025$'!CV63*$BL$1,Comms!CR63*$BL$2)</f>
        <v>0</v>
      </c>
      <c r="BQ63" s="97">
        <f>SUM('Defect (Total)'!BQ63,Planned!CW63,Reconductor!CW63,CTGS!CW63,'Substation 2025$'!CW63*$BL$1,Comms!CS63*$BL$2)</f>
        <v>0</v>
      </c>
      <c r="BR63" s="98">
        <f>SUM('Defect (Total)'!BR63,Planned!CX63,Reconductor!CX63,CTGS!CX63,'Substation 2025$'!CX63*$BL$1,Comms!CT63*$BL$2)</f>
        <v>0</v>
      </c>
    </row>
    <row r="64" spans="1:70" x14ac:dyDescent="0.25">
      <c r="A64" s="81" t="s">
        <v>106</v>
      </c>
      <c r="B64" s="82" t="s">
        <v>131</v>
      </c>
      <c r="C64" s="83" t="s">
        <v>351</v>
      </c>
      <c r="D64" s="84">
        <f>SUM('Defect (Total)'!D64,Planned!D64,Reconductor!D64,CTGS!D64)</f>
        <v>0</v>
      </c>
      <c r="E64" s="85">
        <f>SUM('Defect (Total)'!E64,Planned!E64,Reconductor!E64,CTGS!E64)</f>
        <v>0</v>
      </c>
      <c r="F64" s="85">
        <f>SUM('Defect (Total)'!F64,Planned!F64,Reconductor!F64,CTGS!F64)</f>
        <v>0</v>
      </c>
      <c r="G64" s="85">
        <f>SUM('Defect (Total)'!G64,Planned!G64,Reconductor!G64,CTGS!G64)</f>
        <v>0</v>
      </c>
      <c r="H64" s="85">
        <f>SUM('Defect (Total)'!H64,Planned!H64,Reconductor!H64,CTGS!H64)</f>
        <v>0</v>
      </c>
      <c r="I64" s="85">
        <f>SUM('Defect (Total)'!I64,Planned!I64,Reconductor!I64,CTGS!I64)</f>
        <v>0</v>
      </c>
      <c r="J64" s="85">
        <f>SUM('Defect (Total)'!J64,Planned!J64,Reconductor!J64,CTGS!J64)</f>
        <v>0</v>
      </c>
      <c r="K64" s="85">
        <f>SUM('Defect (Total)'!K64,Planned!K64,Reconductor!K64,CTGS!K64)</f>
        <v>0</v>
      </c>
      <c r="L64" s="85">
        <f>SUM('Defect (Total)'!L64,Planned!L64,Reconductor!L64,CTGS!L64)</f>
        <v>0</v>
      </c>
      <c r="M64" s="85">
        <f>SUM('Defect (Total)'!M64,Planned!M64,Reconductor!M64,CTGS!M64)</f>
        <v>0</v>
      </c>
      <c r="N64" s="85">
        <f>SUM('Defect (Total)'!N64,Planned!N64,Reconductor!N64,CTGS!N64)</f>
        <v>0</v>
      </c>
      <c r="O64" s="560">
        <f>SUM('Defect (Total)'!O64,Planned!O64,Reconductor!O64,CTGS!O64)</f>
        <v>0</v>
      </c>
      <c r="P64" s="561">
        <f>SUM('Defect (Total)'!P64,Planned!P64,Reconductor!P64,CTGS!P64)</f>
        <v>0</v>
      </c>
      <c r="Q64" s="561">
        <f>SUM('Defect (Total)'!Q64,Planned!Q64,Reconductor!Q64,CTGS!Q64)</f>
        <v>0</v>
      </c>
      <c r="R64" s="561">
        <f>SUM('Defect (Total)'!R64,Planned!R64,Reconductor!R64,CTGS!R64)</f>
        <v>0</v>
      </c>
      <c r="S64" s="561">
        <f>SUM('Defect (Total)'!S64,Planned!S64,Reconductor!S64,CTGS!S64)</f>
        <v>0</v>
      </c>
      <c r="T64" s="561">
        <f>SUM('Defect (Total)'!T64,Planned!T64,Reconductor!T64,CTGS!T64)</f>
        <v>0</v>
      </c>
      <c r="U64" s="561">
        <f>SUM('Defect (Total)'!U64,Planned!U64,Reconductor!U64,CTGS!U64)</f>
        <v>0</v>
      </c>
      <c r="V64" s="561">
        <f>SUM('Defect (Total)'!V64,Planned!V64,Reconductor!V64,CTGS!V64)</f>
        <v>0</v>
      </c>
      <c r="W64" s="561">
        <f>SUM('Defect (Total)'!W64,Planned!W64,Reconductor!W64,CTGS!W64)</f>
        <v>0</v>
      </c>
      <c r="X64" s="675">
        <f>SUM('Defect (Total)'!X64,Planned!X64,Reconductor!X64,CTGS!X64)</f>
        <v>0</v>
      </c>
      <c r="Y64" s="675">
        <f>SUM('Defect (Total)'!Y64,Planned!Y64,Reconductor!Y64,CTGS!Y64)</f>
        <v>0</v>
      </c>
      <c r="Z64" s="86">
        <f>SUM('Defect (Total)'!Z64,Planned!Z64,Reconductor!Z64,CTGS!Z64)</f>
        <v>0</v>
      </c>
      <c r="AA64" s="87">
        <f>SUM('Defect (Total)'!AA64,Planned!AA64,Reconductor!AA64,CTGS!AA64)</f>
        <v>0</v>
      </c>
      <c r="AB64" s="87">
        <f>SUM('Defect (Total)'!AB64,Planned!AB64,Reconductor!AB64,CTGS!AB64)</f>
        <v>0</v>
      </c>
      <c r="AC64" s="87">
        <f>SUM('Defect (Total)'!AC64,Planned!AC64,Reconductor!AC64,CTGS!AC64)</f>
        <v>0</v>
      </c>
      <c r="AD64" s="87">
        <f>SUM('Defect (Total)'!AD64,Planned!AD64,Reconductor!AD64,CTGS!AD64)</f>
        <v>0</v>
      </c>
      <c r="AE64" s="87">
        <f>SUM('Defect (Total)'!AE64,Planned!AE64,Reconductor!AE64,CTGS!AE64)</f>
        <v>0</v>
      </c>
      <c r="AF64" s="87">
        <f>SUM('Defect (Total)'!AF64,Planned!AF64,Reconductor!AF64,CTGS!AF64)</f>
        <v>0</v>
      </c>
      <c r="AG64" s="87">
        <f>SUM('Defect (Total)'!AG64,Planned!AG64,Reconductor!AG64,CTGS!AG64)</f>
        <v>0</v>
      </c>
      <c r="AH64" s="87">
        <f>SUM('Defect (Total)'!AH64,Planned!AH64,Reconductor!AH64,CTGS!AH64)</f>
        <v>0</v>
      </c>
      <c r="AI64" s="87">
        <f>SUM('Defect (Total)'!AI64,Planned!AI64,Reconductor!AI64,CTGS!AI64)</f>
        <v>0</v>
      </c>
      <c r="AJ64" s="87">
        <f>SUM('Defect (Total)'!AJ64,Planned!AJ64,Reconductor!AJ64,CTGS!AJ64)</f>
        <v>0</v>
      </c>
      <c r="AK64" s="127">
        <f t="shared" si="14"/>
        <v>0</v>
      </c>
      <c r="AL64" s="128">
        <f t="shared" si="21"/>
        <v>0</v>
      </c>
      <c r="AM64" s="129">
        <f t="shared" si="15"/>
        <v>0</v>
      </c>
      <c r="AN64" s="91" t="str">
        <f t="shared" si="22"/>
        <v/>
      </c>
      <c r="AO64" s="92" t="str">
        <f t="shared" si="23"/>
        <v/>
      </c>
      <c r="AP64" s="92" t="str">
        <f t="shared" si="24"/>
        <v/>
      </c>
      <c r="AQ64" s="92" t="str">
        <f t="shared" si="25"/>
        <v/>
      </c>
      <c r="AR64" s="92" t="str">
        <f t="shared" si="26"/>
        <v/>
      </c>
      <c r="AS64" s="92" t="str">
        <f t="shared" si="27"/>
        <v/>
      </c>
      <c r="AT64" s="92" t="str">
        <f t="shared" si="28"/>
        <v/>
      </c>
      <c r="AU64" s="92" t="str">
        <f t="shared" si="29"/>
        <v/>
      </c>
      <c r="AV64" s="92" t="str">
        <f t="shared" si="30"/>
        <v/>
      </c>
      <c r="AW64" s="92" t="str">
        <f t="shared" si="33"/>
        <v/>
      </c>
      <c r="AX64" s="92" t="str">
        <f t="shared" si="33"/>
        <v/>
      </c>
      <c r="AY64" s="93" t="str">
        <f t="shared" si="32"/>
        <v/>
      </c>
      <c r="AZ64" s="94" t="str">
        <f t="shared" si="12"/>
        <v/>
      </c>
      <c r="BA64" s="95" t="str">
        <f t="shared" si="13"/>
        <v/>
      </c>
      <c r="BB64" s="694">
        <f>SUM('Defect (Total)'!BB64,Planned!CE64,Reconductor!CE64,CTGS!CE64,'Substation 2025$'!CE64*$BL$1,Comms!CA64*$BL$2)</f>
        <v>0</v>
      </c>
      <c r="BC64" s="694">
        <f>SUM('Defect (Total)'!BC64,Planned!CF64,Reconductor!CF64,CTGS!CF64,'Substation 2025$'!CF64*$BL$1,Comms!CB64*$BL$2)</f>
        <v>0</v>
      </c>
      <c r="BD64" s="140">
        <f>SUM('Defect (Total)'!BD64,Planned!CG64,Reconductor!CG64,CTGS!CG64,'Substation 2025$'!CG64*$BL$1,Comms!CC64*$BL$2)</f>
        <v>0</v>
      </c>
      <c r="BE64" s="140">
        <f>SUM('Defect (Total)'!BE64,Planned!CH64,Reconductor!CH64,CTGS!CH64,'Substation 2025$'!CH64*$BL$1,Comms!CD64*$BL$2)</f>
        <v>0</v>
      </c>
      <c r="BF64" s="140">
        <f>SUM('Defect (Total)'!BF64,Planned!CI64,Reconductor!CI64,CTGS!CI64,'Substation 2025$'!CI64*$BL$1,Comms!CE64*$BL$2)</f>
        <v>0</v>
      </c>
      <c r="BG64" s="140">
        <f>SUM('Defect (Total)'!BG64,Planned!CJ64,Reconductor!CJ64,CTGS!CJ64,'Substation 2025$'!CJ64*$BL$1,Comms!CF64*$BL$2)</f>
        <v>0</v>
      </c>
      <c r="BH64" s="140">
        <f>SUM('Defect (Total)'!BH64,Planned!CK64,Reconductor!CK64,CTGS!CK64,'Substation 2025$'!CK64*$BL$1,Comms!CG64*$BL$2)</f>
        <v>0</v>
      </c>
      <c r="BI64" s="291">
        <f>SUM('Defect (Total)'!BI64,Planned!CL64,Reconductor!CL64,CTGS!CL64,'Substation 2025$'!CL64*$BL$1,Comms!CH64*$BL$2)</f>
        <v>0</v>
      </c>
      <c r="BJ64" s="99" t="str">
        <f t="shared" si="16"/>
        <v/>
      </c>
      <c r="BK64" s="992">
        <f>SUM('Defect (Total)'!BK64,Planned!CQ64,Reconductor!CQ64,CTGS!CQ64,'Substation 2025$'!CQ64*$BL$1,Comms!CM64*$BL$2)</f>
        <v>0</v>
      </c>
      <c r="BL64" s="992">
        <f>SUM('Defect (Total)'!BL64,Planned!CR64,Reconductor!CR64,CTGS!CR64,'Substation 2025$'!CR64*$BL$1,Comms!CN64*$BL$2)</f>
        <v>0</v>
      </c>
      <c r="BM64" s="524">
        <f>SUM('Defect (Total)'!BM64,Planned!CS64,Reconductor!CS64,CTGS!CS64,'Substation 2025$'!CS64*$BL$1,Comms!CO64*$BL$2)</f>
        <v>0</v>
      </c>
      <c r="BN64" s="416">
        <f>SUM('Defect (Total)'!BN64,Planned!CT64,Reconductor!CT64,CTGS!CT64,'Substation 2025$'!CT64*$BL$1,Comms!CP64*$BL$2)</f>
        <v>0</v>
      </c>
      <c r="BO64" s="97">
        <f>SUM('Defect (Total)'!BO64,Planned!CU64,Reconductor!CU64,CTGS!CU64,'Substation 2025$'!CU64*$BL$1,Comms!CQ64*$BL$2)</f>
        <v>0</v>
      </c>
      <c r="BP64" s="97">
        <f>SUM('Defect (Total)'!BP64,Planned!CV64,Reconductor!CV64,CTGS!CV64,'Substation 2025$'!CV64*$BL$1,Comms!CR64*$BL$2)</f>
        <v>0</v>
      </c>
      <c r="BQ64" s="97">
        <f>SUM('Defect (Total)'!BQ64,Planned!CW64,Reconductor!CW64,CTGS!CW64,'Substation 2025$'!CW64*$BL$1,Comms!CS64*$BL$2)</f>
        <v>0</v>
      </c>
      <c r="BR64" s="98">
        <f>SUM('Defect (Total)'!BR64,Planned!CX64,Reconductor!CX64,CTGS!CX64,'Substation 2025$'!CX64*$BL$1,Comms!CT64*$BL$2)</f>
        <v>0</v>
      </c>
    </row>
    <row r="65" spans="1:70" x14ac:dyDescent="0.25">
      <c r="A65" s="81" t="s">
        <v>106</v>
      </c>
      <c r="B65" s="82" t="s">
        <v>133</v>
      </c>
      <c r="C65" s="83" t="s">
        <v>353</v>
      </c>
      <c r="D65" s="84">
        <f>SUM('Defect (Total)'!D65,Planned!D65,Reconductor!D65,CTGS!D65)</f>
        <v>0</v>
      </c>
      <c r="E65" s="85">
        <f>SUM('Defect (Total)'!E65,Planned!E65,Reconductor!E65,CTGS!E65)</f>
        <v>0</v>
      </c>
      <c r="F65" s="85">
        <f>SUM('Defect (Total)'!F65,Planned!F65,Reconductor!F65,CTGS!F65)</f>
        <v>0</v>
      </c>
      <c r="G65" s="85">
        <f>SUM('Defect (Total)'!G65,Planned!G65,Reconductor!G65,CTGS!G65)</f>
        <v>0</v>
      </c>
      <c r="H65" s="85">
        <f>SUM('Defect (Total)'!H65,Planned!H65,Reconductor!H65,CTGS!H65)</f>
        <v>0</v>
      </c>
      <c r="I65" s="85">
        <f>SUM('Defect (Total)'!I65,Planned!I65,Reconductor!I65,CTGS!I65)</f>
        <v>0</v>
      </c>
      <c r="J65" s="85">
        <f>SUM('Defect (Total)'!J65,Planned!J65,Reconductor!J65,CTGS!J65)</f>
        <v>0</v>
      </c>
      <c r="K65" s="85">
        <f>SUM('Defect (Total)'!K65,Planned!K65,Reconductor!K65,CTGS!K65)</f>
        <v>0</v>
      </c>
      <c r="L65" s="85">
        <f>SUM('Defect (Total)'!L65,Planned!L65,Reconductor!L65,CTGS!L65)</f>
        <v>0</v>
      </c>
      <c r="M65" s="85">
        <f>SUM('Defect (Total)'!M65,Planned!M65,Reconductor!M65,CTGS!M65)</f>
        <v>0</v>
      </c>
      <c r="N65" s="85">
        <f>SUM('Defect (Total)'!N65,Planned!N65,Reconductor!N65,CTGS!N65)</f>
        <v>0</v>
      </c>
      <c r="O65" s="560">
        <f>SUM('Defect (Total)'!O65,Planned!O65,Reconductor!O65,CTGS!O65)</f>
        <v>0</v>
      </c>
      <c r="P65" s="561">
        <f>SUM('Defect (Total)'!P65,Planned!P65,Reconductor!P65,CTGS!P65)</f>
        <v>0</v>
      </c>
      <c r="Q65" s="561">
        <f>SUM('Defect (Total)'!Q65,Planned!Q65,Reconductor!Q65,CTGS!Q65)</f>
        <v>0</v>
      </c>
      <c r="R65" s="561">
        <f>SUM('Defect (Total)'!R65,Planned!R65,Reconductor!R65,CTGS!R65)</f>
        <v>0</v>
      </c>
      <c r="S65" s="561">
        <f>SUM('Defect (Total)'!S65,Planned!S65,Reconductor!S65,CTGS!S65)</f>
        <v>0</v>
      </c>
      <c r="T65" s="561">
        <f>SUM('Defect (Total)'!T65,Planned!T65,Reconductor!T65,CTGS!T65)</f>
        <v>0</v>
      </c>
      <c r="U65" s="561">
        <f>SUM('Defect (Total)'!U65,Planned!U65,Reconductor!U65,CTGS!U65)</f>
        <v>0</v>
      </c>
      <c r="V65" s="561">
        <f>SUM('Defect (Total)'!V65,Planned!V65,Reconductor!V65,CTGS!V65)</f>
        <v>0</v>
      </c>
      <c r="W65" s="561">
        <f>SUM('Defect (Total)'!W65,Planned!W65,Reconductor!W65,CTGS!W65)</f>
        <v>0</v>
      </c>
      <c r="X65" s="675">
        <f>SUM('Defect (Total)'!X65,Planned!X65,Reconductor!X65,CTGS!X65)</f>
        <v>0</v>
      </c>
      <c r="Y65" s="675">
        <f>SUM('Defect (Total)'!Y65,Planned!Y65,Reconductor!Y65,CTGS!Y65)</f>
        <v>0</v>
      </c>
      <c r="Z65" s="86">
        <f>SUM('Defect (Total)'!Z65,Planned!Z65,Reconductor!Z65,CTGS!Z65)</f>
        <v>0</v>
      </c>
      <c r="AA65" s="87">
        <f>SUM('Defect (Total)'!AA65,Planned!AA65,Reconductor!AA65,CTGS!AA65)</f>
        <v>0</v>
      </c>
      <c r="AB65" s="87">
        <f>SUM('Defect (Total)'!AB65,Planned!AB65,Reconductor!AB65,CTGS!AB65)</f>
        <v>0</v>
      </c>
      <c r="AC65" s="87">
        <f>SUM('Defect (Total)'!AC65,Planned!AC65,Reconductor!AC65,CTGS!AC65)</f>
        <v>0</v>
      </c>
      <c r="AD65" s="87">
        <f>SUM('Defect (Total)'!AD65,Planned!AD65,Reconductor!AD65,CTGS!AD65)</f>
        <v>0</v>
      </c>
      <c r="AE65" s="87">
        <f>SUM('Defect (Total)'!AE65,Planned!AE65,Reconductor!AE65,CTGS!AE65)</f>
        <v>0</v>
      </c>
      <c r="AF65" s="87">
        <f>SUM('Defect (Total)'!AF65,Planned!AF65,Reconductor!AF65,CTGS!AF65)</f>
        <v>0</v>
      </c>
      <c r="AG65" s="87">
        <f>SUM('Defect (Total)'!AG65,Planned!AG65,Reconductor!AG65,CTGS!AG65)</f>
        <v>0</v>
      </c>
      <c r="AH65" s="87">
        <f>SUM('Defect (Total)'!AH65,Planned!AH65,Reconductor!AH65,CTGS!AH65)</f>
        <v>0</v>
      </c>
      <c r="AI65" s="87">
        <f>SUM('Defect (Total)'!AI65,Planned!AI65,Reconductor!AI65,CTGS!AI65)</f>
        <v>0</v>
      </c>
      <c r="AJ65" s="87">
        <f>SUM('Defect (Total)'!AJ65,Planned!AJ65,Reconductor!AJ65,CTGS!AJ65)</f>
        <v>0</v>
      </c>
      <c r="AK65" s="127">
        <f t="shared" si="14"/>
        <v>0</v>
      </c>
      <c r="AL65" s="128">
        <f t="shared" si="21"/>
        <v>0</v>
      </c>
      <c r="AM65" s="129">
        <f t="shared" si="15"/>
        <v>0</v>
      </c>
      <c r="AN65" s="91" t="str">
        <f t="shared" si="22"/>
        <v/>
      </c>
      <c r="AO65" s="92" t="str">
        <f t="shared" si="23"/>
        <v/>
      </c>
      <c r="AP65" s="92" t="str">
        <f t="shared" si="24"/>
        <v/>
      </c>
      <c r="AQ65" s="92" t="str">
        <f t="shared" si="25"/>
        <v/>
      </c>
      <c r="AR65" s="92" t="str">
        <f t="shared" si="26"/>
        <v/>
      </c>
      <c r="AS65" s="92" t="str">
        <f t="shared" si="27"/>
        <v/>
      </c>
      <c r="AT65" s="92" t="str">
        <f t="shared" si="28"/>
        <v/>
      </c>
      <c r="AU65" s="92" t="str">
        <f t="shared" si="29"/>
        <v/>
      </c>
      <c r="AV65" s="92" t="str">
        <f t="shared" si="30"/>
        <v/>
      </c>
      <c r="AW65" s="92" t="str">
        <f t="shared" si="33"/>
        <v/>
      </c>
      <c r="AX65" s="92" t="str">
        <f t="shared" si="33"/>
        <v/>
      </c>
      <c r="AY65" s="93" t="str">
        <f t="shared" si="32"/>
        <v/>
      </c>
      <c r="AZ65" s="94" t="str">
        <f t="shared" si="12"/>
        <v/>
      </c>
      <c r="BA65" s="95" t="str">
        <f t="shared" si="13"/>
        <v/>
      </c>
      <c r="BB65" s="694">
        <f>SUM('Defect (Total)'!BB65,Planned!CE65,Reconductor!CE65,CTGS!CE65,'Substation 2025$'!CE65*$BL$1,Comms!CA65*$BL$2)</f>
        <v>0</v>
      </c>
      <c r="BC65" s="694">
        <f>SUM('Defect (Total)'!BC65,Planned!CF65,Reconductor!CF65,CTGS!CF65,'Substation 2025$'!CF65*$BL$1,Comms!CB65*$BL$2)</f>
        <v>0</v>
      </c>
      <c r="BD65" s="140">
        <f>SUM('Defect (Total)'!BD65,Planned!CG65,Reconductor!CG65,CTGS!CG65,'Substation 2025$'!CG65*$BL$1,Comms!CC65*$BL$2)</f>
        <v>0</v>
      </c>
      <c r="BE65" s="140">
        <f>SUM('Defect (Total)'!BE65,Planned!CH65,Reconductor!CH65,CTGS!CH65,'Substation 2025$'!CH65*$BL$1,Comms!CD65*$BL$2)</f>
        <v>0</v>
      </c>
      <c r="BF65" s="140">
        <f>SUM('Defect (Total)'!BF65,Planned!CI65,Reconductor!CI65,CTGS!CI65,'Substation 2025$'!CI65*$BL$1,Comms!CE65*$BL$2)</f>
        <v>0</v>
      </c>
      <c r="BG65" s="140">
        <f>SUM('Defect (Total)'!BG65,Planned!CJ65,Reconductor!CJ65,CTGS!CJ65,'Substation 2025$'!CJ65*$BL$1,Comms!CF65*$BL$2)</f>
        <v>0</v>
      </c>
      <c r="BH65" s="140">
        <f>SUM('Defect (Total)'!BH65,Planned!CK65,Reconductor!CK65,CTGS!CK65,'Substation 2025$'!CK65*$BL$1,Comms!CG65*$BL$2)</f>
        <v>0</v>
      </c>
      <c r="BI65" s="291">
        <f>SUM('Defect (Total)'!BI65,Planned!CL65,Reconductor!CL65,CTGS!CL65,'Substation 2025$'!CL65*$BL$1,Comms!CH65*$BL$2)</f>
        <v>0</v>
      </c>
      <c r="BJ65" s="99" t="str">
        <f t="shared" si="16"/>
        <v/>
      </c>
      <c r="BK65" s="992">
        <f>SUM('Defect (Total)'!BK65,Planned!CQ65,Reconductor!CQ65,CTGS!CQ65,'Substation 2025$'!CQ65*$BL$1,Comms!CM65*$BL$2)</f>
        <v>0</v>
      </c>
      <c r="BL65" s="992">
        <f>SUM('Defect (Total)'!BL65,Planned!CR65,Reconductor!CR65,CTGS!CR65,'Substation 2025$'!CR65*$BL$1,Comms!CN65*$BL$2)</f>
        <v>0</v>
      </c>
      <c r="BM65" s="524">
        <f>SUM('Defect (Total)'!BM65,Planned!CS65,Reconductor!CS65,CTGS!CS65,'Substation 2025$'!CS65*$BL$1,Comms!CO65*$BL$2)</f>
        <v>0</v>
      </c>
      <c r="BN65" s="416">
        <f>SUM('Defect (Total)'!BN65,Planned!CT65,Reconductor!CT65,CTGS!CT65,'Substation 2025$'!CT65*$BL$1,Comms!CP65*$BL$2)</f>
        <v>0</v>
      </c>
      <c r="BO65" s="97">
        <f>SUM('Defect (Total)'!BO65,Planned!CU65,Reconductor!CU65,CTGS!CU65,'Substation 2025$'!CU65*$BL$1,Comms!CQ65*$BL$2)</f>
        <v>0</v>
      </c>
      <c r="BP65" s="97">
        <f>SUM('Defect (Total)'!BP65,Planned!CV65,Reconductor!CV65,CTGS!CV65,'Substation 2025$'!CV65*$BL$1,Comms!CR65*$BL$2)</f>
        <v>0</v>
      </c>
      <c r="BQ65" s="97">
        <f>SUM('Defect (Total)'!BQ65,Planned!CW65,Reconductor!CW65,CTGS!CW65,'Substation 2025$'!CW65*$BL$1,Comms!CS65*$BL$2)</f>
        <v>0</v>
      </c>
      <c r="BR65" s="98">
        <f>SUM('Defect (Total)'!BR65,Planned!CX65,Reconductor!CX65,CTGS!CX65,'Substation 2025$'!CX65*$BL$1,Comms!CT65*$BL$2)</f>
        <v>0</v>
      </c>
    </row>
    <row r="66" spans="1:70" ht="15.75" thickBot="1" x14ac:dyDescent="0.3">
      <c r="A66" s="100" t="s">
        <v>106</v>
      </c>
      <c r="B66" s="101" t="s">
        <v>827</v>
      </c>
      <c r="C66" s="102" t="s">
        <v>355</v>
      </c>
      <c r="D66" s="103">
        <f>SUM('Defect (Total)'!D66,Planned!D66,Reconductor!D66,CTGS!D66)</f>
        <v>0</v>
      </c>
      <c r="E66" s="104">
        <f>SUM('Defect (Total)'!E66,Planned!E66,Reconductor!E66,CTGS!E66)</f>
        <v>0</v>
      </c>
      <c r="F66" s="104">
        <f>SUM('Defect (Total)'!F66,Planned!F66,Reconductor!F66,CTGS!F66)</f>
        <v>0</v>
      </c>
      <c r="G66" s="104">
        <f>SUM('Defect (Total)'!G66,Planned!G66,Reconductor!G66,CTGS!G66)</f>
        <v>0</v>
      </c>
      <c r="H66" s="104">
        <f>SUM('Defect (Total)'!H66,Planned!H66,Reconductor!H66,CTGS!H66)</f>
        <v>0</v>
      </c>
      <c r="I66" s="104">
        <f>SUM('Defect (Total)'!I66,Planned!I66,Reconductor!I66,CTGS!I66)</f>
        <v>0</v>
      </c>
      <c r="J66" s="104">
        <f>SUM('Defect (Total)'!J66,Planned!J66,Reconductor!J66,CTGS!J66)</f>
        <v>0</v>
      </c>
      <c r="K66" s="104">
        <f>SUM('Defect (Total)'!K66,Planned!K66,Reconductor!K66,CTGS!K66)</f>
        <v>0</v>
      </c>
      <c r="L66" s="104">
        <f>SUM('Defect (Total)'!L66,Planned!L66,Reconductor!L66,CTGS!L66)</f>
        <v>0</v>
      </c>
      <c r="M66" s="104">
        <f>SUM('Defect (Total)'!M66,Planned!M66,Reconductor!M66,CTGS!M66)</f>
        <v>0</v>
      </c>
      <c r="N66" s="104">
        <f>SUM('Defect (Total)'!N66,Planned!N66,Reconductor!N66,CTGS!N66)</f>
        <v>0</v>
      </c>
      <c r="O66" s="563">
        <f>SUM('Defect (Total)'!O66,Planned!O66,Reconductor!O66,CTGS!O66)</f>
        <v>0</v>
      </c>
      <c r="P66" s="564">
        <f>SUM('Defect (Total)'!P66,Planned!P66,Reconductor!P66,CTGS!P66)</f>
        <v>0</v>
      </c>
      <c r="Q66" s="564">
        <f>SUM('Defect (Total)'!Q66,Planned!Q66,Reconductor!Q66,CTGS!Q66)</f>
        <v>0</v>
      </c>
      <c r="R66" s="564">
        <f>SUM('Defect (Total)'!R66,Planned!R66,Reconductor!R66,CTGS!R66)</f>
        <v>0</v>
      </c>
      <c r="S66" s="564">
        <f>SUM('Defect (Total)'!S66,Planned!S66,Reconductor!S66,CTGS!S66)</f>
        <v>0</v>
      </c>
      <c r="T66" s="564">
        <f>SUM('Defect (Total)'!T66,Planned!T66,Reconductor!T66,CTGS!T66)</f>
        <v>0</v>
      </c>
      <c r="U66" s="564">
        <f>SUM('Defect (Total)'!U66,Planned!U66,Reconductor!U66,CTGS!U66)</f>
        <v>0</v>
      </c>
      <c r="V66" s="564">
        <f>SUM('Defect (Total)'!V66,Planned!V66,Reconductor!V66,CTGS!V66)</f>
        <v>0</v>
      </c>
      <c r="W66" s="564">
        <f>SUM('Defect (Total)'!W66,Planned!W66,Reconductor!W66,CTGS!W66)</f>
        <v>0</v>
      </c>
      <c r="X66" s="676">
        <f>SUM('Defect (Total)'!X66,Planned!X66,Reconductor!X66,CTGS!X66)</f>
        <v>0</v>
      </c>
      <c r="Y66" s="676">
        <f>SUM('Defect (Total)'!Y66,Planned!Y66,Reconductor!Y66,CTGS!Y66)</f>
        <v>0</v>
      </c>
      <c r="Z66" s="105">
        <f>SUM('Defect (Total)'!Z66,Planned!Z66,Reconductor!Z66,CTGS!Z66)</f>
        <v>0</v>
      </c>
      <c r="AA66" s="106">
        <f>SUM('Defect (Total)'!AA66,Planned!AA66,Reconductor!AA66,CTGS!AA66)</f>
        <v>0</v>
      </c>
      <c r="AB66" s="106">
        <f>SUM('Defect (Total)'!AB66,Planned!AB66,Reconductor!AB66,CTGS!AB66)</f>
        <v>0</v>
      </c>
      <c r="AC66" s="106">
        <f>SUM('Defect (Total)'!AC66,Planned!AC66,Reconductor!AC66,CTGS!AC66)</f>
        <v>0</v>
      </c>
      <c r="AD66" s="106">
        <f>SUM('Defect (Total)'!AD66,Planned!AD66,Reconductor!AD66,CTGS!AD66)</f>
        <v>0</v>
      </c>
      <c r="AE66" s="106">
        <f>SUM('Defect (Total)'!AE66,Planned!AE66,Reconductor!AE66,CTGS!AE66)</f>
        <v>0</v>
      </c>
      <c r="AF66" s="106">
        <f>SUM('Defect (Total)'!AF66,Planned!AF66,Reconductor!AF66,CTGS!AF66)</f>
        <v>0</v>
      </c>
      <c r="AG66" s="106">
        <f>SUM('Defect (Total)'!AG66,Planned!AG66,Reconductor!AG66,CTGS!AG66)</f>
        <v>0</v>
      </c>
      <c r="AH66" s="106">
        <f>SUM('Defect (Total)'!AH66,Planned!AH66,Reconductor!AH66,CTGS!AH66)</f>
        <v>0</v>
      </c>
      <c r="AI66" s="106">
        <f>SUM('Defect (Total)'!AI66,Planned!AI66,Reconductor!AI66,CTGS!AI66)</f>
        <v>0</v>
      </c>
      <c r="AJ66" s="106">
        <f>SUM('Defect (Total)'!AJ66,Planned!AJ66,Reconductor!AJ66,CTGS!AJ66)</f>
        <v>0</v>
      </c>
      <c r="AK66" s="133">
        <f t="shared" si="14"/>
        <v>0</v>
      </c>
      <c r="AL66" s="134">
        <f t="shared" si="21"/>
        <v>0</v>
      </c>
      <c r="AM66" s="135">
        <f t="shared" si="15"/>
        <v>0</v>
      </c>
      <c r="AN66" s="110" t="str">
        <f t="shared" si="22"/>
        <v/>
      </c>
      <c r="AO66" s="111" t="str">
        <f t="shared" si="23"/>
        <v/>
      </c>
      <c r="AP66" s="111" t="str">
        <f t="shared" si="24"/>
        <v/>
      </c>
      <c r="AQ66" s="111" t="str">
        <f t="shared" si="25"/>
        <v/>
      </c>
      <c r="AR66" s="111" t="str">
        <f t="shared" si="26"/>
        <v/>
      </c>
      <c r="AS66" s="111" t="str">
        <f t="shared" si="27"/>
        <v/>
      </c>
      <c r="AT66" s="111" t="str">
        <f t="shared" si="28"/>
        <v/>
      </c>
      <c r="AU66" s="111" t="str">
        <f t="shared" si="29"/>
        <v/>
      </c>
      <c r="AV66" s="111" t="str">
        <f t="shared" si="30"/>
        <v/>
      </c>
      <c r="AW66" s="111" t="str">
        <f t="shared" si="33"/>
        <v/>
      </c>
      <c r="AX66" s="111" t="str">
        <f t="shared" si="33"/>
        <v/>
      </c>
      <c r="AY66" s="112" t="str">
        <f t="shared" si="32"/>
        <v/>
      </c>
      <c r="AZ66" s="113" t="str">
        <f t="shared" si="12"/>
        <v/>
      </c>
      <c r="BA66" s="114" t="str">
        <f t="shared" si="13"/>
        <v/>
      </c>
      <c r="BB66" s="695">
        <f>SUM('Defect (Total)'!BB66,Planned!CE66,Reconductor!CE66,CTGS!CE66,'Substation 2025$'!CE66*$BL$1,Comms!CA66*$BL$2)</f>
        <v>0</v>
      </c>
      <c r="BC66" s="695">
        <f>SUM('Defect (Total)'!BC66,Planned!CF66,Reconductor!CF66,CTGS!CF66,'Substation 2025$'!CF66*$BL$1,Comms!CB66*$BL$2)</f>
        <v>0</v>
      </c>
      <c r="BD66" s="141">
        <f>SUM('Defect (Total)'!BD66,Planned!CG66,Reconductor!CG66,CTGS!CG66,'Substation 2025$'!CG66*$BL$1,Comms!CC66*$BL$2)</f>
        <v>0</v>
      </c>
      <c r="BE66" s="141">
        <f>SUM('Defect (Total)'!BE66,Planned!CH66,Reconductor!CH66,CTGS!CH66,'Substation 2025$'!CH66*$BL$1,Comms!CD66*$BL$2)</f>
        <v>0</v>
      </c>
      <c r="BF66" s="141">
        <f>SUM('Defect (Total)'!BF66,Planned!CI66,Reconductor!CI66,CTGS!CI66,'Substation 2025$'!CI66*$BL$1,Comms!CE66*$BL$2)</f>
        <v>0</v>
      </c>
      <c r="BG66" s="141">
        <f>SUM('Defect (Total)'!BG66,Planned!CJ66,Reconductor!CJ66,CTGS!CJ66,'Substation 2025$'!CJ66*$BL$1,Comms!CF66*$BL$2)</f>
        <v>0</v>
      </c>
      <c r="BH66" s="141">
        <f>SUM('Defect (Total)'!BH66,Planned!CK66,Reconductor!CK66,CTGS!CK66,'Substation 2025$'!CK66*$BL$1,Comms!CG66*$BL$2)</f>
        <v>0</v>
      </c>
      <c r="BI66" s="292">
        <f>SUM('Defect (Total)'!BI66,Planned!CL66,Reconductor!CL66,CTGS!CL66,'Substation 2025$'!CL66*$BL$1,Comms!CH66*$BL$2)</f>
        <v>0</v>
      </c>
      <c r="BJ66" s="116" t="str">
        <f t="shared" si="16"/>
        <v/>
      </c>
      <c r="BK66" s="1013">
        <f>SUM('Defect (Total)'!BK66,Planned!CQ66,Reconductor!CQ66,CTGS!CQ66,'Substation 2025$'!CQ66*$BL$1,Comms!CM66*$BL$2)</f>
        <v>0</v>
      </c>
      <c r="BL66" s="1013">
        <f>SUM('Defect (Total)'!BL66,Planned!CR66,Reconductor!CR66,CTGS!CR66,'Substation 2025$'!CR66*$BL$1,Comms!CN66*$BL$2)</f>
        <v>0</v>
      </c>
      <c r="BM66" s="638">
        <f>SUM('Defect (Total)'!BM66,Planned!CS66,Reconductor!CS66,CTGS!CS66,'Substation 2025$'!CS66*$BL$1,Comms!CO66*$BL$2)</f>
        <v>0</v>
      </c>
      <c r="BN66" s="467">
        <f>SUM('Defect (Total)'!BN66,Planned!CT66,Reconductor!CT66,CTGS!CT66,'Substation 2025$'!CT66*$BL$1,Comms!CP66*$BL$2)</f>
        <v>0</v>
      </c>
      <c r="BO66" s="117">
        <f>SUM('Defect (Total)'!BO66,Planned!CU66,Reconductor!CU66,CTGS!CU66,'Substation 2025$'!CU66*$BL$1,Comms!CQ66*$BL$2)</f>
        <v>0</v>
      </c>
      <c r="BP66" s="117">
        <f>SUM('Defect (Total)'!BP66,Planned!CV66,Reconductor!CV66,CTGS!CV66,'Substation 2025$'!CV66*$BL$1,Comms!CR66*$BL$2)</f>
        <v>0</v>
      </c>
      <c r="BQ66" s="117">
        <f>SUM('Defect (Total)'!BQ66,Planned!CW66,Reconductor!CW66,CTGS!CW66,'Substation 2025$'!CW66*$BL$1,Comms!CS66*$BL$2)</f>
        <v>0</v>
      </c>
      <c r="BR66" s="118">
        <f>SUM('Defect (Total)'!BR66,Planned!CX66,Reconductor!CX66,CTGS!CX66,'Substation 2025$'!CX66*$BL$1,Comms!CT66*$BL$2)</f>
        <v>0</v>
      </c>
    </row>
    <row r="67" spans="1:70" x14ac:dyDescent="0.25">
      <c r="A67" s="142" t="s">
        <v>138</v>
      </c>
      <c r="B67" s="143" t="s">
        <v>135</v>
      </c>
      <c r="C67" s="65" t="s">
        <v>356</v>
      </c>
      <c r="D67" s="66">
        <f>SUM('Defect (Total)'!D67,Planned!D67,Reconductor!D67,CTGS!D67)</f>
        <v>6000816</v>
      </c>
      <c r="E67" s="67">
        <f>SUM('Defect (Total)'!E67,Planned!E67,Reconductor!E67,CTGS!E67)</f>
        <v>8941752</v>
      </c>
      <c r="F67" s="67">
        <f>SUM('Defect (Total)'!F67,Planned!F67,Reconductor!F67,CTGS!F67)</f>
        <v>9312325</v>
      </c>
      <c r="G67" s="67">
        <f>SUM('Defect (Total)'!G67,Planned!G67,Reconductor!G67,CTGS!G67)</f>
        <v>9096562.6696317289</v>
      </c>
      <c r="H67" s="67">
        <f>SUM('Defect (Total)'!H67,Planned!H67,Reconductor!H67,CTGS!H67)</f>
        <v>7993887</v>
      </c>
      <c r="I67" s="67">
        <f>SUM('Defect (Total)'!I67,Planned!I67,Reconductor!I67,CTGS!I67)</f>
        <v>10843459.009213889</v>
      </c>
      <c r="J67" s="67">
        <f>SUM('Defect (Total)'!J67,Planned!J67,Reconductor!J67,CTGS!J67)</f>
        <v>14652031.353963524</v>
      </c>
      <c r="K67" s="67">
        <f>SUM('Defect (Total)'!K67,Planned!K67,Reconductor!K67,CTGS!K67)</f>
        <v>9931849.696183987</v>
      </c>
      <c r="L67" s="67">
        <f>SUM('Defect (Total)'!L67,Planned!L67,Reconductor!L67,CTGS!L67)</f>
        <v>11920492.007472835</v>
      </c>
      <c r="M67" s="67">
        <f>SUM('Defect (Total)'!M67,Planned!M67,Reconductor!M67,CTGS!M67)</f>
        <v>11840264.782220045</v>
      </c>
      <c r="N67" s="67">
        <f>SUM('Defect (Total)'!N67,Planned!N67,Reconductor!N67,CTGS!N67)</f>
        <v>11997006.69359792</v>
      </c>
      <c r="O67" s="557">
        <f>SUM('Defect (Total)'!O67,Planned!O67,Reconductor!O67,CTGS!O67)</f>
        <v>8073835.8075959319</v>
      </c>
      <c r="P67" s="558">
        <f>SUM('Defect (Total)'!P67,Planned!P67,Reconductor!P67,CTGS!P67)</f>
        <v>11851674.605056327</v>
      </c>
      <c r="Q67" s="558">
        <f>SUM('Defect (Total)'!Q67,Planned!Q67,Reconductor!Q67,CTGS!Q67)</f>
        <v>12217823.92477252</v>
      </c>
      <c r="R67" s="558">
        <f>SUM('Defect (Total)'!R67,Planned!R67,Reconductor!R67,CTGS!R67)</f>
        <v>11708338.177780151</v>
      </c>
      <c r="S67" s="558">
        <f>SUM('Defect (Total)'!S67,Planned!S67,Reconductor!S67,CTGS!S67)</f>
        <v>10079642.389508436</v>
      </c>
      <c r="T67" s="558">
        <f>SUM('Defect (Total)'!T67,Planned!T67,Reconductor!T67,CTGS!T67)</f>
        <v>13458340.655329764</v>
      </c>
      <c r="U67" s="558">
        <f>SUM('Defect (Total)'!U67,Planned!U67,Reconductor!U67,CTGS!U67)</f>
        <v>18248928.84326303</v>
      </c>
      <c r="V67" s="558">
        <f>SUM('Defect (Total)'!V67,Planned!V67,Reconductor!V67,CTGS!V67)</f>
        <v>11911851.230062265</v>
      </c>
      <c r="W67" s="558">
        <f>SUM('Defect (Total)'!W67,Planned!W67,Reconductor!W67,CTGS!W67)</f>
        <v>13469288.561599255</v>
      </c>
      <c r="X67" s="674">
        <f>SUM('Defect (Total)'!X67,Planned!X67,Reconductor!X67,CTGS!X67)</f>
        <v>12591658.950475348</v>
      </c>
      <c r="Y67" s="674">
        <f>SUM('Defect (Total)'!Y67,Planned!Y67,Reconductor!Y67,CTGS!Y67)</f>
        <v>12326906.134016145</v>
      </c>
      <c r="Z67" s="68">
        <f>SUM('Defect (Total)'!Z67,Planned!Z67,Reconductor!Z67,CTGS!Z67)</f>
        <v>585</v>
      </c>
      <c r="AA67" s="69">
        <f>SUM('Defect (Total)'!AA67,Planned!AA67,Reconductor!AA67,CTGS!AA67)</f>
        <v>813</v>
      </c>
      <c r="AB67" s="69">
        <f>SUM('Defect (Total)'!AB67,Planned!AB67,Reconductor!AB67,CTGS!AB67)</f>
        <v>714</v>
      </c>
      <c r="AC67" s="69">
        <f>SUM('Defect (Total)'!AC67,Planned!AC67,Reconductor!AC67,CTGS!AC67)</f>
        <v>584</v>
      </c>
      <c r="AD67" s="69">
        <f>SUM('Defect (Total)'!AD67,Planned!AD67,Reconductor!AD67,CTGS!AD67)</f>
        <v>724</v>
      </c>
      <c r="AE67" s="69">
        <f>SUM('Defect (Total)'!AE67,Planned!AE67,Reconductor!AE67,CTGS!AE67)</f>
        <v>841</v>
      </c>
      <c r="AF67" s="69">
        <f>SUM('Defect (Total)'!AF67,Planned!AF67,Reconductor!AF67,CTGS!AF67)</f>
        <v>1035</v>
      </c>
      <c r="AG67" s="69">
        <f>SUM('Defect (Total)'!AG67,Planned!AG67,Reconductor!AG67,CTGS!AG67)</f>
        <v>916</v>
      </c>
      <c r="AH67" s="69">
        <f>SUM('Defect (Total)'!AH67,Planned!AH67,Reconductor!AH67,CTGS!AH67)</f>
        <v>876</v>
      </c>
      <c r="AI67" s="69">
        <f>SUM('Defect (Total)'!AI67,Planned!AI67,Reconductor!AI67,CTGS!AI67)</f>
        <v>572</v>
      </c>
      <c r="AJ67" s="69">
        <f>SUM('Defect (Total)'!AJ67,Planned!AJ67,Reconductor!AJ67,CTGS!AJ67)</f>
        <v>573</v>
      </c>
      <c r="AK67" s="70">
        <f t="shared" si="14"/>
        <v>878.4</v>
      </c>
      <c r="AL67" s="71">
        <f t="shared" si="21"/>
        <v>942.33333333333337</v>
      </c>
      <c r="AM67" s="72">
        <f t="shared" si="15"/>
        <v>876</v>
      </c>
      <c r="AN67" s="73">
        <f t="shared" si="22"/>
        <v>10257.805128205127</v>
      </c>
      <c r="AO67" s="74">
        <f t="shared" si="23"/>
        <v>10998.464944649446</v>
      </c>
      <c r="AP67" s="74">
        <f t="shared" si="24"/>
        <v>13042.471988795518</v>
      </c>
      <c r="AQ67" s="74">
        <f t="shared" si="25"/>
        <v>15576.30594115022</v>
      </c>
      <c r="AR67" s="74">
        <f t="shared" si="26"/>
        <v>11041.280386740331</v>
      </c>
      <c r="AS67" s="74">
        <f t="shared" si="27"/>
        <v>12893.530332002247</v>
      </c>
      <c r="AT67" s="74">
        <f t="shared" si="28"/>
        <v>14156.552032815</v>
      </c>
      <c r="AU67" s="74">
        <f t="shared" si="29"/>
        <v>10842.630672689942</v>
      </c>
      <c r="AV67" s="74">
        <f t="shared" si="30"/>
        <v>13607.867588439311</v>
      </c>
      <c r="AW67" s="74">
        <f t="shared" si="33"/>
        <v>20699.763605279801</v>
      </c>
      <c r="AX67" s="74">
        <f t="shared" si="33"/>
        <v>20937.184456540872</v>
      </c>
      <c r="AY67" s="75">
        <f t="shared" si="32"/>
        <v>13959.456804022235</v>
      </c>
      <c r="AZ67" s="76">
        <f t="shared" si="12"/>
        <v>14252.371609930993</v>
      </c>
      <c r="BA67" s="77">
        <f t="shared" si="13"/>
        <v>20699.763605279801</v>
      </c>
      <c r="BB67" s="688">
        <f>SUM('Defect (Total)'!BB67,Planned!CE67,Reconductor!CE67,CTGS!CE67,'Substation 2025$'!CE67*$BL$1,Comms!CA67*$BL$2)</f>
        <v>743.8</v>
      </c>
      <c r="BC67" s="688">
        <f>SUM('Defect (Total)'!BC67,Planned!CF67,Reconductor!CF67,CTGS!CF67,'Substation 2025$'!CF67*$BL$1,Comms!CB67*$BL$2)</f>
        <v>699.11463294818657</v>
      </c>
      <c r="BD67" s="78">
        <f>SUM('Defect (Total)'!BD67,Planned!CG67,Reconductor!CG67,CTGS!CG67,'Substation 2025$'!CG67*$BL$1,Comms!CC67*$BL$2)</f>
        <v>699.11463294818657</v>
      </c>
      <c r="BE67" s="78">
        <f>SUM('Defect (Total)'!BE67,Planned!CH67,Reconductor!CH67,CTGS!CH67,'Substation 2025$'!CH67*$BL$1,Comms!CD67*$BL$2)</f>
        <v>380.83841145478141</v>
      </c>
      <c r="BF67" s="78">
        <f>SUM('Defect (Total)'!BF67,Planned!CI67,Reconductor!CI67,CTGS!CI67,'Substation 2025$'!CI67*$BL$1,Comms!CE67*$BL$2)</f>
        <v>383.45269364301907</v>
      </c>
      <c r="BG67" s="78">
        <f>SUM('Defect (Total)'!BG67,Planned!CJ67,Reconductor!CJ67,CTGS!CJ67,'Substation 2025$'!CJ67*$BL$1,Comms!CF67*$BL$2)</f>
        <v>385.19554843517744</v>
      </c>
      <c r="BH67" s="78">
        <f>SUM('Defect (Total)'!BH67,Planned!CK67,Reconductor!CK67,CTGS!CK67,'Substation 2025$'!CK67*$BL$1,Comms!CG67*$BL$2)</f>
        <v>386.93840322733587</v>
      </c>
      <c r="BI67" s="285">
        <f>SUM('Defect (Total)'!BI67,Planned!CL67,Reconductor!CL67,CTGS!CL67,'Substation 2025$'!CL67*$BL$1,Comms!CH67*$BL$2)</f>
        <v>387.80983062341511</v>
      </c>
      <c r="BJ67" s="124">
        <f t="shared" si="16"/>
        <v>11916.459083564085</v>
      </c>
      <c r="BK67" s="974">
        <f>SUM('Defect (Total)'!BK67,Planned!CQ67,Reconductor!CQ67,CTGS!CQ67,'Substation 2025$'!CQ67*$BL$1,Comms!CM67*$BL$2)</f>
        <v>10133777.607218612</v>
      </c>
      <c r="BL67" s="974">
        <f>SUM('Defect (Total)'!BL67,Planned!CR67,Reconductor!CR67,CTGS!CR67,'Substation 2025$'!CR67*$BL$1,Comms!CN67*$BL$2)</f>
        <v>9337924.0150464866</v>
      </c>
      <c r="BM67" s="523">
        <f>SUM('Defect (Total)'!BM67,Planned!CS67,Reconductor!CS67,CTGS!CS67,'Substation 2025$'!CS67*$BL$1,Comms!CO67*$BL$2)</f>
        <v>9337924.0150464866</v>
      </c>
      <c r="BN67" s="415">
        <f>SUM('Defect (Total)'!BN67,Planned!CT67,Reconductor!CT67,CTGS!CT67,'Substation 2025$'!CT67*$BL$1,Comms!CP67*$BL$2)</f>
        <v>4514620.0533505855</v>
      </c>
      <c r="BO67" s="79">
        <f>SUM('Defect (Total)'!BO67,Planned!CU67,Reconductor!CU67,CTGS!CU67,'Substation 2025$'!CU67*$BL$1,Comms!CQ67*$BL$2)</f>
        <v>4561180.8406447368</v>
      </c>
      <c r="BP67" s="79">
        <f>SUM('Defect (Total)'!BP67,Planned!CV67,Reconductor!CV67,CTGS!CV67,'Substation 2025$'!CV67*$BL$1,Comms!CR67*$BL$2)</f>
        <v>4592221.365507503</v>
      </c>
      <c r="BQ67" s="79">
        <f>SUM('Defect (Total)'!BQ67,Planned!CW67,Reconductor!CW67,CTGS!CW67,'Substation 2025$'!CW67*$BL$1,Comms!CS67*$BL$2)</f>
        <v>4623261.8903702702</v>
      </c>
      <c r="BR67" s="80">
        <f>SUM('Defect (Total)'!BR67,Planned!CX67,Reconductor!CX67,CTGS!CX67,'Substation 2025$'!CX67*$BL$1,Comms!CT67*$BL$2)</f>
        <v>4638782.1528016534</v>
      </c>
    </row>
    <row r="68" spans="1:70" x14ac:dyDescent="0.25">
      <c r="A68" s="81" t="s">
        <v>138</v>
      </c>
      <c r="B68" s="82" t="s">
        <v>139</v>
      </c>
      <c r="C68" s="83" t="s">
        <v>357</v>
      </c>
      <c r="D68" s="84">
        <f>SUM('Defect (Total)'!D68,Planned!D68,Reconductor!D68,CTGS!D68)</f>
        <v>587123</v>
      </c>
      <c r="E68" s="85">
        <f>SUM('Defect (Total)'!E68,Planned!E68,Reconductor!E68,CTGS!E68)</f>
        <v>1166658</v>
      </c>
      <c r="F68" s="85">
        <f>SUM('Defect (Total)'!F68,Planned!F68,Reconductor!F68,CTGS!F68)</f>
        <v>934074</v>
      </c>
      <c r="G68" s="85">
        <f>SUM('Defect (Total)'!G68,Planned!G68,Reconductor!G68,CTGS!G68)</f>
        <v>2933777.4740999052</v>
      </c>
      <c r="H68" s="85">
        <f>SUM('Defect (Total)'!H68,Planned!H68,Reconductor!H68,CTGS!H68)</f>
        <v>724408</v>
      </c>
      <c r="I68" s="85">
        <f>SUM('Defect (Total)'!I68,Planned!I68,Reconductor!I68,CTGS!I68)</f>
        <v>801228.46534668386</v>
      </c>
      <c r="J68" s="85">
        <f>SUM('Defect (Total)'!J68,Planned!J68,Reconductor!J68,CTGS!J68)</f>
        <v>1363343.033293603</v>
      </c>
      <c r="K68" s="85">
        <f>SUM('Defect (Total)'!K68,Planned!K68,Reconductor!K68,CTGS!K68)</f>
        <v>1262600.1784691489</v>
      </c>
      <c r="L68" s="85">
        <f>SUM('Defect (Total)'!L68,Planned!L68,Reconductor!L68,CTGS!L68)</f>
        <v>1129862.4041227237</v>
      </c>
      <c r="M68" s="85">
        <f>SUM('Defect (Total)'!M68,Planned!M68,Reconductor!M68,CTGS!M68)</f>
        <v>1119365.1202139345</v>
      </c>
      <c r="N68" s="85">
        <f>SUM('Defect (Total)'!N68,Planned!N68,Reconductor!N68,CTGS!N68)</f>
        <v>1027137.1867614631</v>
      </c>
      <c r="O68" s="560">
        <f>SUM('Defect (Total)'!O68,Planned!O68,Reconductor!O68,CTGS!O68)</f>
        <v>789948.35050152289</v>
      </c>
      <c r="P68" s="561">
        <f>SUM('Defect (Total)'!P68,Planned!P68,Reconductor!P68,CTGS!P68)</f>
        <v>1546324.5895643057</v>
      </c>
      <c r="Q68" s="561">
        <f>SUM('Defect (Total)'!Q68,Planned!Q68,Reconductor!Q68,CTGS!Q68)</f>
        <v>1225510.4568094397</v>
      </c>
      <c r="R68" s="561">
        <f>SUM('Defect (Total)'!R68,Planned!R68,Reconductor!R68,CTGS!R68)</f>
        <v>3776114.1271295138</v>
      </c>
      <c r="S68" s="561">
        <f>SUM('Defect (Total)'!S68,Planned!S68,Reconductor!S68,CTGS!S68)</f>
        <v>913419.66481375392</v>
      </c>
      <c r="T68" s="561">
        <f>SUM('Defect (Total)'!T68,Planned!T68,Reconductor!T68,CTGS!T68)</f>
        <v>994443.34323762008</v>
      </c>
      <c r="U68" s="561">
        <f>SUM('Defect (Total)'!U68,Planned!U68,Reconductor!U68,CTGS!U68)</f>
        <v>1698027.3521461696</v>
      </c>
      <c r="V68" s="561">
        <f>SUM('Defect (Total)'!V68,Planned!V68,Reconductor!V68,CTGS!V68)</f>
        <v>1514310.6217921518</v>
      </c>
      <c r="W68" s="561">
        <f>SUM('Defect (Total)'!W68,Planned!W68,Reconductor!W68,CTGS!W68)</f>
        <v>1276662.301060305</v>
      </c>
      <c r="X68" s="675">
        <f>SUM('Defect (Total)'!X68,Planned!X68,Reconductor!X68,CTGS!X68)</f>
        <v>1190401.0673779</v>
      </c>
      <c r="Y68" s="675">
        <f>SUM('Defect (Total)'!Y68,Planned!Y68,Reconductor!Y68,CTGS!Y68)</f>
        <v>1055381.8974463525</v>
      </c>
      <c r="Z68" s="86">
        <f>SUM('Defect (Total)'!Z68,Planned!Z68,Reconductor!Z68,CTGS!Z68)</f>
        <v>19</v>
      </c>
      <c r="AA68" s="87">
        <f>SUM('Defect (Total)'!AA68,Planned!AA68,Reconductor!AA68,CTGS!AA68)</f>
        <v>36</v>
      </c>
      <c r="AB68" s="87">
        <f>SUM('Defect (Total)'!AB68,Planned!AB68,Reconductor!AB68,CTGS!AB68)</f>
        <v>24</v>
      </c>
      <c r="AC68" s="87">
        <f>SUM('Defect (Total)'!AC68,Planned!AC68,Reconductor!AC68,CTGS!AC68)</f>
        <v>15</v>
      </c>
      <c r="AD68" s="87">
        <f>SUM('Defect (Total)'!AD68,Planned!AD68,Reconductor!AD68,CTGS!AD68)</f>
        <v>15</v>
      </c>
      <c r="AE68" s="87">
        <f>SUM('Defect (Total)'!AE68,Planned!AE68,Reconductor!AE68,CTGS!AE68)</f>
        <v>18</v>
      </c>
      <c r="AF68" s="87">
        <f>SUM('Defect (Total)'!AF68,Planned!AF68,Reconductor!AF68,CTGS!AF68)</f>
        <v>21</v>
      </c>
      <c r="AG68" s="87">
        <f>SUM('Defect (Total)'!AG68,Planned!AG68,Reconductor!AG68,CTGS!AG68)</f>
        <v>24</v>
      </c>
      <c r="AH68" s="87">
        <f>SUM('Defect (Total)'!AH68,Planned!AH68,Reconductor!AH68,CTGS!AH68)</f>
        <v>23</v>
      </c>
      <c r="AI68" s="87">
        <f>SUM('Defect (Total)'!AI68,Planned!AI68,Reconductor!AI68,CTGS!AI68)</f>
        <v>20</v>
      </c>
      <c r="AJ68" s="87">
        <f>SUM('Defect (Total)'!AJ68,Planned!AJ68,Reconductor!AJ68,CTGS!AJ68)</f>
        <v>13</v>
      </c>
      <c r="AK68" s="88">
        <f t="shared" si="14"/>
        <v>20.2</v>
      </c>
      <c r="AL68" s="89">
        <f t="shared" si="21"/>
        <v>22.666666666666668</v>
      </c>
      <c r="AM68" s="90">
        <f t="shared" si="15"/>
        <v>23</v>
      </c>
      <c r="AN68" s="91">
        <f t="shared" si="22"/>
        <v>30901.21052631579</v>
      </c>
      <c r="AO68" s="92">
        <f t="shared" si="23"/>
        <v>32407.166666666668</v>
      </c>
      <c r="AP68" s="92">
        <f t="shared" si="24"/>
        <v>38919.75</v>
      </c>
      <c r="AQ68" s="92">
        <f t="shared" si="25"/>
        <v>195585.16493999367</v>
      </c>
      <c r="AR68" s="92">
        <f t="shared" si="26"/>
        <v>48293.866666666669</v>
      </c>
      <c r="AS68" s="92">
        <f t="shared" si="27"/>
        <v>44512.692519260214</v>
      </c>
      <c r="AT68" s="92">
        <f t="shared" si="28"/>
        <v>64921.096823504908</v>
      </c>
      <c r="AU68" s="92">
        <f t="shared" si="29"/>
        <v>52608.340769547875</v>
      </c>
      <c r="AV68" s="92">
        <f t="shared" si="30"/>
        <v>49124.452353161898</v>
      </c>
      <c r="AW68" s="92">
        <f t="shared" si="33"/>
        <v>55968.256010696721</v>
      </c>
      <c r="AX68" s="92">
        <f t="shared" si="33"/>
        <v>79010.552827804844</v>
      </c>
      <c r="AY68" s="93">
        <f t="shared" si="32"/>
        <v>53550.935862699</v>
      </c>
      <c r="AZ68" s="94">
        <f t="shared" si="12"/>
        <v>52415.338847847866</v>
      </c>
      <c r="BA68" s="95">
        <f t="shared" si="13"/>
        <v>55968.256010696721</v>
      </c>
      <c r="BB68" s="689">
        <f>SUM('Defect (Total)'!BB68,Planned!CE68,Reconductor!CE68,CTGS!CE68,'Substation 2025$'!CE68*$BL$1,Comms!CA68*$BL$2)</f>
        <v>22.333333333333336</v>
      </c>
      <c r="BC68" s="689">
        <f>SUM('Defect (Total)'!BC68,Planned!CF68,Reconductor!CF68,CTGS!CF68,'Substation 2025$'!CF68*$BL$1,Comms!CB68*$BL$2)</f>
        <v>21.901054067528218</v>
      </c>
      <c r="BD68" s="96">
        <f>SUM('Defect (Total)'!BD68,Planned!CG68,Reconductor!CG68,CTGS!CG68,'Substation 2025$'!CG68*$BL$1,Comms!CC68*$BL$2)</f>
        <v>21.901054067528218</v>
      </c>
      <c r="BE68" s="96">
        <f>SUM('Defect (Total)'!BE68,Planned!CH68,Reconductor!CH68,CTGS!CH68,'Substation 2025$'!CH68*$BL$1,Comms!CD68*$BL$2)</f>
        <v>17.28033810332235</v>
      </c>
      <c r="BF68" s="96">
        <f>SUM('Defect (Total)'!BF68,Planned!CI68,Reconductor!CI68,CTGS!CI68,'Substation 2025$'!CI68*$BL$1,Comms!CE68*$BL$2)</f>
        <v>17.295537418370245</v>
      </c>
      <c r="BG68" s="96">
        <f>SUM('Defect (Total)'!BG68,Planned!CJ68,Reconductor!CJ68,CTGS!CJ68,'Substation 2025$'!CJ68*$BL$1,Comms!CF68*$BL$2)</f>
        <v>17.30567029506884</v>
      </c>
      <c r="BH68" s="96">
        <f>SUM('Defect (Total)'!BH68,Planned!CK68,Reconductor!CK68,CTGS!CK68,'Substation 2025$'!CK68*$BL$1,Comms!CG68*$BL$2)</f>
        <v>17.315803171767435</v>
      </c>
      <c r="BI68" s="286">
        <f>SUM('Defect (Total)'!BI68,Planned!CL68,Reconductor!CL68,CTGS!CL68,'Substation 2025$'!CL68*$BL$1,Comms!CH68*$BL$2)</f>
        <v>17.320869610116734</v>
      </c>
      <c r="BJ68" s="99">
        <f t="shared" si="16"/>
        <v>41450.719126680306</v>
      </c>
      <c r="BK68" s="992">
        <f>SUM('Defect (Total)'!BK68,Planned!CQ68,Reconductor!CQ68,CTGS!CQ68,'Substation 2025$'!CQ68*$BL$1,Comms!CM68*$BL$2)</f>
        <v>1170609.2342686022</v>
      </c>
      <c r="BL68" s="992">
        <f>SUM('Defect (Total)'!BL68,Planned!CR68,Reconductor!CR68,CTGS!CR68,'Substation 2025$'!CR68*$BL$1,Comms!CN68*$BL$2)</f>
        <v>1158385.2210812829</v>
      </c>
      <c r="BM68" s="524">
        <f>SUM('Defect (Total)'!BM68,Planned!CS68,Reconductor!CS68,CTGS!CS68,'Substation 2025$'!CS68*$BL$1,Comms!CO68*$BL$2)</f>
        <v>1158385.2210812829</v>
      </c>
      <c r="BN68" s="416">
        <f>SUM('Defect (Total)'!BN68,Planned!CT68,Reconductor!CT68,CTGS!CT68,'Substation 2025$'!CT68*$BL$1,Comms!CP68*$BL$2)</f>
        <v>716589.43838974973</v>
      </c>
      <c r="BO68" s="97">
        <f>SUM('Defect (Total)'!BO68,Planned!CU68,Reconductor!CU68,CTGS!CU68,'Substation 2025$'!CU68*$BL$1,Comms!CQ68*$BL$2)</f>
        <v>717019.24532771995</v>
      </c>
      <c r="BP68" s="97">
        <f>SUM('Defect (Total)'!BP68,Planned!CV68,Reconductor!CV68,CTGS!CV68,'Substation 2025$'!CV68*$BL$1,Comms!CR68*$BL$2)</f>
        <v>717305.78328636661</v>
      </c>
      <c r="BQ68" s="97">
        <f>SUM('Defect (Total)'!BQ68,Planned!CW68,Reconductor!CW68,CTGS!CW68,'Substation 2025$'!CW68*$BL$1,Comms!CS68*$BL$2)</f>
        <v>717592.32124501339</v>
      </c>
      <c r="BR68" s="98">
        <f>SUM('Defect (Total)'!BR68,Planned!CX68,Reconductor!CX68,CTGS!CX68,'Substation 2025$'!CX68*$BL$1,Comms!CT68*$BL$2)</f>
        <v>717735.59022433672</v>
      </c>
    </row>
    <row r="69" spans="1:70" x14ac:dyDescent="0.25">
      <c r="A69" s="81" t="s">
        <v>138</v>
      </c>
      <c r="B69" s="82" t="s">
        <v>141</v>
      </c>
      <c r="C69" s="83" t="s">
        <v>358</v>
      </c>
      <c r="D69" s="84">
        <f>SUM('Defect (Total)'!D69,Planned!D69,Reconductor!D69,CTGS!D69)</f>
        <v>0</v>
      </c>
      <c r="E69" s="85">
        <f>SUM('Defect (Total)'!E69,Planned!E69,Reconductor!E69,CTGS!E69)</f>
        <v>0</v>
      </c>
      <c r="F69" s="85">
        <f>SUM('Defect (Total)'!F69,Planned!F69,Reconductor!F69,CTGS!F69)</f>
        <v>0</v>
      </c>
      <c r="G69" s="85">
        <f>SUM('Defect (Total)'!G69,Planned!G69,Reconductor!G69,CTGS!G69)</f>
        <v>0</v>
      </c>
      <c r="H69" s="85">
        <f>SUM('Defect (Total)'!H69,Planned!H69,Reconductor!H69,CTGS!H69)</f>
        <v>0</v>
      </c>
      <c r="I69" s="85">
        <f>SUM('Defect (Total)'!I69,Planned!I69,Reconductor!I69,CTGS!I69)</f>
        <v>0</v>
      </c>
      <c r="J69" s="85">
        <f>SUM('Defect (Total)'!J69,Planned!J69,Reconductor!J69,CTGS!J69)</f>
        <v>0</v>
      </c>
      <c r="K69" s="85">
        <f>SUM('Defect (Total)'!K69,Planned!K69,Reconductor!K69,CTGS!K69)</f>
        <v>0</v>
      </c>
      <c r="L69" s="85">
        <f>SUM('Defect (Total)'!L69,Planned!L69,Reconductor!L69,CTGS!L69)</f>
        <v>0</v>
      </c>
      <c r="M69" s="85">
        <f>SUM('Defect (Total)'!M69,Planned!M69,Reconductor!M69,CTGS!M69)</f>
        <v>0</v>
      </c>
      <c r="N69" s="85">
        <f>SUM('Defect (Total)'!N69,Planned!N69,Reconductor!N69,CTGS!N69)</f>
        <v>0</v>
      </c>
      <c r="O69" s="560">
        <f>SUM('Defect (Total)'!O69,Planned!O69,Reconductor!O69,CTGS!O69)</f>
        <v>0</v>
      </c>
      <c r="P69" s="561">
        <f>SUM('Defect (Total)'!P69,Planned!P69,Reconductor!P69,CTGS!P69)</f>
        <v>0</v>
      </c>
      <c r="Q69" s="561">
        <f>SUM('Defect (Total)'!Q69,Planned!Q69,Reconductor!Q69,CTGS!Q69)</f>
        <v>0</v>
      </c>
      <c r="R69" s="561">
        <f>SUM('Defect (Total)'!R69,Planned!R69,Reconductor!R69,CTGS!R69)</f>
        <v>0</v>
      </c>
      <c r="S69" s="561">
        <f>SUM('Defect (Total)'!S69,Planned!S69,Reconductor!S69,CTGS!S69)</f>
        <v>0</v>
      </c>
      <c r="T69" s="561">
        <f>SUM('Defect (Total)'!T69,Planned!T69,Reconductor!T69,CTGS!T69)</f>
        <v>0</v>
      </c>
      <c r="U69" s="561">
        <f>SUM('Defect (Total)'!U69,Planned!U69,Reconductor!U69,CTGS!U69)</f>
        <v>0</v>
      </c>
      <c r="V69" s="561">
        <f>SUM('Defect (Total)'!V69,Planned!V69,Reconductor!V69,CTGS!V69)</f>
        <v>0</v>
      </c>
      <c r="W69" s="561">
        <f>SUM('Defect (Total)'!W69,Planned!W69,Reconductor!W69,CTGS!W69)</f>
        <v>0</v>
      </c>
      <c r="X69" s="675">
        <f>SUM('Defect (Total)'!X69,Planned!X69,Reconductor!X69,CTGS!X69)</f>
        <v>0</v>
      </c>
      <c r="Y69" s="675">
        <f>SUM('Defect (Total)'!Y69,Planned!Y69,Reconductor!Y69,CTGS!Y69)</f>
        <v>0</v>
      </c>
      <c r="Z69" s="86">
        <f>SUM('Defect (Total)'!Z69,Planned!Z69,Reconductor!Z69,CTGS!Z69)</f>
        <v>0</v>
      </c>
      <c r="AA69" s="87">
        <f>SUM('Defect (Total)'!AA69,Planned!AA69,Reconductor!AA69,CTGS!AA69)</f>
        <v>0</v>
      </c>
      <c r="AB69" s="87">
        <f>SUM('Defect (Total)'!AB69,Planned!AB69,Reconductor!AB69,CTGS!AB69)</f>
        <v>0</v>
      </c>
      <c r="AC69" s="87">
        <f>SUM('Defect (Total)'!AC69,Planned!AC69,Reconductor!AC69,CTGS!AC69)</f>
        <v>0</v>
      </c>
      <c r="AD69" s="87">
        <f>SUM('Defect (Total)'!AD69,Planned!AD69,Reconductor!AD69,CTGS!AD69)</f>
        <v>0</v>
      </c>
      <c r="AE69" s="87">
        <f>SUM('Defect (Total)'!AE69,Planned!AE69,Reconductor!AE69,CTGS!AE69)</f>
        <v>0</v>
      </c>
      <c r="AF69" s="87">
        <f>SUM('Defect (Total)'!AF69,Planned!AF69,Reconductor!AF69,CTGS!AF69)</f>
        <v>0</v>
      </c>
      <c r="AG69" s="87">
        <f>SUM('Defect (Total)'!AG69,Planned!AG69,Reconductor!AG69,CTGS!AG69)</f>
        <v>0</v>
      </c>
      <c r="AH69" s="87">
        <f>SUM('Defect (Total)'!AH69,Planned!AH69,Reconductor!AH69,CTGS!AH69)</f>
        <v>0</v>
      </c>
      <c r="AI69" s="87">
        <f>SUM('Defect (Total)'!AI69,Planned!AI69,Reconductor!AI69,CTGS!AI69)</f>
        <v>0</v>
      </c>
      <c r="AJ69" s="87">
        <f>SUM('Defect (Total)'!AJ69,Planned!AJ69,Reconductor!AJ69,CTGS!AJ69)</f>
        <v>0</v>
      </c>
      <c r="AK69" s="88">
        <f t="shared" si="14"/>
        <v>0</v>
      </c>
      <c r="AL69" s="89">
        <f t="shared" si="21"/>
        <v>0</v>
      </c>
      <c r="AM69" s="90">
        <f t="shared" si="15"/>
        <v>0</v>
      </c>
      <c r="AN69" s="91" t="str">
        <f t="shared" si="22"/>
        <v/>
      </c>
      <c r="AO69" s="92" t="str">
        <f t="shared" si="23"/>
        <v/>
      </c>
      <c r="AP69" s="92" t="str">
        <f t="shared" si="24"/>
        <v/>
      </c>
      <c r="AQ69" s="92" t="str">
        <f t="shared" si="25"/>
        <v/>
      </c>
      <c r="AR69" s="92" t="str">
        <f t="shared" si="26"/>
        <v/>
      </c>
      <c r="AS69" s="92" t="str">
        <f t="shared" si="27"/>
        <v/>
      </c>
      <c r="AT69" s="92" t="str">
        <f t="shared" si="28"/>
        <v/>
      </c>
      <c r="AU69" s="92" t="str">
        <f t="shared" si="29"/>
        <v/>
      </c>
      <c r="AV69" s="92" t="str">
        <f t="shared" si="30"/>
        <v/>
      </c>
      <c r="AW69" s="92" t="str">
        <f t="shared" si="33"/>
        <v/>
      </c>
      <c r="AX69" s="92" t="str">
        <f t="shared" si="33"/>
        <v/>
      </c>
      <c r="AY69" s="93" t="str">
        <f t="shared" si="32"/>
        <v/>
      </c>
      <c r="AZ69" s="94" t="str">
        <f t="shared" si="12"/>
        <v/>
      </c>
      <c r="BA69" s="95" t="str">
        <f t="shared" si="13"/>
        <v/>
      </c>
      <c r="BB69" s="689">
        <f>SUM('Defect (Total)'!BB69,Planned!CE69,Reconductor!CE69,CTGS!CE69,'Substation 2025$'!CE69*$BL$1,Comms!CA69*$BL$2)</f>
        <v>0</v>
      </c>
      <c r="BC69" s="689">
        <f>SUM('Defect (Total)'!BC69,Planned!CF69,Reconductor!CF69,CTGS!CF69,'Substation 2025$'!CF69*$BL$1,Comms!CB69*$BL$2)</f>
        <v>0</v>
      </c>
      <c r="BD69" s="96">
        <f>SUM('Defect (Total)'!BD69,Planned!CG69,Reconductor!CG69,CTGS!CG69,'Substation 2025$'!CG69*$BL$1,Comms!CC69*$BL$2)</f>
        <v>0</v>
      </c>
      <c r="BE69" s="96">
        <f>SUM('Defect (Total)'!BE69,Planned!CH69,Reconductor!CH69,CTGS!CH69,'Substation 2025$'!CH69*$BL$1,Comms!CD69*$BL$2)</f>
        <v>0</v>
      </c>
      <c r="BF69" s="96">
        <f>SUM('Defect (Total)'!BF69,Planned!CI69,Reconductor!CI69,CTGS!CI69,'Substation 2025$'!CI69*$BL$1,Comms!CE69*$BL$2)</f>
        <v>0</v>
      </c>
      <c r="BG69" s="96">
        <f>SUM('Defect (Total)'!BG69,Planned!CJ69,Reconductor!CJ69,CTGS!CJ69,'Substation 2025$'!CJ69*$BL$1,Comms!CF69*$BL$2)</f>
        <v>0</v>
      </c>
      <c r="BH69" s="96">
        <f>SUM('Defect (Total)'!BH69,Planned!CK69,Reconductor!CK69,CTGS!CK69,'Substation 2025$'!CK69*$BL$1,Comms!CG69*$BL$2)</f>
        <v>0</v>
      </c>
      <c r="BI69" s="286">
        <f>SUM('Defect (Total)'!BI69,Planned!CL69,Reconductor!CL69,CTGS!CL69,'Substation 2025$'!CL69*$BL$1,Comms!CH69*$BL$2)</f>
        <v>0</v>
      </c>
      <c r="BJ69" s="99" t="str">
        <f t="shared" si="16"/>
        <v/>
      </c>
      <c r="BK69" s="992">
        <f>SUM('Defect (Total)'!BK69,Planned!CQ69,Reconductor!CQ69,CTGS!CQ69,'Substation 2025$'!CQ69*$BL$1,Comms!CM69*$BL$2)</f>
        <v>0</v>
      </c>
      <c r="BL69" s="992">
        <f>SUM('Defect (Total)'!BL69,Planned!CR69,Reconductor!CR69,CTGS!CR69,'Substation 2025$'!CR69*$BL$1,Comms!CN69*$BL$2)</f>
        <v>0</v>
      </c>
      <c r="BM69" s="524">
        <f>SUM('Defect (Total)'!BM69,Planned!CS69,Reconductor!CS69,CTGS!CS69,'Substation 2025$'!CS69*$BL$1,Comms!CO69*$BL$2)</f>
        <v>0</v>
      </c>
      <c r="BN69" s="416">
        <f>SUM('Defect (Total)'!BN69,Planned!CT69,Reconductor!CT69,CTGS!CT69,'Substation 2025$'!CT69*$BL$1,Comms!CP69*$BL$2)</f>
        <v>0</v>
      </c>
      <c r="BO69" s="97">
        <f>SUM('Defect (Total)'!BO69,Planned!CU69,Reconductor!CU69,CTGS!CU69,'Substation 2025$'!CU69*$BL$1,Comms!CQ69*$BL$2)</f>
        <v>0</v>
      </c>
      <c r="BP69" s="97">
        <f>SUM('Defect (Total)'!BP69,Planned!CV69,Reconductor!CV69,CTGS!CV69,'Substation 2025$'!CV69*$BL$1,Comms!CR69*$BL$2)</f>
        <v>0</v>
      </c>
      <c r="BQ69" s="97">
        <f>SUM('Defect (Total)'!BQ69,Planned!CW69,Reconductor!CW69,CTGS!CW69,'Substation 2025$'!CW69*$BL$1,Comms!CS69*$BL$2)</f>
        <v>0</v>
      </c>
      <c r="BR69" s="98">
        <f>SUM('Defect (Total)'!BR69,Planned!CX69,Reconductor!CX69,CTGS!CX69,'Substation 2025$'!CX69*$BL$1,Comms!CT69*$BL$2)</f>
        <v>0</v>
      </c>
    </row>
    <row r="70" spans="1:70" x14ac:dyDescent="0.25">
      <c r="A70" s="81" t="s">
        <v>138</v>
      </c>
      <c r="B70" s="82" t="s">
        <v>143</v>
      </c>
      <c r="C70" s="83" t="s">
        <v>359</v>
      </c>
      <c r="D70" s="84">
        <f>SUM('Defect (Total)'!D70,Planned!D70,Reconductor!D70,CTGS!D70)</f>
        <v>2210010</v>
      </c>
      <c r="E70" s="85">
        <f>SUM('Defect (Total)'!E70,Planned!E70,Reconductor!E70,CTGS!E70)</f>
        <v>6092017</v>
      </c>
      <c r="F70" s="85">
        <f>SUM('Defect (Total)'!F70,Planned!F70,Reconductor!F70,CTGS!F70)</f>
        <v>3875970</v>
      </c>
      <c r="G70" s="85">
        <f>SUM('Defect (Total)'!G70,Planned!G70,Reconductor!G70,CTGS!G70)</f>
        <v>3568750.4457187224</v>
      </c>
      <c r="H70" s="85">
        <f>SUM('Defect (Total)'!H70,Planned!H70,Reconductor!H70,CTGS!H70)</f>
        <v>3431686</v>
      </c>
      <c r="I70" s="85">
        <f>SUM('Defect (Total)'!I70,Planned!I70,Reconductor!I70,CTGS!I70)</f>
        <v>4691215.8412397569</v>
      </c>
      <c r="J70" s="85">
        <f>SUM('Defect (Total)'!J70,Planned!J70,Reconductor!J70,CTGS!J70)</f>
        <v>8154741.8973542023</v>
      </c>
      <c r="K70" s="85">
        <f>SUM('Defect (Total)'!K70,Planned!K70,Reconductor!K70,CTGS!K70)</f>
        <v>5212263.7938813874</v>
      </c>
      <c r="L70" s="85">
        <f>SUM('Defect (Total)'!L70,Planned!L70,Reconductor!L70,CTGS!L70)</f>
        <v>5677914.2130857818</v>
      </c>
      <c r="M70" s="85">
        <f>SUM('Defect (Total)'!M70,Planned!M70,Reconductor!M70,CTGS!M70)</f>
        <v>6931647.4131537406</v>
      </c>
      <c r="N70" s="85">
        <f>SUM('Defect (Total)'!N70,Planned!N70,Reconductor!N70,CTGS!N70)</f>
        <v>9894472.3679171093</v>
      </c>
      <c r="O70" s="560">
        <f>SUM('Defect (Total)'!O70,Planned!O70,Reconductor!O70,CTGS!O70)</f>
        <v>2973471.9200097267</v>
      </c>
      <c r="P70" s="561">
        <f>SUM('Defect (Total)'!P70,Planned!P70,Reconductor!P70,CTGS!P70)</f>
        <v>8074547.7141919648</v>
      </c>
      <c r="Q70" s="561">
        <f>SUM('Defect (Total)'!Q70,Planned!Q70,Reconductor!Q70,CTGS!Q70)</f>
        <v>5085294.9180468405</v>
      </c>
      <c r="R70" s="561">
        <f>SUM('Defect (Total)'!R70,Planned!R70,Reconductor!R70,CTGS!R70)</f>
        <v>4593398.4745767778</v>
      </c>
      <c r="S70" s="561">
        <f>SUM('Defect (Total)'!S70,Planned!S70,Reconductor!S70,CTGS!S70)</f>
        <v>4327077.3871437814</v>
      </c>
      <c r="T70" s="561">
        <f>SUM('Defect (Total)'!T70,Planned!T70,Reconductor!T70,CTGS!T70)</f>
        <v>5822494.5402971711</v>
      </c>
      <c r="U70" s="561">
        <f>SUM('Defect (Total)'!U70,Planned!U70,Reconductor!U70,CTGS!U70)</f>
        <v>10156632.96268722</v>
      </c>
      <c r="V70" s="561">
        <f>SUM('Defect (Total)'!V70,Planned!V70,Reconductor!V70,CTGS!V70)</f>
        <v>6251374.3948833952</v>
      </c>
      <c r="W70" s="561">
        <f>SUM('Defect (Total)'!W70,Planned!W70,Reconductor!W70,CTGS!W70)</f>
        <v>6415629.9015271543</v>
      </c>
      <c r="X70" s="675">
        <f>SUM('Defect (Total)'!X70,Planned!X70,Reconductor!X70,CTGS!X70)</f>
        <v>7371536.1773363519</v>
      </c>
      <c r="Y70" s="675">
        <f>SUM('Defect (Total)'!Y70,Planned!Y70,Reconductor!Y70,CTGS!Y70)</f>
        <v>10166555.311669348</v>
      </c>
      <c r="Z70" s="86">
        <f>SUM('Defect (Total)'!Z70,Planned!Z70,Reconductor!Z70,CTGS!Z70)</f>
        <v>153</v>
      </c>
      <c r="AA70" s="87">
        <f>SUM('Defect (Total)'!AA70,Planned!AA70,Reconductor!AA70,CTGS!AA70)</f>
        <v>282</v>
      </c>
      <c r="AB70" s="87">
        <f>SUM('Defect (Total)'!AB70,Planned!AB70,Reconductor!AB70,CTGS!AB70)</f>
        <v>195</v>
      </c>
      <c r="AC70" s="87">
        <f>SUM('Defect (Total)'!AC70,Planned!AC70,Reconductor!AC70,CTGS!AC70)</f>
        <v>174</v>
      </c>
      <c r="AD70" s="87">
        <f>SUM('Defect (Total)'!AD70,Planned!AD70,Reconductor!AD70,CTGS!AD70)</f>
        <v>193</v>
      </c>
      <c r="AE70" s="87">
        <f>SUM('Defect (Total)'!AE70,Planned!AE70,Reconductor!AE70,CTGS!AE70)</f>
        <v>254</v>
      </c>
      <c r="AF70" s="87">
        <f>SUM('Defect (Total)'!AF70,Planned!AF70,Reconductor!AF70,CTGS!AF70)</f>
        <v>353</v>
      </c>
      <c r="AG70" s="87">
        <f>SUM('Defect (Total)'!AG70,Planned!AG70,Reconductor!AG70,CTGS!AG70)</f>
        <v>331</v>
      </c>
      <c r="AH70" s="87">
        <f>SUM('Defect (Total)'!AH70,Planned!AH70,Reconductor!AH70,CTGS!AH70)</f>
        <v>257</v>
      </c>
      <c r="AI70" s="87">
        <f>SUM('Defect (Total)'!AI70,Planned!AI70,Reconductor!AI70,CTGS!AI70)</f>
        <v>222</v>
      </c>
      <c r="AJ70" s="87">
        <f>SUM('Defect (Total)'!AJ70,Planned!AJ70,Reconductor!AJ70,CTGS!AJ70)</f>
        <v>191</v>
      </c>
      <c r="AK70" s="88">
        <f t="shared" si="14"/>
        <v>277.60000000000002</v>
      </c>
      <c r="AL70" s="89">
        <f t="shared" si="21"/>
        <v>313.66666666666669</v>
      </c>
      <c r="AM70" s="90">
        <f t="shared" si="15"/>
        <v>257</v>
      </c>
      <c r="AN70" s="91">
        <f t="shared" si="22"/>
        <v>14444.509803921568</v>
      </c>
      <c r="AO70" s="92">
        <f t="shared" si="23"/>
        <v>21602.897163120568</v>
      </c>
      <c r="AP70" s="92">
        <f t="shared" si="24"/>
        <v>19876.76923076923</v>
      </c>
      <c r="AQ70" s="92">
        <f t="shared" si="25"/>
        <v>20510.060032866222</v>
      </c>
      <c r="AR70" s="92">
        <f t="shared" si="26"/>
        <v>17780.756476683939</v>
      </c>
      <c r="AS70" s="92">
        <f t="shared" si="27"/>
        <v>18469.353705668334</v>
      </c>
      <c r="AT70" s="92">
        <f t="shared" si="28"/>
        <v>23101.251833864597</v>
      </c>
      <c r="AU70" s="92">
        <f t="shared" si="29"/>
        <v>15747.020525321412</v>
      </c>
      <c r="AV70" s="92">
        <f t="shared" si="30"/>
        <v>22093.051412785142</v>
      </c>
      <c r="AW70" s="92">
        <f t="shared" si="33"/>
        <v>31223.636996188019</v>
      </c>
      <c r="AX70" s="92">
        <f t="shared" si="33"/>
        <v>51803.520250874921</v>
      </c>
      <c r="AY70" s="93">
        <f t="shared" si="32"/>
        <v>21642.754522734558</v>
      </c>
      <c r="AZ70" s="94">
        <f t="shared" si="12"/>
        <v>22002.253605087542</v>
      </c>
      <c r="BA70" s="95">
        <f t="shared" si="13"/>
        <v>31223.636996188019</v>
      </c>
      <c r="BB70" s="689">
        <f>SUM('Defect (Total)'!BB70,Planned!CE70,Reconductor!CE70,CTGS!CE70,'Substation 2025$'!CE70*$BL$1,Comms!CA70*$BL$2)</f>
        <v>254.86666666666665</v>
      </c>
      <c r="BC70" s="689">
        <f>SUM('Defect (Total)'!BC70,Planned!CF70,Reconductor!CF70,CTGS!CF70,'Substation 2025$'!CF70*$BL$1,Comms!CB70*$BL$2)</f>
        <v>224.89137525497554</v>
      </c>
      <c r="BD70" s="96">
        <f>SUM('Defect (Total)'!BD70,Planned!CG70,Reconductor!CG70,CTGS!CG70,'Substation 2025$'!CG70*$BL$1,Comms!CC70*$BL$2)</f>
        <v>224.89137525497554</v>
      </c>
      <c r="BE70" s="96">
        <f>SUM('Defect (Total)'!BE70,Planned!CH70,Reconductor!CH70,CTGS!CH70,'Substation 2025$'!CH70*$BL$1,Comms!CD70*$BL$2)</f>
        <v>127.82310309867987</v>
      </c>
      <c r="BF70" s="96">
        <f>SUM('Defect (Total)'!BF70,Planned!CI70,Reconductor!CI70,CTGS!CI70,'Substation 2025$'!CI70*$BL$1,Comms!CE70*$BL$2)</f>
        <v>129.38103289108892</v>
      </c>
      <c r="BG70" s="96">
        <f>SUM('Defect (Total)'!BG70,Planned!CJ70,Reconductor!CJ70,CTGS!CJ70,'Substation 2025$'!CJ70*$BL$1,Comms!CF70*$BL$2)</f>
        <v>130.41965275269496</v>
      </c>
      <c r="BH70" s="96">
        <f>SUM('Defect (Total)'!BH70,Planned!CK70,Reconductor!CK70,CTGS!CK70,'Substation 2025$'!CK70*$BL$1,Comms!CG70*$BL$2)</f>
        <v>131.45827261430099</v>
      </c>
      <c r="BI70" s="286">
        <f>SUM('Defect (Total)'!BI70,Planned!CL70,Reconductor!CL70,CTGS!CL70,'Substation 2025$'!CL70*$BL$1,Comms!CH70*$BL$2)</f>
        <v>131.97758254510401</v>
      </c>
      <c r="BJ70" s="99">
        <f t="shared" si="16"/>
        <v>18857.257675718138</v>
      </c>
      <c r="BK70" s="992">
        <f>SUM('Defect (Total)'!BK70,Planned!CQ70,Reconductor!CQ70,CTGS!CQ70,'Substation 2025$'!CQ70*$BL$1,Comms!CM70*$BL$2)</f>
        <v>5456705.0306706382</v>
      </c>
      <c r="BL70" s="992">
        <f>SUM('Defect (Total)'!BL70,Planned!CR70,Reconductor!CR70,CTGS!CR70,'Substation 2025$'!CR70*$BL$1,Comms!CN70*$BL$2)</f>
        <v>4769452.495462589</v>
      </c>
      <c r="BM70" s="524">
        <f>SUM('Defect (Total)'!BM70,Planned!CS70,Reconductor!CS70,CTGS!CS70,'Substation 2025$'!CS70*$BL$1,Comms!CO70*$BL$2)</f>
        <v>4769452.495462589</v>
      </c>
      <c r="BN70" s="416">
        <f>SUM('Defect (Total)'!BN70,Planned!CT70,Reconductor!CT70,CTGS!CT70,'Substation 2025$'!CT70*$BL$1,Comms!CP70*$BL$2)</f>
        <v>2400670.5675090607</v>
      </c>
      <c r="BO70" s="97">
        <f>SUM('Defect (Total)'!BO70,Planned!CU70,Reconductor!CU70,CTGS!CU70,'Substation 2025$'!CU70*$BL$1,Comms!CQ70*$BL$2)</f>
        <v>2436389.6931316955</v>
      </c>
      <c r="BP70" s="97">
        <f>SUM('Defect (Total)'!BP70,Planned!CV70,Reconductor!CV70,CTGS!CV70,'Substation 2025$'!CV70*$BL$1,Comms!CR70*$BL$2)</f>
        <v>2460202.443546785</v>
      </c>
      <c r="BQ70" s="97">
        <f>SUM('Defect (Total)'!BQ70,Planned!CW70,Reconductor!CW70,CTGS!CW70,'Substation 2025$'!CW70*$BL$1,Comms!CS70*$BL$2)</f>
        <v>2484015.1939618746</v>
      </c>
      <c r="BR70" s="98">
        <f>SUM('Defect (Total)'!BR70,Planned!CX70,Reconductor!CX70,CTGS!CX70,'Substation 2025$'!CX70*$BL$1,Comms!CT70*$BL$2)</f>
        <v>2495921.5691694194</v>
      </c>
    </row>
    <row r="71" spans="1:70" x14ac:dyDescent="0.25">
      <c r="A71" s="81" t="s">
        <v>138</v>
      </c>
      <c r="B71" s="82" t="s">
        <v>145</v>
      </c>
      <c r="C71" s="83" t="s">
        <v>360</v>
      </c>
      <c r="D71" s="84">
        <f>SUM('Defect (Total)'!D71,Planned!D71,Reconductor!D71,CTGS!D71)</f>
        <v>12715638</v>
      </c>
      <c r="E71" s="85">
        <f>SUM('Defect (Total)'!E71,Planned!E71,Reconductor!E71,CTGS!E71)</f>
        <v>15309940</v>
      </c>
      <c r="F71" s="85">
        <f>SUM('Defect (Total)'!F71,Planned!F71,Reconductor!F71,CTGS!F71)</f>
        <v>15988364</v>
      </c>
      <c r="G71" s="85">
        <f>SUM('Defect (Total)'!G71,Planned!G71,Reconductor!G71,CTGS!G71)</f>
        <v>16245684.329737073</v>
      </c>
      <c r="H71" s="85">
        <f>SUM('Defect (Total)'!H71,Planned!H71,Reconductor!H71,CTGS!H71)</f>
        <v>17304723</v>
      </c>
      <c r="I71" s="85">
        <f>SUM('Defect (Total)'!I71,Planned!I71,Reconductor!I71,CTGS!I71)</f>
        <v>20738184.040523149</v>
      </c>
      <c r="J71" s="85">
        <f>SUM('Defect (Total)'!J71,Planned!J71,Reconductor!J71,CTGS!J71)</f>
        <v>30859728.625410751</v>
      </c>
      <c r="K71" s="85">
        <f>SUM('Defect (Total)'!K71,Planned!K71,Reconductor!K71,CTGS!K71)</f>
        <v>21468528.212147921</v>
      </c>
      <c r="L71" s="85">
        <f>SUM('Defect (Total)'!L71,Planned!L71,Reconductor!L71,CTGS!L71)</f>
        <v>26617056.580464449</v>
      </c>
      <c r="M71" s="85">
        <f>SUM('Defect (Total)'!M71,Planned!M71,Reconductor!M71,CTGS!M71)</f>
        <v>27122530.944834404</v>
      </c>
      <c r="N71" s="85">
        <f>SUM('Defect (Total)'!N71,Planned!N71,Reconductor!N71,CTGS!N71)</f>
        <v>26816914.637487449</v>
      </c>
      <c r="O71" s="560">
        <f>SUM('Defect (Total)'!O71,Planned!O71,Reconductor!O71,CTGS!O71)</f>
        <v>17108335.499843277</v>
      </c>
      <c r="P71" s="561">
        <f>SUM('Defect (Total)'!P71,Planned!P71,Reconductor!P71,CTGS!P71)</f>
        <v>20292267.902636543</v>
      </c>
      <c r="Q71" s="561">
        <f>SUM('Defect (Total)'!Q71,Planned!Q71,Reconductor!Q71,CTGS!Q71)</f>
        <v>20976825.464872804</v>
      </c>
      <c r="R71" s="561">
        <f>SUM('Defect (Total)'!R71,Planned!R71,Reconductor!R71,CTGS!R71)</f>
        <v>20910092.41293183</v>
      </c>
      <c r="S71" s="561">
        <f>SUM('Defect (Total)'!S71,Planned!S71,Reconductor!S71,CTGS!S71)</f>
        <v>21819850.529473528</v>
      </c>
      <c r="T71" s="561">
        <f>SUM('Defect (Total)'!T71,Planned!T71,Reconductor!T71,CTGS!T71)</f>
        <v>25739161.752087209</v>
      </c>
      <c r="U71" s="561">
        <f>SUM('Defect (Total)'!U71,Planned!U71,Reconductor!U71,CTGS!U71)</f>
        <v>38435420.878019638</v>
      </c>
      <c r="V71" s="561">
        <f>SUM('Defect (Total)'!V71,Planned!V71,Reconductor!V71,CTGS!V71)</f>
        <v>25748468.010924201</v>
      </c>
      <c r="W71" s="561">
        <f>SUM('Defect (Total)'!W71,Planned!W71,Reconductor!W71,CTGS!W71)</f>
        <v>30075337.118463065</v>
      </c>
      <c r="X71" s="675">
        <f>SUM('Defect (Total)'!X71,Planned!X71,Reconductor!X71,CTGS!X71)</f>
        <v>28843751.876555093</v>
      </c>
      <c r="Y71" s="675">
        <f>SUM('Defect (Total)'!Y71,Planned!Y71,Reconductor!Y71,CTGS!Y71)</f>
        <v>27554339.009966247</v>
      </c>
      <c r="Z71" s="86">
        <f>SUM('Defect (Total)'!Z71,Planned!Z71,Reconductor!Z71,CTGS!Z71)</f>
        <v>410</v>
      </c>
      <c r="AA71" s="87">
        <f>SUM('Defect (Total)'!AA71,Planned!AA71,Reconductor!AA71,CTGS!AA71)</f>
        <v>515</v>
      </c>
      <c r="AB71" s="87">
        <f>SUM('Defect (Total)'!AB71,Planned!AB71,Reconductor!AB71,CTGS!AB71)</f>
        <v>484</v>
      </c>
      <c r="AC71" s="87">
        <f>SUM('Defect (Total)'!AC71,Planned!AC71,Reconductor!AC71,CTGS!AC71)</f>
        <v>381</v>
      </c>
      <c r="AD71" s="87">
        <f>SUM('Defect (Total)'!AD71,Planned!AD71,Reconductor!AD71,CTGS!AD71)</f>
        <v>494</v>
      </c>
      <c r="AE71" s="87">
        <f>SUM('Defect (Total)'!AE71,Planned!AE71,Reconductor!AE71,CTGS!AE71)</f>
        <v>550</v>
      </c>
      <c r="AF71" s="87">
        <f>SUM('Defect (Total)'!AF71,Planned!AF71,Reconductor!AF71,CTGS!AF71)</f>
        <v>776</v>
      </c>
      <c r="AG71" s="87">
        <f>SUM('Defect (Total)'!AG71,Planned!AG71,Reconductor!AG71,CTGS!AG71)</f>
        <v>715</v>
      </c>
      <c r="AH71" s="87">
        <f>SUM('Defect (Total)'!AH71,Planned!AH71,Reconductor!AH71,CTGS!AH71)</f>
        <v>660</v>
      </c>
      <c r="AI71" s="87">
        <f>SUM('Defect (Total)'!AI71,Planned!AI71,Reconductor!AI71,CTGS!AI71)</f>
        <v>471</v>
      </c>
      <c r="AJ71" s="87">
        <f>SUM('Defect (Total)'!AJ71,Planned!AJ71,Reconductor!AJ71,CTGS!AJ71)</f>
        <v>344</v>
      </c>
      <c r="AK71" s="88">
        <f t="shared" si="14"/>
        <v>639</v>
      </c>
      <c r="AL71" s="89">
        <f t="shared" ref="AL71:AL102" si="34">IFERROR(IF($AM$4="N",SUM(AF71:AH71)/3,SUM(AG71:AI71)/3),"")</f>
        <v>717</v>
      </c>
      <c r="AM71" s="90">
        <f t="shared" si="15"/>
        <v>660</v>
      </c>
      <c r="AN71" s="91">
        <f t="shared" ref="AN71:AN102" si="35">IFERROR(D71/Z71,"")</f>
        <v>31013.751219512196</v>
      </c>
      <c r="AO71" s="92">
        <f t="shared" ref="AO71:AO102" si="36">IFERROR(E71/AA71,"")</f>
        <v>29728.038834951458</v>
      </c>
      <c r="AP71" s="92">
        <f t="shared" ref="AP71:AP102" si="37">IFERROR(F71/AB71,"")</f>
        <v>33033.809917355371</v>
      </c>
      <c r="AQ71" s="92">
        <f t="shared" ref="AQ71:AQ102" si="38">IFERROR(G71/AC71,"")</f>
        <v>42639.591416632735</v>
      </c>
      <c r="AR71" s="92">
        <f t="shared" ref="AR71:AR102" si="39">IFERROR(H71/AD71,"")</f>
        <v>35029.803643724699</v>
      </c>
      <c r="AS71" s="92">
        <f t="shared" ref="AS71:AS102" si="40">IFERROR(I71/AE71,"")</f>
        <v>37705.789164587542</v>
      </c>
      <c r="AT71" s="92">
        <f t="shared" ref="AT71:AT102" si="41">IFERROR(J71/AF71,"")</f>
        <v>39767.691527591174</v>
      </c>
      <c r="AU71" s="92">
        <f t="shared" ref="AU71:AU102" si="42">IFERROR(K71/AG71,"")</f>
        <v>30025.913583423666</v>
      </c>
      <c r="AV71" s="92">
        <f t="shared" ref="AV71:AV102" si="43">IFERROR(L71/AH71,"")</f>
        <v>40328.873606764319</v>
      </c>
      <c r="AW71" s="92">
        <f t="shared" ref="AW71:AX86" si="44">IFERROR(M71/AI71,"")</f>
        <v>57584.99139030659</v>
      </c>
      <c r="AX71" s="92">
        <f t="shared" si="44"/>
        <v>77956.147201998392</v>
      </c>
      <c r="AY71" s="93">
        <f t="shared" si="32"/>
        <v>39976.679824521023</v>
      </c>
      <c r="AZ71" s="94">
        <f t="shared" ref="AZ71:AZ132" si="45">IFERROR(IF($BA$4="N",SUM(J71:L71)/SUM(AF71:AH71),SUM(K71:M71)/SUM(AG71:AI71)),"")</f>
        <v>40741.124451487965</v>
      </c>
      <c r="BA71" s="95">
        <f t="shared" ref="BA71:BA132" si="46">IFERROR(IF($BA$4="N",L71/AH71,M71/AI71),"")</f>
        <v>57584.99139030659</v>
      </c>
      <c r="BB71" s="689">
        <f>SUM('Defect (Total)'!BB71,Planned!CE71,Reconductor!CE71,CTGS!CE71,'Substation 2025$'!CE71*$BL$1,Comms!CA71*$BL$2)</f>
        <v>589.93333333333339</v>
      </c>
      <c r="BC71" s="689">
        <f>SUM('Defect (Total)'!BC71,Planned!CF71,Reconductor!CF71,CTGS!CF71,'Substation 2025$'!CF71*$BL$1,Comms!CB71*$BL$2)</f>
        <v>541.47668651717083</v>
      </c>
      <c r="BD71" s="96">
        <f>SUM('Defect (Total)'!BD71,Planned!CG71,Reconductor!CG71,CTGS!CG71,'Substation 2025$'!CG71*$BL$1,Comms!CC71*$BL$2)</f>
        <v>541.47668651717083</v>
      </c>
      <c r="BE71" s="96">
        <f>SUM('Defect (Total)'!BE71,Planned!CH71,Reconductor!CH71,CTGS!CH71,'Substation 2025$'!CH71*$BL$1,Comms!CD71*$BL$2)</f>
        <v>285.78159134793799</v>
      </c>
      <c r="BF71" s="96">
        <f>SUM('Defect (Total)'!BF71,Planned!CI71,Reconductor!CI71,CTGS!CI71,'Substation 2025$'!CI71*$BL$1,Comms!CE71*$BL$2)</f>
        <v>287.84869819445146</v>
      </c>
      <c r="BG71" s="96">
        <f>SUM('Defect (Total)'!BG71,Planned!CJ71,Reconductor!CJ71,CTGS!CJ71,'Substation 2025$'!CJ71*$BL$1,Comms!CF71*$BL$2)</f>
        <v>289.22676942546042</v>
      </c>
      <c r="BH71" s="96">
        <f>SUM('Defect (Total)'!BH71,Planned!CK71,Reconductor!CK71,CTGS!CK71,'Substation 2025$'!CK71*$BL$1,Comms!CG71*$BL$2)</f>
        <v>290.60484065646943</v>
      </c>
      <c r="BI71" s="286">
        <f>SUM('Defect (Total)'!BI71,Planned!CL71,Reconductor!CL71,CTGS!CL71,'Substation 2025$'!CL71*$BL$1,Comms!CH71*$BL$2)</f>
        <v>291.29387627197389</v>
      </c>
      <c r="BJ71" s="99">
        <f t="shared" si="16"/>
        <v>34192.065948544274</v>
      </c>
      <c r="BK71" s="992">
        <f>SUM('Defect (Total)'!BK71,Planned!CQ71,Reconductor!CQ71,CTGS!CQ71,'Substation 2025$'!CQ71*$BL$1,Comms!CM71*$BL$2)</f>
        <v>23449991.208648536</v>
      </c>
      <c r="BL71" s="992">
        <f>SUM('Defect (Total)'!BL71,Planned!CR71,Reconductor!CR71,CTGS!CR71,'Substation 2025$'!CR71*$BL$1,Comms!CN71*$BL$2)</f>
        <v>21547447.714095168</v>
      </c>
      <c r="BM71" s="524">
        <f>SUM('Defect (Total)'!BM71,Planned!CS71,Reconductor!CS71,CTGS!CS71,'Substation 2025$'!CS71*$BL$1,Comms!CO71*$BL$2)</f>
        <v>21547447.714095168</v>
      </c>
      <c r="BN71" s="416">
        <f>SUM('Defect (Total)'!BN71,Planned!CT71,Reconductor!CT71,CTGS!CT71,'Substation 2025$'!CT71*$BL$1,Comms!CP71*$BL$2)</f>
        <v>9755391.0120314471</v>
      </c>
      <c r="BO71" s="97">
        <f>SUM('Defect (Total)'!BO71,Planned!CU71,Reconductor!CU71,CTGS!CU71,'Substation 2025$'!CU71*$BL$1,Comms!CQ71*$BL$2)</f>
        <v>9836551.4088352397</v>
      </c>
      <c r="BP71" s="97">
        <f>SUM('Defect (Total)'!BP71,Planned!CV71,Reconductor!CV71,CTGS!CV71,'Substation 2025$'!CV71*$BL$1,Comms!CR71*$BL$2)</f>
        <v>9890658.3400377668</v>
      </c>
      <c r="BQ71" s="97">
        <f>SUM('Defect (Total)'!BQ71,Planned!CW71,Reconductor!CW71,CTGS!CW71,'Substation 2025$'!CW71*$BL$1,Comms!CS71*$BL$2)</f>
        <v>9944765.2712402958</v>
      </c>
      <c r="BR71" s="98">
        <f>SUM('Defect (Total)'!BR71,Planned!CX71,Reconductor!CX71,CTGS!CX71,'Substation 2025$'!CX71*$BL$1,Comms!CT71*$BL$2)</f>
        <v>9971818.7368415594</v>
      </c>
    </row>
    <row r="72" spans="1:70" x14ac:dyDescent="0.25">
      <c r="A72" s="81" t="s">
        <v>138</v>
      </c>
      <c r="B72" s="82" t="s">
        <v>147</v>
      </c>
      <c r="C72" s="83" t="s">
        <v>362</v>
      </c>
      <c r="D72" s="84">
        <f>SUM('Defect (Total)'!D72,Planned!D72,Reconductor!D72,CTGS!D72)</f>
        <v>1287156</v>
      </c>
      <c r="E72" s="85">
        <f>SUM('Defect (Total)'!E72,Planned!E72,Reconductor!E72,CTGS!E72)</f>
        <v>3108436</v>
      </c>
      <c r="F72" s="85">
        <f>SUM('Defect (Total)'!F72,Planned!F72,Reconductor!F72,CTGS!F72)</f>
        <v>2692976</v>
      </c>
      <c r="G72" s="85">
        <f>SUM('Defect (Total)'!G72,Planned!G72,Reconductor!G72,CTGS!G72)</f>
        <v>2122399</v>
      </c>
      <c r="H72" s="85">
        <f>SUM('Defect (Total)'!H72,Planned!H72,Reconductor!H72,CTGS!H72)</f>
        <v>2895308</v>
      </c>
      <c r="I72" s="85">
        <f>SUM('Defect (Total)'!I72,Planned!I72,Reconductor!I72,CTGS!I72)</f>
        <v>3850324.922315469</v>
      </c>
      <c r="J72" s="85">
        <f>SUM('Defect (Total)'!J72,Planned!J72,Reconductor!J72,CTGS!J72)</f>
        <v>4745445.1241757814</v>
      </c>
      <c r="K72" s="85">
        <f>SUM('Defect (Total)'!K72,Planned!K72,Reconductor!K72,CTGS!K72)</f>
        <v>4133823.4021656667</v>
      </c>
      <c r="L72" s="85">
        <f>SUM('Defect (Total)'!L72,Planned!L72,Reconductor!L72,CTGS!L72)</f>
        <v>4333136.91693368</v>
      </c>
      <c r="M72" s="85">
        <f>SUM('Defect (Total)'!M72,Planned!M72,Reconductor!M72,CTGS!M72)</f>
        <v>3359075.9354444239</v>
      </c>
      <c r="N72" s="85">
        <f>SUM('Defect (Total)'!N72,Planned!N72,Reconductor!N72,CTGS!N72)</f>
        <v>3080720.9837781172</v>
      </c>
      <c r="O72" s="560">
        <f>SUM('Defect (Total)'!O72,Planned!O72,Reconductor!O72,CTGS!O72)</f>
        <v>1731812.1740046605</v>
      </c>
      <c r="P72" s="561">
        <f>SUM('Defect (Total)'!P72,Planned!P72,Reconductor!P72,CTGS!P72)</f>
        <v>4120017.1960308091</v>
      </c>
      <c r="Q72" s="561">
        <f>SUM('Defect (Total)'!Q72,Planned!Q72,Reconductor!Q72,CTGS!Q72)</f>
        <v>3533199.9905113061</v>
      </c>
      <c r="R72" s="561">
        <f>SUM('Defect (Total)'!R72,Planned!R72,Reconductor!R72,CTGS!R72)</f>
        <v>2731775.3026801762</v>
      </c>
      <c r="S72" s="561">
        <f>SUM('Defect (Total)'!S72,Planned!S72,Reconductor!S72,CTGS!S72)</f>
        <v>3650748.2839678479</v>
      </c>
      <c r="T72" s="561">
        <f>SUM('Defect (Total)'!T72,Planned!T72,Reconductor!T72,CTGS!T72)</f>
        <v>4778824.2104476206</v>
      </c>
      <c r="U72" s="561">
        <f>SUM('Defect (Total)'!U72,Planned!U72,Reconductor!U72,CTGS!U72)</f>
        <v>5910394.8325409051</v>
      </c>
      <c r="V72" s="561">
        <f>SUM('Defect (Total)'!V72,Planned!V72,Reconductor!V72,CTGS!V72)</f>
        <v>4957937.4320240486</v>
      </c>
      <c r="W72" s="561">
        <f>SUM('Defect (Total)'!W72,Planned!W72,Reconductor!W72,CTGS!W72)</f>
        <v>4896129.4109765198</v>
      </c>
      <c r="X72" s="675">
        <f>SUM('Defect (Total)'!X72,Planned!X72,Reconductor!X72,CTGS!X72)</f>
        <v>3572246.0051213978</v>
      </c>
      <c r="Y72" s="675">
        <f>SUM('Defect (Total)'!Y72,Planned!Y72,Reconductor!Y72,CTGS!Y72)</f>
        <v>3165436.1260290118</v>
      </c>
      <c r="Z72" s="86">
        <f>SUM('Defect (Total)'!Z72,Planned!Z72,Reconductor!Z72,CTGS!Z72)</f>
        <v>35</v>
      </c>
      <c r="AA72" s="87">
        <f>SUM('Defect (Total)'!AA72,Planned!AA72,Reconductor!AA72,CTGS!AA72)</f>
        <v>79</v>
      </c>
      <c r="AB72" s="87">
        <f>SUM('Defect (Total)'!AB72,Planned!AB72,Reconductor!AB72,CTGS!AB72)</f>
        <v>59</v>
      </c>
      <c r="AC72" s="87">
        <f>SUM('Defect (Total)'!AC72,Planned!AC72,Reconductor!AC72,CTGS!AC72)</f>
        <v>39</v>
      </c>
      <c r="AD72" s="87">
        <f>SUM('Defect (Total)'!AD72,Planned!AD72,Reconductor!AD72,CTGS!AD72)</f>
        <v>39</v>
      </c>
      <c r="AE72" s="87">
        <f>SUM('Defect (Total)'!AE72,Planned!AE72,Reconductor!AE72,CTGS!AE72)</f>
        <v>45</v>
      </c>
      <c r="AF72" s="87">
        <f>SUM('Defect (Total)'!AF72,Planned!AF72,Reconductor!AF72,CTGS!AF72)</f>
        <v>40</v>
      </c>
      <c r="AG72" s="87">
        <f>SUM('Defect (Total)'!AG72,Planned!AG72,Reconductor!AG72,CTGS!AG72)</f>
        <v>65</v>
      </c>
      <c r="AH72" s="87">
        <f>SUM('Defect (Total)'!AH72,Planned!AH72,Reconductor!AH72,CTGS!AH72)</f>
        <v>74</v>
      </c>
      <c r="AI72" s="87">
        <f>SUM('Defect (Total)'!AI72,Planned!AI72,Reconductor!AI72,CTGS!AI72)</f>
        <v>59</v>
      </c>
      <c r="AJ72" s="87">
        <f>SUM('Defect (Total)'!AJ72,Planned!AJ72,Reconductor!AJ72,CTGS!AJ72)</f>
        <v>69</v>
      </c>
      <c r="AK72" s="88">
        <f t="shared" ref="AK72:AK132" si="47">IFERROR(IF($AM$4="N",SUM(AD72:AH72)/5,SUM(AE72:AI72)/5),"")</f>
        <v>52.6</v>
      </c>
      <c r="AL72" s="89">
        <f t="shared" si="34"/>
        <v>59.666666666666664</v>
      </c>
      <c r="AM72" s="90">
        <f t="shared" ref="AM72:AM132" si="48">IFERROR(IF($AM$4="N",AH72,AI72),"")</f>
        <v>74</v>
      </c>
      <c r="AN72" s="91">
        <f t="shared" si="35"/>
        <v>36775.885714285716</v>
      </c>
      <c r="AO72" s="92">
        <f t="shared" si="36"/>
        <v>39347.291139240508</v>
      </c>
      <c r="AP72" s="92">
        <f t="shared" si="37"/>
        <v>45643.661016949154</v>
      </c>
      <c r="AQ72" s="92">
        <f t="shared" si="38"/>
        <v>54420.48717948718</v>
      </c>
      <c r="AR72" s="92">
        <f t="shared" si="39"/>
        <v>74238.666666666672</v>
      </c>
      <c r="AS72" s="92">
        <f t="shared" si="40"/>
        <v>85562.776051454872</v>
      </c>
      <c r="AT72" s="92">
        <f t="shared" si="41"/>
        <v>118636.12810439453</v>
      </c>
      <c r="AU72" s="92">
        <f t="shared" si="42"/>
        <v>63597.283110241027</v>
      </c>
      <c r="AV72" s="92">
        <f t="shared" si="43"/>
        <v>58555.904282887568</v>
      </c>
      <c r="AW72" s="92">
        <f t="shared" si="44"/>
        <v>56933.490431261424</v>
      </c>
      <c r="AX72" s="92">
        <f t="shared" si="44"/>
        <v>44648.130199682855</v>
      </c>
      <c r="AY72" s="93">
        <f t="shared" si="32"/>
        <v>72161.859720971785</v>
      </c>
      <c r="AZ72" s="94">
        <f t="shared" si="45"/>
        <v>59727.45583102914</v>
      </c>
      <c r="BA72" s="95">
        <f t="shared" si="46"/>
        <v>56933.490431261424</v>
      </c>
      <c r="BB72" s="689">
        <f>SUM('Defect (Total)'!BB72,Planned!CE72,Reconductor!CE72,CTGS!CE72,'Substation 2025$'!CE72*$BL$1,Comms!CA72*$BL$2)</f>
        <v>66</v>
      </c>
      <c r="BC72" s="689">
        <f>SUM('Defect (Total)'!BC72,Planned!CF72,Reconductor!CF72,CTGS!CF72,'Substation 2025$'!CF72*$BL$1,Comms!CB72*$BL$2)</f>
        <v>66</v>
      </c>
      <c r="BD72" s="96">
        <f>SUM('Defect (Total)'!BD72,Planned!CG72,Reconductor!CG72,CTGS!CG72,'Substation 2025$'!CG72*$BL$1,Comms!CC72*$BL$2)</f>
        <v>66</v>
      </c>
      <c r="BE72" s="96">
        <f>SUM('Defect (Total)'!BE72,Planned!CH72,Reconductor!CH72,CTGS!CH72,'Substation 2025$'!CH72*$BL$1,Comms!CD72*$BL$2)</f>
        <v>57.792420821261011</v>
      </c>
      <c r="BF72" s="96">
        <f>SUM('Defect (Total)'!BF72,Planned!CI72,Reconductor!CI72,CTGS!CI72,'Substation 2025$'!CI72*$BL$1,Comms!CE72*$BL$2)</f>
        <v>57.792420821261011</v>
      </c>
      <c r="BG72" s="96">
        <f>SUM('Defect (Total)'!BG72,Planned!CJ72,Reconductor!CJ72,CTGS!CJ72,'Substation 2025$'!CJ72*$BL$1,Comms!CF72*$BL$2)</f>
        <v>57.792420821261011</v>
      </c>
      <c r="BH72" s="96">
        <f>SUM('Defect (Total)'!BH72,Planned!CK72,Reconductor!CK72,CTGS!CK72,'Substation 2025$'!CK72*$BL$1,Comms!CG72*$BL$2)</f>
        <v>57.792420821261011</v>
      </c>
      <c r="BI72" s="286">
        <f>SUM('Defect (Total)'!BI72,Planned!CL72,Reconductor!CL72,CTGS!CL72,'Substation 2025$'!CL72*$BL$1,Comms!CH72*$BL$2)</f>
        <v>57.792420821261011</v>
      </c>
      <c r="BJ72" s="99">
        <f t="shared" ref="BJ72:BJ95" si="49">IFERROR(SUM(BN72:BR72)/SUM(BE72:BI72),"")</f>
        <v>51654.223489758646</v>
      </c>
      <c r="BK72" s="992">
        <f>SUM('Defect (Total)'!BK72,Planned!CQ72,Reconductor!CQ72,CTGS!CQ72,'Substation 2025$'!CQ72*$BL$1,Comms!CM72*$BL$2)</f>
        <v>3942012.0848479234</v>
      </c>
      <c r="BL72" s="992">
        <f>SUM('Defect (Total)'!BL72,Planned!CR72,Reconductor!CR72,CTGS!CR72,'Substation 2025$'!CR72*$BL$1,Comms!CN72*$BL$2)</f>
        <v>3942012.0848479234</v>
      </c>
      <c r="BM72" s="524">
        <f>SUM('Defect (Total)'!BM72,Planned!CS72,Reconductor!CS72,CTGS!CS72,'Substation 2025$'!CS72*$BL$1,Comms!CO72*$BL$2)</f>
        <v>3942012.0848479234</v>
      </c>
      <c r="BN72" s="416">
        <f>SUM('Defect (Total)'!BN72,Planned!CT72,Reconductor!CT72,CTGS!CT72,'Substation 2025$'!CT72*$BL$1,Comms!CP72*$BL$2)</f>
        <v>2985222.621115597</v>
      </c>
      <c r="BO72" s="97">
        <f>SUM('Defect (Total)'!BO72,Planned!CU72,Reconductor!CU72,CTGS!CU72,'Substation 2025$'!CU72*$BL$1,Comms!CQ72*$BL$2)</f>
        <v>2985222.621115597</v>
      </c>
      <c r="BP72" s="97">
        <f>SUM('Defect (Total)'!BP72,Planned!CV72,Reconductor!CV72,CTGS!CV72,'Substation 2025$'!CV72*$BL$1,Comms!CR72*$BL$2)</f>
        <v>2985222.621115597</v>
      </c>
      <c r="BQ72" s="97">
        <f>SUM('Defect (Total)'!BQ72,Planned!CW72,Reconductor!CW72,CTGS!CW72,'Substation 2025$'!CW72*$BL$1,Comms!CS72*$BL$2)</f>
        <v>2985222.621115597</v>
      </c>
      <c r="BR72" s="98">
        <f>SUM('Defect (Total)'!BR72,Planned!CX72,Reconductor!CX72,CTGS!CX72,'Substation 2025$'!CX72*$BL$1,Comms!CT72*$BL$2)</f>
        <v>2985222.621115597</v>
      </c>
    </row>
    <row r="73" spans="1:70" x14ac:dyDescent="0.25">
      <c r="A73" s="81" t="s">
        <v>138</v>
      </c>
      <c r="B73" s="82" t="s">
        <v>149</v>
      </c>
      <c r="C73" s="83" t="s">
        <v>363</v>
      </c>
      <c r="D73" s="84">
        <f>SUM('Defect (Total)'!D73,Planned!D73,Reconductor!D73,CTGS!D73)</f>
        <v>0</v>
      </c>
      <c r="E73" s="85">
        <f>SUM('Defect (Total)'!E73,Planned!E73,Reconductor!E73,CTGS!E73)</f>
        <v>0</v>
      </c>
      <c r="F73" s="85">
        <f>SUM('Defect (Total)'!F73,Planned!F73,Reconductor!F73,CTGS!F73)</f>
        <v>0</v>
      </c>
      <c r="G73" s="85">
        <f>SUM('Defect (Total)'!G73,Planned!G73,Reconductor!G73,CTGS!G73)</f>
        <v>0</v>
      </c>
      <c r="H73" s="85">
        <f>SUM('Defect (Total)'!H73,Planned!H73,Reconductor!H73,CTGS!H73)</f>
        <v>0</v>
      </c>
      <c r="I73" s="85">
        <f>SUM('Defect (Total)'!I73,Planned!I73,Reconductor!I73,CTGS!I73)</f>
        <v>0</v>
      </c>
      <c r="J73" s="85">
        <f>SUM('Defect (Total)'!J73,Planned!J73,Reconductor!J73,CTGS!J73)</f>
        <v>0</v>
      </c>
      <c r="K73" s="85">
        <f>SUM('Defect (Total)'!K73,Planned!K73,Reconductor!K73,CTGS!K73)</f>
        <v>0</v>
      </c>
      <c r="L73" s="85">
        <f>SUM('Defect (Total)'!L73,Planned!L73,Reconductor!L73,CTGS!L73)</f>
        <v>0</v>
      </c>
      <c r="M73" s="85">
        <f>SUM('Defect (Total)'!M73,Planned!M73,Reconductor!M73,CTGS!M73)</f>
        <v>0</v>
      </c>
      <c r="N73" s="85">
        <f>SUM('Defect (Total)'!N73,Planned!N73,Reconductor!N73,CTGS!N73)</f>
        <v>0</v>
      </c>
      <c r="O73" s="560">
        <f>SUM('Defect (Total)'!O73,Planned!O73,Reconductor!O73,CTGS!O73)</f>
        <v>0</v>
      </c>
      <c r="P73" s="561">
        <f>SUM('Defect (Total)'!P73,Planned!P73,Reconductor!P73,CTGS!P73)</f>
        <v>0</v>
      </c>
      <c r="Q73" s="561">
        <f>SUM('Defect (Total)'!Q73,Planned!Q73,Reconductor!Q73,CTGS!Q73)</f>
        <v>0</v>
      </c>
      <c r="R73" s="561">
        <f>SUM('Defect (Total)'!R73,Planned!R73,Reconductor!R73,CTGS!R73)</f>
        <v>0</v>
      </c>
      <c r="S73" s="561">
        <f>SUM('Defect (Total)'!S73,Planned!S73,Reconductor!S73,CTGS!S73)</f>
        <v>0</v>
      </c>
      <c r="T73" s="561">
        <f>SUM('Defect (Total)'!T73,Planned!T73,Reconductor!T73,CTGS!T73)</f>
        <v>0</v>
      </c>
      <c r="U73" s="561">
        <f>SUM('Defect (Total)'!U73,Planned!U73,Reconductor!U73,CTGS!U73)</f>
        <v>0</v>
      </c>
      <c r="V73" s="561">
        <f>SUM('Defect (Total)'!V73,Planned!V73,Reconductor!V73,CTGS!V73)</f>
        <v>0</v>
      </c>
      <c r="W73" s="561">
        <f>SUM('Defect (Total)'!W73,Planned!W73,Reconductor!W73,CTGS!W73)</f>
        <v>0</v>
      </c>
      <c r="X73" s="675">
        <f>SUM('Defect (Total)'!X73,Planned!X73,Reconductor!X73,CTGS!X73)</f>
        <v>0</v>
      </c>
      <c r="Y73" s="675">
        <f>SUM('Defect (Total)'!Y73,Planned!Y73,Reconductor!Y73,CTGS!Y73)</f>
        <v>0</v>
      </c>
      <c r="Z73" s="86">
        <f>SUM('Defect (Total)'!Z73,Planned!Z73,Reconductor!Z73,CTGS!Z73)</f>
        <v>0</v>
      </c>
      <c r="AA73" s="87">
        <f>SUM('Defect (Total)'!AA73,Planned!AA73,Reconductor!AA73,CTGS!AA73)</f>
        <v>0</v>
      </c>
      <c r="AB73" s="87">
        <f>SUM('Defect (Total)'!AB73,Planned!AB73,Reconductor!AB73,CTGS!AB73)</f>
        <v>0</v>
      </c>
      <c r="AC73" s="87">
        <f>SUM('Defect (Total)'!AC73,Planned!AC73,Reconductor!AC73,CTGS!AC73)</f>
        <v>0</v>
      </c>
      <c r="AD73" s="87">
        <f>SUM('Defect (Total)'!AD73,Planned!AD73,Reconductor!AD73,CTGS!AD73)</f>
        <v>0</v>
      </c>
      <c r="AE73" s="87">
        <f>SUM('Defect (Total)'!AE73,Planned!AE73,Reconductor!AE73,CTGS!AE73)</f>
        <v>0</v>
      </c>
      <c r="AF73" s="87">
        <f>SUM('Defect (Total)'!AF73,Planned!AF73,Reconductor!AF73,CTGS!AF73)</f>
        <v>0</v>
      </c>
      <c r="AG73" s="87">
        <f>SUM('Defect (Total)'!AG73,Planned!AG73,Reconductor!AG73,CTGS!AG73)</f>
        <v>0</v>
      </c>
      <c r="AH73" s="87">
        <f>SUM('Defect (Total)'!AH73,Planned!AH73,Reconductor!AH73,CTGS!AH73)</f>
        <v>0</v>
      </c>
      <c r="AI73" s="87">
        <f>SUM('Defect (Total)'!AI73,Planned!AI73,Reconductor!AI73,CTGS!AI73)</f>
        <v>0</v>
      </c>
      <c r="AJ73" s="87">
        <f>SUM('Defect (Total)'!AJ73,Planned!AJ73,Reconductor!AJ73,CTGS!AJ73)</f>
        <v>0</v>
      </c>
      <c r="AK73" s="88">
        <f t="shared" si="47"/>
        <v>0</v>
      </c>
      <c r="AL73" s="89">
        <f t="shared" si="34"/>
        <v>0</v>
      </c>
      <c r="AM73" s="90">
        <f t="shared" si="48"/>
        <v>0</v>
      </c>
      <c r="AN73" s="91" t="str">
        <f t="shared" si="35"/>
        <v/>
      </c>
      <c r="AO73" s="92" t="str">
        <f t="shared" si="36"/>
        <v/>
      </c>
      <c r="AP73" s="92" t="str">
        <f t="shared" si="37"/>
        <v/>
      </c>
      <c r="AQ73" s="92" t="str">
        <f t="shared" si="38"/>
        <v/>
      </c>
      <c r="AR73" s="92" t="str">
        <f t="shared" si="39"/>
        <v/>
      </c>
      <c r="AS73" s="92" t="str">
        <f t="shared" si="40"/>
        <v/>
      </c>
      <c r="AT73" s="92" t="str">
        <f t="shared" si="41"/>
        <v/>
      </c>
      <c r="AU73" s="92" t="str">
        <f t="shared" si="42"/>
        <v/>
      </c>
      <c r="AV73" s="92" t="str">
        <f t="shared" si="43"/>
        <v/>
      </c>
      <c r="AW73" s="92" t="str">
        <f t="shared" si="44"/>
        <v/>
      </c>
      <c r="AX73" s="92" t="str">
        <f t="shared" si="44"/>
        <v/>
      </c>
      <c r="AY73" s="93" t="str">
        <f t="shared" si="32"/>
        <v/>
      </c>
      <c r="AZ73" s="94" t="str">
        <f t="shared" si="45"/>
        <v/>
      </c>
      <c r="BA73" s="95" t="str">
        <f t="shared" si="46"/>
        <v/>
      </c>
      <c r="BB73" s="689">
        <f>SUM('Defect (Total)'!BB73,Planned!CE73,Reconductor!CE73,CTGS!CE73,'Substation 2025$'!CE73*$BL$1,Comms!CA73*$BL$2)</f>
        <v>0</v>
      </c>
      <c r="BC73" s="689">
        <f>SUM('Defect (Total)'!BC73,Planned!CF73,Reconductor!CF73,CTGS!CF73,'Substation 2025$'!CF73*$BL$1,Comms!CB73*$BL$2)</f>
        <v>0</v>
      </c>
      <c r="BD73" s="96">
        <f>SUM('Defect (Total)'!BD73,Planned!CG73,Reconductor!CG73,CTGS!CG73,'Substation 2025$'!CG73*$BL$1,Comms!CC73*$BL$2)</f>
        <v>0</v>
      </c>
      <c r="BE73" s="96">
        <f>SUM('Defect (Total)'!BE73,Planned!CH73,Reconductor!CH73,CTGS!CH73,'Substation 2025$'!CH73*$BL$1,Comms!CD73*$BL$2)</f>
        <v>0</v>
      </c>
      <c r="BF73" s="96">
        <f>SUM('Defect (Total)'!BF73,Planned!CI73,Reconductor!CI73,CTGS!CI73,'Substation 2025$'!CI73*$BL$1,Comms!CE73*$BL$2)</f>
        <v>0</v>
      </c>
      <c r="BG73" s="96">
        <f>SUM('Defect (Total)'!BG73,Planned!CJ73,Reconductor!CJ73,CTGS!CJ73,'Substation 2025$'!CJ73*$BL$1,Comms!CF73*$BL$2)</f>
        <v>0</v>
      </c>
      <c r="BH73" s="96">
        <f>SUM('Defect (Total)'!BH73,Planned!CK73,Reconductor!CK73,CTGS!CK73,'Substation 2025$'!CK73*$BL$1,Comms!CG73*$BL$2)</f>
        <v>0</v>
      </c>
      <c r="BI73" s="286">
        <f>SUM('Defect (Total)'!BI73,Planned!CL73,Reconductor!CL73,CTGS!CL73,'Substation 2025$'!CL73*$BL$1,Comms!CH73*$BL$2)</f>
        <v>0</v>
      </c>
      <c r="BJ73" s="99" t="str">
        <f t="shared" si="49"/>
        <v/>
      </c>
      <c r="BK73" s="992">
        <f>SUM('Defect (Total)'!BK73,Planned!CQ73,Reconductor!CQ73,CTGS!CQ73,'Substation 2025$'!CQ73*$BL$1,Comms!CM73*$BL$2)</f>
        <v>0</v>
      </c>
      <c r="BL73" s="992">
        <f>SUM('Defect (Total)'!BL73,Planned!CR73,Reconductor!CR73,CTGS!CR73,'Substation 2025$'!CR73*$BL$1,Comms!CN73*$BL$2)</f>
        <v>0</v>
      </c>
      <c r="BM73" s="524">
        <f>SUM('Defect (Total)'!BM73,Planned!CS73,Reconductor!CS73,CTGS!CS73,'Substation 2025$'!CS73*$BL$1,Comms!CO73*$BL$2)</f>
        <v>0</v>
      </c>
      <c r="BN73" s="416">
        <f>SUM('Defect (Total)'!BN73,Planned!CT73,Reconductor!CT73,CTGS!CT73,'Substation 2025$'!CT73*$BL$1,Comms!CP73*$BL$2)</f>
        <v>0</v>
      </c>
      <c r="BO73" s="97">
        <f>SUM('Defect (Total)'!BO73,Planned!CU73,Reconductor!CU73,CTGS!CU73,'Substation 2025$'!CU73*$BL$1,Comms!CQ73*$BL$2)</f>
        <v>0</v>
      </c>
      <c r="BP73" s="97">
        <f>SUM('Defect (Total)'!BP73,Planned!CV73,Reconductor!CV73,CTGS!CV73,'Substation 2025$'!CV73*$BL$1,Comms!CR73*$BL$2)</f>
        <v>0</v>
      </c>
      <c r="BQ73" s="97">
        <f>SUM('Defect (Total)'!BQ73,Planned!CW73,Reconductor!CW73,CTGS!CW73,'Substation 2025$'!CW73*$BL$1,Comms!CS73*$BL$2)</f>
        <v>0</v>
      </c>
      <c r="BR73" s="98">
        <f>SUM('Defect (Total)'!BR73,Planned!CX73,Reconductor!CX73,CTGS!CX73,'Substation 2025$'!CX73*$BL$1,Comms!CT73*$BL$2)</f>
        <v>0</v>
      </c>
    </row>
    <row r="74" spans="1:70" x14ac:dyDescent="0.25">
      <c r="A74" s="81" t="s">
        <v>138</v>
      </c>
      <c r="B74" s="82" t="s">
        <v>151</v>
      </c>
      <c r="C74" s="83" t="s">
        <v>364</v>
      </c>
      <c r="D74" s="84">
        <f>SUM('Defect (Total)'!D74,Planned!D74,Reconductor!D74,CTGS!D74)</f>
        <v>0</v>
      </c>
      <c r="E74" s="85">
        <f>SUM('Defect (Total)'!E74,Planned!E74,Reconductor!E74,CTGS!E74)</f>
        <v>0</v>
      </c>
      <c r="F74" s="85">
        <f>SUM('Defect (Total)'!F74,Planned!F74,Reconductor!F74,CTGS!F74)</f>
        <v>0</v>
      </c>
      <c r="G74" s="85">
        <f>SUM('Defect (Total)'!G74,Planned!G74,Reconductor!G74,CTGS!G74)</f>
        <v>0</v>
      </c>
      <c r="H74" s="85">
        <f>SUM('Defect (Total)'!H74,Planned!H74,Reconductor!H74,CTGS!H74)</f>
        <v>0</v>
      </c>
      <c r="I74" s="85">
        <f>SUM('Defect (Total)'!I74,Planned!I74,Reconductor!I74,CTGS!I74)</f>
        <v>0</v>
      </c>
      <c r="J74" s="85">
        <f>SUM('Defect (Total)'!J74,Planned!J74,Reconductor!J74,CTGS!J74)</f>
        <v>0</v>
      </c>
      <c r="K74" s="85">
        <f>SUM('Defect (Total)'!K74,Planned!K74,Reconductor!K74,CTGS!K74)</f>
        <v>0</v>
      </c>
      <c r="L74" s="85">
        <f>SUM('Defect (Total)'!L74,Planned!L74,Reconductor!L74,CTGS!L74)</f>
        <v>0</v>
      </c>
      <c r="M74" s="85">
        <f>SUM('Defect (Total)'!M74,Planned!M74,Reconductor!M74,CTGS!M74)</f>
        <v>0</v>
      </c>
      <c r="N74" s="85">
        <f>SUM('Defect (Total)'!N74,Planned!N74,Reconductor!N74,CTGS!N74)</f>
        <v>0</v>
      </c>
      <c r="O74" s="560">
        <f>SUM('Defect (Total)'!O74,Planned!O74,Reconductor!O74,CTGS!O74)</f>
        <v>0</v>
      </c>
      <c r="P74" s="561">
        <f>SUM('Defect (Total)'!P74,Planned!P74,Reconductor!P74,CTGS!P74)</f>
        <v>0</v>
      </c>
      <c r="Q74" s="561">
        <f>SUM('Defect (Total)'!Q74,Planned!Q74,Reconductor!Q74,CTGS!Q74)</f>
        <v>0</v>
      </c>
      <c r="R74" s="561">
        <f>SUM('Defect (Total)'!R74,Planned!R74,Reconductor!R74,CTGS!R74)</f>
        <v>0</v>
      </c>
      <c r="S74" s="561">
        <f>SUM('Defect (Total)'!S74,Planned!S74,Reconductor!S74,CTGS!S74)</f>
        <v>0</v>
      </c>
      <c r="T74" s="561">
        <f>SUM('Defect (Total)'!T74,Planned!T74,Reconductor!T74,CTGS!T74)</f>
        <v>0</v>
      </c>
      <c r="U74" s="561">
        <f>SUM('Defect (Total)'!U74,Planned!U74,Reconductor!U74,CTGS!U74)</f>
        <v>0</v>
      </c>
      <c r="V74" s="561">
        <f>SUM('Defect (Total)'!V74,Planned!V74,Reconductor!V74,CTGS!V74)</f>
        <v>0</v>
      </c>
      <c r="W74" s="561">
        <f>SUM('Defect (Total)'!W74,Planned!W74,Reconductor!W74,CTGS!W74)</f>
        <v>0</v>
      </c>
      <c r="X74" s="675">
        <f>SUM('Defect (Total)'!X74,Planned!X74,Reconductor!X74,CTGS!X74)</f>
        <v>0</v>
      </c>
      <c r="Y74" s="675">
        <f>SUM('Defect (Total)'!Y74,Planned!Y74,Reconductor!Y74,CTGS!Y74)</f>
        <v>0</v>
      </c>
      <c r="Z74" s="86">
        <f>SUM('Defect (Total)'!Z74,Planned!Z74,Reconductor!Z74,CTGS!Z74)</f>
        <v>0</v>
      </c>
      <c r="AA74" s="87">
        <f>SUM('Defect (Total)'!AA74,Planned!AA74,Reconductor!AA74,CTGS!AA74)</f>
        <v>0</v>
      </c>
      <c r="AB74" s="87">
        <f>SUM('Defect (Total)'!AB74,Planned!AB74,Reconductor!AB74,CTGS!AB74)</f>
        <v>0</v>
      </c>
      <c r="AC74" s="87">
        <f>SUM('Defect (Total)'!AC74,Planned!AC74,Reconductor!AC74,CTGS!AC74)</f>
        <v>0</v>
      </c>
      <c r="AD74" s="87">
        <f>SUM('Defect (Total)'!AD74,Planned!AD74,Reconductor!AD74,CTGS!AD74)</f>
        <v>0</v>
      </c>
      <c r="AE74" s="87">
        <f>SUM('Defect (Total)'!AE74,Planned!AE74,Reconductor!AE74,CTGS!AE74)</f>
        <v>0</v>
      </c>
      <c r="AF74" s="87">
        <f>SUM('Defect (Total)'!AF74,Planned!AF74,Reconductor!AF74,CTGS!AF74)</f>
        <v>0</v>
      </c>
      <c r="AG74" s="87">
        <f>SUM('Defect (Total)'!AG74,Planned!AG74,Reconductor!AG74,CTGS!AG74)</f>
        <v>0</v>
      </c>
      <c r="AH74" s="87">
        <f>SUM('Defect (Total)'!AH74,Planned!AH74,Reconductor!AH74,CTGS!AH74)</f>
        <v>0</v>
      </c>
      <c r="AI74" s="87">
        <f>SUM('Defect (Total)'!AI74,Planned!AI74,Reconductor!AI74,CTGS!AI74)</f>
        <v>0</v>
      </c>
      <c r="AJ74" s="87">
        <f>SUM('Defect (Total)'!AJ74,Planned!AJ74,Reconductor!AJ74,CTGS!AJ74)</f>
        <v>0</v>
      </c>
      <c r="AK74" s="88">
        <f t="shared" si="47"/>
        <v>0</v>
      </c>
      <c r="AL74" s="89">
        <f t="shared" si="34"/>
        <v>0</v>
      </c>
      <c r="AM74" s="90">
        <f t="shared" si="48"/>
        <v>0</v>
      </c>
      <c r="AN74" s="91" t="str">
        <f t="shared" si="35"/>
        <v/>
      </c>
      <c r="AO74" s="92" t="str">
        <f t="shared" si="36"/>
        <v/>
      </c>
      <c r="AP74" s="92" t="str">
        <f t="shared" si="37"/>
        <v/>
      </c>
      <c r="AQ74" s="92" t="str">
        <f t="shared" si="38"/>
        <v/>
      </c>
      <c r="AR74" s="92" t="str">
        <f t="shared" si="39"/>
        <v/>
      </c>
      <c r="AS74" s="92" t="str">
        <f t="shared" si="40"/>
        <v/>
      </c>
      <c r="AT74" s="92" t="str">
        <f t="shared" si="41"/>
        <v/>
      </c>
      <c r="AU74" s="92" t="str">
        <f t="shared" si="42"/>
        <v/>
      </c>
      <c r="AV74" s="92" t="str">
        <f t="shared" si="43"/>
        <v/>
      </c>
      <c r="AW74" s="92" t="str">
        <f t="shared" si="44"/>
        <v/>
      </c>
      <c r="AX74" s="92" t="str">
        <f t="shared" si="44"/>
        <v/>
      </c>
      <c r="AY74" s="93" t="str">
        <f t="shared" si="32"/>
        <v/>
      </c>
      <c r="AZ74" s="94" t="str">
        <f t="shared" si="45"/>
        <v/>
      </c>
      <c r="BA74" s="95" t="str">
        <f t="shared" si="46"/>
        <v/>
      </c>
      <c r="BB74" s="689">
        <f>SUM('Defect (Total)'!BB74,Planned!CE74,Reconductor!CE74,CTGS!CE74,'Substation 2025$'!CE74*$BL$1,Comms!CA74*$BL$2)</f>
        <v>0</v>
      </c>
      <c r="BC74" s="689">
        <f>SUM('Defect (Total)'!BC74,Planned!CF74,Reconductor!CF74,CTGS!CF74,'Substation 2025$'!CF74*$BL$1,Comms!CB74*$BL$2)</f>
        <v>0</v>
      </c>
      <c r="BD74" s="96">
        <f>SUM('Defect (Total)'!BD74,Planned!CG74,Reconductor!CG74,CTGS!CG74,'Substation 2025$'!CG74*$BL$1,Comms!CC74*$BL$2)</f>
        <v>0</v>
      </c>
      <c r="BE74" s="96">
        <f>SUM('Defect (Total)'!BE74,Planned!CH74,Reconductor!CH74,CTGS!CH74,'Substation 2025$'!CH74*$BL$1,Comms!CD74*$BL$2)</f>
        <v>0</v>
      </c>
      <c r="BF74" s="96">
        <f>SUM('Defect (Total)'!BF74,Planned!CI74,Reconductor!CI74,CTGS!CI74,'Substation 2025$'!CI74*$BL$1,Comms!CE74*$BL$2)</f>
        <v>0</v>
      </c>
      <c r="BG74" s="96">
        <f>SUM('Defect (Total)'!BG74,Planned!CJ74,Reconductor!CJ74,CTGS!CJ74,'Substation 2025$'!CJ74*$BL$1,Comms!CF74*$BL$2)</f>
        <v>0</v>
      </c>
      <c r="BH74" s="96">
        <f>SUM('Defect (Total)'!BH74,Planned!CK74,Reconductor!CK74,CTGS!CK74,'Substation 2025$'!CK74*$BL$1,Comms!CG74*$BL$2)</f>
        <v>0</v>
      </c>
      <c r="BI74" s="286">
        <f>SUM('Defect (Total)'!BI74,Planned!CL74,Reconductor!CL74,CTGS!CL74,'Substation 2025$'!CL74*$BL$1,Comms!CH74*$BL$2)</f>
        <v>0</v>
      </c>
      <c r="BJ74" s="99" t="str">
        <f t="shared" si="49"/>
        <v/>
      </c>
      <c r="BK74" s="992">
        <f>SUM('Defect (Total)'!BK74,Planned!CQ74,Reconductor!CQ74,CTGS!CQ74,'Substation 2025$'!CQ74*$BL$1,Comms!CM74*$BL$2)</f>
        <v>0</v>
      </c>
      <c r="BL74" s="992">
        <f>SUM('Defect (Total)'!BL74,Planned!CR74,Reconductor!CR74,CTGS!CR74,'Substation 2025$'!CR74*$BL$1,Comms!CN74*$BL$2)</f>
        <v>0</v>
      </c>
      <c r="BM74" s="524">
        <f>SUM('Defect (Total)'!BM74,Planned!CS74,Reconductor!CS74,CTGS!CS74,'Substation 2025$'!CS74*$BL$1,Comms!CO74*$BL$2)</f>
        <v>0</v>
      </c>
      <c r="BN74" s="416">
        <f>SUM('Defect (Total)'!BN74,Planned!CT74,Reconductor!CT74,CTGS!CT74,'Substation 2025$'!CT74*$BL$1,Comms!CP74*$BL$2)</f>
        <v>0</v>
      </c>
      <c r="BO74" s="97">
        <f>SUM('Defect (Total)'!BO74,Planned!CU74,Reconductor!CU74,CTGS!CU74,'Substation 2025$'!CU74*$BL$1,Comms!CQ74*$BL$2)</f>
        <v>0</v>
      </c>
      <c r="BP74" s="97">
        <f>SUM('Defect (Total)'!BP74,Planned!CV74,Reconductor!CV74,CTGS!CV74,'Substation 2025$'!CV74*$BL$1,Comms!CR74*$BL$2)</f>
        <v>0</v>
      </c>
      <c r="BQ74" s="97">
        <f>SUM('Defect (Total)'!BQ74,Planned!CW74,Reconductor!CW74,CTGS!CW74,'Substation 2025$'!CW74*$BL$1,Comms!CS74*$BL$2)</f>
        <v>0</v>
      </c>
      <c r="BR74" s="98">
        <f>SUM('Defect (Total)'!BR74,Planned!CX74,Reconductor!CX74,CTGS!CX74,'Substation 2025$'!CX74*$BL$1,Comms!CT74*$BL$2)</f>
        <v>0</v>
      </c>
    </row>
    <row r="75" spans="1:70" x14ac:dyDescent="0.25">
      <c r="A75" s="81" t="s">
        <v>138</v>
      </c>
      <c r="B75" s="82" t="s">
        <v>153</v>
      </c>
      <c r="C75" s="83" t="s">
        <v>365</v>
      </c>
      <c r="D75" s="84">
        <f>SUM('Defect (Total)'!D75,Planned!D75,Reconductor!D75,CTGS!D75)</f>
        <v>0</v>
      </c>
      <c r="E75" s="85">
        <f>SUM('Defect (Total)'!E75,Planned!E75,Reconductor!E75,CTGS!E75)</f>
        <v>0</v>
      </c>
      <c r="F75" s="85">
        <f>SUM('Defect (Total)'!F75,Planned!F75,Reconductor!F75,CTGS!F75)</f>
        <v>0</v>
      </c>
      <c r="G75" s="85">
        <f>SUM('Defect (Total)'!G75,Planned!G75,Reconductor!G75,CTGS!G75)</f>
        <v>0</v>
      </c>
      <c r="H75" s="85">
        <f>SUM('Defect (Total)'!H75,Planned!H75,Reconductor!H75,CTGS!H75)</f>
        <v>0</v>
      </c>
      <c r="I75" s="85">
        <f>SUM('Defect (Total)'!I75,Planned!I75,Reconductor!I75,CTGS!I75)</f>
        <v>0</v>
      </c>
      <c r="J75" s="85">
        <f>SUM('Defect (Total)'!J75,Planned!J75,Reconductor!J75,CTGS!J75)</f>
        <v>0</v>
      </c>
      <c r="K75" s="85">
        <f>SUM('Defect (Total)'!K75,Planned!K75,Reconductor!K75,CTGS!K75)</f>
        <v>0</v>
      </c>
      <c r="L75" s="85">
        <f>SUM('Defect (Total)'!L75,Planned!L75,Reconductor!L75,CTGS!L75)</f>
        <v>0</v>
      </c>
      <c r="M75" s="85">
        <f>SUM('Defect (Total)'!M75,Planned!M75,Reconductor!M75,CTGS!M75)</f>
        <v>0</v>
      </c>
      <c r="N75" s="85">
        <f>SUM('Defect (Total)'!N75,Planned!N75,Reconductor!N75,CTGS!N75)</f>
        <v>0</v>
      </c>
      <c r="O75" s="560">
        <f>SUM('Defect (Total)'!O75,Planned!O75,Reconductor!O75,CTGS!O75)</f>
        <v>0</v>
      </c>
      <c r="P75" s="561">
        <f>SUM('Defect (Total)'!P75,Planned!P75,Reconductor!P75,CTGS!P75)</f>
        <v>0</v>
      </c>
      <c r="Q75" s="561">
        <f>SUM('Defect (Total)'!Q75,Planned!Q75,Reconductor!Q75,CTGS!Q75)</f>
        <v>0</v>
      </c>
      <c r="R75" s="561">
        <f>SUM('Defect (Total)'!R75,Planned!R75,Reconductor!R75,CTGS!R75)</f>
        <v>0</v>
      </c>
      <c r="S75" s="561">
        <f>SUM('Defect (Total)'!S75,Planned!S75,Reconductor!S75,CTGS!S75)</f>
        <v>0</v>
      </c>
      <c r="T75" s="561">
        <f>SUM('Defect (Total)'!T75,Planned!T75,Reconductor!T75,CTGS!T75)</f>
        <v>0</v>
      </c>
      <c r="U75" s="561">
        <f>SUM('Defect (Total)'!U75,Planned!U75,Reconductor!U75,CTGS!U75)</f>
        <v>0</v>
      </c>
      <c r="V75" s="561">
        <f>SUM('Defect (Total)'!V75,Planned!V75,Reconductor!V75,CTGS!V75)</f>
        <v>0</v>
      </c>
      <c r="W75" s="561">
        <f>SUM('Defect (Total)'!W75,Planned!W75,Reconductor!W75,CTGS!W75)</f>
        <v>0</v>
      </c>
      <c r="X75" s="675">
        <f>SUM('Defect (Total)'!X75,Planned!X75,Reconductor!X75,CTGS!X75)</f>
        <v>0</v>
      </c>
      <c r="Y75" s="675">
        <f>SUM('Defect (Total)'!Y75,Planned!Y75,Reconductor!Y75,CTGS!Y75)</f>
        <v>0</v>
      </c>
      <c r="Z75" s="86">
        <f>SUM('Defect (Total)'!Z75,Planned!Z75,Reconductor!Z75,CTGS!Z75)</f>
        <v>0</v>
      </c>
      <c r="AA75" s="87">
        <f>SUM('Defect (Total)'!AA75,Planned!AA75,Reconductor!AA75,CTGS!AA75)</f>
        <v>0</v>
      </c>
      <c r="AB75" s="87">
        <f>SUM('Defect (Total)'!AB75,Planned!AB75,Reconductor!AB75,CTGS!AB75)</f>
        <v>0</v>
      </c>
      <c r="AC75" s="87">
        <f>SUM('Defect (Total)'!AC75,Planned!AC75,Reconductor!AC75,CTGS!AC75)</f>
        <v>0</v>
      </c>
      <c r="AD75" s="87">
        <f>SUM('Defect (Total)'!AD75,Planned!AD75,Reconductor!AD75,CTGS!AD75)</f>
        <v>0</v>
      </c>
      <c r="AE75" s="87">
        <f>SUM('Defect (Total)'!AE75,Planned!AE75,Reconductor!AE75,CTGS!AE75)</f>
        <v>0</v>
      </c>
      <c r="AF75" s="87">
        <f>SUM('Defect (Total)'!AF75,Planned!AF75,Reconductor!AF75,CTGS!AF75)</f>
        <v>0</v>
      </c>
      <c r="AG75" s="87">
        <f>SUM('Defect (Total)'!AG75,Planned!AG75,Reconductor!AG75,CTGS!AG75)</f>
        <v>0</v>
      </c>
      <c r="AH75" s="87">
        <f>SUM('Defect (Total)'!AH75,Planned!AH75,Reconductor!AH75,CTGS!AH75)</f>
        <v>0</v>
      </c>
      <c r="AI75" s="87">
        <f>SUM('Defect (Total)'!AI75,Planned!AI75,Reconductor!AI75,CTGS!AI75)</f>
        <v>0</v>
      </c>
      <c r="AJ75" s="87">
        <f>SUM('Defect (Total)'!AJ75,Planned!AJ75,Reconductor!AJ75,CTGS!AJ75)</f>
        <v>0</v>
      </c>
      <c r="AK75" s="88">
        <f t="shared" si="47"/>
        <v>0</v>
      </c>
      <c r="AL75" s="89">
        <f t="shared" si="34"/>
        <v>0</v>
      </c>
      <c r="AM75" s="90">
        <f t="shared" si="48"/>
        <v>0</v>
      </c>
      <c r="AN75" s="91" t="str">
        <f t="shared" si="35"/>
        <v/>
      </c>
      <c r="AO75" s="92" t="str">
        <f t="shared" si="36"/>
        <v/>
      </c>
      <c r="AP75" s="92" t="str">
        <f t="shared" si="37"/>
        <v/>
      </c>
      <c r="AQ75" s="92" t="str">
        <f t="shared" si="38"/>
        <v/>
      </c>
      <c r="AR75" s="92" t="str">
        <f t="shared" si="39"/>
        <v/>
      </c>
      <c r="AS75" s="92" t="str">
        <f t="shared" si="40"/>
        <v/>
      </c>
      <c r="AT75" s="92" t="str">
        <f t="shared" si="41"/>
        <v/>
      </c>
      <c r="AU75" s="92" t="str">
        <f t="shared" si="42"/>
        <v/>
      </c>
      <c r="AV75" s="92" t="str">
        <f t="shared" si="43"/>
        <v/>
      </c>
      <c r="AW75" s="92" t="str">
        <f t="shared" si="44"/>
        <v/>
      </c>
      <c r="AX75" s="92" t="str">
        <f t="shared" si="44"/>
        <v/>
      </c>
      <c r="AY75" s="93" t="str">
        <f t="shared" si="32"/>
        <v/>
      </c>
      <c r="AZ75" s="94" t="str">
        <f t="shared" si="45"/>
        <v/>
      </c>
      <c r="BA75" s="95" t="str">
        <f t="shared" si="46"/>
        <v/>
      </c>
      <c r="BB75" s="689">
        <f>SUM('Defect (Total)'!BB75,Planned!CE75,Reconductor!CE75,CTGS!CE75,'Substation 2025$'!CE75*$BL$1,Comms!CA75*$BL$2)</f>
        <v>0</v>
      </c>
      <c r="BC75" s="689">
        <f>SUM('Defect (Total)'!BC75,Planned!CF75,Reconductor!CF75,CTGS!CF75,'Substation 2025$'!CF75*$BL$1,Comms!CB75*$BL$2)</f>
        <v>0</v>
      </c>
      <c r="BD75" s="96">
        <f>SUM('Defect (Total)'!BD75,Planned!CG75,Reconductor!CG75,CTGS!CG75,'Substation 2025$'!CG75*$BL$1,Comms!CC75*$BL$2)</f>
        <v>0</v>
      </c>
      <c r="BE75" s="96">
        <f>SUM('Defect (Total)'!BE75,Planned!CH75,Reconductor!CH75,CTGS!CH75,'Substation 2025$'!CH75*$BL$1,Comms!CD75*$BL$2)</f>
        <v>0</v>
      </c>
      <c r="BF75" s="96">
        <f>SUM('Defect (Total)'!BF75,Planned!CI75,Reconductor!CI75,CTGS!CI75,'Substation 2025$'!CI75*$BL$1,Comms!CE75*$BL$2)</f>
        <v>0</v>
      </c>
      <c r="BG75" s="96">
        <f>SUM('Defect (Total)'!BG75,Planned!CJ75,Reconductor!CJ75,CTGS!CJ75,'Substation 2025$'!CJ75*$BL$1,Comms!CF75*$BL$2)</f>
        <v>0</v>
      </c>
      <c r="BH75" s="96">
        <f>SUM('Defect (Total)'!BH75,Planned!CK75,Reconductor!CK75,CTGS!CK75,'Substation 2025$'!CK75*$BL$1,Comms!CG75*$BL$2)</f>
        <v>0</v>
      </c>
      <c r="BI75" s="286">
        <f>SUM('Defect (Total)'!BI75,Planned!CL75,Reconductor!CL75,CTGS!CL75,'Substation 2025$'!CL75*$BL$1,Comms!CH75*$BL$2)</f>
        <v>0</v>
      </c>
      <c r="BJ75" s="99" t="str">
        <f t="shared" si="49"/>
        <v/>
      </c>
      <c r="BK75" s="992">
        <f>SUM('Defect (Total)'!BK75,Planned!CQ75,Reconductor!CQ75,CTGS!CQ75,'Substation 2025$'!CQ75*$BL$1,Comms!CM75*$BL$2)</f>
        <v>0</v>
      </c>
      <c r="BL75" s="992">
        <f>SUM('Defect (Total)'!BL75,Planned!CR75,Reconductor!CR75,CTGS!CR75,'Substation 2025$'!CR75*$BL$1,Comms!CN75*$BL$2)</f>
        <v>0</v>
      </c>
      <c r="BM75" s="524">
        <f>SUM('Defect (Total)'!BM75,Planned!CS75,Reconductor!CS75,CTGS!CS75,'Substation 2025$'!CS75*$BL$1,Comms!CO75*$BL$2)</f>
        <v>0</v>
      </c>
      <c r="BN75" s="416">
        <f>SUM('Defect (Total)'!BN75,Planned!CT75,Reconductor!CT75,CTGS!CT75,'Substation 2025$'!CT75*$BL$1,Comms!CP75*$BL$2)</f>
        <v>0</v>
      </c>
      <c r="BO75" s="97">
        <f>SUM('Defect (Total)'!BO75,Planned!CU75,Reconductor!CU75,CTGS!CU75,'Substation 2025$'!CU75*$BL$1,Comms!CQ75*$BL$2)</f>
        <v>0</v>
      </c>
      <c r="BP75" s="97">
        <f>SUM('Defect (Total)'!BP75,Planned!CV75,Reconductor!CV75,CTGS!CV75,'Substation 2025$'!CV75*$BL$1,Comms!CR75*$BL$2)</f>
        <v>0</v>
      </c>
      <c r="BQ75" s="97">
        <f>SUM('Defect (Total)'!BQ75,Planned!CW75,Reconductor!CW75,CTGS!CW75,'Substation 2025$'!CW75*$BL$1,Comms!CS75*$BL$2)</f>
        <v>0</v>
      </c>
      <c r="BR75" s="98">
        <f>SUM('Defect (Total)'!BR75,Planned!CX75,Reconductor!CX75,CTGS!CX75,'Substation 2025$'!CX75*$BL$1,Comms!CT75*$BL$2)</f>
        <v>0</v>
      </c>
    </row>
    <row r="76" spans="1:70" x14ac:dyDescent="0.25">
      <c r="A76" s="81" t="s">
        <v>138</v>
      </c>
      <c r="B76" s="82" t="s">
        <v>155</v>
      </c>
      <c r="C76" s="83" t="s">
        <v>366</v>
      </c>
      <c r="D76" s="84">
        <f>SUM('Defect (Total)'!D76,Planned!D76,Reconductor!D76,CTGS!D76)</f>
        <v>0</v>
      </c>
      <c r="E76" s="85">
        <f>SUM('Defect (Total)'!E76,Planned!E76,Reconductor!E76,CTGS!E76)</f>
        <v>0</v>
      </c>
      <c r="F76" s="85">
        <f>SUM('Defect (Total)'!F76,Planned!F76,Reconductor!F76,CTGS!F76)</f>
        <v>0</v>
      </c>
      <c r="G76" s="85">
        <f>SUM('Defect (Total)'!G76,Planned!G76,Reconductor!G76,CTGS!G76)</f>
        <v>0</v>
      </c>
      <c r="H76" s="85">
        <f>SUM('Defect (Total)'!H76,Planned!H76,Reconductor!H76,CTGS!H76)</f>
        <v>0</v>
      </c>
      <c r="I76" s="85">
        <f>SUM('Defect (Total)'!I76,Planned!I76,Reconductor!I76,CTGS!I76)</f>
        <v>0</v>
      </c>
      <c r="J76" s="85">
        <f>SUM('Defect (Total)'!J76,Planned!J76,Reconductor!J76,CTGS!J76)</f>
        <v>0</v>
      </c>
      <c r="K76" s="85">
        <f>SUM('Defect (Total)'!K76,Planned!K76,Reconductor!K76,CTGS!K76)</f>
        <v>0</v>
      </c>
      <c r="L76" s="85">
        <f>SUM('Defect (Total)'!L76,Planned!L76,Reconductor!L76,CTGS!L76)</f>
        <v>0</v>
      </c>
      <c r="M76" s="85">
        <f>SUM('Defect (Total)'!M76,Planned!M76,Reconductor!M76,CTGS!M76)</f>
        <v>0</v>
      </c>
      <c r="N76" s="85">
        <f>SUM('Defect (Total)'!N76,Planned!N76,Reconductor!N76,CTGS!N76)</f>
        <v>0</v>
      </c>
      <c r="O76" s="560">
        <f>SUM('Defect (Total)'!O76,Planned!O76,Reconductor!O76,CTGS!O76)</f>
        <v>0</v>
      </c>
      <c r="P76" s="561">
        <f>SUM('Defect (Total)'!P76,Planned!P76,Reconductor!P76,CTGS!P76)</f>
        <v>0</v>
      </c>
      <c r="Q76" s="561">
        <f>SUM('Defect (Total)'!Q76,Planned!Q76,Reconductor!Q76,CTGS!Q76)</f>
        <v>0</v>
      </c>
      <c r="R76" s="561">
        <f>SUM('Defect (Total)'!R76,Planned!R76,Reconductor!R76,CTGS!R76)</f>
        <v>0</v>
      </c>
      <c r="S76" s="561">
        <f>SUM('Defect (Total)'!S76,Planned!S76,Reconductor!S76,CTGS!S76)</f>
        <v>0</v>
      </c>
      <c r="T76" s="561">
        <f>SUM('Defect (Total)'!T76,Planned!T76,Reconductor!T76,CTGS!T76)</f>
        <v>0</v>
      </c>
      <c r="U76" s="561">
        <f>SUM('Defect (Total)'!U76,Planned!U76,Reconductor!U76,CTGS!U76)</f>
        <v>0</v>
      </c>
      <c r="V76" s="561">
        <f>SUM('Defect (Total)'!V76,Planned!V76,Reconductor!V76,CTGS!V76)</f>
        <v>0</v>
      </c>
      <c r="W76" s="561">
        <f>SUM('Defect (Total)'!W76,Planned!W76,Reconductor!W76,CTGS!W76)</f>
        <v>0</v>
      </c>
      <c r="X76" s="675">
        <f>SUM('Defect (Total)'!X76,Planned!X76,Reconductor!X76,CTGS!X76)</f>
        <v>0</v>
      </c>
      <c r="Y76" s="675">
        <f>SUM('Defect (Total)'!Y76,Planned!Y76,Reconductor!Y76,CTGS!Y76)</f>
        <v>0</v>
      </c>
      <c r="Z76" s="86">
        <f>SUM('Defect (Total)'!Z76,Planned!Z76,Reconductor!Z76,CTGS!Z76)</f>
        <v>0</v>
      </c>
      <c r="AA76" s="87">
        <f>SUM('Defect (Total)'!AA76,Planned!AA76,Reconductor!AA76,CTGS!AA76)</f>
        <v>0</v>
      </c>
      <c r="AB76" s="87">
        <f>SUM('Defect (Total)'!AB76,Planned!AB76,Reconductor!AB76,CTGS!AB76)</f>
        <v>0</v>
      </c>
      <c r="AC76" s="87">
        <f>SUM('Defect (Total)'!AC76,Planned!AC76,Reconductor!AC76,CTGS!AC76)</f>
        <v>0</v>
      </c>
      <c r="AD76" s="87">
        <f>SUM('Defect (Total)'!AD76,Planned!AD76,Reconductor!AD76,CTGS!AD76)</f>
        <v>0</v>
      </c>
      <c r="AE76" s="87">
        <f>SUM('Defect (Total)'!AE76,Planned!AE76,Reconductor!AE76,CTGS!AE76)</f>
        <v>0</v>
      </c>
      <c r="AF76" s="87">
        <f>SUM('Defect (Total)'!AF76,Planned!AF76,Reconductor!AF76,CTGS!AF76)</f>
        <v>0</v>
      </c>
      <c r="AG76" s="87">
        <f>SUM('Defect (Total)'!AG76,Planned!AG76,Reconductor!AG76,CTGS!AG76)</f>
        <v>0</v>
      </c>
      <c r="AH76" s="87">
        <f>SUM('Defect (Total)'!AH76,Planned!AH76,Reconductor!AH76,CTGS!AH76)</f>
        <v>0</v>
      </c>
      <c r="AI76" s="87">
        <f>SUM('Defect (Total)'!AI76,Planned!AI76,Reconductor!AI76,CTGS!AI76)</f>
        <v>0</v>
      </c>
      <c r="AJ76" s="87">
        <f>SUM('Defect (Total)'!AJ76,Planned!AJ76,Reconductor!AJ76,CTGS!AJ76)</f>
        <v>0</v>
      </c>
      <c r="AK76" s="88">
        <f t="shared" si="47"/>
        <v>0</v>
      </c>
      <c r="AL76" s="89">
        <f t="shared" si="34"/>
        <v>0</v>
      </c>
      <c r="AM76" s="90">
        <f t="shared" si="48"/>
        <v>0</v>
      </c>
      <c r="AN76" s="91" t="str">
        <f t="shared" si="35"/>
        <v/>
      </c>
      <c r="AO76" s="92" t="str">
        <f t="shared" si="36"/>
        <v/>
      </c>
      <c r="AP76" s="92" t="str">
        <f t="shared" si="37"/>
        <v/>
      </c>
      <c r="AQ76" s="92" t="str">
        <f t="shared" si="38"/>
        <v/>
      </c>
      <c r="AR76" s="92" t="str">
        <f t="shared" si="39"/>
        <v/>
      </c>
      <c r="AS76" s="92" t="str">
        <f t="shared" si="40"/>
        <v/>
      </c>
      <c r="AT76" s="92" t="str">
        <f t="shared" si="41"/>
        <v/>
      </c>
      <c r="AU76" s="92" t="str">
        <f t="shared" si="42"/>
        <v/>
      </c>
      <c r="AV76" s="92" t="str">
        <f t="shared" si="43"/>
        <v/>
      </c>
      <c r="AW76" s="92" t="str">
        <f t="shared" si="44"/>
        <v/>
      </c>
      <c r="AX76" s="92" t="str">
        <f t="shared" si="44"/>
        <v/>
      </c>
      <c r="AY76" s="93" t="str">
        <f t="shared" si="32"/>
        <v/>
      </c>
      <c r="AZ76" s="94" t="str">
        <f t="shared" si="45"/>
        <v/>
      </c>
      <c r="BA76" s="95" t="str">
        <f t="shared" si="46"/>
        <v/>
      </c>
      <c r="BB76" s="689">
        <f>SUM('Defect (Total)'!BB76,Planned!CE76,Reconductor!CE76,CTGS!CE76,'Substation 2025$'!CE76*$BL$1,Comms!CA76*$BL$2)</f>
        <v>0</v>
      </c>
      <c r="BC76" s="689">
        <f>SUM('Defect (Total)'!BC76,Planned!CF76,Reconductor!CF76,CTGS!CF76,'Substation 2025$'!CF76*$BL$1,Comms!CB76*$BL$2)</f>
        <v>0</v>
      </c>
      <c r="BD76" s="96">
        <f>SUM('Defect (Total)'!BD76,Planned!CG76,Reconductor!CG76,CTGS!CG76,'Substation 2025$'!CG76*$BL$1,Comms!CC76*$BL$2)</f>
        <v>0</v>
      </c>
      <c r="BE76" s="96">
        <f>SUM('Defect (Total)'!BE76,Planned!CH76,Reconductor!CH76,CTGS!CH76,'Substation 2025$'!CH76*$BL$1,Comms!CD76*$BL$2)</f>
        <v>0</v>
      </c>
      <c r="BF76" s="96">
        <f>SUM('Defect (Total)'!BF76,Planned!CI76,Reconductor!CI76,CTGS!CI76,'Substation 2025$'!CI76*$BL$1,Comms!CE76*$BL$2)</f>
        <v>0</v>
      </c>
      <c r="BG76" s="96">
        <f>SUM('Defect (Total)'!BG76,Planned!CJ76,Reconductor!CJ76,CTGS!CJ76,'Substation 2025$'!CJ76*$BL$1,Comms!CF76*$BL$2)</f>
        <v>0</v>
      </c>
      <c r="BH76" s="96">
        <f>SUM('Defect (Total)'!BH76,Planned!CK76,Reconductor!CK76,CTGS!CK76,'Substation 2025$'!CK76*$BL$1,Comms!CG76*$BL$2)</f>
        <v>0</v>
      </c>
      <c r="BI76" s="286">
        <f>SUM('Defect (Total)'!BI76,Planned!CL76,Reconductor!CL76,CTGS!CL76,'Substation 2025$'!CL76*$BL$1,Comms!CH76*$BL$2)</f>
        <v>0</v>
      </c>
      <c r="BJ76" s="99" t="str">
        <f t="shared" si="49"/>
        <v/>
      </c>
      <c r="BK76" s="992">
        <f>SUM('Defect (Total)'!BK76,Planned!CQ76,Reconductor!CQ76,CTGS!CQ76,'Substation 2025$'!CQ76*$BL$1,Comms!CM76*$BL$2)</f>
        <v>0</v>
      </c>
      <c r="BL76" s="992">
        <f>SUM('Defect (Total)'!BL76,Planned!CR76,Reconductor!CR76,CTGS!CR76,'Substation 2025$'!CR76*$BL$1,Comms!CN76*$BL$2)</f>
        <v>0</v>
      </c>
      <c r="BM76" s="524">
        <f>SUM('Defect (Total)'!BM76,Planned!CS76,Reconductor!CS76,CTGS!CS76,'Substation 2025$'!CS76*$BL$1,Comms!CO76*$BL$2)</f>
        <v>0</v>
      </c>
      <c r="BN76" s="416">
        <f>SUM('Defect (Total)'!BN76,Planned!CT76,Reconductor!CT76,CTGS!CT76,'Substation 2025$'!CT76*$BL$1,Comms!CP76*$BL$2)</f>
        <v>0</v>
      </c>
      <c r="BO76" s="97">
        <f>SUM('Defect (Total)'!BO76,Planned!CU76,Reconductor!CU76,CTGS!CU76,'Substation 2025$'!CU76*$BL$1,Comms!CQ76*$BL$2)</f>
        <v>0</v>
      </c>
      <c r="BP76" s="97">
        <f>SUM('Defect (Total)'!BP76,Planned!CV76,Reconductor!CV76,CTGS!CV76,'Substation 2025$'!CV76*$BL$1,Comms!CR76*$BL$2)</f>
        <v>0</v>
      </c>
      <c r="BQ76" s="97">
        <f>SUM('Defect (Total)'!BQ76,Planned!CW76,Reconductor!CW76,CTGS!CW76,'Substation 2025$'!CW76*$BL$1,Comms!CS76*$BL$2)</f>
        <v>0</v>
      </c>
      <c r="BR76" s="98">
        <f>SUM('Defect (Total)'!BR76,Planned!CX76,Reconductor!CX76,CTGS!CX76,'Substation 2025$'!CX76*$BL$1,Comms!CT76*$BL$2)</f>
        <v>0</v>
      </c>
    </row>
    <row r="77" spans="1:70" x14ac:dyDescent="0.25">
      <c r="A77" s="81" t="s">
        <v>138</v>
      </c>
      <c r="B77" s="82" t="s">
        <v>157</v>
      </c>
      <c r="C77" s="83" t="s">
        <v>367</v>
      </c>
      <c r="D77" s="84">
        <f>SUM('Defect (Total)'!D77,Planned!D77,Reconductor!D77,CTGS!D77)</f>
        <v>957269</v>
      </c>
      <c r="E77" s="85">
        <f>SUM('Defect (Total)'!E77,Planned!E77,Reconductor!E77,CTGS!E77)</f>
        <v>6980790</v>
      </c>
      <c r="F77" s="85">
        <f>SUM('Defect (Total)'!F77,Planned!F77,Reconductor!F77,CTGS!F77)</f>
        <v>3204121</v>
      </c>
      <c r="G77" s="85">
        <f>SUM('Defect (Total)'!G77,Planned!G77,Reconductor!G77,CTGS!G77)</f>
        <v>2454860</v>
      </c>
      <c r="H77" s="85">
        <f>SUM('Defect (Total)'!H77,Planned!H77,Reconductor!H77,CTGS!H77)</f>
        <v>3798580</v>
      </c>
      <c r="I77" s="85">
        <f>SUM('Defect (Total)'!I77,Planned!I77,Reconductor!I77,CTGS!I77)</f>
        <v>5762934.3257183684</v>
      </c>
      <c r="J77" s="85">
        <f>SUM('Defect (Total)'!J77,Planned!J77,Reconductor!J77,CTGS!J77)</f>
        <v>4115054.0009450135</v>
      </c>
      <c r="K77" s="85">
        <f>SUM('Defect (Total)'!K77,Planned!K77,Reconductor!K77,CTGS!K77)</f>
        <v>7634899.2763322387</v>
      </c>
      <c r="L77" s="85">
        <f>SUM('Defect (Total)'!L77,Planned!L77,Reconductor!L77,CTGS!L77)</f>
        <v>8367413.4908599071</v>
      </c>
      <c r="M77" s="85">
        <f>SUM('Defect (Total)'!M77,Planned!M77,Reconductor!M77,CTGS!M77)</f>
        <v>7465331.9368924638</v>
      </c>
      <c r="N77" s="85">
        <f>SUM('Defect (Total)'!N77,Planned!N77,Reconductor!N77,CTGS!N77)</f>
        <v>8828575.6663557477</v>
      </c>
      <c r="O77" s="560">
        <f>SUM('Defect (Total)'!O77,Planned!O77,Reconductor!O77,CTGS!O77)</f>
        <v>1287963.6252305608</v>
      </c>
      <c r="P77" s="561">
        <f>SUM('Defect (Total)'!P77,Planned!P77,Reconductor!P77,CTGS!P77)</f>
        <v>9252554.9317662977</v>
      </c>
      <c r="Q77" s="561">
        <f>SUM('Defect (Total)'!Q77,Planned!Q77,Reconductor!Q77,CTGS!Q77)</f>
        <v>4203825.1684371028</v>
      </c>
      <c r="R77" s="561">
        <f>SUM('Defect (Total)'!R77,Planned!R77,Reconductor!R77,CTGS!R77)</f>
        <v>3159691.4244387876</v>
      </c>
      <c r="S77" s="561">
        <f>SUM('Defect (Total)'!S77,Planned!S77,Reconductor!S77,CTGS!S77)</f>
        <v>4789700.9287145222</v>
      </c>
      <c r="T77" s="561">
        <f>SUM('Defect (Total)'!T77,Planned!T77,Reconductor!T77,CTGS!T77)</f>
        <v>7152656.1094487607</v>
      </c>
      <c r="U77" s="561">
        <f>SUM('Defect (Total)'!U77,Planned!U77,Reconductor!U77,CTGS!U77)</f>
        <v>5125250.2697597863</v>
      </c>
      <c r="V77" s="561">
        <f>SUM('Defect (Total)'!V77,Planned!V77,Reconductor!V77,CTGS!V77)</f>
        <v>9156983.5547473915</v>
      </c>
      <c r="W77" s="561">
        <f>SUM('Defect (Total)'!W77,Planned!W77,Reconductor!W77,CTGS!W77)</f>
        <v>9454568.3812344521</v>
      </c>
      <c r="X77" s="675">
        <f>SUM('Defect (Total)'!X77,Planned!X77,Reconductor!X77,CTGS!X77)</f>
        <v>7939088.8151925523</v>
      </c>
      <c r="Y77" s="675">
        <f>SUM('Defect (Total)'!Y77,Planned!Y77,Reconductor!Y77,CTGS!Y77)</f>
        <v>9071348.0717070717</v>
      </c>
      <c r="Z77" s="86">
        <f>SUM('Defect (Total)'!Z77,Planned!Z77,Reconductor!Z77,CTGS!Z77)</f>
        <v>12</v>
      </c>
      <c r="AA77" s="87">
        <f>SUM('Defect (Total)'!AA77,Planned!AA77,Reconductor!AA77,CTGS!AA77)</f>
        <v>20</v>
      </c>
      <c r="AB77" s="87">
        <f>SUM('Defect (Total)'!AB77,Planned!AB77,Reconductor!AB77,CTGS!AB77)</f>
        <v>21</v>
      </c>
      <c r="AC77" s="87">
        <f>SUM('Defect (Total)'!AC77,Planned!AC77,Reconductor!AC77,CTGS!AC77)</f>
        <v>10</v>
      </c>
      <c r="AD77" s="87">
        <f>SUM('Defect (Total)'!AD77,Planned!AD77,Reconductor!AD77,CTGS!AD77)</f>
        <v>21</v>
      </c>
      <c r="AE77" s="87">
        <f>SUM('Defect (Total)'!AE77,Planned!AE77,Reconductor!AE77,CTGS!AE77)</f>
        <v>24</v>
      </c>
      <c r="AF77" s="87">
        <f>SUM('Defect (Total)'!AF77,Planned!AF77,Reconductor!AF77,CTGS!AF77)</f>
        <v>26</v>
      </c>
      <c r="AG77" s="87">
        <f>SUM('Defect (Total)'!AG77,Planned!AG77,Reconductor!AG77,CTGS!AG77)</f>
        <v>65</v>
      </c>
      <c r="AH77" s="87">
        <f>SUM('Defect (Total)'!AH77,Planned!AH77,Reconductor!AH77,CTGS!AH77)</f>
        <v>99</v>
      </c>
      <c r="AI77" s="87">
        <f>SUM('Defect (Total)'!AI77,Planned!AI77,Reconductor!AI77,CTGS!AI77)</f>
        <v>96</v>
      </c>
      <c r="AJ77" s="87">
        <f>SUM('Defect (Total)'!AJ77,Planned!AJ77,Reconductor!AJ77,CTGS!AJ77)</f>
        <v>84</v>
      </c>
      <c r="AK77" s="88">
        <f t="shared" si="47"/>
        <v>47</v>
      </c>
      <c r="AL77" s="89">
        <f t="shared" si="34"/>
        <v>63.333333333333336</v>
      </c>
      <c r="AM77" s="90">
        <f t="shared" si="48"/>
        <v>99</v>
      </c>
      <c r="AN77" s="91">
        <f t="shared" si="35"/>
        <v>79772.416666666672</v>
      </c>
      <c r="AO77" s="92">
        <f t="shared" si="36"/>
        <v>349039.5</v>
      </c>
      <c r="AP77" s="92">
        <f t="shared" si="37"/>
        <v>152577.19047619047</v>
      </c>
      <c r="AQ77" s="92">
        <f t="shared" si="38"/>
        <v>245486</v>
      </c>
      <c r="AR77" s="92">
        <f t="shared" si="39"/>
        <v>180884.76190476189</v>
      </c>
      <c r="AS77" s="92">
        <f t="shared" si="40"/>
        <v>240122.26357159868</v>
      </c>
      <c r="AT77" s="92">
        <f t="shared" si="41"/>
        <v>158271.30772865436</v>
      </c>
      <c r="AU77" s="92">
        <f t="shared" si="42"/>
        <v>117459.98886664983</v>
      </c>
      <c r="AV77" s="92">
        <f t="shared" si="43"/>
        <v>84519.328190504108</v>
      </c>
      <c r="AW77" s="92">
        <f t="shared" si="44"/>
        <v>77763.874342629832</v>
      </c>
      <c r="AX77" s="92">
        <f t="shared" si="44"/>
        <v>105102.09126613985</v>
      </c>
      <c r="AY77" s="93">
        <f t="shared" si="32"/>
        <v>107566.5581637032</v>
      </c>
      <c r="AZ77" s="94">
        <f t="shared" si="45"/>
        <v>90260.171938786953</v>
      </c>
      <c r="BA77" s="95">
        <f t="shared" si="46"/>
        <v>77763.874342629832</v>
      </c>
      <c r="BB77" s="689">
        <f>SUM('Defect (Total)'!BB77,Planned!CE77,Reconductor!CE77,CTGS!CE77,'Substation 2025$'!CE77*$BL$1,Comms!CA77*$BL$2)</f>
        <v>63.2</v>
      </c>
      <c r="BC77" s="689">
        <f>SUM('Defect (Total)'!BC77,Planned!CF77,Reconductor!CF77,CTGS!CF77,'Substation 2025$'!CF77*$BL$1,Comms!CB77*$BL$2)</f>
        <v>64.2</v>
      </c>
      <c r="BD77" s="96">
        <f>SUM('Defect (Total)'!BD77,Planned!CG77,Reconductor!CG77,CTGS!CG77,'Substation 2025$'!CG77*$BL$1,Comms!CC77*$BL$2)</f>
        <v>63.2</v>
      </c>
      <c r="BE77" s="96">
        <f>SUM('Defect (Total)'!BE77,Planned!CH77,Reconductor!CH77,CTGS!CH77,'Substation 2025$'!CH77*$BL$1,Comms!CD77*$BL$2)</f>
        <v>54.318426573432006</v>
      </c>
      <c r="BF77" s="96">
        <f>SUM('Defect (Total)'!BF77,Planned!CI77,Reconductor!CI77,CTGS!CI77,'Substation 2025$'!CI77*$BL$1,Comms!CE77*$BL$2)</f>
        <v>54.318426573432006</v>
      </c>
      <c r="BG77" s="96">
        <f>SUM('Defect (Total)'!BG77,Planned!CJ77,Reconductor!CJ77,CTGS!CJ77,'Substation 2025$'!CJ77*$BL$1,Comms!CF77*$BL$2)</f>
        <v>54.318426573432006</v>
      </c>
      <c r="BH77" s="96">
        <f>SUM('Defect (Total)'!BH77,Planned!CK77,Reconductor!CK77,CTGS!CK77,'Substation 2025$'!CK77*$BL$1,Comms!CG77*$BL$2)</f>
        <v>54.318426573432006</v>
      </c>
      <c r="BI77" s="286">
        <f>SUM('Defect (Total)'!BI77,Planned!CL77,Reconductor!CL77,CTGS!CL77,'Substation 2025$'!CL77*$BL$1,Comms!CH77*$BL$2)</f>
        <v>54.318426573432006</v>
      </c>
      <c r="BJ77" s="99">
        <f t="shared" si="49"/>
        <v>94108.868400042542</v>
      </c>
      <c r="BK77" s="992">
        <f>SUM('Defect (Total)'!BK77,Planned!CQ77,Reconductor!CQ77,CTGS!CQ77,'Substation 2025$'!CQ77*$BL$1,Comms!CM77*$BL$2)</f>
        <v>6264189.0458836704</v>
      </c>
      <c r="BL77" s="992">
        <f>SUM('Defect (Total)'!BL77,Planned!CR77,Reconductor!CR77,CTGS!CR77,'Substation 2025$'!CR77*$BL$1,Comms!CN77*$BL$2)</f>
        <v>6355722.2332778834</v>
      </c>
      <c r="BM77" s="524">
        <f>SUM('Defect (Total)'!BM77,Planned!CS77,Reconductor!CS77,CTGS!CS77,'Substation 2025$'!CS77*$BL$1,Comms!CO77*$BL$2)</f>
        <v>6264189.0458836704</v>
      </c>
      <c r="BN77" s="416">
        <f>SUM('Defect (Total)'!BN77,Planned!CT77,Reconductor!CT77,CTGS!CT77,'Substation 2025$'!CT77*$BL$1,Comms!CP77*$BL$2)</f>
        <v>5111845.6580964867</v>
      </c>
      <c r="BO77" s="97">
        <f>SUM('Defect (Total)'!BO77,Planned!CU77,Reconductor!CU77,CTGS!CU77,'Substation 2025$'!CU77*$BL$1,Comms!CQ77*$BL$2)</f>
        <v>5111845.6580964867</v>
      </c>
      <c r="BP77" s="97">
        <f>SUM('Defect (Total)'!BP77,Planned!CV77,Reconductor!CV77,CTGS!CV77,'Substation 2025$'!CV77*$BL$1,Comms!CR77*$BL$2)</f>
        <v>5111845.6580964867</v>
      </c>
      <c r="BQ77" s="97">
        <f>SUM('Defect (Total)'!BQ77,Planned!CW77,Reconductor!CW77,CTGS!CW77,'Substation 2025$'!CW77*$BL$1,Comms!CS77*$BL$2)</f>
        <v>5111845.6580964867</v>
      </c>
      <c r="BR77" s="98">
        <f>SUM('Defect (Total)'!BR77,Planned!CX77,Reconductor!CX77,CTGS!CX77,'Substation 2025$'!CX77*$BL$1,Comms!CT77*$BL$2)</f>
        <v>5111845.6580964867</v>
      </c>
    </row>
    <row r="78" spans="1:70" x14ac:dyDescent="0.25">
      <c r="A78" s="81" t="s">
        <v>138</v>
      </c>
      <c r="B78" s="82" t="s">
        <v>159</v>
      </c>
      <c r="C78" s="83" t="s">
        <v>368</v>
      </c>
      <c r="D78" s="84">
        <f>SUM('Defect (Total)'!D78,Planned!D78,Reconductor!D78,CTGS!D78)</f>
        <v>871387</v>
      </c>
      <c r="E78" s="85">
        <f>SUM('Defect (Total)'!E78,Planned!E78,Reconductor!E78,CTGS!E78)</f>
        <v>551584</v>
      </c>
      <c r="F78" s="85">
        <f>SUM('Defect (Total)'!F78,Planned!F78,Reconductor!F78,CTGS!F78)</f>
        <v>572502</v>
      </c>
      <c r="G78" s="85">
        <f>SUM('Defect (Total)'!G78,Planned!G78,Reconductor!G78,CTGS!G78)</f>
        <v>1322749</v>
      </c>
      <c r="H78" s="85">
        <f>SUM('Defect (Total)'!H78,Planned!H78,Reconductor!H78,CTGS!H78)</f>
        <v>1607523</v>
      </c>
      <c r="I78" s="85">
        <f>SUM('Defect (Total)'!I78,Planned!I78,Reconductor!I78,CTGS!I78)</f>
        <v>1784656.6065774828</v>
      </c>
      <c r="J78" s="85">
        <f>SUM('Defect (Total)'!J78,Planned!J78,Reconductor!J78,CTGS!J78)</f>
        <v>994565.94573161122</v>
      </c>
      <c r="K78" s="85">
        <f>SUM('Defect (Total)'!K78,Planned!K78,Reconductor!K78,CTGS!K78)</f>
        <v>1350642.411592179</v>
      </c>
      <c r="L78" s="85">
        <f>SUM('Defect (Total)'!L78,Planned!L78,Reconductor!L78,CTGS!L78)</f>
        <v>917905.96047592838</v>
      </c>
      <c r="M78" s="85">
        <f>SUM('Defect (Total)'!M78,Planned!M78,Reconductor!M78,CTGS!M78)</f>
        <v>2022024.0670805369</v>
      </c>
      <c r="N78" s="85">
        <f>SUM('Defect (Total)'!N78,Planned!N78,Reconductor!N78,CTGS!N78)</f>
        <v>3236790.5212657144</v>
      </c>
      <c r="O78" s="560">
        <f>SUM('Defect (Total)'!O78,Planned!O78,Reconductor!O78,CTGS!O78)</f>
        <v>1172413.1456244609</v>
      </c>
      <c r="P78" s="561">
        <f>SUM('Defect (Total)'!P78,Planned!P78,Reconductor!P78,CTGS!P78)</f>
        <v>731086.49013698765</v>
      </c>
      <c r="Q78" s="561">
        <f>SUM('Defect (Total)'!Q78,Planned!Q78,Reconductor!Q78,CTGS!Q78)</f>
        <v>751125.91458954848</v>
      </c>
      <c r="R78" s="561">
        <f>SUM('Defect (Total)'!R78,Planned!R78,Reconductor!R78,CTGS!R78)</f>
        <v>1702532.3936945414</v>
      </c>
      <c r="S78" s="561">
        <f>SUM('Defect (Total)'!S78,Planned!S78,Reconductor!S78,CTGS!S78)</f>
        <v>2026955.9693437957</v>
      </c>
      <c r="T78" s="561">
        <f>SUM('Defect (Total)'!T78,Planned!T78,Reconductor!T78,CTGS!T78)</f>
        <v>2215023.5034499248</v>
      </c>
      <c r="U78" s="561">
        <f>SUM('Defect (Total)'!U78,Planned!U78,Reconductor!U78,CTGS!U78)</f>
        <v>1238719.924570669</v>
      </c>
      <c r="V78" s="561">
        <f>SUM('Defect (Total)'!V78,Planned!V78,Reconductor!V78,CTGS!V78)</f>
        <v>1619904.8479438967</v>
      </c>
      <c r="W78" s="561">
        <f>SUM('Defect (Total)'!W78,Planned!W78,Reconductor!W78,CTGS!W78)</f>
        <v>1037166.9429677589</v>
      </c>
      <c r="X78" s="675">
        <f>SUM('Defect (Total)'!X78,Planned!X78,Reconductor!X78,CTGS!X78)</f>
        <v>2150343.5869579725</v>
      </c>
      <c r="Y78" s="675">
        <f>SUM('Defect (Total)'!Y78,Planned!Y78,Reconductor!Y78,CTGS!Y78)</f>
        <v>3325797.3384650745</v>
      </c>
      <c r="Z78" s="86">
        <f>SUM('Defect (Total)'!Z78,Planned!Z78,Reconductor!Z78,CTGS!Z78)</f>
        <v>6</v>
      </c>
      <c r="AA78" s="87">
        <f>SUM('Defect (Total)'!AA78,Planned!AA78,Reconductor!AA78,CTGS!AA78)</f>
        <v>4</v>
      </c>
      <c r="AB78" s="87">
        <f>SUM('Defect (Total)'!AB78,Planned!AB78,Reconductor!AB78,CTGS!AB78)</f>
        <v>4</v>
      </c>
      <c r="AC78" s="87">
        <f>SUM('Defect (Total)'!AC78,Planned!AC78,Reconductor!AC78,CTGS!AC78)</f>
        <v>6</v>
      </c>
      <c r="AD78" s="87">
        <f>SUM('Defect (Total)'!AD78,Planned!AD78,Reconductor!AD78,CTGS!AD78)</f>
        <v>10</v>
      </c>
      <c r="AE78" s="87">
        <f>SUM('Defect (Total)'!AE78,Planned!AE78,Reconductor!AE78,CTGS!AE78)</f>
        <v>8</v>
      </c>
      <c r="AF78" s="87">
        <f>SUM('Defect (Total)'!AF78,Planned!AF78,Reconductor!AF78,CTGS!AF78)</f>
        <v>8</v>
      </c>
      <c r="AG78" s="87">
        <f>SUM('Defect (Total)'!AG78,Planned!AG78,Reconductor!AG78,CTGS!AG78)</f>
        <v>16</v>
      </c>
      <c r="AH78" s="87">
        <f>SUM('Defect (Total)'!AH78,Planned!AH78,Reconductor!AH78,CTGS!AH78)</f>
        <v>8</v>
      </c>
      <c r="AI78" s="87">
        <f>SUM('Defect (Total)'!AI78,Planned!AI78,Reconductor!AI78,CTGS!AI78)</f>
        <v>16</v>
      </c>
      <c r="AJ78" s="87">
        <f>SUM('Defect (Total)'!AJ78,Planned!AJ78,Reconductor!AJ78,CTGS!AJ78)</f>
        <v>9</v>
      </c>
      <c r="AK78" s="88">
        <f t="shared" si="47"/>
        <v>10</v>
      </c>
      <c r="AL78" s="89">
        <f t="shared" si="34"/>
        <v>10.666666666666666</v>
      </c>
      <c r="AM78" s="90">
        <f t="shared" si="48"/>
        <v>8</v>
      </c>
      <c r="AN78" s="91">
        <f t="shared" si="35"/>
        <v>145231.16666666666</v>
      </c>
      <c r="AO78" s="92">
        <f t="shared" si="36"/>
        <v>137896</v>
      </c>
      <c r="AP78" s="92">
        <f t="shared" si="37"/>
        <v>143125.5</v>
      </c>
      <c r="AQ78" s="92">
        <f t="shared" si="38"/>
        <v>220458.16666666666</v>
      </c>
      <c r="AR78" s="92">
        <f t="shared" si="39"/>
        <v>160752.29999999999</v>
      </c>
      <c r="AS78" s="92">
        <f t="shared" si="40"/>
        <v>223082.07582218535</v>
      </c>
      <c r="AT78" s="92">
        <f t="shared" si="41"/>
        <v>124320.7432164514</v>
      </c>
      <c r="AU78" s="92">
        <f t="shared" si="42"/>
        <v>84415.150724511186</v>
      </c>
      <c r="AV78" s="92">
        <f t="shared" si="43"/>
        <v>114738.24505949105</v>
      </c>
      <c r="AW78" s="92">
        <f t="shared" si="44"/>
        <v>126376.50419253355</v>
      </c>
      <c r="AX78" s="92">
        <f t="shared" si="44"/>
        <v>359643.39125174604</v>
      </c>
      <c r="AY78" s="93">
        <f t="shared" si="32"/>
        <v>126246.3391331739</v>
      </c>
      <c r="AZ78" s="94">
        <f t="shared" si="45"/>
        <v>107264.31097871609</v>
      </c>
      <c r="BA78" s="95">
        <f t="shared" si="46"/>
        <v>126376.50419253355</v>
      </c>
      <c r="BB78" s="689">
        <f>SUM('Defect (Total)'!BB78,Planned!CE78,Reconductor!CE78,CTGS!CE78,'Substation 2025$'!CE78*$BL$1,Comms!CA78*$BL$2)</f>
        <v>12</v>
      </c>
      <c r="BC78" s="689">
        <f>SUM('Defect (Total)'!BC78,Planned!CF78,Reconductor!CF78,CTGS!CF78,'Substation 2025$'!CF78*$BL$1,Comms!CB78*$BL$2)</f>
        <v>12</v>
      </c>
      <c r="BD78" s="96">
        <f>SUM('Defect (Total)'!BD78,Planned!CG78,Reconductor!CG78,CTGS!CG78,'Substation 2025$'!CG78*$BL$1,Comms!CC78*$BL$2)</f>
        <v>12</v>
      </c>
      <c r="BE78" s="96">
        <f>SUM('Defect (Total)'!BE78,Planned!CH78,Reconductor!CH78,CTGS!CH78,'Substation 2025$'!CH78*$BL$1,Comms!CD78*$BL$2)</f>
        <v>10.213006993007999</v>
      </c>
      <c r="BF78" s="96">
        <f>SUM('Defect (Total)'!BF78,Planned!CI78,Reconductor!CI78,CTGS!CI78,'Substation 2025$'!CI78*$BL$1,Comms!CE78*$BL$2)</f>
        <v>10.213006993007999</v>
      </c>
      <c r="BG78" s="96">
        <f>SUM('Defect (Total)'!BG78,Planned!CJ78,Reconductor!CJ78,CTGS!CJ78,'Substation 2025$'!CJ78*$BL$1,Comms!CF78*$BL$2)</f>
        <v>10.213006993007999</v>
      </c>
      <c r="BH78" s="96">
        <f>SUM('Defect (Total)'!BH78,Planned!CK78,Reconductor!CK78,CTGS!CK78,'Substation 2025$'!CK78*$BL$1,Comms!CG78*$BL$2)</f>
        <v>10.213006993007999</v>
      </c>
      <c r="BI78" s="286">
        <f>SUM('Defect (Total)'!BI78,Planned!CL78,Reconductor!CL78,CTGS!CL78,'Substation 2025$'!CL78*$BL$1,Comms!CH78*$BL$2)</f>
        <v>10.213006993007999</v>
      </c>
      <c r="BJ78" s="99">
        <f t="shared" si="49"/>
        <v>110469.62946406005</v>
      </c>
      <c r="BK78" s="992">
        <f>SUM('Defect (Total)'!BK78,Planned!CQ78,Reconductor!CQ78,CTGS!CQ78,'Substation 2025$'!CQ78*$BL$1,Comms!CM78*$BL$2)</f>
        <v>1345896.1235975632</v>
      </c>
      <c r="BL78" s="992">
        <f>SUM('Defect (Total)'!BL78,Planned!CR78,Reconductor!CR78,CTGS!CR78,'Substation 2025$'!CR78*$BL$1,Comms!CN78*$BL$2)</f>
        <v>1345896.1235975632</v>
      </c>
      <c r="BM78" s="524">
        <f>SUM('Defect (Total)'!BM78,Planned!CS78,Reconductor!CS78,CTGS!CS78,'Substation 2025$'!CS78*$BL$1,Comms!CO78*$BL$2)</f>
        <v>1345896.1235975632</v>
      </c>
      <c r="BN78" s="416">
        <f>SUM('Defect (Total)'!BN78,Planned!CT78,Reconductor!CT78,CTGS!CT78,'Substation 2025$'!CT78*$BL$1,Comms!CP78*$BL$2)</f>
        <v>1128227.0982314479</v>
      </c>
      <c r="BO78" s="97">
        <f>SUM('Defect (Total)'!BO78,Planned!CU78,Reconductor!CU78,CTGS!CU78,'Substation 2025$'!CU78*$BL$1,Comms!CQ78*$BL$2)</f>
        <v>1128227.0982314479</v>
      </c>
      <c r="BP78" s="97">
        <f>SUM('Defect (Total)'!BP78,Planned!CV78,Reconductor!CV78,CTGS!CV78,'Substation 2025$'!CV78*$BL$1,Comms!CR78*$BL$2)</f>
        <v>1128227.0982314479</v>
      </c>
      <c r="BQ78" s="97">
        <f>SUM('Defect (Total)'!BQ78,Planned!CW78,Reconductor!CW78,CTGS!CW78,'Substation 2025$'!CW78*$BL$1,Comms!CS78*$BL$2)</f>
        <v>1128227.0982314479</v>
      </c>
      <c r="BR78" s="98">
        <f>SUM('Defect (Total)'!BR78,Planned!CX78,Reconductor!CX78,CTGS!CX78,'Substation 2025$'!CX78*$BL$1,Comms!CT78*$BL$2)</f>
        <v>1128227.0982314479</v>
      </c>
    </row>
    <row r="79" spans="1:70" x14ac:dyDescent="0.25">
      <c r="A79" s="81" t="s">
        <v>138</v>
      </c>
      <c r="B79" s="82" t="s">
        <v>161</v>
      </c>
      <c r="C79" s="83" t="s">
        <v>369</v>
      </c>
      <c r="D79" s="84">
        <f>SUM('Defect (Total)'!D79,Planned!D79,Reconductor!D79,CTGS!D79)</f>
        <v>0</v>
      </c>
      <c r="E79" s="85">
        <f>SUM('Defect (Total)'!E79,Planned!E79,Reconductor!E79,CTGS!E79)</f>
        <v>0</v>
      </c>
      <c r="F79" s="85">
        <f>SUM('Defect (Total)'!F79,Planned!F79,Reconductor!F79,CTGS!F79)</f>
        <v>0</v>
      </c>
      <c r="G79" s="85">
        <f>SUM('Defect (Total)'!G79,Planned!G79,Reconductor!G79,CTGS!G79)</f>
        <v>0</v>
      </c>
      <c r="H79" s="85">
        <f>SUM('Defect (Total)'!H79,Planned!H79,Reconductor!H79,CTGS!H79)</f>
        <v>0</v>
      </c>
      <c r="I79" s="85">
        <f>SUM('Defect (Total)'!I79,Planned!I79,Reconductor!I79,CTGS!I79)</f>
        <v>0</v>
      </c>
      <c r="J79" s="85">
        <f>SUM('Defect (Total)'!J79,Planned!J79,Reconductor!J79,CTGS!J79)</f>
        <v>0</v>
      </c>
      <c r="K79" s="85">
        <f>SUM('Defect (Total)'!K79,Planned!K79,Reconductor!K79,CTGS!K79)</f>
        <v>0</v>
      </c>
      <c r="L79" s="85">
        <f>SUM('Defect (Total)'!L79,Planned!L79,Reconductor!L79,CTGS!L79)</f>
        <v>0</v>
      </c>
      <c r="M79" s="85">
        <f>SUM('Defect (Total)'!M79,Planned!M79,Reconductor!M79,CTGS!M79)</f>
        <v>0</v>
      </c>
      <c r="N79" s="85">
        <f>SUM('Defect (Total)'!N79,Planned!N79,Reconductor!N79,CTGS!N79)</f>
        <v>0</v>
      </c>
      <c r="O79" s="560">
        <f>SUM('Defect (Total)'!O79,Planned!O79,Reconductor!O79,CTGS!O79)</f>
        <v>0</v>
      </c>
      <c r="P79" s="561">
        <f>SUM('Defect (Total)'!P79,Planned!P79,Reconductor!P79,CTGS!P79)</f>
        <v>0</v>
      </c>
      <c r="Q79" s="561">
        <f>SUM('Defect (Total)'!Q79,Planned!Q79,Reconductor!Q79,CTGS!Q79)</f>
        <v>0</v>
      </c>
      <c r="R79" s="561">
        <f>SUM('Defect (Total)'!R79,Planned!R79,Reconductor!R79,CTGS!R79)</f>
        <v>0</v>
      </c>
      <c r="S79" s="561">
        <f>SUM('Defect (Total)'!S79,Planned!S79,Reconductor!S79,CTGS!S79)</f>
        <v>0</v>
      </c>
      <c r="T79" s="561">
        <f>SUM('Defect (Total)'!T79,Planned!T79,Reconductor!T79,CTGS!T79)</f>
        <v>0</v>
      </c>
      <c r="U79" s="561">
        <f>SUM('Defect (Total)'!U79,Planned!U79,Reconductor!U79,CTGS!U79)</f>
        <v>0</v>
      </c>
      <c r="V79" s="561">
        <f>SUM('Defect (Total)'!V79,Planned!V79,Reconductor!V79,CTGS!V79)</f>
        <v>0</v>
      </c>
      <c r="W79" s="561">
        <f>SUM('Defect (Total)'!W79,Planned!W79,Reconductor!W79,CTGS!W79)</f>
        <v>0</v>
      </c>
      <c r="X79" s="675">
        <f>SUM('Defect (Total)'!X79,Planned!X79,Reconductor!X79,CTGS!X79)</f>
        <v>0</v>
      </c>
      <c r="Y79" s="675">
        <f>SUM('Defect (Total)'!Y79,Planned!Y79,Reconductor!Y79,CTGS!Y79)</f>
        <v>0</v>
      </c>
      <c r="Z79" s="86">
        <f>SUM('Defect (Total)'!Z79,Planned!Z79,Reconductor!Z79,CTGS!Z79)</f>
        <v>0</v>
      </c>
      <c r="AA79" s="87">
        <f>SUM('Defect (Total)'!AA79,Planned!AA79,Reconductor!AA79,CTGS!AA79)</f>
        <v>0</v>
      </c>
      <c r="AB79" s="87">
        <f>SUM('Defect (Total)'!AB79,Planned!AB79,Reconductor!AB79,CTGS!AB79)</f>
        <v>0</v>
      </c>
      <c r="AC79" s="87">
        <f>SUM('Defect (Total)'!AC79,Planned!AC79,Reconductor!AC79,CTGS!AC79)</f>
        <v>0</v>
      </c>
      <c r="AD79" s="87">
        <f>SUM('Defect (Total)'!AD79,Planned!AD79,Reconductor!AD79,CTGS!AD79)</f>
        <v>0</v>
      </c>
      <c r="AE79" s="87">
        <f>SUM('Defect (Total)'!AE79,Planned!AE79,Reconductor!AE79,CTGS!AE79)</f>
        <v>0</v>
      </c>
      <c r="AF79" s="87">
        <f>SUM('Defect (Total)'!AF79,Planned!AF79,Reconductor!AF79,CTGS!AF79)</f>
        <v>0</v>
      </c>
      <c r="AG79" s="87">
        <f>SUM('Defect (Total)'!AG79,Planned!AG79,Reconductor!AG79,CTGS!AG79)</f>
        <v>0</v>
      </c>
      <c r="AH79" s="87">
        <f>SUM('Defect (Total)'!AH79,Planned!AH79,Reconductor!AH79,CTGS!AH79)</f>
        <v>0</v>
      </c>
      <c r="AI79" s="87">
        <f>SUM('Defect (Total)'!AI79,Planned!AI79,Reconductor!AI79,CTGS!AI79)</f>
        <v>0</v>
      </c>
      <c r="AJ79" s="87">
        <f>SUM('Defect (Total)'!AJ79,Planned!AJ79,Reconductor!AJ79,CTGS!AJ79)</f>
        <v>0</v>
      </c>
      <c r="AK79" s="88">
        <f t="shared" si="47"/>
        <v>0</v>
      </c>
      <c r="AL79" s="89">
        <f t="shared" si="34"/>
        <v>0</v>
      </c>
      <c r="AM79" s="90">
        <f t="shared" si="48"/>
        <v>0</v>
      </c>
      <c r="AN79" s="91" t="str">
        <f t="shared" si="35"/>
        <v/>
      </c>
      <c r="AO79" s="92" t="str">
        <f t="shared" si="36"/>
        <v/>
      </c>
      <c r="AP79" s="92" t="str">
        <f t="shared" si="37"/>
        <v/>
      </c>
      <c r="AQ79" s="92" t="str">
        <f t="shared" si="38"/>
        <v/>
      </c>
      <c r="AR79" s="92" t="str">
        <f t="shared" si="39"/>
        <v/>
      </c>
      <c r="AS79" s="92" t="str">
        <f t="shared" si="40"/>
        <v/>
      </c>
      <c r="AT79" s="92" t="str">
        <f t="shared" si="41"/>
        <v/>
      </c>
      <c r="AU79" s="92" t="str">
        <f t="shared" si="42"/>
        <v/>
      </c>
      <c r="AV79" s="92" t="str">
        <f t="shared" si="43"/>
        <v/>
      </c>
      <c r="AW79" s="92" t="str">
        <f t="shared" si="44"/>
        <v/>
      </c>
      <c r="AX79" s="92" t="str">
        <f t="shared" si="44"/>
        <v/>
      </c>
      <c r="AY79" s="93" t="str">
        <f t="shared" si="32"/>
        <v/>
      </c>
      <c r="AZ79" s="94" t="str">
        <f t="shared" si="45"/>
        <v/>
      </c>
      <c r="BA79" s="95" t="str">
        <f t="shared" si="46"/>
        <v/>
      </c>
      <c r="BB79" s="689">
        <f>SUM('Defect (Total)'!BB79,Planned!CE79,Reconductor!CE79,CTGS!CE79,'Substation 2025$'!CE79*$BL$1,Comms!CA79*$BL$2)</f>
        <v>0</v>
      </c>
      <c r="BC79" s="689">
        <f>SUM('Defect (Total)'!BC79,Planned!CF79,Reconductor!CF79,CTGS!CF79,'Substation 2025$'!CF79*$BL$1,Comms!CB79*$BL$2)</f>
        <v>0</v>
      </c>
      <c r="BD79" s="96">
        <f>SUM('Defect (Total)'!BD79,Planned!CG79,Reconductor!CG79,CTGS!CG79,'Substation 2025$'!CG79*$BL$1,Comms!CC79*$BL$2)</f>
        <v>0</v>
      </c>
      <c r="BE79" s="96">
        <f>SUM('Defect (Total)'!BE79,Planned!CH79,Reconductor!CH79,CTGS!CH79,'Substation 2025$'!CH79*$BL$1,Comms!CD79*$BL$2)</f>
        <v>0</v>
      </c>
      <c r="BF79" s="96">
        <f>SUM('Defect (Total)'!BF79,Planned!CI79,Reconductor!CI79,CTGS!CI79,'Substation 2025$'!CI79*$BL$1,Comms!CE79*$BL$2)</f>
        <v>0</v>
      </c>
      <c r="BG79" s="96">
        <f>SUM('Defect (Total)'!BG79,Planned!CJ79,Reconductor!CJ79,CTGS!CJ79,'Substation 2025$'!CJ79*$BL$1,Comms!CF79*$BL$2)</f>
        <v>0</v>
      </c>
      <c r="BH79" s="96">
        <f>SUM('Defect (Total)'!BH79,Planned!CK79,Reconductor!CK79,CTGS!CK79,'Substation 2025$'!CK79*$BL$1,Comms!CG79*$BL$2)</f>
        <v>0</v>
      </c>
      <c r="BI79" s="286">
        <f>SUM('Defect (Total)'!BI79,Planned!CL79,Reconductor!CL79,CTGS!CL79,'Substation 2025$'!CL79*$BL$1,Comms!CH79*$BL$2)</f>
        <v>0</v>
      </c>
      <c r="BJ79" s="99" t="str">
        <f t="shared" si="49"/>
        <v/>
      </c>
      <c r="BK79" s="992">
        <f>SUM('Defect (Total)'!BK79,Planned!CQ79,Reconductor!CQ79,CTGS!CQ79,'Substation 2025$'!CQ79*$BL$1,Comms!CM79*$BL$2)</f>
        <v>0</v>
      </c>
      <c r="BL79" s="992">
        <f>SUM('Defect (Total)'!BL79,Planned!CR79,Reconductor!CR79,CTGS!CR79,'Substation 2025$'!CR79*$BL$1,Comms!CN79*$BL$2)</f>
        <v>0</v>
      </c>
      <c r="BM79" s="524">
        <f>SUM('Defect (Total)'!BM79,Planned!CS79,Reconductor!CS79,CTGS!CS79,'Substation 2025$'!CS79*$BL$1,Comms!CO79*$BL$2)</f>
        <v>0</v>
      </c>
      <c r="BN79" s="416">
        <f>SUM('Defect (Total)'!BN79,Planned!CT79,Reconductor!CT79,CTGS!CT79,'Substation 2025$'!CT79*$BL$1,Comms!CP79*$BL$2)</f>
        <v>0</v>
      </c>
      <c r="BO79" s="97">
        <f>SUM('Defect (Total)'!BO79,Planned!CU79,Reconductor!CU79,CTGS!CU79,'Substation 2025$'!CU79*$BL$1,Comms!CQ79*$BL$2)</f>
        <v>0</v>
      </c>
      <c r="BP79" s="97">
        <f>SUM('Defect (Total)'!BP79,Planned!CV79,Reconductor!CV79,CTGS!CV79,'Substation 2025$'!CV79*$BL$1,Comms!CR79*$BL$2)</f>
        <v>0</v>
      </c>
      <c r="BQ79" s="97">
        <f>SUM('Defect (Total)'!BQ79,Planned!CW79,Reconductor!CW79,CTGS!CW79,'Substation 2025$'!CW79*$BL$1,Comms!CS79*$BL$2)</f>
        <v>0</v>
      </c>
      <c r="BR79" s="98">
        <f>SUM('Defect (Total)'!BR79,Planned!CX79,Reconductor!CX79,CTGS!CX79,'Substation 2025$'!CX79*$BL$1,Comms!CT79*$BL$2)</f>
        <v>0</v>
      </c>
    </row>
    <row r="80" spans="1:70" x14ac:dyDescent="0.25">
      <c r="A80" s="81" t="s">
        <v>138</v>
      </c>
      <c r="B80" s="82" t="s">
        <v>163</v>
      </c>
      <c r="C80" s="83" t="s">
        <v>370</v>
      </c>
      <c r="D80" s="84">
        <f>SUM('Defect (Total)'!D80,Planned!D80,Reconductor!D80,CTGS!D80)</f>
        <v>0</v>
      </c>
      <c r="E80" s="85">
        <f>SUM('Defect (Total)'!E80,Planned!E80,Reconductor!E80,CTGS!E80)</f>
        <v>0</v>
      </c>
      <c r="F80" s="85">
        <f>SUM('Defect (Total)'!F80,Planned!F80,Reconductor!F80,CTGS!F80)</f>
        <v>0</v>
      </c>
      <c r="G80" s="85">
        <f>SUM('Defect (Total)'!G80,Planned!G80,Reconductor!G80,CTGS!G80)</f>
        <v>0</v>
      </c>
      <c r="H80" s="85">
        <f>SUM('Defect (Total)'!H80,Planned!H80,Reconductor!H80,CTGS!H80)</f>
        <v>0</v>
      </c>
      <c r="I80" s="85">
        <f>SUM('Defect (Total)'!I80,Planned!I80,Reconductor!I80,CTGS!I80)</f>
        <v>0</v>
      </c>
      <c r="J80" s="85">
        <f>SUM('Defect (Total)'!J80,Planned!J80,Reconductor!J80,CTGS!J80)</f>
        <v>0</v>
      </c>
      <c r="K80" s="85">
        <f>SUM('Defect (Total)'!K80,Planned!K80,Reconductor!K80,CTGS!K80)</f>
        <v>0</v>
      </c>
      <c r="L80" s="85">
        <f>SUM('Defect (Total)'!L80,Planned!L80,Reconductor!L80,CTGS!L80)</f>
        <v>0</v>
      </c>
      <c r="M80" s="85">
        <f>SUM('Defect (Total)'!M80,Planned!M80,Reconductor!M80,CTGS!M80)</f>
        <v>0</v>
      </c>
      <c r="N80" s="85">
        <f>SUM('Defect (Total)'!N80,Planned!N80,Reconductor!N80,CTGS!N80)</f>
        <v>0</v>
      </c>
      <c r="O80" s="560">
        <f>SUM('Defect (Total)'!O80,Planned!O80,Reconductor!O80,CTGS!O80)</f>
        <v>0</v>
      </c>
      <c r="P80" s="561">
        <f>SUM('Defect (Total)'!P80,Planned!P80,Reconductor!P80,CTGS!P80)</f>
        <v>0</v>
      </c>
      <c r="Q80" s="561">
        <f>SUM('Defect (Total)'!Q80,Planned!Q80,Reconductor!Q80,CTGS!Q80)</f>
        <v>0</v>
      </c>
      <c r="R80" s="561">
        <f>SUM('Defect (Total)'!R80,Planned!R80,Reconductor!R80,CTGS!R80)</f>
        <v>0</v>
      </c>
      <c r="S80" s="561">
        <f>SUM('Defect (Total)'!S80,Planned!S80,Reconductor!S80,CTGS!S80)</f>
        <v>0</v>
      </c>
      <c r="T80" s="561">
        <f>SUM('Defect (Total)'!T80,Planned!T80,Reconductor!T80,CTGS!T80)</f>
        <v>0</v>
      </c>
      <c r="U80" s="561">
        <f>SUM('Defect (Total)'!U80,Planned!U80,Reconductor!U80,CTGS!U80)</f>
        <v>0</v>
      </c>
      <c r="V80" s="561">
        <f>SUM('Defect (Total)'!V80,Planned!V80,Reconductor!V80,CTGS!V80)</f>
        <v>0</v>
      </c>
      <c r="W80" s="561">
        <f>SUM('Defect (Total)'!W80,Planned!W80,Reconductor!W80,CTGS!W80)</f>
        <v>0</v>
      </c>
      <c r="X80" s="675">
        <f>SUM('Defect (Total)'!X80,Planned!X80,Reconductor!X80,CTGS!X80)</f>
        <v>0</v>
      </c>
      <c r="Y80" s="675">
        <f>SUM('Defect (Total)'!Y80,Planned!Y80,Reconductor!Y80,CTGS!Y80)</f>
        <v>0</v>
      </c>
      <c r="Z80" s="86">
        <f>SUM('Defect (Total)'!Z80,Planned!Z80,Reconductor!Z80,CTGS!Z80)</f>
        <v>0</v>
      </c>
      <c r="AA80" s="87">
        <f>SUM('Defect (Total)'!AA80,Planned!AA80,Reconductor!AA80,CTGS!AA80)</f>
        <v>0</v>
      </c>
      <c r="AB80" s="87">
        <f>SUM('Defect (Total)'!AB80,Planned!AB80,Reconductor!AB80,CTGS!AB80)</f>
        <v>0</v>
      </c>
      <c r="AC80" s="87">
        <f>SUM('Defect (Total)'!AC80,Planned!AC80,Reconductor!AC80,CTGS!AC80)</f>
        <v>0</v>
      </c>
      <c r="AD80" s="87">
        <f>SUM('Defect (Total)'!AD80,Planned!AD80,Reconductor!AD80,CTGS!AD80)</f>
        <v>0</v>
      </c>
      <c r="AE80" s="87">
        <f>SUM('Defect (Total)'!AE80,Planned!AE80,Reconductor!AE80,CTGS!AE80)</f>
        <v>0</v>
      </c>
      <c r="AF80" s="87">
        <f>SUM('Defect (Total)'!AF80,Planned!AF80,Reconductor!AF80,CTGS!AF80)</f>
        <v>0</v>
      </c>
      <c r="AG80" s="87">
        <f>SUM('Defect (Total)'!AG80,Planned!AG80,Reconductor!AG80,CTGS!AG80)</f>
        <v>0</v>
      </c>
      <c r="AH80" s="87">
        <f>SUM('Defect (Total)'!AH80,Planned!AH80,Reconductor!AH80,CTGS!AH80)</f>
        <v>0</v>
      </c>
      <c r="AI80" s="87">
        <f>SUM('Defect (Total)'!AI80,Planned!AI80,Reconductor!AI80,CTGS!AI80)</f>
        <v>0</v>
      </c>
      <c r="AJ80" s="87">
        <f>SUM('Defect (Total)'!AJ80,Planned!AJ80,Reconductor!AJ80,CTGS!AJ80)</f>
        <v>0</v>
      </c>
      <c r="AK80" s="88">
        <f t="shared" si="47"/>
        <v>0</v>
      </c>
      <c r="AL80" s="89">
        <f t="shared" si="34"/>
        <v>0</v>
      </c>
      <c r="AM80" s="90">
        <f t="shared" si="48"/>
        <v>0</v>
      </c>
      <c r="AN80" s="91" t="str">
        <f t="shared" si="35"/>
        <v/>
      </c>
      <c r="AO80" s="92" t="str">
        <f t="shared" si="36"/>
        <v/>
      </c>
      <c r="AP80" s="92" t="str">
        <f t="shared" si="37"/>
        <v/>
      </c>
      <c r="AQ80" s="92" t="str">
        <f t="shared" si="38"/>
        <v/>
      </c>
      <c r="AR80" s="92" t="str">
        <f t="shared" si="39"/>
        <v/>
      </c>
      <c r="AS80" s="92" t="str">
        <f t="shared" si="40"/>
        <v/>
      </c>
      <c r="AT80" s="92" t="str">
        <f t="shared" si="41"/>
        <v/>
      </c>
      <c r="AU80" s="92" t="str">
        <f t="shared" si="42"/>
        <v/>
      </c>
      <c r="AV80" s="92" t="str">
        <f t="shared" si="43"/>
        <v/>
      </c>
      <c r="AW80" s="92" t="str">
        <f t="shared" si="44"/>
        <v/>
      </c>
      <c r="AX80" s="92" t="str">
        <f t="shared" si="44"/>
        <v/>
      </c>
      <c r="AY80" s="93" t="str">
        <f t="shared" si="32"/>
        <v/>
      </c>
      <c r="AZ80" s="94" t="str">
        <f t="shared" si="45"/>
        <v/>
      </c>
      <c r="BA80" s="95" t="str">
        <f t="shared" si="46"/>
        <v/>
      </c>
      <c r="BB80" s="689">
        <f>SUM('Defect (Total)'!BB80,Planned!CE80,Reconductor!CE80,CTGS!CE80,'Substation 2025$'!CE80*$BL$1,Comms!CA80*$BL$2)</f>
        <v>0</v>
      </c>
      <c r="BC80" s="689">
        <f>SUM('Defect (Total)'!BC80,Planned!CF80,Reconductor!CF80,CTGS!CF80,'Substation 2025$'!CF80*$BL$1,Comms!CB80*$BL$2)</f>
        <v>0</v>
      </c>
      <c r="BD80" s="96">
        <f>SUM('Defect (Total)'!BD80,Planned!CG80,Reconductor!CG80,CTGS!CG80,'Substation 2025$'!CG80*$BL$1,Comms!CC80*$BL$2)</f>
        <v>0</v>
      </c>
      <c r="BE80" s="96">
        <f>SUM('Defect (Total)'!BE80,Planned!CH80,Reconductor!CH80,CTGS!CH80,'Substation 2025$'!CH80*$BL$1,Comms!CD80*$BL$2)</f>
        <v>0</v>
      </c>
      <c r="BF80" s="96">
        <f>SUM('Defect (Total)'!BF80,Planned!CI80,Reconductor!CI80,CTGS!CI80,'Substation 2025$'!CI80*$BL$1,Comms!CE80*$BL$2)</f>
        <v>0</v>
      </c>
      <c r="BG80" s="96">
        <f>SUM('Defect (Total)'!BG80,Planned!CJ80,Reconductor!CJ80,CTGS!CJ80,'Substation 2025$'!CJ80*$BL$1,Comms!CF80*$BL$2)</f>
        <v>0</v>
      </c>
      <c r="BH80" s="96">
        <f>SUM('Defect (Total)'!BH80,Planned!CK80,Reconductor!CK80,CTGS!CK80,'Substation 2025$'!CK80*$BL$1,Comms!CG80*$BL$2)</f>
        <v>0</v>
      </c>
      <c r="BI80" s="286">
        <f>SUM('Defect (Total)'!BI80,Planned!CL80,Reconductor!CL80,CTGS!CL80,'Substation 2025$'!CL80*$BL$1,Comms!CH80*$BL$2)</f>
        <v>0</v>
      </c>
      <c r="BJ80" s="99" t="str">
        <f t="shared" si="49"/>
        <v/>
      </c>
      <c r="BK80" s="992">
        <f>SUM('Defect (Total)'!BK80,Planned!CQ80,Reconductor!CQ80,CTGS!CQ80,'Substation 2025$'!CQ80*$BL$1,Comms!CM80*$BL$2)</f>
        <v>0</v>
      </c>
      <c r="BL80" s="992">
        <f>SUM('Defect (Total)'!BL80,Planned!CR80,Reconductor!CR80,CTGS!CR80,'Substation 2025$'!CR80*$BL$1,Comms!CN80*$BL$2)</f>
        <v>0</v>
      </c>
      <c r="BM80" s="524">
        <f>SUM('Defect (Total)'!BM80,Planned!CS80,Reconductor!CS80,CTGS!CS80,'Substation 2025$'!CS80*$BL$1,Comms!CO80*$BL$2)</f>
        <v>0</v>
      </c>
      <c r="BN80" s="416">
        <f>SUM('Defect (Total)'!BN80,Planned!CT80,Reconductor!CT80,CTGS!CT80,'Substation 2025$'!CT80*$BL$1,Comms!CP80*$BL$2)</f>
        <v>0</v>
      </c>
      <c r="BO80" s="97">
        <f>SUM('Defect (Total)'!BO80,Planned!CU80,Reconductor!CU80,CTGS!CU80,'Substation 2025$'!CU80*$BL$1,Comms!CQ80*$BL$2)</f>
        <v>0</v>
      </c>
      <c r="BP80" s="97">
        <f>SUM('Defect (Total)'!BP80,Planned!CV80,Reconductor!CV80,CTGS!CV80,'Substation 2025$'!CV80*$BL$1,Comms!CR80*$BL$2)</f>
        <v>0</v>
      </c>
      <c r="BQ80" s="97">
        <f>SUM('Defect (Total)'!BQ80,Planned!CW80,Reconductor!CW80,CTGS!CW80,'Substation 2025$'!CW80*$BL$1,Comms!CS80*$BL$2)</f>
        <v>0</v>
      </c>
      <c r="BR80" s="98">
        <f>SUM('Defect (Total)'!BR80,Planned!CX80,Reconductor!CX80,CTGS!CX80,'Substation 2025$'!CX80*$BL$1,Comms!CT80*$BL$2)</f>
        <v>0</v>
      </c>
    </row>
    <row r="81" spans="1:70" x14ac:dyDescent="0.25">
      <c r="A81" s="81" t="s">
        <v>138</v>
      </c>
      <c r="B81" s="82" t="s">
        <v>165</v>
      </c>
      <c r="C81" s="83" t="s">
        <v>371</v>
      </c>
      <c r="D81" s="84">
        <f>SUM('Defect (Total)'!D81,Planned!D81,Reconductor!D81,CTGS!D81)</f>
        <v>0</v>
      </c>
      <c r="E81" s="85">
        <f>SUM('Defect (Total)'!E81,Planned!E81,Reconductor!E81,CTGS!E81)</f>
        <v>0</v>
      </c>
      <c r="F81" s="85">
        <f>SUM('Defect (Total)'!F81,Planned!F81,Reconductor!F81,CTGS!F81)</f>
        <v>0</v>
      </c>
      <c r="G81" s="85">
        <f>SUM('Defect (Total)'!G81,Planned!G81,Reconductor!G81,CTGS!G81)</f>
        <v>0</v>
      </c>
      <c r="H81" s="85">
        <f>SUM('Defect (Total)'!H81,Planned!H81,Reconductor!H81,CTGS!H81)</f>
        <v>0</v>
      </c>
      <c r="I81" s="85">
        <f>SUM('Defect (Total)'!I81,Planned!I81,Reconductor!I81,CTGS!I81)</f>
        <v>0</v>
      </c>
      <c r="J81" s="85">
        <f>SUM('Defect (Total)'!J81,Planned!J81,Reconductor!J81,CTGS!J81)</f>
        <v>0</v>
      </c>
      <c r="K81" s="85">
        <f>SUM('Defect (Total)'!K81,Planned!K81,Reconductor!K81,CTGS!K81)</f>
        <v>0</v>
      </c>
      <c r="L81" s="85">
        <f>SUM('Defect (Total)'!L81,Planned!L81,Reconductor!L81,CTGS!L81)</f>
        <v>0</v>
      </c>
      <c r="M81" s="85">
        <f>SUM('Defect (Total)'!M81,Planned!M81,Reconductor!M81,CTGS!M81)</f>
        <v>0</v>
      </c>
      <c r="N81" s="85">
        <f>SUM('Defect (Total)'!N81,Planned!N81,Reconductor!N81,CTGS!N81)</f>
        <v>0</v>
      </c>
      <c r="O81" s="560">
        <f>SUM('Defect (Total)'!O81,Planned!O81,Reconductor!O81,CTGS!O81)</f>
        <v>0</v>
      </c>
      <c r="P81" s="561">
        <f>SUM('Defect (Total)'!P81,Planned!P81,Reconductor!P81,CTGS!P81)</f>
        <v>0</v>
      </c>
      <c r="Q81" s="561">
        <f>SUM('Defect (Total)'!Q81,Planned!Q81,Reconductor!Q81,CTGS!Q81)</f>
        <v>0</v>
      </c>
      <c r="R81" s="561">
        <f>SUM('Defect (Total)'!R81,Planned!R81,Reconductor!R81,CTGS!R81)</f>
        <v>0</v>
      </c>
      <c r="S81" s="561">
        <f>SUM('Defect (Total)'!S81,Planned!S81,Reconductor!S81,CTGS!S81)</f>
        <v>0</v>
      </c>
      <c r="T81" s="561">
        <f>SUM('Defect (Total)'!T81,Planned!T81,Reconductor!T81,CTGS!T81)</f>
        <v>0</v>
      </c>
      <c r="U81" s="561">
        <f>SUM('Defect (Total)'!U81,Planned!U81,Reconductor!U81,CTGS!U81)</f>
        <v>0</v>
      </c>
      <c r="V81" s="561">
        <f>SUM('Defect (Total)'!V81,Planned!V81,Reconductor!V81,CTGS!V81)</f>
        <v>0</v>
      </c>
      <c r="W81" s="561">
        <f>SUM('Defect (Total)'!W81,Planned!W81,Reconductor!W81,CTGS!W81)</f>
        <v>0</v>
      </c>
      <c r="X81" s="675">
        <f>SUM('Defect (Total)'!X81,Planned!X81,Reconductor!X81,CTGS!X81)</f>
        <v>0</v>
      </c>
      <c r="Y81" s="675">
        <f>SUM('Defect (Total)'!Y81,Planned!Y81,Reconductor!Y81,CTGS!Y81)</f>
        <v>0</v>
      </c>
      <c r="Z81" s="86">
        <f>SUM('Defect (Total)'!Z81,Planned!Z81,Reconductor!Z81,CTGS!Z81)</f>
        <v>0</v>
      </c>
      <c r="AA81" s="87">
        <f>SUM('Defect (Total)'!AA81,Planned!AA81,Reconductor!AA81,CTGS!AA81)</f>
        <v>0</v>
      </c>
      <c r="AB81" s="87">
        <f>SUM('Defect (Total)'!AB81,Planned!AB81,Reconductor!AB81,CTGS!AB81)</f>
        <v>0</v>
      </c>
      <c r="AC81" s="87">
        <f>SUM('Defect (Total)'!AC81,Planned!AC81,Reconductor!AC81,CTGS!AC81)</f>
        <v>0</v>
      </c>
      <c r="AD81" s="87">
        <f>SUM('Defect (Total)'!AD81,Planned!AD81,Reconductor!AD81,CTGS!AD81)</f>
        <v>0</v>
      </c>
      <c r="AE81" s="87">
        <f>SUM('Defect (Total)'!AE81,Planned!AE81,Reconductor!AE81,CTGS!AE81)</f>
        <v>0</v>
      </c>
      <c r="AF81" s="87">
        <f>SUM('Defect (Total)'!AF81,Planned!AF81,Reconductor!AF81,CTGS!AF81)</f>
        <v>0</v>
      </c>
      <c r="AG81" s="87">
        <f>SUM('Defect (Total)'!AG81,Planned!AG81,Reconductor!AG81,CTGS!AG81)</f>
        <v>0</v>
      </c>
      <c r="AH81" s="87">
        <f>SUM('Defect (Total)'!AH81,Planned!AH81,Reconductor!AH81,CTGS!AH81)</f>
        <v>0</v>
      </c>
      <c r="AI81" s="87">
        <f>SUM('Defect (Total)'!AI81,Planned!AI81,Reconductor!AI81,CTGS!AI81)</f>
        <v>0</v>
      </c>
      <c r="AJ81" s="87">
        <f>SUM('Defect (Total)'!AJ81,Planned!AJ81,Reconductor!AJ81,CTGS!AJ81)</f>
        <v>0</v>
      </c>
      <c r="AK81" s="88">
        <f t="shared" si="47"/>
        <v>0</v>
      </c>
      <c r="AL81" s="89">
        <f t="shared" si="34"/>
        <v>0</v>
      </c>
      <c r="AM81" s="90">
        <f t="shared" si="48"/>
        <v>0</v>
      </c>
      <c r="AN81" s="91" t="str">
        <f t="shared" si="35"/>
        <v/>
      </c>
      <c r="AO81" s="92" t="str">
        <f t="shared" si="36"/>
        <v/>
      </c>
      <c r="AP81" s="92" t="str">
        <f t="shared" si="37"/>
        <v/>
      </c>
      <c r="AQ81" s="92" t="str">
        <f t="shared" si="38"/>
        <v/>
      </c>
      <c r="AR81" s="92" t="str">
        <f t="shared" si="39"/>
        <v/>
      </c>
      <c r="AS81" s="92" t="str">
        <f t="shared" si="40"/>
        <v/>
      </c>
      <c r="AT81" s="92" t="str">
        <f t="shared" si="41"/>
        <v/>
      </c>
      <c r="AU81" s="92" t="str">
        <f t="shared" si="42"/>
        <v/>
      </c>
      <c r="AV81" s="92" t="str">
        <f t="shared" si="43"/>
        <v/>
      </c>
      <c r="AW81" s="92" t="str">
        <f t="shared" si="44"/>
        <v/>
      </c>
      <c r="AX81" s="92" t="str">
        <f t="shared" si="44"/>
        <v/>
      </c>
      <c r="AY81" s="93" t="str">
        <f t="shared" si="32"/>
        <v/>
      </c>
      <c r="AZ81" s="94" t="str">
        <f t="shared" si="45"/>
        <v/>
      </c>
      <c r="BA81" s="95" t="str">
        <f t="shared" si="46"/>
        <v/>
      </c>
      <c r="BB81" s="689">
        <f>SUM('Defect (Total)'!BB81,Planned!CE81,Reconductor!CE81,CTGS!CE81,'Substation 2025$'!CE81*$BL$1,Comms!CA81*$BL$2)</f>
        <v>0</v>
      </c>
      <c r="BC81" s="689">
        <f>SUM('Defect (Total)'!BC81,Planned!CF81,Reconductor!CF81,CTGS!CF81,'Substation 2025$'!CF81*$BL$1,Comms!CB81*$BL$2)</f>
        <v>0</v>
      </c>
      <c r="BD81" s="96">
        <f>SUM('Defect (Total)'!BD81,Planned!CG81,Reconductor!CG81,CTGS!CG81,'Substation 2025$'!CG81*$BL$1,Comms!CC81*$BL$2)</f>
        <v>0</v>
      </c>
      <c r="BE81" s="96">
        <f>SUM('Defect (Total)'!BE81,Planned!CH81,Reconductor!CH81,CTGS!CH81,'Substation 2025$'!CH81*$BL$1,Comms!CD81*$BL$2)</f>
        <v>0</v>
      </c>
      <c r="BF81" s="96">
        <f>SUM('Defect (Total)'!BF81,Planned!CI81,Reconductor!CI81,CTGS!CI81,'Substation 2025$'!CI81*$BL$1,Comms!CE81*$BL$2)</f>
        <v>0</v>
      </c>
      <c r="BG81" s="96">
        <f>SUM('Defect (Total)'!BG81,Planned!CJ81,Reconductor!CJ81,CTGS!CJ81,'Substation 2025$'!CJ81*$BL$1,Comms!CF81*$BL$2)</f>
        <v>0</v>
      </c>
      <c r="BH81" s="96">
        <f>SUM('Defect (Total)'!BH81,Planned!CK81,Reconductor!CK81,CTGS!CK81,'Substation 2025$'!CK81*$BL$1,Comms!CG81*$BL$2)</f>
        <v>0</v>
      </c>
      <c r="BI81" s="286">
        <f>SUM('Defect (Total)'!BI81,Planned!CL81,Reconductor!CL81,CTGS!CL81,'Substation 2025$'!CL81*$BL$1,Comms!CH81*$BL$2)</f>
        <v>0</v>
      </c>
      <c r="BJ81" s="99" t="str">
        <f t="shared" si="49"/>
        <v/>
      </c>
      <c r="BK81" s="992">
        <f>SUM('Defect (Total)'!BK81,Planned!CQ81,Reconductor!CQ81,CTGS!CQ81,'Substation 2025$'!CQ81*$BL$1,Comms!CM81*$BL$2)</f>
        <v>0</v>
      </c>
      <c r="BL81" s="992">
        <f>SUM('Defect (Total)'!BL81,Planned!CR81,Reconductor!CR81,CTGS!CR81,'Substation 2025$'!CR81*$BL$1,Comms!CN81*$BL$2)</f>
        <v>0</v>
      </c>
      <c r="BM81" s="524">
        <f>SUM('Defect (Total)'!BM81,Planned!CS81,Reconductor!CS81,CTGS!CS81,'Substation 2025$'!CS81*$BL$1,Comms!CO81*$BL$2)</f>
        <v>0</v>
      </c>
      <c r="BN81" s="416">
        <f>SUM('Defect (Total)'!BN81,Planned!CT81,Reconductor!CT81,CTGS!CT81,'Substation 2025$'!CT81*$BL$1,Comms!CP81*$BL$2)</f>
        <v>0</v>
      </c>
      <c r="BO81" s="97">
        <f>SUM('Defect (Total)'!BO81,Planned!CU81,Reconductor!CU81,CTGS!CU81,'Substation 2025$'!CU81*$BL$1,Comms!CQ81*$BL$2)</f>
        <v>0</v>
      </c>
      <c r="BP81" s="97">
        <f>SUM('Defect (Total)'!BP81,Planned!CV81,Reconductor!CV81,CTGS!CV81,'Substation 2025$'!CV81*$BL$1,Comms!CR81*$BL$2)</f>
        <v>0</v>
      </c>
      <c r="BQ81" s="97">
        <f>SUM('Defect (Total)'!BQ81,Planned!CW81,Reconductor!CW81,CTGS!CW81,'Substation 2025$'!CW81*$BL$1,Comms!CS81*$BL$2)</f>
        <v>0</v>
      </c>
      <c r="BR81" s="98">
        <f>SUM('Defect (Total)'!BR81,Planned!CX81,Reconductor!CX81,CTGS!CX81,'Substation 2025$'!CX81*$BL$1,Comms!CT81*$BL$2)</f>
        <v>0</v>
      </c>
    </row>
    <row r="82" spans="1:70" x14ac:dyDescent="0.25">
      <c r="A82" s="81" t="s">
        <v>138</v>
      </c>
      <c r="B82" s="82" t="s">
        <v>167</v>
      </c>
      <c r="C82" s="83" t="s">
        <v>372</v>
      </c>
      <c r="D82" s="84">
        <f>SUM('Defect (Total)'!D82,Planned!D82,Reconductor!D82,CTGS!D82)</f>
        <v>0</v>
      </c>
      <c r="E82" s="85">
        <f>SUM('Defect (Total)'!E82,Planned!E82,Reconductor!E82,CTGS!E82)</f>
        <v>0</v>
      </c>
      <c r="F82" s="85">
        <f>SUM('Defect (Total)'!F82,Planned!F82,Reconductor!F82,CTGS!F82)</f>
        <v>0</v>
      </c>
      <c r="G82" s="85">
        <f>SUM('Defect (Total)'!G82,Planned!G82,Reconductor!G82,CTGS!G82)</f>
        <v>0</v>
      </c>
      <c r="H82" s="85">
        <f>SUM('Defect (Total)'!H82,Planned!H82,Reconductor!H82,CTGS!H82)</f>
        <v>0</v>
      </c>
      <c r="I82" s="85">
        <f>SUM('Defect (Total)'!I82,Planned!I82,Reconductor!I82,CTGS!I82)</f>
        <v>0</v>
      </c>
      <c r="J82" s="85">
        <f>SUM('Defect (Total)'!J82,Planned!J82,Reconductor!J82,CTGS!J82)</f>
        <v>0</v>
      </c>
      <c r="K82" s="85">
        <f>SUM('Defect (Total)'!K82,Planned!K82,Reconductor!K82,CTGS!K82)</f>
        <v>0</v>
      </c>
      <c r="L82" s="85">
        <f>SUM('Defect (Total)'!L82,Planned!L82,Reconductor!L82,CTGS!L82)</f>
        <v>0</v>
      </c>
      <c r="M82" s="85">
        <f>SUM('Defect (Total)'!M82,Planned!M82,Reconductor!M82,CTGS!M82)</f>
        <v>0</v>
      </c>
      <c r="N82" s="85">
        <f>SUM('Defect (Total)'!N82,Planned!N82,Reconductor!N82,CTGS!N82)</f>
        <v>0</v>
      </c>
      <c r="O82" s="560">
        <f>SUM('Defect (Total)'!O82,Planned!O82,Reconductor!O82,CTGS!O82)</f>
        <v>0</v>
      </c>
      <c r="P82" s="561">
        <f>SUM('Defect (Total)'!P82,Planned!P82,Reconductor!P82,CTGS!P82)</f>
        <v>0</v>
      </c>
      <c r="Q82" s="561">
        <f>SUM('Defect (Total)'!Q82,Planned!Q82,Reconductor!Q82,CTGS!Q82)</f>
        <v>0</v>
      </c>
      <c r="R82" s="561">
        <f>SUM('Defect (Total)'!R82,Planned!R82,Reconductor!R82,CTGS!R82)</f>
        <v>0</v>
      </c>
      <c r="S82" s="561">
        <f>SUM('Defect (Total)'!S82,Planned!S82,Reconductor!S82,CTGS!S82)</f>
        <v>0</v>
      </c>
      <c r="T82" s="561">
        <f>SUM('Defect (Total)'!T82,Planned!T82,Reconductor!T82,CTGS!T82)</f>
        <v>0</v>
      </c>
      <c r="U82" s="561">
        <f>SUM('Defect (Total)'!U82,Planned!U82,Reconductor!U82,CTGS!U82)</f>
        <v>0</v>
      </c>
      <c r="V82" s="561">
        <f>SUM('Defect (Total)'!V82,Planned!V82,Reconductor!V82,CTGS!V82)</f>
        <v>0</v>
      </c>
      <c r="W82" s="561">
        <f>SUM('Defect (Total)'!W82,Planned!W82,Reconductor!W82,CTGS!W82)</f>
        <v>0</v>
      </c>
      <c r="X82" s="675">
        <f>SUM('Defect (Total)'!X82,Planned!X82,Reconductor!X82,CTGS!X82)</f>
        <v>0</v>
      </c>
      <c r="Y82" s="675">
        <f>SUM('Defect (Total)'!Y82,Planned!Y82,Reconductor!Y82,CTGS!Y82)</f>
        <v>0</v>
      </c>
      <c r="Z82" s="86">
        <f>SUM('Defect (Total)'!Z82,Planned!Z82,Reconductor!Z82,CTGS!Z82)</f>
        <v>0</v>
      </c>
      <c r="AA82" s="87">
        <f>SUM('Defect (Total)'!AA82,Planned!AA82,Reconductor!AA82,CTGS!AA82)</f>
        <v>0</v>
      </c>
      <c r="AB82" s="87">
        <f>SUM('Defect (Total)'!AB82,Planned!AB82,Reconductor!AB82,CTGS!AB82)</f>
        <v>0</v>
      </c>
      <c r="AC82" s="87">
        <f>SUM('Defect (Total)'!AC82,Planned!AC82,Reconductor!AC82,CTGS!AC82)</f>
        <v>0</v>
      </c>
      <c r="AD82" s="87">
        <f>SUM('Defect (Total)'!AD82,Planned!AD82,Reconductor!AD82,CTGS!AD82)</f>
        <v>0</v>
      </c>
      <c r="AE82" s="87">
        <f>SUM('Defect (Total)'!AE82,Planned!AE82,Reconductor!AE82,CTGS!AE82)</f>
        <v>0</v>
      </c>
      <c r="AF82" s="87">
        <f>SUM('Defect (Total)'!AF82,Planned!AF82,Reconductor!AF82,CTGS!AF82)</f>
        <v>0</v>
      </c>
      <c r="AG82" s="87">
        <f>SUM('Defect (Total)'!AG82,Planned!AG82,Reconductor!AG82,CTGS!AG82)</f>
        <v>0</v>
      </c>
      <c r="AH82" s="87">
        <f>SUM('Defect (Total)'!AH82,Planned!AH82,Reconductor!AH82,CTGS!AH82)</f>
        <v>0</v>
      </c>
      <c r="AI82" s="87">
        <f>SUM('Defect (Total)'!AI82,Planned!AI82,Reconductor!AI82,CTGS!AI82)</f>
        <v>0</v>
      </c>
      <c r="AJ82" s="87">
        <f>SUM('Defect (Total)'!AJ82,Planned!AJ82,Reconductor!AJ82,CTGS!AJ82)</f>
        <v>0</v>
      </c>
      <c r="AK82" s="88">
        <f t="shared" si="47"/>
        <v>0</v>
      </c>
      <c r="AL82" s="89">
        <f t="shared" si="34"/>
        <v>0</v>
      </c>
      <c r="AM82" s="90">
        <f t="shared" si="48"/>
        <v>0</v>
      </c>
      <c r="AN82" s="91" t="str">
        <f t="shared" si="35"/>
        <v/>
      </c>
      <c r="AO82" s="92" t="str">
        <f t="shared" si="36"/>
        <v/>
      </c>
      <c r="AP82" s="92" t="str">
        <f t="shared" si="37"/>
        <v/>
      </c>
      <c r="AQ82" s="92" t="str">
        <f t="shared" si="38"/>
        <v/>
      </c>
      <c r="AR82" s="92" t="str">
        <f t="shared" si="39"/>
        <v/>
      </c>
      <c r="AS82" s="92" t="str">
        <f t="shared" si="40"/>
        <v/>
      </c>
      <c r="AT82" s="92" t="str">
        <f t="shared" si="41"/>
        <v/>
      </c>
      <c r="AU82" s="92" t="str">
        <f t="shared" si="42"/>
        <v/>
      </c>
      <c r="AV82" s="92" t="str">
        <f t="shared" si="43"/>
        <v/>
      </c>
      <c r="AW82" s="92" t="str">
        <f t="shared" si="44"/>
        <v/>
      </c>
      <c r="AX82" s="92" t="str">
        <f t="shared" si="44"/>
        <v/>
      </c>
      <c r="AY82" s="93" t="str">
        <f t="shared" si="32"/>
        <v/>
      </c>
      <c r="AZ82" s="94" t="str">
        <f t="shared" si="45"/>
        <v/>
      </c>
      <c r="BA82" s="95" t="str">
        <f t="shared" si="46"/>
        <v/>
      </c>
      <c r="BB82" s="689">
        <f>SUM('Defect (Total)'!BB82,Planned!CE82,Reconductor!CE82,CTGS!CE82,'Substation 2025$'!CE82*$BL$1,Comms!CA82*$BL$2)</f>
        <v>0</v>
      </c>
      <c r="BC82" s="689">
        <f>SUM('Defect (Total)'!BC82,Planned!CF82,Reconductor!CF82,CTGS!CF82,'Substation 2025$'!CF82*$BL$1,Comms!CB82*$BL$2)</f>
        <v>0</v>
      </c>
      <c r="BD82" s="96">
        <f>SUM('Defect (Total)'!BD82,Planned!CG82,Reconductor!CG82,CTGS!CG82,'Substation 2025$'!CG82*$BL$1,Comms!CC82*$BL$2)</f>
        <v>0</v>
      </c>
      <c r="BE82" s="96">
        <f>SUM('Defect (Total)'!BE82,Planned!CH82,Reconductor!CH82,CTGS!CH82,'Substation 2025$'!CH82*$BL$1,Comms!CD82*$BL$2)</f>
        <v>0</v>
      </c>
      <c r="BF82" s="96">
        <f>SUM('Defect (Total)'!BF82,Planned!CI82,Reconductor!CI82,CTGS!CI82,'Substation 2025$'!CI82*$BL$1,Comms!CE82*$BL$2)</f>
        <v>0</v>
      </c>
      <c r="BG82" s="96">
        <f>SUM('Defect (Total)'!BG82,Planned!CJ82,Reconductor!CJ82,CTGS!CJ82,'Substation 2025$'!CJ82*$BL$1,Comms!CF82*$BL$2)</f>
        <v>0</v>
      </c>
      <c r="BH82" s="96">
        <f>SUM('Defect (Total)'!BH82,Planned!CK82,Reconductor!CK82,CTGS!CK82,'Substation 2025$'!CK82*$BL$1,Comms!CG82*$BL$2)</f>
        <v>0</v>
      </c>
      <c r="BI82" s="286">
        <f>SUM('Defect (Total)'!BI82,Planned!CL82,Reconductor!CL82,CTGS!CL82,'Substation 2025$'!CL82*$BL$1,Comms!CH82*$BL$2)</f>
        <v>0</v>
      </c>
      <c r="BJ82" s="99" t="str">
        <f t="shared" si="49"/>
        <v/>
      </c>
      <c r="BK82" s="992">
        <f>SUM('Defect (Total)'!BK82,Planned!CQ82,Reconductor!CQ82,CTGS!CQ82,'Substation 2025$'!CQ82*$BL$1,Comms!CM82*$BL$2)</f>
        <v>0</v>
      </c>
      <c r="BL82" s="992">
        <f>SUM('Defect (Total)'!BL82,Planned!CR82,Reconductor!CR82,CTGS!CR82,'Substation 2025$'!CR82*$BL$1,Comms!CN82*$BL$2)</f>
        <v>0</v>
      </c>
      <c r="BM82" s="524">
        <f>SUM('Defect (Total)'!BM82,Planned!CS82,Reconductor!CS82,CTGS!CS82,'Substation 2025$'!CS82*$BL$1,Comms!CO82*$BL$2)</f>
        <v>0</v>
      </c>
      <c r="BN82" s="416">
        <f>SUM('Defect (Total)'!BN82,Planned!CT82,Reconductor!CT82,CTGS!CT82,'Substation 2025$'!CT82*$BL$1,Comms!CP82*$BL$2)</f>
        <v>0</v>
      </c>
      <c r="BO82" s="97">
        <f>SUM('Defect (Total)'!BO82,Planned!CU82,Reconductor!CU82,CTGS!CU82,'Substation 2025$'!CU82*$BL$1,Comms!CQ82*$BL$2)</f>
        <v>0</v>
      </c>
      <c r="BP82" s="97">
        <f>SUM('Defect (Total)'!BP82,Planned!CV82,Reconductor!CV82,CTGS!CV82,'Substation 2025$'!CV82*$BL$1,Comms!CR82*$BL$2)</f>
        <v>0</v>
      </c>
      <c r="BQ82" s="97">
        <f>SUM('Defect (Total)'!BQ82,Planned!CW82,Reconductor!CW82,CTGS!CW82,'Substation 2025$'!CW82*$BL$1,Comms!CS82*$BL$2)</f>
        <v>0</v>
      </c>
      <c r="BR82" s="98">
        <f>SUM('Defect (Total)'!BR82,Planned!CX82,Reconductor!CX82,CTGS!CX82,'Substation 2025$'!CX82*$BL$1,Comms!CT82*$BL$2)</f>
        <v>0</v>
      </c>
    </row>
    <row r="83" spans="1:70" x14ac:dyDescent="0.25">
      <c r="A83" s="81" t="s">
        <v>138</v>
      </c>
      <c r="B83" s="82" t="s">
        <v>169</v>
      </c>
      <c r="C83" s="83" t="s">
        <v>373</v>
      </c>
      <c r="D83" s="84">
        <f>SUM('Defect (Total)'!D83,Planned!D83,Reconductor!D83,CTGS!D83)</f>
        <v>0</v>
      </c>
      <c r="E83" s="85">
        <f>SUM('Defect (Total)'!E83,Planned!E83,Reconductor!E83,CTGS!E83)</f>
        <v>0</v>
      </c>
      <c r="F83" s="85">
        <f>SUM('Defect (Total)'!F83,Planned!F83,Reconductor!F83,CTGS!F83)</f>
        <v>154498</v>
      </c>
      <c r="G83" s="85">
        <f>SUM('Defect (Total)'!G83,Planned!G83,Reconductor!G83,CTGS!G83)</f>
        <v>61598</v>
      </c>
      <c r="H83" s="85">
        <f>SUM('Defect (Total)'!H83,Planned!H83,Reconductor!H83,CTGS!H83)</f>
        <v>26374</v>
      </c>
      <c r="I83" s="85">
        <f>SUM('Defect (Total)'!I83,Planned!I83,Reconductor!I83,CTGS!I83)</f>
        <v>209260.36004262482</v>
      </c>
      <c r="J83" s="85">
        <f>SUM('Defect (Total)'!J83,Planned!J83,Reconductor!J83,CTGS!J83)</f>
        <v>198170.09733996692</v>
      </c>
      <c r="K83" s="85">
        <f>SUM('Defect (Total)'!K83,Planned!K83,Reconductor!K83,CTGS!K83)</f>
        <v>49884.6</v>
      </c>
      <c r="L83" s="85">
        <f>SUM('Defect (Total)'!L83,Planned!L83,Reconductor!L83,CTGS!L83)</f>
        <v>51271.75</v>
      </c>
      <c r="M83" s="85">
        <f>SUM('Defect (Total)'!M83,Planned!M83,Reconductor!M83,CTGS!M83)</f>
        <v>95340.15</v>
      </c>
      <c r="N83" s="85">
        <f>SUM('Defect (Total)'!N83,Planned!N83,Reconductor!N83,CTGS!N83)</f>
        <v>0</v>
      </c>
      <c r="O83" s="560">
        <f>SUM('Defect (Total)'!O83,Planned!O83,Reconductor!O83,CTGS!O83)</f>
        <v>0</v>
      </c>
      <c r="P83" s="561">
        <f>SUM('Defect (Total)'!P83,Planned!P83,Reconductor!P83,CTGS!P83)</f>
        <v>0</v>
      </c>
      <c r="Q83" s="561">
        <f>SUM('Defect (Total)'!Q83,Planned!Q83,Reconductor!Q83,CTGS!Q83)</f>
        <v>202702.26401349873</v>
      </c>
      <c r="R83" s="561">
        <f>SUM('Defect (Total)'!R83,Planned!R83,Reconductor!R83,CTGS!R83)</f>
        <v>79283.817554801673</v>
      </c>
      <c r="S83" s="561">
        <f>SUM('Defect (Total)'!S83,Planned!S83,Reconductor!S83,CTGS!S83)</f>
        <v>33255.472385448462</v>
      </c>
      <c r="T83" s="561">
        <f>SUM('Defect (Total)'!T83,Planned!T83,Reconductor!T83,CTGS!T83)</f>
        <v>259723.13896493192</v>
      </c>
      <c r="U83" s="561">
        <f>SUM('Defect (Total)'!U83,Planned!U83,Reconductor!U83,CTGS!U83)</f>
        <v>246818.47300588075</v>
      </c>
      <c r="V83" s="561">
        <f>SUM('Defect (Total)'!V83,Planned!V83,Reconductor!V83,CTGS!V83)</f>
        <v>59829.53347546875</v>
      </c>
      <c r="W83" s="561">
        <f>SUM('Defect (Total)'!W83,Planned!W83,Reconductor!W83,CTGS!W83)</f>
        <v>57933.346658447525</v>
      </c>
      <c r="X83" s="675">
        <f>SUM('Defect (Total)'!X83,Planned!X83,Reconductor!X83,CTGS!X83)</f>
        <v>101390.52421275925</v>
      </c>
      <c r="Y83" s="675">
        <f>SUM('Defect (Total)'!Y83,Planned!Y83,Reconductor!Y83,CTGS!Y83)</f>
        <v>0</v>
      </c>
      <c r="Z83" s="86">
        <f>SUM('Defect (Total)'!Z83,Planned!Z83,Reconductor!Z83,CTGS!Z83)</f>
        <v>0</v>
      </c>
      <c r="AA83" s="87">
        <f>SUM('Defect (Total)'!AA83,Planned!AA83,Reconductor!AA83,CTGS!AA83)</f>
        <v>0</v>
      </c>
      <c r="AB83" s="87">
        <f>SUM('Defect (Total)'!AB83,Planned!AB83,Reconductor!AB83,CTGS!AB83)</f>
        <v>3</v>
      </c>
      <c r="AC83" s="87">
        <f>SUM('Defect (Total)'!AC83,Planned!AC83,Reconductor!AC83,CTGS!AC83)</f>
        <v>1</v>
      </c>
      <c r="AD83" s="87">
        <f>SUM('Defect (Total)'!AD83,Planned!AD83,Reconductor!AD83,CTGS!AD83)</f>
        <v>1</v>
      </c>
      <c r="AE83" s="87">
        <f>SUM('Defect (Total)'!AE83,Planned!AE83,Reconductor!AE83,CTGS!AE83)</f>
        <v>1</v>
      </c>
      <c r="AF83" s="87">
        <f>SUM('Defect (Total)'!AF83,Planned!AF83,Reconductor!AF83,CTGS!AF83)</f>
        <v>0</v>
      </c>
      <c r="AG83" s="87">
        <f>SUM('Defect (Total)'!AG83,Planned!AG83,Reconductor!AG83,CTGS!AG83)</f>
        <v>2</v>
      </c>
      <c r="AH83" s="87">
        <f>SUM('Defect (Total)'!AH83,Planned!AH83,Reconductor!AH83,CTGS!AH83)</f>
        <v>1</v>
      </c>
      <c r="AI83" s="87">
        <f>SUM('Defect (Total)'!AI83,Planned!AI83,Reconductor!AI83,CTGS!AI83)</f>
        <v>3</v>
      </c>
      <c r="AJ83" s="87">
        <f>SUM('Defect (Total)'!AJ83,Planned!AJ83,Reconductor!AJ83,CTGS!AJ83)</f>
        <v>0</v>
      </c>
      <c r="AK83" s="88">
        <f t="shared" si="47"/>
        <v>1</v>
      </c>
      <c r="AL83" s="89">
        <f t="shared" si="34"/>
        <v>1</v>
      </c>
      <c r="AM83" s="90">
        <f t="shared" si="48"/>
        <v>1</v>
      </c>
      <c r="AN83" s="91" t="str">
        <f t="shared" si="35"/>
        <v/>
      </c>
      <c r="AO83" s="92" t="str">
        <f t="shared" si="36"/>
        <v/>
      </c>
      <c r="AP83" s="92">
        <f t="shared" si="37"/>
        <v>51499.333333333336</v>
      </c>
      <c r="AQ83" s="92">
        <f t="shared" si="38"/>
        <v>61598</v>
      </c>
      <c r="AR83" s="92">
        <f t="shared" si="39"/>
        <v>26374</v>
      </c>
      <c r="AS83" s="92">
        <f t="shared" si="40"/>
        <v>209260.36004262482</v>
      </c>
      <c r="AT83" s="92" t="str">
        <f t="shared" si="41"/>
        <v/>
      </c>
      <c r="AU83" s="92">
        <f t="shared" si="42"/>
        <v>24942.3</v>
      </c>
      <c r="AV83" s="92">
        <f t="shared" si="43"/>
        <v>51271.75</v>
      </c>
      <c r="AW83" s="92">
        <f t="shared" si="44"/>
        <v>31780.05</v>
      </c>
      <c r="AX83" s="92" t="str">
        <f t="shared" si="44"/>
        <v/>
      </c>
      <c r="AY83" s="93">
        <f t="shared" si="32"/>
        <v>86275.279626084521</v>
      </c>
      <c r="AZ83" s="94">
        <f t="shared" si="45"/>
        <v>32749.416666666668</v>
      </c>
      <c r="BA83" s="95">
        <f t="shared" si="46"/>
        <v>31780.05</v>
      </c>
      <c r="BB83" s="689">
        <f>SUM('Defect (Total)'!BB83,Planned!CE83,Reconductor!CE83,CTGS!CE83,'Substation 2025$'!CE83*$BL$1,Comms!CA83*$BL$2)</f>
        <v>2</v>
      </c>
      <c r="BC83" s="689">
        <f>SUM('Defect (Total)'!BC83,Planned!CF83,Reconductor!CF83,CTGS!CF83,'Substation 2025$'!CF83*$BL$1,Comms!CB83*$BL$2)</f>
        <v>2</v>
      </c>
      <c r="BD83" s="96">
        <f>SUM('Defect (Total)'!BD83,Planned!CG83,Reconductor!CG83,CTGS!CG83,'Substation 2025$'!CG83*$BL$1,Comms!CC83*$BL$2)</f>
        <v>2</v>
      </c>
      <c r="BE83" s="96">
        <f>SUM('Defect (Total)'!BE83,Planned!CH83,Reconductor!CH83,CTGS!CH83,'Substation 2025$'!CH83*$BL$1,Comms!CD83*$BL$2)</f>
        <v>1.6081118881119998</v>
      </c>
      <c r="BF83" s="96">
        <f>SUM('Defect (Total)'!BF83,Planned!CI83,Reconductor!CI83,CTGS!CI83,'Substation 2025$'!CI83*$BL$1,Comms!CE83*$BL$2)</f>
        <v>1.6081118881119998</v>
      </c>
      <c r="BG83" s="96">
        <f>SUM('Defect (Total)'!BG83,Planned!CJ83,Reconductor!CJ83,CTGS!CJ83,'Substation 2025$'!CJ83*$BL$1,Comms!CF83*$BL$2)</f>
        <v>1.6081118881119998</v>
      </c>
      <c r="BH83" s="96">
        <f>SUM('Defect (Total)'!BH83,Planned!CK83,Reconductor!CK83,CTGS!CK83,'Substation 2025$'!CK83*$BL$1,Comms!CG83*$BL$2)</f>
        <v>1.6081118881119998</v>
      </c>
      <c r="BI83" s="286">
        <f>SUM('Defect (Total)'!BI83,Planned!CL83,Reconductor!CL83,CTGS!CL83,'Substation 2025$'!CL83*$BL$1,Comms!CH83*$BL$2)</f>
        <v>1.6081118881119998</v>
      </c>
      <c r="BJ83" s="99">
        <f t="shared" si="49"/>
        <v>31191.412712354959</v>
      </c>
      <c r="BK83" s="992">
        <f>SUM('Defect (Total)'!BK83,Planned!CQ83,Reconductor!CQ83,CTGS!CQ83,'Substation 2025$'!CQ83*$BL$1,Comms!CM83*$BL$2)</f>
        <v>65498.833333333336</v>
      </c>
      <c r="BL83" s="992">
        <f>SUM('Defect (Total)'!BL83,Planned!CR83,Reconductor!CR83,CTGS!CR83,'Substation 2025$'!CR83*$BL$1,Comms!CN83*$BL$2)</f>
        <v>65498.833333333336</v>
      </c>
      <c r="BM83" s="524">
        <f>SUM('Defect (Total)'!BM83,Planned!CS83,Reconductor!CS83,CTGS!CS83,'Substation 2025$'!CS83*$BL$1,Comms!CO83*$BL$2)</f>
        <v>65498.833333333336</v>
      </c>
      <c r="BN83" s="416">
        <f>SUM('Defect (Total)'!BN83,Planned!CT83,Reconductor!CT83,CTGS!CT83,'Substation 2025$'!CT83*$BL$1,Comms!CP83*$BL$2)</f>
        <v>50159.281589745762</v>
      </c>
      <c r="BO83" s="97">
        <f>SUM('Defect (Total)'!BO83,Planned!CU83,Reconductor!CU83,CTGS!CU83,'Substation 2025$'!CU83*$BL$1,Comms!CQ83*$BL$2)</f>
        <v>50159.281589745762</v>
      </c>
      <c r="BP83" s="97">
        <f>SUM('Defect (Total)'!BP83,Planned!CV83,Reconductor!CV83,CTGS!CV83,'Substation 2025$'!CV83*$BL$1,Comms!CR83*$BL$2)</f>
        <v>50159.281589745762</v>
      </c>
      <c r="BQ83" s="97">
        <f>SUM('Defect (Total)'!BQ83,Planned!CW83,Reconductor!CW83,CTGS!CW83,'Substation 2025$'!CW83*$BL$1,Comms!CS83*$BL$2)</f>
        <v>50159.281589745762</v>
      </c>
      <c r="BR83" s="98">
        <f>SUM('Defect (Total)'!BR83,Planned!CX83,Reconductor!CX83,CTGS!CX83,'Substation 2025$'!CX83*$BL$1,Comms!CT83*$BL$2)</f>
        <v>50159.281589745762</v>
      </c>
    </row>
    <row r="84" spans="1:70" x14ac:dyDescent="0.25">
      <c r="A84" s="81" t="s">
        <v>138</v>
      </c>
      <c r="B84" s="82" t="s">
        <v>171</v>
      </c>
      <c r="C84" s="83" t="s">
        <v>374</v>
      </c>
      <c r="D84" s="84">
        <f>SUM('Defect (Total)'!D84,Planned!D84,Reconductor!D84,CTGS!D84)</f>
        <v>0</v>
      </c>
      <c r="E84" s="85">
        <f>SUM('Defect (Total)'!E84,Planned!E84,Reconductor!E84,CTGS!E84)</f>
        <v>190050</v>
      </c>
      <c r="F84" s="85">
        <f>SUM('Defect (Total)'!F84,Planned!F84,Reconductor!F84,CTGS!F84)</f>
        <v>70254</v>
      </c>
      <c r="G84" s="85">
        <f>SUM('Defect (Total)'!G84,Planned!G84,Reconductor!G84,CTGS!G84)</f>
        <v>83179</v>
      </c>
      <c r="H84" s="85">
        <f>SUM('Defect (Total)'!H84,Planned!H84,Reconductor!H84,CTGS!H84)</f>
        <v>148721</v>
      </c>
      <c r="I84" s="85">
        <f>SUM('Defect (Total)'!I84,Planned!I84,Reconductor!I84,CTGS!I84)</f>
        <v>432277.48327805428</v>
      </c>
      <c r="J84" s="85">
        <f>SUM('Defect (Total)'!J84,Planned!J84,Reconductor!J84,CTGS!J84)</f>
        <v>638491.67258151434</v>
      </c>
      <c r="K84" s="85">
        <f>SUM('Defect (Total)'!K84,Planned!K84,Reconductor!K84,CTGS!K84)</f>
        <v>32120.95</v>
      </c>
      <c r="L84" s="85">
        <f>SUM('Defect (Total)'!L84,Planned!L84,Reconductor!L84,CTGS!L84)</f>
        <v>73500.628030338994</v>
      </c>
      <c r="M84" s="85">
        <f>SUM('Defect (Total)'!M84,Planned!M84,Reconductor!M84,CTGS!M84)</f>
        <v>136859.06406143005</v>
      </c>
      <c r="N84" s="85">
        <f>SUM('Defect (Total)'!N84,Planned!N84,Reconductor!N84,CTGS!N84)</f>
        <v>91035.473545261906</v>
      </c>
      <c r="O84" s="560">
        <f>SUM('Defect (Total)'!O84,Planned!O84,Reconductor!O84,CTGS!O84)</f>
        <v>0</v>
      </c>
      <c r="P84" s="561">
        <f>SUM('Defect (Total)'!P84,Planned!P84,Reconductor!P84,CTGS!P84)</f>
        <v>251898.14688340217</v>
      </c>
      <c r="Q84" s="561">
        <f>SUM('Defect (Total)'!Q84,Planned!Q84,Reconductor!Q84,CTGS!Q84)</f>
        <v>92173.651801345899</v>
      </c>
      <c r="R84" s="561">
        <f>SUM('Defect (Total)'!R84,Planned!R84,Reconductor!R84,CTGS!R84)</f>
        <v>107061.08413245314</v>
      </c>
      <c r="S84" s="561">
        <f>SUM('Defect (Total)'!S84,Planned!S84,Reconductor!S84,CTGS!S84)</f>
        <v>187525.10459681053</v>
      </c>
      <c r="T84" s="561">
        <f>SUM('Defect (Total)'!T84,Planned!T84,Reconductor!T84,CTGS!T84)</f>
        <v>536520.46110389964</v>
      </c>
      <c r="U84" s="561">
        <f>SUM('Defect (Total)'!U84,Planned!U84,Reconductor!U84,CTGS!U84)</f>
        <v>795233.69957873609</v>
      </c>
      <c r="V84" s="561">
        <f>SUM('Defect (Total)'!V84,Planned!V84,Reconductor!V84,CTGS!V84)</f>
        <v>38524.543712665996</v>
      </c>
      <c r="W84" s="561">
        <f>SUM('Defect (Total)'!W84,Planned!W84,Reconductor!W84,CTGS!W84)</f>
        <v>83050.361325588339</v>
      </c>
      <c r="X84" s="675">
        <f>SUM('Defect (Total)'!X84,Planned!X84,Reconductor!X84,CTGS!X84)</f>
        <v>145544.26701086576</v>
      </c>
      <c r="Y84" s="675">
        <f>SUM('Defect (Total)'!Y84,Planned!Y84,Reconductor!Y84,CTGS!Y84)</f>
        <v>93538.810631571658</v>
      </c>
      <c r="Z84" s="86">
        <f>SUM('Defect (Total)'!Z84,Planned!Z84,Reconductor!Z84,CTGS!Z84)</f>
        <v>0</v>
      </c>
      <c r="AA84" s="87">
        <f>SUM('Defect (Total)'!AA84,Planned!AA84,Reconductor!AA84,CTGS!AA84)</f>
        <v>2</v>
      </c>
      <c r="AB84" s="87">
        <f>SUM('Defect (Total)'!AB84,Planned!AB84,Reconductor!AB84,CTGS!AB84)</f>
        <v>1</v>
      </c>
      <c r="AC84" s="87">
        <f>SUM('Defect (Total)'!AC84,Planned!AC84,Reconductor!AC84,CTGS!AC84)</f>
        <v>1</v>
      </c>
      <c r="AD84" s="87">
        <f>SUM('Defect (Total)'!AD84,Planned!AD84,Reconductor!AD84,CTGS!AD84)</f>
        <v>2</v>
      </c>
      <c r="AE84" s="87">
        <f>SUM('Defect (Total)'!AE84,Planned!AE84,Reconductor!AE84,CTGS!AE84)</f>
        <v>4</v>
      </c>
      <c r="AF84" s="87">
        <f>SUM('Defect (Total)'!AF84,Planned!AF84,Reconductor!AF84,CTGS!AF84)</f>
        <v>2</v>
      </c>
      <c r="AG84" s="87">
        <f>SUM('Defect (Total)'!AG84,Planned!AG84,Reconductor!AG84,CTGS!AG84)</f>
        <v>1</v>
      </c>
      <c r="AH84" s="87">
        <f>SUM('Defect (Total)'!AH84,Planned!AH84,Reconductor!AH84,CTGS!AH84)</f>
        <v>2</v>
      </c>
      <c r="AI84" s="87">
        <f>SUM('Defect (Total)'!AI84,Planned!AI84,Reconductor!AI84,CTGS!AI84)</f>
        <v>3</v>
      </c>
      <c r="AJ84" s="87">
        <f>SUM('Defect (Total)'!AJ84,Planned!AJ84,Reconductor!AJ84,CTGS!AJ84)</f>
        <v>1</v>
      </c>
      <c r="AK84" s="88">
        <f t="shared" si="47"/>
        <v>2.2000000000000002</v>
      </c>
      <c r="AL84" s="89">
        <f t="shared" si="34"/>
        <v>1.6666666666666667</v>
      </c>
      <c r="AM84" s="90">
        <f t="shared" si="48"/>
        <v>2</v>
      </c>
      <c r="AN84" s="91" t="str">
        <f t="shared" si="35"/>
        <v/>
      </c>
      <c r="AO84" s="92">
        <f t="shared" si="36"/>
        <v>95025</v>
      </c>
      <c r="AP84" s="92">
        <f t="shared" si="37"/>
        <v>70254</v>
      </c>
      <c r="AQ84" s="92">
        <f t="shared" si="38"/>
        <v>83179</v>
      </c>
      <c r="AR84" s="92">
        <f t="shared" si="39"/>
        <v>74360.5</v>
      </c>
      <c r="AS84" s="92">
        <f t="shared" si="40"/>
        <v>108069.37081951357</v>
      </c>
      <c r="AT84" s="92">
        <f t="shared" si="41"/>
        <v>319245.83629075717</v>
      </c>
      <c r="AU84" s="92">
        <f t="shared" si="42"/>
        <v>32120.95</v>
      </c>
      <c r="AV84" s="92">
        <f t="shared" si="43"/>
        <v>36750.314015169497</v>
      </c>
      <c r="AW84" s="92">
        <f t="shared" si="44"/>
        <v>45619.688020476686</v>
      </c>
      <c r="AX84" s="92">
        <f t="shared" si="44"/>
        <v>91035.473545261906</v>
      </c>
      <c r="AY84" s="93">
        <f t="shared" si="32"/>
        <v>109437.48316261148</v>
      </c>
      <c r="AZ84" s="94">
        <f t="shared" si="45"/>
        <v>40413.440348628174</v>
      </c>
      <c r="BA84" s="95">
        <f t="shared" si="46"/>
        <v>45619.688020476686</v>
      </c>
      <c r="BB84" s="689">
        <f>SUM('Defect (Total)'!BB84,Planned!CE84,Reconductor!CE84,CTGS!CE84,'Substation 2025$'!CE84*$BL$1,Comms!CA84*$BL$2)</f>
        <v>2</v>
      </c>
      <c r="BC84" s="689">
        <f>SUM('Defect (Total)'!BC84,Planned!CF84,Reconductor!CF84,CTGS!CF84,'Substation 2025$'!CF84*$BL$1,Comms!CB84*$BL$2)</f>
        <v>2</v>
      </c>
      <c r="BD84" s="96">
        <f>SUM('Defect (Total)'!BD84,Planned!CG84,Reconductor!CG84,CTGS!CG84,'Substation 2025$'!CG84*$BL$1,Comms!CC84*$BL$2)</f>
        <v>2</v>
      </c>
      <c r="BE84" s="96">
        <f>SUM('Defect (Total)'!BE84,Planned!CH84,Reconductor!CH84,CTGS!CH84,'Substation 2025$'!CH84*$BL$1,Comms!CD84*$BL$2)</f>
        <v>1.6081118881119998</v>
      </c>
      <c r="BF84" s="96">
        <f>SUM('Defect (Total)'!BF84,Planned!CI84,Reconductor!CI84,CTGS!CI84,'Substation 2025$'!CI84*$BL$1,Comms!CE84*$BL$2)</f>
        <v>1.6081118881119998</v>
      </c>
      <c r="BG84" s="96">
        <f>SUM('Defect (Total)'!BG84,Planned!CJ84,Reconductor!CJ84,CTGS!CJ84,'Substation 2025$'!CJ84*$BL$1,Comms!CF84*$BL$2)</f>
        <v>1.6081118881119998</v>
      </c>
      <c r="BH84" s="96">
        <f>SUM('Defect (Total)'!BH84,Planned!CK84,Reconductor!CK84,CTGS!CK84,'Substation 2025$'!CK84*$BL$1,Comms!CG84*$BL$2)</f>
        <v>1.6081118881119998</v>
      </c>
      <c r="BI84" s="286">
        <f>SUM('Defect (Total)'!BI84,Planned!CL84,Reconductor!CL84,CTGS!CL84,'Substation 2025$'!CL84*$BL$1,Comms!CH84*$BL$2)</f>
        <v>1.6081118881119998</v>
      </c>
      <c r="BJ84" s="99">
        <f t="shared" si="49"/>
        <v>41450.177845359176</v>
      </c>
      <c r="BK84" s="992">
        <f>SUM('Defect (Total)'!BK84,Planned!CQ84,Reconductor!CQ84,CTGS!CQ84,'Substation 2025$'!CQ84*$BL$1,Comms!CM84*$BL$2)</f>
        <v>80826.880697256332</v>
      </c>
      <c r="BL84" s="992">
        <f>SUM('Defect (Total)'!BL84,Planned!CR84,Reconductor!CR84,CTGS!CR84,'Substation 2025$'!CR84*$BL$1,Comms!CN84*$BL$2)</f>
        <v>80826.880697256332</v>
      </c>
      <c r="BM84" s="524">
        <f>SUM('Defect (Total)'!BM84,Planned!CS84,Reconductor!CS84,CTGS!CS84,'Substation 2025$'!CS84*$BL$1,Comms!CO84*$BL$2)</f>
        <v>80826.880697256332</v>
      </c>
      <c r="BN84" s="416">
        <f>SUM('Defect (Total)'!BN84,Planned!CT84,Reconductor!CT84,CTGS!CT84,'Substation 2025$'!CT84*$BL$1,Comms!CP84*$BL$2)</f>
        <v>66656.523757478732</v>
      </c>
      <c r="BO84" s="97">
        <f>SUM('Defect (Total)'!BO84,Planned!CU84,Reconductor!CU84,CTGS!CU84,'Substation 2025$'!CU84*$BL$1,Comms!CQ84*$BL$2)</f>
        <v>66656.523757478732</v>
      </c>
      <c r="BP84" s="97">
        <f>SUM('Defect (Total)'!BP84,Planned!CV84,Reconductor!CV84,CTGS!CV84,'Substation 2025$'!CV84*$BL$1,Comms!CR84*$BL$2)</f>
        <v>66656.523757478732</v>
      </c>
      <c r="BQ84" s="97">
        <f>SUM('Defect (Total)'!BQ84,Planned!CW84,Reconductor!CW84,CTGS!CW84,'Substation 2025$'!CW84*$BL$1,Comms!CS84*$BL$2)</f>
        <v>66656.523757478732</v>
      </c>
      <c r="BR84" s="98">
        <f>SUM('Defect (Total)'!BR84,Planned!CX84,Reconductor!CX84,CTGS!CX84,'Substation 2025$'!CX84*$BL$1,Comms!CT84*$BL$2)</f>
        <v>66656.523757478732</v>
      </c>
    </row>
    <row r="85" spans="1:70" x14ac:dyDescent="0.25">
      <c r="A85" s="81" t="s">
        <v>138</v>
      </c>
      <c r="B85" s="82" t="s">
        <v>173</v>
      </c>
      <c r="C85" s="83" t="s">
        <v>375</v>
      </c>
      <c r="D85" s="84">
        <f>SUM('Defect (Total)'!D85,Planned!D85,Reconductor!D85,CTGS!D85)</f>
        <v>0</v>
      </c>
      <c r="E85" s="85">
        <f>SUM('Defect (Total)'!E85,Planned!E85,Reconductor!E85,CTGS!E85)</f>
        <v>80744</v>
      </c>
      <c r="F85" s="85">
        <f>SUM('Defect (Total)'!F85,Planned!F85,Reconductor!F85,CTGS!F85)</f>
        <v>200271</v>
      </c>
      <c r="G85" s="85">
        <f>SUM('Defect (Total)'!G85,Planned!G85,Reconductor!G85,CTGS!G85)</f>
        <v>0</v>
      </c>
      <c r="H85" s="85">
        <f>SUM('Defect (Total)'!H85,Planned!H85,Reconductor!H85,CTGS!H85)</f>
        <v>0</v>
      </c>
      <c r="I85" s="85">
        <f>SUM('Defect (Total)'!I85,Planned!I85,Reconductor!I85,CTGS!I85)</f>
        <v>125300.59687523704</v>
      </c>
      <c r="J85" s="85">
        <f>SUM('Defect (Total)'!J85,Planned!J85,Reconductor!J85,CTGS!J85)</f>
        <v>0</v>
      </c>
      <c r="K85" s="85">
        <f>SUM('Defect (Total)'!K85,Planned!K85,Reconductor!K85,CTGS!K85)</f>
        <v>181400.89701398701</v>
      </c>
      <c r="L85" s="85">
        <f>SUM('Defect (Total)'!L85,Planned!L85,Reconductor!L85,CTGS!L85)</f>
        <v>0</v>
      </c>
      <c r="M85" s="85">
        <f>SUM('Defect (Total)'!M85,Planned!M85,Reconductor!M85,CTGS!M85)</f>
        <v>0</v>
      </c>
      <c r="N85" s="85">
        <f>SUM('Defect (Total)'!N85,Planned!N85,Reconductor!N85,CTGS!N85)</f>
        <v>0</v>
      </c>
      <c r="O85" s="560">
        <f>SUM('Defect (Total)'!O85,Planned!O85,Reconductor!O85,CTGS!O85)</f>
        <v>0</v>
      </c>
      <c r="P85" s="561">
        <f>SUM('Defect (Total)'!P85,Planned!P85,Reconductor!P85,CTGS!P85)</f>
        <v>107020.59443279887</v>
      </c>
      <c r="Q85" s="561">
        <f>SUM('Defect (Total)'!Q85,Planned!Q85,Reconductor!Q85,CTGS!Q85)</f>
        <v>262756.70310455409</v>
      </c>
      <c r="R85" s="561">
        <f>SUM('Defect (Total)'!R85,Planned!R85,Reconductor!R85,CTGS!R85)</f>
        <v>0</v>
      </c>
      <c r="S85" s="561">
        <f>SUM('Defect (Total)'!S85,Planned!S85,Reconductor!S85,CTGS!S85)</f>
        <v>0</v>
      </c>
      <c r="T85" s="561">
        <f>SUM('Defect (Total)'!T85,Planned!T85,Reconductor!T85,CTGS!T85)</f>
        <v>155516.62210648609</v>
      </c>
      <c r="U85" s="561">
        <f>SUM('Defect (Total)'!U85,Planned!U85,Reconductor!U85,CTGS!U85)</f>
        <v>0</v>
      </c>
      <c r="V85" s="561">
        <f>SUM('Defect (Total)'!V85,Planned!V85,Reconductor!V85,CTGS!V85)</f>
        <v>217564.76027428094</v>
      </c>
      <c r="W85" s="561">
        <f>SUM('Defect (Total)'!W85,Planned!W85,Reconductor!W85,CTGS!W85)</f>
        <v>0</v>
      </c>
      <c r="X85" s="675">
        <f>SUM('Defect (Total)'!X85,Planned!X85,Reconductor!X85,CTGS!X85)</f>
        <v>0</v>
      </c>
      <c r="Y85" s="675">
        <f>SUM('Defect (Total)'!Y85,Planned!Y85,Reconductor!Y85,CTGS!Y85)</f>
        <v>0</v>
      </c>
      <c r="Z85" s="86">
        <f>SUM('Defect (Total)'!Z85,Planned!Z85,Reconductor!Z85,CTGS!Z85)</f>
        <v>0</v>
      </c>
      <c r="AA85" s="87">
        <f>SUM('Defect (Total)'!AA85,Planned!AA85,Reconductor!AA85,CTGS!AA85)</f>
        <v>1</v>
      </c>
      <c r="AB85" s="87">
        <f>SUM('Defect (Total)'!AB85,Planned!AB85,Reconductor!AB85,CTGS!AB85)</f>
        <v>3</v>
      </c>
      <c r="AC85" s="87">
        <f>SUM('Defect (Total)'!AC85,Planned!AC85,Reconductor!AC85,CTGS!AC85)</f>
        <v>0</v>
      </c>
      <c r="AD85" s="87">
        <f>SUM('Defect (Total)'!AD85,Planned!AD85,Reconductor!AD85,CTGS!AD85)</f>
        <v>0</v>
      </c>
      <c r="AE85" s="87">
        <f>SUM('Defect (Total)'!AE85,Planned!AE85,Reconductor!AE85,CTGS!AE85)</f>
        <v>1</v>
      </c>
      <c r="AF85" s="87">
        <f>SUM('Defect (Total)'!AF85,Planned!AF85,Reconductor!AF85,CTGS!AF85)</f>
        <v>0</v>
      </c>
      <c r="AG85" s="87">
        <f>SUM('Defect (Total)'!AG85,Planned!AG85,Reconductor!AG85,CTGS!AG85)</f>
        <v>2</v>
      </c>
      <c r="AH85" s="87">
        <f>SUM('Defect (Total)'!AH85,Planned!AH85,Reconductor!AH85,CTGS!AH85)</f>
        <v>0</v>
      </c>
      <c r="AI85" s="87">
        <f>SUM('Defect (Total)'!AI85,Planned!AI85,Reconductor!AI85,CTGS!AI85)</f>
        <v>0</v>
      </c>
      <c r="AJ85" s="87">
        <f>SUM('Defect (Total)'!AJ85,Planned!AJ85,Reconductor!AJ85,CTGS!AJ85)</f>
        <v>0</v>
      </c>
      <c r="AK85" s="88">
        <f t="shared" si="47"/>
        <v>0.6</v>
      </c>
      <c r="AL85" s="89">
        <f t="shared" si="34"/>
        <v>0.66666666666666663</v>
      </c>
      <c r="AM85" s="90">
        <f t="shared" si="48"/>
        <v>0</v>
      </c>
      <c r="AN85" s="91" t="str">
        <f t="shared" si="35"/>
        <v/>
      </c>
      <c r="AO85" s="92">
        <f t="shared" si="36"/>
        <v>80744</v>
      </c>
      <c r="AP85" s="92">
        <f t="shared" si="37"/>
        <v>66757</v>
      </c>
      <c r="AQ85" s="92" t="str">
        <f t="shared" si="38"/>
        <v/>
      </c>
      <c r="AR85" s="92" t="str">
        <f t="shared" si="39"/>
        <v/>
      </c>
      <c r="AS85" s="92">
        <f t="shared" si="40"/>
        <v>125300.59687523704</v>
      </c>
      <c r="AT85" s="92" t="str">
        <f t="shared" si="41"/>
        <v/>
      </c>
      <c r="AU85" s="92">
        <f t="shared" si="42"/>
        <v>90700.448506993504</v>
      </c>
      <c r="AV85" s="92" t="str">
        <f t="shared" si="43"/>
        <v/>
      </c>
      <c r="AW85" s="92" t="str">
        <f t="shared" si="44"/>
        <v/>
      </c>
      <c r="AX85" s="92" t="str">
        <f t="shared" si="44"/>
        <v/>
      </c>
      <c r="AY85" s="93">
        <f t="shared" si="32"/>
        <v>102233.83129640801</v>
      </c>
      <c r="AZ85" s="94">
        <f t="shared" si="45"/>
        <v>90700.448506993504</v>
      </c>
      <c r="BA85" s="95" t="str">
        <f t="shared" si="46"/>
        <v/>
      </c>
      <c r="BB85" s="689">
        <f>SUM('Defect (Total)'!BB85,Planned!CE85,Reconductor!CE85,CTGS!CE85,'Substation 2025$'!CE85*$BL$1,Comms!CA85*$BL$2)</f>
        <v>0.66666666666666663</v>
      </c>
      <c r="BC85" s="689">
        <f>SUM('Defect (Total)'!BC85,Planned!CF85,Reconductor!CF85,CTGS!CF85,'Substation 2025$'!CF85*$BL$1,Comms!CB85*$BL$2)</f>
        <v>0.66666666666666663</v>
      </c>
      <c r="BD85" s="96">
        <f>SUM('Defect (Total)'!BD85,Planned!CG85,Reconductor!CG85,CTGS!CG85,'Substation 2025$'!CG85*$BL$1,Comms!CC85*$BL$2)</f>
        <v>0.66666666666666663</v>
      </c>
      <c r="BE85" s="96">
        <f>SUM('Defect (Total)'!BE85,Planned!CH85,Reconductor!CH85,CTGS!CH85,'Substation 2025$'!CH85*$BL$1,Comms!CD85*$BL$2)</f>
        <v>0.5673892773893332</v>
      </c>
      <c r="BF85" s="96">
        <f>SUM('Defect (Total)'!BF85,Planned!CI85,Reconductor!CI85,CTGS!CI85,'Substation 2025$'!CI85*$BL$1,Comms!CE85*$BL$2)</f>
        <v>0.5673892773893332</v>
      </c>
      <c r="BG85" s="96">
        <f>SUM('Defect (Total)'!BG85,Planned!CJ85,Reconductor!CJ85,CTGS!CJ85,'Substation 2025$'!CJ85*$BL$1,Comms!CF85*$BL$2)</f>
        <v>5.5673892773893332</v>
      </c>
      <c r="BH85" s="96">
        <f>SUM('Defect (Total)'!BH85,Planned!CK85,Reconductor!CK85,CTGS!CK85,'Substation 2025$'!CK85*$BL$1,Comms!CG85*$BL$2)</f>
        <v>4.5673892773893332</v>
      </c>
      <c r="BI85" s="286">
        <f>SUM('Defect (Total)'!BI85,Planned!CL85,Reconductor!CL85,CTGS!CL85,'Substation 2025$'!CL85*$BL$1,Comms!CH85*$BL$2)</f>
        <v>1.5673892773893332</v>
      </c>
      <c r="BJ85" s="99">
        <f t="shared" si="49"/>
        <v>2166607.2507717819</v>
      </c>
      <c r="BK85" s="992">
        <f>SUM('Defect (Total)'!BK85,Planned!CQ85,Reconductor!CQ85,CTGS!CQ85,'Substation 2025$'!CQ85*$BL$1,Comms!CM85*$BL$2)</f>
        <v>103209.52378763721</v>
      </c>
      <c r="BL85" s="992">
        <f>SUM('Defect (Total)'!BL85,Planned!CR85,Reconductor!CR85,CTGS!CR85,'Substation 2025$'!CR85*$BL$1,Comms!CN85*$BL$2)</f>
        <v>424987.93689675501</v>
      </c>
      <c r="BM85" s="524">
        <f>SUM('Defect (Total)'!BM85,Planned!CS85,Reconductor!CS85,CTGS!CS85,'Substation 2025$'!CS85*$BL$1,Comms!CO85*$BL$2)</f>
        <v>1512278.8827945751</v>
      </c>
      <c r="BN85" s="416">
        <f>SUM('Defect (Total)'!BN85,Planned!CT85,Reconductor!CT85,CTGS!CT85,'Substation 2025$'!CT85*$BL$1,Comms!CP85*$BL$2)</f>
        <v>3682314.1305692084</v>
      </c>
      <c r="BO85" s="97">
        <f>SUM('Defect (Total)'!BO85,Planned!CU85,Reconductor!CU85,CTGS!CU85,'Substation 2025$'!CU85*$BL$1,Comms!CQ85*$BL$2)</f>
        <v>4572580.9525073152</v>
      </c>
      <c r="BP85" s="97">
        <f>SUM('Defect (Total)'!BP85,Planned!CV85,Reconductor!CV85,CTGS!CV85,'Substation 2025$'!CV85*$BL$1,Comms!CR85*$BL$2)</f>
        <v>5781004.5320547689</v>
      </c>
      <c r="BQ85" s="97">
        <f>SUM('Defect (Total)'!BQ85,Planned!CW85,Reconductor!CW85,CTGS!CW85,'Substation 2025$'!CW85*$BL$1,Comms!CS85*$BL$2)</f>
        <v>4534277.0156002594</v>
      </c>
      <c r="BR85" s="98">
        <f>SUM('Defect (Total)'!BR85,Planned!CX85,Reconductor!CX85,CTGS!CX85,'Substation 2025$'!CX85*$BL$1,Comms!CT85*$BL$2)</f>
        <v>9242444.4889957197</v>
      </c>
    </row>
    <row r="86" spans="1:70" x14ac:dyDescent="0.25">
      <c r="A86" s="81" t="s">
        <v>138</v>
      </c>
      <c r="B86" s="82" t="s">
        <v>175</v>
      </c>
      <c r="C86" s="83" t="s">
        <v>376</v>
      </c>
      <c r="D86" s="84">
        <f>SUM('Defect (Total)'!D86,Planned!D86,Reconductor!D86,CTGS!D86)</f>
        <v>0</v>
      </c>
      <c r="E86" s="85">
        <f>SUM('Defect (Total)'!E86,Planned!E86,Reconductor!E86,CTGS!E86)</f>
        <v>0</v>
      </c>
      <c r="F86" s="85">
        <f>SUM('Defect (Total)'!F86,Planned!F86,Reconductor!F86,CTGS!F86)</f>
        <v>0</v>
      </c>
      <c r="G86" s="85">
        <f>SUM('Defect (Total)'!G86,Planned!G86,Reconductor!G86,CTGS!G86)</f>
        <v>0</v>
      </c>
      <c r="H86" s="85">
        <f>SUM('Defect (Total)'!H86,Planned!H86,Reconductor!H86,CTGS!H86)</f>
        <v>0</v>
      </c>
      <c r="I86" s="85">
        <f>SUM('Defect (Total)'!I86,Planned!I86,Reconductor!I86,CTGS!I86)</f>
        <v>0</v>
      </c>
      <c r="J86" s="85">
        <f>SUM('Defect (Total)'!J86,Planned!J86,Reconductor!J86,CTGS!J86)</f>
        <v>0</v>
      </c>
      <c r="K86" s="85">
        <f>SUM('Defect (Total)'!K86,Planned!K86,Reconductor!K86,CTGS!K86)</f>
        <v>0</v>
      </c>
      <c r="L86" s="85">
        <f>SUM('Defect (Total)'!L86,Planned!L86,Reconductor!L86,CTGS!L86)</f>
        <v>0</v>
      </c>
      <c r="M86" s="85">
        <f>SUM('Defect (Total)'!M86,Planned!M86,Reconductor!M86,CTGS!M86)</f>
        <v>0</v>
      </c>
      <c r="N86" s="85">
        <f>SUM('Defect (Total)'!N86,Planned!N86,Reconductor!N86,CTGS!N86)</f>
        <v>0</v>
      </c>
      <c r="O86" s="560">
        <f>SUM('Defect (Total)'!O86,Planned!O86,Reconductor!O86,CTGS!O86)</f>
        <v>0</v>
      </c>
      <c r="P86" s="561">
        <f>SUM('Defect (Total)'!P86,Planned!P86,Reconductor!P86,CTGS!P86)</f>
        <v>0</v>
      </c>
      <c r="Q86" s="561">
        <f>SUM('Defect (Total)'!Q86,Planned!Q86,Reconductor!Q86,CTGS!Q86)</f>
        <v>0</v>
      </c>
      <c r="R86" s="561">
        <f>SUM('Defect (Total)'!R86,Planned!R86,Reconductor!R86,CTGS!R86)</f>
        <v>0</v>
      </c>
      <c r="S86" s="561">
        <f>SUM('Defect (Total)'!S86,Planned!S86,Reconductor!S86,CTGS!S86)</f>
        <v>0</v>
      </c>
      <c r="T86" s="561">
        <f>SUM('Defect (Total)'!T86,Planned!T86,Reconductor!T86,CTGS!T86)</f>
        <v>0</v>
      </c>
      <c r="U86" s="561">
        <f>SUM('Defect (Total)'!U86,Planned!U86,Reconductor!U86,CTGS!U86)</f>
        <v>0</v>
      </c>
      <c r="V86" s="561">
        <f>SUM('Defect (Total)'!V86,Planned!V86,Reconductor!V86,CTGS!V86)</f>
        <v>0</v>
      </c>
      <c r="W86" s="561">
        <f>SUM('Defect (Total)'!W86,Planned!W86,Reconductor!W86,CTGS!W86)</f>
        <v>0</v>
      </c>
      <c r="X86" s="675">
        <f>SUM('Defect (Total)'!X86,Planned!X86,Reconductor!X86,CTGS!X86)</f>
        <v>0</v>
      </c>
      <c r="Y86" s="675">
        <f>SUM('Defect (Total)'!Y86,Planned!Y86,Reconductor!Y86,CTGS!Y86)</f>
        <v>0</v>
      </c>
      <c r="Z86" s="86">
        <f>SUM('Defect (Total)'!Z86,Planned!Z86,Reconductor!Z86,CTGS!Z86)</f>
        <v>0</v>
      </c>
      <c r="AA86" s="87">
        <f>SUM('Defect (Total)'!AA86,Planned!AA86,Reconductor!AA86,CTGS!AA86)</f>
        <v>0</v>
      </c>
      <c r="AB86" s="87">
        <f>SUM('Defect (Total)'!AB86,Planned!AB86,Reconductor!AB86,CTGS!AB86)</f>
        <v>0</v>
      </c>
      <c r="AC86" s="87">
        <f>SUM('Defect (Total)'!AC86,Planned!AC86,Reconductor!AC86,CTGS!AC86)</f>
        <v>0</v>
      </c>
      <c r="AD86" s="87">
        <f>SUM('Defect (Total)'!AD86,Planned!AD86,Reconductor!AD86,CTGS!AD86)</f>
        <v>0</v>
      </c>
      <c r="AE86" s="87">
        <f>SUM('Defect (Total)'!AE86,Planned!AE86,Reconductor!AE86,CTGS!AE86)</f>
        <v>0</v>
      </c>
      <c r="AF86" s="87">
        <f>SUM('Defect (Total)'!AF86,Planned!AF86,Reconductor!AF86,CTGS!AF86)</f>
        <v>0</v>
      </c>
      <c r="AG86" s="87">
        <f>SUM('Defect (Total)'!AG86,Planned!AG86,Reconductor!AG86,CTGS!AG86)</f>
        <v>0</v>
      </c>
      <c r="AH86" s="87">
        <f>SUM('Defect (Total)'!AH86,Planned!AH86,Reconductor!AH86,CTGS!AH86)</f>
        <v>0</v>
      </c>
      <c r="AI86" s="87">
        <f>SUM('Defect (Total)'!AI86,Planned!AI86,Reconductor!AI86,CTGS!AI86)</f>
        <v>0</v>
      </c>
      <c r="AJ86" s="87">
        <f>SUM('Defect (Total)'!AJ86,Planned!AJ86,Reconductor!AJ86,CTGS!AJ86)</f>
        <v>0</v>
      </c>
      <c r="AK86" s="88">
        <f t="shared" si="47"/>
        <v>0</v>
      </c>
      <c r="AL86" s="89">
        <f t="shared" si="34"/>
        <v>0</v>
      </c>
      <c r="AM86" s="90">
        <f t="shared" si="48"/>
        <v>0</v>
      </c>
      <c r="AN86" s="91" t="str">
        <f t="shared" si="35"/>
        <v/>
      </c>
      <c r="AO86" s="92" t="str">
        <f t="shared" si="36"/>
        <v/>
      </c>
      <c r="AP86" s="92" t="str">
        <f t="shared" si="37"/>
        <v/>
      </c>
      <c r="AQ86" s="92" t="str">
        <f t="shared" si="38"/>
        <v/>
      </c>
      <c r="AR86" s="92" t="str">
        <f t="shared" si="39"/>
        <v/>
      </c>
      <c r="AS86" s="92" t="str">
        <f t="shared" si="40"/>
        <v/>
      </c>
      <c r="AT86" s="92" t="str">
        <f t="shared" si="41"/>
        <v/>
      </c>
      <c r="AU86" s="92" t="str">
        <f t="shared" si="42"/>
        <v/>
      </c>
      <c r="AV86" s="92" t="str">
        <f t="shared" si="43"/>
        <v/>
      </c>
      <c r="AW86" s="92" t="str">
        <f t="shared" si="44"/>
        <v/>
      </c>
      <c r="AX86" s="92" t="str">
        <f t="shared" si="44"/>
        <v/>
      </c>
      <c r="AY86" s="93" t="str">
        <f t="shared" si="32"/>
        <v/>
      </c>
      <c r="AZ86" s="94" t="str">
        <f t="shared" si="45"/>
        <v/>
      </c>
      <c r="BA86" s="95" t="str">
        <f t="shared" si="46"/>
        <v/>
      </c>
      <c r="BB86" s="689">
        <f>SUM('Defect (Total)'!BB86,Planned!CE86,Reconductor!CE86,CTGS!CE86,'Substation 2025$'!CE86*$BL$1,Comms!CA86*$BL$2)</f>
        <v>0</v>
      </c>
      <c r="BC86" s="689">
        <f>SUM('Defect (Total)'!BC86,Planned!CF86,Reconductor!CF86,CTGS!CF86,'Substation 2025$'!CF86*$BL$1,Comms!CB86*$BL$2)</f>
        <v>0</v>
      </c>
      <c r="BD86" s="96">
        <f>SUM('Defect (Total)'!BD86,Planned!CG86,Reconductor!CG86,CTGS!CG86,'Substation 2025$'!CG86*$BL$1,Comms!CC86*$BL$2)</f>
        <v>0</v>
      </c>
      <c r="BE86" s="96">
        <f>SUM('Defect (Total)'!BE86,Planned!CH86,Reconductor!CH86,CTGS!CH86,'Substation 2025$'!CH86*$BL$1,Comms!CD86*$BL$2)</f>
        <v>0</v>
      </c>
      <c r="BF86" s="96">
        <f>SUM('Defect (Total)'!BF86,Planned!CI86,Reconductor!CI86,CTGS!CI86,'Substation 2025$'!CI86*$BL$1,Comms!CE86*$BL$2)</f>
        <v>0</v>
      </c>
      <c r="BG86" s="96">
        <f>SUM('Defect (Total)'!BG86,Planned!CJ86,Reconductor!CJ86,CTGS!CJ86,'Substation 2025$'!CJ86*$BL$1,Comms!CF86*$BL$2)</f>
        <v>0</v>
      </c>
      <c r="BH86" s="96">
        <f>SUM('Defect (Total)'!BH86,Planned!CK86,Reconductor!CK86,CTGS!CK86,'Substation 2025$'!CK86*$BL$1,Comms!CG86*$BL$2)</f>
        <v>0</v>
      </c>
      <c r="BI86" s="286">
        <f>SUM('Defect (Total)'!BI86,Planned!CL86,Reconductor!CL86,CTGS!CL86,'Substation 2025$'!CL86*$BL$1,Comms!CH86*$BL$2)</f>
        <v>0</v>
      </c>
      <c r="BJ86" s="99" t="str">
        <f t="shared" si="49"/>
        <v/>
      </c>
      <c r="BK86" s="992">
        <f>SUM('Defect (Total)'!BK86,Planned!CQ86,Reconductor!CQ86,CTGS!CQ86,'Substation 2025$'!CQ86*$BL$1,Comms!CM86*$BL$2)</f>
        <v>10416.895480794019</v>
      </c>
      <c r="BL86" s="992">
        <f>SUM('Defect (Total)'!BL86,Planned!CR86,Reconductor!CR86,CTGS!CR86,'Substation 2025$'!CR86*$BL$1,Comms!CN86*$BL$2)</f>
        <v>931676.52123085037</v>
      </c>
      <c r="BM86" s="524">
        <f>SUM('Defect (Total)'!BM86,Planned!CS86,Reconductor!CS86,CTGS!CS86,'Substation 2025$'!CS86*$BL$1,Comms!CO86*$BL$2)</f>
        <v>0</v>
      </c>
      <c r="BN86" s="416">
        <f>SUM('Defect (Total)'!BN86,Planned!CT86,Reconductor!CT86,CTGS!CT86,'Substation 2025$'!CT86*$BL$1,Comms!CP86*$BL$2)</f>
        <v>0</v>
      </c>
      <c r="BO86" s="97">
        <f>SUM('Defect (Total)'!BO86,Planned!CU86,Reconductor!CU86,CTGS!CU86,'Substation 2025$'!CU86*$BL$1,Comms!CQ86*$BL$2)</f>
        <v>0</v>
      </c>
      <c r="BP86" s="97">
        <f>SUM('Defect (Total)'!BP86,Planned!CV86,Reconductor!CV86,CTGS!CV86,'Substation 2025$'!CV86*$BL$1,Comms!CR86*$BL$2)</f>
        <v>0</v>
      </c>
      <c r="BQ86" s="97">
        <f>SUM('Defect (Total)'!BQ86,Planned!CW86,Reconductor!CW86,CTGS!CW86,'Substation 2025$'!CW86*$BL$1,Comms!CS86*$BL$2)</f>
        <v>0</v>
      </c>
      <c r="BR86" s="98">
        <f>SUM('Defect (Total)'!BR86,Planned!CX86,Reconductor!CX86,CTGS!CX86,'Substation 2025$'!CX86*$BL$1,Comms!CT86*$BL$2)</f>
        <v>0</v>
      </c>
    </row>
    <row r="87" spans="1:70" x14ac:dyDescent="0.25">
      <c r="A87" s="81" t="s">
        <v>138</v>
      </c>
      <c r="B87" s="82" t="s">
        <v>177</v>
      </c>
      <c r="C87" s="83" t="s">
        <v>377</v>
      </c>
      <c r="D87" s="84">
        <f>SUM('Defect (Total)'!D87,Planned!D87,Reconductor!D87,CTGS!D87)</f>
        <v>0</v>
      </c>
      <c r="E87" s="85">
        <f>SUM('Defect (Total)'!E87,Planned!E87,Reconductor!E87,CTGS!E87)</f>
        <v>0</v>
      </c>
      <c r="F87" s="85">
        <f>SUM('Defect (Total)'!F87,Planned!F87,Reconductor!F87,CTGS!F87)</f>
        <v>0</v>
      </c>
      <c r="G87" s="85">
        <f>SUM('Defect (Total)'!G87,Planned!G87,Reconductor!G87,CTGS!G87)</f>
        <v>0</v>
      </c>
      <c r="H87" s="85">
        <f>SUM('Defect (Total)'!H87,Planned!H87,Reconductor!H87,CTGS!H87)</f>
        <v>0</v>
      </c>
      <c r="I87" s="85">
        <f>SUM('Defect (Total)'!I87,Planned!I87,Reconductor!I87,CTGS!I87)</f>
        <v>0</v>
      </c>
      <c r="J87" s="85">
        <f>SUM('Defect (Total)'!J87,Planned!J87,Reconductor!J87,CTGS!J87)</f>
        <v>0</v>
      </c>
      <c r="K87" s="85">
        <f>SUM('Defect (Total)'!K87,Planned!K87,Reconductor!K87,CTGS!K87)</f>
        <v>0</v>
      </c>
      <c r="L87" s="85">
        <f>SUM('Defect (Total)'!L87,Planned!L87,Reconductor!L87,CTGS!L87)</f>
        <v>0</v>
      </c>
      <c r="M87" s="85">
        <f>SUM('Defect (Total)'!M87,Planned!M87,Reconductor!M87,CTGS!M87)</f>
        <v>0</v>
      </c>
      <c r="N87" s="85">
        <f>SUM('Defect (Total)'!N87,Planned!N87,Reconductor!N87,CTGS!N87)</f>
        <v>0</v>
      </c>
      <c r="O87" s="560">
        <f>SUM('Defect (Total)'!O87,Planned!O87,Reconductor!O87,CTGS!O87)</f>
        <v>0</v>
      </c>
      <c r="P87" s="561">
        <f>SUM('Defect (Total)'!P87,Planned!P87,Reconductor!P87,CTGS!P87)</f>
        <v>0</v>
      </c>
      <c r="Q87" s="561">
        <f>SUM('Defect (Total)'!Q87,Planned!Q87,Reconductor!Q87,CTGS!Q87)</f>
        <v>0</v>
      </c>
      <c r="R87" s="561">
        <f>SUM('Defect (Total)'!R87,Planned!R87,Reconductor!R87,CTGS!R87)</f>
        <v>0</v>
      </c>
      <c r="S87" s="561">
        <f>SUM('Defect (Total)'!S87,Planned!S87,Reconductor!S87,CTGS!S87)</f>
        <v>0</v>
      </c>
      <c r="T87" s="561">
        <f>SUM('Defect (Total)'!T87,Planned!T87,Reconductor!T87,CTGS!T87)</f>
        <v>0</v>
      </c>
      <c r="U87" s="561">
        <f>SUM('Defect (Total)'!U87,Planned!U87,Reconductor!U87,CTGS!U87)</f>
        <v>0</v>
      </c>
      <c r="V87" s="561">
        <f>SUM('Defect (Total)'!V87,Planned!V87,Reconductor!V87,CTGS!V87)</f>
        <v>0</v>
      </c>
      <c r="W87" s="561">
        <f>SUM('Defect (Total)'!W87,Planned!W87,Reconductor!W87,CTGS!W87)</f>
        <v>0</v>
      </c>
      <c r="X87" s="675">
        <f>SUM('Defect (Total)'!X87,Planned!X87,Reconductor!X87,CTGS!X87)</f>
        <v>0</v>
      </c>
      <c r="Y87" s="675">
        <f>SUM('Defect (Total)'!Y87,Planned!Y87,Reconductor!Y87,CTGS!Y87)</f>
        <v>0</v>
      </c>
      <c r="Z87" s="86">
        <f>SUM('Defect (Total)'!Z87,Planned!Z87,Reconductor!Z87,CTGS!Z87)</f>
        <v>0</v>
      </c>
      <c r="AA87" s="87">
        <f>SUM('Defect (Total)'!AA87,Planned!AA87,Reconductor!AA87,CTGS!AA87)</f>
        <v>0</v>
      </c>
      <c r="AB87" s="87">
        <f>SUM('Defect (Total)'!AB87,Planned!AB87,Reconductor!AB87,CTGS!AB87)</f>
        <v>0</v>
      </c>
      <c r="AC87" s="87">
        <f>SUM('Defect (Total)'!AC87,Planned!AC87,Reconductor!AC87,CTGS!AC87)</f>
        <v>0</v>
      </c>
      <c r="AD87" s="87">
        <f>SUM('Defect (Total)'!AD87,Planned!AD87,Reconductor!AD87,CTGS!AD87)</f>
        <v>0</v>
      </c>
      <c r="AE87" s="87">
        <f>SUM('Defect (Total)'!AE87,Planned!AE87,Reconductor!AE87,CTGS!AE87)</f>
        <v>0</v>
      </c>
      <c r="AF87" s="87">
        <f>SUM('Defect (Total)'!AF87,Planned!AF87,Reconductor!AF87,CTGS!AF87)</f>
        <v>0</v>
      </c>
      <c r="AG87" s="87">
        <f>SUM('Defect (Total)'!AG87,Planned!AG87,Reconductor!AG87,CTGS!AG87)</f>
        <v>0</v>
      </c>
      <c r="AH87" s="87">
        <f>SUM('Defect (Total)'!AH87,Planned!AH87,Reconductor!AH87,CTGS!AH87)</f>
        <v>0</v>
      </c>
      <c r="AI87" s="87">
        <f>SUM('Defect (Total)'!AI87,Planned!AI87,Reconductor!AI87,CTGS!AI87)</f>
        <v>0</v>
      </c>
      <c r="AJ87" s="87">
        <f>SUM('Defect (Total)'!AJ87,Planned!AJ87,Reconductor!AJ87,CTGS!AJ87)</f>
        <v>0</v>
      </c>
      <c r="AK87" s="88">
        <f t="shared" si="47"/>
        <v>0</v>
      </c>
      <c r="AL87" s="89">
        <f t="shared" si="34"/>
        <v>0</v>
      </c>
      <c r="AM87" s="90">
        <f t="shared" si="48"/>
        <v>0</v>
      </c>
      <c r="AN87" s="91" t="str">
        <f t="shared" si="35"/>
        <v/>
      </c>
      <c r="AO87" s="92" t="str">
        <f t="shared" si="36"/>
        <v/>
      </c>
      <c r="AP87" s="92" t="str">
        <f t="shared" si="37"/>
        <v/>
      </c>
      <c r="AQ87" s="92" t="str">
        <f t="shared" si="38"/>
        <v/>
      </c>
      <c r="AR87" s="92" t="str">
        <f t="shared" si="39"/>
        <v/>
      </c>
      <c r="AS87" s="92" t="str">
        <f t="shared" si="40"/>
        <v/>
      </c>
      <c r="AT87" s="92" t="str">
        <f t="shared" si="41"/>
        <v/>
      </c>
      <c r="AU87" s="92" t="str">
        <f t="shared" si="42"/>
        <v/>
      </c>
      <c r="AV87" s="92" t="str">
        <f t="shared" si="43"/>
        <v/>
      </c>
      <c r="AW87" s="92" t="str">
        <f t="shared" ref="AW87:AX102" si="50">IFERROR(M87/AI87,"")</f>
        <v/>
      </c>
      <c r="AX87" s="92" t="str">
        <f t="shared" si="50"/>
        <v/>
      </c>
      <c r="AY87" s="93" t="str">
        <f t="shared" si="32"/>
        <v/>
      </c>
      <c r="AZ87" s="94" t="str">
        <f t="shared" si="45"/>
        <v/>
      </c>
      <c r="BA87" s="95" t="str">
        <f t="shared" si="46"/>
        <v/>
      </c>
      <c r="BB87" s="689">
        <f>SUM('Defect (Total)'!BB87,Planned!CE87,Reconductor!CE87,CTGS!CE87,'Substation 2025$'!CE87*$BL$1,Comms!CA87*$BL$2)</f>
        <v>0</v>
      </c>
      <c r="BC87" s="689">
        <f>SUM('Defect (Total)'!BC87,Planned!CF87,Reconductor!CF87,CTGS!CF87,'Substation 2025$'!CF87*$BL$1,Comms!CB87*$BL$2)</f>
        <v>0</v>
      </c>
      <c r="BD87" s="96">
        <f>SUM('Defect (Total)'!BD87,Planned!CG87,Reconductor!CG87,CTGS!CG87,'Substation 2025$'!CG87*$BL$1,Comms!CC87*$BL$2)</f>
        <v>0</v>
      </c>
      <c r="BE87" s="96">
        <f>SUM('Defect (Total)'!BE87,Planned!CH87,Reconductor!CH87,CTGS!CH87,'Substation 2025$'!CH87*$BL$1,Comms!CD87*$BL$2)</f>
        <v>0</v>
      </c>
      <c r="BF87" s="96">
        <f>SUM('Defect (Total)'!BF87,Planned!CI87,Reconductor!CI87,CTGS!CI87,'Substation 2025$'!CI87*$BL$1,Comms!CE87*$BL$2)</f>
        <v>0</v>
      </c>
      <c r="BG87" s="96">
        <f>SUM('Defect (Total)'!BG87,Planned!CJ87,Reconductor!CJ87,CTGS!CJ87,'Substation 2025$'!CJ87*$BL$1,Comms!CF87*$BL$2)</f>
        <v>0</v>
      </c>
      <c r="BH87" s="96">
        <f>SUM('Defect (Total)'!BH87,Planned!CK87,Reconductor!CK87,CTGS!CK87,'Substation 2025$'!CK87*$BL$1,Comms!CG87*$BL$2)</f>
        <v>0</v>
      </c>
      <c r="BI87" s="286">
        <f>SUM('Defect (Total)'!BI87,Planned!CL87,Reconductor!CL87,CTGS!CL87,'Substation 2025$'!CL87*$BL$1,Comms!CH87*$BL$2)</f>
        <v>0</v>
      </c>
      <c r="BJ87" s="99" t="str">
        <f t="shared" si="49"/>
        <v/>
      </c>
      <c r="BK87" s="992">
        <f>SUM('Defect (Total)'!BK87,Planned!CQ87,Reconductor!CQ87,CTGS!CQ87,'Substation 2025$'!CQ87*$BL$1,Comms!CM87*$BL$2)</f>
        <v>0</v>
      </c>
      <c r="BL87" s="992">
        <f>SUM('Defect (Total)'!BL87,Planned!CR87,Reconductor!CR87,CTGS!CR87,'Substation 2025$'!CR87*$BL$1,Comms!CN87*$BL$2)</f>
        <v>0</v>
      </c>
      <c r="BM87" s="524">
        <f>SUM('Defect (Total)'!BM87,Planned!CS87,Reconductor!CS87,CTGS!CS87,'Substation 2025$'!CS87*$BL$1,Comms!CO87*$BL$2)</f>
        <v>0</v>
      </c>
      <c r="BN87" s="416">
        <f>SUM('Defect (Total)'!BN87,Planned!CT87,Reconductor!CT87,CTGS!CT87,'Substation 2025$'!CT87*$BL$1,Comms!CP87*$BL$2)</f>
        <v>0</v>
      </c>
      <c r="BO87" s="97">
        <f>SUM('Defect (Total)'!BO87,Planned!CU87,Reconductor!CU87,CTGS!CU87,'Substation 2025$'!CU87*$BL$1,Comms!CQ87*$BL$2)</f>
        <v>0</v>
      </c>
      <c r="BP87" s="97">
        <f>SUM('Defect (Total)'!BP87,Planned!CV87,Reconductor!CV87,CTGS!CV87,'Substation 2025$'!CV87*$BL$1,Comms!CR87*$BL$2)</f>
        <v>0</v>
      </c>
      <c r="BQ87" s="97">
        <f>SUM('Defect (Total)'!BQ87,Planned!CW87,Reconductor!CW87,CTGS!CW87,'Substation 2025$'!CW87*$BL$1,Comms!CS87*$BL$2)</f>
        <v>0</v>
      </c>
      <c r="BR87" s="98">
        <f>SUM('Defect (Total)'!BR87,Planned!CX87,Reconductor!CX87,CTGS!CX87,'Substation 2025$'!CX87*$BL$1,Comms!CT87*$BL$2)</f>
        <v>0</v>
      </c>
    </row>
    <row r="88" spans="1:70" x14ac:dyDescent="0.25">
      <c r="A88" s="81" t="s">
        <v>138</v>
      </c>
      <c r="B88" s="82" t="s">
        <v>179</v>
      </c>
      <c r="C88" s="83" t="s">
        <v>378</v>
      </c>
      <c r="D88" s="84">
        <f>SUM('Defect (Total)'!D88,Planned!D88,Reconductor!D88,CTGS!D88)</f>
        <v>0</v>
      </c>
      <c r="E88" s="85">
        <f>SUM('Defect (Total)'!E88,Planned!E88,Reconductor!E88,CTGS!E88)</f>
        <v>0</v>
      </c>
      <c r="F88" s="85">
        <f>SUM('Defect (Total)'!F88,Planned!F88,Reconductor!F88,CTGS!F88)</f>
        <v>0</v>
      </c>
      <c r="G88" s="85">
        <f>SUM('Defect (Total)'!G88,Planned!G88,Reconductor!G88,CTGS!G88)</f>
        <v>0</v>
      </c>
      <c r="H88" s="85">
        <f>SUM('Defect (Total)'!H88,Planned!H88,Reconductor!H88,CTGS!H88)</f>
        <v>0</v>
      </c>
      <c r="I88" s="85">
        <f>SUM('Defect (Total)'!I88,Planned!I88,Reconductor!I88,CTGS!I88)</f>
        <v>0</v>
      </c>
      <c r="J88" s="85">
        <f>SUM('Defect (Total)'!J88,Planned!J88,Reconductor!J88,CTGS!J88)</f>
        <v>0</v>
      </c>
      <c r="K88" s="85">
        <f>SUM('Defect (Total)'!K88,Planned!K88,Reconductor!K88,CTGS!K88)</f>
        <v>0</v>
      </c>
      <c r="L88" s="85">
        <f>SUM('Defect (Total)'!L88,Planned!L88,Reconductor!L88,CTGS!L88)</f>
        <v>0</v>
      </c>
      <c r="M88" s="85">
        <f>SUM('Defect (Total)'!M88,Planned!M88,Reconductor!M88,CTGS!M88)</f>
        <v>0</v>
      </c>
      <c r="N88" s="85">
        <f>SUM('Defect (Total)'!N88,Planned!N88,Reconductor!N88,CTGS!N88)</f>
        <v>0</v>
      </c>
      <c r="O88" s="560">
        <f>SUM('Defect (Total)'!O88,Planned!O88,Reconductor!O88,CTGS!O88)</f>
        <v>0</v>
      </c>
      <c r="P88" s="561">
        <f>SUM('Defect (Total)'!P88,Planned!P88,Reconductor!P88,CTGS!P88)</f>
        <v>0</v>
      </c>
      <c r="Q88" s="561">
        <f>SUM('Defect (Total)'!Q88,Planned!Q88,Reconductor!Q88,CTGS!Q88)</f>
        <v>0</v>
      </c>
      <c r="R88" s="561">
        <f>SUM('Defect (Total)'!R88,Planned!R88,Reconductor!R88,CTGS!R88)</f>
        <v>0</v>
      </c>
      <c r="S88" s="561">
        <f>SUM('Defect (Total)'!S88,Planned!S88,Reconductor!S88,CTGS!S88)</f>
        <v>0</v>
      </c>
      <c r="T88" s="561">
        <f>SUM('Defect (Total)'!T88,Planned!T88,Reconductor!T88,CTGS!T88)</f>
        <v>0</v>
      </c>
      <c r="U88" s="561">
        <f>SUM('Defect (Total)'!U88,Planned!U88,Reconductor!U88,CTGS!U88)</f>
        <v>0</v>
      </c>
      <c r="V88" s="561">
        <f>SUM('Defect (Total)'!V88,Planned!V88,Reconductor!V88,CTGS!V88)</f>
        <v>0</v>
      </c>
      <c r="W88" s="561">
        <f>SUM('Defect (Total)'!W88,Planned!W88,Reconductor!W88,CTGS!W88)</f>
        <v>0</v>
      </c>
      <c r="X88" s="675">
        <f>SUM('Defect (Total)'!X88,Planned!X88,Reconductor!X88,CTGS!X88)</f>
        <v>0</v>
      </c>
      <c r="Y88" s="675">
        <f>SUM('Defect (Total)'!Y88,Planned!Y88,Reconductor!Y88,CTGS!Y88)</f>
        <v>0</v>
      </c>
      <c r="Z88" s="86">
        <f>SUM('Defect (Total)'!Z88,Planned!Z88,Reconductor!Z88,CTGS!Z88)</f>
        <v>0</v>
      </c>
      <c r="AA88" s="87">
        <f>SUM('Defect (Total)'!AA88,Planned!AA88,Reconductor!AA88,CTGS!AA88)</f>
        <v>0</v>
      </c>
      <c r="AB88" s="87">
        <f>SUM('Defect (Total)'!AB88,Planned!AB88,Reconductor!AB88,CTGS!AB88)</f>
        <v>0</v>
      </c>
      <c r="AC88" s="87">
        <f>SUM('Defect (Total)'!AC88,Planned!AC88,Reconductor!AC88,CTGS!AC88)</f>
        <v>0</v>
      </c>
      <c r="AD88" s="87">
        <f>SUM('Defect (Total)'!AD88,Planned!AD88,Reconductor!AD88,CTGS!AD88)</f>
        <v>0</v>
      </c>
      <c r="AE88" s="87">
        <f>SUM('Defect (Total)'!AE88,Planned!AE88,Reconductor!AE88,CTGS!AE88)</f>
        <v>0</v>
      </c>
      <c r="AF88" s="87">
        <f>SUM('Defect (Total)'!AF88,Planned!AF88,Reconductor!AF88,CTGS!AF88)</f>
        <v>0</v>
      </c>
      <c r="AG88" s="87">
        <f>SUM('Defect (Total)'!AG88,Planned!AG88,Reconductor!AG88,CTGS!AG88)</f>
        <v>0</v>
      </c>
      <c r="AH88" s="87">
        <f>SUM('Defect (Total)'!AH88,Planned!AH88,Reconductor!AH88,CTGS!AH88)</f>
        <v>0</v>
      </c>
      <c r="AI88" s="87">
        <f>SUM('Defect (Total)'!AI88,Planned!AI88,Reconductor!AI88,CTGS!AI88)</f>
        <v>0</v>
      </c>
      <c r="AJ88" s="87">
        <f>SUM('Defect (Total)'!AJ88,Planned!AJ88,Reconductor!AJ88,CTGS!AJ88)</f>
        <v>0</v>
      </c>
      <c r="AK88" s="88">
        <f t="shared" si="47"/>
        <v>0</v>
      </c>
      <c r="AL88" s="89">
        <f t="shared" si="34"/>
        <v>0</v>
      </c>
      <c r="AM88" s="90">
        <f t="shared" si="48"/>
        <v>0</v>
      </c>
      <c r="AN88" s="91" t="str">
        <f t="shared" si="35"/>
        <v/>
      </c>
      <c r="AO88" s="92" t="str">
        <f t="shared" si="36"/>
        <v/>
      </c>
      <c r="AP88" s="92" t="str">
        <f t="shared" si="37"/>
        <v/>
      </c>
      <c r="AQ88" s="92" t="str">
        <f t="shared" si="38"/>
        <v/>
      </c>
      <c r="AR88" s="92" t="str">
        <f t="shared" si="39"/>
        <v/>
      </c>
      <c r="AS88" s="92" t="str">
        <f t="shared" si="40"/>
        <v/>
      </c>
      <c r="AT88" s="92" t="str">
        <f t="shared" si="41"/>
        <v/>
      </c>
      <c r="AU88" s="92" t="str">
        <f t="shared" si="42"/>
        <v/>
      </c>
      <c r="AV88" s="92" t="str">
        <f t="shared" si="43"/>
        <v/>
      </c>
      <c r="AW88" s="92" t="str">
        <f t="shared" si="50"/>
        <v/>
      </c>
      <c r="AX88" s="92" t="str">
        <f t="shared" si="50"/>
        <v/>
      </c>
      <c r="AY88" s="93" t="str">
        <f t="shared" si="32"/>
        <v/>
      </c>
      <c r="AZ88" s="94" t="str">
        <f t="shared" si="45"/>
        <v/>
      </c>
      <c r="BA88" s="95" t="str">
        <f t="shared" si="46"/>
        <v/>
      </c>
      <c r="BB88" s="689">
        <f>SUM('Defect (Total)'!BB88,Planned!CE88,Reconductor!CE88,CTGS!CE88,'Substation 2025$'!CE88*$BL$1,Comms!CA88*$BL$2)</f>
        <v>0</v>
      </c>
      <c r="BC88" s="689">
        <f>SUM('Defect (Total)'!BC88,Planned!CF88,Reconductor!CF88,CTGS!CF88,'Substation 2025$'!CF88*$BL$1,Comms!CB88*$BL$2)</f>
        <v>0</v>
      </c>
      <c r="BD88" s="96">
        <f>SUM('Defect (Total)'!BD88,Planned!CG88,Reconductor!CG88,CTGS!CG88,'Substation 2025$'!CG88*$BL$1,Comms!CC88*$BL$2)</f>
        <v>1</v>
      </c>
      <c r="BE88" s="96">
        <f>SUM('Defect (Total)'!BE88,Planned!CH88,Reconductor!CH88,CTGS!CH88,'Substation 2025$'!CH88*$BL$1,Comms!CD88*$BL$2)</f>
        <v>0</v>
      </c>
      <c r="BF88" s="96">
        <f>SUM('Defect (Total)'!BF88,Planned!CI88,Reconductor!CI88,CTGS!CI88,'Substation 2025$'!CI88*$BL$1,Comms!CE88*$BL$2)</f>
        <v>4</v>
      </c>
      <c r="BG88" s="96">
        <f>SUM('Defect (Total)'!BG88,Planned!CJ88,Reconductor!CJ88,CTGS!CJ88,'Substation 2025$'!CJ88*$BL$1,Comms!CF88*$BL$2)</f>
        <v>6</v>
      </c>
      <c r="BH88" s="96">
        <f>SUM('Defect (Total)'!BH88,Planned!CK88,Reconductor!CK88,CTGS!CK88,'Substation 2025$'!CK88*$BL$1,Comms!CG88*$BL$2)</f>
        <v>1</v>
      </c>
      <c r="BI88" s="286">
        <f>SUM('Defect (Total)'!BI88,Planned!CL88,Reconductor!CL88,CTGS!CL88,'Substation 2025$'!CL88*$BL$1,Comms!CH88*$BL$2)</f>
        <v>8</v>
      </c>
      <c r="BJ88" s="99">
        <f t="shared" si="49"/>
        <v>2189093.2736928873</v>
      </c>
      <c r="BK88" s="992">
        <f>SUM('Defect (Total)'!BK88,Planned!CQ88,Reconductor!CQ88,CTGS!CQ88,'Substation 2025$'!CQ88*$BL$1,Comms!CM88*$BL$2)</f>
        <v>0</v>
      </c>
      <c r="BL88" s="992">
        <f>SUM('Defect (Total)'!BL88,Planned!CR88,Reconductor!CR88,CTGS!CR88,'Substation 2025$'!CR88*$BL$1,Comms!CN88*$BL$2)</f>
        <v>12598.83260332697</v>
      </c>
      <c r="BM88" s="524">
        <f>SUM('Defect (Total)'!BM88,Planned!CS88,Reconductor!CS88,CTGS!CS88,'Substation 2025$'!CS88*$BL$1,Comms!CO88*$BL$2)</f>
        <v>191145.42532338024</v>
      </c>
      <c r="BN88" s="416">
        <f>SUM('Defect (Total)'!BN88,Planned!CT88,Reconductor!CT88,CTGS!CT88,'Substation 2025$'!CT88*$BL$1,Comms!CP88*$BL$2)</f>
        <v>5050947.0776173985</v>
      </c>
      <c r="BO88" s="97">
        <f>SUM('Defect (Total)'!BO88,Planned!CU88,Reconductor!CU88,CTGS!CU88,'Substation 2025$'!CU88*$BL$1,Comms!CQ88*$BL$2)</f>
        <v>6532545.7726652836</v>
      </c>
      <c r="BP88" s="97">
        <f>SUM('Defect (Total)'!BP88,Planned!CV88,Reconductor!CV88,CTGS!CV88,'Substation 2025$'!CV88*$BL$1,Comms!CR88*$BL$2)</f>
        <v>7229526.3177307546</v>
      </c>
      <c r="BQ88" s="97">
        <f>SUM('Defect (Total)'!BQ88,Planned!CW88,Reconductor!CW88,CTGS!CW88,'Substation 2025$'!CW88*$BL$1,Comms!CS88*$BL$2)</f>
        <v>11648819.245049668</v>
      </c>
      <c r="BR88" s="98">
        <f>SUM('Defect (Total)'!BR88,Planned!CX88,Reconductor!CX88,CTGS!CX88,'Substation 2025$'!CX88*$BL$1,Comms!CT88*$BL$2)</f>
        <v>11130933.787101747</v>
      </c>
    </row>
    <row r="89" spans="1:70" x14ac:dyDescent="0.25">
      <c r="A89" s="81" t="s">
        <v>138</v>
      </c>
      <c r="B89" s="82" t="s">
        <v>181</v>
      </c>
      <c r="C89" s="83" t="s">
        <v>379</v>
      </c>
      <c r="D89" s="84">
        <f>SUM('Defect (Total)'!D89,Planned!D89,Reconductor!D89,CTGS!D89)</f>
        <v>0</v>
      </c>
      <c r="E89" s="85">
        <f>SUM('Defect (Total)'!E89,Planned!E89,Reconductor!E89,CTGS!E89)</f>
        <v>0</v>
      </c>
      <c r="F89" s="85">
        <f>SUM('Defect (Total)'!F89,Planned!F89,Reconductor!F89,CTGS!F89)</f>
        <v>0</v>
      </c>
      <c r="G89" s="85">
        <f>SUM('Defect (Total)'!G89,Planned!G89,Reconductor!G89,CTGS!G89)</f>
        <v>0</v>
      </c>
      <c r="H89" s="85">
        <f>SUM('Defect (Total)'!H89,Planned!H89,Reconductor!H89,CTGS!H89)</f>
        <v>0</v>
      </c>
      <c r="I89" s="85">
        <f>SUM('Defect (Total)'!I89,Planned!I89,Reconductor!I89,CTGS!I89)</f>
        <v>0</v>
      </c>
      <c r="J89" s="85">
        <f>SUM('Defect (Total)'!J89,Planned!J89,Reconductor!J89,CTGS!J89)</f>
        <v>0</v>
      </c>
      <c r="K89" s="85">
        <f>SUM('Defect (Total)'!K89,Planned!K89,Reconductor!K89,CTGS!K89)</f>
        <v>0</v>
      </c>
      <c r="L89" s="85">
        <f>SUM('Defect (Total)'!L89,Planned!L89,Reconductor!L89,CTGS!L89)</f>
        <v>0</v>
      </c>
      <c r="M89" s="85">
        <f>SUM('Defect (Total)'!M89,Planned!M89,Reconductor!M89,CTGS!M89)</f>
        <v>0</v>
      </c>
      <c r="N89" s="85">
        <f>SUM('Defect (Total)'!N89,Planned!N89,Reconductor!N89,CTGS!N89)</f>
        <v>0</v>
      </c>
      <c r="O89" s="560">
        <f>SUM('Defect (Total)'!O89,Planned!O89,Reconductor!O89,CTGS!O89)</f>
        <v>0</v>
      </c>
      <c r="P89" s="561">
        <f>SUM('Defect (Total)'!P89,Planned!P89,Reconductor!P89,CTGS!P89)</f>
        <v>0</v>
      </c>
      <c r="Q89" s="561">
        <f>SUM('Defect (Total)'!Q89,Planned!Q89,Reconductor!Q89,CTGS!Q89)</f>
        <v>0</v>
      </c>
      <c r="R89" s="561">
        <f>SUM('Defect (Total)'!R89,Planned!R89,Reconductor!R89,CTGS!R89)</f>
        <v>0</v>
      </c>
      <c r="S89" s="561">
        <f>SUM('Defect (Total)'!S89,Planned!S89,Reconductor!S89,CTGS!S89)</f>
        <v>0</v>
      </c>
      <c r="T89" s="561">
        <f>SUM('Defect (Total)'!T89,Planned!T89,Reconductor!T89,CTGS!T89)</f>
        <v>0</v>
      </c>
      <c r="U89" s="561">
        <f>SUM('Defect (Total)'!U89,Planned!U89,Reconductor!U89,CTGS!U89)</f>
        <v>0</v>
      </c>
      <c r="V89" s="561">
        <f>SUM('Defect (Total)'!V89,Planned!V89,Reconductor!V89,CTGS!V89)</f>
        <v>0</v>
      </c>
      <c r="W89" s="561">
        <f>SUM('Defect (Total)'!W89,Planned!W89,Reconductor!W89,CTGS!W89)</f>
        <v>0</v>
      </c>
      <c r="X89" s="675">
        <f>SUM('Defect (Total)'!X89,Planned!X89,Reconductor!X89,CTGS!X89)</f>
        <v>0</v>
      </c>
      <c r="Y89" s="675">
        <f>SUM('Defect (Total)'!Y89,Planned!Y89,Reconductor!Y89,CTGS!Y89)</f>
        <v>0</v>
      </c>
      <c r="Z89" s="86">
        <f>SUM('Defect (Total)'!Z89,Planned!Z89,Reconductor!Z89,CTGS!Z89)</f>
        <v>0</v>
      </c>
      <c r="AA89" s="87">
        <f>SUM('Defect (Total)'!AA89,Planned!AA89,Reconductor!AA89,CTGS!AA89)</f>
        <v>0</v>
      </c>
      <c r="AB89" s="87">
        <f>SUM('Defect (Total)'!AB89,Planned!AB89,Reconductor!AB89,CTGS!AB89)</f>
        <v>0</v>
      </c>
      <c r="AC89" s="87">
        <f>SUM('Defect (Total)'!AC89,Planned!AC89,Reconductor!AC89,CTGS!AC89)</f>
        <v>0</v>
      </c>
      <c r="AD89" s="87">
        <f>SUM('Defect (Total)'!AD89,Planned!AD89,Reconductor!AD89,CTGS!AD89)</f>
        <v>0</v>
      </c>
      <c r="AE89" s="87">
        <f>SUM('Defect (Total)'!AE89,Planned!AE89,Reconductor!AE89,CTGS!AE89)</f>
        <v>0</v>
      </c>
      <c r="AF89" s="87">
        <f>SUM('Defect (Total)'!AF89,Planned!AF89,Reconductor!AF89,CTGS!AF89)</f>
        <v>0</v>
      </c>
      <c r="AG89" s="87">
        <f>SUM('Defect (Total)'!AG89,Planned!AG89,Reconductor!AG89,CTGS!AG89)</f>
        <v>0</v>
      </c>
      <c r="AH89" s="87">
        <f>SUM('Defect (Total)'!AH89,Planned!AH89,Reconductor!AH89,CTGS!AH89)</f>
        <v>0</v>
      </c>
      <c r="AI89" s="87">
        <f>SUM('Defect (Total)'!AI89,Planned!AI89,Reconductor!AI89,CTGS!AI89)</f>
        <v>0</v>
      </c>
      <c r="AJ89" s="87">
        <f>SUM('Defect (Total)'!AJ89,Planned!AJ89,Reconductor!AJ89,CTGS!AJ89)</f>
        <v>0</v>
      </c>
      <c r="AK89" s="88">
        <f t="shared" si="47"/>
        <v>0</v>
      </c>
      <c r="AL89" s="89">
        <f t="shared" si="34"/>
        <v>0</v>
      </c>
      <c r="AM89" s="90">
        <f t="shared" si="48"/>
        <v>0</v>
      </c>
      <c r="AN89" s="91" t="str">
        <f t="shared" si="35"/>
        <v/>
      </c>
      <c r="AO89" s="92" t="str">
        <f t="shared" si="36"/>
        <v/>
      </c>
      <c r="AP89" s="92" t="str">
        <f t="shared" si="37"/>
        <v/>
      </c>
      <c r="AQ89" s="92" t="str">
        <f t="shared" si="38"/>
        <v/>
      </c>
      <c r="AR89" s="92" t="str">
        <f t="shared" si="39"/>
        <v/>
      </c>
      <c r="AS89" s="92" t="str">
        <f t="shared" si="40"/>
        <v/>
      </c>
      <c r="AT89" s="92" t="str">
        <f t="shared" si="41"/>
        <v/>
      </c>
      <c r="AU89" s="92" t="str">
        <f t="shared" si="42"/>
        <v/>
      </c>
      <c r="AV89" s="92" t="str">
        <f t="shared" si="43"/>
        <v/>
      </c>
      <c r="AW89" s="92" t="str">
        <f t="shared" si="50"/>
        <v/>
      </c>
      <c r="AX89" s="92" t="str">
        <f t="shared" si="50"/>
        <v/>
      </c>
      <c r="AY89" s="93" t="str">
        <f t="shared" si="32"/>
        <v/>
      </c>
      <c r="AZ89" s="94" t="str">
        <f t="shared" si="45"/>
        <v/>
      </c>
      <c r="BA89" s="95" t="str">
        <f t="shared" si="46"/>
        <v/>
      </c>
      <c r="BB89" s="689">
        <f>SUM('Defect (Total)'!BB89,Planned!CE89,Reconductor!CE89,CTGS!CE89,'Substation 2025$'!CE89*$BL$1,Comms!CA89*$BL$2)</f>
        <v>0</v>
      </c>
      <c r="BC89" s="689">
        <f>SUM('Defect (Total)'!BC89,Planned!CF89,Reconductor!CF89,CTGS!CF89,'Substation 2025$'!CF89*$BL$1,Comms!CB89*$BL$2)</f>
        <v>0</v>
      </c>
      <c r="BD89" s="96">
        <f>SUM('Defect (Total)'!BD89,Planned!CG89,Reconductor!CG89,CTGS!CG89,'Substation 2025$'!CG89*$BL$1,Comms!CC89*$BL$2)</f>
        <v>0</v>
      </c>
      <c r="BE89" s="96">
        <f>SUM('Defect (Total)'!BE89,Planned!CH89,Reconductor!CH89,CTGS!CH89,'Substation 2025$'!CH89*$BL$1,Comms!CD89*$BL$2)</f>
        <v>3</v>
      </c>
      <c r="BF89" s="96">
        <f>SUM('Defect (Total)'!BF89,Planned!CI89,Reconductor!CI89,CTGS!CI89,'Substation 2025$'!CI89*$BL$1,Comms!CE89*$BL$2)</f>
        <v>1</v>
      </c>
      <c r="BG89" s="96">
        <f>SUM('Defect (Total)'!BG89,Planned!CJ89,Reconductor!CJ89,CTGS!CJ89,'Substation 2025$'!CJ89*$BL$1,Comms!CF89*$BL$2)</f>
        <v>3</v>
      </c>
      <c r="BH89" s="96">
        <f>SUM('Defect (Total)'!BH89,Planned!CK89,Reconductor!CK89,CTGS!CK89,'Substation 2025$'!CK89*$BL$1,Comms!CG89*$BL$2)</f>
        <v>1</v>
      </c>
      <c r="BI89" s="286">
        <f>SUM('Defect (Total)'!BI89,Planned!CL89,Reconductor!CL89,CTGS!CL89,'Substation 2025$'!CL89*$BL$1,Comms!CH89*$BL$2)</f>
        <v>0</v>
      </c>
      <c r="BJ89" s="99">
        <f t="shared" si="49"/>
        <v>1190747.5936213804</v>
      </c>
      <c r="BK89" s="992">
        <f>SUM('Defect (Total)'!BK89,Planned!CQ89,Reconductor!CQ89,CTGS!CQ89,'Substation 2025$'!CQ89*$BL$1,Comms!CM89*$BL$2)</f>
        <v>3120719.4549875725</v>
      </c>
      <c r="BL89" s="992">
        <f>SUM('Defect (Total)'!BL89,Planned!CR89,Reconductor!CR89,CTGS!CR89,'Substation 2025$'!CR89*$BL$1,Comms!CN89*$BL$2)</f>
        <v>9350792.6917006355</v>
      </c>
      <c r="BM89" s="524">
        <f>SUM('Defect (Total)'!BM89,Planned!CS89,Reconductor!CS89,CTGS!CS89,'Substation 2025$'!CS89*$BL$1,Comms!CO89*$BL$2)</f>
        <v>5410969.5584943742</v>
      </c>
      <c r="BN89" s="416">
        <f>SUM('Defect (Total)'!BN89,Planned!CT89,Reconductor!CT89,CTGS!CT89,'Substation 2025$'!CT89*$BL$1,Comms!CP89*$BL$2)</f>
        <v>1871501.9804030296</v>
      </c>
      <c r="BO89" s="97">
        <f>SUM('Defect (Total)'!BO89,Planned!CU89,Reconductor!CU89,CTGS!CU89,'Substation 2025$'!CU89*$BL$1,Comms!CQ89*$BL$2)</f>
        <v>2138736.6748103737</v>
      </c>
      <c r="BP89" s="97">
        <f>SUM('Defect (Total)'!BP89,Planned!CV89,Reconductor!CV89,CTGS!CV89,'Substation 2025$'!CV89*$BL$1,Comms!CR89*$BL$2)</f>
        <v>1752973.4284182887</v>
      </c>
      <c r="BQ89" s="97">
        <f>SUM('Defect (Total)'!BQ89,Planned!CW89,Reconductor!CW89,CTGS!CW89,'Substation 2025$'!CW89*$BL$1,Comms!CS89*$BL$2)</f>
        <v>2906945.5614089356</v>
      </c>
      <c r="BR89" s="98">
        <f>SUM('Defect (Total)'!BR89,Planned!CX89,Reconductor!CX89,CTGS!CX89,'Substation 2025$'!CX89*$BL$1,Comms!CT89*$BL$2)</f>
        <v>855823.10393041524</v>
      </c>
    </row>
    <row r="90" spans="1:70" x14ac:dyDescent="0.25">
      <c r="A90" s="81" t="s">
        <v>138</v>
      </c>
      <c r="B90" s="82" t="s">
        <v>183</v>
      </c>
      <c r="C90" s="83" t="s">
        <v>380</v>
      </c>
      <c r="D90" s="84">
        <f>SUM('Defect (Total)'!D90,Planned!D90,Reconductor!D90,CTGS!D90)</f>
        <v>0</v>
      </c>
      <c r="E90" s="85">
        <f>SUM('Defect (Total)'!E90,Planned!E90,Reconductor!E90,CTGS!E90)</f>
        <v>0</v>
      </c>
      <c r="F90" s="85">
        <f>SUM('Defect (Total)'!F90,Planned!F90,Reconductor!F90,CTGS!F90)</f>
        <v>0</v>
      </c>
      <c r="G90" s="85">
        <f>SUM('Defect (Total)'!G90,Planned!G90,Reconductor!G90,CTGS!G90)</f>
        <v>0</v>
      </c>
      <c r="H90" s="85">
        <f>SUM('Defect (Total)'!H90,Planned!H90,Reconductor!H90,CTGS!H90)</f>
        <v>0</v>
      </c>
      <c r="I90" s="85">
        <f>SUM('Defect (Total)'!I90,Planned!I90,Reconductor!I90,CTGS!I90)</f>
        <v>0</v>
      </c>
      <c r="J90" s="85">
        <f>SUM('Defect (Total)'!J90,Planned!J90,Reconductor!J90,CTGS!J90)</f>
        <v>0</v>
      </c>
      <c r="K90" s="85">
        <f>SUM('Defect (Total)'!K90,Planned!K90,Reconductor!K90,CTGS!K90)</f>
        <v>0</v>
      </c>
      <c r="L90" s="85">
        <f>SUM('Defect (Total)'!L90,Planned!L90,Reconductor!L90,CTGS!L90)</f>
        <v>0</v>
      </c>
      <c r="M90" s="85">
        <f>SUM('Defect (Total)'!M90,Planned!M90,Reconductor!M90,CTGS!M90)</f>
        <v>0</v>
      </c>
      <c r="N90" s="85">
        <f>SUM('Defect (Total)'!N90,Planned!N90,Reconductor!N90,CTGS!N90)</f>
        <v>0</v>
      </c>
      <c r="O90" s="560">
        <f>SUM('Defect (Total)'!O90,Planned!O90,Reconductor!O90,CTGS!O90)</f>
        <v>0</v>
      </c>
      <c r="P90" s="561">
        <f>SUM('Defect (Total)'!P90,Planned!P90,Reconductor!P90,CTGS!P90)</f>
        <v>0</v>
      </c>
      <c r="Q90" s="561">
        <f>SUM('Defect (Total)'!Q90,Planned!Q90,Reconductor!Q90,CTGS!Q90)</f>
        <v>0</v>
      </c>
      <c r="R90" s="561">
        <f>SUM('Defect (Total)'!R90,Planned!R90,Reconductor!R90,CTGS!R90)</f>
        <v>0</v>
      </c>
      <c r="S90" s="561">
        <f>SUM('Defect (Total)'!S90,Planned!S90,Reconductor!S90,CTGS!S90)</f>
        <v>0</v>
      </c>
      <c r="T90" s="561">
        <f>SUM('Defect (Total)'!T90,Planned!T90,Reconductor!T90,CTGS!T90)</f>
        <v>0</v>
      </c>
      <c r="U90" s="561">
        <f>SUM('Defect (Total)'!U90,Planned!U90,Reconductor!U90,CTGS!U90)</f>
        <v>0</v>
      </c>
      <c r="V90" s="561">
        <f>SUM('Defect (Total)'!V90,Planned!V90,Reconductor!V90,CTGS!V90)</f>
        <v>0</v>
      </c>
      <c r="W90" s="561">
        <f>SUM('Defect (Total)'!W90,Planned!W90,Reconductor!W90,CTGS!W90)</f>
        <v>0</v>
      </c>
      <c r="X90" s="675">
        <f>SUM('Defect (Total)'!X90,Planned!X90,Reconductor!X90,CTGS!X90)</f>
        <v>0</v>
      </c>
      <c r="Y90" s="675">
        <f>SUM('Defect (Total)'!Y90,Planned!Y90,Reconductor!Y90,CTGS!Y90)</f>
        <v>0</v>
      </c>
      <c r="Z90" s="86">
        <f>SUM('Defect (Total)'!Z90,Planned!Z90,Reconductor!Z90,CTGS!Z90)</f>
        <v>0</v>
      </c>
      <c r="AA90" s="87">
        <f>SUM('Defect (Total)'!AA90,Planned!AA90,Reconductor!AA90,CTGS!AA90)</f>
        <v>0</v>
      </c>
      <c r="AB90" s="87">
        <f>SUM('Defect (Total)'!AB90,Planned!AB90,Reconductor!AB90,CTGS!AB90)</f>
        <v>0</v>
      </c>
      <c r="AC90" s="87">
        <f>SUM('Defect (Total)'!AC90,Planned!AC90,Reconductor!AC90,CTGS!AC90)</f>
        <v>0</v>
      </c>
      <c r="AD90" s="87">
        <f>SUM('Defect (Total)'!AD90,Planned!AD90,Reconductor!AD90,CTGS!AD90)</f>
        <v>0</v>
      </c>
      <c r="AE90" s="87">
        <f>SUM('Defect (Total)'!AE90,Planned!AE90,Reconductor!AE90,CTGS!AE90)</f>
        <v>0</v>
      </c>
      <c r="AF90" s="87">
        <f>SUM('Defect (Total)'!AF90,Planned!AF90,Reconductor!AF90,CTGS!AF90)</f>
        <v>0</v>
      </c>
      <c r="AG90" s="87">
        <f>SUM('Defect (Total)'!AG90,Planned!AG90,Reconductor!AG90,CTGS!AG90)</f>
        <v>0</v>
      </c>
      <c r="AH90" s="87">
        <f>SUM('Defect (Total)'!AH90,Planned!AH90,Reconductor!AH90,CTGS!AH90)</f>
        <v>0</v>
      </c>
      <c r="AI90" s="87">
        <f>SUM('Defect (Total)'!AI90,Planned!AI90,Reconductor!AI90,CTGS!AI90)</f>
        <v>0</v>
      </c>
      <c r="AJ90" s="87">
        <f>SUM('Defect (Total)'!AJ90,Planned!AJ90,Reconductor!AJ90,CTGS!AJ90)</f>
        <v>0</v>
      </c>
      <c r="AK90" s="88">
        <f t="shared" si="47"/>
        <v>0</v>
      </c>
      <c r="AL90" s="89">
        <f t="shared" si="34"/>
        <v>0</v>
      </c>
      <c r="AM90" s="90">
        <f t="shared" si="48"/>
        <v>0</v>
      </c>
      <c r="AN90" s="91" t="str">
        <f t="shared" si="35"/>
        <v/>
      </c>
      <c r="AO90" s="92" t="str">
        <f t="shared" si="36"/>
        <v/>
      </c>
      <c r="AP90" s="92" t="str">
        <f t="shared" si="37"/>
        <v/>
      </c>
      <c r="AQ90" s="92" t="str">
        <f t="shared" si="38"/>
        <v/>
      </c>
      <c r="AR90" s="92" t="str">
        <f t="shared" si="39"/>
        <v/>
      </c>
      <c r="AS90" s="92" t="str">
        <f t="shared" si="40"/>
        <v/>
      </c>
      <c r="AT90" s="92" t="str">
        <f t="shared" si="41"/>
        <v/>
      </c>
      <c r="AU90" s="92" t="str">
        <f t="shared" si="42"/>
        <v/>
      </c>
      <c r="AV90" s="92" t="str">
        <f t="shared" si="43"/>
        <v/>
      </c>
      <c r="AW90" s="92" t="str">
        <f t="shared" si="50"/>
        <v/>
      </c>
      <c r="AX90" s="92" t="str">
        <f t="shared" si="50"/>
        <v/>
      </c>
      <c r="AY90" s="93" t="str">
        <f t="shared" si="32"/>
        <v/>
      </c>
      <c r="AZ90" s="94" t="str">
        <f t="shared" si="45"/>
        <v/>
      </c>
      <c r="BA90" s="95" t="str">
        <f t="shared" si="46"/>
        <v/>
      </c>
      <c r="BB90" s="689">
        <f>SUM('Defect (Total)'!BB90,Planned!CE90,Reconductor!CE90,CTGS!CE90,'Substation 2025$'!CE90*$BL$1,Comms!CA90*$BL$2)</f>
        <v>0</v>
      </c>
      <c r="BC90" s="689">
        <f>SUM('Defect (Total)'!BC90,Planned!CF90,Reconductor!CF90,CTGS!CF90,'Substation 2025$'!CF90*$BL$1,Comms!CB90*$BL$2)</f>
        <v>0</v>
      </c>
      <c r="BD90" s="96">
        <f>SUM('Defect (Total)'!BD90,Planned!CG90,Reconductor!CG90,CTGS!CG90,'Substation 2025$'!CG90*$BL$1,Comms!CC90*$BL$2)</f>
        <v>0</v>
      </c>
      <c r="BE90" s="96">
        <f>SUM('Defect (Total)'!BE90,Planned!CH90,Reconductor!CH90,CTGS!CH90,'Substation 2025$'!CH90*$BL$1,Comms!CD90*$BL$2)</f>
        <v>0</v>
      </c>
      <c r="BF90" s="96">
        <f>SUM('Defect (Total)'!BF90,Planned!CI90,Reconductor!CI90,CTGS!CI90,'Substation 2025$'!CI90*$BL$1,Comms!CE90*$BL$2)</f>
        <v>0</v>
      </c>
      <c r="BG90" s="96">
        <f>SUM('Defect (Total)'!BG90,Planned!CJ90,Reconductor!CJ90,CTGS!CJ90,'Substation 2025$'!CJ90*$BL$1,Comms!CF90*$BL$2)</f>
        <v>0</v>
      </c>
      <c r="BH90" s="96">
        <f>SUM('Defect (Total)'!BH90,Planned!CK90,Reconductor!CK90,CTGS!CK90,'Substation 2025$'!CK90*$BL$1,Comms!CG90*$BL$2)</f>
        <v>0</v>
      </c>
      <c r="BI90" s="286">
        <f>SUM('Defect (Total)'!BI90,Planned!CL90,Reconductor!CL90,CTGS!CL90,'Substation 2025$'!CL90*$BL$1,Comms!CH90*$BL$2)</f>
        <v>0</v>
      </c>
      <c r="BJ90" s="99" t="str">
        <f t="shared" si="49"/>
        <v/>
      </c>
      <c r="BK90" s="992">
        <f>SUM('Defect (Total)'!BK90,Planned!CQ90,Reconductor!CQ90,CTGS!CQ90,'Substation 2025$'!CQ90*$BL$1,Comms!CM90*$BL$2)</f>
        <v>0</v>
      </c>
      <c r="BL90" s="992">
        <f>SUM('Defect (Total)'!BL90,Planned!CR90,Reconductor!CR90,CTGS!CR90,'Substation 2025$'!CR90*$BL$1,Comms!CN90*$BL$2)</f>
        <v>0</v>
      </c>
      <c r="BM90" s="524">
        <f>SUM('Defect (Total)'!BM90,Planned!CS90,Reconductor!CS90,CTGS!CS90,'Substation 2025$'!CS90*$BL$1,Comms!CO90*$BL$2)</f>
        <v>0</v>
      </c>
      <c r="BN90" s="416">
        <f>SUM('Defect (Total)'!BN90,Planned!CT90,Reconductor!CT90,CTGS!CT90,'Substation 2025$'!CT90*$BL$1,Comms!CP90*$BL$2)</f>
        <v>0</v>
      </c>
      <c r="BO90" s="97">
        <f>SUM('Defect (Total)'!BO90,Planned!CU90,Reconductor!CU90,CTGS!CU90,'Substation 2025$'!CU90*$BL$1,Comms!CQ90*$BL$2)</f>
        <v>0</v>
      </c>
      <c r="BP90" s="97">
        <f>SUM('Defect (Total)'!BP90,Planned!CV90,Reconductor!CV90,CTGS!CV90,'Substation 2025$'!CV90*$BL$1,Comms!CR90*$BL$2)</f>
        <v>0</v>
      </c>
      <c r="BQ90" s="97">
        <f>SUM('Defect (Total)'!BQ90,Planned!CW90,Reconductor!CW90,CTGS!CW90,'Substation 2025$'!CW90*$BL$1,Comms!CS90*$BL$2)</f>
        <v>0</v>
      </c>
      <c r="BR90" s="98">
        <f>SUM('Defect (Total)'!BR90,Planned!CX90,Reconductor!CX90,CTGS!CX90,'Substation 2025$'!CX90*$BL$1,Comms!CT90*$BL$2)</f>
        <v>0</v>
      </c>
    </row>
    <row r="91" spans="1:70" x14ac:dyDescent="0.25">
      <c r="A91" s="81" t="s">
        <v>138</v>
      </c>
      <c r="B91" s="82" t="s">
        <v>185</v>
      </c>
      <c r="C91" s="83" t="s">
        <v>381</v>
      </c>
      <c r="D91" s="84">
        <f>SUM('Defect (Total)'!D91,Planned!D91,Reconductor!D91,CTGS!D91)</f>
        <v>0</v>
      </c>
      <c r="E91" s="85">
        <f>SUM('Defect (Total)'!E91,Planned!E91,Reconductor!E91,CTGS!E91)</f>
        <v>0</v>
      </c>
      <c r="F91" s="85">
        <f>SUM('Defect (Total)'!F91,Planned!F91,Reconductor!F91,CTGS!F91)</f>
        <v>0</v>
      </c>
      <c r="G91" s="85">
        <f>SUM('Defect (Total)'!G91,Planned!G91,Reconductor!G91,CTGS!G91)</f>
        <v>0</v>
      </c>
      <c r="H91" s="85">
        <f>SUM('Defect (Total)'!H91,Planned!H91,Reconductor!H91,CTGS!H91)</f>
        <v>0</v>
      </c>
      <c r="I91" s="85">
        <f>SUM('Defect (Total)'!I91,Planned!I91,Reconductor!I91,CTGS!I91)</f>
        <v>0</v>
      </c>
      <c r="J91" s="85">
        <f>SUM('Defect (Total)'!J91,Planned!J91,Reconductor!J91,CTGS!J91)</f>
        <v>0</v>
      </c>
      <c r="K91" s="85">
        <f>SUM('Defect (Total)'!K91,Planned!K91,Reconductor!K91,CTGS!K91)</f>
        <v>0</v>
      </c>
      <c r="L91" s="85">
        <f>SUM('Defect (Total)'!L91,Planned!L91,Reconductor!L91,CTGS!L91)</f>
        <v>0</v>
      </c>
      <c r="M91" s="85">
        <f>SUM('Defect (Total)'!M91,Planned!M91,Reconductor!M91,CTGS!M91)</f>
        <v>0</v>
      </c>
      <c r="N91" s="85">
        <f>SUM('Defect (Total)'!N91,Planned!N91,Reconductor!N91,CTGS!N91)</f>
        <v>0</v>
      </c>
      <c r="O91" s="560">
        <f>SUM('Defect (Total)'!O91,Planned!O91,Reconductor!O91,CTGS!O91)</f>
        <v>0</v>
      </c>
      <c r="P91" s="561">
        <f>SUM('Defect (Total)'!P91,Planned!P91,Reconductor!P91,CTGS!P91)</f>
        <v>0</v>
      </c>
      <c r="Q91" s="561">
        <f>SUM('Defect (Total)'!Q91,Planned!Q91,Reconductor!Q91,CTGS!Q91)</f>
        <v>0</v>
      </c>
      <c r="R91" s="561">
        <f>SUM('Defect (Total)'!R91,Planned!R91,Reconductor!R91,CTGS!R91)</f>
        <v>0</v>
      </c>
      <c r="S91" s="561">
        <f>SUM('Defect (Total)'!S91,Planned!S91,Reconductor!S91,CTGS!S91)</f>
        <v>0</v>
      </c>
      <c r="T91" s="561">
        <f>SUM('Defect (Total)'!T91,Planned!T91,Reconductor!T91,CTGS!T91)</f>
        <v>0</v>
      </c>
      <c r="U91" s="561">
        <f>SUM('Defect (Total)'!U91,Planned!U91,Reconductor!U91,CTGS!U91)</f>
        <v>0</v>
      </c>
      <c r="V91" s="561">
        <f>SUM('Defect (Total)'!V91,Planned!V91,Reconductor!V91,CTGS!V91)</f>
        <v>0</v>
      </c>
      <c r="W91" s="561">
        <f>SUM('Defect (Total)'!W91,Planned!W91,Reconductor!W91,CTGS!W91)</f>
        <v>0</v>
      </c>
      <c r="X91" s="675">
        <f>SUM('Defect (Total)'!X91,Planned!X91,Reconductor!X91,CTGS!X91)</f>
        <v>0</v>
      </c>
      <c r="Y91" s="675">
        <f>SUM('Defect (Total)'!Y91,Planned!Y91,Reconductor!Y91,CTGS!Y91)</f>
        <v>0</v>
      </c>
      <c r="Z91" s="86">
        <f>SUM('Defect (Total)'!Z91,Planned!Z91,Reconductor!Z91,CTGS!Z91)</f>
        <v>0</v>
      </c>
      <c r="AA91" s="87">
        <f>SUM('Defect (Total)'!AA91,Planned!AA91,Reconductor!AA91,CTGS!AA91)</f>
        <v>0</v>
      </c>
      <c r="AB91" s="87">
        <f>SUM('Defect (Total)'!AB91,Planned!AB91,Reconductor!AB91,CTGS!AB91)</f>
        <v>0</v>
      </c>
      <c r="AC91" s="87">
        <f>SUM('Defect (Total)'!AC91,Planned!AC91,Reconductor!AC91,CTGS!AC91)</f>
        <v>0</v>
      </c>
      <c r="AD91" s="87">
        <f>SUM('Defect (Total)'!AD91,Planned!AD91,Reconductor!AD91,CTGS!AD91)</f>
        <v>0</v>
      </c>
      <c r="AE91" s="87">
        <f>SUM('Defect (Total)'!AE91,Planned!AE91,Reconductor!AE91,CTGS!AE91)</f>
        <v>0</v>
      </c>
      <c r="AF91" s="87">
        <f>SUM('Defect (Total)'!AF91,Planned!AF91,Reconductor!AF91,CTGS!AF91)</f>
        <v>0</v>
      </c>
      <c r="AG91" s="87">
        <f>SUM('Defect (Total)'!AG91,Planned!AG91,Reconductor!AG91,CTGS!AG91)</f>
        <v>0</v>
      </c>
      <c r="AH91" s="87">
        <f>SUM('Defect (Total)'!AH91,Planned!AH91,Reconductor!AH91,CTGS!AH91)</f>
        <v>0</v>
      </c>
      <c r="AI91" s="87">
        <f>SUM('Defect (Total)'!AI91,Planned!AI91,Reconductor!AI91,CTGS!AI91)</f>
        <v>0</v>
      </c>
      <c r="AJ91" s="87">
        <f>SUM('Defect (Total)'!AJ91,Planned!AJ91,Reconductor!AJ91,CTGS!AJ91)</f>
        <v>0</v>
      </c>
      <c r="AK91" s="88">
        <f t="shared" si="47"/>
        <v>0</v>
      </c>
      <c r="AL91" s="89">
        <f t="shared" si="34"/>
        <v>0</v>
      </c>
      <c r="AM91" s="90">
        <f t="shared" si="48"/>
        <v>0</v>
      </c>
      <c r="AN91" s="91" t="str">
        <f t="shared" si="35"/>
        <v/>
      </c>
      <c r="AO91" s="92" t="str">
        <f t="shared" si="36"/>
        <v/>
      </c>
      <c r="AP91" s="92" t="str">
        <f t="shared" si="37"/>
        <v/>
      </c>
      <c r="AQ91" s="92" t="str">
        <f t="shared" si="38"/>
        <v/>
      </c>
      <c r="AR91" s="92" t="str">
        <f t="shared" si="39"/>
        <v/>
      </c>
      <c r="AS91" s="92" t="str">
        <f t="shared" si="40"/>
        <v/>
      </c>
      <c r="AT91" s="92" t="str">
        <f t="shared" si="41"/>
        <v/>
      </c>
      <c r="AU91" s="92" t="str">
        <f t="shared" si="42"/>
        <v/>
      </c>
      <c r="AV91" s="92" t="str">
        <f t="shared" si="43"/>
        <v/>
      </c>
      <c r="AW91" s="92" t="str">
        <f t="shared" si="50"/>
        <v/>
      </c>
      <c r="AX91" s="92" t="str">
        <f t="shared" si="50"/>
        <v/>
      </c>
      <c r="AY91" s="93" t="str">
        <f t="shared" si="32"/>
        <v/>
      </c>
      <c r="AZ91" s="94" t="str">
        <f t="shared" si="45"/>
        <v/>
      </c>
      <c r="BA91" s="95" t="str">
        <f t="shared" si="46"/>
        <v/>
      </c>
      <c r="BB91" s="689">
        <f>SUM('Defect (Total)'!BB91,Planned!CE91,Reconductor!CE91,CTGS!CE91,'Substation 2025$'!CE91*$BL$1,Comms!CA91*$BL$2)</f>
        <v>0</v>
      </c>
      <c r="BC91" s="689">
        <f>SUM('Defect (Total)'!BC91,Planned!CF91,Reconductor!CF91,CTGS!CF91,'Substation 2025$'!CF91*$BL$1,Comms!CB91*$BL$2)</f>
        <v>0</v>
      </c>
      <c r="BD91" s="96">
        <f>SUM('Defect (Total)'!BD91,Planned!CG91,Reconductor!CG91,CTGS!CG91,'Substation 2025$'!CG91*$BL$1,Comms!CC91*$BL$2)</f>
        <v>2</v>
      </c>
      <c r="BE91" s="96">
        <f>SUM('Defect (Total)'!BE91,Planned!CH91,Reconductor!CH91,CTGS!CH91,'Substation 2025$'!CH91*$BL$1,Comms!CD91*$BL$2)</f>
        <v>1</v>
      </c>
      <c r="BF91" s="96">
        <f>SUM('Defect (Total)'!BF91,Planned!CI91,Reconductor!CI91,CTGS!CI91,'Substation 2025$'!CI91*$BL$1,Comms!CE91*$BL$2)</f>
        <v>0</v>
      </c>
      <c r="BG91" s="96">
        <f>SUM('Defect (Total)'!BG91,Planned!CJ91,Reconductor!CJ91,CTGS!CJ91,'Substation 2025$'!CJ91*$BL$1,Comms!CF91*$BL$2)</f>
        <v>0</v>
      </c>
      <c r="BH91" s="96">
        <f>SUM('Defect (Total)'!BH91,Planned!CK91,Reconductor!CK91,CTGS!CK91,'Substation 2025$'!CK91*$BL$1,Comms!CG91*$BL$2)</f>
        <v>0</v>
      </c>
      <c r="BI91" s="286">
        <f>SUM('Defect (Total)'!BI91,Planned!CL91,Reconductor!CL91,CTGS!CL91,'Substation 2025$'!CL91*$BL$1,Comms!CH91*$BL$2)</f>
        <v>2</v>
      </c>
      <c r="BJ91" s="99">
        <f t="shared" si="49"/>
        <v>2382037.2820156286</v>
      </c>
      <c r="BK91" s="992">
        <f>SUM('Defect (Total)'!BK91,Planned!CQ91,Reconductor!CQ91,CTGS!CQ91,'Substation 2025$'!CQ91*$BL$1,Comms!CM91*$BL$2)</f>
        <v>1587337.3802098364</v>
      </c>
      <c r="BL91" s="992">
        <f>SUM('Defect (Total)'!BL91,Planned!CR91,Reconductor!CR91,CTGS!CR91,'Substation 2025$'!CR91*$BL$1,Comms!CN91*$BL$2)</f>
        <v>3500514.1854706677</v>
      </c>
      <c r="BM91" s="524">
        <f>SUM('Defect (Total)'!BM91,Planned!CS91,Reconductor!CS91,CTGS!CS91,'Substation 2025$'!CS91*$BL$1,Comms!CO91*$BL$2)</f>
        <v>1561980.3317084827</v>
      </c>
      <c r="BN91" s="416">
        <f>SUM('Defect (Total)'!BN91,Planned!CT91,Reconductor!CT91,CTGS!CT91,'Substation 2025$'!CT91*$BL$1,Comms!CP91*$BL$2)</f>
        <v>10843.92142643568</v>
      </c>
      <c r="BO91" s="97">
        <f>SUM('Defect (Total)'!BO91,Planned!CU91,Reconductor!CU91,CTGS!CU91,'Substation 2025$'!CU91*$BL$1,Comms!CQ91*$BL$2)</f>
        <v>15972.578060655806</v>
      </c>
      <c r="BP91" s="97">
        <f>SUM('Defect (Total)'!BP91,Planned!CV91,Reconductor!CV91,CTGS!CV91,'Substation 2025$'!CV91*$BL$1,Comms!CR91*$BL$2)</f>
        <v>586977.23337779799</v>
      </c>
      <c r="BQ91" s="97">
        <f>SUM('Defect (Total)'!BQ91,Planned!CW91,Reconductor!CW91,CTGS!CW91,'Substation 2025$'!CW91*$BL$1,Comms!CS91*$BL$2)</f>
        <v>2032809.6062093987</v>
      </c>
      <c r="BR91" s="98">
        <f>SUM('Defect (Total)'!BR91,Planned!CX91,Reconductor!CX91,CTGS!CX91,'Substation 2025$'!CX91*$BL$1,Comms!CT91*$BL$2)</f>
        <v>4499508.5069725979</v>
      </c>
    </row>
    <row r="92" spans="1:70" x14ac:dyDescent="0.25">
      <c r="A92" s="81" t="s">
        <v>138</v>
      </c>
      <c r="B92" s="82" t="s">
        <v>187</v>
      </c>
      <c r="C92" s="83" t="s">
        <v>382</v>
      </c>
      <c r="D92" s="84">
        <f>SUM('Defect (Total)'!D92,Planned!D92,Reconductor!D92,CTGS!D92)</f>
        <v>0</v>
      </c>
      <c r="E92" s="85">
        <f>SUM('Defect (Total)'!E92,Planned!E92,Reconductor!E92,CTGS!E92)</f>
        <v>0</v>
      </c>
      <c r="F92" s="85">
        <f>SUM('Defect (Total)'!F92,Planned!F92,Reconductor!F92,CTGS!F92)</f>
        <v>0</v>
      </c>
      <c r="G92" s="85">
        <f>SUM('Defect (Total)'!G92,Planned!G92,Reconductor!G92,CTGS!G92)</f>
        <v>0</v>
      </c>
      <c r="H92" s="85">
        <f>SUM('Defect (Total)'!H92,Planned!H92,Reconductor!H92,CTGS!H92)</f>
        <v>0</v>
      </c>
      <c r="I92" s="85">
        <f>SUM('Defect (Total)'!I92,Planned!I92,Reconductor!I92,CTGS!I92)</f>
        <v>0</v>
      </c>
      <c r="J92" s="85">
        <f>SUM('Defect (Total)'!J92,Planned!J92,Reconductor!J92,CTGS!J92)</f>
        <v>0</v>
      </c>
      <c r="K92" s="85">
        <f>SUM('Defect (Total)'!K92,Planned!K92,Reconductor!K92,CTGS!K92)</f>
        <v>0</v>
      </c>
      <c r="L92" s="85">
        <f>SUM('Defect (Total)'!L92,Planned!L92,Reconductor!L92,CTGS!L92)</f>
        <v>0</v>
      </c>
      <c r="M92" s="85">
        <f>SUM('Defect (Total)'!M92,Planned!M92,Reconductor!M92,CTGS!M92)</f>
        <v>0</v>
      </c>
      <c r="N92" s="85">
        <f>SUM('Defect (Total)'!N92,Planned!N92,Reconductor!N92,CTGS!N92)</f>
        <v>0</v>
      </c>
      <c r="O92" s="560">
        <f>SUM('Defect (Total)'!O92,Planned!O92,Reconductor!O92,CTGS!O92)</f>
        <v>0</v>
      </c>
      <c r="P92" s="561">
        <f>SUM('Defect (Total)'!P92,Planned!P92,Reconductor!P92,CTGS!P92)</f>
        <v>0</v>
      </c>
      <c r="Q92" s="561">
        <f>SUM('Defect (Total)'!Q92,Planned!Q92,Reconductor!Q92,CTGS!Q92)</f>
        <v>0</v>
      </c>
      <c r="R92" s="561">
        <f>SUM('Defect (Total)'!R92,Planned!R92,Reconductor!R92,CTGS!R92)</f>
        <v>0</v>
      </c>
      <c r="S92" s="561">
        <f>SUM('Defect (Total)'!S92,Planned!S92,Reconductor!S92,CTGS!S92)</f>
        <v>0</v>
      </c>
      <c r="T92" s="561">
        <f>SUM('Defect (Total)'!T92,Planned!T92,Reconductor!T92,CTGS!T92)</f>
        <v>0</v>
      </c>
      <c r="U92" s="561">
        <f>SUM('Defect (Total)'!U92,Planned!U92,Reconductor!U92,CTGS!U92)</f>
        <v>0</v>
      </c>
      <c r="V92" s="561">
        <f>SUM('Defect (Total)'!V92,Planned!V92,Reconductor!V92,CTGS!V92)</f>
        <v>0</v>
      </c>
      <c r="W92" s="561">
        <f>SUM('Defect (Total)'!W92,Planned!W92,Reconductor!W92,CTGS!W92)</f>
        <v>0</v>
      </c>
      <c r="X92" s="675">
        <f>SUM('Defect (Total)'!X92,Planned!X92,Reconductor!X92,CTGS!X92)</f>
        <v>0</v>
      </c>
      <c r="Y92" s="675">
        <f>SUM('Defect (Total)'!Y92,Planned!Y92,Reconductor!Y92,CTGS!Y92)</f>
        <v>0</v>
      </c>
      <c r="Z92" s="86">
        <f>SUM('Defect (Total)'!Z92,Planned!Z92,Reconductor!Z92,CTGS!Z92)</f>
        <v>0</v>
      </c>
      <c r="AA92" s="87">
        <f>SUM('Defect (Total)'!AA92,Planned!AA92,Reconductor!AA92,CTGS!AA92)</f>
        <v>0</v>
      </c>
      <c r="AB92" s="87">
        <f>SUM('Defect (Total)'!AB92,Planned!AB92,Reconductor!AB92,CTGS!AB92)</f>
        <v>0</v>
      </c>
      <c r="AC92" s="87">
        <f>SUM('Defect (Total)'!AC92,Planned!AC92,Reconductor!AC92,CTGS!AC92)</f>
        <v>0</v>
      </c>
      <c r="AD92" s="87">
        <f>SUM('Defect (Total)'!AD92,Planned!AD92,Reconductor!AD92,CTGS!AD92)</f>
        <v>0</v>
      </c>
      <c r="AE92" s="87">
        <f>SUM('Defect (Total)'!AE92,Planned!AE92,Reconductor!AE92,CTGS!AE92)</f>
        <v>0</v>
      </c>
      <c r="AF92" s="87">
        <f>SUM('Defect (Total)'!AF92,Planned!AF92,Reconductor!AF92,CTGS!AF92)</f>
        <v>0</v>
      </c>
      <c r="AG92" s="87">
        <f>SUM('Defect (Total)'!AG92,Planned!AG92,Reconductor!AG92,CTGS!AG92)</f>
        <v>0</v>
      </c>
      <c r="AH92" s="87">
        <f>SUM('Defect (Total)'!AH92,Planned!AH92,Reconductor!AH92,CTGS!AH92)</f>
        <v>0</v>
      </c>
      <c r="AI92" s="87">
        <f>SUM('Defect (Total)'!AI92,Planned!AI92,Reconductor!AI92,CTGS!AI92)</f>
        <v>0</v>
      </c>
      <c r="AJ92" s="87">
        <f>SUM('Defect (Total)'!AJ92,Planned!AJ92,Reconductor!AJ92,CTGS!AJ92)</f>
        <v>0</v>
      </c>
      <c r="AK92" s="88">
        <f t="shared" si="47"/>
        <v>0</v>
      </c>
      <c r="AL92" s="89">
        <f t="shared" si="34"/>
        <v>0</v>
      </c>
      <c r="AM92" s="90">
        <f t="shared" si="48"/>
        <v>0</v>
      </c>
      <c r="AN92" s="91" t="str">
        <f t="shared" si="35"/>
        <v/>
      </c>
      <c r="AO92" s="92" t="str">
        <f t="shared" si="36"/>
        <v/>
      </c>
      <c r="AP92" s="92" t="str">
        <f t="shared" si="37"/>
        <v/>
      </c>
      <c r="AQ92" s="92" t="str">
        <f t="shared" si="38"/>
        <v/>
      </c>
      <c r="AR92" s="92" t="str">
        <f t="shared" si="39"/>
        <v/>
      </c>
      <c r="AS92" s="92" t="str">
        <f t="shared" si="40"/>
        <v/>
      </c>
      <c r="AT92" s="92" t="str">
        <f t="shared" si="41"/>
        <v/>
      </c>
      <c r="AU92" s="92" t="str">
        <f t="shared" si="42"/>
        <v/>
      </c>
      <c r="AV92" s="92" t="str">
        <f t="shared" si="43"/>
        <v/>
      </c>
      <c r="AW92" s="92" t="str">
        <f t="shared" si="50"/>
        <v/>
      </c>
      <c r="AX92" s="92" t="str">
        <f t="shared" si="50"/>
        <v/>
      </c>
      <c r="AY92" s="93" t="str">
        <f t="shared" si="32"/>
        <v/>
      </c>
      <c r="AZ92" s="94" t="str">
        <f t="shared" si="45"/>
        <v/>
      </c>
      <c r="BA92" s="95" t="str">
        <f t="shared" si="46"/>
        <v/>
      </c>
      <c r="BB92" s="689">
        <f>SUM('Defect (Total)'!BB92,Planned!CE92,Reconductor!CE92,CTGS!CE92,'Substation 2025$'!CE92*$BL$1,Comms!CA92*$BL$2)</f>
        <v>0</v>
      </c>
      <c r="BC92" s="689">
        <f>SUM('Defect (Total)'!BC92,Planned!CF92,Reconductor!CF92,CTGS!CF92,'Substation 2025$'!CF92*$BL$1,Comms!CB92*$BL$2)</f>
        <v>0</v>
      </c>
      <c r="BD92" s="96">
        <f>SUM('Defect (Total)'!BD92,Planned!CG92,Reconductor!CG92,CTGS!CG92,'Substation 2025$'!CG92*$BL$1,Comms!CC92*$BL$2)</f>
        <v>0</v>
      </c>
      <c r="BE92" s="96">
        <f>SUM('Defect (Total)'!BE92,Planned!CH92,Reconductor!CH92,CTGS!CH92,'Substation 2025$'!CH92*$BL$1,Comms!CD92*$BL$2)</f>
        <v>0</v>
      </c>
      <c r="BF92" s="96">
        <f>SUM('Defect (Total)'!BF92,Planned!CI92,Reconductor!CI92,CTGS!CI92,'Substation 2025$'!CI92*$BL$1,Comms!CE92*$BL$2)</f>
        <v>0</v>
      </c>
      <c r="BG92" s="96">
        <f>SUM('Defect (Total)'!BG92,Planned!CJ92,Reconductor!CJ92,CTGS!CJ92,'Substation 2025$'!CJ92*$BL$1,Comms!CF92*$BL$2)</f>
        <v>0</v>
      </c>
      <c r="BH92" s="96">
        <f>SUM('Defect (Total)'!BH92,Planned!CK92,Reconductor!CK92,CTGS!CK92,'Substation 2025$'!CK92*$BL$1,Comms!CG92*$BL$2)</f>
        <v>0</v>
      </c>
      <c r="BI92" s="286">
        <f>SUM('Defect (Total)'!BI92,Planned!CL92,Reconductor!CL92,CTGS!CL92,'Substation 2025$'!CL92*$BL$1,Comms!CH92*$BL$2)</f>
        <v>0</v>
      </c>
      <c r="BJ92" s="99" t="str">
        <f t="shared" si="49"/>
        <v/>
      </c>
      <c r="BK92" s="992">
        <f>SUM('Defect (Total)'!BK92,Planned!CQ92,Reconductor!CQ92,CTGS!CQ92,'Substation 2025$'!CQ92*$BL$1,Comms!CM92*$BL$2)</f>
        <v>0</v>
      </c>
      <c r="BL92" s="992">
        <f>SUM('Defect (Total)'!BL92,Planned!CR92,Reconductor!CR92,CTGS!CR92,'Substation 2025$'!CR92*$BL$1,Comms!CN92*$BL$2)</f>
        <v>0</v>
      </c>
      <c r="BM92" s="524">
        <f>SUM('Defect (Total)'!BM92,Planned!CS92,Reconductor!CS92,CTGS!CS92,'Substation 2025$'!CS92*$BL$1,Comms!CO92*$BL$2)</f>
        <v>0</v>
      </c>
      <c r="BN92" s="416">
        <f>SUM('Defect (Total)'!BN92,Planned!CT92,Reconductor!CT92,CTGS!CT92,'Substation 2025$'!CT92*$BL$1,Comms!CP92*$BL$2)</f>
        <v>0</v>
      </c>
      <c r="BO92" s="97">
        <f>SUM('Defect (Total)'!BO92,Planned!CU92,Reconductor!CU92,CTGS!CU92,'Substation 2025$'!CU92*$BL$1,Comms!CQ92*$BL$2)</f>
        <v>0</v>
      </c>
      <c r="BP92" s="97">
        <f>SUM('Defect (Total)'!BP92,Planned!CV92,Reconductor!CV92,CTGS!CV92,'Substation 2025$'!CV92*$BL$1,Comms!CR92*$BL$2)</f>
        <v>0</v>
      </c>
      <c r="BQ92" s="97">
        <f>SUM('Defect (Total)'!BQ92,Planned!CW92,Reconductor!CW92,CTGS!CW92,'Substation 2025$'!CW92*$BL$1,Comms!CS92*$BL$2)</f>
        <v>0</v>
      </c>
      <c r="BR92" s="98">
        <f>SUM('Defect (Total)'!BR92,Planned!CX92,Reconductor!CX92,CTGS!CX92,'Substation 2025$'!CX92*$BL$1,Comms!CT92*$BL$2)</f>
        <v>0</v>
      </c>
    </row>
    <row r="93" spans="1:70" x14ac:dyDescent="0.25">
      <c r="A93" s="81" t="s">
        <v>138</v>
      </c>
      <c r="B93" s="82" t="s">
        <v>189</v>
      </c>
      <c r="C93" s="83" t="s">
        <v>383</v>
      </c>
      <c r="D93" s="84">
        <f>SUM('Defect (Total)'!D93,Planned!D93,Reconductor!D93,CTGS!D93)</f>
        <v>0</v>
      </c>
      <c r="E93" s="85">
        <f>SUM('Defect (Total)'!E93,Planned!E93,Reconductor!E93,CTGS!E93)</f>
        <v>0</v>
      </c>
      <c r="F93" s="85">
        <f>SUM('Defect (Total)'!F93,Planned!F93,Reconductor!F93,CTGS!F93)</f>
        <v>0</v>
      </c>
      <c r="G93" s="85">
        <f>SUM('Defect (Total)'!G93,Planned!G93,Reconductor!G93,CTGS!G93)</f>
        <v>0</v>
      </c>
      <c r="H93" s="85">
        <f>SUM('Defect (Total)'!H93,Planned!H93,Reconductor!H93,CTGS!H93)</f>
        <v>0</v>
      </c>
      <c r="I93" s="85">
        <f>SUM('Defect (Total)'!I93,Planned!I93,Reconductor!I93,CTGS!I93)</f>
        <v>0</v>
      </c>
      <c r="J93" s="85">
        <f>SUM('Defect (Total)'!J93,Planned!J93,Reconductor!J93,CTGS!J93)</f>
        <v>0</v>
      </c>
      <c r="K93" s="85">
        <f>SUM('Defect (Total)'!K93,Planned!K93,Reconductor!K93,CTGS!K93)</f>
        <v>0</v>
      </c>
      <c r="L93" s="85">
        <f>SUM('Defect (Total)'!L93,Planned!L93,Reconductor!L93,CTGS!L93)</f>
        <v>0</v>
      </c>
      <c r="M93" s="85">
        <f>SUM('Defect (Total)'!M93,Planned!M93,Reconductor!M93,CTGS!M93)</f>
        <v>0</v>
      </c>
      <c r="N93" s="85">
        <f>SUM('Defect (Total)'!N93,Planned!N93,Reconductor!N93,CTGS!N93)</f>
        <v>0</v>
      </c>
      <c r="O93" s="560">
        <f>SUM('Defect (Total)'!O93,Planned!O93,Reconductor!O93,CTGS!O93)</f>
        <v>0</v>
      </c>
      <c r="P93" s="561">
        <f>SUM('Defect (Total)'!P93,Planned!P93,Reconductor!P93,CTGS!P93)</f>
        <v>0</v>
      </c>
      <c r="Q93" s="561">
        <f>SUM('Defect (Total)'!Q93,Planned!Q93,Reconductor!Q93,CTGS!Q93)</f>
        <v>0</v>
      </c>
      <c r="R93" s="561">
        <f>SUM('Defect (Total)'!R93,Planned!R93,Reconductor!R93,CTGS!R93)</f>
        <v>0</v>
      </c>
      <c r="S93" s="561">
        <f>SUM('Defect (Total)'!S93,Planned!S93,Reconductor!S93,CTGS!S93)</f>
        <v>0</v>
      </c>
      <c r="T93" s="561">
        <f>SUM('Defect (Total)'!T93,Planned!T93,Reconductor!T93,CTGS!T93)</f>
        <v>0</v>
      </c>
      <c r="U93" s="561">
        <f>SUM('Defect (Total)'!U93,Planned!U93,Reconductor!U93,CTGS!U93)</f>
        <v>0</v>
      </c>
      <c r="V93" s="561">
        <f>SUM('Defect (Total)'!V93,Planned!V93,Reconductor!V93,CTGS!V93)</f>
        <v>0</v>
      </c>
      <c r="W93" s="561">
        <f>SUM('Defect (Total)'!W93,Planned!W93,Reconductor!W93,CTGS!W93)</f>
        <v>0</v>
      </c>
      <c r="X93" s="675">
        <f>SUM('Defect (Total)'!X93,Planned!X93,Reconductor!X93,CTGS!X93)</f>
        <v>0</v>
      </c>
      <c r="Y93" s="675">
        <f>SUM('Defect (Total)'!Y93,Planned!Y93,Reconductor!Y93,CTGS!Y93)</f>
        <v>0</v>
      </c>
      <c r="Z93" s="86">
        <f>SUM('Defect (Total)'!Z93,Planned!Z93,Reconductor!Z93,CTGS!Z93)</f>
        <v>0</v>
      </c>
      <c r="AA93" s="87">
        <f>SUM('Defect (Total)'!AA93,Planned!AA93,Reconductor!AA93,CTGS!AA93)</f>
        <v>0</v>
      </c>
      <c r="AB93" s="87">
        <f>SUM('Defect (Total)'!AB93,Planned!AB93,Reconductor!AB93,CTGS!AB93)</f>
        <v>0</v>
      </c>
      <c r="AC93" s="87">
        <f>SUM('Defect (Total)'!AC93,Planned!AC93,Reconductor!AC93,CTGS!AC93)</f>
        <v>0</v>
      </c>
      <c r="AD93" s="87">
        <f>SUM('Defect (Total)'!AD93,Planned!AD93,Reconductor!AD93,CTGS!AD93)</f>
        <v>0</v>
      </c>
      <c r="AE93" s="87">
        <f>SUM('Defect (Total)'!AE93,Planned!AE93,Reconductor!AE93,CTGS!AE93)</f>
        <v>0</v>
      </c>
      <c r="AF93" s="87">
        <f>SUM('Defect (Total)'!AF93,Planned!AF93,Reconductor!AF93,CTGS!AF93)</f>
        <v>0</v>
      </c>
      <c r="AG93" s="87">
        <f>SUM('Defect (Total)'!AG93,Planned!AG93,Reconductor!AG93,CTGS!AG93)</f>
        <v>0</v>
      </c>
      <c r="AH93" s="87">
        <f>SUM('Defect (Total)'!AH93,Planned!AH93,Reconductor!AH93,CTGS!AH93)</f>
        <v>0</v>
      </c>
      <c r="AI93" s="87">
        <f>SUM('Defect (Total)'!AI93,Planned!AI93,Reconductor!AI93,CTGS!AI93)</f>
        <v>0</v>
      </c>
      <c r="AJ93" s="87">
        <f>SUM('Defect (Total)'!AJ93,Planned!AJ93,Reconductor!AJ93,CTGS!AJ93)</f>
        <v>0</v>
      </c>
      <c r="AK93" s="88">
        <f t="shared" si="47"/>
        <v>0</v>
      </c>
      <c r="AL93" s="89">
        <f t="shared" si="34"/>
        <v>0</v>
      </c>
      <c r="AM93" s="90">
        <f t="shared" si="48"/>
        <v>0</v>
      </c>
      <c r="AN93" s="91" t="str">
        <f t="shared" si="35"/>
        <v/>
      </c>
      <c r="AO93" s="92" t="str">
        <f t="shared" si="36"/>
        <v/>
      </c>
      <c r="AP93" s="92" t="str">
        <f t="shared" si="37"/>
        <v/>
      </c>
      <c r="AQ93" s="92" t="str">
        <f t="shared" si="38"/>
        <v/>
      </c>
      <c r="AR93" s="92" t="str">
        <f t="shared" si="39"/>
        <v/>
      </c>
      <c r="AS93" s="92" t="str">
        <f t="shared" si="40"/>
        <v/>
      </c>
      <c r="AT93" s="92" t="str">
        <f t="shared" si="41"/>
        <v/>
      </c>
      <c r="AU93" s="92" t="str">
        <f t="shared" si="42"/>
        <v/>
      </c>
      <c r="AV93" s="92" t="str">
        <f t="shared" si="43"/>
        <v/>
      </c>
      <c r="AW93" s="92" t="str">
        <f t="shared" si="50"/>
        <v/>
      </c>
      <c r="AX93" s="92" t="str">
        <f t="shared" si="50"/>
        <v/>
      </c>
      <c r="AY93" s="93" t="str">
        <f t="shared" si="32"/>
        <v/>
      </c>
      <c r="AZ93" s="94" t="str">
        <f t="shared" si="45"/>
        <v/>
      </c>
      <c r="BA93" s="95" t="str">
        <f t="shared" si="46"/>
        <v/>
      </c>
      <c r="BB93" s="689">
        <f>SUM('Defect (Total)'!BB93,Planned!CE93,Reconductor!CE93,CTGS!CE93,'Substation 2025$'!CE93*$BL$1,Comms!CA93*$BL$2)</f>
        <v>0</v>
      </c>
      <c r="BC93" s="689">
        <f>SUM('Defect (Total)'!BC93,Planned!CF93,Reconductor!CF93,CTGS!CF93,'Substation 2025$'!CF93*$BL$1,Comms!CB93*$BL$2)</f>
        <v>0</v>
      </c>
      <c r="BD93" s="96">
        <f>SUM('Defect (Total)'!BD93,Planned!CG93,Reconductor!CG93,CTGS!CG93,'Substation 2025$'!CG93*$BL$1,Comms!CC93*$BL$2)</f>
        <v>0</v>
      </c>
      <c r="BE93" s="96">
        <f>SUM('Defect (Total)'!BE93,Planned!CH93,Reconductor!CH93,CTGS!CH93,'Substation 2025$'!CH93*$BL$1,Comms!CD93*$BL$2)</f>
        <v>0</v>
      </c>
      <c r="BF93" s="96">
        <f>SUM('Defect (Total)'!BF93,Planned!CI93,Reconductor!CI93,CTGS!CI93,'Substation 2025$'!CI93*$BL$1,Comms!CE93*$BL$2)</f>
        <v>0</v>
      </c>
      <c r="BG93" s="96">
        <f>SUM('Defect (Total)'!BG93,Planned!CJ93,Reconductor!CJ93,CTGS!CJ93,'Substation 2025$'!CJ93*$BL$1,Comms!CF93*$BL$2)</f>
        <v>0</v>
      </c>
      <c r="BH93" s="96">
        <f>SUM('Defect (Total)'!BH93,Planned!CK93,Reconductor!CK93,CTGS!CK93,'Substation 2025$'!CK93*$BL$1,Comms!CG93*$BL$2)</f>
        <v>0</v>
      </c>
      <c r="BI93" s="286">
        <f>SUM('Defect (Total)'!BI93,Planned!CL93,Reconductor!CL93,CTGS!CL93,'Substation 2025$'!CL93*$BL$1,Comms!CH93*$BL$2)</f>
        <v>0</v>
      </c>
      <c r="BJ93" s="99" t="str">
        <f t="shared" si="49"/>
        <v/>
      </c>
      <c r="BK93" s="992">
        <f>SUM('Defect (Total)'!BK93,Planned!CQ93,Reconductor!CQ93,CTGS!CQ93,'Substation 2025$'!CQ93*$BL$1,Comms!CM93*$BL$2)</f>
        <v>0</v>
      </c>
      <c r="BL93" s="992">
        <f>SUM('Defect (Total)'!BL93,Planned!CR93,Reconductor!CR93,CTGS!CR93,'Substation 2025$'!CR93*$BL$1,Comms!CN93*$BL$2)</f>
        <v>0</v>
      </c>
      <c r="BM93" s="524">
        <f>SUM('Defect (Total)'!BM93,Planned!CS93,Reconductor!CS93,CTGS!CS93,'Substation 2025$'!CS93*$BL$1,Comms!CO93*$BL$2)</f>
        <v>0</v>
      </c>
      <c r="BN93" s="416">
        <f>SUM('Defect (Total)'!BN93,Planned!CT93,Reconductor!CT93,CTGS!CT93,'Substation 2025$'!CT93*$BL$1,Comms!CP93*$BL$2)</f>
        <v>0</v>
      </c>
      <c r="BO93" s="97">
        <f>SUM('Defect (Total)'!BO93,Planned!CU93,Reconductor!CU93,CTGS!CU93,'Substation 2025$'!CU93*$BL$1,Comms!CQ93*$BL$2)</f>
        <v>0</v>
      </c>
      <c r="BP93" s="97">
        <f>SUM('Defect (Total)'!BP93,Planned!CV93,Reconductor!CV93,CTGS!CV93,'Substation 2025$'!CV93*$BL$1,Comms!CR93*$BL$2)</f>
        <v>0</v>
      </c>
      <c r="BQ93" s="97">
        <f>SUM('Defect (Total)'!BQ93,Planned!CW93,Reconductor!CW93,CTGS!CW93,'Substation 2025$'!CW93*$BL$1,Comms!CS93*$BL$2)</f>
        <v>0</v>
      </c>
      <c r="BR93" s="98">
        <f>SUM('Defect (Total)'!BR93,Planned!CX93,Reconductor!CX93,CTGS!CX93,'Substation 2025$'!CX93*$BL$1,Comms!CT93*$BL$2)</f>
        <v>0</v>
      </c>
    </row>
    <row r="94" spans="1:70" x14ac:dyDescent="0.25">
      <c r="A94" s="81" t="s">
        <v>138</v>
      </c>
      <c r="B94" s="82" t="s">
        <v>191</v>
      </c>
      <c r="C94" s="83" t="s">
        <v>384</v>
      </c>
      <c r="D94" s="84">
        <f>SUM('Defect (Total)'!D94,Planned!D94,Reconductor!D94,CTGS!D94)</f>
        <v>0</v>
      </c>
      <c r="E94" s="85">
        <f>SUM('Defect (Total)'!E94,Planned!E94,Reconductor!E94,CTGS!E94)</f>
        <v>0</v>
      </c>
      <c r="F94" s="85">
        <f>SUM('Defect (Total)'!F94,Planned!F94,Reconductor!F94,CTGS!F94)</f>
        <v>0</v>
      </c>
      <c r="G94" s="85">
        <f>SUM('Defect (Total)'!G94,Planned!G94,Reconductor!G94,CTGS!G94)</f>
        <v>0</v>
      </c>
      <c r="H94" s="85">
        <f>SUM('Defect (Total)'!H94,Planned!H94,Reconductor!H94,CTGS!H94)</f>
        <v>0</v>
      </c>
      <c r="I94" s="85">
        <f>SUM('Defect (Total)'!I94,Planned!I94,Reconductor!I94,CTGS!I94)</f>
        <v>0</v>
      </c>
      <c r="J94" s="85">
        <f>SUM('Defect (Total)'!J94,Planned!J94,Reconductor!J94,CTGS!J94)</f>
        <v>0</v>
      </c>
      <c r="K94" s="85">
        <f>SUM('Defect (Total)'!K94,Planned!K94,Reconductor!K94,CTGS!K94)</f>
        <v>0</v>
      </c>
      <c r="L94" s="85">
        <f>SUM('Defect (Total)'!L94,Planned!L94,Reconductor!L94,CTGS!L94)</f>
        <v>0</v>
      </c>
      <c r="M94" s="85">
        <f>SUM('Defect (Total)'!M94,Planned!M94,Reconductor!M94,CTGS!M94)</f>
        <v>0</v>
      </c>
      <c r="N94" s="85">
        <f>SUM('Defect (Total)'!N94,Planned!N94,Reconductor!N94,CTGS!N94)</f>
        <v>0</v>
      </c>
      <c r="O94" s="560">
        <f>SUM('Defect (Total)'!O94,Planned!O94,Reconductor!O94,CTGS!O94)</f>
        <v>0</v>
      </c>
      <c r="P94" s="561">
        <f>SUM('Defect (Total)'!P94,Planned!P94,Reconductor!P94,CTGS!P94)</f>
        <v>0</v>
      </c>
      <c r="Q94" s="561">
        <f>SUM('Defect (Total)'!Q94,Planned!Q94,Reconductor!Q94,CTGS!Q94)</f>
        <v>0</v>
      </c>
      <c r="R94" s="561">
        <f>SUM('Defect (Total)'!R94,Planned!R94,Reconductor!R94,CTGS!R94)</f>
        <v>0</v>
      </c>
      <c r="S94" s="561">
        <f>SUM('Defect (Total)'!S94,Planned!S94,Reconductor!S94,CTGS!S94)</f>
        <v>0</v>
      </c>
      <c r="T94" s="561">
        <f>SUM('Defect (Total)'!T94,Planned!T94,Reconductor!T94,CTGS!T94)</f>
        <v>0</v>
      </c>
      <c r="U94" s="561">
        <f>SUM('Defect (Total)'!U94,Planned!U94,Reconductor!U94,CTGS!U94)</f>
        <v>0</v>
      </c>
      <c r="V94" s="561">
        <f>SUM('Defect (Total)'!V94,Planned!V94,Reconductor!V94,CTGS!V94)</f>
        <v>0</v>
      </c>
      <c r="W94" s="561">
        <f>SUM('Defect (Total)'!W94,Planned!W94,Reconductor!W94,CTGS!W94)</f>
        <v>0</v>
      </c>
      <c r="X94" s="675">
        <f>SUM('Defect (Total)'!X94,Planned!X94,Reconductor!X94,CTGS!X94)</f>
        <v>0</v>
      </c>
      <c r="Y94" s="675">
        <f>SUM('Defect (Total)'!Y94,Planned!Y94,Reconductor!Y94,CTGS!Y94)</f>
        <v>0</v>
      </c>
      <c r="Z94" s="86">
        <f>SUM('Defect (Total)'!Z94,Planned!Z94,Reconductor!Z94,CTGS!Z94)</f>
        <v>0</v>
      </c>
      <c r="AA94" s="87">
        <f>SUM('Defect (Total)'!AA94,Planned!AA94,Reconductor!AA94,CTGS!AA94)</f>
        <v>0</v>
      </c>
      <c r="AB94" s="87">
        <f>SUM('Defect (Total)'!AB94,Planned!AB94,Reconductor!AB94,CTGS!AB94)</f>
        <v>0</v>
      </c>
      <c r="AC94" s="87">
        <f>SUM('Defect (Total)'!AC94,Planned!AC94,Reconductor!AC94,CTGS!AC94)</f>
        <v>0</v>
      </c>
      <c r="AD94" s="87">
        <f>SUM('Defect (Total)'!AD94,Planned!AD94,Reconductor!AD94,CTGS!AD94)</f>
        <v>0</v>
      </c>
      <c r="AE94" s="87">
        <f>SUM('Defect (Total)'!AE94,Planned!AE94,Reconductor!AE94,CTGS!AE94)</f>
        <v>0</v>
      </c>
      <c r="AF94" s="87">
        <f>SUM('Defect (Total)'!AF94,Planned!AF94,Reconductor!AF94,CTGS!AF94)</f>
        <v>0</v>
      </c>
      <c r="AG94" s="87">
        <f>SUM('Defect (Total)'!AG94,Planned!AG94,Reconductor!AG94,CTGS!AG94)</f>
        <v>0</v>
      </c>
      <c r="AH94" s="87">
        <f>SUM('Defect (Total)'!AH94,Planned!AH94,Reconductor!AH94,CTGS!AH94)</f>
        <v>0</v>
      </c>
      <c r="AI94" s="87">
        <f>SUM('Defect (Total)'!AI94,Planned!AI94,Reconductor!AI94,CTGS!AI94)</f>
        <v>0</v>
      </c>
      <c r="AJ94" s="87">
        <f>SUM('Defect (Total)'!AJ94,Planned!AJ94,Reconductor!AJ94,CTGS!AJ94)</f>
        <v>0</v>
      </c>
      <c r="AK94" s="88">
        <f t="shared" si="47"/>
        <v>0</v>
      </c>
      <c r="AL94" s="89">
        <f t="shared" si="34"/>
        <v>0</v>
      </c>
      <c r="AM94" s="90">
        <f t="shared" si="48"/>
        <v>0</v>
      </c>
      <c r="AN94" s="91" t="str">
        <f t="shared" si="35"/>
        <v/>
      </c>
      <c r="AO94" s="92" t="str">
        <f t="shared" si="36"/>
        <v/>
      </c>
      <c r="AP94" s="92" t="str">
        <f t="shared" si="37"/>
        <v/>
      </c>
      <c r="AQ94" s="92" t="str">
        <f t="shared" si="38"/>
        <v/>
      </c>
      <c r="AR94" s="92" t="str">
        <f t="shared" si="39"/>
        <v/>
      </c>
      <c r="AS94" s="92" t="str">
        <f t="shared" si="40"/>
        <v/>
      </c>
      <c r="AT94" s="92" t="str">
        <f t="shared" si="41"/>
        <v/>
      </c>
      <c r="AU94" s="92" t="str">
        <f t="shared" si="42"/>
        <v/>
      </c>
      <c r="AV94" s="92" t="str">
        <f t="shared" si="43"/>
        <v/>
      </c>
      <c r="AW94" s="92" t="str">
        <f t="shared" si="50"/>
        <v/>
      </c>
      <c r="AX94" s="92" t="str">
        <f t="shared" si="50"/>
        <v/>
      </c>
      <c r="AY94" s="93" t="str">
        <f t="shared" si="32"/>
        <v/>
      </c>
      <c r="AZ94" s="94" t="str">
        <f t="shared" si="45"/>
        <v/>
      </c>
      <c r="BA94" s="95" t="str">
        <f t="shared" si="46"/>
        <v/>
      </c>
      <c r="BB94" s="689">
        <f>SUM('Defect (Total)'!BB94,Planned!CE94,Reconductor!CE94,CTGS!CE94,'Substation 2025$'!CE94*$BL$1,Comms!CA94*$BL$2)</f>
        <v>0</v>
      </c>
      <c r="BC94" s="689">
        <f>SUM('Defect (Total)'!BC94,Planned!CF94,Reconductor!CF94,CTGS!CF94,'Substation 2025$'!CF94*$BL$1,Comms!CB94*$BL$2)</f>
        <v>0</v>
      </c>
      <c r="BD94" s="96">
        <f>SUM('Defect (Total)'!BD94,Planned!CG94,Reconductor!CG94,CTGS!CG94,'Substation 2025$'!CG94*$BL$1,Comms!CC94*$BL$2)</f>
        <v>0</v>
      </c>
      <c r="BE94" s="96">
        <f>SUM('Defect (Total)'!BE94,Planned!CH94,Reconductor!CH94,CTGS!CH94,'Substation 2025$'!CH94*$BL$1,Comms!CD94*$BL$2)</f>
        <v>0</v>
      </c>
      <c r="BF94" s="96">
        <f>SUM('Defect (Total)'!BF94,Planned!CI94,Reconductor!CI94,CTGS!CI94,'Substation 2025$'!CI94*$BL$1,Comms!CE94*$BL$2)</f>
        <v>0</v>
      </c>
      <c r="BG94" s="96">
        <f>SUM('Defect (Total)'!BG94,Planned!CJ94,Reconductor!CJ94,CTGS!CJ94,'Substation 2025$'!CJ94*$BL$1,Comms!CF94*$BL$2)</f>
        <v>0</v>
      </c>
      <c r="BH94" s="96">
        <f>SUM('Defect (Total)'!BH94,Planned!CK94,Reconductor!CK94,CTGS!CK94,'Substation 2025$'!CK94*$BL$1,Comms!CG94*$BL$2)</f>
        <v>0</v>
      </c>
      <c r="BI94" s="286">
        <f>SUM('Defect (Total)'!BI94,Planned!CL94,Reconductor!CL94,CTGS!CL94,'Substation 2025$'!CL94*$BL$1,Comms!CH94*$BL$2)</f>
        <v>0</v>
      </c>
      <c r="BJ94" s="99" t="str">
        <f t="shared" si="49"/>
        <v/>
      </c>
      <c r="BK94" s="992">
        <f>SUM('Defect (Total)'!BK94,Planned!CQ94,Reconductor!CQ94,CTGS!CQ94,'Substation 2025$'!CQ94*$BL$1,Comms!CM94*$BL$2)</f>
        <v>0</v>
      </c>
      <c r="BL94" s="992">
        <f>SUM('Defect (Total)'!BL94,Planned!CR94,Reconductor!CR94,CTGS!CR94,'Substation 2025$'!CR94*$BL$1,Comms!CN94*$BL$2)</f>
        <v>0</v>
      </c>
      <c r="BM94" s="524">
        <f>SUM('Defect (Total)'!BM94,Planned!CS94,Reconductor!CS94,CTGS!CS94,'Substation 2025$'!CS94*$BL$1,Comms!CO94*$BL$2)</f>
        <v>0</v>
      </c>
      <c r="BN94" s="416">
        <f>SUM('Defect (Total)'!BN94,Planned!CT94,Reconductor!CT94,CTGS!CT94,'Substation 2025$'!CT94*$BL$1,Comms!CP94*$BL$2)</f>
        <v>0</v>
      </c>
      <c r="BO94" s="97">
        <f>SUM('Defect (Total)'!BO94,Planned!CU94,Reconductor!CU94,CTGS!CU94,'Substation 2025$'!CU94*$BL$1,Comms!CQ94*$BL$2)</f>
        <v>0</v>
      </c>
      <c r="BP94" s="97">
        <f>SUM('Defect (Total)'!BP94,Planned!CV94,Reconductor!CV94,CTGS!CV94,'Substation 2025$'!CV94*$BL$1,Comms!CR94*$BL$2)</f>
        <v>0</v>
      </c>
      <c r="BQ94" s="97">
        <f>SUM('Defect (Total)'!BQ94,Planned!CW94,Reconductor!CW94,CTGS!CW94,'Substation 2025$'!CW94*$BL$1,Comms!CS94*$BL$2)</f>
        <v>0</v>
      </c>
      <c r="BR94" s="98">
        <f>SUM('Defect (Total)'!BR94,Planned!CX94,Reconductor!CX94,CTGS!CX94,'Substation 2025$'!CX94*$BL$1,Comms!CT94*$BL$2)</f>
        <v>0</v>
      </c>
    </row>
    <row r="95" spans="1:70" ht="15.75" thickBot="1" x14ac:dyDescent="0.3">
      <c r="A95" s="100" t="s">
        <v>138</v>
      </c>
      <c r="B95" s="101" t="s">
        <v>385</v>
      </c>
      <c r="C95" s="102" t="s">
        <v>386</v>
      </c>
      <c r="D95" s="103">
        <f>SUM('Defect (Total)'!D95,Planned!D95,Reconductor!D95,CTGS!D95)</f>
        <v>13539</v>
      </c>
      <c r="E95" s="104">
        <f>SUM('Defect (Total)'!E95,Planned!E95,Reconductor!E95,CTGS!E95)</f>
        <v>0</v>
      </c>
      <c r="F95" s="104">
        <f>SUM('Defect (Total)'!F95,Planned!F95,Reconductor!F95,CTGS!F95)</f>
        <v>99217</v>
      </c>
      <c r="G95" s="104">
        <f>SUM('Defect (Total)'!G95,Planned!G95,Reconductor!G95,CTGS!G95)</f>
        <v>0</v>
      </c>
      <c r="H95" s="104">
        <f>SUM('Defect (Total)'!H95,Planned!H95,Reconductor!H95,CTGS!H95)</f>
        <v>0</v>
      </c>
      <c r="I95" s="104">
        <f>SUM('Defect (Total)'!I95,Planned!I95,Reconductor!I95,CTGS!I95)</f>
        <v>29709.836920557962</v>
      </c>
      <c r="J95" s="104">
        <f>SUM('Defect (Total)'!J95,Planned!J95,Reconductor!J95,CTGS!J95)</f>
        <v>14752.90333395</v>
      </c>
      <c r="K95" s="104">
        <f>SUM('Defect (Total)'!K95,Planned!K95,Reconductor!K95,CTGS!K95)</f>
        <v>46275.077679972004</v>
      </c>
      <c r="L95" s="104">
        <f>SUM('Defect (Total)'!L95,Planned!L95,Reconductor!L95,CTGS!L95)</f>
        <v>0</v>
      </c>
      <c r="M95" s="104">
        <f>SUM('Defect (Total)'!M95,Planned!M95,Reconductor!M95,CTGS!M95)</f>
        <v>0</v>
      </c>
      <c r="N95" s="104">
        <f>SUM('Defect (Total)'!N95,Planned!N95,Reconductor!N95,CTGS!N95)</f>
        <v>0</v>
      </c>
      <c r="O95" s="563">
        <f>SUM('Defect (Total)'!O95,Planned!O95,Reconductor!O95,CTGS!O95)</f>
        <v>18216.133105737841</v>
      </c>
      <c r="P95" s="564">
        <f>SUM('Defect (Total)'!P95,Planned!P95,Reconductor!P95,CTGS!P95)</f>
        <v>0</v>
      </c>
      <c r="Q95" s="564">
        <f>SUM('Defect (Total)'!Q95,Planned!Q95,Reconductor!Q95,CTGS!Q95)</f>
        <v>130173.27427298285</v>
      </c>
      <c r="R95" s="564">
        <f>SUM('Defect (Total)'!R95,Planned!R95,Reconductor!R95,CTGS!R95)</f>
        <v>0</v>
      </c>
      <c r="S95" s="564">
        <f>SUM('Defect (Total)'!S95,Planned!S95,Reconductor!S95,CTGS!S95)</f>
        <v>0</v>
      </c>
      <c r="T95" s="564">
        <f>SUM('Defect (Total)'!T95,Planned!T95,Reconductor!T95,CTGS!T95)</f>
        <v>36874.313422627099</v>
      </c>
      <c r="U95" s="564">
        <f>SUM('Defect (Total)'!U95,Planned!U95,Reconductor!U95,CTGS!U95)</f>
        <v>18374.563681230688</v>
      </c>
      <c r="V95" s="564">
        <f>SUM('Defect (Total)'!V95,Planned!V95,Reconductor!V95,CTGS!V95)</f>
        <v>55500.421154701085</v>
      </c>
      <c r="W95" s="564">
        <f>SUM('Defect (Total)'!W95,Planned!W95,Reconductor!W95,CTGS!W95)</f>
        <v>0</v>
      </c>
      <c r="X95" s="676">
        <f>SUM('Defect (Total)'!X95,Planned!X95,Reconductor!X95,CTGS!X95)</f>
        <v>0</v>
      </c>
      <c r="Y95" s="676">
        <f>SUM('Defect (Total)'!Y95,Planned!Y95,Reconductor!Y95,CTGS!Y95)</f>
        <v>0</v>
      </c>
      <c r="Z95" s="105">
        <f>SUM('Defect (Total)'!Z95,Planned!Z95,Reconductor!Z95,CTGS!Z95)</f>
        <v>1</v>
      </c>
      <c r="AA95" s="106">
        <f>SUM('Defect (Total)'!AA95,Planned!AA95,Reconductor!AA95,CTGS!AA95)</f>
        <v>0</v>
      </c>
      <c r="AB95" s="106">
        <f>SUM('Defect (Total)'!AB95,Planned!AB95,Reconductor!AB95,CTGS!AB95)</f>
        <v>1</v>
      </c>
      <c r="AC95" s="106">
        <f>SUM('Defect (Total)'!AC95,Planned!AC95,Reconductor!AC95,CTGS!AC95)</f>
        <v>0</v>
      </c>
      <c r="AD95" s="106">
        <f>SUM('Defect (Total)'!AD95,Planned!AD95,Reconductor!AD95,CTGS!AD95)</f>
        <v>0</v>
      </c>
      <c r="AE95" s="106">
        <f>SUM('Defect (Total)'!AE95,Planned!AE95,Reconductor!AE95,CTGS!AE95)</f>
        <v>1</v>
      </c>
      <c r="AF95" s="106">
        <f>SUM('Defect (Total)'!AF95,Planned!AF95,Reconductor!AF95,CTGS!AF95)</f>
        <v>0</v>
      </c>
      <c r="AG95" s="106">
        <f>SUM('Defect (Total)'!AG95,Planned!AG95,Reconductor!AG95,CTGS!AG95)</f>
        <v>3</v>
      </c>
      <c r="AH95" s="106">
        <f>SUM('Defect (Total)'!AH95,Planned!AH95,Reconductor!AH95,CTGS!AH95)</f>
        <v>0</v>
      </c>
      <c r="AI95" s="106">
        <f>SUM('Defect (Total)'!AI95,Planned!AI95,Reconductor!AI95,CTGS!AI95)</f>
        <v>0</v>
      </c>
      <c r="AJ95" s="106">
        <f>SUM('Defect (Total)'!AJ95,Planned!AJ95,Reconductor!AJ95,CTGS!AJ95)</f>
        <v>0</v>
      </c>
      <c r="AK95" s="107">
        <f t="shared" si="47"/>
        <v>0.8</v>
      </c>
      <c r="AL95" s="108">
        <f t="shared" si="34"/>
        <v>1</v>
      </c>
      <c r="AM95" s="109">
        <f t="shared" si="48"/>
        <v>0</v>
      </c>
      <c r="AN95" s="110">
        <f t="shared" si="35"/>
        <v>13539</v>
      </c>
      <c r="AO95" s="111" t="str">
        <f t="shared" si="36"/>
        <v/>
      </c>
      <c r="AP95" s="111">
        <f t="shared" si="37"/>
        <v>99217</v>
      </c>
      <c r="AQ95" s="111" t="str">
        <f t="shared" si="38"/>
        <v/>
      </c>
      <c r="AR95" s="111" t="str">
        <f t="shared" si="39"/>
        <v/>
      </c>
      <c r="AS95" s="111">
        <f t="shared" si="40"/>
        <v>29709.836920557962</v>
      </c>
      <c r="AT95" s="111" t="str">
        <f t="shared" si="41"/>
        <v/>
      </c>
      <c r="AU95" s="111">
        <f t="shared" si="42"/>
        <v>15425.025893324002</v>
      </c>
      <c r="AV95" s="111" t="str">
        <f t="shared" si="43"/>
        <v/>
      </c>
      <c r="AW95" s="111" t="str">
        <f t="shared" si="50"/>
        <v/>
      </c>
      <c r="AX95" s="111" t="str">
        <f t="shared" si="50"/>
        <v/>
      </c>
      <c r="AY95" s="112">
        <f t="shared" si="32"/>
        <v>22684.454483619993</v>
      </c>
      <c r="AZ95" s="113">
        <f t="shared" si="45"/>
        <v>15425.025893324002</v>
      </c>
      <c r="BA95" s="114" t="str">
        <f t="shared" si="46"/>
        <v/>
      </c>
      <c r="BB95" s="695">
        <f>SUM('Defect (Total)'!BB95,Planned!CE95,Reconductor!CE95,CTGS!CE95,'Substation 2025$'!CE95*$BL$1,Comms!CA95*$BL$2)</f>
        <v>0.66666666666666663</v>
      </c>
      <c r="BC95" s="695">
        <f>SUM('Defect (Total)'!BC95,Planned!CF95,Reconductor!CF95,CTGS!CF95,'Substation 2025$'!CF95*$BL$1,Comms!CB95*$BL$2)</f>
        <v>0.66666666666666663</v>
      </c>
      <c r="BD95" s="141">
        <f>SUM('Defect (Total)'!BD95,Planned!CG95,Reconductor!CG95,CTGS!CG95,'Substation 2025$'!CG95*$BL$1,Comms!CC95*$BL$2)</f>
        <v>0.66666666666666663</v>
      </c>
      <c r="BE95" s="141">
        <f>SUM('Defect (Total)'!BE95,Planned!CH95,Reconductor!CH95,CTGS!CH95,'Substation 2025$'!CH95*$BL$1,Comms!CD95*$BL$2)</f>
        <v>0.47333333333333327</v>
      </c>
      <c r="BF95" s="141">
        <f>SUM('Defect (Total)'!BF95,Planned!CI95,Reconductor!CI95,CTGS!CI95,'Substation 2025$'!CI95*$BL$1,Comms!CE95*$BL$2)</f>
        <v>0.47333333333333327</v>
      </c>
      <c r="BG95" s="141">
        <f>SUM('Defect (Total)'!BG95,Planned!CJ95,Reconductor!CJ95,CTGS!CJ95,'Substation 2025$'!CJ95*$BL$1,Comms!CF95*$BL$2)</f>
        <v>0.47333333333333327</v>
      </c>
      <c r="BH95" s="141">
        <f>SUM('Defect (Total)'!BH95,Planned!CK95,Reconductor!CK95,CTGS!CK95,'Substation 2025$'!CK95*$BL$1,Comms!CG95*$BL$2)</f>
        <v>0.47333333333333327</v>
      </c>
      <c r="BI95" s="292">
        <f>SUM('Defect (Total)'!BI95,Planned!CL95,Reconductor!CL95,CTGS!CL95,'Substation 2025$'!CL95*$BL$1,Comms!CH95*$BL$2)</f>
        <v>0.47333333333333327</v>
      </c>
      <c r="BJ95" s="116">
        <f t="shared" si="49"/>
        <v>5757.8777173810013</v>
      </c>
      <c r="BK95" s="1013">
        <f>SUM('Defect (Total)'!BK95,Planned!CQ95,Reconductor!CQ95,CTGS!CQ95,'Substation 2025$'!CQ95*$BL$1,Comms!CM95*$BL$2)</f>
        <v>3838.5851449206666</v>
      </c>
      <c r="BL95" s="1013">
        <f>SUM('Defect (Total)'!BL95,Planned!CR95,Reconductor!CR95,CTGS!CR95,'Substation 2025$'!CR95*$BL$1,Comms!CN95*$BL$2)</f>
        <v>3838.5851449206666</v>
      </c>
      <c r="BM95" s="638">
        <f>SUM('Defect (Total)'!BM95,Planned!CS95,Reconductor!CS95,CTGS!CS95,'Substation 2025$'!CS95*$BL$1,Comms!CO95*$BL$2)</f>
        <v>3838.5851449206666</v>
      </c>
      <c r="BN95" s="467">
        <f>SUM('Defect (Total)'!BN95,Planned!CT95,Reconductor!CT95,CTGS!CT95,'Substation 2025$'!CT95*$BL$1,Comms!CP95*$BL$2)</f>
        <v>2725.3954528936733</v>
      </c>
      <c r="BO95" s="117">
        <f>SUM('Defect (Total)'!BO95,Planned!CU95,Reconductor!CU95,CTGS!CU95,'Substation 2025$'!CU95*$BL$1,Comms!CQ95*$BL$2)</f>
        <v>2725.3954528936733</v>
      </c>
      <c r="BP95" s="117">
        <f>SUM('Defect (Total)'!BP95,Planned!CV95,Reconductor!CV95,CTGS!CV95,'Substation 2025$'!CV95*$BL$1,Comms!CR95*$BL$2)</f>
        <v>2725.3954528936733</v>
      </c>
      <c r="BQ95" s="117">
        <f>SUM('Defect (Total)'!BQ95,Planned!CW95,Reconductor!CW95,CTGS!CW95,'Substation 2025$'!CW95*$BL$1,Comms!CS95*$BL$2)</f>
        <v>2725.3954528936733</v>
      </c>
      <c r="BR95" s="118">
        <f>SUM('Defect (Total)'!BR95,Planned!CX95,Reconductor!CX95,CTGS!CX95,'Substation 2025$'!CX95*$BL$1,Comms!CT95*$BL$2)</f>
        <v>2725.3954528936733</v>
      </c>
    </row>
    <row r="96" spans="1:70" x14ac:dyDescent="0.25">
      <c r="A96" s="63" t="s">
        <v>196</v>
      </c>
      <c r="B96" s="64" t="s">
        <v>193</v>
      </c>
      <c r="C96" s="65" t="s">
        <v>387</v>
      </c>
      <c r="D96" s="66">
        <f>SUM('Defect (Total)'!D96,Planned!D96,Reconductor!D96,CTGS!D96)</f>
        <v>7732379</v>
      </c>
      <c r="E96" s="67">
        <f>SUM('Defect (Total)'!E96,Planned!E96,Reconductor!E96,CTGS!E96)</f>
        <v>12979653</v>
      </c>
      <c r="F96" s="67">
        <f>SUM('Defect (Total)'!F96,Planned!F96,Reconductor!F96,CTGS!F96)</f>
        <v>9529379</v>
      </c>
      <c r="G96" s="67">
        <f>SUM('Defect (Total)'!G96,Planned!G96,Reconductor!G96,CTGS!G96)</f>
        <v>9770613.853181988</v>
      </c>
      <c r="H96" s="67">
        <f>SUM('Defect (Total)'!H96,Planned!H96,Reconductor!H96,CTGS!H96)</f>
        <v>14853760</v>
      </c>
      <c r="I96" s="67">
        <f>SUM('Defect (Total)'!I96,Planned!I96,Reconductor!I96,CTGS!I96)</f>
        <v>20247483.025644697</v>
      </c>
      <c r="J96" s="67">
        <f>SUM('Defect (Total)'!J96,Planned!J96,Reconductor!J96,CTGS!J96)</f>
        <v>31495466.058852024</v>
      </c>
      <c r="K96" s="67">
        <f>SUM('Defect (Total)'!K96,Planned!K96,Reconductor!K96,CTGS!K96)</f>
        <v>36015836.806626536</v>
      </c>
      <c r="L96" s="67">
        <f>SUM('Defect (Total)'!L96,Planned!L96,Reconductor!L96,CTGS!L96)</f>
        <v>32359237.581893343</v>
      </c>
      <c r="M96" s="67">
        <f>SUM('Defect (Total)'!M96,Planned!M96,Reconductor!M96,CTGS!M96)</f>
        <v>38923315.424239181</v>
      </c>
      <c r="N96" s="67">
        <f>SUM('Defect (Total)'!N96,Planned!N96,Reconductor!N96,CTGS!N96)</f>
        <v>41033547.454271652</v>
      </c>
      <c r="O96" s="557">
        <f>SUM('Defect (Total)'!O96,Planned!O96,Reconductor!O96,CTGS!O96)</f>
        <v>10403578.188050231</v>
      </c>
      <c r="P96" s="558">
        <f>SUM('Defect (Total)'!P96,Planned!P96,Reconductor!P96,CTGS!P96)</f>
        <v>17203633.453773174</v>
      </c>
      <c r="Q96" s="558">
        <f>SUM('Defect (Total)'!Q96,Planned!Q96,Reconductor!Q96,CTGS!Q96)</f>
        <v>12502600.020341303</v>
      </c>
      <c r="R96" s="558">
        <f>SUM('Defect (Total)'!R96,Planned!R96,Reconductor!R96,CTGS!R96)</f>
        <v>12575920.746357001</v>
      </c>
      <c r="S96" s="558">
        <f>SUM('Defect (Total)'!S96,Planned!S96,Reconductor!S96,CTGS!S96)</f>
        <v>18729385.208920866</v>
      </c>
      <c r="T96" s="558">
        <f>SUM('Defect (Total)'!T96,Planned!T96,Reconductor!T96,CTGS!T96)</f>
        <v>25130129.024381161</v>
      </c>
      <c r="U96" s="558">
        <f>SUM('Defect (Total)'!U96,Planned!U96,Reconductor!U96,CTGS!U96)</f>
        <v>39227224.2058722</v>
      </c>
      <c r="V96" s="558">
        <f>SUM('Defect (Total)'!V96,Planned!V96,Reconductor!V96,CTGS!V96)</f>
        <v>43195910.438674092</v>
      </c>
      <c r="W96" s="558">
        <f>SUM('Defect (Total)'!W96,Planned!W96,Reconductor!W96,CTGS!W96)</f>
        <v>36563583.814379074</v>
      </c>
      <c r="X96" s="674">
        <f>SUM('Defect (Total)'!X96,Planned!X96,Reconductor!X96,CTGS!X96)</f>
        <v>41393425.067636125</v>
      </c>
      <c r="Y96" s="674">
        <f>SUM('Defect (Total)'!Y96,Planned!Y96,Reconductor!Y96,CTGS!Y96)</f>
        <v>42161907.610206448</v>
      </c>
      <c r="Z96" s="68">
        <f>SUM('Defect (Total)'!Z96,Planned!Z96,Reconductor!Z96,CTGS!Z96)</f>
        <v>1120</v>
      </c>
      <c r="AA96" s="69">
        <f>SUM('Defect (Total)'!AA96,Planned!AA96,Reconductor!AA96,CTGS!AA96)</f>
        <v>1255</v>
      </c>
      <c r="AB96" s="69">
        <f>SUM('Defect (Total)'!AB96,Planned!AB96,Reconductor!AB96,CTGS!AB96)</f>
        <v>1534</v>
      </c>
      <c r="AC96" s="69">
        <f>SUM('Defect (Total)'!AC96,Planned!AC96,Reconductor!AC96,CTGS!AC96)</f>
        <v>1672</v>
      </c>
      <c r="AD96" s="69">
        <f>SUM('Defect (Total)'!AD96,Planned!AD96,Reconductor!AD96,CTGS!AD96)</f>
        <v>2227</v>
      </c>
      <c r="AE96" s="69">
        <f>SUM('Defect (Total)'!AE96,Planned!AE96,Reconductor!AE96,CTGS!AE96)</f>
        <v>71807</v>
      </c>
      <c r="AF96" s="69">
        <f>SUM('Defect (Total)'!AF96,Planned!AF96,Reconductor!AF96,CTGS!AF96)</f>
        <v>3557</v>
      </c>
      <c r="AG96" s="69">
        <f>SUM('Defect (Total)'!AG96,Planned!AG96,Reconductor!AG96,CTGS!AG96)</f>
        <v>3331</v>
      </c>
      <c r="AH96" s="69">
        <f>SUM('Defect (Total)'!AH96,Planned!AH96,Reconductor!AH96,CTGS!AH96)</f>
        <v>3045</v>
      </c>
      <c r="AI96" s="69">
        <f>SUM('Defect (Total)'!AI96,Planned!AI96,Reconductor!AI96,CTGS!AI96)</f>
        <v>2499</v>
      </c>
      <c r="AJ96" s="69">
        <f>SUM('Defect (Total)'!AJ96,Planned!AJ96,Reconductor!AJ96,CTGS!AJ96)</f>
        <v>1995</v>
      </c>
      <c r="AK96" s="70">
        <f t="shared" si="47"/>
        <v>16793.400000000001</v>
      </c>
      <c r="AL96" s="71">
        <f t="shared" si="34"/>
        <v>3311</v>
      </c>
      <c r="AM96" s="72">
        <f t="shared" si="48"/>
        <v>3045</v>
      </c>
      <c r="AN96" s="73">
        <f t="shared" si="35"/>
        <v>6903.9098214285714</v>
      </c>
      <c r="AO96" s="74">
        <f t="shared" si="36"/>
        <v>10342.352988047809</v>
      </c>
      <c r="AP96" s="74">
        <f t="shared" si="37"/>
        <v>6212.11147327249</v>
      </c>
      <c r="AQ96" s="74">
        <f t="shared" si="38"/>
        <v>5843.6685724772651</v>
      </c>
      <c r="AR96" s="74">
        <f t="shared" si="39"/>
        <v>6669.8518185900311</v>
      </c>
      <c r="AS96" s="74">
        <f t="shared" si="40"/>
        <v>281.97088063342983</v>
      </c>
      <c r="AT96" s="74">
        <f t="shared" si="41"/>
        <v>8854.5026873354018</v>
      </c>
      <c r="AU96" s="74">
        <f t="shared" si="42"/>
        <v>10812.319665753988</v>
      </c>
      <c r="AV96" s="74">
        <f t="shared" si="43"/>
        <v>10627.007416056927</v>
      </c>
      <c r="AW96" s="74">
        <f t="shared" si="50"/>
        <v>15575.556392252573</v>
      </c>
      <c r="AX96" s="74">
        <f t="shared" si="50"/>
        <v>20568.194212667495</v>
      </c>
      <c r="AY96" s="75">
        <f t="shared" si="32"/>
        <v>1887.9775270035943</v>
      </c>
      <c r="AZ96" s="76">
        <f t="shared" si="45"/>
        <v>12089.959415522149</v>
      </c>
      <c r="BA96" s="77">
        <f t="shared" si="46"/>
        <v>15575.556392252573</v>
      </c>
      <c r="BB96" s="688">
        <f>SUM('Defect (Total)'!BB96,Planned!CE96,Reconductor!CE96,CTGS!CE96,'Substation 2025$'!CE96*$BL$1,Comms!CA96*$BL$2)</f>
        <v>2666</v>
      </c>
      <c r="BC96" s="688">
        <f>SUM('Defect (Total)'!BC96,Planned!CF96,Reconductor!CF96,CTGS!CF96,'Substation 2025$'!CF96*$BL$1,Comms!CB96*$BL$2)</f>
        <v>2382.5674975757224</v>
      </c>
      <c r="BD96" s="78">
        <f>SUM('Defect (Total)'!BD96,Planned!CG96,Reconductor!CG96,CTGS!CG96,'Substation 2025$'!CG96*$BL$1,Comms!CC96*$BL$2)</f>
        <v>2382.5674975757224</v>
      </c>
      <c r="BE96" s="78">
        <f>SUM('Defect (Total)'!BE96,Planned!CH96,Reconductor!CH96,CTGS!CH96,'Substation 2025$'!CH96*$BL$1,Comms!CD96*$BL$2)</f>
        <v>1522.3022671353715</v>
      </c>
      <c r="BF96" s="78">
        <f>SUM('Defect (Total)'!BF96,Planned!CI96,Reconductor!CI96,CTGS!CI96,'Substation 2025$'!CI96*$BL$1,Comms!CE96*$BL$2)</f>
        <v>1534.8113034197877</v>
      </c>
      <c r="BG96" s="78">
        <f>SUM('Defect (Total)'!BG96,Planned!CJ96,Reconductor!CJ96,CTGS!CJ96,'Substation 2025$'!CJ96*$BL$1,Comms!CF96*$BL$2)</f>
        <v>1543.1506609427315</v>
      </c>
      <c r="BH96" s="78">
        <f>SUM('Defect (Total)'!BH96,Planned!CK96,Reconductor!CK96,CTGS!CK96,'Substation 2025$'!CK96*$BL$1,Comms!CG96*$BL$2)</f>
        <v>1551.4900184656756</v>
      </c>
      <c r="BI96" s="285">
        <f>SUM('Defect (Total)'!BI96,Planned!CL96,Reconductor!CL96,CTGS!CL96,'Substation 2025$'!CL96*$BL$1,Comms!CH96*$BL$2)</f>
        <v>1555.6596972271477</v>
      </c>
      <c r="BJ96" s="124">
        <f>IFERROR(SUM(BN96:BR96)/SUM(BE96:BI96),"")</f>
        <v>12628.046763597084</v>
      </c>
      <c r="BK96" s="974">
        <f>SUM('Defect (Total)'!BK96,Planned!CQ96,Reconductor!CQ96,CTGS!CQ96,'Substation 2025$'!CQ96*$BL$1,Comms!CM96*$BL$2)</f>
        <v>33637334.395002134</v>
      </c>
      <c r="BL96" s="974">
        <f>SUM('Defect (Total)'!BL96,Planned!CR96,Reconductor!CR96,CTGS!CR96,'Substation 2025$'!CR96*$BL$1,Comms!CN96*$BL$2)</f>
        <v>30061222.668648921</v>
      </c>
      <c r="BM96" s="523">
        <f>SUM('Defect (Total)'!BM96,Planned!CS96,Reconductor!CS96,CTGS!CS96,'Substation 2025$'!CS96*$BL$1,Comms!CO96*$BL$2)</f>
        <v>30061222.668648921</v>
      </c>
      <c r="BN96" s="415">
        <f>SUM('Defect (Total)'!BN96,Planned!CT96,Reconductor!CT96,CTGS!CT96,'Substation 2025$'!CT96*$BL$1,Comms!CP96*$BL$2)</f>
        <v>19223913.133437309</v>
      </c>
      <c r="BO96" s="79">
        <f>SUM('Defect (Total)'!BO96,Planned!CU96,Reconductor!CU96,CTGS!CU96,'Substation 2025$'!CU96*$BL$1,Comms!CQ96*$BL$2)</f>
        <v>19381741.579220552</v>
      </c>
      <c r="BP96" s="79">
        <f>SUM('Defect (Total)'!BP96,Planned!CV96,Reconductor!CV96,CTGS!CV96,'Substation 2025$'!CV96*$BL$1,Comms!CR96*$BL$2)</f>
        <v>19486960.543076046</v>
      </c>
      <c r="BQ96" s="79">
        <f>SUM('Defect (Total)'!BQ96,Planned!CW96,Reconductor!CW96,CTGS!CW96,'Substation 2025$'!CW96*$BL$1,Comms!CS96*$BL$2)</f>
        <v>19592179.50693154</v>
      </c>
      <c r="BR96" s="80">
        <f>SUM('Defect (Total)'!BR96,Planned!CX96,Reconductor!CX96,CTGS!CX96,'Substation 2025$'!CX96*$BL$1,Comms!CT96*$BL$2)</f>
        <v>19644788.988859285</v>
      </c>
    </row>
    <row r="97" spans="1:70" x14ac:dyDescent="0.25">
      <c r="A97" s="81" t="s">
        <v>196</v>
      </c>
      <c r="B97" s="82" t="s">
        <v>197</v>
      </c>
      <c r="C97" s="83" t="s">
        <v>388</v>
      </c>
      <c r="D97" s="84">
        <f>SUM('Defect (Total)'!D97,Planned!D97,Reconductor!D97,CTGS!D97)</f>
        <v>3635816</v>
      </c>
      <c r="E97" s="85">
        <f>SUM('Defect (Total)'!E97,Planned!E97,Reconductor!E97,CTGS!E97)</f>
        <v>5714487</v>
      </c>
      <c r="F97" s="85">
        <f>SUM('Defect (Total)'!F97,Planned!F97,Reconductor!F97,CTGS!F97)</f>
        <v>4672147</v>
      </c>
      <c r="G97" s="85">
        <f>SUM('Defect (Total)'!G97,Planned!G97,Reconductor!G97,CTGS!G97)</f>
        <v>5228652.4073290844</v>
      </c>
      <c r="H97" s="85">
        <f>SUM('Defect (Total)'!H97,Planned!H97,Reconductor!H97,CTGS!H97)</f>
        <v>5223851</v>
      </c>
      <c r="I97" s="85">
        <f>SUM('Defect (Total)'!I97,Planned!I97,Reconductor!I97,CTGS!I97)</f>
        <v>8100962.0602794215</v>
      </c>
      <c r="J97" s="85">
        <f>SUM('Defect (Total)'!J97,Planned!J97,Reconductor!J97,CTGS!J97)</f>
        <v>6416486.3232819932</v>
      </c>
      <c r="K97" s="85">
        <f>SUM('Defect (Total)'!K97,Planned!K97,Reconductor!K97,CTGS!K97)</f>
        <v>8440190.1703399196</v>
      </c>
      <c r="L97" s="85">
        <f>SUM('Defect (Total)'!L97,Planned!L97,Reconductor!L97,CTGS!L97)</f>
        <v>8205291.0403893301</v>
      </c>
      <c r="M97" s="85">
        <f>SUM('Defect (Total)'!M97,Planned!M97,Reconductor!M97,CTGS!M97)</f>
        <v>8392236.2895577494</v>
      </c>
      <c r="N97" s="85">
        <f>SUM('Defect (Total)'!N97,Planned!N97,Reconductor!N97,CTGS!N97)</f>
        <v>8136031.3421527604</v>
      </c>
      <c r="O97" s="560">
        <f>SUM('Defect (Total)'!O97,Planned!O97,Reconductor!O97,CTGS!O97)</f>
        <v>4891831.6126723783</v>
      </c>
      <c r="P97" s="561">
        <f>SUM('Defect (Total)'!P97,Planned!P97,Reconductor!P97,CTGS!P97)</f>
        <v>7574157.7778968289</v>
      </c>
      <c r="Q97" s="561">
        <f>SUM('Defect (Total)'!Q97,Planned!Q97,Reconductor!Q97,CTGS!Q97)</f>
        <v>6129883.7182609234</v>
      </c>
      <c r="R97" s="561">
        <f>SUM('Defect (Total)'!R97,Planned!R97,Reconductor!R97,CTGS!R97)</f>
        <v>6729886.0924080918</v>
      </c>
      <c r="S97" s="561">
        <f>SUM('Defect (Total)'!S97,Planned!S97,Reconductor!S97,CTGS!S97)</f>
        <v>6586851.9252368752</v>
      </c>
      <c r="T97" s="561">
        <f>SUM('Defect (Total)'!T97,Planned!T97,Reconductor!T97,CTGS!T97)</f>
        <v>10054495.24459875</v>
      </c>
      <c r="U97" s="561">
        <f>SUM('Defect (Total)'!U97,Planned!U97,Reconductor!U97,CTGS!U97)</f>
        <v>7991656.5497703776</v>
      </c>
      <c r="V97" s="561">
        <f>SUM('Defect (Total)'!V97,Planned!V97,Reconductor!V97,CTGS!V97)</f>
        <v>10122816.266656935</v>
      </c>
      <c r="W97" s="561">
        <f>SUM('Defect (Total)'!W97,Planned!W97,Reconductor!W97,CTGS!W97)</f>
        <v>9271381.8092093319</v>
      </c>
      <c r="X97" s="675">
        <f>SUM('Defect (Total)'!X97,Planned!X97,Reconductor!X97,CTGS!X97)</f>
        <v>8924815.3764767721</v>
      </c>
      <c r="Y97" s="675">
        <f>SUM('Defect (Total)'!Y97,Planned!Y97,Reconductor!Y97,CTGS!Y97)</f>
        <v>8359759.8317295518</v>
      </c>
      <c r="Z97" s="86">
        <f>SUM('Defect (Total)'!Z97,Planned!Z97,Reconductor!Z97,CTGS!Z97)</f>
        <v>58</v>
      </c>
      <c r="AA97" s="87">
        <f>SUM('Defect (Total)'!AA97,Planned!AA97,Reconductor!AA97,CTGS!AA97)</f>
        <v>419</v>
      </c>
      <c r="AB97" s="87">
        <f>SUM('Defect (Total)'!AB97,Planned!AB97,Reconductor!AB97,CTGS!AB97)</f>
        <v>204</v>
      </c>
      <c r="AC97" s="87">
        <f>SUM('Defect (Total)'!AC97,Planned!AC97,Reconductor!AC97,CTGS!AC97)</f>
        <v>216</v>
      </c>
      <c r="AD97" s="87">
        <f>SUM('Defect (Total)'!AD97,Planned!AD97,Reconductor!AD97,CTGS!AD97)</f>
        <v>227</v>
      </c>
      <c r="AE97" s="87">
        <f>SUM('Defect (Total)'!AE97,Planned!AE97,Reconductor!AE97,CTGS!AE97)</f>
        <v>279</v>
      </c>
      <c r="AF97" s="87">
        <f>SUM('Defect (Total)'!AF97,Planned!AF97,Reconductor!AF97,CTGS!AF97)</f>
        <v>191</v>
      </c>
      <c r="AG97" s="87">
        <f>SUM('Defect (Total)'!AG97,Planned!AG97,Reconductor!AG97,CTGS!AG97)</f>
        <v>316</v>
      </c>
      <c r="AH97" s="87">
        <f>SUM('Defect (Total)'!AH97,Planned!AH97,Reconductor!AH97,CTGS!AH97)</f>
        <v>323</v>
      </c>
      <c r="AI97" s="87">
        <f>SUM('Defect (Total)'!AI97,Planned!AI97,Reconductor!AI97,CTGS!AI97)</f>
        <v>324</v>
      </c>
      <c r="AJ97" s="87">
        <f>SUM('Defect (Total)'!AJ97,Planned!AJ97,Reconductor!AJ97,CTGS!AJ97)</f>
        <v>278</v>
      </c>
      <c r="AK97" s="88">
        <f t="shared" si="47"/>
        <v>267.2</v>
      </c>
      <c r="AL97" s="89">
        <f t="shared" si="34"/>
        <v>276.66666666666669</v>
      </c>
      <c r="AM97" s="90">
        <f t="shared" si="48"/>
        <v>323</v>
      </c>
      <c r="AN97" s="91">
        <f t="shared" si="35"/>
        <v>62686.482758620688</v>
      </c>
      <c r="AO97" s="92">
        <f t="shared" si="36"/>
        <v>13638.393794749403</v>
      </c>
      <c r="AP97" s="92">
        <f t="shared" si="37"/>
        <v>22902.681372549021</v>
      </c>
      <c r="AQ97" s="92">
        <f t="shared" si="38"/>
        <v>24206.724108005019</v>
      </c>
      <c r="AR97" s="92">
        <f t="shared" si="39"/>
        <v>23012.559471365639</v>
      </c>
      <c r="AS97" s="92">
        <f t="shared" si="40"/>
        <v>29035.706309245237</v>
      </c>
      <c r="AT97" s="92">
        <f t="shared" si="41"/>
        <v>33594.169231842898</v>
      </c>
      <c r="AU97" s="92">
        <f t="shared" si="42"/>
        <v>26709.462564366833</v>
      </c>
      <c r="AV97" s="92">
        <f t="shared" si="43"/>
        <v>25403.377834022693</v>
      </c>
      <c r="AW97" s="92">
        <f t="shared" si="50"/>
        <v>25901.96385665972</v>
      </c>
      <c r="AX97" s="92">
        <f t="shared" si="50"/>
        <v>29266.299791916405</v>
      </c>
      <c r="AY97" s="93">
        <f t="shared" si="32"/>
        <v>27603.046674004476</v>
      </c>
      <c r="AZ97" s="94">
        <f t="shared" si="45"/>
        <v>25999.706646196257</v>
      </c>
      <c r="BA97" s="95">
        <f t="shared" si="46"/>
        <v>25901.96385665972</v>
      </c>
      <c r="BB97" s="689">
        <f>SUM('Defect (Total)'!BB97,Planned!CE97,Reconductor!CE97,CTGS!CE97,'Substation 2025$'!CE97*$BL$1,Comms!CA97*$BL$2)</f>
        <v>310.26666666666671</v>
      </c>
      <c r="BC97" s="689">
        <f>SUM('Defect (Total)'!BC97,Planned!CF97,Reconductor!CF97,CTGS!CF97,'Substation 2025$'!CF97*$BL$1,Comms!CB97*$BL$2)</f>
        <v>295.72589182716797</v>
      </c>
      <c r="BD97" s="96">
        <f>SUM('Defect (Total)'!BD97,Planned!CG97,Reconductor!CG97,CTGS!CG97,'Substation 2025$'!CG97*$BL$1,Comms!CC97*$BL$2)</f>
        <v>298.72589182716797</v>
      </c>
      <c r="BE97" s="96">
        <f>SUM('Defect (Total)'!BE97,Planned!CH97,Reconductor!CH97,CTGS!CH97,'Substation 2025$'!CH97*$BL$1,Comms!CD97*$BL$2)</f>
        <v>198.38707472484677</v>
      </c>
      <c r="BF97" s="96">
        <f>SUM('Defect (Total)'!BF97,Planned!CI97,Reconductor!CI97,CTGS!CI97,'Substation 2025$'!CI97*$BL$1,Comms!CE97*$BL$2)</f>
        <v>201.3679431265459</v>
      </c>
      <c r="BG97" s="96">
        <f>SUM('Defect (Total)'!BG97,Planned!CJ97,Reconductor!CJ97,CTGS!CJ97,'Substation 2025$'!CJ97*$BL$1,Comms!CF97*$BL$2)</f>
        <v>218.02185539434529</v>
      </c>
      <c r="BH97" s="96">
        <f>SUM('Defect (Total)'!BH97,Planned!CK97,Reconductor!CK97,CTGS!CK97,'Substation 2025$'!CK97*$BL$1,Comms!CG97*$BL$2)</f>
        <v>217.67576766214472</v>
      </c>
      <c r="BI97" s="286">
        <f>SUM('Defect (Total)'!BI97,Planned!CL97,Reconductor!CL97,CTGS!CL97,'Substation 2025$'!CL97*$BL$1,Comms!CH97*$BL$2)</f>
        <v>201.00272379604442</v>
      </c>
      <c r="BJ97" s="99">
        <f t="shared" ref="BJ97:BJ132" si="51">IFERROR(SUM(BN97:BR97)/SUM(BE97:BI97),"")</f>
        <v>22099.444182521187</v>
      </c>
      <c r="BK97" s="992">
        <f>SUM('Defect (Total)'!BK97,Planned!CQ97,Reconductor!CQ97,CTGS!CQ97,'Substation 2025$'!CQ97*$BL$1,Comms!CM97*$BL$2)</f>
        <v>7752374.1536859479</v>
      </c>
      <c r="BL97" s="992">
        <f>SUM('Defect (Total)'!BL97,Planned!CR97,Reconductor!CR97,CTGS!CR97,'Substation 2025$'!CR97*$BL$1,Comms!CN97*$BL$2)</f>
        <v>7111298.5566409361</v>
      </c>
      <c r="BM97" s="524">
        <f>SUM('Defect (Total)'!BM97,Planned!CS97,Reconductor!CS97,CTGS!CS97,'Substation 2025$'!CS97*$BL$1,Comms!CO97*$BL$2)</f>
        <v>7255820.9103016574</v>
      </c>
      <c r="BN97" s="416">
        <f>SUM('Defect (Total)'!BN97,Planned!CT97,Reconductor!CT97,CTGS!CT97,'Substation 2025$'!CT97*$BL$1,Comms!CP97*$BL$2)</f>
        <v>4613356.9523353381</v>
      </c>
      <c r="BO97" s="97">
        <f>SUM('Defect (Total)'!BO97,Planned!CU97,Reconductor!CU97,CTGS!CU97,'Substation 2025$'!CU97*$BL$1,Comms!CQ97*$BL$2)</f>
        <v>4648936.1208044654</v>
      </c>
      <c r="BP97" s="97">
        <f>SUM('Defect (Total)'!BP97,Planned!CV97,Reconductor!CV97,CTGS!CV97,'Substation 2025$'!CV97*$BL$1,Comms!CR97*$BL$2)</f>
        <v>4571871.8704635175</v>
      </c>
      <c r="BQ97" s="97">
        <f>SUM('Defect (Total)'!BQ97,Planned!CW97,Reconductor!CW97,CTGS!CW97,'Substation 2025$'!CW97*$BL$1,Comms!CS97*$BL$2)</f>
        <v>4543484.3380451966</v>
      </c>
      <c r="BR97" s="98">
        <f>SUM('Defect (Total)'!BR97,Planned!CX97,Reconductor!CX97,CTGS!CX97,'Substation 2025$'!CX97*$BL$1,Comms!CT97*$BL$2)</f>
        <v>4527438.1983005647</v>
      </c>
    </row>
    <row r="98" spans="1:70" x14ac:dyDescent="0.25">
      <c r="A98" s="81" t="s">
        <v>196</v>
      </c>
      <c r="B98" s="82" t="s">
        <v>199</v>
      </c>
      <c r="C98" s="83" t="s">
        <v>389</v>
      </c>
      <c r="D98" s="84">
        <f>SUM('Defect (Total)'!D98,Planned!D98,Reconductor!D98,CTGS!D98)</f>
        <v>378710</v>
      </c>
      <c r="E98" s="85">
        <f>SUM('Defect (Total)'!E98,Planned!E98,Reconductor!E98,CTGS!E98)</f>
        <v>218775</v>
      </c>
      <c r="F98" s="85">
        <f>SUM('Defect (Total)'!F98,Planned!F98,Reconductor!F98,CTGS!F98)</f>
        <v>268964</v>
      </c>
      <c r="G98" s="85">
        <f>SUM('Defect (Total)'!G98,Planned!G98,Reconductor!G98,CTGS!G98)</f>
        <v>94919</v>
      </c>
      <c r="H98" s="85">
        <f>SUM('Defect (Total)'!H98,Planned!H98,Reconductor!H98,CTGS!H98)</f>
        <v>-17265</v>
      </c>
      <c r="I98" s="85">
        <f>SUM('Defect (Total)'!I98,Planned!I98,Reconductor!I98,CTGS!I98)</f>
        <v>95505.643745117995</v>
      </c>
      <c r="J98" s="85">
        <f>SUM('Defect (Total)'!J98,Planned!J98,Reconductor!J98,CTGS!J98)</f>
        <v>0</v>
      </c>
      <c r="K98" s="85">
        <f>SUM('Defect (Total)'!K98,Planned!K98,Reconductor!K98,CTGS!K98)</f>
        <v>7911.6376643140011</v>
      </c>
      <c r="L98" s="85">
        <f>SUM('Defect (Total)'!L98,Planned!L98,Reconductor!L98,CTGS!L98)</f>
        <v>11778.04</v>
      </c>
      <c r="M98" s="85">
        <f>SUM('Defect (Total)'!M98,Planned!M98,Reconductor!M98,CTGS!M98)</f>
        <v>0</v>
      </c>
      <c r="N98" s="85">
        <f>SUM('Defect (Total)'!N98,Planned!N98,Reconductor!N98,CTGS!N98)</f>
        <v>0</v>
      </c>
      <c r="O98" s="560">
        <f>SUM('Defect (Total)'!O98,Planned!O98,Reconductor!O98,CTGS!O98)</f>
        <v>509537.76264672267</v>
      </c>
      <c r="P98" s="561">
        <f>SUM('Defect (Total)'!P98,Planned!P98,Reconductor!P98,CTGS!P98)</f>
        <v>289971.15014162753</v>
      </c>
      <c r="Q98" s="561">
        <f>SUM('Defect (Total)'!Q98,Planned!Q98,Reconductor!Q98,CTGS!Q98)</f>
        <v>352882.31393368635</v>
      </c>
      <c r="R98" s="561">
        <f>SUM('Defect (Total)'!R98,Planned!R98,Reconductor!R98,CTGS!R98)</f>
        <v>122171.83477522356</v>
      </c>
      <c r="S98" s="561">
        <f>SUM('Defect (Total)'!S98,Planned!S98,Reconductor!S98,CTGS!S98)</f>
        <v>-21769.763052050035</v>
      </c>
      <c r="T98" s="561">
        <f>SUM('Defect (Total)'!T98,Planned!T98,Reconductor!T98,CTGS!T98)</f>
        <v>118536.66684553136</v>
      </c>
      <c r="U98" s="561">
        <f>SUM('Defect (Total)'!U98,Planned!U98,Reconductor!U98,CTGS!U98)</f>
        <v>0</v>
      </c>
      <c r="V98" s="561">
        <f>SUM('Defect (Total)'!V98,Planned!V98,Reconductor!V98,CTGS!V98)</f>
        <v>9488.8921727918823</v>
      </c>
      <c r="W98" s="561">
        <f>SUM('Defect (Total)'!W98,Planned!W98,Reconductor!W98,CTGS!W98)</f>
        <v>13308.3281588216</v>
      </c>
      <c r="X98" s="675">
        <f>SUM('Defect (Total)'!X98,Planned!X98,Reconductor!X98,CTGS!X98)</f>
        <v>0</v>
      </c>
      <c r="Y98" s="675">
        <f>SUM('Defect (Total)'!Y98,Planned!Y98,Reconductor!Y98,CTGS!Y98)</f>
        <v>0</v>
      </c>
      <c r="Z98" s="86">
        <f>SUM('Defect (Total)'!Z98,Planned!Z98,Reconductor!Z98,CTGS!Z98)</f>
        <v>9</v>
      </c>
      <c r="AA98" s="87">
        <f>SUM('Defect (Total)'!AA98,Planned!AA98,Reconductor!AA98,CTGS!AA98)</f>
        <v>5</v>
      </c>
      <c r="AB98" s="87">
        <f>SUM('Defect (Total)'!AB98,Planned!AB98,Reconductor!AB98,CTGS!AB98)</f>
        <v>5</v>
      </c>
      <c r="AC98" s="87">
        <f>SUM('Defect (Total)'!AC98,Planned!AC98,Reconductor!AC98,CTGS!AC98)</f>
        <v>2</v>
      </c>
      <c r="AD98" s="87">
        <f>SUM('Defect (Total)'!AD98,Planned!AD98,Reconductor!AD98,CTGS!AD98)</f>
        <v>-1</v>
      </c>
      <c r="AE98" s="87">
        <f>SUM('Defect (Total)'!AE98,Planned!AE98,Reconductor!AE98,CTGS!AE98)</f>
        <v>2</v>
      </c>
      <c r="AF98" s="87">
        <f>SUM('Defect (Total)'!AF98,Planned!AF98,Reconductor!AF98,CTGS!AF98)</f>
        <v>0</v>
      </c>
      <c r="AG98" s="87">
        <f>SUM('Defect (Total)'!AG98,Planned!AG98,Reconductor!AG98,CTGS!AG98)</f>
        <v>-1</v>
      </c>
      <c r="AH98" s="87">
        <f>SUM('Defect (Total)'!AH98,Planned!AH98,Reconductor!AH98,CTGS!AH98)</f>
        <v>1</v>
      </c>
      <c r="AI98" s="87">
        <f>SUM('Defect (Total)'!AI98,Planned!AI98,Reconductor!AI98,CTGS!AI98)</f>
        <v>0</v>
      </c>
      <c r="AJ98" s="87">
        <f>SUM('Defect (Total)'!AJ98,Planned!AJ98,Reconductor!AJ98,CTGS!AJ98)</f>
        <v>0</v>
      </c>
      <c r="AK98" s="88">
        <f t="shared" si="47"/>
        <v>0.2</v>
      </c>
      <c r="AL98" s="89">
        <f t="shared" si="34"/>
        <v>0</v>
      </c>
      <c r="AM98" s="90">
        <f t="shared" si="48"/>
        <v>1</v>
      </c>
      <c r="AN98" s="91">
        <f t="shared" si="35"/>
        <v>42078.888888888891</v>
      </c>
      <c r="AO98" s="92">
        <f t="shared" si="36"/>
        <v>43755</v>
      </c>
      <c r="AP98" s="92">
        <f t="shared" si="37"/>
        <v>53792.800000000003</v>
      </c>
      <c r="AQ98" s="92">
        <f t="shared" si="38"/>
        <v>47459.5</v>
      </c>
      <c r="AR98" s="92">
        <f t="shared" si="39"/>
        <v>17265</v>
      </c>
      <c r="AS98" s="92">
        <f t="shared" si="40"/>
        <v>47752.821872558998</v>
      </c>
      <c r="AT98" s="92" t="str">
        <f t="shared" si="41"/>
        <v/>
      </c>
      <c r="AU98" s="92">
        <f t="shared" si="42"/>
        <v>-7911.6376643140011</v>
      </c>
      <c r="AV98" s="92">
        <f t="shared" si="43"/>
        <v>11778.04</v>
      </c>
      <c r="AW98" s="92" t="str">
        <f t="shared" si="50"/>
        <v/>
      </c>
      <c r="AX98" s="92" t="str">
        <f t="shared" si="50"/>
        <v/>
      </c>
      <c r="AY98" s="93">
        <f t="shared" si="32"/>
        <v>57597.660704715992</v>
      </c>
      <c r="AZ98" s="94" t="str">
        <f t="shared" si="45"/>
        <v/>
      </c>
      <c r="BA98" s="95" t="str">
        <f t="shared" si="46"/>
        <v/>
      </c>
      <c r="BB98" s="689">
        <f>SUM('Defect (Total)'!BB98,Planned!CE98,Reconductor!CE98,CTGS!CE98,'Substation 2025$'!CE98*$BL$1,Comms!CA98*$BL$2)</f>
        <v>0.33333333333333331</v>
      </c>
      <c r="BC98" s="689">
        <f>SUM('Defect (Total)'!BC98,Planned!CF98,Reconductor!CF98,CTGS!CF98,'Substation 2025$'!CF98*$BL$1,Comms!CB98*$BL$2)</f>
        <v>1.3333333333333333</v>
      </c>
      <c r="BD98" s="96">
        <f>SUM('Defect (Total)'!BD98,Planned!CG98,Reconductor!CG98,CTGS!CG98,'Substation 2025$'!CG98*$BL$1,Comms!CC98*$BL$2)</f>
        <v>4.333333333333333</v>
      </c>
      <c r="BE98" s="96">
        <f>SUM('Defect (Total)'!BE98,Planned!CH98,Reconductor!CH98,CTGS!CH98,'Substation 2025$'!CH98*$BL$1,Comms!CD98*$BL$2)</f>
        <v>0.26783333333333331</v>
      </c>
      <c r="BF98" s="96">
        <f>SUM('Defect (Total)'!BF98,Planned!CI98,Reconductor!CI98,CTGS!CI98,'Substation 2025$'!CI98*$BL$1,Comms!CE98*$BL$2)</f>
        <v>51.267833333333336</v>
      </c>
      <c r="BG98" s="96">
        <f>SUM('Defect (Total)'!BG98,Planned!CJ98,Reconductor!CJ98,CTGS!CJ98,'Substation 2025$'!CJ98*$BL$1,Comms!CF98*$BL$2)</f>
        <v>26.267833333333332</v>
      </c>
      <c r="BH98" s="96">
        <f>SUM('Defect (Total)'!BH98,Planned!CK98,Reconductor!CK98,CTGS!CK98,'Substation 2025$'!CK98*$BL$1,Comms!CG98*$BL$2)</f>
        <v>15.267833333333334</v>
      </c>
      <c r="BI98" s="286">
        <f>SUM('Defect (Total)'!BI98,Planned!CL98,Reconductor!CL98,CTGS!CL98,'Substation 2025$'!CL98*$BL$1,Comms!CH98*$BL$2)</f>
        <v>45.267833333333336</v>
      </c>
      <c r="BJ98" s="99">
        <f t="shared" si="51"/>
        <v>199610.81570013781</v>
      </c>
      <c r="BK98" s="992">
        <f>SUM('Defect (Total)'!BK98,Planned!CQ98,Reconductor!CQ98,CTGS!CQ98,'Substation 2025$'!CQ98*$BL$1,Comms!CM98*$BL$2)</f>
        <v>1701027.2360768756</v>
      </c>
      <c r="BL98" s="992">
        <f>SUM('Defect (Total)'!BL98,Planned!CR98,Reconductor!CR98,CTGS!CR98,'Substation 2025$'!CR98*$BL$1,Comms!CN98*$BL$2)</f>
        <v>6185143.5745392339</v>
      </c>
      <c r="BM98" s="524">
        <f>SUM('Defect (Total)'!BM98,Planned!CS98,Reconductor!CS98,CTGS!CS98,'Substation 2025$'!CS98*$BL$1,Comms!CO98*$BL$2)</f>
        <v>6356931.4129623631</v>
      </c>
      <c r="BN98" s="416">
        <f>SUM('Defect (Total)'!BN98,Planned!CT98,Reconductor!CT98,CTGS!CT98,'Substation 2025$'!CT98*$BL$1,Comms!CP98*$BL$2)</f>
        <v>4897760.9928005589</v>
      </c>
      <c r="BO98" s="97">
        <f>SUM('Defect (Total)'!BO98,Planned!CU98,Reconductor!CU98,CTGS!CU98,'Substation 2025$'!CU98*$BL$1,Comms!CQ98*$BL$2)</f>
        <v>4542560.2433374114</v>
      </c>
      <c r="BP98" s="97">
        <f>SUM('Defect (Total)'!BP98,Planned!CV98,Reconductor!CV98,CTGS!CV98,'Substation 2025$'!CV98*$BL$1,Comms!CR98*$BL$2)</f>
        <v>5582354.9329734258</v>
      </c>
      <c r="BQ98" s="97">
        <f>SUM('Defect (Total)'!BQ98,Planned!CW98,Reconductor!CW98,CTGS!CW98,'Substation 2025$'!CW98*$BL$1,Comms!CS98*$BL$2)</f>
        <v>5289489.497383561</v>
      </c>
      <c r="BR98" s="98">
        <f>SUM('Defect (Total)'!BR98,Planned!CX98,Reconductor!CX98,CTGS!CX98,'Substation 2025$'!CX98*$BL$1,Comms!CT98*$BL$2)</f>
        <v>7301828.2351156939</v>
      </c>
    </row>
    <row r="99" spans="1:70" x14ac:dyDescent="0.25">
      <c r="A99" s="81" t="s">
        <v>196</v>
      </c>
      <c r="B99" s="82" t="s">
        <v>201</v>
      </c>
      <c r="C99" s="83" t="s">
        <v>390</v>
      </c>
      <c r="D99" s="84">
        <f>SUM('Defect (Total)'!D99,Planned!D99,Reconductor!D99,CTGS!D99)</f>
        <v>1927720</v>
      </c>
      <c r="E99" s="85">
        <f>SUM('Defect (Total)'!E99,Planned!E99,Reconductor!E99,CTGS!E99)</f>
        <v>3341057</v>
      </c>
      <c r="F99" s="85">
        <f>SUM('Defect (Total)'!F99,Planned!F99,Reconductor!F99,CTGS!F99)</f>
        <v>4938430</v>
      </c>
      <c r="G99" s="85">
        <f>SUM('Defect (Total)'!G99,Planned!G99,Reconductor!G99,CTGS!G99)</f>
        <v>3589486.1107919114</v>
      </c>
      <c r="H99" s="85">
        <f>SUM('Defect (Total)'!H99,Planned!H99,Reconductor!H99,CTGS!H99)</f>
        <v>4263595.9559755251</v>
      </c>
      <c r="I99" s="85">
        <f>SUM('Defect (Total)'!I99,Planned!I99,Reconductor!I99,CTGS!I99)</f>
        <v>5087953.1400068859</v>
      </c>
      <c r="J99" s="85">
        <f>SUM('Defect (Total)'!J99,Planned!J99,Reconductor!J99,CTGS!J99)</f>
        <v>7135347.7413419923</v>
      </c>
      <c r="K99" s="85">
        <f>SUM('Defect (Total)'!K99,Planned!K99,Reconductor!K99,CTGS!K99)</f>
        <v>6251305.9239517888</v>
      </c>
      <c r="L99" s="85">
        <f>SUM('Defect (Total)'!L99,Planned!L99,Reconductor!L99,CTGS!L99)</f>
        <v>6479710.6673518447</v>
      </c>
      <c r="M99" s="85">
        <f>SUM('Defect (Total)'!M99,Planned!M99,Reconductor!M99,CTGS!M99)</f>
        <v>9296828.6215838734</v>
      </c>
      <c r="N99" s="85">
        <f>SUM('Defect (Total)'!N99,Planned!N99,Reconductor!N99,CTGS!N99)</f>
        <v>10680511.956582388</v>
      </c>
      <c r="O99" s="560">
        <f>SUM('Defect (Total)'!O99,Planned!O99,Reconductor!O99,CTGS!O99)</f>
        <v>2593663.0556609021</v>
      </c>
      <c r="P99" s="561">
        <f>SUM('Defect (Total)'!P99,Planned!P99,Reconductor!P99,CTGS!P99)</f>
        <v>4428340.2627299083</v>
      </c>
      <c r="Q99" s="561">
        <f>SUM('Defect (Total)'!Q99,Planned!Q99,Reconductor!Q99,CTGS!Q99)</f>
        <v>6479248.5447849333</v>
      </c>
      <c r="R99" s="561">
        <f>SUM('Defect (Total)'!R99,Planned!R99,Reconductor!R99,CTGS!R99)</f>
        <v>4620087.6964109307</v>
      </c>
      <c r="S99" s="561">
        <f>SUM('Defect (Total)'!S99,Planned!S99,Reconductor!S99,CTGS!S99)</f>
        <v>5376048.2890973613</v>
      </c>
      <c r="T99" s="561">
        <f>SUM('Defect (Total)'!T99,Planned!T99,Reconductor!T99,CTGS!T99)</f>
        <v>6314904.3620105544</v>
      </c>
      <c r="U99" s="561">
        <f>SUM('Defect (Total)'!U99,Planned!U99,Reconductor!U99,CTGS!U99)</f>
        <v>8886989.8008008134</v>
      </c>
      <c r="V99" s="561">
        <f>SUM('Defect (Total)'!V99,Planned!V99,Reconductor!V99,CTGS!V99)</f>
        <v>7497558.7063436359</v>
      </c>
      <c r="W99" s="561">
        <f>SUM('Defect (Total)'!W99,Planned!W99,Reconductor!W99,CTGS!W99)</f>
        <v>7321601.5513052465</v>
      </c>
      <c r="X99" s="675">
        <f>SUM('Defect (Total)'!X99,Planned!X99,Reconductor!X99,CTGS!X99)</f>
        <v>9886813.9756290801</v>
      </c>
      <c r="Y99" s="675">
        <f>SUM('Defect (Total)'!Y99,Planned!Y99,Reconductor!Y99,CTGS!Y99)</f>
        <v>10974209.793705119</v>
      </c>
      <c r="Z99" s="86">
        <f>SUM('Defect (Total)'!Z99,Planned!Z99,Reconductor!Z99,CTGS!Z99)</f>
        <v>497</v>
      </c>
      <c r="AA99" s="87">
        <f>SUM('Defect (Total)'!AA99,Planned!AA99,Reconductor!AA99,CTGS!AA99)</f>
        <v>668</v>
      </c>
      <c r="AB99" s="87">
        <f>SUM('Defect (Total)'!AB99,Planned!AB99,Reconductor!AB99,CTGS!AB99)</f>
        <v>621</v>
      </c>
      <c r="AC99" s="87">
        <f>SUM('Defect (Total)'!AC99,Planned!AC99,Reconductor!AC99,CTGS!AC99)</f>
        <v>642</v>
      </c>
      <c r="AD99" s="87">
        <f>SUM('Defect (Total)'!AD99,Planned!AD99,Reconductor!AD99,CTGS!AD99)</f>
        <v>854</v>
      </c>
      <c r="AE99" s="87">
        <f>SUM('Defect (Total)'!AE99,Planned!AE99,Reconductor!AE99,CTGS!AE99)</f>
        <v>1147</v>
      </c>
      <c r="AF99" s="87">
        <f>SUM('Defect (Total)'!AF99,Planned!AF99,Reconductor!AF99,CTGS!AF99)</f>
        <v>1122</v>
      </c>
      <c r="AG99" s="87">
        <f>SUM('Defect (Total)'!AG99,Planned!AG99,Reconductor!AG99,CTGS!AG99)</f>
        <v>1155</v>
      </c>
      <c r="AH99" s="87">
        <f>SUM('Defect (Total)'!AH99,Planned!AH99,Reconductor!AH99,CTGS!AH99)</f>
        <v>1337</v>
      </c>
      <c r="AI99" s="87">
        <f>SUM('Defect (Total)'!AI99,Planned!AI99,Reconductor!AI99,CTGS!AI99)</f>
        <v>1576</v>
      </c>
      <c r="AJ99" s="87">
        <f>SUM('Defect (Total)'!AJ99,Planned!AJ99,Reconductor!AJ99,CTGS!AJ99)</f>
        <v>1460.000999999</v>
      </c>
      <c r="AK99" s="88">
        <f t="shared" si="47"/>
        <v>1123</v>
      </c>
      <c r="AL99" s="89">
        <f t="shared" si="34"/>
        <v>1204.6666666666667</v>
      </c>
      <c r="AM99" s="90">
        <f t="shared" si="48"/>
        <v>1337</v>
      </c>
      <c r="AN99" s="91">
        <f t="shared" si="35"/>
        <v>3878.712273641851</v>
      </c>
      <c r="AO99" s="92">
        <f t="shared" si="36"/>
        <v>5001.5823353293417</v>
      </c>
      <c r="AP99" s="92">
        <f t="shared" si="37"/>
        <v>7952.3832528180355</v>
      </c>
      <c r="AQ99" s="92">
        <f t="shared" si="38"/>
        <v>5591.0998610465913</v>
      </c>
      <c r="AR99" s="92">
        <f t="shared" si="39"/>
        <v>4992.5011194092804</v>
      </c>
      <c r="AS99" s="92">
        <f t="shared" si="40"/>
        <v>4435.8789363617143</v>
      </c>
      <c r="AT99" s="92">
        <f t="shared" si="41"/>
        <v>6359.4899655454474</v>
      </c>
      <c r="AU99" s="92">
        <f t="shared" si="42"/>
        <v>5412.3860813435404</v>
      </c>
      <c r="AV99" s="92">
        <f t="shared" si="43"/>
        <v>4846.4552485802878</v>
      </c>
      <c r="AW99" s="92">
        <f t="shared" si="50"/>
        <v>5899.0029324770767</v>
      </c>
      <c r="AX99" s="92">
        <f t="shared" si="50"/>
        <v>7315.414137791483</v>
      </c>
      <c r="AY99" s="93">
        <f t="shared" si="32"/>
        <v>5404.94651952602</v>
      </c>
      <c r="AZ99" s="94">
        <f t="shared" si="45"/>
        <v>5414.9078694413738</v>
      </c>
      <c r="BA99" s="95">
        <f t="shared" si="46"/>
        <v>5899.0029324770767</v>
      </c>
      <c r="BB99" s="689">
        <f>SUM('Defect (Total)'!BB99,Planned!CE99,Reconductor!CE99,CTGS!CE99,'Substation 2025$'!CE99*$BL$1,Comms!CA99*$BL$2)</f>
        <v>1372.2</v>
      </c>
      <c r="BC99" s="689">
        <f>SUM('Defect (Total)'!BC99,Planned!CF99,Reconductor!CF99,CTGS!CF99,'Substation 2025$'!CF99*$BL$1,Comms!CB99*$BL$2)</f>
        <v>1288.5158077008812</v>
      </c>
      <c r="BD99" s="96">
        <f>SUM('Defect (Total)'!BD99,Planned!CG99,Reconductor!CG99,CTGS!CG99,'Substation 2025$'!CG99*$BL$1,Comms!CC99*$BL$2)</f>
        <v>1288.5158077008812</v>
      </c>
      <c r="BE99" s="96">
        <f>SUM('Defect (Total)'!BE99,Planned!CH99,Reconductor!CH99,CTGS!CH99,'Substation 2025$'!CH99*$BL$1,Comms!CD99*$BL$2)</f>
        <v>650.47326195690448</v>
      </c>
      <c r="BF99" s="96">
        <f>SUM('Defect (Total)'!BF99,Planned!CI99,Reconductor!CI99,CTGS!CI99,'Substation 2025$'!CI99*$BL$1,Comms!CE99*$BL$2)</f>
        <v>643.15704403460745</v>
      </c>
      <c r="BG99" s="96">
        <f>SUM('Defect (Total)'!BG99,Planned!CJ99,Reconductor!CJ99,CTGS!CJ99,'Substation 2025$'!CJ99*$BL$1,Comms!CF99*$BL$2)</f>
        <v>653.94623208640928</v>
      </c>
      <c r="BH99" s="96">
        <f>SUM('Defect (Total)'!BH99,Planned!CK99,Reconductor!CK99,CTGS!CK99,'Substation 2025$'!CK99*$BL$1,Comms!CG99*$BL$2)</f>
        <v>651.73542013821134</v>
      </c>
      <c r="BI99" s="286">
        <f>SUM('Defect (Total)'!BI99,Planned!CL99,Reconductor!CL99,CTGS!CL99,'Substation 2025$'!CL99*$BL$1,Comms!CH99*$BL$2)</f>
        <v>672.63001416411225</v>
      </c>
      <c r="BJ99" s="99">
        <f t="shared" si="51"/>
        <v>5139.4129160871335</v>
      </c>
      <c r="BK99" s="992">
        <f>SUM('Defect (Total)'!BK99,Planned!CQ99,Reconductor!CQ99,CTGS!CQ99,'Substation 2025$'!CQ99*$BL$1,Comms!CM99*$BL$2)</f>
        <v>6952127.7839025958</v>
      </c>
      <c r="BL99" s="992">
        <f>SUM('Defect (Total)'!BL99,Planned!CR99,Reconductor!CR99,CTGS!CR99,'Substation 2025$'!CR99*$BL$1,Comms!CN99*$BL$2)</f>
        <v>6723272.3580042981</v>
      </c>
      <c r="BM99" s="524">
        <f>SUM('Defect (Total)'!BM99,Planned!CS99,Reconductor!CS99,CTGS!CS99,'Substation 2025$'!CS99*$BL$1,Comms!CO99*$BL$2)</f>
        <v>6645585.2889118493</v>
      </c>
      <c r="BN99" s="416">
        <f>SUM('Defect (Total)'!BN99,Planned!CT99,Reconductor!CT99,CTGS!CT99,'Substation 2025$'!CT99*$BL$1,Comms!CP99*$BL$2)</f>
        <v>3268299.2905497379</v>
      </c>
      <c r="BO99" s="97">
        <f>SUM('Defect (Total)'!BO99,Planned!CU99,Reconductor!CU99,CTGS!CU99,'Substation 2025$'!CU99*$BL$1,Comms!CQ99*$BL$2)</f>
        <v>3296227.2494997433</v>
      </c>
      <c r="BP99" s="97">
        <f>SUM('Defect (Total)'!BP99,Planned!CV99,Reconductor!CV99,CTGS!CV99,'Substation 2025$'!CV99*$BL$1,Comms!CR99*$BL$2)</f>
        <v>3377376.9704209464</v>
      </c>
      <c r="BQ99" s="97">
        <f>SUM('Defect (Total)'!BQ99,Planned!CW99,Reconductor!CW99,CTGS!CW99,'Substation 2025$'!CW99*$BL$1,Comms!CS99*$BL$2)</f>
        <v>3439038.2264334988</v>
      </c>
      <c r="BR99" s="98">
        <f>SUM('Defect (Total)'!BR99,Planned!CX99,Reconductor!CX99,CTGS!CX99,'Substation 2025$'!CX99*$BL$1,Comms!CT99*$BL$2)</f>
        <v>3434919.0966347139</v>
      </c>
    </row>
    <row r="100" spans="1:70" x14ac:dyDescent="0.25">
      <c r="A100" s="81" t="s">
        <v>196</v>
      </c>
      <c r="B100" s="82" t="s">
        <v>203</v>
      </c>
      <c r="C100" s="83" t="s">
        <v>391</v>
      </c>
      <c r="D100" s="84">
        <f>SUM('Defect (Total)'!D100,Planned!D100,Reconductor!D100,CTGS!D100)</f>
        <v>408973</v>
      </c>
      <c r="E100" s="85">
        <f>SUM('Defect (Total)'!E100,Planned!E100,Reconductor!E100,CTGS!E100)</f>
        <v>781179</v>
      </c>
      <c r="F100" s="85">
        <f>SUM('Defect (Total)'!F100,Planned!F100,Reconductor!F100,CTGS!F100)</f>
        <v>966856</v>
      </c>
      <c r="G100" s="85">
        <f>SUM('Defect (Total)'!G100,Planned!G100,Reconductor!G100,CTGS!G100)</f>
        <v>578299</v>
      </c>
      <c r="H100" s="85">
        <f>SUM('Defect (Total)'!H100,Planned!H100,Reconductor!H100,CTGS!H100)</f>
        <v>754406</v>
      </c>
      <c r="I100" s="85">
        <f>SUM('Defect (Total)'!I100,Planned!I100,Reconductor!I100,CTGS!I100)</f>
        <v>736071.574462877</v>
      </c>
      <c r="J100" s="85">
        <f>SUM('Defect (Total)'!J100,Planned!J100,Reconductor!J100,CTGS!J100)</f>
        <v>1806543.8950696508</v>
      </c>
      <c r="K100" s="85">
        <f>SUM('Defect (Total)'!K100,Planned!K100,Reconductor!K100,CTGS!K100)</f>
        <v>1089619.2208482549</v>
      </c>
      <c r="L100" s="85">
        <f>SUM('Defect (Total)'!L100,Planned!L100,Reconductor!L100,CTGS!L100)</f>
        <v>1175358.6228021632</v>
      </c>
      <c r="M100" s="85">
        <f>SUM('Defect (Total)'!M100,Planned!M100,Reconductor!M100,CTGS!M100)</f>
        <v>1184392.55431418</v>
      </c>
      <c r="N100" s="85">
        <f>SUM('Defect (Total)'!N100,Planned!N100,Reconductor!N100,CTGS!N100)</f>
        <v>521024.84499668929</v>
      </c>
      <c r="O100" s="560">
        <f>SUM('Defect (Total)'!O100,Planned!O100,Reconductor!O100,CTGS!O100)</f>
        <v>550255.30723487132</v>
      </c>
      <c r="P100" s="561">
        <f>SUM('Defect (Total)'!P100,Planned!P100,Reconductor!P100,CTGS!P100)</f>
        <v>1035398.8028636108</v>
      </c>
      <c r="Q100" s="561">
        <f>SUM('Defect (Total)'!Q100,Planned!Q100,Reconductor!Q100,CTGS!Q100)</f>
        <v>1268520.6292316751</v>
      </c>
      <c r="R100" s="561">
        <f>SUM('Defect (Total)'!R100,Planned!R100,Reconductor!R100,CTGS!R100)</f>
        <v>744338.3292984229</v>
      </c>
      <c r="S100" s="561">
        <f>SUM('Defect (Total)'!S100,Planned!S100,Reconductor!S100,CTGS!S100)</f>
        <v>951244.70692411577</v>
      </c>
      <c r="T100" s="561">
        <f>SUM('Defect (Total)'!T100,Planned!T100,Reconductor!T100,CTGS!T100)</f>
        <v>913573.9792448848</v>
      </c>
      <c r="U100" s="561">
        <f>SUM('Defect (Total)'!U100,Planned!U100,Reconductor!U100,CTGS!U100)</f>
        <v>2250028.6954709012</v>
      </c>
      <c r="V100" s="561">
        <f>SUM('Defect (Total)'!V100,Planned!V100,Reconductor!V100,CTGS!V100)</f>
        <v>1306844.3898368401</v>
      </c>
      <c r="W100" s="561">
        <f>SUM('Defect (Total)'!W100,Planned!W100,Reconductor!W100,CTGS!W100)</f>
        <v>1328069.7175889877</v>
      </c>
      <c r="X100" s="675">
        <f>SUM('Defect (Total)'!X100,Planned!X100,Reconductor!X100,CTGS!X100)</f>
        <v>1259555.2026675399</v>
      </c>
      <c r="Y100" s="675">
        <f>SUM('Defect (Total)'!Y100,Planned!Y100,Reconductor!Y100,CTGS!Y100)</f>
        <v>535352.23591997055</v>
      </c>
      <c r="Z100" s="86">
        <f>SUM('Defect (Total)'!Z100,Planned!Z100,Reconductor!Z100,CTGS!Z100)</f>
        <v>25</v>
      </c>
      <c r="AA100" s="87">
        <f>SUM('Defect (Total)'!AA100,Planned!AA100,Reconductor!AA100,CTGS!AA100)</f>
        <v>50</v>
      </c>
      <c r="AB100" s="87">
        <f>SUM('Defect (Total)'!AB100,Planned!AB100,Reconductor!AB100,CTGS!AB100)</f>
        <v>47</v>
      </c>
      <c r="AC100" s="87">
        <f>SUM('Defect (Total)'!AC100,Planned!AC100,Reconductor!AC100,CTGS!AC100)</f>
        <v>32</v>
      </c>
      <c r="AD100" s="87">
        <f>SUM('Defect (Total)'!AD100,Planned!AD100,Reconductor!AD100,CTGS!AD100)</f>
        <v>42</v>
      </c>
      <c r="AE100" s="87">
        <f>SUM('Defect (Total)'!AE100,Planned!AE100,Reconductor!AE100,CTGS!AE100)</f>
        <v>40</v>
      </c>
      <c r="AF100" s="87">
        <f>SUM('Defect (Total)'!AF100,Planned!AF100,Reconductor!AF100,CTGS!AF100)</f>
        <v>23</v>
      </c>
      <c r="AG100" s="87">
        <f>SUM('Defect (Total)'!AG100,Planned!AG100,Reconductor!AG100,CTGS!AG100)</f>
        <v>48</v>
      </c>
      <c r="AH100" s="87">
        <f>SUM('Defect (Total)'!AH100,Planned!AH100,Reconductor!AH100,CTGS!AH100)</f>
        <v>55</v>
      </c>
      <c r="AI100" s="87">
        <f>SUM('Defect (Total)'!AI100,Planned!AI100,Reconductor!AI100,CTGS!AI100)</f>
        <v>47</v>
      </c>
      <c r="AJ100" s="87">
        <f>SUM('Defect (Total)'!AJ100,Planned!AJ100,Reconductor!AJ100,CTGS!AJ100)</f>
        <v>22</v>
      </c>
      <c r="AK100" s="88">
        <f t="shared" si="47"/>
        <v>41.6</v>
      </c>
      <c r="AL100" s="89">
        <f t="shared" si="34"/>
        <v>42</v>
      </c>
      <c r="AM100" s="90">
        <f t="shared" si="48"/>
        <v>55</v>
      </c>
      <c r="AN100" s="91">
        <f t="shared" si="35"/>
        <v>16358.92</v>
      </c>
      <c r="AO100" s="92">
        <f t="shared" si="36"/>
        <v>15623.58</v>
      </c>
      <c r="AP100" s="92">
        <f t="shared" si="37"/>
        <v>20571.40425531915</v>
      </c>
      <c r="AQ100" s="92">
        <f t="shared" si="38"/>
        <v>18071.84375</v>
      </c>
      <c r="AR100" s="92">
        <f t="shared" si="39"/>
        <v>17962.047619047618</v>
      </c>
      <c r="AS100" s="92">
        <f t="shared" si="40"/>
        <v>18401.789361571926</v>
      </c>
      <c r="AT100" s="92">
        <f t="shared" si="41"/>
        <v>78545.386742158735</v>
      </c>
      <c r="AU100" s="92">
        <f t="shared" si="42"/>
        <v>22700.400434338644</v>
      </c>
      <c r="AV100" s="92">
        <f t="shared" si="43"/>
        <v>21370.15677822115</v>
      </c>
      <c r="AW100" s="92">
        <f t="shared" si="50"/>
        <v>25199.841581152767</v>
      </c>
      <c r="AX100" s="92">
        <f t="shared" si="50"/>
        <v>23682.947499849513</v>
      </c>
      <c r="AY100" s="93">
        <f t="shared" si="32"/>
        <v>28131.389049282283</v>
      </c>
      <c r="AZ100" s="94">
        <f t="shared" si="45"/>
        <v>22995.802653097326</v>
      </c>
      <c r="BA100" s="95">
        <f t="shared" si="46"/>
        <v>25199.841581152767</v>
      </c>
      <c r="BB100" s="689">
        <f>SUM('Defect (Total)'!BB100,Planned!CE100,Reconductor!CE100,CTGS!CE100,'Substation 2025$'!CE100*$BL$1,Comms!CA100*$BL$2)</f>
        <v>47.199999999999996</v>
      </c>
      <c r="BC100" s="689">
        <f>SUM('Defect (Total)'!BC100,Planned!CF100,Reconductor!CF100,CTGS!CF100,'Substation 2025$'!CF100*$BL$1,Comms!CB100*$BL$2)</f>
        <v>45.86666666666666</v>
      </c>
      <c r="BD100" s="96">
        <f>SUM('Defect (Total)'!BD100,Planned!CG100,Reconductor!CG100,CTGS!CG100,'Substation 2025$'!CG100*$BL$1,Comms!CC100*$BL$2)</f>
        <v>45.86666666666666</v>
      </c>
      <c r="BE100" s="96">
        <f>SUM('Defect (Total)'!BE100,Planned!CH100,Reconductor!CH100,CTGS!CH100,'Substation 2025$'!CH100*$BL$1,Comms!CD100*$BL$2)</f>
        <v>45.617309523806668</v>
      </c>
      <c r="BF100" s="96">
        <f>SUM('Defect (Total)'!BF100,Planned!CI100,Reconductor!CI100,CTGS!CI100,'Substation 2025$'!CI100*$BL$1,Comms!CE100*$BL$2)</f>
        <v>38.617309523806668</v>
      </c>
      <c r="BG100" s="96">
        <f>SUM('Defect (Total)'!BG100,Planned!CJ100,Reconductor!CJ100,CTGS!CJ100,'Substation 2025$'!CJ100*$BL$1,Comms!CF100*$BL$2)</f>
        <v>38.617309523806668</v>
      </c>
      <c r="BH100" s="96">
        <f>SUM('Defect (Total)'!BH100,Planned!CK100,Reconductor!CK100,CTGS!CK100,'Substation 2025$'!CK100*$BL$1,Comms!CG100*$BL$2)</f>
        <v>41.617309523806668</v>
      </c>
      <c r="BI100" s="286">
        <f>SUM('Defect (Total)'!BI100,Planned!CL100,Reconductor!CL100,CTGS!CL100,'Substation 2025$'!CL100*$BL$1,Comms!CH100*$BL$2)</f>
        <v>38.617309523806668</v>
      </c>
      <c r="BJ100" s="99">
        <f t="shared" si="51"/>
        <v>23240.999514929943</v>
      </c>
      <c r="BK100" s="992">
        <f>SUM('Defect (Total)'!BK100,Planned!CQ100,Reconductor!CQ100,CTGS!CQ100,'Substation 2025$'!CQ100*$BL$1,Comms!CM100*$BL$2)</f>
        <v>1285911.0439233119</v>
      </c>
      <c r="BL100" s="992">
        <f>SUM('Defect (Total)'!BL100,Planned!CR100,Reconductor!CR100,CTGS!CR100,'Substation 2025$'!CR100*$BL$1,Comms!CN100*$BL$2)</f>
        <v>2219006.882434946</v>
      </c>
      <c r="BM100" s="524">
        <f>SUM('Defect (Total)'!BM100,Planned!CS100,Reconductor!CS100,CTGS!CS100,'Substation 2025$'!CS100*$BL$1,Comms!CO100*$BL$2)</f>
        <v>1267446.2069579395</v>
      </c>
      <c r="BN100" s="416">
        <f>SUM('Defect (Total)'!BN100,Planned!CT100,Reconductor!CT100,CTGS!CT100,'Substation 2025$'!CT100*$BL$1,Comms!CP100*$BL$2)</f>
        <v>840400.46054671332</v>
      </c>
      <c r="BO100" s="97">
        <f>SUM('Defect (Total)'!BO100,Planned!CU100,Reconductor!CU100,CTGS!CU100,'Substation 2025$'!CU100*$BL$1,Comms!CQ100*$BL$2)</f>
        <v>884436.91469470295</v>
      </c>
      <c r="BP100" s="97">
        <f>SUM('Defect (Total)'!BP100,Planned!CV100,Reconductor!CV100,CTGS!CV100,'Substation 2025$'!CV100*$BL$1,Comms!CR100*$BL$2)</f>
        <v>1150320.5712415583</v>
      </c>
      <c r="BQ100" s="97">
        <f>SUM('Defect (Total)'!BQ100,Planned!CW100,Reconductor!CW100,CTGS!CW100,'Substation 2025$'!CW100*$BL$1,Comms!CS100*$BL$2)</f>
        <v>1005784.361241471</v>
      </c>
      <c r="BR100" s="98">
        <f>SUM('Defect (Total)'!BR100,Planned!CX100,Reconductor!CX100,CTGS!CX100,'Substation 2025$'!CX100*$BL$1,Comms!CT100*$BL$2)</f>
        <v>838992.04697830556</v>
      </c>
    </row>
    <row r="101" spans="1:70" x14ac:dyDescent="0.25">
      <c r="A101" s="81" t="s">
        <v>196</v>
      </c>
      <c r="B101" s="82" t="s">
        <v>205</v>
      </c>
      <c r="C101" s="83" t="s">
        <v>206</v>
      </c>
      <c r="D101" s="84">
        <f>SUM('Defect (Total)'!D101,Planned!D101,Reconductor!D101,CTGS!D101)</f>
        <v>36149</v>
      </c>
      <c r="E101" s="85">
        <f>SUM('Defect (Total)'!E101,Planned!E101,Reconductor!E101,CTGS!E101)</f>
        <v>21796</v>
      </c>
      <c r="F101" s="85">
        <f>SUM('Defect (Total)'!F101,Planned!F101,Reconductor!F101,CTGS!F101)</f>
        <v>181589</v>
      </c>
      <c r="G101" s="85">
        <f>SUM('Defect (Total)'!G101,Planned!G101,Reconductor!G101,CTGS!G101)</f>
        <v>362603.49423200655</v>
      </c>
      <c r="H101" s="85">
        <f>SUM('Defect (Total)'!H101,Planned!H101,Reconductor!H101,CTGS!H101)</f>
        <v>83026</v>
      </c>
      <c r="I101" s="85">
        <f>SUM('Defect (Total)'!I101,Planned!I101,Reconductor!I101,CTGS!I101)</f>
        <v>112441.8481748459</v>
      </c>
      <c r="J101" s="85">
        <f>SUM('Defect (Total)'!J101,Planned!J101,Reconductor!J101,CTGS!J101)</f>
        <v>608415.03429043898</v>
      </c>
      <c r="K101" s="85">
        <f>SUM('Defect (Total)'!K101,Planned!K101,Reconductor!K101,CTGS!K101)</f>
        <v>67015.694254380011</v>
      </c>
      <c r="L101" s="85">
        <f>SUM('Defect (Total)'!L101,Planned!L101,Reconductor!L101,CTGS!L101)</f>
        <v>584176.28519701248</v>
      </c>
      <c r="M101" s="85">
        <f>SUM('Defect (Total)'!M101,Planned!M101,Reconductor!M101,CTGS!M101)</f>
        <v>182061.47302960342</v>
      </c>
      <c r="N101" s="85">
        <f>SUM('Defect (Total)'!N101,Planned!N101,Reconductor!N101,CTGS!N101)</f>
        <v>401430.88003524259</v>
      </c>
      <c r="O101" s="560">
        <f>SUM('Defect (Total)'!O101,Planned!O101,Reconductor!O101,CTGS!O101)</f>
        <v>48636.90048299855</v>
      </c>
      <c r="P101" s="561">
        <f>SUM('Defect (Total)'!P101,Planned!P101,Reconductor!P101,CTGS!P101)</f>
        <v>28889.092393952291</v>
      </c>
      <c r="Q101" s="561">
        <f>SUM('Defect (Total)'!Q101,Planned!Q101,Reconductor!Q101,CTGS!Q101)</f>
        <v>238245.81172537652</v>
      </c>
      <c r="R101" s="561">
        <f>SUM('Defect (Total)'!R101,Planned!R101,Reconductor!R101,CTGS!R101)</f>
        <v>466713.03096568055</v>
      </c>
      <c r="S101" s="561">
        <f>SUM('Defect (Total)'!S101,Planned!S101,Reconductor!S101,CTGS!S101)</f>
        <v>104689.04414477303</v>
      </c>
      <c r="T101" s="561">
        <f>SUM('Defect (Total)'!T101,Planned!T101,Reconductor!T101,CTGS!T101)</f>
        <v>139557.0080881094</v>
      </c>
      <c r="U101" s="561">
        <f>SUM('Defect (Total)'!U101,Planned!U101,Reconductor!U101,CTGS!U101)</f>
        <v>757773.60829453892</v>
      </c>
      <c r="V101" s="561">
        <f>SUM('Defect (Total)'!V101,Planned!V101,Reconductor!V101,CTGS!V101)</f>
        <v>80375.861944852863</v>
      </c>
      <c r="W101" s="561">
        <f>SUM('Defect (Total)'!W101,Planned!W101,Reconductor!W101,CTGS!W101)</f>
        <v>660076.69408519566</v>
      </c>
      <c r="X101" s="675">
        <f>SUM('Defect (Total)'!X101,Planned!X101,Reconductor!X101,CTGS!X101)</f>
        <v>193615.26271375304</v>
      </c>
      <c r="Y101" s="675">
        <f>SUM('Defect (Total)'!Y101,Planned!Y101,Reconductor!Y101,CTGS!Y101)</f>
        <v>412469.61878670903</v>
      </c>
      <c r="Z101" s="86">
        <f>SUM('Defect (Total)'!Z101,Planned!Z101,Reconductor!Z101,CTGS!Z101)</f>
        <v>3</v>
      </c>
      <c r="AA101" s="87">
        <f>SUM('Defect (Total)'!AA101,Planned!AA101,Reconductor!AA101,CTGS!AA101)</f>
        <v>8</v>
      </c>
      <c r="AB101" s="87">
        <f>SUM('Defect (Total)'!AB101,Planned!AB101,Reconductor!AB101,CTGS!AB101)</f>
        <v>44</v>
      </c>
      <c r="AC101" s="87">
        <f>SUM('Defect (Total)'!AC101,Planned!AC101,Reconductor!AC101,CTGS!AC101)</f>
        <v>34</v>
      </c>
      <c r="AD101" s="87">
        <f>SUM('Defect (Total)'!AD101,Planned!AD101,Reconductor!AD101,CTGS!AD101)</f>
        <v>20</v>
      </c>
      <c r="AE101" s="87">
        <f>SUM('Defect (Total)'!AE101,Planned!AE101,Reconductor!AE101,CTGS!AE101)</f>
        <v>25</v>
      </c>
      <c r="AF101" s="87">
        <f>SUM('Defect (Total)'!AF101,Planned!AF101,Reconductor!AF101,CTGS!AF101)</f>
        <v>34</v>
      </c>
      <c r="AG101" s="87">
        <f>SUM('Defect (Total)'!AG101,Planned!AG101,Reconductor!AG101,CTGS!AG101)</f>
        <v>19</v>
      </c>
      <c r="AH101" s="87">
        <f>SUM('Defect (Total)'!AH101,Planned!AH101,Reconductor!AH101,CTGS!AH101)</f>
        <v>43</v>
      </c>
      <c r="AI101" s="87">
        <f>SUM('Defect (Total)'!AI101,Planned!AI101,Reconductor!AI101,CTGS!AI101)</f>
        <v>39</v>
      </c>
      <c r="AJ101" s="87">
        <f>SUM('Defect (Total)'!AJ101,Planned!AJ101,Reconductor!AJ101,CTGS!AJ101)</f>
        <v>44</v>
      </c>
      <c r="AK101" s="88">
        <f t="shared" si="47"/>
        <v>28.2</v>
      </c>
      <c r="AL101" s="89">
        <f t="shared" si="34"/>
        <v>32</v>
      </c>
      <c r="AM101" s="90">
        <f t="shared" si="48"/>
        <v>43</v>
      </c>
      <c r="AN101" s="91">
        <f t="shared" si="35"/>
        <v>12049.666666666666</v>
      </c>
      <c r="AO101" s="92">
        <f t="shared" si="36"/>
        <v>2724.5</v>
      </c>
      <c r="AP101" s="92">
        <f t="shared" si="37"/>
        <v>4127.022727272727</v>
      </c>
      <c r="AQ101" s="92">
        <f t="shared" si="38"/>
        <v>10664.808653882545</v>
      </c>
      <c r="AR101" s="92">
        <f t="shared" si="39"/>
        <v>4151.3</v>
      </c>
      <c r="AS101" s="92">
        <f t="shared" si="40"/>
        <v>4497.6739269938362</v>
      </c>
      <c r="AT101" s="92">
        <f t="shared" si="41"/>
        <v>17894.559832071736</v>
      </c>
      <c r="AU101" s="92">
        <f t="shared" si="42"/>
        <v>3527.141802862106</v>
      </c>
      <c r="AV101" s="92">
        <f t="shared" si="43"/>
        <v>13585.495004581686</v>
      </c>
      <c r="AW101" s="92">
        <f t="shared" si="50"/>
        <v>4668.2428981949597</v>
      </c>
      <c r="AX101" s="92">
        <f t="shared" si="50"/>
        <v>9123.4290917100589</v>
      </c>
      <c r="AY101" s="93">
        <f t="shared" si="32"/>
        <v>9713.1895934142558</v>
      </c>
      <c r="AZ101" s="94">
        <f t="shared" si="45"/>
        <v>8250.0341829801582</v>
      </c>
      <c r="BA101" s="95">
        <f t="shared" si="46"/>
        <v>4668.2428981949597</v>
      </c>
      <c r="BB101" s="689">
        <f>SUM('Defect (Total)'!BB101,Planned!CE101,Reconductor!CE101,CTGS!CE101,'Substation 2025$'!CE101*$BL$1,Comms!CA101*$BL$2)</f>
        <v>31.533333333333331</v>
      </c>
      <c r="BC101" s="689">
        <f>SUM('Defect (Total)'!BC101,Planned!CF101,Reconductor!CF101,CTGS!CF101,'Substation 2025$'!CF101*$BL$1,Comms!CB101*$BL$2)</f>
        <v>31.533333333333331</v>
      </c>
      <c r="BD101" s="96">
        <f>SUM('Defect (Total)'!BD101,Planned!CG101,Reconductor!CG101,CTGS!CG101,'Substation 2025$'!CG101*$BL$1,Comms!CC101*$BL$2)</f>
        <v>31.533333333333331</v>
      </c>
      <c r="BE101" s="96">
        <f>SUM('Defect (Total)'!BE101,Planned!CH101,Reconductor!CH101,CTGS!CH101,'Substation 2025$'!CH101*$BL$1,Comms!CD101*$BL$2)</f>
        <v>13.381690864428883</v>
      </c>
      <c r="BF101" s="96">
        <f>SUM('Defect (Total)'!BF101,Planned!CI101,Reconductor!CI101,CTGS!CI101,'Substation 2025$'!CI101*$BL$1,Comms!CE101*$BL$2)</f>
        <v>13.381690864428883</v>
      </c>
      <c r="BG101" s="96">
        <f>SUM('Defect (Total)'!BG101,Planned!CJ101,Reconductor!CJ101,CTGS!CJ101,'Substation 2025$'!CJ101*$BL$1,Comms!CF101*$BL$2)</f>
        <v>19.381690864428883</v>
      </c>
      <c r="BH101" s="96">
        <f>SUM('Defect (Total)'!BH101,Planned!CK101,Reconductor!CK101,CTGS!CK101,'Substation 2025$'!CK101*$BL$1,Comms!CG101*$BL$2)</f>
        <v>23.381690864428883</v>
      </c>
      <c r="BI101" s="286">
        <f>SUM('Defect (Total)'!BI101,Planned!CL101,Reconductor!CL101,CTGS!CL101,'Substation 2025$'!CL101*$BL$1,Comms!CH101*$BL$2)</f>
        <v>17.381690864428883</v>
      </c>
      <c r="BJ101" s="99">
        <f t="shared" si="51"/>
        <v>9309.5565919681649</v>
      </c>
      <c r="BK101" s="992">
        <f>SUM('Defect (Total)'!BK101,Planned!CQ101,Reconductor!CQ101,CTGS!CQ101,'Substation 2025$'!CQ101*$BL$1,Comms!CM101*$BL$2)</f>
        <v>262425.13290416298</v>
      </c>
      <c r="BL101" s="992">
        <f>SUM('Defect (Total)'!BL101,Planned!CR101,Reconductor!CR101,CTGS!CR101,'Substation 2025$'!CR101*$BL$1,Comms!CN101*$BL$2)</f>
        <v>275241.05600207287</v>
      </c>
      <c r="BM101" s="524">
        <f>SUM('Defect (Total)'!BM101,Planned!CS101,Reconductor!CS101,CTGS!CS101,'Substation 2025$'!CS101*$BL$1,Comms!CO101*$BL$2)</f>
        <v>357542.31466777244</v>
      </c>
      <c r="BN101" s="416">
        <f>SUM('Defect (Total)'!BN101,Planned!CT101,Reconductor!CT101,CTGS!CT101,'Substation 2025$'!CT101*$BL$1,Comms!CP101*$BL$2)</f>
        <v>176708.99701084718</v>
      </c>
      <c r="BO101" s="97">
        <f>SUM('Defect (Total)'!BO101,Planned!CU101,Reconductor!CU101,CTGS!CU101,'Substation 2025$'!CU101*$BL$1,Comms!CQ101*$BL$2)</f>
        <v>169709.64113377198</v>
      </c>
      <c r="BP101" s="97">
        <f>SUM('Defect (Total)'!BP101,Planned!CV101,Reconductor!CV101,CTGS!CV101,'Substation 2025$'!CV101*$BL$1,Comms!CR101*$BL$2)</f>
        <v>174621.476023319</v>
      </c>
      <c r="BQ101" s="97">
        <f>SUM('Defect (Total)'!BQ101,Planned!CW101,Reconductor!CW101,CTGS!CW101,'Substation 2025$'!CW101*$BL$1,Comms!CS101*$BL$2)</f>
        <v>103821.31813732005</v>
      </c>
      <c r="BR101" s="98">
        <f>SUM('Defect (Total)'!BR101,Planned!CX101,Reconductor!CX101,CTGS!CX101,'Substation 2025$'!CX101*$BL$1,Comms!CT101*$BL$2)</f>
        <v>184217.74152722565</v>
      </c>
    </row>
    <row r="102" spans="1:70" x14ac:dyDescent="0.25">
      <c r="A102" s="81" t="s">
        <v>196</v>
      </c>
      <c r="B102" s="82" t="s">
        <v>207</v>
      </c>
      <c r="C102" s="83" t="s">
        <v>208</v>
      </c>
      <c r="D102" s="84">
        <f>SUM('Defect (Total)'!D102,Planned!D102,Reconductor!D102,CTGS!D102)</f>
        <v>0</v>
      </c>
      <c r="E102" s="85">
        <f>SUM('Defect (Total)'!E102,Planned!E102,Reconductor!E102,CTGS!E102)</f>
        <v>0</v>
      </c>
      <c r="F102" s="85">
        <f>SUM('Defect (Total)'!F102,Planned!F102,Reconductor!F102,CTGS!F102)</f>
        <v>0</v>
      </c>
      <c r="G102" s="85">
        <f>SUM('Defect (Total)'!G102,Planned!G102,Reconductor!G102,CTGS!G102)</f>
        <v>0</v>
      </c>
      <c r="H102" s="85">
        <f>SUM('Defect (Total)'!H102,Planned!H102,Reconductor!H102,CTGS!H102)</f>
        <v>0</v>
      </c>
      <c r="I102" s="85">
        <f>SUM('Defect (Total)'!I102,Planned!I102,Reconductor!I102,CTGS!I102)</f>
        <v>0</v>
      </c>
      <c r="J102" s="85">
        <f>SUM('Defect (Total)'!J102,Planned!J102,Reconductor!J102,CTGS!J102)</f>
        <v>0</v>
      </c>
      <c r="K102" s="85">
        <f>SUM('Defect (Total)'!K102,Planned!K102,Reconductor!K102,CTGS!K102)</f>
        <v>0</v>
      </c>
      <c r="L102" s="85">
        <f>SUM('Defect (Total)'!L102,Planned!L102,Reconductor!L102,CTGS!L102)</f>
        <v>0</v>
      </c>
      <c r="M102" s="85">
        <f>SUM('Defect (Total)'!M102,Planned!M102,Reconductor!M102,CTGS!M102)</f>
        <v>0</v>
      </c>
      <c r="N102" s="85">
        <f>SUM('Defect (Total)'!N102,Planned!N102,Reconductor!N102,CTGS!N102)</f>
        <v>0</v>
      </c>
      <c r="O102" s="560">
        <f>SUM('Defect (Total)'!O102,Planned!O102,Reconductor!O102,CTGS!O102)</f>
        <v>0</v>
      </c>
      <c r="P102" s="561">
        <f>SUM('Defect (Total)'!P102,Planned!P102,Reconductor!P102,CTGS!P102)</f>
        <v>0</v>
      </c>
      <c r="Q102" s="561">
        <f>SUM('Defect (Total)'!Q102,Planned!Q102,Reconductor!Q102,CTGS!Q102)</f>
        <v>0</v>
      </c>
      <c r="R102" s="561">
        <f>SUM('Defect (Total)'!R102,Planned!R102,Reconductor!R102,CTGS!R102)</f>
        <v>0</v>
      </c>
      <c r="S102" s="561">
        <f>SUM('Defect (Total)'!S102,Planned!S102,Reconductor!S102,CTGS!S102)</f>
        <v>0</v>
      </c>
      <c r="T102" s="561">
        <f>SUM('Defect (Total)'!T102,Planned!T102,Reconductor!T102,CTGS!T102)</f>
        <v>0</v>
      </c>
      <c r="U102" s="561">
        <f>SUM('Defect (Total)'!U102,Planned!U102,Reconductor!U102,CTGS!U102)</f>
        <v>0</v>
      </c>
      <c r="V102" s="561">
        <f>SUM('Defect (Total)'!V102,Planned!V102,Reconductor!V102,CTGS!V102)</f>
        <v>0</v>
      </c>
      <c r="W102" s="561">
        <f>SUM('Defect (Total)'!W102,Planned!W102,Reconductor!W102,CTGS!W102)</f>
        <v>0</v>
      </c>
      <c r="X102" s="675">
        <f>SUM('Defect (Total)'!X102,Planned!X102,Reconductor!X102,CTGS!X102)</f>
        <v>0</v>
      </c>
      <c r="Y102" s="675">
        <f>SUM('Defect (Total)'!Y102,Planned!Y102,Reconductor!Y102,CTGS!Y102)</f>
        <v>0</v>
      </c>
      <c r="Z102" s="86">
        <f>SUM('Defect (Total)'!Z102,Planned!Z102,Reconductor!Z102,CTGS!Z102)</f>
        <v>0</v>
      </c>
      <c r="AA102" s="87">
        <f>SUM('Defect (Total)'!AA102,Planned!AA102,Reconductor!AA102,CTGS!AA102)</f>
        <v>-1</v>
      </c>
      <c r="AB102" s="87">
        <f>SUM('Defect (Total)'!AB102,Planned!AB102,Reconductor!AB102,CTGS!AB102)</f>
        <v>0</v>
      </c>
      <c r="AC102" s="87">
        <f>SUM('Defect (Total)'!AC102,Planned!AC102,Reconductor!AC102,CTGS!AC102)</f>
        <v>0</v>
      </c>
      <c r="AD102" s="87">
        <f>SUM('Defect (Total)'!AD102,Planned!AD102,Reconductor!AD102,CTGS!AD102)</f>
        <v>0</v>
      </c>
      <c r="AE102" s="87">
        <f>SUM('Defect (Total)'!AE102,Planned!AE102,Reconductor!AE102,CTGS!AE102)</f>
        <v>0</v>
      </c>
      <c r="AF102" s="87">
        <f>SUM('Defect (Total)'!AF102,Planned!AF102,Reconductor!AF102,CTGS!AF102)</f>
        <v>0</v>
      </c>
      <c r="AG102" s="87">
        <f>SUM('Defect (Total)'!AG102,Planned!AG102,Reconductor!AG102,CTGS!AG102)</f>
        <v>0</v>
      </c>
      <c r="AH102" s="87">
        <f>SUM('Defect (Total)'!AH102,Planned!AH102,Reconductor!AH102,CTGS!AH102)</f>
        <v>0</v>
      </c>
      <c r="AI102" s="87">
        <f>SUM('Defect (Total)'!AI102,Planned!AI102,Reconductor!AI102,CTGS!AI102)</f>
        <v>0</v>
      </c>
      <c r="AJ102" s="87">
        <f>SUM('Defect (Total)'!AJ102,Planned!AJ102,Reconductor!AJ102,CTGS!AJ102)</f>
        <v>0</v>
      </c>
      <c r="AK102" s="88">
        <f t="shared" si="47"/>
        <v>0</v>
      </c>
      <c r="AL102" s="89">
        <f t="shared" si="34"/>
        <v>0</v>
      </c>
      <c r="AM102" s="90">
        <f t="shared" si="48"/>
        <v>0</v>
      </c>
      <c r="AN102" s="91" t="str">
        <f t="shared" si="35"/>
        <v/>
      </c>
      <c r="AO102" s="92">
        <f t="shared" si="36"/>
        <v>0</v>
      </c>
      <c r="AP102" s="92" t="str">
        <f t="shared" si="37"/>
        <v/>
      </c>
      <c r="AQ102" s="92" t="str">
        <f t="shared" si="38"/>
        <v/>
      </c>
      <c r="AR102" s="92" t="str">
        <f t="shared" si="39"/>
        <v/>
      </c>
      <c r="AS102" s="92" t="str">
        <f t="shared" si="40"/>
        <v/>
      </c>
      <c r="AT102" s="92" t="str">
        <f t="shared" si="41"/>
        <v/>
      </c>
      <c r="AU102" s="92" t="str">
        <f t="shared" si="42"/>
        <v/>
      </c>
      <c r="AV102" s="92" t="str">
        <f t="shared" si="43"/>
        <v/>
      </c>
      <c r="AW102" s="92" t="str">
        <f t="shared" si="50"/>
        <v/>
      </c>
      <c r="AX102" s="92" t="str">
        <f t="shared" si="50"/>
        <v/>
      </c>
      <c r="AY102" s="93" t="str">
        <f t="shared" si="32"/>
        <v/>
      </c>
      <c r="AZ102" s="94" t="str">
        <f t="shared" si="45"/>
        <v/>
      </c>
      <c r="BA102" s="95" t="str">
        <f t="shared" si="46"/>
        <v/>
      </c>
      <c r="BB102" s="689">
        <f>SUM('Defect (Total)'!BB102,Planned!CE102,Reconductor!CE102,CTGS!CE102,'Substation 2025$'!CE102*$BL$1,Comms!CA102*$BL$2)</f>
        <v>0</v>
      </c>
      <c r="BC102" s="689">
        <f>SUM('Defect (Total)'!BC102,Planned!CF102,Reconductor!CF102,CTGS!CF102,'Substation 2025$'!CF102*$BL$1,Comms!CB102*$BL$2)</f>
        <v>0</v>
      </c>
      <c r="BD102" s="96">
        <f>SUM('Defect (Total)'!BD102,Planned!CG102,Reconductor!CG102,CTGS!CG102,'Substation 2025$'!CG102*$BL$1,Comms!CC102*$BL$2)</f>
        <v>0</v>
      </c>
      <c r="BE102" s="96">
        <f>SUM('Defect (Total)'!BE102,Planned!CH102,Reconductor!CH102,CTGS!CH102,'Substation 2025$'!CH102*$BL$1,Comms!CD102*$BL$2)</f>
        <v>0</v>
      </c>
      <c r="BF102" s="96">
        <f>SUM('Defect (Total)'!BF102,Planned!CI102,Reconductor!CI102,CTGS!CI102,'Substation 2025$'!CI102*$BL$1,Comms!CE102*$BL$2)</f>
        <v>0</v>
      </c>
      <c r="BG102" s="96">
        <f>SUM('Defect (Total)'!BG102,Planned!CJ102,Reconductor!CJ102,CTGS!CJ102,'Substation 2025$'!CJ102*$BL$1,Comms!CF102*$BL$2)</f>
        <v>7</v>
      </c>
      <c r="BH102" s="96">
        <f>SUM('Defect (Total)'!BH102,Planned!CK102,Reconductor!CK102,CTGS!CK102,'Substation 2025$'!CK102*$BL$1,Comms!CG102*$BL$2)</f>
        <v>4</v>
      </c>
      <c r="BI102" s="286">
        <f>SUM('Defect (Total)'!BI102,Planned!CL102,Reconductor!CL102,CTGS!CL102,'Substation 2025$'!CL102*$BL$1,Comms!CH102*$BL$2)</f>
        <v>2</v>
      </c>
      <c r="BJ102" s="99">
        <f t="shared" si="51"/>
        <v>765824.3438680484</v>
      </c>
      <c r="BK102" s="992">
        <f>SUM('Defect (Total)'!BK102,Planned!CQ102,Reconductor!CQ102,CTGS!CQ102,'Substation 2025$'!CQ102*$BL$1,Comms!CM102*$BL$2)</f>
        <v>111241.88926159413</v>
      </c>
      <c r="BL102" s="992">
        <f>SUM('Defect (Total)'!BL102,Planned!CR102,Reconductor!CR102,CTGS!CR102,'Substation 2025$'!CR102*$BL$1,Comms!CN102*$BL$2)</f>
        <v>430057.02246787312</v>
      </c>
      <c r="BM102" s="524">
        <f>SUM('Defect (Total)'!BM102,Planned!CS102,Reconductor!CS102,CTGS!CS102,'Substation 2025$'!CS102*$BL$1,Comms!CO102*$BL$2)</f>
        <v>2581394.6773436735</v>
      </c>
      <c r="BN102" s="416">
        <f>SUM('Defect (Total)'!BN102,Planned!CT102,Reconductor!CT102,CTGS!CT102,'Substation 2025$'!CT102*$BL$1,Comms!CP102*$BL$2)</f>
        <v>2409208.6704759621</v>
      </c>
      <c r="BO102" s="97">
        <f>SUM('Defect (Total)'!BO102,Planned!CU102,Reconductor!CU102,CTGS!CU102,'Substation 2025$'!CU102*$BL$1,Comms!CQ102*$BL$2)</f>
        <v>2162601.8442003885</v>
      </c>
      <c r="BP102" s="97">
        <f>SUM('Defect (Total)'!BP102,Planned!CV102,Reconductor!CV102,CTGS!CV102,'Substation 2025$'!CV102*$BL$1,Comms!CR102*$BL$2)</f>
        <v>1029109.9259437313</v>
      </c>
      <c r="BQ102" s="97">
        <f>SUM('Defect (Total)'!BQ102,Planned!CW102,Reconductor!CW102,CTGS!CW102,'Substation 2025$'!CW102*$BL$1,Comms!CS102*$BL$2)</f>
        <v>1714881.0583465691</v>
      </c>
      <c r="BR102" s="98">
        <f>SUM('Defect (Total)'!BR102,Planned!CX102,Reconductor!CX102,CTGS!CX102,'Substation 2025$'!CX102*$BL$1,Comms!CT102*$BL$2)</f>
        <v>2639914.9713179786</v>
      </c>
    </row>
    <row r="103" spans="1:70" x14ac:dyDescent="0.25">
      <c r="A103" s="81" t="s">
        <v>196</v>
      </c>
      <c r="B103" s="82" t="s">
        <v>209</v>
      </c>
      <c r="C103" s="83" t="s">
        <v>210</v>
      </c>
      <c r="D103" s="84">
        <f>SUM('Defect (Total)'!D103,Planned!D103,Reconductor!D103,CTGS!D103)</f>
        <v>11932</v>
      </c>
      <c r="E103" s="85">
        <f>SUM('Defect (Total)'!E103,Planned!E103,Reconductor!E103,CTGS!E103)</f>
        <v>31965</v>
      </c>
      <c r="F103" s="85">
        <f>SUM('Defect (Total)'!F103,Planned!F103,Reconductor!F103,CTGS!F103)</f>
        <v>257313</v>
      </c>
      <c r="G103" s="85">
        <f>SUM('Defect (Total)'!G103,Planned!G103,Reconductor!G103,CTGS!G103)</f>
        <v>0</v>
      </c>
      <c r="H103" s="85">
        <f>SUM('Defect (Total)'!H103,Planned!H103,Reconductor!H103,CTGS!H103)</f>
        <v>0</v>
      </c>
      <c r="I103" s="85">
        <f>SUM('Defect (Total)'!I103,Planned!I103,Reconductor!I103,CTGS!I103)</f>
        <v>285649.78413438308</v>
      </c>
      <c r="J103" s="85">
        <f>SUM('Defect (Total)'!J103,Planned!J103,Reconductor!J103,CTGS!J103)</f>
        <v>0</v>
      </c>
      <c r="K103" s="85">
        <f>SUM('Defect (Total)'!K103,Planned!K103,Reconductor!K103,CTGS!K103)</f>
        <v>648726.04452124797</v>
      </c>
      <c r="L103" s="85">
        <f>SUM('Defect (Total)'!L103,Planned!L103,Reconductor!L103,CTGS!L103)</f>
        <v>530056.91093700798</v>
      </c>
      <c r="M103" s="85">
        <f>SUM('Defect (Total)'!M103,Planned!M103,Reconductor!M103,CTGS!M103)</f>
        <v>120828.217046758</v>
      </c>
      <c r="N103" s="85">
        <f>SUM('Defect (Total)'!N103,Planned!N103,Reconductor!N103,CTGS!N103)</f>
        <v>118796.53226581504</v>
      </c>
      <c r="O103" s="560">
        <f>SUM('Defect (Total)'!O103,Planned!O103,Reconductor!O103,CTGS!O103)</f>
        <v>16053.984800772874</v>
      </c>
      <c r="P103" s="561">
        <f>SUM('Defect (Total)'!P103,Planned!P103,Reconductor!P103,CTGS!P103)</f>
        <v>42367.399448187061</v>
      </c>
      <c r="Q103" s="561">
        <f>SUM('Defect (Total)'!Q103,Planned!Q103,Reconductor!Q103,CTGS!Q103)</f>
        <v>337596.13496683066</v>
      </c>
      <c r="R103" s="561">
        <f>SUM('Defect (Total)'!R103,Planned!R103,Reconductor!R103,CTGS!R103)</f>
        <v>0</v>
      </c>
      <c r="S103" s="561">
        <f>SUM('Defect (Total)'!S103,Planned!S103,Reconductor!S103,CTGS!S103)</f>
        <v>0</v>
      </c>
      <c r="T103" s="561">
        <f>SUM('Defect (Total)'!T103,Planned!T103,Reconductor!T103,CTGS!T103)</f>
        <v>354533.74239117838</v>
      </c>
      <c r="U103" s="561">
        <f>SUM('Defect (Total)'!U103,Planned!U103,Reconductor!U103,CTGS!U103)</f>
        <v>0</v>
      </c>
      <c r="V103" s="561">
        <f>SUM('Defect (Total)'!V103,Planned!V103,Reconductor!V103,CTGS!V103)</f>
        <v>778055.28353625035</v>
      </c>
      <c r="W103" s="561">
        <f>SUM('Defect (Total)'!W103,Planned!W103,Reconductor!W103,CTGS!W103)</f>
        <v>598925.73922324739</v>
      </c>
      <c r="X103" s="675">
        <f>SUM('Defect (Total)'!X103,Planned!X103,Reconductor!X103,CTGS!X103)</f>
        <v>128496.08759860194</v>
      </c>
      <c r="Y103" s="675">
        <f>SUM('Defect (Total)'!Y103,Planned!Y103,Reconductor!Y103,CTGS!Y103)</f>
        <v>122063.25625114312</v>
      </c>
      <c r="Z103" s="86">
        <f>SUM('Defect (Total)'!Z103,Planned!Z103,Reconductor!Z103,CTGS!Z103)</f>
        <v>1</v>
      </c>
      <c r="AA103" s="87">
        <f>SUM('Defect (Total)'!AA103,Planned!AA103,Reconductor!AA103,CTGS!AA103)</f>
        <v>1</v>
      </c>
      <c r="AB103" s="87">
        <f>SUM('Defect (Total)'!AB103,Planned!AB103,Reconductor!AB103,CTGS!AB103)</f>
        <v>3</v>
      </c>
      <c r="AC103" s="87">
        <f>SUM('Defect (Total)'!AC103,Planned!AC103,Reconductor!AC103,CTGS!AC103)</f>
        <v>0</v>
      </c>
      <c r="AD103" s="87">
        <f>SUM('Defect (Total)'!AD103,Planned!AD103,Reconductor!AD103,CTGS!AD103)</f>
        <v>0</v>
      </c>
      <c r="AE103" s="87">
        <f>SUM('Defect (Total)'!AE103,Planned!AE103,Reconductor!AE103,CTGS!AE103)</f>
        <v>3</v>
      </c>
      <c r="AF103" s="87">
        <f>SUM('Defect (Total)'!AF103,Planned!AF103,Reconductor!AF103,CTGS!AF103)</f>
        <v>0</v>
      </c>
      <c r="AG103" s="87">
        <f>SUM('Defect (Total)'!AG103,Planned!AG103,Reconductor!AG103,CTGS!AG103)</f>
        <v>1</v>
      </c>
      <c r="AH103" s="87">
        <f>SUM('Defect (Total)'!AH103,Planned!AH103,Reconductor!AH103,CTGS!AH103)</f>
        <v>5</v>
      </c>
      <c r="AI103" s="87">
        <f>SUM('Defect (Total)'!AI103,Planned!AI103,Reconductor!AI103,CTGS!AI103)</f>
        <v>1</v>
      </c>
      <c r="AJ103" s="87">
        <f>SUM('Defect (Total)'!AJ103,Planned!AJ103,Reconductor!AJ103,CTGS!AJ103)</f>
        <v>6</v>
      </c>
      <c r="AK103" s="88">
        <f t="shared" si="47"/>
        <v>1.8</v>
      </c>
      <c r="AL103" s="89">
        <f t="shared" ref="AL103:AL132" si="52">IFERROR(IF($AM$4="N",SUM(AF103:AH103)/3,SUM(AG103:AI103)/3),"")</f>
        <v>2</v>
      </c>
      <c r="AM103" s="90">
        <f t="shared" si="48"/>
        <v>5</v>
      </c>
      <c r="AN103" s="91">
        <f t="shared" ref="AN103:AN132" si="53">IFERROR(D103/Z103,"")</f>
        <v>11932</v>
      </c>
      <c r="AO103" s="92">
        <f t="shared" ref="AO103:AO132" si="54">IFERROR(E103/AA103,"")</f>
        <v>31965</v>
      </c>
      <c r="AP103" s="92">
        <f t="shared" ref="AP103:AP132" si="55">IFERROR(F103/AB103,"")</f>
        <v>85771</v>
      </c>
      <c r="AQ103" s="92" t="str">
        <f t="shared" ref="AQ103:AQ132" si="56">IFERROR(G103/AC103,"")</f>
        <v/>
      </c>
      <c r="AR103" s="92" t="str">
        <f t="shared" ref="AR103:AR132" si="57">IFERROR(H103/AD103,"")</f>
        <v/>
      </c>
      <c r="AS103" s="92">
        <f t="shared" ref="AS103:AS132" si="58">IFERROR(I103/AE103,"")</f>
        <v>95216.594711461032</v>
      </c>
      <c r="AT103" s="92" t="str">
        <f t="shared" ref="AT103:AT132" si="59">IFERROR(J103/AF103,"")</f>
        <v/>
      </c>
      <c r="AU103" s="92">
        <f t="shared" ref="AU103:AU132" si="60">IFERROR(K103/AG103,"")</f>
        <v>648726.04452124797</v>
      </c>
      <c r="AV103" s="92">
        <f t="shared" ref="AV103:AV132" si="61">IFERROR(L103/AH103,"")</f>
        <v>106011.3821874016</v>
      </c>
      <c r="AW103" s="92">
        <f t="shared" ref="AW103:AX118" si="62">IFERROR(M103/AI103,"")</f>
        <v>120828.217046758</v>
      </c>
      <c r="AX103" s="92">
        <f t="shared" si="62"/>
        <v>19799.422044302508</v>
      </c>
      <c r="AY103" s="93">
        <f t="shared" ref="AY103:AY132" si="63">IFERROR(IF($BA$4="N",SUM(H103:L103)/SUM(AD103:AH103),SUM(I103:M103)/SUM(AE103:AI103)),"")</f>
        <v>158526.09566393969</v>
      </c>
      <c r="AZ103" s="94">
        <f t="shared" si="45"/>
        <v>185658.73892928771</v>
      </c>
      <c r="BA103" s="95">
        <f t="shared" si="46"/>
        <v>120828.217046758</v>
      </c>
      <c r="BB103" s="689">
        <f>SUM('Defect (Total)'!BB103,Planned!CE103,Reconductor!CE103,CTGS!CE103,'Substation 2025$'!CE103*$BL$1,Comms!CA103*$BL$2)</f>
        <v>0</v>
      </c>
      <c r="BC103" s="689">
        <f>SUM('Defect (Total)'!BC103,Planned!CF103,Reconductor!CF103,CTGS!CF103,'Substation 2025$'!CF103*$BL$1,Comms!CB103*$BL$2)</f>
        <v>0</v>
      </c>
      <c r="BD103" s="96">
        <f>SUM('Defect (Total)'!BD103,Planned!CG103,Reconductor!CG103,CTGS!CG103,'Substation 2025$'!CG103*$BL$1,Comms!CC103*$BL$2)</f>
        <v>16</v>
      </c>
      <c r="BE103" s="96">
        <f>SUM('Defect (Total)'!BE103,Planned!CH103,Reconductor!CH103,CTGS!CH103,'Substation 2025$'!CH103*$BL$1,Comms!CD103*$BL$2)</f>
        <v>26</v>
      </c>
      <c r="BF103" s="96">
        <f>SUM('Defect (Total)'!BF103,Planned!CI103,Reconductor!CI103,CTGS!CI103,'Substation 2025$'!CI103*$BL$1,Comms!CE103*$BL$2)</f>
        <v>43</v>
      </c>
      <c r="BG103" s="96">
        <f>SUM('Defect (Total)'!BG103,Planned!CJ103,Reconductor!CJ103,CTGS!CJ103,'Substation 2025$'!CJ103*$BL$1,Comms!CF103*$BL$2)</f>
        <v>10</v>
      </c>
      <c r="BH103" s="96">
        <f>SUM('Defect (Total)'!BH103,Planned!CK103,Reconductor!CK103,CTGS!CK103,'Substation 2025$'!CK103*$BL$1,Comms!CG103*$BL$2)</f>
        <v>34</v>
      </c>
      <c r="BI103" s="286">
        <f>SUM('Defect (Total)'!BI103,Planned!CL103,Reconductor!CL103,CTGS!CL103,'Substation 2025$'!CL103*$BL$1,Comms!CH103*$BL$2)</f>
        <v>7</v>
      </c>
      <c r="BJ103" s="99">
        <f t="shared" si="51"/>
        <v>50196.575439428401</v>
      </c>
      <c r="BK103" s="992">
        <f>SUM('Defect (Total)'!BK103,Planned!CQ103,Reconductor!CQ103,CTGS!CQ103,'Substation 2025$'!CQ103*$BL$1,Comms!CM103*$BL$2)</f>
        <v>2652462.979961684</v>
      </c>
      <c r="BL103" s="992">
        <f>SUM('Defect (Total)'!BL103,Planned!CR103,Reconductor!CR103,CTGS!CR103,'Substation 2025$'!CR103*$BL$1,Comms!CN103*$BL$2)</f>
        <v>5481327.373203991</v>
      </c>
      <c r="BM103" s="524">
        <f>SUM('Defect (Total)'!BM103,Planned!CS103,Reconductor!CS103,CTGS!CS103,'Substation 2025$'!CS103*$BL$1,Comms!CO103*$BL$2)</f>
        <v>2753386.8377478761</v>
      </c>
      <c r="BN103" s="416">
        <f>SUM('Defect (Total)'!BN103,Planned!CT103,Reconductor!CT103,CTGS!CT103,'Substation 2025$'!CT103*$BL$1,Comms!CP103*$BL$2)</f>
        <v>1437858.7537742888</v>
      </c>
      <c r="BO103" s="97">
        <f>SUM('Defect (Total)'!BO103,Planned!CU103,Reconductor!CU103,CTGS!CU103,'Substation 2025$'!CU103*$BL$1,Comms!CQ103*$BL$2)</f>
        <v>1403882.7468850212</v>
      </c>
      <c r="BP103" s="97">
        <f>SUM('Defect (Total)'!BP103,Planned!CV103,Reconductor!CV103,CTGS!CV103,'Substation 2025$'!CV103*$BL$1,Comms!CR103*$BL$2)</f>
        <v>2091380.5241455371</v>
      </c>
      <c r="BQ103" s="97">
        <f>SUM('Defect (Total)'!BQ103,Planned!CW103,Reconductor!CW103,CTGS!CW103,'Substation 2025$'!CW103*$BL$1,Comms!CS103*$BL$2)</f>
        <v>1021212.1335129078</v>
      </c>
      <c r="BR103" s="98">
        <f>SUM('Defect (Total)'!BR103,Planned!CX103,Reconductor!CX103,CTGS!CX103,'Substation 2025$'!CX103*$BL$1,Comms!CT103*$BL$2)</f>
        <v>69254.894413652568</v>
      </c>
    </row>
    <row r="104" spans="1:70" x14ac:dyDescent="0.25">
      <c r="A104" s="81" t="s">
        <v>196</v>
      </c>
      <c r="B104" s="82" t="s">
        <v>211</v>
      </c>
      <c r="C104" s="83" t="s">
        <v>212</v>
      </c>
      <c r="D104" s="84">
        <f>SUM('Defect (Total)'!D104,Planned!D104,Reconductor!D104,CTGS!D104)</f>
        <v>0</v>
      </c>
      <c r="E104" s="85">
        <f>SUM('Defect (Total)'!E104,Planned!E104,Reconductor!E104,CTGS!E104)</f>
        <v>0</v>
      </c>
      <c r="F104" s="85">
        <f>SUM('Defect (Total)'!F104,Planned!F104,Reconductor!F104,CTGS!F104)</f>
        <v>0</v>
      </c>
      <c r="G104" s="85">
        <f>SUM('Defect (Total)'!G104,Planned!G104,Reconductor!G104,CTGS!G104)</f>
        <v>0</v>
      </c>
      <c r="H104" s="85">
        <f>SUM('Defect (Total)'!H104,Planned!H104,Reconductor!H104,CTGS!H104)</f>
        <v>0</v>
      </c>
      <c r="I104" s="85">
        <f>SUM('Defect (Total)'!I104,Planned!I104,Reconductor!I104,CTGS!I104)</f>
        <v>0</v>
      </c>
      <c r="J104" s="85">
        <f>SUM('Defect (Total)'!J104,Planned!J104,Reconductor!J104,CTGS!J104)</f>
        <v>0</v>
      </c>
      <c r="K104" s="85">
        <f>SUM('Defect (Total)'!K104,Planned!K104,Reconductor!K104,CTGS!K104)</f>
        <v>0</v>
      </c>
      <c r="L104" s="85">
        <f>SUM('Defect (Total)'!L104,Planned!L104,Reconductor!L104,CTGS!L104)</f>
        <v>489688.91495324398</v>
      </c>
      <c r="M104" s="85">
        <f>SUM('Defect (Total)'!M104,Planned!M104,Reconductor!M104,CTGS!M104)</f>
        <v>0</v>
      </c>
      <c r="N104" s="85">
        <f>SUM('Defect (Total)'!N104,Planned!N104,Reconductor!N104,CTGS!N104)</f>
        <v>0</v>
      </c>
      <c r="O104" s="560">
        <f>SUM('Defect (Total)'!O104,Planned!O104,Reconductor!O104,CTGS!O104)</f>
        <v>0</v>
      </c>
      <c r="P104" s="561">
        <f>SUM('Defect (Total)'!P104,Planned!P104,Reconductor!P104,CTGS!P104)</f>
        <v>0</v>
      </c>
      <c r="Q104" s="561">
        <f>SUM('Defect (Total)'!Q104,Planned!Q104,Reconductor!Q104,CTGS!Q104)</f>
        <v>0</v>
      </c>
      <c r="R104" s="561">
        <f>SUM('Defect (Total)'!R104,Planned!R104,Reconductor!R104,CTGS!R104)</f>
        <v>0</v>
      </c>
      <c r="S104" s="561">
        <f>SUM('Defect (Total)'!S104,Planned!S104,Reconductor!S104,CTGS!S104)</f>
        <v>0</v>
      </c>
      <c r="T104" s="561">
        <f>SUM('Defect (Total)'!T104,Planned!T104,Reconductor!T104,CTGS!T104)</f>
        <v>0</v>
      </c>
      <c r="U104" s="561">
        <f>SUM('Defect (Total)'!U104,Planned!U104,Reconductor!U104,CTGS!U104)</f>
        <v>0</v>
      </c>
      <c r="V104" s="561">
        <f>SUM('Defect (Total)'!V104,Planned!V104,Reconductor!V104,CTGS!V104)</f>
        <v>0</v>
      </c>
      <c r="W104" s="561">
        <f>SUM('Defect (Total)'!W104,Planned!W104,Reconductor!W104,CTGS!W104)</f>
        <v>553312.84118028567</v>
      </c>
      <c r="X104" s="675">
        <f>SUM('Defect (Total)'!X104,Planned!X104,Reconductor!X104,CTGS!X104)</f>
        <v>0</v>
      </c>
      <c r="Y104" s="675">
        <f>SUM('Defect (Total)'!Y104,Planned!Y104,Reconductor!Y104,CTGS!Y104)</f>
        <v>0</v>
      </c>
      <c r="Z104" s="86">
        <f>SUM('Defect (Total)'!Z104,Planned!Z104,Reconductor!Z104,CTGS!Z104)</f>
        <v>0</v>
      </c>
      <c r="AA104" s="87">
        <f>SUM('Defect (Total)'!AA104,Planned!AA104,Reconductor!AA104,CTGS!AA104)</f>
        <v>0</v>
      </c>
      <c r="AB104" s="87">
        <f>SUM('Defect (Total)'!AB104,Planned!AB104,Reconductor!AB104,CTGS!AB104)</f>
        <v>0</v>
      </c>
      <c r="AC104" s="87">
        <f>SUM('Defect (Total)'!AC104,Planned!AC104,Reconductor!AC104,CTGS!AC104)</f>
        <v>0</v>
      </c>
      <c r="AD104" s="87">
        <f>SUM('Defect (Total)'!AD104,Planned!AD104,Reconductor!AD104,CTGS!AD104)</f>
        <v>0</v>
      </c>
      <c r="AE104" s="87">
        <f>SUM('Defect (Total)'!AE104,Planned!AE104,Reconductor!AE104,CTGS!AE104)</f>
        <v>0</v>
      </c>
      <c r="AF104" s="87">
        <f>SUM('Defect (Total)'!AF104,Planned!AF104,Reconductor!AF104,CTGS!AF104)</f>
        <v>0</v>
      </c>
      <c r="AG104" s="87">
        <f>SUM('Defect (Total)'!AG104,Planned!AG104,Reconductor!AG104,CTGS!AG104)</f>
        <v>0</v>
      </c>
      <c r="AH104" s="87">
        <f>SUM('Defect (Total)'!AH104,Planned!AH104,Reconductor!AH104,CTGS!AH104)</f>
        <v>0</v>
      </c>
      <c r="AI104" s="87">
        <f>SUM('Defect (Total)'!AI104,Planned!AI104,Reconductor!AI104,CTGS!AI104)</f>
        <v>0</v>
      </c>
      <c r="AJ104" s="87">
        <f>SUM('Defect (Total)'!AJ104,Planned!AJ104,Reconductor!AJ104,CTGS!AJ104)</f>
        <v>1</v>
      </c>
      <c r="AK104" s="88">
        <f t="shared" si="47"/>
        <v>0</v>
      </c>
      <c r="AL104" s="89">
        <f t="shared" si="52"/>
        <v>0</v>
      </c>
      <c r="AM104" s="90">
        <f t="shared" si="48"/>
        <v>0</v>
      </c>
      <c r="AN104" s="91" t="str">
        <f t="shared" si="53"/>
        <v/>
      </c>
      <c r="AO104" s="92" t="str">
        <f t="shared" si="54"/>
        <v/>
      </c>
      <c r="AP104" s="92" t="str">
        <f t="shared" si="55"/>
        <v/>
      </c>
      <c r="AQ104" s="92" t="str">
        <f t="shared" si="56"/>
        <v/>
      </c>
      <c r="AR104" s="92" t="str">
        <f t="shared" si="57"/>
        <v/>
      </c>
      <c r="AS104" s="92" t="str">
        <f t="shared" si="58"/>
        <v/>
      </c>
      <c r="AT104" s="92" t="str">
        <f t="shared" si="59"/>
        <v/>
      </c>
      <c r="AU104" s="92" t="str">
        <f t="shared" si="60"/>
        <v/>
      </c>
      <c r="AV104" s="92" t="str">
        <f t="shared" si="61"/>
        <v/>
      </c>
      <c r="AW104" s="92" t="str">
        <f t="shared" si="62"/>
        <v/>
      </c>
      <c r="AX104" s="92">
        <f t="shared" si="62"/>
        <v>0</v>
      </c>
      <c r="AY104" s="93" t="str">
        <f t="shared" si="63"/>
        <v/>
      </c>
      <c r="AZ104" s="94" t="str">
        <f t="shared" si="45"/>
        <v/>
      </c>
      <c r="BA104" s="95" t="str">
        <f t="shared" si="46"/>
        <v/>
      </c>
      <c r="BB104" s="689">
        <f>SUM('Defect (Total)'!BB104,Planned!CE104,Reconductor!CE104,CTGS!CE104,'Substation 2025$'!CE104*$BL$1,Comms!CA104*$BL$2)</f>
        <v>0</v>
      </c>
      <c r="BC104" s="689">
        <f>SUM('Defect (Total)'!BC104,Planned!CF104,Reconductor!CF104,CTGS!CF104,'Substation 2025$'!CF104*$BL$1,Comms!CB104*$BL$2)</f>
        <v>8</v>
      </c>
      <c r="BD104" s="96">
        <f>SUM('Defect (Total)'!BD104,Planned!CG104,Reconductor!CG104,CTGS!CG104,'Substation 2025$'!CG104*$BL$1,Comms!CC104*$BL$2)</f>
        <v>10</v>
      </c>
      <c r="BE104" s="96">
        <f>SUM('Defect (Total)'!BE104,Planned!CH104,Reconductor!CH104,CTGS!CH104,'Substation 2025$'!CH104*$BL$1,Comms!CD104*$BL$2)</f>
        <v>4</v>
      </c>
      <c r="BF104" s="96">
        <f>SUM('Defect (Total)'!BF104,Planned!CI104,Reconductor!CI104,CTGS!CI104,'Substation 2025$'!CI104*$BL$1,Comms!CE104*$BL$2)</f>
        <v>21</v>
      </c>
      <c r="BG104" s="96">
        <f>SUM('Defect (Total)'!BG104,Planned!CJ104,Reconductor!CJ104,CTGS!CJ104,'Substation 2025$'!CJ104*$BL$1,Comms!CF104*$BL$2)</f>
        <v>14</v>
      </c>
      <c r="BH104" s="96">
        <f>SUM('Defect (Total)'!BH104,Planned!CK104,Reconductor!CK104,CTGS!CK104,'Substation 2025$'!CK104*$BL$1,Comms!CG104*$BL$2)</f>
        <v>23</v>
      </c>
      <c r="BI104" s="286">
        <f>SUM('Defect (Total)'!BI104,Planned!CL104,Reconductor!CL104,CTGS!CL104,'Substation 2025$'!CL104*$BL$1,Comms!CH104*$BL$2)</f>
        <v>9</v>
      </c>
      <c r="BJ104" s="99">
        <f t="shared" si="51"/>
        <v>128401.68964088437</v>
      </c>
      <c r="BK104" s="992">
        <f>SUM('Defect (Total)'!BK104,Planned!CQ104,Reconductor!CQ104,CTGS!CQ104,'Substation 2025$'!CQ104*$BL$1,Comms!CM104*$BL$2)</f>
        <v>1523637.660271375</v>
      </c>
      <c r="BL104" s="992">
        <f>SUM('Defect (Total)'!BL104,Planned!CR104,Reconductor!CR104,CTGS!CR104,'Substation 2025$'!CR104*$BL$1,Comms!CN104*$BL$2)</f>
        <v>3082703.8254190441</v>
      </c>
      <c r="BM104" s="524">
        <f>SUM('Defect (Total)'!BM104,Planned!CS104,Reconductor!CS104,CTGS!CS104,'Substation 2025$'!CS104*$BL$1,Comms!CO104*$BL$2)</f>
        <v>2037491.4903316961</v>
      </c>
      <c r="BN104" s="416">
        <f>SUM('Defect (Total)'!BN104,Planned!CT104,Reconductor!CT104,CTGS!CT104,'Substation 2025$'!CT104*$BL$1,Comms!CP104*$BL$2)</f>
        <v>1674939.1746166376</v>
      </c>
      <c r="BO104" s="97">
        <f>SUM('Defect (Total)'!BO104,Planned!CU104,Reconductor!CU104,CTGS!CU104,'Substation 2025$'!CU104*$BL$1,Comms!CQ104*$BL$2)</f>
        <v>1868658.1572883388</v>
      </c>
      <c r="BP104" s="97">
        <f>SUM('Defect (Total)'!BP104,Planned!CV104,Reconductor!CV104,CTGS!CV104,'Substation 2025$'!CV104*$BL$1,Comms!CR104*$BL$2)</f>
        <v>2515390.7335641538</v>
      </c>
      <c r="BQ104" s="97">
        <f>SUM('Defect (Total)'!BQ104,Planned!CW104,Reconductor!CW104,CTGS!CW104,'Substation 2025$'!CW104*$BL$1,Comms!CS104*$BL$2)</f>
        <v>1645424.8969017758</v>
      </c>
      <c r="BR104" s="98">
        <f>SUM('Defect (Total)'!BR104,Planned!CX104,Reconductor!CX104,CTGS!CX104,'Substation 2025$'!CX104*$BL$1,Comms!CT104*$BL$2)</f>
        <v>1412107.002131884</v>
      </c>
    </row>
    <row r="105" spans="1:70" x14ac:dyDescent="0.25">
      <c r="A105" s="81" t="s">
        <v>196</v>
      </c>
      <c r="B105" s="82" t="s">
        <v>213</v>
      </c>
      <c r="C105" s="83" t="s">
        <v>214</v>
      </c>
      <c r="D105" s="84">
        <f>SUM('Defect (Total)'!D105,Planned!D105,Reconductor!D105,CTGS!D105)</f>
        <v>0</v>
      </c>
      <c r="E105" s="85">
        <f>SUM('Defect (Total)'!E105,Planned!E105,Reconductor!E105,CTGS!E105)</f>
        <v>0</v>
      </c>
      <c r="F105" s="85">
        <f>SUM('Defect (Total)'!F105,Planned!F105,Reconductor!F105,CTGS!F105)</f>
        <v>0</v>
      </c>
      <c r="G105" s="85">
        <f>SUM('Defect (Total)'!G105,Planned!G105,Reconductor!G105,CTGS!G105)</f>
        <v>0</v>
      </c>
      <c r="H105" s="85">
        <f>SUM('Defect (Total)'!H105,Planned!H105,Reconductor!H105,CTGS!H105)</f>
        <v>0</v>
      </c>
      <c r="I105" s="85">
        <f>SUM('Defect (Total)'!I105,Planned!I105,Reconductor!I105,CTGS!I105)</f>
        <v>0</v>
      </c>
      <c r="J105" s="85">
        <f>SUM('Defect (Total)'!J105,Planned!J105,Reconductor!J105,CTGS!J105)</f>
        <v>0</v>
      </c>
      <c r="K105" s="85">
        <f>SUM('Defect (Total)'!K105,Planned!K105,Reconductor!K105,CTGS!K105)</f>
        <v>0</v>
      </c>
      <c r="L105" s="85">
        <f>SUM('Defect (Total)'!L105,Planned!L105,Reconductor!L105,CTGS!L105)</f>
        <v>0</v>
      </c>
      <c r="M105" s="85">
        <f>SUM('Defect (Total)'!M105,Planned!M105,Reconductor!M105,CTGS!M105)</f>
        <v>0</v>
      </c>
      <c r="N105" s="85">
        <f>SUM('Defect (Total)'!N105,Planned!N105,Reconductor!N105,CTGS!N105)</f>
        <v>0</v>
      </c>
      <c r="O105" s="560">
        <f>SUM('Defect (Total)'!O105,Planned!O105,Reconductor!O105,CTGS!O105)</f>
        <v>0</v>
      </c>
      <c r="P105" s="561">
        <f>SUM('Defect (Total)'!P105,Planned!P105,Reconductor!P105,CTGS!P105)</f>
        <v>0</v>
      </c>
      <c r="Q105" s="561">
        <f>SUM('Defect (Total)'!Q105,Planned!Q105,Reconductor!Q105,CTGS!Q105)</f>
        <v>0</v>
      </c>
      <c r="R105" s="561">
        <f>SUM('Defect (Total)'!R105,Planned!R105,Reconductor!R105,CTGS!R105)</f>
        <v>0</v>
      </c>
      <c r="S105" s="561">
        <f>SUM('Defect (Total)'!S105,Planned!S105,Reconductor!S105,CTGS!S105)</f>
        <v>0</v>
      </c>
      <c r="T105" s="561">
        <f>SUM('Defect (Total)'!T105,Planned!T105,Reconductor!T105,CTGS!T105)</f>
        <v>0</v>
      </c>
      <c r="U105" s="561">
        <f>SUM('Defect (Total)'!U105,Planned!U105,Reconductor!U105,CTGS!U105)</f>
        <v>0</v>
      </c>
      <c r="V105" s="561">
        <f>SUM('Defect (Total)'!V105,Planned!V105,Reconductor!V105,CTGS!V105)</f>
        <v>0</v>
      </c>
      <c r="W105" s="561">
        <f>SUM('Defect (Total)'!W105,Planned!W105,Reconductor!W105,CTGS!W105)</f>
        <v>0</v>
      </c>
      <c r="X105" s="675">
        <f>SUM('Defect (Total)'!X105,Planned!X105,Reconductor!X105,CTGS!X105)</f>
        <v>0</v>
      </c>
      <c r="Y105" s="675">
        <f>SUM('Defect (Total)'!Y105,Planned!Y105,Reconductor!Y105,CTGS!Y105)</f>
        <v>0</v>
      </c>
      <c r="Z105" s="86">
        <f>SUM('Defect (Total)'!Z105,Planned!Z105,Reconductor!Z105,CTGS!Z105)</f>
        <v>0</v>
      </c>
      <c r="AA105" s="87">
        <f>SUM('Defect (Total)'!AA105,Planned!AA105,Reconductor!AA105,CTGS!AA105)</f>
        <v>0</v>
      </c>
      <c r="AB105" s="87">
        <f>SUM('Defect (Total)'!AB105,Planned!AB105,Reconductor!AB105,CTGS!AB105)</f>
        <v>0</v>
      </c>
      <c r="AC105" s="87">
        <f>SUM('Defect (Total)'!AC105,Planned!AC105,Reconductor!AC105,CTGS!AC105)</f>
        <v>0</v>
      </c>
      <c r="AD105" s="87">
        <f>SUM('Defect (Total)'!AD105,Planned!AD105,Reconductor!AD105,CTGS!AD105)</f>
        <v>0</v>
      </c>
      <c r="AE105" s="87">
        <f>SUM('Defect (Total)'!AE105,Planned!AE105,Reconductor!AE105,CTGS!AE105)</f>
        <v>0</v>
      </c>
      <c r="AF105" s="87">
        <f>SUM('Defect (Total)'!AF105,Planned!AF105,Reconductor!AF105,CTGS!AF105)</f>
        <v>0</v>
      </c>
      <c r="AG105" s="87">
        <f>SUM('Defect (Total)'!AG105,Planned!AG105,Reconductor!AG105,CTGS!AG105)</f>
        <v>0</v>
      </c>
      <c r="AH105" s="87">
        <f>SUM('Defect (Total)'!AH105,Planned!AH105,Reconductor!AH105,CTGS!AH105)</f>
        <v>0</v>
      </c>
      <c r="AI105" s="87">
        <f>SUM('Defect (Total)'!AI105,Planned!AI105,Reconductor!AI105,CTGS!AI105)</f>
        <v>0</v>
      </c>
      <c r="AJ105" s="87">
        <f>SUM('Defect (Total)'!AJ105,Planned!AJ105,Reconductor!AJ105,CTGS!AJ105)</f>
        <v>0</v>
      </c>
      <c r="AK105" s="88">
        <f t="shared" si="47"/>
        <v>0</v>
      </c>
      <c r="AL105" s="89">
        <f t="shared" si="52"/>
        <v>0</v>
      </c>
      <c r="AM105" s="90">
        <f t="shared" si="48"/>
        <v>0</v>
      </c>
      <c r="AN105" s="91" t="str">
        <f t="shared" si="53"/>
        <v/>
      </c>
      <c r="AO105" s="92" t="str">
        <f t="shared" si="54"/>
        <v/>
      </c>
      <c r="AP105" s="92" t="str">
        <f t="shared" si="55"/>
        <v/>
      </c>
      <c r="AQ105" s="92" t="str">
        <f t="shared" si="56"/>
        <v/>
      </c>
      <c r="AR105" s="92" t="str">
        <f t="shared" si="57"/>
        <v/>
      </c>
      <c r="AS105" s="92" t="str">
        <f t="shared" si="58"/>
        <v/>
      </c>
      <c r="AT105" s="92" t="str">
        <f t="shared" si="59"/>
        <v/>
      </c>
      <c r="AU105" s="92" t="str">
        <f t="shared" si="60"/>
        <v/>
      </c>
      <c r="AV105" s="92" t="str">
        <f t="shared" si="61"/>
        <v/>
      </c>
      <c r="AW105" s="92" t="str">
        <f t="shared" si="62"/>
        <v/>
      </c>
      <c r="AX105" s="92" t="str">
        <f t="shared" si="62"/>
        <v/>
      </c>
      <c r="AY105" s="93" t="str">
        <f t="shared" si="63"/>
        <v/>
      </c>
      <c r="AZ105" s="94" t="str">
        <f t="shared" si="45"/>
        <v/>
      </c>
      <c r="BA105" s="95" t="str">
        <f t="shared" si="46"/>
        <v/>
      </c>
      <c r="BB105" s="689">
        <f>SUM('Defect (Total)'!BB105,Planned!CE105,Reconductor!CE105,CTGS!CE105,'Substation 2025$'!CE105*$BL$1,Comms!CA105*$BL$2)</f>
        <v>0</v>
      </c>
      <c r="BC105" s="689">
        <f>SUM('Defect (Total)'!BC105,Planned!CF105,Reconductor!CF105,CTGS!CF105,'Substation 2025$'!CF105*$BL$1,Comms!CB105*$BL$2)</f>
        <v>0</v>
      </c>
      <c r="BD105" s="96">
        <f>SUM('Defect (Total)'!BD105,Planned!CG105,Reconductor!CG105,CTGS!CG105,'Substation 2025$'!CG105*$BL$1,Comms!CC105*$BL$2)</f>
        <v>20</v>
      </c>
      <c r="BE105" s="96">
        <f>SUM('Defect (Total)'!BE105,Planned!CH105,Reconductor!CH105,CTGS!CH105,'Substation 2025$'!CH105*$BL$1,Comms!CD105*$BL$2)</f>
        <v>0</v>
      </c>
      <c r="BF105" s="96">
        <f>SUM('Defect (Total)'!BF105,Planned!CI105,Reconductor!CI105,CTGS!CI105,'Substation 2025$'!CI105*$BL$1,Comms!CE105*$BL$2)</f>
        <v>0</v>
      </c>
      <c r="BG105" s="96">
        <f>SUM('Defect (Total)'!BG105,Planned!CJ105,Reconductor!CJ105,CTGS!CJ105,'Substation 2025$'!CJ105*$BL$1,Comms!CF105*$BL$2)</f>
        <v>0</v>
      </c>
      <c r="BH105" s="96">
        <f>SUM('Defect (Total)'!BH105,Planned!CK105,Reconductor!CK105,CTGS!CK105,'Substation 2025$'!CK105*$BL$1,Comms!CG105*$BL$2)</f>
        <v>0</v>
      </c>
      <c r="BI105" s="286">
        <f>SUM('Defect (Total)'!BI105,Planned!CL105,Reconductor!CL105,CTGS!CL105,'Substation 2025$'!CL105*$BL$1,Comms!CH105*$BL$2)</f>
        <v>0</v>
      </c>
      <c r="BJ105" s="99" t="str">
        <f t="shared" si="51"/>
        <v/>
      </c>
      <c r="BK105" s="992">
        <f>SUM('Defect (Total)'!BK105,Planned!CQ105,Reconductor!CQ105,CTGS!CQ105,'Substation 2025$'!CQ105*$BL$1,Comms!CM105*$BL$2)</f>
        <v>0</v>
      </c>
      <c r="BL105" s="992">
        <f>SUM('Defect (Total)'!BL105,Planned!CR105,Reconductor!CR105,CTGS!CR105,'Substation 2025$'!CR105*$BL$1,Comms!CN105*$BL$2)</f>
        <v>2002591.4597580743</v>
      </c>
      <c r="BM105" s="524">
        <f>SUM('Defect (Total)'!BM105,Planned!CS105,Reconductor!CS105,CTGS!CS105,'Substation 2025$'!CS105*$BL$1,Comms!CO105*$BL$2)</f>
        <v>907841.02502939524</v>
      </c>
      <c r="BN105" s="416">
        <f>SUM('Defect (Total)'!BN105,Planned!CT105,Reconductor!CT105,CTGS!CT105,'Substation 2025$'!CT105*$BL$1,Comms!CP105*$BL$2)</f>
        <v>0</v>
      </c>
      <c r="BO105" s="97">
        <f>SUM('Defect (Total)'!BO105,Planned!CU105,Reconductor!CU105,CTGS!CU105,'Substation 2025$'!CU105*$BL$1,Comms!CQ105*$BL$2)</f>
        <v>0</v>
      </c>
      <c r="BP105" s="97">
        <f>SUM('Defect (Total)'!BP105,Planned!CV105,Reconductor!CV105,CTGS!CV105,'Substation 2025$'!CV105*$BL$1,Comms!CR105*$BL$2)</f>
        <v>0</v>
      </c>
      <c r="BQ105" s="97">
        <f>SUM('Defect (Total)'!BQ105,Planned!CW105,Reconductor!CW105,CTGS!CW105,'Substation 2025$'!CW105*$BL$1,Comms!CS105*$BL$2)</f>
        <v>0</v>
      </c>
      <c r="BR105" s="98">
        <f>SUM('Defect (Total)'!BR105,Planned!CX105,Reconductor!CX105,CTGS!CX105,'Substation 2025$'!CX105*$BL$1,Comms!CT105*$BL$2)</f>
        <v>0</v>
      </c>
    </row>
    <row r="106" spans="1:70" x14ac:dyDescent="0.25">
      <c r="A106" s="81" t="s">
        <v>196</v>
      </c>
      <c r="B106" s="82" t="s">
        <v>215</v>
      </c>
      <c r="C106" s="83" t="s">
        <v>392</v>
      </c>
      <c r="D106" s="84">
        <f>SUM('Defect (Total)'!D106,Planned!D106,Reconductor!D106,CTGS!D106)</f>
        <v>0</v>
      </c>
      <c r="E106" s="85">
        <f>SUM('Defect (Total)'!E106,Planned!E106,Reconductor!E106,CTGS!E106)</f>
        <v>0</v>
      </c>
      <c r="F106" s="85">
        <f>SUM('Defect (Total)'!F106,Planned!F106,Reconductor!F106,CTGS!F106)</f>
        <v>0</v>
      </c>
      <c r="G106" s="85">
        <f>SUM('Defect (Total)'!G106,Planned!G106,Reconductor!G106,CTGS!G106)</f>
        <v>0</v>
      </c>
      <c r="H106" s="85">
        <f>SUM('Defect (Total)'!H106,Planned!H106,Reconductor!H106,CTGS!H106)</f>
        <v>0</v>
      </c>
      <c r="I106" s="85">
        <f>SUM('Defect (Total)'!I106,Planned!I106,Reconductor!I106,CTGS!I106)</f>
        <v>0</v>
      </c>
      <c r="J106" s="85">
        <f>SUM('Defect (Total)'!J106,Planned!J106,Reconductor!J106,CTGS!J106)</f>
        <v>0</v>
      </c>
      <c r="K106" s="85">
        <f>SUM('Defect (Total)'!K106,Planned!K106,Reconductor!K106,CTGS!K106)</f>
        <v>0</v>
      </c>
      <c r="L106" s="85">
        <f>SUM('Defect (Total)'!L106,Planned!L106,Reconductor!L106,CTGS!L106)</f>
        <v>0</v>
      </c>
      <c r="M106" s="85">
        <f>SUM('Defect (Total)'!M106,Planned!M106,Reconductor!M106,CTGS!M106)</f>
        <v>0</v>
      </c>
      <c r="N106" s="85">
        <f>SUM('Defect (Total)'!N106,Planned!N106,Reconductor!N106,CTGS!N106)</f>
        <v>0</v>
      </c>
      <c r="O106" s="560">
        <f>SUM('Defect (Total)'!O106,Planned!O106,Reconductor!O106,CTGS!O106)</f>
        <v>0</v>
      </c>
      <c r="P106" s="561">
        <f>SUM('Defect (Total)'!P106,Planned!P106,Reconductor!P106,CTGS!P106)</f>
        <v>0</v>
      </c>
      <c r="Q106" s="561">
        <f>SUM('Defect (Total)'!Q106,Planned!Q106,Reconductor!Q106,CTGS!Q106)</f>
        <v>0</v>
      </c>
      <c r="R106" s="561">
        <f>SUM('Defect (Total)'!R106,Planned!R106,Reconductor!R106,CTGS!R106)</f>
        <v>0</v>
      </c>
      <c r="S106" s="561">
        <f>SUM('Defect (Total)'!S106,Planned!S106,Reconductor!S106,CTGS!S106)</f>
        <v>0</v>
      </c>
      <c r="T106" s="561">
        <f>SUM('Defect (Total)'!T106,Planned!T106,Reconductor!T106,CTGS!T106)</f>
        <v>0</v>
      </c>
      <c r="U106" s="561">
        <f>SUM('Defect (Total)'!U106,Planned!U106,Reconductor!U106,CTGS!U106)</f>
        <v>0</v>
      </c>
      <c r="V106" s="561">
        <f>SUM('Defect (Total)'!V106,Planned!V106,Reconductor!V106,CTGS!V106)</f>
        <v>0</v>
      </c>
      <c r="W106" s="561">
        <f>SUM('Defect (Total)'!W106,Planned!W106,Reconductor!W106,CTGS!W106)</f>
        <v>0</v>
      </c>
      <c r="X106" s="675">
        <f>SUM('Defect (Total)'!X106,Planned!X106,Reconductor!X106,CTGS!X106)</f>
        <v>0</v>
      </c>
      <c r="Y106" s="675">
        <f>SUM('Defect (Total)'!Y106,Planned!Y106,Reconductor!Y106,CTGS!Y106)</f>
        <v>0</v>
      </c>
      <c r="Z106" s="86">
        <f>SUM('Defect (Total)'!Z106,Planned!Z106,Reconductor!Z106,CTGS!Z106)</f>
        <v>0</v>
      </c>
      <c r="AA106" s="87">
        <f>SUM('Defect (Total)'!AA106,Planned!AA106,Reconductor!AA106,CTGS!AA106)</f>
        <v>0</v>
      </c>
      <c r="AB106" s="87">
        <f>SUM('Defect (Total)'!AB106,Planned!AB106,Reconductor!AB106,CTGS!AB106)</f>
        <v>0</v>
      </c>
      <c r="AC106" s="87">
        <f>SUM('Defect (Total)'!AC106,Planned!AC106,Reconductor!AC106,CTGS!AC106)</f>
        <v>0</v>
      </c>
      <c r="AD106" s="87">
        <f>SUM('Defect (Total)'!AD106,Planned!AD106,Reconductor!AD106,CTGS!AD106)</f>
        <v>0</v>
      </c>
      <c r="AE106" s="87">
        <f>SUM('Defect (Total)'!AE106,Planned!AE106,Reconductor!AE106,CTGS!AE106)</f>
        <v>0</v>
      </c>
      <c r="AF106" s="87">
        <f>SUM('Defect (Total)'!AF106,Planned!AF106,Reconductor!AF106,CTGS!AF106)</f>
        <v>0</v>
      </c>
      <c r="AG106" s="87">
        <f>SUM('Defect (Total)'!AG106,Planned!AG106,Reconductor!AG106,CTGS!AG106)</f>
        <v>0</v>
      </c>
      <c r="AH106" s="87">
        <f>SUM('Defect (Total)'!AH106,Planned!AH106,Reconductor!AH106,CTGS!AH106)</f>
        <v>0</v>
      </c>
      <c r="AI106" s="87">
        <f>SUM('Defect (Total)'!AI106,Planned!AI106,Reconductor!AI106,CTGS!AI106)</f>
        <v>0</v>
      </c>
      <c r="AJ106" s="87">
        <f>SUM('Defect (Total)'!AJ106,Planned!AJ106,Reconductor!AJ106,CTGS!AJ106)</f>
        <v>0</v>
      </c>
      <c r="AK106" s="88">
        <f t="shared" si="47"/>
        <v>0</v>
      </c>
      <c r="AL106" s="89">
        <f t="shared" si="52"/>
        <v>0</v>
      </c>
      <c r="AM106" s="90">
        <f t="shared" si="48"/>
        <v>0</v>
      </c>
      <c r="AN106" s="91" t="str">
        <f t="shared" si="53"/>
        <v/>
      </c>
      <c r="AO106" s="92" t="str">
        <f t="shared" si="54"/>
        <v/>
      </c>
      <c r="AP106" s="92" t="str">
        <f t="shared" si="55"/>
        <v/>
      </c>
      <c r="AQ106" s="92" t="str">
        <f t="shared" si="56"/>
        <v/>
      </c>
      <c r="AR106" s="92" t="str">
        <f t="shared" si="57"/>
        <v/>
      </c>
      <c r="AS106" s="92" t="str">
        <f t="shared" si="58"/>
        <v/>
      </c>
      <c r="AT106" s="92" t="str">
        <f t="shared" si="59"/>
        <v/>
      </c>
      <c r="AU106" s="92" t="str">
        <f t="shared" si="60"/>
        <v/>
      </c>
      <c r="AV106" s="92" t="str">
        <f t="shared" si="61"/>
        <v/>
      </c>
      <c r="AW106" s="92" t="str">
        <f t="shared" si="62"/>
        <v/>
      </c>
      <c r="AX106" s="92" t="str">
        <f t="shared" si="62"/>
        <v/>
      </c>
      <c r="AY106" s="93" t="str">
        <f t="shared" si="63"/>
        <v/>
      </c>
      <c r="AZ106" s="94" t="str">
        <f t="shared" si="45"/>
        <v/>
      </c>
      <c r="BA106" s="95" t="str">
        <f t="shared" si="46"/>
        <v/>
      </c>
      <c r="BB106" s="689">
        <f>SUM('Defect (Total)'!BB106,Planned!CE106,Reconductor!CE106,CTGS!CE106,'Substation 2025$'!CE106*$BL$1,Comms!CA106*$BL$2)</f>
        <v>0</v>
      </c>
      <c r="BC106" s="689">
        <f>SUM('Defect (Total)'!BC106,Planned!CF106,Reconductor!CF106,CTGS!CF106,'Substation 2025$'!CF106*$BL$1,Comms!CB106*$BL$2)</f>
        <v>1</v>
      </c>
      <c r="BD106" s="96">
        <f>SUM('Defect (Total)'!BD106,Planned!CG106,Reconductor!CG106,CTGS!CG106,'Substation 2025$'!CG106*$BL$1,Comms!CC106*$BL$2)</f>
        <v>2</v>
      </c>
      <c r="BE106" s="96">
        <f>SUM('Defect (Total)'!BE106,Planned!CH106,Reconductor!CH106,CTGS!CH106,'Substation 2025$'!CH106*$BL$1,Comms!CD106*$BL$2)</f>
        <v>1</v>
      </c>
      <c r="BF106" s="96">
        <f>SUM('Defect (Total)'!BF106,Planned!CI106,Reconductor!CI106,CTGS!CI106,'Substation 2025$'!CI106*$BL$1,Comms!CE106*$BL$2)</f>
        <v>0</v>
      </c>
      <c r="BG106" s="96">
        <f>SUM('Defect (Total)'!BG106,Planned!CJ106,Reconductor!CJ106,CTGS!CJ106,'Substation 2025$'!CJ106*$BL$1,Comms!CF106*$BL$2)</f>
        <v>3</v>
      </c>
      <c r="BH106" s="96">
        <f>SUM('Defect (Total)'!BH106,Planned!CK106,Reconductor!CK106,CTGS!CK106,'Substation 2025$'!CK106*$BL$1,Comms!CG106*$BL$2)</f>
        <v>0</v>
      </c>
      <c r="BI106" s="286">
        <f>SUM('Defect (Total)'!BI106,Planned!CL106,Reconductor!CL106,CTGS!CL106,'Substation 2025$'!CL106*$BL$1,Comms!CH106*$BL$2)</f>
        <v>0</v>
      </c>
      <c r="BJ106" s="99">
        <f t="shared" si="51"/>
        <v>56843.709908993427</v>
      </c>
      <c r="BK106" s="992">
        <f>SUM('Defect (Total)'!BK106,Planned!CQ106,Reconductor!CQ106,CTGS!CQ106,'Substation 2025$'!CQ106*$BL$1,Comms!CM106*$BL$2)</f>
        <v>197796.67800259945</v>
      </c>
      <c r="BL106" s="992">
        <f>SUM('Defect (Total)'!BL106,Planned!CR106,Reconductor!CR106,CTGS!CR106,'Substation 2025$'!CR106*$BL$1,Comms!CN106*$BL$2)</f>
        <v>529581.91121497157</v>
      </c>
      <c r="BM106" s="524">
        <f>SUM('Defect (Total)'!BM106,Planned!CS106,Reconductor!CS106,CTGS!CS106,'Substation 2025$'!CS106*$BL$1,Comms!CO106*$BL$2)</f>
        <v>279988.91406792734</v>
      </c>
      <c r="BN106" s="416">
        <f>SUM('Defect (Total)'!BN106,Planned!CT106,Reconductor!CT106,CTGS!CT106,'Substation 2025$'!CT106*$BL$1,Comms!CP106*$BL$2)</f>
        <v>106193.1265192834</v>
      </c>
      <c r="BO106" s="97">
        <f>SUM('Defect (Total)'!BO106,Planned!CU106,Reconductor!CU106,CTGS!CU106,'Substation 2025$'!CU106*$BL$1,Comms!CQ106*$BL$2)</f>
        <v>95705.163304512549</v>
      </c>
      <c r="BP106" s="97">
        <f>SUM('Defect (Total)'!BP106,Planned!CV106,Reconductor!CV106,CTGS!CV106,'Substation 2025$'!CV106*$BL$1,Comms!CR106*$BL$2)</f>
        <v>25476.549812177749</v>
      </c>
      <c r="BQ106" s="97">
        <f>SUM('Defect (Total)'!BQ106,Planned!CW106,Reconductor!CW106,CTGS!CW106,'Substation 2025$'!CW106*$BL$1,Comms!CS106*$BL$2)</f>
        <v>0</v>
      </c>
      <c r="BR106" s="98">
        <f>SUM('Defect (Total)'!BR106,Planned!CX106,Reconductor!CX106,CTGS!CX106,'Substation 2025$'!CX106*$BL$1,Comms!CT106*$BL$2)</f>
        <v>0</v>
      </c>
    </row>
    <row r="107" spans="1:70" x14ac:dyDescent="0.25">
      <c r="A107" s="81" t="s">
        <v>196</v>
      </c>
      <c r="B107" s="82" t="s">
        <v>217</v>
      </c>
      <c r="C107" s="83" t="s">
        <v>218</v>
      </c>
      <c r="D107" s="84">
        <f>SUM('Defect (Total)'!D107,Planned!D107,Reconductor!D107,CTGS!D107)</f>
        <v>0</v>
      </c>
      <c r="E107" s="85">
        <f>SUM('Defect (Total)'!E107,Planned!E107,Reconductor!E107,CTGS!E107)</f>
        <v>0</v>
      </c>
      <c r="F107" s="85">
        <f>SUM('Defect (Total)'!F107,Planned!F107,Reconductor!F107,CTGS!F107)</f>
        <v>0</v>
      </c>
      <c r="G107" s="85">
        <f>SUM('Defect (Total)'!G107,Planned!G107,Reconductor!G107,CTGS!G107)</f>
        <v>0</v>
      </c>
      <c r="H107" s="85">
        <f>SUM('Defect (Total)'!H107,Planned!H107,Reconductor!H107,CTGS!H107)</f>
        <v>0</v>
      </c>
      <c r="I107" s="85">
        <f>SUM('Defect (Total)'!I107,Planned!I107,Reconductor!I107,CTGS!I107)</f>
        <v>0</v>
      </c>
      <c r="J107" s="85">
        <f>SUM('Defect (Total)'!J107,Planned!J107,Reconductor!J107,CTGS!J107)</f>
        <v>0</v>
      </c>
      <c r="K107" s="85">
        <f>SUM('Defect (Total)'!K107,Planned!K107,Reconductor!K107,CTGS!K107)</f>
        <v>0</v>
      </c>
      <c r="L107" s="85">
        <f>SUM('Defect (Total)'!L107,Planned!L107,Reconductor!L107,CTGS!L107)</f>
        <v>0</v>
      </c>
      <c r="M107" s="85">
        <f>SUM('Defect (Total)'!M107,Planned!M107,Reconductor!M107,CTGS!M107)</f>
        <v>0</v>
      </c>
      <c r="N107" s="85">
        <f>SUM('Defect (Total)'!N107,Planned!N107,Reconductor!N107,CTGS!N107)</f>
        <v>0</v>
      </c>
      <c r="O107" s="560">
        <f>SUM('Defect (Total)'!O107,Planned!O107,Reconductor!O107,CTGS!O107)</f>
        <v>0</v>
      </c>
      <c r="P107" s="561">
        <f>SUM('Defect (Total)'!P107,Planned!P107,Reconductor!P107,CTGS!P107)</f>
        <v>0</v>
      </c>
      <c r="Q107" s="561">
        <f>SUM('Defect (Total)'!Q107,Planned!Q107,Reconductor!Q107,CTGS!Q107)</f>
        <v>0</v>
      </c>
      <c r="R107" s="561">
        <f>SUM('Defect (Total)'!R107,Planned!R107,Reconductor!R107,CTGS!R107)</f>
        <v>0</v>
      </c>
      <c r="S107" s="561">
        <f>SUM('Defect (Total)'!S107,Planned!S107,Reconductor!S107,CTGS!S107)</f>
        <v>0</v>
      </c>
      <c r="T107" s="561">
        <f>SUM('Defect (Total)'!T107,Planned!T107,Reconductor!T107,CTGS!T107)</f>
        <v>0</v>
      </c>
      <c r="U107" s="561">
        <f>SUM('Defect (Total)'!U107,Planned!U107,Reconductor!U107,CTGS!U107)</f>
        <v>0</v>
      </c>
      <c r="V107" s="561">
        <f>SUM('Defect (Total)'!V107,Planned!V107,Reconductor!V107,CTGS!V107)</f>
        <v>0</v>
      </c>
      <c r="W107" s="561">
        <f>SUM('Defect (Total)'!W107,Planned!W107,Reconductor!W107,CTGS!W107)</f>
        <v>0</v>
      </c>
      <c r="X107" s="675">
        <f>SUM('Defect (Total)'!X107,Planned!X107,Reconductor!X107,CTGS!X107)</f>
        <v>0</v>
      </c>
      <c r="Y107" s="675">
        <f>SUM('Defect (Total)'!Y107,Planned!Y107,Reconductor!Y107,CTGS!Y107)</f>
        <v>0</v>
      </c>
      <c r="Z107" s="86">
        <f>SUM('Defect (Total)'!Z107,Planned!Z107,Reconductor!Z107,CTGS!Z107)</f>
        <v>0</v>
      </c>
      <c r="AA107" s="87">
        <f>SUM('Defect (Total)'!AA107,Planned!AA107,Reconductor!AA107,CTGS!AA107)</f>
        <v>0</v>
      </c>
      <c r="AB107" s="87">
        <f>SUM('Defect (Total)'!AB107,Planned!AB107,Reconductor!AB107,CTGS!AB107)</f>
        <v>0</v>
      </c>
      <c r="AC107" s="87">
        <f>SUM('Defect (Total)'!AC107,Planned!AC107,Reconductor!AC107,CTGS!AC107)</f>
        <v>0</v>
      </c>
      <c r="AD107" s="87">
        <f>SUM('Defect (Total)'!AD107,Planned!AD107,Reconductor!AD107,CTGS!AD107)</f>
        <v>0</v>
      </c>
      <c r="AE107" s="87">
        <f>SUM('Defect (Total)'!AE107,Planned!AE107,Reconductor!AE107,CTGS!AE107)</f>
        <v>0</v>
      </c>
      <c r="AF107" s="87">
        <f>SUM('Defect (Total)'!AF107,Planned!AF107,Reconductor!AF107,CTGS!AF107)</f>
        <v>0</v>
      </c>
      <c r="AG107" s="87">
        <f>SUM('Defect (Total)'!AG107,Planned!AG107,Reconductor!AG107,CTGS!AG107)</f>
        <v>0</v>
      </c>
      <c r="AH107" s="87">
        <f>SUM('Defect (Total)'!AH107,Planned!AH107,Reconductor!AH107,CTGS!AH107)</f>
        <v>0</v>
      </c>
      <c r="AI107" s="87">
        <f>SUM('Defect (Total)'!AI107,Planned!AI107,Reconductor!AI107,CTGS!AI107)</f>
        <v>0</v>
      </c>
      <c r="AJ107" s="87">
        <f>SUM('Defect (Total)'!AJ107,Planned!AJ107,Reconductor!AJ107,CTGS!AJ107)</f>
        <v>0</v>
      </c>
      <c r="AK107" s="88">
        <f t="shared" si="47"/>
        <v>0</v>
      </c>
      <c r="AL107" s="89">
        <f t="shared" si="52"/>
        <v>0</v>
      </c>
      <c r="AM107" s="90">
        <f t="shared" si="48"/>
        <v>0</v>
      </c>
      <c r="AN107" s="91" t="str">
        <f t="shared" si="53"/>
        <v/>
      </c>
      <c r="AO107" s="92" t="str">
        <f t="shared" si="54"/>
        <v/>
      </c>
      <c r="AP107" s="92" t="str">
        <f t="shared" si="55"/>
        <v/>
      </c>
      <c r="AQ107" s="92" t="str">
        <f t="shared" si="56"/>
        <v/>
      </c>
      <c r="AR107" s="92" t="str">
        <f t="shared" si="57"/>
        <v/>
      </c>
      <c r="AS107" s="92" t="str">
        <f t="shared" si="58"/>
        <v/>
      </c>
      <c r="AT107" s="92" t="str">
        <f t="shared" si="59"/>
        <v/>
      </c>
      <c r="AU107" s="92" t="str">
        <f t="shared" si="60"/>
        <v/>
      </c>
      <c r="AV107" s="92" t="str">
        <f t="shared" si="61"/>
        <v/>
      </c>
      <c r="AW107" s="92" t="str">
        <f t="shared" si="62"/>
        <v/>
      </c>
      <c r="AX107" s="92" t="str">
        <f t="shared" si="62"/>
        <v/>
      </c>
      <c r="AY107" s="93" t="str">
        <f t="shared" si="63"/>
        <v/>
      </c>
      <c r="AZ107" s="94" t="str">
        <f t="shared" si="45"/>
        <v/>
      </c>
      <c r="BA107" s="95" t="str">
        <f t="shared" si="46"/>
        <v/>
      </c>
      <c r="BB107" s="689">
        <f>SUM('Defect (Total)'!BB107,Planned!CE107,Reconductor!CE107,CTGS!CE107,'Substation 2025$'!CE107*$BL$1,Comms!CA107*$BL$2)</f>
        <v>0</v>
      </c>
      <c r="BC107" s="689">
        <f>SUM('Defect (Total)'!BC107,Planned!CF107,Reconductor!CF107,CTGS!CF107,'Substation 2025$'!CF107*$BL$1,Comms!CB107*$BL$2)</f>
        <v>0</v>
      </c>
      <c r="BD107" s="96">
        <f>SUM('Defect (Total)'!BD107,Planned!CG107,Reconductor!CG107,CTGS!CG107,'Substation 2025$'!CG107*$BL$1,Comms!CC107*$BL$2)</f>
        <v>0</v>
      </c>
      <c r="BE107" s="96">
        <f>SUM('Defect (Total)'!BE107,Planned!CH107,Reconductor!CH107,CTGS!CH107,'Substation 2025$'!CH107*$BL$1,Comms!CD107*$BL$2)</f>
        <v>0</v>
      </c>
      <c r="BF107" s="96">
        <f>SUM('Defect (Total)'!BF107,Planned!CI107,Reconductor!CI107,CTGS!CI107,'Substation 2025$'!CI107*$BL$1,Comms!CE107*$BL$2)</f>
        <v>0</v>
      </c>
      <c r="BG107" s="96">
        <f>SUM('Defect (Total)'!BG107,Planned!CJ107,Reconductor!CJ107,CTGS!CJ107,'Substation 2025$'!CJ107*$BL$1,Comms!CF107*$BL$2)</f>
        <v>0</v>
      </c>
      <c r="BH107" s="96">
        <f>SUM('Defect (Total)'!BH107,Planned!CK107,Reconductor!CK107,CTGS!CK107,'Substation 2025$'!CK107*$BL$1,Comms!CG107*$BL$2)</f>
        <v>0</v>
      </c>
      <c r="BI107" s="286">
        <f>SUM('Defect (Total)'!BI107,Planned!CL107,Reconductor!CL107,CTGS!CL107,'Substation 2025$'!CL107*$BL$1,Comms!CH107*$BL$2)</f>
        <v>0</v>
      </c>
      <c r="BJ107" s="99" t="str">
        <f t="shared" si="51"/>
        <v/>
      </c>
      <c r="BK107" s="992">
        <f>SUM('Defect (Total)'!BK107,Planned!CQ107,Reconductor!CQ107,CTGS!CQ107,'Substation 2025$'!CQ107*$BL$1,Comms!CM107*$BL$2)</f>
        <v>0</v>
      </c>
      <c r="BL107" s="992">
        <f>SUM('Defect (Total)'!BL107,Planned!CR107,Reconductor!CR107,CTGS!CR107,'Substation 2025$'!CR107*$BL$1,Comms!CN107*$BL$2)</f>
        <v>0</v>
      </c>
      <c r="BM107" s="524">
        <f>SUM('Defect (Total)'!BM107,Planned!CS107,Reconductor!CS107,CTGS!CS107,'Substation 2025$'!CS107*$BL$1,Comms!CO107*$BL$2)</f>
        <v>0</v>
      </c>
      <c r="BN107" s="416">
        <f>SUM('Defect (Total)'!BN107,Planned!CT107,Reconductor!CT107,CTGS!CT107,'Substation 2025$'!CT107*$BL$1,Comms!CP107*$BL$2)</f>
        <v>0</v>
      </c>
      <c r="BO107" s="97">
        <f>SUM('Defect (Total)'!BO107,Planned!CU107,Reconductor!CU107,CTGS!CU107,'Substation 2025$'!CU107*$BL$1,Comms!CQ107*$BL$2)</f>
        <v>0</v>
      </c>
      <c r="BP107" s="97">
        <f>SUM('Defect (Total)'!BP107,Planned!CV107,Reconductor!CV107,CTGS!CV107,'Substation 2025$'!CV107*$BL$1,Comms!CR107*$BL$2)</f>
        <v>0</v>
      </c>
      <c r="BQ107" s="97">
        <f>SUM('Defect (Total)'!BQ107,Planned!CW107,Reconductor!CW107,CTGS!CW107,'Substation 2025$'!CW107*$BL$1,Comms!CS107*$BL$2)</f>
        <v>0</v>
      </c>
      <c r="BR107" s="98">
        <f>SUM('Defect (Total)'!BR107,Planned!CX107,Reconductor!CX107,CTGS!CX107,'Substation 2025$'!CX107*$BL$1,Comms!CT107*$BL$2)</f>
        <v>0</v>
      </c>
    </row>
    <row r="108" spans="1:70" x14ac:dyDescent="0.25">
      <c r="A108" s="81" t="s">
        <v>196</v>
      </c>
      <c r="B108" s="82" t="s">
        <v>219</v>
      </c>
      <c r="C108" s="83" t="s">
        <v>220</v>
      </c>
      <c r="D108" s="84">
        <f>SUM('Defect (Total)'!D108,Planned!D108,Reconductor!D108,CTGS!D108)</f>
        <v>0</v>
      </c>
      <c r="E108" s="85">
        <f>SUM('Defect (Total)'!E108,Planned!E108,Reconductor!E108,CTGS!E108)</f>
        <v>0</v>
      </c>
      <c r="F108" s="85">
        <f>SUM('Defect (Total)'!F108,Planned!F108,Reconductor!F108,CTGS!F108)</f>
        <v>0</v>
      </c>
      <c r="G108" s="85">
        <f>SUM('Defect (Total)'!G108,Planned!G108,Reconductor!G108,CTGS!G108)</f>
        <v>0</v>
      </c>
      <c r="H108" s="85">
        <f>SUM('Defect (Total)'!H108,Planned!H108,Reconductor!H108,CTGS!H108)</f>
        <v>0</v>
      </c>
      <c r="I108" s="85">
        <f>SUM('Defect (Total)'!I108,Planned!I108,Reconductor!I108,CTGS!I108)</f>
        <v>0</v>
      </c>
      <c r="J108" s="85">
        <f>SUM('Defect (Total)'!J108,Planned!J108,Reconductor!J108,CTGS!J108)</f>
        <v>0</v>
      </c>
      <c r="K108" s="85">
        <f>SUM('Defect (Total)'!K108,Planned!K108,Reconductor!K108,CTGS!K108)</f>
        <v>0</v>
      </c>
      <c r="L108" s="85">
        <f>SUM('Defect (Total)'!L108,Planned!L108,Reconductor!L108,CTGS!L108)</f>
        <v>0</v>
      </c>
      <c r="M108" s="85">
        <f>SUM('Defect (Total)'!M108,Planned!M108,Reconductor!M108,CTGS!M108)</f>
        <v>0</v>
      </c>
      <c r="N108" s="85">
        <f>SUM('Defect (Total)'!N108,Planned!N108,Reconductor!N108,CTGS!N108)</f>
        <v>0</v>
      </c>
      <c r="O108" s="560">
        <f>SUM('Defect (Total)'!O108,Planned!O108,Reconductor!O108,CTGS!O108)</f>
        <v>0</v>
      </c>
      <c r="P108" s="561">
        <f>SUM('Defect (Total)'!P108,Planned!P108,Reconductor!P108,CTGS!P108)</f>
        <v>0</v>
      </c>
      <c r="Q108" s="561">
        <f>SUM('Defect (Total)'!Q108,Planned!Q108,Reconductor!Q108,CTGS!Q108)</f>
        <v>0</v>
      </c>
      <c r="R108" s="561">
        <f>SUM('Defect (Total)'!R108,Planned!R108,Reconductor!R108,CTGS!R108)</f>
        <v>0</v>
      </c>
      <c r="S108" s="561">
        <f>SUM('Defect (Total)'!S108,Planned!S108,Reconductor!S108,CTGS!S108)</f>
        <v>0</v>
      </c>
      <c r="T108" s="561">
        <f>SUM('Defect (Total)'!T108,Planned!T108,Reconductor!T108,CTGS!T108)</f>
        <v>0</v>
      </c>
      <c r="U108" s="561">
        <f>SUM('Defect (Total)'!U108,Planned!U108,Reconductor!U108,CTGS!U108)</f>
        <v>0</v>
      </c>
      <c r="V108" s="561">
        <f>SUM('Defect (Total)'!V108,Planned!V108,Reconductor!V108,CTGS!V108)</f>
        <v>0</v>
      </c>
      <c r="W108" s="561">
        <f>SUM('Defect (Total)'!W108,Planned!W108,Reconductor!W108,CTGS!W108)</f>
        <v>0</v>
      </c>
      <c r="X108" s="675">
        <f>SUM('Defect (Total)'!X108,Planned!X108,Reconductor!X108,CTGS!X108)</f>
        <v>0</v>
      </c>
      <c r="Y108" s="675">
        <f>SUM('Defect (Total)'!Y108,Planned!Y108,Reconductor!Y108,CTGS!Y108)</f>
        <v>0</v>
      </c>
      <c r="Z108" s="86">
        <f>SUM('Defect (Total)'!Z108,Planned!Z108,Reconductor!Z108,CTGS!Z108)</f>
        <v>0</v>
      </c>
      <c r="AA108" s="87">
        <f>SUM('Defect (Total)'!AA108,Planned!AA108,Reconductor!AA108,CTGS!AA108)</f>
        <v>0</v>
      </c>
      <c r="AB108" s="87">
        <f>SUM('Defect (Total)'!AB108,Planned!AB108,Reconductor!AB108,CTGS!AB108)</f>
        <v>0</v>
      </c>
      <c r="AC108" s="87">
        <f>SUM('Defect (Total)'!AC108,Planned!AC108,Reconductor!AC108,CTGS!AC108)</f>
        <v>0</v>
      </c>
      <c r="AD108" s="87">
        <f>SUM('Defect (Total)'!AD108,Planned!AD108,Reconductor!AD108,CTGS!AD108)</f>
        <v>0</v>
      </c>
      <c r="AE108" s="87">
        <f>SUM('Defect (Total)'!AE108,Planned!AE108,Reconductor!AE108,CTGS!AE108)</f>
        <v>0</v>
      </c>
      <c r="AF108" s="87">
        <f>SUM('Defect (Total)'!AF108,Planned!AF108,Reconductor!AF108,CTGS!AF108)</f>
        <v>0</v>
      </c>
      <c r="AG108" s="87">
        <f>SUM('Defect (Total)'!AG108,Planned!AG108,Reconductor!AG108,CTGS!AG108)</f>
        <v>0</v>
      </c>
      <c r="AH108" s="87">
        <f>SUM('Defect (Total)'!AH108,Planned!AH108,Reconductor!AH108,CTGS!AH108)</f>
        <v>0</v>
      </c>
      <c r="AI108" s="87">
        <f>SUM('Defect (Total)'!AI108,Planned!AI108,Reconductor!AI108,CTGS!AI108)</f>
        <v>0</v>
      </c>
      <c r="AJ108" s="87">
        <f>SUM('Defect (Total)'!AJ108,Planned!AJ108,Reconductor!AJ108,CTGS!AJ108)</f>
        <v>0</v>
      </c>
      <c r="AK108" s="88">
        <f t="shared" si="47"/>
        <v>0</v>
      </c>
      <c r="AL108" s="89">
        <f t="shared" si="52"/>
        <v>0</v>
      </c>
      <c r="AM108" s="90">
        <f t="shared" si="48"/>
        <v>0</v>
      </c>
      <c r="AN108" s="91" t="str">
        <f t="shared" si="53"/>
        <v/>
      </c>
      <c r="AO108" s="92" t="str">
        <f t="shared" si="54"/>
        <v/>
      </c>
      <c r="AP108" s="92" t="str">
        <f t="shared" si="55"/>
        <v/>
      </c>
      <c r="AQ108" s="92" t="str">
        <f t="shared" si="56"/>
        <v/>
      </c>
      <c r="AR108" s="92" t="str">
        <f t="shared" si="57"/>
        <v/>
      </c>
      <c r="AS108" s="92" t="str">
        <f t="shared" si="58"/>
        <v/>
      </c>
      <c r="AT108" s="92" t="str">
        <f t="shared" si="59"/>
        <v/>
      </c>
      <c r="AU108" s="92" t="str">
        <f t="shared" si="60"/>
        <v/>
      </c>
      <c r="AV108" s="92" t="str">
        <f t="shared" si="61"/>
        <v/>
      </c>
      <c r="AW108" s="92" t="str">
        <f t="shared" si="62"/>
        <v/>
      </c>
      <c r="AX108" s="92" t="str">
        <f t="shared" si="62"/>
        <v/>
      </c>
      <c r="AY108" s="93" t="str">
        <f t="shared" si="63"/>
        <v/>
      </c>
      <c r="AZ108" s="94" t="str">
        <f t="shared" si="45"/>
        <v/>
      </c>
      <c r="BA108" s="95" t="str">
        <f t="shared" si="46"/>
        <v/>
      </c>
      <c r="BB108" s="689">
        <f>SUM('Defect (Total)'!BB108,Planned!CE108,Reconductor!CE108,CTGS!CE108,'Substation 2025$'!CE108*$BL$1,Comms!CA108*$BL$2)</f>
        <v>0</v>
      </c>
      <c r="BC108" s="689">
        <f>SUM('Defect (Total)'!BC108,Planned!CF108,Reconductor!CF108,CTGS!CF108,'Substation 2025$'!CF108*$BL$1,Comms!CB108*$BL$2)</f>
        <v>0</v>
      </c>
      <c r="BD108" s="96">
        <f>SUM('Defect (Total)'!BD108,Planned!CG108,Reconductor!CG108,CTGS!CG108,'Substation 2025$'!CG108*$BL$1,Comms!CC108*$BL$2)</f>
        <v>0</v>
      </c>
      <c r="BE108" s="96">
        <f>SUM('Defect (Total)'!BE108,Planned!CH108,Reconductor!CH108,CTGS!CH108,'Substation 2025$'!CH108*$BL$1,Comms!CD108*$BL$2)</f>
        <v>0</v>
      </c>
      <c r="BF108" s="96">
        <f>SUM('Defect (Total)'!BF108,Planned!CI108,Reconductor!CI108,CTGS!CI108,'Substation 2025$'!CI108*$BL$1,Comms!CE108*$BL$2)</f>
        <v>0</v>
      </c>
      <c r="BG108" s="96">
        <f>SUM('Defect (Total)'!BG108,Planned!CJ108,Reconductor!CJ108,CTGS!CJ108,'Substation 2025$'!CJ108*$BL$1,Comms!CF108*$BL$2)</f>
        <v>0</v>
      </c>
      <c r="BH108" s="96">
        <f>SUM('Defect (Total)'!BH108,Planned!CK108,Reconductor!CK108,CTGS!CK108,'Substation 2025$'!CK108*$BL$1,Comms!CG108*$BL$2)</f>
        <v>0</v>
      </c>
      <c r="BI108" s="286">
        <f>SUM('Defect (Total)'!BI108,Planned!CL108,Reconductor!CL108,CTGS!CL108,'Substation 2025$'!CL108*$BL$1,Comms!CH108*$BL$2)</f>
        <v>0</v>
      </c>
      <c r="BJ108" s="99" t="str">
        <f t="shared" si="51"/>
        <v/>
      </c>
      <c r="BK108" s="992">
        <f>SUM('Defect (Total)'!BK108,Planned!CQ108,Reconductor!CQ108,CTGS!CQ108,'Substation 2025$'!CQ108*$BL$1,Comms!CM108*$BL$2)</f>
        <v>0</v>
      </c>
      <c r="BL108" s="992">
        <f>SUM('Defect (Total)'!BL108,Planned!CR108,Reconductor!CR108,CTGS!CR108,'Substation 2025$'!CR108*$BL$1,Comms!CN108*$BL$2)</f>
        <v>0</v>
      </c>
      <c r="BM108" s="524">
        <f>SUM('Defect (Total)'!BM108,Planned!CS108,Reconductor!CS108,CTGS!CS108,'Substation 2025$'!CS108*$BL$1,Comms!CO108*$BL$2)</f>
        <v>0</v>
      </c>
      <c r="BN108" s="416">
        <f>SUM('Defect (Total)'!BN108,Planned!CT108,Reconductor!CT108,CTGS!CT108,'Substation 2025$'!CT108*$BL$1,Comms!CP108*$BL$2)</f>
        <v>0</v>
      </c>
      <c r="BO108" s="97">
        <f>SUM('Defect (Total)'!BO108,Planned!CU108,Reconductor!CU108,CTGS!CU108,'Substation 2025$'!CU108*$BL$1,Comms!CQ108*$BL$2)</f>
        <v>0</v>
      </c>
      <c r="BP108" s="97">
        <f>SUM('Defect (Total)'!BP108,Planned!CV108,Reconductor!CV108,CTGS!CV108,'Substation 2025$'!CV108*$BL$1,Comms!CR108*$BL$2)</f>
        <v>0</v>
      </c>
      <c r="BQ108" s="97">
        <f>SUM('Defect (Total)'!BQ108,Planned!CW108,Reconductor!CW108,CTGS!CW108,'Substation 2025$'!CW108*$BL$1,Comms!CS108*$BL$2)</f>
        <v>0</v>
      </c>
      <c r="BR108" s="98">
        <f>SUM('Defect (Total)'!BR108,Planned!CX108,Reconductor!CX108,CTGS!CX108,'Substation 2025$'!CX108*$BL$1,Comms!CT108*$BL$2)</f>
        <v>0</v>
      </c>
    </row>
    <row r="109" spans="1:70" ht="15.75" thickBot="1" x14ac:dyDescent="0.3">
      <c r="A109" s="100" t="s">
        <v>196</v>
      </c>
      <c r="B109" s="101" t="s">
        <v>393</v>
      </c>
      <c r="C109" s="102" t="s">
        <v>394</v>
      </c>
      <c r="D109" s="103">
        <f>SUM('Defect (Total)'!D109,Planned!D109,Reconductor!D109,CTGS!D109)</f>
        <v>0</v>
      </c>
      <c r="E109" s="104">
        <f>SUM('Defect (Total)'!E109,Planned!E109,Reconductor!E109,CTGS!E109)</f>
        <v>0</v>
      </c>
      <c r="F109" s="104">
        <f>SUM('Defect (Total)'!F109,Planned!F109,Reconductor!F109,CTGS!F109)</f>
        <v>45060</v>
      </c>
      <c r="G109" s="104">
        <f>SUM('Defect (Total)'!G109,Planned!G109,Reconductor!G109,CTGS!G109)</f>
        <v>0</v>
      </c>
      <c r="H109" s="104">
        <f>SUM('Defect (Total)'!H109,Planned!H109,Reconductor!H109,CTGS!H109)</f>
        <v>0</v>
      </c>
      <c r="I109" s="104">
        <f>SUM('Defect (Total)'!I109,Planned!I109,Reconductor!I109,CTGS!I109)</f>
        <v>0</v>
      </c>
      <c r="J109" s="104">
        <f>SUM('Defect (Total)'!J109,Planned!J109,Reconductor!J109,CTGS!J109)</f>
        <v>0</v>
      </c>
      <c r="K109" s="104">
        <f>SUM('Defect (Total)'!K109,Planned!K109,Reconductor!K109,CTGS!K109)</f>
        <v>0</v>
      </c>
      <c r="L109" s="104">
        <f>SUM('Defect (Total)'!L109,Planned!L109,Reconductor!L109,CTGS!L109)</f>
        <v>0</v>
      </c>
      <c r="M109" s="104">
        <f>SUM('Defect (Total)'!M109,Planned!M109,Reconductor!M109,CTGS!M109)</f>
        <v>0</v>
      </c>
      <c r="N109" s="104">
        <f>SUM('Defect (Total)'!N109,Planned!N109,Reconductor!N109,CTGS!N109)</f>
        <v>0</v>
      </c>
      <c r="O109" s="563">
        <f>SUM('Defect (Total)'!O109,Planned!O109,Reconductor!O109,CTGS!O109)</f>
        <v>0</v>
      </c>
      <c r="P109" s="564">
        <f>SUM('Defect (Total)'!P109,Planned!P109,Reconductor!P109,CTGS!P109)</f>
        <v>0</v>
      </c>
      <c r="Q109" s="564">
        <f>SUM('Defect (Total)'!Q109,Planned!Q109,Reconductor!Q109,CTGS!Q109)</f>
        <v>59118.978992920638</v>
      </c>
      <c r="R109" s="564">
        <f>SUM('Defect (Total)'!R109,Planned!R109,Reconductor!R109,CTGS!R109)</f>
        <v>0</v>
      </c>
      <c r="S109" s="564">
        <f>SUM('Defect (Total)'!S109,Planned!S109,Reconductor!S109,CTGS!S109)</f>
        <v>0</v>
      </c>
      <c r="T109" s="564">
        <f>SUM('Defect (Total)'!T109,Planned!T109,Reconductor!T109,CTGS!T109)</f>
        <v>0</v>
      </c>
      <c r="U109" s="564">
        <f>SUM('Defect (Total)'!U109,Planned!U109,Reconductor!U109,CTGS!U109)</f>
        <v>0</v>
      </c>
      <c r="V109" s="564">
        <f>SUM('Defect (Total)'!V109,Planned!V109,Reconductor!V109,CTGS!V109)</f>
        <v>0</v>
      </c>
      <c r="W109" s="564">
        <f>SUM('Defect (Total)'!W109,Planned!W109,Reconductor!W109,CTGS!W109)</f>
        <v>0</v>
      </c>
      <c r="X109" s="676">
        <f>SUM('Defect (Total)'!X109,Planned!X109,Reconductor!X109,CTGS!X109)</f>
        <v>0</v>
      </c>
      <c r="Y109" s="676">
        <f>SUM('Defect (Total)'!Y109,Planned!Y109,Reconductor!Y109,CTGS!Y109)</f>
        <v>0</v>
      </c>
      <c r="Z109" s="105">
        <f>SUM('Defect (Total)'!Z109,Planned!Z109,Reconductor!Z109,CTGS!Z109)</f>
        <v>0</v>
      </c>
      <c r="AA109" s="106">
        <f>SUM('Defect (Total)'!AA109,Planned!AA109,Reconductor!AA109,CTGS!AA109)</f>
        <v>0</v>
      </c>
      <c r="AB109" s="106">
        <f>SUM('Defect (Total)'!AB109,Planned!AB109,Reconductor!AB109,CTGS!AB109)</f>
        <v>1</v>
      </c>
      <c r="AC109" s="106">
        <f>SUM('Defect (Total)'!AC109,Planned!AC109,Reconductor!AC109,CTGS!AC109)</f>
        <v>0</v>
      </c>
      <c r="AD109" s="106">
        <f>SUM('Defect (Total)'!AD109,Planned!AD109,Reconductor!AD109,CTGS!AD109)</f>
        <v>0</v>
      </c>
      <c r="AE109" s="106">
        <f>SUM('Defect (Total)'!AE109,Planned!AE109,Reconductor!AE109,CTGS!AE109)</f>
        <v>0</v>
      </c>
      <c r="AF109" s="106">
        <f>SUM('Defect (Total)'!AF109,Planned!AF109,Reconductor!AF109,CTGS!AF109)</f>
        <v>0</v>
      </c>
      <c r="AG109" s="106">
        <f>SUM('Defect (Total)'!AG109,Planned!AG109,Reconductor!AG109,CTGS!AG109)</f>
        <v>0</v>
      </c>
      <c r="AH109" s="106">
        <f>SUM('Defect (Total)'!AH109,Planned!AH109,Reconductor!AH109,CTGS!AH109)</f>
        <v>0</v>
      </c>
      <c r="AI109" s="106">
        <f>SUM('Defect (Total)'!AI109,Planned!AI109,Reconductor!AI109,CTGS!AI109)</f>
        <v>0</v>
      </c>
      <c r="AJ109" s="106">
        <f>SUM('Defect (Total)'!AJ109,Planned!AJ109,Reconductor!AJ109,CTGS!AJ109)</f>
        <v>0</v>
      </c>
      <c r="AK109" s="107">
        <f t="shared" si="47"/>
        <v>0</v>
      </c>
      <c r="AL109" s="108">
        <f t="shared" si="52"/>
        <v>0</v>
      </c>
      <c r="AM109" s="109">
        <f t="shared" si="48"/>
        <v>0</v>
      </c>
      <c r="AN109" s="110" t="str">
        <f t="shared" si="53"/>
        <v/>
      </c>
      <c r="AO109" s="111" t="str">
        <f t="shared" si="54"/>
        <v/>
      </c>
      <c r="AP109" s="111">
        <f t="shared" si="55"/>
        <v>45060</v>
      </c>
      <c r="AQ109" s="111" t="str">
        <f t="shared" si="56"/>
        <v/>
      </c>
      <c r="AR109" s="111" t="str">
        <f t="shared" si="57"/>
        <v/>
      </c>
      <c r="AS109" s="111" t="str">
        <f t="shared" si="58"/>
        <v/>
      </c>
      <c r="AT109" s="111" t="str">
        <f t="shared" si="59"/>
        <v/>
      </c>
      <c r="AU109" s="111" t="str">
        <f t="shared" si="60"/>
        <v/>
      </c>
      <c r="AV109" s="111" t="str">
        <f t="shared" si="61"/>
        <v/>
      </c>
      <c r="AW109" s="111" t="str">
        <f t="shared" si="62"/>
        <v/>
      </c>
      <c r="AX109" s="111" t="str">
        <f t="shared" si="62"/>
        <v/>
      </c>
      <c r="AY109" s="112" t="str">
        <f t="shared" si="63"/>
        <v/>
      </c>
      <c r="AZ109" s="113" t="str">
        <f t="shared" si="45"/>
        <v/>
      </c>
      <c r="BA109" s="114" t="str">
        <f t="shared" si="46"/>
        <v/>
      </c>
      <c r="BB109" s="690">
        <f>SUM('Defect (Total)'!BB109,Planned!CE109,Reconductor!CE109,CTGS!CE109,'Substation 2025$'!CE109*$BL$1,Comms!CA109*$BL$2)</f>
        <v>0</v>
      </c>
      <c r="BC109" s="690">
        <f>SUM('Defect (Total)'!BC109,Planned!CF109,Reconductor!CF109,CTGS!CF109,'Substation 2025$'!CF109*$BL$1,Comms!CB109*$BL$2)</f>
        <v>0</v>
      </c>
      <c r="BD109" s="115">
        <f>SUM('Defect (Total)'!BD109,Planned!CG109,Reconductor!CG109,CTGS!CG109,'Substation 2025$'!CG109*$BL$1,Comms!CC109*$BL$2)</f>
        <v>0</v>
      </c>
      <c r="BE109" s="115">
        <f>SUM('Defect (Total)'!BE109,Planned!CH109,Reconductor!CH109,CTGS!CH109,'Substation 2025$'!CH109*$BL$1,Comms!CD109*$BL$2)</f>
        <v>0</v>
      </c>
      <c r="BF109" s="115">
        <f>SUM('Defect (Total)'!BF109,Planned!CI109,Reconductor!CI109,CTGS!CI109,'Substation 2025$'!CI109*$BL$1,Comms!CE109*$BL$2)</f>
        <v>0</v>
      </c>
      <c r="BG109" s="115">
        <f>SUM('Defect (Total)'!BG109,Planned!CJ109,Reconductor!CJ109,CTGS!CJ109,'Substation 2025$'!CJ109*$BL$1,Comms!CF109*$BL$2)</f>
        <v>0</v>
      </c>
      <c r="BH109" s="115">
        <f>SUM('Defect (Total)'!BH109,Planned!CK109,Reconductor!CK109,CTGS!CK109,'Substation 2025$'!CK109*$BL$1,Comms!CG109*$BL$2)</f>
        <v>0</v>
      </c>
      <c r="BI109" s="287">
        <f>SUM('Defect (Total)'!BI109,Planned!CL109,Reconductor!CL109,CTGS!CL109,'Substation 2025$'!CL109*$BL$1,Comms!CH109*$BL$2)</f>
        <v>0</v>
      </c>
      <c r="BJ109" s="116" t="str">
        <f t="shared" si="51"/>
        <v/>
      </c>
      <c r="BK109" s="1013">
        <f>SUM('Defect (Total)'!BK109,Planned!CQ109,Reconductor!CQ109,CTGS!CQ109,'Substation 2025$'!CQ109*$BL$1,Comms!CM109*$BL$2)</f>
        <v>0</v>
      </c>
      <c r="BL109" s="1013">
        <f>SUM('Defect (Total)'!BL109,Planned!CR109,Reconductor!CR109,CTGS!CR109,'Substation 2025$'!CR109*$BL$1,Comms!CN109*$BL$2)</f>
        <v>0</v>
      </c>
      <c r="BM109" s="638">
        <f>SUM('Defect (Total)'!BM109,Planned!CS109,Reconductor!CS109,CTGS!CS109,'Substation 2025$'!CS109*$BL$1,Comms!CO109*$BL$2)</f>
        <v>0</v>
      </c>
      <c r="BN109" s="467">
        <f>SUM('Defect (Total)'!BN109,Planned!CT109,Reconductor!CT109,CTGS!CT109,'Substation 2025$'!CT109*$BL$1,Comms!CP109*$BL$2)</f>
        <v>0</v>
      </c>
      <c r="BO109" s="117">
        <f>SUM('Defect (Total)'!BO109,Planned!CU109,Reconductor!CU109,CTGS!CU109,'Substation 2025$'!CU109*$BL$1,Comms!CQ109*$BL$2)</f>
        <v>0</v>
      </c>
      <c r="BP109" s="117">
        <f>SUM('Defect (Total)'!BP109,Planned!CV109,Reconductor!CV109,CTGS!CV109,'Substation 2025$'!CV109*$BL$1,Comms!CR109*$BL$2)</f>
        <v>0</v>
      </c>
      <c r="BQ109" s="117">
        <f>SUM('Defect (Total)'!BQ109,Planned!CW109,Reconductor!CW109,CTGS!CW109,'Substation 2025$'!CW109*$BL$1,Comms!CS109*$BL$2)</f>
        <v>0</v>
      </c>
      <c r="BR109" s="118">
        <f>SUM('Defect (Total)'!BR109,Planned!CX109,Reconductor!CX109,CTGS!CX109,'Substation 2025$'!CX109*$BL$1,Comms!CT109*$BL$2)</f>
        <v>0</v>
      </c>
    </row>
    <row r="110" spans="1:70" x14ac:dyDescent="0.25">
      <c r="A110" s="63" t="s">
        <v>224</v>
      </c>
      <c r="B110" s="64" t="s">
        <v>221</v>
      </c>
      <c r="C110" s="65" t="s">
        <v>395</v>
      </c>
      <c r="D110" s="66">
        <f>SUM('Defect (Total)'!D110,Planned!D110,Reconductor!D110,CTGS!D110)</f>
        <v>556013</v>
      </c>
      <c r="E110" s="67">
        <f>SUM('Defect (Total)'!E110,Planned!E110,Reconductor!E110,CTGS!E110)</f>
        <v>754700</v>
      </c>
      <c r="F110" s="67">
        <f>SUM('Defect (Total)'!F110,Planned!F110,Reconductor!F110,CTGS!F110)</f>
        <v>898408</v>
      </c>
      <c r="G110" s="67">
        <f>SUM('Defect (Total)'!G110,Planned!G110,Reconductor!G110,CTGS!G110)</f>
        <v>912075.20484481123</v>
      </c>
      <c r="H110" s="67">
        <f>SUM('Defect (Total)'!H110,Planned!H110,Reconductor!H110,CTGS!H110)</f>
        <v>1168840</v>
      </c>
      <c r="I110" s="67">
        <f>SUM('Defect (Total)'!I110,Planned!I110,Reconductor!I110,CTGS!I110)</f>
        <v>1187985.8409988044</v>
      </c>
      <c r="J110" s="67">
        <f>SUM('Defect (Total)'!J110,Planned!J110,Reconductor!J110,CTGS!J110)</f>
        <v>1289452.1432547553</v>
      </c>
      <c r="K110" s="67">
        <f>SUM('Defect (Total)'!K110,Planned!K110,Reconductor!K110,CTGS!K110)</f>
        <v>958659.04818659043</v>
      </c>
      <c r="L110" s="67">
        <f>SUM('Defect (Total)'!L110,Planned!L110,Reconductor!L110,CTGS!L110)</f>
        <v>938646.92503547622</v>
      </c>
      <c r="M110" s="67">
        <f>SUM('Defect (Total)'!M110,Planned!M110,Reconductor!M110,CTGS!M110)</f>
        <v>1110161.1377186542</v>
      </c>
      <c r="N110" s="67">
        <f>SUM('Defect (Total)'!N110,Planned!N110,Reconductor!N110,CTGS!N110)</f>
        <v>1247.6600000000001</v>
      </c>
      <c r="O110" s="557">
        <f>SUM('Defect (Total)'!O110,Planned!O110,Reconductor!O110,CTGS!O110)</f>
        <v>748091.20441100642</v>
      </c>
      <c r="P110" s="558">
        <f>SUM('Defect (Total)'!P110,Planned!P110,Reconductor!P110,CTGS!P110)</f>
        <v>1000302.7174580565</v>
      </c>
      <c r="Q110" s="558">
        <f>SUM('Defect (Total)'!Q110,Planned!Q110,Reconductor!Q110,CTGS!Q110)</f>
        <v>1178716.4598107378</v>
      </c>
      <c r="R110" s="558">
        <f>SUM('Defect (Total)'!R110,Planned!R110,Reconductor!R110,CTGS!R110)</f>
        <v>1173947.2732422217</v>
      </c>
      <c r="S110" s="558">
        <f>SUM('Defect (Total)'!S110,Planned!S110,Reconductor!S110,CTGS!S110)</f>
        <v>1473812.3281643884</v>
      </c>
      <c r="T110" s="558">
        <f>SUM('Defect (Total)'!T110,Planned!T110,Reconductor!T110,CTGS!T110)</f>
        <v>1474466.6003979691</v>
      </c>
      <c r="U110" s="558">
        <f>SUM('Defect (Total)'!U110,Planned!U110,Reconductor!U110,CTGS!U110)</f>
        <v>1605997.1372285951</v>
      </c>
      <c r="V110" s="558">
        <f>SUM('Defect (Total)'!V110,Planned!V110,Reconductor!V110,CTGS!V110)</f>
        <v>1149776.1556680943</v>
      </c>
      <c r="W110" s="558">
        <f>SUM('Defect (Total)'!W110,Planned!W110,Reconductor!W110,CTGS!W110)</f>
        <v>1060602.7236824576</v>
      </c>
      <c r="X110" s="674">
        <f>SUM('Defect (Total)'!X110,Planned!X110,Reconductor!X110,CTGS!X110)</f>
        <v>1180612.9916297342</v>
      </c>
      <c r="Y110" s="674">
        <f>SUM('Defect (Total)'!Y110,Planned!Y110,Reconductor!Y110,CTGS!Y110)</f>
        <v>317578.72582844301</v>
      </c>
      <c r="Z110" s="68">
        <f>SUM('Defect (Total)'!Z110,Planned!Z110,Reconductor!Z110,CTGS!Z110)</f>
        <v>184</v>
      </c>
      <c r="AA110" s="69">
        <f>SUM('Defect (Total)'!AA110,Planned!AA110,Reconductor!AA110,CTGS!AA110)</f>
        <v>288</v>
      </c>
      <c r="AB110" s="69">
        <f>SUM('Defect (Total)'!AB110,Planned!AB110,Reconductor!AB110,CTGS!AB110)</f>
        <v>285</v>
      </c>
      <c r="AC110" s="69">
        <f>SUM('Defect (Total)'!AC110,Planned!AC110,Reconductor!AC110,CTGS!AC110)</f>
        <v>306</v>
      </c>
      <c r="AD110" s="69">
        <f>SUM('Defect (Total)'!AD110,Planned!AD110,Reconductor!AD110,CTGS!AD110)</f>
        <v>323</v>
      </c>
      <c r="AE110" s="69">
        <f>SUM('Defect (Total)'!AE110,Planned!AE110,Reconductor!AE110,CTGS!AE110)</f>
        <v>351</v>
      </c>
      <c r="AF110" s="69">
        <f>SUM('Defect (Total)'!AF110,Planned!AF110,Reconductor!AF110,CTGS!AF110)</f>
        <v>471</v>
      </c>
      <c r="AG110" s="69">
        <f>SUM('Defect (Total)'!AG110,Planned!AG110,Reconductor!AG110,CTGS!AG110)</f>
        <v>370</v>
      </c>
      <c r="AH110" s="69">
        <f>SUM('Defect (Total)'!AH110,Planned!AH110,Reconductor!AH110,CTGS!AH110)</f>
        <v>251</v>
      </c>
      <c r="AI110" s="69">
        <f>SUM('Defect (Total)'!AI110,Planned!AI110,Reconductor!AI110,CTGS!AI110)</f>
        <v>247</v>
      </c>
      <c r="AJ110" s="69">
        <f>SUM('Defect (Total)'!AJ110,Planned!AJ110,Reconductor!AJ110,CTGS!AJ110)</f>
        <v>3</v>
      </c>
      <c r="AK110" s="70">
        <f t="shared" si="47"/>
        <v>353.2</v>
      </c>
      <c r="AL110" s="71">
        <f t="shared" si="52"/>
        <v>364</v>
      </c>
      <c r="AM110" s="72">
        <f t="shared" si="48"/>
        <v>251</v>
      </c>
      <c r="AN110" s="73">
        <f t="shared" si="53"/>
        <v>3021.8097826086955</v>
      </c>
      <c r="AO110" s="74">
        <f t="shared" si="54"/>
        <v>2620.4861111111113</v>
      </c>
      <c r="AP110" s="74">
        <f t="shared" si="55"/>
        <v>3152.3087719298246</v>
      </c>
      <c r="AQ110" s="74">
        <f t="shared" si="56"/>
        <v>2980.6379243294487</v>
      </c>
      <c r="AR110" s="74">
        <f t="shared" si="57"/>
        <v>3618.6996904024768</v>
      </c>
      <c r="AS110" s="74">
        <f t="shared" si="58"/>
        <v>3384.5750455806392</v>
      </c>
      <c r="AT110" s="74">
        <f t="shared" si="59"/>
        <v>2737.6903253816463</v>
      </c>
      <c r="AU110" s="74">
        <f t="shared" si="60"/>
        <v>2590.9704005042986</v>
      </c>
      <c r="AV110" s="74">
        <f t="shared" si="61"/>
        <v>3739.6291834082717</v>
      </c>
      <c r="AW110" s="74">
        <f t="shared" si="62"/>
        <v>4494.579504933823</v>
      </c>
      <c r="AX110" s="74">
        <f t="shared" si="62"/>
        <v>415.88666666666671</v>
      </c>
      <c r="AY110" s="75">
        <f t="shared" si="63"/>
        <v>3245.5059734877404</v>
      </c>
      <c r="AZ110" s="76">
        <f t="shared" si="45"/>
        <v>3464.8238605307843</v>
      </c>
      <c r="BA110" s="77">
        <f t="shared" si="46"/>
        <v>4494.579504933823</v>
      </c>
      <c r="BB110" s="688">
        <f>SUM('Defect (Total)'!BB110,Planned!CE110,Reconductor!CE110,CTGS!CE110,'Substation 2025$'!CE110*$BL$1,Comms!CA110*$BL$2)</f>
        <v>0</v>
      </c>
      <c r="BC110" s="688">
        <f>SUM('Defect (Total)'!BC110,Planned!CF110,Reconductor!CF110,CTGS!CF110,'Substation 2025$'!CF110*$BL$1,Comms!CB110*$BL$2)</f>
        <v>0</v>
      </c>
      <c r="BD110" s="78">
        <f>SUM('Defect (Total)'!BD110,Planned!CG110,Reconductor!CG110,CTGS!CG110,'Substation 2025$'!CG110*$BL$1,Comms!CC110*$BL$2)</f>
        <v>0</v>
      </c>
      <c r="BE110" s="78">
        <f>SUM('Defect (Total)'!BE110,Planned!CH110,Reconductor!CH110,CTGS!CH110,'Substation 2025$'!CH110*$BL$1,Comms!CD110*$BL$2)</f>
        <v>0</v>
      </c>
      <c r="BF110" s="78">
        <f>SUM('Defect (Total)'!BF110,Planned!CI110,Reconductor!CI110,CTGS!CI110,'Substation 2025$'!CI110*$BL$1,Comms!CE110*$BL$2)</f>
        <v>0</v>
      </c>
      <c r="BG110" s="78">
        <f>SUM('Defect (Total)'!BG110,Planned!CJ110,Reconductor!CJ110,CTGS!CJ110,'Substation 2025$'!CJ110*$BL$1,Comms!CF110*$BL$2)</f>
        <v>0</v>
      </c>
      <c r="BH110" s="78">
        <f>SUM('Defect (Total)'!BH110,Planned!CK110,Reconductor!CK110,CTGS!CK110,'Substation 2025$'!CK110*$BL$1,Comms!CG110*$BL$2)</f>
        <v>0</v>
      </c>
      <c r="BI110" s="285">
        <f>SUM('Defect (Total)'!BI110,Planned!CL110,Reconductor!CL110,CTGS!CL110,'Substation 2025$'!CL110*$BL$1,Comms!CH110*$BL$2)</f>
        <v>0</v>
      </c>
      <c r="BJ110" s="124" t="str">
        <f t="shared" si="51"/>
        <v/>
      </c>
      <c r="BK110" s="974">
        <f>SUM('Defect (Total)'!BK110,Planned!CQ110,Reconductor!CQ110,CTGS!CQ110,'Substation 2025$'!CQ110*$BL$1,Comms!CM110*$BL$2)</f>
        <v>0</v>
      </c>
      <c r="BL110" s="974">
        <f>SUM('Defect (Total)'!BL110,Planned!CR110,Reconductor!CR110,CTGS!CR110,'Substation 2025$'!CR110*$BL$1,Comms!CN110*$BL$2)</f>
        <v>0</v>
      </c>
      <c r="BM110" s="523">
        <f>SUM('Defect (Total)'!BM110,Planned!CS110,Reconductor!CS110,CTGS!CS110,'Substation 2025$'!CS110*$BL$1,Comms!CO110*$BL$2)</f>
        <v>0</v>
      </c>
      <c r="BN110" s="415">
        <f>SUM('Defect (Total)'!BN110,Planned!CT110,Reconductor!CT110,CTGS!CT110,'Substation 2025$'!CT110*$BL$1,Comms!CP110*$BL$2)</f>
        <v>0</v>
      </c>
      <c r="BO110" s="79">
        <f>SUM('Defect (Total)'!BO110,Planned!CU110,Reconductor!CU110,CTGS!CU110,'Substation 2025$'!CU110*$BL$1,Comms!CQ110*$BL$2)</f>
        <v>0</v>
      </c>
      <c r="BP110" s="79">
        <f>SUM('Defect (Total)'!BP110,Planned!CV110,Reconductor!CV110,CTGS!CV110,'Substation 2025$'!CV110*$BL$1,Comms!CR110*$BL$2)</f>
        <v>0</v>
      </c>
      <c r="BQ110" s="79">
        <f>SUM('Defect (Total)'!BQ110,Planned!CW110,Reconductor!CW110,CTGS!CW110,'Substation 2025$'!CW110*$BL$1,Comms!CS110*$BL$2)</f>
        <v>0</v>
      </c>
      <c r="BR110" s="80">
        <f>SUM('Defect (Total)'!BR110,Planned!CX110,Reconductor!CX110,CTGS!CX110,'Substation 2025$'!CX110*$BL$1,Comms!CT110*$BL$2)</f>
        <v>0</v>
      </c>
    </row>
    <row r="111" spans="1:70" x14ac:dyDescent="0.25">
      <c r="A111" s="81" t="s">
        <v>224</v>
      </c>
      <c r="B111" s="82" t="s">
        <v>225</v>
      </c>
      <c r="C111" s="83" t="s">
        <v>396</v>
      </c>
      <c r="D111" s="84">
        <f>SUM('Defect (Total)'!D111,Planned!D111,Reconductor!D111,CTGS!D111)</f>
        <v>1194146</v>
      </c>
      <c r="E111" s="85">
        <f>SUM('Defect (Total)'!E111,Planned!E111,Reconductor!E111,CTGS!E111)</f>
        <v>2200169.9999999995</v>
      </c>
      <c r="F111" s="85">
        <f>SUM('Defect (Total)'!F111,Planned!F111,Reconductor!F111,CTGS!F111)</f>
        <v>1234867</v>
      </c>
      <c r="G111" s="85">
        <f>SUM('Defect (Total)'!G111,Planned!G111,Reconductor!G111,CTGS!G111)</f>
        <v>1871159.4359033722</v>
      </c>
      <c r="H111" s="85">
        <f>SUM('Defect (Total)'!H111,Planned!H111,Reconductor!H111,CTGS!H111)</f>
        <v>1051186</v>
      </c>
      <c r="I111" s="85">
        <f>SUM('Defect (Total)'!I111,Planned!I111,Reconductor!I111,CTGS!I111)</f>
        <v>1592848.490974853</v>
      </c>
      <c r="J111" s="85">
        <f>SUM('Defect (Total)'!J111,Planned!J111,Reconductor!J111,CTGS!J111)</f>
        <v>3000057.616529163</v>
      </c>
      <c r="K111" s="85">
        <f>SUM('Defect (Total)'!K111,Planned!K111,Reconductor!K111,CTGS!K111)</f>
        <v>1322073.5502679709</v>
      </c>
      <c r="L111" s="85">
        <f>SUM('Defect (Total)'!L111,Planned!L111,Reconductor!L111,CTGS!L111)</f>
        <v>1026270.1148063598</v>
      </c>
      <c r="M111" s="85">
        <f>SUM('Defect (Total)'!M111,Planned!M111,Reconductor!M111,CTGS!M111)</f>
        <v>1334773.2962086189</v>
      </c>
      <c r="N111" s="85">
        <f>SUM('Defect (Total)'!N111,Planned!N111,Reconductor!N111,CTGS!N111)</f>
        <v>615718.86</v>
      </c>
      <c r="O111" s="560">
        <f>SUM('Defect (Total)'!O111,Planned!O111,Reconductor!O111,CTGS!O111)</f>
        <v>1606671.2817552567</v>
      </c>
      <c r="P111" s="561">
        <f>SUM('Defect (Total)'!P111,Planned!P111,Reconductor!P111,CTGS!P111)</f>
        <v>2916173.3534777951</v>
      </c>
      <c r="Q111" s="561">
        <f>SUM('Defect (Total)'!Q111,Planned!Q111,Reconductor!Q111,CTGS!Q111)</f>
        <v>1620152.6016877701</v>
      </c>
      <c r="R111" s="561">
        <f>SUM('Defect (Total)'!R111,Planned!R111,Reconductor!R111,CTGS!R111)</f>
        <v>2408400.6515164226</v>
      </c>
      <c r="S111" s="561">
        <f>SUM('Defect (Total)'!S111,Planned!S111,Reconductor!S111,CTGS!S111)</f>
        <v>1325460.1878732853</v>
      </c>
      <c r="T111" s="561">
        <f>SUM('Defect (Total)'!T111,Planned!T111,Reconductor!T111,CTGS!T111)</f>
        <v>1976961.1879061863</v>
      </c>
      <c r="U111" s="561">
        <f>SUM('Defect (Total)'!U111,Planned!U111,Reconductor!U111,CTGS!U111)</f>
        <v>3736535.6821271158</v>
      </c>
      <c r="V111" s="561">
        <f>SUM('Defect (Total)'!V111,Planned!V111,Reconductor!V111,CTGS!V111)</f>
        <v>1585640.5330059652</v>
      </c>
      <c r="W111" s="561">
        <f>SUM('Defect (Total)'!W111,Planned!W111,Reconductor!W111,CTGS!W111)</f>
        <v>1159610.5521321502</v>
      </c>
      <c r="X111" s="675">
        <f>SUM('Defect (Total)'!X111,Planned!X111,Reconductor!X111,CTGS!X111)</f>
        <v>1419479.2457090162</v>
      </c>
      <c r="Y111" s="675">
        <f>SUM('Defect (Total)'!Y111,Planned!Y111,Reconductor!Y111,CTGS!Y111)</f>
        <v>2833445.4716554563</v>
      </c>
      <c r="Z111" s="86">
        <f>SUM('Defect (Total)'!Z111,Planned!Z111,Reconductor!Z111,CTGS!Z111)</f>
        <v>760</v>
      </c>
      <c r="AA111" s="87">
        <f>SUM('Defect (Total)'!AA111,Planned!AA111,Reconductor!AA111,CTGS!AA111)</f>
        <v>1158</v>
      </c>
      <c r="AB111" s="87">
        <f>SUM('Defect (Total)'!AB111,Planned!AB111,Reconductor!AB111,CTGS!AB111)</f>
        <v>610</v>
      </c>
      <c r="AC111" s="87">
        <f>SUM('Defect (Total)'!AC111,Planned!AC111,Reconductor!AC111,CTGS!AC111)</f>
        <v>673</v>
      </c>
      <c r="AD111" s="87">
        <f>SUM('Defect (Total)'!AD111,Planned!AD111,Reconductor!AD111,CTGS!AD111)</f>
        <v>587</v>
      </c>
      <c r="AE111" s="87">
        <f>SUM('Defect (Total)'!AE111,Planned!AE111,Reconductor!AE111,CTGS!AE111)</f>
        <v>674</v>
      </c>
      <c r="AF111" s="87">
        <f>SUM('Defect (Total)'!AF111,Planned!AF111,Reconductor!AF111,CTGS!AF111)</f>
        <v>1114</v>
      </c>
      <c r="AG111" s="87">
        <f>SUM('Defect (Total)'!AG111,Planned!AG111,Reconductor!AG111,CTGS!AG111)</f>
        <v>558</v>
      </c>
      <c r="AH111" s="87">
        <f>SUM('Defect (Total)'!AH111,Planned!AH111,Reconductor!AH111,CTGS!AH111)</f>
        <v>198</v>
      </c>
      <c r="AI111" s="87">
        <f>SUM('Defect (Total)'!AI111,Planned!AI111,Reconductor!AI111,CTGS!AI111)</f>
        <v>201</v>
      </c>
      <c r="AJ111" s="87">
        <f>SUM('Defect (Total)'!AJ111,Planned!AJ111,Reconductor!AJ111,CTGS!AJ111)</f>
        <v>4</v>
      </c>
      <c r="AK111" s="88">
        <f t="shared" si="47"/>
        <v>626.20000000000005</v>
      </c>
      <c r="AL111" s="89">
        <f t="shared" si="52"/>
        <v>623.33333333333337</v>
      </c>
      <c r="AM111" s="90">
        <f t="shared" si="48"/>
        <v>198</v>
      </c>
      <c r="AN111" s="91">
        <f t="shared" si="53"/>
        <v>1571.2447368421053</v>
      </c>
      <c r="AO111" s="92">
        <f t="shared" si="54"/>
        <v>1899.9740932642483</v>
      </c>
      <c r="AP111" s="92">
        <f t="shared" si="55"/>
        <v>2024.372131147541</v>
      </c>
      <c r="AQ111" s="92">
        <f t="shared" si="56"/>
        <v>2780.3260563200183</v>
      </c>
      <c r="AR111" s="92">
        <f t="shared" si="57"/>
        <v>1790.7768313458262</v>
      </c>
      <c r="AS111" s="92">
        <f t="shared" si="58"/>
        <v>2363.2766928410283</v>
      </c>
      <c r="AT111" s="92">
        <f t="shared" si="59"/>
        <v>2693.0499250710618</v>
      </c>
      <c r="AU111" s="92">
        <f t="shared" si="60"/>
        <v>2369.3074377562202</v>
      </c>
      <c r="AV111" s="92">
        <f t="shared" si="61"/>
        <v>5183.1823980119179</v>
      </c>
      <c r="AW111" s="92">
        <f t="shared" si="62"/>
        <v>6640.6631652170099</v>
      </c>
      <c r="AX111" s="92">
        <f t="shared" si="62"/>
        <v>153929.715</v>
      </c>
      <c r="AY111" s="93">
        <f t="shared" si="63"/>
        <v>3014.944651652811</v>
      </c>
      <c r="AZ111" s="94">
        <f t="shared" si="45"/>
        <v>3848.6070650814522</v>
      </c>
      <c r="BA111" s="95">
        <f t="shared" si="46"/>
        <v>6640.6631652170099</v>
      </c>
      <c r="BB111" s="689">
        <f>SUM('Defect (Total)'!BB111,Planned!CE111,Reconductor!CE111,CTGS!CE111,'Substation 2025$'!CE111*$BL$1,Comms!CA111*$BL$2)</f>
        <v>0</v>
      </c>
      <c r="BC111" s="689">
        <f>SUM('Defect (Total)'!BC111,Planned!CF111,Reconductor!CF111,CTGS!CF111,'Substation 2025$'!CF111*$BL$1,Comms!CB111*$BL$2)</f>
        <v>0</v>
      </c>
      <c r="BD111" s="96">
        <f>SUM('Defect (Total)'!BD111,Planned!CG111,Reconductor!CG111,CTGS!CG111,'Substation 2025$'!CG111*$BL$1,Comms!CC111*$BL$2)</f>
        <v>0</v>
      </c>
      <c r="BE111" s="96">
        <f>SUM('Defect (Total)'!BE111,Planned!CH111,Reconductor!CH111,CTGS!CH111,'Substation 2025$'!CH111*$BL$1,Comms!CD111*$BL$2)</f>
        <v>0</v>
      </c>
      <c r="BF111" s="96">
        <f>SUM('Defect (Total)'!BF111,Planned!CI111,Reconductor!CI111,CTGS!CI111,'Substation 2025$'!CI111*$BL$1,Comms!CE111*$BL$2)</f>
        <v>0</v>
      </c>
      <c r="BG111" s="96">
        <f>SUM('Defect (Total)'!BG111,Planned!CJ111,Reconductor!CJ111,CTGS!CJ111,'Substation 2025$'!CJ111*$BL$1,Comms!CF111*$BL$2)</f>
        <v>0</v>
      </c>
      <c r="BH111" s="96">
        <f>SUM('Defect (Total)'!BH111,Planned!CK111,Reconductor!CK111,CTGS!CK111,'Substation 2025$'!CK111*$BL$1,Comms!CG111*$BL$2)</f>
        <v>0</v>
      </c>
      <c r="BI111" s="286">
        <f>SUM('Defect (Total)'!BI111,Planned!CL111,Reconductor!CL111,CTGS!CL111,'Substation 2025$'!CL111*$BL$1,Comms!CH111*$BL$2)</f>
        <v>0</v>
      </c>
      <c r="BJ111" s="99" t="str">
        <f t="shared" si="51"/>
        <v/>
      </c>
      <c r="BK111" s="992">
        <f>SUM('Defect (Total)'!BK111,Planned!CQ111,Reconductor!CQ111,CTGS!CQ111,'Substation 2025$'!CQ111*$BL$1,Comms!CM111*$BL$2)</f>
        <v>0</v>
      </c>
      <c r="BL111" s="992">
        <f>SUM('Defect (Total)'!BL111,Planned!CR111,Reconductor!CR111,CTGS!CR111,'Substation 2025$'!CR111*$BL$1,Comms!CN111*$BL$2)</f>
        <v>0</v>
      </c>
      <c r="BM111" s="524">
        <f>SUM('Defect (Total)'!BM111,Planned!CS111,Reconductor!CS111,CTGS!CS111,'Substation 2025$'!CS111*$BL$1,Comms!CO111*$BL$2)</f>
        <v>0</v>
      </c>
      <c r="BN111" s="416">
        <f>SUM('Defect (Total)'!BN111,Planned!CT111,Reconductor!CT111,CTGS!CT111,'Substation 2025$'!CT111*$BL$1,Comms!CP111*$BL$2)</f>
        <v>0</v>
      </c>
      <c r="BO111" s="97">
        <f>SUM('Defect (Total)'!BO111,Planned!CU111,Reconductor!CU111,CTGS!CU111,'Substation 2025$'!CU111*$BL$1,Comms!CQ111*$BL$2)</f>
        <v>0</v>
      </c>
      <c r="BP111" s="97">
        <f>SUM('Defect (Total)'!BP111,Planned!CV111,Reconductor!CV111,CTGS!CV111,'Substation 2025$'!CV111*$BL$1,Comms!CR111*$BL$2)</f>
        <v>0</v>
      </c>
      <c r="BQ111" s="97">
        <f>SUM('Defect (Total)'!BQ111,Planned!CW111,Reconductor!CW111,CTGS!CW111,'Substation 2025$'!CW111*$BL$1,Comms!CS111*$BL$2)</f>
        <v>0</v>
      </c>
      <c r="BR111" s="98">
        <f>SUM('Defect (Total)'!BR111,Planned!CX111,Reconductor!CX111,CTGS!CX111,'Substation 2025$'!CX111*$BL$1,Comms!CT111*$BL$2)</f>
        <v>0</v>
      </c>
    </row>
    <row r="112" spans="1:70" x14ac:dyDescent="0.25">
      <c r="A112" s="81" t="s">
        <v>224</v>
      </c>
      <c r="B112" s="82" t="s">
        <v>227</v>
      </c>
      <c r="C112" s="83" t="s">
        <v>228</v>
      </c>
      <c r="D112" s="84">
        <f>SUM('Defect (Total)'!D112,Planned!D112,Reconductor!D112,CTGS!D112)</f>
        <v>195749</v>
      </c>
      <c r="E112" s="85">
        <f>SUM('Defect (Total)'!E112,Planned!E112,Reconductor!E112,CTGS!E112)</f>
        <v>287365</v>
      </c>
      <c r="F112" s="85">
        <f>SUM('Defect (Total)'!F112,Planned!F112,Reconductor!F112,CTGS!F112)</f>
        <v>372507</v>
      </c>
      <c r="G112" s="85">
        <f>SUM('Defect (Total)'!G112,Planned!G112,Reconductor!G112,CTGS!G112)</f>
        <v>222886.46442510301</v>
      </c>
      <c r="H112" s="85">
        <f>SUM('Defect (Total)'!H112,Planned!H112,Reconductor!H112,CTGS!H112)</f>
        <v>323409</v>
      </c>
      <c r="I112" s="85">
        <f>SUM('Defect (Total)'!I112,Planned!I112,Reconductor!I112,CTGS!I112)</f>
        <v>414479.04173260205</v>
      </c>
      <c r="J112" s="85">
        <f>SUM('Defect (Total)'!J112,Planned!J112,Reconductor!J112,CTGS!J112)</f>
        <v>736914.72464261984</v>
      </c>
      <c r="K112" s="85">
        <f>SUM('Defect (Total)'!K112,Planned!K112,Reconductor!K112,CTGS!K112)</f>
        <v>756759.76428005786</v>
      </c>
      <c r="L112" s="85">
        <f>SUM('Defect (Total)'!L112,Planned!L112,Reconductor!L112,CTGS!L112)</f>
        <v>683685.63255165576</v>
      </c>
      <c r="M112" s="85">
        <f>SUM('Defect (Total)'!M112,Planned!M112,Reconductor!M112,CTGS!M112)</f>
        <v>757040.93837970309</v>
      </c>
      <c r="N112" s="85">
        <f>SUM('Defect (Total)'!N112,Planned!N112,Reconductor!N112,CTGS!N112)</f>
        <v>3980.900805197</v>
      </c>
      <c r="O112" s="560">
        <f>SUM('Defect (Total)'!O112,Planned!O112,Reconductor!O112,CTGS!O112)</f>
        <v>263371.72902836819</v>
      </c>
      <c r="P112" s="561">
        <f>SUM('Defect (Total)'!P112,Planned!P112,Reconductor!P112,CTGS!P112)</f>
        <v>380882.4571383787</v>
      </c>
      <c r="Q112" s="561">
        <f>SUM('Defect (Total)'!Q112,Planned!Q112,Reconductor!Q112,CTGS!Q112)</f>
        <v>488731.32507136906</v>
      </c>
      <c r="R112" s="561">
        <f>SUM('Defect (Total)'!R112,Planned!R112,Reconductor!R112,CTGS!R112)</f>
        <v>286880.90166749986</v>
      </c>
      <c r="S112" s="561">
        <f>SUM('Defect (Total)'!S112,Planned!S112,Reconductor!S112,CTGS!S112)</f>
        <v>407792.48762817553</v>
      </c>
      <c r="T112" s="561">
        <f>SUM('Defect (Total)'!T112,Planned!T112,Reconductor!T112,CTGS!T112)</f>
        <v>514429.95573572058</v>
      </c>
      <c r="U112" s="561">
        <f>SUM('Defect (Total)'!U112,Planned!U112,Reconductor!U112,CTGS!U112)</f>
        <v>917818.42726661544</v>
      </c>
      <c r="V112" s="561">
        <f>SUM('Defect (Total)'!V112,Planned!V112,Reconductor!V112,CTGS!V112)</f>
        <v>907626.47490170435</v>
      </c>
      <c r="W112" s="561">
        <f>SUM('Defect (Total)'!W112,Planned!W112,Reconductor!W112,CTGS!W112)</f>
        <v>772515.01569607132</v>
      </c>
      <c r="X112" s="675">
        <f>SUM('Defect (Total)'!X112,Planned!X112,Reconductor!X112,CTGS!X112)</f>
        <v>805083.45741890755</v>
      </c>
      <c r="Y112" s="675">
        <f>SUM('Defect (Total)'!Y112,Planned!Y112,Reconductor!Y112,CTGS!Y112)</f>
        <v>616327.74113591458</v>
      </c>
      <c r="Z112" s="86">
        <f>SUM('Defect (Total)'!Z112,Planned!Z112,Reconductor!Z112,CTGS!Z112)</f>
        <v>72</v>
      </c>
      <c r="AA112" s="87">
        <f>SUM('Defect (Total)'!AA112,Planned!AA112,Reconductor!AA112,CTGS!AA112)</f>
        <v>108</v>
      </c>
      <c r="AB112" s="87">
        <f>SUM('Defect (Total)'!AB112,Planned!AB112,Reconductor!AB112,CTGS!AB112)</f>
        <v>135</v>
      </c>
      <c r="AC112" s="87">
        <f>SUM('Defect (Total)'!AC112,Planned!AC112,Reconductor!AC112,CTGS!AC112)</f>
        <v>98</v>
      </c>
      <c r="AD112" s="87">
        <f>SUM('Defect (Total)'!AD112,Planned!AD112,Reconductor!AD112,CTGS!AD112)</f>
        <v>130</v>
      </c>
      <c r="AE112" s="87">
        <f>SUM('Defect (Total)'!AE112,Planned!AE112,Reconductor!AE112,CTGS!AE112)</f>
        <v>180</v>
      </c>
      <c r="AF112" s="87">
        <f>SUM('Defect (Total)'!AF112,Planned!AF112,Reconductor!AF112,CTGS!AF112)</f>
        <v>409</v>
      </c>
      <c r="AG112" s="87">
        <f>SUM('Defect (Total)'!AG112,Planned!AG112,Reconductor!AG112,CTGS!AG112)</f>
        <v>484</v>
      </c>
      <c r="AH112" s="87">
        <f>SUM('Defect (Total)'!AH112,Planned!AH112,Reconductor!AH112,CTGS!AH112)</f>
        <v>344</v>
      </c>
      <c r="AI112" s="87">
        <f>SUM('Defect (Total)'!AI112,Planned!AI112,Reconductor!AI112,CTGS!AI112)</f>
        <v>255</v>
      </c>
      <c r="AJ112" s="87">
        <f>SUM('Defect (Total)'!AJ112,Planned!AJ112,Reconductor!AJ112,CTGS!AJ112)</f>
        <v>26</v>
      </c>
      <c r="AK112" s="88">
        <f t="shared" si="47"/>
        <v>309.39999999999998</v>
      </c>
      <c r="AL112" s="89">
        <f t="shared" si="52"/>
        <v>412.33333333333331</v>
      </c>
      <c r="AM112" s="90">
        <f t="shared" si="48"/>
        <v>344</v>
      </c>
      <c r="AN112" s="91">
        <f t="shared" si="53"/>
        <v>2718.7361111111113</v>
      </c>
      <c r="AO112" s="92">
        <f t="shared" si="54"/>
        <v>2660.787037037037</v>
      </c>
      <c r="AP112" s="92">
        <f t="shared" si="55"/>
        <v>2759.3111111111111</v>
      </c>
      <c r="AQ112" s="92">
        <f t="shared" si="56"/>
        <v>2274.3516778071735</v>
      </c>
      <c r="AR112" s="92">
        <f t="shared" si="57"/>
        <v>2487.7615384615383</v>
      </c>
      <c r="AS112" s="92">
        <f t="shared" si="58"/>
        <v>2302.6613429589001</v>
      </c>
      <c r="AT112" s="92">
        <f t="shared" si="59"/>
        <v>1801.7474930137405</v>
      </c>
      <c r="AU112" s="92">
        <f t="shared" si="60"/>
        <v>1563.5532319835906</v>
      </c>
      <c r="AV112" s="92">
        <f t="shared" si="61"/>
        <v>1987.45823416179</v>
      </c>
      <c r="AW112" s="92">
        <f t="shared" si="62"/>
        <v>2968.7879936458944</v>
      </c>
      <c r="AX112" s="92">
        <f t="shared" si="62"/>
        <v>153.11156943065384</v>
      </c>
      <c r="AY112" s="93">
        <f t="shared" si="63"/>
        <v>2002.9187210446403</v>
      </c>
      <c r="AZ112" s="94">
        <f t="shared" si="45"/>
        <v>2029.0732550428593</v>
      </c>
      <c r="BA112" s="95">
        <f t="shared" si="46"/>
        <v>2968.7879936458944</v>
      </c>
      <c r="BB112" s="689">
        <f>SUM('Defect (Total)'!BB112,Planned!CE112,Reconductor!CE112,CTGS!CE112,'Substation 2025$'!CE112*$BL$1,Comms!CA112*$BL$2)</f>
        <v>0</v>
      </c>
      <c r="BC112" s="689">
        <f>SUM('Defect (Total)'!BC112,Planned!CF112,Reconductor!CF112,CTGS!CF112,'Substation 2025$'!CF112*$BL$1,Comms!CB112*$BL$2)</f>
        <v>0</v>
      </c>
      <c r="BD112" s="96">
        <f>SUM('Defect (Total)'!BD112,Planned!CG112,Reconductor!CG112,CTGS!CG112,'Substation 2025$'!CG112*$BL$1,Comms!CC112*$BL$2)</f>
        <v>0</v>
      </c>
      <c r="BE112" s="96">
        <f>SUM('Defect (Total)'!BE112,Planned!CH112,Reconductor!CH112,CTGS!CH112,'Substation 2025$'!CH112*$BL$1,Comms!CD112*$BL$2)</f>
        <v>0</v>
      </c>
      <c r="BF112" s="96">
        <f>SUM('Defect (Total)'!BF112,Planned!CI112,Reconductor!CI112,CTGS!CI112,'Substation 2025$'!CI112*$BL$1,Comms!CE112*$BL$2)</f>
        <v>0</v>
      </c>
      <c r="BG112" s="96">
        <f>SUM('Defect (Total)'!BG112,Planned!CJ112,Reconductor!CJ112,CTGS!CJ112,'Substation 2025$'!CJ112*$BL$1,Comms!CF112*$BL$2)</f>
        <v>0</v>
      </c>
      <c r="BH112" s="96">
        <f>SUM('Defect (Total)'!BH112,Planned!CK112,Reconductor!CK112,CTGS!CK112,'Substation 2025$'!CK112*$BL$1,Comms!CG112*$BL$2)</f>
        <v>0</v>
      </c>
      <c r="BI112" s="286">
        <f>SUM('Defect (Total)'!BI112,Planned!CL112,Reconductor!CL112,CTGS!CL112,'Substation 2025$'!CL112*$BL$1,Comms!CH112*$BL$2)</f>
        <v>0</v>
      </c>
      <c r="BJ112" s="99" t="str">
        <f t="shared" si="51"/>
        <v/>
      </c>
      <c r="BK112" s="992">
        <f>SUM('Defect (Total)'!BK112,Planned!CQ112,Reconductor!CQ112,CTGS!CQ112,'Substation 2025$'!CQ112*$BL$1,Comms!CM112*$BL$2)</f>
        <v>0</v>
      </c>
      <c r="BL112" s="992">
        <f>SUM('Defect (Total)'!BL112,Planned!CR112,Reconductor!CR112,CTGS!CR112,'Substation 2025$'!CR112*$BL$1,Comms!CN112*$BL$2)</f>
        <v>0</v>
      </c>
      <c r="BM112" s="524">
        <f>SUM('Defect (Total)'!BM112,Planned!CS112,Reconductor!CS112,CTGS!CS112,'Substation 2025$'!CS112*$BL$1,Comms!CO112*$BL$2)</f>
        <v>0</v>
      </c>
      <c r="BN112" s="416">
        <f>SUM('Defect (Total)'!BN112,Planned!CT112,Reconductor!CT112,CTGS!CT112,'Substation 2025$'!CT112*$BL$1,Comms!CP112*$BL$2)</f>
        <v>0</v>
      </c>
      <c r="BO112" s="97">
        <f>SUM('Defect (Total)'!BO112,Planned!CU112,Reconductor!CU112,CTGS!CU112,'Substation 2025$'!CU112*$BL$1,Comms!CQ112*$BL$2)</f>
        <v>0</v>
      </c>
      <c r="BP112" s="97">
        <f>SUM('Defect (Total)'!BP112,Planned!CV112,Reconductor!CV112,CTGS!CV112,'Substation 2025$'!CV112*$BL$1,Comms!CR112*$BL$2)</f>
        <v>0</v>
      </c>
      <c r="BQ112" s="97">
        <f>SUM('Defect (Total)'!BQ112,Planned!CW112,Reconductor!CW112,CTGS!CW112,'Substation 2025$'!CW112*$BL$1,Comms!CS112*$BL$2)</f>
        <v>0</v>
      </c>
      <c r="BR112" s="98">
        <f>SUM('Defect (Total)'!BR112,Planned!CX112,Reconductor!CX112,CTGS!CX112,'Substation 2025$'!CX112*$BL$1,Comms!CT112*$BL$2)</f>
        <v>0</v>
      </c>
    </row>
    <row r="113" spans="1:70" x14ac:dyDescent="0.25">
      <c r="A113" s="81" t="s">
        <v>224</v>
      </c>
      <c r="B113" s="82" t="s">
        <v>229</v>
      </c>
      <c r="C113" s="83" t="s">
        <v>230</v>
      </c>
      <c r="D113" s="84">
        <f>SUM('Defect (Total)'!D113,Planned!D113,Reconductor!D113,CTGS!D113)</f>
        <v>307521</v>
      </c>
      <c r="E113" s="85">
        <f>SUM('Defect (Total)'!E113,Planned!E113,Reconductor!E113,CTGS!E113)</f>
        <v>283909</v>
      </c>
      <c r="F113" s="85">
        <f>SUM('Defect (Total)'!F113,Planned!F113,Reconductor!F113,CTGS!F113)</f>
        <v>339947</v>
      </c>
      <c r="G113" s="85">
        <f>SUM('Defect (Total)'!G113,Planned!G113,Reconductor!G113,CTGS!G113)</f>
        <v>246194.43773095025</v>
      </c>
      <c r="H113" s="85">
        <f>SUM('Defect (Total)'!H113,Planned!H113,Reconductor!H113,CTGS!H113)</f>
        <v>245128</v>
      </c>
      <c r="I113" s="85">
        <f>SUM('Defect (Total)'!I113,Planned!I113,Reconductor!I113,CTGS!I113)</f>
        <v>249025.71876388742</v>
      </c>
      <c r="J113" s="85">
        <f>SUM('Defect (Total)'!J113,Planned!J113,Reconductor!J113,CTGS!J113)</f>
        <v>585983.41718993243</v>
      </c>
      <c r="K113" s="85">
        <f>SUM('Defect (Total)'!K113,Planned!K113,Reconductor!K113,CTGS!K113)</f>
        <v>564010.11772546405</v>
      </c>
      <c r="L113" s="85">
        <f>SUM('Defect (Total)'!L113,Planned!L113,Reconductor!L113,CTGS!L113)</f>
        <v>558365.9545301327</v>
      </c>
      <c r="M113" s="85">
        <f>SUM('Defect (Total)'!M113,Planned!M113,Reconductor!M113,CTGS!M113)</f>
        <v>935293.12855472369</v>
      </c>
      <c r="N113" s="85">
        <f>SUM('Defect (Total)'!N113,Planned!N113,Reconductor!N113,CTGS!N113)</f>
        <v>0</v>
      </c>
      <c r="O113" s="560">
        <f>SUM('Defect (Total)'!O113,Planned!O113,Reconductor!O113,CTGS!O113)</f>
        <v>413756.07273872569</v>
      </c>
      <c r="P113" s="561">
        <f>SUM('Defect (Total)'!P113,Planned!P113,Reconductor!P113,CTGS!P113)</f>
        <v>376301.76786908618</v>
      </c>
      <c r="Q113" s="561">
        <f>SUM('Defect (Total)'!Q113,Planned!Q113,Reconductor!Q113,CTGS!Q113)</f>
        <v>446012.41792513081</v>
      </c>
      <c r="R113" s="561">
        <f>SUM('Defect (Total)'!R113,Planned!R113,Reconductor!R113,CTGS!R113)</f>
        <v>316880.98451358231</v>
      </c>
      <c r="S113" s="561">
        <f>SUM('Defect (Total)'!S113,Planned!S113,Reconductor!S113,CTGS!S113)</f>
        <v>309086.50318117131</v>
      </c>
      <c r="T113" s="561">
        <f>SUM('Defect (Total)'!T113,Planned!T113,Reconductor!T113,CTGS!T113)</f>
        <v>309077.84612040618</v>
      </c>
      <c r="U113" s="561">
        <f>SUM('Defect (Total)'!U113,Planned!U113,Reconductor!U113,CTGS!U113)</f>
        <v>729835.29896272509</v>
      </c>
      <c r="V113" s="561">
        <f>SUM('Defect (Total)'!V113,Planned!V113,Reconductor!V113,CTGS!V113)</f>
        <v>676450.49211497582</v>
      </c>
      <c r="W113" s="561">
        <f>SUM('Defect (Total)'!W113,Planned!W113,Reconductor!W113,CTGS!W113)</f>
        <v>630912.89854684356</v>
      </c>
      <c r="X113" s="675">
        <f>SUM('Defect (Total)'!X113,Planned!X113,Reconductor!X113,CTGS!X113)</f>
        <v>994647.6966603793</v>
      </c>
      <c r="Y113" s="675">
        <f>SUM('Defect (Total)'!Y113,Planned!Y113,Reconductor!Y113,CTGS!Y113)</f>
        <v>856460.40970438288</v>
      </c>
      <c r="Z113" s="86">
        <f>SUM('Defect (Total)'!Z113,Planned!Z113,Reconductor!Z113,CTGS!Z113)</f>
        <v>347</v>
      </c>
      <c r="AA113" s="87">
        <f>SUM('Defect (Total)'!AA113,Planned!AA113,Reconductor!AA113,CTGS!AA113)</f>
        <v>317</v>
      </c>
      <c r="AB113" s="87">
        <f>SUM('Defect (Total)'!AB113,Planned!AB113,Reconductor!AB113,CTGS!AB113)</f>
        <v>314</v>
      </c>
      <c r="AC113" s="87">
        <f>SUM('Defect (Total)'!AC113,Planned!AC113,Reconductor!AC113,CTGS!AC113)</f>
        <v>260</v>
      </c>
      <c r="AD113" s="87">
        <f>SUM('Defect (Total)'!AD113,Planned!AD113,Reconductor!AD113,CTGS!AD113)</f>
        <v>273</v>
      </c>
      <c r="AE113" s="87">
        <f>SUM('Defect (Total)'!AE113,Planned!AE113,Reconductor!AE113,CTGS!AE113)</f>
        <v>296</v>
      </c>
      <c r="AF113" s="87">
        <f>SUM('Defect (Total)'!AF113,Planned!AF113,Reconductor!AF113,CTGS!AF113)</f>
        <v>922</v>
      </c>
      <c r="AG113" s="87">
        <f>SUM('Defect (Total)'!AG113,Planned!AG113,Reconductor!AG113,CTGS!AG113)</f>
        <v>1102</v>
      </c>
      <c r="AH113" s="87">
        <f>SUM('Defect (Total)'!AH113,Planned!AH113,Reconductor!AH113,CTGS!AH113)</f>
        <v>806</v>
      </c>
      <c r="AI113" s="87">
        <f>SUM('Defect (Total)'!AI113,Planned!AI113,Reconductor!AI113,CTGS!AI113)</f>
        <v>771</v>
      </c>
      <c r="AJ113" s="87">
        <f>SUM('Defect (Total)'!AJ113,Planned!AJ113,Reconductor!AJ113,CTGS!AJ113)</f>
        <v>114</v>
      </c>
      <c r="AK113" s="88">
        <f t="shared" si="47"/>
        <v>679.8</v>
      </c>
      <c r="AL113" s="89">
        <f t="shared" si="52"/>
        <v>943.33333333333337</v>
      </c>
      <c r="AM113" s="90">
        <f t="shared" si="48"/>
        <v>806</v>
      </c>
      <c r="AN113" s="91">
        <f t="shared" si="53"/>
        <v>886.22766570605188</v>
      </c>
      <c r="AO113" s="92">
        <f t="shared" si="54"/>
        <v>895.61198738170344</v>
      </c>
      <c r="AP113" s="92">
        <f t="shared" si="55"/>
        <v>1082.6337579617834</v>
      </c>
      <c r="AQ113" s="92">
        <f t="shared" si="56"/>
        <v>946.90168358057781</v>
      </c>
      <c r="AR113" s="92">
        <f t="shared" si="57"/>
        <v>897.90476190476193</v>
      </c>
      <c r="AS113" s="92">
        <f t="shared" si="58"/>
        <v>841.30310393205207</v>
      </c>
      <c r="AT113" s="92">
        <f t="shared" si="59"/>
        <v>635.55685161597876</v>
      </c>
      <c r="AU113" s="92">
        <f t="shared" si="60"/>
        <v>511.80591445141926</v>
      </c>
      <c r="AV113" s="92">
        <f t="shared" si="61"/>
        <v>692.76173018626889</v>
      </c>
      <c r="AW113" s="92">
        <f t="shared" si="62"/>
        <v>1213.0909579179295</v>
      </c>
      <c r="AX113" s="92">
        <f t="shared" si="62"/>
        <v>0</v>
      </c>
      <c r="AY113" s="93">
        <f t="shared" si="63"/>
        <v>742.28338125843982</v>
      </c>
      <c r="AZ113" s="94">
        <f t="shared" si="45"/>
        <v>768.07360985827563</v>
      </c>
      <c r="BA113" s="95">
        <f t="shared" si="46"/>
        <v>1213.0909579179295</v>
      </c>
      <c r="BB113" s="689">
        <f>SUM('Defect (Total)'!BB113,Planned!CE113,Reconductor!CE113,CTGS!CE113,'Substation 2025$'!CE113*$BL$1,Comms!CA113*$BL$2)</f>
        <v>0</v>
      </c>
      <c r="BC113" s="689">
        <f>SUM('Defect (Total)'!BC113,Planned!CF113,Reconductor!CF113,CTGS!CF113,'Substation 2025$'!CF113*$BL$1,Comms!CB113*$BL$2)</f>
        <v>0</v>
      </c>
      <c r="BD113" s="96">
        <f>SUM('Defect (Total)'!BD113,Planned!CG113,Reconductor!CG113,CTGS!CG113,'Substation 2025$'!CG113*$BL$1,Comms!CC113*$BL$2)</f>
        <v>0</v>
      </c>
      <c r="BE113" s="96">
        <f>SUM('Defect (Total)'!BE113,Planned!CH113,Reconductor!CH113,CTGS!CH113,'Substation 2025$'!CH113*$BL$1,Comms!CD113*$BL$2)</f>
        <v>0</v>
      </c>
      <c r="BF113" s="96">
        <f>SUM('Defect (Total)'!BF113,Planned!CI113,Reconductor!CI113,CTGS!CI113,'Substation 2025$'!CI113*$BL$1,Comms!CE113*$BL$2)</f>
        <v>0</v>
      </c>
      <c r="BG113" s="96">
        <f>SUM('Defect (Total)'!BG113,Planned!CJ113,Reconductor!CJ113,CTGS!CJ113,'Substation 2025$'!CJ113*$BL$1,Comms!CF113*$BL$2)</f>
        <v>0</v>
      </c>
      <c r="BH113" s="96">
        <f>SUM('Defect (Total)'!BH113,Planned!CK113,Reconductor!CK113,CTGS!CK113,'Substation 2025$'!CK113*$BL$1,Comms!CG113*$BL$2)</f>
        <v>0</v>
      </c>
      <c r="BI113" s="286">
        <f>SUM('Defect (Total)'!BI113,Planned!CL113,Reconductor!CL113,CTGS!CL113,'Substation 2025$'!CL113*$BL$1,Comms!CH113*$BL$2)</f>
        <v>0</v>
      </c>
      <c r="BJ113" s="99" t="str">
        <f t="shared" si="51"/>
        <v/>
      </c>
      <c r="BK113" s="992">
        <f>SUM('Defect (Total)'!BK113,Planned!CQ113,Reconductor!CQ113,CTGS!CQ113,'Substation 2025$'!CQ113*$BL$1,Comms!CM113*$BL$2)</f>
        <v>0</v>
      </c>
      <c r="BL113" s="992">
        <f>SUM('Defect (Total)'!BL113,Planned!CR113,Reconductor!CR113,CTGS!CR113,'Substation 2025$'!CR113*$BL$1,Comms!CN113*$BL$2)</f>
        <v>0</v>
      </c>
      <c r="BM113" s="524">
        <f>SUM('Defect (Total)'!BM113,Planned!CS113,Reconductor!CS113,CTGS!CS113,'Substation 2025$'!CS113*$BL$1,Comms!CO113*$BL$2)</f>
        <v>0</v>
      </c>
      <c r="BN113" s="416">
        <f>SUM('Defect (Total)'!BN113,Planned!CT113,Reconductor!CT113,CTGS!CT113,'Substation 2025$'!CT113*$BL$1,Comms!CP113*$BL$2)</f>
        <v>0</v>
      </c>
      <c r="BO113" s="97">
        <f>SUM('Defect (Total)'!BO113,Planned!CU113,Reconductor!CU113,CTGS!CU113,'Substation 2025$'!CU113*$BL$1,Comms!CQ113*$BL$2)</f>
        <v>0</v>
      </c>
      <c r="BP113" s="97">
        <f>SUM('Defect (Total)'!BP113,Planned!CV113,Reconductor!CV113,CTGS!CV113,'Substation 2025$'!CV113*$BL$1,Comms!CR113*$BL$2)</f>
        <v>0</v>
      </c>
      <c r="BQ113" s="97">
        <f>SUM('Defect (Total)'!BQ113,Planned!CW113,Reconductor!CW113,CTGS!CW113,'Substation 2025$'!CW113*$BL$1,Comms!CS113*$BL$2)</f>
        <v>0</v>
      </c>
      <c r="BR113" s="98">
        <f>SUM('Defect (Total)'!BR113,Planned!CX113,Reconductor!CX113,CTGS!CX113,'Substation 2025$'!CX113*$BL$1,Comms!CT113*$BL$2)</f>
        <v>0</v>
      </c>
    </row>
    <row r="114" spans="1:70" x14ac:dyDescent="0.25">
      <c r="A114" s="81" t="s">
        <v>224</v>
      </c>
      <c r="B114" s="82" t="s">
        <v>231</v>
      </c>
      <c r="C114" s="83" t="s">
        <v>232</v>
      </c>
      <c r="D114" s="84">
        <f>SUM('Defect (Total)'!D114,Planned!D114,Reconductor!D114,CTGS!D114)</f>
        <v>36696</v>
      </c>
      <c r="E114" s="85">
        <f>SUM('Defect (Total)'!E114,Planned!E114,Reconductor!E114,CTGS!E114)</f>
        <v>57818</v>
      </c>
      <c r="F114" s="85">
        <f>SUM('Defect (Total)'!F114,Planned!F114,Reconductor!F114,CTGS!F114)</f>
        <v>293726</v>
      </c>
      <c r="G114" s="85">
        <f>SUM('Defect (Total)'!G114,Planned!G114,Reconductor!G114,CTGS!G114)</f>
        <v>146731.57355568738</v>
      </c>
      <c r="H114" s="85">
        <f>SUM('Defect (Total)'!H114,Planned!H114,Reconductor!H114,CTGS!H114)</f>
        <v>93270</v>
      </c>
      <c r="I114" s="85">
        <f>SUM('Defect (Total)'!I114,Planned!I114,Reconductor!I114,CTGS!I114)</f>
        <v>54061.559292364342</v>
      </c>
      <c r="J114" s="85">
        <f>SUM('Defect (Total)'!J114,Planned!J114,Reconductor!J114,CTGS!J114)</f>
        <v>121210.77187148982</v>
      </c>
      <c r="K114" s="85">
        <f>SUM('Defect (Total)'!K114,Planned!K114,Reconductor!K114,CTGS!K114)</f>
        <v>55263.250618985978</v>
      </c>
      <c r="L114" s="85">
        <f>SUM('Defect (Total)'!L114,Planned!L114,Reconductor!L114,CTGS!L114)</f>
        <v>55515.892467058176</v>
      </c>
      <c r="M114" s="85">
        <f>SUM('Defect (Total)'!M114,Planned!M114,Reconductor!M114,CTGS!M114)</f>
        <v>84929.640916871998</v>
      </c>
      <c r="N114" s="85">
        <f>SUM('Defect (Total)'!N114,Planned!N114,Reconductor!N114,CTGS!N114)</f>
        <v>0</v>
      </c>
      <c r="O114" s="560">
        <f>SUM('Defect (Total)'!O114,Planned!O114,Reconductor!O114,CTGS!O114)</f>
        <v>49372.865089604529</v>
      </c>
      <c r="P114" s="561">
        <f>SUM('Defect (Total)'!P114,Planned!P114,Reconductor!P114,CTGS!P114)</f>
        <v>76633.765096051284</v>
      </c>
      <c r="Q114" s="561">
        <f>SUM('Defect (Total)'!Q114,Planned!Q114,Reconductor!Q114,CTGS!Q114)</f>
        <v>385370.20025909028</v>
      </c>
      <c r="R114" s="561">
        <f>SUM('Defect (Total)'!R114,Planned!R114,Reconductor!R114,CTGS!R114)</f>
        <v>188860.66604951592</v>
      </c>
      <c r="S114" s="561">
        <f>SUM('Defect (Total)'!S114,Planned!S114,Reconductor!S114,CTGS!S114)</f>
        <v>117605.89631420255</v>
      </c>
      <c r="T114" s="561">
        <f>SUM('Defect (Total)'!T114,Planned!T114,Reconductor!T114,CTGS!T114)</f>
        <v>67098.412111551312</v>
      </c>
      <c r="U114" s="561">
        <f>SUM('Defect (Total)'!U114,Planned!U114,Reconductor!U114,CTGS!U114)</f>
        <v>150966.55866228719</v>
      </c>
      <c r="V114" s="561">
        <f>SUM('Defect (Total)'!V114,Planned!V114,Reconductor!V114,CTGS!V114)</f>
        <v>66280.465371514263</v>
      </c>
      <c r="W114" s="561">
        <f>SUM('Defect (Total)'!W114,Planned!W114,Reconductor!W114,CTGS!W114)</f>
        <v>62728.918816837278</v>
      </c>
      <c r="X114" s="675">
        <f>SUM('Defect (Total)'!X114,Planned!X114,Reconductor!X114,CTGS!X114)</f>
        <v>90319.354582125801</v>
      </c>
      <c r="Y114" s="675">
        <f>SUM('Defect (Total)'!Y114,Planned!Y114,Reconductor!Y114,CTGS!Y114)</f>
        <v>141577.33427273456</v>
      </c>
      <c r="Z114" s="86">
        <f>SUM('Defect (Total)'!Z114,Planned!Z114,Reconductor!Z114,CTGS!Z114)</f>
        <v>182</v>
      </c>
      <c r="AA114" s="87">
        <f>SUM('Defect (Total)'!AA114,Planned!AA114,Reconductor!AA114,CTGS!AA114)</f>
        <v>210</v>
      </c>
      <c r="AB114" s="87">
        <f>SUM('Defect (Total)'!AB114,Planned!AB114,Reconductor!AB114,CTGS!AB114)</f>
        <v>315</v>
      </c>
      <c r="AC114" s="87">
        <f>SUM('Defect (Total)'!AC114,Planned!AC114,Reconductor!AC114,CTGS!AC114)</f>
        <v>405</v>
      </c>
      <c r="AD114" s="87">
        <f>SUM('Defect (Total)'!AD114,Planned!AD114,Reconductor!AD114,CTGS!AD114)</f>
        <v>393</v>
      </c>
      <c r="AE114" s="87">
        <f>SUM('Defect (Total)'!AE114,Planned!AE114,Reconductor!AE114,CTGS!AE114)</f>
        <v>333</v>
      </c>
      <c r="AF114" s="87">
        <f>SUM('Defect (Total)'!AF114,Planned!AF114,Reconductor!AF114,CTGS!AF114)</f>
        <v>542</v>
      </c>
      <c r="AG114" s="87">
        <f>SUM('Defect (Total)'!AG114,Planned!AG114,Reconductor!AG114,CTGS!AG114)</f>
        <v>346</v>
      </c>
      <c r="AH114" s="87">
        <f>SUM('Defect (Total)'!AH114,Planned!AH114,Reconductor!AH114,CTGS!AH114)</f>
        <v>259</v>
      </c>
      <c r="AI114" s="87">
        <f>SUM('Defect (Total)'!AI114,Planned!AI114,Reconductor!AI114,CTGS!AI114)</f>
        <v>484</v>
      </c>
      <c r="AJ114" s="87">
        <f>SUM('Defect (Total)'!AJ114,Planned!AJ114,Reconductor!AJ114,CTGS!AJ114)</f>
        <v>5</v>
      </c>
      <c r="AK114" s="88">
        <f t="shared" si="47"/>
        <v>374.6</v>
      </c>
      <c r="AL114" s="89">
        <f t="shared" si="52"/>
        <v>382.33333333333331</v>
      </c>
      <c r="AM114" s="90">
        <f t="shared" si="48"/>
        <v>259</v>
      </c>
      <c r="AN114" s="91">
        <f t="shared" si="53"/>
        <v>201.62637362637363</v>
      </c>
      <c r="AO114" s="92">
        <f t="shared" si="54"/>
        <v>275.32380952380953</v>
      </c>
      <c r="AP114" s="92">
        <f t="shared" si="55"/>
        <v>932.46349206349203</v>
      </c>
      <c r="AQ114" s="92">
        <f t="shared" si="56"/>
        <v>362.30018161898118</v>
      </c>
      <c r="AR114" s="92">
        <f t="shared" si="57"/>
        <v>237.32824427480915</v>
      </c>
      <c r="AS114" s="92">
        <f t="shared" si="58"/>
        <v>162.34702490199501</v>
      </c>
      <c r="AT114" s="92">
        <f t="shared" si="59"/>
        <v>223.63611046400337</v>
      </c>
      <c r="AU114" s="92">
        <f t="shared" si="60"/>
        <v>159.72037751152016</v>
      </c>
      <c r="AV114" s="92">
        <f t="shared" si="61"/>
        <v>214.34707516238677</v>
      </c>
      <c r="AW114" s="92">
        <f t="shared" si="62"/>
        <v>175.47446470428099</v>
      </c>
      <c r="AX114" s="92">
        <f t="shared" si="62"/>
        <v>0</v>
      </c>
      <c r="AY114" s="93">
        <f t="shared" si="63"/>
        <v>188.89058817045333</v>
      </c>
      <c r="AZ114" s="94">
        <f t="shared" si="45"/>
        <v>179.71421855180546</v>
      </c>
      <c r="BA114" s="95">
        <f t="shared" si="46"/>
        <v>175.47446470428099</v>
      </c>
      <c r="BB114" s="689">
        <f>SUM('Defect (Total)'!BB114,Planned!CE114,Reconductor!CE114,CTGS!CE114,'Substation 2025$'!CE114*$BL$1,Comms!CA114*$BL$2)</f>
        <v>0</v>
      </c>
      <c r="BC114" s="689">
        <f>SUM('Defect (Total)'!BC114,Planned!CF114,Reconductor!CF114,CTGS!CF114,'Substation 2025$'!CF114*$BL$1,Comms!CB114*$BL$2)</f>
        <v>0</v>
      </c>
      <c r="BD114" s="96">
        <f>SUM('Defect (Total)'!BD114,Planned!CG114,Reconductor!CG114,CTGS!CG114,'Substation 2025$'!CG114*$BL$1,Comms!CC114*$BL$2)</f>
        <v>0</v>
      </c>
      <c r="BE114" s="96">
        <f>SUM('Defect (Total)'!BE114,Planned!CH114,Reconductor!CH114,CTGS!CH114,'Substation 2025$'!CH114*$BL$1,Comms!CD114*$BL$2)</f>
        <v>0</v>
      </c>
      <c r="BF114" s="96">
        <f>SUM('Defect (Total)'!BF114,Planned!CI114,Reconductor!CI114,CTGS!CI114,'Substation 2025$'!CI114*$BL$1,Comms!CE114*$BL$2)</f>
        <v>0</v>
      </c>
      <c r="BG114" s="96">
        <f>SUM('Defect (Total)'!BG114,Planned!CJ114,Reconductor!CJ114,CTGS!CJ114,'Substation 2025$'!CJ114*$BL$1,Comms!CF114*$BL$2)</f>
        <v>0</v>
      </c>
      <c r="BH114" s="96">
        <f>SUM('Defect (Total)'!BH114,Planned!CK114,Reconductor!CK114,CTGS!CK114,'Substation 2025$'!CK114*$BL$1,Comms!CG114*$BL$2)</f>
        <v>0</v>
      </c>
      <c r="BI114" s="286">
        <f>SUM('Defect (Total)'!BI114,Planned!CL114,Reconductor!CL114,CTGS!CL114,'Substation 2025$'!CL114*$BL$1,Comms!CH114*$BL$2)</f>
        <v>0</v>
      </c>
      <c r="BJ114" s="99" t="str">
        <f t="shared" si="51"/>
        <v/>
      </c>
      <c r="BK114" s="992">
        <f>SUM('Defect (Total)'!BK114,Planned!CQ114,Reconductor!CQ114,CTGS!CQ114,'Substation 2025$'!CQ114*$BL$1,Comms!CM114*$BL$2)</f>
        <v>0</v>
      </c>
      <c r="BL114" s="992">
        <f>SUM('Defect (Total)'!BL114,Planned!CR114,Reconductor!CR114,CTGS!CR114,'Substation 2025$'!CR114*$BL$1,Comms!CN114*$BL$2)</f>
        <v>0</v>
      </c>
      <c r="BM114" s="524">
        <f>SUM('Defect (Total)'!BM114,Planned!CS114,Reconductor!CS114,CTGS!CS114,'Substation 2025$'!CS114*$BL$1,Comms!CO114*$BL$2)</f>
        <v>0</v>
      </c>
      <c r="BN114" s="416">
        <f>SUM('Defect (Total)'!BN114,Planned!CT114,Reconductor!CT114,CTGS!CT114,'Substation 2025$'!CT114*$BL$1,Comms!CP114*$BL$2)</f>
        <v>0</v>
      </c>
      <c r="BO114" s="97">
        <f>SUM('Defect (Total)'!BO114,Planned!CU114,Reconductor!CU114,CTGS!CU114,'Substation 2025$'!CU114*$BL$1,Comms!CQ114*$BL$2)</f>
        <v>0</v>
      </c>
      <c r="BP114" s="97">
        <f>SUM('Defect (Total)'!BP114,Planned!CV114,Reconductor!CV114,CTGS!CV114,'Substation 2025$'!CV114*$BL$1,Comms!CR114*$BL$2)</f>
        <v>0</v>
      </c>
      <c r="BQ114" s="97">
        <f>SUM('Defect (Total)'!BQ114,Planned!CW114,Reconductor!CW114,CTGS!CW114,'Substation 2025$'!CW114*$BL$1,Comms!CS114*$BL$2)</f>
        <v>0</v>
      </c>
      <c r="BR114" s="98">
        <f>SUM('Defect (Total)'!BR114,Planned!CX114,Reconductor!CX114,CTGS!CX114,'Substation 2025$'!CX114*$BL$1,Comms!CT114*$BL$2)</f>
        <v>0</v>
      </c>
    </row>
    <row r="115" spans="1:70" x14ac:dyDescent="0.25">
      <c r="A115" s="81" t="s">
        <v>224</v>
      </c>
      <c r="B115" s="82" t="s">
        <v>233</v>
      </c>
      <c r="C115" s="83" t="s">
        <v>234</v>
      </c>
      <c r="D115" s="84">
        <f>SUM('Defect (Total)'!D115,Planned!D115,Reconductor!D115,CTGS!D115)</f>
        <v>22542</v>
      </c>
      <c r="E115" s="85">
        <f>SUM('Defect (Total)'!E115,Planned!E115,Reconductor!E115,CTGS!E115)</f>
        <v>39699</v>
      </c>
      <c r="F115" s="85">
        <f>SUM('Defect (Total)'!F115,Planned!F115,Reconductor!F115,CTGS!F115)</f>
        <v>36556</v>
      </c>
      <c r="G115" s="85">
        <f>SUM('Defect (Total)'!G115,Planned!G115,Reconductor!G115,CTGS!G115)</f>
        <v>90603.004376880781</v>
      </c>
      <c r="H115" s="85">
        <f>SUM('Defect (Total)'!H115,Planned!H115,Reconductor!H115,CTGS!H115)</f>
        <v>71114</v>
      </c>
      <c r="I115" s="85">
        <f>SUM('Defect (Total)'!I115,Planned!I115,Reconductor!I115,CTGS!I115)</f>
        <v>34401.234633262131</v>
      </c>
      <c r="J115" s="85">
        <f>SUM('Defect (Total)'!J115,Planned!J115,Reconductor!J115,CTGS!J115)</f>
        <v>136588.22561187376</v>
      </c>
      <c r="K115" s="85">
        <f>SUM('Defect (Total)'!K115,Planned!K115,Reconductor!K115,CTGS!K115)</f>
        <v>61193.642882788983</v>
      </c>
      <c r="L115" s="85">
        <f>SUM('Defect (Total)'!L115,Planned!L115,Reconductor!L115,CTGS!L115)</f>
        <v>72842.440374214231</v>
      </c>
      <c r="M115" s="85">
        <f>SUM('Defect (Total)'!M115,Planned!M115,Reconductor!M115,CTGS!M115)</f>
        <v>46684.871811953824</v>
      </c>
      <c r="N115" s="85">
        <f>SUM('Defect (Total)'!N115,Planned!N115,Reconductor!N115,CTGS!N115)</f>
        <v>0</v>
      </c>
      <c r="O115" s="560">
        <f>SUM('Defect (Total)'!O115,Planned!O115,Reconductor!O115,CTGS!O115)</f>
        <v>30329.276347554653</v>
      </c>
      <c r="P115" s="561">
        <f>SUM('Defect (Total)'!P115,Planned!P115,Reconductor!P115,CTGS!P115)</f>
        <v>52618.282205336407</v>
      </c>
      <c r="Q115" s="561">
        <f>SUM('Defect (Total)'!Q115,Planned!Q115,Reconductor!Q115,CTGS!Q115)</f>
        <v>47961.682114185693</v>
      </c>
      <c r="R115" s="561">
        <f>SUM('Defect (Total)'!R115,Planned!R115,Reconductor!R115,CTGS!R115)</f>
        <v>116616.64451659977</v>
      </c>
      <c r="S115" s="561">
        <f>SUM('Defect (Total)'!S115,Planned!S115,Reconductor!S115,CTGS!S115)</f>
        <v>89668.979419837036</v>
      </c>
      <c r="T115" s="561">
        <f>SUM('Defect (Total)'!T115,Planned!T115,Reconductor!T115,CTGS!T115)</f>
        <v>42697.033692382145</v>
      </c>
      <c r="U115" s="561">
        <f>SUM('Defect (Total)'!U115,Planned!U115,Reconductor!U115,CTGS!U115)</f>
        <v>170118.99236377014</v>
      </c>
      <c r="V115" s="561">
        <f>SUM('Defect (Total)'!V115,Planned!V115,Reconductor!V115,CTGS!V115)</f>
        <v>73393.133458857104</v>
      </c>
      <c r="W115" s="561">
        <f>SUM('Defect (Total)'!W115,Planned!W115,Reconductor!W115,CTGS!W115)</f>
        <v>82306.657167868208</v>
      </c>
      <c r="X115" s="675">
        <f>SUM('Defect (Total)'!X115,Planned!X115,Reconductor!X115,CTGS!X115)</f>
        <v>49647.537011631161</v>
      </c>
      <c r="Y115" s="675">
        <f>SUM('Defect (Total)'!Y115,Planned!Y115,Reconductor!Y115,CTGS!Y115)</f>
        <v>144302.50900239302</v>
      </c>
      <c r="Z115" s="86">
        <f>SUM('Defect (Total)'!Z115,Planned!Z115,Reconductor!Z115,CTGS!Z115)</f>
        <v>737</v>
      </c>
      <c r="AA115" s="87">
        <f>SUM('Defect (Total)'!AA115,Planned!AA115,Reconductor!AA115,CTGS!AA115)</f>
        <v>801</v>
      </c>
      <c r="AB115" s="87">
        <f>SUM('Defect (Total)'!AB115,Planned!AB115,Reconductor!AB115,CTGS!AB115)</f>
        <v>524</v>
      </c>
      <c r="AC115" s="87">
        <f>SUM('Defect (Total)'!AC115,Planned!AC115,Reconductor!AC115,CTGS!AC115)</f>
        <v>909</v>
      </c>
      <c r="AD115" s="87">
        <f>SUM('Defect (Total)'!AD115,Planned!AD115,Reconductor!AD115,CTGS!AD115)</f>
        <v>736</v>
      </c>
      <c r="AE115" s="87">
        <f>SUM('Defect (Total)'!AE115,Planned!AE115,Reconductor!AE115,CTGS!AE115)</f>
        <v>648</v>
      </c>
      <c r="AF115" s="87">
        <f>SUM('Defect (Total)'!AF115,Planned!AF115,Reconductor!AF115,CTGS!AF115)</f>
        <v>1482</v>
      </c>
      <c r="AG115" s="87">
        <f>SUM('Defect (Total)'!AG115,Planned!AG115,Reconductor!AG115,CTGS!AG115)</f>
        <v>489</v>
      </c>
      <c r="AH115" s="87">
        <f>SUM('Defect (Total)'!AH115,Planned!AH115,Reconductor!AH115,CTGS!AH115)</f>
        <v>404</v>
      </c>
      <c r="AI115" s="87">
        <f>SUM('Defect (Total)'!AI115,Planned!AI115,Reconductor!AI115,CTGS!AI115)</f>
        <v>438</v>
      </c>
      <c r="AJ115" s="87">
        <f>SUM('Defect (Total)'!AJ115,Planned!AJ115,Reconductor!AJ115,CTGS!AJ115)</f>
        <v>3</v>
      </c>
      <c r="AK115" s="88">
        <f t="shared" si="47"/>
        <v>751.8</v>
      </c>
      <c r="AL115" s="89">
        <f t="shared" si="52"/>
        <v>791.66666666666663</v>
      </c>
      <c r="AM115" s="90">
        <f t="shared" si="48"/>
        <v>404</v>
      </c>
      <c r="AN115" s="91">
        <f t="shared" si="53"/>
        <v>30.586160108548167</v>
      </c>
      <c r="AO115" s="92">
        <f t="shared" si="54"/>
        <v>49.561797752808985</v>
      </c>
      <c r="AP115" s="92">
        <f t="shared" si="55"/>
        <v>69.763358778625957</v>
      </c>
      <c r="AQ115" s="92">
        <f t="shared" si="56"/>
        <v>99.673272141783031</v>
      </c>
      <c r="AR115" s="92">
        <f t="shared" si="57"/>
        <v>96.622282608695656</v>
      </c>
      <c r="AS115" s="92">
        <f t="shared" si="58"/>
        <v>53.08832505133045</v>
      </c>
      <c r="AT115" s="92">
        <f t="shared" si="59"/>
        <v>92.164794609901321</v>
      </c>
      <c r="AU115" s="92">
        <f t="shared" si="60"/>
        <v>125.1403739934335</v>
      </c>
      <c r="AV115" s="92">
        <f t="shared" si="61"/>
        <v>180.30307023320356</v>
      </c>
      <c r="AW115" s="92">
        <f t="shared" si="62"/>
        <v>106.58646532409549</v>
      </c>
      <c r="AX115" s="92">
        <f t="shared" si="62"/>
        <v>0</v>
      </c>
      <c r="AY115" s="93">
        <f t="shared" si="63"/>
        <v>101.62103880788585</v>
      </c>
      <c r="AZ115" s="94">
        <f t="shared" si="45"/>
        <v>135.77832837637646</v>
      </c>
      <c r="BA115" s="95">
        <f t="shared" si="46"/>
        <v>106.58646532409549</v>
      </c>
      <c r="BB115" s="689">
        <f>SUM('Defect (Total)'!BB115,Planned!CE115,Reconductor!CE115,CTGS!CE115,'Substation 2025$'!CE115*$BL$1,Comms!CA115*$BL$2)</f>
        <v>0</v>
      </c>
      <c r="BC115" s="689">
        <f>SUM('Defect (Total)'!BC115,Planned!CF115,Reconductor!CF115,CTGS!CF115,'Substation 2025$'!CF115*$BL$1,Comms!CB115*$BL$2)</f>
        <v>0</v>
      </c>
      <c r="BD115" s="96">
        <f>SUM('Defect (Total)'!BD115,Planned!CG115,Reconductor!CG115,CTGS!CG115,'Substation 2025$'!CG115*$BL$1,Comms!CC115*$BL$2)</f>
        <v>0</v>
      </c>
      <c r="BE115" s="96">
        <f>SUM('Defect (Total)'!BE115,Planned!CH115,Reconductor!CH115,CTGS!CH115,'Substation 2025$'!CH115*$BL$1,Comms!CD115*$BL$2)</f>
        <v>0</v>
      </c>
      <c r="BF115" s="96">
        <f>SUM('Defect (Total)'!BF115,Planned!CI115,Reconductor!CI115,CTGS!CI115,'Substation 2025$'!CI115*$BL$1,Comms!CE115*$BL$2)</f>
        <v>0</v>
      </c>
      <c r="BG115" s="96">
        <f>SUM('Defect (Total)'!BG115,Planned!CJ115,Reconductor!CJ115,CTGS!CJ115,'Substation 2025$'!CJ115*$BL$1,Comms!CF115*$BL$2)</f>
        <v>0</v>
      </c>
      <c r="BH115" s="96">
        <f>SUM('Defect (Total)'!BH115,Planned!CK115,Reconductor!CK115,CTGS!CK115,'Substation 2025$'!CK115*$BL$1,Comms!CG115*$BL$2)</f>
        <v>0</v>
      </c>
      <c r="BI115" s="286">
        <f>SUM('Defect (Total)'!BI115,Planned!CL115,Reconductor!CL115,CTGS!CL115,'Substation 2025$'!CL115*$BL$1,Comms!CH115*$BL$2)</f>
        <v>0</v>
      </c>
      <c r="BJ115" s="99" t="str">
        <f t="shared" si="51"/>
        <v/>
      </c>
      <c r="BK115" s="992">
        <f>SUM('Defect (Total)'!BK115,Planned!CQ115,Reconductor!CQ115,CTGS!CQ115,'Substation 2025$'!CQ115*$BL$1,Comms!CM115*$BL$2)</f>
        <v>0</v>
      </c>
      <c r="BL115" s="992">
        <f>SUM('Defect (Total)'!BL115,Planned!CR115,Reconductor!CR115,CTGS!CR115,'Substation 2025$'!CR115*$BL$1,Comms!CN115*$BL$2)</f>
        <v>0</v>
      </c>
      <c r="BM115" s="524">
        <f>SUM('Defect (Total)'!BM115,Planned!CS115,Reconductor!CS115,CTGS!CS115,'Substation 2025$'!CS115*$BL$1,Comms!CO115*$BL$2)</f>
        <v>0</v>
      </c>
      <c r="BN115" s="416">
        <f>SUM('Defect (Total)'!BN115,Planned!CT115,Reconductor!CT115,CTGS!CT115,'Substation 2025$'!CT115*$BL$1,Comms!CP115*$BL$2)</f>
        <v>0</v>
      </c>
      <c r="BO115" s="97">
        <f>SUM('Defect (Total)'!BO115,Planned!CU115,Reconductor!CU115,CTGS!CU115,'Substation 2025$'!CU115*$BL$1,Comms!CQ115*$BL$2)</f>
        <v>0</v>
      </c>
      <c r="BP115" s="97">
        <f>SUM('Defect (Total)'!BP115,Planned!CV115,Reconductor!CV115,CTGS!CV115,'Substation 2025$'!CV115*$BL$1,Comms!CR115*$BL$2)</f>
        <v>0</v>
      </c>
      <c r="BQ115" s="97">
        <f>SUM('Defect (Total)'!BQ115,Planned!CW115,Reconductor!CW115,CTGS!CW115,'Substation 2025$'!CW115*$BL$1,Comms!CS115*$BL$2)</f>
        <v>0</v>
      </c>
      <c r="BR115" s="98">
        <f>SUM('Defect (Total)'!BR115,Planned!CX115,Reconductor!CX115,CTGS!CX115,'Substation 2025$'!CX115*$BL$1,Comms!CT115*$BL$2)</f>
        <v>0</v>
      </c>
    </row>
    <row r="116" spans="1:70" x14ac:dyDescent="0.25">
      <c r="A116" s="81" t="s">
        <v>224</v>
      </c>
      <c r="B116" s="82" t="s">
        <v>235</v>
      </c>
      <c r="C116" s="83" t="s">
        <v>236</v>
      </c>
      <c r="D116" s="84">
        <f>SUM('Defect (Total)'!D116,Planned!D116,Reconductor!D116,CTGS!D116)</f>
        <v>186884</v>
      </c>
      <c r="E116" s="85">
        <f>SUM('Defect (Total)'!E116,Planned!E116,Reconductor!E116,CTGS!E116)</f>
        <v>122614</v>
      </c>
      <c r="F116" s="85">
        <f>SUM('Defect (Total)'!F116,Planned!F116,Reconductor!F116,CTGS!F116)</f>
        <v>451829</v>
      </c>
      <c r="G116" s="85">
        <f>SUM('Defect (Total)'!G116,Planned!G116,Reconductor!G116,CTGS!G116)</f>
        <v>308182.92422913248</v>
      </c>
      <c r="H116" s="85">
        <f>SUM('Defect (Total)'!H116,Planned!H116,Reconductor!H116,CTGS!H116)</f>
        <v>175270</v>
      </c>
      <c r="I116" s="85">
        <f>SUM('Defect (Total)'!I116,Planned!I116,Reconductor!I116,CTGS!I116)</f>
        <v>246128.60559820657</v>
      </c>
      <c r="J116" s="85">
        <f>SUM('Defect (Total)'!J116,Planned!J116,Reconductor!J116,CTGS!J116)</f>
        <v>397559.2013652004</v>
      </c>
      <c r="K116" s="85">
        <f>SUM('Defect (Total)'!K116,Planned!K116,Reconductor!K116,CTGS!K116)</f>
        <v>65755.440700314997</v>
      </c>
      <c r="L116" s="85">
        <f>SUM('Defect (Total)'!L116,Planned!L116,Reconductor!L116,CTGS!L116)</f>
        <v>238480.01422008692</v>
      </c>
      <c r="M116" s="85">
        <f>SUM('Defect (Total)'!M116,Planned!M116,Reconductor!M116,CTGS!M116)</f>
        <v>299780.3468326013</v>
      </c>
      <c r="N116" s="85">
        <f>SUM('Defect (Total)'!N116,Planned!N116,Reconductor!N116,CTGS!N116)</f>
        <v>0</v>
      </c>
      <c r="O116" s="560">
        <f>SUM('Defect (Total)'!O116,Planned!O116,Reconductor!O116,CTGS!O116)</f>
        <v>251444.25875860185</v>
      </c>
      <c r="P116" s="561">
        <f>SUM('Defect (Total)'!P116,Planned!P116,Reconductor!P116,CTGS!P116)</f>
        <v>162516.38717159419</v>
      </c>
      <c r="Q116" s="561">
        <f>SUM('Defect (Total)'!Q116,Planned!Q116,Reconductor!Q116,CTGS!Q116)</f>
        <v>592802.24499317224</v>
      </c>
      <c r="R116" s="561">
        <f>SUM('Defect (Total)'!R116,Planned!R116,Reconductor!R116,CTGS!R116)</f>
        <v>396667.40378076897</v>
      </c>
      <c r="S116" s="561">
        <f>SUM('Defect (Total)'!S116,Planned!S116,Reconductor!S116,CTGS!S116)</f>
        <v>221001.23777195541</v>
      </c>
      <c r="T116" s="561">
        <f>SUM('Defect (Total)'!T116,Planned!T116,Reconductor!T116,CTGS!T116)</f>
        <v>305482.09905596462</v>
      </c>
      <c r="U116" s="561">
        <f>SUM('Defect (Total)'!U116,Planned!U116,Reconductor!U116,CTGS!U116)</f>
        <v>495155.2041782561</v>
      </c>
      <c r="V116" s="561">
        <f>SUM('Defect (Total)'!V116,Planned!V116,Reconductor!V116,CTGS!V116)</f>
        <v>78864.365767665702</v>
      </c>
      <c r="W116" s="561">
        <f>SUM('Defect (Total)'!W116,Planned!W116,Reconductor!W116,CTGS!W116)</f>
        <v>269465.062825509</v>
      </c>
      <c r="X116" s="675">
        <f>SUM('Defect (Total)'!X116,Planned!X116,Reconductor!X116,CTGS!X116)</f>
        <v>318804.68526680762</v>
      </c>
      <c r="Y116" s="675">
        <f>SUM('Defect (Total)'!Y116,Planned!Y116,Reconductor!Y116,CTGS!Y116)</f>
        <v>315911.24410827231</v>
      </c>
      <c r="Z116" s="86">
        <f>SUM('Defect (Total)'!Z116,Planned!Z116,Reconductor!Z116,CTGS!Z116)</f>
        <v>31</v>
      </c>
      <c r="AA116" s="87">
        <f>SUM('Defect (Total)'!AA116,Planned!AA116,Reconductor!AA116,CTGS!AA116)</f>
        <v>22</v>
      </c>
      <c r="AB116" s="87">
        <f>SUM('Defect (Total)'!AB116,Planned!AB116,Reconductor!AB116,CTGS!AB116)</f>
        <v>65</v>
      </c>
      <c r="AC116" s="87">
        <f>SUM('Defect (Total)'!AC116,Planned!AC116,Reconductor!AC116,CTGS!AC116)</f>
        <v>20</v>
      </c>
      <c r="AD116" s="87">
        <f>SUM('Defect (Total)'!AD116,Planned!AD116,Reconductor!AD116,CTGS!AD116)</f>
        <v>31</v>
      </c>
      <c r="AE116" s="87">
        <f>SUM('Defect (Total)'!AE116,Planned!AE116,Reconductor!AE116,CTGS!AE116)</f>
        <v>46</v>
      </c>
      <c r="AF116" s="87">
        <f>SUM('Defect (Total)'!AF116,Planned!AF116,Reconductor!AF116,CTGS!AF116)</f>
        <v>81</v>
      </c>
      <c r="AG116" s="87">
        <f>SUM('Defect (Total)'!AG116,Planned!AG116,Reconductor!AG116,CTGS!AG116)</f>
        <v>16</v>
      </c>
      <c r="AH116" s="87">
        <f>SUM('Defect (Total)'!AH116,Planned!AH116,Reconductor!AH116,CTGS!AH116)</f>
        <v>23</v>
      </c>
      <c r="AI116" s="87">
        <f>SUM('Defect (Total)'!AI116,Planned!AI116,Reconductor!AI116,CTGS!AI116)</f>
        <v>24</v>
      </c>
      <c r="AJ116" s="87">
        <f>SUM('Defect (Total)'!AJ116,Planned!AJ116,Reconductor!AJ116,CTGS!AJ116)</f>
        <v>0</v>
      </c>
      <c r="AK116" s="88">
        <f t="shared" si="47"/>
        <v>39.4</v>
      </c>
      <c r="AL116" s="89">
        <f t="shared" si="52"/>
        <v>40</v>
      </c>
      <c r="AM116" s="90">
        <f t="shared" si="48"/>
        <v>23</v>
      </c>
      <c r="AN116" s="91">
        <f t="shared" si="53"/>
        <v>6028.5161290322585</v>
      </c>
      <c r="AO116" s="92">
        <f t="shared" si="54"/>
        <v>5573.363636363636</v>
      </c>
      <c r="AP116" s="92">
        <f t="shared" si="55"/>
        <v>6951.2153846153842</v>
      </c>
      <c r="AQ116" s="92">
        <f t="shared" si="56"/>
        <v>15409.146211456624</v>
      </c>
      <c r="AR116" s="92">
        <f t="shared" si="57"/>
        <v>5653.8709677419356</v>
      </c>
      <c r="AS116" s="92">
        <f t="shared" si="58"/>
        <v>5350.621860830578</v>
      </c>
      <c r="AT116" s="92">
        <f t="shared" si="59"/>
        <v>4908.138288459264</v>
      </c>
      <c r="AU116" s="92">
        <f t="shared" si="60"/>
        <v>4109.7150437696873</v>
      </c>
      <c r="AV116" s="92">
        <f t="shared" si="61"/>
        <v>10368.696270438562</v>
      </c>
      <c r="AW116" s="92">
        <f t="shared" si="62"/>
        <v>12490.847784691721</v>
      </c>
      <c r="AX116" s="92" t="str">
        <f t="shared" si="62"/>
        <v/>
      </c>
      <c r="AY116" s="93">
        <f t="shared" si="63"/>
        <v>6566.861098507422</v>
      </c>
      <c r="AZ116" s="94">
        <f t="shared" si="45"/>
        <v>9587.5524087778285</v>
      </c>
      <c r="BA116" s="95">
        <f t="shared" si="46"/>
        <v>12490.847784691721</v>
      </c>
      <c r="BB116" s="689">
        <f>SUM('Defect (Total)'!BB116,Planned!CE116,Reconductor!CE116,CTGS!CE116,'Substation 2025$'!CE116*$BL$1,Comms!CA116*$BL$2)</f>
        <v>0</v>
      </c>
      <c r="BC116" s="689">
        <f>SUM('Defect (Total)'!BC116,Planned!CF116,Reconductor!CF116,CTGS!CF116,'Substation 2025$'!CF116*$BL$1,Comms!CB116*$BL$2)</f>
        <v>0</v>
      </c>
      <c r="BD116" s="96">
        <f>SUM('Defect (Total)'!BD116,Planned!CG116,Reconductor!CG116,CTGS!CG116,'Substation 2025$'!CG116*$BL$1,Comms!CC116*$BL$2)</f>
        <v>0</v>
      </c>
      <c r="BE116" s="96">
        <f>SUM('Defect (Total)'!BE116,Planned!CH116,Reconductor!CH116,CTGS!CH116,'Substation 2025$'!CH116*$BL$1,Comms!CD116*$BL$2)</f>
        <v>0</v>
      </c>
      <c r="BF116" s="96">
        <f>SUM('Defect (Total)'!BF116,Planned!CI116,Reconductor!CI116,CTGS!CI116,'Substation 2025$'!CI116*$BL$1,Comms!CE116*$BL$2)</f>
        <v>0</v>
      </c>
      <c r="BG116" s="96">
        <f>SUM('Defect (Total)'!BG116,Planned!CJ116,Reconductor!CJ116,CTGS!CJ116,'Substation 2025$'!CJ116*$BL$1,Comms!CF116*$BL$2)</f>
        <v>0</v>
      </c>
      <c r="BH116" s="96">
        <f>SUM('Defect (Total)'!BH116,Planned!CK116,Reconductor!CK116,CTGS!CK116,'Substation 2025$'!CK116*$BL$1,Comms!CG116*$BL$2)</f>
        <v>0</v>
      </c>
      <c r="BI116" s="286">
        <f>SUM('Defect (Total)'!BI116,Planned!CL116,Reconductor!CL116,CTGS!CL116,'Substation 2025$'!CL116*$BL$1,Comms!CH116*$BL$2)</f>
        <v>0</v>
      </c>
      <c r="BJ116" s="99" t="str">
        <f t="shared" si="51"/>
        <v/>
      </c>
      <c r="BK116" s="992">
        <f>SUM('Defect (Total)'!BK116,Planned!CQ116,Reconductor!CQ116,CTGS!CQ116,'Substation 2025$'!CQ116*$BL$1,Comms!CM116*$BL$2)</f>
        <v>0</v>
      </c>
      <c r="BL116" s="992">
        <f>SUM('Defect (Total)'!BL116,Planned!CR116,Reconductor!CR116,CTGS!CR116,'Substation 2025$'!CR116*$BL$1,Comms!CN116*$BL$2)</f>
        <v>0</v>
      </c>
      <c r="BM116" s="524">
        <f>SUM('Defect (Total)'!BM116,Planned!CS116,Reconductor!CS116,CTGS!CS116,'Substation 2025$'!CS116*$BL$1,Comms!CO116*$BL$2)</f>
        <v>0</v>
      </c>
      <c r="BN116" s="416">
        <f>SUM('Defect (Total)'!BN116,Planned!CT116,Reconductor!CT116,CTGS!CT116,'Substation 2025$'!CT116*$BL$1,Comms!CP116*$BL$2)</f>
        <v>0</v>
      </c>
      <c r="BO116" s="97">
        <f>SUM('Defect (Total)'!BO116,Planned!CU116,Reconductor!CU116,CTGS!CU116,'Substation 2025$'!CU116*$BL$1,Comms!CQ116*$BL$2)</f>
        <v>0</v>
      </c>
      <c r="BP116" s="97">
        <f>SUM('Defect (Total)'!BP116,Planned!CV116,Reconductor!CV116,CTGS!CV116,'Substation 2025$'!CV116*$BL$1,Comms!CR116*$BL$2)</f>
        <v>0</v>
      </c>
      <c r="BQ116" s="97">
        <f>SUM('Defect (Total)'!BQ116,Planned!CW116,Reconductor!CW116,CTGS!CW116,'Substation 2025$'!CW116*$BL$1,Comms!CS116*$BL$2)</f>
        <v>0</v>
      </c>
      <c r="BR116" s="98">
        <f>SUM('Defect (Total)'!BR116,Planned!CX116,Reconductor!CX116,CTGS!CX116,'Substation 2025$'!CX116*$BL$1,Comms!CT116*$BL$2)</f>
        <v>0</v>
      </c>
    </row>
    <row r="117" spans="1:70" x14ac:dyDescent="0.25">
      <c r="A117" s="81" t="s">
        <v>224</v>
      </c>
      <c r="B117" s="82" t="s">
        <v>237</v>
      </c>
      <c r="C117" s="83" t="s">
        <v>238</v>
      </c>
      <c r="D117" s="84">
        <f>SUM('Defect (Total)'!D117,Planned!D117,Reconductor!D117,CTGS!D117)</f>
        <v>760961</v>
      </c>
      <c r="E117" s="85">
        <f>SUM('Defect (Total)'!E117,Planned!E117,Reconductor!E117,CTGS!E117)</f>
        <v>339992</v>
      </c>
      <c r="F117" s="85">
        <f>SUM('Defect (Total)'!F117,Planned!F117,Reconductor!F117,CTGS!F117)</f>
        <v>564615</v>
      </c>
      <c r="G117" s="85">
        <f>SUM('Defect (Total)'!G117,Planned!G117,Reconductor!G117,CTGS!G117)</f>
        <v>612721</v>
      </c>
      <c r="H117" s="85">
        <f>SUM('Defect (Total)'!H117,Planned!H117,Reconductor!H117,CTGS!H117)</f>
        <v>285204</v>
      </c>
      <c r="I117" s="85">
        <f>SUM('Defect (Total)'!I117,Planned!I117,Reconductor!I117,CTGS!I117)</f>
        <v>595636.01373642439</v>
      </c>
      <c r="J117" s="85">
        <f>SUM('Defect (Total)'!J117,Planned!J117,Reconductor!J117,CTGS!J117)</f>
        <v>622978.73421031435</v>
      </c>
      <c r="K117" s="85">
        <f>SUM('Defect (Total)'!K117,Planned!K117,Reconductor!K117,CTGS!K117)</f>
        <v>286797.90969337494</v>
      </c>
      <c r="L117" s="85">
        <f>SUM('Defect (Total)'!L117,Planned!L117,Reconductor!L117,CTGS!L117)</f>
        <v>315216.12086729851</v>
      </c>
      <c r="M117" s="85">
        <f>SUM('Defect (Total)'!M117,Planned!M117,Reconductor!M117,CTGS!M117)</f>
        <v>804917.52853729413</v>
      </c>
      <c r="N117" s="85">
        <f>SUM('Defect (Total)'!N117,Planned!N117,Reconductor!N117,CTGS!N117)</f>
        <v>0</v>
      </c>
      <c r="O117" s="560">
        <f>SUM('Defect (Total)'!O117,Planned!O117,Reconductor!O117,CTGS!O117)</f>
        <v>1023839.7861197558</v>
      </c>
      <c r="P117" s="561">
        <f>SUM('Defect (Total)'!P117,Planned!P117,Reconductor!P117,CTGS!P117)</f>
        <v>450635.91031403141</v>
      </c>
      <c r="Q117" s="561">
        <f>SUM('Defect (Total)'!Q117,Planned!Q117,Reconductor!Q117,CTGS!Q117)</f>
        <v>740778.12525716564</v>
      </c>
      <c r="R117" s="561">
        <f>SUM('Defect (Total)'!R117,Planned!R117,Reconductor!R117,CTGS!R117)</f>
        <v>788643.46206038562</v>
      </c>
      <c r="S117" s="561">
        <f>SUM('Defect (Total)'!S117,Planned!S117,Reconductor!S117,CTGS!S117)</f>
        <v>359619.08494045067</v>
      </c>
      <c r="T117" s="561">
        <f>SUM('Defect (Total)'!T117,Planned!T117,Reconductor!T117,CTGS!T117)</f>
        <v>739272.62256775284</v>
      </c>
      <c r="U117" s="561">
        <f>SUM('Defect (Total)'!U117,Planned!U117,Reconductor!U117,CTGS!U117)</f>
        <v>775912.52139893535</v>
      </c>
      <c r="V117" s="561">
        <f>SUM('Defect (Total)'!V117,Planned!V117,Reconductor!V117,CTGS!V117)</f>
        <v>343973.59382844088</v>
      </c>
      <c r="W117" s="561">
        <f>SUM('Defect (Total)'!W117,Planned!W117,Reconductor!W117,CTGS!W117)</f>
        <v>356171.27955523849</v>
      </c>
      <c r="X117" s="675">
        <f>SUM('Defect (Total)'!X117,Planned!X117,Reconductor!X117,CTGS!X117)</f>
        <v>855998.34032603132</v>
      </c>
      <c r="Y117" s="675">
        <f>SUM('Defect (Total)'!Y117,Planned!Y117,Reconductor!Y117,CTGS!Y117)</f>
        <v>782154.61283102119</v>
      </c>
      <c r="Z117" s="86">
        <f>SUM('Defect (Total)'!Z117,Planned!Z117,Reconductor!Z117,CTGS!Z117)</f>
        <v>303</v>
      </c>
      <c r="AA117" s="87">
        <f>SUM('Defect (Total)'!AA117,Planned!AA117,Reconductor!AA117,CTGS!AA117)</f>
        <v>121</v>
      </c>
      <c r="AB117" s="87">
        <f>SUM('Defect (Total)'!AB117,Planned!AB117,Reconductor!AB117,CTGS!AB117)</f>
        <v>180</v>
      </c>
      <c r="AC117" s="87">
        <f>SUM('Defect (Total)'!AC117,Planned!AC117,Reconductor!AC117,CTGS!AC117)</f>
        <v>195</v>
      </c>
      <c r="AD117" s="87">
        <f>SUM('Defect (Total)'!AD117,Planned!AD117,Reconductor!AD117,CTGS!AD117)</f>
        <v>105</v>
      </c>
      <c r="AE117" s="87">
        <f>SUM('Defect (Total)'!AE117,Planned!AE117,Reconductor!AE117,CTGS!AE117)</f>
        <v>159</v>
      </c>
      <c r="AF117" s="87">
        <f>SUM('Defect (Total)'!AF117,Planned!AF117,Reconductor!AF117,CTGS!AF117)</f>
        <v>273</v>
      </c>
      <c r="AG117" s="87">
        <f>SUM('Defect (Total)'!AG117,Planned!AG117,Reconductor!AG117,CTGS!AG117)</f>
        <v>93</v>
      </c>
      <c r="AH117" s="87">
        <f>SUM('Defect (Total)'!AH117,Planned!AH117,Reconductor!AH117,CTGS!AH117)</f>
        <v>61</v>
      </c>
      <c r="AI117" s="87">
        <f>SUM('Defect (Total)'!AI117,Planned!AI117,Reconductor!AI117,CTGS!AI117)</f>
        <v>98</v>
      </c>
      <c r="AJ117" s="87">
        <f>SUM('Defect (Total)'!AJ117,Planned!AJ117,Reconductor!AJ117,CTGS!AJ117)</f>
        <v>0</v>
      </c>
      <c r="AK117" s="88">
        <f t="shared" si="47"/>
        <v>138.19999999999999</v>
      </c>
      <c r="AL117" s="89">
        <f t="shared" si="52"/>
        <v>142.33333333333334</v>
      </c>
      <c r="AM117" s="90">
        <f t="shared" si="48"/>
        <v>61</v>
      </c>
      <c r="AN117" s="91">
        <f t="shared" si="53"/>
        <v>2511.4224422442244</v>
      </c>
      <c r="AO117" s="92">
        <f t="shared" si="54"/>
        <v>2809.8512396694214</v>
      </c>
      <c r="AP117" s="92">
        <f t="shared" si="55"/>
        <v>3136.75</v>
      </c>
      <c r="AQ117" s="92">
        <f t="shared" si="56"/>
        <v>3142.1589743589743</v>
      </c>
      <c r="AR117" s="92">
        <f t="shared" si="57"/>
        <v>2716.2285714285713</v>
      </c>
      <c r="AS117" s="92">
        <f t="shared" si="58"/>
        <v>3746.1384511724805</v>
      </c>
      <c r="AT117" s="92">
        <f t="shared" si="59"/>
        <v>2281.973385385767</v>
      </c>
      <c r="AU117" s="92">
        <f t="shared" si="60"/>
        <v>3083.848491326612</v>
      </c>
      <c r="AV117" s="92">
        <f t="shared" si="61"/>
        <v>5167.477391267189</v>
      </c>
      <c r="AW117" s="92">
        <f t="shared" si="62"/>
        <v>8213.4441687478993</v>
      </c>
      <c r="AX117" s="92" t="str">
        <f t="shared" si="62"/>
        <v/>
      </c>
      <c r="AY117" s="93">
        <f t="shared" si="63"/>
        <v>3838.5179927554186</v>
      </c>
      <c r="AZ117" s="94">
        <f t="shared" si="45"/>
        <v>5583.0617424522525</v>
      </c>
      <c r="BA117" s="95">
        <f t="shared" si="46"/>
        <v>8213.4441687478993</v>
      </c>
      <c r="BB117" s="689">
        <f>SUM('Defect (Total)'!BB117,Planned!CE117,Reconductor!CE117,CTGS!CE117,'Substation 2025$'!CE117*$BL$1,Comms!CA117*$BL$2)</f>
        <v>0</v>
      </c>
      <c r="BC117" s="689">
        <f>SUM('Defect (Total)'!BC117,Planned!CF117,Reconductor!CF117,CTGS!CF117,'Substation 2025$'!CF117*$BL$1,Comms!CB117*$BL$2)</f>
        <v>0</v>
      </c>
      <c r="BD117" s="96">
        <f>SUM('Defect (Total)'!BD117,Planned!CG117,Reconductor!CG117,CTGS!CG117,'Substation 2025$'!CG117*$BL$1,Comms!CC117*$BL$2)</f>
        <v>0</v>
      </c>
      <c r="BE117" s="96">
        <f>SUM('Defect (Total)'!BE117,Planned!CH117,Reconductor!CH117,CTGS!CH117,'Substation 2025$'!CH117*$BL$1,Comms!CD117*$BL$2)</f>
        <v>0</v>
      </c>
      <c r="BF117" s="96">
        <f>SUM('Defect (Total)'!BF117,Planned!CI117,Reconductor!CI117,CTGS!CI117,'Substation 2025$'!CI117*$BL$1,Comms!CE117*$BL$2)</f>
        <v>0</v>
      </c>
      <c r="BG117" s="96">
        <f>SUM('Defect (Total)'!BG117,Planned!CJ117,Reconductor!CJ117,CTGS!CJ117,'Substation 2025$'!CJ117*$BL$1,Comms!CF117*$BL$2)</f>
        <v>0</v>
      </c>
      <c r="BH117" s="96">
        <f>SUM('Defect (Total)'!BH117,Planned!CK117,Reconductor!CK117,CTGS!CK117,'Substation 2025$'!CK117*$BL$1,Comms!CG117*$BL$2)</f>
        <v>0</v>
      </c>
      <c r="BI117" s="286">
        <f>SUM('Defect (Total)'!BI117,Planned!CL117,Reconductor!CL117,CTGS!CL117,'Substation 2025$'!CL117*$BL$1,Comms!CH117*$BL$2)</f>
        <v>0</v>
      </c>
      <c r="BJ117" s="99" t="str">
        <f t="shared" si="51"/>
        <v/>
      </c>
      <c r="BK117" s="992">
        <f>SUM('Defect (Total)'!BK117,Planned!CQ117,Reconductor!CQ117,CTGS!CQ117,'Substation 2025$'!CQ117*$BL$1,Comms!CM117*$BL$2)</f>
        <v>0</v>
      </c>
      <c r="BL117" s="992">
        <f>SUM('Defect (Total)'!BL117,Planned!CR117,Reconductor!CR117,CTGS!CR117,'Substation 2025$'!CR117*$BL$1,Comms!CN117*$BL$2)</f>
        <v>0</v>
      </c>
      <c r="BM117" s="524">
        <f>SUM('Defect (Total)'!BM117,Planned!CS117,Reconductor!CS117,CTGS!CS117,'Substation 2025$'!CS117*$BL$1,Comms!CO117*$BL$2)</f>
        <v>0</v>
      </c>
      <c r="BN117" s="416">
        <f>SUM('Defect (Total)'!BN117,Planned!CT117,Reconductor!CT117,CTGS!CT117,'Substation 2025$'!CT117*$BL$1,Comms!CP117*$BL$2)</f>
        <v>0</v>
      </c>
      <c r="BO117" s="97">
        <f>SUM('Defect (Total)'!BO117,Planned!CU117,Reconductor!CU117,CTGS!CU117,'Substation 2025$'!CU117*$BL$1,Comms!CQ117*$BL$2)</f>
        <v>0</v>
      </c>
      <c r="BP117" s="97">
        <f>SUM('Defect (Total)'!BP117,Planned!CV117,Reconductor!CV117,CTGS!CV117,'Substation 2025$'!CV117*$BL$1,Comms!CR117*$BL$2)</f>
        <v>0</v>
      </c>
      <c r="BQ117" s="97">
        <f>SUM('Defect (Total)'!BQ117,Planned!CW117,Reconductor!CW117,CTGS!CW117,'Substation 2025$'!CW117*$BL$1,Comms!CS117*$BL$2)</f>
        <v>0</v>
      </c>
      <c r="BR117" s="98">
        <f>SUM('Defect (Total)'!BR117,Planned!CX117,Reconductor!CX117,CTGS!CX117,'Substation 2025$'!CX117*$BL$1,Comms!CT117*$BL$2)</f>
        <v>0</v>
      </c>
    </row>
    <row r="118" spans="1:70" ht="15.75" thickBot="1" x14ac:dyDescent="0.3">
      <c r="A118" s="100" t="s">
        <v>224</v>
      </c>
      <c r="B118" s="101" t="s">
        <v>397</v>
      </c>
      <c r="C118" s="102" t="s">
        <v>398</v>
      </c>
      <c r="D118" s="103">
        <f>SUM('Defect (Total)'!D118,Planned!D118,Reconductor!D118,CTGS!D118)</f>
        <v>0</v>
      </c>
      <c r="E118" s="104">
        <f>SUM('Defect (Total)'!E118,Planned!E118,Reconductor!E118,CTGS!E118)</f>
        <v>0</v>
      </c>
      <c r="F118" s="104">
        <f>SUM('Defect (Total)'!F118,Planned!F118,Reconductor!F118,CTGS!F118)</f>
        <v>0</v>
      </c>
      <c r="G118" s="104">
        <f>SUM('Defect (Total)'!G118,Planned!G118,Reconductor!G118,CTGS!G118)</f>
        <v>0</v>
      </c>
      <c r="H118" s="104">
        <f>SUM('Defect (Total)'!H118,Planned!H118,Reconductor!H118,CTGS!H118)</f>
        <v>0</v>
      </c>
      <c r="I118" s="104">
        <f>SUM('Defect (Total)'!I118,Planned!I118,Reconductor!I118,CTGS!I118)</f>
        <v>0</v>
      </c>
      <c r="J118" s="104">
        <f>SUM('Defect (Total)'!J118,Planned!J118,Reconductor!J118,CTGS!J118)</f>
        <v>0</v>
      </c>
      <c r="K118" s="104">
        <f>SUM('Defect (Total)'!K118,Planned!K118,Reconductor!K118,CTGS!K118)</f>
        <v>0</v>
      </c>
      <c r="L118" s="104">
        <f>SUM('Defect (Total)'!L118,Planned!L118,Reconductor!L118,CTGS!L118)</f>
        <v>0</v>
      </c>
      <c r="M118" s="104">
        <f>SUM('Defect (Total)'!M118,Planned!M118,Reconductor!M118,CTGS!M118)</f>
        <v>0</v>
      </c>
      <c r="N118" s="104">
        <f>SUM('Defect (Total)'!N118,Planned!N118,Reconductor!N118,CTGS!N118)</f>
        <v>0</v>
      </c>
      <c r="O118" s="563">
        <f>SUM('Defect (Total)'!O118,Planned!O118,Reconductor!O118,CTGS!O118)</f>
        <v>0</v>
      </c>
      <c r="P118" s="564">
        <f>SUM('Defect (Total)'!P118,Planned!P118,Reconductor!P118,CTGS!P118)</f>
        <v>0</v>
      </c>
      <c r="Q118" s="564">
        <f>SUM('Defect (Total)'!Q118,Planned!Q118,Reconductor!Q118,CTGS!Q118)</f>
        <v>0</v>
      </c>
      <c r="R118" s="564">
        <f>SUM('Defect (Total)'!R118,Planned!R118,Reconductor!R118,CTGS!R118)</f>
        <v>0</v>
      </c>
      <c r="S118" s="564">
        <f>SUM('Defect (Total)'!S118,Planned!S118,Reconductor!S118,CTGS!S118)</f>
        <v>0</v>
      </c>
      <c r="T118" s="564">
        <f>SUM('Defect (Total)'!T118,Planned!T118,Reconductor!T118,CTGS!T118)</f>
        <v>0</v>
      </c>
      <c r="U118" s="564">
        <f>SUM('Defect (Total)'!U118,Planned!U118,Reconductor!U118,CTGS!U118)</f>
        <v>0</v>
      </c>
      <c r="V118" s="564">
        <f>SUM('Defect (Total)'!V118,Planned!V118,Reconductor!V118,CTGS!V118)</f>
        <v>0</v>
      </c>
      <c r="W118" s="564">
        <f>SUM('Defect (Total)'!W118,Planned!W118,Reconductor!W118,CTGS!W118)</f>
        <v>0</v>
      </c>
      <c r="X118" s="676">
        <f>SUM('Defect (Total)'!X118,Planned!X118,Reconductor!X118,CTGS!X118)</f>
        <v>0</v>
      </c>
      <c r="Y118" s="676">
        <f>SUM('Defect (Total)'!Y118,Planned!Y118,Reconductor!Y118,CTGS!Y118)</f>
        <v>0</v>
      </c>
      <c r="Z118" s="105">
        <f>SUM('Defect (Total)'!Z118,Planned!Z118,Reconductor!Z118,CTGS!Z118)</f>
        <v>0</v>
      </c>
      <c r="AA118" s="106">
        <f>SUM('Defect (Total)'!AA118,Planned!AA118,Reconductor!AA118,CTGS!AA118)</f>
        <v>0</v>
      </c>
      <c r="AB118" s="106">
        <f>SUM('Defect (Total)'!AB118,Planned!AB118,Reconductor!AB118,CTGS!AB118)</f>
        <v>0</v>
      </c>
      <c r="AC118" s="106">
        <f>SUM('Defect (Total)'!AC118,Planned!AC118,Reconductor!AC118,CTGS!AC118)</f>
        <v>0</v>
      </c>
      <c r="AD118" s="106">
        <f>SUM('Defect (Total)'!AD118,Planned!AD118,Reconductor!AD118,CTGS!AD118)</f>
        <v>0</v>
      </c>
      <c r="AE118" s="106">
        <f>SUM('Defect (Total)'!AE118,Planned!AE118,Reconductor!AE118,CTGS!AE118)</f>
        <v>0</v>
      </c>
      <c r="AF118" s="106">
        <f>SUM('Defect (Total)'!AF118,Planned!AF118,Reconductor!AF118,CTGS!AF118)</f>
        <v>0</v>
      </c>
      <c r="AG118" s="106">
        <f>SUM('Defect (Total)'!AG118,Planned!AG118,Reconductor!AG118,CTGS!AG118)</f>
        <v>0</v>
      </c>
      <c r="AH118" s="106">
        <f>SUM('Defect (Total)'!AH118,Planned!AH118,Reconductor!AH118,CTGS!AH118)</f>
        <v>0</v>
      </c>
      <c r="AI118" s="106">
        <f>SUM('Defect (Total)'!AI118,Planned!AI118,Reconductor!AI118,CTGS!AI118)</f>
        <v>0</v>
      </c>
      <c r="AJ118" s="106">
        <f>SUM('Defect (Total)'!AJ118,Planned!AJ118,Reconductor!AJ118,CTGS!AJ118)</f>
        <v>0</v>
      </c>
      <c r="AK118" s="107">
        <f t="shared" si="47"/>
        <v>0</v>
      </c>
      <c r="AL118" s="108">
        <f t="shared" si="52"/>
        <v>0</v>
      </c>
      <c r="AM118" s="109">
        <f t="shared" si="48"/>
        <v>0</v>
      </c>
      <c r="AN118" s="110" t="str">
        <f t="shared" si="53"/>
        <v/>
      </c>
      <c r="AO118" s="111" t="str">
        <f t="shared" si="54"/>
        <v/>
      </c>
      <c r="AP118" s="111" t="str">
        <f t="shared" si="55"/>
        <v/>
      </c>
      <c r="AQ118" s="111" t="str">
        <f t="shared" si="56"/>
        <v/>
      </c>
      <c r="AR118" s="111" t="str">
        <f t="shared" si="57"/>
        <v/>
      </c>
      <c r="AS118" s="111" t="str">
        <f t="shared" si="58"/>
        <v/>
      </c>
      <c r="AT118" s="111" t="str">
        <f t="shared" si="59"/>
        <v/>
      </c>
      <c r="AU118" s="111" t="str">
        <f t="shared" si="60"/>
        <v/>
      </c>
      <c r="AV118" s="111" t="str">
        <f t="shared" si="61"/>
        <v/>
      </c>
      <c r="AW118" s="111" t="str">
        <f t="shared" si="62"/>
        <v/>
      </c>
      <c r="AX118" s="111" t="str">
        <f t="shared" si="62"/>
        <v/>
      </c>
      <c r="AY118" s="112" t="str">
        <f t="shared" si="63"/>
        <v/>
      </c>
      <c r="AZ118" s="113" t="str">
        <f t="shared" si="45"/>
        <v/>
      </c>
      <c r="BA118" s="114" t="str">
        <f t="shared" si="46"/>
        <v/>
      </c>
      <c r="BB118" s="690">
        <f>SUM('Defect (Total)'!BB118,Planned!CE118,Reconductor!CE118,CTGS!CE118,'Substation 2025$'!CE118*$BL$1,Comms!CA118*$BL$2)</f>
        <v>0</v>
      </c>
      <c r="BC118" s="690">
        <f>SUM('Defect (Total)'!BC118,Planned!CF118,Reconductor!CF118,CTGS!CF118,'Substation 2025$'!CF118*$BL$1,Comms!CB118*$BL$2)</f>
        <v>0</v>
      </c>
      <c r="BD118" s="115">
        <f>SUM('Defect (Total)'!BD118,Planned!CG118,Reconductor!CG118,CTGS!CG118,'Substation 2025$'!CG118*$BL$1,Comms!CC118*$BL$2)</f>
        <v>0</v>
      </c>
      <c r="BE118" s="115">
        <f>SUM('Defect (Total)'!BE118,Planned!CH118,Reconductor!CH118,CTGS!CH118,'Substation 2025$'!CH118*$BL$1,Comms!CD118*$BL$2)</f>
        <v>0</v>
      </c>
      <c r="BF118" s="115">
        <f>SUM('Defect (Total)'!BF118,Planned!CI118,Reconductor!CI118,CTGS!CI118,'Substation 2025$'!CI118*$BL$1,Comms!CE118*$BL$2)</f>
        <v>0</v>
      </c>
      <c r="BG118" s="115">
        <f>SUM('Defect (Total)'!BG118,Planned!CJ118,Reconductor!CJ118,CTGS!CJ118,'Substation 2025$'!CJ118*$BL$1,Comms!CF118*$BL$2)</f>
        <v>0</v>
      </c>
      <c r="BH118" s="115">
        <f>SUM('Defect (Total)'!BH118,Planned!CK118,Reconductor!CK118,CTGS!CK118,'Substation 2025$'!CK118*$BL$1,Comms!CG118*$BL$2)</f>
        <v>0</v>
      </c>
      <c r="BI118" s="287">
        <f>SUM('Defect (Total)'!BI118,Planned!CL118,Reconductor!CL118,CTGS!CL118,'Substation 2025$'!CL118*$BL$1,Comms!CH118*$BL$2)</f>
        <v>0</v>
      </c>
      <c r="BJ118" s="116" t="str">
        <f t="shared" si="51"/>
        <v/>
      </c>
      <c r="BK118" s="1013">
        <f>SUM('Defect (Total)'!BK118,Planned!CQ118,Reconductor!CQ118,CTGS!CQ118,'Substation 2025$'!CQ118*$BL$1,Comms!CM118*$BL$2)</f>
        <v>0</v>
      </c>
      <c r="BL118" s="1013">
        <f>SUM('Defect (Total)'!BL118,Planned!CR118,Reconductor!CR118,CTGS!CR118,'Substation 2025$'!CR118*$BL$1,Comms!CN118*$BL$2)</f>
        <v>0</v>
      </c>
      <c r="BM118" s="638">
        <f>SUM('Defect (Total)'!BM118,Planned!CS118,Reconductor!CS118,CTGS!CS118,'Substation 2025$'!CS118*$BL$1,Comms!CO118*$BL$2)</f>
        <v>0</v>
      </c>
      <c r="BN118" s="467">
        <f>SUM('Defect (Total)'!BN118,Planned!CT118,Reconductor!CT118,CTGS!CT118,'Substation 2025$'!CT118*$BL$1,Comms!CP118*$BL$2)</f>
        <v>0</v>
      </c>
      <c r="BO118" s="117">
        <f>SUM('Defect (Total)'!BO118,Planned!CU118,Reconductor!CU118,CTGS!CU118,'Substation 2025$'!CU118*$BL$1,Comms!CQ118*$BL$2)</f>
        <v>0</v>
      </c>
      <c r="BP118" s="117">
        <f>SUM('Defect (Total)'!BP118,Planned!CV118,Reconductor!CV118,CTGS!CV118,'Substation 2025$'!CV118*$BL$1,Comms!CR118*$BL$2)</f>
        <v>0</v>
      </c>
      <c r="BQ118" s="117">
        <f>SUM('Defect (Total)'!BQ118,Planned!CW118,Reconductor!CW118,CTGS!CW118,'Substation 2025$'!CW118*$BL$1,Comms!CS118*$BL$2)</f>
        <v>0</v>
      </c>
      <c r="BR118" s="118">
        <f>SUM('Defect (Total)'!BR118,Planned!CX118,Reconductor!CX118,CTGS!CX118,'Substation 2025$'!CX118*$BL$1,Comms!CT118*$BL$2)</f>
        <v>0</v>
      </c>
    </row>
    <row r="119" spans="1:70" x14ac:dyDescent="0.25">
      <c r="A119" s="63" t="s">
        <v>242</v>
      </c>
      <c r="B119" s="64" t="s">
        <v>239</v>
      </c>
      <c r="C119" s="65" t="s">
        <v>241</v>
      </c>
      <c r="D119" s="66">
        <f>SUM('Defect (Total)'!D119,Planned!D119,Reconductor!D119,CTGS!D119)</f>
        <v>0</v>
      </c>
      <c r="E119" s="67">
        <f>SUM('Defect (Total)'!E119,Planned!E119,Reconductor!E119,CTGS!E119)</f>
        <v>0</v>
      </c>
      <c r="F119" s="67">
        <f>SUM('Defect (Total)'!F119,Planned!F119,Reconductor!F119,CTGS!F119)</f>
        <v>651258</v>
      </c>
      <c r="G119" s="67">
        <f>SUM('Defect (Total)'!G119,Planned!G119,Reconductor!G119,CTGS!G119)</f>
        <v>580051.2492048007</v>
      </c>
      <c r="H119" s="67">
        <f>SUM('Defect (Total)'!H119,Planned!H119,Reconductor!H119,CTGS!H119)</f>
        <v>20358</v>
      </c>
      <c r="I119" s="67">
        <f>SUM('Defect (Total)'!I119,Planned!I119,Reconductor!I119,CTGS!I119)</f>
        <v>0</v>
      </c>
      <c r="J119" s="67">
        <f>SUM('Defect (Total)'!J119,Planned!J119,Reconductor!J119,CTGS!J119)</f>
        <v>0</v>
      </c>
      <c r="K119" s="67">
        <f>SUM('Defect (Total)'!K119,Planned!K119,Reconductor!K119,CTGS!K119)</f>
        <v>0</v>
      </c>
      <c r="L119" s="67">
        <f>SUM('Defect (Total)'!L119,Planned!L119,Reconductor!L119,CTGS!L119)</f>
        <v>74970.09770742101</v>
      </c>
      <c r="M119" s="67">
        <f>SUM('Defect (Total)'!M119,Planned!M119,Reconductor!M119,CTGS!M119)</f>
        <v>0</v>
      </c>
      <c r="N119" s="67">
        <f>SUM('Defect (Total)'!N119,Planned!N119,Reconductor!N119,CTGS!N119)</f>
        <v>5185.1099999999997</v>
      </c>
      <c r="O119" s="557">
        <f>SUM('Defect (Total)'!O119,Planned!O119,Reconductor!O119,CTGS!O119)</f>
        <v>0</v>
      </c>
      <c r="P119" s="558">
        <f>SUM('Defect (Total)'!P119,Planned!P119,Reconductor!P119,CTGS!P119)</f>
        <v>0</v>
      </c>
      <c r="Q119" s="558">
        <f>SUM('Defect (Total)'!Q119,Planned!Q119,Reconductor!Q119,CTGS!Q119)</f>
        <v>854454.23925813381</v>
      </c>
      <c r="R119" s="558">
        <f>SUM('Defect (Total)'!R119,Planned!R119,Reconductor!R119,CTGS!R119)</f>
        <v>746593.6785997632</v>
      </c>
      <c r="S119" s="558">
        <f>SUM('Defect (Total)'!S119,Planned!S119,Reconductor!S119,CTGS!S119)</f>
        <v>25669.784895084544</v>
      </c>
      <c r="T119" s="558">
        <f>SUM('Defect (Total)'!T119,Planned!T119,Reconductor!T119,CTGS!T119)</f>
        <v>0</v>
      </c>
      <c r="U119" s="558">
        <f>SUM('Defect (Total)'!U119,Planned!U119,Reconductor!U119,CTGS!U119)</f>
        <v>0</v>
      </c>
      <c r="V119" s="558">
        <f>SUM('Defect (Total)'!V119,Planned!V119,Reconductor!V119,CTGS!V119)</f>
        <v>0</v>
      </c>
      <c r="W119" s="558">
        <f>SUM('Defect (Total)'!W119,Planned!W119,Reconductor!W119,CTGS!W119)</f>
        <v>84710.755133220606</v>
      </c>
      <c r="X119" s="674">
        <f>SUM('Defect (Total)'!X119,Planned!X119,Reconductor!X119,CTGS!X119)</f>
        <v>0</v>
      </c>
      <c r="Y119" s="674">
        <f>SUM('Defect (Total)'!Y119,Planned!Y119,Reconductor!Y119,CTGS!Y119)</f>
        <v>5327.6926400863604</v>
      </c>
      <c r="Z119" s="68">
        <f>SUM('Defect (Total)'!Z119,Planned!Z119,Reconductor!Z119,CTGS!Z119)</f>
        <v>0</v>
      </c>
      <c r="AA119" s="69">
        <f>SUM('Defect (Total)'!AA119,Planned!AA119,Reconductor!AA119,CTGS!AA119)</f>
        <v>0</v>
      </c>
      <c r="AB119" s="69">
        <f>SUM('Defect (Total)'!AB119,Planned!AB119,Reconductor!AB119,CTGS!AB119)</f>
        <v>1</v>
      </c>
      <c r="AC119" s="69">
        <f>SUM('Defect (Total)'!AC119,Planned!AC119,Reconductor!AC119,CTGS!AC119)</f>
        <v>3</v>
      </c>
      <c r="AD119" s="69">
        <f>SUM('Defect (Total)'!AD119,Planned!AD119,Reconductor!AD119,CTGS!AD119)</f>
        <v>2</v>
      </c>
      <c r="AE119" s="69">
        <f>SUM('Defect (Total)'!AE119,Planned!AE119,Reconductor!AE119,CTGS!AE119)</f>
        <v>0</v>
      </c>
      <c r="AF119" s="69">
        <f>SUM('Defect (Total)'!AF119,Planned!AF119,Reconductor!AF119,CTGS!AF119)</f>
        <v>0</v>
      </c>
      <c r="AG119" s="69">
        <f>SUM('Defect (Total)'!AG119,Planned!AG119,Reconductor!AG119,CTGS!AG119)</f>
        <v>0</v>
      </c>
      <c r="AH119" s="69">
        <f>SUM('Defect (Total)'!AH119,Planned!AH119,Reconductor!AH119,CTGS!AH119)</f>
        <v>0</v>
      </c>
      <c r="AI119" s="69">
        <f>SUM('Defect (Total)'!AI119,Planned!AI119,Reconductor!AI119,CTGS!AI119)</f>
        <v>0</v>
      </c>
      <c r="AJ119" s="69">
        <f>SUM('Defect (Total)'!AJ119,Planned!AJ119,Reconductor!AJ119,CTGS!AJ119)</f>
        <v>1</v>
      </c>
      <c r="AK119" s="70">
        <f t="shared" si="47"/>
        <v>0.4</v>
      </c>
      <c r="AL119" s="71">
        <f t="shared" si="52"/>
        <v>0</v>
      </c>
      <c r="AM119" s="72">
        <f t="shared" si="48"/>
        <v>0</v>
      </c>
      <c r="AN119" s="73" t="str">
        <f t="shared" si="53"/>
        <v/>
      </c>
      <c r="AO119" s="74" t="str">
        <f t="shared" si="54"/>
        <v/>
      </c>
      <c r="AP119" s="74">
        <f t="shared" si="55"/>
        <v>651258</v>
      </c>
      <c r="AQ119" s="74">
        <f t="shared" si="56"/>
        <v>193350.41640160023</v>
      </c>
      <c r="AR119" s="74">
        <f t="shared" si="57"/>
        <v>10179</v>
      </c>
      <c r="AS119" s="74" t="str">
        <f t="shared" si="58"/>
        <v/>
      </c>
      <c r="AT119" s="74" t="str">
        <f t="shared" si="59"/>
        <v/>
      </c>
      <c r="AU119" s="74" t="str">
        <f t="shared" si="60"/>
        <v/>
      </c>
      <c r="AV119" s="74" t="str">
        <f t="shared" si="61"/>
        <v/>
      </c>
      <c r="AW119" s="74" t="str">
        <f t="shared" ref="AW119:AX132" si="64">IFERROR(M119/AI119,"")</f>
        <v/>
      </c>
      <c r="AX119" s="74">
        <f t="shared" si="64"/>
        <v>5185.1099999999997</v>
      </c>
      <c r="AY119" s="75" t="str">
        <f t="shared" si="63"/>
        <v/>
      </c>
      <c r="AZ119" s="76" t="str">
        <f t="shared" si="45"/>
        <v/>
      </c>
      <c r="BA119" s="77" t="str">
        <f t="shared" si="46"/>
        <v/>
      </c>
      <c r="BB119" s="696">
        <f>SUM('Defect (Total)'!BB119,Planned!CE119,Reconductor!CE119,CTGS!CE119,'Substation 2025$'!CE119*$BL$1,Comms!CA119*$BL$2)</f>
        <v>0</v>
      </c>
      <c r="BC119" s="696">
        <f>SUM('Defect (Total)'!BC119,Planned!CF119,Reconductor!CF119,CTGS!CF119,'Substation 2025$'!CF119*$BL$1,Comms!CB119*$BL$2)</f>
        <v>47</v>
      </c>
      <c r="BD119" s="144">
        <f>SUM('Defect (Total)'!BD119,Planned!CG119,Reconductor!CG119,CTGS!CG119,'Substation 2025$'!CG119*$BL$1,Comms!CC119*$BL$2)</f>
        <v>95</v>
      </c>
      <c r="BE119" s="144">
        <f>SUM('Defect (Total)'!BE119,Planned!CH119,Reconductor!CH119,CTGS!CH119,'Substation 2025$'!CH119*$BL$1,Comms!CD119*$BL$2)</f>
        <v>141</v>
      </c>
      <c r="BF119" s="144">
        <f>SUM('Defect (Total)'!BF119,Planned!CI119,Reconductor!CI119,CTGS!CI119,'Substation 2025$'!CI119*$BL$1,Comms!CE119*$BL$2)</f>
        <v>374</v>
      </c>
      <c r="BG119" s="144">
        <f>SUM('Defect (Total)'!BG119,Planned!CJ119,Reconductor!CJ119,CTGS!CJ119,'Substation 2025$'!CJ119*$BL$1,Comms!CF119*$BL$2)</f>
        <v>305</v>
      </c>
      <c r="BH119" s="144">
        <f>SUM('Defect (Total)'!BH119,Planned!CK119,Reconductor!CK119,CTGS!CK119,'Substation 2025$'!CK119*$BL$1,Comms!CG119*$BL$2)</f>
        <v>257</v>
      </c>
      <c r="BI119" s="293">
        <f>SUM('Defect (Total)'!BI119,Planned!CL119,Reconductor!CL119,CTGS!CL119,'Substation 2025$'!CL119*$BL$1,Comms!CH119*$BL$2)</f>
        <v>288</v>
      </c>
      <c r="BJ119" s="124">
        <f t="shared" si="51"/>
        <v>72922.464235237901</v>
      </c>
      <c r="BK119" s="974">
        <f>SUM('Defect (Total)'!BK119,Planned!CQ119,Reconductor!CQ119,CTGS!CQ119,'Substation 2025$'!CQ119*$BL$1,Comms!CM119*$BL$2)</f>
        <v>8559240.1567377094</v>
      </c>
      <c r="BL119" s="974">
        <f>SUM('Defect (Total)'!BL119,Planned!CR119,Reconductor!CR119,CTGS!CR119,'Substation 2025$'!CR119*$BL$1,Comms!CN119*$BL$2)</f>
        <v>21814226.72450079</v>
      </c>
      <c r="BM119" s="523">
        <f>SUM('Defect (Total)'!BM119,Planned!CS119,Reconductor!CS119,CTGS!CS119,'Substation 2025$'!CS119*$BL$1,Comms!CO119*$BL$2)</f>
        <v>22537433.194865536</v>
      </c>
      <c r="BN119" s="415">
        <f>SUM('Defect (Total)'!BN119,Planned!CT119,Reconductor!CT119,CTGS!CT119,'Substation 2025$'!CT119*$BL$1,Comms!CP119*$BL$2)</f>
        <v>18546238.319711953</v>
      </c>
      <c r="BO119" s="79">
        <f>SUM('Defect (Total)'!BO119,Planned!CU119,Reconductor!CU119,CTGS!CU119,'Substation 2025$'!CU119*$BL$1,Comms!CQ119*$BL$2)</f>
        <v>18912459.532091904</v>
      </c>
      <c r="BP119" s="79">
        <f>SUM('Defect (Total)'!BP119,Planned!CV119,Reconductor!CV119,CTGS!CV119,'Substation 2025$'!CV119*$BL$1,Comms!CR119*$BL$2)</f>
        <v>22290924.789106578</v>
      </c>
      <c r="BQ119" s="79">
        <f>SUM('Defect (Total)'!BQ119,Planned!CW119,Reconductor!CW119,CTGS!CW119,'Substation 2025$'!CW119*$BL$1,Comms!CS119*$BL$2)</f>
        <v>20541972.958999179</v>
      </c>
      <c r="BR119" s="80">
        <f>SUM('Defect (Total)'!BR119,Planned!CX119,Reconductor!CX119,CTGS!CX119,'Substation 2025$'!CX119*$BL$1,Comms!CT119*$BL$2)</f>
        <v>19247568.08119012</v>
      </c>
    </row>
    <row r="120" spans="1:70" x14ac:dyDescent="0.25">
      <c r="A120" s="81" t="s">
        <v>242</v>
      </c>
      <c r="B120" s="82" t="s">
        <v>243</v>
      </c>
      <c r="C120" s="83" t="s">
        <v>244</v>
      </c>
      <c r="D120" s="84">
        <f>SUM('Defect (Total)'!D120,Planned!D120,Reconductor!D120,CTGS!D120)</f>
        <v>0</v>
      </c>
      <c r="E120" s="85">
        <f>SUM('Defect (Total)'!E120,Planned!E120,Reconductor!E120,CTGS!E120)</f>
        <v>0</v>
      </c>
      <c r="F120" s="85">
        <f>SUM('Defect (Total)'!F120,Planned!F120,Reconductor!F120,CTGS!F120)</f>
        <v>0</v>
      </c>
      <c r="G120" s="85">
        <f>SUM('Defect (Total)'!G120,Planned!G120,Reconductor!G120,CTGS!G120)</f>
        <v>0</v>
      </c>
      <c r="H120" s="85">
        <f>SUM('Defect (Total)'!H120,Planned!H120,Reconductor!H120,CTGS!H120)</f>
        <v>0</v>
      </c>
      <c r="I120" s="85">
        <f>SUM('Defect (Total)'!I120,Planned!I120,Reconductor!I120,CTGS!I120)</f>
        <v>0</v>
      </c>
      <c r="J120" s="85">
        <f>SUM('Defect (Total)'!J120,Planned!J120,Reconductor!J120,CTGS!J120)</f>
        <v>0</v>
      </c>
      <c r="K120" s="85">
        <f>SUM('Defect (Total)'!K120,Planned!K120,Reconductor!K120,CTGS!K120)</f>
        <v>0</v>
      </c>
      <c r="L120" s="85">
        <f>SUM('Defect (Total)'!L120,Planned!L120,Reconductor!L120,CTGS!L120)</f>
        <v>0</v>
      </c>
      <c r="M120" s="85">
        <f>SUM('Defect (Total)'!M120,Planned!M120,Reconductor!M120,CTGS!M120)</f>
        <v>0</v>
      </c>
      <c r="N120" s="85">
        <f>SUM('Defect (Total)'!N120,Planned!N120,Reconductor!N120,CTGS!N120)</f>
        <v>0</v>
      </c>
      <c r="O120" s="560">
        <f>SUM('Defect (Total)'!O120,Planned!O120,Reconductor!O120,CTGS!O120)</f>
        <v>0</v>
      </c>
      <c r="P120" s="561">
        <f>SUM('Defect (Total)'!P120,Planned!P120,Reconductor!P120,CTGS!P120)</f>
        <v>0</v>
      </c>
      <c r="Q120" s="561">
        <f>SUM('Defect (Total)'!Q120,Planned!Q120,Reconductor!Q120,CTGS!Q120)</f>
        <v>0</v>
      </c>
      <c r="R120" s="561">
        <f>SUM('Defect (Total)'!R120,Planned!R120,Reconductor!R120,CTGS!R120)</f>
        <v>0</v>
      </c>
      <c r="S120" s="561">
        <f>SUM('Defect (Total)'!S120,Planned!S120,Reconductor!S120,CTGS!S120)</f>
        <v>0</v>
      </c>
      <c r="T120" s="561">
        <f>SUM('Defect (Total)'!T120,Planned!T120,Reconductor!T120,CTGS!T120)</f>
        <v>0</v>
      </c>
      <c r="U120" s="561">
        <f>SUM('Defect (Total)'!U120,Planned!U120,Reconductor!U120,CTGS!U120)</f>
        <v>0</v>
      </c>
      <c r="V120" s="561">
        <f>SUM('Defect (Total)'!V120,Planned!V120,Reconductor!V120,CTGS!V120)</f>
        <v>0</v>
      </c>
      <c r="W120" s="561">
        <f>SUM('Defect (Total)'!W120,Planned!W120,Reconductor!W120,CTGS!W120)</f>
        <v>0</v>
      </c>
      <c r="X120" s="675">
        <f>SUM('Defect (Total)'!X120,Planned!X120,Reconductor!X120,CTGS!X120)</f>
        <v>0</v>
      </c>
      <c r="Y120" s="675">
        <f>SUM('Defect (Total)'!Y120,Planned!Y120,Reconductor!Y120,CTGS!Y120)</f>
        <v>0</v>
      </c>
      <c r="Z120" s="86">
        <f>SUM('Defect (Total)'!Z120,Planned!Z120,Reconductor!Z120,CTGS!Z120)</f>
        <v>0</v>
      </c>
      <c r="AA120" s="87">
        <f>SUM('Defect (Total)'!AA120,Planned!AA120,Reconductor!AA120,CTGS!AA120)</f>
        <v>0</v>
      </c>
      <c r="AB120" s="87">
        <f>SUM('Defect (Total)'!AB120,Planned!AB120,Reconductor!AB120,CTGS!AB120)</f>
        <v>0</v>
      </c>
      <c r="AC120" s="87">
        <f>SUM('Defect (Total)'!AC120,Planned!AC120,Reconductor!AC120,CTGS!AC120)</f>
        <v>0</v>
      </c>
      <c r="AD120" s="87">
        <f>SUM('Defect (Total)'!AD120,Planned!AD120,Reconductor!AD120,CTGS!AD120)</f>
        <v>0</v>
      </c>
      <c r="AE120" s="87">
        <f>SUM('Defect (Total)'!AE120,Planned!AE120,Reconductor!AE120,CTGS!AE120)</f>
        <v>0</v>
      </c>
      <c r="AF120" s="87">
        <f>SUM('Defect (Total)'!AF120,Planned!AF120,Reconductor!AF120,CTGS!AF120)</f>
        <v>0</v>
      </c>
      <c r="AG120" s="87">
        <f>SUM('Defect (Total)'!AG120,Planned!AG120,Reconductor!AG120,CTGS!AG120)</f>
        <v>0</v>
      </c>
      <c r="AH120" s="87">
        <f>SUM('Defect (Total)'!AH120,Planned!AH120,Reconductor!AH120,CTGS!AH120)</f>
        <v>0</v>
      </c>
      <c r="AI120" s="87">
        <f>SUM('Defect (Total)'!AI120,Planned!AI120,Reconductor!AI120,CTGS!AI120)</f>
        <v>0</v>
      </c>
      <c r="AJ120" s="87">
        <f>SUM('Defect (Total)'!AJ120,Planned!AJ120,Reconductor!AJ120,CTGS!AJ120)</f>
        <v>0</v>
      </c>
      <c r="AK120" s="88">
        <f t="shared" si="47"/>
        <v>0</v>
      </c>
      <c r="AL120" s="89">
        <f t="shared" si="52"/>
        <v>0</v>
      </c>
      <c r="AM120" s="90">
        <f t="shared" si="48"/>
        <v>0</v>
      </c>
      <c r="AN120" s="91" t="str">
        <f t="shared" si="53"/>
        <v/>
      </c>
      <c r="AO120" s="92" t="str">
        <f t="shared" si="54"/>
        <v/>
      </c>
      <c r="AP120" s="92" t="str">
        <f t="shared" si="55"/>
        <v/>
      </c>
      <c r="AQ120" s="92" t="str">
        <f t="shared" si="56"/>
        <v/>
      </c>
      <c r="AR120" s="92" t="str">
        <f t="shared" si="57"/>
        <v/>
      </c>
      <c r="AS120" s="92" t="str">
        <f t="shared" si="58"/>
        <v/>
      </c>
      <c r="AT120" s="92" t="str">
        <f t="shared" si="59"/>
        <v/>
      </c>
      <c r="AU120" s="92" t="str">
        <f t="shared" si="60"/>
        <v/>
      </c>
      <c r="AV120" s="92" t="str">
        <f t="shared" si="61"/>
        <v/>
      </c>
      <c r="AW120" s="92" t="str">
        <f t="shared" si="64"/>
        <v/>
      </c>
      <c r="AX120" s="92" t="str">
        <f t="shared" si="64"/>
        <v/>
      </c>
      <c r="AY120" s="93" t="str">
        <f t="shared" si="63"/>
        <v/>
      </c>
      <c r="AZ120" s="94" t="str">
        <f t="shared" si="45"/>
        <v/>
      </c>
      <c r="BA120" s="95" t="str">
        <f t="shared" si="46"/>
        <v/>
      </c>
      <c r="BB120" s="689">
        <f>SUM('Defect (Total)'!BB120,Planned!CE120,Reconductor!CE120,CTGS!CE120,'Substation 2025$'!CE120*$BL$1,Comms!CA120*$BL$2)</f>
        <v>0</v>
      </c>
      <c r="BC120" s="689">
        <f>SUM('Defect (Total)'!BC120,Planned!CF120,Reconductor!CF120,CTGS!CF120,'Substation 2025$'!CF120*$BL$1,Comms!CB120*$BL$2)</f>
        <v>0</v>
      </c>
      <c r="BD120" s="96">
        <f>SUM('Defect (Total)'!BD120,Planned!CG120,Reconductor!CG120,CTGS!CG120,'Substation 2025$'!CG120*$BL$1,Comms!CC120*$BL$2)</f>
        <v>0</v>
      </c>
      <c r="BE120" s="96">
        <f>SUM('Defect (Total)'!BE120,Planned!CH120,Reconductor!CH120,CTGS!CH120,'Substation 2025$'!CH120*$BL$1,Comms!CD120*$BL$2)</f>
        <v>0</v>
      </c>
      <c r="BF120" s="96">
        <f>SUM('Defect (Total)'!BF120,Planned!CI120,Reconductor!CI120,CTGS!CI120,'Substation 2025$'!CI120*$BL$1,Comms!CE120*$BL$2)</f>
        <v>0</v>
      </c>
      <c r="BG120" s="96">
        <f>SUM('Defect (Total)'!BG120,Planned!CJ120,Reconductor!CJ120,CTGS!CJ120,'Substation 2025$'!CJ120*$BL$1,Comms!CF120*$BL$2)</f>
        <v>0</v>
      </c>
      <c r="BH120" s="96">
        <f>SUM('Defect (Total)'!BH120,Planned!CK120,Reconductor!CK120,CTGS!CK120,'Substation 2025$'!CK120*$BL$1,Comms!CG120*$BL$2)</f>
        <v>0</v>
      </c>
      <c r="BI120" s="286">
        <f>SUM('Defect (Total)'!BI120,Planned!CL120,Reconductor!CL120,CTGS!CL120,'Substation 2025$'!CL120*$BL$1,Comms!CH120*$BL$2)</f>
        <v>0</v>
      </c>
      <c r="BJ120" s="99" t="str">
        <f t="shared" si="51"/>
        <v/>
      </c>
      <c r="BK120" s="992">
        <f>SUM('Defect (Total)'!BK120,Planned!CQ120,Reconductor!CQ120,CTGS!CQ120,'Substation 2025$'!CQ120*$BL$1,Comms!CM120*$BL$2)</f>
        <v>0</v>
      </c>
      <c r="BL120" s="992">
        <f>SUM('Defect (Total)'!BL120,Planned!CR120,Reconductor!CR120,CTGS!CR120,'Substation 2025$'!CR120*$BL$1,Comms!CN120*$BL$2)</f>
        <v>0</v>
      </c>
      <c r="BM120" s="524">
        <f>SUM('Defect (Total)'!BM120,Planned!CS120,Reconductor!CS120,CTGS!CS120,'Substation 2025$'!CS120*$BL$1,Comms!CO120*$BL$2)</f>
        <v>0</v>
      </c>
      <c r="BN120" s="416">
        <f>SUM('Defect (Total)'!BN120,Planned!CT120,Reconductor!CT120,CTGS!CT120,'Substation 2025$'!CT120*$BL$1,Comms!CP120*$BL$2)</f>
        <v>0</v>
      </c>
      <c r="BO120" s="97">
        <f>SUM('Defect (Total)'!BO120,Planned!CU120,Reconductor!CU120,CTGS!CU120,'Substation 2025$'!CU120*$BL$1,Comms!CQ120*$BL$2)</f>
        <v>0</v>
      </c>
      <c r="BP120" s="97">
        <f>SUM('Defect (Total)'!BP120,Planned!CV120,Reconductor!CV120,CTGS!CV120,'Substation 2025$'!CV120*$BL$1,Comms!CR120*$BL$2)</f>
        <v>0</v>
      </c>
      <c r="BQ120" s="97">
        <f>SUM('Defect (Total)'!BQ120,Planned!CW120,Reconductor!CW120,CTGS!CW120,'Substation 2025$'!CW120*$BL$1,Comms!CS120*$BL$2)</f>
        <v>0</v>
      </c>
      <c r="BR120" s="98">
        <f>SUM('Defect (Total)'!BR120,Planned!CX120,Reconductor!CX120,CTGS!CX120,'Substation 2025$'!CX120*$BL$1,Comms!CT120*$BL$2)</f>
        <v>0</v>
      </c>
    </row>
    <row r="121" spans="1:70" x14ac:dyDescent="0.25">
      <c r="A121" s="81" t="s">
        <v>242</v>
      </c>
      <c r="B121" s="82" t="s">
        <v>245</v>
      </c>
      <c r="C121" s="83" t="s">
        <v>246</v>
      </c>
      <c r="D121" s="84">
        <f>SUM('Defect (Total)'!D121,Planned!D121,Reconductor!D121,CTGS!D121)</f>
        <v>0</v>
      </c>
      <c r="E121" s="85">
        <f>SUM('Defect (Total)'!E121,Planned!E121,Reconductor!E121,CTGS!E121)</f>
        <v>0</v>
      </c>
      <c r="F121" s="85">
        <f>SUM('Defect (Total)'!F121,Planned!F121,Reconductor!F121,CTGS!F121)</f>
        <v>0</v>
      </c>
      <c r="G121" s="85">
        <f>SUM('Defect (Total)'!G121,Planned!G121,Reconductor!G121,CTGS!G121)</f>
        <v>0</v>
      </c>
      <c r="H121" s="85">
        <f>SUM('Defect (Total)'!H121,Planned!H121,Reconductor!H121,CTGS!H121)</f>
        <v>0</v>
      </c>
      <c r="I121" s="85">
        <f>SUM('Defect (Total)'!I121,Planned!I121,Reconductor!I121,CTGS!I121)</f>
        <v>0</v>
      </c>
      <c r="J121" s="85">
        <f>SUM('Defect (Total)'!J121,Planned!J121,Reconductor!J121,CTGS!J121)</f>
        <v>0</v>
      </c>
      <c r="K121" s="85">
        <f>SUM('Defect (Total)'!K121,Planned!K121,Reconductor!K121,CTGS!K121)</f>
        <v>415860.17992264399</v>
      </c>
      <c r="L121" s="85">
        <f>SUM('Defect (Total)'!L121,Planned!L121,Reconductor!L121,CTGS!L121)</f>
        <v>266866.98751652392</v>
      </c>
      <c r="M121" s="85">
        <f>SUM('Defect (Total)'!M121,Planned!M121,Reconductor!M121,CTGS!M121)</f>
        <v>0</v>
      </c>
      <c r="N121" s="85">
        <f>SUM('Defect (Total)'!N121,Planned!N121,Reconductor!N121,CTGS!N121)</f>
        <v>-284.04000000000002</v>
      </c>
      <c r="O121" s="560">
        <f>SUM('Defect (Total)'!O121,Planned!O121,Reconductor!O121,CTGS!O121)</f>
        <v>0</v>
      </c>
      <c r="P121" s="561">
        <f>SUM('Defect (Total)'!P121,Planned!P121,Reconductor!P121,CTGS!P121)</f>
        <v>0</v>
      </c>
      <c r="Q121" s="561">
        <f>SUM('Defect (Total)'!Q121,Planned!Q121,Reconductor!Q121,CTGS!Q121)</f>
        <v>0</v>
      </c>
      <c r="R121" s="561">
        <f>SUM('Defect (Total)'!R121,Planned!R121,Reconductor!R121,CTGS!R121)</f>
        <v>0</v>
      </c>
      <c r="S121" s="561">
        <f>SUM('Defect (Total)'!S121,Planned!S121,Reconductor!S121,CTGS!S121)</f>
        <v>0</v>
      </c>
      <c r="T121" s="561">
        <f>SUM('Defect (Total)'!T121,Planned!T121,Reconductor!T121,CTGS!T121)</f>
        <v>0</v>
      </c>
      <c r="U121" s="561">
        <f>SUM('Defect (Total)'!U121,Planned!U121,Reconductor!U121,CTGS!U121)</f>
        <v>0</v>
      </c>
      <c r="V121" s="561">
        <f>SUM('Defect (Total)'!V121,Planned!V121,Reconductor!V121,CTGS!V121)</f>
        <v>498765.56203309813</v>
      </c>
      <c r="W121" s="561">
        <f>SUM('Defect (Total)'!W121,Planned!W121,Reconductor!W121,CTGS!W121)</f>
        <v>301540.27704321325</v>
      </c>
      <c r="X121" s="675">
        <f>SUM('Defect (Total)'!X121,Planned!X121,Reconductor!X121,CTGS!X121)</f>
        <v>0</v>
      </c>
      <c r="Y121" s="675">
        <f>SUM('Defect (Total)'!Y121,Planned!Y121,Reconductor!Y121,CTGS!Y121)</f>
        <v>-291.85066806492631</v>
      </c>
      <c r="Z121" s="86">
        <f>SUM('Defect (Total)'!Z121,Planned!Z121,Reconductor!Z121,CTGS!Z121)</f>
        <v>0</v>
      </c>
      <c r="AA121" s="87">
        <f>SUM('Defect (Total)'!AA121,Planned!AA121,Reconductor!AA121,CTGS!AA121)</f>
        <v>0</v>
      </c>
      <c r="AB121" s="87">
        <f>SUM('Defect (Total)'!AB121,Planned!AB121,Reconductor!AB121,CTGS!AB121)</f>
        <v>0</v>
      </c>
      <c r="AC121" s="87">
        <f>SUM('Defect (Total)'!AC121,Planned!AC121,Reconductor!AC121,CTGS!AC121)</f>
        <v>0</v>
      </c>
      <c r="AD121" s="87">
        <f>SUM('Defect (Total)'!AD121,Planned!AD121,Reconductor!AD121,CTGS!AD121)</f>
        <v>0</v>
      </c>
      <c r="AE121" s="87">
        <f>SUM('Defect (Total)'!AE121,Planned!AE121,Reconductor!AE121,CTGS!AE121)</f>
        <v>0</v>
      </c>
      <c r="AF121" s="87">
        <f>SUM('Defect (Total)'!AF121,Planned!AF121,Reconductor!AF121,CTGS!AF121)</f>
        <v>0</v>
      </c>
      <c r="AG121" s="87">
        <f>SUM('Defect (Total)'!AG121,Planned!AG121,Reconductor!AG121,CTGS!AG121)</f>
        <v>0</v>
      </c>
      <c r="AH121" s="87">
        <f>SUM('Defect (Total)'!AH121,Planned!AH121,Reconductor!AH121,CTGS!AH121)</f>
        <v>0</v>
      </c>
      <c r="AI121" s="87">
        <f>SUM('Defect (Total)'!AI121,Planned!AI121,Reconductor!AI121,CTGS!AI121)</f>
        <v>0</v>
      </c>
      <c r="AJ121" s="87">
        <f>SUM('Defect (Total)'!AJ121,Planned!AJ121,Reconductor!AJ121,CTGS!AJ121)</f>
        <v>-5</v>
      </c>
      <c r="AK121" s="88">
        <f t="shared" si="47"/>
        <v>0</v>
      </c>
      <c r="AL121" s="89">
        <f t="shared" si="52"/>
        <v>0</v>
      </c>
      <c r="AM121" s="90">
        <f t="shared" si="48"/>
        <v>0</v>
      </c>
      <c r="AN121" s="91" t="str">
        <f t="shared" si="53"/>
        <v/>
      </c>
      <c r="AO121" s="92" t="str">
        <f t="shared" si="54"/>
        <v/>
      </c>
      <c r="AP121" s="92" t="str">
        <f t="shared" si="55"/>
        <v/>
      </c>
      <c r="AQ121" s="92" t="str">
        <f t="shared" si="56"/>
        <v/>
      </c>
      <c r="AR121" s="92" t="str">
        <f t="shared" si="57"/>
        <v/>
      </c>
      <c r="AS121" s="92" t="str">
        <f t="shared" si="58"/>
        <v/>
      </c>
      <c r="AT121" s="92" t="str">
        <f t="shared" si="59"/>
        <v/>
      </c>
      <c r="AU121" s="92" t="str">
        <f t="shared" si="60"/>
        <v/>
      </c>
      <c r="AV121" s="92" t="str">
        <f t="shared" si="61"/>
        <v/>
      </c>
      <c r="AW121" s="92" t="str">
        <f t="shared" si="64"/>
        <v/>
      </c>
      <c r="AX121" s="92">
        <f t="shared" si="64"/>
        <v>56.808000000000007</v>
      </c>
      <c r="AY121" s="93" t="str">
        <f t="shared" si="63"/>
        <v/>
      </c>
      <c r="AZ121" s="94" t="str">
        <f t="shared" si="45"/>
        <v/>
      </c>
      <c r="BA121" s="95" t="str">
        <f t="shared" si="46"/>
        <v/>
      </c>
      <c r="BB121" s="689">
        <f>SUM('Defect (Total)'!BB121,Planned!CE121,Reconductor!CE121,CTGS!CE121,'Substation 2025$'!CE121*$BL$1,Comms!CA121*$BL$2)</f>
        <v>0</v>
      </c>
      <c r="BC121" s="689">
        <f>SUM('Defect (Total)'!BC121,Planned!CF121,Reconductor!CF121,CTGS!CF121,'Substation 2025$'!CF121*$BL$1,Comms!CB121*$BL$2)</f>
        <v>5</v>
      </c>
      <c r="BD121" s="96">
        <f>SUM('Defect (Total)'!BD121,Planned!CG121,Reconductor!CG121,CTGS!CG121,'Substation 2025$'!CG121*$BL$1,Comms!CC121*$BL$2)</f>
        <v>7</v>
      </c>
      <c r="BE121" s="96">
        <f>SUM('Defect (Total)'!BE121,Planned!CH121,Reconductor!CH121,CTGS!CH121,'Substation 2025$'!CH121*$BL$1,Comms!CD121*$BL$2)</f>
        <v>78.8</v>
      </c>
      <c r="BF121" s="96">
        <f>SUM('Defect (Total)'!BF121,Planned!CI121,Reconductor!CI121,CTGS!CI121,'Substation 2025$'!CI121*$BL$1,Comms!CE121*$BL$2)</f>
        <v>78.8</v>
      </c>
      <c r="BG121" s="96">
        <f>SUM('Defect (Total)'!BG121,Planned!CJ121,Reconductor!CJ121,CTGS!CJ121,'Substation 2025$'!CJ121*$BL$1,Comms!CF121*$BL$2)</f>
        <v>77.599999999999994</v>
      </c>
      <c r="BH121" s="96">
        <f>SUM('Defect (Total)'!BH121,Planned!CK121,Reconductor!CK121,CTGS!CK121,'Substation 2025$'!CK121*$BL$1,Comms!CG121*$BL$2)</f>
        <v>77.8</v>
      </c>
      <c r="BI121" s="286">
        <f>SUM('Defect (Total)'!BI121,Planned!CL121,Reconductor!CL121,CTGS!CL121,'Substation 2025$'!CL121*$BL$1,Comms!CH121*$BL$2)</f>
        <v>77.599999999999994</v>
      </c>
      <c r="BJ121" s="99">
        <f t="shared" si="51"/>
        <v>147856.8902299355</v>
      </c>
      <c r="BK121" s="992">
        <f>SUM('Defect (Total)'!BK121,Planned!CQ121,Reconductor!CQ121,CTGS!CQ121,'Substation 2025$'!CQ121*$BL$1,Comms!CM121*$BL$2)</f>
        <v>0</v>
      </c>
      <c r="BL121" s="992">
        <f>SUM('Defect (Total)'!BL121,Planned!CR121,Reconductor!CR121,CTGS!CR121,'Substation 2025$'!CR121*$BL$1,Comms!CN121*$BL$2)</f>
        <v>3208013.044629727</v>
      </c>
      <c r="BM121" s="524">
        <f>SUM('Defect (Total)'!BM121,Planned!CS121,Reconductor!CS121,CTGS!CS121,'Substation 2025$'!CS121*$BL$1,Comms!CO121*$BL$2)</f>
        <v>6725983.39868946</v>
      </c>
      <c r="BN121" s="416">
        <f>SUM('Defect (Total)'!BN121,Planned!CT121,Reconductor!CT121,CTGS!CT121,'Substation 2025$'!CT121*$BL$1,Comms!CP121*$BL$2)</f>
        <v>7412609.7272177413</v>
      </c>
      <c r="BO121" s="97">
        <f>SUM('Defect (Total)'!BO121,Planned!CU121,Reconductor!CU121,CTGS!CU121,'Substation 2025$'!CU121*$BL$1,Comms!CQ121*$BL$2)</f>
        <v>7543300.4030644111</v>
      </c>
      <c r="BP121" s="97">
        <f>SUM('Defect (Total)'!BP121,Planned!CV121,Reconductor!CV121,CTGS!CV121,'Substation 2025$'!CV121*$BL$1,Comms!CR121*$BL$2)</f>
        <v>10922277.297201702</v>
      </c>
      <c r="BQ121" s="97">
        <f>SUM('Defect (Total)'!BQ121,Planned!CW121,Reconductor!CW121,CTGS!CW121,'Substation 2025$'!CW121*$BL$1,Comms!CS121*$BL$2)</f>
        <v>15395184.005730432</v>
      </c>
      <c r="BR121" s="98">
        <f>SUM('Defect (Total)'!BR121,Planned!CX121,Reconductor!CX121,CTGS!CX121,'Substation 2025$'!CX121*$BL$1,Comms!CT121*$BL$2)</f>
        <v>16479529.890598517</v>
      </c>
    </row>
    <row r="122" spans="1:70" x14ac:dyDescent="0.25">
      <c r="A122" s="81" t="s">
        <v>242</v>
      </c>
      <c r="B122" s="82" t="s">
        <v>247</v>
      </c>
      <c r="C122" s="83" t="s">
        <v>248</v>
      </c>
      <c r="D122" s="84">
        <f>SUM('Defect (Total)'!D122,Planned!D122,Reconductor!D122,CTGS!D122)</f>
        <v>0</v>
      </c>
      <c r="E122" s="85">
        <f>SUM('Defect (Total)'!E122,Planned!E122,Reconductor!E122,CTGS!E122)</f>
        <v>0</v>
      </c>
      <c r="F122" s="85">
        <f>SUM('Defect (Total)'!F122,Planned!F122,Reconductor!F122,CTGS!F122)</f>
        <v>0</v>
      </c>
      <c r="G122" s="85">
        <f>SUM('Defect (Total)'!G122,Planned!G122,Reconductor!G122,CTGS!G122)</f>
        <v>0</v>
      </c>
      <c r="H122" s="85">
        <f>SUM('Defect (Total)'!H122,Planned!H122,Reconductor!H122,CTGS!H122)</f>
        <v>0</v>
      </c>
      <c r="I122" s="85">
        <f>SUM('Defect (Total)'!I122,Planned!I122,Reconductor!I122,CTGS!I122)</f>
        <v>0</v>
      </c>
      <c r="J122" s="85">
        <f>SUM('Defect (Total)'!J122,Planned!J122,Reconductor!J122,CTGS!J122)</f>
        <v>0</v>
      </c>
      <c r="K122" s="85">
        <f>SUM('Defect (Total)'!K122,Planned!K122,Reconductor!K122,CTGS!K122)</f>
        <v>0</v>
      </c>
      <c r="L122" s="85">
        <f>SUM('Defect (Total)'!L122,Planned!L122,Reconductor!L122,CTGS!L122)</f>
        <v>0</v>
      </c>
      <c r="M122" s="85">
        <f>SUM('Defect (Total)'!M122,Planned!M122,Reconductor!M122,CTGS!M122)</f>
        <v>0</v>
      </c>
      <c r="N122" s="85">
        <f>SUM('Defect (Total)'!N122,Planned!N122,Reconductor!N122,CTGS!N122)</f>
        <v>0</v>
      </c>
      <c r="O122" s="560">
        <f>SUM('Defect (Total)'!O122,Planned!O122,Reconductor!O122,CTGS!O122)</f>
        <v>0</v>
      </c>
      <c r="P122" s="561">
        <f>SUM('Defect (Total)'!P122,Planned!P122,Reconductor!P122,CTGS!P122)</f>
        <v>0</v>
      </c>
      <c r="Q122" s="561">
        <f>SUM('Defect (Total)'!Q122,Planned!Q122,Reconductor!Q122,CTGS!Q122)</f>
        <v>0</v>
      </c>
      <c r="R122" s="561">
        <f>SUM('Defect (Total)'!R122,Planned!R122,Reconductor!R122,CTGS!R122)</f>
        <v>0</v>
      </c>
      <c r="S122" s="561">
        <f>SUM('Defect (Total)'!S122,Planned!S122,Reconductor!S122,CTGS!S122)</f>
        <v>0</v>
      </c>
      <c r="T122" s="561">
        <f>SUM('Defect (Total)'!T122,Planned!T122,Reconductor!T122,CTGS!T122)</f>
        <v>0</v>
      </c>
      <c r="U122" s="561">
        <f>SUM('Defect (Total)'!U122,Planned!U122,Reconductor!U122,CTGS!U122)</f>
        <v>0</v>
      </c>
      <c r="V122" s="561">
        <f>SUM('Defect (Total)'!V122,Planned!V122,Reconductor!V122,CTGS!V122)</f>
        <v>0</v>
      </c>
      <c r="W122" s="561">
        <f>SUM('Defect (Total)'!W122,Planned!W122,Reconductor!W122,CTGS!W122)</f>
        <v>0</v>
      </c>
      <c r="X122" s="675">
        <f>SUM('Defect (Total)'!X122,Planned!X122,Reconductor!X122,CTGS!X122)</f>
        <v>0</v>
      </c>
      <c r="Y122" s="675">
        <f>SUM('Defect (Total)'!Y122,Planned!Y122,Reconductor!Y122,CTGS!Y122)</f>
        <v>0</v>
      </c>
      <c r="Z122" s="86">
        <f>SUM('Defect (Total)'!Z122,Planned!Z122,Reconductor!Z122,CTGS!Z122)</f>
        <v>0</v>
      </c>
      <c r="AA122" s="87">
        <f>SUM('Defect (Total)'!AA122,Planned!AA122,Reconductor!AA122,CTGS!AA122)</f>
        <v>0</v>
      </c>
      <c r="AB122" s="87">
        <f>SUM('Defect (Total)'!AB122,Planned!AB122,Reconductor!AB122,CTGS!AB122)</f>
        <v>0</v>
      </c>
      <c r="AC122" s="87">
        <f>SUM('Defect (Total)'!AC122,Planned!AC122,Reconductor!AC122,CTGS!AC122)</f>
        <v>0</v>
      </c>
      <c r="AD122" s="87">
        <f>SUM('Defect (Total)'!AD122,Planned!AD122,Reconductor!AD122,CTGS!AD122)</f>
        <v>0</v>
      </c>
      <c r="AE122" s="87">
        <f>SUM('Defect (Total)'!AE122,Planned!AE122,Reconductor!AE122,CTGS!AE122)</f>
        <v>0</v>
      </c>
      <c r="AF122" s="87">
        <f>SUM('Defect (Total)'!AF122,Planned!AF122,Reconductor!AF122,CTGS!AF122)</f>
        <v>0</v>
      </c>
      <c r="AG122" s="87">
        <f>SUM('Defect (Total)'!AG122,Planned!AG122,Reconductor!AG122,CTGS!AG122)</f>
        <v>0</v>
      </c>
      <c r="AH122" s="87">
        <f>SUM('Defect (Total)'!AH122,Planned!AH122,Reconductor!AH122,CTGS!AH122)</f>
        <v>0</v>
      </c>
      <c r="AI122" s="87">
        <f>SUM('Defect (Total)'!AI122,Planned!AI122,Reconductor!AI122,CTGS!AI122)</f>
        <v>0</v>
      </c>
      <c r="AJ122" s="87">
        <f>SUM('Defect (Total)'!AJ122,Planned!AJ122,Reconductor!AJ122,CTGS!AJ122)</f>
        <v>0</v>
      </c>
      <c r="AK122" s="88">
        <f t="shared" si="47"/>
        <v>0</v>
      </c>
      <c r="AL122" s="89">
        <f t="shared" si="52"/>
        <v>0</v>
      </c>
      <c r="AM122" s="90">
        <f t="shared" si="48"/>
        <v>0</v>
      </c>
      <c r="AN122" s="91" t="str">
        <f t="shared" si="53"/>
        <v/>
      </c>
      <c r="AO122" s="92" t="str">
        <f t="shared" si="54"/>
        <v/>
      </c>
      <c r="AP122" s="92" t="str">
        <f t="shared" si="55"/>
        <v/>
      </c>
      <c r="AQ122" s="92" t="str">
        <f t="shared" si="56"/>
        <v/>
      </c>
      <c r="AR122" s="92" t="str">
        <f t="shared" si="57"/>
        <v/>
      </c>
      <c r="AS122" s="92" t="str">
        <f t="shared" si="58"/>
        <v/>
      </c>
      <c r="AT122" s="92" t="str">
        <f t="shared" si="59"/>
        <v/>
      </c>
      <c r="AU122" s="92" t="str">
        <f t="shared" si="60"/>
        <v/>
      </c>
      <c r="AV122" s="92" t="str">
        <f t="shared" si="61"/>
        <v/>
      </c>
      <c r="AW122" s="92" t="str">
        <f t="shared" si="64"/>
        <v/>
      </c>
      <c r="AX122" s="92" t="str">
        <f t="shared" si="64"/>
        <v/>
      </c>
      <c r="AY122" s="93" t="str">
        <f t="shared" si="63"/>
        <v/>
      </c>
      <c r="AZ122" s="94" t="str">
        <f t="shared" si="45"/>
        <v/>
      </c>
      <c r="BA122" s="95" t="str">
        <f t="shared" si="46"/>
        <v/>
      </c>
      <c r="BB122" s="689">
        <f>SUM('Defect (Total)'!BB122,Planned!CE122,Reconductor!CE122,CTGS!CE122,'Substation 2025$'!CE122*$BL$1,Comms!CA122*$BL$2)</f>
        <v>0</v>
      </c>
      <c r="BC122" s="689">
        <f>SUM('Defect (Total)'!BC122,Planned!CF122,Reconductor!CF122,CTGS!CF122,'Substation 2025$'!CF122*$BL$1,Comms!CB122*$BL$2)</f>
        <v>0</v>
      </c>
      <c r="BD122" s="96">
        <f>SUM('Defect (Total)'!BD122,Planned!CG122,Reconductor!CG122,CTGS!CG122,'Substation 2025$'!CG122*$BL$1,Comms!CC122*$BL$2)</f>
        <v>0</v>
      </c>
      <c r="BE122" s="96">
        <f>SUM('Defect (Total)'!BE122,Planned!CH122,Reconductor!CH122,CTGS!CH122,'Substation 2025$'!CH122*$BL$1,Comms!CD122*$BL$2)</f>
        <v>0</v>
      </c>
      <c r="BF122" s="96">
        <f>SUM('Defect (Total)'!BF122,Planned!CI122,Reconductor!CI122,CTGS!CI122,'Substation 2025$'!CI122*$BL$1,Comms!CE122*$BL$2)</f>
        <v>0</v>
      </c>
      <c r="BG122" s="96">
        <f>SUM('Defect (Total)'!BG122,Planned!CJ122,Reconductor!CJ122,CTGS!CJ122,'Substation 2025$'!CJ122*$BL$1,Comms!CF122*$BL$2)</f>
        <v>0</v>
      </c>
      <c r="BH122" s="96">
        <f>SUM('Defect (Total)'!BH122,Planned!CK122,Reconductor!CK122,CTGS!CK122,'Substation 2025$'!CK122*$BL$1,Comms!CG122*$BL$2)</f>
        <v>0</v>
      </c>
      <c r="BI122" s="286">
        <f>SUM('Defect (Total)'!BI122,Planned!CL122,Reconductor!CL122,CTGS!CL122,'Substation 2025$'!CL122*$BL$1,Comms!CH122*$BL$2)</f>
        <v>0</v>
      </c>
      <c r="BJ122" s="99" t="str">
        <f t="shared" si="51"/>
        <v/>
      </c>
      <c r="BK122" s="992">
        <f>SUM('Defect (Total)'!BK122,Planned!CQ122,Reconductor!CQ122,CTGS!CQ122,'Substation 2025$'!CQ122*$BL$1,Comms!CM122*$BL$2)</f>
        <v>0</v>
      </c>
      <c r="BL122" s="992">
        <f>SUM('Defect (Total)'!BL122,Planned!CR122,Reconductor!CR122,CTGS!CR122,'Substation 2025$'!CR122*$BL$1,Comms!CN122*$BL$2)</f>
        <v>0</v>
      </c>
      <c r="BM122" s="524">
        <f>SUM('Defect (Total)'!BM122,Planned!CS122,Reconductor!CS122,CTGS!CS122,'Substation 2025$'!CS122*$BL$1,Comms!CO122*$BL$2)</f>
        <v>0</v>
      </c>
      <c r="BN122" s="416">
        <f>SUM('Defect (Total)'!BN122,Planned!CT122,Reconductor!CT122,CTGS!CT122,'Substation 2025$'!CT122*$BL$1,Comms!CP122*$BL$2)</f>
        <v>0</v>
      </c>
      <c r="BO122" s="97">
        <f>SUM('Defect (Total)'!BO122,Planned!CU122,Reconductor!CU122,CTGS!CU122,'Substation 2025$'!CU122*$BL$1,Comms!CQ122*$BL$2)</f>
        <v>0</v>
      </c>
      <c r="BP122" s="97">
        <f>SUM('Defect (Total)'!BP122,Planned!CV122,Reconductor!CV122,CTGS!CV122,'Substation 2025$'!CV122*$BL$1,Comms!CR122*$BL$2)</f>
        <v>0</v>
      </c>
      <c r="BQ122" s="97">
        <f>SUM('Defect (Total)'!BQ122,Planned!CW122,Reconductor!CW122,CTGS!CW122,'Substation 2025$'!CW122*$BL$1,Comms!CS122*$BL$2)</f>
        <v>0</v>
      </c>
      <c r="BR122" s="98">
        <f>SUM('Defect (Total)'!BR122,Planned!CX122,Reconductor!CX122,CTGS!CX122,'Substation 2025$'!CX122*$BL$1,Comms!CT122*$BL$2)</f>
        <v>0</v>
      </c>
    </row>
    <row r="123" spans="1:70" x14ac:dyDescent="0.25">
      <c r="A123" s="81" t="s">
        <v>242</v>
      </c>
      <c r="B123" s="82" t="s">
        <v>249</v>
      </c>
      <c r="C123" s="83" t="s">
        <v>250</v>
      </c>
      <c r="D123" s="84">
        <f>SUM('Defect (Total)'!D123,Planned!D123,Reconductor!D123,CTGS!D123)</f>
        <v>0</v>
      </c>
      <c r="E123" s="85">
        <f>SUM('Defect (Total)'!E123,Planned!E123,Reconductor!E123,CTGS!E123)</f>
        <v>0</v>
      </c>
      <c r="F123" s="85">
        <f>SUM('Defect (Total)'!F123,Planned!F123,Reconductor!F123,CTGS!F123)</f>
        <v>0</v>
      </c>
      <c r="G123" s="85">
        <f>SUM('Defect (Total)'!G123,Planned!G123,Reconductor!G123,CTGS!G123)</f>
        <v>0</v>
      </c>
      <c r="H123" s="85">
        <f>SUM('Defect (Total)'!H123,Planned!H123,Reconductor!H123,CTGS!H123)</f>
        <v>0</v>
      </c>
      <c r="I123" s="85">
        <f>SUM('Defect (Total)'!I123,Planned!I123,Reconductor!I123,CTGS!I123)</f>
        <v>0</v>
      </c>
      <c r="J123" s="85">
        <f>SUM('Defect (Total)'!J123,Planned!J123,Reconductor!J123,CTGS!J123)</f>
        <v>0</v>
      </c>
      <c r="K123" s="85">
        <f>SUM('Defect (Total)'!K123,Planned!K123,Reconductor!K123,CTGS!K123)</f>
        <v>0</v>
      </c>
      <c r="L123" s="85">
        <f>SUM('Defect (Total)'!L123,Planned!L123,Reconductor!L123,CTGS!L123)</f>
        <v>0</v>
      </c>
      <c r="M123" s="85">
        <f>SUM('Defect (Total)'!M123,Planned!M123,Reconductor!M123,CTGS!M123)</f>
        <v>0</v>
      </c>
      <c r="N123" s="85">
        <f>SUM('Defect (Total)'!N123,Planned!N123,Reconductor!N123,CTGS!N123)</f>
        <v>0</v>
      </c>
      <c r="O123" s="560">
        <f>SUM('Defect (Total)'!O123,Planned!O123,Reconductor!O123,CTGS!O123)</f>
        <v>0</v>
      </c>
      <c r="P123" s="561">
        <f>SUM('Defect (Total)'!P123,Planned!P123,Reconductor!P123,CTGS!P123)</f>
        <v>0</v>
      </c>
      <c r="Q123" s="561">
        <f>SUM('Defect (Total)'!Q123,Planned!Q123,Reconductor!Q123,CTGS!Q123)</f>
        <v>0</v>
      </c>
      <c r="R123" s="561">
        <f>SUM('Defect (Total)'!R123,Planned!R123,Reconductor!R123,CTGS!R123)</f>
        <v>0</v>
      </c>
      <c r="S123" s="561">
        <f>SUM('Defect (Total)'!S123,Planned!S123,Reconductor!S123,CTGS!S123)</f>
        <v>0</v>
      </c>
      <c r="T123" s="561">
        <f>SUM('Defect (Total)'!T123,Planned!T123,Reconductor!T123,CTGS!T123)</f>
        <v>0</v>
      </c>
      <c r="U123" s="561">
        <f>SUM('Defect (Total)'!U123,Planned!U123,Reconductor!U123,CTGS!U123)</f>
        <v>0</v>
      </c>
      <c r="V123" s="561">
        <f>SUM('Defect (Total)'!V123,Planned!V123,Reconductor!V123,CTGS!V123)</f>
        <v>0</v>
      </c>
      <c r="W123" s="561">
        <f>SUM('Defect (Total)'!W123,Planned!W123,Reconductor!W123,CTGS!W123)</f>
        <v>0</v>
      </c>
      <c r="X123" s="675">
        <f>SUM('Defect (Total)'!X123,Planned!X123,Reconductor!X123,CTGS!X123)</f>
        <v>0</v>
      </c>
      <c r="Y123" s="675">
        <f>SUM('Defect (Total)'!Y123,Planned!Y123,Reconductor!Y123,CTGS!Y123)</f>
        <v>0</v>
      </c>
      <c r="Z123" s="86">
        <f>SUM('Defect (Total)'!Z123,Planned!Z123,Reconductor!Z123,CTGS!Z123)</f>
        <v>0</v>
      </c>
      <c r="AA123" s="87">
        <f>SUM('Defect (Total)'!AA123,Planned!AA123,Reconductor!AA123,CTGS!AA123)</f>
        <v>0</v>
      </c>
      <c r="AB123" s="87">
        <f>SUM('Defect (Total)'!AB123,Planned!AB123,Reconductor!AB123,CTGS!AB123)</f>
        <v>0</v>
      </c>
      <c r="AC123" s="87">
        <f>SUM('Defect (Total)'!AC123,Planned!AC123,Reconductor!AC123,CTGS!AC123)</f>
        <v>0</v>
      </c>
      <c r="AD123" s="87">
        <f>SUM('Defect (Total)'!AD123,Planned!AD123,Reconductor!AD123,CTGS!AD123)</f>
        <v>0</v>
      </c>
      <c r="AE123" s="87">
        <f>SUM('Defect (Total)'!AE123,Planned!AE123,Reconductor!AE123,CTGS!AE123)</f>
        <v>0</v>
      </c>
      <c r="AF123" s="87">
        <f>SUM('Defect (Total)'!AF123,Planned!AF123,Reconductor!AF123,CTGS!AF123)</f>
        <v>0</v>
      </c>
      <c r="AG123" s="87">
        <f>SUM('Defect (Total)'!AG123,Planned!AG123,Reconductor!AG123,CTGS!AG123)</f>
        <v>0</v>
      </c>
      <c r="AH123" s="87">
        <f>SUM('Defect (Total)'!AH123,Planned!AH123,Reconductor!AH123,CTGS!AH123)</f>
        <v>0</v>
      </c>
      <c r="AI123" s="87">
        <f>SUM('Defect (Total)'!AI123,Planned!AI123,Reconductor!AI123,CTGS!AI123)</f>
        <v>0</v>
      </c>
      <c r="AJ123" s="87">
        <f>SUM('Defect (Total)'!AJ123,Planned!AJ123,Reconductor!AJ123,CTGS!AJ123)</f>
        <v>0</v>
      </c>
      <c r="AK123" s="88">
        <f t="shared" si="47"/>
        <v>0</v>
      </c>
      <c r="AL123" s="89">
        <f t="shared" si="52"/>
        <v>0</v>
      </c>
      <c r="AM123" s="90">
        <f t="shared" si="48"/>
        <v>0</v>
      </c>
      <c r="AN123" s="91" t="str">
        <f t="shared" si="53"/>
        <v/>
      </c>
      <c r="AO123" s="92" t="str">
        <f t="shared" si="54"/>
        <v/>
      </c>
      <c r="AP123" s="92" t="str">
        <f t="shared" si="55"/>
        <v/>
      </c>
      <c r="AQ123" s="92" t="str">
        <f t="shared" si="56"/>
        <v/>
      </c>
      <c r="AR123" s="92" t="str">
        <f t="shared" si="57"/>
        <v/>
      </c>
      <c r="AS123" s="92" t="str">
        <f t="shared" si="58"/>
        <v/>
      </c>
      <c r="AT123" s="92" t="str">
        <f t="shared" si="59"/>
        <v/>
      </c>
      <c r="AU123" s="92" t="str">
        <f t="shared" si="60"/>
        <v/>
      </c>
      <c r="AV123" s="92" t="str">
        <f t="shared" si="61"/>
        <v/>
      </c>
      <c r="AW123" s="92" t="str">
        <f t="shared" si="64"/>
        <v/>
      </c>
      <c r="AX123" s="92" t="str">
        <f t="shared" si="64"/>
        <v/>
      </c>
      <c r="AY123" s="93" t="str">
        <f t="shared" si="63"/>
        <v/>
      </c>
      <c r="AZ123" s="94" t="str">
        <f t="shared" si="45"/>
        <v/>
      </c>
      <c r="BA123" s="95" t="str">
        <f t="shared" si="46"/>
        <v/>
      </c>
      <c r="BB123" s="689">
        <f>SUM('Defect (Total)'!BB123,Planned!CE123,Reconductor!CE123,CTGS!CE123,'Substation 2025$'!CE123*$BL$1,Comms!CA123*$BL$2)</f>
        <v>0</v>
      </c>
      <c r="BC123" s="689">
        <f>SUM('Defect (Total)'!BC123,Planned!CF123,Reconductor!CF123,CTGS!CF123,'Substation 2025$'!CF123*$BL$1,Comms!CB123*$BL$2)</f>
        <v>0</v>
      </c>
      <c r="BD123" s="96">
        <f>SUM('Defect (Total)'!BD123,Planned!CG123,Reconductor!CG123,CTGS!CG123,'Substation 2025$'!CG123*$BL$1,Comms!CC123*$BL$2)</f>
        <v>0</v>
      </c>
      <c r="BE123" s="96">
        <f>SUM('Defect (Total)'!BE123,Planned!CH123,Reconductor!CH123,CTGS!CH123,'Substation 2025$'!CH123*$BL$1,Comms!CD123*$BL$2)</f>
        <v>48.4</v>
      </c>
      <c r="BF123" s="96">
        <f>SUM('Defect (Total)'!BF123,Planned!CI123,Reconductor!CI123,CTGS!CI123,'Substation 2025$'!CI123*$BL$1,Comms!CE123*$BL$2)</f>
        <v>46.4</v>
      </c>
      <c r="BG123" s="96">
        <f>SUM('Defect (Total)'!BG123,Planned!CJ123,Reconductor!CJ123,CTGS!CJ123,'Substation 2025$'!CJ123*$BL$1,Comms!CF123*$BL$2)</f>
        <v>46.4</v>
      </c>
      <c r="BH123" s="96">
        <f>SUM('Defect (Total)'!BH123,Planned!CK123,Reconductor!CK123,CTGS!CK123,'Substation 2025$'!CK123*$BL$1,Comms!CG123*$BL$2)</f>
        <v>46.4</v>
      </c>
      <c r="BI123" s="286">
        <f>SUM('Defect (Total)'!BI123,Planned!CL123,Reconductor!CL123,CTGS!CL123,'Substation 2025$'!CL123*$BL$1,Comms!CH123*$BL$2)</f>
        <v>46.4</v>
      </c>
      <c r="BJ123" s="99">
        <f t="shared" si="51"/>
        <v>93608.595302714588</v>
      </c>
      <c r="BK123" s="992">
        <f>SUM('Defect (Total)'!BK123,Planned!CQ123,Reconductor!CQ123,CTGS!CQ123,'Substation 2025$'!CQ123*$BL$1,Comms!CM123*$BL$2)</f>
        <v>0</v>
      </c>
      <c r="BL123" s="992">
        <f>SUM('Defect (Total)'!BL123,Planned!CR123,Reconductor!CR123,CTGS!CR123,'Substation 2025$'!CR123*$BL$1,Comms!CN123*$BL$2)</f>
        <v>0</v>
      </c>
      <c r="BM123" s="524">
        <f>SUM('Defect (Total)'!BM123,Planned!CS123,Reconductor!CS123,CTGS!CS123,'Substation 2025$'!CS123*$BL$1,Comms!CO123*$BL$2)</f>
        <v>0</v>
      </c>
      <c r="BN123" s="416">
        <f>SUM('Defect (Total)'!BN123,Planned!CT123,Reconductor!CT123,CTGS!CT123,'Substation 2025$'!CT123*$BL$1,Comms!CP123*$BL$2)</f>
        <v>3242291.6601543818</v>
      </c>
      <c r="BO123" s="97">
        <f>SUM('Defect (Total)'!BO123,Planned!CU123,Reconductor!CU123,CTGS!CU123,'Substation 2025$'!CU123*$BL$1,Comms!CQ123*$BL$2)</f>
        <v>4040475.7847504294</v>
      </c>
      <c r="BP123" s="97">
        <f>SUM('Defect (Total)'!BP123,Planned!CV123,Reconductor!CV123,CTGS!CV123,'Substation 2025$'!CV123*$BL$1,Comms!CR123*$BL$2)</f>
        <v>4281891.3568566572</v>
      </c>
      <c r="BQ123" s="97">
        <f>SUM('Defect (Total)'!BQ123,Planned!CW123,Reconductor!CW123,CTGS!CW123,'Substation 2025$'!CW123*$BL$1,Comms!CS123*$BL$2)</f>
        <v>4603697.3246121071</v>
      </c>
      <c r="BR123" s="98">
        <f>SUM('Defect (Total)'!BR123,Planned!CX123,Reconductor!CX123,CTGS!CX123,'Substation 2025$'!CX123*$BL$1,Comms!CT123*$BL$2)</f>
        <v>5736055.1744616367</v>
      </c>
    </row>
    <row r="124" spans="1:70" x14ac:dyDescent="0.25">
      <c r="A124" s="81" t="s">
        <v>242</v>
      </c>
      <c r="B124" s="82" t="s">
        <v>251</v>
      </c>
      <c r="C124" s="83" t="s">
        <v>252</v>
      </c>
      <c r="D124" s="84">
        <f>SUM('Defect (Total)'!D124,Planned!D124,Reconductor!D124,CTGS!D124)</f>
        <v>5089</v>
      </c>
      <c r="E124" s="85">
        <f>SUM('Defect (Total)'!E124,Planned!E124,Reconductor!E124,CTGS!E124)</f>
        <v>0</v>
      </c>
      <c r="F124" s="85">
        <f>SUM('Defect (Total)'!F124,Planned!F124,Reconductor!F124,CTGS!F124)</f>
        <v>0</v>
      </c>
      <c r="G124" s="85">
        <f>SUM('Defect (Total)'!G124,Planned!G124,Reconductor!G124,CTGS!G124)</f>
        <v>0</v>
      </c>
      <c r="H124" s="85">
        <f>SUM('Defect (Total)'!H124,Planned!H124,Reconductor!H124,CTGS!H124)</f>
        <v>0</v>
      </c>
      <c r="I124" s="85">
        <f>SUM('Defect (Total)'!I124,Planned!I124,Reconductor!I124,CTGS!I124)</f>
        <v>112730.04323198114</v>
      </c>
      <c r="J124" s="85">
        <f>SUM('Defect (Total)'!J124,Planned!J124,Reconductor!J124,CTGS!J124)</f>
        <v>69084.392102603015</v>
      </c>
      <c r="K124" s="85">
        <f>SUM('Defect (Total)'!K124,Planned!K124,Reconductor!K124,CTGS!K124)</f>
        <v>11854.520309713</v>
      </c>
      <c r="L124" s="85">
        <f>SUM('Defect (Total)'!L124,Planned!L124,Reconductor!L124,CTGS!L124)</f>
        <v>5464712.4404555578</v>
      </c>
      <c r="M124" s="85">
        <f>SUM('Defect (Total)'!M124,Planned!M124,Reconductor!M124,CTGS!M124)</f>
        <v>1871992.2575244261</v>
      </c>
      <c r="N124" s="85">
        <f>SUM('Defect (Total)'!N124,Planned!N124,Reconductor!N124,CTGS!N124)</f>
        <v>0</v>
      </c>
      <c r="O124" s="560">
        <f>SUM('Defect (Total)'!O124,Planned!O124,Reconductor!O124,CTGS!O124)</f>
        <v>6847.0272084422686</v>
      </c>
      <c r="P124" s="561">
        <f>SUM('Defect (Total)'!P124,Planned!P124,Reconductor!P124,CTGS!P124)</f>
        <v>0</v>
      </c>
      <c r="Q124" s="561">
        <f>SUM('Defect (Total)'!Q124,Planned!Q124,Reconductor!Q124,CTGS!Q124)</f>
        <v>0</v>
      </c>
      <c r="R124" s="561">
        <f>SUM('Defect (Total)'!R124,Planned!R124,Reconductor!R124,CTGS!R124)</f>
        <v>0</v>
      </c>
      <c r="S124" s="561">
        <f>SUM('Defect (Total)'!S124,Planned!S124,Reconductor!S124,CTGS!S124)</f>
        <v>0</v>
      </c>
      <c r="T124" s="561">
        <f>SUM('Defect (Total)'!T124,Planned!T124,Reconductor!T124,CTGS!T124)</f>
        <v>139914.70089174452</v>
      </c>
      <c r="U124" s="561">
        <f>SUM('Defect (Total)'!U124,Planned!U124,Reconductor!U124,CTGS!U124)</f>
        <v>86043.779541834534</v>
      </c>
      <c r="V124" s="561">
        <f>SUM('Defect (Total)'!V124,Planned!V124,Reconductor!V124,CTGS!V124)</f>
        <v>14217.823129895762</v>
      </c>
      <c r="W124" s="561">
        <f>SUM('Defect (Total)'!W124,Planned!W124,Reconductor!W124,CTGS!W124)</f>
        <v>6174727.4123009751</v>
      </c>
      <c r="X124" s="675">
        <f>SUM('Defect (Total)'!X124,Planned!X124,Reconductor!X124,CTGS!X124)</f>
        <v>1990790.619824158</v>
      </c>
      <c r="Y124" s="675">
        <f>SUM('Defect (Total)'!Y124,Planned!Y124,Reconductor!Y124,CTGS!Y124)</f>
        <v>0</v>
      </c>
      <c r="Z124" s="86">
        <f>SUM('Defect (Total)'!Z124,Planned!Z124,Reconductor!Z124,CTGS!Z124)</f>
        <v>468</v>
      </c>
      <c r="AA124" s="87">
        <f>SUM('Defect (Total)'!AA124,Planned!AA124,Reconductor!AA124,CTGS!AA124)</f>
        <v>0</v>
      </c>
      <c r="AB124" s="87">
        <f>SUM('Defect (Total)'!AB124,Planned!AB124,Reconductor!AB124,CTGS!AB124)</f>
        <v>0</v>
      </c>
      <c r="AC124" s="87">
        <f>SUM('Defect (Total)'!AC124,Planned!AC124,Reconductor!AC124,CTGS!AC124)</f>
        <v>0</v>
      </c>
      <c r="AD124" s="87">
        <f>SUM('Defect (Total)'!AD124,Planned!AD124,Reconductor!AD124,CTGS!AD124)</f>
        <v>0</v>
      </c>
      <c r="AE124" s="87">
        <f>SUM('Defect (Total)'!AE124,Planned!AE124,Reconductor!AE124,CTGS!AE124)</f>
        <v>4000</v>
      </c>
      <c r="AF124" s="87">
        <f>SUM('Defect (Total)'!AF124,Planned!AF124,Reconductor!AF124,CTGS!AF124)</f>
        <v>11893</v>
      </c>
      <c r="AG124" s="87">
        <f>SUM('Defect (Total)'!AG124,Planned!AG124,Reconductor!AG124,CTGS!AG124)</f>
        <v>1.536</v>
      </c>
      <c r="AH124" s="87">
        <f>SUM('Defect (Total)'!AH124,Planned!AH124,Reconductor!AH124,CTGS!AH124)</f>
        <v>2932</v>
      </c>
      <c r="AI124" s="87">
        <f>SUM('Defect (Total)'!AI124,Planned!AI124,Reconductor!AI124,CTGS!AI124)</f>
        <v>534</v>
      </c>
      <c r="AJ124" s="87">
        <f>SUM('Defect (Total)'!AJ124,Planned!AJ124,Reconductor!AJ124,CTGS!AJ124)</f>
        <v>127450</v>
      </c>
      <c r="AK124" s="88">
        <f t="shared" si="47"/>
        <v>3765.3072000000002</v>
      </c>
      <c r="AL124" s="89">
        <f t="shared" si="52"/>
        <v>4942.1786666666667</v>
      </c>
      <c r="AM124" s="90">
        <f t="shared" si="48"/>
        <v>2932</v>
      </c>
      <c r="AN124" s="91">
        <f t="shared" si="53"/>
        <v>10.873931623931623</v>
      </c>
      <c r="AO124" s="92" t="str">
        <f t="shared" si="54"/>
        <v/>
      </c>
      <c r="AP124" s="92" t="str">
        <f t="shared" si="55"/>
        <v/>
      </c>
      <c r="AQ124" s="92" t="str">
        <f t="shared" si="56"/>
        <v/>
      </c>
      <c r="AR124" s="92" t="str">
        <f t="shared" si="57"/>
        <v/>
      </c>
      <c r="AS124" s="92">
        <f t="shared" si="58"/>
        <v>28.182510807995286</v>
      </c>
      <c r="AT124" s="92">
        <f t="shared" si="59"/>
        <v>5.8088280587406889</v>
      </c>
      <c r="AU124" s="92">
        <f t="shared" si="60"/>
        <v>7717.7866599694007</v>
      </c>
      <c r="AV124" s="92">
        <f t="shared" si="61"/>
        <v>1863.8173398552381</v>
      </c>
      <c r="AW124" s="92">
        <f t="shared" si="64"/>
        <v>3505.603478510161</v>
      </c>
      <c r="AX124" s="92">
        <f t="shared" si="64"/>
        <v>0</v>
      </c>
      <c r="AY124" s="93">
        <f t="shared" si="63"/>
        <v>388.95481269858857</v>
      </c>
      <c r="AZ124" s="94">
        <f t="shared" si="45"/>
        <v>2119.2452560808874</v>
      </c>
      <c r="BA124" s="95">
        <f t="shared" si="46"/>
        <v>3505.603478510161</v>
      </c>
      <c r="BB124" s="689">
        <f>SUM('Defect (Total)'!BB124,Planned!CE124,Reconductor!CE124,CTGS!CE124,'Substation 2025$'!CE124*$BL$1,Comms!CA124*$BL$2)</f>
        <v>0</v>
      </c>
      <c r="BC124" s="689">
        <f>SUM('Defect (Total)'!BC124,Planned!CF124,Reconductor!CF124,CTGS!CF124,'Substation 2025$'!CF124*$BL$1,Comms!CB124*$BL$2)</f>
        <v>0</v>
      </c>
      <c r="BD124" s="96">
        <f>SUM('Defect (Total)'!BD124,Planned!CG124,Reconductor!CG124,CTGS!CG124,'Substation 2025$'!CG124*$BL$1,Comms!CC124*$BL$2)</f>
        <v>0</v>
      </c>
      <c r="BE124" s="96">
        <f>SUM('Defect (Total)'!BE124,Planned!CH124,Reconductor!CH124,CTGS!CH124,'Substation 2025$'!CH124*$BL$1,Comms!CD124*$BL$2)</f>
        <v>4</v>
      </c>
      <c r="BF124" s="96">
        <f>SUM('Defect (Total)'!BF124,Planned!CI124,Reconductor!CI124,CTGS!CI124,'Substation 2025$'!CI124*$BL$1,Comms!CE124*$BL$2)</f>
        <v>3</v>
      </c>
      <c r="BG124" s="96">
        <f>SUM('Defect (Total)'!BG124,Planned!CJ124,Reconductor!CJ124,CTGS!CJ124,'Substation 2025$'!CJ124*$BL$1,Comms!CF124*$BL$2)</f>
        <v>3</v>
      </c>
      <c r="BH124" s="96">
        <f>SUM('Defect (Total)'!BH124,Planned!CK124,Reconductor!CK124,CTGS!CK124,'Substation 2025$'!CK124*$BL$1,Comms!CG124*$BL$2)</f>
        <v>3</v>
      </c>
      <c r="BI124" s="286">
        <f>SUM('Defect (Total)'!BI124,Planned!CL124,Reconductor!CL124,CTGS!CL124,'Substation 2025$'!CL124*$BL$1,Comms!CH124*$BL$2)</f>
        <v>3</v>
      </c>
      <c r="BJ124" s="99">
        <f t="shared" si="51"/>
        <v>506405.64198469731</v>
      </c>
      <c r="BK124" s="992">
        <f>SUM('Defect (Total)'!BK124,Planned!CQ124,Reconductor!CQ124,CTGS!CQ124,'Substation 2025$'!CQ124*$BL$1,Comms!CM124*$BL$2)</f>
        <v>0</v>
      </c>
      <c r="BL124" s="992">
        <f>SUM('Defect (Total)'!BL124,Planned!CR124,Reconductor!CR124,CTGS!CR124,'Substation 2025$'!CR124*$BL$1,Comms!CN124*$BL$2)</f>
        <v>10185450.564778151</v>
      </c>
      <c r="BM124" s="524">
        <f>SUM('Defect (Total)'!BM124,Planned!CS124,Reconductor!CS124,CTGS!CS124,'Substation 2025$'!CS124*$BL$1,Comms!CO124*$BL$2)</f>
        <v>4272860.7480784226</v>
      </c>
      <c r="BN124" s="416">
        <f>SUM('Defect (Total)'!BN124,Planned!CT124,Reconductor!CT124,CTGS!CT124,'Substation 2025$'!CT124*$BL$1,Comms!CP124*$BL$2)</f>
        <v>547104.07855527941</v>
      </c>
      <c r="BO124" s="97">
        <f>SUM('Defect (Total)'!BO124,Planned!CU124,Reconductor!CU124,CTGS!CU124,'Substation 2025$'!CU124*$BL$1,Comms!CQ124*$BL$2)</f>
        <v>685601.04126881831</v>
      </c>
      <c r="BP124" s="97">
        <f>SUM('Defect (Total)'!BP124,Planned!CV124,Reconductor!CV124,CTGS!CV124,'Substation 2025$'!CV124*$BL$1,Comms!CR124*$BL$2)</f>
        <v>1838667.5933966071</v>
      </c>
      <c r="BQ124" s="97">
        <f>SUM('Defect (Total)'!BQ124,Planned!CW124,Reconductor!CW124,CTGS!CW124,'Substation 2025$'!CW124*$BL$1,Comms!CS124*$BL$2)</f>
        <v>1853688.7803369379</v>
      </c>
      <c r="BR124" s="98">
        <f>SUM('Defect (Total)'!BR124,Planned!CX124,Reconductor!CX124,CTGS!CX124,'Substation 2025$'!CX124*$BL$1,Comms!CT124*$BL$2)</f>
        <v>3177428.7781975139</v>
      </c>
    </row>
    <row r="125" spans="1:70" x14ac:dyDescent="0.25">
      <c r="A125" s="81" t="s">
        <v>242</v>
      </c>
      <c r="B125" s="82" t="s">
        <v>253</v>
      </c>
      <c r="C125" s="83" t="s">
        <v>254</v>
      </c>
      <c r="D125" s="84">
        <f>SUM('Defect (Total)'!D125,Planned!D125,Reconductor!D125,CTGS!D125)</f>
        <v>0</v>
      </c>
      <c r="E125" s="85">
        <f>SUM('Defect (Total)'!E125,Planned!E125,Reconductor!E125,CTGS!E125)</f>
        <v>0</v>
      </c>
      <c r="F125" s="85">
        <f>SUM('Defect (Total)'!F125,Planned!F125,Reconductor!F125,CTGS!F125)</f>
        <v>0</v>
      </c>
      <c r="G125" s="85">
        <f>SUM('Defect (Total)'!G125,Planned!G125,Reconductor!G125,CTGS!G125)</f>
        <v>36975.419945300338</v>
      </c>
      <c r="H125" s="85">
        <f>SUM('Defect (Total)'!H125,Planned!H125,Reconductor!H125,CTGS!H125)</f>
        <v>0</v>
      </c>
      <c r="I125" s="85">
        <f>SUM('Defect (Total)'!I125,Planned!I125,Reconductor!I125,CTGS!I125)</f>
        <v>0</v>
      </c>
      <c r="J125" s="85">
        <f>SUM('Defect (Total)'!J125,Planned!J125,Reconductor!J125,CTGS!J125)</f>
        <v>0</v>
      </c>
      <c r="K125" s="85">
        <f>SUM('Defect (Total)'!K125,Planned!K125,Reconductor!K125,CTGS!K125)</f>
        <v>0</v>
      </c>
      <c r="L125" s="85">
        <f>SUM('Defect (Total)'!L125,Planned!L125,Reconductor!L125,CTGS!L125)</f>
        <v>0</v>
      </c>
      <c r="M125" s="85">
        <f>SUM('Defect (Total)'!M125,Planned!M125,Reconductor!M125,CTGS!M125)</f>
        <v>0</v>
      </c>
      <c r="N125" s="85">
        <f>SUM('Defect (Total)'!N125,Planned!N125,Reconductor!N125,CTGS!N125)</f>
        <v>0</v>
      </c>
      <c r="O125" s="560">
        <f>SUM('Defect (Total)'!O125,Planned!O125,Reconductor!O125,CTGS!O125)</f>
        <v>0</v>
      </c>
      <c r="P125" s="561">
        <f>SUM('Defect (Total)'!P125,Planned!P125,Reconductor!P125,CTGS!P125)</f>
        <v>0</v>
      </c>
      <c r="Q125" s="561">
        <f>SUM('Defect (Total)'!Q125,Planned!Q125,Reconductor!Q125,CTGS!Q125)</f>
        <v>0</v>
      </c>
      <c r="R125" s="561">
        <f>SUM('Defect (Total)'!R125,Planned!R125,Reconductor!R125,CTGS!R125)</f>
        <v>47591.682342857996</v>
      </c>
      <c r="S125" s="561">
        <f>SUM('Defect (Total)'!S125,Planned!S125,Reconductor!S125,CTGS!S125)</f>
        <v>0</v>
      </c>
      <c r="T125" s="561">
        <f>SUM('Defect (Total)'!T125,Planned!T125,Reconductor!T125,CTGS!T125)</f>
        <v>0</v>
      </c>
      <c r="U125" s="561">
        <f>SUM('Defect (Total)'!U125,Planned!U125,Reconductor!U125,CTGS!U125)</f>
        <v>0</v>
      </c>
      <c r="V125" s="561">
        <f>SUM('Defect (Total)'!V125,Planned!V125,Reconductor!V125,CTGS!V125)</f>
        <v>0</v>
      </c>
      <c r="W125" s="561">
        <f>SUM('Defect (Total)'!W125,Planned!W125,Reconductor!W125,CTGS!W125)</f>
        <v>0</v>
      </c>
      <c r="X125" s="675">
        <f>SUM('Defect (Total)'!X125,Planned!X125,Reconductor!X125,CTGS!X125)</f>
        <v>0</v>
      </c>
      <c r="Y125" s="675">
        <f>SUM('Defect (Total)'!Y125,Planned!Y125,Reconductor!Y125,CTGS!Y125)</f>
        <v>0</v>
      </c>
      <c r="Z125" s="86">
        <f>SUM('Defect (Total)'!Z125,Planned!Z125,Reconductor!Z125,CTGS!Z125)</f>
        <v>0</v>
      </c>
      <c r="AA125" s="87">
        <f>SUM('Defect (Total)'!AA125,Planned!AA125,Reconductor!AA125,CTGS!AA125)</f>
        <v>0</v>
      </c>
      <c r="AB125" s="87">
        <f>SUM('Defect (Total)'!AB125,Planned!AB125,Reconductor!AB125,CTGS!AB125)</f>
        <v>0</v>
      </c>
      <c r="AC125" s="87">
        <f>SUM('Defect (Total)'!AC125,Planned!AC125,Reconductor!AC125,CTGS!AC125)</f>
        <v>3</v>
      </c>
      <c r="AD125" s="87">
        <f>SUM('Defect (Total)'!AD125,Planned!AD125,Reconductor!AD125,CTGS!AD125)</f>
        <v>0</v>
      </c>
      <c r="AE125" s="87">
        <f>SUM('Defect (Total)'!AE125,Planned!AE125,Reconductor!AE125,CTGS!AE125)</f>
        <v>0</v>
      </c>
      <c r="AF125" s="87">
        <f>SUM('Defect (Total)'!AF125,Planned!AF125,Reconductor!AF125,CTGS!AF125)</f>
        <v>0</v>
      </c>
      <c r="AG125" s="87">
        <f>SUM('Defect (Total)'!AG125,Planned!AG125,Reconductor!AG125,CTGS!AG125)</f>
        <v>0</v>
      </c>
      <c r="AH125" s="87">
        <f>SUM('Defect (Total)'!AH125,Planned!AH125,Reconductor!AH125,CTGS!AH125)</f>
        <v>0</v>
      </c>
      <c r="AI125" s="87">
        <f>SUM('Defect (Total)'!AI125,Planned!AI125,Reconductor!AI125,CTGS!AI125)</f>
        <v>0</v>
      </c>
      <c r="AJ125" s="87">
        <f>SUM('Defect (Total)'!AJ125,Planned!AJ125,Reconductor!AJ125,CTGS!AJ125)</f>
        <v>0</v>
      </c>
      <c r="AK125" s="88">
        <f t="shared" si="47"/>
        <v>0</v>
      </c>
      <c r="AL125" s="89">
        <f t="shared" si="52"/>
        <v>0</v>
      </c>
      <c r="AM125" s="90">
        <f t="shared" si="48"/>
        <v>0</v>
      </c>
      <c r="AN125" s="91" t="str">
        <f t="shared" si="53"/>
        <v/>
      </c>
      <c r="AO125" s="92" t="str">
        <f t="shared" si="54"/>
        <v/>
      </c>
      <c r="AP125" s="92" t="str">
        <f t="shared" si="55"/>
        <v/>
      </c>
      <c r="AQ125" s="92">
        <f t="shared" si="56"/>
        <v>12325.139981766779</v>
      </c>
      <c r="AR125" s="92" t="str">
        <f t="shared" si="57"/>
        <v/>
      </c>
      <c r="AS125" s="92" t="str">
        <f t="shared" si="58"/>
        <v/>
      </c>
      <c r="AT125" s="92" t="str">
        <f t="shared" si="59"/>
        <v/>
      </c>
      <c r="AU125" s="92" t="str">
        <f t="shared" si="60"/>
        <v/>
      </c>
      <c r="AV125" s="92" t="str">
        <f t="shared" si="61"/>
        <v/>
      </c>
      <c r="AW125" s="92" t="str">
        <f t="shared" si="64"/>
        <v/>
      </c>
      <c r="AX125" s="92" t="str">
        <f t="shared" si="64"/>
        <v/>
      </c>
      <c r="AY125" s="93" t="str">
        <f t="shared" si="63"/>
        <v/>
      </c>
      <c r="AZ125" s="94" t="str">
        <f t="shared" si="45"/>
        <v/>
      </c>
      <c r="BA125" s="95" t="str">
        <f t="shared" si="46"/>
        <v/>
      </c>
      <c r="BB125" s="689">
        <f>SUM('Defect (Total)'!BB125,Planned!CE125,Reconductor!CE125,CTGS!CE125,'Substation 2025$'!CE125*$BL$1,Comms!CA125*$BL$2)</f>
        <v>0</v>
      </c>
      <c r="BC125" s="689">
        <f>SUM('Defect (Total)'!BC125,Planned!CF125,Reconductor!CF125,CTGS!CF125,'Substation 2025$'!CF125*$BL$1,Comms!CB125*$BL$2)</f>
        <v>0</v>
      </c>
      <c r="BD125" s="96">
        <f>SUM('Defect (Total)'!BD125,Planned!CG125,Reconductor!CG125,CTGS!CG125,'Substation 2025$'!CG125*$BL$1,Comms!CC125*$BL$2)</f>
        <v>0</v>
      </c>
      <c r="BE125" s="96">
        <f>SUM('Defect (Total)'!BE125,Planned!CH125,Reconductor!CH125,CTGS!CH125,'Substation 2025$'!CH125*$BL$1,Comms!CD125*$BL$2)</f>
        <v>0</v>
      </c>
      <c r="BF125" s="96">
        <f>SUM('Defect (Total)'!BF125,Planned!CI125,Reconductor!CI125,CTGS!CI125,'Substation 2025$'!CI125*$BL$1,Comms!CE125*$BL$2)</f>
        <v>1</v>
      </c>
      <c r="BG125" s="96">
        <f>SUM('Defect (Total)'!BG125,Planned!CJ125,Reconductor!CJ125,CTGS!CJ125,'Substation 2025$'!CJ125*$BL$1,Comms!CF125*$BL$2)</f>
        <v>0</v>
      </c>
      <c r="BH125" s="96">
        <f>SUM('Defect (Total)'!BH125,Planned!CK125,Reconductor!CK125,CTGS!CK125,'Substation 2025$'!CK125*$BL$1,Comms!CG125*$BL$2)</f>
        <v>0</v>
      </c>
      <c r="BI125" s="286">
        <f>SUM('Defect (Total)'!BI125,Planned!CL125,Reconductor!CL125,CTGS!CL125,'Substation 2025$'!CL125*$BL$1,Comms!CH125*$BL$2)</f>
        <v>0</v>
      </c>
      <c r="BJ125" s="99">
        <f t="shared" si="51"/>
        <v>27221.734222929983</v>
      </c>
      <c r="BK125" s="992">
        <f>SUM('Defect (Total)'!BK125,Planned!CQ125,Reconductor!CQ125,CTGS!CQ125,'Substation 2025$'!CQ125*$BL$1,Comms!CM125*$BL$2)</f>
        <v>243629.21126731718</v>
      </c>
      <c r="BL125" s="992">
        <f>SUM('Defect (Total)'!BL125,Planned!CR125,Reconductor!CR125,CTGS!CR125,'Substation 2025$'!CR125*$BL$1,Comms!CN125*$BL$2)</f>
        <v>103509.81605094275</v>
      </c>
      <c r="BM125" s="524">
        <f>SUM('Defect (Total)'!BM125,Planned!CS125,Reconductor!CS125,CTGS!CS125,'Substation 2025$'!CS125*$BL$1,Comms!CO125*$BL$2)</f>
        <v>49335.08079294554</v>
      </c>
      <c r="BN125" s="416">
        <f>SUM('Defect (Total)'!BN125,Planned!CT125,Reconductor!CT125,CTGS!CT125,'Substation 2025$'!CT125*$BL$1,Comms!CP125*$BL$2)</f>
        <v>24826.401869798097</v>
      </c>
      <c r="BO125" s="97">
        <f>SUM('Defect (Total)'!BO125,Planned!CU125,Reconductor!CU125,CTGS!CU125,'Substation 2025$'!CU125*$BL$1,Comms!CQ125*$BL$2)</f>
        <v>2395.3323531318852</v>
      </c>
      <c r="BP125" s="97">
        <f>SUM('Defect (Total)'!BP125,Planned!CV125,Reconductor!CV125,CTGS!CV125,'Substation 2025$'!CV125*$BL$1,Comms!CR125*$BL$2)</f>
        <v>0</v>
      </c>
      <c r="BQ125" s="97">
        <f>SUM('Defect (Total)'!BQ125,Planned!CW125,Reconductor!CW125,CTGS!CW125,'Substation 2025$'!CW125*$BL$1,Comms!CS125*$BL$2)</f>
        <v>0</v>
      </c>
      <c r="BR125" s="98">
        <f>SUM('Defect (Total)'!BR125,Planned!CX125,Reconductor!CX125,CTGS!CX125,'Substation 2025$'!CX125*$BL$1,Comms!CT125*$BL$2)</f>
        <v>0</v>
      </c>
    </row>
    <row r="126" spans="1:70" ht="15.75" thickBot="1" x14ac:dyDescent="0.3">
      <c r="A126" s="81" t="s">
        <v>242</v>
      </c>
      <c r="B126" s="82" t="s">
        <v>399</v>
      </c>
      <c r="C126" s="102" t="s">
        <v>400</v>
      </c>
      <c r="D126" s="103">
        <f>SUM('Defect (Total)'!D126,Planned!D126,Reconductor!D126,CTGS!D126)</f>
        <v>0</v>
      </c>
      <c r="E126" s="104">
        <f>SUM('Defect (Total)'!E126,Planned!E126,Reconductor!E126,CTGS!E126)</f>
        <v>0</v>
      </c>
      <c r="F126" s="104">
        <f>SUM('Defect (Total)'!F126,Planned!F126,Reconductor!F126,CTGS!F126)</f>
        <v>0</v>
      </c>
      <c r="G126" s="104">
        <f>SUM('Defect (Total)'!G126,Planned!G126,Reconductor!G126,CTGS!G126)</f>
        <v>0</v>
      </c>
      <c r="H126" s="104">
        <f>SUM('Defect (Total)'!H126,Planned!H126,Reconductor!H126,CTGS!H126)</f>
        <v>0</v>
      </c>
      <c r="I126" s="104">
        <f>SUM('Defect (Total)'!I126,Planned!I126,Reconductor!I126,CTGS!I126)</f>
        <v>0</v>
      </c>
      <c r="J126" s="104">
        <f>SUM('Defect (Total)'!J126,Planned!J126,Reconductor!J126,CTGS!J126)</f>
        <v>0</v>
      </c>
      <c r="K126" s="104">
        <f>SUM('Defect (Total)'!K126,Planned!K126,Reconductor!K126,CTGS!K126)</f>
        <v>0</v>
      </c>
      <c r="L126" s="104">
        <f>SUM('Defect (Total)'!L126,Planned!L126,Reconductor!L126,CTGS!L126)</f>
        <v>0</v>
      </c>
      <c r="M126" s="104">
        <f>SUM('Defect (Total)'!M126,Planned!M126,Reconductor!M126,CTGS!M126)</f>
        <v>0</v>
      </c>
      <c r="N126" s="104">
        <f>SUM('Defect (Total)'!N126,Planned!N126,Reconductor!N126,CTGS!N126)</f>
        <v>0</v>
      </c>
      <c r="O126" s="563">
        <f>SUM('Defect (Total)'!O126,Planned!O126,Reconductor!O126,CTGS!O126)</f>
        <v>0</v>
      </c>
      <c r="P126" s="564">
        <f>SUM('Defect (Total)'!P126,Planned!P126,Reconductor!P126,CTGS!P126)</f>
        <v>0</v>
      </c>
      <c r="Q126" s="564">
        <f>SUM('Defect (Total)'!Q126,Planned!Q126,Reconductor!Q126,CTGS!Q126)</f>
        <v>0</v>
      </c>
      <c r="R126" s="564">
        <f>SUM('Defect (Total)'!R126,Planned!R126,Reconductor!R126,CTGS!R126)</f>
        <v>0</v>
      </c>
      <c r="S126" s="564">
        <f>SUM('Defect (Total)'!S126,Planned!S126,Reconductor!S126,CTGS!S126)</f>
        <v>0</v>
      </c>
      <c r="T126" s="564">
        <f>SUM('Defect (Total)'!T126,Planned!T126,Reconductor!T126,CTGS!T126)</f>
        <v>0</v>
      </c>
      <c r="U126" s="564">
        <f>SUM('Defect (Total)'!U126,Planned!U126,Reconductor!U126,CTGS!U126)</f>
        <v>0</v>
      </c>
      <c r="V126" s="564">
        <f>SUM('Defect (Total)'!V126,Planned!V126,Reconductor!V126,CTGS!V126)</f>
        <v>0</v>
      </c>
      <c r="W126" s="564">
        <f>SUM('Defect (Total)'!W126,Planned!W126,Reconductor!W126,CTGS!W126)</f>
        <v>0</v>
      </c>
      <c r="X126" s="676">
        <f>SUM('Defect (Total)'!X126,Planned!X126,Reconductor!X126,CTGS!X126)</f>
        <v>0</v>
      </c>
      <c r="Y126" s="676">
        <f>SUM('Defect (Total)'!Y126,Planned!Y126,Reconductor!Y126,CTGS!Y126)</f>
        <v>0</v>
      </c>
      <c r="Z126" s="105">
        <f>SUM('Defect (Total)'!Z126,Planned!Z126,Reconductor!Z126,CTGS!Z126)</f>
        <v>0</v>
      </c>
      <c r="AA126" s="106">
        <f>SUM('Defect (Total)'!AA126,Planned!AA126,Reconductor!AA126,CTGS!AA126)</f>
        <v>0</v>
      </c>
      <c r="AB126" s="106">
        <f>SUM('Defect (Total)'!AB126,Planned!AB126,Reconductor!AB126,CTGS!AB126)</f>
        <v>0</v>
      </c>
      <c r="AC126" s="106">
        <f>SUM('Defect (Total)'!AC126,Planned!AC126,Reconductor!AC126,CTGS!AC126)</f>
        <v>0</v>
      </c>
      <c r="AD126" s="106">
        <f>SUM('Defect (Total)'!AD126,Planned!AD126,Reconductor!AD126,CTGS!AD126)</f>
        <v>0</v>
      </c>
      <c r="AE126" s="106">
        <f>SUM('Defect (Total)'!AE126,Planned!AE126,Reconductor!AE126,CTGS!AE126)</f>
        <v>0</v>
      </c>
      <c r="AF126" s="106">
        <f>SUM('Defect (Total)'!AF126,Planned!AF126,Reconductor!AF126,CTGS!AF126)</f>
        <v>0</v>
      </c>
      <c r="AG126" s="106">
        <f>SUM('Defect (Total)'!AG126,Planned!AG126,Reconductor!AG126,CTGS!AG126)</f>
        <v>0</v>
      </c>
      <c r="AH126" s="106">
        <f>SUM('Defect (Total)'!AH126,Planned!AH126,Reconductor!AH126,CTGS!AH126)</f>
        <v>0</v>
      </c>
      <c r="AI126" s="106">
        <f>SUM('Defect (Total)'!AI126,Planned!AI126,Reconductor!AI126,CTGS!AI126)</f>
        <v>0</v>
      </c>
      <c r="AJ126" s="106">
        <f>SUM('Defect (Total)'!AJ126,Planned!AJ126,Reconductor!AJ126,CTGS!AJ126)</f>
        <v>0</v>
      </c>
      <c r="AK126" s="107">
        <f t="shared" si="47"/>
        <v>0</v>
      </c>
      <c r="AL126" s="108">
        <f t="shared" si="52"/>
        <v>0</v>
      </c>
      <c r="AM126" s="109">
        <f t="shared" si="48"/>
        <v>0</v>
      </c>
      <c r="AN126" s="110" t="str">
        <f t="shared" si="53"/>
        <v/>
      </c>
      <c r="AO126" s="111" t="str">
        <f t="shared" si="54"/>
        <v/>
      </c>
      <c r="AP126" s="111" t="str">
        <f t="shared" si="55"/>
        <v/>
      </c>
      <c r="AQ126" s="111" t="str">
        <f t="shared" si="56"/>
        <v/>
      </c>
      <c r="AR126" s="111" t="str">
        <f t="shared" si="57"/>
        <v/>
      </c>
      <c r="AS126" s="111" t="str">
        <f t="shared" si="58"/>
        <v/>
      </c>
      <c r="AT126" s="111" t="str">
        <f t="shared" si="59"/>
        <v/>
      </c>
      <c r="AU126" s="111" t="str">
        <f t="shared" si="60"/>
        <v/>
      </c>
      <c r="AV126" s="111" t="str">
        <f t="shared" si="61"/>
        <v/>
      </c>
      <c r="AW126" s="111" t="str">
        <f t="shared" si="64"/>
        <v/>
      </c>
      <c r="AX126" s="111" t="str">
        <f t="shared" si="64"/>
        <v/>
      </c>
      <c r="AY126" s="112" t="str">
        <f t="shared" si="63"/>
        <v/>
      </c>
      <c r="AZ126" s="113" t="str">
        <f t="shared" si="45"/>
        <v/>
      </c>
      <c r="BA126" s="114" t="str">
        <f t="shared" si="46"/>
        <v/>
      </c>
      <c r="BB126" s="690">
        <f>SUM('Defect (Total)'!BB126,Planned!CE126,Reconductor!CE126,CTGS!CE126,'Substation 2025$'!CE126*$BL$1,Comms!CA126*$BL$2)</f>
        <v>0</v>
      </c>
      <c r="BC126" s="690">
        <f>SUM('Defect (Total)'!BC126,Planned!CF126,Reconductor!CF126,CTGS!CF126,'Substation 2025$'!CF126*$BL$1,Comms!CB126*$BL$2)</f>
        <v>0</v>
      </c>
      <c r="BD126" s="115">
        <f>SUM('Defect (Total)'!BD126,Planned!CG126,Reconductor!CG126,CTGS!CG126,'Substation 2025$'!CG126*$BL$1,Comms!CC126*$BL$2)</f>
        <v>0</v>
      </c>
      <c r="BE126" s="115">
        <f>SUM('Defect (Total)'!BE126,Planned!CH126,Reconductor!CH126,CTGS!CH126,'Substation 2025$'!CH126*$BL$1,Comms!CD126*$BL$2)</f>
        <v>0</v>
      </c>
      <c r="BF126" s="115">
        <f>SUM('Defect (Total)'!BF126,Planned!CI126,Reconductor!CI126,CTGS!CI126,'Substation 2025$'!CI126*$BL$1,Comms!CE126*$BL$2)</f>
        <v>0</v>
      </c>
      <c r="BG126" s="115">
        <f>SUM('Defect (Total)'!BG126,Planned!CJ126,Reconductor!CJ126,CTGS!CJ126,'Substation 2025$'!CJ126*$BL$1,Comms!CF126*$BL$2)</f>
        <v>0</v>
      </c>
      <c r="BH126" s="115">
        <f>SUM('Defect (Total)'!BH126,Planned!CK126,Reconductor!CK126,CTGS!CK126,'Substation 2025$'!CK126*$BL$1,Comms!CG126*$BL$2)</f>
        <v>0</v>
      </c>
      <c r="BI126" s="287">
        <f>SUM('Defect (Total)'!BI126,Planned!CL126,Reconductor!CL126,CTGS!CL126,'Substation 2025$'!CL126*$BL$1,Comms!CH126*$BL$2)</f>
        <v>0</v>
      </c>
      <c r="BJ126" s="116" t="str">
        <f t="shared" si="51"/>
        <v/>
      </c>
      <c r="BK126" s="1013">
        <f>SUM('Defect (Total)'!BK126,Planned!CQ126,Reconductor!CQ126,CTGS!CQ126,'Substation 2025$'!CQ126*$BL$1,Comms!CM126*$BL$2)</f>
        <v>0</v>
      </c>
      <c r="BL126" s="1013">
        <f>SUM('Defect (Total)'!BL126,Planned!CR126,Reconductor!CR126,CTGS!CR126,'Substation 2025$'!CR126*$BL$1,Comms!CN126*$BL$2)</f>
        <v>0</v>
      </c>
      <c r="BM126" s="638">
        <f>SUM('Defect (Total)'!BM126,Planned!CS126,Reconductor!CS126,CTGS!CS126,'Substation 2025$'!CS126*$BL$1,Comms!CO126*$BL$2)</f>
        <v>0</v>
      </c>
      <c r="BN126" s="467">
        <f>SUM('Defect (Total)'!BN126,Planned!CT126,Reconductor!CT126,CTGS!CT126,'Substation 2025$'!CT126*$BL$1,Comms!CP126*$BL$2)</f>
        <v>0</v>
      </c>
      <c r="BO126" s="117">
        <f>SUM('Defect (Total)'!BO126,Planned!CU126,Reconductor!CU126,CTGS!CU126,'Substation 2025$'!CU126*$BL$1,Comms!CQ126*$BL$2)</f>
        <v>0</v>
      </c>
      <c r="BP126" s="117">
        <f>SUM('Defect (Total)'!BP126,Planned!CV126,Reconductor!CV126,CTGS!CV126,'Substation 2025$'!CV126*$BL$1,Comms!CR126*$BL$2)</f>
        <v>0</v>
      </c>
      <c r="BQ126" s="117">
        <f>SUM('Defect (Total)'!BQ126,Planned!CW126,Reconductor!CW126,CTGS!CW126,'Substation 2025$'!CW126*$BL$1,Comms!CS126*$BL$2)</f>
        <v>0</v>
      </c>
      <c r="BR126" s="118">
        <f>SUM('Defect (Total)'!BR126,Planned!CX126,Reconductor!CX126,CTGS!CX126,'Substation 2025$'!CX126*$BL$1,Comms!CT126*$BL$2)</f>
        <v>0</v>
      </c>
    </row>
    <row r="127" spans="1:70" x14ac:dyDescent="0.25">
      <c r="A127" s="81" t="s">
        <v>258</v>
      </c>
      <c r="B127" s="82" t="s">
        <v>255</v>
      </c>
      <c r="C127" s="145" t="s">
        <v>401</v>
      </c>
      <c r="D127" s="146">
        <f>SUM('Defect (Total)'!D127,Planned!D127,Reconductor!D127,CTGS!D127)</f>
        <v>0</v>
      </c>
      <c r="E127" s="147">
        <f>SUM('Defect (Total)'!E127,Planned!E127,Reconductor!E127,CTGS!E127)</f>
        <v>0</v>
      </c>
      <c r="F127" s="147">
        <f>SUM('Defect (Total)'!F127,Planned!F127,Reconductor!F127,CTGS!F127)</f>
        <v>0</v>
      </c>
      <c r="G127" s="147">
        <f>SUM('Defect (Total)'!G127,Planned!G127,Reconductor!G127,CTGS!G127)</f>
        <v>0</v>
      </c>
      <c r="H127" s="147">
        <f>SUM('Defect (Total)'!H127,Planned!H127,Reconductor!H127,CTGS!H127)</f>
        <v>0</v>
      </c>
      <c r="I127" s="147">
        <f>SUM('Defect (Total)'!I127,Planned!I127,Reconductor!I127,CTGS!I127)</f>
        <v>0</v>
      </c>
      <c r="J127" s="147">
        <f>SUM('Defect (Total)'!J127,Planned!J127,Reconductor!J127,CTGS!J127)</f>
        <v>0</v>
      </c>
      <c r="K127" s="147">
        <f>SUM('Defect (Total)'!K127,Planned!K127,Reconductor!K127,CTGS!K127)</f>
        <v>0</v>
      </c>
      <c r="L127" s="147">
        <f>SUM('Defect (Total)'!L127,Planned!L127,Reconductor!L127,CTGS!L127)</f>
        <v>0</v>
      </c>
      <c r="M127" s="147">
        <f>SUM('Defect (Total)'!M127,Planned!M127,Reconductor!M127,CTGS!M127)</f>
        <v>0</v>
      </c>
      <c r="N127" s="147">
        <f>SUM('Defect (Total)'!N127,Planned!N127,Reconductor!N127,CTGS!N127)</f>
        <v>0</v>
      </c>
      <c r="O127" s="566">
        <f>SUM('Defect (Total)'!O127,Planned!O127,Reconductor!O127,CTGS!O127)</f>
        <v>0</v>
      </c>
      <c r="P127" s="567">
        <f>SUM('Defect (Total)'!P127,Planned!P127,Reconductor!P127,CTGS!P127)</f>
        <v>0</v>
      </c>
      <c r="Q127" s="567">
        <f>SUM('Defect (Total)'!Q127,Planned!Q127,Reconductor!Q127,CTGS!Q127)</f>
        <v>0</v>
      </c>
      <c r="R127" s="567">
        <f>SUM('Defect (Total)'!R127,Planned!R127,Reconductor!R127,CTGS!R127)</f>
        <v>0</v>
      </c>
      <c r="S127" s="567">
        <f>SUM('Defect (Total)'!S127,Planned!S127,Reconductor!S127,CTGS!S127)</f>
        <v>0</v>
      </c>
      <c r="T127" s="567">
        <f>SUM('Defect (Total)'!T127,Planned!T127,Reconductor!T127,CTGS!T127)</f>
        <v>0</v>
      </c>
      <c r="U127" s="567">
        <f>SUM('Defect (Total)'!U127,Planned!U127,Reconductor!U127,CTGS!U127)</f>
        <v>0</v>
      </c>
      <c r="V127" s="567">
        <f>SUM('Defect (Total)'!V127,Planned!V127,Reconductor!V127,CTGS!V127)</f>
        <v>0</v>
      </c>
      <c r="W127" s="567">
        <f>SUM('Defect (Total)'!W127,Planned!W127,Reconductor!W127,CTGS!W127)</f>
        <v>0</v>
      </c>
      <c r="X127" s="677">
        <f>SUM('Defect (Total)'!X127,Planned!X127,Reconductor!X127,CTGS!X127)</f>
        <v>0</v>
      </c>
      <c r="Y127" s="677">
        <f>SUM('Defect (Total)'!Y127,Planned!Y127,Reconductor!Y127,CTGS!Y127)</f>
        <v>0</v>
      </c>
      <c r="Z127" s="148">
        <f>SUM('Defect (Total)'!Z127,Planned!Z127,Reconductor!Z127,CTGS!Z127)</f>
        <v>0</v>
      </c>
      <c r="AA127" s="149">
        <f>SUM('Defect (Total)'!AA127,Planned!AA127,Reconductor!AA127,CTGS!AA127)</f>
        <v>0</v>
      </c>
      <c r="AB127" s="149">
        <f>SUM('Defect (Total)'!AB127,Planned!AB127,Reconductor!AB127,CTGS!AB127)</f>
        <v>0</v>
      </c>
      <c r="AC127" s="149">
        <f>SUM('Defect (Total)'!AC127,Planned!AC127,Reconductor!AC127,CTGS!AC127)</f>
        <v>0</v>
      </c>
      <c r="AD127" s="149">
        <f>SUM('Defect (Total)'!AD127,Planned!AD127,Reconductor!AD127,CTGS!AD127)</f>
        <v>0</v>
      </c>
      <c r="AE127" s="149">
        <f>SUM('Defect (Total)'!AE127,Planned!AE127,Reconductor!AE127,CTGS!AE127)</f>
        <v>0</v>
      </c>
      <c r="AF127" s="149">
        <f>SUM('Defect (Total)'!AF127,Planned!AF127,Reconductor!AF127,CTGS!AF127)</f>
        <v>0</v>
      </c>
      <c r="AG127" s="149">
        <f>SUM('Defect (Total)'!AG127,Planned!AG127,Reconductor!AG127,CTGS!AG127)</f>
        <v>0</v>
      </c>
      <c r="AH127" s="149">
        <f>SUM('Defect (Total)'!AH127,Planned!AH127,Reconductor!AH127,CTGS!AH127)</f>
        <v>0</v>
      </c>
      <c r="AI127" s="149">
        <f>SUM('Defect (Total)'!AI127,Planned!AI127,Reconductor!AI127,CTGS!AI127)</f>
        <v>0</v>
      </c>
      <c r="AJ127" s="149">
        <f>SUM('Defect (Total)'!AJ127,Planned!AJ127,Reconductor!AJ127,CTGS!AJ127)</f>
        <v>0</v>
      </c>
      <c r="AK127" s="150">
        <f t="shared" si="47"/>
        <v>0</v>
      </c>
      <c r="AL127" s="151">
        <f t="shared" si="52"/>
        <v>0</v>
      </c>
      <c r="AM127" s="152">
        <f t="shared" si="48"/>
        <v>0</v>
      </c>
      <c r="AN127" s="153" t="str">
        <f t="shared" si="53"/>
        <v/>
      </c>
      <c r="AO127" s="154" t="str">
        <f t="shared" si="54"/>
        <v/>
      </c>
      <c r="AP127" s="154" t="str">
        <f t="shared" si="55"/>
        <v/>
      </c>
      <c r="AQ127" s="154" t="str">
        <f t="shared" si="56"/>
        <v/>
      </c>
      <c r="AR127" s="154" t="str">
        <f t="shared" si="57"/>
        <v/>
      </c>
      <c r="AS127" s="154" t="str">
        <f t="shared" si="58"/>
        <v/>
      </c>
      <c r="AT127" s="154" t="str">
        <f t="shared" si="59"/>
        <v/>
      </c>
      <c r="AU127" s="154" t="str">
        <f t="shared" si="60"/>
        <v/>
      </c>
      <c r="AV127" s="154" t="str">
        <f t="shared" si="61"/>
        <v/>
      </c>
      <c r="AW127" s="154" t="str">
        <f t="shared" si="64"/>
        <v/>
      </c>
      <c r="AX127" s="154" t="str">
        <f t="shared" si="64"/>
        <v/>
      </c>
      <c r="AY127" s="155" t="str">
        <f t="shared" si="63"/>
        <v/>
      </c>
      <c r="AZ127" s="156" t="str">
        <f t="shared" si="45"/>
        <v/>
      </c>
      <c r="BA127" s="157" t="str">
        <f t="shared" si="46"/>
        <v/>
      </c>
      <c r="BB127" s="688">
        <f>SUM('Defect (Total)'!BB127*$BL$3,Planned!CE127,Reconductor!CE127,CTGS!CE127,'Substation 2025$'!CE127*$BL$1,Comms!CA127*$BL$2)</f>
        <v>0</v>
      </c>
      <c r="BC127" s="688">
        <f>SUM('Defect (Total)'!BC127*$BL$3,Planned!CF127,Reconductor!CF127,CTGS!CF127,'Substation 2025$'!CF127*$BL$1,Comms!CB127*$BL$2)</f>
        <v>20</v>
      </c>
      <c r="BD127" s="78">
        <f>SUM('Defect (Total)'!BD127*$BL$3,Planned!CG127,Reconductor!CG127,CTGS!CG127,'Substation 2025$'!CG127*$BL$1,Comms!CC127*$BL$2)</f>
        <v>25</v>
      </c>
      <c r="BE127" s="78">
        <f>SUM('Defect (Total)'!BE127*$BL$3,Planned!CH127,Reconductor!CH127,CTGS!CH127,'Substation 2025$'!CH127*$BL$1,Comms!CD127*$BL$2)</f>
        <v>21</v>
      </c>
      <c r="BF127" s="78">
        <f>SUM('Defect (Total)'!BF127*$BL$3,Planned!CI127,Reconductor!CI127,CTGS!CI127,'Substation 2025$'!CI127*$BL$1,Comms!CE127*$BL$2)</f>
        <v>71</v>
      </c>
      <c r="BG127" s="78">
        <f>SUM('Defect (Total)'!BG127*$BL$3,Planned!CJ127,Reconductor!CJ127,CTGS!CJ127,'Substation 2025$'!CJ127*$BL$1,Comms!CF127*$BL$2)</f>
        <v>45</v>
      </c>
      <c r="BH127" s="78">
        <f>SUM('Defect (Total)'!BH127*$BL$3,Planned!CK127,Reconductor!CK127,CTGS!CK127,'Substation 2025$'!CK127*$BL$1,Comms!CG127*$BL$2)</f>
        <v>88</v>
      </c>
      <c r="BI127" s="285">
        <f>SUM('Defect (Total)'!BI127*$BL$3,Planned!CL127,Reconductor!CL127,CTGS!CL127,'Substation 2025$'!CL127*$BL$1,Comms!CH127*$BL$2)</f>
        <v>30</v>
      </c>
      <c r="BJ127" s="158">
        <f t="shared" si="51"/>
        <v>64781.808197107071</v>
      </c>
      <c r="BK127" s="974">
        <f>SUM('Defect (Total)'!BK127*$BL$3,Planned!CQ127,Reconductor!CQ127,CTGS!CQ127,'Substation 2025$'!CQ127*$BL$1,Comms!CM127*$BL$2)</f>
        <v>2402559.5926079871</v>
      </c>
      <c r="BL127" s="974">
        <f>SUM('Defect (Total)'!BL127*$BL$3,Planned!CR127,Reconductor!CR127,CTGS!CR127,'Substation 2025$'!CR127*$BL$1,Comms!CN127*$BL$2)</f>
        <v>5819326.2994725928</v>
      </c>
      <c r="BM127" s="523">
        <f>SUM('Defect (Total)'!BM127*$BL$3,Planned!CS127,Reconductor!CS127,CTGS!CS127,'Substation 2025$'!CS127*$BL$1,Comms!CO127*$BL$2)</f>
        <v>4775991.3207209921</v>
      </c>
      <c r="BN127" s="415">
        <f>SUM('Defect (Total)'!BN127*$BL$3,Planned!CT127,Reconductor!CT127,CTGS!CT127,'Substation 2025$'!CT127*$BL$1,Comms!CP127*$BL$2)</f>
        <v>4034969.8817345472</v>
      </c>
      <c r="BO127" s="79">
        <f>SUM('Defect (Total)'!BO127*$BL$3,Planned!CU127,Reconductor!CU127,CTGS!CU127,'Substation 2025$'!CU127*$BL$1,Comms!CQ127*$BL$2)</f>
        <v>3893524.8105729441</v>
      </c>
      <c r="BP127" s="79">
        <f>SUM('Defect (Total)'!BP127*$BL$3,Planned!CV127,Reconductor!CV127,CTGS!CV127,'Substation 2025$'!CV127*$BL$1,Comms!CR127*$BL$2)</f>
        <v>4445747.147595264</v>
      </c>
      <c r="BQ127" s="79">
        <f>SUM('Defect (Total)'!BQ127*$BL$3,Planned!CW127,Reconductor!CW127,CTGS!CW127,'Substation 2025$'!CW127*$BL$1,Comms!CS127*$BL$2)</f>
        <v>1691472.3945446126</v>
      </c>
      <c r="BR127" s="80">
        <f>SUM('Defect (Total)'!BR127*$BL$3,Planned!CX127,Reconductor!CX127,CTGS!CX127,'Substation 2025$'!CX127*$BL$1,Comms!CT127*$BL$2)</f>
        <v>2453646.8558149361</v>
      </c>
    </row>
    <row r="128" spans="1:70" x14ac:dyDescent="0.25">
      <c r="A128" s="81" t="s">
        <v>258</v>
      </c>
      <c r="B128" s="82" t="s">
        <v>259</v>
      </c>
      <c r="C128" s="83" t="s">
        <v>257</v>
      </c>
      <c r="D128" s="84">
        <f>SUM('Defect (Total)'!D128,Planned!D128,Reconductor!D128,CTGS!D128)</f>
        <v>56980</v>
      </c>
      <c r="E128" s="85">
        <f>SUM('Defect (Total)'!E128,Planned!E128,Reconductor!E128,CTGS!E128)</f>
        <v>79395</v>
      </c>
      <c r="F128" s="85">
        <f>SUM('Defect (Total)'!F128,Planned!F128,Reconductor!F128,CTGS!F128)</f>
        <v>127343</v>
      </c>
      <c r="G128" s="85">
        <f>SUM('Defect (Total)'!G128,Planned!G128,Reconductor!G128,CTGS!G128)</f>
        <v>71550</v>
      </c>
      <c r="H128" s="85">
        <f>SUM('Defect (Total)'!H128,Planned!H128,Reconductor!H128,CTGS!H128)</f>
        <v>76847</v>
      </c>
      <c r="I128" s="85">
        <f>SUM('Defect (Total)'!I128,Planned!I128,Reconductor!I128,CTGS!I128)</f>
        <v>108190.57457639799</v>
      </c>
      <c r="J128" s="85">
        <f>SUM('Defect (Total)'!J128,Planned!J128,Reconductor!J128,CTGS!J128)</f>
        <v>2725826.0662792921</v>
      </c>
      <c r="K128" s="85">
        <f>SUM('Defect (Total)'!K128,Planned!K128,Reconductor!K128,CTGS!K128)</f>
        <v>175205.44439869601</v>
      </c>
      <c r="L128" s="85">
        <f>SUM('Defect (Total)'!L128,Planned!L128,Reconductor!L128,CTGS!L128)</f>
        <v>292893.14275300608</v>
      </c>
      <c r="M128" s="85">
        <f>SUM('Defect (Total)'!M128,Planned!M128,Reconductor!M128,CTGS!M128)</f>
        <v>175121.57533152096</v>
      </c>
      <c r="N128" s="85">
        <f>SUM('Defect (Total)'!N128,Planned!N128,Reconductor!N128,CTGS!N128)</f>
        <v>186642.36813700796</v>
      </c>
      <c r="O128" s="560">
        <f>SUM('Defect (Total)'!O128,Planned!O128,Reconductor!O128,CTGS!O128)</f>
        <v>76664.101068390737</v>
      </c>
      <c r="P128" s="561">
        <f>SUM('Defect (Total)'!P128,Planned!P128,Reconductor!P128,CTGS!P128)</f>
        <v>105232.58811790432</v>
      </c>
      <c r="Q128" s="561">
        <f>SUM('Defect (Total)'!Q128,Planned!Q128,Reconductor!Q128,CTGS!Q128)</f>
        <v>167074.74793376596</v>
      </c>
      <c r="R128" s="561">
        <f>SUM('Defect (Total)'!R128,Planned!R128,Reconductor!R128,CTGS!R128)</f>
        <v>92093.203448911649</v>
      </c>
      <c r="S128" s="561">
        <f>SUM('Defect (Total)'!S128,Planned!S128,Reconductor!S128,CTGS!S128)</f>
        <v>96897.826890291879</v>
      </c>
      <c r="T128" s="561">
        <f>SUM('Defect (Total)'!T128,Planned!T128,Reconductor!T128,CTGS!T128)</f>
        <v>134280.54711211415</v>
      </c>
      <c r="U128" s="561">
        <f>SUM('Defect (Total)'!U128,Planned!U128,Reconductor!U128,CTGS!U128)</f>
        <v>3394983.5842513586</v>
      </c>
      <c r="V128" s="561">
        <f>SUM('Defect (Total)'!V128,Planned!V128,Reconductor!V128,CTGS!V128)</f>
        <v>210134.18972460763</v>
      </c>
      <c r="W128" s="561">
        <f>SUM('Defect (Total)'!W128,Planned!W128,Reconductor!W128,CTGS!W128)</f>
        <v>330947.93864051951</v>
      </c>
      <c r="X128" s="675">
        <f>SUM('Defect (Total)'!X128,Planned!X128,Reconductor!X128,CTGS!X128)</f>
        <v>186234.95268076588</v>
      </c>
      <c r="Y128" s="675">
        <f>SUM('Defect (Total)'!Y128,Planned!Y128,Reconductor!Y128,CTGS!Y128)</f>
        <v>191774.74943671905</v>
      </c>
      <c r="Z128" s="86">
        <f>SUM('Defect (Total)'!Z128,Planned!Z128,Reconductor!Z128,CTGS!Z128)</f>
        <v>8</v>
      </c>
      <c r="AA128" s="87">
        <f>SUM('Defect (Total)'!AA128,Planned!AA128,Reconductor!AA128,CTGS!AA128)</f>
        <v>14</v>
      </c>
      <c r="AB128" s="87">
        <f>SUM('Defect (Total)'!AB128,Planned!AB128,Reconductor!AB128,CTGS!AB128)</f>
        <v>23</v>
      </c>
      <c r="AC128" s="87">
        <f>SUM('Defect (Total)'!AC128,Planned!AC128,Reconductor!AC128,CTGS!AC128)</f>
        <v>12</v>
      </c>
      <c r="AD128" s="87">
        <f>SUM('Defect (Total)'!AD128,Planned!AD128,Reconductor!AD128,CTGS!AD128)</f>
        <v>13</v>
      </c>
      <c r="AE128" s="87">
        <f>SUM('Defect (Total)'!AE128,Planned!AE128,Reconductor!AE128,CTGS!AE128)</f>
        <v>19</v>
      </c>
      <c r="AF128" s="87">
        <f>SUM('Defect (Total)'!AF128,Planned!AF128,Reconductor!AF128,CTGS!AF128)</f>
        <v>15</v>
      </c>
      <c r="AG128" s="87">
        <f>SUM('Defect (Total)'!AG128,Planned!AG128,Reconductor!AG128,CTGS!AG128)</f>
        <v>0</v>
      </c>
      <c r="AH128" s="87">
        <f>SUM('Defect (Total)'!AH128,Planned!AH128,Reconductor!AH128,CTGS!AH128)</f>
        <v>31</v>
      </c>
      <c r="AI128" s="87">
        <f>SUM('Defect (Total)'!AI128,Planned!AI128,Reconductor!AI128,CTGS!AI128)</f>
        <v>26</v>
      </c>
      <c r="AJ128" s="87">
        <f>SUM('Defect (Total)'!AJ128,Planned!AJ128,Reconductor!AJ128,CTGS!AJ128)</f>
        <v>26</v>
      </c>
      <c r="AK128" s="88">
        <f t="shared" si="47"/>
        <v>15.6</v>
      </c>
      <c r="AL128" s="89">
        <f t="shared" si="52"/>
        <v>15.333333333333334</v>
      </c>
      <c r="AM128" s="90">
        <f t="shared" si="48"/>
        <v>31</v>
      </c>
      <c r="AN128" s="91">
        <f t="shared" si="53"/>
        <v>7122.5</v>
      </c>
      <c r="AO128" s="92">
        <f t="shared" si="54"/>
        <v>5671.0714285714284</v>
      </c>
      <c r="AP128" s="92">
        <f t="shared" si="55"/>
        <v>5536.652173913043</v>
      </c>
      <c r="AQ128" s="92">
        <f t="shared" si="56"/>
        <v>5962.5</v>
      </c>
      <c r="AR128" s="92">
        <f t="shared" si="57"/>
        <v>5911.3076923076924</v>
      </c>
      <c r="AS128" s="92">
        <f t="shared" si="58"/>
        <v>5694.2407671788415</v>
      </c>
      <c r="AT128" s="92">
        <f t="shared" si="59"/>
        <v>181721.73775195281</v>
      </c>
      <c r="AU128" s="92" t="str">
        <f t="shared" si="60"/>
        <v/>
      </c>
      <c r="AV128" s="92">
        <f t="shared" si="61"/>
        <v>9448.1658952582602</v>
      </c>
      <c r="AW128" s="92">
        <f t="shared" si="64"/>
        <v>6735.4452050584987</v>
      </c>
      <c r="AX128" s="92">
        <f t="shared" si="64"/>
        <v>7178.5526206541526</v>
      </c>
      <c r="AY128" s="93">
        <f t="shared" si="63"/>
        <v>38211.393443284753</v>
      </c>
      <c r="AZ128" s="94">
        <f t="shared" si="45"/>
        <v>11284.564254091632</v>
      </c>
      <c r="BA128" s="95">
        <f t="shared" si="46"/>
        <v>6735.4452050584987</v>
      </c>
      <c r="BB128" s="689">
        <f>SUM('Defect (Total)'!BB128*$BL$3,Planned!CE128,Reconductor!CE128,CTGS!CE128,'Substation 2025$'!CE128*$BL$1,Comms!CA128*$BL$2)</f>
        <v>0</v>
      </c>
      <c r="BC128" s="689">
        <f>SUM('Defect (Total)'!BC128*$BL$3,Planned!CF128,Reconductor!CF128,CTGS!CF128,'Substation 2025$'!CF128*$BL$1,Comms!CB128*$BL$2)</f>
        <v>20</v>
      </c>
      <c r="BD128" s="96">
        <f>SUM('Defect (Total)'!BD128*$BL$3,Planned!CG128,Reconductor!CG128,CTGS!CG128,'Substation 2025$'!CG128*$BL$1,Comms!CC128*$BL$2)</f>
        <v>25</v>
      </c>
      <c r="BE128" s="96">
        <f>SUM('Defect (Total)'!BE128*$BL$3,Planned!CH128,Reconductor!CH128,CTGS!CH128,'Substation 2025$'!CH128*$BL$1,Comms!CD128*$BL$2)</f>
        <v>15</v>
      </c>
      <c r="BF128" s="96">
        <f>SUM('Defect (Total)'!BF128*$BL$3,Planned!CI128,Reconductor!CI128,CTGS!CI128,'Substation 2025$'!CI128*$BL$1,Comms!CE128*$BL$2)</f>
        <v>99</v>
      </c>
      <c r="BG128" s="96">
        <f>SUM('Defect (Total)'!BG128*$BL$3,Planned!CJ128,Reconductor!CJ128,CTGS!CJ128,'Substation 2025$'!CJ128*$BL$1,Comms!CF128*$BL$2)</f>
        <v>23</v>
      </c>
      <c r="BH128" s="96">
        <f>SUM('Defect (Total)'!BH128*$BL$3,Planned!CK128,Reconductor!CK128,CTGS!CK128,'Substation 2025$'!CK128*$BL$1,Comms!CG128*$BL$2)</f>
        <v>96</v>
      </c>
      <c r="BI128" s="286">
        <f>SUM('Defect (Total)'!BI128*$BL$3,Planned!CL128,Reconductor!CL128,CTGS!CL128,'Substation 2025$'!CL128*$BL$1,Comms!CH128*$BL$2)</f>
        <v>16</v>
      </c>
      <c r="BJ128" s="99">
        <f t="shared" si="51"/>
        <v>67764.167345818176</v>
      </c>
      <c r="BK128" s="992">
        <f>SUM('Defect (Total)'!BK128*$BL$3,Planned!CQ128,Reconductor!CQ128,CTGS!CQ128,'Substation 2025$'!CQ128*$BL$1,Comms!CM128*$BL$2)</f>
        <v>1522173.0222089819</v>
      </c>
      <c r="BL128" s="992">
        <f>SUM('Defect (Total)'!BL128*$BL$3,Planned!CR128,Reconductor!CR128,CTGS!CR128,'Substation 2025$'!CR128*$BL$1,Comms!CN128*$BL$2)</f>
        <v>5358981.5733155962</v>
      </c>
      <c r="BM128" s="524">
        <f>SUM('Defect (Total)'!BM128*$BL$3,Planned!CS128,Reconductor!CS128,CTGS!CS128,'Substation 2025$'!CS128*$BL$1,Comms!CO128*$BL$2)</f>
        <v>5237980.3242271086</v>
      </c>
      <c r="BN128" s="416">
        <f>SUM('Defect (Total)'!BN128*$BL$3,Planned!CT128,Reconductor!CT128,CTGS!CT128,'Substation 2025$'!CT128*$BL$1,Comms!CP128*$BL$2)</f>
        <v>3819438.0468998831</v>
      </c>
      <c r="BO128" s="97">
        <f>SUM('Defect (Total)'!BO128*$BL$3,Planned!CU128,Reconductor!CU128,CTGS!CU128,'Substation 2025$'!CU128*$BL$1,Comms!CQ128*$BL$2)</f>
        <v>3670705.9008712503</v>
      </c>
      <c r="BP128" s="97">
        <f>SUM('Defect (Total)'!BP128*$BL$3,Planned!CV128,Reconductor!CV128,CTGS!CV128,'Substation 2025$'!CV128*$BL$1,Comms!CR128*$BL$2)</f>
        <v>4192393.8388391966</v>
      </c>
      <c r="BQ128" s="97">
        <f>SUM('Defect (Total)'!BQ128*$BL$3,Planned!CW128,Reconductor!CW128,CTGS!CW128,'Substation 2025$'!CW128*$BL$1,Comms!CS128*$BL$2)</f>
        <v>2231117.6216962887</v>
      </c>
      <c r="BR128" s="98">
        <f>SUM('Defect (Total)'!BR128*$BL$3,Planned!CX128,Reconductor!CX128,CTGS!CX128,'Substation 2025$'!CX128*$BL$1,Comms!CT128*$BL$2)</f>
        <v>2959622.2608021041</v>
      </c>
    </row>
    <row r="129" spans="1:71" x14ac:dyDescent="0.25">
      <c r="A129" s="81" t="s">
        <v>258</v>
      </c>
      <c r="B129" s="82" t="s">
        <v>261</v>
      </c>
      <c r="C129" s="83" t="s">
        <v>402</v>
      </c>
      <c r="D129" s="84">
        <f>SUM('Defect (Total)'!D129,Planned!D129,Reconductor!D129,CTGS!D129)</f>
        <v>0</v>
      </c>
      <c r="E129" s="85">
        <f>SUM('Defect (Total)'!E129,Planned!E129,Reconductor!E129,CTGS!E129)</f>
        <v>0</v>
      </c>
      <c r="F129" s="85">
        <f>SUM('Defect (Total)'!F129,Planned!F129,Reconductor!F129,CTGS!F129)</f>
        <v>0</v>
      </c>
      <c r="G129" s="85">
        <f>SUM('Defect (Total)'!G129,Planned!G129,Reconductor!G129,CTGS!G129)</f>
        <v>0</v>
      </c>
      <c r="H129" s="85">
        <f>SUM('Defect (Total)'!H129,Planned!H129,Reconductor!H129,CTGS!H129)</f>
        <v>0</v>
      </c>
      <c r="I129" s="85">
        <f>SUM('Defect (Total)'!I129,Planned!I129,Reconductor!I129,CTGS!I129)</f>
        <v>0</v>
      </c>
      <c r="J129" s="85">
        <f>SUM('Defect (Total)'!J129,Planned!J129,Reconductor!J129,CTGS!J129)</f>
        <v>0</v>
      </c>
      <c r="K129" s="85">
        <f>SUM('Defect (Total)'!K129,Planned!K129,Reconductor!K129,CTGS!K129)</f>
        <v>0</v>
      </c>
      <c r="L129" s="85">
        <f>SUM('Defect (Total)'!L129,Planned!L129,Reconductor!L129,CTGS!L129)</f>
        <v>0</v>
      </c>
      <c r="M129" s="85">
        <f>SUM('Defect (Total)'!M129,Planned!M129,Reconductor!M129,CTGS!M129)</f>
        <v>0</v>
      </c>
      <c r="N129" s="85">
        <f>SUM('Defect (Total)'!N129,Planned!N129,Reconductor!N129,CTGS!N129)</f>
        <v>0</v>
      </c>
      <c r="O129" s="560">
        <f>SUM('Defect (Total)'!O129,Planned!O129,Reconductor!O129,CTGS!O129)</f>
        <v>0</v>
      </c>
      <c r="P129" s="561">
        <f>SUM('Defect (Total)'!P129,Planned!P129,Reconductor!P129,CTGS!P129)</f>
        <v>0</v>
      </c>
      <c r="Q129" s="561">
        <f>SUM('Defect (Total)'!Q129,Planned!Q129,Reconductor!Q129,CTGS!Q129)</f>
        <v>0</v>
      </c>
      <c r="R129" s="561">
        <f>SUM('Defect (Total)'!R129,Planned!R129,Reconductor!R129,CTGS!R129)</f>
        <v>0</v>
      </c>
      <c r="S129" s="561">
        <f>SUM('Defect (Total)'!S129,Planned!S129,Reconductor!S129,CTGS!S129)</f>
        <v>0</v>
      </c>
      <c r="T129" s="561">
        <f>SUM('Defect (Total)'!T129,Planned!T129,Reconductor!T129,CTGS!T129)</f>
        <v>0</v>
      </c>
      <c r="U129" s="561">
        <f>SUM('Defect (Total)'!U129,Planned!U129,Reconductor!U129,CTGS!U129)</f>
        <v>0</v>
      </c>
      <c r="V129" s="561">
        <f>SUM('Defect (Total)'!V129,Planned!V129,Reconductor!V129,CTGS!V129)</f>
        <v>0</v>
      </c>
      <c r="W129" s="561">
        <f>SUM('Defect (Total)'!W129,Planned!W129,Reconductor!W129,CTGS!W129)</f>
        <v>0</v>
      </c>
      <c r="X129" s="675">
        <f>SUM('Defect (Total)'!X129,Planned!X129,Reconductor!X129,CTGS!X129)</f>
        <v>0</v>
      </c>
      <c r="Y129" s="675">
        <f>SUM('Defect (Total)'!Y129,Planned!Y129,Reconductor!Y129,CTGS!Y129)</f>
        <v>0</v>
      </c>
      <c r="Z129" s="86">
        <f>SUM('Defect (Total)'!Z129,Planned!Z129,Reconductor!Z129,CTGS!Z129)</f>
        <v>0</v>
      </c>
      <c r="AA129" s="87">
        <f>SUM('Defect (Total)'!AA129,Planned!AA129,Reconductor!AA129,CTGS!AA129)</f>
        <v>0</v>
      </c>
      <c r="AB129" s="87">
        <f>SUM('Defect (Total)'!AB129,Planned!AB129,Reconductor!AB129,CTGS!AB129)</f>
        <v>0</v>
      </c>
      <c r="AC129" s="87">
        <f>SUM('Defect (Total)'!AC129,Planned!AC129,Reconductor!AC129,CTGS!AC129)</f>
        <v>0</v>
      </c>
      <c r="AD129" s="87">
        <f>SUM('Defect (Total)'!AD129,Planned!AD129,Reconductor!AD129,CTGS!AD129)</f>
        <v>0</v>
      </c>
      <c r="AE129" s="87">
        <f>SUM('Defect (Total)'!AE129,Planned!AE129,Reconductor!AE129,CTGS!AE129)</f>
        <v>0</v>
      </c>
      <c r="AF129" s="87">
        <f>SUM('Defect (Total)'!AF129,Planned!AF129,Reconductor!AF129,CTGS!AF129)</f>
        <v>0</v>
      </c>
      <c r="AG129" s="87">
        <f>SUM('Defect (Total)'!AG129,Planned!AG129,Reconductor!AG129,CTGS!AG129)</f>
        <v>0</v>
      </c>
      <c r="AH129" s="87">
        <f>SUM('Defect (Total)'!AH129,Planned!AH129,Reconductor!AH129,CTGS!AH129)</f>
        <v>0</v>
      </c>
      <c r="AI129" s="87">
        <f>SUM('Defect (Total)'!AI129,Planned!AI129,Reconductor!AI129,CTGS!AI129)</f>
        <v>0</v>
      </c>
      <c r="AJ129" s="87">
        <f>SUM('Defect (Total)'!AJ129,Planned!AJ129,Reconductor!AJ129,CTGS!AJ129)</f>
        <v>0</v>
      </c>
      <c r="AK129" s="88">
        <f t="shared" si="47"/>
        <v>0</v>
      </c>
      <c r="AL129" s="89">
        <f t="shared" si="52"/>
        <v>0</v>
      </c>
      <c r="AM129" s="90">
        <f t="shared" si="48"/>
        <v>0</v>
      </c>
      <c r="AN129" s="91" t="str">
        <f t="shared" si="53"/>
        <v/>
      </c>
      <c r="AO129" s="92" t="str">
        <f t="shared" si="54"/>
        <v/>
      </c>
      <c r="AP129" s="92" t="str">
        <f t="shared" si="55"/>
        <v/>
      </c>
      <c r="AQ129" s="92" t="str">
        <f t="shared" si="56"/>
        <v/>
      </c>
      <c r="AR129" s="92" t="str">
        <f t="shared" si="57"/>
        <v/>
      </c>
      <c r="AS129" s="92" t="str">
        <f t="shared" si="58"/>
        <v/>
      </c>
      <c r="AT129" s="92" t="str">
        <f t="shared" si="59"/>
        <v/>
      </c>
      <c r="AU129" s="92" t="str">
        <f t="shared" si="60"/>
        <v/>
      </c>
      <c r="AV129" s="92" t="str">
        <f t="shared" si="61"/>
        <v/>
      </c>
      <c r="AW129" s="92" t="str">
        <f t="shared" si="64"/>
        <v/>
      </c>
      <c r="AX129" s="92" t="str">
        <f t="shared" si="64"/>
        <v/>
      </c>
      <c r="AY129" s="93" t="str">
        <f t="shared" si="63"/>
        <v/>
      </c>
      <c r="AZ129" s="94" t="str">
        <f t="shared" si="45"/>
        <v/>
      </c>
      <c r="BA129" s="95" t="str">
        <f t="shared" si="46"/>
        <v/>
      </c>
      <c r="BB129" s="689">
        <f>SUM('Defect (Total)'!BB129*$BL$3,Planned!CE129,Reconductor!CE129,CTGS!CE129,'Substation 2025$'!CE129*$BL$1,Comms!CA129*$BL$2)</f>
        <v>0</v>
      </c>
      <c r="BC129" s="689">
        <f>SUM('Defect (Total)'!BC129*$BL$3,Planned!CF129,Reconductor!CF129,CTGS!CF129,'Substation 2025$'!CF129*$BL$1,Comms!CB129*$BL$2)</f>
        <v>0</v>
      </c>
      <c r="BD129" s="96">
        <f>SUM('Defect (Total)'!BD129*$BL$3,Planned!CG129,Reconductor!CG129,CTGS!CG129,'Substation 2025$'!CG129*$BL$1,Comms!CC129*$BL$2)</f>
        <v>0</v>
      </c>
      <c r="BE129" s="96">
        <f>SUM('Defect (Total)'!BE129*$BL$3,Planned!CH129,Reconductor!CH129,CTGS!CH129,'Substation 2025$'!CH129*$BL$1,Comms!CD129*$BL$2)</f>
        <v>0</v>
      </c>
      <c r="BF129" s="96">
        <f>SUM('Defect (Total)'!BF129*$BL$3,Planned!CI129,Reconductor!CI129,CTGS!CI129,'Substation 2025$'!CI129*$BL$1,Comms!CE129*$BL$2)</f>
        <v>0</v>
      </c>
      <c r="BG129" s="96">
        <f>SUM('Defect (Total)'!BG129*$BL$3,Planned!CJ129,Reconductor!CJ129,CTGS!CJ129,'Substation 2025$'!CJ129*$BL$1,Comms!CF129*$BL$2)</f>
        <v>0</v>
      </c>
      <c r="BH129" s="96">
        <f>SUM('Defect (Total)'!BH129*$BL$3,Planned!CK129,Reconductor!CK129,CTGS!CK129,'Substation 2025$'!CK129*$BL$1,Comms!CG129*$BL$2)</f>
        <v>0</v>
      </c>
      <c r="BI129" s="286">
        <f>SUM('Defect (Total)'!BI129*$BL$3,Planned!CL129,Reconductor!CL129,CTGS!CL129,'Substation 2025$'!CL129*$BL$1,Comms!CH129*$BL$2)</f>
        <v>0</v>
      </c>
      <c r="BJ129" s="99" t="str">
        <f t="shared" si="51"/>
        <v/>
      </c>
      <c r="BK129" s="992">
        <f>SUM('Defect (Total)'!BK129*$BL$3,Planned!CQ129,Reconductor!CQ129,CTGS!CQ129,'Substation 2025$'!CQ129*$BL$1,Comms!CM129*$BL$2)</f>
        <v>0</v>
      </c>
      <c r="BL129" s="992">
        <f>SUM('Defect (Total)'!BL129*$BL$3,Planned!CR129,Reconductor!CR129,CTGS!CR129,'Substation 2025$'!CR129*$BL$1,Comms!CN129*$BL$2)</f>
        <v>0</v>
      </c>
      <c r="BM129" s="524">
        <f>SUM('Defect (Total)'!BM129*$BL$3,Planned!CS129,Reconductor!CS129,CTGS!CS129,'Substation 2025$'!CS129*$BL$1,Comms!CO129*$BL$2)</f>
        <v>0</v>
      </c>
      <c r="BN129" s="416">
        <f>SUM('Defect (Total)'!BN129*$BL$3,Planned!CT129,Reconductor!CT129,CTGS!CT129,'Substation 2025$'!CT129*$BL$1,Comms!CP129*$BL$2)</f>
        <v>0</v>
      </c>
      <c r="BO129" s="97">
        <f>SUM('Defect (Total)'!BO129*$BL$3,Planned!CU129,Reconductor!CU129,CTGS!CU129,'Substation 2025$'!CU129*$BL$1,Comms!CQ129*$BL$2)</f>
        <v>0</v>
      </c>
      <c r="BP129" s="97">
        <f>SUM('Defect (Total)'!BP129*$BL$3,Planned!CV129,Reconductor!CV129,CTGS!CV129,'Substation 2025$'!CV129*$BL$1,Comms!CR129*$BL$2)</f>
        <v>0</v>
      </c>
      <c r="BQ129" s="97">
        <f>SUM('Defect (Total)'!BQ129*$BL$3,Planned!CW129,Reconductor!CW129,CTGS!CW129,'Substation 2025$'!CW129*$BL$1,Comms!CS129*$BL$2)</f>
        <v>0</v>
      </c>
      <c r="BR129" s="98">
        <f>SUM('Defect (Total)'!BR129*$BL$3,Planned!CX129,Reconductor!CX129,CTGS!CX129,'Substation 2025$'!CX129*$BL$1,Comms!CT129*$BL$2)</f>
        <v>0</v>
      </c>
    </row>
    <row r="130" spans="1:71" x14ac:dyDescent="0.25">
      <c r="A130" s="81" t="s">
        <v>258</v>
      </c>
      <c r="B130" s="82" t="s">
        <v>263</v>
      </c>
      <c r="C130" s="83" t="s">
        <v>403</v>
      </c>
      <c r="D130" s="84">
        <f>SUM('Defect (Total)'!D130,Planned!D130,Reconductor!D130,CTGS!D130)</f>
        <v>0</v>
      </c>
      <c r="E130" s="85">
        <f>SUM('Defect (Total)'!E130,Planned!E130,Reconductor!E130,CTGS!E130)</f>
        <v>0</v>
      </c>
      <c r="F130" s="85">
        <f>SUM('Defect (Total)'!F130,Planned!F130,Reconductor!F130,CTGS!F130)</f>
        <v>0</v>
      </c>
      <c r="G130" s="85">
        <f>SUM('Defect (Total)'!G130,Planned!G130,Reconductor!G130,CTGS!G130)</f>
        <v>0</v>
      </c>
      <c r="H130" s="85">
        <f>SUM('Defect (Total)'!H130,Planned!H130,Reconductor!H130,CTGS!H130)</f>
        <v>0</v>
      </c>
      <c r="I130" s="85">
        <f>SUM('Defect (Total)'!I130,Planned!I130,Reconductor!I130,CTGS!I130)</f>
        <v>0</v>
      </c>
      <c r="J130" s="85">
        <f>SUM('Defect (Total)'!J130,Planned!J130,Reconductor!J130,CTGS!J130)</f>
        <v>0</v>
      </c>
      <c r="K130" s="85">
        <f>SUM('Defect (Total)'!K130,Planned!K130,Reconductor!K130,CTGS!K130)</f>
        <v>0</v>
      </c>
      <c r="L130" s="85">
        <f>SUM('Defect (Total)'!L130,Planned!L130,Reconductor!L130,CTGS!L130)</f>
        <v>0</v>
      </c>
      <c r="M130" s="85">
        <f>SUM('Defect (Total)'!M130,Planned!M130,Reconductor!M130,CTGS!M130)</f>
        <v>0</v>
      </c>
      <c r="N130" s="85">
        <f>SUM('Defect (Total)'!N130,Planned!N130,Reconductor!N130,CTGS!N130)</f>
        <v>0</v>
      </c>
      <c r="O130" s="560">
        <f>SUM('Defect (Total)'!O130,Planned!O130,Reconductor!O130,CTGS!O130)</f>
        <v>0</v>
      </c>
      <c r="P130" s="561">
        <f>SUM('Defect (Total)'!P130,Planned!P130,Reconductor!P130,CTGS!P130)</f>
        <v>0</v>
      </c>
      <c r="Q130" s="561">
        <f>SUM('Defect (Total)'!Q130,Planned!Q130,Reconductor!Q130,CTGS!Q130)</f>
        <v>0</v>
      </c>
      <c r="R130" s="561">
        <f>SUM('Defect (Total)'!R130,Planned!R130,Reconductor!R130,CTGS!R130)</f>
        <v>0</v>
      </c>
      <c r="S130" s="561">
        <f>SUM('Defect (Total)'!S130,Planned!S130,Reconductor!S130,CTGS!S130)</f>
        <v>0</v>
      </c>
      <c r="T130" s="561">
        <f>SUM('Defect (Total)'!T130,Planned!T130,Reconductor!T130,CTGS!T130)</f>
        <v>0</v>
      </c>
      <c r="U130" s="561">
        <f>SUM('Defect (Total)'!U130,Planned!U130,Reconductor!U130,CTGS!U130)</f>
        <v>0</v>
      </c>
      <c r="V130" s="561">
        <f>SUM('Defect (Total)'!V130,Planned!V130,Reconductor!V130,CTGS!V130)</f>
        <v>0</v>
      </c>
      <c r="W130" s="561">
        <f>SUM('Defect (Total)'!W130,Planned!W130,Reconductor!W130,CTGS!W130)</f>
        <v>0</v>
      </c>
      <c r="X130" s="675">
        <f>SUM('Defect (Total)'!X130,Planned!X130,Reconductor!X130,CTGS!X130)</f>
        <v>0</v>
      </c>
      <c r="Y130" s="675">
        <f>SUM('Defect (Total)'!Y130,Planned!Y130,Reconductor!Y130,CTGS!Y130)</f>
        <v>0</v>
      </c>
      <c r="Z130" s="86">
        <f>SUM('Defect (Total)'!Z130,Planned!Z130,Reconductor!Z130,CTGS!Z130)</f>
        <v>0</v>
      </c>
      <c r="AA130" s="87">
        <f>SUM('Defect (Total)'!AA130,Planned!AA130,Reconductor!AA130,CTGS!AA130)</f>
        <v>0</v>
      </c>
      <c r="AB130" s="87">
        <f>SUM('Defect (Total)'!AB130,Planned!AB130,Reconductor!AB130,CTGS!AB130)</f>
        <v>0</v>
      </c>
      <c r="AC130" s="87">
        <f>SUM('Defect (Total)'!AC130,Planned!AC130,Reconductor!AC130,CTGS!AC130)</f>
        <v>0</v>
      </c>
      <c r="AD130" s="87">
        <f>SUM('Defect (Total)'!AD130,Planned!AD130,Reconductor!AD130,CTGS!AD130)</f>
        <v>0</v>
      </c>
      <c r="AE130" s="87">
        <f>SUM('Defect (Total)'!AE130,Planned!AE130,Reconductor!AE130,CTGS!AE130)</f>
        <v>0</v>
      </c>
      <c r="AF130" s="87">
        <f>SUM('Defect (Total)'!AF130,Planned!AF130,Reconductor!AF130,CTGS!AF130)</f>
        <v>0</v>
      </c>
      <c r="AG130" s="87">
        <f>SUM('Defect (Total)'!AG130,Planned!AG130,Reconductor!AG130,CTGS!AG130)</f>
        <v>0</v>
      </c>
      <c r="AH130" s="87">
        <f>SUM('Defect (Total)'!AH130,Planned!AH130,Reconductor!AH130,CTGS!AH130)</f>
        <v>0</v>
      </c>
      <c r="AI130" s="87">
        <f>SUM('Defect (Total)'!AI130,Planned!AI130,Reconductor!AI130,CTGS!AI130)</f>
        <v>0</v>
      </c>
      <c r="AJ130" s="87">
        <f>SUM('Defect (Total)'!AJ130,Planned!AJ130,Reconductor!AJ130,CTGS!AJ130)</f>
        <v>0</v>
      </c>
      <c r="AK130" s="88">
        <f t="shared" si="47"/>
        <v>0</v>
      </c>
      <c r="AL130" s="89">
        <f t="shared" si="52"/>
        <v>0</v>
      </c>
      <c r="AM130" s="90">
        <f t="shared" si="48"/>
        <v>0</v>
      </c>
      <c r="AN130" s="91" t="str">
        <f t="shared" si="53"/>
        <v/>
      </c>
      <c r="AO130" s="92" t="str">
        <f t="shared" si="54"/>
        <v/>
      </c>
      <c r="AP130" s="92" t="str">
        <f t="shared" si="55"/>
        <v/>
      </c>
      <c r="AQ130" s="92" t="str">
        <f t="shared" si="56"/>
        <v/>
      </c>
      <c r="AR130" s="92" t="str">
        <f t="shared" si="57"/>
        <v/>
      </c>
      <c r="AS130" s="92" t="str">
        <f t="shared" si="58"/>
        <v/>
      </c>
      <c r="AT130" s="92" t="str">
        <f t="shared" si="59"/>
        <v/>
      </c>
      <c r="AU130" s="92" t="str">
        <f t="shared" si="60"/>
        <v/>
      </c>
      <c r="AV130" s="92" t="str">
        <f t="shared" si="61"/>
        <v/>
      </c>
      <c r="AW130" s="92" t="str">
        <f t="shared" si="64"/>
        <v/>
      </c>
      <c r="AX130" s="92" t="str">
        <f t="shared" si="64"/>
        <v/>
      </c>
      <c r="AY130" s="93" t="str">
        <f t="shared" si="63"/>
        <v/>
      </c>
      <c r="AZ130" s="94" t="str">
        <f t="shared" si="45"/>
        <v/>
      </c>
      <c r="BA130" s="95" t="str">
        <f t="shared" si="46"/>
        <v/>
      </c>
      <c r="BB130" s="689">
        <f>SUM('Defect (Total)'!BB130*$BL$3,Planned!CE130,Reconductor!CE130,CTGS!CE130,'Substation 2025$'!CE130*$BL$1,Comms!CA130*$BL$2)</f>
        <v>0</v>
      </c>
      <c r="BC130" s="689">
        <f>SUM('Defect (Total)'!BC130*$BL$3,Planned!CF130,Reconductor!CF130,CTGS!CF130,'Substation 2025$'!CF130*$BL$1,Comms!CB130*$BL$2)</f>
        <v>0</v>
      </c>
      <c r="BD130" s="96">
        <f>SUM('Defect (Total)'!BD130*$BL$3,Planned!CG130,Reconductor!CG130,CTGS!CG130,'Substation 2025$'!CG130*$BL$1,Comms!CC130*$BL$2)</f>
        <v>0</v>
      </c>
      <c r="BE130" s="96">
        <f>SUM('Defect (Total)'!BE130*$BL$3,Planned!CH130,Reconductor!CH130,CTGS!CH130,'Substation 2025$'!CH130*$BL$1,Comms!CD130*$BL$2)</f>
        <v>0</v>
      </c>
      <c r="BF130" s="96">
        <f>SUM('Defect (Total)'!BF130*$BL$3,Planned!CI130,Reconductor!CI130,CTGS!CI130,'Substation 2025$'!CI130*$BL$1,Comms!CE130*$BL$2)</f>
        <v>1</v>
      </c>
      <c r="BG130" s="96">
        <f>SUM('Defect (Total)'!BG130*$BL$3,Planned!CJ130,Reconductor!CJ130,CTGS!CJ130,'Substation 2025$'!CJ130*$BL$1,Comms!CF130*$BL$2)</f>
        <v>0</v>
      </c>
      <c r="BH130" s="96">
        <f>SUM('Defect (Total)'!BH130*$BL$3,Planned!CK130,Reconductor!CK130,CTGS!CK130,'Substation 2025$'!CK130*$BL$1,Comms!CG130*$BL$2)</f>
        <v>1</v>
      </c>
      <c r="BI130" s="286">
        <f>SUM('Defect (Total)'!BI130*$BL$3,Planned!CL130,Reconductor!CL130,CTGS!CL130,'Substation 2025$'!CL130*$BL$1,Comms!CH130*$BL$2)</f>
        <v>0</v>
      </c>
      <c r="BJ130" s="99">
        <f t="shared" si="51"/>
        <v>3190150.2962820306</v>
      </c>
      <c r="BK130" s="992">
        <f>SUM('Defect (Total)'!BK130*$BL$3,Planned!CQ130,Reconductor!CQ130,CTGS!CQ130,'Substation 2025$'!CQ130*$BL$1,Comms!CM130*$BL$2)</f>
        <v>935</v>
      </c>
      <c r="BL130" s="992">
        <f>SUM('Defect (Total)'!BL130*$BL$3,Planned!CR130,Reconductor!CR130,CTGS!CR130,'Substation 2025$'!CR130*$BL$1,Comms!CN130*$BL$2)</f>
        <v>896.01362433514635</v>
      </c>
      <c r="BM130" s="524">
        <f>SUM('Defect (Total)'!BM130*$BL$3,Planned!CS130,Reconductor!CS130,CTGS!CS130,'Substation 2025$'!CS130*$BL$1,Comms!CO130*$BL$2)</f>
        <v>131400.21697266016</v>
      </c>
      <c r="BN130" s="416">
        <f>SUM('Defect (Total)'!BN130*$BL$3,Planned!CT130,Reconductor!CT130,CTGS!CT130,'Substation 2025$'!CT130*$BL$1,Comms!CP130*$BL$2)</f>
        <v>3171752.4288309971</v>
      </c>
      <c r="BO130" s="97">
        <f>SUM('Defect (Total)'!BO130*$BL$3,Planned!CU130,Reconductor!CU130,CTGS!CU130,'Substation 2025$'!CU130*$BL$1,Comms!CQ130*$BL$2)</f>
        <v>2238832.8489571149</v>
      </c>
      <c r="BP130" s="97">
        <f>SUM('Defect (Total)'!BP130*$BL$3,Planned!CV130,Reconductor!CV130,CTGS!CV130,'Substation 2025$'!CV130*$BL$1,Comms!CR130*$BL$2)</f>
        <v>675370.70670926571</v>
      </c>
      <c r="BQ130" s="97">
        <f>SUM('Defect (Total)'!BQ130*$BL$3,Planned!CW130,Reconductor!CW130,CTGS!CW130,'Substation 2025$'!CW130*$BL$1,Comms!CS130*$BL$2)</f>
        <v>294344.60806668404</v>
      </c>
      <c r="BR130" s="98">
        <f>SUM('Defect (Total)'!BR130*$BL$3,Planned!CX130,Reconductor!CX130,CTGS!CX130,'Substation 2025$'!CX130*$BL$1,Comms!CT130*$BL$2)</f>
        <v>0</v>
      </c>
    </row>
    <row r="131" spans="1:71" x14ac:dyDescent="0.25">
      <c r="A131" s="81" t="s">
        <v>258</v>
      </c>
      <c r="B131" s="82" t="s">
        <v>404</v>
      </c>
      <c r="C131" s="83" t="s">
        <v>405</v>
      </c>
      <c r="D131" s="84">
        <f>SUM('Defect (Total)'!D131,Planned!D131,Reconductor!D131,CTGS!D131)</f>
        <v>52394</v>
      </c>
      <c r="E131" s="85">
        <f>SUM('Defect (Total)'!E131,Planned!E131,Reconductor!E131,CTGS!E131)</f>
        <v>33586</v>
      </c>
      <c r="F131" s="85">
        <f>SUM('Defect (Total)'!F131,Planned!F131,Reconductor!F131,CTGS!F131)</f>
        <v>0</v>
      </c>
      <c r="G131" s="85">
        <f>SUM('Defect (Total)'!G131,Planned!G131,Reconductor!G131,CTGS!G131)</f>
        <v>181427</v>
      </c>
      <c r="H131" s="85">
        <f>SUM('Defect (Total)'!H131,Planned!H131,Reconductor!H131,CTGS!H131)</f>
        <v>411969</v>
      </c>
      <c r="I131" s="85">
        <f>SUM('Defect (Total)'!I131,Planned!I131,Reconductor!I131,CTGS!I131)</f>
        <v>0</v>
      </c>
      <c r="J131" s="85">
        <f>SUM('Defect (Total)'!J131,Planned!J131,Reconductor!J131,CTGS!J131)</f>
        <v>3402491.1146438019</v>
      </c>
      <c r="K131" s="85">
        <f>SUM('Defect (Total)'!K131,Planned!K131,Reconductor!K131,CTGS!K131)</f>
        <v>0</v>
      </c>
      <c r="L131" s="85">
        <f>SUM('Defect (Total)'!L131,Planned!L131,Reconductor!L131,CTGS!L131)</f>
        <v>0</v>
      </c>
      <c r="M131" s="85">
        <f>SUM('Defect (Total)'!M131,Planned!M131,Reconductor!M131,CTGS!M131)</f>
        <v>11845.6</v>
      </c>
      <c r="N131" s="85">
        <f>SUM('Defect (Total)'!N131,Planned!N131,Reconductor!N131,CTGS!N131)</f>
        <v>10162872.439999998</v>
      </c>
      <c r="O131" s="560">
        <f>SUM('Defect (Total)'!O131,Planned!O131,Reconductor!O131,CTGS!O131)</f>
        <v>70493.838388509379</v>
      </c>
      <c r="P131" s="561">
        <f>SUM('Defect (Total)'!P131,Planned!P131,Reconductor!P131,CTGS!P131)</f>
        <v>44515.922974090747</v>
      </c>
      <c r="Q131" s="561">
        <f>SUM('Defect (Total)'!Q131,Planned!Q131,Reconductor!Q131,CTGS!Q131)</f>
        <v>0</v>
      </c>
      <c r="R131" s="561">
        <f>SUM('Defect (Total)'!R131,Planned!R131,Reconductor!R131,CTGS!R131)</f>
        <v>233517.73056779447</v>
      </c>
      <c r="S131" s="561">
        <f>SUM('Defect (Total)'!S131,Planned!S131,Reconductor!S131,CTGS!S131)</f>
        <v>519459.45640254859</v>
      </c>
      <c r="T131" s="561">
        <f>SUM('Defect (Total)'!T131,Planned!T131,Reconductor!T131,CTGS!T131)</f>
        <v>0</v>
      </c>
      <c r="U131" s="561">
        <f>SUM('Defect (Total)'!U131,Planned!U131,Reconductor!U131,CTGS!U131)</f>
        <v>4237761.7642875835</v>
      </c>
      <c r="V131" s="561">
        <f>SUM('Defect (Total)'!V131,Planned!V131,Reconductor!V131,CTGS!V131)</f>
        <v>0</v>
      </c>
      <c r="W131" s="561">
        <f>SUM('Defect (Total)'!W131,Planned!W131,Reconductor!W131,CTGS!W131)</f>
        <v>0</v>
      </c>
      <c r="X131" s="675">
        <f>SUM('Defect (Total)'!X131,Planned!X131,Reconductor!X131,CTGS!X131)</f>
        <v>12597.332746116523</v>
      </c>
      <c r="Y131" s="675">
        <f>SUM('Defect (Total)'!Y131,Planned!Y131,Reconductor!Y131,CTGS!Y131)</f>
        <v>10442335.977582829</v>
      </c>
      <c r="Z131" s="86">
        <f>SUM('Defect (Total)'!Z131,Planned!Z131,Reconductor!Z131,CTGS!Z131)</f>
        <v>2</v>
      </c>
      <c r="AA131" s="87">
        <f>SUM('Defect (Total)'!AA131,Planned!AA131,Reconductor!AA131,CTGS!AA131)</f>
        <v>1</v>
      </c>
      <c r="AB131" s="87">
        <f>SUM('Defect (Total)'!AB131,Planned!AB131,Reconductor!AB131,CTGS!AB131)</f>
        <v>0</v>
      </c>
      <c r="AC131" s="87">
        <f>SUM('Defect (Total)'!AC131,Planned!AC131,Reconductor!AC131,CTGS!AC131)</f>
        <v>5</v>
      </c>
      <c r="AD131" s="87">
        <f>SUM('Defect (Total)'!AD131,Planned!AD131,Reconductor!AD131,CTGS!AD131)</f>
        <v>12</v>
      </c>
      <c r="AE131" s="87">
        <f>SUM('Defect (Total)'!AE131,Planned!AE131,Reconductor!AE131,CTGS!AE131)</f>
        <v>0</v>
      </c>
      <c r="AF131" s="87">
        <f>SUM('Defect (Total)'!AF131,Planned!AF131,Reconductor!AF131,CTGS!AF131)</f>
        <v>0</v>
      </c>
      <c r="AG131" s="87">
        <f>SUM('Defect (Total)'!AG131,Planned!AG131,Reconductor!AG131,CTGS!AG131)</f>
        <v>2</v>
      </c>
      <c r="AH131" s="87">
        <f>SUM('Defect (Total)'!AH131,Planned!AH131,Reconductor!AH131,CTGS!AH131)</f>
        <v>0</v>
      </c>
      <c r="AI131" s="87">
        <f>SUM('Defect (Total)'!AI131,Planned!AI131,Reconductor!AI131,CTGS!AI131)</f>
        <v>2</v>
      </c>
      <c r="AJ131" s="87">
        <f>SUM('Defect (Total)'!AJ131,Planned!AJ131,Reconductor!AJ131,CTGS!AJ131)</f>
        <v>0</v>
      </c>
      <c r="AK131" s="88">
        <f t="shared" si="47"/>
        <v>2.8</v>
      </c>
      <c r="AL131" s="89">
        <f t="shared" si="52"/>
        <v>0.66666666666666663</v>
      </c>
      <c r="AM131" s="90">
        <f t="shared" si="48"/>
        <v>0</v>
      </c>
      <c r="AN131" s="91">
        <f t="shared" si="53"/>
        <v>26197</v>
      </c>
      <c r="AO131" s="92">
        <f t="shared" si="54"/>
        <v>33586</v>
      </c>
      <c r="AP131" s="92" t="str">
        <f t="shared" si="55"/>
        <v/>
      </c>
      <c r="AQ131" s="92">
        <f t="shared" si="56"/>
        <v>36285.4</v>
      </c>
      <c r="AR131" s="92">
        <f t="shared" si="57"/>
        <v>34330.75</v>
      </c>
      <c r="AS131" s="92" t="str">
        <f t="shared" si="58"/>
        <v/>
      </c>
      <c r="AT131" s="92" t="str">
        <f t="shared" si="59"/>
        <v/>
      </c>
      <c r="AU131" s="92">
        <f t="shared" si="60"/>
        <v>0</v>
      </c>
      <c r="AV131" s="92" t="str">
        <f t="shared" si="61"/>
        <v/>
      </c>
      <c r="AW131" s="92">
        <f t="shared" si="64"/>
        <v>5922.8</v>
      </c>
      <c r="AX131" s="92" t="str">
        <f t="shared" si="64"/>
        <v/>
      </c>
      <c r="AY131" s="93">
        <f t="shared" si="63"/>
        <v>853584.17866095051</v>
      </c>
      <c r="AZ131" s="94">
        <f t="shared" si="45"/>
        <v>2961.4</v>
      </c>
      <c r="BA131" s="95">
        <f t="shared" si="46"/>
        <v>5922.8</v>
      </c>
      <c r="BB131" s="689">
        <f>SUM('Defect (Total)'!BB131*$BL$3,Planned!CE131,Reconductor!CE131,CTGS!CE131,'Substation 2025$'!CE131*$BL$1,Comms!CA131*$BL$2)</f>
        <v>0</v>
      </c>
      <c r="BC131" s="689">
        <f>SUM('Defect (Total)'!BC131*$BL$3,Planned!CF131,Reconductor!CF131,CTGS!CF131,'Substation 2025$'!CF131*$BL$1,Comms!CB131*$BL$2)</f>
        <v>0</v>
      </c>
      <c r="BD131" s="96">
        <f>SUM('Defect (Total)'!BD131*$BL$3,Planned!CG131,Reconductor!CG131,CTGS!CG131,'Substation 2025$'!CG131*$BL$1,Comms!CC131*$BL$2)</f>
        <v>0</v>
      </c>
      <c r="BE131" s="96">
        <f>SUM('Defect (Total)'!BE131*$BL$3,Planned!CH131,Reconductor!CH131,CTGS!CH131,'Substation 2025$'!CH131*$BL$1,Comms!CD131*$BL$2)</f>
        <v>0</v>
      </c>
      <c r="BF131" s="96">
        <f>SUM('Defect (Total)'!BF131*$BL$3,Planned!CI131,Reconductor!CI131,CTGS!CI131,'Substation 2025$'!CI131*$BL$1,Comms!CE131*$BL$2)</f>
        <v>0</v>
      </c>
      <c r="BG131" s="96">
        <f>SUM('Defect (Total)'!BG131*$BL$3,Planned!CJ131,Reconductor!CJ131,CTGS!CJ131,'Substation 2025$'!CJ131*$BL$1,Comms!CF131*$BL$2)</f>
        <v>0</v>
      </c>
      <c r="BH131" s="96">
        <f>SUM('Defect (Total)'!BH131*$BL$3,Planned!CK131,Reconductor!CK131,CTGS!CK131,'Substation 2025$'!CK131*$BL$1,Comms!CG131*$BL$2)</f>
        <v>0</v>
      </c>
      <c r="BI131" s="286">
        <f>SUM('Defect (Total)'!BI131*$BL$3,Planned!CL131,Reconductor!CL131,CTGS!CL131,'Substation 2025$'!CL131*$BL$1,Comms!CH131*$BL$2)</f>
        <v>0</v>
      </c>
      <c r="BJ131" s="99" t="str">
        <f t="shared" si="51"/>
        <v/>
      </c>
      <c r="BK131" s="992">
        <f>SUM('Defect (Total)'!BK131*$BL$3,Planned!CQ131,Reconductor!CQ131,CTGS!CQ131,'Substation 2025$'!CQ131*$BL$1,Comms!CM131*$BL$2)</f>
        <v>0</v>
      </c>
      <c r="BL131" s="992">
        <f>SUM('Defect (Total)'!BL131*$BL$3,Planned!CR131,Reconductor!CR131,CTGS!CR131,'Substation 2025$'!CR131*$BL$1,Comms!CN131*$BL$2)</f>
        <v>0</v>
      </c>
      <c r="BM131" s="524">
        <f>SUM('Defect (Total)'!BM131*$BL$3,Planned!CS131,Reconductor!CS131,CTGS!CS131,'Substation 2025$'!CS131*$BL$1,Comms!CO131*$BL$2)</f>
        <v>0</v>
      </c>
      <c r="BN131" s="416">
        <f>SUM('Defect (Total)'!BN131*$BL$3,Planned!CT131,Reconductor!CT131,CTGS!CT131,'Substation 2025$'!CT131*$BL$1,Comms!CP131*$BL$2)</f>
        <v>0</v>
      </c>
      <c r="BO131" s="97">
        <f>SUM('Defect (Total)'!BO131*$BL$3,Planned!CU131,Reconductor!CU131,CTGS!CU131,'Substation 2025$'!CU131*$BL$1,Comms!CQ131*$BL$2)</f>
        <v>0</v>
      </c>
      <c r="BP131" s="97">
        <f>SUM('Defect (Total)'!BP131*$BL$3,Planned!CV131,Reconductor!CV131,CTGS!CV131,'Substation 2025$'!CV131*$BL$1,Comms!CR131*$BL$2)</f>
        <v>0</v>
      </c>
      <c r="BQ131" s="97">
        <f>SUM('Defect (Total)'!BQ131*$BL$3,Planned!CW131,Reconductor!CW131,CTGS!CW131,'Substation 2025$'!CW131*$BL$1,Comms!CS131*$BL$2)</f>
        <v>0</v>
      </c>
      <c r="BR131" s="98">
        <f>SUM('Defect (Total)'!BR131*$BL$3,Planned!CX131,Reconductor!CX131,CTGS!CX131,'Substation 2025$'!CX131*$BL$1,Comms!CT131*$BL$2)</f>
        <v>0</v>
      </c>
    </row>
    <row r="132" spans="1:71" ht="15.75" thickBot="1" x14ac:dyDescent="0.3">
      <c r="A132" s="100" t="s">
        <v>258</v>
      </c>
      <c r="B132" s="101" t="s">
        <v>265</v>
      </c>
      <c r="C132" s="159" t="s">
        <v>406</v>
      </c>
      <c r="D132" s="103">
        <f>SUM('Defect (Total)'!D132,Planned!D132,Reconductor!D132,CTGS!D132)</f>
        <v>0</v>
      </c>
      <c r="E132" s="104">
        <f>SUM('Defect (Total)'!E132,Planned!E132,Reconductor!E132,CTGS!E132)</f>
        <v>0</v>
      </c>
      <c r="F132" s="104">
        <f>SUM('Defect (Total)'!F132,Planned!F132,Reconductor!F132,CTGS!F132)</f>
        <v>0</v>
      </c>
      <c r="G132" s="104">
        <f>SUM('Defect (Total)'!G132,Planned!G132,Reconductor!G132,CTGS!G132)</f>
        <v>0</v>
      </c>
      <c r="H132" s="104">
        <f>SUM('Defect (Total)'!H132,Planned!H132,Reconductor!H132,CTGS!H132)</f>
        <v>0</v>
      </c>
      <c r="I132" s="104">
        <f>SUM('Defect (Total)'!I132,Planned!I132,Reconductor!I132,CTGS!I132)</f>
        <v>52101.720000000008</v>
      </c>
      <c r="J132" s="104">
        <f>SUM('Defect (Total)'!J132,Planned!J132,Reconductor!J132,CTGS!J132)</f>
        <v>64920.800000000003</v>
      </c>
      <c r="K132" s="104">
        <f>SUM('Defect (Total)'!K132,Planned!K132,Reconductor!K132,CTGS!K132)</f>
        <v>2890023.14</v>
      </c>
      <c r="L132" s="104">
        <f>SUM('Defect (Total)'!L132,Planned!L132,Reconductor!L132,CTGS!L132)</f>
        <v>252283.24000000017</v>
      </c>
      <c r="M132" s="104">
        <f>SUM('Defect (Total)'!M132,Planned!M132,Reconductor!M132,CTGS!M132)</f>
        <v>7156709.8999999985</v>
      </c>
      <c r="N132" s="104">
        <f>SUM('Defect (Total)'!N132,Planned!N132,Reconductor!N132,CTGS!N132)</f>
        <v>104299.29999999999</v>
      </c>
      <c r="O132" s="563">
        <f>SUM('Defect (Total)'!O132,Planned!O132,Reconductor!O132,CTGS!O132)</f>
        <v>0</v>
      </c>
      <c r="P132" s="564">
        <f>SUM('Defect (Total)'!P132,Planned!P132,Reconductor!P132,CTGS!P132)</f>
        <v>0</v>
      </c>
      <c r="Q132" s="564">
        <f>SUM('Defect (Total)'!Q132,Planned!Q132,Reconductor!Q132,CTGS!Q132)</f>
        <v>0</v>
      </c>
      <c r="R132" s="564">
        <f>SUM('Defect (Total)'!R132,Planned!R132,Reconductor!R132,CTGS!R132)</f>
        <v>0</v>
      </c>
      <c r="S132" s="564">
        <f>SUM('Defect (Total)'!S132,Planned!S132,Reconductor!S132,CTGS!S132)</f>
        <v>0</v>
      </c>
      <c r="T132" s="564">
        <f>SUM('Defect (Total)'!T132,Planned!T132,Reconductor!T132,CTGS!T132)</f>
        <v>64665.960916418182</v>
      </c>
      <c r="U132" s="564">
        <f>SUM('Defect (Total)'!U132,Planned!U132,Reconductor!U132,CTGS!U132)</f>
        <v>80858.075650188097</v>
      </c>
      <c r="V132" s="564">
        <f>SUM('Defect (Total)'!V132,Planned!V132,Reconductor!V132,CTGS!V132)</f>
        <v>3466174.655094143</v>
      </c>
      <c r="W132" s="564">
        <f>SUM('Defect (Total)'!W132,Planned!W132,Reconductor!W132,CTGS!W132)</f>
        <v>285061.70355090906</v>
      </c>
      <c r="X132" s="676">
        <f>SUM('Defect (Total)'!X132,Planned!X132,Reconductor!X132,CTGS!X132)</f>
        <v>7610881.338026464</v>
      </c>
      <c r="Y132" s="676">
        <f>SUM('Defect (Total)'!Y132,Planned!Y132,Reconductor!Y132,CTGS!Y132)</f>
        <v>107167.37214372681</v>
      </c>
      <c r="Z132" s="105">
        <f>SUM('Defect (Total)'!Z132,Planned!Z132,Reconductor!Z132,CTGS!Z132)</f>
        <v>0</v>
      </c>
      <c r="AA132" s="106">
        <f>SUM('Defect (Total)'!AA132,Planned!AA132,Reconductor!AA132,CTGS!AA132)</f>
        <v>0</v>
      </c>
      <c r="AB132" s="106">
        <f>SUM('Defect (Total)'!AB132,Planned!AB132,Reconductor!AB132,CTGS!AB132)</f>
        <v>0</v>
      </c>
      <c r="AC132" s="106">
        <f>SUM('Defect (Total)'!AC132,Planned!AC132,Reconductor!AC132,CTGS!AC132)</f>
        <v>0</v>
      </c>
      <c r="AD132" s="106">
        <f>SUM('Defect (Total)'!AD132,Planned!AD132,Reconductor!AD132,CTGS!AD132)</f>
        <v>0</v>
      </c>
      <c r="AE132" s="106">
        <f>SUM('Defect (Total)'!AE132,Planned!AE132,Reconductor!AE132,CTGS!AE132)</f>
        <v>1146</v>
      </c>
      <c r="AF132" s="106">
        <f>SUM('Defect (Total)'!AF132,Planned!AF132,Reconductor!AF132,CTGS!AF132)</f>
        <v>1075</v>
      </c>
      <c r="AG132" s="106">
        <f>SUM('Defect (Total)'!AG132,Planned!AG132,Reconductor!AG132,CTGS!AG132)</f>
        <v>1262</v>
      </c>
      <c r="AH132" s="106">
        <f>SUM('Defect (Total)'!AH132,Planned!AH132,Reconductor!AH132,CTGS!AH132)</f>
        <v>1077</v>
      </c>
      <c r="AI132" s="106">
        <f>SUM('Defect (Total)'!AI132,Planned!AI132,Reconductor!AI132,CTGS!AI132)</f>
        <v>1451</v>
      </c>
      <c r="AJ132" s="106">
        <f>SUM('Defect (Total)'!AJ132,Planned!AJ132,Reconductor!AJ132,CTGS!AJ132)</f>
        <v>1057.1666666670001</v>
      </c>
      <c r="AK132" s="107">
        <f t="shared" si="47"/>
        <v>912</v>
      </c>
      <c r="AL132" s="108">
        <f t="shared" si="52"/>
        <v>1138</v>
      </c>
      <c r="AM132" s="109">
        <f t="shared" si="48"/>
        <v>1077</v>
      </c>
      <c r="AN132" s="110" t="str">
        <f t="shared" si="53"/>
        <v/>
      </c>
      <c r="AO132" s="111" t="str">
        <f t="shared" si="54"/>
        <v/>
      </c>
      <c r="AP132" s="111" t="str">
        <f t="shared" si="55"/>
        <v/>
      </c>
      <c r="AQ132" s="111" t="str">
        <f t="shared" si="56"/>
        <v/>
      </c>
      <c r="AR132" s="111" t="str">
        <f t="shared" si="57"/>
        <v/>
      </c>
      <c r="AS132" s="111">
        <f t="shared" si="58"/>
        <v>45.463979057591629</v>
      </c>
      <c r="AT132" s="111">
        <f t="shared" si="59"/>
        <v>60.391441860465122</v>
      </c>
      <c r="AU132" s="111">
        <f t="shared" si="60"/>
        <v>2290.0341838351824</v>
      </c>
      <c r="AV132" s="111">
        <f t="shared" si="61"/>
        <v>234.24627669452198</v>
      </c>
      <c r="AW132" s="111">
        <f t="shared" si="64"/>
        <v>4932.2604410751192</v>
      </c>
      <c r="AX132" s="111">
        <f t="shared" si="64"/>
        <v>98.659277944159314</v>
      </c>
      <c r="AY132" s="112">
        <f t="shared" si="63"/>
        <v>1732.8296123773082</v>
      </c>
      <c r="AZ132" s="113">
        <f t="shared" si="45"/>
        <v>2717.4185435356198</v>
      </c>
      <c r="BA132" s="114">
        <f t="shared" si="46"/>
        <v>4932.2604410751192</v>
      </c>
      <c r="BB132" s="690">
        <f>SUM('Defect (Total)'!BB132*$BL$3,Planned!CE132,Reconductor!CE132,CTGS!CE132,'Substation 2025$'!CE132*$BL$1,Comms!CA132*$BL$2)</f>
        <v>0</v>
      </c>
      <c r="BC132" s="690">
        <f>SUM('Defect (Total)'!BC132*$BL$3,Planned!CF132,Reconductor!CF132,CTGS!CF132,'Substation 2025$'!CF132*$BL$1,Comms!CB132*$BL$2)</f>
        <v>0</v>
      </c>
      <c r="BD132" s="115">
        <f>SUM('Defect (Total)'!BD132*$BL$3,Planned!CG132,Reconductor!CG132,CTGS!CG132,'Substation 2025$'!CG132*$BL$1,Comms!CC132*$BL$2)</f>
        <v>0</v>
      </c>
      <c r="BE132" s="115">
        <f>SUM('Defect (Total)'!BE132*$BL$3,Planned!CH132,Reconductor!CH132,CTGS!CH132,'Substation 2025$'!CH132*$BL$1,Comms!CD132*$BL$2)</f>
        <v>0</v>
      </c>
      <c r="BF132" s="115">
        <f>SUM('Defect (Total)'!BF132*$BL$3,Planned!CI132,Reconductor!CI132,CTGS!CI132,'Substation 2025$'!CI132*$BL$1,Comms!CE132*$BL$2)</f>
        <v>26.085065208566085</v>
      </c>
      <c r="BG132" s="115">
        <f>SUM('Defect (Total)'!BG132*$BL$3,Planned!CJ132,Reconductor!CJ132,CTGS!CJ132,'Substation 2025$'!CJ132*$BL$1,Comms!CF132*$BL$2)</f>
        <v>45.845069305522095</v>
      </c>
      <c r="BH132" s="115">
        <f>SUM('Defect (Total)'!BH132*$BL$3,Planned!CK132,Reconductor!CK132,CTGS!CK132,'Substation 2025$'!CK132*$BL$1,Comms!CG132*$BL$2)</f>
        <v>169.8762281855621</v>
      </c>
      <c r="BI132" s="287">
        <f>SUM('Defect (Total)'!BI132*$BL$3,Planned!CL132,Reconductor!CL132,CTGS!CL132,'Substation 2025$'!CL132*$BL$1,Comms!CH132*$BL$2)</f>
        <v>412.92522796535678</v>
      </c>
      <c r="BJ132" s="116">
        <f t="shared" si="51"/>
        <v>158534.48282087452</v>
      </c>
      <c r="BK132" s="1013">
        <f>SUM('Defect (Total)'!BK132*$BL$3,Planned!CQ132,Reconductor!CQ132,CTGS!CQ132,'Substation 2025$'!CQ132*$BL$1,Comms!CM132*$BL$2)</f>
        <v>28220.503554738581</v>
      </c>
      <c r="BL132" s="1013">
        <f>SUM('Defect (Total)'!BL132*$BL$3,Planned!CR132,Reconductor!CR132,CTGS!CR132,'Substation 2025$'!CR132*$BL$1,Comms!CN132*$BL$2)</f>
        <v>23148617.150723193</v>
      </c>
      <c r="BM132" s="638">
        <f>SUM('Defect (Total)'!BM132*$BL$3,Planned!CS132,Reconductor!CS132,CTGS!CS132,'Substation 2025$'!CS132*$BL$1,Comms!CO132*$BL$2)</f>
        <v>24728037.858505033</v>
      </c>
      <c r="BN132" s="467">
        <f>SUM('Defect (Total)'!BN132*$BL$3,Planned!CT132,Reconductor!CT132,CTGS!CT132,'Substation 2025$'!CT132*$BL$1,Comms!CP132*$BL$2)</f>
        <v>17061068.413156822</v>
      </c>
      <c r="BO132" s="117">
        <f>SUM('Defect (Total)'!BO132*$BL$3,Planned!CU132,Reconductor!CU132,CTGS!CU132,'Substation 2025$'!CU132*$BL$1,Comms!CQ132*$BL$2)</f>
        <v>16337447.920081006</v>
      </c>
      <c r="BP132" s="117">
        <f>SUM('Defect (Total)'!BP132*$BL$3,Planned!CV132,Reconductor!CV132,CTGS!CV132,'Substation 2025$'!CV132*$BL$1,Comms!CR132*$BL$2)</f>
        <v>16066780.089021683</v>
      </c>
      <c r="BQ132" s="117">
        <f>SUM('Defect (Total)'!BQ132*$BL$3,Planned!CW132,Reconductor!CW132,CTGS!CW132,'Substation 2025$'!CW132*$BL$1,Comms!CS132*$BL$2)</f>
        <v>25742004.016021535</v>
      </c>
      <c r="BR132" s="118">
        <f>SUM('Defect (Total)'!BR132*$BL$3,Planned!CX132,Reconductor!CX132,CTGS!CX132,'Substation 2025$'!CX132*$BL$1,Comms!CT132*$BL$2)</f>
        <v>28590233.674284358</v>
      </c>
    </row>
    <row r="133" spans="1:71" ht="15.75" thickBot="1" x14ac:dyDescent="0.3">
      <c r="A133" s="19"/>
      <c r="B133" s="19"/>
      <c r="C133" s="160" t="s">
        <v>407</v>
      </c>
      <c r="D133" s="336">
        <f>SUM(D7:D132)</f>
        <v>95141198</v>
      </c>
      <c r="E133" s="337">
        <f t="shared" ref="E133:L133" si="65">SUM(E7:E132)</f>
        <v>147041615</v>
      </c>
      <c r="F133" s="337">
        <f t="shared" si="65"/>
        <v>141620382</v>
      </c>
      <c r="G133" s="337">
        <f t="shared" si="65"/>
        <v>137594919.00000003</v>
      </c>
      <c r="H133" s="337">
        <f t="shared" si="65"/>
        <v>165761807</v>
      </c>
      <c r="I133" s="337">
        <f t="shared" si="65"/>
        <v>217731522.16976932</v>
      </c>
      <c r="J133" s="337">
        <f t="shared" si="65"/>
        <v>332104725.71429402</v>
      </c>
      <c r="K133" s="337">
        <f t="shared" si="65"/>
        <v>347205605.19673896</v>
      </c>
      <c r="L133" s="337">
        <f t="shared" si="65"/>
        <v>336149388.47895175</v>
      </c>
      <c r="M133" s="337">
        <f t="shared" ref="M133:N133" si="66">SUM(M7:M132)</f>
        <v>375827657.08846831</v>
      </c>
      <c r="N133" s="337">
        <f t="shared" si="66"/>
        <v>425937968.06485796</v>
      </c>
      <c r="O133" s="572">
        <f>SUM(O7:O132)</f>
        <v>128008326.06598409</v>
      </c>
      <c r="P133" s="573">
        <f t="shared" ref="P133:W133" si="67">SUM(P7:P132)</f>
        <v>194893503.46352366</v>
      </c>
      <c r="Q133" s="573">
        <f t="shared" si="67"/>
        <v>185806755.18036827</v>
      </c>
      <c r="R133" s="573">
        <f t="shared" si="67"/>
        <v>177100724.93366203</v>
      </c>
      <c r="S133" s="573">
        <f t="shared" si="67"/>
        <v>209012178.48072103</v>
      </c>
      <c r="T133" s="573">
        <f t="shared" si="67"/>
        <v>270237107.3911289</v>
      </c>
      <c r="U133" s="573">
        <f t="shared" si="67"/>
        <v>413632441.92294824</v>
      </c>
      <c r="V133" s="573">
        <f t="shared" si="67"/>
        <v>416424094.38962471</v>
      </c>
      <c r="W133" s="573">
        <f t="shared" si="67"/>
        <v>379824348.72568721</v>
      </c>
      <c r="X133" s="1121">
        <f t="shared" ref="X133:Y133" si="68">SUM(X7:X132)</f>
        <v>399678028.25832504</v>
      </c>
      <c r="Y133" s="1121">
        <f t="shared" si="68"/>
        <v>439142618.19593084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07"/>
      <c r="AJ133" s="207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732">
        <f t="shared" ref="BB133:BI133" si="69">SUM(BB7:BB132)</f>
        <v>64976.702534263684</v>
      </c>
      <c r="BC133" s="1116">
        <f t="shared" si="69"/>
        <v>63411.574762519755</v>
      </c>
      <c r="BD133" s="733">
        <f t="shared" si="69"/>
        <v>63517.175762519764</v>
      </c>
      <c r="BE133" s="733">
        <f t="shared" si="69"/>
        <v>71849.301403004254</v>
      </c>
      <c r="BF133" s="733">
        <f t="shared" si="69"/>
        <v>72814.343949925809</v>
      </c>
      <c r="BG133" s="733">
        <f t="shared" si="69"/>
        <v>72972.000608498085</v>
      </c>
      <c r="BH133" s="733">
        <f t="shared" si="69"/>
        <v>73507.853421853433</v>
      </c>
      <c r="BI133" s="734">
        <f t="shared" si="69"/>
        <v>73801.214248870907</v>
      </c>
      <c r="BJ133" s="19"/>
      <c r="BK133" s="1055">
        <f t="shared" ref="BK133:BR133" si="70">SUM(BK7:BK132)</f>
        <v>339740794.90634972</v>
      </c>
      <c r="BL133" s="1056">
        <f t="shared" si="70"/>
        <v>419729424.91202545</v>
      </c>
      <c r="BM133" s="765">
        <f t="shared" si="70"/>
        <v>405019629.37849289</v>
      </c>
      <c r="BN133" s="206">
        <f>SUM(BN7:BN132)</f>
        <v>389501933.57418644</v>
      </c>
      <c r="BO133" s="163">
        <f>SUM(BO7:BO132)</f>
        <v>394304990.60983396</v>
      </c>
      <c r="BP133" s="163">
        <f t="shared" si="70"/>
        <v>407451797.60978931</v>
      </c>
      <c r="BQ133" s="163">
        <f>SUM(BQ7:BQ132)</f>
        <v>421676967.23758453</v>
      </c>
      <c r="BR133" s="164">
        <f t="shared" si="70"/>
        <v>435984585.27300876</v>
      </c>
      <c r="BS133" s="164">
        <f>SUM(BN133:BR133)</f>
        <v>2048920274.3044031</v>
      </c>
    </row>
    <row r="134" spans="1:7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07"/>
      <c r="N134" s="207"/>
      <c r="O134" s="19"/>
      <c r="P134" s="19"/>
      <c r="Q134" s="19"/>
      <c r="R134" s="19"/>
      <c r="S134" s="19"/>
      <c r="T134" s="19"/>
      <c r="U134" s="19"/>
      <c r="V134" s="19"/>
      <c r="W134" s="19"/>
      <c r="X134" s="282"/>
      <c r="Y134" s="282"/>
      <c r="Z134" s="19"/>
      <c r="AA134" s="19"/>
      <c r="AB134" s="19"/>
      <c r="AC134" s="19"/>
      <c r="AD134" s="19"/>
      <c r="AE134" s="19"/>
      <c r="AF134" s="19"/>
      <c r="AG134" s="19"/>
      <c r="AH134" s="19"/>
      <c r="AI134" s="207"/>
      <c r="AJ134" s="207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 t="s">
        <v>629</v>
      </c>
      <c r="AX134" s="282"/>
      <c r="AY134" s="19"/>
      <c r="AZ134" s="19"/>
      <c r="BA134" s="19"/>
      <c r="BB134" s="685"/>
      <c r="BC134" s="685"/>
      <c r="BD134" s="19"/>
      <c r="BE134" s="19"/>
      <c r="BF134" s="19"/>
      <c r="BG134" s="19"/>
      <c r="BH134" s="19"/>
      <c r="BI134" s="282"/>
      <c r="BJ134" s="19"/>
      <c r="BK134" s="685"/>
      <c r="BL134" s="1057"/>
      <c r="BM134" s="19"/>
      <c r="BN134" s="20"/>
      <c r="BO134" s="20"/>
      <c r="BP134" s="20"/>
      <c r="BQ134" s="20"/>
      <c r="BR134" s="20"/>
      <c r="BS134" s="395"/>
    </row>
    <row r="135" spans="1:71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07"/>
      <c r="N135" s="207"/>
      <c r="O135" s="19"/>
      <c r="P135" s="19"/>
      <c r="Q135" s="19"/>
      <c r="R135" s="19"/>
      <c r="S135" s="19"/>
      <c r="T135" s="19"/>
      <c r="U135" s="19"/>
      <c r="V135" s="19"/>
      <c r="W135" s="19"/>
      <c r="X135" s="282"/>
      <c r="Y135" s="282"/>
      <c r="Z135" s="165">
        <v>0</v>
      </c>
      <c r="AA135" s="165">
        <v>3.7499999999999999E-2</v>
      </c>
      <c r="AB135" s="165">
        <v>0</v>
      </c>
      <c r="AC135" s="165">
        <v>0</v>
      </c>
      <c r="AD135" s="165">
        <v>0</v>
      </c>
      <c r="AE135" s="165">
        <v>0</v>
      </c>
      <c r="AF135" s="165">
        <v>0</v>
      </c>
      <c r="AG135" s="165"/>
      <c r="AH135" s="165"/>
      <c r="AI135" s="212"/>
      <c r="AJ135" s="212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282" t="s">
        <v>516</v>
      </c>
      <c r="AX135" s="282"/>
      <c r="AY135" s="19"/>
      <c r="AZ135" s="19"/>
      <c r="BA135" s="19"/>
      <c r="BB135" s="697"/>
      <c r="BC135" s="697"/>
      <c r="BD135" s="165"/>
      <c r="BE135" s="165"/>
      <c r="BF135" s="165"/>
      <c r="BG135" s="165"/>
      <c r="BH135" s="165"/>
      <c r="BI135" s="294"/>
      <c r="BJ135" s="26" t="s">
        <v>631</v>
      </c>
      <c r="BK135" s="685"/>
      <c r="BL135" s="1058"/>
      <c r="BM135" s="19"/>
      <c r="BN135" s="19"/>
      <c r="BO135" s="19"/>
      <c r="BP135" s="19"/>
      <c r="BQ135" s="19"/>
      <c r="BR135" s="19"/>
      <c r="BS135" s="395"/>
    </row>
    <row r="136" spans="1:71" x14ac:dyDescent="0.25">
      <c r="A136" s="63" t="s">
        <v>296</v>
      </c>
      <c r="B136" s="166"/>
      <c r="C136" s="64" t="s">
        <v>409</v>
      </c>
      <c r="D136" s="167">
        <f>SUMIF($A$7:$A$132,$A136,D$7:D$132)</f>
        <v>6688577</v>
      </c>
      <c r="E136" s="168">
        <f t="shared" ref="E136:AF145" si="71">SUMIF($A$7:$A$132,$A136,E$7:E$132)</f>
        <v>3664797</v>
      </c>
      <c r="F136" s="168">
        <f t="shared" si="71"/>
        <v>4782199</v>
      </c>
      <c r="G136" s="168">
        <f t="shared" si="71"/>
        <v>3687764</v>
      </c>
      <c r="H136" s="168">
        <f t="shared" si="71"/>
        <v>5309061</v>
      </c>
      <c r="I136" s="168">
        <f t="shared" si="71"/>
        <v>3689144.5943493401</v>
      </c>
      <c r="J136" s="168">
        <f t="shared" si="71"/>
        <v>7934044.6888067247</v>
      </c>
      <c r="K136" s="168">
        <f t="shared" si="71"/>
        <v>7371639.3099999987</v>
      </c>
      <c r="L136" s="168">
        <f t="shared" si="71"/>
        <v>9045812.0399999991</v>
      </c>
      <c r="M136" s="168">
        <f t="shared" ref="M136:N145" si="72">SUMIF($A$7:$A$132,$A136,M$7:M$132)</f>
        <v>8954422.3600000031</v>
      </c>
      <c r="N136" s="168">
        <f t="shared" si="72"/>
        <v>9464302.1000000238</v>
      </c>
      <c r="O136" s="578">
        <f>SUMIF($A$7:$A$132,$A136,O$7:O$132)</f>
        <v>8999188.1911497675</v>
      </c>
      <c r="P136" s="575">
        <f t="shared" si="71"/>
        <v>4857435.2696861438</v>
      </c>
      <c r="Q136" s="575">
        <f t="shared" si="71"/>
        <v>6274272.5748106102</v>
      </c>
      <c r="R136" s="575">
        <f t="shared" si="71"/>
        <v>4746582.8137466423</v>
      </c>
      <c r="S136" s="575">
        <f t="shared" si="71"/>
        <v>6694294.8160370607</v>
      </c>
      <c r="T136" s="575">
        <f t="shared" si="71"/>
        <v>4578775.5212920001</v>
      </c>
      <c r="U136" s="575">
        <f t="shared" si="71"/>
        <v>9881757.2435876802</v>
      </c>
      <c r="V136" s="575">
        <f t="shared" si="71"/>
        <v>8841240.4001781363</v>
      </c>
      <c r="W136" s="575">
        <f t="shared" si="71"/>
        <v>10221109.377395511</v>
      </c>
      <c r="X136" s="679">
        <f t="shared" si="71"/>
        <v>9522678.2955853678</v>
      </c>
      <c r="Y136" s="679">
        <f t="shared" si="71"/>
        <v>9724556.0155375712</v>
      </c>
      <c r="Z136" s="169">
        <f t="shared" si="71"/>
        <v>2373</v>
      </c>
      <c r="AA136" s="170">
        <f t="shared" si="71"/>
        <v>1176</v>
      </c>
      <c r="AB136" s="170">
        <f t="shared" si="71"/>
        <v>1487</v>
      </c>
      <c r="AC136" s="170">
        <f t="shared" si="71"/>
        <v>1285</v>
      </c>
      <c r="AD136" s="170">
        <f t="shared" si="71"/>
        <v>1563</v>
      </c>
      <c r="AE136" s="170">
        <f t="shared" si="71"/>
        <v>1101</v>
      </c>
      <c r="AF136" s="170">
        <f t="shared" si="71"/>
        <v>5017</v>
      </c>
      <c r="AG136" s="170">
        <f t="shared" ref="AG136:AI146" si="73">SUMIF($A$7:$A$132,$A136,AG$7:AG$132)</f>
        <v>4542</v>
      </c>
      <c r="AH136" s="170">
        <f t="shared" si="73"/>
        <v>5172</v>
      </c>
      <c r="AI136" s="213">
        <f t="shared" si="73"/>
        <v>4260</v>
      </c>
      <c r="AJ136" s="1078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388">
        <f>BN136/BE136</f>
        <v>1800</v>
      </c>
      <c r="AX136" s="388"/>
      <c r="AY136" s="19"/>
      <c r="AZ136" s="19"/>
      <c r="BA136" s="19"/>
      <c r="BB136" s="698">
        <f t="shared" ref="BB136:BI146" si="74">SUMIF($A$7:$A$132,$A136,BB$7:BB$132)</f>
        <v>4658</v>
      </c>
      <c r="BC136" s="1117">
        <f t="shared" si="74"/>
        <v>4658</v>
      </c>
      <c r="BD136" s="632">
        <f t="shared" si="74"/>
        <v>4658</v>
      </c>
      <c r="BE136" s="75">
        <f t="shared" si="74"/>
        <v>4658</v>
      </c>
      <c r="BF136" s="76">
        <f t="shared" si="74"/>
        <v>4658</v>
      </c>
      <c r="BG136" s="76">
        <f t="shared" si="74"/>
        <v>4658</v>
      </c>
      <c r="BH136" s="76">
        <f t="shared" si="74"/>
        <v>4658</v>
      </c>
      <c r="BI136" s="633">
        <f t="shared" si="74"/>
        <v>4658</v>
      </c>
      <c r="BJ136" s="747">
        <f>IFERROR(SUM(BN136:BR136)/SUM(BE136:BI136),0)</f>
        <v>1800</v>
      </c>
      <c r="BK136" s="973">
        <f>SUMIF($A$7:$A$132,$A136,BK$7:BK$132)</f>
        <v>8384400</v>
      </c>
      <c r="BL136" s="974">
        <f t="shared" ref="BL136:BR146" si="75">SUMIF($A$7:$A$132,$A136,BL$7:BL$132)</f>
        <v>8384400</v>
      </c>
      <c r="BM136" s="523">
        <f t="shared" si="75"/>
        <v>8384400</v>
      </c>
      <c r="BN136" s="415">
        <f t="shared" si="75"/>
        <v>8384400</v>
      </c>
      <c r="BO136" s="79">
        <f t="shared" si="75"/>
        <v>8384400</v>
      </c>
      <c r="BP136" s="79">
        <f t="shared" si="75"/>
        <v>8384400</v>
      </c>
      <c r="BQ136" s="79">
        <f t="shared" si="75"/>
        <v>8384400</v>
      </c>
      <c r="BR136" s="80">
        <f t="shared" si="75"/>
        <v>8384400</v>
      </c>
    </row>
    <row r="137" spans="1:71" x14ac:dyDescent="0.25">
      <c r="A137" s="81" t="s">
        <v>27</v>
      </c>
      <c r="B137" s="171"/>
      <c r="C137" s="82" t="s">
        <v>410</v>
      </c>
      <c r="D137" s="172">
        <f t="shared" ref="D137:T146" si="76">SUMIF($A$7:$A$132,$A137,D$7:D$132)</f>
        <v>21623480</v>
      </c>
      <c r="E137" s="173">
        <f t="shared" si="71"/>
        <v>30377700</v>
      </c>
      <c r="F137" s="173">
        <f t="shared" si="71"/>
        <v>32020931</v>
      </c>
      <c r="G137" s="173">
        <f t="shared" si="71"/>
        <v>37358676.15651504</v>
      </c>
      <c r="H137" s="173">
        <f t="shared" si="71"/>
        <v>41735759.607460216</v>
      </c>
      <c r="I137" s="173">
        <f t="shared" si="71"/>
        <v>65826973.542401388</v>
      </c>
      <c r="J137" s="173">
        <f t="shared" si="71"/>
        <v>91942765.034401402</v>
      </c>
      <c r="K137" s="173">
        <f t="shared" si="71"/>
        <v>126919850.92777322</v>
      </c>
      <c r="L137" s="173">
        <f t="shared" si="71"/>
        <v>85471523.67120108</v>
      </c>
      <c r="M137" s="173">
        <f t="shared" si="72"/>
        <v>92632153.380781651</v>
      </c>
      <c r="N137" s="173">
        <f t="shared" si="72"/>
        <v>125387412.28100635</v>
      </c>
      <c r="O137" s="580">
        <f t="shared" si="71"/>
        <v>29093447.809237029</v>
      </c>
      <c r="P137" s="576">
        <f t="shared" si="71"/>
        <v>40263542.944382675</v>
      </c>
      <c r="Q137" s="576">
        <f t="shared" si="71"/>
        <v>42011645.51981274</v>
      </c>
      <c r="R137" s="576">
        <f t="shared" si="71"/>
        <v>48084977.831781194</v>
      </c>
      <c r="S137" s="576">
        <f t="shared" si="71"/>
        <v>52625403.848927297</v>
      </c>
      <c r="T137" s="576">
        <f t="shared" si="71"/>
        <v>81701035.941596955</v>
      </c>
      <c r="U137" s="576">
        <f t="shared" si="71"/>
        <v>114513608.12927592</v>
      </c>
      <c r="V137" s="576">
        <f t="shared" si="71"/>
        <v>152222438.78440866</v>
      </c>
      <c r="W137" s="576">
        <f t="shared" si="71"/>
        <v>96576602.325245261</v>
      </c>
      <c r="X137" s="680">
        <f t="shared" si="71"/>
        <v>98510675.620231032</v>
      </c>
      <c r="Y137" s="680">
        <f t="shared" si="71"/>
        <v>126702533.95064051</v>
      </c>
      <c r="Z137" s="174">
        <f t="shared" si="71"/>
        <v>3384</v>
      </c>
      <c r="AA137" s="175">
        <f t="shared" si="71"/>
        <v>4342</v>
      </c>
      <c r="AB137" s="175">
        <f t="shared" si="71"/>
        <v>4059</v>
      </c>
      <c r="AC137" s="175">
        <f t="shared" si="71"/>
        <v>4363</v>
      </c>
      <c r="AD137" s="175">
        <f t="shared" si="71"/>
        <v>5837</v>
      </c>
      <c r="AE137" s="175">
        <f t="shared" si="71"/>
        <v>8919</v>
      </c>
      <c r="AF137" s="175">
        <f t="shared" si="71"/>
        <v>14309</v>
      </c>
      <c r="AG137" s="175">
        <f t="shared" si="73"/>
        <v>20019</v>
      </c>
      <c r="AH137" s="175">
        <f t="shared" si="73"/>
        <v>14583</v>
      </c>
      <c r="AI137" s="214">
        <f t="shared" si="73"/>
        <v>13155</v>
      </c>
      <c r="AJ137" s="1078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388">
        <f t="shared" ref="AW137:AW146" si="77">BN137/BE137</f>
        <v>6224.9599793022235</v>
      </c>
      <c r="AX137" s="388"/>
      <c r="AY137" s="19"/>
      <c r="AZ137" s="19"/>
      <c r="BA137" s="19"/>
      <c r="BB137" s="699">
        <f t="shared" si="74"/>
        <v>14449.733333333332</v>
      </c>
      <c r="BC137" s="1118">
        <f t="shared" si="74"/>
        <v>13980.067439449182</v>
      </c>
      <c r="BD137" s="634">
        <f t="shared" si="74"/>
        <v>13980.067439449182</v>
      </c>
      <c r="BE137" s="93">
        <f t="shared" si="74"/>
        <v>14501.628115367692</v>
      </c>
      <c r="BF137" s="94">
        <f t="shared" si="74"/>
        <v>14610.376550596677</v>
      </c>
      <c r="BG137" s="94">
        <f t="shared" si="74"/>
        <v>14682.875507415998</v>
      </c>
      <c r="BH137" s="94">
        <f t="shared" si="74"/>
        <v>14755.374464235318</v>
      </c>
      <c r="BI137" s="635">
        <f t="shared" si="74"/>
        <v>14791.623942644976</v>
      </c>
      <c r="BJ137" s="746">
        <f t="shared" ref="BJ137:BJ142" si="78">IFERROR(SUM(BN137:BR137)/SUM(BE137:BI137),0)</f>
        <v>6236.1822982950935</v>
      </c>
      <c r="BK137" s="991">
        <f t="shared" ref="BK137:BK146" si="79">SUMIF($A$7:$A$132,$A137,BK$7:BK$132)</f>
        <v>89829083.905473039</v>
      </c>
      <c r="BL137" s="992">
        <f t="shared" si="75"/>
        <v>86510475.744373277</v>
      </c>
      <c r="BM137" s="524">
        <f t="shared" si="75"/>
        <v>86510475.744373277</v>
      </c>
      <c r="BN137" s="416">
        <f t="shared" si="75"/>
        <v>90272054.652887806</v>
      </c>
      <c r="BO137" s="97">
        <f t="shared" si="75"/>
        <v>91056365.73916921</v>
      </c>
      <c r="BP137" s="97">
        <f t="shared" si="75"/>
        <v>91579239.796690121</v>
      </c>
      <c r="BQ137" s="97">
        <f t="shared" si="75"/>
        <v>92102113.854211047</v>
      </c>
      <c r="BR137" s="98">
        <f t="shared" si="75"/>
        <v>92363550.882971525</v>
      </c>
    </row>
    <row r="138" spans="1:71" x14ac:dyDescent="0.25">
      <c r="A138" s="81" t="s">
        <v>68</v>
      </c>
      <c r="B138" s="171"/>
      <c r="C138" s="82" t="s">
        <v>411</v>
      </c>
      <c r="D138" s="172">
        <f t="shared" si="76"/>
        <v>12185579</v>
      </c>
      <c r="E138" s="173">
        <f t="shared" si="71"/>
        <v>22225236</v>
      </c>
      <c r="F138" s="173">
        <f t="shared" si="71"/>
        <v>22283052</v>
      </c>
      <c r="G138" s="173">
        <f t="shared" si="71"/>
        <v>17805502.313259616</v>
      </c>
      <c r="H138" s="173">
        <f t="shared" si="71"/>
        <v>28666166.015586212</v>
      </c>
      <c r="I138" s="173">
        <f t="shared" si="71"/>
        <v>30099310.491715267</v>
      </c>
      <c r="J138" s="173">
        <f t="shared" si="71"/>
        <v>61118473.888565466</v>
      </c>
      <c r="K138" s="173">
        <f t="shared" si="71"/>
        <v>59325035.24911993</v>
      </c>
      <c r="L138" s="173">
        <f t="shared" si="71"/>
        <v>57613033.720209531</v>
      </c>
      <c r="M138" s="173">
        <f t="shared" si="72"/>
        <v>64511952.861215807</v>
      </c>
      <c r="N138" s="173">
        <f t="shared" si="72"/>
        <v>71339115.371101528</v>
      </c>
      <c r="O138" s="580">
        <f t="shared" si="71"/>
        <v>16395164.268740959</v>
      </c>
      <c r="P138" s="576">
        <f t="shared" si="71"/>
        <v>29458015.061543159</v>
      </c>
      <c r="Q138" s="576">
        <f t="shared" si="71"/>
        <v>29235492.301068757</v>
      </c>
      <c r="R138" s="576">
        <f t="shared" si="71"/>
        <v>22917760.266178682</v>
      </c>
      <c r="S138" s="576">
        <f t="shared" si="71"/>
        <v>36145707.603245929</v>
      </c>
      <c r="T138" s="576">
        <f t="shared" si="71"/>
        <v>37357707.881206125</v>
      </c>
      <c r="U138" s="576">
        <f t="shared" si="71"/>
        <v>76122324.205888897</v>
      </c>
      <c r="V138" s="576">
        <f t="shared" si="71"/>
        <v>71152002.46911037</v>
      </c>
      <c r="W138" s="576">
        <f t="shared" si="71"/>
        <v>65098535.832260959</v>
      </c>
      <c r="X138" s="680">
        <f t="shared" si="71"/>
        <v>68605941.133798137</v>
      </c>
      <c r="Y138" s="680">
        <f t="shared" si="71"/>
        <v>71877440.151107609</v>
      </c>
      <c r="Z138" s="174">
        <f t="shared" si="71"/>
        <v>9944</v>
      </c>
      <c r="AA138" s="175">
        <f t="shared" si="71"/>
        <v>14063</v>
      </c>
      <c r="AB138" s="175">
        <f t="shared" si="71"/>
        <v>13159</v>
      </c>
      <c r="AC138" s="175">
        <f t="shared" si="71"/>
        <v>11503</v>
      </c>
      <c r="AD138" s="175">
        <f t="shared" si="71"/>
        <v>17518</v>
      </c>
      <c r="AE138" s="175">
        <f t="shared" si="71"/>
        <v>15611</v>
      </c>
      <c r="AF138" s="175">
        <f t="shared" si="71"/>
        <v>25856</v>
      </c>
      <c r="AG138" s="175">
        <f t="shared" si="73"/>
        <v>24084</v>
      </c>
      <c r="AH138" s="175">
        <f t="shared" si="73"/>
        <v>24018</v>
      </c>
      <c r="AI138" s="214">
        <f t="shared" si="73"/>
        <v>21264</v>
      </c>
      <c r="AJ138" s="1078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388">
        <f t="shared" si="77"/>
        <v>2818.6789216962998</v>
      </c>
      <c r="AX138" s="388"/>
      <c r="AY138" s="19"/>
      <c r="AZ138" s="19"/>
      <c r="BA138" s="19"/>
      <c r="BB138" s="699">
        <f t="shared" si="74"/>
        <v>21842.399999999998</v>
      </c>
      <c r="BC138" s="1118">
        <f t="shared" si="74"/>
        <v>20911.171175362408</v>
      </c>
      <c r="BD138" s="634">
        <f t="shared" si="74"/>
        <v>20911.171175362408</v>
      </c>
      <c r="BE138" s="93">
        <f t="shared" si="74"/>
        <v>30184.285044535602</v>
      </c>
      <c r="BF138" s="94">
        <f t="shared" si="74"/>
        <v>30402.739680878618</v>
      </c>
      <c r="BG138" s="94">
        <f t="shared" si="74"/>
        <v>30548.376105107294</v>
      </c>
      <c r="BH138" s="94">
        <f t="shared" si="74"/>
        <v>30694.012529335971</v>
      </c>
      <c r="BI138" s="635">
        <f t="shared" si="74"/>
        <v>30766.830741450311</v>
      </c>
      <c r="BJ138" s="746">
        <f t="shared" si="78"/>
        <v>2810.5410327755412</v>
      </c>
      <c r="BK138" s="991">
        <f t="shared" si="79"/>
        <v>58375555.510384932</v>
      </c>
      <c r="BL138" s="992">
        <f t="shared" si="75"/>
        <v>56439431.187919118</v>
      </c>
      <c r="BM138" s="524">
        <f t="shared" si="75"/>
        <v>56439431.187919118</v>
      </c>
      <c r="BN138" s="416">
        <f t="shared" si="75"/>
        <v>85079808.021505356</v>
      </c>
      <c r="BO138" s="97">
        <f t="shared" si="75"/>
        <v>85533586.1154138</v>
      </c>
      <c r="BP138" s="97">
        <f t="shared" si="75"/>
        <v>85836104.844686106</v>
      </c>
      <c r="BQ138" s="97">
        <f t="shared" si="75"/>
        <v>86138623.573958412</v>
      </c>
      <c r="BR138" s="98">
        <f t="shared" si="75"/>
        <v>86289882.938594565</v>
      </c>
    </row>
    <row r="139" spans="1:71" x14ac:dyDescent="0.25">
      <c r="A139" s="81" t="s">
        <v>81</v>
      </c>
      <c r="B139" s="171"/>
      <c r="C139" s="82" t="s">
        <v>270</v>
      </c>
      <c r="D139" s="172">
        <f t="shared" si="76"/>
        <v>6934720</v>
      </c>
      <c r="E139" s="173">
        <f t="shared" si="71"/>
        <v>9985809</v>
      </c>
      <c r="F139" s="173">
        <f t="shared" si="71"/>
        <v>10414561</v>
      </c>
      <c r="G139" s="173">
        <f t="shared" si="71"/>
        <v>8510444.5114625636</v>
      </c>
      <c r="H139" s="173">
        <f t="shared" si="71"/>
        <v>12634430.493708391</v>
      </c>
      <c r="I139" s="173">
        <f t="shared" si="71"/>
        <v>19984618.061632831</v>
      </c>
      <c r="J139" s="173">
        <f t="shared" si="71"/>
        <v>25725096.993365247</v>
      </c>
      <c r="K139" s="173">
        <f t="shared" si="71"/>
        <v>25508900.492317818</v>
      </c>
      <c r="L139" s="173">
        <f t="shared" si="71"/>
        <v>44372189.279239692</v>
      </c>
      <c r="M139" s="173">
        <f t="shared" si="72"/>
        <v>43034386.527363405</v>
      </c>
      <c r="N139" s="173">
        <f t="shared" si="72"/>
        <v>38619071.937047288</v>
      </c>
      <c r="O139" s="580">
        <f t="shared" si="71"/>
        <v>9330362.8459282331</v>
      </c>
      <c r="P139" s="576">
        <f t="shared" si="71"/>
        <v>13235500.038051035</v>
      </c>
      <c r="Q139" s="576">
        <f t="shared" si="71"/>
        <v>13663963.892132504</v>
      </c>
      <c r="R139" s="576">
        <f t="shared" si="71"/>
        <v>10953935.67903278</v>
      </c>
      <c r="S139" s="576">
        <f t="shared" si="71"/>
        <v>15930990.914892979</v>
      </c>
      <c r="T139" s="576">
        <f t="shared" si="71"/>
        <v>24803874.62262461</v>
      </c>
      <c r="U139" s="576">
        <f t="shared" si="71"/>
        <v>32040298.930357501</v>
      </c>
      <c r="V139" s="576">
        <f t="shared" si="71"/>
        <v>30594324.018385038</v>
      </c>
      <c r="W139" s="576">
        <f t="shared" si="71"/>
        <v>50137345.097611107</v>
      </c>
      <c r="X139" s="680">
        <f t="shared" si="71"/>
        <v>45765388.550195061</v>
      </c>
      <c r="Y139" s="680">
        <f t="shared" si="71"/>
        <v>39359539.798230924</v>
      </c>
      <c r="Z139" s="174">
        <f t="shared" si="71"/>
        <v>167</v>
      </c>
      <c r="AA139" s="175">
        <f t="shared" si="71"/>
        <v>312</v>
      </c>
      <c r="AB139" s="175">
        <f t="shared" si="71"/>
        <v>119</v>
      </c>
      <c r="AC139" s="175">
        <f t="shared" si="71"/>
        <v>220.89299999999997</v>
      </c>
      <c r="AD139" s="175">
        <f t="shared" si="71"/>
        <v>327.75</v>
      </c>
      <c r="AE139" s="175">
        <f t="shared" si="71"/>
        <v>480.8269733690002</v>
      </c>
      <c r="AF139" s="175">
        <f t="shared" si="71"/>
        <v>504.15833340400008</v>
      </c>
      <c r="AG139" s="175">
        <f t="shared" si="73"/>
        <v>540.75549999999896</v>
      </c>
      <c r="AH139" s="175">
        <f t="shared" si="73"/>
        <v>656.63299164000023</v>
      </c>
      <c r="AI139" s="214">
        <f t="shared" si="73"/>
        <v>476.71415849066653</v>
      </c>
      <c r="AJ139" s="1078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388">
        <f t="shared" si="77"/>
        <v>57689.310383884134</v>
      </c>
      <c r="AX139" s="388"/>
      <c r="AY139" s="19"/>
      <c r="AZ139" s="19"/>
      <c r="BA139" s="19">
        <f>BN139/BE139</f>
        <v>57689.310383884134</v>
      </c>
      <c r="BB139" s="699">
        <f t="shared" si="74"/>
        <v>492.34471183239975</v>
      </c>
      <c r="BC139" s="1118">
        <f t="shared" si="74"/>
        <v>553.02877600199997</v>
      </c>
      <c r="BD139" s="634">
        <f t="shared" si="74"/>
        <v>551.02877600199997</v>
      </c>
      <c r="BE139" s="93">
        <f t="shared" si="74"/>
        <v>700.02877600199997</v>
      </c>
      <c r="BF139" s="94">
        <f t="shared" si="74"/>
        <v>730.02877600199986</v>
      </c>
      <c r="BG139" s="94">
        <f t="shared" si="74"/>
        <v>750.02877600200009</v>
      </c>
      <c r="BH139" s="94">
        <f t="shared" si="74"/>
        <v>770.02877600200009</v>
      </c>
      <c r="BI139" s="635">
        <f t="shared" si="74"/>
        <v>780.02877600199997</v>
      </c>
      <c r="BJ139" s="746">
        <f t="shared" si="78"/>
        <v>56912.19365276918</v>
      </c>
      <c r="BK139" s="991">
        <f t="shared" si="79"/>
        <v>30832640.739492904</v>
      </c>
      <c r="BL139" s="992">
        <f t="shared" si="75"/>
        <v>39016779.241243407</v>
      </c>
      <c r="BM139" s="524">
        <f t="shared" si="75"/>
        <v>35352648.118696213</v>
      </c>
      <c r="BN139" s="416">
        <f t="shared" si="75"/>
        <v>40384177.336429879</v>
      </c>
      <c r="BO139" s="97">
        <f t="shared" si="75"/>
        <v>41736372.596932232</v>
      </c>
      <c r="BP139" s="97">
        <f t="shared" si="75"/>
        <v>42638229.355826184</v>
      </c>
      <c r="BQ139" s="97">
        <f t="shared" si="75"/>
        <v>43540364.188055947</v>
      </c>
      <c r="BR139" s="98">
        <f t="shared" si="75"/>
        <v>43991527.374576665</v>
      </c>
    </row>
    <row r="140" spans="1:71" x14ac:dyDescent="0.25">
      <c r="A140" s="81" t="s">
        <v>94</v>
      </c>
      <c r="B140" s="171"/>
      <c r="C140" s="82" t="s">
        <v>412</v>
      </c>
      <c r="D140" s="172">
        <f t="shared" si="76"/>
        <v>1412498</v>
      </c>
      <c r="E140" s="173">
        <f t="shared" si="71"/>
        <v>2669699</v>
      </c>
      <c r="F140" s="173">
        <f t="shared" si="71"/>
        <v>2843677</v>
      </c>
      <c r="G140" s="173">
        <f t="shared" si="71"/>
        <v>2108213.5397750521</v>
      </c>
      <c r="H140" s="173">
        <f t="shared" si="71"/>
        <v>5027309.1802812489</v>
      </c>
      <c r="I140" s="173">
        <f t="shared" si="71"/>
        <v>2379889.029682721</v>
      </c>
      <c r="J140" s="173">
        <f t="shared" si="71"/>
        <v>8056546.7339933189</v>
      </c>
      <c r="K140" s="173">
        <f t="shared" si="71"/>
        <v>7959369.859099973</v>
      </c>
      <c r="L140" s="173">
        <f t="shared" si="71"/>
        <v>6116749.2154848799</v>
      </c>
      <c r="M140" s="173">
        <f t="shared" si="72"/>
        <v>4904960.1741560185</v>
      </c>
      <c r="N140" s="173">
        <f t="shared" si="72"/>
        <v>10595292.31292736</v>
      </c>
      <c r="O140" s="580">
        <f t="shared" si="71"/>
        <v>1900454.3599666513</v>
      </c>
      <c r="P140" s="576">
        <f t="shared" si="71"/>
        <v>3538501.6092421571</v>
      </c>
      <c r="Q140" s="576">
        <f t="shared" si="71"/>
        <v>3730920.5687006577</v>
      </c>
      <c r="R140" s="576">
        <f t="shared" si="71"/>
        <v>2713516.9592208811</v>
      </c>
      <c r="S140" s="576">
        <f t="shared" si="71"/>
        <v>6339028.6501082359</v>
      </c>
      <c r="T140" s="576">
        <f t="shared" si="71"/>
        <v>2953795.2101941211</v>
      </c>
      <c r="U140" s="576">
        <f t="shared" si="71"/>
        <v>10034332.067634834</v>
      </c>
      <c r="V140" s="576">
        <f t="shared" si="71"/>
        <v>9546140.2001551352</v>
      </c>
      <c r="W140" s="576">
        <f t="shared" si="71"/>
        <v>6911481.5219584368</v>
      </c>
      <c r="X140" s="680">
        <f t="shared" si="71"/>
        <v>5216233.4892528029</v>
      </c>
      <c r="Y140" s="680">
        <f t="shared" si="71"/>
        <v>10886646.739441728</v>
      </c>
      <c r="Z140" s="174">
        <f t="shared" si="71"/>
        <v>5</v>
      </c>
      <c r="AA140" s="175">
        <f t="shared" si="71"/>
        <v>9</v>
      </c>
      <c r="AB140" s="175">
        <f t="shared" si="71"/>
        <v>12</v>
      </c>
      <c r="AC140" s="175">
        <f t="shared" si="71"/>
        <v>8.086666666666666</v>
      </c>
      <c r="AD140" s="175">
        <f t="shared" si="71"/>
        <v>10.993333333333332</v>
      </c>
      <c r="AE140" s="175">
        <f t="shared" si="71"/>
        <v>9.3751234820000029</v>
      </c>
      <c r="AF140" s="175">
        <f t="shared" si="71"/>
        <v>9.5686666970000047</v>
      </c>
      <c r="AG140" s="175">
        <f t="shared" si="73"/>
        <v>17.420333333333311</v>
      </c>
      <c r="AH140" s="175">
        <f t="shared" si="73"/>
        <v>17.387333358000003</v>
      </c>
      <c r="AI140" s="214">
        <f t="shared" si="73"/>
        <v>7.5116667330000002</v>
      </c>
      <c r="AJ140" s="1078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388">
        <f t="shared" si="77"/>
        <v>368246.2640338373</v>
      </c>
      <c r="AX140" s="388"/>
      <c r="AY140" s="19"/>
      <c r="AZ140" s="19"/>
      <c r="BA140" s="19"/>
      <c r="BB140" s="699">
        <f t="shared" si="74"/>
        <v>10.867024912488883</v>
      </c>
      <c r="BC140" s="1118">
        <f t="shared" si="74"/>
        <v>19.380691549933331</v>
      </c>
      <c r="BD140" s="634">
        <f t="shared" si="74"/>
        <v>19.981691549933334</v>
      </c>
      <c r="BE140" s="93">
        <f t="shared" si="74"/>
        <v>19.980691549933333</v>
      </c>
      <c r="BF140" s="94">
        <f t="shared" si="74"/>
        <v>25.505691549933331</v>
      </c>
      <c r="BG140" s="94">
        <f t="shared" si="74"/>
        <v>20.980691549933333</v>
      </c>
      <c r="BH140" s="94">
        <f t="shared" si="74"/>
        <v>21.980691549933333</v>
      </c>
      <c r="BI140" s="635">
        <f t="shared" si="74"/>
        <v>28.681691549933333</v>
      </c>
      <c r="BJ140" s="746">
        <f t="shared" si="78"/>
        <v>331369.68104545644</v>
      </c>
      <c r="BK140" s="991">
        <f t="shared" si="79"/>
        <v>3626985.3466107119</v>
      </c>
      <c r="BL140" s="992">
        <f t="shared" si="75"/>
        <v>9519213.1752199419</v>
      </c>
      <c r="BM140" s="524">
        <f t="shared" si="75"/>
        <v>8886071.9068167005</v>
      </c>
      <c r="BN140" s="416">
        <f t="shared" si="75"/>
        <v>7357815.0160754118</v>
      </c>
      <c r="BO140" s="97">
        <f t="shared" si="75"/>
        <v>7309584.9108029716</v>
      </c>
      <c r="BP140" s="97">
        <f t="shared" si="75"/>
        <v>7467777.0775094079</v>
      </c>
      <c r="BQ140" s="97">
        <f t="shared" si="75"/>
        <v>7972162.967032427</v>
      </c>
      <c r="BR140" s="98">
        <f t="shared" si="75"/>
        <v>8705811.0841140877</v>
      </c>
    </row>
    <row r="141" spans="1:71" x14ac:dyDescent="0.25">
      <c r="A141" s="81" t="s">
        <v>106</v>
      </c>
      <c r="B141" s="171"/>
      <c r="C141" s="82" t="s">
        <v>272</v>
      </c>
      <c r="D141" s="172">
        <f t="shared" si="76"/>
        <v>4146752</v>
      </c>
      <c r="E141" s="173">
        <f t="shared" si="71"/>
        <v>8408243</v>
      </c>
      <c r="F141" s="173">
        <f t="shared" si="71"/>
        <v>6340596</v>
      </c>
      <c r="G141" s="173">
        <f t="shared" si="71"/>
        <v>5329626.9800492655</v>
      </c>
      <c r="H141" s="173">
        <f t="shared" si="71"/>
        <v>5373901.7469884073</v>
      </c>
      <c r="I141" s="173">
        <f t="shared" si="71"/>
        <v>7169379.041949396</v>
      </c>
      <c r="J141" s="173">
        <f t="shared" si="71"/>
        <v>10976147.460494608</v>
      </c>
      <c r="K141" s="173">
        <f t="shared" si="71"/>
        <v>8732459.3557683397</v>
      </c>
      <c r="L141" s="173">
        <f t="shared" si="71"/>
        <v>14365479.53456215</v>
      </c>
      <c r="M141" s="173">
        <f t="shared" si="72"/>
        <v>29008429.56946288</v>
      </c>
      <c r="N141" s="173">
        <f t="shared" si="72"/>
        <v>33589114.92281992</v>
      </c>
      <c r="O141" s="580">
        <f t="shared" si="71"/>
        <v>5579273.6825825097</v>
      </c>
      <c r="P141" s="576">
        <f t="shared" si="71"/>
        <v>11144545.278849451</v>
      </c>
      <c r="Q141" s="576">
        <f t="shared" si="71"/>
        <v>8318898.3960629534</v>
      </c>
      <c r="R141" s="576">
        <f t="shared" si="71"/>
        <v>6859852.1562611535</v>
      </c>
      <c r="S141" s="576">
        <f t="shared" si="71"/>
        <v>6776053.732808304</v>
      </c>
      <c r="T141" s="576">
        <f t="shared" si="71"/>
        <v>8898262.5702507924</v>
      </c>
      <c r="U141" s="576">
        <f t="shared" si="71"/>
        <v>13670659.660822</v>
      </c>
      <c r="V141" s="576">
        <f t="shared" si="71"/>
        <v>10473351.883128501</v>
      </c>
      <c r="W141" s="576">
        <f t="shared" si="71"/>
        <v>16231946.55518141</v>
      </c>
      <c r="X141" s="680">
        <f t="shared" si="71"/>
        <v>30849331.374418311</v>
      </c>
      <c r="Y141" s="680">
        <f t="shared" si="71"/>
        <v>34512764.504768968</v>
      </c>
      <c r="Z141" s="174">
        <f t="shared" si="71"/>
        <v>5614</v>
      </c>
      <c r="AA141" s="175">
        <f t="shared" si="71"/>
        <v>10916</v>
      </c>
      <c r="AB141" s="175">
        <f t="shared" si="71"/>
        <v>6160</v>
      </c>
      <c r="AC141" s="175">
        <f t="shared" si="71"/>
        <v>5522.46</v>
      </c>
      <c r="AD141" s="175">
        <f t="shared" si="71"/>
        <v>7067.5583333333334</v>
      </c>
      <c r="AE141" s="175">
        <f t="shared" si="71"/>
        <v>9771.449771354999</v>
      </c>
      <c r="AF141" s="175">
        <f t="shared" si="71"/>
        <v>13949.404546907994</v>
      </c>
      <c r="AG141" s="175">
        <f t="shared" si="73"/>
        <v>1242.4621907900189</v>
      </c>
      <c r="AH141" s="175">
        <f t="shared" si="73"/>
        <v>13752.624848082978</v>
      </c>
      <c r="AI141" s="214">
        <f t="shared" si="73"/>
        <v>19671.469987090994</v>
      </c>
      <c r="AJ141" s="1078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388">
        <f t="shared" si="77"/>
        <v>1337.1565383846241</v>
      </c>
      <c r="AX141" s="388"/>
      <c r="AY141" s="19"/>
      <c r="AZ141" s="19"/>
      <c r="BA141" s="19"/>
      <c r="BB141" s="699">
        <f t="shared" si="74"/>
        <v>17338.357464185465</v>
      </c>
      <c r="BC141" s="689">
        <f t="shared" si="74"/>
        <v>17508.467067597943</v>
      </c>
      <c r="BD141" s="521">
        <f t="shared" si="74"/>
        <v>17508.467067597943</v>
      </c>
      <c r="BE141" s="421">
        <f t="shared" si="74"/>
        <v>18073.445093230996</v>
      </c>
      <c r="BF141" s="96">
        <f t="shared" si="74"/>
        <v>18191.246298465947</v>
      </c>
      <c r="BG141" s="96">
        <f t="shared" si="74"/>
        <v>18269.780435289242</v>
      </c>
      <c r="BH141" s="96">
        <f t="shared" si="74"/>
        <v>18348.314572112544</v>
      </c>
      <c r="BI141" s="286">
        <f t="shared" si="74"/>
        <v>18387.581640524189</v>
      </c>
      <c r="BJ141" s="746">
        <f t="shared" si="78"/>
        <v>1339.2666347282993</v>
      </c>
      <c r="BK141" s="991">
        <f t="shared" si="79"/>
        <v>23124005.076242168</v>
      </c>
      <c r="BL141" s="992">
        <f t="shared" si="75"/>
        <v>23291083.333353411</v>
      </c>
      <c r="BM141" s="524">
        <f t="shared" si="75"/>
        <v>23291083.333353411</v>
      </c>
      <c r="BN141" s="416">
        <f t="shared" si="75"/>
        <v>24167025.277549326</v>
      </c>
      <c r="BO141" s="97">
        <f t="shared" si="75"/>
        <v>24349664.268909216</v>
      </c>
      <c r="BP141" s="97">
        <f t="shared" si="75"/>
        <v>24471423.596482471</v>
      </c>
      <c r="BQ141" s="97">
        <f t="shared" si="75"/>
        <v>24593182.924055733</v>
      </c>
      <c r="BR141" s="98">
        <f t="shared" si="75"/>
        <v>24654062.58784236</v>
      </c>
    </row>
    <row r="142" spans="1:71" x14ac:dyDescent="0.25">
      <c r="A142" s="81" t="s">
        <v>138</v>
      </c>
      <c r="B142" s="171"/>
      <c r="C142" s="82" t="s">
        <v>413</v>
      </c>
      <c r="D142" s="172">
        <f t="shared" si="76"/>
        <v>24642938</v>
      </c>
      <c r="E142" s="173">
        <f t="shared" si="71"/>
        <v>42421971</v>
      </c>
      <c r="F142" s="173">
        <f t="shared" si="71"/>
        <v>37104572</v>
      </c>
      <c r="G142" s="173">
        <f t="shared" si="71"/>
        <v>37889559.919187427</v>
      </c>
      <c r="H142" s="173">
        <f t="shared" si="71"/>
        <v>37931210</v>
      </c>
      <c r="I142" s="173">
        <f t="shared" si="71"/>
        <v>49268551.488051273</v>
      </c>
      <c r="J142" s="173">
        <f t="shared" si="71"/>
        <v>65736324.654129915</v>
      </c>
      <c r="K142" s="173">
        <f t="shared" si="71"/>
        <v>51304288.495466486</v>
      </c>
      <c r="L142" s="173">
        <f t="shared" si="71"/>
        <v>59088553.951445639</v>
      </c>
      <c r="M142" s="173">
        <f t="shared" si="72"/>
        <v>60092439.413900979</v>
      </c>
      <c r="N142" s="173">
        <f t="shared" si="72"/>
        <v>64972653.530708782</v>
      </c>
      <c r="O142" s="580">
        <f t="shared" si="71"/>
        <v>33155996.655915879</v>
      </c>
      <c r="P142" s="576">
        <f t="shared" si="71"/>
        <v>56227392.170699447</v>
      </c>
      <c r="Q142" s="576">
        <f t="shared" si="71"/>
        <v>48681411.731231943</v>
      </c>
      <c r="R142" s="576">
        <f t="shared" si="71"/>
        <v>48768287.214919046</v>
      </c>
      <c r="S142" s="576">
        <f t="shared" si="71"/>
        <v>47828175.729947925</v>
      </c>
      <c r="T142" s="576">
        <f t="shared" si="71"/>
        <v>61149578.649896011</v>
      </c>
      <c r="U142" s="576">
        <f t="shared" si="71"/>
        <v>81873801.799253255</v>
      </c>
      <c r="V142" s="576">
        <f t="shared" si="71"/>
        <v>61532249.35099446</v>
      </c>
      <c r="W142" s="576">
        <f t="shared" si="71"/>
        <v>66765766.325812548</v>
      </c>
      <c r="X142" s="680">
        <f t="shared" si="71"/>
        <v>63905961.270240247</v>
      </c>
      <c r="Y142" s="680">
        <f t="shared" si="71"/>
        <v>66759302.699930824</v>
      </c>
      <c r="Z142" s="174">
        <f t="shared" si="71"/>
        <v>1221</v>
      </c>
      <c r="AA142" s="175">
        <f t="shared" si="71"/>
        <v>1752</v>
      </c>
      <c r="AB142" s="175">
        <f t="shared" si="71"/>
        <v>1509</v>
      </c>
      <c r="AC142" s="175">
        <f t="shared" si="71"/>
        <v>1211</v>
      </c>
      <c r="AD142" s="175">
        <f t="shared" si="71"/>
        <v>1499</v>
      </c>
      <c r="AE142" s="175">
        <f t="shared" si="71"/>
        <v>1747</v>
      </c>
      <c r="AF142" s="175">
        <f t="shared" si="71"/>
        <v>2261</v>
      </c>
      <c r="AG142" s="175">
        <f t="shared" si="73"/>
        <v>2140</v>
      </c>
      <c r="AH142" s="175">
        <f t="shared" si="73"/>
        <v>2000</v>
      </c>
      <c r="AI142" s="214">
        <f t="shared" si="73"/>
        <v>1462</v>
      </c>
      <c r="AJ142" s="1078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388">
        <f t="shared" si="77"/>
        <v>39634.454547411216</v>
      </c>
      <c r="AX142" s="388"/>
      <c r="AY142" s="19"/>
      <c r="AZ142" s="19"/>
      <c r="BA142" s="19"/>
      <c r="BB142" s="699">
        <f t="shared" si="74"/>
        <v>1757.4666666666669</v>
      </c>
      <c r="BC142" s="689">
        <f t="shared" si="74"/>
        <v>1634.9170821211947</v>
      </c>
      <c r="BD142" s="521">
        <f t="shared" si="74"/>
        <v>1636.9170821211947</v>
      </c>
      <c r="BE142" s="421">
        <f t="shared" si="74"/>
        <v>942.30424477936936</v>
      </c>
      <c r="BF142" s="96">
        <f t="shared" si="74"/>
        <v>949.55876292157745</v>
      </c>
      <c r="BG142" s="96">
        <f t="shared" si="74"/>
        <v>962.72844168304937</v>
      </c>
      <c r="BH142" s="96">
        <f t="shared" si="74"/>
        <v>958.89812044452151</v>
      </c>
      <c r="BI142" s="286">
        <f t="shared" si="74"/>
        <v>965.98295982525747</v>
      </c>
      <c r="BJ142" s="746">
        <f t="shared" si="78"/>
        <v>46238.232430972916</v>
      </c>
      <c r="BK142" s="991">
        <f t="shared" si="79"/>
        <v>56735027.888776906</v>
      </c>
      <c r="BL142" s="992">
        <f t="shared" si="75"/>
        <v>62827574.354486652</v>
      </c>
      <c r="BM142" s="524">
        <f t="shared" si="75"/>
        <v>57191845.19751101</v>
      </c>
      <c r="BN142" s="416">
        <f t="shared" si="75"/>
        <v>37347714.759540565</v>
      </c>
      <c r="BO142" s="97">
        <f t="shared" si="75"/>
        <v>40155813.744226672</v>
      </c>
      <c r="BP142" s="97">
        <f t="shared" si="75"/>
        <v>42355706.022203684</v>
      </c>
      <c r="BQ142" s="97">
        <f t="shared" si="75"/>
        <v>48237322.683329366</v>
      </c>
      <c r="BR142" s="98">
        <f t="shared" si="75"/>
        <v>52897804.514281102</v>
      </c>
    </row>
    <row r="143" spans="1:71" x14ac:dyDescent="0.25">
      <c r="A143" s="81" t="s">
        <v>196</v>
      </c>
      <c r="B143" s="171"/>
      <c r="C143" s="82" t="s">
        <v>274</v>
      </c>
      <c r="D143" s="172">
        <f t="shared" si="76"/>
        <v>14131679</v>
      </c>
      <c r="E143" s="173">
        <f t="shared" si="71"/>
        <v>23088912</v>
      </c>
      <c r="F143" s="173">
        <f t="shared" si="71"/>
        <v>20859738</v>
      </c>
      <c r="G143" s="173">
        <f t="shared" si="71"/>
        <v>19624573.865534991</v>
      </c>
      <c r="H143" s="173">
        <f t="shared" si="71"/>
        <v>25161373.955975525</v>
      </c>
      <c r="I143" s="173">
        <f t="shared" si="71"/>
        <v>34666067.076448224</v>
      </c>
      <c r="J143" s="173">
        <f t="shared" si="71"/>
        <v>47462259.052836105</v>
      </c>
      <c r="K143" s="173">
        <f t="shared" si="71"/>
        <v>52520605.498206444</v>
      </c>
      <c r="L143" s="173">
        <f t="shared" si="71"/>
        <v>49835298.063523948</v>
      </c>
      <c r="M143" s="173">
        <f t="shared" si="72"/>
        <v>58099662.579771347</v>
      </c>
      <c r="N143" s="173">
        <f t="shared" si="72"/>
        <v>60891343.010304548</v>
      </c>
      <c r="O143" s="580">
        <f t="shared" si="71"/>
        <v>19013556.811548881</v>
      </c>
      <c r="P143" s="576">
        <f t="shared" si="71"/>
        <v>30602757.939247288</v>
      </c>
      <c r="Q143" s="576">
        <f t="shared" si="71"/>
        <v>27368096.152237654</v>
      </c>
      <c r="R143" s="576">
        <f t="shared" si="71"/>
        <v>25259117.730215352</v>
      </c>
      <c r="S143" s="576">
        <f t="shared" si="71"/>
        <v>31726449.411271937</v>
      </c>
      <c r="T143" s="576">
        <f t="shared" si="71"/>
        <v>43025730.027560167</v>
      </c>
      <c r="U143" s="576">
        <f t="shared" si="71"/>
        <v>59113672.860208832</v>
      </c>
      <c r="V143" s="576">
        <f t="shared" si="71"/>
        <v>62991049.839165397</v>
      </c>
      <c r="W143" s="576">
        <f t="shared" si="71"/>
        <v>56310260.495130196</v>
      </c>
      <c r="X143" s="680">
        <f t="shared" si="71"/>
        <v>61786720.972721867</v>
      </c>
      <c r="Y143" s="680">
        <f t="shared" si="71"/>
        <v>62565762.346598938</v>
      </c>
      <c r="Z143" s="174">
        <f t="shared" si="71"/>
        <v>1713</v>
      </c>
      <c r="AA143" s="175">
        <f t="shared" si="71"/>
        <v>2405</v>
      </c>
      <c r="AB143" s="175">
        <f t="shared" si="71"/>
        <v>2459</v>
      </c>
      <c r="AC143" s="175">
        <f t="shared" si="71"/>
        <v>2598</v>
      </c>
      <c r="AD143" s="175">
        <f t="shared" si="71"/>
        <v>3369</v>
      </c>
      <c r="AE143" s="175">
        <f t="shared" si="71"/>
        <v>73303</v>
      </c>
      <c r="AF143" s="175">
        <f t="shared" si="71"/>
        <v>4927</v>
      </c>
      <c r="AG143" s="175">
        <f t="shared" si="73"/>
        <v>4869</v>
      </c>
      <c r="AH143" s="175">
        <f t="shared" si="73"/>
        <v>4809</v>
      </c>
      <c r="AI143" s="214">
        <f t="shared" si="73"/>
        <v>4486</v>
      </c>
      <c r="AJ143" s="1078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388">
        <f t="shared" si="77"/>
        <v>15701.705262253387</v>
      </c>
      <c r="AX143" s="388"/>
      <c r="AY143" s="19"/>
      <c r="AZ143" s="19"/>
      <c r="BA143" s="19"/>
      <c r="BB143" s="699">
        <f t="shared" si="74"/>
        <v>4427.5333333333338</v>
      </c>
      <c r="BC143" s="689">
        <f t="shared" si="74"/>
        <v>4054.5425304371051</v>
      </c>
      <c r="BD143" s="521">
        <f t="shared" si="74"/>
        <v>4099.5425304371056</v>
      </c>
      <c r="BE143" s="421">
        <f>SUMIF($A$7:$A$132,$A143,BE$7:BE$132)</f>
        <v>2461.4294375386917</v>
      </c>
      <c r="BF143" s="96">
        <f t="shared" si="74"/>
        <v>2546.60312430251</v>
      </c>
      <c r="BG143" s="96">
        <f t="shared" si="74"/>
        <v>2533.3855821450552</v>
      </c>
      <c r="BH143" s="96">
        <f t="shared" si="74"/>
        <v>2562.1680399876009</v>
      </c>
      <c r="BI143" s="286">
        <f t="shared" si="74"/>
        <v>2548.5592689088735</v>
      </c>
      <c r="BJ143" s="746">
        <f>SUM(BN97:BR101)/SUM(BE97:BI101)</f>
        <v>15382.74982571311</v>
      </c>
      <c r="BK143" s="991">
        <f t="shared" si="79"/>
        <v>56076338.952992283</v>
      </c>
      <c r="BL143" s="992">
        <f t="shared" si="75"/>
        <v>64101446.688334376</v>
      </c>
      <c r="BM143" s="524">
        <f t="shared" si="75"/>
        <v>60504651.746971063</v>
      </c>
      <c r="BN143" s="416">
        <f t="shared" si="75"/>
        <v>38648639.552066669</v>
      </c>
      <c r="BO143" s="97">
        <f t="shared" si="75"/>
        <v>38454459.660368912</v>
      </c>
      <c r="BP143" s="97">
        <f t="shared" si="75"/>
        <v>40004864.097664408</v>
      </c>
      <c r="BQ143" s="97">
        <f t="shared" si="75"/>
        <v>38355315.336933836</v>
      </c>
      <c r="BR143" s="98">
        <f t="shared" si="75"/>
        <v>40053461.175279297</v>
      </c>
    </row>
    <row r="144" spans="1:71" x14ac:dyDescent="0.25">
      <c r="A144" s="81" t="s">
        <v>224</v>
      </c>
      <c r="B144" s="171"/>
      <c r="C144" s="82" t="s">
        <v>414</v>
      </c>
      <c r="D144" s="172">
        <f t="shared" si="76"/>
        <v>3260512</v>
      </c>
      <c r="E144" s="173">
        <f t="shared" si="71"/>
        <v>4086266.9999999995</v>
      </c>
      <c r="F144" s="173">
        <f t="shared" si="71"/>
        <v>4192455</v>
      </c>
      <c r="G144" s="173">
        <f t="shared" si="71"/>
        <v>4410554.0450659376</v>
      </c>
      <c r="H144" s="173">
        <f t="shared" si="71"/>
        <v>3413421</v>
      </c>
      <c r="I144" s="173">
        <f t="shared" si="71"/>
        <v>4374566.5057304045</v>
      </c>
      <c r="J144" s="173">
        <f t="shared" si="71"/>
        <v>6890744.8346753484</v>
      </c>
      <c r="K144" s="173">
        <f t="shared" si="71"/>
        <v>4070512.7243555477</v>
      </c>
      <c r="L144" s="173">
        <f t="shared" si="71"/>
        <v>3889023.0948522822</v>
      </c>
      <c r="M144" s="173">
        <f t="shared" si="72"/>
        <v>5373580.8889604211</v>
      </c>
      <c r="N144" s="173">
        <f t="shared" si="72"/>
        <v>620947.42080519698</v>
      </c>
      <c r="O144" s="580">
        <f t="shared" si="71"/>
        <v>4386876.474248874</v>
      </c>
      <c r="P144" s="576">
        <f t="shared" si="71"/>
        <v>5416064.6407303307</v>
      </c>
      <c r="Q144" s="576">
        <f t="shared" si="71"/>
        <v>5500525.0571186226</v>
      </c>
      <c r="R144" s="576">
        <f t="shared" si="71"/>
        <v>5676897.9873469956</v>
      </c>
      <c r="S144" s="576">
        <f t="shared" si="71"/>
        <v>4304046.7052934654</v>
      </c>
      <c r="T144" s="576">
        <f t="shared" si="71"/>
        <v>5429485.7575879339</v>
      </c>
      <c r="U144" s="576">
        <f t="shared" si="71"/>
        <v>8582339.822188301</v>
      </c>
      <c r="V144" s="576">
        <f t="shared" si="71"/>
        <v>4882005.2141172187</v>
      </c>
      <c r="W144" s="576">
        <f t="shared" si="71"/>
        <v>4394313.108422976</v>
      </c>
      <c r="X144" s="680">
        <f t="shared" si="71"/>
        <v>5714593.3086046334</v>
      </c>
      <c r="Y144" s="680">
        <f t="shared" si="71"/>
        <v>6007758.0485386178</v>
      </c>
      <c r="Z144" s="174">
        <f t="shared" si="71"/>
        <v>2616</v>
      </c>
      <c r="AA144" s="175">
        <f t="shared" si="71"/>
        <v>3025</v>
      </c>
      <c r="AB144" s="175">
        <f t="shared" si="71"/>
        <v>2428</v>
      </c>
      <c r="AC144" s="175">
        <f t="shared" si="71"/>
        <v>2866</v>
      </c>
      <c r="AD144" s="175">
        <f t="shared" si="71"/>
        <v>2578</v>
      </c>
      <c r="AE144" s="175">
        <f t="shared" si="71"/>
        <v>2687</v>
      </c>
      <c r="AF144" s="175">
        <f t="shared" si="71"/>
        <v>5294</v>
      </c>
      <c r="AG144" s="175">
        <f t="shared" si="73"/>
        <v>3458</v>
      </c>
      <c r="AH144" s="175">
        <f t="shared" si="73"/>
        <v>2346</v>
      </c>
      <c r="AI144" s="214">
        <f t="shared" si="73"/>
        <v>2518</v>
      </c>
      <c r="AJ144" s="1078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388" t="e">
        <f t="shared" si="77"/>
        <v>#DIV/0!</v>
      </c>
      <c r="AX144" s="388"/>
      <c r="AY144" s="19"/>
      <c r="AZ144" s="19"/>
      <c r="BA144" s="19"/>
      <c r="BB144" s="699">
        <f t="shared" si="74"/>
        <v>0</v>
      </c>
      <c r="BC144" s="689">
        <f t="shared" si="74"/>
        <v>0</v>
      </c>
      <c r="BD144" s="521">
        <f t="shared" si="74"/>
        <v>0</v>
      </c>
      <c r="BE144" s="421">
        <f t="shared" si="74"/>
        <v>0</v>
      </c>
      <c r="BF144" s="96">
        <f t="shared" si="74"/>
        <v>0</v>
      </c>
      <c r="BG144" s="96">
        <f>SUMIF($A$7:$A$132,$A144,BG$7:BG$132)</f>
        <v>0</v>
      </c>
      <c r="BH144" s="96">
        <f t="shared" si="74"/>
        <v>0</v>
      </c>
      <c r="BI144" s="286">
        <f t="shared" si="74"/>
        <v>0</v>
      </c>
      <c r="BJ144" s="99">
        <f t="shared" ref="BJ144:BJ146" si="80">IFERROR(BR144/BI144,0)</f>
        <v>0</v>
      </c>
      <c r="BK144" s="991">
        <f t="shared" si="79"/>
        <v>0</v>
      </c>
      <c r="BL144" s="992">
        <f t="shared" si="75"/>
        <v>0</v>
      </c>
      <c r="BM144" s="524">
        <f t="shared" si="75"/>
        <v>0</v>
      </c>
      <c r="BN144" s="416">
        <f t="shared" si="75"/>
        <v>0</v>
      </c>
      <c r="BO144" s="97">
        <f t="shared" si="75"/>
        <v>0</v>
      </c>
      <c r="BP144" s="97">
        <f t="shared" si="75"/>
        <v>0</v>
      </c>
      <c r="BQ144" s="97">
        <f t="shared" si="75"/>
        <v>0</v>
      </c>
      <c r="BR144" s="98">
        <f t="shared" si="75"/>
        <v>0</v>
      </c>
    </row>
    <row r="145" spans="1:71" x14ac:dyDescent="0.25">
      <c r="A145" s="81" t="s">
        <v>242</v>
      </c>
      <c r="B145" s="171"/>
      <c r="C145" s="82" t="s">
        <v>415</v>
      </c>
      <c r="D145" s="172">
        <f t="shared" si="76"/>
        <v>5089</v>
      </c>
      <c r="E145" s="173">
        <f t="shared" si="71"/>
        <v>0</v>
      </c>
      <c r="F145" s="173">
        <f t="shared" si="71"/>
        <v>651258</v>
      </c>
      <c r="G145" s="173">
        <f t="shared" si="71"/>
        <v>617026.66915010102</v>
      </c>
      <c r="H145" s="173">
        <f t="shared" si="71"/>
        <v>20358</v>
      </c>
      <c r="I145" s="173">
        <f t="shared" si="71"/>
        <v>112730.04323198114</v>
      </c>
      <c r="J145" s="173">
        <f t="shared" si="71"/>
        <v>69084.392102603015</v>
      </c>
      <c r="K145" s="173">
        <f t="shared" si="71"/>
        <v>427714.70023235702</v>
      </c>
      <c r="L145" s="173">
        <f t="shared" si="71"/>
        <v>5806549.5256795026</v>
      </c>
      <c r="M145" s="173">
        <f t="shared" si="72"/>
        <v>1871992.2575244261</v>
      </c>
      <c r="N145" s="173">
        <f t="shared" si="72"/>
        <v>4901.07</v>
      </c>
      <c r="O145" s="580">
        <f t="shared" si="71"/>
        <v>6847.0272084422686</v>
      </c>
      <c r="P145" s="576">
        <f t="shared" si="71"/>
        <v>0</v>
      </c>
      <c r="Q145" s="576">
        <f t="shared" si="71"/>
        <v>854454.23925813381</v>
      </c>
      <c r="R145" s="576">
        <f t="shared" si="71"/>
        <v>794185.36094262125</v>
      </c>
      <c r="S145" s="576">
        <f t="shared" si="71"/>
        <v>25669.784895084544</v>
      </c>
      <c r="T145" s="576">
        <f t="shared" si="71"/>
        <v>139914.70089174452</v>
      </c>
      <c r="U145" s="576">
        <f t="shared" si="71"/>
        <v>86043.779541834534</v>
      </c>
      <c r="V145" s="576">
        <f t="shared" si="71"/>
        <v>512983.38516299392</v>
      </c>
      <c r="W145" s="576">
        <f t="shared" si="71"/>
        <v>6560978.4444774091</v>
      </c>
      <c r="X145" s="680">
        <f t="shared" si="71"/>
        <v>1990790.619824158</v>
      </c>
      <c r="Y145" s="680">
        <f t="shared" si="71"/>
        <v>5035.8419720214342</v>
      </c>
      <c r="Z145" s="174">
        <f t="shared" si="71"/>
        <v>468</v>
      </c>
      <c r="AA145" s="175">
        <f t="shared" si="71"/>
        <v>0</v>
      </c>
      <c r="AB145" s="175">
        <f t="shared" si="71"/>
        <v>1</v>
      </c>
      <c r="AC145" s="175">
        <f t="shared" ref="AC145:AF145" si="81">SUMIF($A$7:$A$132,$A145,AC$7:AC$132)</f>
        <v>6</v>
      </c>
      <c r="AD145" s="175">
        <f t="shared" si="81"/>
        <v>2</v>
      </c>
      <c r="AE145" s="175">
        <f t="shared" si="81"/>
        <v>4000</v>
      </c>
      <c r="AF145" s="175">
        <f t="shared" si="81"/>
        <v>11893</v>
      </c>
      <c r="AG145" s="175">
        <f t="shared" si="73"/>
        <v>1.536</v>
      </c>
      <c r="AH145" s="175">
        <f t="shared" si="73"/>
        <v>2932</v>
      </c>
      <c r="AI145" s="214">
        <f t="shared" si="73"/>
        <v>534</v>
      </c>
      <c r="AJ145" s="1078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388">
        <f t="shared" si="77"/>
        <v>109379.39084316368</v>
      </c>
      <c r="AX145" s="388"/>
      <c r="AY145" s="19"/>
      <c r="AZ145" s="19"/>
      <c r="BA145" s="19"/>
      <c r="BB145" s="699">
        <f t="shared" si="74"/>
        <v>0</v>
      </c>
      <c r="BC145" s="689">
        <f t="shared" si="74"/>
        <v>52</v>
      </c>
      <c r="BD145" s="521">
        <f t="shared" si="74"/>
        <v>102</v>
      </c>
      <c r="BE145" s="421">
        <f t="shared" si="74"/>
        <v>272.2</v>
      </c>
      <c r="BF145" s="96">
        <f t="shared" si="74"/>
        <v>503.2</v>
      </c>
      <c r="BG145" s="96">
        <f t="shared" si="74"/>
        <v>432</v>
      </c>
      <c r="BH145" s="96">
        <f t="shared" si="74"/>
        <v>384.2</v>
      </c>
      <c r="BI145" s="286">
        <f>SUMIF($A$7:$A$132,$A145,BI$7:BI$132)</f>
        <v>415</v>
      </c>
      <c r="BJ145" s="99">
        <f t="shared" si="80"/>
        <v>107567.667287826</v>
      </c>
      <c r="BK145" s="991">
        <f t="shared" si="79"/>
        <v>8802869.3680050261</v>
      </c>
      <c r="BL145" s="992">
        <f t="shared" si="75"/>
        <v>35311200.149959609</v>
      </c>
      <c r="BM145" s="524">
        <f t="shared" si="75"/>
        <v>33585612.422426365</v>
      </c>
      <c r="BN145" s="416">
        <f t="shared" si="75"/>
        <v>29773070.187509153</v>
      </c>
      <c r="BO145" s="97">
        <f t="shared" si="75"/>
        <v>31184232.093528695</v>
      </c>
      <c r="BP145" s="97">
        <f t="shared" si="75"/>
        <v>39333761.036561541</v>
      </c>
      <c r="BQ145" s="97">
        <f t="shared" si="75"/>
        <v>42394543.069678657</v>
      </c>
      <c r="BR145" s="98">
        <f t="shared" si="75"/>
        <v>44640581.92444779</v>
      </c>
    </row>
    <row r="146" spans="1:71" ht="15.75" thickBot="1" x14ac:dyDescent="0.3">
      <c r="A146" s="100" t="s">
        <v>258</v>
      </c>
      <c r="B146" s="176"/>
      <c r="C146" s="101" t="s">
        <v>64</v>
      </c>
      <c r="D146" s="177">
        <f t="shared" si="76"/>
        <v>109374</v>
      </c>
      <c r="E146" s="178">
        <f t="shared" si="76"/>
        <v>112981</v>
      </c>
      <c r="F146" s="178">
        <f t="shared" si="76"/>
        <v>127343</v>
      </c>
      <c r="G146" s="178">
        <f t="shared" si="76"/>
        <v>252977</v>
      </c>
      <c r="H146" s="178">
        <f t="shared" si="76"/>
        <v>488816</v>
      </c>
      <c r="I146" s="178">
        <f t="shared" si="76"/>
        <v>160292.29457639801</v>
      </c>
      <c r="J146" s="178">
        <f t="shared" si="76"/>
        <v>6193237.9809230939</v>
      </c>
      <c r="K146" s="178">
        <f t="shared" si="76"/>
        <v>3065228.5843986962</v>
      </c>
      <c r="L146" s="178">
        <f t="shared" si="76"/>
        <v>545176.38275300618</v>
      </c>
      <c r="M146" s="178">
        <f t="shared" si="76"/>
        <v>7343677.0753315194</v>
      </c>
      <c r="N146" s="178">
        <f t="shared" si="76"/>
        <v>10453814.108137006</v>
      </c>
      <c r="O146" s="582">
        <f t="shared" si="76"/>
        <v>147157.93945690012</v>
      </c>
      <c r="P146" s="577">
        <f t="shared" si="76"/>
        <v>149748.51109199505</v>
      </c>
      <c r="Q146" s="577">
        <f t="shared" si="76"/>
        <v>167074.74793376596</v>
      </c>
      <c r="R146" s="577">
        <f t="shared" si="76"/>
        <v>325610.93401670613</v>
      </c>
      <c r="S146" s="577">
        <f t="shared" si="76"/>
        <v>616357.28329284047</v>
      </c>
      <c r="T146" s="577">
        <f t="shared" si="76"/>
        <v>198946.50802853232</v>
      </c>
      <c r="U146" s="577">
        <f t="shared" ref="U146:AF146" si="82">SUMIF($A$7:$A$132,$A146,U$7:U$132)</f>
        <v>7713603.4241891308</v>
      </c>
      <c r="V146" s="577">
        <f t="shared" si="82"/>
        <v>3676308.8448187504</v>
      </c>
      <c r="W146" s="577">
        <f t="shared" si="82"/>
        <v>616009.64219142857</v>
      </c>
      <c r="X146" s="681">
        <f t="shared" si="82"/>
        <v>7809713.6234533461</v>
      </c>
      <c r="Y146" s="681">
        <f t="shared" si="82"/>
        <v>10741278.099163275</v>
      </c>
      <c r="Z146" s="179">
        <f t="shared" si="82"/>
        <v>10</v>
      </c>
      <c r="AA146" s="180">
        <f t="shared" si="82"/>
        <v>15</v>
      </c>
      <c r="AB146" s="180">
        <f t="shared" si="82"/>
        <v>23</v>
      </c>
      <c r="AC146" s="180">
        <f t="shared" si="82"/>
        <v>17</v>
      </c>
      <c r="AD146" s="180">
        <f t="shared" si="82"/>
        <v>25</v>
      </c>
      <c r="AE146" s="180">
        <f t="shared" si="82"/>
        <v>1165</v>
      </c>
      <c r="AF146" s="180">
        <f t="shared" si="82"/>
        <v>1090</v>
      </c>
      <c r="AG146" s="180">
        <f t="shared" si="73"/>
        <v>1264</v>
      </c>
      <c r="AH146" s="180">
        <f t="shared" si="73"/>
        <v>1108</v>
      </c>
      <c r="AI146" s="215">
        <f t="shared" si="73"/>
        <v>1479</v>
      </c>
      <c r="AJ146" s="1078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388">
        <f t="shared" si="77"/>
        <v>780200.79918395134</v>
      </c>
      <c r="AX146" s="388"/>
      <c r="AY146" s="19"/>
      <c r="AZ146" s="19"/>
      <c r="BA146" s="19"/>
      <c r="BB146" s="700">
        <f t="shared" si="74"/>
        <v>0</v>
      </c>
      <c r="BC146" s="690">
        <f t="shared" si="74"/>
        <v>40</v>
      </c>
      <c r="BD146" s="522">
        <f t="shared" si="74"/>
        <v>50</v>
      </c>
      <c r="BE146" s="422">
        <f t="shared" si="74"/>
        <v>36</v>
      </c>
      <c r="BF146" s="115">
        <f t="shared" si="74"/>
        <v>197.08506520856608</v>
      </c>
      <c r="BG146" s="115">
        <f t="shared" si="74"/>
        <v>113.84506930552209</v>
      </c>
      <c r="BH146" s="115">
        <f t="shared" si="74"/>
        <v>354.87622818556213</v>
      </c>
      <c r="BI146" s="287">
        <f t="shared" si="74"/>
        <v>458.92522796535678</v>
      </c>
      <c r="BJ146" s="116">
        <f t="shared" si="80"/>
        <v>74093.775453696013</v>
      </c>
      <c r="BK146" s="1059">
        <f t="shared" si="79"/>
        <v>3953888.1183717079</v>
      </c>
      <c r="BL146" s="1060">
        <f t="shared" si="75"/>
        <v>34327821.03713572</v>
      </c>
      <c r="BM146" s="525">
        <f t="shared" si="75"/>
        <v>34873409.720425792</v>
      </c>
      <c r="BN146" s="467">
        <f t="shared" si="75"/>
        <v>28087228.77062225</v>
      </c>
      <c r="BO146" s="117">
        <f t="shared" si="75"/>
        <v>26140511.480482318</v>
      </c>
      <c r="BP146" s="117">
        <f t="shared" si="75"/>
        <v>25380291.782165408</v>
      </c>
      <c r="BQ146" s="117">
        <f t="shared" si="75"/>
        <v>29958938.640329119</v>
      </c>
      <c r="BR146" s="118">
        <f t="shared" si="75"/>
        <v>34003502.7909014</v>
      </c>
    </row>
    <row r="147" spans="1:71" ht="15.75" thickBot="1" x14ac:dyDescent="0.3">
      <c r="D147" s="183">
        <f>SUM(D136:D146)</f>
        <v>95141198</v>
      </c>
      <c r="E147" s="184">
        <f t="shared" ref="E147:L147" si="83">SUM(E136:E146)</f>
        <v>147041615</v>
      </c>
      <c r="F147" s="184">
        <f t="shared" si="83"/>
        <v>141620382</v>
      </c>
      <c r="G147" s="184">
        <f t="shared" si="83"/>
        <v>137594919</v>
      </c>
      <c r="H147" s="184">
        <f t="shared" si="83"/>
        <v>165761807</v>
      </c>
      <c r="I147" s="184">
        <f t="shared" si="83"/>
        <v>217731522.16976923</v>
      </c>
      <c r="J147" s="184">
        <f t="shared" si="83"/>
        <v>332104725.7142939</v>
      </c>
      <c r="K147" s="184">
        <f t="shared" si="83"/>
        <v>347205605.19673884</v>
      </c>
      <c r="L147" s="184">
        <f t="shared" si="83"/>
        <v>336149388.47895175</v>
      </c>
      <c r="M147" s="184">
        <f t="shared" ref="M147:N147" si="84">SUM(M136:M146)</f>
        <v>375827657.08846843</v>
      </c>
      <c r="N147" s="184">
        <f t="shared" si="84"/>
        <v>425937968.06485802</v>
      </c>
      <c r="O147" s="183">
        <f>SUM(O136:O146)</f>
        <v>128008326.06598413</v>
      </c>
      <c r="P147" s="184">
        <f t="shared" ref="P147:X147" si="85">SUM(P136:P146)</f>
        <v>194893503.46352366</v>
      </c>
      <c r="Q147" s="184">
        <f t="shared" si="85"/>
        <v>185806755.18036836</v>
      </c>
      <c r="R147" s="184">
        <f t="shared" si="85"/>
        <v>177100724.93366206</v>
      </c>
      <c r="S147" s="184">
        <f t="shared" si="85"/>
        <v>209012178.48072106</v>
      </c>
      <c r="T147" s="184">
        <f t="shared" si="85"/>
        <v>270237107.3911289</v>
      </c>
      <c r="U147" s="184">
        <f t="shared" si="85"/>
        <v>413632441.92294818</v>
      </c>
      <c r="V147" s="184">
        <f t="shared" si="85"/>
        <v>416424094.38962471</v>
      </c>
      <c r="W147" s="184">
        <f t="shared" si="85"/>
        <v>379824348.72568727</v>
      </c>
      <c r="X147" s="661">
        <f t="shared" si="85"/>
        <v>399678028.25832504</v>
      </c>
      <c r="Y147" s="661">
        <f t="shared" ref="Y147" si="86">SUM(Y136:Y146)</f>
        <v>439142618.19593102</v>
      </c>
      <c r="BB147" s="685"/>
      <c r="BC147" s="685"/>
      <c r="BD147" s="19"/>
      <c r="BE147" s="19"/>
      <c r="BF147" s="19"/>
      <c r="BG147" s="19"/>
      <c r="BH147" s="19"/>
      <c r="BI147" s="282"/>
      <c r="BJ147" s="19"/>
      <c r="BK147" s="1061">
        <f>SUM(BK136:BK146)</f>
        <v>339740794.90634972</v>
      </c>
      <c r="BL147" s="1062">
        <f t="shared" ref="BL147:BR147" si="87">SUM(BL136:BL146)</f>
        <v>419729424.91202551</v>
      </c>
      <c r="BM147" s="526">
        <f t="shared" si="87"/>
        <v>405019629.37849289</v>
      </c>
      <c r="BN147" s="527">
        <f t="shared" si="87"/>
        <v>389501933.5741865</v>
      </c>
      <c r="BO147" s="528">
        <f t="shared" si="87"/>
        <v>394304990.60983407</v>
      </c>
      <c r="BP147" s="528">
        <f t="shared" si="87"/>
        <v>407451797.60978931</v>
      </c>
      <c r="BQ147" s="528">
        <f t="shared" si="87"/>
        <v>421676967.23758459</v>
      </c>
      <c r="BR147" s="529">
        <f t="shared" si="87"/>
        <v>435984585.27300882</v>
      </c>
      <c r="BS147" s="164">
        <f>SUM(BN147:BR147)</f>
        <v>2048920274.3044033</v>
      </c>
    </row>
    <row r="149" spans="1:71" x14ac:dyDescent="0.25">
      <c r="N149" s="20"/>
      <c r="AI149">
        <f>SUM(K138:M138)/SUM(AG138:AI138)</f>
        <v>2615.8351617585745</v>
      </c>
      <c r="AK149">
        <f>AI149*1.05</f>
        <v>2746.6269198465034</v>
      </c>
      <c r="BI149" s="650"/>
      <c r="BJ149" s="395"/>
    </row>
    <row r="150" spans="1:71" x14ac:dyDescent="0.25">
      <c r="N150" s="20"/>
      <c r="BI150" s="650"/>
      <c r="BJ150" s="395"/>
    </row>
    <row r="151" spans="1:71" x14ac:dyDescent="0.25">
      <c r="N151" s="20"/>
      <c r="BI151" s="650"/>
      <c r="BJ151" s="395"/>
      <c r="BM151" s="24" t="s">
        <v>811</v>
      </c>
      <c r="BN151" s="898" t="s">
        <v>422</v>
      </c>
      <c r="BO151" s="898" t="s">
        <v>423</v>
      </c>
      <c r="BP151" s="898" t="s">
        <v>424</v>
      </c>
      <c r="BQ151" s="898" t="s">
        <v>425</v>
      </c>
      <c r="BR151" s="898" t="s">
        <v>426</v>
      </c>
      <c r="BS151" s="898" t="s">
        <v>812</v>
      </c>
    </row>
    <row r="152" spans="1:71" x14ac:dyDescent="0.25">
      <c r="N152" s="20"/>
      <c r="BI152" s="650"/>
      <c r="BJ152" s="395"/>
      <c r="BM152" s="24" t="s">
        <v>813</v>
      </c>
      <c r="BN152" s="899">
        <f>BN147/1000</f>
        <v>389501.93357418652</v>
      </c>
      <c r="BO152" s="899">
        <f t="shared" ref="BO152:BS152" si="88">BO147/1000</f>
        <v>394304.99060983409</v>
      </c>
      <c r="BP152" s="899">
        <f t="shared" si="88"/>
        <v>407451.7976097893</v>
      </c>
      <c r="BQ152" s="899">
        <f t="shared" si="88"/>
        <v>421676.96723758458</v>
      </c>
      <c r="BR152" s="899">
        <f t="shared" si="88"/>
        <v>435984.58527300885</v>
      </c>
      <c r="BS152" s="899">
        <f t="shared" si="88"/>
        <v>2048920.2743044032</v>
      </c>
    </row>
    <row r="153" spans="1:71" x14ac:dyDescent="0.25">
      <c r="N153" s="20"/>
      <c r="BI153" s="650"/>
      <c r="BJ153" s="822"/>
      <c r="BM153" s="24" t="s">
        <v>814</v>
      </c>
      <c r="BN153" s="899">
        <v>431785.45625777781</v>
      </c>
      <c r="BO153" s="899">
        <v>439008.60873402294</v>
      </c>
      <c r="BP153" s="899">
        <v>454249.5499848926</v>
      </c>
      <c r="BQ153" s="899">
        <v>471259.84916749585</v>
      </c>
      <c r="BR153" s="899">
        <v>488710.9478921112</v>
      </c>
      <c r="BS153" s="899">
        <v>2285014.4120363006</v>
      </c>
    </row>
    <row r="154" spans="1:71" x14ac:dyDescent="0.25">
      <c r="N154" s="20"/>
      <c r="BE154" s="650"/>
      <c r="BF154" s="650"/>
      <c r="BG154" s="650"/>
      <c r="BH154" s="650"/>
      <c r="BI154" s="650"/>
      <c r="BM154" s="24" t="s">
        <v>815</v>
      </c>
      <c r="BN154" s="900">
        <f>BN153/BN152</f>
        <v>1.1085579275450188</v>
      </c>
      <c r="BO154" s="900">
        <f t="shared" ref="BO154:BR154" si="89">BO153/BO152</f>
        <v>1.1133731988911679</v>
      </c>
      <c r="BP154" s="900">
        <f t="shared" si="89"/>
        <v>1.1148546960637558</v>
      </c>
      <c r="BQ154" s="900">
        <f t="shared" si="89"/>
        <v>1.1175849898910293</v>
      </c>
      <c r="BR154" s="900">
        <f t="shared" si="89"/>
        <v>1.1209363000439239</v>
      </c>
      <c r="BS154" s="899"/>
    </row>
    <row r="155" spans="1:71" x14ac:dyDescent="0.25">
      <c r="N155" s="20"/>
      <c r="BE155" s="650"/>
      <c r="BF155" s="650"/>
      <c r="BG155" s="650"/>
      <c r="BH155" s="650"/>
      <c r="BI155" s="650"/>
      <c r="BN155" s="395"/>
      <c r="BO155" s="395"/>
      <c r="BP155" s="395"/>
      <c r="BQ155" s="395"/>
      <c r="BR155" s="395"/>
    </row>
    <row r="156" spans="1:71" x14ac:dyDescent="0.25">
      <c r="N156" s="20"/>
      <c r="BE156" s="650"/>
      <c r="BF156" s="650"/>
      <c r="BG156" s="650"/>
      <c r="BH156" s="650"/>
      <c r="BI156" s="650"/>
      <c r="BN156" s="395"/>
      <c r="BO156" s="395"/>
      <c r="BP156" s="395"/>
      <c r="BQ156" s="395"/>
      <c r="BR156" s="395"/>
    </row>
    <row r="157" spans="1:71" x14ac:dyDescent="0.25">
      <c r="N157" s="20"/>
      <c r="BE157" s="650"/>
      <c r="BF157" s="650"/>
      <c r="BG157" s="650"/>
      <c r="BH157" s="650"/>
      <c r="BI157" s="650"/>
      <c r="BN157" s="395"/>
      <c r="BO157" s="395"/>
      <c r="BP157" s="395"/>
      <c r="BQ157" s="395"/>
      <c r="BR157" s="395"/>
    </row>
    <row r="158" spans="1:71" x14ac:dyDescent="0.25">
      <c r="N158" s="20"/>
      <c r="BE158" s="650"/>
      <c r="BF158" s="650"/>
      <c r="BG158" s="650"/>
      <c r="BH158" s="650"/>
      <c r="BI158" s="650"/>
      <c r="BN158" s="395"/>
      <c r="BO158" s="395"/>
      <c r="BP158" s="395"/>
      <c r="BQ158" s="395"/>
      <c r="BR158" s="395"/>
    </row>
    <row r="159" spans="1:71" x14ac:dyDescent="0.25">
      <c r="N159" s="20"/>
      <c r="BE159" s="650"/>
      <c r="BF159" s="650"/>
      <c r="BG159" s="650"/>
      <c r="BH159" s="650"/>
      <c r="BI159" s="650"/>
      <c r="BN159" s="395"/>
      <c r="BO159" s="395"/>
      <c r="BP159" s="395"/>
      <c r="BQ159" s="395"/>
      <c r="BR159" s="395"/>
    </row>
    <row r="160" spans="1:71" x14ac:dyDescent="0.25">
      <c r="BE160" s="650"/>
      <c r="BF160" s="650"/>
      <c r="BG160" s="650"/>
      <c r="BH160" s="650"/>
      <c r="BI160" s="650"/>
      <c r="BN160" s="395"/>
      <c r="BO160" s="395"/>
      <c r="BP160" s="395"/>
      <c r="BQ160" s="395"/>
      <c r="BR160" s="395"/>
    </row>
    <row r="161" spans="57:70" x14ac:dyDescent="0.25">
      <c r="BE161" s="650"/>
      <c r="BF161" s="650"/>
      <c r="BG161" s="650"/>
      <c r="BH161" s="650"/>
      <c r="BI161" s="650"/>
      <c r="BN161" s="395"/>
      <c r="BO161" s="395"/>
      <c r="BP161" s="395"/>
      <c r="BQ161" s="395"/>
      <c r="BR161" s="395"/>
    </row>
    <row r="162" spans="57:70" x14ac:dyDescent="0.25">
      <c r="BE162" s="650"/>
      <c r="BF162" s="650"/>
      <c r="BG162" s="650"/>
      <c r="BH162" s="650"/>
      <c r="BI162" s="650"/>
      <c r="BN162" s="395"/>
      <c r="BO162" s="395"/>
      <c r="BP162" s="395"/>
      <c r="BQ162" s="395"/>
      <c r="BR162" s="395"/>
    </row>
    <row r="163" spans="57:70" x14ac:dyDescent="0.25">
      <c r="BE163" s="650"/>
      <c r="BF163" s="650"/>
      <c r="BG163" s="650"/>
      <c r="BH163" s="650"/>
      <c r="BI163" s="650"/>
      <c r="BN163" s="395"/>
      <c r="BO163" s="395"/>
      <c r="BP163" s="395"/>
      <c r="BQ163" s="395"/>
      <c r="BR163" s="395"/>
    </row>
    <row r="164" spans="57:70" x14ac:dyDescent="0.25">
      <c r="BE164" s="650"/>
      <c r="BF164" s="650"/>
      <c r="BG164" s="650"/>
      <c r="BH164" s="650"/>
      <c r="BI164" s="650"/>
      <c r="BN164" s="395"/>
      <c r="BO164" s="395"/>
      <c r="BP164" s="395"/>
      <c r="BQ164" s="395"/>
      <c r="BR164" s="395"/>
    </row>
  </sheetData>
  <autoFilter ref="A6:BT6" xr:uid="{26E82B06-5461-4E93-BA38-5F7061E93D76}"/>
  <phoneticPr fontId="17" type="noConversion"/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29A56-B547-4936-B2A2-017D2A662A9C}">
  <sheetPr>
    <tabColor theme="9" tint="-0.249977111117893"/>
  </sheetPr>
  <dimension ref="A1:BY161"/>
  <sheetViews>
    <sheetView zoomScaleNormal="100" workbookViewId="0">
      <pane xSplit="3" ySplit="7" topLeftCell="AP49" activePane="bottomRight" state="frozen"/>
      <selection activeCell="N4" sqref="N4"/>
      <selection pane="topRight" activeCell="N4" sqref="N4"/>
      <selection pane="bottomLeft" activeCell="N4" sqref="N4"/>
      <selection pane="bottomRight" activeCell="BN7" sqref="BN7"/>
    </sheetView>
  </sheetViews>
  <sheetFormatPr defaultRowHeight="15" x14ac:dyDescent="0.25"/>
  <cols>
    <col min="1" max="1" width="5.7109375" bestFit="1" customWidth="1"/>
    <col min="2" max="2" width="9.140625" customWidth="1"/>
    <col min="3" max="3" width="23.140625" customWidth="1"/>
    <col min="4" max="4" width="9.28515625" customWidth="1"/>
    <col min="5" max="10" width="9.5703125" customWidth="1"/>
    <col min="11" max="11" width="9.28515625" customWidth="1"/>
    <col min="12" max="12" width="9.5703125" customWidth="1"/>
    <col min="13" max="15" width="9.28515625" customWidth="1"/>
    <col min="16" max="21" width="9.5703125" customWidth="1"/>
    <col min="22" max="22" width="9.28515625" customWidth="1"/>
    <col min="23" max="23" width="9.5703125" customWidth="1"/>
    <col min="24" max="25" width="9.28515625" customWidth="1"/>
    <col min="26" max="48" width="9.140625" customWidth="1"/>
    <col min="49" max="50" width="9.140625" style="280" customWidth="1"/>
    <col min="51" max="53" width="9.140625" customWidth="1"/>
    <col min="54" max="55" width="9.140625" style="684" customWidth="1"/>
    <col min="56" max="56" width="9.140625" customWidth="1"/>
    <col min="61" max="61" width="9.140625" style="280" customWidth="1"/>
    <col min="62" max="62" width="9.140625" customWidth="1"/>
    <col min="63" max="70" width="13.7109375" customWidth="1"/>
    <col min="71" max="71" width="13" bestFit="1" customWidth="1"/>
    <col min="73" max="73" width="24.28515625" customWidth="1"/>
    <col min="74" max="74" width="12.7109375" bestFit="1" customWidth="1"/>
    <col min="76" max="76" width="51.7109375" customWidth="1"/>
  </cols>
  <sheetData>
    <row r="1" spans="1:77" ht="15.75" thickBot="1" x14ac:dyDescent="0.3">
      <c r="A1" t="s">
        <v>553</v>
      </c>
      <c r="J1" s="22"/>
      <c r="U1" s="22"/>
      <c r="AT1" t="s">
        <v>279</v>
      </c>
      <c r="AW1" s="701"/>
      <c r="AX1" s="701"/>
      <c r="BI1"/>
      <c r="BK1" s="418" t="s">
        <v>489</v>
      </c>
      <c r="BL1" s="419">
        <v>1</v>
      </c>
    </row>
    <row r="2" spans="1:77" ht="15.75" thickBot="1" x14ac:dyDescent="0.3">
      <c r="BI2"/>
      <c r="BK2" s="418" t="s">
        <v>490</v>
      </c>
      <c r="BL2" s="419">
        <v>0</v>
      </c>
    </row>
    <row r="3" spans="1:77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BB3" s="685"/>
      <c r="BC3" s="685"/>
      <c r="BD3" s="19"/>
      <c r="BE3" s="19"/>
      <c r="BF3" s="19"/>
      <c r="BG3" s="19"/>
      <c r="BH3" s="19"/>
      <c r="BI3" s="19"/>
      <c r="BJ3" s="19"/>
      <c r="BK3" s="418" t="s">
        <v>600</v>
      </c>
      <c r="BL3" s="419">
        <v>0</v>
      </c>
      <c r="BM3" s="19"/>
      <c r="BN3" s="19"/>
      <c r="BO3" s="19"/>
      <c r="BP3" s="19"/>
      <c r="BQ3" s="19"/>
      <c r="BR3" s="19"/>
    </row>
    <row r="4" spans="1:77" ht="24" thickBot="1" x14ac:dyDescent="0.4">
      <c r="AK4" s="220" t="s">
        <v>427</v>
      </c>
      <c r="AL4" s="221"/>
      <c r="AM4" s="222" t="s">
        <v>428</v>
      </c>
      <c r="AY4" s="223" t="s">
        <v>427</v>
      </c>
      <c r="AZ4" s="224"/>
      <c r="BA4" s="225" t="s">
        <v>428</v>
      </c>
      <c r="BB4" s="685"/>
      <c r="BC4" s="685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930" t="s">
        <v>822</v>
      </c>
      <c r="BO4" s="931"/>
      <c r="BP4" s="931"/>
      <c r="BQ4" s="19"/>
      <c r="BR4" s="19"/>
    </row>
    <row r="5" spans="1:77" s="186" customFormat="1" ht="15.75" thickBot="1" x14ac:dyDescent="0.3">
      <c r="A5" s="27" t="s">
        <v>281</v>
      </c>
      <c r="B5" s="27" t="s">
        <v>282</v>
      </c>
      <c r="C5" s="28"/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552" t="s">
        <v>582</v>
      </c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3" t="s">
        <v>286</v>
      </c>
      <c r="AL5" s="34"/>
      <c r="AM5" s="35"/>
      <c r="AN5" s="36" t="s">
        <v>287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686"/>
      <c r="BC5" s="1119"/>
      <c r="BD5" s="189"/>
      <c r="BE5" s="189" t="s">
        <v>691</v>
      </c>
      <c r="BF5" s="189"/>
      <c r="BG5" s="189"/>
      <c r="BH5" s="189"/>
      <c r="BI5" s="283"/>
      <c r="BJ5" s="42" t="s">
        <v>289</v>
      </c>
      <c r="BK5" s="190"/>
      <c r="BL5" s="191"/>
      <c r="BM5" s="191"/>
      <c r="BN5" s="766" t="s">
        <v>515</v>
      </c>
      <c r="BO5" s="766"/>
      <c r="BP5" s="766"/>
      <c r="BQ5" s="766"/>
      <c r="BR5" s="767"/>
      <c r="BS5"/>
      <c r="BT5"/>
      <c r="BU5"/>
      <c r="BV5"/>
      <c r="BW5"/>
      <c r="BX5"/>
      <c r="BY5"/>
    </row>
    <row r="6" spans="1:77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46" t="s">
        <v>14</v>
      </c>
      <c r="N6" s="1075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556" t="s">
        <v>13</v>
      </c>
      <c r="X6" s="556" t="s">
        <v>14</v>
      </c>
      <c r="Y6" s="1074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48" t="s">
        <v>14</v>
      </c>
      <c r="AJ6" s="48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702" t="s">
        <v>14</v>
      </c>
      <c r="AX6" s="1084" t="s">
        <v>15</v>
      </c>
      <c r="AY6" s="56" t="s">
        <v>292</v>
      </c>
      <c r="AZ6" s="57" t="s">
        <v>293</v>
      </c>
      <c r="BA6" s="58" t="s">
        <v>294</v>
      </c>
      <c r="BB6" s="687" t="s">
        <v>14</v>
      </c>
      <c r="BC6" s="687" t="s">
        <v>15</v>
      </c>
      <c r="BD6" s="59" t="s">
        <v>280</v>
      </c>
      <c r="BE6" s="59" t="s">
        <v>422</v>
      </c>
      <c r="BF6" s="59" t="s">
        <v>423</v>
      </c>
      <c r="BG6" s="59" t="s">
        <v>424</v>
      </c>
      <c r="BH6" s="59" t="s">
        <v>425</v>
      </c>
      <c r="BI6" s="284" t="s">
        <v>426</v>
      </c>
      <c r="BJ6" s="60" t="s">
        <v>446</v>
      </c>
      <c r="BK6" s="741" t="s">
        <v>14</v>
      </c>
      <c r="BL6" s="61" t="s">
        <v>15</v>
      </c>
      <c r="BM6" s="764" t="s">
        <v>280</v>
      </c>
      <c r="BN6" s="768" t="s">
        <v>422</v>
      </c>
      <c r="BO6" s="769" t="s">
        <v>423</v>
      </c>
      <c r="BP6" s="769" t="s">
        <v>424</v>
      </c>
      <c r="BQ6" s="769" t="s">
        <v>425</v>
      </c>
      <c r="BR6" s="770" t="s">
        <v>426</v>
      </c>
    </row>
    <row r="7" spans="1:77" x14ac:dyDescent="0.25">
      <c r="A7" s="63" t="s">
        <v>296</v>
      </c>
      <c r="B7" s="64" t="s">
        <v>22</v>
      </c>
      <c r="C7" s="65" t="s">
        <v>24</v>
      </c>
      <c r="D7" s="66">
        <f>SUM('Defect (Total)'!D7,Planned!D7,Reconductor!D7,CTGS!D7)</f>
        <v>6688577</v>
      </c>
      <c r="E7" s="67">
        <f>SUM('Defect (Total)'!E7,Planned!E7,Reconductor!E7,CTGS!E7)</f>
        <v>3664797</v>
      </c>
      <c r="F7" s="67">
        <f>SUM('Defect (Total)'!F7,Planned!F7,Reconductor!F7,CTGS!F7)</f>
        <v>4782199</v>
      </c>
      <c r="G7" s="67">
        <f>SUM('Defect (Total)'!G7,Planned!G7,Reconductor!G7,CTGS!G7)</f>
        <v>3687764</v>
      </c>
      <c r="H7" s="67">
        <f>SUM('Defect (Total)'!H7,Planned!H7,Reconductor!H7,CTGS!H7)</f>
        <v>5309061</v>
      </c>
      <c r="I7" s="67">
        <f>SUM('Defect (Total)'!I7,Planned!I7,Reconductor!I7,CTGS!I7)</f>
        <v>3689144.5943493401</v>
      </c>
      <c r="J7" s="67">
        <f>SUM('Defect (Total)'!J7,Planned!J7,Reconductor!J7,CTGS!J7)</f>
        <v>7934044.6888067247</v>
      </c>
      <c r="K7" s="67">
        <f>SUM('Defect (Total)'!K7,Planned!K7,Reconductor!K7,CTGS!K7)</f>
        <v>7371639.3099999987</v>
      </c>
      <c r="L7" s="67">
        <f>SUM('Defect (Total)'!L7,Planned!L7,Reconductor!L7,CTGS!L7)</f>
        <v>9045812.0399999991</v>
      </c>
      <c r="M7" s="67">
        <f>SUM('Defect (Total)'!M7,Planned!M7,Reconductor!M7,CTGS!M7)</f>
        <v>8954422.3600000031</v>
      </c>
      <c r="N7" s="67">
        <f>SUM('Defect (Total)'!N7,Planned!N7,Reconductor!N7,CTGS!N7)</f>
        <v>9464302.1000000238</v>
      </c>
      <c r="O7" s="557">
        <f>SUM('Defect (Total)'!O7,Planned!O7,Reconductor!O7,CTGS!O7)</f>
        <v>8999188.1911497675</v>
      </c>
      <c r="P7" s="558">
        <f>SUM('Defect (Total)'!P7,Planned!P7,Reconductor!P7,CTGS!P7)</f>
        <v>4857435.2696861438</v>
      </c>
      <c r="Q7" s="558">
        <f>SUM('Defect (Total)'!Q7,Planned!Q7,Reconductor!Q7,CTGS!Q7)</f>
        <v>6274272.5748106102</v>
      </c>
      <c r="R7" s="558">
        <f>SUM('Defect (Total)'!R7,Planned!R7,Reconductor!R7,CTGS!R7)</f>
        <v>4746582.8137466423</v>
      </c>
      <c r="S7" s="558">
        <f>SUM('Defect (Total)'!S7,Planned!S7,Reconductor!S7,CTGS!S7)</f>
        <v>6694294.8160370607</v>
      </c>
      <c r="T7" s="558">
        <f>SUM('Defect (Total)'!T7,Planned!T7,Reconductor!T7,CTGS!T7)</f>
        <v>4578775.5212920001</v>
      </c>
      <c r="U7" s="558">
        <f>SUM('Defect (Total)'!U7,Planned!U7,Reconductor!U7,CTGS!U7)</f>
        <v>9881757.2435876802</v>
      </c>
      <c r="V7" s="558">
        <f>SUM('Defect (Total)'!V7,Planned!V7,Reconductor!V7,CTGS!V7)</f>
        <v>8841240.4001781363</v>
      </c>
      <c r="W7" s="558">
        <f>SUM('Defect (Total)'!W7,Planned!W7,Reconductor!W7,CTGS!W7)</f>
        <v>10221109.377395511</v>
      </c>
      <c r="X7" s="558">
        <f>SUM('Defect (Total)'!X7,Planned!X7,Reconductor!X7,CTGS!X7)</f>
        <v>9522678.2955853678</v>
      </c>
      <c r="Y7" s="558">
        <f>SUM('Defect (Total)'!Y7,Planned!Y7,Reconductor!Y7,CTGS!Y7)</f>
        <v>9724556.0155375712</v>
      </c>
      <c r="Z7" s="68">
        <f>SUM('Defect (Total)'!Z7,Planned!Z7,Reconductor!Z7,CTGS!Z7)</f>
        <v>2373</v>
      </c>
      <c r="AA7" s="69">
        <f>SUM('Defect (Total)'!AA7,Planned!AA7,Reconductor!AA7,CTGS!AA7)</f>
        <v>1176</v>
      </c>
      <c r="AB7" s="69">
        <f>SUM('Defect (Total)'!AB7,Planned!AB7,Reconductor!AB7,CTGS!AB7)</f>
        <v>1487</v>
      </c>
      <c r="AC7" s="69">
        <f>SUM('Defect (Total)'!AC7,Planned!AC7,Reconductor!AC7,CTGS!AC7)</f>
        <v>1285</v>
      </c>
      <c r="AD7" s="69">
        <f>SUM('Defect (Total)'!AD7,Planned!AD7,Reconductor!AD7,CTGS!AD7)</f>
        <v>1563</v>
      </c>
      <c r="AE7" s="69">
        <f>SUM('Defect (Total)'!AE7,Planned!AE7,Reconductor!AE7,CTGS!AE7)</f>
        <v>1101</v>
      </c>
      <c r="AF7" s="69">
        <f>SUM('Defect (Total)'!AF7,Planned!AF7,Reconductor!AF7,CTGS!AF7)</f>
        <v>5017</v>
      </c>
      <c r="AG7" s="69">
        <f>SUM('Defect (Total)'!AG7,Planned!AG7,Reconductor!AG7,CTGS!AG7)</f>
        <v>4542</v>
      </c>
      <c r="AH7" s="69">
        <f>SUM('Defect (Total)'!AH7,Planned!AH7,Reconductor!AH7,CTGS!AH7)</f>
        <v>5172</v>
      </c>
      <c r="AI7" s="69">
        <f>SUM('Defect (Total)'!AI7,Planned!AI7,Reconductor!AI7,CTGS!AI7)</f>
        <v>4260</v>
      </c>
      <c r="AJ7" s="69">
        <f>SUM('Defect (Total)'!AJ7,Planned!AJ7,Reconductor!AJ7,CTGS!AJ7)</f>
        <v>6395</v>
      </c>
      <c r="AK7" s="70">
        <f>IFERROR(IF($AM$4="N",SUM(AD7:AH7)/5,SUM(AE7:AI7)/5),"")</f>
        <v>3479</v>
      </c>
      <c r="AL7" s="71">
        <f t="shared" ref="AL7:AL38" si="0">IFERROR(IF($AM$4="N",SUM(AF7:AH7)/3,SUM(AG7:AI7)/3),"")</f>
        <v>4910.333333333333</v>
      </c>
      <c r="AM7" s="72">
        <f>IFERROR(IF($AM$4="N",AH7,AI7),"")</f>
        <v>5172</v>
      </c>
      <c r="AN7" s="73">
        <f t="shared" ref="AN7:AN38" si="1">IFERROR(D7/Z7,"")</f>
        <v>2818.6165191740415</v>
      </c>
      <c r="AO7" s="74">
        <f t="shared" ref="AO7:AO38" si="2">IFERROR(E7/AA7,"")</f>
        <v>3116.3239795918366</v>
      </c>
      <c r="AP7" s="74">
        <f t="shared" ref="AP7:AP38" si="3">IFERROR(F7/AB7,"")</f>
        <v>3216.0047074646941</v>
      </c>
      <c r="AQ7" s="74">
        <f t="shared" ref="AQ7:AQ38" si="4">IFERROR(G7/AC7,"")</f>
        <v>2869.855252918288</v>
      </c>
      <c r="AR7" s="74">
        <f t="shared" ref="AR7:AR38" si="5">IFERROR(H7/AD7,"")</f>
        <v>3396.7120921305182</v>
      </c>
      <c r="AS7" s="74">
        <f t="shared" ref="AS7:AS38" si="6">IFERROR(I7/AE7,"")</f>
        <v>3350.7217024063034</v>
      </c>
      <c r="AT7" s="74">
        <f t="shared" ref="AT7:AT38" si="7">IFERROR(J7/AF7,"")</f>
        <v>1581.4320687276709</v>
      </c>
      <c r="AU7" s="74">
        <f t="shared" ref="AU7:AU38" si="8">IFERROR(K7/AG7,"")</f>
        <v>1622.9941237340377</v>
      </c>
      <c r="AV7" s="74">
        <f t="shared" ref="AV7:AV38" si="9">IFERROR(L7/AH7,"")</f>
        <v>1748.9969141531321</v>
      </c>
      <c r="AW7" s="74">
        <f t="shared" ref="AW7:AX22" si="10">IFERROR(M7/AI7,"")</f>
        <v>2101.9770798122072</v>
      </c>
      <c r="AX7" s="74">
        <f t="shared" si="10"/>
        <v>1479.9534167318254</v>
      </c>
      <c r="AY7" s="75">
        <f t="shared" ref="AY7:AY38" si="11">IFERROR(IF($BA$4="N",SUM(H7:L7)/SUM(AD7:AH7),SUM(I7:M7)/SUM(AE7:AI7)),"")</f>
        <v>1917.2004388132257</v>
      </c>
      <c r="AZ7" s="76">
        <f t="shared" ref="AZ7:AZ70" si="12">IFERROR(IF($BA$4="N",SUM(J7:L7)/SUM(AF7:AH7),SUM(K7:M7)/SUM(AG7:AI7)),"")</f>
        <v>1653.0782729486607</v>
      </c>
      <c r="BA7" s="77">
        <f t="shared" ref="BA7:BA70" si="13">IFERROR(IF($BA$4="N",L7/AH7,M7/AI7),"")</f>
        <v>1748.9969141531321</v>
      </c>
      <c r="BB7" s="688">
        <f>SUM('Defect (Total)'!BB7,Planned!CE7,Reconductor!CE7,CTGS!CE7,'Substation 2025$'!CE7*$BL$1,Comms!CA7*$BL$2)</f>
        <v>4658</v>
      </c>
      <c r="BC7" s="688">
        <f>SUM('Defect (Total)'!BC7,Planned!CF7,Reconductor!CF7,CTGS!CF7,'Substation 2025$'!CF7*$BL$1,Comms!CB7*$BL$2)</f>
        <v>4658</v>
      </c>
      <c r="BD7" s="78">
        <f>SUM('Defect (Total)'!BD7,Planned!CG7,Reconductor!CG7,CTGS!CG7,'Substation 2025$'!CG7*$BL$1,Comms!CC7*$BL$2)</f>
        <v>4658</v>
      </c>
      <c r="BE7" s="78">
        <f>SUM('Defect (Total)'!BE7,Planned!CH7,Reconductor!CH7,CTGS!CH7,'Substation 2025$'!CH7*$BL$1,Comms!CD7*$BL$2)</f>
        <v>4658</v>
      </c>
      <c r="BF7" s="78">
        <f>SUM('Defect (Total)'!BF7,Planned!CI7,Reconductor!CI7,CTGS!CI7,'Substation 2025$'!CI7*$BL$1,Comms!CE7*$BL$2)</f>
        <v>4658</v>
      </c>
      <c r="BG7" s="78">
        <f>SUM('Defect (Total)'!BG7,Planned!CJ7,Reconductor!CJ7,CTGS!CJ7,'Substation 2025$'!CJ7*$BL$1,Comms!CF7*$BL$2)</f>
        <v>4658</v>
      </c>
      <c r="BH7" s="78">
        <f>SUM('Defect (Total)'!BH7,Planned!CK7,Reconductor!CK7,CTGS!CK7,'Substation 2025$'!CK7*$BL$1,Comms!CG7*$BL$2)</f>
        <v>4658</v>
      </c>
      <c r="BI7" s="285">
        <f>SUM('Defect (Total)'!BI7,Planned!CL7,Reconductor!CL7,CTGS!CL7,'Substation 2025$'!CL7*$BL$1,Comms!CH7*$BL$2)</f>
        <v>4658</v>
      </c>
      <c r="BJ7" s="124">
        <f>IFERROR(SUM(BN7:BR7)/SUM(BE7:BI7),"")</f>
        <v>2077.9855565779644</v>
      </c>
      <c r="BK7" s="742"/>
      <c r="BL7" s="79"/>
      <c r="BM7" s="523"/>
      <c r="BN7" s="415">
        <f>'Distribution Summary'!CI7+'Substation 2025$'!CT7</f>
        <v>9581829.561527079</v>
      </c>
      <c r="BO7" s="79">
        <f>'Distribution Summary'!CJ7+'Substation 2025$'!CU7</f>
        <v>9627125.8012696691</v>
      </c>
      <c r="BP7" s="79">
        <f>'Distribution Summary'!CK7+'Substation 2025$'!CV7</f>
        <v>9672317.5764718987</v>
      </c>
      <c r="BQ7" s="79">
        <f>'Distribution Summary'!CL7+'Substation 2025$'!CW7</f>
        <v>9726280.1703267973</v>
      </c>
      <c r="BR7" s="80">
        <f>'Distribution Summary'!CM7+'Substation 2025$'!CX7</f>
        <v>9788730.5031053461</v>
      </c>
    </row>
    <row r="8" spans="1:77" x14ac:dyDescent="0.25">
      <c r="A8" s="81" t="s">
        <v>27</v>
      </c>
      <c r="B8" s="82" t="s">
        <v>25</v>
      </c>
      <c r="C8" s="83" t="s">
        <v>297</v>
      </c>
      <c r="D8" s="84">
        <f>SUM('Defect (Total)'!D8,Planned!D8,Reconductor!D8,CTGS!D8)</f>
        <v>6176694</v>
      </c>
      <c r="E8" s="85">
        <f>SUM('Defect (Total)'!E8,Planned!E8,Reconductor!E8,CTGS!E8)</f>
        <v>9175248.5999999996</v>
      </c>
      <c r="F8" s="85">
        <f>SUM('Defect (Total)'!F8,Planned!F8,Reconductor!F8,CTGS!F8)</f>
        <v>11026738.600000001</v>
      </c>
      <c r="G8" s="85">
        <f>SUM('Defect (Total)'!G8,Planned!G8,Reconductor!G8,CTGS!G8)</f>
        <v>12311007.729060391</v>
      </c>
      <c r="H8" s="85">
        <f>SUM('Defect (Total)'!H8,Planned!H8,Reconductor!H8,CTGS!H8)</f>
        <v>12040725.721492045</v>
      </c>
      <c r="I8" s="85">
        <f>SUM('Defect (Total)'!I8,Planned!I8,Reconductor!I8,CTGS!I8)</f>
        <v>9015463.2618118525</v>
      </c>
      <c r="J8" s="85">
        <f>SUM('Defect (Total)'!J8,Planned!J8,Reconductor!J8,CTGS!J8)</f>
        <v>19586719.116851203</v>
      </c>
      <c r="K8" s="85">
        <f>SUM('Defect (Total)'!K8,Planned!K8,Reconductor!K8,CTGS!K8)</f>
        <v>18080397.891638912</v>
      </c>
      <c r="L8" s="85">
        <f>SUM('Defect (Total)'!L8,Planned!L8,Reconductor!L8,CTGS!L8)</f>
        <v>22641374.742922097</v>
      </c>
      <c r="M8" s="85">
        <f>SUM('Defect (Total)'!M8,Planned!M8,Reconductor!M8,CTGS!M8)</f>
        <v>19758125.884632397</v>
      </c>
      <c r="N8" s="85">
        <f>SUM('Defect (Total)'!N8,Planned!N8,Reconductor!N8,CTGS!N8)</f>
        <v>17855268.165800024</v>
      </c>
      <c r="O8" s="560">
        <f>SUM('Defect (Total)'!O8,Planned!O8,Reconductor!O8,CTGS!O8)</f>
        <v>8310471.9741053469</v>
      </c>
      <c r="P8" s="561">
        <f>SUM('Defect (Total)'!P8,Planned!P8,Reconductor!P8,CTGS!P8)</f>
        <v>12161158.219071457</v>
      </c>
      <c r="Q8" s="561">
        <f>SUM('Defect (Total)'!Q8,Planned!Q8,Reconductor!Q8,CTGS!Q8)</f>
        <v>14467144.421966877</v>
      </c>
      <c r="R8" s="561">
        <f>SUM('Defect (Total)'!R8,Planned!R8,Reconductor!R8,CTGS!R8)</f>
        <v>15845704.255115062</v>
      </c>
      <c r="S8" s="561">
        <f>SUM('Defect (Total)'!S8,Planned!S8,Reconductor!S8,CTGS!S8)</f>
        <v>15182377.406985579</v>
      </c>
      <c r="T8" s="561">
        <f>SUM('Defect (Total)'!T8,Planned!T8,Reconductor!T8,CTGS!T8)</f>
        <v>11189526.851162095</v>
      </c>
      <c r="U8" s="561">
        <f>SUM('Defect (Total)'!U8,Planned!U8,Reconductor!U8,CTGS!U8)</f>
        <v>24395023.106451854</v>
      </c>
      <c r="V8" s="561">
        <f>SUM('Defect (Total)'!V8,Planned!V8,Reconductor!V8,CTGS!V8)</f>
        <v>21684884.130725816</v>
      </c>
      <c r="W8" s="561">
        <f>SUM('Defect (Total)'!W8,Planned!W8,Reconductor!W8,CTGS!W8)</f>
        <v>25583105.936612733</v>
      </c>
      <c r="X8" s="561">
        <f>SUM('Defect (Total)'!X8,Planned!X8,Reconductor!X8,CTGS!X8)</f>
        <v>21011994.851115361</v>
      </c>
      <c r="Y8" s="561">
        <f>SUM('Defect (Total)'!Y8,Planned!Y8,Reconductor!Y8,CTGS!Y8)</f>
        <v>18042115.051113978</v>
      </c>
      <c r="Z8" s="86">
        <f>SUM('Defect (Total)'!Z8,Planned!Z8,Reconductor!Z8,CTGS!Z8)</f>
        <v>1338.4</v>
      </c>
      <c r="AA8" s="87">
        <f>SUM('Defect (Total)'!AA8,Planned!AA8,Reconductor!AA8,CTGS!AA8)</f>
        <v>1849.2</v>
      </c>
      <c r="AB8" s="87">
        <f>SUM('Defect (Total)'!AB8,Planned!AB8,Reconductor!AB8,CTGS!AB8)</f>
        <v>1741.4</v>
      </c>
      <c r="AC8" s="87">
        <f>SUM('Defect (Total)'!AC8,Planned!AC8,Reconductor!AC8,CTGS!AC8)</f>
        <v>1931.4</v>
      </c>
      <c r="AD8" s="87">
        <f>SUM('Defect (Total)'!AD8,Planned!AD8,Reconductor!AD8,CTGS!AD8)</f>
        <v>2258.1999999999998</v>
      </c>
      <c r="AE8" s="87">
        <f>SUM('Defect (Total)'!AE8,Planned!AE8,Reconductor!AE8,CTGS!AE8)</f>
        <v>1854</v>
      </c>
      <c r="AF8" s="87">
        <f>SUM('Defect (Total)'!AF8,Planned!AF8,Reconductor!AF8,CTGS!AF8)</f>
        <v>4373</v>
      </c>
      <c r="AG8" s="87">
        <f>SUM('Defect (Total)'!AG8,Planned!AG8,Reconductor!AG8,CTGS!AG8)</f>
        <v>4153</v>
      </c>
      <c r="AH8" s="87">
        <f>SUM('Defect (Total)'!AH8,Planned!AH8,Reconductor!AH8,CTGS!AH8)</f>
        <v>4471</v>
      </c>
      <c r="AI8" s="87">
        <f>SUM('Defect (Total)'!AI8,Planned!AI8,Reconductor!AI8,CTGS!AI8)</f>
        <v>3315</v>
      </c>
      <c r="AJ8" s="87">
        <f>SUM('Defect (Total)'!AJ8,Planned!AJ8,Reconductor!AJ8,CTGS!AJ8)</f>
        <v>2695</v>
      </c>
      <c r="AK8" s="88">
        <f t="shared" ref="AK8:AK71" si="14">IFERROR(IF($AM$4="N",SUM(AD8:AH8)/5,SUM(AE8:AI8)/5),"")</f>
        <v>3421.84</v>
      </c>
      <c r="AL8" s="89">
        <f t="shared" si="0"/>
        <v>4332.333333333333</v>
      </c>
      <c r="AM8" s="90">
        <f t="shared" ref="AM8:AM71" si="15">IFERROR(IF($AM$4="N",AH8,AI8),"")</f>
        <v>4471</v>
      </c>
      <c r="AN8" s="91">
        <f t="shared" si="1"/>
        <v>4614.9835624626412</v>
      </c>
      <c r="AO8" s="92">
        <f t="shared" si="2"/>
        <v>4961.7394548994153</v>
      </c>
      <c r="AP8" s="92">
        <f t="shared" si="3"/>
        <v>6332.1112897668545</v>
      </c>
      <c r="AQ8" s="92">
        <f t="shared" si="4"/>
        <v>6374.1367552347474</v>
      </c>
      <c r="AR8" s="92">
        <f t="shared" si="5"/>
        <v>5332.0014708582257</v>
      </c>
      <c r="AS8" s="92">
        <f t="shared" si="6"/>
        <v>4862.7094184529951</v>
      </c>
      <c r="AT8" s="92">
        <f t="shared" si="7"/>
        <v>4479.0119178713021</v>
      </c>
      <c r="AU8" s="92">
        <f t="shared" si="8"/>
        <v>4353.5752207172918</v>
      </c>
      <c r="AV8" s="92">
        <f t="shared" si="9"/>
        <v>5064.0516087949227</v>
      </c>
      <c r="AW8" s="92">
        <f t="shared" si="10"/>
        <v>5960.218969723197</v>
      </c>
      <c r="AX8" s="92">
        <f t="shared" si="10"/>
        <v>6625.33141588127</v>
      </c>
      <c r="AY8" s="93">
        <f t="shared" si="11"/>
        <v>4755.6098902763488</v>
      </c>
      <c r="AZ8" s="94">
        <f t="shared" si="12"/>
        <v>4640.1855621614386</v>
      </c>
      <c r="BA8" s="95">
        <f t="shared" si="13"/>
        <v>5064.0516087949227</v>
      </c>
      <c r="BB8" s="689">
        <f>SUM('Defect (Total)'!BB8,Planned!CE8,Reconductor!CE8,CTGS!CE8,'Substation 2025$'!CE8*$BL$1,Comms!CA8*$BL$2)</f>
        <v>3592.6666666666665</v>
      </c>
      <c r="BC8" s="689">
        <f>SUM('Defect (Total)'!BC8,Planned!CF8,Reconductor!CF8,CTGS!CF8,'Substation 2025$'!CF8*$BL$1,Comms!CB8*$BL$2)</f>
        <v>3321.3179790343656</v>
      </c>
      <c r="BD8" s="96">
        <f>SUM('Defect (Total)'!BD8,Planned!CG8,Reconductor!CG8,CTGS!CG8,'Substation 2025$'!CG8*$BL$1,Comms!CC8*$BL$2)</f>
        <v>3321.3179790343656</v>
      </c>
      <c r="BE8" s="96">
        <f>SUM('Defect (Total)'!BE8,Planned!CH8,Reconductor!CH8,CTGS!CH8,'Substation 2025$'!CH8*$BL$1,Comms!CD8*$BL$2)</f>
        <v>3546.0683268273033</v>
      </c>
      <c r="BF8" s="96">
        <f>SUM('Defect (Total)'!BF8,Planned!CI8,Reconductor!CI8,CTGS!CI8,'Substation 2025$'!CI8*$BL$1,Comms!CE8*$BL$2)</f>
        <v>3592.930081879309</v>
      </c>
      <c r="BG8" s="96">
        <f>SUM('Defect (Total)'!BG8,Planned!CJ8,Reconductor!CJ8,CTGS!CJ8,'Substation 2025$'!CJ8*$BL$1,Comms!CF8*$BL$2)</f>
        <v>3624.1712519139792</v>
      </c>
      <c r="BH8" s="96">
        <f>SUM('Defect (Total)'!BH8,Planned!CK8,Reconductor!CK8,CTGS!CK8,'Substation 2025$'!CK8*$BL$1,Comms!CG8*$BL$2)</f>
        <v>3655.4124219486494</v>
      </c>
      <c r="BI8" s="286">
        <f>SUM('Defect (Total)'!BI8,Planned!CL8,Reconductor!CL8,CTGS!CL8,'Substation 2025$'!CL8*$BL$1,Comms!CH8*$BL$2)</f>
        <v>3671.033006965984</v>
      </c>
      <c r="BJ8" s="99">
        <f t="shared" ref="BJ8:BJ71" si="16">IFERROR(SUM(BN8:BR8)/SUM(BE8:BI8),"")</f>
        <v>5699.8564704046294</v>
      </c>
      <c r="BK8" s="743"/>
      <c r="BL8" s="97"/>
      <c r="BM8" s="524"/>
      <c r="BN8" s="416">
        <f>'Distribution Summary'!CI8+'Substation 2025$'!CT8</f>
        <v>19919298.589898318</v>
      </c>
      <c r="BO8" s="97">
        <f>'Distribution Summary'!CJ8+'Substation 2025$'!CU8</f>
        <v>20340859.549448315</v>
      </c>
      <c r="BP8" s="97">
        <f>'Distribution Summary'!CK8+'Substation 2025$'!CV8</f>
        <v>20651758.621704131</v>
      </c>
      <c r="BQ8" s="97">
        <f>'Distribution Summary'!CL8+'Substation 2025$'!CW8</f>
        <v>20980962.490691602</v>
      </c>
      <c r="BR8" s="98">
        <f>'Distribution Summary'!CM8+'Substation 2025$'!CX8</f>
        <v>21215330.36347422</v>
      </c>
    </row>
    <row r="9" spans="1:77" x14ac:dyDescent="0.25">
      <c r="A9" s="81" t="s">
        <v>27</v>
      </c>
      <c r="B9" s="82" t="s">
        <v>28</v>
      </c>
      <c r="C9" s="83" t="s">
        <v>29</v>
      </c>
      <c r="D9" s="84">
        <f>SUM('Defect (Total)'!D9,Planned!D9,Reconductor!D9,CTGS!D9)</f>
        <v>6057626</v>
      </c>
      <c r="E9" s="85">
        <f>SUM('Defect (Total)'!E9,Planned!E9,Reconductor!E9,CTGS!E9)</f>
        <v>7032109.1999999993</v>
      </c>
      <c r="F9" s="85">
        <f>SUM('Defect (Total)'!F9,Planned!F9,Reconductor!F9,CTGS!F9)</f>
        <v>8792681.1999999993</v>
      </c>
      <c r="G9" s="85">
        <f>SUM('Defect (Total)'!G9,Planned!G9,Reconductor!G9,CTGS!G9)</f>
        <v>10228209.344847918</v>
      </c>
      <c r="H9" s="85">
        <f>SUM('Defect (Total)'!H9,Planned!H9,Reconductor!H9,CTGS!H9)</f>
        <v>12538749.442984086</v>
      </c>
      <c r="I9" s="85">
        <f>SUM('Defect (Total)'!I9,Planned!I9,Reconductor!I9,CTGS!I9)</f>
        <v>40012773.263372585</v>
      </c>
      <c r="J9" s="85">
        <f>SUM('Defect (Total)'!J9,Planned!J9,Reconductor!J9,CTGS!J9)</f>
        <v>60360997.883991726</v>
      </c>
      <c r="K9" s="85">
        <f>SUM('Defect (Total)'!K9,Planned!K9,Reconductor!K9,CTGS!K9)</f>
        <v>97952974.330028072</v>
      </c>
      <c r="L9" s="85">
        <f>SUM('Defect (Total)'!L9,Planned!L9,Reconductor!L9,CTGS!L9)</f>
        <v>54721954.772656314</v>
      </c>
      <c r="M9" s="85">
        <f>SUM('Defect (Total)'!M9,Planned!M9,Reconductor!M9,CTGS!M9)</f>
        <v>63728723.523810156</v>
      </c>
      <c r="N9" s="85">
        <f>SUM('Defect (Total)'!N9,Planned!N9,Reconductor!N9,CTGS!N9)</f>
        <v>82549220.900945663</v>
      </c>
      <c r="O9" s="560">
        <f>SUM('Defect (Total)'!O9,Planned!O9,Reconductor!O9,CTGS!O9)</f>
        <v>8150271.1810900578</v>
      </c>
      <c r="P9" s="561">
        <f>SUM('Defect (Total)'!P9,Planned!P9,Reconductor!P9,CTGS!P9)</f>
        <v>9320574.9863810781</v>
      </c>
      <c r="Q9" s="561">
        <f>SUM('Defect (Total)'!Q9,Planned!Q9,Reconductor!Q9,CTGS!Q9)</f>
        <v>11536048.272397874</v>
      </c>
      <c r="R9" s="561">
        <f>SUM('Defect (Total)'!R9,Planned!R9,Reconductor!R9,CTGS!R9)</f>
        <v>13164899.568317803</v>
      </c>
      <c r="S9" s="561">
        <f>SUM('Defect (Total)'!S9,Planned!S9,Reconductor!S9,CTGS!S9)</f>
        <v>15810344.879396925</v>
      </c>
      <c r="T9" s="561">
        <f>SUM('Defect (Total)'!T9,Planned!T9,Reconductor!T9,CTGS!T9)</f>
        <v>49661785.292438589</v>
      </c>
      <c r="U9" s="561">
        <f>SUM('Defect (Total)'!U9,Planned!U9,Reconductor!U9,CTGS!U9)</f>
        <v>75178896.951741904</v>
      </c>
      <c r="V9" s="561">
        <f>SUM('Defect (Total)'!V9,Planned!V9,Reconductor!V9,CTGS!V9)</f>
        <v>117480760.72976723</v>
      </c>
      <c r="W9" s="561">
        <f>SUM('Defect (Total)'!W9,Planned!W9,Reconductor!W9,CTGS!W9)</f>
        <v>61831826.993855007</v>
      </c>
      <c r="X9" s="561">
        <f>SUM('Defect (Total)'!X9,Planned!X9,Reconductor!X9,CTGS!X9)</f>
        <v>67773007.337298214</v>
      </c>
      <c r="Y9" s="561">
        <f>SUM('Defect (Total)'!Y9,Planned!Y9,Reconductor!Y9,CTGS!Y9)</f>
        <v>83252705.349336818</v>
      </c>
      <c r="Z9" s="86">
        <f>SUM('Defect (Total)'!Z9,Planned!Z9,Reconductor!Z9,CTGS!Z9)</f>
        <v>926.8</v>
      </c>
      <c r="AA9" s="87">
        <f>SUM('Defect (Total)'!AA9,Planned!AA9,Reconductor!AA9,CTGS!AA9)</f>
        <v>1092.3999999999999</v>
      </c>
      <c r="AB9" s="87">
        <f>SUM('Defect (Total)'!AB9,Planned!AB9,Reconductor!AB9,CTGS!AB9)</f>
        <v>1058.8000000000002</v>
      </c>
      <c r="AC9" s="87">
        <f>SUM('Defect (Total)'!AC9,Planned!AC9,Reconductor!AC9,CTGS!AC9)</f>
        <v>1124.8000000000002</v>
      </c>
      <c r="AD9" s="87">
        <f>SUM('Defect (Total)'!AD9,Planned!AD9,Reconductor!AD9,CTGS!AD9)</f>
        <v>1634.3999999999996</v>
      </c>
      <c r="AE9" s="87">
        <f>SUM('Defect (Total)'!AE9,Planned!AE9,Reconductor!AE9,CTGS!AE9)</f>
        <v>5169</v>
      </c>
      <c r="AF9" s="87">
        <f>SUM('Defect (Total)'!AF9,Planned!AF9,Reconductor!AF9,CTGS!AF9)</f>
        <v>9088</v>
      </c>
      <c r="AG9" s="87">
        <f>SUM('Defect (Total)'!AG9,Planned!AG9,Reconductor!AG9,CTGS!AG9)</f>
        <v>14690</v>
      </c>
      <c r="AH9" s="87">
        <f>SUM('Defect (Total)'!AH9,Planned!AH9,Reconductor!AH9,CTGS!AH9)</f>
        <v>9253</v>
      </c>
      <c r="AI9" s="87">
        <f>SUM('Defect (Total)'!AI9,Planned!AI9,Reconductor!AI9,CTGS!AI9)</f>
        <v>9236</v>
      </c>
      <c r="AJ9" s="87">
        <f>SUM('Defect (Total)'!AJ9,Planned!AJ9,Reconductor!AJ9,CTGS!AJ9)</f>
        <v>9901</v>
      </c>
      <c r="AK9" s="88">
        <f t="shared" si="14"/>
        <v>7966.88</v>
      </c>
      <c r="AL9" s="89">
        <f t="shared" si="0"/>
        <v>11010.333333333334</v>
      </c>
      <c r="AM9" s="90">
        <f t="shared" si="15"/>
        <v>9253</v>
      </c>
      <c r="AN9" s="91">
        <f t="shared" si="1"/>
        <v>6536.0660336642213</v>
      </c>
      <c r="AO9" s="92">
        <f t="shared" si="2"/>
        <v>6437.302453313805</v>
      </c>
      <c r="AP9" s="92">
        <f t="shared" si="3"/>
        <v>8304.3834529656197</v>
      </c>
      <c r="AQ9" s="92">
        <f t="shared" si="4"/>
        <v>9093.3582368847055</v>
      </c>
      <c r="AR9" s="92">
        <f t="shared" si="5"/>
        <v>7671.775234327024</v>
      </c>
      <c r="AS9" s="92">
        <f t="shared" si="6"/>
        <v>7740.9118327283004</v>
      </c>
      <c r="AT9" s="92">
        <f t="shared" si="7"/>
        <v>6641.8351544885263</v>
      </c>
      <c r="AU9" s="92">
        <f t="shared" si="8"/>
        <v>6668.0036984362196</v>
      </c>
      <c r="AV9" s="92">
        <f t="shared" si="9"/>
        <v>5913.9689584628031</v>
      </c>
      <c r="AW9" s="92">
        <f t="shared" si="10"/>
        <v>6900.0350285632476</v>
      </c>
      <c r="AX9" s="92">
        <f t="shared" si="10"/>
        <v>8337.4629735325379</v>
      </c>
      <c r="AY9" s="93">
        <f t="shared" si="11"/>
        <v>6667.2888180324744</v>
      </c>
      <c r="AZ9" s="94">
        <f t="shared" si="12"/>
        <v>6449.5754590135366</v>
      </c>
      <c r="BA9" s="95">
        <f t="shared" si="13"/>
        <v>5913.9689584628031</v>
      </c>
      <c r="BB9" s="689">
        <f>SUM('Defect (Total)'!BB9,Planned!CE9,Reconductor!CE9,CTGS!CE9,'Substation 2025$'!CE9*$BL$1,Comms!CA9*$BL$2)</f>
        <v>10167.866666666667</v>
      </c>
      <c r="BC9" s="689">
        <f>SUM('Defect (Total)'!BC9,Planned!CF9,Reconductor!CF9,CTGS!CF9,'Substation 2025$'!CF9*$BL$1,Comms!CB9*$BL$2)</f>
        <v>9975.5417605468101</v>
      </c>
      <c r="BD9" s="96">
        <f>SUM('Defect (Total)'!BD9,Planned!CG9,Reconductor!CG9,CTGS!CG9,'Substation 2025$'!CG9*$BL$1,Comms!CC9*$BL$2)</f>
        <v>9975.5417605468101</v>
      </c>
      <c r="BE9" s="96">
        <f>SUM('Defect (Total)'!BE9,Planned!CH9,Reconductor!CH9,CTGS!CH9,'Substation 2025$'!CH9*$BL$1,Comms!CD9*$BL$2)</f>
        <v>10251.097479820703</v>
      </c>
      <c r="BF9" s="96">
        <f>SUM('Defect (Total)'!BF9,Planned!CI9,Reconductor!CI9,CTGS!CI9,'Substation 2025$'!CI9*$BL$1,Comms!CE9*$BL$2)</f>
        <v>10308.552450398498</v>
      </c>
      <c r="BG9" s="96">
        <f>SUM('Defect (Total)'!BG9,Planned!CJ9,Reconductor!CJ9,CTGS!CJ9,'Substation 2025$'!CJ9*$BL$1,Comms!CF9*$BL$2)</f>
        <v>10346.855764117026</v>
      </c>
      <c r="BH9" s="96">
        <f>SUM('Defect (Total)'!BH9,Planned!CK9,Reconductor!CK9,CTGS!CK9,'Substation 2025$'!CK9*$BL$1,Comms!CG9*$BL$2)</f>
        <v>10385.159077835557</v>
      </c>
      <c r="BI9" s="286">
        <f>SUM('Defect (Total)'!BI9,Planned!CL9,Reconductor!CL9,CTGS!CL9,'Substation 2025$'!CL9*$BL$1,Comms!CH9*$BL$2)</f>
        <v>10404.31073469482</v>
      </c>
      <c r="BJ9" s="99">
        <f t="shared" si="16"/>
        <v>7323.1240895258916</v>
      </c>
      <c r="BK9" s="743"/>
      <c r="BL9" s="97"/>
      <c r="BM9" s="524"/>
      <c r="BN9" s="416">
        <f>'Distribution Summary'!CI9+'Substation 2025$'!CT9</f>
        <v>74439832.352006212</v>
      </c>
      <c r="BO9" s="97">
        <f>'Distribution Summary'!CJ9+'Substation 2025$'!CU9</f>
        <v>75141829.443861395</v>
      </c>
      <c r="BP9" s="97">
        <f>'Distribution Summary'!CK9+'Substation 2025$'!CV9</f>
        <v>75716482.886282861</v>
      </c>
      <c r="BQ9" s="97">
        <f>'Distribution Summary'!CL9+'Substation 2025$'!CW9</f>
        <v>76353968.86501649</v>
      </c>
      <c r="BR9" s="98">
        <f>'Distribution Summary'!CM9+'Substation 2025$'!CX9</f>
        <v>76923930.018708408</v>
      </c>
    </row>
    <row r="10" spans="1:77" x14ac:dyDescent="0.25">
      <c r="A10" s="81" t="s">
        <v>27</v>
      </c>
      <c r="B10" s="82" t="s">
        <v>30</v>
      </c>
      <c r="C10" s="83" t="s">
        <v>298</v>
      </c>
      <c r="D10" s="84">
        <f>SUM('Defect (Total)'!D10,Planned!D10,Reconductor!D10,CTGS!D10)</f>
        <v>6057626</v>
      </c>
      <c r="E10" s="85">
        <f>SUM('Defect (Total)'!E10,Planned!E10,Reconductor!E10,CTGS!E10)</f>
        <v>7032109.2000000002</v>
      </c>
      <c r="F10" s="85">
        <f>SUM('Defect (Total)'!F10,Planned!F10,Reconductor!F10,CTGS!F10)</f>
        <v>8792681.1999999993</v>
      </c>
      <c r="G10" s="85">
        <f>SUM('Defect (Total)'!G10,Planned!G10,Reconductor!G10,CTGS!G10)</f>
        <v>10228209.344847918</v>
      </c>
      <c r="H10" s="85">
        <f>SUM('Defect (Total)'!H10,Planned!H10,Reconductor!H10,CTGS!H10)</f>
        <v>12538749.442984089</v>
      </c>
      <c r="I10" s="85">
        <f>SUM('Defect (Total)'!I10,Planned!I10,Reconductor!I10,CTGS!I10)</f>
        <v>6946267.7883578483</v>
      </c>
      <c r="J10" s="85">
        <f>SUM('Defect (Total)'!J10,Planned!J10,Reconductor!J10,CTGS!J10)</f>
        <v>0</v>
      </c>
      <c r="K10" s="85">
        <f>SUM('Defect (Total)'!K10,Planned!K10,Reconductor!K10,CTGS!K10)</f>
        <v>0</v>
      </c>
      <c r="L10" s="85">
        <f>SUM('Defect (Total)'!L10,Planned!L10,Reconductor!L10,CTGS!L10)</f>
        <v>0</v>
      </c>
      <c r="M10" s="85">
        <f>SUM('Defect (Total)'!M10,Planned!M10,Reconductor!M10,CTGS!M10)</f>
        <v>0</v>
      </c>
      <c r="N10" s="85">
        <f>SUM('Defect (Total)'!N10,Planned!N10,Reconductor!N10,CTGS!N10)</f>
        <v>0</v>
      </c>
      <c r="O10" s="560">
        <f>SUM('Defect (Total)'!O10,Planned!O10,Reconductor!O10,CTGS!O10)</f>
        <v>8150271.1810900588</v>
      </c>
      <c r="P10" s="561">
        <f>SUM('Defect (Total)'!P10,Planned!P10,Reconductor!P10,CTGS!P10)</f>
        <v>9320574.9863810781</v>
      </c>
      <c r="Q10" s="561">
        <f>SUM('Defect (Total)'!Q10,Planned!Q10,Reconductor!Q10,CTGS!Q10)</f>
        <v>11536048.27239788</v>
      </c>
      <c r="R10" s="561">
        <f>SUM('Defect (Total)'!R10,Planned!R10,Reconductor!R10,CTGS!R10)</f>
        <v>13164899.568317801</v>
      </c>
      <c r="S10" s="561">
        <f>SUM('Defect (Total)'!S10,Planned!S10,Reconductor!S10,CTGS!S10)</f>
        <v>15810344.87939693</v>
      </c>
      <c r="T10" s="561">
        <f>SUM('Defect (Total)'!T10,Planned!T10,Reconductor!T10,CTGS!T10)</f>
        <v>8621348.4183808733</v>
      </c>
      <c r="U10" s="561">
        <f>SUM('Defect (Total)'!U10,Planned!U10,Reconductor!U10,CTGS!U10)</f>
        <v>0</v>
      </c>
      <c r="V10" s="561">
        <f>SUM('Defect (Total)'!V10,Planned!V10,Reconductor!V10,CTGS!V10)</f>
        <v>0</v>
      </c>
      <c r="W10" s="561">
        <f>SUM('Defect (Total)'!W10,Planned!W10,Reconductor!W10,CTGS!W10)</f>
        <v>0</v>
      </c>
      <c r="X10" s="561">
        <f>SUM('Defect (Total)'!X10,Planned!X10,Reconductor!X10,CTGS!X10)</f>
        <v>0</v>
      </c>
      <c r="Y10" s="561">
        <f>SUM('Defect (Total)'!Y10,Planned!Y10,Reconductor!Y10,CTGS!Y10)</f>
        <v>0</v>
      </c>
      <c r="Z10" s="86">
        <f>SUM('Defect (Total)'!Z10,Planned!Z10,Reconductor!Z10,CTGS!Z10)</f>
        <v>926.80000000000007</v>
      </c>
      <c r="AA10" s="87">
        <f>SUM('Defect (Total)'!AA10,Planned!AA10,Reconductor!AA10,CTGS!AA10)</f>
        <v>1092.4000000000001</v>
      </c>
      <c r="AB10" s="87">
        <f>SUM('Defect (Total)'!AB10,Planned!AB10,Reconductor!AB10,CTGS!AB10)</f>
        <v>1058.8</v>
      </c>
      <c r="AC10" s="87">
        <f>SUM('Defect (Total)'!AC10,Planned!AC10,Reconductor!AC10,CTGS!AC10)</f>
        <v>1124.8</v>
      </c>
      <c r="AD10" s="87">
        <f>SUM('Defect (Total)'!AD10,Planned!AD10,Reconductor!AD10,CTGS!AD10)</f>
        <v>1634.4</v>
      </c>
      <c r="AE10" s="87">
        <f>SUM('Defect (Total)'!AE10,Planned!AE10,Reconductor!AE10,CTGS!AE10)</f>
        <v>560</v>
      </c>
      <c r="AF10" s="87">
        <f>SUM('Defect (Total)'!AF10,Planned!AF10,Reconductor!AF10,CTGS!AF10)</f>
        <v>0</v>
      </c>
      <c r="AG10" s="87">
        <f>SUM('Defect (Total)'!AG10,Planned!AG10,Reconductor!AG10,CTGS!AG10)</f>
        <v>0</v>
      </c>
      <c r="AH10" s="87">
        <f>SUM('Defect (Total)'!AH10,Planned!AH10,Reconductor!AH10,CTGS!AH10)</f>
        <v>0</v>
      </c>
      <c r="AI10" s="87">
        <f>SUM('Defect (Total)'!AI10,Planned!AI10,Reconductor!AI10,CTGS!AI10)</f>
        <v>0</v>
      </c>
      <c r="AJ10" s="87">
        <f>SUM('Defect (Total)'!AJ10,Planned!AJ10,Reconductor!AJ10,CTGS!AJ10)</f>
        <v>0</v>
      </c>
      <c r="AK10" s="88">
        <f t="shared" si="14"/>
        <v>438.88</v>
      </c>
      <c r="AL10" s="89">
        <f t="shared" si="0"/>
        <v>0</v>
      </c>
      <c r="AM10" s="90">
        <f t="shared" si="15"/>
        <v>0</v>
      </c>
      <c r="AN10" s="91">
        <f t="shared" si="1"/>
        <v>6536.0660336642204</v>
      </c>
      <c r="AO10" s="92">
        <f t="shared" si="2"/>
        <v>6437.3024533138041</v>
      </c>
      <c r="AP10" s="92">
        <f t="shared" si="3"/>
        <v>8304.3834529656215</v>
      </c>
      <c r="AQ10" s="92">
        <f t="shared" si="4"/>
        <v>9093.3582368847074</v>
      </c>
      <c r="AR10" s="92">
        <f t="shared" si="5"/>
        <v>7671.775234327024</v>
      </c>
      <c r="AS10" s="92">
        <f t="shared" si="6"/>
        <v>12404.049622067587</v>
      </c>
      <c r="AT10" s="92" t="str">
        <f t="shared" si="7"/>
        <v/>
      </c>
      <c r="AU10" s="92" t="str">
        <f t="shared" si="8"/>
        <v/>
      </c>
      <c r="AV10" s="92" t="str">
        <f t="shared" si="9"/>
        <v/>
      </c>
      <c r="AW10" s="92" t="str">
        <f t="shared" si="10"/>
        <v/>
      </c>
      <c r="AX10" s="92" t="str">
        <f t="shared" si="10"/>
        <v/>
      </c>
      <c r="AY10" s="93">
        <f t="shared" si="11"/>
        <v>8879.4281951066059</v>
      </c>
      <c r="AZ10" s="94" t="str">
        <f t="shared" si="12"/>
        <v/>
      </c>
      <c r="BA10" s="95" t="str">
        <f t="shared" si="13"/>
        <v/>
      </c>
      <c r="BB10" s="689">
        <f>SUM('Defect (Total)'!BB10,Planned!CE10,Reconductor!CE10,CTGS!CE10,'Substation 2025$'!CE10*$BL$1,Comms!CA10*$BL$2)</f>
        <v>6.8</v>
      </c>
      <c r="BC10" s="689">
        <f>SUM('Defect (Total)'!BC10,Planned!CF10,Reconductor!CF10,CTGS!CF10,'Substation 2025$'!CF10*$BL$1,Comms!CB10*$BL$2)</f>
        <v>11.650008807836905</v>
      </c>
      <c r="BD10" s="96">
        <f>SUM('Defect (Total)'!BD10,Planned!CG10,Reconductor!CG10,CTGS!CG10,'Substation 2025$'!CG10*$BL$1,Comms!CC10*$BL$2)</f>
        <v>11.650008807836905</v>
      </c>
      <c r="BE10" s="96">
        <f>SUM('Defect (Total)'!BE10,Planned!CH10,Reconductor!CH10,CTGS!CH10,'Substation 2025$'!CH10*$BL$1,Comms!CD10*$BL$2)</f>
        <v>13.158400403762666</v>
      </c>
      <c r="BF10" s="96">
        <f>SUM('Defect (Total)'!BF10,Planned!CI10,Reconductor!CI10,CTGS!CI10,'Substation 2025$'!CI10*$BL$1,Comms!CE10*$BL$2)</f>
        <v>13.472908826930485</v>
      </c>
      <c r="BG10" s="96">
        <f>SUM('Defect (Total)'!BG10,Planned!CJ10,Reconductor!CJ10,CTGS!CJ10,'Substation 2025$'!CJ10*$BL$1,Comms!CF10*$BL$2)</f>
        <v>13.682581109042365</v>
      </c>
      <c r="BH10" s="96">
        <f>SUM('Defect (Total)'!BH10,Planned!CK10,Reconductor!CK10,CTGS!CK10,'Substation 2025$'!CK10*$BL$1,Comms!CG10*$BL$2)</f>
        <v>13.892253391154247</v>
      </c>
      <c r="BI10" s="286">
        <f>SUM('Defect (Total)'!BI10,Planned!CL10,Reconductor!CL10,CTGS!CL10,'Substation 2025$'!CL10*$BL$1,Comms!CH10*$BL$2)</f>
        <v>13.997089532210186</v>
      </c>
      <c r="BJ10" s="99">
        <f t="shared" si="16"/>
        <v>9091.4477066163236</v>
      </c>
      <c r="BK10" s="743"/>
      <c r="BL10" s="97"/>
      <c r="BM10" s="524"/>
      <c r="BN10" s="416">
        <f>'Distribution Summary'!CI10+'Substation 2025$'!CT10</f>
        <v>119546.25968617246</v>
      </c>
      <c r="BO10" s="97">
        <f>'Distribution Summary'!CJ10+'Substation 2025$'!CU10</f>
        <v>122239.27805206008</v>
      </c>
      <c r="BP10" s="97">
        <f>'Distribution Summary'!CK10+'Substation 2025$'!CV10</f>
        <v>124214.73957479846</v>
      </c>
      <c r="BQ10" s="97">
        <f>'Distribution Summary'!CL10+'Substation 2025$'!CW10</f>
        <v>126301.09813822639</v>
      </c>
      <c r="BR10" s="98">
        <f>'Distribution Summary'!CM10+'Substation 2025$'!CX10</f>
        <v>127764.75318237083</v>
      </c>
    </row>
    <row r="11" spans="1:77" x14ac:dyDescent="0.25">
      <c r="A11" s="81" t="s">
        <v>27</v>
      </c>
      <c r="B11" s="82" t="s">
        <v>32</v>
      </c>
      <c r="C11" s="83" t="s">
        <v>33</v>
      </c>
      <c r="D11" s="84">
        <f>SUM('Defect (Total)'!D11,Planned!D11,Reconductor!D11,CTGS!D11)</f>
        <v>2886253</v>
      </c>
      <c r="E11" s="85">
        <f>SUM('Defect (Total)'!E11,Planned!E11,Reconductor!E11,CTGS!E11)</f>
        <v>3416493</v>
      </c>
      <c r="F11" s="85">
        <f>SUM('Defect (Total)'!F11,Planned!F11,Reconductor!F11,CTGS!F11)</f>
        <v>3209167</v>
      </c>
      <c r="G11" s="85">
        <f>SUM('Defect (Total)'!G11,Planned!G11,Reconductor!G11,CTGS!G11)</f>
        <v>4012995.6945411037</v>
      </c>
      <c r="H11" s="85">
        <f>SUM('Defect (Total)'!H11,Planned!H11,Reconductor!H11,CTGS!H11)</f>
        <v>4540604</v>
      </c>
      <c r="I11" s="85">
        <f>SUM('Defect (Total)'!I11,Planned!I11,Reconductor!I11,CTGS!I11)</f>
        <v>156753.18565892015</v>
      </c>
      <c r="J11" s="85">
        <f>SUM('Defect (Total)'!J11,Planned!J11,Reconductor!J11,CTGS!J11)</f>
        <v>11097076.496250996</v>
      </c>
      <c r="K11" s="85">
        <f>SUM('Defect (Total)'!K11,Planned!K11,Reconductor!K11,CTGS!K11)</f>
        <v>10329770.718329817</v>
      </c>
      <c r="L11" s="85">
        <f>SUM('Defect (Total)'!L11,Planned!L11,Reconductor!L11,CTGS!L11)</f>
        <v>7534580.893029063</v>
      </c>
      <c r="M11" s="85">
        <f>SUM('Defect (Total)'!M11,Planned!M11,Reconductor!M11,CTGS!M11)</f>
        <v>9000354.0445279498</v>
      </c>
      <c r="N11" s="85">
        <f>SUM('Defect (Total)'!N11,Planned!N11,Reconductor!N11,CTGS!N11)</f>
        <v>12719257.245964967</v>
      </c>
      <c r="O11" s="560">
        <f>SUM('Defect (Total)'!O11,Planned!O11,Reconductor!O11,CTGS!O11)</f>
        <v>3883327.33767894</v>
      </c>
      <c r="P11" s="561">
        <f>SUM('Defect (Total)'!P11,Planned!P11,Reconductor!P11,CTGS!P11)</f>
        <v>4528325.4698243374</v>
      </c>
      <c r="Q11" s="561">
        <f>SUM('Defect (Total)'!Q11,Planned!Q11,Reconductor!Q11,CTGS!Q11)</f>
        <v>4210445.5494401725</v>
      </c>
      <c r="R11" s="561">
        <f>SUM('Defect (Total)'!R11,Planned!R11,Reconductor!R11,CTGS!R11)</f>
        <v>5165193.975359614</v>
      </c>
      <c r="S11" s="561">
        <f>SUM('Defect (Total)'!S11,Planned!S11,Reconductor!S11,CTGS!S11)</f>
        <v>5725332.9390785191</v>
      </c>
      <c r="T11" s="561">
        <f>SUM('Defect (Total)'!T11,Planned!T11,Reconductor!T11,CTGS!T11)</f>
        <v>194553.94903169747</v>
      </c>
      <c r="U11" s="561">
        <f>SUM('Defect (Total)'!U11,Planned!U11,Reconductor!U11,CTGS!U11)</f>
        <v>13821275.32054114</v>
      </c>
      <c r="V11" s="561">
        <f>SUM('Defect (Total)'!V11,Planned!V11,Reconductor!V11,CTGS!V11)</f>
        <v>12389101.305537794</v>
      </c>
      <c r="W11" s="561">
        <f>SUM('Defect (Total)'!W11,Planned!W11,Reconductor!W11,CTGS!W11)</f>
        <v>8513528.1476050243</v>
      </c>
      <c r="X11" s="561">
        <f>SUM('Defect (Total)'!X11,Planned!X11,Reconductor!X11,CTGS!X11)</f>
        <v>9571524.8473504279</v>
      </c>
      <c r="Y11" s="561">
        <f>SUM('Defect (Total)'!Y11,Planned!Y11,Reconductor!Y11,CTGS!Y11)</f>
        <v>12814572.467131773</v>
      </c>
      <c r="Z11" s="86">
        <f>SUM('Defect (Total)'!Z11,Planned!Z11,Reconductor!Z11,CTGS!Z11)</f>
        <v>184</v>
      </c>
      <c r="AA11" s="87">
        <f>SUM('Defect (Total)'!AA11,Planned!AA11,Reconductor!AA11,CTGS!AA11)</f>
        <v>240</v>
      </c>
      <c r="AB11" s="87">
        <f>SUM('Defect (Total)'!AB11,Planned!AB11,Reconductor!AB11,CTGS!AB11)</f>
        <v>184</v>
      </c>
      <c r="AC11" s="87">
        <f>SUM('Defect (Total)'!AC11,Planned!AC11,Reconductor!AC11,CTGS!AC11)</f>
        <v>181</v>
      </c>
      <c r="AD11" s="87">
        <f>SUM('Defect (Total)'!AD11,Planned!AD11,Reconductor!AD11,CTGS!AD11)</f>
        <v>307</v>
      </c>
      <c r="AE11" s="87">
        <f>SUM('Defect (Total)'!AE11,Planned!AE11,Reconductor!AE11,CTGS!AE11)</f>
        <v>7</v>
      </c>
      <c r="AF11" s="87">
        <f>SUM('Defect (Total)'!AF11,Planned!AF11,Reconductor!AF11,CTGS!AF11)</f>
        <v>816</v>
      </c>
      <c r="AG11" s="87">
        <f>SUM('Defect (Total)'!AG11,Planned!AG11,Reconductor!AG11,CTGS!AG11)</f>
        <v>1125</v>
      </c>
      <c r="AH11" s="87">
        <f>SUM('Defect (Total)'!AH11,Planned!AH11,Reconductor!AH11,CTGS!AH11)</f>
        <v>788</v>
      </c>
      <c r="AI11" s="87">
        <f>SUM('Defect (Total)'!AI11,Planned!AI11,Reconductor!AI11,CTGS!AI11)</f>
        <v>599</v>
      </c>
      <c r="AJ11" s="87">
        <f>SUM('Defect (Total)'!AJ11,Planned!AJ11,Reconductor!AJ11,CTGS!AJ11)</f>
        <v>765</v>
      </c>
      <c r="AK11" s="88">
        <f t="shared" si="14"/>
        <v>608.6</v>
      </c>
      <c r="AL11" s="89">
        <f t="shared" si="0"/>
        <v>909.66666666666663</v>
      </c>
      <c r="AM11" s="90">
        <f t="shared" si="15"/>
        <v>788</v>
      </c>
      <c r="AN11" s="91">
        <f t="shared" si="1"/>
        <v>15686.157608695652</v>
      </c>
      <c r="AO11" s="92">
        <f t="shared" si="2"/>
        <v>14235.387500000001</v>
      </c>
      <c r="AP11" s="92">
        <f t="shared" si="3"/>
        <v>17441.125</v>
      </c>
      <c r="AQ11" s="92">
        <f t="shared" si="4"/>
        <v>22171.246931166319</v>
      </c>
      <c r="AR11" s="92">
        <f t="shared" si="5"/>
        <v>14790.241042345277</v>
      </c>
      <c r="AS11" s="92">
        <f t="shared" si="6"/>
        <v>22393.312236988593</v>
      </c>
      <c r="AT11" s="92">
        <f t="shared" si="7"/>
        <v>13599.358451287986</v>
      </c>
      <c r="AU11" s="92">
        <f t="shared" si="8"/>
        <v>9182.018416293171</v>
      </c>
      <c r="AV11" s="92">
        <f t="shared" si="9"/>
        <v>9561.6508794785059</v>
      </c>
      <c r="AW11" s="92">
        <f t="shared" si="10"/>
        <v>15025.632795539148</v>
      </c>
      <c r="AX11" s="92">
        <f t="shared" si="10"/>
        <v>16626.480060084923</v>
      </c>
      <c r="AY11" s="93">
        <f t="shared" si="11"/>
        <v>11061.053333312126</v>
      </c>
      <c r="AZ11" s="94">
        <f t="shared" si="12"/>
        <v>10612.469075709005</v>
      </c>
      <c r="BA11" s="95">
        <f t="shared" si="13"/>
        <v>9561.6508794785059</v>
      </c>
      <c r="BB11" s="689">
        <f>SUM('Defect (Total)'!BB11,Planned!CE11,Reconductor!CE11,CTGS!CE11,'Substation 2025$'!CE11*$BL$1,Comms!CA11*$BL$2)</f>
        <v>650.86666666666667</v>
      </c>
      <c r="BC11" s="689">
        <f>SUM('Defect (Total)'!BC11,Planned!CF11,Reconductor!CF11,CTGS!CF11,'Substation 2025$'!CF11*$BL$1,Comms!CB11*$BL$2)</f>
        <v>644.7652500027823</v>
      </c>
      <c r="BD11" s="96">
        <f>SUM('Defect (Total)'!BD11,Planned!CG11,Reconductor!CG11,CTGS!CG11,'Substation 2025$'!CG11*$BL$1,Comms!CC11*$BL$2)</f>
        <v>644.7652500027823</v>
      </c>
      <c r="BE11" s="96">
        <f>SUM('Defect (Total)'!BE11,Planned!CH11,Reconductor!CH11,CTGS!CH11,'Substation 2025$'!CH11*$BL$1,Comms!CD11*$BL$2)</f>
        <v>661.63181057540669</v>
      </c>
      <c r="BF11" s="96">
        <f>SUM('Defect (Total)'!BF11,Planned!CI11,Reconductor!CI11,CTGS!CI11,'Substation 2025$'!CI11*$BL$1,Comms!CE11*$BL$2)</f>
        <v>665.14858657991965</v>
      </c>
      <c r="BG11" s="96">
        <f>SUM('Defect (Total)'!BG11,Planned!CJ11,Reconductor!CJ11,CTGS!CJ11,'Substation 2025$'!CJ11*$BL$1,Comms!CF11*$BL$2)</f>
        <v>667.49310391626159</v>
      </c>
      <c r="BH11" s="96">
        <f>SUM('Defect (Total)'!BH11,Planned!CK11,Reconductor!CK11,CTGS!CK11,'Substation 2025$'!CK11*$BL$1,Comms!CG11*$BL$2)</f>
        <v>669.83762125260353</v>
      </c>
      <c r="BI11" s="286">
        <f>SUM('Defect (Total)'!BI11,Planned!CL11,Reconductor!CL11,CTGS!CL11,'Substation 2025$'!CL11*$BL$1,Comms!CH11*$BL$2)</f>
        <v>671.00987992077444</v>
      </c>
      <c r="BJ11" s="99">
        <f t="shared" si="16"/>
        <v>12606.290104029393</v>
      </c>
      <c r="BK11" s="743"/>
      <c r="BL11" s="97"/>
      <c r="BM11" s="524"/>
      <c r="BN11" s="416">
        <f>'Distribution Summary'!CI11+'Substation 2025$'!CT11</f>
        <v>8274403.6153064165</v>
      </c>
      <c r="BO11" s="97">
        <f>'Distribution Summary'!CJ11+'Substation 2025$'!CU11</f>
        <v>8347600.4036918264</v>
      </c>
      <c r="BP11" s="97">
        <f>'Distribution Summary'!CK11+'Substation 2025$'!CV11</f>
        <v>8408226.330872098</v>
      </c>
      <c r="BQ11" s="97">
        <f>'Distribution Summary'!CL11+'Substation 2025$'!CW11</f>
        <v>8475805.5960980654</v>
      </c>
      <c r="BR11" s="98">
        <f>'Distribution Summary'!CM11+'Substation 2025$'!CX11</f>
        <v>8537466.9403728973</v>
      </c>
    </row>
    <row r="12" spans="1:77" x14ac:dyDescent="0.25">
      <c r="A12" s="81" t="s">
        <v>27</v>
      </c>
      <c r="B12" s="82" t="s">
        <v>34</v>
      </c>
      <c r="C12" s="83" t="s">
        <v>35</v>
      </c>
      <c r="D12" s="84">
        <f>SUM('Defect (Total)'!D12,Planned!D12,Reconductor!D12,CTGS!D12)</f>
        <v>260333</v>
      </c>
      <c r="E12" s="85">
        <f>SUM('Defect (Total)'!E12,Planned!E12,Reconductor!E12,CTGS!E12)</f>
        <v>524124</v>
      </c>
      <c r="F12" s="85">
        <f>SUM('Defect (Total)'!F12,Planned!F12,Reconductor!F12,CTGS!F12)</f>
        <v>0</v>
      </c>
      <c r="G12" s="85">
        <f>SUM('Defect (Total)'!G12,Planned!G12,Reconductor!G12,CTGS!G12)</f>
        <v>578254.04321771057</v>
      </c>
      <c r="H12" s="85">
        <f>SUM('Defect (Total)'!H12,Planned!H12,Reconductor!H12,CTGS!H12)</f>
        <v>76931</v>
      </c>
      <c r="I12" s="85">
        <f>SUM('Defect (Total)'!I12,Planned!I12,Reconductor!I12,CTGS!I12)</f>
        <v>9695716.0432001855</v>
      </c>
      <c r="J12" s="85">
        <f>SUM('Defect (Total)'!J12,Planned!J12,Reconductor!J12,CTGS!J12)</f>
        <v>590146.23023702623</v>
      </c>
      <c r="K12" s="85">
        <f>SUM('Defect (Total)'!K12,Planned!K12,Reconductor!K12,CTGS!K12)</f>
        <v>377217.96442130196</v>
      </c>
      <c r="L12" s="85">
        <f>SUM('Defect (Total)'!L12,Planned!L12,Reconductor!L12,CTGS!L12)</f>
        <v>121625.33933916573</v>
      </c>
      <c r="M12" s="85">
        <f>SUM('Defect (Total)'!M12,Planned!M12,Reconductor!M12,CTGS!M12)</f>
        <v>144949.92781114599</v>
      </c>
      <c r="N12" s="85">
        <f>SUM('Defect (Total)'!N12,Planned!N12,Reconductor!N12,CTGS!N12)</f>
        <v>377704.05090497085</v>
      </c>
      <c r="O12" s="560">
        <f>SUM('Defect (Total)'!O12,Planned!O12,Reconductor!O12,CTGS!O12)</f>
        <v>350266.67994800571</v>
      </c>
      <c r="P12" s="561">
        <f>SUM('Defect (Total)'!P12,Planned!P12,Reconductor!P12,CTGS!P12)</f>
        <v>694690.15699613944</v>
      </c>
      <c r="Q12" s="561">
        <f>SUM('Defect (Total)'!Q12,Planned!Q12,Reconductor!Q12,CTGS!Q12)</f>
        <v>0</v>
      </c>
      <c r="R12" s="561">
        <f>SUM('Defect (Total)'!R12,Planned!R12,Reconductor!R12,CTGS!R12)</f>
        <v>744280.46467092063</v>
      </c>
      <c r="S12" s="561">
        <f>SUM('Defect (Total)'!S12,Planned!S12,Reconductor!S12,CTGS!S12)</f>
        <v>97003.744069346169</v>
      </c>
      <c r="T12" s="561">
        <f>SUM('Defect (Total)'!T12,Planned!T12,Reconductor!T12,CTGS!T12)</f>
        <v>12033821.430583708</v>
      </c>
      <c r="U12" s="561">
        <f>SUM('Defect (Total)'!U12,Planned!U12,Reconductor!U12,CTGS!U12)</f>
        <v>735020.03255010385</v>
      </c>
      <c r="V12" s="561">
        <f>SUM('Defect (Total)'!V12,Planned!V12,Reconductor!V12,CTGS!V12)</f>
        <v>452419.68122210994</v>
      </c>
      <c r="W12" s="561">
        <f>SUM('Defect (Total)'!W12,Planned!W12,Reconductor!W12,CTGS!W12)</f>
        <v>137427.78326051292</v>
      </c>
      <c r="X12" s="561">
        <f>SUM('Defect (Total)'!X12,Planned!X12,Reconductor!X12,CTGS!X12)</f>
        <v>154148.58446702364</v>
      </c>
      <c r="Y12" s="561">
        <f>SUM('Defect (Total)'!Y12,Planned!Y12,Reconductor!Y12,CTGS!Y12)</f>
        <v>380333.28773068049</v>
      </c>
      <c r="Z12" s="86">
        <f>SUM('Defect (Total)'!Z12,Planned!Z12,Reconductor!Z12,CTGS!Z12)</f>
        <v>3</v>
      </c>
      <c r="AA12" s="87">
        <f>SUM('Defect (Total)'!AA12,Planned!AA12,Reconductor!AA12,CTGS!AA12)</f>
        <v>18</v>
      </c>
      <c r="AB12" s="87">
        <f>SUM('Defect (Total)'!AB12,Planned!AB12,Reconductor!AB12,CTGS!AB12)</f>
        <v>0</v>
      </c>
      <c r="AC12" s="87">
        <f>SUM('Defect (Total)'!AC12,Planned!AC12,Reconductor!AC12,CTGS!AC12)</f>
        <v>1</v>
      </c>
      <c r="AD12" s="87">
        <f>SUM('Defect (Total)'!AD12,Planned!AD12,Reconductor!AD12,CTGS!AD12)</f>
        <v>3</v>
      </c>
      <c r="AE12" s="87">
        <f>SUM('Defect (Total)'!AE12,Planned!AE12,Reconductor!AE12,CTGS!AE12)</f>
        <v>1329</v>
      </c>
      <c r="AF12" s="87">
        <f>SUM('Defect (Total)'!AF12,Planned!AF12,Reconductor!AF12,CTGS!AF12)</f>
        <v>27</v>
      </c>
      <c r="AG12" s="87">
        <f>SUM('Defect (Total)'!AG12,Planned!AG12,Reconductor!AG12,CTGS!AG12)</f>
        <v>34</v>
      </c>
      <c r="AH12" s="87">
        <f>SUM('Defect (Total)'!AH12,Planned!AH12,Reconductor!AH12,CTGS!AH12)</f>
        <v>16</v>
      </c>
      <c r="AI12" s="87">
        <f>SUM('Defect (Total)'!AI12,Planned!AI12,Reconductor!AI12,CTGS!AI12)</f>
        <v>5</v>
      </c>
      <c r="AJ12" s="87">
        <f>SUM('Defect (Total)'!AJ12,Planned!AJ12,Reconductor!AJ12,CTGS!AJ12)</f>
        <v>20</v>
      </c>
      <c r="AK12" s="88">
        <f t="shared" si="14"/>
        <v>281.8</v>
      </c>
      <c r="AL12" s="89">
        <f t="shared" si="0"/>
        <v>25.666666666666668</v>
      </c>
      <c r="AM12" s="90">
        <f t="shared" si="15"/>
        <v>16</v>
      </c>
      <c r="AN12" s="91">
        <f t="shared" si="1"/>
        <v>86777.666666666672</v>
      </c>
      <c r="AO12" s="92">
        <f t="shared" si="2"/>
        <v>29118</v>
      </c>
      <c r="AP12" s="92" t="str">
        <f t="shared" si="3"/>
        <v/>
      </c>
      <c r="AQ12" s="92">
        <f t="shared" si="4"/>
        <v>578254.04321771057</v>
      </c>
      <c r="AR12" s="92">
        <f t="shared" si="5"/>
        <v>25643.666666666668</v>
      </c>
      <c r="AS12" s="92">
        <f t="shared" si="6"/>
        <v>7295.4973989467162</v>
      </c>
      <c r="AT12" s="92">
        <f t="shared" si="7"/>
        <v>21857.267786556527</v>
      </c>
      <c r="AU12" s="92">
        <f t="shared" si="8"/>
        <v>11094.646012391235</v>
      </c>
      <c r="AV12" s="92">
        <f t="shared" si="9"/>
        <v>7601.5837086978581</v>
      </c>
      <c r="AW12" s="92">
        <f t="shared" si="10"/>
        <v>28989.985562229198</v>
      </c>
      <c r="AX12" s="92">
        <f t="shared" si="10"/>
        <v>18885.202545248543</v>
      </c>
      <c r="AY12" s="93">
        <f t="shared" si="11"/>
        <v>7708.7555551438454</v>
      </c>
      <c r="AZ12" s="94">
        <f t="shared" si="12"/>
        <v>14142.721220746676</v>
      </c>
      <c r="BA12" s="95">
        <f t="shared" si="13"/>
        <v>7601.5837086978581</v>
      </c>
      <c r="BB12" s="689">
        <f>SUM('Defect (Total)'!BB12,Planned!CE12,Reconductor!CE12,CTGS!CE12,'Substation 2025$'!CE12*$BL$1,Comms!CA12*$BL$2)</f>
        <v>8.8666666666666654</v>
      </c>
      <c r="BC12" s="689">
        <f>SUM('Defect (Total)'!BC12,Planned!CF12,Reconductor!CF12,CTGS!CF12,'Substation 2025$'!CF12*$BL$1,Comms!CB12*$BL$2)</f>
        <v>8.8666666666666654</v>
      </c>
      <c r="BD12" s="96">
        <f>SUM('Defect (Total)'!BD12,Planned!CG12,Reconductor!CG12,CTGS!CG12,'Substation 2025$'!CG12*$BL$1,Comms!CC12*$BL$2)</f>
        <v>8.8666666666666654</v>
      </c>
      <c r="BE12" s="96">
        <f>SUM('Defect (Total)'!BE12,Planned!CH12,Reconductor!CH12,CTGS!CH12,'Substation 2025$'!CH12*$BL$1,Comms!CD12*$BL$2)</f>
        <v>8.8666666666666654</v>
      </c>
      <c r="BF12" s="96">
        <f>SUM('Defect (Total)'!BF12,Planned!CI12,Reconductor!CI12,CTGS!CI12,'Substation 2025$'!CI12*$BL$1,Comms!CE12*$BL$2)</f>
        <v>8.8666666666666654</v>
      </c>
      <c r="BG12" s="96">
        <f>SUM('Defect (Total)'!BG12,Planned!CJ12,Reconductor!CJ12,CTGS!CJ12,'Substation 2025$'!CJ12*$BL$1,Comms!CF12*$BL$2)</f>
        <v>8.8666666666666654</v>
      </c>
      <c r="BH12" s="96">
        <f>SUM('Defect (Total)'!BH12,Planned!CK12,Reconductor!CK12,CTGS!CK12,'Substation 2025$'!CK12*$BL$1,Comms!CG12*$BL$2)</f>
        <v>8.8666666666666654</v>
      </c>
      <c r="BI12" s="286">
        <f>SUM('Defect (Total)'!BI12,Planned!CL12,Reconductor!CL12,CTGS!CL12,'Substation 2025$'!CL12*$BL$1,Comms!CH12*$BL$2)</f>
        <v>8.8666666666666654</v>
      </c>
      <c r="BJ12" s="99">
        <f t="shared" si="16"/>
        <v>15034.437460986146</v>
      </c>
      <c r="BK12" s="743"/>
      <c r="BL12" s="97"/>
      <c r="BM12" s="524"/>
      <c r="BN12" s="416">
        <f>'Distribution Summary'!CI12+'Substation 2025$'!CT12</f>
        <v>132352.94611471775</v>
      </c>
      <c r="BO12" s="97">
        <f>'Distribution Summary'!CJ12+'Substation 2025$'!CU12</f>
        <v>132749.77207560721</v>
      </c>
      <c r="BP12" s="97">
        <f>'Distribution Summary'!CK12+'Substation 2025$'!CV12</f>
        <v>133199.15138071909</v>
      </c>
      <c r="BQ12" s="97">
        <f>'Distribution Summary'!CL12+'Substation 2025$'!CW12</f>
        <v>133754.81321932905</v>
      </c>
      <c r="BR12" s="98">
        <f>'Distribution Summary'!CM12+'Substation 2025$'!CX12</f>
        <v>134470.04464667931</v>
      </c>
    </row>
    <row r="13" spans="1:77" x14ac:dyDescent="0.25">
      <c r="A13" s="81" t="s">
        <v>27</v>
      </c>
      <c r="B13" s="82" t="s">
        <v>36</v>
      </c>
      <c r="C13" s="83" t="s">
        <v>37</v>
      </c>
      <c r="D13" s="84">
        <f>SUM('Defect (Total)'!D13,Planned!D13,Reconductor!D13,CTGS!D13)</f>
        <v>0</v>
      </c>
      <c r="E13" s="85">
        <f>SUM('Defect (Total)'!E13,Planned!E13,Reconductor!E13,CTGS!E13)</f>
        <v>0</v>
      </c>
      <c r="F13" s="85">
        <f>SUM('Defect (Total)'!F13,Planned!F13,Reconductor!F13,CTGS!F13)</f>
        <v>0</v>
      </c>
      <c r="G13" s="85">
        <f>SUM('Defect (Total)'!G13,Planned!G13,Reconductor!G13,CTGS!G13)</f>
        <v>0</v>
      </c>
      <c r="H13" s="85">
        <f>SUM('Defect (Total)'!H13,Planned!H13,Reconductor!H13,CTGS!H13)</f>
        <v>0</v>
      </c>
      <c r="I13" s="85">
        <f>SUM('Defect (Total)'!I13,Planned!I13,Reconductor!I13,CTGS!I13)</f>
        <v>0</v>
      </c>
      <c r="J13" s="85">
        <f>SUM('Defect (Total)'!J13,Planned!J13,Reconductor!J13,CTGS!J13)</f>
        <v>0</v>
      </c>
      <c r="K13" s="85">
        <f>SUM('Defect (Total)'!K13,Planned!K13,Reconductor!K13,CTGS!K13)</f>
        <v>0</v>
      </c>
      <c r="L13" s="85">
        <f>SUM('Defect (Total)'!L13,Planned!L13,Reconductor!L13,CTGS!L13)</f>
        <v>0</v>
      </c>
      <c r="M13" s="85">
        <f>SUM('Defect (Total)'!M13,Planned!M13,Reconductor!M13,CTGS!M13)</f>
        <v>0</v>
      </c>
      <c r="N13" s="85">
        <f>SUM('Defect (Total)'!N13,Planned!N13,Reconductor!N13,CTGS!N13)</f>
        <v>0</v>
      </c>
      <c r="O13" s="560">
        <f>SUM('Defect (Total)'!O13,Planned!O13,Reconductor!O13,CTGS!O13)</f>
        <v>0</v>
      </c>
      <c r="P13" s="561">
        <f>SUM('Defect (Total)'!P13,Planned!P13,Reconductor!P13,CTGS!P13)</f>
        <v>0</v>
      </c>
      <c r="Q13" s="561">
        <f>SUM('Defect (Total)'!Q13,Planned!Q13,Reconductor!Q13,CTGS!Q13)</f>
        <v>0</v>
      </c>
      <c r="R13" s="561">
        <f>SUM('Defect (Total)'!R13,Planned!R13,Reconductor!R13,CTGS!R13)</f>
        <v>0</v>
      </c>
      <c r="S13" s="561">
        <f>SUM('Defect (Total)'!S13,Planned!S13,Reconductor!S13,CTGS!S13)</f>
        <v>0</v>
      </c>
      <c r="T13" s="561">
        <f>SUM('Defect (Total)'!T13,Planned!T13,Reconductor!T13,CTGS!T13)</f>
        <v>0</v>
      </c>
      <c r="U13" s="561">
        <f>SUM('Defect (Total)'!U13,Planned!U13,Reconductor!U13,CTGS!U13)</f>
        <v>0</v>
      </c>
      <c r="V13" s="561">
        <f>SUM('Defect (Total)'!V13,Planned!V13,Reconductor!V13,CTGS!V13)</f>
        <v>0</v>
      </c>
      <c r="W13" s="561">
        <f>SUM('Defect (Total)'!W13,Planned!W13,Reconductor!W13,CTGS!W13)</f>
        <v>0</v>
      </c>
      <c r="X13" s="561">
        <f>SUM('Defect (Total)'!X13,Planned!X13,Reconductor!X13,CTGS!X13)</f>
        <v>0</v>
      </c>
      <c r="Y13" s="561">
        <f>SUM('Defect (Total)'!Y13,Planned!Y13,Reconductor!Y13,CTGS!Y13)</f>
        <v>0</v>
      </c>
      <c r="Z13" s="86">
        <f>SUM('Defect (Total)'!Z13,Planned!Z13,Reconductor!Z13,CTGS!Z13)</f>
        <v>0</v>
      </c>
      <c r="AA13" s="87">
        <f>SUM('Defect (Total)'!AA13,Planned!AA13,Reconductor!AA13,CTGS!AA13)</f>
        <v>0</v>
      </c>
      <c r="AB13" s="87">
        <f>SUM('Defect (Total)'!AB13,Planned!AB13,Reconductor!AB13,CTGS!AB13)</f>
        <v>0</v>
      </c>
      <c r="AC13" s="87">
        <f>SUM('Defect (Total)'!AC13,Planned!AC13,Reconductor!AC13,CTGS!AC13)</f>
        <v>0</v>
      </c>
      <c r="AD13" s="87">
        <f>SUM('Defect (Total)'!AD13,Planned!AD13,Reconductor!AD13,CTGS!AD13)</f>
        <v>0</v>
      </c>
      <c r="AE13" s="87">
        <f>SUM('Defect (Total)'!AE13,Planned!AE13,Reconductor!AE13,CTGS!AE13)</f>
        <v>0</v>
      </c>
      <c r="AF13" s="87">
        <f>SUM('Defect (Total)'!AF13,Planned!AF13,Reconductor!AF13,CTGS!AF13)</f>
        <v>0</v>
      </c>
      <c r="AG13" s="87">
        <f>SUM('Defect (Total)'!AG13,Planned!AG13,Reconductor!AG13,CTGS!AG13)</f>
        <v>0</v>
      </c>
      <c r="AH13" s="87">
        <f>SUM('Defect (Total)'!AH13,Planned!AH13,Reconductor!AH13,CTGS!AH13)</f>
        <v>0</v>
      </c>
      <c r="AI13" s="87">
        <f>SUM('Defect (Total)'!AI13,Planned!AI13,Reconductor!AI13,CTGS!AI13)</f>
        <v>0</v>
      </c>
      <c r="AJ13" s="87">
        <f>SUM('Defect (Total)'!AJ13,Planned!AJ13,Reconductor!AJ13,CTGS!AJ13)</f>
        <v>0</v>
      </c>
      <c r="AK13" s="88">
        <f t="shared" si="14"/>
        <v>0</v>
      </c>
      <c r="AL13" s="89">
        <f t="shared" si="0"/>
        <v>0</v>
      </c>
      <c r="AM13" s="90">
        <f t="shared" si="15"/>
        <v>0</v>
      </c>
      <c r="AN13" s="91" t="str">
        <f t="shared" si="1"/>
        <v/>
      </c>
      <c r="AO13" s="92" t="str">
        <f t="shared" si="2"/>
        <v/>
      </c>
      <c r="AP13" s="92" t="str">
        <f t="shared" si="3"/>
        <v/>
      </c>
      <c r="AQ13" s="92" t="str">
        <f t="shared" si="4"/>
        <v/>
      </c>
      <c r="AR13" s="92" t="str">
        <f t="shared" si="5"/>
        <v/>
      </c>
      <c r="AS13" s="92" t="str">
        <f t="shared" si="6"/>
        <v/>
      </c>
      <c r="AT13" s="92" t="str">
        <f t="shared" si="7"/>
        <v/>
      </c>
      <c r="AU13" s="92" t="str">
        <f t="shared" si="8"/>
        <v/>
      </c>
      <c r="AV13" s="92" t="str">
        <f t="shared" si="9"/>
        <v/>
      </c>
      <c r="AW13" s="92" t="str">
        <f t="shared" si="10"/>
        <v/>
      </c>
      <c r="AX13" s="92" t="str">
        <f t="shared" si="10"/>
        <v/>
      </c>
      <c r="AY13" s="93" t="str">
        <f t="shared" si="11"/>
        <v/>
      </c>
      <c r="AZ13" s="94" t="str">
        <f t="shared" si="12"/>
        <v/>
      </c>
      <c r="BA13" s="95" t="str">
        <f t="shared" si="13"/>
        <v/>
      </c>
      <c r="BB13" s="689">
        <f>SUM('Defect (Total)'!BB13,Planned!CE13,Reconductor!CE13,CTGS!CE13,'Substation 2025$'!CE13*$BL$1,Comms!CA13*$BL$2)</f>
        <v>0</v>
      </c>
      <c r="BC13" s="689">
        <f>SUM('Defect (Total)'!BC13,Planned!CF13,Reconductor!CF13,CTGS!CF13,'Substation 2025$'!CF13*$BL$1,Comms!CB13*$BL$2)</f>
        <v>0</v>
      </c>
      <c r="BD13" s="96">
        <f>SUM('Defect (Total)'!BD13,Planned!CG13,Reconductor!CG13,CTGS!CG13,'Substation 2025$'!CG13*$BL$1,Comms!CC13*$BL$2)</f>
        <v>0</v>
      </c>
      <c r="BE13" s="96">
        <f>SUM('Defect (Total)'!BE13,Planned!CH13,Reconductor!CH13,CTGS!CH13,'Substation 2025$'!CH13*$BL$1,Comms!CD13*$BL$2)</f>
        <v>0</v>
      </c>
      <c r="BF13" s="96">
        <f>SUM('Defect (Total)'!BF13,Planned!CI13,Reconductor!CI13,CTGS!CI13,'Substation 2025$'!CI13*$BL$1,Comms!CE13*$BL$2)</f>
        <v>0</v>
      </c>
      <c r="BG13" s="96">
        <f>SUM('Defect (Total)'!BG13,Planned!CJ13,Reconductor!CJ13,CTGS!CJ13,'Substation 2025$'!CJ13*$BL$1,Comms!CF13*$BL$2)</f>
        <v>0</v>
      </c>
      <c r="BH13" s="96">
        <f>SUM('Defect (Total)'!BH13,Planned!CK13,Reconductor!CK13,CTGS!CK13,'Substation 2025$'!CK13*$BL$1,Comms!CG13*$BL$2)</f>
        <v>0</v>
      </c>
      <c r="BI13" s="286">
        <f>SUM('Defect (Total)'!BI13,Planned!CL13,Reconductor!CL13,CTGS!CL13,'Substation 2025$'!CL13*$BL$1,Comms!CH13*$BL$2)</f>
        <v>0</v>
      </c>
      <c r="BJ13" s="99" t="str">
        <f t="shared" si="16"/>
        <v/>
      </c>
      <c r="BK13" s="743"/>
      <c r="BL13" s="97"/>
      <c r="BM13" s="524"/>
      <c r="BN13" s="416">
        <f>'Distribution Summary'!CI13+'Substation 2025$'!CT13</f>
        <v>0</v>
      </c>
      <c r="BO13" s="97">
        <f>'Distribution Summary'!CJ13+'Substation 2025$'!CU13</f>
        <v>0</v>
      </c>
      <c r="BP13" s="97">
        <f>'Distribution Summary'!CK13+'Substation 2025$'!CV13</f>
        <v>0</v>
      </c>
      <c r="BQ13" s="97">
        <f>'Distribution Summary'!CL13+'Substation 2025$'!CW13</f>
        <v>0</v>
      </c>
      <c r="BR13" s="98">
        <f>'Distribution Summary'!CM13+'Substation 2025$'!CX13</f>
        <v>0</v>
      </c>
    </row>
    <row r="14" spans="1:77" x14ac:dyDescent="0.25">
      <c r="A14" s="81" t="s">
        <v>27</v>
      </c>
      <c r="B14" s="82" t="s">
        <v>39</v>
      </c>
      <c r="C14" s="83" t="s">
        <v>299</v>
      </c>
      <c r="D14" s="84">
        <f>SUM('Defect (Total)'!D14,Planned!D14,Reconductor!D14,CTGS!D14)</f>
        <v>0</v>
      </c>
      <c r="E14" s="85">
        <f>SUM('Defect (Total)'!E14,Planned!E14,Reconductor!E14,CTGS!E14)</f>
        <v>20187</v>
      </c>
      <c r="F14" s="85">
        <f>SUM('Defect (Total)'!F14,Planned!F14,Reconductor!F14,CTGS!F14)</f>
        <v>84719</v>
      </c>
      <c r="G14" s="85">
        <f>SUM('Defect (Total)'!G14,Planned!G14,Reconductor!G14,CTGS!G14)</f>
        <v>0</v>
      </c>
      <c r="H14" s="85">
        <f>SUM('Defect (Total)'!H14,Planned!H14,Reconductor!H14,CTGS!H14)</f>
        <v>0</v>
      </c>
      <c r="I14" s="85">
        <f>SUM('Defect (Total)'!I14,Planned!I14,Reconductor!I14,CTGS!I14)</f>
        <v>0</v>
      </c>
      <c r="J14" s="85">
        <f>SUM('Defect (Total)'!J14,Planned!J14,Reconductor!J14,CTGS!J14)</f>
        <v>0</v>
      </c>
      <c r="K14" s="85">
        <f>SUM('Defect (Total)'!K14,Planned!K14,Reconductor!K14,CTGS!K14)</f>
        <v>0</v>
      </c>
      <c r="L14" s="85">
        <f>SUM('Defect (Total)'!L14,Planned!L14,Reconductor!L14,CTGS!L14)</f>
        <v>0</v>
      </c>
      <c r="M14" s="85">
        <f>SUM('Defect (Total)'!M14,Planned!M14,Reconductor!M14,CTGS!M14)</f>
        <v>0</v>
      </c>
      <c r="N14" s="85">
        <f>SUM('Defect (Total)'!N14,Planned!N14,Reconductor!N14,CTGS!N14)</f>
        <v>0</v>
      </c>
      <c r="O14" s="560">
        <f>SUM('Defect (Total)'!O14,Planned!O14,Reconductor!O14,CTGS!O14)</f>
        <v>0</v>
      </c>
      <c r="P14" s="561">
        <f>SUM('Defect (Total)'!P14,Planned!P14,Reconductor!P14,CTGS!P14)</f>
        <v>26756.474039122546</v>
      </c>
      <c r="Q14" s="561">
        <f>SUM('Defect (Total)'!Q14,Planned!Q14,Reconductor!Q14,CTGS!Q14)</f>
        <v>111151.81494232676</v>
      </c>
      <c r="R14" s="561">
        <f>SUM('Defect (Total)'!R14,Planned!R14,Reconductor!R14,CTGS!R14)</f>
        <v>0</v>
      </c>
      <c r="S14" s="561">
        <f>SUM('Defect (Total)'!S14,Planned!S14,Reconductor!S14,CTGS!S14)</f>
        <v>0</v>
      </c>
      <c r="T14" s="561">
        <f>SUM('Defect (Total)'!T14,Planned!T14,Reconductor!T14,CTGS!T14)</f>
        <v>0</v>
      </c>
      <c r="U14" s="561">
        <f>SUM('Defect (Total)'!U14,Planned!U14,Reconductor!U14,CTGS!U14)</f>
        <v>0</v>
      </c>
      <c r="V14" s="561">
        <f>SUM('Defect (Total)'!V14,Planned!V14,Reconductor!V14,CTGS!V14)</f>
        <v>0</v>
      </c>
      <c r="W14" s="561">
        <f>SUM('Defect (Total)'!W14,Planned!W14,Reconductor!W14,CTGS!W14)</f>
        <v>0</v>
      </c>
      <c r="X14" s="561">
        <f>SUM('Defect (Total)'!X14,Planned!X14,Reconductor!X14,CTGS!X14)</f>
        <v>0</v>
      </c>
      <c r="Y14" s="561">
        <f>SUM('Defect (Total)'!Y14,Planned!Y14,Reconductor!Y14,CTGS!Y14)</f>
        <v>0</v>
      </c>
      <c r="Z14" s="86">
        <f>SUM('Defect (Total)'!Z14,Planned!Z14,Reconductor!Z14,CTGS!Z14)</f>
        <v>0</v>
      </c>
      <c r="AA14" s="87">
        <f>SUM('Defect (Total)'!AA14,Planned!AA14,Reconductor!AA14,CTGS!AA14)</f>
        <v>1</v>
      </c>
      <c r="AB14" s="87">
        <f>SUM('Defect (Total)'!AB14,Planned!AB14,Reconductor!AB14,CTGS!AB14)</f>
        <v>1</v>
      </c>
      <c r="AC14" s="87">
        <f>SUM('Defect (Total)'!AC14,Planned!AC14,Reconductor!AC14,CTGS!AC14)</f>
        <v>0</v>
      </c>
      <c r="AD14" s="87">
        <f>SUM('Defect (Total)'!AD14,Planned!AD14,Reconductor!AD14,CTGS!AD14)</f>
        <v>0</v>
      </c>
      <c r="AE14" s="87">
        <f>SUM('Defect (Total)'!AE14,Planned!AE14,Reconductor!AE14,CTGS!AE14)</f>
        <v>0</v>
      </c>
      <c r="AF14" s="87">
        <f>SUM('Defect (Total)'!AF14,Planned!AF14,Reconductor!AF14,CTGS!AF14)</f>
        <v>0</v>
      </c>
      <c r="AG14" s="87">
        <f>SUM('Defect (Total)'!AG14,Planned!AG14,Reconductor!AG14,CTGS!AG14)</f>
        <v>0</v>
      </c>
      <c r="AH14" s="87">
        <f>SUM('Defect (Total)'!AH14,Planned!AH14,Reconductor!AH14,CTGS!AH14)</f>
        <v>0</v>
      </c>
      <c r="AI14" s="87">
        <f>SUM('Defect (Total)'!AI14,Planned!AI14,Reconductor!AI14,CTGS!AI14)</f>
        <v>0</v>
      </c>
      <c r="AJ14" s="87">
        <f>SUM('Defect (Total)'!AJ14,Planned!AJ14,Reconductor!AJ14,CTGS!AJ14)</f>
        <v>0</v>
      </c>
      <c r="AK14" s="88">
        <f t="shared" si="14"/>
        <v>0</v>
      </c>
      <c r="AL14" s="89">
        <f t="shared" si="0"/>
        <v>0</v>
      </c>
      <c r="AM14" s="90">
        <f t="shared" si="15"/>
        <v>0</v>
      </c>
      <c r="AN14" s="91" t="str">
        <f t="shared" si="1"/>
        <v/>
      </c>
      <c r="AO14" s="92">
        <f t="shared" si="2"/>
        <v>20187</v>
      </c>
      <c r="AP14" s="92">
        <f t="shared" si="3"/>
        <v>84719</v>
      </c>
      <c r="AQ14" s="92" t="str">
        <f t="shared" si="4"/>
        <v/>
      </c>
      <c r="AR14" s="92" t="str">
        <f t="shared" si="5"/>
        <v/>
      </c>
      <c r="AS14" s="92" t="str">
        <f t="shared" si="6"/>
        <v/>
      </c>
      <c r="AT14" s="92" t="str">
        <f t="shared" si="7"/>
        <v/>
      </c>
      <c r="AU14" s="92" t="str">
        <f t="shared" si="8"/>
        <v/>
      </c>
      <c r="AV14" s="92" t="str">
        <f t="shared" si="9"/>
        <v/>
      </c>
      <c r="AW14" s="92" t="str">
        <f t="shared" si="10"/>
        <v/>
      </c>
      <c r="AX14" s="92" t="str">
        <f t="shared" si="10"/>
        <v/>
      </c>
      <c r="AY14" s="93" t="str">
        <f t="shared" si="11"/>
        <v/>
      </c>
      <c r="AZ14" s="94" t="str">
        <f t="shared" si="12"/>
        <v/>
      </c>
      <c r="BA14" s="95" t="str">
        <f t="shared" si="13"/>
        <v/>
      </c>
      <c r="BB14" s="689">
        <f>SUM('Defect (Total)'!BB14,Planned!CE14,Reconductor!CE14,CTGS!CE14,'Substation 2025$'!CE14*$BL$1,Comms!CA14*$BL$2)</f>
        <v>0</v>
      </c>
      <c r="BC14" s="689">
        <f>SUM('Defect (Total)'!BC14,Planned!CF14,Reconductor!CF14,CTGS!CF14,'Substation 2025$'!CF14*$BL$1,Comms!CB14*$BL$2)</f>
        <v>0</v>
      </c>
      <c r="BD14" s="96">
        <f>SUM('Defect (Total)'!BD14,Planned!CG14,Reconductor!CG14,CTGS!CG14,'Substation 2025$'!CG14*$BL$1,Comms!CC14*$BL$2)</f>
        <v>0</v>
      </c>
      <c r="BE14" s="96">
        <f>SUM('Defect (Total)'!BE14,Planned!CH14,Reconductor!CH14,CTGS!CH14,'Substation 2025$'!CH14*$BL$1,Comms!CD14*$BL$2)</f>
        <v>0</v>
      </c>
      <c r="BF14" s="96">
        <f>SUM('Defect (Total)'!BF14,Planned!CI14,Reconductor!CI14,CTGS!CI14,'Substation 2025$'!CI14*$BL$1,Comms!CE14*$BL$2)</f>
        <v>0</v>
      </c>
      <c r="BG14" s="96">
        <f>SUM('Defect (Total)'!BG14,Planned!CJ14,Reconductor!CJ14,CTGS!CJ14,'Substation 2025$'!CJ14*$BL$1,Comms!CF14*$BL$2)</f>
        <v>0</v>
      </c>
      <c r="BH14" s="96">
        <f>SUM('Defect (Total)'!BH14,Planned!CK14,Reconductor!CK14,CTGS!CK14,'Substation 2025$'!CK14*$BL$1,Comms!CG14*$BL$2)</f>
        <v>0</v>
      </c>
      <c r="BI14" s="286">
        <f>SUM('Defect (Total)'!BI14,Planned!CL14,Reconductor!CL14,CTGS!CL14,'Substation 2025$'!CL14*$BL$1,Comms!CH14*$BL$2)</f>
        <v>0</v>
      </c>
      <c r="BJ14" s="99" t="str">
        <f t="shared" si="16"/>
        <v/>
      </c>
      <c r="BK14" s="743"/>
      <c r="BL14" s="97"/>
      <c r="BM14" s="524"/>
      <c r="BN14" s="416">
        <f>'Distribution Summary'!CI14+'Substation 2025$'!CT14</f>
        <v>0</v>
      </c>
      <c r="BO14" s="97">
        <f>'Distribution Summary'!CJ14+'Substation 2025$'!CU14</f>
        <v>0</v>
      </c>
      <c r="BP14" s="97">
        <f>'Distribution Summary'!CK14+'Substation 2025$'!CV14</f>
        <v>0</v>
      </c>
      <c r="BQ14" s="97">
        <f>'Distribution Summary'!CL14+'Substation 2025$'!CW14</f>
        <v>0</v>
      </c>
      <c r="BR14" s="98">
        <f>'Distribution Summary'!CM14+'Substation 2025$'!CX14</f>
        <v>0</v>
      </c>
    </row>
    <row r="15" spans="1:77" x14ac:dyDescent="0.25">
      <c r="A15" s="81" t="s">
        <v>27</v>
      </c>
      <c r="B15" s="82" t="s">
        <v>41</v>
      </c>
      <c r="C15" s="83" t="s">
        <v>42</v>
      </c>
      <c r="D15" s="84">
        <f>SUM('Defect (Total)'!D15,Planned!D15,Reconductor!D15,CTGS!D15)</f>
        <v>0</v>
      </c>
      <c r="E15" s="85">
        <f>SUM('Defect (Total)'!E15,Planned!E15,Reconductor!E15,CTGS!E15)</f>
        <v>0</v>
      </c>
      <c r="F15" s="85">
        <f>SUM('Defect (Total)'!F15,Planned!F15,Reconductor!F15,CTGS!F15)</f>
        <v>0</v>
      </c>
      <c r="G15" s="85">
        <f>SUM('Defect (Total)'!G15,Planned!G15,Reconductor!G15,CTGS!G15)</f>
        <v>0</v>
      </c>
      <c r="H15" s="85">
        <f>SUM('Defect (Total)'!H15,Planned!H15,Reconductor!H15,CTGS!H15)</f>
        <v>0</v>
      </c>
      <c r="I15" s="85">
        <f>SUM('Defect (Total)'!I15,Planned!I15,Reconductor!I15,CTGS!I15)</f>
        <v>0</v>
      </c>
      <c r="J15" s="85">
        <f>SUM('Defect (Total)'!J15,Planned!J15,Reconductor!J15,CTGS!J15)</f>
        <v>0</v>
      </c>
      <c r="K15" s="85">
        <f>SUM('Defect (Total)'!K15,Planned!K15,Reconductor!K15,CTGS!K15)</f>
        <v>169451.531848521</v>
      </c>
      <c r="L15" s="85">
        <f>SUM('Defect (Total)'!L15,Planned!L15,Reconductor!L15,CTGS!L15)</f>
        <v>409726.45214406005</v>
      </c>
      <c r="M15" s="85">
        <f>SUM('Defect (Total)'!M15,Planned!M15,Reconductor!M15,CTGS!M15)</f>
        <v>0</v>
      </c>
      <c r="N15" s="85">
        <f>SUM('Defect (Total)'!N15,Planned!N15,Reconductor!N15,CTGS!N15)</f>
        <v>0</v>
      </c>
      <c r="O15" s="560">
        <f>SUM('Defect (Total)'!O15,Planned!O15,Reconductor!O15,CTGS!O15)</f>
        <v>0</v>
      </c>
      <c r="P15" s="561">
        <f>SUM('Defect (Total)'!P15,Planned!P15,Reconductor!P15,CTGS!P15)</f>
        <v>0</v>
      </c>
      <c r="Q15" s="561">
        <f>SUM('Defect (Total)'!Q15,Planned!Q15,Reconductor!Q15,CTGS!Q15)</f>
        <v>0</v>
      </c>
      <c r="R15" s="561">
        <f>SUM('Defect (Total)'!R15,Planned!R15,Reconductor!R15,CTGS!R15)</f>
        <v>0</v>
      </c>
      <c r="S15" s="561">
        <f>SUM('Defect (Total)'!S15,Planned!S15,Reconductor!S15,CTGS!S15)</f>
        <v>0</v>
      </c>
      <c r="T15" s="561">
        <f>SUM('Defect (Total)'!T15,Planned!T15,Reconductor!T15,CTGS!T15)</f>
        <v>0</v>
      </c>
      <c r="U15" s="561">
        <f>SUM('Defect (Total)'!U15,Planned!U15,Reconductor!U15,CTGS!U15)</f>
        <v>0</v>
      </c>
      <c r="V15" s="561">
        <f>SUM('Defect (Total)'!V15,Planned!V15,Reconductor!V15,CTGS!V15)</f>
        <v>203233.18413298985</v>
      </c>
      <c r="W15" s="561">
        <f>SUM('Defect (Total)'!W15,Planned!W15,Reconductor!W15,CTGS!W15)</f>
        <v>462961.0767566475</v>
      </c>
      <c r="X15" s="561">
        <f>SUM('Defect (Total)'!X15,Planned!X15,Reconductor!X15,CTGS!X15)</f>
        <v>0</v>
      </c>
      <c r="Y15" s="561">
        <f>SUM('Defect (Total)'!Y15,Planned!Y15,Reconductor!Y15,CTGS!Y15)</f>
        <v>0</v>
      </c>
      <c r="Z15" s="86">
        <f>SUM('Defect (Total)'!Z15,Planned!Z15,Reconductor!Z15,CTGS!Z15)</f>
        <v>0</v>
      </c>
      <c r="AA15" s="87">
        <f>SUM('Defect (Total)'!AA15,Planned!AA15,Reconductor!AA15,CTGS!AA15)</f>
        <v>0</v>
      </c>
      <c r="AB15" s="87">
        <f>SUM('Defect (Total)'!AB15,Planned!AB15,Reconductor!AB15,CTGS!AB15)</f>
        <v>0</v>
      </c>
      <c r="AC15" s="87">
        <f>SUM('Defect (Total)'!AC15,Planned!AC15,Reconductor!AC15,CTGS!AC15)</f>
        <v>0</v>
      </c>
      <c r="AD15" s="87">
        <f>SUM('Defect (Total)'!AD15,Planned!AD15,Reconductor!AD15,CTGS!AD15)</f>
        <v>0</v>
      </c>
      <c r="AE15" s="87">
        <f>SUM('Defect (Total)'!AE15,Planned!AE15,Reconductor!AE15,CTGS!AE15)</f>
        <v>0</v>
      </c>
      <c r="AF15" s="87">
        <f>SUM('Defect (Total)'!AF15,Planned!AF15,Reconductor!AF15,CTGS!AF15)</f>
        <v>0</v>
      </c>
      <c r="AG15" s="87">
        <f>SUM('Defect (Total)'!AG15,Planned!AG15,Reconductor!AG15,CTGS!AG15)</f>
        <v>16</v>
      </c>
      <c r="AH15" s="87">
        <f>SUM('Defect (Total)'!AH15,Planned!AH15,Reconductor!AH15,CTGS!AH15)</f>
        <v>53</v>
      </c>
      <c r="AI15" s="87">
        <f>SUM('Defect (Total)'!AI15,Planned!AI15,Reconductor!AI15,CTGS!AI15)</f>
        <v>0</v>
      </c>
      <c r="AJ15" s="87">
        <f>SUM('Defect (Total)'!AJ15,Planned!AJ15,Reconductor!AJ15,CTGS!AJ15)</f>
        <v>0</v>
      </c>
      <c r="AK15" s="88">
        <f t="shared" si="14"/>
        <v>13.8</v>
      </c>
      <c r="AL15" s="89">
        <f t="shared" si="0"/>
        <v>23</v>
      </c>
      <c r="AM15" s="90">
        <f t="shared" si="15"/>
        <v>53</v>
      </c>
      <c r="AN15" s="91" t="str">
        <f t="shared" si="1"/>
        <v/>
      </c>
      <c r="AO15" s="92" t="str">
        <f t="shared" si="2"/>
        <v/>
      </c>
      <c r="AP15" s="92" t="str">
        <f t="shared" si="3"/>
        <v/>
      </c>
      <c r="AQ15" s="92" t="str">
        <f t="shared" si="4"/>
        <v/>
      </c>
      <c r="AR15" s="92" t="str">
        <f t="shared" si="5"/>
        <v/>
      </c>
      <c r="AS15" s="92" t="str">
        <f t="shared" si="6"/>
        <v/>
      </c>
      <c r="AT15" s="92" t="str">
        <f t="shared" si="7"/>
        <v/>
      </c>
      <c r="AU15" s="92">
        <f t="shared" si="8"/>
        <v>10590.720740532563</v>
      </c>
      <c r="AV15" s="92">
        <f t="shared" si="9"/>
        <v>7730.6877763030197</v>
      </c>
      <c r="AW15" s="92" t="str">
        <f t="shared" si="10"/>
        <v/>
      </c>
      <c r="AX15" s="92" t="str">
        <f t="shared" si="10"/>
        <v/>
      </c>
      <c r="AY15" s="93">
        <f t="shared" si="11"/>
        <v>8393.8838259794356</v>
      </c>
      <c r="AZ15" s="94">
        <f t="shared" si="12"/>
        <v>8393.8838259794356</v>
      </c>
      <c r="BA15" s="95">
        <f t="shared" si="13"/>
        <v>7730.6877763030197</v>
      </c>
      <c r="BB15" s="689">
        <f>SUM('Defect (Total)'!BB15,Planned!CE15,Reconductor!CE15,CTGS!CE15,'Substation 2025$'!CE15*$BL$1,Comms!CA15*$BL$2)</f>
        <v>21.666666666666664</v>
      </c>
      <c r="BC15" s="689">
        <f>SUM('Defect (Total)'!BC15,Planned!CF15,Reconductor!CF15,CTGS!CF15,'Substation 2025$'!CF15*$BL$1,Comms!CB15*$BL$2)</f>
        <v>17.264409553286633</v>
      </c>
      <c r="BD15" s="96">
        <f>SUM('Defect (Total)'!BD15,Planned!CG15,Reconductor!CG15,CTGS!CG15,'Substation 2025$'!CG15*$BL$1,Comms!CC15*$BL$2)</f>
        <v>17.264409553286633</v>
      </c>
      <c r="BE15" s="96">
        <f>SUM('Defect (Total)'!BE15,Planned!CH15,Reconductor!CH15,CTGS!CH15,'Substation 2025$'!CH15*$BL$1,Comms!CD15*$BL$2)</f>
        <v>19.938376473336845</v>
      </c>
      <c r="BF15" s="96">
        <f>SUM('Defect (Total)'!BF15,Planned!CI15,Reconductor!CI15,CTGS!CI15,'Substation 2025$'!CI15*$BL$1,Comms!CE15*$BL$2)</f>
        <v>20.495914132588894</v>
      </c>
      <c r="BG15" s="96">
        <f>SUM('Defect (Total)'!BG15,Planned!CJ15,Reconductor!CJ15,CTGS!CJ15,'Substation 2025$'!CJ15*$BL$1,Comms!CF15*$BL$2)</f>
        <v>20.867605905423584</v>
      </c>
      <c r="BH15" s="96">
        <f>SUM('Defect (Total)'!BH15,Planned!CK15,Reconductor!CK15,CTGS!CK15,'Substation 2025$'!CK15*$BL$1,Comms!CG15*$BL$2)</f>
        <v>21.239297678258286</v>
      </c>
      <c r="BI15" s="286">
        <f>SUM('Defect (Total)'!BI15,Planned!CL15,Reconductor!CL15,CTGS!CL15,'Substation 2025$'!CL15*$BL$1,Comms!CH15*$BL$2)</f>
        <v>21.425143564675633</v>
      </c>
      <c r="BJ15" s="99">
        <f t="shared" si="16"/>
        <v>9764.8112123296141</v>
      </c>
      <c r="BK15" s="743"/>
      <c r="BL15" s="97"/>
      <c r="BM15" s="524"/>
      <c r="BN15" s="416">
        <f>'Distribution Summary'!CI15+'Substation 2025$'!CT15</f>
        <v>191952.09082538955</v>
      </c>
      <c r="BO15" s="97">
        <f>'Distribution Summary'!CJ15+'Substation 2025$'!CU15</f>
        <v>198812.11535433255</v>
      </c>
      <c r="BP15" s="97">
        <f>'Distribution Summary'!CK15+'Substation 2025$'!CV15</f>
        <v>203688.97967931745</v>
      </c>
      <c r="BQ15" s="97">
        <f>'Distribution Summary'!CL15+'Substation 2025$'!CW15</f>
        <v>208760.09168637526</v>
      </c>
      <c r="BR15" s="98">
        <f>'Distribution Summary'!CM15+'Substation 2025$'!CX15</f>
        <v>211998.3830624579</v>
      </c>
    </row>
    <row r="16" spans="1:77" x14ac:dyDescent="0.25">
      <c r="A16" s="81" t="s">
        <v>27</v>
      </c>
      <c r="B16" s="82" t="s">
        <v>43</v>
      </c>
      <c r="C16" s="83" t="s">
        <v>300</v>
      </c>
      <c r="D16" s="84">
        <f>SUM('Defect (Total)'!D16,Planned!D16,Reconductor!D16,CTGS!D16)</f>
        <v>0</v>
      </c>
      <c r="E16" s="85">
        <f>SUM('Defect (Total)'!E16,Planned!E16,Reconductor!E16,CTGS!E16)</f>
        <v>0</v>
      </c>
      <c r="F16" s="85">
        <f>SUM('Defect (Total)'!F16,Planned!F16,Reconductor!F16,CTGS!F16)</f>
        <v>0</v>
      </c>
      <c r="G16" s="85">
        <f>SUM('Defect (Total)'!G16,Planned!G16,Reconductor!G16,CTGS!G16)</f>
        <v>0</v>
      </c>
      <c r="H16" s="85">
        <f>SUM('Defect (Total)'!H16,Planned!H16,Reconductor!H16,CTGS!H16)</f>
        <v>0</v>
      </c>
      <c r="I16" s="85">
        <f>SUM('Defect (Total)'!I16,Planned!I16,Reconductor!I16,CTGS!I16)</f>
        <v>0</v>
      </c>
      <c r="J16" s="85">
        <f>SUM('Defect (Total)'!J16,Planned!J16,Reconductor!J16,CTGS!J16)</f>
        <v>0</v>
      </c>
      <c r="K16" s="85">
        <f>SUM('Defect (Total)'!K16,Planned!K16,Reconductor!K16,CTGS!K16)</f>
        <v>10038.491506586</v>
      </c>
      <c r="L16" s="85">
        <f>SUM('Defect (Total)'!L16,Planned!L16,Reconductor!L16,CTGS!L16)</f>
        <v>42261.471110367005</v>
      </c>
      <c r="M16" s="85">
        <f>SUM('Defect (Total)'!M16,Planned!M16,Reconductor!M16,CTGS!M16)</f>
        <v>0</v>
      </c>
      <c r="N16" s="85">
        <f>SUM('Defect (Total)'!N16,Planned!N16,Reconductor!N16,CTGS!N16)</f>
        <v>0</v>
      </c>
      <c r="O16" s="560">
        <f>SUM('Defect (Total)'!O16,Planned!O16,Reconductor!O16,CTGS!O16)</f>
        <v>0</v>
      </c>
      <c r="P16" s="561">
        <f>SUM('Defect (Total)'!P16,Planned!P16,Reconductor!P16,CTGS!P16)</f>
        <v>0</v>
      </c>
      <c r="Q16" s="561">
        <f>SUM('Defect (Total)'!Q16,Planned!Q16,Reconductor!Q16,CTGS!Q16)</f>
        <v>0</v>
      </c>
      <c r="R16" s="561">
        <f>SUM('Defect (Total)'!R16,Planned!R16,Reconductor!R16,CTGS!R16)</f>
        <v>0</v>
      </c>
      <c r="S16" s="561">
        <f>SUM('Defect (Total)'!S16,Planned!S16,Reconductor!S16,CTGS!S16)</f>
        <v>0</v>
      </c>
      <c r="T16" s="561">
        <f>SUM('Defect (Total)'!T16,Planned!T16,Reconductor!T16,CTGS!T16)</f>
        <v>0</v>
      </c>
      <c r="U16" s="561">
        <f>SUM('Defect (Total)'!U16,Planned!U16,Reconductor!U16,CTGS!U16)</f>
        <v>0</v>
      </c>
      <c r="V16" s="561">
        <f>SUM('Defect (Total)'!V16,Planned!V16,Reconductor!V16,CTGS!V16)</f>
        <v>12039.753022706323</v>
      </c>
      <c r="W16" s="561">
        <f>SUM('Defect (Total)'!W16,Planned!W16,Reconductor!W16,CTGS!W16)</f>
        <v>47752.387155360542</v>
      </c>
      <c r="X16" s="561">
        <f>SUM('Defect (Total)'!X16,Planned!X16,Reconductor!X16,CTGS!X16)</f>
        <v>0</v>
      </c>
      <c r="Y16" s="561">
        <f>SUM('Defect (Total)'!Y16,Planned!Y16,Reconductor!Y16,CTGS!Y16)</f>
        <v>0</v>
      </c>
      <c r="Z16" s="86">
        <f>SUM('Defect (Total)'!Z16,Planned!Z16,Reconductor!Z16,CTGS!Z16)</f>
        <v>0</v>
      </c>
      <c r="AA16" s="87">
        <f>SUM('Defect (Total)'!AA16,Planned!AA16,Reconductor!AA16,CTGS!AA16)</f>
        <v>0</v>
      </c>
      <c r="AB16" s="87">
        <f>SUM('Defect (Total)'!AB16,Planned!AB16,Reconductor!AB16,CTGS!AB16)</f>
        <v>0</v>
      </c>
      <c r="AC16" s="87">
        <f>SUM('Defect (Total)'!AC16,Planned!AC16,Reconductor!AC16,CTGS!AC16)</f>
        <v>0</v>
      </c>
      <c r="AD16" s="87">
        <f>SUM('Defect (Total)'!AD16,Planned!AD16,Reconductor!AD16,CTGS!AD16)</f>
        <v>0</v>
      </c>
      <c r="AE16" s="87">
        <f>SUM('Defect (Total)'!AE16,Planned!AE16,Reconductor!AE16,CTGS!AE16)</f>
        <v>0</v>
      </c>
      <c r="AF16" s="87">
        <f>SUM('Defect (Total)'!AF16,Planned!AF16,Reconductor!AF16,CTGS!AF16)</f>
        <v>0</v>
      </c>
      <c r="AG16" s="87">
        <f>SUM('Defect (Total)'!AG16,Planned!AG16,Reconductor!AG16,CTGS!AG16)</f>
        <v>1</v>
      </c>
      <c r="AH16" s="87">
        <f>SUM('Defect (Total)'!AH16,Planned!AH16,Reconductor!AH16,CTGS!AH16)</f>
        <v>2</v>
      </c>
      <c r="AI16" s="87">
        <f>SUM('Defect (Total)'!AI16,Planned!AI16,Reconductor!AI16,CTGS!AI16)</f>
        <v>0</v>
      </c>
      <c r="AJ16" s="87">
        <f>SUM('Defect (Total)'!AJ16,Planned!AJ16,Reconductor!AJ16,CTGS!AJ16)</f>
        <v>0</v>
      </c>
      <c r="AK16" s="88">
        <f t="shared" si="14"/>
        <v>0.6</v>
      </c>
      <c r="AL16" s="89">
        <f t="shared" si="0"/>
        <v>1</v>
      </c>
      <c r="AM16" s="90">
        <f t="shared" si="15"/>
        <v>2</v>
      </c>
      <c r="AN16" s="91" t="str">
        <f t="shared" si="1"/>
        <v/>
      </c>
      <c r="AO16" s="92" t="str">
        <f t="shared" si="2"/>
        <v/>
      </c>
      <c r="AP16" s="92" t="str">
        <f t="shared" si="3"/>
        <v/>
      </c>
      <c r="AQ16" s="92" t="str">
        <f t="shared" si="4"/>
        <v/>
      </c>
      <c r="AR16" s="92" t="str">
        <f t="shared" si="5"/>
        <v/>
      </c>
      <c r="AS16" s="92" t="str">
        <f t="shared" si="6"/>
        <v/>
      </c>
      <c r="AT16" s="92" t="str">
        <f t="shared" si="7"/>
        <v/>
      </c>
      <c r="AU16" s="92">
        <f t="shared" si="8"/>
        <v>10038.491506586</v>
      </c>
      <c r="AV16" s="92">
        <f t="shared" si="9"/>
        <v>21130.735555183503</v>
      </c>
      <c r="AW16" s="92" t="str">
        <f t="shared" si="10"/>
        <v/>
      </c>
      <c r="AX16" s="92" t="str">
        <f t="shared" si="10"/>
        <v/>
      </c>
      <c r="AY16" s="93">
        <f t="shared" si="11"/>
        <v>17433.320872317669</v>
      </c>
      <c r="AZ16" s="94">
        <f t="shared" si="12"/>
        <v>17433.320872317669</v>
      </c>
      <c r="BA16" s="95">
        <f t="shared" si="13"/>
        <v>21130.735555183503</v>
      </c>
      <c r="BB16" s="689">
        <f>SUM('Defect (Total)'!BB16,Planned!CE16,Reconductor!CE16,CTGS!CE16,'Substation 2025$'!CE16*$BL$1,Comms!CA16*$BL$2)</f>
        <v>1</v>
      </c>
      <c r="BC16" s="689">
        <f>SUM('Defect (Total)'!BC16,Planned!CF16,Reconductor!CF16,CTGS!CF16,'Substation 2025$'!CF16*$BL$1,Comms!CB16*$BL$2)</f>
        <v>0.66136483743230523</v>
      </c>
      <c r="BD16" s="96">
        <f>SUM('Defect (Total)'!BD16,Planned!CG16,Reconductor!CG16,CTGS!CG16,'Substation 2025$'!CG16*$BL$1,Comms!CC16*$BL$2)</f>
        <v>0.66136483743230523</v>
      </c>
      <c r="BE16" s="96">
        <f>SUM('Defect (Total)'!BE16,Planned!CH16,Reconductor!CH16,CTGS!CH16,'Substation 2025$'!CH16*$BL$1,Comms!CD16*$BL$2)</f>
        <v>0.86705460051309069</v>
      </c>
      <c r="BF16" s="96">
        <f>SUM('Defect (Total)'!BF16,Planned!CI16,Reconductor!CI16,CTGS!CI16,'Substation 2025$'!CI16*$BL$1,Comms!CE16*$BL$2)</f>
        <v>0.9099421127632481</v>
      </c>
      <c r="BG16" s="96">
        <f>SUM('Defect (Total)'!BG16,Planned!CJ16,Reconductor!CJ16,CTGS!CJ16,'Substation 2025$'!CJ16*$BL$1,Comms!CF16*$BL$2)</f>
        <v>0.93853378759668615</v>
      </c>
      <c r="BH16" s="96">
        <f>SUM('Defect (Total)'!BH16,Planned!CK16,Reconductor!CK16,CTGS!CK16,'Substation 2025$'!CK16*$BL$1,Comms!CG16*$BL$2)</f>
        <v>0.96712546243012432</v>
      </c>
      <c r="BI16" s="286">
        <f>SUM('Defect (Total)'!BI16,Planned!CL16,Reconductor!CL16,CTGS!CL16,'Substation 2025$'!CL16*$BL$1,Comms!CH16*$BL$2)</f>
        <v>0.98142129984684345</v>
      </c>
      <c r="BJ16" s="99">
        <f t="shared" si="16"/>
        <v>17015.179474084944</v>
      </c>
      <c r="BK16" s="743"/>
      <c r="BL16" s="97"/>
      <c r="BM16" s="524"/>
      <c r="BN16" s="416">
        <f>'Distribution Summary'!CI16+'Substation 2025$'!CT16</f>
        <v>14644.229488018833</v>
      </c>
      <c r="BO16" s="97">
        <f>'Distribution Summary'!CJ16+'Substation 2025$'!CU16</f>
        <v>15414.662316859183</v>
      </c>
      <c r="BP16" s="97">
        <f>'Distribution Summary'!CK16+'Substation 2025$'!CV16</f>
        <v>15952.833634600614</v>
      </c>
      <c r="BQ16" s="97">
        <f>'Distribution Summary'!CL16+'Substation 2025$'!CW16</f>
        <v>16507.401060788699</v>
      </c>
      <c r="BR16" s="98">
        <f>'Distribution Summary'!CM16+'Substation 2025$'!CX16</f>
        <v>16840.985213228716</v>
      </c>
    </row>
    <row r="17" spans="1:70" x14ac:dyDescent="0.25">
      <c r="A17" s="81" t="s">
        <v>27</v>
      </c>
      <c r="B17" s="82" t="s">
        <v>45</v>
      </c>
      <c r="C17" s="83" t="s">
        <v>46</v>
      </c>
      <c r="D17" s="84">
        <f>SUM('Defect (Total)'!D17,Planned!D17,Reconductor!D17,CTGS!D17)</f>
        <v>155932</v>
      </c>
      <c r="E17" s="85">
        <f>SUM('Defect (Total)'!E17,Planned!E17,Reconductor!E17,CTGS!E17)</f>
        <v>1879751</v>
      </c>
      <c r="F17" s="85">
        <f>SUM('Defect (Total)'!F17,Planned!F17,Reconductor!F17,CTGS!F17)</f>
        <v>0</v>
      </c>
      <c r="G17" s="85">
        <f>SUM('Defect (Total)'!G17,Planned!G17,Reconductor!G17,CTGS!G17)</f>
        <v>0</v>
      </c>
      <c r="H17" s="85">
        <f>SUM('Defect (Total)'!H17,Planned!H17,Reconductor!H17,CTGS!H17)</f>
        <v>0</v>
      </c>
      <c r="I17" s="85">
        <f>SUM('Defect (Total)'!I17,Planned!I17,Reconductor!I17,CTGS!I17)</f>
        <v>0</v>
      </c>
      <c r="J17" s="85">
        <f>SUM('Defect (Total)'!J17,Planned!J17,Reconductor!J17,CTGS!J17)</f>
        <v>292150.60757172696</v>
      </c>
      <c r="K17" s="85">
        <f>SUM('Defect (Total)'!K17,Planned!K17,Reconductor!K17,CTGS!K17)</f>
        <v>0</v>
      </c>
      <c r="L17" s="85">
        <f>SUM('Defect (Total)'!L17,Planned!L17,Reconductor!L17,CTGS!L17)</f>
        <v>0</v>
      </c>
      <c r="M17" s="85">
        <f>SUM('Defect (Total)'!M17,Planned!M17,Reconductor!M17,CTGS!M17)</f>
        <v>0</v>
      </c>
      <c r="N17" s="85">
        <f>SUM('Defect (Total)'!N17,Planned!N17,Reconductor!N17,CTGS!N17)</f>
        <v>9680355.7248925883</v>
      </c>
      <c r="O17" s="560">
        <f>SUM('Defect (Total)'!O17,Planned!O17,Reconductor!O17,CTGS!O17)</f>
        <v>209799.69476651991</v>
      </c>
      <c r="P17" s="561">
        <f>SUM('Defect (Total)'!P17,Planned!P17,Reconductor!P17,CTGS!P17)</f>
        <v>2491480.1026162701</v>
      </c>
      <c r="Q17" s="561">
        <f>SUM('Defect (Total)'!Q17,Planned!Q17,Reconductor!Q17,CTGS!Q17)</f>
        <v>0</v>
      </c>
      <c r="R17" s="561">
        <f>SUM('Defect (Total)'!R17,Planned!R17,Reconductor!R17,CTGS!R17)</f>
        <v>0</v>
      </c>
      <c r="S17" s="561">
        <f>SUM('Defect (Total)'!S17,Planned!S17,Reconductor!S17,CTGS!S17)</f>
        <v>0</v>
      </c>
      <c r="T17" s="561">
        <f>SUM('Defect (Total)'!T17,Planned!T17,Reconductor!T17,CTGS!T17)</f>
        <v>0</v>
      </c>
      <c r="U17" s="561">
        <f>SUM('Defect (Total)'!U17,Planned!U17,Reconductor!U17,CTGS!U17)</f>
        <v>363870.06827215798</v>
      </c>
      <c r="V17" s="561">
        <f>SUM('Defect (Total)'!V17,Planned!V17,Reconductor!V17,CTGS!V17)</f>
        <v>0</v>
      </c>
      <c r="W17" s="561">
        <f>SUM('Defect (Total)'!W17,Planned!W17,Reconductor!W17,CTGS!W17)</f>
        <v>0</v>
      </c>
      <c r="X17" s="561">
        <f>SUM('Defect (Total)'!X17,Planned!X17,Reconductor!X17,CTGS!X17)</f>
        <v>0</v>
      </c>
      <c r="Y17" s="561">
        <f>SUM('Defect (Total)'!Y17,Planned!Y17,Reconductor!Y17,CTGS!Y17)</f>
        <v>9946550.7865653988</v>
      </c>
      <c r="Z17" s="86">
        <f>SUM('Defect (Total)'!Z17,Planned!Z17,Reconductor!Z17,CTGS!Z17)</f>
        <v>3</v>
      </c>
      <c r="AA17" s="87">
        <f>SUM('Defect (Total)'!AA17,Planned!AA17,Reconductor!AA17,CTGS!AA17)</f>
        <v>42</v>
      </c>
      <c r="AB17" s="87">
        <f>SUM('Defect (Total)'!AB17,Planned!AB17,Reconductor!AB17,CTGS!AB17)</f>
        <v>0</v>
      </c>
      <c r="AC17" s="87">
        <f>SUM('Defect (Total)'!AC17,Planned!AC17,Reconductor!AC17,CTGS!AC17)</f>
        <v>0</v>
      </c>
      <c r="AD17" s="87">
        <f>SUM('Defect (Total)'!AD17,Planned!AD17,Reconductor!AD17,CTGS!AD17)</f>
        <v>0</v>
      </c>
      <c r="AE17" s="87">
        <f>SUM('Defect (Total)'!AE17,Planned!AE17,Reconductor!AE17,CTGS!AE17)</f>
        <v>0</v>
      </c>
      <c r="AF17" s="87">
        <f>SUM('Defect (Total)'!AF17,Planned!AF17,Reconductor!AF17,CTGS!AF17)</f>
        <v>4</v>
      </c>
      <c r="AG17" s="87">
        <f>SUM('Defect (Total)'!AG17,Planned!AG17,Reconductor!AG17,CTGS!AG17)</f>
        <v>0</v>
      </c>
      <c r="AH17" s="87">
        <f>SUM('Defect (Total)'!AH17,Planned!AH17,Reconductor!AH17,CTGS!AH17)</f>
        <v>0</v>
      </c>
      <c r="AI17" s="87">
        <f>SUM('Defect (Total)'!AI17,Planned!AI17,Reconductor!AI17,CTGS!AI17)</f>
        <v>0</v>
      </c>
      <c r="AJ17" s="87">
        <f>SUM('Defect (Total)'!AJ17,Planned!AJ17,Reconductor!AJ17,CTGS!AJ17)</f>
        <v>464</v>
      </c>
      <c r="AK17" s="88">
        <f t="shared" si="14"/>
        <v>0.8</v>
      </c>
      <c r="AL17" s="89">
        <f t="shared" si="0"/>
        <v>1.3333333333333333</v>
      </c>
      <c r="AM17" s="90">
        <f t="shared" si="15"/>
        <v>0</v>
      </c>
      <c r="AN17" s="91">
        <f t="shared" si="1"/>
        <v>51977.333333333336</v>
      </c>
      <c r="AO17" s="92">
        <f t="shared" si="2"/>
        <v>44755.976190476191</v>
      </c>
      <c r="AP17" s="92" t="str">
        <f t="shared" si="3"/>
        <v/>
      </c>
      <c r="AQ17" s="92" t="str">
        <f t="shared" si="4"/>
        <v/>
      </c>
      <c r="AR17" s="92" t="str">
        <f t="shared" si="5"/>
        <v/>
      </c>
      <c r="AS17" s="92" t="str">
        <f t="shared" si="6"/>
        <v/>
      </c>
      <c r="AT17" s="92">
        <f t="shared" si="7"/>
        <v>73037.651892931739</v>
      </c>
      <c r="AU17" s="92" t="str">
        <f t="shared" si="8"/>
        <v/>
      </c>
      <c r="AV17" s="92" t="str">
        <f t="shared" si="9"/>
        <v/>
      </c>
      <c r="AW17" s="92" t="str">
        <f t="shared" si="10"/>
        <v/>
      </c>
      <c r="AX17" s="92">
        <f t="shared" si="10"/>
        <v>20862.835613992647</v>
      </c>
      <c r="AY17" s="93">
        <f t="shared" si="11"/>
        <v>73037.651892931739</v>
      </c>
      <c r="AZ17" s="94">
        <f t="shared" si="12"/>
        <v>73037.651892931739</v>
      </c>
      <c r="BA17" s="95" t="str">
        <f t="shared" si="13"/>
        <v/>
      </c>
      <c r="BB17" s="689">
        <f>SUM('Defect (Total)'!BB17,Planned!CE17,Reconductor!CE17,CTGS!CE17,'Substation 2025$'!CE17*$BL$1,Comms!CA17*$BL$2)</f>
        <v>0</v>
      </c>
      <c r="BC17" s="689">
        <f>SUM('Defect (Total)'!BC17,Planned!CF17,Reconductor!CF17,CTGS!CF17,'Substation 2025$'!CF17*$BL$1,Comms!CB17*$BL$2)</f>
        <v>0</v>
      </c>
      <c r="BD17" s="96">
        <f>SUM('Defect (Total)'!BD17,Planned!CG17,Reconductor!CG17,CTGS!CG17,'Substation 2025$'!CG17*$BL$1,Comms!CC17*$BL$2)</f>
        <v>0</v>
      </c>
      <c r="BE17" s="96">
        <f>SUM('Defect (Total)'!BE17,Planned!CH17,Reconductor!CH17,CTGS!CH17,'Substation 2025$'!CH17*$BL$1,Comms!CD17*$BL$2)</f>
        <v>0</v>
      </c>
      <c r="BF17" s="96">
        <f>SUM('Defect (Total)'!BF17,Planned!CI17,Reconductor!CI17,CTGS!CI17,'Substation 2025$'!CI17*$BL$1,Comms!CE17*$BL$2)</f>
        <v>0</v>
      </c>
      <c r="BG17" s="96">
        <f>SUM('Defect (Total)'!BG17,Planned!CJ17,Reconductor!CJ17,CTGS!CJ17,'Substation 2025$'!CJ17*$BL$1,Comms!CF17*$BL$2)</f>
        <v>0</v>
      </c>
      <c r="BH17" s="96">
        <f>SUM('Defect (Total)'!BH17,Planned!CK17,Reconductor!CK17,CTGS!CK17,'Substation 2025$'!CK17*$BL$1,Comms!CG17*$BL$2)</f>
        <v>0</v>
      </c>
      <c r="BI17" s="286">
        <f>SUM('Defect (Total)'!BI17,Planned!CL17,Reconductor!CL17,CTGS!CL17,'Substation 2025$'!CL17*$BL$1,Comms!CH17*$BL$2)</f>
        <v>0</v>
      </c>
      <c r="BJ17" s="99" t="str">
        <f t="shared" si="16"/>
        <v/>
      </c>
      <c r="BK17" s="743"/>
      <c r="BL17" s="97"/>
      <c r="BM17" s="524"/>
      <c r="BN17" s="416">
        <f>'Distribution Summary'!CI17+'Substation 2025$'!CT17</f>
        <v>0</v>
      </c>
      <c r="BO17" s="97">
        <f>'Distribution Summary'!CJ17+'Substation 2025$'!CU17</f>
        <v>0</v>
      </c>
      <c r="BP17" s="97">
        <f>'Distribution Summary'!CK17+'Substation 2025$'!CV17</f>
        <v>0</v>
      </c>
      <c r="BQ17" s="97">
        <f>'Distribution Summary'!CL17+'Substation 2025$'!CW17</f>
        <v>0</v>
      </c>
      <c r="BR17" s="98">
        <f>'Distribution Summary'!CM17+'Substation 2025$'!CX17</f>
        <v>0</v>
      </c>
    </row>
    <row r="18" spans="1:70" x14ac:dyDescent="0.25">
      <c r="A18" s="81" t="s">
        <v>27</v>
      </c>
      <c r="B18" s="82" t="s">
        <v>47</v>
      </c>
      <c r="C18" s="83" t="s">
        <v>48</v>
      </c>
      <c r="D18" s="84">
        <f>SUM('Defect (Total)'!D18,Planned!D18,Reconductor!D18,CTGS!D18)</f>
        <v>0</v>
      </c>
      <c r="E18" s="85">
        <f>SUM('Defect (Total)'!E18,Planned!E18,Reconductor!E18,CTGS!E18)</f>
        <v>1297678</v>
      </c>
      <c r="F18" s="85">
        <f>SUM('Defect (Total)'!F18,Planned!F18,Reconductor!F18,CTGS!F18)</f>
        <v>0</v>
      </c>
      <c r="G18" s="85">
        <f>SUM('Defect (Total)'!G18,Planned!G18,Reconductor!G18,CTGS!G18)</f>
        <v>0</v>
      </c>
      <c r="H18" s="85">
        <f>SUM('Defect (Total)'!H18,Planned!H18,Reconductor!H18,CTGS!H18)</f>
        <v>0</v>
      </c>
      <c r="I18" s="85">
        <f>SUM('Defect (Total)'!I18,Planned!I18,Reconductor!I18,CTGS!I18)</f>
        <v>0</v>
      </c>
      <c r="J18" s="85">
        <f>SUM('Defect (Total)'!J18,Planned!J18,Reconductor!J18,CTGS!J18)</f>
        <v>0</v>
      </c>
      <c r="K18" s="85">
        <f>SUM('Defect (Total)'!K18,Planned!K18,Reconductor!K18,CTGS!K18)</f>
        <v>0</v>
      </c>
      <c r="L18" s="85">
        <f>SUM('Defect (Total)'!L18,Planned!L18,Reconductor!L18,CTGS!L18)</f>
        <v>0</v>
      </c>
      <c r="M18" s="85">
        <f>SUM('Defect (Total)'!M18,Planned!M18,Reconductor!M18,CTGS!M18)</f>
        <v>0</v>
      </c>
      <c r="N18" s="85">
        <f>SUM('Defect (Total)'!N18,Planned!N18,Reconductor!N18,CTGS!N18)</f>
        <v>2205606.1924981433</v>
      </c>
      <c r="O18" s="560">
        <f>SUM('Defect (Total)'!O18,Planned!O18,Reconductor!O18,CTGS!O18)</f>
        <v>0</v>
      </c>
      <c r="P18" s="561">
        <f>SUM('Defect (Total)'!P18,Planned!P18,Reconductor!P18,CTGS!P18)</f>
        <v>1719982.549073189</v>
      </c>
      <c r="Q18" s="561">
        <f>SUM('Defect (Total)'!Q18,Planned!Q18,Reconductor!Q18,CTGS!Q18)</f>
        <v>0</v>
      </c>
      <c r="R18" s="561">
        <f>SUM('Defect (Total)'!R18,Planned!R18,Reconductor!R18,CTGS!R18)</f>
        <v>0</v>
      </c>
      <c r="S18" s="561">
        <f>SUM('Defect (Total)'!S18,Planned!S18,Reconductor!S18,CTGS!S18)</f>
        <v>0</v>
      </c>
      <c r="T18" s="561">
        <f>SUM('Defect (Total)'!T18,Planned!T18,Reconductor!T18,CTGS!T18)</f>
        <v>0</v>
      </c>
      <c r="U18" s="561">
        <f>SUM('Defect (Total)'!U18,Planned!U18,Reconductor!U18,CTGS!U18)</f>
        <v>0</v>
      </c>
      <c r="V18" s="561">
        <f>SUM('Defect (Total)'!V18,Planned!V18,Reconductor!V18,CTGS!V18)</f>
        <v>0</v>
      </c>
      <c r="W18" s="561">
        <f>SUM('Defect (Total)'!W18,Planned!W18,Reconductor!W18,CTGS!W18)</f>
        <v>0</v>
      </c>
      <c r="X18" s="561">
        <f>SUM('Defect (Total)'!X18,Planned!X18,Reconductor!X18,CTGS!X18)</f>
        <v>0</v>
      </c>
      <c r="Y18" s="561">
        <f>SUM('Defect (Total)'!Y18,Planned!Y18,Reconductor!Y18,CTGS!Y18)</f>
        <v>2266257.0087618702</v>
      </c>
      <c r="Z18" s="86">
        <f>SUM('Defect (Total)'!Z18,Planned!Z18,Reconductor!Z18,CTGS!Z18)</f>
        <v>0</v>
      </c>
      <c r="AA18" s="87">
        <f>SUM('Defect (Total)'!AA18,Planned!AA18,Reconductor!AA18,CTGS!AA18)</f>
        <v>7</v>
      </c>
      <c r="AB18" s="87">
        <f>SUM('Defect (Total)'!AB18,Planned!AB18,Reconductor!AB18,CTGS!AB18)</f>
        <v>0</v>
      </c>
      <c r="AC18" s="87">
        <f>SUM('Defect (Total)'!AC18,Planned!AC18,Reconductor!AC18,CTGS!AC18)</f>
        <v>0</v>
      </c>
      <c r="AD18" s="87">
        <f>SUM('Defect (Total)'!AD18,Planned!AD18,Reconductor!AD18,CTGS!AD18)</f>
        <v>0</v>
      </c>
      <c r="AE18" s="87">
        <f>SUM('Defect (Total)'!AE18,Planned!AE18,Reconductor!AE18,CTGS!AE18)</f>
        <v>0</v>
      </c>
      <c r="AF18" s="87">
        <f>SUM('Defect (Total)'!AF18,Planned!AF18,Reconductor!AF18,CTGS!AF18)</f>
        <v>0</v>
      </c>
      <c r="AG18" s="87">
        <f>SUM('Defect (Total)'!AG18,Planned!AG18,Reconductor!AG18,CTGS!AG18)</f>
        <v>0</v>
      </c>
      <c r="AH18" s="87">
        <f>SUM('Defect (Total)'!AH18,Planned!AH18,Reconductor!AH18,CTGS!AH18)</f>
        <v>0</v>
      </c>
      <c r="AI18" s="87">
        <f>SUM('Defect (Total)'!AI18,Planned!AI18,Reconductor!AI18,CTGS!AI18)</f>
        <v>0</v>
      </c>
      <c r="AJ18" s="87">
        <f>SUM('Defect (Total)'!AJ18,Planned!AJ18,Reconductor!AJ18,CTGS!AJ18)</f>
        <v>0</v>
      </c>
      <c r="AK18" s="88">
        <f t="shared" si="14"/>
        <v>0</v>
      </c>
      <c r="AL18" s="89">
        <f t="shared" si="0"/>
        <v>0</v>
      </c>
      <c r="AM18" s="90">
        <f t="shared" si="15"/>
        <v>0</v>
      </c>
      <c r="AN18" s="91" t="str">
        <f t="shared" si="1"/>
        <v/>
      </c>
      <c r="AO18" s="92">
        <f t="shared" si="2"/>
        <v>185382.57142857142</v>
      </c>
      <c r="AP18" s="92" t="str">
        <f t="shared" si="3"/>
        <v/>
      </c>
      <c r="AQ18" s="92" t="str">
        <f t="shared" si="4"/>
        <v/>
      </c>
      <c r="AR18" s="92" t="str">
        <f t="shared" si="5"/>
        <v/>
      </c>
      <c r="AS18" s="92" t="str">
        <f t="shared" si="6"/>
        <v/>
      </c>
      <c r="AT18" s="92" t="str">
        <f t="shared" si="7"/>
        <v/>
      </c>
      <c r="AU18" s="92" t="str">
        <f t="shared" si="8"/>
        <v/>
      </c>
      <c r="AV18" s="92" t="str">
        <f t="shared" si="9"/>
        <v/>
      </c>
      <c r="AW18" s="92" t="str">
        <f t="shared" si="10"/>
        <v/>
      </c>
      <c r="AX18" s="92" t="str">
        <f t="shared" si="10"/>
        <v/>
      </c>
      <c r="AY18" s="93" t="str">
        <f t="shared" si="11"/>
        <v/>
      </c>
      <c r="AZ18" s="94" t="str">
        <f t="shared" si="12"/>
        <v/>
      </c>
      <c r="BA18" s="95" t="str">
        <f t="shared" si="13"/>
        <v/>
      </c>
      <c r="BB18" s="689">
        <f>SUM('Defect (Total)'!BB18,Planned!CE18,Reconductor!CE18,CTGS!CE18,'Substation 2025$'!CE18*$BL$1,Comms!CA18*$BL$2)</f>
        <v>0</v>
      </c>
      <c r="BC18" s="689">
        <f>SUM('Defect (Total)'!BC18,Planned!CF18,Reconductor!CF18,CTGS!CF18,'Substation 2025$'!CF18*$BL$1,Comms!CB18*$BL$2)</f>
        <v>0</v>
      </c>
      <c r="BD18" s="96">
        <f>SUM('Defect (Total)'!BD18,Planned!CG18,Reconductor!CG18,CTGS!CG18,'Substation 2025$'!CG18*$BL$1,Comms!CC18*$BL$2)</f>
        <v>0</v>
      </c>
      <c r="BE18" s="96">
        <f>SUM('Defect (Total)'!BE18,Planned!CH18,Reconductor!CH18,CTGS!CH18,'Substation 2025$'!CH18*$BL$1,Comms!CD18*$BL$2)</f>
        <v>0</v>
      </c>
      <c r="BF18" s="96">
        <f>SUM('Defect (Total)'!BF18,Planned!CI18,Reconductor!CI18,CTGS!CI18,'Substation 2025$'!CI18*$BL$1,Comms!CE18*$BL$2)</f>
        <v>0</v>
      </c>
      <c r="BG18" s="96">
        <f>SUM('Defect (Total)'!BG18,Planned!CJ18,Reconductor!CJ18,CTGS!CJ18,'Substation 2025$'!CJ18*$BL$1,Comms!CF18*$BL$2)</f>
        <v>0</v>
      </c>
      <c r="BH18" s="96">
        <f>SUM('Defect (Total)'!BH18,Planned!CK18,Reconductor!CK18,CTGS!CK18,'Substation 2025$'!CK18*$BL$1,Comms!CG18*$BL$2)</f>
        <v>0</v>
      </c>
      <c r="BI18" s="286">
        <f>SUM('Defect (Total)'!BI18,Planned!CL18,Reconductor!CL18,CTGS!CL18,'Substation 2025$'!CL18*$BL$1,Comms!CH18*$BL$2)</f>
        <v>0</v>
      </c>
      <c r="BJ18" s="99" t="str">
        <f t="shared" si="16"/>
        <v/>
      </c>
      <c r="BK18" s="743"/>
      <c r="BL18" s="97"/>
      <c r="BM18" s="524"/>
      <c r="BN18" s="416">
        <f>'Distribution Summary'!CI18+'Substation 2025$'!CT18</f>
        <v>0</v>
      </c>
      <c r="BO18" s="97">
        <f>'Distribution Summary'!CJ18+'Substation 2025$'!CU18</f>
        <v>0</v>
      </c>
      <c r="BP18" s="97">
        <f>'Distribution Summary'!CK18+'Substation 2025$'!CV18</f>
        <v>0</v>
      </c>
      <c r="BQ18" s="97">
        <f>'Distribution Summary'!CL18+'Substation 2025$'!CW18</f>
        <v>0</v>
      </c>
      <c r="BR18" s="98">
        <f>'Distribution Summary'!CM18+'Substation 2025$'!CX18</f>
        <v>0</v>
      </c>
    </row>
    <row r="19" spans="1:70" x14ac:dyDescent="0.25">
      <c r="A19" s="81" t="s">
        <v>27</v>
      </c>
      <c r="B19" s="82" t="s">
        <v>49</v>
      </c>
      <c r="C19" s="83" t="s">
        <v>50</v>
      </c>
      <c r="D19" s="84">
        <f>SUM('Defect (Total)'!D19,Planned!D19,Reconductor!D19,CTGS!D19)</f>
        <v>0</v>
      </c>
      <c r="E19" s="85">
        <f>SUM('Defect (Total)'!E19,Planned!E19,Reconductor!E19,CTGS!E19)</f>
        <v>0</v>
      </c>
      <c r="F19" s="85">
        <f>SUM('Defect (Total)'!F19,Planned!F19,Reconductor!F19,CTGS!F19)</f>
        <v>0</v>
      </c>
      <c r="G19" s="85">
        <f>SUM('Defect (Total)'!G19,Planned!G19,Reconductor!G19,CTGS!G19)</f>
        <v>0</v>
      </c>
      <c r="H19" s="85">
        <f>SUM('Defect (Total)'!H19,Planned!H19,Reconductor!H19,CTGS!H19)</f>
        <v>0</v>
      </c>
      <c r="I19" s="85">
        <f>SUM('Defect (Total)'!I19,Planned!I19,Reconductor!I19,CTGS!I19)</f>
        <v>0</v>
      </c>
      <c r="J19" s="85">
        <f>SUM('Defect (Total)'!J19,Planned!J19,Reconductor!J19,CTGS!J19)</f>
        <v>0</v>
      </c>
      <c r="K19" s="85">
        <f>SUM('Defect (Total)'!K19,Planned!K19,Reconductor!K19,CTGS!K19)</f>
        <v>0</v>
      </c>
      <c r="L19" s="85">
        <f>SUM('Defect (Total)'!L19,Planned!L19,Reconductor!L19,CTGS!L19)</f>
        <v>0</v>
      </c>
      <c r="M19" s="85">
        <f>SUM('Defect (Total)'!M19,Planned!M19,Reconductor!M19,CTGS!M19)</f>
        <v>0</v>
      </c>
      <c r="N19" s="85">
        <f>SUM('Defect (Total)'!N19,Planned!N19,Reconductor!N19,CTGS!N19)</f>
        <v>0</v>
      </c>
      <c r="O19" s="560">
        <f>SUM('Defect (Total)'!O19,Planned!O19,Reconductor!O19,CTGS!O19)</f>
        <v>0</v>
      </c>
      <c r="P19" s="561">
        <f>SUM('Defect (Total)'!P19,Planned!P19,Reconductor!P19,CTGS!P19)</f>
        <v>0</v>
      </c>
      <c r="Q19" s="561">
        <f>SUM('Defect (Total)'!Q19,Planned!Q19,Reconductor!Q19,CTGS!Q19)</f>
        <v>0</v>
      </c>
      <c r="R19" s="561">
        <f>SUM('Defect (Total)'!R19,Planned!R19,Reconductor!R19,CTGS!R19)</f>
        <v>0</v>
      </c>
      <c r="S19" s="561">
        <f>SUM('Defect (Total)'!S19,Planned!S19,Reconductor!S19,CTGS!S19)</f>
        <v>0</v>
      </c>
      <c r="T19" s="561">
        <f>SUM('Defect (Total)'!T19,Planned!T19,Reconductor!T19,CTGS!T19)</f>
        <v>0</v>
      </c>
      <c r="U19" s="561">
        <f>SUM('Defect (Total)'!U19,Planned!U19,Reconductor!U19,CTGS!U19)</f>
        <v>0</v>
      </c>
      <c r="V19" s="561">
        <f>SUM('Defect (Total)'!V19,Planned!V19,Reconductor!V19,CTGS!V19)</f>
        <v>0</v>
      </c>
      <c r="W19" s="561">
        <f>SUM('Defect (Total)'!W19,Planned!W19,Reconductor!W19,CTGS!W19)</f>
        <v>0</v>
      </c>
      <c r="X19" s="561">
        <f>SUM('Defect (Total)'!X19,Planned!X19,Reconductor!X19,CTGS!X19)</f>
        <v>0</v>
      </c>
      <c r="Y19" s="561">
        <f>SUM('Defect (Total)'!Y19,Planned!Y19,Reconductor!Y19,CTGS!Y19)</f>
        <v>0</v>
      </c>
      <c r="Z19" s="86">
        <f>SUM('Defect (Total)'!Z19,Planned!Z19,Reconductor!Z19,CTGS!Z19)</f>
        <v>0</v>
      </c>
      <c r="AA19" s="87">
        <f>SUM('Defect (Total)'!AA19,Planned!AA19,Reconductor!AA19,CTGS!AA19)</f>
        <v>0</v>
      </c>
      <c r="AB19" s="87">
        <f>SUM('Defect (Total)'!AB19,Planned!AB19,Reconductor!AB19,CTGS!AB19)</f>
        <v>0</v>
      </c>
      <c r="AC19" s="87">
        <f>SUM('Defect (Total)'!AC19,Planned!AC19,Reconductor!AC19,CTGS!AC19)</f>
        <v>0</v>
      </c>
      <c r="AD19" s="87">
        <f>SUM('Defect (Total)'!AD19,Planned!AD19,Reconductor!AD19,CTGS!AD19)</f>
        <v>0</v>
      </c>
      <c r="AE19" s="87">
        <f>SUM('Defect (Total)'!AE19,Planned!AE19,Reconductor!AE19,CTGS!AE19)</f>
        <v>0</v>
      </c>
      <c r="AF19" s="87">
        <f>SUM('Defect (Total)'!AF19,Planned!AF19,Reconductor!AF19,CTGS!AF19)</f>
        <v>0</v>
      </c>
      <c r="AG19" s="87">
        <f>SUM('Defect (Total)'!AG19,Planned!AG19,Reconductor!AG19,CTGS!AG19)</f>
        <v>0</v>
      </c>
      <c r="AH19" s="87">
        <f>SUM('Defect (Total)'!AH19,Planned!AH19,Reconductor!AH19,CTGS!AH19)</f>
        <v>0</v>
      </c>
      <c r="AI19" s="87">
        <f>SUM('Defect (Total)'!AI19,Planned!AI19,Reconductor!AI19,CTGS!AI19)</f>
        <v>0</v>
      </c>
      <c r="AJ19" s="87">
        <f>SUM('Defect (Total)'!AJ19,Planned!AJ19,Reconductor!AJ19,CTGS!AJ19)</f>
        <v>0</v>
      </c>
      <c r="AK19" s="88">
        <f t="shared" si="14"/>
        <v>0</v>
      </c>
      <c r="AL19" s="89">
        <f t="shared" si="0"/>
        <v>0</v>
      </c>
      <c r="AM19" s="90">
        <f t="shared" si="15"/>
        <v>0</v>
      </c>
      <c r="AN19" s="91" t="str">
        <f t="shared" si="1"/>
        <v/>
      </c>
      <c r="AO19" s="92" t="str">
        <f t="shared" si="2"/>
        <v/>
      </c>
      <c r="AP19" s="92" t="str">
        <f t="shared" si="3"/>
        <v/>
      </c>
      <c r="AQ19" s="92" t="str">
        <f t="shared" si="4"/>
        <v/>
      </c>
      <c r="AR19" s="92" t="str">
        <f t="shared" si="5"/>
        <v/>
      </c>
      <c r="AS19" s="92" t="str">
        <f t="shared" si="6"/>
        <v/>
      </c>
      <c r="AT19" s="92" t="str">
        <f t="shared" si="7"/>
        <v/>
      </c>
      <c r="AU19" s="92" t="str">
        <f t="shared" si="8"/>
        <v/>
      </c>
      <c r="AV19" s="92" t="str">
        <f t="shared" si="9"/>
        <v/>
      </c>
      <c r="AW19" s="92" t="str">
        <f t="shared" si="10"/>
        <v/>
      </c>
      <c r="AX19" s="92" t="str">
        <f t="shared" si="10"/>
        <v/>
      </c>
      <c r="AY19" s="93" t="str">
        <f t="shared" si="11"/>
        <v/>
      </c>
      <c r="AZ19" s="94" t="str">
        <f t="shared" si="12"/>
        <v/>
      </c>
      <c r="BA19" s="95" t="str">
        <f t="shared" si="13"/>
        <v/>
      </c>
      <c r="BB19" s="689">
        <f>SUM('Defect (Total)'!BB19,Planned!CE19,Reconductor!CE19,CTGS!CE19,'Substation 2025$'!CE19*$BL$1,Comms!CA19*$BL$2)</f>
        <v>0</v>
      </c>
      <c r="BC19" s="689">
        <f>SUM('Defect (Total)'!BC19,Planned!CF19,Reconductor!CF19,CTGS!CF19,'Substation 2025$'!CF19*$BL$1,Comms!CB19*$BL$2)</f>
        <v>0</v>
      </c>
      <c r="BD19" s="96">
        <f>SUM('Defect (Total)'!BD19,Planned!CG19,Reconductor!CG19,CTGS!CG19,'Substation 2025$'!CG19*$BL$1,Comms!CC19*$BL$2)</f>
        <v>0</v>
      </c>
      <c r="BE19" s="96">
        <f>SUM('Defect (Total)'!BE19,Planned!CH19,Reconductor!CH19,CTGS!CH19,'Substation 2025$'!CH19*$BL$1,Comms!CD19*$BL$2)</f>
        <v>0</v>
      </c>
      <c r="BF19" s="96">
        <f>SUM('Defect (Total)'!BF19,Planned!CI19,Reconductor!CI19,CTGS!CI19,'Substation 2025$'!CI19*$BL$1,Comms!CE19*$BL$2)</f>
        <v>0</v>
      </c>
      <c r="BG19" s="96">
        <f>SUM('Defect (Total)'!BG19,Planned!CJ19,Reconductor!CJ19,CTGS!CJ19,'Substation 2025$'!CJ19*$BL$1,Comms!CF19*$BL$2)</f>
        <v>0</v>
      </c>
      <c r="BH19" s="96">
        <f>SUM('Defect (Total)'!BH19,Planned!CK19,Reconductor!CK19,CTGS!CK19,'Substation 2025$'!CK19*$BL$1,Comms!CG19*$BL$2)</f>
        <v>0</v>
      </c>
      <c r="BI19" s="286">
        <f>SUM('Defect (Total)'!BI19,Planned!CL19,Reconductor!CL19,CTGS!CL19,'Substation 2025$'!CL19*$BL$1,Comms!CH19*$BL$2)</f>
        <v>0</v>
      </c>
      <c r="BJ19" s="99" t="str">
        <f t="shared" si="16"/>
        <v/>
      </c>
      <c r="BK19" s="743"/>
      <c r="BL19" s="97"/>
      <c r="BM19" s="524"/>
      <c r="BN19" s="416">
        <f>'Distribution Summary'!CI19+'Substation 2025$'!CT19</f>
        <v>0</v>
      </c>
      <c r="BO19" s="97">
        <f>'Distribution Summary'!CJ19+'Substation 2025$'!CU19</f>
        <v>0</v>
      </c>
      <c r="BP19" s="97">
        <f>'Distribution Summary'!CK19+'Substation 2025$'!CV19</f>
        <v>0</v>
      </c>
      <c r="BQ19" s="97">
        <f>'Distribution Summary'!CL19+'Substation 2025$'!CW19</f>
        <v>0</v>
      </c>
      <c r="BR19" s="98">
        <f>'Distribution Summary'!CM19+'Substation 2025$'!CX19</f>
        <v>0</v>
      </c>
    </row>
    <row r="20" spans="1:70" x14ac:dyDescent="0.25">
      <c r="A20" s="81" t="s">
        <v>27</v>
      </c>
      <c r="B20" s="82" t="s">
        <v>51</v>
      </c>
      <c r="C20" s="83" t="s">
        <v>301</v>
      </c>
      <c r="D20" s="84">
        <f>SUM('Defect (Total)'!D20,Planned!D20,Reconductor!D20,CTGS!D20)</f>
        <v>0</v>
      </c>
      <c r="E20" s="85">
        <f>SUM('Defect (Total)'!E20,Planned!E20,Reconductor!E20,CTGS!E20)</f>
        <v>0</v>
      </c>
      <c r="F20" s="85">
        <f>SUM('Defect (Total)'!F20,Planned!F20,Reconductor!F20,CTGS!F20)</f>
        <v>0</v>
      </c>
      <c r="G20" s="85">
        <f>SUM('Defect (Total)'!G20,Planned!G20,Reconductor!G20,CTGS!G20)</f>
        <v>0</v>
      </c>
      <c r="H20" s="85">
        <f>SUM('Defect (Total)'!H20,Planned!H20,Reconductor!H20,CTGS!H20)</f>
        <v>0</v>
      </c>
      <c r="I20" s="85">
        <f>SUM('Defect (Total)'!I20,Planned!I20,Reconductor!I20,CTGS!I20)</f>
        <v>0</v>
      </c>
      <c r="J20" s="85">
        <f>SUM('Defect (Total)'!J20,Planned!J20,Reconductor!J20,CTGS!J20)</f>
        <v>0</v>
      </c>
      <c r="K20" s="85">
        <f>SUM('Defect (Total)'!K20,Planned!K20,Reconductor!K20,CTGS!K20)</f>
        <v>0</v>
      </c>
      <c r="L20" s="85">
        <f>SUM('Defect (Total)'!L20,Planned!L20,Reconductor!L20,CTGS!L20)</f>
        <v>0</v>
      </c>
      <c r="M20" s="85">
        <f>SUM('Defect (Total)'!M20,Planned!M20,Reconductor!M20,CTGS!M20)</f>
        <v>0</v>
      </c>
      <c r="N20" s="85">
        <f>SUM('Defect (Total)'!N20,Planned!N20,Reconductor!N20,CTGS!N20)</f>
        <v>0</v>
      </c>
      <c r="O20" s="560">
        <f>SUM('Defect (Total)'!O20,Planned!O20,Reconductor!O20,CTGS!O20)</f>
        <v>0</v>
      </c>
      <c r="P20" s="561">
        <f>SUM('Defect (Total)'!P20,Planned!P20,Reconductor!P20,CTGS!P20)</f>
        <v>0</v>
      </c>
      <c r="Q20" s="561">
        <f>SUM('Defect (Total)'!Q20,Planned!Q20,Reconductor!Q20,CTGS!Q20)</f>
        <v>0</v>
      </c>
      <c r="R20" s="561">
        <f>SUM('Defect (Total)'!R20,Planned!R20,Reconductor!R20,CTGS!R20)</f>
        <v>0</v>
      </c>
      <c r="S20" s="561">
        <f>SUM('Defect (Total)'!S20,Planned!S20,Reconductor!S20,CTGS!S20)</f>
        <v>0</v>
      </c>
      <c r="T20" s="561">
        <f>SUM('Defect (Total)'!T20,Planned!T20,Reconductor!T20,CTGS!T20)</f>
        <v>0</v>
      </c>
      <c r="U20" s="561">
        <f>SUM('Defect (Total)'!U20,Planned!U20,Reconductor!U20,CTGS!U20)</f>
        <v>0</v>
      </c>
      <c r="V20" s="561">
        <f>SUM('Defect (Total)'!V20,Planned!V20,Reconductor!V20,CTGS!V20)</f>
        <v>0</v>
      </c>
      <c r="W20" s="561">
        <f>SUM('Defect (Total)'!W20,Planned!W20,Reconductor!W20,CTGS!W20)</f>
        <v>0</v>
      </c>
      <c r="X20" s="561">
        <f>SUM('Defect (Total)'!X20,Planned!X20,Reconductor!X20,CTGS!X20)</f>
        <v>0</v>
      </c>
      <c r="Y20" s="561">
        <f>SUM('Defect (Total)'!Y20,Planned!Y20,Reconductor!Y20,CTGS!Y20)</f>
        <v>0</v>
      </c>
      <c r="Z20" s="86">
        <f>SUM('Defect (Total)'!Z20,Planned!Z20,Reconductor!Z20,CTGS!Z20)</f>
        <v>0</v>
      </c>
      <c r="AA20" s="87">
        <f>SUM('Defect (Total)'!AA20,Planned!AA20,Reconductor!AA20,CTGS!AA20)</f>
        <v>0</v>
      </c>
      <c r="AB20" s="87">
        <f>SUM('Defect (Total)'!AB20,Planned!AB20,Reconductor!AB20,CTGS!AB20)</f>
        <v>0</v>
      </c>
      <c r="AC20" s="87">
        <f>SUM('Defect (Total)'!AC20,Planned!AC20,Reconductor!AC20,CTGS!AC20)</f>
        <v>0</v>
      </c>
      <c r="AD20" s="87">
        <f>SUM('Defect (Total)'!AD20,Planned!AD20,Reconductor!AD20,CTGS!AD20)</f>
        <v>0</v>
      </c>
      <c r="AE20" s="87">
        <f>SUM('Defect (Total)'!AE20,Planned!AE20,Reconductor!AE20,CTGS!AE20)</f>
        <v>0</v>
      </c>
      <c r="AF20" s="87">
        <f>SUM('Defect (Total)'!AF20,Planned!AF20,Reconductor!AF20,CTGS!AF20)</f>
        <v>0</v>
      </c>
      <c r="AG20" s="87">
        <f>SUM('Defect (Total)'!AG20,Planned!AG20,Reconductor!AG20,CTGS!AG20)</f>
        <v>0</v>
      </c>
      <c r="AH20" s="87">
        <f>SUM('Defect (Total)'!AH20,Planned!AH20,Reconductor!AH20,CTGS!AH20)</f>
        <v>0</v>
      </c>
      <c r="AI20" s="87">
        <f>SUM('Defect (Total)'!AI20,Planned!AI20,Reconductor!AI20,CTGS!AI20)</f>
        <v>0</v>
      </c>
      <c r="AJ20" s="87">
        <f>SUM('Defect (Total)'!AJ20,Planned!AJ20,Reconductor!AJ20,CTGS!AJ20)</f>
        <v>0</v>
      </c>
      <c r="AK20" s="88">
        <f t="shared" si="14"/>
        <v>0</v>
      </c>
      <c r="AL20" s="89">
        <f t="shared" si="0"/>
        <v>0</v>
      </c>
      <c r="AM20" s="90">
        <f t="shared" si="15"/>
        <v>0</v>
      </c>
      <c r="AN20" s="91" t="str">
        <f t="shared" si="1"/>
        <v/>
      </c>
      <c r="AO20" s="92" t="str">
        <f t="shared" si="2"/>
        <v/>
      </c>
      <c r="AP20" s="92" t="str">
        <f t="shared" si="3"/>
        <v/>
      </c>
      <c r="AQ20" s="92" t="str">
        <f t="shared" si="4"/>
        <v/>
      </c>
      <c r="AR20" s="92" t="str">
        <f t="shared" si="5"/>
        <v/>
      </c>
      <c r="AS20" s="92" t="str">
        <f t="shared" si="6"/>
        <v/>
      </c>
      <c r="AT20" s="92" t="str">
        <f t="shared" si="7"/>
        <v/>
      </c>
      <c r="AU20" s="92" t="str">
        <f t="shared" si="8"/>
        <v/>
      </c>
      <c r="AV20" s="92" t="str">
        <f t="shared" si="9"/>
        <v/>
      </c>
      <c r="AW20" s="92" t="str">
        <f t="shared" si="10"/>
        <v/>
      </c>
      <c r="AX20" s="92" t="str">
        <f t="shared" si="10"/>
        <v/>
      </c>
      <c r="AY20" s="93" t="str">
        <f t="shared" si="11"/>
        <v/>
      </c>
      <c r="AZ20" s="94" t="str">
        <f t="shared" si="12"/>
        <v/>
      </c>
      <c r="BA20" s="95" t="str">
        <f t="shared" si="13"/>
        <v/>
      </c>
      <c r="BB20" s="689">
        <f>SUM('Defect (Total)'!BB20,Planned!CE20,Reconductor!CE20,CTGS!CE20,'Substation 2025$'!CE20*$BL$1,Comms!CA20*$BL$2)</f>
        <v>0</v>
      </c>
      <c r="BC20" s="689">
        <f>SUM('Defect (Total)'!BC20,Planned!CF20,Reconductor!CF20,CTGS!CF20,'Substation 2025$'!CF20*$BL$1,Comms!CB20*$BL$2)</f>
        <v>0</v>
      </c>
      <c r="BD20" s="96">
        <f>SUM('Defect (Total)'!BD20,Planned!CG20,Reconductor!CG20,CTGS!CG20,'Substation 2025$'!CG20*$BL$1,Comms!CC20*$BL$2)</f>
        <v>0</v>
      </c>
      <c r="BE20" s="96">
        <f>SUM('Defect (Total)'!BE20,Planned!CH20,Reconductor!CH20,CTGS!CH20,'Substation 2025$'!CH20*$BL$1,Comms!CD20*$BL$2)</f>
        <v>0</v>
      </c>
      <c r="BF20" s="96">
        <f>SUM('Defect (Total)'!BF20,Planned!CI20,Reconductor!CI20,CTGS!CI20,'Substation 2025$'!CI20*$BL$1,Comms!CE20*$BL$2)</f>
        <v>0</v>
      </c>
      <c r="BG20" s="96">
        <f>SUM('Defect (Total)'!BG20,Planned!CJ20,Reconductor!CJ20,CTGS!CJ20,'Substation 2025$'!CJ20*$BL$1,Comms!CF20*$BL$2)</f>
        <v>0</v>
      </c>
      <c r="BH20" s="96">
        <f>SUM('Defect (Total)'!BH20,Planned!CK20,Reconductor!CK20,CTGS!CK20,'Substation 2025$'!CK20*$BL$1,Comms!CG20*$BL$2)</f>
        <v>0</v>
      </c>
      <c r="BI20" s="286">
        <f>SUM('Defect (Total)'!BI20,Planned!CL20,Reconductor!CL20,CTGS!CL20,'Substation 2025$'!CL20*$BL$1,Comms!CH20*$BL$2)</f>
        <v>0</v>
      </c>
      <c r="BJ20" s="99" t="str">
        <f t="shared" si="16"/>
        <v/>
      </c>
      <c r="BK20" s="743"/>
      <c r="BL20" s="97"/>
      <c r="BM20" s="524"/>
      <c r="BN20" s="416">
        <f>'Distribution Summary'!CI20+'Substation 2025$'!CT20</f>
        <v>0</v>
      </c>
      <c r="BO20" s="97">
        <f>'Distribution Summary'!CJ20+'Substation 2025$'!CU20</f>
        <v>0</v>
      </c>
      <c r="BP20" s="97">
        <f>'Distribution Summary'!CK20+'Substation 2025$'!CV20</f>
        <v>0</v>
      </c>
      <c r="BQ20" s="97">
        <f>'Distribution Summary'!CL20+'Substation 2025$'!CW20</f>
        <v>0</v>
      </c>
      <c r="BR20" s="98">
        <f>'Distribution Summary'!CM20+'Substation 2025$'!CX20</f>
        <v>0</v>
      </c>
    </row>
    <row r="21" spans="1:70" x14ac:dyDescent="0.25">
      <c r="A21" s="81" t="s">
        <v>27</v>
      </c>
      <c r="B21" s="82" t="s">
        <v>53</v>
      </c>
      <c r="C21" s="83" t="s">
        <v>54</v>
      </c>
      <c r="D21" s="84">
        <f>SUM('Defect (Total)'!D21,Planned!D21,Reconductor!D21,CTGS!D21)</f>
        <v>0</v>
      </c>
      <c r="E21" s="85">
        <f>SUM('Defect (Total)'!E21,Planned!E21,Reconductor!E21,CTGS!E21)</f>
        <v>0</v>
      </c>
      <c r="F21" s="85">
        <f>SUM('Defect (Total)'!F21,Planned!F21,Reconductor!F21,CTGS!F21)</f>
        <v>0</v>
      </c>
      <c r="G21" s="85">
        <f>SUM('Defect (Total)'!G21,Planned!G21,Reconductor!G21,CTGS!G21)</f>
        <v>0</v>
      </c>
      <c r="H21" s="85">
        <f>SUM('Defect (Total)'!H21,Planned!H21,Reconductor!H21,CTGS!H21)</f>
        <v>0</v>
      </c>
      <c r="I21" s="85">
        <f>SUM('Defect (Total)'!I21,Planned!I21,Reconductor!I21,CTGS!I21)</f>
        <v>0</v>
      </c>
      <c r="J21" s="85">
        <f>SUM('Defect (Total)'!J21,Planned!J21,Reconductor!J21,CTGS!J21)</f>
        <v>0</v>
      </c>
      <c r="K21" s="85">
        <f>SUM('Defect (Total)'!K21,Planned!K21,Reconductor!K21,CTGS!K21)</f>
        <v>0</v>
      </c>
      <c r="L21" s="85">
        <f>SUM('Defect (Total)'!L21,Planned!L21,Reconductor!L21,CTGS!L21)</f>
        <v>0</v>
      </c>
      <c r="M21" s="85">
        <f>SUM('Defect (Total)'!M21,Planned!M21,Reconductor!M21,CTGS!M21)</f>
        <v>0</v>
      </c>
      <c r="N21" s="85">
        <f>SUM('Defect (Total)'!N21,Planned!N21,Reconductor!N21,CTGS!N21)</f>
        <v>0</v>
      </c>
      <c r="O21" s="560">
        <f>SUM('Defect (Total)'!O21,Planned!O21,Reconductor!O21,CTGS!O21)</f>
        <v>0</v>
      </c>
      <c r="P21" s="561">
        <f>SUM('Defect (Total)'!P21,Planned!P21,Reconductor!P21,CTGS!P21)</f>
        <v>0</v>
      </c>
      <c r="Q21" s="561">
        <f>SUM('Defect (Total)'!Q21,Planned!Q21,Reconductor!Q21,CTGS!Q21)</f>
        <v>0</v>
      </c>
      <c r="R21" s="561">
        <f>SUM('Defect (Total)'!R21,Planned!R21,Reconductor!R21,CTGS!R21)</f>
        <v>0</v>
      </c>
      <c r="S21" s="561">
        <f>SUM('Defect (Total)'!S21,Planned!S21,Reconductor!S21,CTGS!S21)</f>
        <v>0</v>
      </c>
      <c r="T21" s="561">
        <f>SUM('Defect (Total)'!T21,Planned!T21,Reconductor!T21,CTGS!T21)</f>
        <v>0</v>
      </c>
      <c r="U21" s="561">
        <f>SUM('Defect (Total)'!U21,Planned!U21,Reconductor!U21,CTGS!U21)</f>
        <v>0</v>
      </c>
      <c r="V21" s="561">
        <f>SUM('Defect (Total)'!V21,Planned!V21,Reconductor!V21,CTGS!V21)</f>
        <v>0</v>
      </c>
      <c r="W21" s="561">
        <f>SUM('Defect (Total)'!W21,Planned!W21,Reconductor!W21,CTGS!W21)</f>
        <v>0</v>
      </c>
      <c r="X21" s="561">
        <f>SUM('Defect (Total)'!X21,Planned!X21,Reconductor!X21,CTGS!X21)</f>
        <v>0</v>
      </c>
      <c r="Y21" s="561">
        <f>SUM('Defect (Total)'!Y21,Planned!Y21,Reconductor!Y21,CTGS!Y21)</f>
        <v>0</v>
      </c>
      <c r="Z21" s="86">
        <f>SUM('Defect (Total)'!Z21,Planned!Z21,Reconductor!Z21,CTGS!Z21)</f>
        <v>0</v>
      </c>
      <c r="AA21" s="87">
        <f>SUM('Defect (Total)'!AA21,Planned!AA21,Reconductor!AA21,CTGS!AA21)</f>
        <v>0</v>
      </c>
      <c r="AB21" s="87">
        <f>SUM('Defect (Total)'!AB21,Planned!AB21,Reconductor!AB21,CTGS!AB21)</f>
        <v>0</v>
      </c>
      <c r="AC21" s="87">
        <f>SUM('Defect (Total)'!AC21,Planned!AC21,Reconductor!AC21,CTGS!AC21)</f>
        <v>0</v>
      </c>
      <c r="AD21" s="87">
        <f>SUM('Defect (Total)'!AD21,Planned!AD21,Reconductor!AD21,CTGS!AD21)</f>
        <v>0</v>
      </c>
      <c r="AE21" s="87">
        <f>SUM('Defect (Total)'!AE21,Planned!AE21,Reconductor!AE21,CTGS!AE21)</f>
        <v>0</v>
      </c>
      <c r="AF21" s="87">
        <f>SUM('Defect (Total)'!AF21,Planned!AF21,Reconductor!AF21,CTGS!AF21)</f>
        <v>0</v>
      </c>
      <c r="AG21" s="87">
        <f>SUM('Defect (Total)'!AG21,Planned!AG21,Reconductor!AG21,CTGS!AG21)</f>
        <v>0</v>
      </c>
      <c r="AH21" s="87">
        <f>SUM('Defect (Total)'!AH21,Planned!AH21,Reconductor!AH21,CTGS!AH21)</f>
        <v>0</v>
      </c>
      <c r="AI21" s="87">
        <f>SUM('Defect (Total)'!AI21,Planned!AI21,Reconductor!AI21,CTGS!AI21)</f>
        <v>0</v>
      </c>
      <c r="AJ21" s="87">
        <f>SUM('Defect (Total)'!AJ21,Planned!AJ21,Reconductor!AJ21,CTGS!AJ21)</f>
        <v>0</v>
      </c>
      <c r="AK21" s="88">
        <f t="shared" si="14"/>
        <v>0</v>
      </c>
      <c r="AL21" s="89">
        <f t="shared" si="0"/>
        <v>0</v>
      </c>
      <c r="AM21" s="90">
        <f t="shared" si="15"/>
        <v>0</v>
      </c>
      <c r="AN21" s="91" t="str">
        <f t="shared" si="1"/>
        <v/>
      </c>
      <c r="AO21" s="92" t="str">
        <f t="shared" si="2"/>
        <v/>
      </c>
      <c r="AP21" s="92" t="str">
        <f t="shared" si="3"/>
        <v/>
      </c>
      <c r="AQ21" s="92" t="str">
        <f t="shared" si="4"/>
        <v/>
      </c>
      <c r="AR21" s="92" t="str">
        <f t="shared" si="5"/>
        <v/>
      </c>
      <c r="AS21" s="92" t="str">
        <f t="shared" si="6"/>
        <v/>
      </c>
      <c r="AT21" s="92" t="str">
        <f t="shared" si="7"/>
        <v/>
      </c>
      <c r="AU21" s="92" t="str">
        <f t="shared" si="8"/>
        <v/>
      </c>
      <c r="AV21" s="92" t="str">
        <f t="shared" si="9"/>
        <v/>
      </c>
      <c r="AW21" s="92" t="str">
        <f t="shared" si="10"/>
        <v/>
      </c>
      <c r="AX21" s="92" t="str">
        <f t="shared" si="10"/>
        <v/>
      </c>
      <c r="AY21" s="93" t="str">
        <f t="shared" si="11"/>
        <v/>
      </c>
      <c r="AZ21" s="94" t="str">
        <f t="shared" si="12"/>
        <v/>
      </c>
      <c r="BA21" s="95" t="str">
        <f t="shared" si="13"/>
        <v/>
      </c>
      <c r="BB21" s="689">
        <f>SUM('Defect (Total)'!BB21,Planned!CE21,Reconductor!CE21,CTGS!CE21,'Substation 2025$'!CE21*$BL$1,Comms!CA21*$BL$2)</f>
        <v>0</v>
      </c>
      <c r="BC21" s="689">
        <f>SUM('Defect (Total)'!BC21,Planned!CF21,Reconductor!CF21,CTGS!CF21,'Substation 2025$'!CF21*$BL$1,Comms!CB21*$BL$2)</f>
        <v>0</v>
      </c>
      <c r="BD21" s="96">
        <f>SUM('Defect (Total)'!BD21,Planned!CG21,Reconductor!CG21,CTGS!CG21,'Substation 2025$'!CG21*$BL$1,Comms!CC21*$BL$2)</f>
        <v>0</v>
      </c>
      <c r="BE21" s="96">
        <f>SUM('Defect (Total)'!BE21,Planned!CH21,Reconductor!CH21,CTGS!CH21,'Substation 2025$'!CH21*$BL$1,Comms!CD21*$BL$2)</f>
        <v>0</v>
      </c>
      <c r="BF21" s="96">
        <f>SUM('Defect (Total)'!BF21,Planned!CI21,Reconductor!CI21,CTGS!CI21,'Substation 2025$'!CI21*$BL$1,Comms!CE21*$BL$2)</f>
        <v>0</v>
      </c>
      <c r="BG21" s="96">
        <f>SUM('Defect (Total)'!BG21,Planned!CJ21,Reconductor!CJ21,CTGS!CJ21,'Substation 2025$'!CJ21*$BL$1,Comms!CF21*$BL$2)</f>
        <v>0</v>
      </c>
      <c r="BH21" s="96">
        <f>SUM('Defect (Total)'!BH21,Planned!CK21,Reconductor!CK21,CTGS!CK21,'Substation 2025$'!CK21*$BL$1,Comms!CG21*$BL$2)</f>
        <v>0</v>
      </c>
      <c r="BI21" s="286">
        <f>SUM('Defect (Total)'!BI21,Planned!CL21,Reconductor!CL21,CTGS!CL21,'Substation 2025$'!CL21*$BL$1,Comms!CH21*$BL$2)</f>
        <v>0</v>
      </c>
      <c r="BJ21" s="99" t="str">
        <f t="shared" si="16"/>
        <v/>
      </c>
      <c r="BK21" s="743"/>
      <c r="BL21" s="97"/>
      <c r="BM21" s="524"/>
      <c r="BN21" s="416">
        <f>'Distribution Summary'!CI21+'Substation 2025$'!CT21</f>
        <v>0</v>
      </c>
      <c r="BO21" s="97">
        <f>'Distribution Summary'!CJ21+'Substation 2025$'!CU21</f>
        <v>0</v>
      </c>
      <c r="BP21" s="97">
        <f>'Distribution Summary'!CK21+'Substation 2025$'!CV21</f>
        <v>0</v>
      </c>
      <c r="BQ21" s="97">
        <f>'Distribution Summary'!CL21+'Substation 2025$'!CW21</f>
        <v>0</v>
      </c>
      <c r="BR21" s="98">
        <f>'Distribution Summary'!CM21+'Substation 2025$'!CX21</f>
        <v>0</v>
      </c>
    </row>
    <row r="22" spans="1:70" x14ac:dyDescent="0.25">
      <c r="A22" s="81" t="s">
        <v>27</v>
      </c>
      <c r="B22" s="82" t="s">
        <v>55</v>
      </c>
      <c r="C22" s="83" t="s">
        <v>302</v>
      </c>
      <c r="D22" s="84">
        <f>SUM('Defect (Total)'!D22,Planned!D22,Reconductor!D22,CTGS!D22)</f>
        <v>29016</v>
      </c>
      <c r="E22" s="85">
        <f>SUM('Defect (Total)'!E22,Planned!E22,Reconductor!E22,CTGS!E22)</f>
        <v>0</v>
      </c>
      <c r="F22" s="85">
        <f>SUM('Defect (Total)'!F22,Planned!F22,Reconductor!F22,CTGS!F22)</f>
        <v>114944</v>
      </c>
      <c r="G22" s="85">
        <f>SUM('Defect (Total)'!G22,Planned!G22,Reconductor!G22,CTGS!G22)</f>
        <v>0</v>
      </c>
      <c r="H22" s="85">
        <f>SUM('Defect (Total)'!H22,Planned!H22,Reconductor!H22,CTGS!H22)</f>
        <v>0</v>
      </c>
      <c r="I22" s="85">
        <f>SUM('Defect (Total)'!I22,Planned!I22,Reconductor!I22,CTGS!I22)</f>
        <v>0</v>
      </c>
      <c r="J22" s="85">
        <f>SUM('Defect (Total)'!J22,Planned!J22,Reconductor!J22,CTGS!J22)</f>
        <v>15674.699498721004</v>
      </c>
      <c r="K22" s="85">
        <f>SUM('Defect (Total)'!K22,Planned!K22,Reconductor!K22,CTGS!K22)</f>
        <v>0</v>
      </c>
      <c r="L22" s="85">
        <f>SUM('Defect (Total)'!L22,Planned!L22,Reconductor!L22,CTGS!L22)</f>
        <v>0</v>
      </c>
      <c r="M22" s="85">
        <f>SUM('Defect (Total)'!M22,Planned!M22,Reconductor!M22,CTGS!M22)</f>
        <v>0</v>
      </c>
      <c r="N22" s="85">
        <f>SUM('Defect (Total)'!N22,Planned!N22,Reconductor!N22,CTGS!N22)</f>
        <v>0</v>
      </c>
      <c r="O22" s="560">
        <f>SUM('Defect (Total)'!O22,Planned!O22,Reconductor!O22,CTGS!O22)</f>
        <v>39039.760558098031</v>
      </c>
      <c r="P22" s="561">
        <f>SUM('Defect (Total)'!P22,Planned!P22,Reconductor!P22,CTGS!P22)</f>
        <v>0</v>
      </c>
      <c r="Q22" s="561">
        <f>SUM('Defect (Total)'!Q22,Planned!Q22,Reconductor!Q22,CTGS!Q22)</f>
        <v>150807.18866760473</v>
      </c>
      <c r="R22" s="561">
        <f>SUM('Defect (Total)'!R22,Planned!R22,Reconductor!R22,CTGS!R22)</f>
        <v>0</v>
      </c>
      <c r="S22" s="561">
        <f>SUM('Defect (Total)'!S22,Planned!S22,Reconductor!S22,CTGS!S22)</f>
        <v>0</v>
      </c>
      <c r="T22" s="561">
        <f>SUM('Defect (Total)'!T22,Planned!T22,Reconductor!T22,CTGS!T22)</f>
        <v>0</v>
      </c>
      <c r="U22" s="561">
        <f>SUM('Defect (Total)'!U22,Planned!U22,Reconductor!U22,CTGS!U22)</f>
        <v>19522.649718758061</v>
      </c>
      <c r="V22" s="561">
        <f>SUM('Defect (Total)'!V22,Planned!V22,Reconductor!V22,CTGS!V22)</f>
        <v>0</v>
      </c>
      <c r="W22" s="561">
        <f>SUM('Defect (Total)'!W22,Planned!W22,Reconductor!W22,CTGS!W22)</f>
        <v>0</v>
      </c>
      <c r="X22" s="561">
        <f>SUM('Defect (Total)'!X22,Planned!X22,Reconductor!X22,CTGS!X22)</f>
        <v>0</v>
      </c>
      <c r="Y22" s="561">
        <f>SUM('Defect (Total)'!Y22,Planned!Y22,Reconductor!Y22,CTGS!Y22)</f>
        <v>0</v>
      </c>
      <c r="Z22" s="86">
        <f>SUM('Defect (Total)'!Z22,Planned!Z22,Reconductor!Z22,CTGS!Z22)</f>
        <v>2</v>
      </c>
      <c r="AA22" s="87">
        <f>SUM('Defect (Total)'!AA22,Planned!AA22,Reconductor!AA22,CTGS!AA22)</f>
        <v>0</v>
      </c>
      <c r="AB22" s="87">
        <f>SUM('Defect (Total)'!AB22,Planned!AB22,Reconductor!AB22,CTGS!AB22)</f>
        <v>15</v>
      </c>
      <c r="AC22" s="87">
        <f>SUM('Defect (Total)'!AC22,Planned!AC22,Reconductor!AC22,CTGS!AC22)</f>
        <v>0</v>
      </c>
      <c r="AD22" s="87">
        <f>SUM('Defect (Total)'!AD22,Planned!AD22,Reconductor!AD22,CTGS!AD22)</f>
        <v>0</v>
      </c>
      <c r="AE22" s="87">
        <f>SUM('Defect (Total)'!AE22,Planned!AE22,Reconductor!AE22,CTGS!AE22)</f>
        <v>0</v>
      </c>
      <c r="AF22" s="87">
        <f>SUM('Defect (Total)'!AF22,Planned!AF22,Reconductor!AF22,CTGS!AF22)</f>
        <v>1</v>
      </c>
      <c r="AG22" s="87">
        <f>SUM('Defect (Total)'!AG22,Planned!AG22,Reconductor!AG22,CTGS!AG22)</f>
        <v>0</v>
      </c>
      <c r="AH22" s="87">
        <f>SUM('Defect (Total)'!AH22,Planned!AH22,Reconductor!AH22,CTGS!AH22)</f>
        <v>0</v>
      </c>
      <c r="AI22" s="87">
        <f>SUM('Defect (Total)'!AI22,Planned!AI22,Reconductor!AI22,CTGS!AI22)</f>
        <v>0</v>
      </c>
      <c r="AJ22" s="87">
        <f>SUM('Defect (Total)'!AJ22,Planned!AJ22,Reconductor!AJ22,CTGS!AJ22)</f>
        <v>0</v>
      </c>
      <c r="AK22" s="88">
        <f t="shared" si="14"/>
        <v>0.2</v>
      </c>
      <c r="AL22" s="89">
        <f t="shared" si="0"/>
        <v>0.33333333333333331</v>
      </c>
      <c r="AM22" s="90">
        <f t="shared" si="15"/>
        <v>0</v>
      </c>
      <c r="AN22" s="91">
        <f t="shared" si="1"/>
        <v>14508</v>
      </c>
      <c r="AO22" s="92" t="str">
        <f t="shared" si="2"/>
        <v/>
      </c>
      <c r="AP22" s="92">
        <f t="shared" si="3"/>
        <v>7662.9333333333334</v>
      </c>
      <c r="AQ22" s="92" t="str">
        <f t="shared" si="4"/>
        <v/>
      </c>
      <c r="AR22" s="92" t="str">
        <f t="shared" si="5"/>
        <v/>
      </c>
      <c r="AS22" s="92" t="str">
        <f t="shared" si="6"/>
        <v/>
      </c>
      <c r="AT22" s="92">
        <f t="shared" si="7"/>
        <v>15674.699498721004</v>
      </c>
      <c r="AU22" s="92" t="str">
        <f t="shared" si="8"/>
        <v/>
      </c>
      <c r="AV22" s="92" t="str">
        <f t="shared" si="9"/>
        <v/>
      </c>
      <c r="AW22" s="92" t="str">
        <f t="shared" si="10"/>
        <v/>
      </c>
      <c r="AX22" s="92" t="str">
        <f t="shared" si="10"/>
        <v/>
      </c>
      <c r="AY22" s="93">
        <f t="shared" si="11"/>
        <v>15674.699498721004</v>
      </c>
      <c r="AZ22" s="94">
        <f t="shared" si="12"/>
        <v>15674.699498721004</v>
      </c>
      <c r="BA22" s="95" t="str">
        <f t="shared" si="13"/>
        <v/>
      </c>
      <c r="BB22" s="689">
        <f>SUM('Defect (Total)'!BB22,Planned!CE22,Reconductor!CE22,CTGS!CE22,'Substation 2025$'!CE22*$BL$1,Comms!CA22*$BL$2)</f>
        <v>0</v>
      </c>
      <c r="BC22" s="689">
        <f>SUM('Defect (Total)'!BC22,Planned!CF22,Reconductor!CF22,CTGS!CF22,'Substation 2025$'!CF22*$BL$1,Comms!CB22*$BL$2)</f>
        <v>0</v>
      </c>
      <c r="BD22" s="96">
        <f>SUM('Defect (Total)'!BD22,Planned!CG22,Reconductor!CG22,CTGS!CG22,'Substation 2025$'!CG22*$BL$1,Comms!CC22*$BL$2)</f>
        <v>0</v>
      </c>
      <c r="BE22" s="96">
        <f>SUM('Defect (Total)'!BE22,Planned!CH22,Reconductor!CH22,CTGS!CH22,'Substation 2025$'!CH22*$BL$1,Comms!CD22*$BL$2)</f>
        <v>0</v>
      </c>
      <c r="BF22" s="96">
        <f>SUM('Defect (Total)'!BF22,Planned!CI22,Reconductor!CI22,CTGS!CI22,'Substation 2025$'!CI22*$BL$1,Comms!CE22*$BL$2)</f>
        <v>0</v>
      </c>
      <c r="BG22" s="96">
        <f>SUM('Defect (Total)'!BG22,Planned!CJ22,Reconductor!CJ22,CTGS!CJ22,'Substation 2025$'!CJ22*$BL$1,Comms!CF22*$BL$2)</f>
        <v>0</v>
      </c>
      <c r="BH22" s="96">
        <f>SUM('Defect (Total)'!BH22,Planned!CK22,Reconductor!CK22,CTGS!CK22,'Substation 2025$'!CK22*$BL$1,Comms!CG22*$BL$2)</f>
        <v>0</v>
      </c>
      <c r="BI22" s="286">
        <f>SUM('Defect (Total)'!BI22,Planned!CL22,Reconductor!CL22,CTGS!CL22,'Substation 2025$'!CL22*$BL$1,Comms!CH22*$BL$2)</f>
        <v>0</v>
      </c>
      <c r="BJ22" s="99" t="str">
        <f t="shared" si="16"/>
        <v/>
      </c>
      <c r="BK22" s="743"/>
      <c r="BL22" s="97"/>
      <c r="BM22" s="524"/>
      <c r="BN22" s="416">
        <f>'Distribution Summary'!CI22+'Substation 2025$'!CT22</f>
        <v>0</v>
      </c>
      <c r="BO22" s="97">
        <f>'Distribution Summary'!CJ22+'Substation 2025$'!CU22</f>
        <v>0</v>
      </c>
      <c r="BP22" s="97">
        <f>'Distribution Summary'!CK22+'Substation 2025$'!CV22</f>
        <v>0</v>
      </c>
      <c r="BQ22" s="97">
        <f>'Distribution Summary'!CL22+'Substation 2025$'!CW22</f>
        <v>0</v>
      </c>
      <c r="BR22" s="98">
        <f>'Distribution Summary'!CM22+'Substation 2025$'!CX22</f>
        <v>0</v>
      </c>
    </row>
    <row r="23" spans="1:70" x14ac:dyDescent="0.25">
      <c r="A23" s="81" t="s">
        <v>27</v>
      </c>
      <c r="B23" s="82" t="s">
        <v>57</v>
      </c>
      <c r="C23" s="83" t="s">
        <v>58</v>
      </c>
      <c r="D23" s="84">
        <f>SUM('Defect (Total)'!D23,Planned!D23,Reconductor!D23,CTGS!D23)</f>
        <v>0</v>
      </c>
      <c r="E23" s="85">
        <f>SUM('Defect (Total)'!E23,Planned!E23,Reconductor!E23,CTGS!E23)</f>
        <v>0</v>
      </c>
      <c r="F23" s="85">
        <f>SUM('Defect (Total)'!F23,Planned!F23,Reconductor!F23,CTGS!F23)</f>
        <v>0</v>
      </c>
      <c r="G23" s="85">
        <f>SUM('Defect (Total)'!G23,Planned!G23,Reconductor!G23,CTGS!G23)</f>
        <v>0</v>
      </c>
      <c r="H23" s="85">
        <f>SUM('Defect (Total)'!H23,Planned!H23,Reconductor!H23,CTGS!H23)</f>
        <v>0</v>
      </c>
      <c r="I23" s="85">
        <f>SUM('Defect (Total)'!I23,Planned!I23,Reconductor!I23,CTGS!I23)</f>
        <v>0</v>
      </c>
      <c r="J23" s="85">
        <f>SUM('Defect (Total)'!J23,Planned!J23,Reconductor!J23,CTGS!J23)</f>
        <v>0</v>
      </c>
      <c r="K23" s="85">
        <f>SUM('Defect (Total)'!K23,Planned!K23,Reconductor!K23,CTGS!K23)</f>
        <v>0</v>
      </c>
      <c r="L23" s="85">
        <f>SUM('Defect (Total)'!L23,Planned!L23,Reconductor!L23,CTGS!L23)</f>
        <v>0</v>
      </c>
      <c r="M23" s="85">
        <f>SUM('Defect (Total)'!M23,Planned!M23,Reconductor!M23,CTGS!M23)</f>
        <v>0</v>
      </c>
      <c r="N23" s="85">
        <f>SUM('Defect (Total)'!N23,Planned!N23,Reconductor!N23,CTGS!N23)</f>
        <v>0</v>
      </c>
      <c r="O23" s="560">
        <f>SUM('Defect (Total)'!O23,Planned!O23,Reconductor!O23,CTGS!O23)</f>
        <v>0</v>
      </c>
      <c r="P23" s="561">
        <f>SUM('Defect (Total)'!P23,Planned!P23,Reconductor!P23,CTGS!P23)</f>
        <v>0</v>
      </c>
      <c r="Q23" s="561">
        <f>SUM('Defect (Total)'!Q23,Planned!Q23,Reconductor!Q23,CTGS!Q23)</f>
        <v>0</v>
      </c>
      <c r="R23" s="561">
        <f>SUM('Defect (Total)'!R23,Planned!R23,Reconductor!R23,CTGS!R23)</f>
        <v>0</v>
      </c>
      <c r="S23" s="561">
        <f>SUM('Defect (Total)'!S23,Planned!S23,Reconductor!S23,CTGS!S23)</f>
        <v>0</v>
      </c>
      <c r="T23" s="561">
        <f>SUM('Defect (Total)'!T23,Planned!T23,Reconductor!T23,CTGS!T23)</f>
        <v>0</v>
      </c>
      <c r="U23" s="561">
        <f>SUM('Defect (Total)'!U23,Planned!U23,Reconductor!U23,CTGS!U23)</f>
        <v>0</v>
      </c>
      <c r="V23" s="561">
        <f>SUM('Defect (Total)'!V23,Planned!V23,Reconductor!V23,CTGS!V23)</f>
        <v>0</v>
      </c>
      <c r="W23" s="561">
        <f>SUM('Defect (Total)'!W23,Planned!W23,Reconductor!W23,CTGS!W23)</f>
        <v>0</v>
      </c>
      <c r="X23" s="561">
        <f>SUM('Defect (Total)'!X23,Planned!X23,Reconductor!X23,CTGS!X23)</f>
        <v>0</v>
      </c>
      <c r="Y23" s="561">
        <f>SUM('Defect (Total)'!Y23,Planned!Y23,Reconductor!Y23,CTGS!Y23)</f>
        <v>0</v>
      </c>
      <c r="Z23" s="86">
        <f>SUM('Defect (Total)'!Z23,Planned!Z23,Reconductor!Z23,CTGS!Z23)</f>
        <v>0</v>
      </c>
      <c r="AA23" s="87">
        <f>SUM('Defect (Total)'!AA23,Planned!AA23,Reconductor!AA23,CTGS!AA23)</f>
        <v>0</v>
      </c>
      <c r="AB23" s="87">
        <f>SUM('Defect (Total)'!AB23,Planned!AB23,Reconductor!AB23,CTGS!AB23)</f>
        <v>0</v>
      </c>
      <c r="AC23" s="87">
        <f>SUM('Defect (Total)'!AC23,Planned!AC23,Reconductor!AC23,CTGS!AC23)</f>
        <v>0</v>
      </c>
      <c r="AD23" s="87">
        <f>SUM('Defect (Total)'!AD23,Planned!AD23,Reconductor!AD23,CTGS!AD23)</f>
        <v>0</v>
      </c>
      <c r="AE23" s="87">
        <f>SUM('Defect (Total)'!AE23,Planned!AE23,Reconductor!AE23,CTGS!AE23)</f>
        <v>0</v>
      </c>
      <c r="AF23" s="87">
        <f>SUM('Defect (Total)'!AF23,Planned!AF23,Reconductor!AF23,CTGS!AF23)</f>
        <v>0</v>
      </c>
      <c r="AG23" s="87">
        <f>SUM('Defect (Total)'!AG23,Planned!AG23,Reconductor!AG23,CTGS!AG23)</f>
        <v>0</v>
      </c>
      <c r="AH23" s="87">
        <f>SUM('Defect (Total)'!AH23,Planned!AH23,Reconductor!AH23,CTGS!AH23)</f>
        <v>0</v>
      </c>
      <c r="AI23" s="87">
        <f>SUM('Defect (Total)'!AI23,Planned!AI23,Reconductor!AI23,CTGS!AI23)</f>
        <v>0</v>
      </c>
      <c r="AJ23" s="87">
        <f>SUM('Defect (Total)'!AJ23,Planned!AJ23,Reconductor!AJ23,CTGS!AJ23)</f>
        <v>0</v>
      </c>
      <c r="AK23" s="88">
        <f t="shared" si="14"/>
        <v>0</v>
      </c>
      <c r="AL23" s="89">
        <f t="shared" si="0"/>
        <v>0</v>
      </c>
      <c r="AM23" s="90">
        <f t="shared" si="15"/>
        <v>0</v>
      </c>
      <c r="AN23" s="91" t="str">
        <f t="shared" si="1"/>
        <v/>
      </c>
      <c r="AO23" s="92" t="str">
        <f t="shared" si="2"/>
        <v/>
      </c>
      <c r="AP23" s="92" t="str">
        <f t="shared" si="3"/>
        <v/>
      </c>
      <c r="AQ23" s="92" t="str">
        <f t="shared" si="4"/>
        <v/>
      </c>
      <c r="AR23" s="92" t="str">
        <f t="shared" si="5"/>
        <v/>
      </c>
      <c r="AS23" s="92" t="str">
        <f t="shared" si="6"/>
        <v/>
      </c>
      <c r="AT23" s="92" t="str">
        <f t="shared" si="7"/>
        <v/>
      </c>
      <c r="AU23" s="92" t="str">
        <f t="shared" si="8"/>
        <v/>
      </c>
      <c r="AV23" s="92" t="str">
        <f t="shared" si="9"/>
        <v/>
      </c>
      <c r="AW23" s="92" t="str">
        <f t="shared" ref="AW23:AX38" si="17">IFERROR(M23/AI23,"")</f>
        <v/>
      </c>
      <c r="AX23" s="92" t="str">
        <f t="shared" si="17"/>
        <v/>
      </c>
      <c r="AY23" s="93" t="str">
        <f t="shared" si="11"/>
        <v/>
      </c>
      <c r="AZ23" s="94" t="str">
        <f t="shared" si="12"/>
        <v/>
      </c>
      <c r="BA23" s="95" t="str">
        <f t="shared" si="13"/>
        <v/>
      </c>
      <c r="BB23" s="689">
        <f>SUM('Defect (Total)'!BB23,Planned!CE23,Reconductor!CE23,CTGS!CE23,'Substation 2025$'!CE23*$BL$1,Comms!CA23*$BL$2)</f>
        <v>0</v>
      </c>
      <c r="BC23" s="689">
        <f>SUM('Defect (Total)'!BC23,Planned!CF23,Reconductor!CF23,CTGS!CF23,'Substation 2025$'!CF23*$BL$1,Comms!CB23*$BL$2)</f>
        <v>0</v>
      </c>
      <c r="BD23" s="96">
        <f>SUM('Defect (Total)'!BD23,Planned!CG23,Reconductor!CG23,CTGS!CG23,'Substation 2025$'!CG23*$BL$1,Comms!CC23*$BL$2)</f>
        <v>0</v>
      </c>
      <c r="BE23" s="96">
        <f>SUM('Defect (Total)'!BE23,Planned!CH23,Reconductor!CH23,CTGS!CH23,'Substation 2025$'!CH23*$BL$1,Comms!CD23*$BL$2)</f>
        <v>0</v>
      </c>
      <c r="BF23" s="96">
        <f>SUM('Defect (Total)'!BF23,Planned!CI23,Reconductor!CI23,CTGS!CI23,'Substation 2025$'!CI23*$BL$1,Comms!CE23*$BL$2)</f>
        <v>0</v>
      </c>
      <c r="BG23" s="96">
        <f>SUM('Defect (Total)'!BG23,Planned!CJ23,Reconductor!CJ23,CTGS!CJ23,'Substation 2025$'!CJ23*$BL$1,Comms!CF23*$BL$2)</f>
        <v>0</v>
      </c>
      <c r="BH23" s="96">
        <f>SUM('Defect (Total)'!BH23,Planned!CK23,Reconductor!CK23,CTGS!CK23,'Substation 2025$'!CK23*$BL$1,Comms!CG23*$BL$2)</f>
        <v>0</v>
      </c>
      <c r="BI23" s="286">
        <f>SUM('Defect (Total)'!BI23,Planned!CL23,Reconductor!CL23,CTGS!CL23,'Substation 2025$'!CL23*$BL$1,Comms!CH23*$BL$2)</f>
        <v>0</v>
      </c>
      <c r="BJ23" s="99" t="str">
        <f t="shared" si="16"/>
        <v/>
      </c>
      <c r="BK23" s="743"/>
      <c r="BL23" s="97"/>
      <c r="BM23" s="524"/>
      <c r="BN23" s="416">
        <f>'Distribution Summary'!CI23+'Substation 2025$'!CT23</f>
        <v>0</v>
      </c>
      <c r="BO23" s="97">
        <f>'Distribution Summary'!CJ23+'Substation 2025$'!CU23</f>
        <v>0</v>
      </c>
      <c r="BP23" s="97">
        <f>'Distribution Summary'!CK23+'Substation 2025$'!CV23</f>
        <v>0</v>
      </c>
      <c r="BQ23" s="97">
        <f>'Distribution Summary'!CL23+'Substation 2025$'!CW23</f>
        <v>0</v>
      </c>
      <c r="BR23" s="98">
        <f>'Distribution Summary'!CM23+'Substation 2025$'!CX23</f>
        <v>0</v>
      </c>
    </row>
    <row r="24" spans="1:70" x14ac:dyDescent="0.25">
      <c r="A24" s="81" t="s">
        <v>27</v>
      </c>
      <c r="B24" s="82" t="s">
        <v>59</v>
      </c>
      <c r="C24" s="83" t="s">
        <v>60</v>
      </c>
      <c r="D24" s="84">
        <f>SUM('Defect (Total)'!D24,Planned!D24,Reconductor!D24,CTGS!D24)</f>
        <v>0</v>
      </c>
      <c r="E24" s="85">
        <f>SUM('Defect (Total)'!E24,Planned!E24,Reconductor!E24,CTGS!E24)</f>
        <v>0</v>
      </c>
      <c r="F24" s="85">
        <f>SUM('Defect (Total)'!F24,Planned!F24,Reconductor!F24,CTGS!F24)</f>
        <v>0</v>
      </c>
      <c r="G24" s="85">
        <f>SUM('Defect (Total)'!G24,Planned!G24,Reconductor!G24,CTGS!G24)</f>
        <v>0</v>
      </c>
      <c r="H24" s="85">
        <f>SUM('Defect (Total)'!H24,Planned!H24,Reconductor!H24,CTGS!H24)</f>
        <v>0</v>
      </c>
      <c r="I24" s="85">
        <f>SUM('Defect (Total)'!I24,Planned!I24,Reconductor!I24,CTGS!I24)</f>
        <v>0</v>
      </c>
      <c r="J24" s="85">
        <f>SUM('Defect (Total)'!J24,Planned!J24,Reconductor!J24,CTGS!J24)</f>
        <v>0</v>
      </c>
      <c r="K24" s="85">
        <f>SUM('Defect (Total)'!K24,Planned!K24,Reconductor!K24,CTGS!K24)</f>
        <v>0</v>
      </c>
      <c r="L24" s="85">
        <f>SUM('Defect (Total)'!L24,Planned!L24,Reconductor!L24,CTGS!L24)</f>
        <v>0</v>
      </c>
      <c r="M24" s="85">
        <f>SUM('Defect (Total)'!M24,Planned!M24,Reconductor!M24,CTGS!M24)</f>
        <v>0</v>
      </c>
      <c r="N24" s="85">
        <f>SUM('Defect (Total)'!N24,Planned!N24,Reconductor!N24,CTGS!N24)</f>
        <v>0</v>
      </c>
      <c r="O24" s="560">
        <f>SUM('Defect (Total)'!O24,Planned!O24,Reconductor!O24,CTGS!O24)</f>
        <v>0</v>
      </c>
      <c r="P24" s="561">
        <f>SUM('Defect (Total)'!P24,Planned!P24,Reconductor!P24,CTGS!P24)</f>
        <v>0</v>
      </c>
      <c r="Q24" s="561">
        <f>SUM('Defect (Total)'!Q24,Planned!Q24,Reconductor!Q24,CTGS!Q24)</f>
        <v>0</v>
      </c>
      <c r="R24" s="561">
        <f>SUM('Defect (Total)'!R24,Planned!R24,Reconductor!R24,CTGS!R24)</f>
        <v>0</v>
      </c>
      <c r="S24" s="561">
        <f>SUM('Defect (Total)'!S24,Planned!S24,Reconductor!S24,CTGS!S24)</f>
        <v>0</v>
      </c>
      <c r="T24" s="561">
        <f>SUM('Defect (Total)'!T24,Planned!T24,Reconductor!T24,CTGS!T24)</f>
        <v>0</v>
      </c>
      <c r="U24" s="561">
        <f>SUM('Defect (Total)'!U24,Planned!U24,Reconductor!U24,CTGS!U24)</f>
        <v>0</v>
      </c>
      <c r="V24" s="561">
        <f>SUM('Defect (Total)'!V24,Planned!V24,Reconductor!V24,CTGS!V24)</f>
        <v>0</v>
      </c>
      <c r="W24" s="561">
        <f>SUM('Defect (Total)'!W24,Planned!W24,Reconductor!W24,CTGS!W24)</f>
        <v>0</v>
      </c>
      <c r="X24" s="561">
        <f>SUM('Defect (Total)'!X24,Planned!X24,Reconductor!X24,CTGS!X24)</f>
        <v>0</v>
      </c>
      <c r="Y24" s="561">
        <f>SUM('Defect (Total)'!Y24,Planned!Y24,Reconductor!Y24,CTGS!Y24)</f>
        <v>0</v>
      </c>
      <c r="Z24" s="86">
        <f>SUM('Defect (Total)'!Z24,Planned!Z24,Reconductor!Z24,CTGS!Z24)</f>
        <v>0</v>
      </c>
      <c r="AA24" s="87">
        <f>SUM('Defect (Total)'!AA24,Planned!AA24,Reconductor!AA24,CTGS!AA24)</f>
        <v>0</v>
      </c>
      <c r="AB24" s="87">
        <f>SUM('Defect (Total)'!AB24,Planned!AB24,Reconductor!AB24,CTGS!AB24)</f>
        <v>0</v>
      </c>
      <c r="AC24" s="87">
        <f>SUM('Defect (Total)'!AC24,Planned!AC24,Reconductor!AC24,CTGS!AC24)</f>
        <v>0</v>
      </c>
      <c r="AD24" s="87">
        <f>SUM('Defect (Total)'!AD24,Planned!AD24,Reconductor!AD24,CTGS!AD24)</f>
        <v>0</v>
      </c>
      <c r="AE24" s="87">
        <f>SUM('Defect (Total)'!AE24,Planned!AE24,Reconductor!AE24,CTGS!AE24)</f>
        <v>0</v>
      </c>
      <c r="AF24" s="87">
        <f>SUM('Defect (Total)'!AF24,Planned!AF24,Reconductor!AF24,CTGS!AF24)</f>
        <v>0</v>
      </c>
      <c r="AG24" s="87">
        <f>SUM('Defect (Total)'!AG24,Planned!AG24,Reconductor!AG24,CTGS!AG24)</f>
        <v>0</v>
      </c>
      <c r="AH24" s="87">
        <f>SUM('Defect (Total)'!AH24,Planned!AH24,Reconductor!AH24,CTGS!AH24)</f>
        <v>0</v>
      </c>
      <c r="AI24" s="87">
        <f>SUM('Defect (Total)'!AI24,Planned!AI24,Reconductor!AI24,CTGS!AI24)</f>
        <v>0</v>
      </c>
      <c r="AJ24" s="87">
        <f>SUM('Defect (Total)'!AJ24,Planned!AJ24,Reconductor!AJ24,CTGS!AJ24)</f>
        <v>0</v>
      </c>
      <c r="AK24" s="88">
        <f t="shared" si="14"/>
        <v>0</v>
      </c>
      <c r="AL24" s="89">
        <f t="shared" si="0"/>
        <v>0</v>
      </c>
      <c r="AM24" s="90">
        <f t="shared" si="15"/>
        <v>0</v>
      </c>
      <c r="AN24" s="91" t="str">
        <f t="shared" si="1"/>
        <v/>
      </c>
      <c r="AO24" s="92" t="str">
        <f t="shared" si="2"/>
        <v/>
      </c>
      <c r="AP24" s="92" t="str">
        <f t="shared" si="3"/>
        <v/>
      </c>
      <c r="AQ24" s="92" t="str">
        <f t="shared" si="4"/>
        <v/>
      </c>
      <c r="AR24" s="92" t="str">
        <f t="shared" si="5"/>
        <v/>
      </c>
      <c r="AS24" s="92" t="str">
        <f t="shared" si="6"/>
        <v/>
      </c>
      <c r="AT24" s="92" t="str">
        <f t="shared" si="7"/>
        <v/>
      </c>
      <c r="AU24" s="92" t="str">
        <f t="shared" si="8"/>
        <v/>
      </c>
      <c r="AV24" s="92" t="str">
        <f t="shared" si="9"/>
        <v/>
      </c>
      <c r="AW24" s="92" t="str">
        <f t="shared" si="17"/>
        <v/>
      </c>
      <c r="AX24" s="92" t="str">
        <f t="shared" si="17"/>
        <v/>
      </c>
      <c r="AY24" s="93" t="str">
        <f t="shared" si="11"/>
        <v/>
      </c>
      <c r="AZ24" s="94" t="str">
        <f t="shared" si="12"/>
        <v/>
      </c>
      <c r="BA24" s="95" t="str">
        <f t="shared" si="13"/>
        <v/>
      </c>
      <c r="BB24" s="689">
        <f>SUM('Defect (Total)'!BB24,Planned!CE24,Reconductor!CE24,CTGS!CE24,'Substation 2025$'!CE24*$BL$1,Comms!CA24*$BL$2)</f>
        <v>0</v>
      </c>
      <c r="BC24" s="689">
        <f>SUM('Defect (Total)'!BC24,Planned!CF24,Reconductor!CF24,CTGS!CF24,'Substation 2025$'!CF24*$BL$1,Comms!CB24*$BL$2)</f>
        <v>0</v>
      </c>
      <c r="BD24" s="96">
        <f>SUM('Defect (Total)'!BD24,Planned!CG24,Reconductor!CG24,CTGS!CG24,'Substation 2025$'!CG24*$BL$1,Comms!CC24*$BL$2)</f>
        <v>0</v>
      </c>
      <c r="BE24" s="96">
        <f>SUM('Defect (Total)'!BE24,Planned!CH24,Reconductor!CH24,CTGS!CH24,'Substation 2025$'!CH24*$BL$1,Comms!CD24*$BL$2)</f>
        <v>0</v>
      </c>
      <c r="BF24" s="96">
        <f>SUM('Defect (Total)'!BF24,Planned!CI24,Reconductor!CI24,CTGS!CI24,'Substation 2025$'!CI24*$BL$1,Comms!CE24*$BL$2)</f>
        <v>0</v>
      </c>
      <c r="BG24" s="96">
        <f>SUM('Defect (Total)'!BG24,Planned!CJ24,Reconductor!CJ24,CTGS!CJ24,'Substation 2025$'!CJ24*$BL$1,Comms!CF24*$BL$2)</f>
        <v>0</v>
      </c>
      <c r="BH24" s="96">
        <f>SUM('Defect (Total)'!BH24,Planned!CK24,Reconductor!CK24,CTGS!CK24,'Substation 2025$'!CK24*$BL$1,Comms!CG24*$BL$2)</f>
        <v>0</v>
      </c>
      <c r="BI24" s="286">
        <f>SUM('Defect (Total)'!BI24,Planned!CL24,Reconductor!CL24,CTGS!CL24,'Substation 2025$'!CL24*$BL$1,Comms!CH24*$BL$2)</f>
        <v>0</v>
      </c>
      <c r="BJ24" s="99" t="str">
        <f t="shared" si="16"/>
        <v/>
      </c>
      <c r="BK24" s="743"/>
      <c r="BL24" s="97"/>
      <c r="BM24" s="524"/>
      <c r="BN24" s="416">
        <f>'Distribution Summary'!CI24+'Substation 2025$'!CT24</f>
        <v>0</v>
      </c>
      <c r="BO24" s="97">
        <f>'Distribution Summary'!CJ24+'Substation 2025$'!CU24</f>
        <v>0</v>
      </c>
      <c r="BP24" s="97">
        <f>'Distribution Summary'!CK24+'Substation 2025$'!CV24</f>
        <v>0</v>
      </c>
      <c r="BQ24" s="97">
        <f>'Distribution Summary'!CL24+'Substation 2025$'!CW24</f>
        <v>0</v>
      </c>
      <c r="BR24" s="98">
        <f>'Distribution Summary'!CM24+'Substation 2025$'!CX24</f>
        <v>0</v>
      </c>
    </row>
    <row r="25" spans="1:70" x14ac:dyDescent="0.25">
      <c r="A25" s="81" t="s">
        <v>27</v>
      </c>
      <c r="B25" s="82" t="s">
        <v>61</v>
      </c>
      <c r="C25" s="83" t="s">
        <v>62</v>
      </c>
      <c r="D25" s="84">
        <f>SUM('Defect (Total)'!D25,Planned!D25,Reconductor!D25,CTGS!D25)</f>
        <v>0</v>
      </c>
      <c r="E25" s="85">
        <f>SUM('Defect (Total)'!E25,Planned!E25,Reconductor!E25,CTGS!E25)</f>
        <v>0</v>
      </c>
      <c r="F25" s="85">
        <f>SUM('Defect (Total)'!F25,Planned!F25,Reconductor!F25,CTGS!F25)</f>
        <v>0</v>
      </c>
      <c r="G25" s="85">
        <f>SUM('Defect (Total)'!G25,Planned!G25,Reconductor!G25,CTGS!G25)</f>
        <v>0</v>
      </c>
      <c r="H25" s="85">
        <f>SUM('Defect (Total)'!H25,Planned!H25,Reconductor!H25,CTGS!H25)</f>
        <v>0</v>
      </c>
      <c r="I25" s="85">
        <f>SUM('Defect (Total)'!I25,Planned!I25,Reconductor!I25,CTGS!I25)</f>
        <v>0</v>
      </c>
      <c r="J25" s="85">
        <f>SUM('Defect (Total)'!J25,Planned!J25,Reconductor!J25,CTGS!J25)</f>
        <v>0</v>
      </c>
      <c r="K25" s="85">
        <f>SUM('Defect (Total)'!K25,Planned!K25,Reconductor!K25,CTGS!K25)</f>
        <v>0</v>
      </c>
      <c r="L25" s="85">
        <f>SUM('Defect (Total)'!L25,Planned!L25,Reconductor!L25,CTGS!L25)</f>
        <v>0</v>
      </c>
      <c r="M25" s="85">
        <f>SUM('Defect (Total)'!M25,Planned!M25,Reconductor!M25,CTGS!M25)</f>
        <v>0</v>
      </c>
      <c r="N25" s="85">
        <f>SUM('Defect (Total)'!N25,Planned!N25,Reconductor!N25,CTGS!N25)</f>
        <v>0</v>
      </c>
      <c r="O25" s="560">
        <f>SUM('Defect (Total)'!O25,Planned!O25,Reconductor!O25,CTGS!O25)</f>
        <v>0</v>
      </c>
      <c r="P25" s="561">
        <f>SUM('Defect (Total)'!P25,Planned!P25,Reconductor!P25,CTGS!P25)</f>
        <v>0</v>
      </c>
      <c r="Q25" s="561">
        <f>SUM('Defect (Total)'!Q25,Planned!Q25,Reconductor!Q25,CTGS!Q25)</f>
        <v>0</v>
      </c>
      <c r="R25" s="561">
        <f>SUM('Defect (Total)'!R25,Planned!R25,Reconductor!R25,CTGS!R25)</f>
        <v>0</v>
      </c>
      <c r="S25" s="561">
        <f>SUM('Defect (Total)'!S25,Planned!S25,Reconductor!S25,CTGS!S25)</f>
        <v>0</v>
      </c>
      <c r="T25" s="561">
        <f>SUM('Defect (Total)'!T25,Planned!T25,Reconductor!T25,CTGS!T25)</f>
        <v>0</v>
      </c>
      <c r="U25" s="561">
        <f>SUM('Defect (Total)'!U25,Planned!U25,Reconductor!U25,CTGS!U25)</f>
        <v>0</v>
      </c>
      <c r="V25" s="561">
        <f>SUM('Defect (Total)'!V25,Planned!V25,Reconductor!V25,CTGS!V25)</f>
        <v>0</v>
      </c>
      <c r="W25" s="561">
        <f>SUM('Defect (Total)'!W25,Planned!W25,Reconductor!W25,CTGS!W25)</f>
        <v>0</v>
      </c>
      <c r="X25" s="561">
        <f>SUM('Defect (Total)'!X25,Planned!X25,Reconductor!X25,CTGS!X25)</f>
        <v>0</v>
      </c>
      <c r="Y25" s="561">
        <f>SUM('Defect (Total)'!Y25,Planned!Y25,Reconductor!Y25,CTGS!Y25)</f>
        <v>0</v>
      </c>
      <c r="Z25" s="86">
        <f>SUM('Defect (Total)'!Z25,Planned!Z25,Reconductor!Z25,CTGS!Z25)</f>
        <v>0</v>
      </c>
      <c r="AA25" s="87">
        <f>SUM('Defect (Total)'!AA25,Planned!AA25,Reconductor!AA25,CTGS!AA25)</f>
        <v>0</v>
      </c>
      <c r="AB25" s="87">
        <f>SUM('Defect (Total)'!AB25,Planned!AB25,Reconductor!AB25,CTGS!AB25)</f>
        <v>0</v>
      </c>
      <c r="AC25" s="87">
        <f>SUM('Defect (Total)'!AC25,Planned!AC25,Reconductor!AC25,CTGS!AC25)</f>
        <v>0</v>
      </c>
      <c r="AD25" s="87">
        <f>SUM('Defect (Total)'!AD25,Planned!AD25,Reconductor!AD25,CTGS!AD25)</f>
        <v>0</v>
      </c>
      <c r="AE25" s="87">
        <f>SUM('Defect (Total)'!AE25,Planned!AE25,Reconductor!AE25,CTGS!AE25)</f>
        <v>0</v>
      </c>
      <c r="AF25" s="87">
        <f>SUM('Defect (Total)'!AF25,Planned!AF25,Reconductor!AF25,CTGS!AF25)</f>
        <v>0</v>
      </c>
      <c r="AG25" s="87">
        <f>SUM('Defect (Total)'!AG25,Planned!AG25,Reconductor!AG25,CTGS!AG25)</f>
        <v>0</v>
      </c>
      <c r="AH25" s="87">
        <f>SUM('Defect (Total)'!AH25,Planned!AH25,Reconductor!AH25,CTGS!AH25)</f>
        <v>0</v>
      </c>
      <c r="AI25" s="87">
        <f>SUM('Defect (Total)'!AI25,Planned!AI25,Reconductor!AI25,CTGS!AI25)</f>
        <v>0</v>
      </c>
      <c r="AJ25" s="87">
        <f>SUM('Defect (Total)'!AJ25,Planned!AJ25,Reconductor!AJ25,CTGS!AJ25)</f>
        <v>0</v>
      </c>
      <c r="AK25" s="88">
        <f t="shared" si="14"/>
        <v>0</v>
      </c>
      <c r="AL25" s="89">
        <f t="shared" si="0"/>
        <v>0</v>
      </c>
      <c r="AM25" s="90">
        <f t="shared" si="15"/>
        <v>0</v>
      </c>
      <c r="AN25" s="91" t="str">
        <f t="shared" si="1"/>
        <v/>
      </c>
      <c r="AO25" s="92" t="str">
        <f t="shared" si="2"/>
        <v/>
      </c>
      <c r="AP25" s="92" t="str">
        <f t="shared" si="3"/>
        <v/>
      </c>
      <c r="AQ25" s="92" t="str">
        <f t="shared" si="4"/>
        <v/>
      </c>
      <c r="AR25" s="92" t="str">
        <f t="shared" si="5"/>
        <v/>
      </c>
      <c r="AS25" s="92" t="str">
        <f t="shared" si="6"/>
        <v/>
      </c>
      <c r="AT25" s="92" t="str">
        <f t="shared" si="7"/>
        <v/>
      </c>
      <c r="AU25" s="92" t="str">
        <f t="shared" si="8"/>
        <v/>
      </c>
      <c r="AV25" s="92" t="str">
        <f t="shared" si="9"/>
        <v/>
      </c>
      <c r="AW25" s="92" t="str">
        <f t="shared" si="17"/>
        <v/>
      </c>
      <c r="AX25" s="92" t="str">
        <f t="shared" si="17"/>
        <v/>
      </c>
      <c r="AY25" s="93" t="str">
        <f t="shared" si="11"/>
        <v/>
      </c>
      <c r="AZ25" s="94" t="str">
        <f t="shared" si="12"/>
        <v/>
      </c>
      <c r="BA25" s="95" t="str">
        <f t="shared" si="13"/>
        <v/>
      </c>
      <c r="BB25" s="689">
        <f>SUM('Defect (Total)'!BB25,Planned!CE25,Reconductor!CE25,CTGS!CE25,'Substation 2025$'!CE25*$BL$1,Comms!CA25*$BL$2)</f>
        <v>0</v>
      </c>
      <c r="BC25" s="689">
        <f>SUM('Defect (Total)'!BC25,Planned!CF25,Reconductor!CF25,CTGS!CF25,'Substation 2025$'!CF25*$BL$1,Comms!CB25*$BL$2)</f>
        <v>0</v>
      </c>
      <c r="BD25" s="96">
        <f>SUM('Defect (Total)'!BD25,Planned!CG25,Reconductor!CG25,CTGS!CG25,'Substation 2025$'!CG25*$BL$1,Comms!CC25*$BL$2)</f>
        <v>0</v>
      </c>
      <c r="BE25" s="96">
        <f>SUM('Defect (Total)'!BE25,Planned!CH25,Reconductor!CH25,CTGS!CH25,'Substation 2025$'!CH25*$BL$1,Comms!CD25*$BL$2)</f>
        <v>0</v>
      </c>
      <c r="BF25" s="96">
        <f>SUM('Defect (Total)'!BF25,Planned!CI25,Reconductor!CI25,CTGS!CI25,'Substation 2025$'!CI25*$BL$1,Comms!CE25*$BL$2)</f>
        <v>0</v>
      </c>
      <c r="BG25" s="96">
        <f>SUM('Defect (Total)'!BG25,Planned!CJ25,Reconductor!CJ25,CTGS!CJ25,'Substation 2025$'!CJ25*$BL$1,Comms!CF25*$BL$2)</f>
        <v>0</v>
      </c>
      <c r="BH25" s="96">
        <f>SUM('Defect (Total)'!BH25,Planned!CK25,Reconductor!CK25,CTGS!CK25,'Substation 2025$'!CK25*$BL$1,Comms!CG25*$BL$2)</f>
        <v>0</v>
      </c>
      <c r="BI25" s="286">
        <f>SUM('Defect (Total)'!BI25,Planned!CL25,Reconductor!CL25,CTGS!CL25,'Substation 2025$'!CL25*$BL$1,Comms!CH25*$BL$2)</f>
        <v>0</v>
      </c>
      <c r="BJ25" s="99" t="str">
        <f t="shared" si="16"/>
        <v/>
      </c>
      <c r="BK25" s="743"/>
      <c r="BL25" s="97"/>
      <c r="BM25" s="524"/>
      <c r="BN25" s="416">
        <f>'Distribution Summary'!CI25+'Substation 2025$'!CT25</f>
        <v>0</v>
      </c>
      <c r="BO25" s="97">
        <f>'Distribution Summary'!CJ25+'Substation 2025$'!CU25</f>
        <v>0</v>
      </c>
      <c r="BP25" s="97">
        <f>'Distribution Summary'!CK25+'Substation 2025$'!CV25</f>
        <v>0</v>
      </c>
      <c r="BQ25" s="97">
        <f>'Distribution Summary'!CL25+'Substation 2025$'!CW25</f>
        <v>0</v>
      </c>
      <c r="BR25" s="98">
        <f>'Distribution Summary'!CM25+'Substation 2025$'!CX25</f>
        <v>0</v>
      </c>
    </row>
    <row r="26" spans="1:70" ht="15.75" thickBot="1" x14ac:dyDescent="0.3">
      <c r="A26" s="100" t="s">
        <v>27</v>
      </c>
      <c r="B26" s="101" t="s">
        <v>303</v>
      </c>
      <c r="C26" s="102" t="s">
        <v>304</v>
      </c>
      <c r="D26" s="103">
        <f>SUM('Defect (Total)'!D26,Planned!D26,Reconductor!D26,CTGS!D26)</f>
        <v>0</v>
      </c>
      <c r="E26" s="104">
        <f>SUM('Defect (Total)'!E26,Planned!E26,Reconductor!E26,CTGS!E26)</f>
        <v>0</v>
      </c>
      <c r="F26" s="104">
        <f>SUM('Defect (Total)'!F26,Planned!F26,Reconductor!F26,CTGS!F26)</f>
        <v>0</v>
      </c>
      <c r="G26" s="104">
        <f>SUM('Defect (Total)'!G26,Planned!G26,Reconductor!G26,CTGS!G26)</f>
        <v>0</v>
      </c>
      <c r="H26" s="104">
        <f>SUM('Defect (Total)'!H26,Planned!H26,Reconductor!H26,CTGS!H26)</f>
        <v>0</v>
      </c>
      <c r="I26" s="104">
        <f>SUM('Defect (Total)'!I26,Planned!I26,Reconductor!I26,CTGS!I26)</f>
        <v>0</v>
      </c>
      <c r="J26" s="104">
        <f>SUM('Defect (Total)'!J26,Planned!J26,Reconductor!J26,CTGS!J26)</f>
        <v>0</v>
      </c>
      <c r="K26" s="104">
        <f>SUM('Defect (Total)'!K26,Planned!K26,Reconductor!K26,CTGS!K26)</f>
        <v>0</v>
      </c>
      <c r="L26" s="104">
        <f>SUM('Defect (Total)'!L26,Planned!L26,Reconductor!L26,CTGS!L26)</f>
        <v>0</v>
      </c>
      <c r="M26" s="104">
        <f>SUM('Defect (Total)'!M26,Planned!M26,Reconductor!M26,CTGS!M26)</f>
        <v>0</v>
      </c>
      <c r="N26" s="104">
        <f>SUM('Defect (Total)'!N26,Planned!N26,Reconductor!N26,CTGS!N26)</f>
        <v>0</v>
      </c>
      <c r="O26" s="563">
        <f>SUM('Defect (Total)'!O26,Planned!O26,Reconductor!O26,CTGS!O26)</f>
        <v>0</v>
      </c>
      <c r="P26" s="564">
        <f>SUM('Defect (Total)'!P26,Planned!P26,Reconductor!P26,CTGS!P26)</f>
        <v>0</v>
      </c>
      <c r="Q26" s="564">
        <f>SUM('Defect (Total)'!Q26,Planned!Q26,Reconductor!Q26,CTGS!Q26)</f>
        <v>0</v>
      </c>
      <c r="R26" s="564">
        <f>SUM('Defect (Total)'!R26,Planned!R26,Reconductor!R26,CTGS!R26)</f>
        <v>0</v>
      </c>
      <c r="S26" s="564">
        <f>SUM('Defect (Total)'!S26,Planned!S26,Reconductor!S26,CTGS!S26)</f>
        <v>0</v>
      </c>
      <c r="T26" s="564">
        <f>SUM('Defect (Total)'!T26,Planned!T26,Reconductor!T26,CTGS!T26)</f>
        <v>0</v>
      </c>
      <c r="U26" s="564">
        <f>SUM('Defect (Total)'!U26,Planned!U26,Reconductor!U26,CTGS!U26)</f>
        <v>0</v>
      </c>
      <c r="V26" s="564">
        <f>SUM('Defect (Total)'!V26,Planned!V26,Reconductor!V26,CTGS!V26)</f>
        <v>0</v>
      </c>
      <c r="W26" s="564">
        <f>SUM('Defect (Total)'!W26,Planned!W26,Reconductor!W26,CTGS!W26)</f>
        <v>0</v>
      </c>
      <c r="X26" s="564">
        <f>SUM('Defect (Total)'!X26,Planned!X26,Reconductor!X26,CTGS!X26)</f>
        <v>0</v>
      </c>
      <c r="Y26" s="564">
        <f>SUM('Defect (Total)'!Y26,Planned!Y26,Reconductor!Y26,CTGS!Y26)</f>
        <v>0</v>
      </c>
      <c r="Z26" s="105">
        <f>SUM('Defect (Total)'!Z26,Planned!Z26,Reconductor!Z26,CTGS!Z26)</f>
        <v>0</v>
      </c>
      <c r="AA26" s="106">
        <f>SUM('Defect (Total)'!AA26,Planned!AA26,Reconductor!AA26,CTGS!AA26)</f>
        <v>0</v>
      </c>
      <c r="AB26" s="106">
        <f>SUM('Defect (Total)'!AB26,Planned!AB26,Reconductor!AB26,CTGS!AB26)</f>
        <v>0</v>
      </c>
      <c r="AC26" s="106">
        <f>SUM('Defect (Total)'!AC26,Planned!AC26,Reconductor!AC26,CTGS!AC26)</f>
        <v>0</v>
      </c>
      <c r="AD26" s="106">
        <f>SUM('Defect (Total)'!AD26,Planned!AD26,Reconductor!AD26,CTGS!AD26)</f>
        <v>0</v>
      </c>
      <c r="AE26" s="106">
        <f>SUM('Defect (Total)'!AE26,Planned!AE26,Reconductor!AE26,CTGS!AE26)</f>
        <v>0</v>
      </c>
      <c r="AF26" s="106">
        <f>SUM('Defect (Total)'!AF26,Planned!AF26,Reconductor!AF26,CTGS!AF26)</f>
        <v>0</v>
      </c>
      <c r="AG26" s="106">
        <f>SUM('Defect (Total)'!AG26,Planned!AG26,Reconductor!AG26,CTGS!AG26)</f>
        <v>0</v>
      </c>
      <c r="AH26" s="106">
        <f>SUM('Defect (Total)'!AH26,Planned!AH26,Reconductor!AH26,CTGS!AH26)</f>
        <v>0</v>
      </c>
      <c r="AI26" s="106">
        <f>SUM('Defect (Total)'!AI26,Planned!AI26,Reconductor!AI26,CTGS!AI26)</f>
        <v>0</v>
      </c>
      <c r="AJ26" s="106">
        <f>SUM('Defect (Total)'!AJ26,Planned!AJ26,Reconductor!AJ26,CTGS!AJ26)</f>
        <v>0</v>
      </c>
      <c r="AK26" s="107">
        <f t="shared" si="14"/>
        <v>0</v>
      </c>
      <c r="AL26" s="108">
        <f t="shared" si="0"/>
        <v>0</v>
      </c>
      <c r="AM26" s="109">
        <f t="shared" si="15"/>
        <v>0</v>
      </c>
      <c r="AN26" s="110" t="str">
        <f t="shared" si="1"/>
        <v/>
      </c>
      <c r="AO26" s="111" t="str">
        <f t="shared" si="2"/>
        <v/>
      </c>
      <c r="AP26" s="111" t="str">
        <f t="shared" si="3"/>
        <v/>
      </c>
      <c r="AQ26" s="111" t="str">
        <f t="shared" si="4"/>
        <v/>
      </c>
      <c r="AR26" s="111" t="str">
        <f t="shared" si="5"/>
        <v/>
      </c>
      <c r="AS26" s="111" t="str">
        <f t="shared" si="6"/>
        <v/>
      </c>
      <c r="AT26" s="111" t="str">
        <f t="shared" si="7"/>
        <v/>
      </c>
      <c r="AU26" s="111" t="str">
        <f t="shared" si="8"/>
        <v/>
      </c>
      <c r="AV26" s="111" t="str">
        <f t="shared" si="9"/>
        <v/>
      </c>
      <c r="AW26" s="111" t="str">
        <f t="shared" si="17"/>
        <v/>
      </c>
      <c r="AX26" s="111" t="str">
        <f t="shared" si="17"/>
        <v/>
      </c>
      <c r="AY26" s="112" t="str">
        <f t="shared" si="11"/>
        <v/>
      </c>
      <c r="AZ26" s="113" t="str">
        <f t="shared" si="12"/>
        <v/>
      </c>
      <c r="BA26" s="114" t="str">
        <f t="shared" si="13"/>
        <v/>
      </c>
      <c r="BB26" s="690">
        <f>SUM('Defect (Total)'!BB26,Planned!CE26,Reconductor!CE26,CTGS!CE26,'Substation 2025$'!CE26*$BL$1,Comms!CA26*$BL$2)</f>
        <v>0</v>
      </c>
      <c r="BC26" s="690">
        <f>SUM('Defect (Total)'!BC26,Planned!CF26,Reconductor!CF26,CTGS!CF26,'Substation 2025$'!CF26*$BL$1,Comms!CB26*$BL$2)</f>
        <v>0</v>
      </c>
      <c r="BD26" s="115">
        <f>SUM('Defect (Total)'!BD26,Planned!CG26,Reconductor!CG26,CTGS!CG26,'Substation 2025$'!CG26*$BL$1,Comms!CC26*$BL$2)</f>
        <v>0</v>
      </c>
      <c r="BE26" s="115">
        <f>SUM('Defect (Total)'!BE26,Planned!CH26,Reconductor!CH26,CTGS!CH26,'Substation 2025$'!CH26*$BL$1,Comms!CD26*$BL$2)</f>
        <v>0</v>
      </c>
      <c r="BF26" s="115">
        <f>SUM('Defect (Total)'!BF26,Planned!CI26,Reconductor!CI26,CTGS!CI26,'Substation 2025$'!CI26*$BL$1,Comms!CE26*$BL$2)</f>
        <v>0</v>
      </c>
      <c r="BG26" s="115">
        <f>SUM('Defect (Total)'!BG26,Planned!CJ26,Reconductor!CJ26,CTGS!CJ26,'Substation 2025$'!CJ26*$BL$1,Comms!CF26*$BL$2)</f>
        <v>0</v>
      </c>
      <c r="BH26" s="115">
        <f>SUM('Defect (Total)'!BH26,Planned!CK26,Reconductor!CK26,CTGS!CK26,'Substation 2025$'!CK26*$BL$1,Comms!CG26*$BL$2)</f>
        <v>0</v>
      </c>
      <c r="BI26" s="287">
        <f>SUM('Defect (Total)'!BI26,Planned!CL26,Reconductor!CL26,CTGS!CL26,'Substation 2025$'!CL26*$BL$1,Comms!CH26*$BL$2)</f>
        <v>0</v>
      </c>
      <c r="BJ26" s="116" t="str">
        <f t="shared" si="16"/>
        <v/>
      </c>
      <c r="BK26" s="744"/>
      <c r="BL26" s="117"/>
      <c r="BM26" s="638"/>
      <c r="BN26" s="467">
        <f>'Distribution Summary'!CI26+'Substation 2025$'!CT26</f>
        <v>0</v>
      </c>
      <c r="BO26" s="117">
        <f>'Distribution Summary'!CJ26+'Substation 2025$'!CU26</f>
        <v>0</v>
      </c>
      <c r="BP26" s="117">
        <f>'Distribution Summary'!CK26+'Substation 2025$'!CV26</f>
        <v>0</v>
      </c>
      <c r="BQ26" s="117">
        <f>'Distribution Summary'!CL26+'Substation 2025$'!CW26</f>
        <v>0</v>
      </c>
      <c r="BR26" s="118">
        <f>'Distribution Summary'!CM26+'Substation 2025$'!CX26</f>
        <v>0</v>
      </c>
    </row>
    <row r="27" spans="1:70" x14ac:dyDescent="0.25">
      <c r="A27" s="63" t="s">
        <v>68</v>
      </c>
      <c r="B27" s="64" t="s">
        <v>65</v>
      </c>
      <c r="C27" s="65" t="s">
        <v>305</v>
      </c>
      <c r="D27" s="66">
        <f>SUM('Defect (Total)'!D27,Planned!D27,Reconductor!D27,CTGS!D27)</f>
        <v>3146559</v>
      </c>
      <c r="E27" s="67">
        <f>SUM('Defect (Total)'!E27,Planned!E27,Reconductor!E27,CTGS!E27)</f>
        <v>4386057</v>
      </c>
      <c r="F27" s="67">
        <f>SUM('Defect (Total)'!F27,Planned!F27,Reconductor!F27,CTGS!F27)</f>
        <v>5033193</v>
      </c>
      <c r="G27" s="67">
        <f>SUM('Defect (Total)'!G27,Planned!G27,Reconductor!G27,CTGS!G27)</f>
        <v>4498783.8656652225</v>
      </c>
      <c r="H27" s="67">
        <f>SUM('Defect (Total)'!H27,Planned!H27,Reconductor!H27,CTGS!H27)</f>
        <v>6646575</v>
      </c>
      <c r="I27" s="67">
        <f>SUM('Defect (Total)'!I27,Planned!I27,Reconductor!I27,CTGS!I27)</f>
        <v>13722228.490170907</v>
      </c>
      <c r="J27" s="67">
        <f>SUM('Defect (Total)'!J27,Planned!J27,Reconductor!J27,CTGS!J27)</f>
        <v>20171306.432252809</v>
      </c>
      <c r="K27" s="67">
        <f>SUM('Defect (Total)'!K27,Planned!K27,Reconductor!K27,CTGS!K27)</f>
        <v>17559588.629588861</v>
      </c>
      <c r="L27" s="67">
        <f>SUM('Defect (Total)'!L27,Planned!L27,Reconductor!L27,CTGS!L27)</f>
        <v>18130027.107079104</v>
      </c>
      <c r="M27" s="67">
        <f>SUM('Defect (Total)'!M27,Planned!M27,Reconductor!M27,CTGS!M27)</f>
        <v>14924172.302468948</v>
      </c>
      <c r="N27" s="67">
        <f>SUM('Defect (Total)'!N27,Planned!N27,Reconductor!N27,CTGS!N27)</f>
        <v>16340952.953079855</v>
      </c>
      <c r="O27" s="557">
        <f>SUM('Defect (Total)'!O27,Planned!O27,Reconductor!O27,CTGS!O27)</f>
        <v>4233557.6903063273</v>
      </c>
      <c r="P27" s="558">
        <f>SUM('Defect (Total)'!P27,Planned!P27,Reconductor!P27,CTGS!P27)</f>
        <v>5813415.5770848431</v>
      </c>
      <c r="Q27" s="558">
        <f>SUM('Defect (Total)'!Q27,Planned!Q27,Reconductor!Q27,CTGS!Q27)</f>
        <v>6603578.1454575043</v>
      </c>
      <c r="R27" s="558">
        <f>SUM('Defect (Total)'!R27,Planned!R27,Reconductor!R27,CTGS!R27)</f>
        <v>5790460.0672730757</v>
      </c>
      <c r="S27" s="558">
        <f>SUM('Defect (Total)'!S27,Planned!S27,Reconductor!S27,CTGS!S27)</f>
        <v>8380791.361580044</v>
      </c>
      <c r="T27" s="558">
        <f>SUM('Defect (Total)'!T27,Planned!T27,Reconductor!T27,CTGS!T27)</f>
        <v>17031320.486762278</v>
      </c>
      <c r="U27" s="558">
        <f>SUM('Defect (Total)'!U27,Planned!U27,Reconductor!U27,CTGS!U27)</f>
        <v>25123119.577427007</v>
      </c>
      <c r="V27" s="558">
        <f>SUM('Defect (Total)'!V27,Planned!V27,Reconductor!V27,CTGS!V27)</f>
        <v>21060246.964583199</v>
      </c>
      <c r="W27" s="558">
        <f>SUM('Defect (Total)'!W27,Planned!W27,Reconductor!W27,CTGS!W27)</f>
        <v>20485611.380954701</v>
      </c>
      <c r="X27" s="558">
        <f>SUM('Defect (Total)'!X27,Planned!X27,Reconductor!X27,CTGS!X27)</f>
        <v>15871274.09794162</v>
      </c>
      <c r="Y27" s="558">
        <f>SUM('Defect (Total)'!Y27,Planned!Y27,Reconductor!Y27,CTGS!Y27)</f>
        <v>16474532.253546346</v>
      </c>
      <c r="Z27" s="68">
        <f>SUM('Defect (Total)'!Z27,Planned!Z27,Reconductor!Z27,CTGS!Z27)</f>
        <v>2944</v>
      </c>
      <c r="AA27" s="69">
        <f>SUM('Defect (Total)'!AA27,Planned!AA27,Reconductor!AA27,CTGS!AA27)</f>
        <v>4221</v>
      </c>
      <c r="AB27" s="69">
        <f>SUM('Defect (Total)'!AB27,Planned!AB27,Reconductor!AB27,CTGS!AB27)</f>
        <v>4068</v>
      </c>
      <c r="AC27" s="69">
        <f>SUM('Defect (Total)'!AC27,Planned!AC27,Reconductor!AC27,CTGS!AC27)</f>
        <v>4111</v>
      </c>
      <c r="AD27" s="69">
        <f>SUM('Defect (Total)'!AD27,Planned!AD27,Reconductor!AD27,CTGS!AD27)</f>
        <v>5368</v>
      </c>
      <c r="AE27" s="69">
        <f>SUM('Defect (Total)'!AE27,Planned!AE27,Reconductor!AE27,CTGS!AE27)</f>
        <v>7582</v>
      </c>
      <c r="AF27" s="69">
        <f>SUM('Defect (Total)'!AF27,Planned!AF27,Reconductor!AF27,CTGS!AF27)</f>
        <v>8996</v>
      </c>
      <c r="AG27" s="69">
        <f>SUM('Defect (Total)'!AG27,Planned!AG27,Reconductor!AG27,CTGS!AG27)</f>
        <v>7864</v>
      </c>
      <c r="AH27" s="69">
        <f>SUM('Defect (Total)'!AH27,Planned!AH27,Reconductor!AH27,CTGS!AH27)</f>
        <v>7544</v>
      </c>
      <c r="AI27" s="69">
        <f>SUM('Defect (Total)'!AI27,Planned!AI27,Reconductor!AI27,CTGS!AI27)</f>
        <v>6079</v>
      </c>
      <c r="AJ27" s="69">
        <f>SUM('Defect (Total)'!AJ27,Planned!AJ27,Reconductor!AJ27,CTGS!AJ27)</f>
        <v>4477</v>
      </c>
      <c r="AK27" s="70">
        <f t="shared" si="14"/>
        <v>7470.8</v>
      </c>
      <c r="AL27" s="71">
        <f t="shared" si="0"/>
        <v>8134.666666666667</v>
      </c>
      <c r="AM27" s="72">
        <f t="shared" si="15"/>
        <v>7544</v>
      </c>
      <c r="AN27" s="73">
        <f t="shared" si="1"/>
        <v>1068.804008152174</v>
      </c>
      <c r="AO27" s="74">
        <f t="shared" si="2"/>
        <v>1039.1037668798863</v>
      </c>
      <c r="AP27" s="74">
        <f t="shared" si="3"/>
        <v>1237.264749262537</v>
      </c>
      <c r="AQ27" s="74">
        <f t="shared" si="4"/>
        <v>1094.3283545767995</v>
      </c>
      <c r="AR27" s="74">
        <f t="shared" si="5"/>
        <v>1238.1846125186289</v>
      </c>
      <c r="AS27" s="74">
        <f t="shared" si="6"/>
        <v>1809.842850194</v>
      </c>
      <c r="AT27" s="74">
        <f t="shared" si="7"/>
        <v>2242.2528270623397</v>
      </c>
      <c r="AU27" s="74">
        <f t="shared" si="8"/>
        <v>2232.9080149528054</v>
      </c>
      <c r="AV27" s="74">
        <f t="shared" si="9"/>
        <v>2403.2379516276646</v>
      </c>
      <c r="AW27" s="74">
        <f t="shared" si="17"/>
        <v>2455.0373914244033</v>
      </c>
      <c r="AX27" s="74">
        <f t="shared" si="17"/>
        <v>3649.9783232253417</v>
      </c>
      <c r="AY27" s="75">
        <f t="shared" si="11"/>
        <v>2040.7379573564192</v>
      </c>
      <c r="AZ27" s="76">
        <f t="shared" si="12"/>
        <v>2289.0068090854274</v>
      </c>
      <c r="BA27" s="77">
        <f t="shared" si="13"/>
        <v>2403.2379516276646</v>
      </c>
      <c r="BB27" s="688">
        <f>SUM('Defect (Total)'!BB27,Planned!CE27,Reconductor!CE27,CTGS!CE27,'Substation 2025$'!CE27*$BL$1,Comms!CA27*$BL$2)</f>
        <v>6628.2666666666664</v>
      </c>
      <c r="BC27" s="688">
        <f>SUM('Defect (Total)'!BC27,Planned!CF27,Reconductor!CF27,CTGS!CF27,'Substation 2025$'!CF27*$BL$1,Comms!CB27*$BL$2)</f>
        <v>6235.6550351357037</v>
      </c>
      <c r="BD27" s="78">
        <f>SUM('Defect (Total)'!BD27,Planned!CG27,Reconductor!CG27,CTGS!CG27,'Substation 2025$'!CG27*$BL$1,Comms!CC27*$BL$2)</f>
        <v>6235.6550351357037</v>
      </c>
      <c r="BE27" s="78">
        <f>SUM('Defect (Total)'!BE27,Planned!CH27,Reconductor!CH27,CTGS!CH27,'Substation 2025$'!CH27*$BL$1,Comms!CD27*$BL$2)</f>
        <v>9495.4960353210172</v>
      </c>
      <c r="BF27" s="78">
        <f>SUM('Defect (Total)'!BF27,Planned!CI27,Reconductor!CI27,CTGS!CI27,'Substation 2025$'!CI27*$BL$1,Comms!CE27*$BL$2)</f>
        <v>9604.7019181582855</v>
      </c>
      <c r="BG27" s="78">
        <f>SUM('Defect (Total)'!BG27,Planned!CJ27,Reconductor!CJ27,CTGS!CJ27,'Substation 2025$'!CJ27*$BL$1,Comms!CF27*$BL$2)</f>
        <v>9677.5058400497983</v>
      </c>
      <c r="BH27" s="78">
        <f>SUM('Defect (Total)'!BH27,Planned!CK27,Reconductor!CK27,CTGS!CK27,'Substation 2025$'!CK27*$BL$1,Comms!CG27*$BL$2)</f>
        <v>9750.3097619413111</v>
      </c>
      <c r="BI27" s="285">
        <f>SUM('Defect (Total)'!BI27,Planned!CL27,Reconductor!CL27,CTGS!CL27,'Substation 2025$'!CL27*$BL$1,Comms!CH27*$BL$2)</f>
        <v>9786.7117228870666</v>
      </c>
      <c r="BJ27" s="124">
        <f t="shared" si="16"/>
        <v>2682.0642172602174</v>
      </c>
      <c r="BK27" s="742"/>
      <c r="BL27" s="79"/>
      <c r="BM27" s="523"/>
      <c r="BN27" s="415">
        <f>'Distribution Summary'!CI27+'Substation 2025$'!CT27</f>
        <v>25215718.550435904</v>
      </c>
      <c r="BO27" s="79">
        <f>'Distribution Summary'!CJ27+'Substation 2025$'!CU27</f>
        <v>25624228.464218333</v>
      </c>
      <c r="BP27" s="79">
        <f>'Distribution Summary'!CK27+'Substation 2025$'!CV27</f>
        <v>25936486.675946604</v>
      </c>
      <c r="BQ27" s="79">
        <f>'Distribution Summary'!CL27+'Substation 2025$'!CW27</f>
        <v>26272866.33316838</v>
      </c>
      <c r="BR27" s="80">
        <f>'Distribution Summary'!CM27+'Substation 2025$'!CX27</f>
        <v>26533895.81207107</v>
      </c>
    </row>
    <row r="28" spans="1:70" x14ac:dyDescent="0.25">
      <c r="A28" s="81" t="s">
        <v>68</v>
      </c>
      <c r="B28" s="82" t="s">
        <v>69</v>
      </c>
      <c r="C28" s="83" t="s">
        <v>70</v>
      </c>
      <c r="D28" s="84">
        <f>SUM('Defect (Total)'!D28,Planned!D28,Reconductor!D28,CTGS!D28)</f>
        <v>3799338</v>
      </c>
      <c r="E28" s="85">
        <f>SUM('Defect (Total)'!E28,Planned!E28,Reconductor!E28,CTGS!E28)</f>
        <v>5680549</v>
      </c>
      <c r="F28" s="85">
        <f>SUM('Defect (Total)'!F28,Planned!F28,Reconductor!F28,CTGS!F28)</f>
        <v>6868124</v>
      </c>
      <c r="G28" s="85">
        <f>SUM('Defect (Total)'!G28,Planned!G28,Reconductor!G28,CTGS!G28)</f>
        <v>6214574.5373849673</v>
      </c>
      <c r="H28" s="85">
        <f>SUM('Defect (Total)'!H28,Planned!H28,Reconductor!H28,CTGS!H28)</f>
        <v>10051566.593127301</v>
      </c>
      <c r="I28" s="85">
        <f>SUM('Defect (Total)'!I28,Planned!I28,Reconductor!I28,CTGS!I28)</f>
        <v>12866164.303453926</v>
      </c>
      <c r="J28" s="85">
        <f>SUM('Defect (Total)'!J28,Planned!J28,Reconductor!J28,CTGS!J28)</f>
        <v>22361416.082202949</v>
      </c>
      <c r="K28" s="85">
        <f>SUM('Defect (Total)'!K28,Planned!K28,Reconductor!K28,CTGS!K28)</f>
        <v>24001075.945424039</v>
      </c>
      <c r="L28" s="85">
        <f>SUM('Defect (Total)'!L28,Planned!L28,Reconductor!L28,CTGS!L28)</f>
        <v>21300028.898128554</v>
      </c>
      <c r="M28" s="85">
        <f>SUM('Defect (Total)'!M28,Planned!M28,Reconductor!M28,CTGS!M28)</f>
        <v>25760754.949028958</v>
      </c>
      <c r="N28" s="85">
        <f>SUM('Defect (Total)'!N28,Planned!N28,Reconductor!N28,CTGS!N28)</f>
        <v>22856159.810986951</v>
      </c>
      <c r="O28" s="560">
        <f>SUM('Defect (Total)'!O28,Planned!O28,Reconductor!O28,CTGS!O28)</f>
        <v>5111843.320901677</v>
      </c>
      <c r="P28" s="561">
        <f>SUM('Defect (Total)'!P28,Planned!P28,Reconductor!P28,CTGS!P28)</f>
        <v>7529175.3032379011</v>
      </c>
      <c r="Q28" s="561">
        <f>SUM('Defect (Total)'!Q28,Planned!Q28,Reconductor!Q28,CTGS!Q28)</f>
        <v>9011018.164153887</v>
      </c>
      <c r="R28" s="561">
        <f>SUM('Defect (Total)'!R28,Planned!R28,Reconductor!R28,CTGS!R28)</f>
        <v>7998882.9800114576</v>
      </c>
      <c r="S28" s="561">
        <f>SUM('Defect (Total)'!S28,Planned!S28,Reconductor!S28,CTGS!S28)</f>
        <v>12674209.269289495</v>
      </c>
      <c r="T28" s="561">
        <f>SUM('Defect (Total)'!T28,Planned!T28,Reconductor!T28,CTGS!T28)</f>
        <v>15968817.881470444</v>
      </c>
      <c r="U28" s="561">
        <f>SUM('Defect (Total)'!U28,Planned!U28,Reconductor!U28,CTGS!U28)</f>
        <v>27850874.807767287</v>
      </c>
      <c r="V28" s="561">
        <f>SUM('Defect (Total)'!V28,Planned!V28,Reconductor!V28,CTGS!V28)</f>
        <v>28785901.394899733</v>
      </c>
      <c r="W28" s="561">
        <f>SUM('Defect (Total)'!W28,Planned!W28,Reconductor!W28,CTGS!W28)</f>
        <v>24067482.736404188</v>
      </c>
      <c r="X28" s="561">
        <f>SUM('Defect (Total)'!X28,Planned!X28,Reconductor!X28,CTGS!X28)</f>
        <v>27395556.314925861</v>
      </c>
      <c r="Y28" s="561">
        <f>SUM('Defect (Total)'!Y28,Planned!Y28,Reconductor!Y28,CTGS!Y28)</f>
        <v>23034729.099741191</v>
      </c>
      <c r="Z28" s="86">
        <f>SUM('Defect (Total)'!Z28,Planned!Z28,Reconductor!Z28,CTGS!Z28)</f>
        <v>3594</v>
      </c>
      <c r="AA28" s="87">
        <f>SUM('Defect (Total)'!AA28,Planned!AA28,Reconductor!AA28,CTGS!AA28)</f>
        <v>4709</v>
      </c>
      <c r="AB28" s="87">
        <f>SUM('Defect (Total)'!AB28,Planned!AB28,Reconductor!AB28,CTGS!AB28)</f>
        <v>4662</v>
      </c>
      <c r="AC28" s="87">
        <f>SUM('Defect (Total)'!AC28,Planned!AC28,Reconductor!AC28,CTGS!AC28)</f>
        <v>3699</v>
      </c>
      <c r="AD28" s="87">
        <f>SUM('Defect (Total)'!AD28,Planned!AD28,Reconductor!AD28,CTGS!AD28)</f>
        <v>6452</v>
      </c>
      <c r="AE28" s="87">
        <f>SUM('Defect (Total)'!AE28,Planned!AE28,Reconductor!AE28,CTGS!AE28)</f>
        <v>5993</v>
      </c>
      <c r="AF28" s="87">
        <f>SUM('Defect (Total)'!AF28,Planned!AF28,Reconductor!AF28,CTGS!AF28)</f>
        <v>9410</v>
      </c>
      <c r="AG28" s="87">
        <f>SUM('Defect (Total)'!AG28,Planned!AG28,Reconductor!AG28,CTGS!AG28)</f>
        <v>9991</v>
      </c>
      <c r="AH28" s="87">
        <f>SUM('Defect (Total)'!AH28,Planned!AH28,Reconductor!AH28,CTGS!AH28)</f>
        <v>9418</v>
      </c>
      <c r="AI28" s="87">
        <f>SUM('Defect (Total)'!AI28,Planned!AI28,Reconductor!AI28,CTGS!AI28)</f>
        <v>8544</v>
      </c>
      <c r="AJ28" s="87">
        <f>SUM('Defect (Total)'!AJ28,Planned!AJ28,Reconductor!AJ28,CTGS!AJ28)</f>
        <v>7832</v>
      </c>
      <c r="AK28" s="88">
        <f t="shared" si="14"/>
        <v>8252.7999999999993</v>
      </c>
      <c r="AL28" s="89">
        <f t="shared" si="0"/>
        <v>9606.3333333333339</v>
      </c>
      <c r="AM28" s="90">
        <f t="shared" si="15"/>
        <v>9418</v>
      </c>
      <c r="AN28" s="91">
        <f t="shared" si="1"/>
        <v>1057.1335559265442</v>
      </c>
      <c r="AO28" s="92">
        <f t="shared" si="2"/>
        <v>1206.3174771713739</v>
      </c>
      <c r="AP28" s="92">
        <f t="shared" si="3"/>
        <v>1473.2140712140713</v>
      </c>
      <c r="AQ28" s="92">
        <f t="shared" si="4"/>
        <v>1680.0688124857982</v>
      </c>
      <c r="AR28" s="92">
        <f t="shared" si="5"/>
        <v>1557.8993479738533</v>
      </c>
      <c r="AS28" s="92">
        <f t="shared" si="6"/>
        <v>2146.8653935347784</v>
      </c>
      <c r="AT28" s="92">
        <f t="shared" si="7"/>
        <v>2376.3460236134906</v>
      </c>
      <c r="AU28" s="92">
        <f t="shared" si="8"/>
        <v>2402.269637215898</v>
      </c>
      <c r="AV28" s="92">
        <f t="shared" si="9"/>
        <v>2261.6297407229299</v>
      </c>
      <c r="AW28" s="92">
        <f t="shared" si="17"/>
        <v>3015.0696335473967</v>
      </c>
      <c r="AX28" s="92">
        <f t="shared" si="17"/>
        <v>2918.3043681035433</v>
      </c>
      <c r="AY28" s="93">
        <f t="shared" si="11"/>
        <v>2195.139875492845</v>
      </c>
      <c r="AZ28" s="94">
        <f t="shared" si="12"/>
        <v>2347.8441627313769</v>
      </c>
      <c r="BA28" s="95">
        <f t="shared" si="13"/>
        <v>2261.6297407229299</v>
      </c>
      <c r="BB28" s="689">
        <f>SUM('Defect (Total)'!BB28,Planned!CE28,Reconductor!CE28,CTGS!CE28,'Substation 2025$'!CE28*$BL$1,Comms!CA28*$BL$2)</f>
        <v>8638.3333333333339</v>
      </c>
      <c r="BC28" s="689">
        <f>SUM('Defect (Total)'!BC28,Planned!CF28,Reconductor!CF28,CTGS!CF28,'Substation 2025$'!CF28*$BL$1,Comms!CB28*$BL$2)</f>
        <v>8209.1931360623148</v>
      </c>
      <c r="BD28" s="96">
        <f>SUM('Defect (Total)'!BD28,Planned!CG28,Reconductor!CG28,CTGS!CG28,'Substation 2025$'!CG28*$BL$1,Comms!CC28*$BL$2)</f>
        <v>8209.1931360623148</v>
      </c>
      <c r="BE28" s="96">
        <f>SUM('Defect (Total)'!BE28,Planned!CH28,Reconductor!CH28,CTGS!CH28,'Substation 2025$'!CH28*$BL$1,Comms!CD28*$BL$2)</f>
        <v>10550.152210096836</v>
      </c>
      <c r="BF28" s="96">
        <f>SUM('Defect (Total)'!BF28,Planned!CI28,Reconductor!CI28,CTGS!CI28,'Substation 2025$'!CI28*$BL$1,Comms!CE28*$BL$2)</f>
        <v>10638.594399167741</v>
      </c>
      <c r="BG28" s="96">
        <f>SUM('Defect (Total)'!BG28,Planned!CJ28,Reconductor!CJ28,CTGS!CJ28,'Substation 2025$'!CJ28*$BL$1,Comms!CF28*$BL$2)</f>
        <v>10697.555858548345</v>
      </c>
      <c r="BH28" s="96">
        <f>SUM('Defect (Total)'!BH28,Planned!CK28,Reconductor!CK28,CTGS!CK28,'Substation 2025$'!CK28*$BL$1,Comms!CG28*$BL$2)</f>
        <v>10756.517317928949</v>
      </c>
      <c r="BI28" s="286">
        <f>SUM('Defect (Total)'!BI28,Planned!CL28,Reconductor!CL28,CTGS!CL28,'Substation 2025$'!CL28*$BL$1,Comms!CH28*$BL$2)</f>
        <v>10785.99804761925</v>
      </c>
      <c r="BJ28" s="99">
        <f t="shared" si="16"/>
        <v>3110.6172179183159</v>
      </c>
      <c r="BK28" s="743"/>
      <c r="BL28" s="97"/>
      <c r="BM28" s="524"/>
      <c r="BN28" s="416">
        <f>'Distribution Summary'!CI28+'Substation 2025$'!CT28</f>
        <v>32499637.118419733</v>
      </c>
      <c r="BO28" s="97">
        <f>'Distribution Summary'!CJ28+'Substation 2025$'!CU28</f>
        <v>32920608.380282063</v>
      </c>
      <c r="BP28" s="97">
        <f>'Distribution Summary'!CK28+'Substation 2025$'!CV28</f>
        <v>33251703.138118483</v>
      </c>
      <c r="BQ28" s="97">
        <f>'Distribution Summary'!CL28+'Substation 2025$'!CW28</f>
        <v>33612874.585404605</v>
      </c>
      <c r="BR28" s="98">
        <f>'Distribution Summary'!CM28+'Substation 2025$'!CX28</f>
        <v>33911777.463249385</v>
      </c>
    </row>
    <row r="29" spans="1:70" x14ac:dyDescent="0.25">
      <c r="A29" s="81" t="s">
        <v>68</v>
      </c>
      <c r="B29" s="82" t="s">
        <v>71</v>
      </c>
      <c r="C29" s="83" t="s">
        <v>306</v>
      </c>
      <c r="D29" s="84">
        <f>SUM('Defect (Total)'!D29,Planned!D29,Reconductor!D29,CTGS!D29)</f>
        <v>3848968</v>
      </c>
      <c r="E29" s="85">
        <f>SUM('Defect (Total)'!E29,Planned!E29,Reconductor!E29,CTGS!E29)</f>
        <v>5244190.9999999991</v>
      </c>
      <c r="F29" s="85">
        <f>SUM('Defect (Total)'!F29,Planned!F29,Reconductor!F29,CTGS!F29)</f>
        <v>6932018</v>
      </c>
      <c r="G29" s="85">
        <f>SUM('Defect (Total)'!G29,Planned!G29,Reconductor!G29,CTGS!G29)</f>
        <v>5942215.9102094267</v>
      </c>
      <c r="H29" s="85">
        <f>SUM('Defect (Total)'!H29,Planned!H29,Reconductor!H29,CTGS!H29)</f>
        <v>9484483.4224589095</v>
      </c>
      <c r="I29" s="85">
        <f>SUM('Defect (Total)'!I29,Planned!I29,Reconductor!I29,CTGS!I29)</f>
        <v>3377437.5732450285</v>
      </c>
      <c r="J29" s="85">
        <f>SUM('Defect (Total)'!J29,Planned!J29,Reconductor!J29,CTGS!J29)</f>
        <v>15022406.400347563</v>
      </c>
      <c r="K29" s="85">
        <f>SUM('Defect (Total)'!K29,Planned!K29,Reconductor!K29,CTGS!K29)</f>
        <v>11609952.112739109</v>
      </c>
      <c r="L29" s="85">
        <f>SUM('Defect (Total)'!L29,Planned!L29,Reconductor!L29,CTGS!L29)</f>
        <v>12906682.474731416</v>
      </c>
      <c r="M29" s="85">
        <f>SUM('Defect (Total)'!M29,Planned!M29,Reconductor!M29,CTGS!M29)</f>
        <v>16915634.558253527</v>
      </c>
      <c r="N29" s="85">
        <f>SUM('Defect (Total)'!N29,Planned!N29,Reconductor!N29,CTGS!N29)</f>
        <v>22645875.844948944</v>
      </c>
      <c r="O29" s="560">
        <f>SUM('Defect (Total)'!O29,Planned!O29,Reconductor!O29,CTGS!O29)</f>
        <v>5178618.3180238996</v>
      </c>
      <c r="P29" s="561">
        <f>SUM('Defect (Total)'!P29,Planned!P29,Reconductor!P29,CTGS!P29)</f>
        <v>6950812.9166146582</v>
      </c>
      <c r="Q29" s="561">
        <f>SUM('Defect (Total)'!Q29,Planned!Q29,Reconductor!Q29,CTGS!Q29)</f>
        <v>9094847.4593996368</v>
      </c>
      <c r="R29" s="561">
        <f>SUM('Defect (Total)'!R29,Planned!R29,Reconductor!R29,CTGS!R29)</f>
        <v>7648325.6290185386</v>
      </c>
      <c r="S29" s="561">
        <f>SUM('Defect (Total)'!S29,Planned!S29,Reconductor!S29,CTGS!S29)</f>
        <v>11959163.439213846</v>
      </c>
      <c r="T29" s="561">
        <f>SUM('Defect (Total)'!T29,Planned!T29,Reconductor!T29,CTGS!T29)</f>
        <v>4191900.8836772614</v>
      </c>
      <c r="U29" s="561">
        <f>SUM('Defect (Total)'!U29,Planned!U29,Reconductor!U29,CTGS!U29)</f>
        <v>18710226.509334035</v>
      </c>
      <c r="V29" s="561">
        <f>SUM('Defect (Total)'!V29,Planned!V29,Reconductor!V29,CTGS!V29)</f>
        <v>13924498.113199536</v>
      </c>
      <c r="W29" s="561">
        <f>SUM('Defect (Total)'!W29,Planned!W29,Reconductor!W29,CTGS!W29)</f>
        <v>14583612.02843914</v>
      </c>
      <c r="X29" s="561">
        <f>SUM('Defect (Total)'!X29,Planned!X29,Reconductor!X29,CTGS!X29)</f>
        <v>17989116.392755743</v>
      </c>
      <c r="Y29" s="561">
        <f>SUM('Defect (Total)'!Y29,Planned!Y29,Reconductor!Y29,CTGS!Y29)</f>
        <v>22829384.111567147</v>
      </c>
      <c r="Z29" s="86">
        <f>SUM('Defect (Total)'!Z29,Planned!Z29,Reconductor!Z29,CTGS!Z29)</f>
        <v>1998</v>
      </c>
      <c r="AA29" s="87">
        <f>SUM('Defect (Total)'!AA29,Planned!AA29,Reconductor!AA29,CTGS!AA29)</f>
        <v>2787</v>
      </c>
      <c r="AB29" s="87">
        <f>SUM('Defect (Total)'!AB29,Planned!AB29,Reconductor!AB29,CTGS!AB29)</f>
        <v>3047</v>
      </c>
      <c r="AC29" s="87">
        <f>SUM('Defect (Total)'!AC29,Planned!AC29,Reconductor!AC29,CTGS!AC29)</f>
        <v>2719</v>
      </c>
      <c r="AD29" s="87">
        <f>SUM('Defect (Total)'!AD29,Planned!AD29,Reconductor!AD29,CTGS!AD29)</f>
        <v>4291</v>
      </c>
      <c r="AE29" s="87">
        <f>SUM('Defect (Total)'!AE29,Planned!AE29,Reconductor!AE29,CTGS!AE29)</f>
        <v>2023</v>
      </c>
      <c r="AF29" s="87">
        <f>SUM('Defect (Total)'!AF29,Planned!AF29,Reconductor!AF29,CTGS!AF29)</f>
        <v>6140</v>
      </c>
      <c r="AG29" s="87">
        <f>SUM('Defect (Total)'!AG29,Planned!AG29,Reconductor!AG29,CTGS!AG29)</f>
        <v>4659</v>
      </c>
      <c r="AH29" s="87">
        <f>SUM('Defect (Total)'!AH29,Planned!AH29,Reconductor!AH29,CTGS!AH29)</f>
        <v>5351</v>
      </c>
      <c r="AI29" s="87">
        <f>SUM('Defect (Total)'!AI29,Planned!AI29,Reconductor!AI29,CTGS!AI29)</f>
        <v>5259</v>
      </c>
      <c r="AJ29" s="87">
        <f>SUM('Defect (Total)'!AJ29,Planned!AJ29,Reconductor!AJ29,CTGS!AJ29)</f>
        <v>6715</v>
      </c>
      <c r="AK29" s="88">
        <f t="shared" si="14"/>
        <v>4492.8</v>
      </c>
      <c r="AL29" s="89">
        <f t="shared" si="0"/>
        <v>5383.333333333333</v>
      </c>
      <c r="AM29" s="90">
        <f t="shared" si="15"/>
        <v>5351</v>
      </c>
      <c r="AN29" s="91">
        <f t="shared" si="1"/>
        <v>1926.4104104104103</v>
      </c>
      <c r="AO29" s="92">
        <f t="shared" si="2"/>
        <v>1881.6616433440972</v>
      </c>
      <c r="AP29" s="92">
        <f t="shared" si="3"/>
        <v>2275.0305218247458</v>
      </c>
      <c r="AQ29" s="92">
        <f t="shared" si="4"/>
        <v>2185.4416734863653</v>
      </c>
      <c r="AR29" s="92">
        <f t="shared" si="5"/>
        <v>2210.3200704868118</v>
      </c>
      <c r="AS29" s="92">
        <f t="shared" si="6"/>
        <v>1669.5193145056987</v>
      </c>
      <c r="AT29" s="92">
        <f t="shared" si="7"/>
        <v>2446.6459935419484</v>
      </c>
      <c r="AU29" s="92">
        <f t="shared" si="8"/>
        <v>2491.9407840178383</v>
      </c>
      <c r="AV29" s="92">
        <f t="shared" si="9"/>
        <v>2412.0131703852394</v>
      </c>
      <c r="AW29" s="92">
        <f t="shared" si="17"/>
        <v>3216.5116102402599</v>
      </c>
      <c r="AX29" s="92">
        <f t="shared" si="17"/>
        <v>3372.4312501785471</v>
      </c>
      <c r="AY29" s="93">
        <f t="shared" si="11"/>
        <v>2332.6639059616286</v>
      </c>
      <c r="AZ29" s="94">
        <f t="shared" si="12"/>
        <v>2448.2378320630391</v>
      </c>
      <c r="BA29" s="95">
        <f t="shared" si="13"/>
        <v>2412.0131703852394</v>
      </c>
      <c r="BB29" s="689">
        <f>SUM('Defect (Total)'!BB29,Planned!CE29,Reconductor!CE29,CTGS!CE29,'Substation 2025$'!CE29*$BL$1,Comms!CA29*$BL$2)</f>
        <v>5144.4666666666672</v>
      </c>
      <c r="BC29" s="689">
        <f>SUM('Defect (Total)'!BC29,Planned!CF29,Reconductor!CF29,CTGS!CF29,'Substation 2025$'!CF29*$BL$1,Comms!CB29*$BL$2)</f>
        <v>5047.0400862188553</v>
      </c>
      <c r="BD29" s="96">
        <f>SUM('Defect (Total)'!BD29,Planned!CG29,Reconductor!CG29,CTGS!CG29,'Substation 2025$'!CG29*$BL$1,Comms!CC29*$BL$2)</f>
        <v>5047.0400862188553</v>
      </c>
      <c r="BE29" s="96">
        <f>SUM('Defect (Total)'!BE29,Planned!CH29,Reconductor!CH29,CTGS!CH29,'Substation 2025$'!CH29*$BL$1,Comms!CD29*$BL$2)</f>
        <v>5941.5745180929098</v>
      </c>
      <c r="BF29" s="96">
        <f>SUM('Defect (Total)'!BF29,Planned!CI29,Reconductor!CI29,CTGS!CI29,'Substation 2025$'!CI29*$BL$1,Comms!CE29*$BL$2)</f>
        <v>5959.4230064027433</v>
      </c>
      <c r="BG29" s="96">
        <f>SUM('Defect (Total)'!BG29,Planned!CJ29,Reconductor!CJ29,CTGS!CJ29,'Substation 2025$'!CJ29*$BL$1,Comms!CF29*$BL$2)</f>
        <v>5971.321998609299</v>
      </c>
      <c r="BH29" s="96">
        <f>SUM('Defect (Total)'!BH29,Planned!CK29,Reconductor!CK29,CTGS!CK29,'Substation 2025$'!CK29*$BL$1,Comms!CG29*$BL$2)</f>
        <v>5983.2209908158547</v>
      </c>
      <c r="BI29" s="286">
        <f>SUM('Defect (Total)'!BI29,Planned!CL29,Reconductor!CL29,CTGS!CL29,'Substation 2025$'!CL29*$BL$1,Comms!CH29*$BL$2)</f>
        <v>5989.1704869191326</v>
      </c>
      <c r="BJ29" s="99">
        <f t="shared" si="16"/>
        <v>3055.3365694232998</v>
      </c>
      <c r="BK29" s="743"/>
      <c r="BL29" s="97"/>
      <c r="BM29" s="524"/>
      <c r="BN29" s="416">
        <f>'Distribution Summary'!CI29+'Substation 2025$'!CT29</f>
        <v>17953400.318233445</v>
      </c>
      <c r="BO29" s="97">
        <f>'Distribution Summary'!CJ29+'Substation 2025$'!CU29</f>
        <v>18105437.886699732</v>
      </c>
      <c r="BP29" s="97">
        <f>'Distribution Summary'!CK29+'Substation 2025$'!CV29</f>
        <v>18233899.884518053</v>
      </c>
      <c r="BQ29" s="97">
        <f>'Distribution Summary'!CL29+'Substation 2025$'!CW29</f>
        <v>18378204.340792723</v>
      </c>
      <c r="BR29" s="98">
        <f>'Distribution Summary'!CM29+'Substation 2025$'!CX29</f>
        <v>18514694.494492136</v>
      </c>
    </row>
    <row r="30" spans="1:70" x14ac:dyDescent="0.25">
      <c r="A30" s="81" t="s">
        <v>68</v>
      </c>
      <c r="B30" s="82" t="s">
        <v>73</v>
      </c>
      <c r="C30" s="83" t="s">
        <v>307</v>
      </c>
      <c r="D30" s="84">
        <f>SUM('Defect (Total)'!D30,Planned!D30,Reconductor!D30,CTGS!D30)</f>
        <v>1391384</v>
      </c>
      <c r="E30" s="85">
        <f>SUM('Defect (Total)'!E30,Planned!E30,Reconductor!E30,CTGS!E30)</f>
        <v>2375295.9999999995</v>
      </c>
      <c r="F30" s="85">
        <f>SUM('Defect (Total)'!F30,Planned!F30,Reconductor!F30,CTGS!F30)</f>
        <v>3261221</v>
      </c>
      <c r="G30" s="85">
        <f>SUM('Defect (Total)'!G30,Planned!G30,Reconductor!G30,CTGS!G30)</f>
        <v>1109684</v>
      </c>
      <c r="H30" s="85">
        <f>SUM('Defect (Total)'!H30,Planned!H30,Reconductor!H30,CTGS!H30)</f>
        <v>2475247</v>
      </c>
      <c r="I30" s="85">
        <f>SUM('Defect (Total)'!I30,Planned!I30,Reconductor!I30,CTGS!I30)</f>
        <v>133480.1248454054</v>
      </c>
      <c r="J30" s="85">
        <f>SUM('Defect (Total)'!J30,Planned!J30,Reconductor!J30,CTGS!J30)</f>
        <v>3535556.8352875714</v>
      </c>
      <c r="K30" s="85">
        <f>SUM('Defect (Total)'!K30,Planned!K30,Reconductor!K30,CTGS!K30)</f>
        <v>6067191.2235127445</v>
      </c>
      <c r="L30" s="85">
        <f>SUM('Defect (Total)'!L30,Planned!L30,Reconductor!L30,CTGS!L30)</f>
        <v>5276295.240270461</v>
      </c>
      <c r="M30" s="85">
        <f>SUM('Defect (Total)'!M30,Planned!M30,Reconductor!M30,CTGS!M30)</f>
        <v>6595458.5023778966</v>
      </c>
      <c r="N30" s="85">
        <f>SUM('Defect (Total)'!N30,Planned!N30,Reconductor!N30,CTGS!N30)</f>
        <v>8827868.3872600347</v>
      </c>
      <c r="O30" s="560">
        <f>SUM('Defect (Total)'!O30,Planned!O30,Reconductor!O30,CTGS!O30)</f>
        <v>1872046.3952429236</v>
      </c>
      <c r="P30" s="561">
        <f>SUM('Defect (Total)'!P30,Planned!P30,Reconductor!P30,CTGS!P30)</f>
        <v>3148290.769268916</v>
      </c>
      <c r="Q30" s="561">
        <f>SUM('Defect (Total)'!Q30,Planned!Q30,Reconductor!Q30,CTGS!Q30)</f>
        <v>4278740.6966327485</v>
      </c>
      <c r="R30" s="561">
        <f>SUM('Defect (Total)'!R30,Planned!R30,Reconductor!R30,CTGS!R30)</f>
        <v>1428292.8633962555</v>
      </c>
      <c r="S30" s="561">
        <f>SUM('Defect (Total)'!S30,Planned!S30,Reconductor!S30,CTGS!S30)</f>
        <v>3121085.4726497368</v>
      </c>
      <c r="T30" s="561">
        <f>SUM('Defect (Total)'!T30,Planned!T30,Reconductor!T30,CTGS!T30)</f>
        <v>165668.62929614616</v>
      </c>
      <c r="U30" s="561">
        <f>SUM('Defect (Total)'!U30,Planned!U30,Reconductor!U30,CTGS!U30)</f>
        <v>4403493.5190758901</v>
      </c>
      <c r="V30" s="561">
        <f>SUM('Defect (Total)'!V30,Planned!V30,Reconductor!V30,CTGS!V30)</f>
        <v>7276739.1220782734</v>
      </c>
      <c r="W30" s="561">
        <f>SUM('Defect (Total)'!W30,Planned!W30,Reconductor!W30,CTGS!W30)</f>
        <v>5961829.6864629211</v>
      </c>
      <c r="X30" s="561">
        <f>SUM('Defect (Total)'!X30,Planned!X30,Reconductor!X30,CTGS!X30)</f>
        <v>7014012.4069407806</v>
      </c>
      <c r="Y30" s="561">
        <f>SUM('Defect (Total)'!Y30,Planned!Y30,Reconductor!Y30,CTGS!Y30)</f>
        <v>8867810.8155014496</v>
      </c>
      <c r="Z30" s="86">
        <f>SUM('Defect (Total)'!Z30,Planned!Z30,Reconductor!Z30,CTGS!Z30)</f>
        <v>1409</v>
      </c>
      <c r="AA30" s="87">
        <f>SUM('Defect (Total)'!AA30,Planned!AA30,Reconductor!AA30,CTGS!AA30)</f>
        <v>1517</v>
      </c>
      <c r="AB30" s="87">
        <f>SUM('Defect (Total)'!AB30,Planned!AB30,Reconductor!AB30,CTGS!AB30)</f>
        <v>1301</v>
      </c>
      <c r="AC30" s="87">
        <f>SUM('Defect (Total)'!AC30,Planned!AC30,Reconductor!AC30,CTGS!AC30)</f>
        <v>969</v>
      </c>
      <c r="AD30" s="87">
        <f>SUM('Defect (Total)'!AD30,Planned!AD30,Reconductor!AD30,CTGS!AD30)</f>
        <v>1406</v>
      </c>
      <c r="AE30" s="87">
        <f>SUM('Defect (Total)'!AE30,Planned!AE30,Reconductor!AE30,CTGS!AE30)</f>
        <v>13</v>
      </c>
      <c r="AF30" s="87">
        <f>SUM('Defect (Total)'!AF30,Planned!AF30,Reconductor!AF30,CTGS!AF30)</f>
        <v>1296</v>
      </c>
      <c r="AG30" s="87">
        <f>SUM('Defect (Total)'!AG30,Planned!AG30,Reconductor!AG30,CTGS!AG30)</f>
        <v>1561</v>
      </c>
      <c r="AH30" s="87">
        <f>SUM('Defect (Total)'!AH30,Planned!AH30,Reconductor!AH30,CTGS!AH30)</f>
        <v>1705</v>
      </c>
      <c r="AI30" s="87">
        <f>SUM('Defect (Total)'!AI30,Planned!AI30,Reconductor!AI30,CTGS!AI30)</f>
        <v>1333</v>
      </c>
      <c r="AJ30" s="87">
        <f>SUM('Defect (Total)'!AJ30,Planned!AJ30,Reconductor!AJ30,CTGS!AJ30)</f>
        <v>1282</v>
      </c>
      <c r="AK30" s="88">
        <f t="shared" si="14"/>
        <v>1196.2</v>
      </c>
      <c r="AL30" s="89">
        <f t="shared" si="0"/>
        <v>1520.6666666666667</v>
      </c>
      <c r="AM30" s="90">
        <f t="shared" si="15"/>
        <v>1705</v>
      </c>
      <c r="AN30" s="91">
        <f t="shared" si="1"/>
        <v>987.49751596877218</v>
      </c>
      <c r="AO30" s="92">
        <f t="shared" si="2"/>
        <v>1565.7851021753459</v>
      </c>
      <c r="AP30" s="92">
        <f t="shared" si="3"/>
        <v>2506.7033051498847</v>
      </c>
      <c r="AQ30" s="92">
        <f t="shared" si="4"/>
        <v>1145.1847265221879</v>
      </c>
      <c r="AR30" s="92">
        <f t="shared" si="5"/>
        <v>1760.4886201991465</v>
      </c>
      <c r="AS30" s="92">
        <f t="shared" si="6"/>
        <v>10267.701911185031</v>
      </c>
      <c r="AT30" s="92">
        <f t="shared" si="7"/>
        <v>2728.0531136478176</v>
      </c>
      <c r="AU30" s="92">
        <f t="shared" si="8"/>
        <v>3886.7336473496121</v>
      </c>
      <c r="AV30" s="92">
        <f t="shared" si="9"/>
        <v>3094.6013139416195</v>
      </c>
      <c r="AW30" s="92">
        <f t="shared" si="17"/>
        <v>4947.8308344920451</v>
      </c>
      <c r="AX30" s="92">
        <f t="shared" si="17"/>
        <v>6886.0127825741301</v>
      </c>
      <c r="AY30" s="93">
        <f t="shared" si="11"/>
        <v>2923.887380691554</v>
      </c>
      <c r="AZ30" s="94">
        <f t="shared" si="12"/>
        <v>3261.5176017252907</v>
      </c>
      <c r="BA30" s="95">
        <f t="shared" si="13"/>
        <v>3094.6013139416195</v>
      </c>
      <c r="BB30" s="689">
        <f>SUM('Defect (Total)'!BB30,Planned!CE30,Reconductor!CE30,CTGS!CE30,'Substation 2025$'!CE30*$BL$1,Comms!CA30*$BL$2)</f>
        <v>1411.8</v>
      </c>
      <c r="BC30" s="689">
        <f>SUM('Defect (Total)'!BC30,Planned!CF30,Reconductor!CF30,CTGS!CF30,'Substation 2025$'!CF30*$BL$1,Comms!CB30*$BL$2)</f>
        <v>1399.7495846121988</v>
      </c>
      <c r="BD30" s="96">
        <f>SUM('Defect (Total)'!BD30,Planned!CG30,Reconductor!CG30,CTGS!CG30,'Substation 2025$'!CG30*$BL$1,Comms!CC30*$BL$2)</f>
        <v>1399.7495846121988</v>
      </c>
      <c r="BE30" s="96">
        <f>SUM('Defect (Total)'!BE30,Planned!CH30,Reconductor!CH30,CTGS!CH30,'Substation 2025$'!CH30*$BL$1,Comms!CD30*$BL$2)</f>
        <v>4175.7842611203041</v>
      </c>
      <c r="BF30" s="96">
        <f>SUM('Defect (Total)'!BF30,Planned!CI30,Reconductor!CI30,CTGS!CI30,'Substation 2025$'!CI30*$BL$1,Comms!CE30*$BL$2)</f>
        <v>4178.7423372453122</v>
      </c>
      <c r="BG30" s="96">
        <f>SUM('Defect (Total)'!BG30,Planned!CJ30,Reconductor!CJ30,CTGS!CJ30,'Substation 2025$'!CJ30*$BL$1,Comms!CF30*$BL$2)</f>
        <v>4180.7143879953182</v>
      </c>
      <c r="BH30" s="96">
        <f>SUM('Defect (Total)'!BH30,Planned!CK30,Reconductor!CK30,CTGS!CK30,'Substation 2025$'!CK30*$BL$1,Comms!CG30*$BL$2)</f>
        <v>4182.6864387453243</v>
      </c>
      <c r="BI30" s="286">
        <f>SUM('Defect (Total)'!BI30,Planned!CL30,Reconductor!CL30,CTGS!CL30,'Substation 2025$'!CL30*$BL$1,Comms!CH30*$BL$2)</f>
        <v>4183.6724641203264</v>
      </c>
      <c r="BJ30" s="99">
        <f t="shared" si="16"/>
        <v>5101.5347201122604</v>
      </c>
      <c r="BK30" s="743"/>
      <c r="BL30" s="97"/>
      <c r="BM30" s="524"/>
      <c r="BN30" s="416">
        <f>'Distribution Summary'!CI30+'Substation 2025$'!CT30</f>
        <v>21031341.725957192</v>
      </c>
      <c r="BO30" s="97">
        <f>'Distribution Summary'!CJ30+'Substation 2025$'!CU30</f>
        <v>21185163.040550333</v>
      </c>
      <c r="BP30" s="97">
        <f>'Distribution Summary'!CK30+'Substation 2025$'!CV30</f>
        <v>21319230.342303697</v>
      </c>
      <c r="BQ30" s="97">
        <f>'Distribution Summary'!CL30+'Substation 2025$'!CW30</f>
        <v>21471623.183824837</v>
      </c>
      <c r="BR30" s="98">
        <f>'Distribution Summary'!CM30+'Substation 2025$'!CX30</f>
        <v>21622879.248147957</v>
      </c>
    </row>
    <row r="31" spans="1:70" x14ac:dyDescent="0.25">
      <c r="A31" s="81" t="s">
        <v>68</v>
      </c>
      <c r="B31" s="82" t="s">
        <v>75</v>
      </c>
      <c r="C31" s="83" t="s">
        <v>76</v>
      </c>
      <c r="D31" s="84">
        <f>SUM('Defect (Total)'!D31,Planned!D31,Reconductor!D31,CTGS!D31)</f>
        <v>-670</v>
      </c>
      <c r="E31" s="85">
        <f>SUM('Defect (Total)'!E31,Planned!E31,Reconductor!E31,CTGS!E31)</f>
        <v>4539143</v>
      </c>
      <c r="F31" s="85">
        <f>SUM('Defect (Total)'!F31,Planned!F31,Reconductor!F31,CTGS!F31)</f>
        <v>188496</v>
      </c>
      <c r="G31" s="85">
        <f>SUM('Defect (Total)'!G31,Planned!G31,Reconductor!G31,CTGS!G31)</f>
        <v>40244</v>
      </c>
      <c r="H31" s="85">
        <f>SUM('Defect (Total)'!H31,Planned!H31,Reconductor!H31,CTGS!H31)</f>
        <v>8294</v>
      </c>
      <c r="I31" s="85">
        <f>SUM('Defect (Total)'!I31,Planned!I31,Reconductor!I31,CTGS!I31)</f>
        <v>0</v>
      </c>
      <c r="J31" s="85">
        <f>SUM('Defect (Total)'!J31,Planned!J31,Reconductor!J31,CTGS!J31)</f>
        <v>27788.138474576001</v>
      </c>
      <c r="K31" s="85">
        <f>SUM('Defect (Total)'!K31,Planned!K31,Reconductor!K31,CTGS!K31)</f>
        <v>87227.337855171994</v>
      </c>
      <c r="L31" s="85">
        <f>SUM('Defect (Total)'!L31,Planned!L31,Reconductor!L31,CTGS!L31)</f>
        <v>0</v>
      </c>
      <c r="M31" s="85">
        <f>SUM('Defect (Total)'!M31,Planned!M31,Reconductor!M31,CTGS!M31)</f>
        <v>315932.54908647679</v>
      </c>
      <c r="N31" s="85">
        <f>SUM('Defect (Total)'!N31,Planned!N31,Reconductor!N31,CTGS!N31)</f>
        <v>668258.37482574454</v>
      </c>
      <c r="O31" s="560">
        <f>SUM('Defect (Total)'!O31,Planned!O31,Reconductor!O31,CTGS!O31)</f>
        <v>-901.45573386840647</v>
      </c>
      <c r="P31" s="561">
        <f>SUM('Defect (Total)'!P31,Planned!P31,Reconductor!P31,CTGS!P31)</f>
        <v>6016320.4953368418</v>
      </c>
      <c r="Q31" s="561">
        <f>SUM('Defect (Total)'!Q31,Planned!Q31,Reconductor!Q31,CTGS!Q31)</f>
        <v>247307.83542497933</v>
      </c>
      <c r="R31" s="561">
        <f>SUM('Defect (Total)'!R31,Planned!R31,Reconductor!R31,CTGS!R31)</f>
        <v>51798.726479357094</v>
      </c>
      <c r="S31" s="561">
        <f>SUM('Defect (Total)'!S31,Planned!S31,Reconductor!S31,CTGS!S31)</f>
        <v>10458.060512812222</v>
      </c>
      <c r="T31" s="561">
        <f>SUM('Defect (Total)'!T31,Planned!T31,Reconductor!T31,CTGS!T31)</f>
        <v>0</v>
      </c>
      <c r="U31" s="561">
        <f>SUM('Defect (Total)'!U31,Planned!U31,Reconductor!U31,CTGS!U31)</f>
        <v>34609.79228467869</v>
      </c>
      <c r="V31" s="561">
        <f>SUM('Defect (Total)'!V31,Planned!V31,Reconductor!V31,CTGS!V31)</f>
        <v>104616.87434963968</v>
      </c>
      <c r="W31" s="561">
        <f>SUM('Defect (Total)'!W31,Planned!W31,Reconductor!W31,CTGS!W31)</f>
        <v>0</v>
      </c>
      <c r="X31" s="561">
        <f>SUM('Defect (Total)'!X31,Planned!X31,Reconductor!X31,CTGS!X31)</f>
        <v>335981.92123414087</v>
      </c>
      <c r="Y31" s="561">
        <f>SUM('Defect (Total)'!Y31,Planned!Y31,Reconductor!Y31,CTGS!Y31)</f>
        <v>670983.87075147906</v>
      </c>
      <c r="Z31" s="86">
        <f>SUM('Defect (Total)'!Z31,Planned!Z31,Reconductor!Z31,CTGS!Z31)</f>
        <v>-1</v>
      </c>
      <c r="AA31" s="87">
        <f>SUM('Defect (Total)'!AA31,Planned!AA31,Reconductor!AA31,CTGS!AA31)</f>
        <v>829</v>
      </c>
      <c r="AB31" s="87">
        <f>SUM('Defect (Total)'!AB31,Planned!AB31,Reconductor!AB31,CTGS!AB31)</f>
        <v>81</v>
      </c>
      <c r="AC31" s="87">
        <f>SUM('Defect (Total)'!AC31,Planned!AC31,Reconductor!AC31,CTGS!AC31)</f>
        <v>5</v>
      </c>
      <c r="AD31" s="87">
        <f>SUM('Defect (Total)'!AD31,Planned!AD31,Reconductor!AD31,CTGS!AD31)</f>
        <v>1</v>
      </c>
      <c r="AE31" s="87">
        <f>SUM('Defect (Total)'!AE31,Planned!AE31,Reconductor!AE31,CTGS!AE31)</f>
        <v>0</v>
      </c>
      <c r="AF31" s="87">
        <f>SUM('Defect (Total)'!AF31,Planned!AF31,Reconductor!AF31,CTGS!AF31)</f>
        <v>14</v>
      </c>
      <c r="AG31" s="87">
        <f>SUM('Defect (Total)'!AG31,Planned!AG31,Reconductor!AG31,CTGS!AG31)</f>
        <v>9</v>
      </c>
      <c r="AH31" s="87">
        <f>SUM('Defect (Total)'!AH31,Planned!AH31,Reconductor!AH31,CTGS!AH31)</f>
        <v>0</v>
      </c>
      <c r="AI31" s="87">
        <f>SUM('Defect (Total)'!AI31,Planned!AI31,Reconductor!AI31,CTGS!AI31)</f>
        <v>49</v>
      </c>
      <c r="AJ31" s="87">
        <f>SUM('Defect (Total)'!AJ31,Planned!AJ31,Reconductor!AJ31,CTGS!AJ31)</f>
        <v>79</v>
      </c>
      <c r="AK31" s="88">
        <f t="shared" si="14"/>
        <v>4.8</v>
      </c>
      <c r="AL31" s="89">
        <f t="shared" si="0"/>
        <v>7.666666666666667</v>
      </c>
      <c r="AM31" s="90">
        <f t="shared" si="15"/>
        <v>0</v>
      </c>
      <c r="AN31" s="91">
        <f t="shared" si="1"/>
        <v>670</v>
      </c>
      <c r="AO31" s="92">
        <f t="shared" si="2"/>
        <v>5475.443908323281</v>
      </c>
      <c r="AP31" s="92">
        <f t="shared" si="3"/>
        <v>2327.1111111111113</v>
      </c>
      <c r="AQ31" s="92">
        <f t="shared" si="4"/>
        <v>8048.8</v>
      </c>
      <c r="AR31" s="92">
        <f t="shared" si="5"/>
        <v>8294</v>
      </c>
      <c r="AS31" s="92" t="str">
        <f t="shared" si="6"/>
        <v/>
      </c>
      <c r="AT31" s="92">
        <f t="shared" si="7"/>
        <v>1984.8670338982859</v>
      </c>
      <c r="AU31" s="92">
        <f t="shared" si="8"/>
        <v>9691.9264283524444</v>
      </c>
      <c r="AV31" s="92" t="str">
        <f t="shared" si="9"/>
        <v/>
      </c>
      <c r="AW31" s="92">
        <f t="shared" si="17"/>
        <v>6447.6030425811587</v>
      </c>
      <c r="AX31" s="92">
        <f t="shared" si="17"/>
        <v>8458.9667699461334</v>
      </c>
      <c r="AY31" s="93">
        <f t="shared" si="11"/>
        <v>5137.8948470728328</v>
      </c>
      <c r="AZ31" s="94">
        <f t="shared" si="12"/>
        <v>5000.6728839020871</v>
      </c>
      <c r="BA31" s="95" t="str">
        <f t="shared" si="13"/>
        <v/>
      </c>
      <c r="BB31" s="689">
        <f>SUM('Defect (Total)'!BB31,Planned!CE31,Reconductor!CE31,CTGS!CE31,'Substation 2025$'!CE31*$BL$1,Comms!CA31*$BL$2)</f>
        <v>19.533333333333331</v>
      </c>
      <c r="BC31" s="689">
        <f>SUM('Defect (Total)'!BC31,Planned!CF31,Reconductor!CF31,CTGS!CF31,'Substation 2025$'!CF31*$BL$1,Comms!CB31*$BL$2)</f>
        <v>19.533333333333331</v>
      </c>
      <c r="BD31" s="96">
        <f>SUM('Defect (Total)'!BD31,Planned!CG31,Reconductor!CG31,CTGS!CG31,'Substation 2025$'!CG31*$BL$1,Comms!CC31*$BL$2)</f>
        <v>19.533333333333331</v>
      </c>
      <c r="BE31" s="96">
        <f>SUM('Defect (Total)'!BE31,Planned!CH31,Reconductor!CH31,CTGS!CH31,'Substation 2025$'!CH31*$BL$1,Comms!CD31*$BL$2)</f>
        <v>21.278019904533334</v>
      </c>
      <c r="BF31" s="96">
        <f>SUM('Defect (Total)'!BF31,Planned!CI31,Reconductor!CI31,CTGS!CI31,'Substation 2025$'!CI31*$BL$1,Comms!CE31*$BL$2)</f>
        <v>21.278019904533334</v>
      </c>
      <c r="BG31" s="96">
        <f>SUM('Defect (Total)'!BG31,Planned!CJ31,Reconductor!CJ31,CTGS!CJ31,'Substation 2025$'!CJ31*$BL$1,Comms!CF31*$BL$2)</f>
        <v>21.278019904533334</v>
      </c>
      <c r="BH31" s="96">
        <f>SUM('Defect (Total)'!BH31,Planned!CK31,Reconductor!CK31,CTGS!CK31,'Substation 2025$'!CK31*$BL$1,Comms!CG31*$BL$2)</f>
        <v>21.278019904533334</v>
      </c>
      <c r="BI31" s="286">
        <f>SUM('Defect (Total)'!BI31,Planned!CL31,Reconductor!CL31,CTGS!CL31,'Substation 2025$'!CL31*$BL$1,Comms!CH31*$BL$2)</f>
        <v>21.278019904533334</v>
      </c>
      <c r="BJ31" s="99">
        <f t="shared" si="16"/>
        <v>7931.1737869073195</v>
      </c>
      <c r="BK31" s="743"/>
      <c r="BL31" s="97"/>
      <c r="BM31" s="524"/>
      <c r="BN31" s="416">
        <f>'Distribution Summary'!CI31+'Substation 2025$'!CT31</f>
        <v>166669.73367412254</v>
      </c>
      <c r="BO31" s="97">
        <f>'Distribution Summary'!CJ31+'Substation 2025$'!CU31</f>
        <v>167730.43389171085</v>
      </c>
      <c r="BP31" s="97">
        <f>'Distribution Summary'!CK31+'Substation 2025$'!CV31</f>
        <v>168685.85308509605</v>
      </c>
      <c r="BQ31" s="97">
        <f>'Distribution Summary'!CL31+'Substation 2025$'!CW31</f>
        <v>169784.98019904949</v>
      </c>
      <c r="BR31" s="98">
        <f>'Distribution Summary'!CM31+'Substation 2025$'!CX31</f>
        <v>170927.3676706558</v>
      </c>
    </row>
    <row r="32" spans="1:70" x14ac:dyDescent="0.25">
      <c r="A32" s="81" t="s">
        <v>68</v>
      </c>
      <c r="B32" s="82" t="s">
        <v>77</v>
      </c>
      <c r="C32" s="83" t="s">
        <v>78</v>
      </c>
      <c r="D32" s="84">
        <f>SUM('Defect (Total)'!D32,Planned!D32,Reconductor!D32,CTGS!D32)</f>
        <v>0</v>
      </c>
      <c r="E32" s="85">
        <f>SUM('Defect (Total)'!E32,Planned!E32,Reconductor!E32,CTGS!E32)</f>
        <v>0</v>
      </c>
      <c r="F32" s="85">
        <f>SUM('Defect (Total)'!F32,Planned!F32,Reconductor!F32,CTGS!F32)</f>
        <v>0</v>
      </c>
      <c r="G32" s="85">
        <f>SUM('Defect (Total)'!G32,Planned!G32,Reconductor!G32,CTGS!G32)</f>
        <v>0</v>
      </c>
      <c r="H32" s="85">
        <f>SUM('Defect (Total)'!H32,Planned!H32,Reconductor!H32,CTGS!H32)</f>
        <v>0</v>
      </c>
      <c r="I32" s="85">
        <f>SUM('Defect (Total)'!I32,Planned!I32,Reconductor!I32,CTGS!I32)</f>
        <v>0</v>
      </c>
      <c r="J32" s="85">
        <f>SUM('Defect (Total)'!J32,Planned!J32,Reconductor!J32,CTGS!J32)</f>
        <v>0</v>
      </c>
      <c r="K32" s="85">
        <f>SUM('Defect (Total)'!K32,Planned!K32,Reconductor!K32,CTGS!K32)</f>
        <v>0</v>
      </c>
      <c r="L32" s="85">
        <f>SUM('Defect (Total)'!L32,Planned!L32,Reconductor!L32,CTGS!L32)</f>
        <v>0</v>
      </c>
      <c r="M32" s="85">
        <f>SUM('Defect (Total)'!M32,Planned!M32,Reconductor!M32,CTGS!M32)</f>
        <v>0</v>
      </c>
      <c r="N32" s="85">
        <f>SUM('Defect (Total)'!N32,Planned!N32,Reconductor!N32,CTGS!N32)</f>
        <v>0</v>
      </c>
      <c r="O32" s="560">
        <f>SUM('Defect (Total)'!O32,Planned!O32,Reconductor!O32,CTGS!O32)</f>
        <v>0</v>
      </c>
      <c r="P32" s="561">
        <f>SUM('Defect (Total)'!P32,Planned!P32,Reconductor!P32,CTGS!P32)</f>
        <v>0</v>
      </c>
      <c r="Q32" s="561">
        <f>SUM('Defect (Total)'!Q32,Planned!Q32,Reconductor!Q32,CTGS!Q32)</f>
        <v>0</v>
      </c>
      <c r="R32" s="561">
        <f>SUM('Defect (Total)'!R32,Planned!R32,Reconductor!R32,CTGS!R32)</f>
        <v>0</v>
      </c>
      <c r="S32" s="561">
        <f>SUM('Defect (Total)'!S32,Planned!S32,Reconductor!S32,CTGS!S32)</f>
        <v>0</v>
      </c>
      <c r="T32" s="561">
        <f>SUM('Defect (Total)'!T32,Planned!T32,Reconductor!T32,CTGS!T32)</f>
        <v>0</v>
      </c>
      <c r="U32" s="561">
        <f>SUM('Defect (Total)'!U32,Planned!U32,Reconductor!U32,CTGS!U32)</f>
        <v>0</v>
      </c>
      <c r="V32" s="561">
        <f>SUM('Defect (Total)'!V32,Planned!V32,Reconductor!V32,CTGS!V32)</f>
        <v>0</v>
      </c>
      <c r="W32" s="561">
        <f>SUM('Defect (Total)'!W32,Planned!W32,Reconductor!W32,CTGS!W32)</f>
        <v>0</v>
      </c>
      <c r="X32" s="561">
        <f>SUM('Defect (Total)'!X32,Planned!X32,Reconductor!X32,CTGS!X32)</f>
        <v>0</v>
      </c>
      <c r="Y32" s="561">
        <f>SUM('Defect (Total)'!Y32,Planned!Y32,Reconductor!Y32,CTGS!Y32)</f>
        <v>0</v>
      </c>
      <c r="Z32" s="86">
        <f>SUM('Defect (Total)'!Z32,Planned!Z32,Reconductor!Z32,CTGS!Z32)</f>
        <v>0</v>
      </c>
      <c r="AA32" s="87">
        <f>SUM('Defect (Total)'!AA32,Planned!AA32,Reconductor!AA32,CTGS!AA32)</f>
        <v>0</v>
      </c>
      <c r="AB32" s="87">
        <f>SUM('Defect (Total)'!AB32,Planned!AB32,Reconductor!AB32,CTGS!AB32)</f>
        <v>0</v>
      </c>
      <c r="AC32" s="87">
        <f>SUM('Defect (Total)'!AC32,Planned!AC32,Reconductor!AC32,CTGS!AC32)</f>
        <v>0</v>
      </c>
      <c r="AD32" s="87">
        <f>SUM('Defect (Total)'!AD32,Planned!AD32,Reconductor!AD32,CTGS!AD32)</f>
        <v>0</v>
      </c>
      <c r="AE32" s="87">
        <f>SUM('Defect (Total)'!AE32,Planned!AE32,Reconductor!AE32,CTGS!AE32)</f>
        <v>0</v>
      </c>
      <c r="AF32" s="87">
        <f>SUM('Defect (Total)'!AF32,Planned!AF32,Reconductor!AF32,CTGS!AF32)</f>
        <v>0</v>
      </c>
      <c r="AG32" s="87">
        <f>SUM('Defect (Total)'!AG32,Planned!AG32,Reconductor!AG32,CTGS!AG32)</f>
        <v>0</v>
      </c>
      <c r="AH32" s="87">
        <f>SUM('Defect (Total)'!AH32,Planned!AH32,Reconductor!AH32,CTGS!AH32)</f>
        <v>0</v>
      </c>
      <c r="AI32" s="87">
        <f>SUM('Defect (Total)'!AI32,Planned!AI32,Reconductor!AI32,CTGS!AI32)</f>
        <v>0</v>
      </c>
      <c r="AJ32" s="87">
        <f>SUM('Defect (Total)'!AJ32,Planned!AJ32,Reconductor!AJ32,CTGS!AJ32)</f>
        <v>0</v>
      </c>
      <c r="AK32" s="88">
        <f t="shared" si="14"/>
        <v>0</v>
      </c>
      <c r="AL32" s="89">
        <f t="shared" si="0"/>
        <v>0</v>
      </c>
      <c r="AM32" s="90">
        <f t="shared" si="15"/>
        <v>0</v>
      </c>
      <c r="AN32" s="91" t="str">
        <f t="shared" si="1"/>
        <v/>
      </c>
      <c r="AO32" s="92" t="str">
        <f t="shared" si="2"/>
        <v/>
      </c>
      <c r="AP32" s="92" t="str">
        <f t="shared" si="3"/>
        <v/>
      </c>
      <c r="AQ32" s="92" t="str">
        <f t="shared" si="4"/>
        <v/>
      </c>
      <c r="AR32" s="92" t="str">
        <f t="shared" si="5"/>
        <v/>
      </c>
      <c r="AS32" s="92" t="str">
        <f t="shared" si="6"/>
        <v/>
      </c>
      <c r="AT32" s="92" t="str">
        <f t="shared" si="7"/>
        <v/>
      </c>
      <c r="AU32" s="92" t="str">
        <f t="shared" si="8"/>
        <v/>
      </c>
      <c r="AV32" s="92" t="str">
        <f t="shared" si="9"/>
        <v/>
      </c>
      <c r="AW32" s="92" t="str">
        <f t="shared" si="17"/>
        <v/>
      </c>
      <c r="AX32" s="92" t="str">
        <f t="shared" si="17"/>
        <v/>
      </c>
      <c r="AY32" s="93" t="str">
        <f t="shared" si="11"/>
        <v/>
      </c>
      <c r="AZ32" s="94" t="str">
        <f t="shared" si="12"/>
        <v/>
      </c>
      <c r="BA32" s="95" t="str">
        <f t="shared" si="13"/>
        <v/>
      </c>
      <c r="BB32" s="689">
        <f>SUM('Defect (Total)'!BB32,Planned!CE32,Reconductor!CE32,CTGS!CE32,'Substation 2025$'!CE32*$BL$1,Comms!CA32*$BL$2)</f>
        <v>0</v>
      </c>
      <c r="BC32" s="689">
        <f>SUM('Defect (Total)'!BC32,Planned!CF32,Reconductor!CF32,CTGS!CF32,'Substation 2025$'!CF32*$BL$1,Comms!CB32*$BL$2)</f>
        <v>0</v>
      </c>
      <c r="BD32" s="96">
        <f>SUM('Defect (Total)'!BD32,Planned!CG32,Reconductor!CG32,CTGS!CG32,'Substation 2025$'!CG32*$BL$1,Comms!CC32*$BL$2)</f>
        <v>0</v>
      </c>
      <c r="BE32" s="96">
        <f>SUM('Defect (Total)'!BE32,Planned!CH32,Reconductor!CH32,CTGS!CH32,'Substation 2025$'!CH32*$BL$1,Comms!CD32*$BL$2)</f>
        <v>0</v>
      </c>
      <c r="BF32" s="96">
        <f>SUM('Defect (Total)'!BF32,Planned!CI32,Reconductor!CI32,CTGS!CI32,'Substation 2025$'!CI32*$BL$1,Comms!CE32*$BL$2)</f>
        <v>0</v>
      </c>
      <c r="BG32" s="96">
        <f>SUM('Defect (Total)'!BG32,Planned!CJ32,Reconductor!CJ32,CTGS!CJ32,'Substation 2025$'!CJ32*$BL$1,Comms!CF32*$BL$2)</f>
        <v>0</v>
      </c>
      <c r="BH32" s="96">
        <f>SUM('Defect (Total)'!BH32,Planned!CK32,Reconductor!CK32,CTGS!CK32,'Substation 2025$'!CK32*$BL$1,Comms!CG32*$BL$2)</f>
        <v>0</v>
      </c>
      <c r="BI32" s="286">
        <f>SUM('Defect (Total)'!BI32,Planned!CL32,Reconductor!CL32,CTGS!CL32,'Substation 2025$'!CL32*$BL$1,Comms!CH32*$BL$2)</f>
        <v>0</v>
      </c>
      <c r="BJ32" s="99" t="str">
        <f t="shared" si="16"/>
        <v/>
      </c>
      <c r="BK32" s="743"/>
      <c r="BL32" s="97"/>
      <c r="BM32" s="524"/>
      <c r="BN32" s="416">
        <f>'Distribution Summary'!CI32+'Substation 2025$'!CT32</f>
        <v>0</v>
      </c>
      <c r="BO32" s="97">
        <f>'Distribution Summary'!CJ32+'Substation 2025$'!CU32</f>
        <v>0</v>
      </c>
      <c r="BP32" s="97">
        <f>'Distribution Summary'!CK32+'Substation 2025$'!CV32</f>
        <v>0</v>
      </c>
      <c r="BQ32" s="97">
        <f>'Distribution Summary'!CL32+'Substation 2025$'!CW32</f>
        <v>0</v>
      </c>
      <c r="BR32" s="98">
        <f>'Distribution Summary'!CM32+'Substation 2025$'!CX32</f>
        <v>0</v>
      </c>
    </row>
    <row r="33" spans="1:70" ht="15.75" thickBot="1" x14ac:dyDescent="0.3">
      <c r="A33" s="100" t="s">
        <v>68</v>
      </c>
      <c r="B33" s="101" t="s">
        <v>308</v>
      </c>
      <c r="C33" s="102" t="s">
        <v>309</v>
      </c>
      <c r="D33" s="103">
        <f>SUM('Defect (Total)'!D33,Planned!D33,Reconductor!D33,CTGS!D33)</f>
        <v>0</v>
      </c>
      <c r="E33" s="104">
        <f>SUM('Defect (Total)'!E33,Planned!E33,Reconductor!E33,CTGS!E33)</f>
        <v>0</v>
      </c>
      <c r="F33" s="104">
        <f>SUM('Defect (Total)'!F33,Planned!F33,Reconductor!F33,CTGS!F33)</f>
        <v>0</v>
      </c>
      <c r="G33" s="104">
        <f>SUM('Defect (Total)'!G33,Planned!G33,Reconductor!G33,CTGS!G33)</f>
        <v>0</v>
      </c>
      <c r="H33" s="104">
        <f>SUM('Defect (Total)'!H33,Planned!H33,Reconductor!H33,CTGS!H33)</f>
        <v>0</v>
      </c>
      <c r="I33" s="104">
        <f>SUM('Defect (Total)'!I33,Planned!I33,Reconductor!I33,CTGS!I33)</f>
        <v>0</v>
      </c>
      <c r="J33" s="104">
        <f>SUM('Defect (Total)'!J33,Planned!J33,Reconductor!J33,CTGS!J33)</f>
        <v>0</v>
      </c>
      <c r="K33" s="104">
        <f>SUM('Defect (Total)'!K33,Planned!K33,Reconductor!K33,CTGS!K33)</f>
        <v>0</v>
      </c>
      <c r="L33" s="104">
        <f>SUM('Defect (Total)'!L33,Planned!L33,Reconductor!L33,CTGS!L33)</f>
        <v>0</v>
      </c>
      <c r="M33" s="104">
        <f>SUM('Defect (Total)'!M33,Planned!M33,Reconductor!M33,CTGS!M33)</f>
        <v>0</v>
      </c>
      <c r="N33" s="104">
        <f>SUM('Defect (Total)'!N33,Planned!N33,Reconductor!N33,CTGS!N33)</f>
        <v>0</v>
      </c>
      <c r="O33" s="563">
        <f>SUM('Defect (Total)'!O33,Planned!O33,Reconductor!O33,CTGS!O33)</f>
        <v>0</v>
      </c>
      <c r="P33" s="564">
        <f>SUM('Defect (Total)'!P33,Planned!P33,Reconductor!P33,CTGS!P33)</f>
        <v>0</v>
      </c>
      <c r="Q33" s="564">
        <f>SUM('Defect (Total)'!Q33,Planned!Q33,Reconductor!Q33,CTGS!Q33)</f>
        <v>0</v>
      </c>
      <c r="R33" s="564">
        <f>SUM('Defect (Total)'!R33,Planned!R33,Reconductor!R33,CTGS!R33)</f>
        <v>0</v>
      </c>
      <c r="S33" s="564">
        <f>SUM('Defect (Total)'!S33,Planned!S33,Reconductor!S33,CTGS!S33)</f>
        <v>0</v>
      </c>
      <c r="T33" s="564">
        <f>SUM('Defect (Total)'!T33,Planned!T33,Reconductor!T33,CTGS!T33)</f>
        <v>0</v>
      </c>
      <c r="U33" s="564">
        <f>SUM('Defect (Total)'!U33,Planned!U33,Reconductor!U33,CTGS!U33)</f>
        <v>0</v>
      </c>
      <c r="V33" s="564">
        <f>SUM('Defect (Total)'!V33,Planned!V33,Reconductor!V33,CTGS!V33)</f>
        <v>0</v>
      </c>
      <c r="W33" s="564">
        <f>SUM('Defect (Total)'!W33,Planned!W33,Reconductor!W33,CTGS!W33)</f>
        <v>0</v>
      </c>
      <c r="X33" s="564">
        <f>SUM('Defect (Total)'!X33,Planned!X33,Reconductor!X33,CTGS!X33)</f>
        <v>0</v>
      </c>
      <c r="Y33" s="564">
        <f>SUM('Defect (Total)'!Y33,Planned!Y33,Reconductor!Y33,CTGS!Y33)</f>
        <v>0</v>
      </c>
      <c r="Z33" s="105">
        <f>SUM('Defect (Total)'!Z33,Planned!Z33,Reconductor!Z33,CTGS!Z33)</f>
        <v>0</v>
      </c>
      <c r="AA33" s="106">
        <f>SUM('Defect (Total)'!AA33,Planned!AA33,Reconductor!AA33,CTGS!AA33)</f>
        <v>0</v>
      </c>
      <c r="AB33" s="106">
        <f>SUM('Defect (Total)'!AB33,Planned!AB33,Reconductor!AB33,CTGS!AB33)</f>
        <v>0</v>
      </c>
      <c r="AC33" s="106">
        <f>SUM('Defect (Total)'!AC33,Planned!AC33,Reconductor!AC33,CTGS!AC33)</f>
        <v>0</v>
      </c>
      <c r="AD33" s="106">
        <f>SUM('Defect (Total)'!AD33,Planned!AD33,Reconductor!AD33,CTGS!AD33)</f>
        <v>0</v>
      </c>
      <c r="AE33" s="106">
        <f>SUM('Defect (Total)'!AE33,Planned!AE33,Reconductor!AE33,CTGS!AE33)</f>
        <v>0</v>
      </c>
      <c r="AF33" s="106">
        <f>SUM('Defect (Total)'!AF33,Planned!AF33,Reconductor!AF33,CTGS!AF33)</f>
        <v>0</v>
      </c>
      <c r="AG33" s="106">
        <f>SUM('Defect (Total)'!AG33,Planned!AG33,Reconductor!AG33,CTGS!AG33)</f>
        <v>0</v>
      </c>
      <c r="AH33" s="106">
        <f>SUM('Defect (Total)'!AH33,Planned!AH33,Reconductor!AH33,CTGS!AH33)</f>
        <v>0</v>
      </c>
      <c r="AI33" s="106">
        <f>SUM('Defect (Total)'!AI33,Planned!AI33,Reconductor!AI33,CTGS!AI33)</f>
        <v>0</v>
      </c>
      <c r="AJ33" s="106">
        <f>SUM('Defect (Total)'!AJ33,Planned!AJ33,Reconductor!AJ33,CTGS!AJ33)</f>
        <v>0</v>
      </c>
      <c r="AK33" s="107">
        <f t="shared" si="14"/>
        <v>0</v>
      </c>
      <c r="AL33" s="108">
        <f t="shared" si="0"/>
        <v>0</v>
      </c>
      <c r="AM33" s="109">
        <f t="shared" si="15"/>
        <v>0</v>
      </c>
      <c r="AN33" s="110" t="str">
        <f t="shared" si="1"/>
        <v/>
      </c>
      <c r="AO33" s="111" t="str">
        <f t="shared" si="2"/>
        <v/>
      </c>
      <c r="AP33" s="111" t="str">
        <f t="shared" si="3"/>
        <v/>
      </c>
      <c r="AQ33" s="111" t="str">
        <f t="shared" si="4"/>
        <v/>
      </c>
      <c r="AR33" s="111" t="str">
        <f t="shared" si="5"/>
        <v/>
      </c>
      <c r="AS33" s="111" t="str">
        <f t="shared" si="6"/>
        <v/>
      </c>
      <c r="AT33" s="111" t="str">
        <f t="shared" si="7"/>
        <v/>
      </c>
      <c r="AU33" s="111" t="str">
        <f t="shared" si="8"/>
        <v/>
      </c>
      <c r="AV33" s="111" t="str">
        <f t="shared" si="9"/>
        <v/>
      </c>
      <c r="AW33" s="111" t="str">
        <f t="shared" si="17"/>
        <v/>
      </c>
      <c r="AX33" s="111" t="str">
        <f t="shared" si="17"/>
        <v/>
      </c>
      <c r="AY33" s="112" t="str">
        <f t="shared" si="11"/>
        <v/>
      </c>
      <c r="AZ33" s="113" t="str">
        <f t="shared" si="12"/>
        <v/>
      </c>
      <c r="BA33" s="114" t="str">
        <f t="shared" si="13"/>
        <v/>
      </c>
      <c r="BB33" s="690">
        <f>SUM('Defect (Total)'!BB33,Planned!CE33,Reconductor!CE33,CTGS!CE33,'Substation 2025$'!CE33*$BL$1,Comms!CA33*$BL$2)</f>
        <v>0</v>
      </c>
      <c r="BC33" s="690">
        <f>SUM('Defect (Total)'!BC33,Planned!CF33,Reconductor!CF33,CTGS!CF33,'Substation 2025$'!CF33*$BL$1,Comms!CB33*$BL$2)</f>
        <v>0</v>
      </c>
      <c r="BD33" s="115">
        <f>SUM('Defect (Total)'!BD33,Planned!CG33,Reconductor!CG33,CTGS!CG33,'Substation 2025$'!CG33*$BL$1,Comms!CC33*$BL$2)</f>
        <v>0</v>
      </c>
      <c r="BE33" s="115">
        <f>SUM('Defect (Total)'!BE33,Planned!CH33,Reconductor!CH33,CTGS!CH33,'Substation 2025$'!CH33*$BL$1,Comms!CD33*$BL$2)</f>
        <v>0</v>
      </c>
      <c r="BF33" s="115">
        <f>SUM('Defect (Total)'!BF33,Planned!CI33,Reconductor!CI33,CTGS!CI33,'Substation 2025$'!CI33*$BL$1,Comms!CE33*$BL$2)</f>
        <v>0</v>
      </c>
      <c r="BG33" s="115">
        <f>SUM('Defect (Total)'!BG33,Planned!CJ33,Reconductor!CJ33,CTGS!CJ33,'Substation 2025$'!CJ33*$BL$1,Comms!CF33*$BL$2)</f>
        <v>0</v>
      </c>
      <c r="BH33" s="115">
        <f>SUM('Defect (Total)'!BH33,Planned!CK33,Reconductor!CK33,CTGS!CK33,'Substation 2025$'!CK33*$BL$1,Comms!CG33*$BL$2)</f>
        <v>0</v>
      </c>
      <c r="BI33" s="287">
        <f>SUM('Defect (Total)'!BI33,Planned!CL33,Reconductor!CL33,CTGS!CL33,'Substation 2025$'!CL33*$BL$1,Comms!CH33*$BL$2)</f>
        <v>0</v>
      </c>
      <c r="BJ33" s="116" t="str">
        <f t="shared" si="16"/>
        <v/>
      </c>
      <c r="BK33" s="744"/>
      <c r="BL33" s="117"/>
      <c r="BM33" s="638"/>
      <c r="BN33" s="467">
        <f>'Distribution Summary'!CI33+'Substation 2025$'!CT33</f>
        <v>0</v>
      </c>
      <c r="BO33" s="117">
        <f>'Distribution Summary'!CJ33+'Substation 2025$'!CU33</f>
        <v>0</v>
      </c>
      <c r="BP33" s="117">
        <f>'Distribution Summary'!CK33+'Substation 2025$'!CV33</f>
        <v>0</v>
      </c>
      <c r="BQ33" s="117">
        <f>'Distribution Summary'!CL33+'Substation 2025$'!CW33</f>
        <v>0</v>
      </c>
      <c r="BR33" s="118">
        <f>'Distribution Summary'!CM33+'Substation 2025$'!CX33</f>
        <v>0</v>
      </c>
    </row>
    <row r="34" spans="1:70" x14ac:dyDescent="0.25">
      <c r="A34" s="63" t="s">
        <v>81</v>
      </c>
      <c r="B34" s="334" t="s">
        <v>79</v>
      </c>
      <c r="C34" s="65" t="s">
        <v>305</v>
      </c>
      <c r="D34" s="66">
        <f>SUM('Defect (Total)'!D34,Planned!D34,Reconductor!D34,CTGS!D34)</f>
        <v>3967444</v>
      </c>
      <c r="E34" s="67">
        <f>SUM('Defect (Total)'!E34,Planned!E34,Reconductor!E34,CTGS!E34)</f>
        <v>6027337</v>
      </c>
      <c r="F34" s="67">
        <f>SUM('Defect (Total)'!F34,Planned!F34,Reconductor!F34,CTGS!F34)</f>
        <v>7542258</v>
      </c>
      <c r="G34" s="67">
        <f>SUM('Defect (Total)'!G34,Planned!G34,Reconductor!G34,CTGS!G34)</f>
        <v>5393631.8508771956</v>
      </c>
      <c r="H34" s="67">
        <f>SUM('Defect (Total)'!H34,Planned!H34,Reconductor!H34,CTGS!H34)</f>
        <v>8714389.4937083907</v>
      </c>
      <c r="I34" s="67">
        <f>SUM('Defect (Total)'!I34,Planned!I34,Reconductor!I34,CTGS!I34)</f>
        <v>12840240.664226912</v>
      </c>
      <c r="J34" s="67">
        <f>SUM('Defect (Total)'!J34,Planned!J34,Reconductor!J34,CTGS!J34)</f>
        <v>18768696.3676074</v>
      </c>
      <c r="K34" s="67">
        <f>SUM('Defect (Total)'!K34,Planned!K34,Reconductor!K34,CTGS!K34)</f>
        <v>16524542.692370255</v>
      </c>
      <c r="L34" s="67">
        <f>SUM('Defect (Total)'!L34,Planned!L34,Reconductor!L34,CTGS!L34)</f>
        <v>21430571.062679317</v>
      </c>
      <c r="M34" s="67">
        <f>SUM('Defect (Total)'!M34,Planned!M34,Reconductor!M34,CTGS!M34)</f>
        <v>11549690.658025421</v>
      </c>
      <c r="N34" s="67">
        <f>SUM('Defect (Total)'!N34,Planned!N34,Reconductor!N34,CTGS!N34)</f>
        <v>14061301.039981874</v>
      </c>
      <c r="O34" s="557">
        <f>SUM('Defect (Total)'!O34,Planned!O34,Reconductor!O34,CTGS!O34)</f>
        <v>5338022.6008982174</v>
      </c>
      <c r="P34" s="558">
        <f>SUM('Defect (Total)'!P34,Planned!P34,Reconductor!P34,CTGS!P34)</f>
        <v>7988818.842103471</v>
      </c>
      <c r="Q34" s="558">
        <f>SUM('Defect (Total)'!Q34,Planned!Q34,Reconductor!Q34,CTGS!Q34)</f>
        <v>9895485.846897196</v>
      </c>
      <c r="R34" s="558">
        <f>SUM('Defect (Total)'!R34,Planned!R34,Reconductor!R34,CTGS!R34)</f>
        <v>6942233.897573215</v>
      </c>
      <c r="S34" s="558">
        <f>SUM('Defect (Total)'!S34,Planned!S34,Reconductor!S34,CTGS!S34)</f>
        <v>10988137.528022356</v>
      </c>
      <c r="T34" s="558">
        <f>SUM('Defect (Total)'!T34,Planned!T34,Reconductor!T34,CTGS!T34)</f>
        <v>15936642.800857645</v>
      </c>
      <c r="U34" s="558">
        <f>SUM('Defect (Total)'!U34,Planned!U34,Reconductor!U34,CTGS!U34)</f>
        <v>23376185.609964903</v>
      </c>
      <c r="V34" s="558">
        <f>SUM('Defect (Total)'!V34,Planned!V34,Reconductor!V34,CTGS!V34)</f>
        <v>19818855.522144683</v>
      </c>
      <c r="W34" s="558">
        <f>SUM('Defect (Total)'!W34,Planned!W34,Reconductor!W34,CTGS!W34)</f>
        <v>24214985.883311864</v>
      </c>
      <c r="X34" s="558">
        <f>SUM('Defect (Total)'!X34,Planned!X34,Reconductor!X34,CTGS!X34)</f>
        <v>12282644.723260932</v>
      </c>
      <c r="Y34" s="558">
        <f>SUM('Defect (Total)'!Y34,Planned!Y34,Reconductor!Y34,CTGS!Y34)</f>
        <v>14262628.35871698</v>
      </c>
      <c r="Z34" s="119">
        <f>SUM('Defect (Total)'!Z34,Planned!Z34,Reconductor!Z34,CTGS!Z34)</f>
        <v>48</v>
      </c>
      <c r="AA34" s="120">
        <f>SUM('Defect (Total)'!AA34,Planned!AA34,Reconductor!AA34,CTGS!AA34)</f>
        <v>102</v>
      </c>
      <c r="AB34" s="120">
        <f>SUM('Defect (Total)'!AB34,Planned!AB34,Reconductor!AB34,CTGS!AB34)</f>
        <v>66</v>
      </c>
      <c r="AC34" s="120">
        <f>SUM('Defect (Total)'!AC34,Planned!AC34,Reconductor!AC34,CTGS!AC34)</f>
        <v>107.41933333333333</v>
      </c>
      <c r="AD34" s="120">
        <f>SUM('Defect (Total)'!AD34,Planned!AD34,Reconductor!AD34,CTGS!AD34)</f>
        <v>135.75</v>
      </c>
      <c r="AE34" s="120">
        <f>SUM('Defect (Total)'!AE34,Planned!AE34,Reconductor!AE34,CTGS!AE34)</f>
        <v>172.93993920600008</v>
      </c>
      <c r="AF34" s="120">
        <f>SUM('Defect (Total)'!AF34,Planned!AF34,Reconductor!AF34,CTGS!AF34)</f>
        <v>245.85400008100001</v>
      </c>
      <c r="AG34" s="120">
        <f>SUM('Defect (Total)'!AG34,Planned!AG34,Reconductor!AG34,CTGS!AG34)</f>
        <v>311.3581666666658</v>
      </c>
      <c r="AH34" s="120">
        <f>SUM('Defect (Total)'!AH34,Planned!AH34,Reconductor!AH34,CTGS!AH34)</f>
        <v>284.10183223800016</v>
      </c>
      <c r="AI34" s="120">
        <f>SUM('Defect (Total)'!AI34,Planned!AI34,Reconductor!AI34,CTGS!AI34)</f>
        <v>97.198999728333234</v>
      </c>
      <c r="AJ34" s="120">
        <f>SUM('Defect (Total)'!AJ34,Planned!AJ34,Reconductor!AJ34,CTGS!AJ34)</f>
        <v>139.60883302899995</v>
      </c>
      <c r="AK34" s="121">
        <f t="shared" si="14"/>
        <v>230.00078763833318</v>
      </c>
      <c r="AL34" s="122">
        <f t="shared" si="0"/>
        <v>280.43799966188868</v>
      </c>
      <c r="AM34" s="123">
        <f t="shared" si="15"/>
        <v>284.10183223800016</v>
      </c>
      <c r="AN34" s="73">
        <f t="shared" si="1"/>
        <v>82655.083333333328</v>
      </c>
      <c r="AO34" s="74">
        <f t="shared" si="2"/>
        <v>59091.539215686273</v>
      </c>
      <c r="AP34" s="74">
        <f t="shared" si="3"/>
        <v>114276.63636363637</v>
      </c>
      <c r="AQ34" s="74">
        <f t="shared" si="4"/>
        <v>50210.997252609981</v>
      </c>
      <c r="AR34" s="74">
        <f t="shared" si="5"/>
        <v>64194.397743708221</v>
      </c>
      <c r="AS34" s="74">
        <f t="shared" si="6"/>
        <v>74246.820735446541</v>
      </c>
      <c r="AT34" s="74">
        <f t="shared" si="7"/>
        <v>76340.821631634186</v>
      </c>
      <c r="AU34" s="74">
        <f t="shared" si="8"/>
        <v>53072.456294557771</v>
      </c>
      <c r="AV34" s="74">
        <f t="shared" si="9"/>
        <v>75432.709792333611</v>
      </c>
      <c r="AW34" s="74">
        <f t="shared" si="17"/>
        <v>118825.20077682157</v>
      </c>
      <c r="AX34" s="74">
        <f t="shared" si="17"/>
        <v>100719.27925263166</v>
      </c>
      <c r="AY34" s="75">
        <f t="shared" si="11"/>
        <v>68067.975839875755</v>
      </c>
      <c r="AZ34" s="76">
        <f t="shared" si="12"/>
        <v>67422.876822501814</v>
      </c>
      <c r="BA34" s="77">
        <f t="shared" si="13"/>
        <v>75432.709792333611</v>
      </c>
      <c r="BB34" s="691">
        <f>SUM('Defect (Total)'!BB34,Planned!CE34,Reconductor!CE34,CTGS!CE34,'Substation 2025$'!CE34*$BL$1,Comms!CA34*$BL$2)</f>
        <v>204.07552715577756</v>
      </c>
      <c r="BC34" s="691">
        <f>SUM('Defect (Total)'!BC34,Planned!CF34,Reconductor!CF34,CTGS!CF34,'Substation 2025$'!CF34*$BL$1,Comms!CB34*$BL$2)</f>
        <v>260.6237401538794</v>
      </c>
      <c r="BD34" s="360">
        <f>SUM('Defect (Total)'!BD34,Planned!CG34,Reconductor!CG34,CTGS!CG34,'Substation 2025$'!CG34*$BL$1,Comms!CC34*$BL$2)</f>
        <v>260.6237401538794</v>
      </c>
      <c r="BE34" s="360">
        <f>SUM('Defect (Total)'!BE34,Planned!CH34,Reconductor!CH34,CTGS!CH34,'Substation 2025$'!CH34*$BL$1,Comms!CD34*$BL$2)</f>
        <v>331.67759136931437</v>
      </c>
      <c r="BF34" s="360">
        <f>SUM('Defect (Total)'!BF34,Planned!CI34,Reconductor!CI34,CTGS!CI34,'Substation 2025$'!CI34*$BL$1,Comms!CE34*$BL$2)</f>
        <v>345.60751142760466</v>
      </c>
      <c r="BG34" s="360">
        <f>SUM('Defect (Total)'!BG34,Planned!CJ34,Reconductor!CJ34,CTGS!CJ34,'Substation 2025$'!CJ34*$BL$1,Comms!CF34*$BL$2)</f>
        <v>354.89792906116696</v>
      </c>
      <c r="BH34" s="360">
        <f>SUM('Defect (Total)'!BH34,Planned!CK34,Reconductor!CK34,CTGS!CK34,'Substation 2025$'!CK34*$BL$1,Comms!CG34*$BL$2)</f>
        <v>364.19104122623412</v>
      </c>
      <c r="BI34" s="361">
        <f>SUM('Defect (Total)'!BI34,Planned!CL34,Reconductor!CL34,CTGS!CL34,'Substation 2025$'!CL34*$BL$1,Comms!CH34*$BL$2)</f>
        <v>368.83852636428321</v>
      </c>
      <c r="BJ34" s="124">
        <f t="shared" si="16"/>
        <v>67455.342996727821</v>
      </c>
      <c r="BK34" s="742"/>
      <c r="BL34" s="79"/>
      <c r="BM34" s="523"/>
      <c r="BN34" s="415">
        <f>'Distribution Summary'!CI34+'Substation 2025$'!CT34</f>
        <v>22348573.866420481</v>
      </c>
      <c r="BO34" s="79">
        <f>'Distribution Summary'!CJ34+'Substation 2025$'!CU34</f>
        <v>23281833.128277346</v>
      </c>
      <c r="BP34" s="79">
        <f>'Distribution Summary'!CK34+'Substation 2025$'!CV34</f>
        <v>23922490.775345042</v>
      </c>
      <c r="BQ34" s="79">
        <f>'Distribution Summary'!CL34+'Substation 2025$'!CW34</f>
        <v>24575391.207160428</v>
      </c>
      <c r="BR34" s="80">
        <f>'Distribution Summary'!CM34+'Substation 2025$'!CX34</f>
        <v>24944732.380747743</v>
      </c>
    </row>
    <row r="35" spans="1:70" x14ac:dyDescent="0.25">
      <c r="A35" s="81" t="s">
        <v>81</v>
      </c>
      <c r="B35" s="82" t="s">
        <v>310</v>
      </c>
      <c r="C35" s="83" t="s">
        <v>70</v>
      </c>
      <c r="D35" s="84">
        <f>SUM('Defect (Total)'!D35,Planned!D35,Reconductor!D35,CTGS!D35)</f>
        <v>1535493</v>
      </c>
      <c r="E35" s="85">
        <f>SUM('Defect (Total)'!E35,Planned!E35,Reconductor!E35,CTGS!E35)</f>
        <v>2584293</v>
      </c>
      <c r="F35" s="85">
        <f>SUM('Defect (Total)'!F35,Planned!F35,Reconductor!F35,CTGS!F35)</f>
        <v>1407069</v>
      </c>
      <c r="G35" s="85">
        <f>SUM('Defect (Total)'!G35,Planned!G35,Reconductor!G35,CTGS!G35)</f>
        <v>2323579.4664839301</v>
      </c>
      <c r="H35" s="85">
        <f>SUM('Defect (Total)'!H35,Planned!H35,Reconductor!H35,CTGS!H35)</f>
        <v>2351204</v>
      </c>
      <c r="I35" s="85">
        <f>SUM('Defect (Total)'!I35,Planned!I35,Reconductor!I35,CTGS!I35)</f>
        <v>2880704.9739493756</v>
      </c>
      <c r="J35" s="85">
        <f>SUM('Defect (Total)'!J35,Planned!J35,Reconductor!J35,CTGS!J35)</f>
        <v>4473039.7938799355</v>
      </c>
      <c r="K35" s="85">
        <f>SUM('Defect (Total)'!K35,Planned!K35,Reconductor!K35,CTGS!K35)</f>
        <v>5399061.7173091015</v>
      </c>
      <c r="L35" s="85">
        <f>SUM('Defect (Total)'!L35,Planned!L35,Reconductor!L35,CTGS!L35)</f>
        <v>9599830.3715368193</v>
      </c>
      <c r="M35" s="85">
        <f>SUM('Defect (Total)'!M35,Planned!M35,Reconductor!M35,CTGS!M35)</f>
        <v>18319582.24128259</v>
      </c>
      <c r="N35" s="85">
        <f>SUM('Defect (Total)'!N35,Planned!N35,Reconductor!N35,CTGS!N35)</f>
        <v>10418990.788758639</v>
      </c>
      <c r="O35" s="560">
        <f>SUM('Defect (Total)'!O35,Planned!O35,Reconductor!O35,CTGS!O35)</f>
        <v>2065938.7599474641</v>
      </c>
      <c r="P35" s="561">
        <f>SUM('Defect (Total)'!P35,Planned!P35,Reconductor!P35,CTGS!P35)</f>
        <v>3425301.8558471352</v>
      </c>
      <c r="Q35" s="561">
        <f>SUM('Defect (Total)'!Q35,Planned!Q35,Reconductor!Q35,CTGS!Q35)</f>
        <v>1846082.6154591623</v>
      </c>
      <c r="R35" s="561">
        <f>SUM('Defect (Total)'!R35,Planned!R35,Reconductor!R35,CTGS!R35)</f>
        <v>2990718.0508262496</v>
      </c>
      <c r="S35" s="561">
        <f>SUM('Defect (Total)'!S35,Planned!S35,Reconductor!S35,CTGS!S35)</f>
        <v>2964677.3221565168</v>
      </c>
      <c r="T35" s="561">
        <f>SUM('Defect (Total)'!T35,Planned!T35,Reconductor!T35,CTGS!T35)</f>
        <v>3575382.0652589151</v>
      </c>
      <c r="U35" s="561">
        <f>SUM('Defect (Total)'!U35,Planned!U35,Reconductor!U35,CTGS!U35)</f>
        <v>5571117.2696554195</v>
      </c>
      <c r="V35" s="561">
        <f>SUM('Defect (Total)'!V35,Planned!V35,Reconductor!V35,CTGS!V35)</f>
        <v>6475412.1262246603</v>
      </c>
      <c r="W35" s="561">
        <f>SUM('Defect (Total)'!W35,Planned!W35,Reconductor!W35,CTGS!W35)</f>
        <v>10847109.778319165</v>
      </c>
      <c r="X35" s="561">
        <f>SUM('Defect (Total)'!X35,Planned!X35,Reconductor!X35,CTGS!X35)</f>
        <v>19482159.895934686</v>
      </c>
      <c r="Y35" s="561">
        <f>SUM('Defect (Total)'!Y35,Planned!Y35,Reconductor!Y35,CTGS!Y35)</f>
        <v>10649857.219487309</v>
      </c>
      <c r="Z35" s="125">
        <f>SUM('Defect (Total)'!Z35,Planned!Z35,Reconductor!Z35,CTGS!Z35)</f>
        <v>63</v>
      </c>
      <c r="AA35" s="126">
        <f>SUM('Defect (Total)'!AA35,Planned!AA35,Reconductor!AA35,CTGS!AA35)</f>
        <v>97</v>
      </c>
      <c r="AB35" s="126">
        <f>SUM('Defect (Total)'!AB35,Planned!AB35,Reconductor!AB35,CTGS!AB35)</f>
        <v>42</v>
      </c>
      <c r="AC35" s="126">
        <f>SUM('Defect (Total)'!AC35,Planned!AC35,Reconductor!AC35,CTGS!AC35)</f>
        <v>73.156666666666666</v>
      </c>
      <c r="AD35" s="126">
        <f>SUM('Defect (Total)'!AD35,Planned!AD35,Reconductor!AD35,CTGS!AD35)</f>
        <v>87</v>
      </c>
      <c r="AE35" s="126">
        <f>SUM('Defect (Total)'!AE35,Planned!AE35,Reconductor!AE35,CTGS!AE35)</f>
        <v>100.65825248100003</v>
      </c>
      <c r="AF35" s="126">
        <f>SUM('Defect (Total)'!AF35,Planned!AF35,Reconductor!AF35,CTGS!AF35)</f>
        <v>133.71200000300001</v>
      </c>
      <c r="AG35" s="126">
        <f>SUM('Defect (Total)'!AG35,Planned!AG35,Reconductor!AG35,CTGS!AG35)</f>
        <v>129.6723333333332</v>
      </c>
      <c r="AH35" s="126">
        <f>SUM('Defect (Total)'!AH35,Planned!AH35,Reconductor!AH35,CTGS!AH35)</f>
        <v>259.55516201200004</v>
      </c>
      <c r="AI35" s="126">
        <f>SUM('Defect (Total)'!AI35,Planned!AI35,Reconductor!AI35,CTGS!AI35)</f>
        <v>254.68382865399994</v>
      </c>
      <c r="AJ35" s="126">
        <f>SUM('Defect (Total)'!AJ35,Planned!AJ35,Reconductor!AJ35,CTGS!AJ35)</f>
        <v>286.6449944859998</v>
      </c>
      <c r="AK35" s="127">
        <f t="shared" si="14"/>
        <v>142.11954956586663</v>
      </c>
      <c r="AL35" s="128">
        <f t="shared" si="0"/>
        <v>174.31316511611109</v>
      </c>
      <c r="AM35" s="129">
        <f t="shared" si="15"/>
        <v>259.55516201200004</v>
      </c>
      <c r="AN35" s="91">
        <f t="shared" si="1"/>
        <v>24372.904761904763</v>
      </c>
      <c r="AO35" s="92">
        <f t="shared" si="2"/>
        <v>26642.195876288661</v>
      </c>
      <c r="AP35" s="92">
        <f t="shared" si="3"/>
        <v>33501.642857142855</v>
      </c>
      <c r="AQ35" s="92">
        <f t="shared" si="4"/>
        <v>31761.691344838888</v>
      </c>
      <c r="AR35" s="92">
        <f t="shared" si="5"/>
        <v>27025.333333333332</v>
      </c>
      <c r="AS35" s="92">
        <f t="shared" si="6"/>
        <v>28618.666656200188</v>
      </c>
      <c r="AT35" s="92">
        <f t="shared" si="7"/>
        <v>33452.792522582691</v>
      </c>
      <c r="AU35" s="92">
        <f t="shared" si="8"/>
        <v>41636.188526278595</v>
      </c>
      <c r="AV35" s="92">
        <f t="shared" si="9"/>
        <v>36985.703914041165</v>
      </c>
      <c r="AW35" s="92">
        <f t="shared" si="17"/>
        <v>71930.684952010095</v>
      </c>
      <c r="AX35" s="92">
        <f t="shared" si="17"/>
        <v>36348.064641566656</v>
      </c>
      <c r="AY35" s="93">
        <f t="shared" si="11"/>
        <v>34764.873561924709</v>
      </c>
      <c r="AZ35" s="94">
        <f t="shared" si="12"/>
        <v>37235.535001531069</v>
      </c>
      <c r="BA35" s="95">
        <f t="shared" si="13"/>
        <v>36985.703914041165</v>
      </c>
      <c r="BB35" s="692">
        <f>SUM('Defect (Total)'!BB35,Planned!CE35,Reconductor!CE35,CTGS!CE35,'Substation 2025$'!CE35*$BL$1,Comms!CA35*$BL$2)</f>
        <v>185.4875267405333</v>
      </c>
      <c r="BC35" s="692">
        <f>SUM('Defect (Total)'!BC35,Planned!CF35,Reconductor!CF35,CTGS!CF35,'Substation 2025$'!CF35*$BL$1,Comms!CB35*$BL$2)</f>
        <v>169.2715174553519</v>
      </c>
      <c r="BD35" s="363">
        <f>SUM('Defect (Total)'!BD35,Planned!CG35,Reconductor!CG35,CTGS!CG35,'Substation 2025$'!CG35*$BL$1,Comms!CC35*$BL$2)</f>
        <v>169.2715174553519</v>
      </c>
      <c r="BE35" s="363">
        <f>SUM('Defect (Total)'!BE35,Planned!CH35,Reconductor!CH35,CTGS!CH35,'Substation 2025$'!CH35*$BL$1,Comms!CD35*$BL$2)</f>
        <v>218.51252193526636</v>
      </c>
      <c r="BF35" s="363">
        <f>SUM('Defect (Total)'!BF35,Planned!CI35,Reconductor!CI35,CTGS!CI35,'Substation 2025$'!CI35*$BL$1,Comms!CE35*$BL$2)</f>
        <v>226.60649780011798</v>
      </c>
      <c r="BG35" s="363">
        <f>SUM('Defect (Total)'!BG35,Planned!CJ35,Reconductor!CJ35,CTGS!CJ35,'Substation 2025$'!CJ35*$BL$1,Comms!CF35*$BL$2)</f>
        <v>232.01243390053722</v>
      </c>
      <c r="BH35" s="363">
        <f>SUM('Defect (Total)'!BH35,Planned!CK35,Reconductor!CK35,CTGS!CK35,'Substation 2025$'!CK35*$BL$1,Comms!CG35*$BL$2)</f>
        <v>237.4254129107772</v>
      </c>
      <c r="BI35" s="364">
        <f>SUM('Defect (Total)'!BI35,Planned!CL35,Reconductor!CL35,CTGS!CL35,'Substation 2025$'!CL35*$BL$1,Comms!CH35*$BL$2)</f>
        <v>240.1343293382788</v>
      </c>
      <c r="BJ35" s="99">
        <f t="shared" si="16"/>
        <v>57588.346440772875</v>
      </c>
      <c r="BK35" s="743"/>
      <c r="BL35" s="97"/>
      <c r="BM35" s="524"/>
      <c r="BN35" s="416">
        <f>'Distribution Summary'!CI35+'Substation 2025$'!CT35</f>
        <v>12409993.526962318</v>
      </c>
      <c r="BO35" s="97">
        <f>'Distribution Summary'!CJ35+'Substation 2025$'!CU35</f>
        <v>12976229.027931884</v>
      </c>
      <c r="BP35" s="97">
        <f>'Distribution Summary'!CK35+'Substation 2025$'!CV35</f>
        <v>13365035.20732723</v>
      </c>
      <c r="BQ35" s="97">
        <f>'Distribution Summary'!CL35+'Substation 2025$'!CW35</f>
        <v>13761473.806276433</v>
      </c>
      <c r="BR35" s="98">
        <f>'Distribution Summary'!CM35+'Substation 2025$'!CX35</f>
        <v>13984025.052236559</v>
      </c>
    </row>
    <row r="36" spans="1:70" x14ac:dyDescent="0.25">
      <c r="A36" s="81" t="s">
        <v>81</v>
      </c>
      <c r="B36" s="82" t="s">
        <v>311</v>
      </c>
      <c r="C36" s="83" t="s">
        <v>312</v>
      </c>
      <c r="D36" s="84">
        <f>SUM('Defect (Total)'!D36,Planned!D36,Reconductor!D36,CTGS!D36)</f>
        <v>386970</v>
      </c>
      <c r="E36" s="85">
        <f>SUM('Defect (Total)'!E36,Planned!E36,Reconductor!E36,CTGS!E36)</f>
        <v>824940</v>
      </c>
      <c r="F36" s="85">
        <f>SUM('Defect (Total)'!F36,Planned!F36,Reconductor!F36,CTGS!F36)</f>
        <v>603780</v>
      </c>
      <c r="G36" s="85">
        <f>SUM('Defect (Total)'!G36,Planned!G36,Reconductor!G36,CTGS!G36)</f>
        <v>427709.42908102879</v>
      </c>
      <c r="H36" s="85">
        <f>SUM('Defect (Total)'!H36,Planned!H36,Reconductor!H36,CTGS!H36)</f>
        <v>1092339</v>
      </c>
      <c r="I36" s="85">
        <f>SUM('Defect (Total)'!I36,Planned!I36,Reconductor!I36,CTGS!I36)</f>
        <v>2898913.8779004295</v>
      </c>
      <c r="J36" s="85">
        <f>SUM('Defect (Total)'!J36,Planned!J36,Reconductor!J36,CTGS!J36)</f>
        <v>1692631.9395586671</v>
      </c>
      <c r="K36" s="85">
        <f>SUM('Defect (Total)'!K36,Planned!K36,Reconductor!K36,CTGS!K36)</f>
        <v>1825867.3841027769</v>
      </c>
      <c r="L36" s="85">
        <f>SUM('Defect (Total)'!L36,Planned!L36,Reconductor!L36,CTGS!L36)</f>
        <v>2539931.7166806371</v>
      </c>
      <c r="M36" s="85">
        <f>SUM('Defect (Total)'!M36,Planned!M36,Reconductor!M36,CTGS!M36)</f>
        <v>2058858.2727303552</v>
      </c>
      <c r="N36" s="85">
        <f>SUM('Defect (Total)'!N36,Planned!N36,Reconductor!N36,CTGS!N36)</f>
        <v>4681412.0813009739</v>
      </c>
      <c r="O36" s="560">
        <f>SUM('Defect (Total)'!O36,Planned!O36,Reconductor!O36,CTGS!O36)</f>
        <v>520651.23184336902</v>
      </c>
      <c r="P36" s="561">
        <f>SUM('Defect (Total)'!P36,Planned!P36,Reconductor!P36,CTGS!P36)</f>
        <v>1093400.9854774731</v>
      </c>
      <c r="Q36" s="561">
        <f>SUM('Defect (Total)'!Q36,Planned!Q36,Reconductor!Q36,CTGS!Q36)</f>
        <v>792162.830367191</v>
      </c>
      <c r="R36" s="561">
        <f>SUM('Defect (Total)'!R36,Planned!R36,Reconductor!R36,CTGS!R36)</f>
        <v>550511.9702219012</v>
      </c>
      <c r="S36" s="561">
        <f>SUM('Defect (Total)'!S36,Planned!S36,Reconductor!S36,CTGS!S36)</f>
        <v>1377350.7791782964</v>
      </c>
      <c r="T36" s="561">
        <f>SUM('Defect (Total)'!T36,Planned!T36,Reconductor!T36,CTGS!T36)</f>
        <v>3597982.0153417471</v>
      </c>
      <c r="U36" s="561">
        <f>SUM('Defect (Total)'!U36,Planned!U36,Reconductor!U36,CTGS!U36)</f>
        <v>2108152.724808679</v>
      </c>
      <c r="V36" s="561">
        <f>SUM('Defect (Total)'!V36,Planned!V36,Reconductor!V36,CTGS!V36)</f>
        <v>2189870.0957598868</v>
      </c>
      <c r="W36" s="561">
        <f>SUM('Defect (Total)'!W36,Planned!W36,Reconductor!W36,CTGS!W36)</f>
        <v>2869938.0191088677</v>
      </c>
      <c r="X36" s="561">
        <f>SUM('Defect (Total)'!X36,Planned!X36,Reconductor!X36,CTGS!X36)</f>
        <v>2189515.3254101952</v>
      </c>
      <c r="Y36" s="561">
        <f>SUM('Defect (Total)'!Y36,Planned!Y36,Reconductor!Y36,CTGS!Y36)</f>
        <v>4765222.848111121</v>
      </c>
      <c r="Z36" s="125">
        <f>SUM('Defect (Total)'!Z36,Planned!Z36,Reconductor!Z36,CTGS!Z36)</f>
        <v>28</v>
      </c>
      <c r="AA36" s="126">
        <f>SUM('Defect (Total)'!AA36,Planned!AA36,Reconductor!AA36,CTGS!AA36)</f>
        <v>63</v>
      </c>
      <c r="AB36" s="126">
        <f>SUM('Defect (Total)'!AB36,Planned!AB36,Reconductor!AB36,CTGS!AB36)</f>
        <v>12</v>
      </c>
      <c r="AC36" s="126">
        <f>SUM('Defect (Total)'!AC36,Planned!AC36,Reconductor!AC36,CTGS!AC36)</f>
        <v>24.050333333333334</v>
      </c>
      <c r="AD36" s="126">
        <f>SUM('Defect (Total)'!AD36,Planned!AD36,Reconductor!AD36,CTGS!AD36)</f>
        <v>79</v>
      </c>
      <c r="AE36" s="126">
        <f>SUM('Defect (Total)'!AE36,Planned!AE36,Reconductor!AE36,CTGS!AE36)</f>
        <v>153.46089098000013</v>
      </c>
      <c r="AF36" s="126">
        <f>SUM('Defect (Total)'!AF36,Planned!AF36,Reconductor!AF36,CTGS!AF36)</f>
        <v>78.187999992000016</v>
      </c>
      <c r="AG36" s="126">
        <f>SUM('Defect (Total)'!AG36,Planned!AG36,Reconductor!AG36,CTGS!AG36)</f>
        <v>63.740333333333282</v>
      </c>
      <c r="AH36" s="126">
        <f>SUM('Defect (Total)'!AH36,Planned!AH36,Reconductor!AH36,CTGS!AH36)</f>
        <v>63.734998626000007</v>
      </c>
      <c r="AI36" s="126">
        <f>SUM('Defect (Total)'!AI36,Planned!AI36,Reconductor!AI36,CTGS!AI36)</f>
        <v>59.721331628000002</v>
      </c>
      <c r="AJ36" s="126">
        <f>SUM('Defect (Total)'!AJ36,Planned!AJ36,Reconductor!AJ36,CTGS!AJ36)</f>
        <v>100.62766474600005</v>
      </c>
      <c r="AK36" s="127">
        <f t="shared" si="14"/>
        <v>87.624844586266676</v>
      </c>
      <c r="AL36" s="128">
        <f t="shared" si="0"/>
        <v>68.554443983777773</v>
      </c>
      <c r="AM36" s="129">
        <f t="shared" si="15"/>
        <v>63.734998626000007</v>
      </c>
      <c r="AN36" s="91">
        <f t="shared" si="1"/>
        <v>13820.357142857143</v>
      </c>
      <c r="AO36" s="92">
        <f t="shared" si="2"/>
        <v>13094.285714285714</v>
      </c>
      <c r="AP36" s="92">
        <f t="shared" si="3"/>
        <v>50315</v>
      </c>
      <c r="AQ36" s="92">
        <f t="shared" si="4"/>
        <v>17783.929359857608</v>
      </c>
      <c r="AR36" s="92">
        <f t="shared" si="5"/>
        <v>13827.075949367088</v>
      </c>
      <c r="AS36" s="92">
        <f t="shared" si="6"/>
        <v>18890.245321710219</v>
      </c>
      <c r="AT36" s="92">
        <f t="shared" si="7"/>
        <v>21648.231694529244</v>
      </c>
      <c r="AU36" s="92">
        <f t="shared" si="8"/>
        <v>28645.40062183722</v>
      </c>
      <c r="AV36" s="92">
        <f t="shared" si="9"/>
        <v>39851.443813234808</v>
      </c>
      <c r="AW36" s="92">
        <f t="shared" si="17"/>
        <v>34474.42005404098</v>
      </c>
      <c r="AX36" s="92">
        <f t="shared" si="17"/>
        <v>46522.117879984493</v>
      </c>
      <c r="AY36" s="93">
        <f t="shared" si="11"/>
        <v>22937.978299861279</v>
      </c>
      <c r="AZ36" s="94">
        <f t="shared" si="12"/>
        <v>29458.002954924919</v>
      </c>
      <c r="BA36" s="95">
        <f t="shared" si="13"/>
        <v>39851.443813234808</v>
      </c>
      <c r="BB36" s="692">
        <f>SUM('Defect (Total)'!BB36,Planned!CE36,Reconductor!CE36,CTGS!CE36,'Substation 2025$'!CE36*$BL$1,Comms!CA36*$BL$2)</f>
        <v>54.716976388244447</v>
      </c>
      <c r="BC36" s="692">
        <f>SUM('Defect (Total)'!BC36,Planned!CF36,Reconductor!CF36,CTGS!CF36,'Substation 2025$'!CF36*$BL$1,Comms!CB36*$BL$2)</f>
        <v>66.693465533045412</v>
      </c>
      <c r="BD36" s="363">
        <f>SUM('Defect (Total)'!BD36,Planned!CG36,Reconductor!CG36,CTGS!CG36,'Substation 2025$'!CG36*$BL$1,Comms!CC36*$BL$2)</f>
        <v>66.693465533045412</v>
      </c>
      <c r="BE36" s="363">
        <f>SUM('Defect (Total)'!BE36,Planned!CH36,Reconductor!CH36,CTGS!CH36,'Substation 2025$'!CH36*$BL$1,Comms!CD36*$BL$2)</f>
        <v>80.870125299563369</v>
      </c>
      <c r="BF36" s="363">
        <f>SUM('Defect (Total)'!BF36,Planned!CI36,Reconductor!CI36,CTGS!CI36,'Substation 2025$'!CI36*$BL$1,Comms!CE36*$BL$2)</f>
        <v>86.404000485845515</v>
      </c>
      <c r="BG36" s="363">
        <f>SUM('Defect (Total)'!BG36,Planned!CJ36,Reconductor!CJ36,CTGS!CJ36,'Substation 2025$'!CJ36*$BL$1,Comms!CF36*$BL$2)</f>
        <v>90.076548890123902</v>
      </c>
      <c r="BH36" s="363">
        <f>SUM('Defect (Total)'!BH36,Planned!CK36,Reconductor!CK36,CTGS!CK36,'Substation 2025$'!CK36*$BL$1,Comms!CG36*$BL$2)</f>
        <v>93.737276754844714</v>
      </c>
      <c r="BI36" s="364">
        <f>SUM('Defect (Total)'!BI36,Planned!CL36,Reconductor!CL36,CTGS!CL36,'Substation 2025$'!CL36*$BL$1,Comms!CH36*$BL$2)</f>
        <v>95.563567168604024</v>
      </c>
      <c r="BJ36" s="99">
        <f t="shared" si="16"/>
        <v>32668.065430403902</v>
      </c>
      <c r="BK36" s="743"/>
      <c r="BL36" s="97"/>
      <c r="BM36" s="524"/>
      <c r="BN36" s="416">
        <f>'Distribution Summary'!CI36+'Substation 2025$'!CT36</f>
        <v>2671904.2881861157</v>
      </c>
      <c r="BO36" s="97">
        <f>'Distribution Summary'!CJ36+'Substation 2025$'!CU36</f>
        <v>2829591.1952129193</v>
      </c>
      <c r="BP36" s="97">
        <f>'Distribution Summary'!CK36+'Substation 2025$'!CV36</f>
        <v>2937117.4405075242</v>
      </c>
      <c r="BQ36" s="97">
        <f>'Distribution Summary'!CL36+'Substation 2025$'!CW36</f>
        <v>3046311.8779311744</v>
      </c>
      <c r="BR36" s="98">
        <f>'Distribution Summary'!CM36+'Substation 2025$'!CX36</f>
        <v>3106316.2323430632</v>
      </c>
    </row>
    <row r="37" spans="1:70" x14ac:dyDescent="0.25">
      <c r="A37" s="81" t="s">
        <v>81</v>
      </c>
      <c r="B37" s="82" t="s">
        <v>313</v>
      </c>
      <c r="C37" s="83" t="s">
        <v>314</v>
      </c>
      <c r="D37" s="84">
        <f>SUM('Defect (Total)'!D37,Planned!D37,Reconductor!D37,CTGS!D37)</f>
        <v>0</v>
      </c>
      <c r="E37" s="85">
        <f>SUM('Defect (Total)'!E37,Planned!E37,Reconductor!E37,CTGS!E37)</f>
        <v>0</v>
      </c>
      <c r="F37" s="85">
        <f>SUM('Defect (Total)'!F37,Planned!F37,Reconductor!F37,CTGS!F37)</f>
        <v>0</v>
      </c>
      <c r="G37" s="85">
        <f>SUM('Defect (Total)'!G37,Planned!G37,Reconductor!G37,CTGS!G37)</f>
        <v>0</v>
      </c>
      <c r="H37" s="85">
        <f>SUM('Defect (Total)'!H37,Planned!H37,Reconductor!H37,CTGS!H37)</f>
        <v>0</v>
      </c>
      <c r="I37" s="85">
        <f>SUM('Defect (Total)'!I37,Planned!I37,Reconductor!I37,CTGS!I37)</f>
        <v>0</v>
      </c>
      <c r="J37" s="85">
        <f>SUM('Defect (Total)'!J37,Planned!J37,Reconductor!J37,CTGS!J37)</f>
        <v>0</v>
      </c>
      <c r="K37" s="85">
        <f>SUM('Defect (Total)'!K37,Planned!K37,Reconductor!K37,CTGS!K37)</f>
        <v>0</v>
      </c>
      <c r="L37" s="85">
        <f>SUM('Defect (Total)'!L37,Planned!L37,Reconductor!L37,CTGS!L37)</f>
        <v>0</v>
      </c>
      <c r="M37" s="85">
        <f>SUM('Defect (Total)'!M37,Planned!M37,Reconductor!M37,CTGS!M37)</f>
        <v>0</v>
      </c>
      <c r="N37" s="85">
        <f>SUM('Defect (Total)'!N37,Planned!N37,Reconductor!N37,CTGS!N37)</f>
        <v>0</v>
      </c>
      <c r="O37" s="560">
        <f>SUM('Defect (Total)'!O37,Planned!O37,Reconductor!O37,CTGS!O37)</f>
        <v>0</v>
      </c>
      <c r="P37" s="561">
        <f>SUM('Defect (Total)'!P37,Planned!P37,Reconductor!P37,CTGS!P37)</f>
        <v>0</v>
      </c>
      <c r="Q37" s="561">
        <f>SUM('Defect (Total)'!Q37,Planned!Q37,Reconductor!Q37,CTGS!Q37)</f>
        <v>0</v>
      </c>
      <c r="R37" s="561">
        <f>SUM('Defect (Total)'!R37,Planned!R37,Reconductor!R37,CTGS!R37)</f>
        <v>0</v>
      </c>
      <c r="S37" s="561">
        <f>SUM('Defect (Total)'!S37,Planned!S37,Reconductor!S37,CTGS!S37)</f>
        <v>0</v>
      </c>
      <c r="T37" s="561">
        <f>SUM('Defect (Total)'!T37,Planned!T37,Reconductor!T37,CTGS!T37)</f>
        <v>0</v>
      </c>
      <c r="U37" s="561">
        <f>SUM('Defect (Total)'!U37,Planned!U37,Reconductor!U37,CTGS!U37)</f>
        <v>0</v>
      </c>
      <c r="V37" s="561">
        <f>SUM('Defect (Total)'!V37,Planned!V37,Reconductor!V37,CTGS!V37)</f>
        <v>0</v>
      </c>
      <c r="W37" s="561">
        <f>SUM('Defect (Total)'!W37,Planned!W37,Reconductor!W37,CTGS!W37)</f>
        <v>0</v>
      </c>
      <c r="X37" s="561">
        <f>SUM('Defect (Total)'!X37,Planned!X37,Reconductor!X37,CTGS!X37)</f>
        <v>0</v>
      </c>
      <c r="Y37" s="561">
        <f>SUM('Defect (Total)'!Y37,Planned!Y37,Reconductor!Y37,CTGS!Y37)</f>
        <v>0</v>
      </c>
      <c r="Z37" s="125">
        <f>SUM('Defect (Total)'!Z37,Planned!Z37,Reconductor!Z37,CTGS!Z37)</f>
        <v>0</v>
      </c>
      <c r="AA37" s="126">
        <f>SUM('Defect (Total)'!AA37,Planned!AA37,Reconductor!AA37,CTGS!AA37)</f>
        <v>0</v>
      </c>
      <c r="AB37" s="126">
        <f>SUM('Defect (Total)'!AB37,Planned!AB37,Reconductor!AB37,CTGS!AB37)</f>
        <v>0</v>
      </c>
      <c r="AC37" s="126">
        <f>SUM('Defect (Total)'!AC37,Planned!AC37,Reconductor!AC37,CTGS!AC37)</f>
        <v>0</v>
      </c>
      <c r="AD37" s="126">
        <f>SUM('Defect (Total)'!AD37,Planned!AD37,Reconductor!AD37,CTGS!AD37)</f>
        <v>0</v>
      </c>
      <c r="AE37" s="126">
        <f>SUM('Defect (Total)'!AE37,Planned!AE37,Reconductor!AE37,CTGS!AE37)</f>
        <v>0</v>
      </c>
      <c r="AF37" s="126">
        <f>SUM('Defect (Total)'!AF37,Planned!AF37,Reconductor!AF37,CTGS!AF37)</f>
        <v>0</v>
      </c>
      <c r="AG37" s="126">
        <f>SUM('Defect (Total)'!AG37,Planned!AG37,Reconductor!AG37,CTGS!AG37)</f>
        <v>0</v>
      </c>
      <c r="AH37" s="126">
        <f>SUM('Defect (Total)'!AH37,Planned!AH37,Reconductor!AH37,CTGS!AH37)</f>
        <v>0</v>
      </c>
      <c r="AI37" s="126">
        <f>SUM('Defect (Total)'!AI37,Planned!AI37,Reconductor!AI37,CTGS!AI37)</f>
        <v>0</v>
      </c>
      <c r="AJ37" s="126">
        <f>SUM('Defect (Total)'!AJ37,Planned!AJ37,Reconductor!AJ37,CTGS!AJ37)</f>
        <v>0</v>
      </c>
      <c r="AK37" s="127">
        <f t="shared" si="14"/>
        <v>0</v>
      </c>
      <c r="AL37" s="128">
        <f t="shared" si="0"/>
        <v>0</v>
      </c>
      <c r="AM37" s="129">
        <f t="shared" si="15"/>
        <v>0</v>
      </c>
      <c r="AN37" s="91" t="str">
        <f t="shared" si="1"/>
        <v/>
      </c>
      <c r="AO37" s="92" t="str">
        <f t="shared" si="2"/>
        <v/>
      </c>
      <c r="AP37" s="92" t="str">
        <f t="shared" si="3"/>
        <v/>
      </c>
      <c r="AQ37" s="92" t="str">
        <f t="shared" si="4"/>
        <v/>
      </c>
      <c r="AR37" s="92" t="str">
        <f t="shared" si="5"/>
        <v/>
      </c>
      <c r="AS37" s="92" t="str">
        <f t="shared" si="6"/>
        <v/>
      </c>
      <c r="AT37" s="92" t="str">
        <f t="shared" si="7"/>
        <v/>
      </c>
      <c r="AU37" s="92" t="str">
        <f t="shared" si="8"/>
        <v/>
      </c>
      <c r="AV37" s="92" t="str">
        <f t="shared" si="9"/>
        <v/>
      </c>
      <c r="AW37" s="92" t="str">
        <f t="shared" si="17"/>
        <v/>
      </c>
      <c r="AX37" s="92" t="str">
        <f t="shared" si="17"/>
        <v/>
      </c>
      <c r="AY37" s="93" t="str">
        <f t="shared" si="11"/>
        <v/>
      </c>
      <c r="AZ37" s="94" t="str">
        <f t="shared" si="12"/>
        <v/>
      </c>
      <c r="BA37" s="95" t="str">
        <f t="shared" si="13"/>
        <v/>
      </c>
      <c r="BB37" s="692">
        <f>SUM('Defect (Total)'!BB37,Planned!CE37,Reconductor!CE37,CTGS!CE37,'Substation 2025$'!CE37*$BL$1,Comms!CA37*$BL$2)</f>
        <v>0</v>
      </c>
      <c r="BC37" s="692">
        <f>SUM('Defect (Total)'!BC37,Planned!CF37,Reconductor!CF37,CTGS!CF37,'Substation 2025$'!CF37*$BL$1,Comms!CB37*$BL$2)</f>
        <v>0</v>
      </c>
      <c r="BD37" s="363">
        <f>SUM('Defect (Total)'!BD37,Planned!CG37,Reconductor!CG37,CTGS!CG37,'Substation 2025$'!CG37*$BL$1,Comms!CC37*$BL$2)</f>
        <v>0</v>
      </c>
      <c r="BE37" s="363">
        <f>SUM('Defect (Total)'!BE37,Planned!CH37,Reconductor!CH37,CTGS!CH37,'Substation 2025$'!CH37*$BL$1,Comms!CD37*$BL$2)</f>
        <v>0</v>
      </c>
      <c r="BF37" s="363">
        <f>SUM('Defect (Total)'!BF37,Planned!CI37,Reconductor!CI37,CTGS!CI37,'Substation 2025$'!CI37*$BL$1,Comms!CE37*$BL$2)</f>
        <v>0</v>
      </c>
      <c r="BG37" s="363">
        <f>SUM('Defect (Total)'!BG37,Planned!CJ37,Reconductor!CJ37,CTGS!CJ37,'Substation 2025$'!CJ37*$BL$1,Comms!CF37*$BL$2)</f>
        <v>0</v>
      </c>
      <c r="BH37" s="363">
        <f>SUM('Defect (Total)'!BH37,Planned!CK37,Reconductor!CK37,CTGS!CK37,'Substation 2025$'!CK37*$BL$1,Comms!CG37*$BL$2)</f>
        <v>0</v>
      </c>
      <c r="BI37" s="364">
        <f>SUM('Defect (Total)'!BI37,Planned!CL37,Reconductor!CL37,CTGS!CL37,'Substation 2025$'!CL37*$BL$1,Comms!CH37*$BL$2)</f>
        <v>0</v>
      </c>
      <c r="BJ37" s="99" t="str">
        <f t="shared" si="16"/>
        <v/>
      </c>
      <c r="BK37" s="743"/>
      <c r="BL37" s="97"/>
      <c r="BM37" s="524"/>
      <c r="BN37" s="416">
        <f>'Distribution Summary'!CI37+'Substation 2025$'!CT37</f>
        <v>0</v>
      </c>
      <c r="BO37" s="97">
        <f>'Distribution Summary'!CJ37+'Substation 2025$'!CU37</f>
        <v>0</v>
      </c>
      <c r="BP37" s="97">
        <f>'Distribution Summary'!CK37+'Substation 2025$'!CV37</f>
        <v>0</v>
      </c>
      <c r="BQ37" s="97">
        <f>'Distribution Summary'!CL37+'Substation 2025$'!CW37</f>
        <v>0</v>
      </c>
      <c r="BR37" s="98">
        <f>'Distribution Summary'!CM37+'Substation 2025$'!CX37</f>
        <v>0</v>
      </c>
    </row>
    <row r="38" spans="1:70" x14ac:dyDescent="0.25">
      <c r="A38" s="81" t="s">
        <v>81</v>
      </c>
      <c r="B38" s="82" t="s">
        <v>449</v>
      </c>
      <c r="C38" s="83" t="s">
        <v>315</v>
      </c>
      <c r="D38" s="84">
        <f>SUM('Defect (Total)'!D38,Planned!D38,Reconductor!D38,CTGS!D38)</f>
        <v>437338</v>
      </c>
      <c r="E38" s="85">
        <f>SUM('Defect (Total)'!E38,Planned!E38,Reconductor!E38,CTGS!E38)</f>
        <v>274441</v>
      </c>
      <c r="F38" s="85">
        <f>SUM('Defect (Total)'!F38,Planned!F38,Reconductor!F38,CTGS!F38)</f>
        <v>350529</v>
      </c>
      <c r="G38" s="85">
        <f>SUM('Defect (Total)'!G38,Planned!G38,Reconductor!G38,CTGS!G38)</f>
        <v>354835.7650204089</v>
      </c>
      <c r="H38" s="85">
        <f>SUM('Defect (Total)'!H38,Planned!H38,Reconductor!H38,CTGS!H38)</f>
        <v>441651</v>
      </c>
      <c r="I38" s="85">
        <f>SUM('Defect (Total)'!I38,Planned!I38,Reconductor!I38,CTGS!I38)</f>
        <v>1245549.6428246717</v>
      </c>
      <c r="J38" s="85">
        <f>SUM('Defect (Total)'!J38,Planned!J38,Reconductor!J38,CTGS!J38)</f>
        <v>558899.44599917717</v>
      </c>
      <c r="K38" s="85">
        <f>SUM('Defect (Total)'!K38,Planned!K38,Reconductor!K38,CTGS!K38)</f>
        <v>893618.78305501945</v>
      </c>
      <c r="L38" s="85">
        <f>SUM('Defect (Total)'!L38,Planned!L38,Reconductor!L38,CTGS!L38)</f>
        <v>1836067.5991669835</v>
      </c>
      <c r="M38" s="85">
        <f>SUM('Defect (Total)'!M38,Planned!M38,Reconductor!M38,CTGS!M38)</f>
        <v>4069540.2721248278</v>
      </c>
      <c r="N38" s="85">
        <f>SUM('Defect (Total)'!N38,Planned!N38,Reconductor!N38,CTGS!N38)</f>
        <v>2188972.4248955608</v>
      </c>
      <c r="O38" s="560">
        <f>SUM('Defect (Total)'!O38,Planned!O38,Reconductor!O38,CTGS!O38)</f>
        <v>588419.1757291659</v>
      </c>
      <c r="P38" s="561">
        <f>SUM('Defect (Total)'!P38,Planned!P38,Reconductor!P38,CTGS!P38)</f>
        <v>363752.58789175365</v>
      </c>
      <c r="Q38" s="561">
        <f>SUM('Defect (Total)'!Q38,Planned!Q38,Reconductor!Q38,CTGS!Q38)</f>
        <v>459896.06274765829</v>
      </c>
      <c r="R38" s="561">
        <f>SUM('Defect (Total)'!R38,Planned!R38,Reconductor!R38,CTGS!R38)</f>
        <v>456715.05658944405</v>
      </c>
      <c r="S38" s="561">
        <f>SUM('Defect (Total)'!S38,Planned!S38,Reconductor!S38,CTGS!S38)</f>
        <v>556886.04817265854</v>
      </c>
      <c r="T38" s="561">
        <f>SUM('Defect (Total)'!T38,Planned!T38,Reconductor!T38,CTGS!T38)</f>
        <v>1545911.8148567616</v>
      </c>
      <c r="U38" s="561">
        <f>SUM('Defect (Total)'!U38,Planned!U38,Reconductor!U38,CTGS!U38)</f>
        <v>696102.5385615963</v>
      </c>
      <c r="V38" s="561">
        <f>SUM('Defect (Total)'!V38,Planned!V38,Reconductor!V38,CTGS!V38)</f>
        <v>1071769.5420049061</v>
      </c>
      <c r="W38" s="561">
        <f>SUM('Defect (Total)'!W38,Planned!W38,Reconductor!W38,CTGS!W38)</f>
        <v>2074622.7837139231</v>
      </c>
      <c r="X38" s="561">
        <f>SUM('Defect (Total)'!X38,Planned!X38,Reconductor!X38,CTGS!X38)</f>
        <v>4327797.066562946</v>
      </c>
      <c r="Y38" s="561">
        <f>SUM('Defect (Total)'!Y38,Planned!Y38,Reconductor!Y38,CTGS!Y38)</f>
        <v>2226430.8678805656</v>
      </c>
      <c r="Z38" s="125">
        <f>SUM('Defect (Total)'!Z38,Planned!Z38,Reconductor!Z38,CTGS!Z38)</f>
        <v>19</v>
      </c>
      <c r="AA38" s="126">
        <f>SUM('Defect (Total)'!AA38,Planned!AA38,Reconductor!AA38,CTGS!AA38)</f>
        <v>37</v>
      </c>
      <c r="AB38" s="126">
        <f>SUM('Defect (Total)'!AB38,Planned!AB38,Reconductor!AB38,CTGS!AB38)</f>
        <v>-4</v>
      </c>
      <c r="AC38" s="126">
        <f>SUM('Defect (Total)'!AC38,Planned!AC38,Reconductor!AC38,CTGS!AC38)</f>
        <v>16.266666666666666</v>
      </c>
      <c r="AD38" s="126">
        <f>SUM('Defect (Total)'!AD38,Planned!AD38,Reconductor!AD38,CTGS!AD38)</f>
        <v>25</v>
      </c>
      <c r="AE38" s="126">
        <f>SUM('Defect (Total)'!AE38,Planned!AE38,Reconductor!AE38,CTGS!AE38)</f>
        <v>52.729380624999997</v>
      </c>
      <c r="AF38" s="126">
        <f>SUM('Defect (Total)'!AF38,Planned!AF38,Reconductor!AF38,CTGS!AF38)</f>
        <v>45.078666662000018</v>
      </c>
      <c r="AG38" s="126">
        <f>SUM('Defect (Total)'!AG38,Planned!AG38,Reconductor!AG38,CTGS!AG38)</f>
        <v>21.840666666666642</v>
      </c>
      <c r="AH38" s="126">
        <f>SUM('Defect (Total)'!AH38,Planned!AH38,Reconductor!AH38,CTGS!AH38)</f>
        <v>39.785665558999995</v>
      </c>
      <c r="AI38" s="126">
        <f>SUM('Defect (Total)'!AI38,Planned!AI38,Reconductor!AI38,CTGS!AI38)</f>
        <v>61.964998411333355</v>
      </c>
      <c r="AJ38" s="126">
        <f>SUM('Defect (Total)'!AJ38,Planned!AJ38,Reconductor!AJ38,CTGS!AJ38)</f>
        <v>59.524998494000016</v>
      </c>
      <c r="AK38" s="127">
        <f t="shared" si="14"/>
        <v>36.886875902533333</v>
      </c>
      <c r="AL38" s="128">
        <f t="shared" si="0"/>
        <v>35.568332962555552</v>
      </c>
      <c r="AM38" s="129">
        <f t="shared" si="15"/>
        <v>39.785665558999995</v>
      </c>
      <c r="AN38" s="91">
        <f t="shared" si="1"/>
        <v>23017.78947368421</v>
      </c>
      <c r="AO38" s="92">
        <f t="shared" si="2"/>
        <v>7417.3243243243242</v>
      </c>
      <c r="AP38" s="92">
        <f t="shared" si="3"/>
        <v>-87632.25</v>
      </c>
      <c r="AQ38" s="92">
        <f t="shared" si="4"/>
        <v>21813.674079123499</v>
      </c>
      <c r="AR38" s="92">
        <f t="shared" si="5"/>
        <v>17666.04</v>
      </c>
      <c r="AS38" s="92">
        <f t="shared" si="6"/>
        <v>23621.548898568573</v>
      </c>
      <c r="AT38" s="92">
        <f t="shared" si="7"/>
        <v>12398.313601194262</v>
      </c>
      <c r="AU38" s="92">
        <f t="shared" si="8"/>
        <v>40915.362003068607</v>
      </c>
      <c r="AV38" s="92">
        <f t="shared" si="9"/>
        <v>46148.97283656583</v>
      </c>
      <c r="AW38" s="92">
        <f t="shared" si="17"/>
        <v>65674.822503997872</v>
      </c>
      <c r="AX38" s="92">
        <f t="shared" si="17"/>
        <v>36774.002188613311</v>
      </c>
      <c r="AY38" s="93">
        <f t="shared" si="11"/>
        <v>26978.627760146654</v>
      </c>
      <c r="AZ38" s="94">
        <f t="shared" si="12"/>
        <v>30819.416733073853</v>
      </c>
      <c r="BA38" s="95">
        <f t="shared" si="13"/>
        <v>46148.97283656583</v>
      </c>
      <c r="BB38" s="692">
        <f>SUM('Defect (Total)'!BB38,Planned!CE38,Reconductor!CE38,CTGS!CE38,'Substation 2025$'!CE38*$BL$1,Comms!CA38*$BL$2)</f>
        <v>39.275997325444436</v>
      </c>
      <c r="BC38" s="692">
        <f>SUM('Defect (Total)'!BC38,Planned!CF38,Reconductor!CF38,CTGS!CF38,'Substation 2025$'!CF38*$BL$1,Comms!CB38*$BL$2)</f>
        <v>43.240895420921568</v>
      </c>
      <c r="BD38" s="363">
        <f>SUM('Defect (Total)'!BD38,Planned!CG38,Reconductor!CG38,CTGS!CG38,'Substation 2025$'!CG38*$BL$1,Comms!CC38*$BL$2)</f>
        <v>43.240895420921568</v>
      </c>
      <c r="BE38" s="363">
        <f>SUM('Defect (Total)'!BE38,Planned!CH38,Reconductor!CH38,CTGS!CH38,'Substation 2025$'!CH38*$BL$1,Comms!CD38*$BL$2)</f>
        <v>56.152640392414114</v>
      </c>
      <c r="BF38" s="363">
        <f>SUM('Defect (Total)'!BF38,Planned!CI38,Reconductor!CI38,CTGS!CI38,'Substation 2025$'!CI38*$BL$1,Comms!CE38*$BL$2)</f>
        <v>58.124349026461473</v>
      </c>
      <c r="BG38" s="363">
        <f>SUM('Defect (Total)'!BG38,Planned!CJ38,Reconductor!CJ38,CTGS!CJ38,'Substation 2025$'!CJ38*$BL$1,Comms!CF38*$BL$2)</f>
        <v>59.441704303829283</v>
      </c>
      <c r="BH38" s="363">
        <f>SUM('Defect (Total)'!BH38,Planned!CK38,Reconductor!CK38,CTGS!CK38,'Substation 2025$'!CK38*$BL$1,Comms!CG38*$BL$2)</f>
        <v>60.7610991841198</v>
      </c>
      <c r="BI38" s="364">
        <f>SUM('Defect (Total)'!BI38,Planned!CL38,Reconductor!CL38,CTGS!CL38,'Substation 2025$'!CL38*$BL$1,Comms!CH38*$BL$2)</f>
        <v>61.42149933262138</v>
      </c>
      <c r="BJ38" s="99">
        <f t="shared" si="16"/>
        <v>50743.048942250636</v>
      </c>
      <c r="BK38" s="743"/>
      <c r="BL38" s="97"/>
      <c r="BM38" s="524"/>
      <c r="BN38" s="416">
        <f>'Distribution Summary'!CI38+'Substation 2025$'!CT38</f>
        <v>2858784.6440507076</v>
      </c>
      <c r="BO38" s="97">
        <f>'Distribution Summary'!CJ38+'Substation 2025$'!CU38</f>
        <v>2950236.0663740966</v>
      </c>
      <c r="BP38" s="97">
        <f>'Distribution Summary'!CK38+'Substation 2025$'!CV38</f>
        <v>3013266.7667890061</v>
      </c>
      <c r="BQ38" s="97">
        <f>'Distribution Summary'!CL38+'Substation 2025$'!CW38</f>
        <v>3077604.4430746255</v>
      </c>
      <c r="BR38" s="98">
        <f>'Distribution Summary'!CM38+'Substation 2025$'!CX38</f>
        <v>3115041.8338929843</v>
      </c>
    </row>
    <row r="39" spans="1:70" x14ac:dyDescent="0.25">
      <c r="A39" s="81" t="s">
        <v>81</v>
      </c>
      <c r="B39" s="82" t="s">
        <v>316</v>
      </c>
      <c r="C39" s="83" t="s">
        <v>74</v>
      </c>
      <c r="D39" s="84">
        <f>SUM('Defect (Total)'!D39,Planned!D39,Reconductor!D39,CTGS!D39)</f>
        <v>607475</v>
      </c>
      <c r="E39" s="85">
        <f>SUM('Defect (Total)'!E39,Planned!E39,Reconductor!E39,CTGS!E39)</f>
        <v>274798</v>
      </c>
      <c r="F39" s="85">
        <f>SUM('Defect (Total)'!F39,Planned!F39,Reconductor!F39,CTGS!F39)</f>
        <v>81377</v>
      </c>
      <c r="G39" s="85">
        <f>SUM('Defect (Total)'!G39,Planned!G39,Reconductor!G39,CTGS!G39)</f>
        <v>10688</v>
      </c>
      <c r="H39" s="85">
        <f>SUM('Defect (Total)'!H39,Planned!H39,Reconductor!H39,CTGS!H39)</f>
        <v>34847</v>
      </c>
      <c r="I39" s="85">
        <f>SUM('Defect (Total)'!I39,Planned!I39,Reconductor!I39,CTGS!I39)</f>
        <v>126115.73273143986</v>
      </c>
      <c r="J39" s="85">
        <f>SUM('Defect (Total)'!J39,Planned!J39,Reconductor!J39,CTGS!J39)</f>
        <v>231829.44632006879</v>
      </c>
      <c r="K39" s="85">
        <f>SUM('Defect (Total)'!K39,Planned!K39,Reconductor!K39,CTGS!K39)</f>
        <v>862982.08648066688</v>
      </c>
      <c r="L39" s="85">
        <f>SUM('Defect (Total)'!L39,Planned!L39,Reconductor!L39,CTGS!L39)</f>
        <v>8965788.5291759353</v>
      </c>
      <c r="M39" s="85">
        <f>SUM('Defect (Total)'!M39,Planned!M39,Reconductor!M39,CTGS!M39)</f>
        <v>7036715.0832002051</v>
      </c>
      <c r="N39" s="85">
        <f>SUM('Defect (Total)'!N39,Planned!N39,Reconductor!N39,CTGS!N39)</f>
        <v>2862095.4180845474</v>
      </c>
      <c r="O39" s="560">
        <f>SUM('Defect (Total)'!O39,Planned!O39,Reconductor!O39,CTGS!O39)</f>
        <v>817331.07751001522</v>
      </c>
      <c r="P39" s="561">
        <f>SUM('Defect (Total)'!P39,Planned!P39,Reconductor!P39,CTGS!P39)</f>
        <v>364225.76673120313</v>
      </c>
      <c r="Q39" s="561">
        <f>SUM('Defect (Total)'!Q39,Planned!Q39,Reconductor!Q39,CTGS!Q39)</f>
        <v>106767.09173339774</v>
      </c>
      <c r="R39" s="561">
        <f>SUM('Defect (Total)'!R39,Planned!R39,Reconductor!R39,CTGS!R39)</f>
        <v>13756.703821970197</v>
      </c>
      <c r="S39" s="561">
        <f>SUM('Defect (Total)'!S39,Planned!S39,Reconductor!S39,CTGS!S39)</f>
        <v>43939.237363150161</v>
      </c>
      <c r="T39" s="561">
        <f>SUM('Defect (Total)'!T39,Planned!T39,Reconductor!T39,CTGS!T39)</f>
        <v>156528.32658416516</v>
      </c>
      <c r="U39" s="561">
        <f>SUM('Defect (Total)'!U39,Planned!U39,Reconductor!U39,CTGS!U39)</f>
        <v>288740.78736690461</v>
      </c>
      <c r="V39" s="561">
        <f>SUM('Defect (Total)'!V39,Planned!V39,Reconductor!V39,CTGS!V39)</f>
        <v>1035025.1506842778</v>
      </c>
      <c r="W39" s="561">
        <f>SUM('Defect (Total)'!W39,Planned!W39,Reconductor!W39,CTGS!W39)</f>
        <v>10130688.633157281</v>
      </c>
      <c r="X39" s="561">
        <f>SUM('Defect (Total)'!X39,Planned!X39,Reconductor!X39,CTGS!X39)</f>
        <v>7483271.5390263051</v>
      </c>
      <c r="Y39" s="561">
        <f>SUM('Defect (Total)'!Y39,Planned!Y39,Reconductor!Y39,CTGS!Y39)</f>
        <v>2929777.6296998817</v>
      </c>
      <c r="Z39" s="125">
        <f>SUM('Defect (Total)'!Z39,Planned!Z39,Reconductor!Z39,CTGS!Z39)</f>
        <v>9</v>
      </c>
      <c r="AA39" s="126">
        <f>SUM('Defect (Total)'!AA39,Planned!AA39,Reconductor!AA39,CTGS!AA39)</f>
        <v>13</v>
      </c>
      <c r="AB39" s="126">
        <f>SUM('Defect (Total)'!AB39,Planned!AB39,Reconductor!AB39,CTGS!AB39)</f>
        <v>2</v>
      </c>
      <c r="AC39" s="126">
        <f>SUM('Defect (Total)'!AC39,Planned!AC39,Reconductor!AC39,CTGS!AC39)</f>
        <v>0</v>
      </c>
      <c r="AD39" s="126">
        <f>SUM('Defect (Total)'!AD39,Planned!AD39,Reconductor!AD39,CTGS!AD39)</f>
        <v>1</v>
      </c>
      <c r="AE39" s="126">
        <f>SUM('Defect (Total)'!AE39,Planned!AE39,Reconductor!AE39,CTGS!AE39)</f>
        <v>1.286010079</v>
      </c>
      <c r="AF39" s="126">
        <f>SUM('Defect (Total)'!AF39,Planned!AF39,Reconductor!AF39,CTGS!AF39)</f>
        <v>1.325666666</v>
      </c>
      <c r="AG39" s="126">
        <f>SUM('Defect (Total)'!AG39,Planned!AG39,Reconductor!AG39,CTGS!AG39)</f>
        <v>14.143999999999986</v>
      </c>
      <c r="AH39" s="126">
        <f>SUM('Defect (Total)'!AH39,Planned!AH39,Reconductor!AH39,CTGS!AH39)</f>
        <v>9.4553332049999987</v>
      </c>
      <c r="AI39" s="126">
        <f>SUM('Defect (Total)'!AI39,Planned!AI39,Reconductor!AI39,CTGS!AI39)</f>
        <v>3.1450000690000004</v>
      </c>
      <c r="AJ39" s="126">
        <f>SUM('Defect (Total)'!AJ39,Planned!AJ39,Reconductor!AJ39,CTGS!AJ39)</f>
        <v>124.765666189</v>
      </c>
      <c r="AK39" s="127">
        <f t="shared" si="14"/>
        <v>5.4422019899999965</v>
      </c>
      <c r="AL39" s="128">
        <f t="shared" ref="AL39:AL102" si="18">IFERROR(IF($AM$4="N",SUM(AF39:AH39)/3,SUM(AG39:AI39)/3),"")</f>
        <v>8.3083332903333282</v>
      </c>
      <c r="AM39" s="129">
        <f t="shared" si="15"/>
        <v>9.4553332049999987</v>
      </c>
      <c r="AN39" s="91">
        <f t="shared" ref="AN39:AN70" si="19">IFERROR(D39/Z39,"")</f>
        <v>67497.222222222219</v>
      </c>
      <c r="AO39" s="92">
        <f t="shared" ref="AO39:AO70" si="20">IFERROR(E39/AA39,"")</f>
        <v>21138.307692307691</v>
      </c>
      <c r="AP39" s="92">
        <f t="shared" ref="AP39:AP70" si="21">IFERROR(F39/AB39,"")</f>
        <v>40688.5</v>
      </c>
      <c r="AQ39" s="92" t="str">
        <f t="shared" ref="AQ39:AQ70" si="22">IFERROR(G39/AC39,"")</f>
        <v/>
      </c>
      <c r="AR39" s="92">
        <f t="shared" ref="AR39:AR70" si="23">IFERROR(H39/AD39,"")</f>
        <v>34847</v>
      </c>
      <c r="AS39" s="92">
        <f t="shared" ref="AS39:AS70" si="24">IFERROR(I39/AE39,"")</f>
        <v>98067.452806829722</v>
      </c>
      <c r="AT39" s="92">
        <f t="shared" ref="AT39:AT70" si="25">IFERROR(J39/AF39,"")</f>
        <v>174877.63120693024</v>
      </c>
      <c r="AU39" s="92">
        <f t="shared" ref="AU39:AU70" si="26">IFERROR(K39/AG39,"")</f>
        <v>61014.004983078885</v>
      </c>
      <c r="AV39" s="92">
        <f t="shared" ref="AV39:AV70" si="27">IFERROR(L39/AH39,"")</f>
        <v>948225.55004564079</v>
      </c>
      <c r="AW39" s="92">
        <f t="shared" ref="AW39:AX54" si="28">IFERROR(M39/AI39,"")</f>
        <v>2237429.2301486763</v>
      </c>
      <c r="AX39" s="92">
        <f t="shared" si="28"/>
        <v>22939.767850467222</v>
      </c>
      <c r="AY39" s="93">
        <f t="shared" ref="AY39:AY102" si="29">IFERROR(IF($BA$4="N",SUM(H39:L39)/SUM(AD39:AH39),SUM(I39:M39)/SUM(AE39:AI39)),"")</f>
        <v>375640.69887483603</v>
      </c>
      <c r="AZ39" s="94">
        <f t="shared" si="12"/>
        <v>403634.90928969235</v>
      </c>
      <c r="BA39" s="95">
        <f t="shared" si="13"/>
        <v>948225.55004564079</v>
      </c>
      <c r="BB39" s="692">
        <f>SUM('Defect (Total)'!BB39,Planned!CE39,Reconductor!CE39,CTGS!CE39,'Substation 2025$'!CE39*$BL$1,Comms!CA39*$BL$2)</f>
        <v>8.7886842223999952</v>
      </c>
      <c r="BC39" s="692">
        <f>SUM('Defect (Total)'!BC39,Planned!CF39,Reconductor!CF39,CTGS!CF39,'Substation 2025$'!CF39*$BL$1,Comms!CB39*$BL$2)</f>
        <v>13.199157438801667</v>
      </c>
      <c r="BD39" s="363">
        <f>SUM('Defect (Total)'!BD39,Planned!CG39,Reconductor!CG39,CTGS!CG39,'Substation 2025$'!CG39*$BL$1,Comms!CC39*$BL$2)</f>
        <v>11.199157438801668</v>
      </c>
      <c r="BE39" s="363">
        <f>SUM('Defect (Total)'!BE39,Planned!CH39,Reconductor!CH39,CTGS!CH39,'Substation 2025$'!CH39*$BL$1,Comms!CD39*$BL$2)</f>
        <v>12.815897005441695</v>
      </c>
      <c r="BF39" s="363">
        <f>SUM('Defect (Total)'!BF39,Planned!CI39,Reconductor!CI39,CTGS!CI39,'Substation 2025$'!CI39*$BL$1,Comms!CE39*$BL$2)</f>
        <v>13.286417261970323</v>
      </c>
      <c r="BG39" s="363">
        <f>SUM('Defect (Total)'!BG39,Planned!CJ39,Reconductor!CJ39,CTGS!CJ39,'Substation 2025$'!CJ39*$BL$1,Comms!CF39*$BL$2)</f>
        <v>13.600159846342658</v>
      </c>
      <c r="BH39" s="363">
        <f>SUM('Defect (Total)'!BH39,Planned!CK39,Reconductor!CK39,CTGS!CK39,'Substation 2025$'!CK39*$BL$1,Comms!CG39*$BL$2)</f>
        <v>13.913945926024271</v>
      </c>
      <c r="BI39" s="364">
        <f>SUM('Defect (Total)'!BI39,Planned!CL39,Reconductor!CL39,CTGS!CL39,'Substation 2025$'!CL39*$BL$1,Comms!CH39*$BL$2)</f>
        <v>14.070853798212644</v>
      </c>
      <c r="BJ39" s="99">
        <f t="shared" si="16"/>
        <v>370860.39592127636</v>
      </c>
      <c r="BK39" s="743"/>
      <c r="BL39" s="97"/>
      <c r="BM39" s="524"/>
      <c r="BN39" s="416">
        <f>'Distribution Summary'!CI39+'Substation 2025$'!CT39</f>
        <v>4588140.0144917099</v>
      </c>
      <c r="BO39" s="97">
        <f>'Distribution Summary'!CJ39+'Substation 2025$'!CU39</f>
        <v>4864250.0148808751</v>
      </c>
      <c r="BP39" s="97">
        <f>'Distribution Summary'!CK39+'Substation 2025$'!CV39</f>
        <v>5053213.5941369981</v>
      </c>
      <c r="BQ39" s="97">
        <f>'Distribution Summary'!CL39+'Substation 2025$'!CW39</f>
        <v>5245607.7429481028</v>
      </c>
      <c r="BR39" s="98">
        <f>'Distribution Summary'!CM39+'Substation 2025$'!CX39</f>
        <v>5351317.807931724</v>
      </c>
    </row>
    <row r="40" spans="1:70" x14ac:dyDescent="0.25">
      <c r="A40" s="81" t="s">
        <v>81</v>
      </c>
      <c r="B40" s="82" t="s">
        <v>317</v>
      </c>
      <c r="C40" s="83" t="s">
        <v>76</v>
      </c>
      <c r="D40" s="84">
        <f>SUM('Defect (Total)'!D40,Planned!D40,Reconductor!D40,CTGS!D40)</f>
        <v>0</v>
      </c>
      <c r="E40" s="85">
        <f>SUM('Defect (Total)'!E40,Planned!E40,Reconductor!E40,CTGS!E40)</f>
        <v>0</v>
      </c>
      <c r="F40" s="85">
        <f>SUM('Defect (Total)'!F40,Planned!F40,Reconductor!F40,CTGS!F40)</f>
        <v>429548</v>
      </c>
      <c r="G40" s="85">
        <f>SUM('Defect (Total)'!G40,Planned!G40,Reconductor!G40,CTGS!G40)</f>
        <v>0</v>
      </c>
      <c r="H40" s="85">
        <f>SUM('Defect (Total)'!H40,Planned!H40,Reconductor!H40,CTGS!H40)</f>
        <v>0</v>
      </c>
      <c r="I40" s="85">
        <f>SUM('Defect (Total)'!I40,Planned!I40,Reconductor!I40,CTGS!I40)</f>
        <v>-6906.83</v>
      </c>
      <c r="J40" s="85">
        <f>SUM('Defect (Total)'!J40,Planned!J40,Reconductor!J40,CTGS!J40)</f>
        <v>0</v>
      </c>
      <c r="K40" s="85">
        <f>SUM('Defect (Total)'!K40,Planned!K40,Reconductor!K40,CTGS!K40)</f>
        <v>2827.8290000000002</v>
      </c>
      <c r="L40" s="85">
        <f>SUM('Defect (Total)'!L40,Planned!L40,Reconductor!L40,CTGS!L40)</f>
        <v>0</v>
      </c>
      <c r="M40" s="85">
        <f>SUM('Defect (Total)'!M40,Planned!M40,Reconductor!M40,CTGS!M40)</f>
        <v>0</v>
      </c>
      <c r="N40" s="85">
        <f>SUM('Defect (Total)'!N40,Planned!N40,Reconductor!N40,CTGS!N40)</f>
        <v>4406300.18402569</v>
      </c>
      <c r="O40" s="560">
        <f>SUM('Defect (Total)'!O40,Planned!O40,Reconductor!O40,CTGS!O40)</f>
        <v>0</v>
      </c>
      <c r="P40" s="561">
        <f>SUM('Defect (Total)'!P40,Planned!P40,Reconductor!P40,CTGS!P40)</f>
        <v>0</v>
      </c>
      <c r="Q40" s="561">
        <f>SUM('Defect (Total)'!Q40,Planned!Q40,Reconductor!Q40,CTGS!Q40)</f>
        <v>563569.44492789777</v>
      </c>
      <c r="R40" s="561">
        <f>SUM('Defect (Total)'!R40,Planned!R40,Reconductor!R40,CTGS!R40)</f>
        <v>0</v>
      </c>
      <c r="S40" s="561">
        <f>SUM('Defect (Total)'!S40,Planned!S40,Reconductor!S40,CTGS!S40)</f>
        <v>0</v>
      </c>
      <c r="T40" s="561">
        <f>SUM('Defect (Total)'!T40,Planned!T40,Reconductor!T40,CTGS!T40)</f>
        <v>-8572.4002746232673</v>
      </c>
      <c r="U40" s="561">
        <f>SUM('Defect (Total)'!U40,Planned!U40,Reconductor!U40,CTGS!U40)</f>
        <v>0</v>
      </c>
      <c r="V40" s="561">
        <f>SUM('Defect (Total)'!V40,Planned!V40,Reconductor!V40,CTGS!V40)</f>
        <v>3391.5815666237945</v>
      </c>
      <c r="W40" s="561">
        <f>SUM('Defect (Total)'!W40,Planned!W40,Reconductor!W40,CTGS!W40)</f>
        <v>0</v>
      </c>
      <c r="X40" s="561">
        <f>SUM('Defect (Total)'!X40,Planned!X40,Reconductor!X40,CTGS!X40)</f>
        <v>0</v>
      </c>
      <c r="Y40" s="561">
        <f>SUM('Defect (Total)'!Y40,Planned!Y40,Reconductor!Y40,CTGS!Y40)</f>
        <v>4525622.8743350627</v>
      </c>
      <c r="Z40" s="125">
        <f>SUM('Defect (Total)'!Z40,Planned!Z40,Reconductor!Z40,CTGS!Z40)</f>
        <v>0</v>
      </c>
      <c r="AA40" s="126">
        <f>SUM('Defect (Total)'!AA40,Planned!AA40,Reconductor!AA40,CTGS!AA40)</f>
        <v>0</v>
      </c>
      <c r="AB40" s="126">
        <f>SUM('Defect (Total)'!AB40,Planned!AB40,Reconductor!AB40,CTGS!AB40)</f>
        <v>1</v>
      </c>
      <c r="AC40" s="126">
        <f>SUM('Defect (Total)'!AC40,Planned!AC40,Reconductor!AC40,CTGS!AC40)</f>
        <v>0</v>
      </c>
      <c r="AD40" s="126">
        <f>SUM('Defect (Total)'!AD40,Planned!AD40,Reconductor!AD40,CTGS!AD40)</f>
        <v>0</v>
      </c>
      <c r="AE40" s="126">
        <f>SUM('Defect (Total)'!AE40,Planned!AE40,Reconductor!AE40,CTGS!AE40)</f>
        <v>-0.247500002</v>
      </c>
      <c r="AF40" s="126">
        <f>SUM('Defect (Total)'!AF40,Planned!AF40,Reconductor!AF40,CTGS!AF40)</f>
        <v>0</v>
      </c>
      <c r="AG40" s="126">
        <f>SUM('Defect (Total)'!AG40,Planned!AG40,Reconductor!AG40,CTGS!AG40)</f>
        <v>0</v>
      </c>
      <c r="AH40" s="126">
        <f>SUM('Defect (Total)'!AH40,Planned!AH40,Reconductor!AH40,CTGS!AH40)</f>
        <v>0</v>
      </c>
      <c r="AI40" s="126">
        <f>SUM('Defect (Total)'!AI40,Planned!AI40,Reconductor!AI40,CTGS!AI40)</f>
        <v>0</v>
      </c>
      <c r="AJ40" s="126">
        <f>SUM('Defect (Total)'!AJ40,Planned!AJ40,Reconductor!AJ40,CTGS!AJ40)</f>
        <v>0.133333332</v>
      </c>
      <c r="AK40" s="127">
        <f t="shared" si="14"/>
        <v>-4.9500000400000001E-2</v>
      </c>
      <c r="AL40" s="128">
        <f t="shared" si="18"/>
        <v>0</v>
      </c>
      <c r="AM40" s="129">
        <f t="shared" si="15"/>
        <v>0</v>
      </c>
      <c r="AN40" s="91" t="str">
        <f t="shared" si="19"/>
        <v/>
      </c>
      <c r="AO40" s="92" t="str">
        <f t="shared" si="20"/>
        <v/>
      </c>
      <c r="AP40" s="92">
        <f t="shared" si="21"/>
        <v>429548</v>
      </c>
      <c r="AQ40" s="92" t="str">
        <f t="shared" si="22"/>
        <v/>
      </c>
      <c r="AR40" s="92" t="str">
        <f t="shared" si="23"/>
        <v/>
      </c>
      <c r="AS40" s="92">
        <f t="shared" si="24"/>
        <v>27906.383612877707</v>
      </c>
      <c r="AT40" s="92" t="str">
        <f t="shared" si="25"/>
        <v/>
      </c>
      <c r="AU40" s="92" t="str">
        <f t="shared" si="26"/>
        <v/>
      </c>
      <c r="AV40" s="92" t="str">
        <f t="shared" si="27"/>
        <v/>
      </c>
      <c r="AW40" s="92" t="str">
        <f t="shared" si="28"/>
        <v/>
      </c>
      <c r="AX40" s="92">
        <f t="shared" si="28"/>
        <v>33047251.710665192</v>
      </c>
      <c r="AY40" s="93">
        <f t="shared" si="29"/>
        <v>16480.811988033842</v>
      </c>
      <c r="AZ40" s="94" t="str">
        <f t="shared" si="12"/>
        <v/>
      </c>
      <c r="BA40" s="95" t="str">
        <f t="shared" si="13"/>
        <v/>
      </c>
      <c r="BB40" s="692">
        <f>SUM('Defect (Total)'!BB40,Planned!CE40,Reconductor!CE40,CTGS!CE40,'Substation 2025$'!CE40*$BL$1,Comms!CA40*$BL$2)</f>
        <v>0</v>
      </c>
      <c r="BC40" s="692">
        <f>SUM('Defect (Total)'!BC40,Planned!CF40,Reconductor!CF40,CTGS!CF40,'Substation 2025$'!CF40*$BL$1,Comms!CB40*$BL$2)</f>
        <v>0</v>
      </c>
      <c r="BD40" s="363">
        <f>SUM('Defect (Total)'!BD40,Planned!CG40,Reconductor!CG40,CTGS!CG40,'Substation 2025$'!CG40*$BL$1,Comms!CC40*$BL$2)</f>
        <v>0</v>
      </c>
      <c r="BE40" s="363">
        <f>SUM('Defect (Total)'!BE40,Planned!CH40,Reconductor!CH40,CTGS!CH40,'Substation 2025$'!CH40*$BL$1,Comms!CD40*$BL$2)</f>
        <v>0</v>
      </c>
      <c r="BF40" s="363">
        <f>SUM('Defect (Total)'!BF40,Planned!CI40,Reconductor!CI40,CTGS!CI40,'Substation 2025$'!CI40*$BL$1,Comms!CE40*$BL$2)</f>
        <v>0</v>
      </c>
      <c r="BG40" s="363">
        <f>SUM('Defect (Total)'!BG40,Planned!CJ40,Reconductor!CJ40,CTGS!CJ40,'Substation 2025$'!CJ40*$BL$1,Comms!CF40*$BL$2)</f>
        <v>0</v>
      </c>
      <c r="BH40" s="363">
        <f>SUM('Defect (Total)'!BH40,Planned!CK40,Reconductor!CK40,CTGS!CK40,'Substation 2025$'!CK40*$BL$1,Comms!CG40*$BL$2)</f>
        <v>0</v>
      </c>
      <c r="BI40" s="364">
        <f>SUM('Defect (Total)'!BI40,Planned!CL40,Reconductor!CL40,CTGS!CL40,'Substation 2025$'!CL40*$BL$1,Comms!CH40*$BL$2)</f>
        <v>0</v>
      </c>
      <c r="BJ40" s="99" t="str">
        <f t="shared" si="16"/>
        <v/>
      </c>
      <c r="BK40" s="743"/>
      <c r="BL40" s="97"/>
      <c r="BM40" s="524"/>
      <c r="BN40" s="416">
        <f>'Distribution Summary'!CI40+'Substation 2025$'!CT40</f>
        <v>0</v>
      </c>
      <c r="BO40" s="97">
        <f>'Distribution Summary'!CJ40+'Substation 2025$'!CU40</f>
        <v>0</v>
      </c>
      <c r="BP40" s="97">
        <f>'Distribution Summary'!CK40+'Substation 2025$'!CV40</f>
        <v>0</v>
      </c>
      <c r="BQ40" s="97">
        <f>'Distribution Summary'!CL40+'Substation 2025$'!CW40</f>
        <v>0</v>
      </c>
      <c r="BR40" s="98">
        <f>'Distribution Summary'!CM40+'Substation 2025$'!CX40</f>
        <v>0</v>
      </c>
    </row>
    <row r="41" spans="1:70" x14ac:dyDescent="0.25">
      <c r="A41" s="81" t="s">
        <v>81</v>
      </c>
      <c r="B41" s="82" t="s">
        <v>318</v>
      </c>
      <c r="C41" s="83" t="s">
        <v>78</v>
      </c>
      <c r="D41" s="84">
        <f>SUM('Defect (Total)'!D41,Planned!D41,Reconductor!D41,CTGS!D41)</f>
        <v>0</v>
      </c>
      <c r="E41" s="85">
        <f>SUM('Defect (Total)'!E41,Planned!E41,Reconductor!E41,CTGS!E41)</f>
        <v>0</v>
      </c>
      <c r="F41" s="85">
        <f>SUM('Defect (Total)'!F41,Planned!F41,Reconductor!F41,CTGS!F41)</f>
        <v>0</v>
      </c>
      <c r="G41" s="85">
        <f>SUM('Defect (Total)'!G41,Planned!G41,Reconductor!G41,CTGS!G41)</f>
        <v>0</v>
      </c>
      <c r="H41" s="85">
        <f>SUM('Defect (Total)'!H41,Planned!H41,Reconductor!H41,CTGS!H41)</f>
        <v>0</v>
      </c>
      <c r="I41" s="85">
        <f>SUM('Defect (Total)'!I41,Planned!I41,Reconductor!I41,CTGS!I41)</f>
        <v>0</v>
      </c>
      <c r="J41" s="85">
        <f>SUM('Defect (Total)'!J41,Planned!J41,Reconductor!J41,CTGS!J41)</f>
        <v>0</v>
      </c>
      <c r="K41" s="85">
        <f>SUM('Defect (Total)'!K41,Planned!K41,Reconductor!K41,CTGS!K41)</f>
        <v>0</v>
      </c>
      <c r="L41" s="85">
        <f>SUM('Defect (Total)'!L41,Planned!L41,Reconductor!L41,CTGS!L41)</f>
        <v>0</v>
      </c>
      <c r="M41" s="85">
        <f>SUM('Defect (Total)'!M41,Planned!M41,Reconductor!M41,CTGS!M41)</f>
        <v>0</v>
      </c>
      <c r="N41" s="85">
        <f>SUM('Defect (Total)'!N41,Planned!N41,Reconductor!N41,CTGS!N41)</f>
        <v>0</v>
      </c>
      <c r="O41" s="560">
        <f>SUM('Defect (Total)'!O41,Planned!O41,Reconductor!O41,CTGS!O41)</f>
        <v>0</v>
      </c>
      <c r="P41" s="561">
        <f>SUM('Defect (Total)'!P41,Planned!P41,Reconductor!P41,CTGS!P41)</f>
        <v>0</v>
      </c>
      <c r="Q41" s="561">
        <f>SUM('Defect (Total)'!Q41,Planned!Q41,Reconductor!Q41,CTGS!Q41)</f>
        <v>0</v>
      </c>
      <c r="R41" s="561">
        <f>SUM('Defect (Total)'!R41,Planned!R41,Reconductor!R41,CTGS!R41)</f>
        <v>0</v>
      </c>
      <c r="S41" s="561">
        <f>SUM('Defect (Total)'!S41,Planned!S41,Reconductor!S41,CTGS!S41)</f>
        <v>0</v>
      </c>
      <c r="T41" s="561">
        <f>SUM('Defect (Total)'!T41,Planned!T41,Reconductor!T41,CTGS!T41)</f>
        <v>0</v>
      </c>
      <c r="U41" s="561">
        <f>SUM('Defect (Total)'!U41,Planned!U41,Reconductor!U41,CTGS!U41)</f>
        <v>0</v>
      </c>
      <c r="V41" s="561">
        <f>SUM('Defect (Total)'!V41,Planned!V41,Reconductor!V41,CTGS!V41)</f>
        <v>0</v>
      </c>
      <c r="W41" s="561">
        <f>SUM('Defect (Total)'!W41,Planned!W41,Reconductor!W41,CTGS!W41)</f>
        <v>0</v>
      </c>
      <c r="X41" s="561">
        <f>SUM('Defect (Total)'!X41,Planned!X41,Reconductor!X41,CTGS!X41)</f>
        <v>0</v>
      </c>
      <c r="Y41" s="561">
        <f>SUM('Defect (Total)'!Y41,Planned!Y41,Reconductor!Y41,CTGS!Y41)</f>
        <v>0</v>
      </c>
      <c r="Z41" s="125">
        <f>SUM('Defect (Total)'!Z41,Planned!Z41,Reconductor!Z41,CTGS!Z41)</f>
        <v>0</v>
      </c>
      <c r="AA41" s="126">
        <f>SUM('Defect (Total)'!AA41,Planned!AA41,Reconductor!AA41,CTGS!AA41)</f>
        <v>0</v>
      </c>
      <c r="AB41" s="126">
        <f>SUM('Defect (Total)'!AB41,Planned!AB41,Reconductor!AB41,CTGS!AB41)</f>
        <v>0</v>
      </c>
      <c r="AC41" s="126">
        <f>SUM('Defect (Total)'!AC41,Planned!AC41,Reconductor!AC41,CTGS!AC41)</f>
        <v>0</v>
      </c>
      <c r="AD41" s="126">
        <f>SUM('Defect (Total)'!AD41,Planned!AD41,Reconductor!AD41,CTGS!AD41)</f>
        <v>0</v>
      </c>
      <c r="AE41" s="126">
        <f>SUM('Defect (Total)'!AE41,Planned!AE41,Reconductor!AE41,CTGS!AE41)</f>
        <v>0</v>
      </c>
      <c r="AF41" s="126">
        <f>SUM('Defect (Total)'!AF41,Planned!AF41,Reconductor!AF41,CTGS!AF41)</f>
        <v>0</v>
      </c>
      <c r="AG41" s="126">
        <f>SUM('Defect (Total)'!AG41,Planned!AG41,Reconductor!AG41,CTGS!AG41)</f>
        <v>0</v>
      </c>
      <c r="AH41" s="126">
        <f>SUM('Defect (Total)'!AH41,Planned!AH41,Reconductor!AH41,CTGS!AH41)</f>
        <v>0</v>
      </c>
      <c r="AI41" s="126">
        <f>SUM('Defect (Total)'!AI41,Planned!AI41,Reconductor!AI41,CTGS!AI41)</f>
        <v>0</v>
      </c>
      <c r="AJ41" s="126">
        <f>SUM('Defect (Total)'!AJ41,Planned!AJ41,Reconductor!AJ41,CTGS!AJ41)</f>
        <v>0</v>
      </c>
      <c r="AK41" s="127">
        <f t="shared" si="14"/>
        <v>0</v>
      </c>
      <c r="AL41" s="128">
        <f t="shared" si="18"/>
        <v>0</v>
      </c>
      <c r="AM41" s="129">
        <f t="shared" si="15"/>
        <v>0</v>
      </c>
      <c r="AN41" s="91" t="str">
        <f t="shared" si="19"/>
        <v/>
      </c>
      <c r="AO41" s="92" t="str">
        <f t="shared" si="20"/>
        <v/>
      </c>
      <c r="AP41" s="92" t="str">
        <f t="shared" si="21"/>
        <v/>
      </c>
      <c r="AQ41" s="92" t="str">
        <f t="shared" si="22"/>
        <v/>
      </c>
      <c r="AR41" s="92" t="str">
        <f t="shared" si="23"/>
        <v/>
      </c>
      <c r="AS41" s="92" t="str">
        <f t="shared" si="24"/>
        <v/>
      </c>
      <c r="AT41" s="92" t="str">
        <f t="shared" si="25"/>
        <v/>
      </c>
      <c r="AU41" s="92" t="str">
        <f t="shared" si="26"/>
        <v/>
      </c>
      <c r="AV41" s="92" t="str">
        <f t="shared" si="27"/>
        <v/>
      </c>
      <c r="AW41" s="92" t="str">
        <f t="shared" si="28"/>
        <v/>
      </c>
      <c r="AX41" s="92" t="str">
        <f t="shared" si="28"/>
        <v/>
      </c>
      <c r="AY41" s="93" t="str">
        <f t="shared" si="29"/>
        <v/>
      </c>
      <c r="AZ41" s="94" t="str">
        <f t="shared" si="12"/>
        <v/>
      </c>
      <c r="BA41" s="95" t="str">
        <f t="shared" si="13"/>
        <v/>
      </c>
      <c r="BB41" s="692">
        <f>SUM('Defect (Total)'!BB41,Planned!CE41,Reconductor!CE41,CTGS!CE41,'Substation 2025$'!CE41*$BL$1,Comms!CA41*$BL$2)</f>
        <v>0</v>
      </c>
      <c r="BC41" s="692">
        <f>SUM('Defect (Total)'!BC41,Planned!CF41,Reconductor!CF41,CTGS!CF41,'Substation 2025$'!CF41*$BL$1,Comms!CB41*$BL$2)</f>
        <v>0</v>
      </c>
      <c r="BD41" s="363">
        <f>SUM('Defect (Total)'!BD41,Planned!CG41,Reconductor!CG41,CTGS!CG41,'Substation 2025$'!CG41*$BL$1,Comms!CC41*$BL$2)</f>
        <v>0</v>
      </c>
      <c r="BE41" s="363">
        <f>SUM('Defect (Total)'!BE41,Planned!CH41,Reconductor!CH41,CTGS!CH41,'Substation 2025$'!CH41*$BL$1,Comms!CD41*$BL$2)</f>
        <v>0</v>
      </c>
      <c r="BF41" s="363">
        <f>SUM('Defect (Total)'!BF41,Planned!CI41,Reconductor!CI41,CTGS!CI41,'Substation 2025$'!CI41*$BL$1,Comms!CE41*$BL$2)</f>
        <v>0</v>
      </c>
      <c r="BG41" s="363">
        <f>SUM('Defect (Total)'!BG41,Planned!CJ41,Reconductor!CJ41,CTGS!CJ41,'Substation 2025$'!CJ41*$BL$1,Comms!CF41*$BL$2)</f>
        <v>0</v>
      </c>
      <c r="BH41" s="363">
        <f>SUM('Defect (Total)'!BH41,Planned!CK41,Reconductor!CK41,CTGS!CK41,'Substation 2025$'!CK41*$BL$1,Comms!CG41*$BL$2)</f>
        <v>0</v>
      </c>
      <c r="BI41" s="364">
        <f>SUM('Defect (Total)'!BI41,Planned!CL41,Reconductor!CL41,CTGS!CL41,'Substation 2025$'!CL41*$BL$1,Comms!CH41*$BL$2)</f>
        <v>0</v>
      </c>
      <c r="BJ41" s="99" t="str">
        <f t="shared" si="16"/>
        <v/>
      </c>
      <c r="BK41" s="743"/>
      <c r="BL41" s="97"/>
      <c r="BM41" s="524"/>
      <c r="BN41" s="416">
        <f>'Distribution Summary'!CI41+'Substation 2025$'!CT41</f>
        <v>0</v>
      </c>
      <c r="BO41" s="97">
        <f>'Distribution Summary'!CJ41+'Substation 2025$'!CU41</f>
        <v>0</v>
      </c>
      <c r="BP41" s="97">
        <f>'Distribution Summary'!CK41+'Substation 2025$'!CV41</f>
        <v>0</v>
      </c>
      <c r="BQ41" s="97">
        <f>'Distribution Summary'!CL41+'Substation 2025$'!CW41</f>
        <v>0</v>
      </c>
      <c r="BR41" s="98">
        <f>'Distribution Summary'!CM41+'Substation 2025$'!CX41</f>
        <v>0</v>
      </c>
    </row>
    <row r="42" spans="1:70" ht="15.75" thickBot="1" x14ac:dyDescent="0.3">
      <c r="A42" s="100" t="s">
        <v>81</v>
      </c>
      <c r="B42" s="101" t="s">
        <v>319</v>
      </c>
      <c r="C42" s="102" t="s">
        <v>320</v>
      </c>
      <c r="D42" s="103">
        <f>SUM('Defect (Total)'!D42,Planned!D42,Reconductor!D42,CTGS!D42)</f>
        <v>0</v>
      </c>
      <c r="E42" s="104">
        <f>SUM('Defect (Total)'!E42,Planned!E42,Reconductor!E42,CTGS!E42)</f>
        <v>0</v>
      </c>
      <c r="F42" s="104">
        <f>SUM('Defect (Total)'!F42,Planned!F42,Reconductor!F42,CTGS!F42)</f>
        <v>0</v>
      </c>
      <c r="G42" s="104">
        <f>SUM('Defect (Total)'!G42,Planned!G42,Reconductor!G42,CTGS!G42)</f>
        <v>0</v>
      </c>
      <c r="H42" s="104">
        <f>SUM('Defect (Total)'!H42,Planned!H42,Reconductor!H42,CTGS!H42)</f>
        <v>0</v>
      </c>
      <c r="I42" s="104">
        <f>SUM('Defect (Total)'!I42,Planned!I42,Reconductor!I42,CTGS!I42)</f>
        <v>0</v>
      </c>
      <c r="J42" s="104">
        <f>SUM('Defect (Total)'!J42,Planned!J42,Reconductor!J42,CTGS!J42)</f>
        <v>0</v>
      </c>
      <c r="K42" s="104">
        <f>SUM('Defect (Total)'!K42,Planned!K42,Reconductor!K42,CTGS!K42)</f>
        <v>0</v>
      </c>
      <c r="L42" s="104">
        <f>SUM('Defect (Total)'!L42,Planned!L42,Reconductor!L42,CTGS!L42)</f>
        <v>0</v>
      </c>
      <c r="M42" s="104">
        <f>SUM('Defect (Total)'!M42,Planned!M42,Reconductor!M42,CTGS!M42)</f>
        <v>0</v>
      </c>
      <c r="N42" s="104">
        <f>SUM('Defect (Total)'!N42,Planned!N42,Reconductor!N42,CTGS!N42)</f>
        <v>0</v>
      </c>
      <c r="O42" s="563">
        <f>SUM('Defect (Total)'!O42,Planned!O42,Reconductor!O42,CTGS!O42)</f>
        <v>0</v>
      </c>
      <c r="P42" s="564">
        <f>SUM('Defect (Total)'!P42,Planned!P42,Reconductor!P42,CTGS!P42)</f>
        <v>0</v>
      </c>
      <c r="Q42" s="564">
        <f>SUM('Defect (Total)'!Q42,Planned!Q42,Reconductor!Q42,CTGS!Q42)</f>
        <v>0</v>
      </c>
      <c r="R42" s="564">
        <f>SUM('Defect (Total)'!R42,Planned!R42,Reconductor!R42,CTGS!R42)</f>
        <v>0</v>
      </c>
      <c r="S42" s="564">
        <f>SUM('Defect (Total)'!S42,Planned!S42,Reconductor!S42,CTGS!S42)</f>
        <v>0</v>
      </c>
      <c r="T42" s="564">
        <f>SUM('Defect (Total)'!T42,Planned!T42,Reconductor!T42,CTGS!T42)</f>
        <v>0</v>
      </c>
      <c r="U42" s="564">
        <f>SUM('Defect (Total)'!U42,Planned!U42,Reconductor!U42,CTGS!U42)</f>
        <v>0</v>
      </c>
      <c r="V42" s="564">
        <f>SUM('Defect (Total)'!V42,Planned!V42,Reconductor!V42,CTGS!V42)</f>
        <v>0</v>
      </c>
      <c r="W42" s="564">
        <f>SUM('Defect (Total)'!W42,Planned!W42,Reconductor!W42,CTGS!W42)</f>
        <v>0</v>
      </c>
      <c r="X42" s="564">
        <f>SUM('Defect (Total)'!X42,Planned!X42,Reconductor!X42,CTGS!X42)</f>
        <v>0</v>
      </c>
      <c r="Y42" s="564">
        <f>SUM('Defect (Total)'!Y42,Planned!Y42,Reconductor!Y42,CTGS!Y42)</f>
        <v>0</v>
      </c>
      <c r="Z42" s="131">
        <f>SUM('Defect (Total)'!Z42,Planned!Z42,Reconductor!Z42,CTGS!Z42)</f>
        <v>0</v>
      </c>
      <c r="AA42" s="132">
        <f>SUM('Defect (Total)'!AA42,Planned!AA42,Reconductor!AA42,CTGS!AA42)</f>
        <v>0</v>
      </c>
      <c r="AB42" s="132">
        <f>SUM('Defect (Total)'!AB42,Planned!AB42,Reconductor!AB42,CTGS!AB42)</f>
        <v>0</v>
      </c>
      <c r="AC42" s="132">
        <f>SUM('Defect (Total)'!AC42,Planned!AC42,Reconductor!AC42,CTGS!AC42)</f>
        <v>0</v>
      </c>
      <c r="AD42" s="132">
        <f>SUM('Defect (Total)'!AD42,Planned!AD42,Reconductor!AD42,CTGS!AD42)</f>
        <v>0</v>
      </c>
      <c r="AE42" s="132">
        <f>SUM('Defect (Total)'!AE42,Planned!AE42,Reconductor!AE42,CTGS!AE42)</f>
        <v>0</v>
      </c>
      <c r="AF42" s="132">
        <f>SUM('Defect (Total)'!AF42,Planned!AF42,Reconductor!AF42,CTGS!AF42)</f>
        <v>0</v>
      </c>
      <c r="AG42" s="132">
        <f>SUM('Defect (Total)'!AG42,Planned!AG42,Reconductor!AG42,CTGS!AG42)</f>
        <v>0</v>
      </c>
      <c r="AH42" s="132">
        <f>SUM('Defect (Total)'!AH42,Planned!AH42,Reconductor!AH42,CTGS!AH42)</f>
        <v>0</v>
      </c>
      <c r="AI42" s="132">
        <f>SUM('Defect (Total)'!AI42,Planned!AI42,Reconductor!AI42,CTGS!AI42)</f>
        <v>0</v>
      </c>
      <c r="AJ42" s="132">
        <f>SUM('Defect (Total)'!AJ42,Planned!AJ42,Reconductor!AJ42,CTGS!AJ42)</f>
        <v>0</v>
      </c>
      <c r="AK42" s="133">
        <f t="shared" si="14"/>
        <v>0</v>
      </c>
      <c r="AL42" s="134">
        <f t="shared" si="18"/>
        <v>0</v>
      </c>
      <c r="AM42" s="135">
        <f t="shared" si="15"/>
        <v>0</v>
      </c>
      <c r="AN42" s="110" t="str">
        <f t="shared" si="19"/>
        <v/>
      </c>
      <c r="AO42" s="111" t="str">
        <f t="shared" si="20"/>
        <v/>
      </c>
      <c r="AP42" s="111" t="str">
        <f t="shared" si="21"/>
        <v/>
      </c>
      <c r="AQ42" s="111" t="str">
        <f t="shared" si="22"/>
        <v/>
      </c>
      <c r="AR42" s="111" t="str">
        <f t="shared" si="23"/>
        <v/>
      </c>
      <c r="AS42" s="111" t="str">
        <f t="shared" si="24"/>
        <v/>
      </c>
      <c r="AT42" s="111" t="str">
        <f t="shared" si="25"/>
        <v/>
      </c>
      <c r="AU42" s="111" t="str">
        <f t="shared" si="26"/>
        <v/>
      </c>
      <c r="AV42" s="111" t="str">
        <f t="shared" si="27"/>
        <v/>
      </c>
      <c r="AW42" s="111" t="str">
        <f t="shared" si="28"/>
        <v/>
      </c>
      <c r="AX42" s="111" t="str">
        <f t="shared" si="28"/>
        <v/>
      </c>
      <c r="AY42" s="112" t="str">
        <f t="shared" si="29"/>
        <v/>
      </c>
      <c r="AZ42" s="113" t="str">
        <f t="shared" si="12"/>
        <v/>
      </c>
      <c r="BA42" s="114" t="str">
        <f t="shared" si="13"/>
        <v/>
      </c>
      <c r="BB42" s="693">
        <f>SUM('Defect (Total)'!BB42,Planned!CE42,Reconductor!CE42,CTGS!CE42,'Substation 2025$'!CE42*$BL$1,Comms!CA42*$BL$2)</f>
        <v>0</v>
      </c>
      <c r="BC42" s="693">
        <f>SUM('Defect (Total)'!BC42,Planned!CF42,Reconductor!CF42,CTGS!CF42,'Substation 2025$'!CF42*$BL$1,Comms!CB42*$BL$2)</f>
        <v>0</v>
      </c>
      <c r="BD42" s="366">
        <f>SUM('Defect (Total)'!BD42,Planned!CG42,Reconductor!CG42,CTGS!CG42,'Substation 2025$'!CG42*$BL$1,Comms!CC42*$BL$2)</f>
        <v>0</v>
      </c>
      <c r="BE42" s="366">
        <f>SUM('Defect (Total)'!BE42,Planned!CH42,Reconductor!CH42,CTGS!CH42,'Substation 2025$'!CH42*$BL$1,Comms!CD42*$BL$2)</f>
        <v>0</v>
      </c>
      <c r="BF42" s="366">
        <f>SUM('Defect (Total)'!BF42,Planned!CI42,Reconductor!CI42,CTGS!CI42,'Substation 2025$'!CI42*$BL$1,Comms!CE42*$BL$2)</f>
        <v>0</v>
      </c>
      <c r="BG42" s="366">
        <f>SUM('Defect (Total)'!BG42,Planned!CJ42,Reconductor!CJ42,CTGS!CJ42,'Substation 2025$'!CJ42*$BL$1,Comms!CF42*$BL$2)</f>
        <v>0</v>
      </c>
      <c r="BH42" s="366">
        <f>SUM('Defect (Total)'!BH42,Planned!CK42,Reconductor!CK42,CTGS!CK42,'Substation 2025$'!CK42*$BL$1,Comms!CG42*$BL$2)</f>
        <v>0</v>
      </c>
      <c r="BI42" s="367">
        <f>SUM('Defect (Total)'!BI42,Planned!CL42,Reconductor!CL42,CTGS!CL42,'Substation 2025$'!CL42*$BL$1,Comms!CH42*$BL$2)</f>
        <v>0</v>
      </c>
      <c r="BJ42" s="116" t="str">
        <f t="shared" si="16"/>
        <v/>
      </c>
      <c r="BK42" s="744"/>
      <c r="BL42" s="117"/>
      <c r="BM42" s="638"/>
      <c r="BN42" s="467">
        <f>'Distribution Summary'!CI42+'Substation 2025$'!CT42</f>
        <v>0</v>
      </c>
      <c r="BO42" s="117">
        <f>'Distribution Summary'!CJ42+'Substation 2025$'!CU42</f>
        <v>0</v>
      </c>
      <c r="BP42" s="117">
        <f>'Distribution Summary'!CK42+'Substation 2025$'!CV42</f>
        <v>0</v>
      </c>
      <c r="BQ42" s="117">
        <f>'Distribution Summary'!CL42+'Substation 2025$'!CW42</f>
        <v>0</v>
      </c>
      <c r="BR42" s="118">
        <f>'Distribution Summary'!CM42+'Substation 2025$'!CX42</f>
        <v>0</v>
      </c>
    </row>
    <row r="43" spans="1:70" x14ac:dyDescent="0.25">
      <c r="A43" s="63" t="s">
        <v>94</v>
      </c>
      <c r="B43" s="334" t="s">
        <v>92</v>
      </c>
      <c r="C43" s="65" t="s">
        <v>305</v>
      </c>
      <c r="D43" s="66">
        <f>SUM('Defect (Total)'!D43,Planned!D43,Reconductor!D43,CTGS!D43)</f>
        <v>749767</v>
      </c>
      <c r="E43" s="67">
        <f>SUM('Defect (Total)'!E43,Planned!E43,Reconductor!E43,CTGS!E43)</f>
        <v>1618342</v>
      </c>
      <c r="F43" s="67">
        <f>SUM('Defect (Total)'!F43,Planned!F43,Reconductor!F43,CTGS!F43)</f>
        <v>1893474</v>
      </c>
      <c r="G43" s="67">
        <f>SUM('Defect (Total)'!G43,Planned!G43,Reconductor!G43,CTGS!G43)</f>
        <v>1523393.5397750521</v>
      </c>
      <c r="H43" s="67">
        <f>SUM('Defect (Total)'!H43,Planned!H43,Reconductor!H43,CTGS!H43)</f>
        <v>1390163.6677463539</v>
      </c>
      <c r="I43" s="67">
        <f>SUM('Defect (Total)'!I43,Planned!I43,Reconductor!I43,CTGS!I43)</f>
        <v>1575911.5422132332</v>
      </c>
      <c r="J43" s="67">
        <f>SUM('Defect (Total)'!J43,Planned!J43,Reconductor!J43,CTGS!J43)</f>
        <v>3265911.0194878643</v>
      </c>
      <c r="K43" s="67">
        <f>SUM('Defect (Total)'!K43,Planned!K43,Reconductor!K43,CTGS!K43)</f>
        <v>4374136.2633900307</v>
      </c>
      <c r="L43" s="67">
        <f>SUM('Defect (Total)'!L43,Planned!L43,Reconductor!L43,CTGS!L43)</f>
        <v>4439821.4098038366</v>
      </c>
      <c r="M43" s="67">
        <f>SUM('Defect (Total)'!M43,Planned!M43,Reconductor!M43,CTGS!M43)</f>
        <v>3935503.2921129577</v>
      </c>
      <c r="N43" s="67">
        <f>SUM('Defect (Total)'!N43,Planned!N43,Reconductor!N43,CTGS!N43)</f>
        <v>7830182.5878123324</v>
      </c>
      <c r="O43" s="557">
        <f>SUM('Defect (Total)'!O43,Planned!O43,Reconductor!O43,CTGS!O43)</f>
        <v>1008778.7480825575</v>
      </c>
      <c r="P43" s="558">
        <f>SUM('Defect (Total)'!P43,Planned!P43,Reconductor!P43,CTGS!P43)</f>
        <v>2145000.5305108074</v>
      </c>
      <c r="Q43" s="558">
        <f>SUM('Defect (Total)'!Q43,Planned!Q43,Reconductor!Q43,CTGS!Q43)</f>
        <v>2484248.7711860063</v>
      </c>
      <c r="R43" s="558">
        <f>SUM('Defect (Total)'!R43,Planned!R43,Reconductor!R43,CTGS!R43)</f>
        <v>1960785.3415969468</v>
      </c>
      <c r="S43" s="558">
        <f>SUM('Defect (Total)'!S43,Planned!S43,Reconductor!S43,CTGS!S43)</f>
        <v>1752883.5013267847</v>
      </c>
      <c r="T43" s="558">
        <f>SUM('Defect (Total)'!T43,Planned!T43,Reconductor!T43,CTGS!T43)</f>
        <v>1955939.9228373505</v>
      </c>
      <c r="U43" s="558">
        <f>SUM('Defect (Total)'!U43,Planned!U43,Reconductor!U43,CTGS!U43)</f>
        <v>4067652.898308903</v>
      </c>
      <c r="V43" s="558">
        <f>SUM('Defect (Total)'!V43,Planned!V43,Reconductor!V43,CTGS!V43)</f>
        <v>5246158.7743863966</v>
      </c>
      <c r="W43" s="558">
        <f>SUM('Defect (Total)'!W43,Planned!W43,Reconductor!W43,CTGS!W43)</f>
        <v>5016675.1249130927</v>
      </c>
      <c r="X43" s="558">
        <f>SUM('Defect (Total)'!X43,Planned!X43,Reconductor!X43,CTGS!X43)</f>
        <v>4185253.9756689346</v>
      </c>
      <c r="Y43" s="558">
        <f>SUM('Defect (Total)'!Y43,Planned!Y43,Reconductor!Y43,CTGS!Y43)</f>
        <v>8045500.7017440591</v>
      </c>
      <c r="Z43" s="119">
        <f>SUM('Defect (Total)'!Z43,Planned!Z43,Reconductor!Z43,CTGS!Z43)</f>
        <v>4</v>
      </c>
      <c r="AA43" s="120">
        <f>SUM('Defect (Total)'!AA43,Planned!AA43,Reconductor!AA43,CTGS!AA43)</f>
        <v>6</v>
      </c>
      <c r="AB43" s="120">
        <f>SUM('Defect (Total)'!AB43,Planned!AB43,Reconductor!AB43,CTGS!AB43)</f>
        <v>10</v>
      </c>
      <c r="AC43" s="120">
        <f>SUM('Defect (Total)'!AC43,Planned!AC43,Reconductor!AC43,CTGS!AC43)</f>
        <v>7.0866666666666669</v>
      </c>
      <c r="AD43" s="120">
        <f>SUM('Defect (Total)'!AD43,Planned!AD43,Reconductor!AD43,CTGS!AD43)</f>
        <v>7.0170000000000003</v>
      </c>
      <c r="AE43" s="120">
        <f>SUM('Defect (Total)'!AE43,Planned!AE43,Reconductor!AE43,CTGS!AE43)</f>
        <v>8.0610234390000031</v>
      </c>
      <c r="AF43" s="120">
        <f>SUM('Defect (Total)'!AF43,Planned!AF43,Reconductor!AF43,CTGS!AF43)</f>
        <v>8.2950000300000042</v>
      </c>
      <c r="AG43" s="120">
        <f>SUM('Defect (Total)'!AG43,Planned!AG43,Reconductor!AG43,CTGS!AG43)</f>
        <v>13.713666666666647</v>
      </c>
      <c r="AH43" s="120">
        <f>SUM('Defect (Total)'!AH43,Planned!AH43,Reconductor!AH43,CTGS!AH43)</f>
        <v>15.669999973000003</v>
      </c>
      <c r="AI43" s="120">
        <f>SUM('Defect (Total)'!AI43,Planned!AI43,Reconductor!AI43,CTGS!AI43)</f>
        <v>6.7330000670000008</v>
      </c>
      <c r="AJ43" s="120">
        <f>SUM('Defect (Total)'!AJ43,Planned!AJ43,Reconductor!AJ43,CTGS!AJ43)</f>
        <v>10.906666707000005</v>
      </c>
      <c r="AK43" s="121">
        <f t="shared" si="14"/>
        <v>10.551338021733333</v>
      </c>
      <c r="AL43" s="122">
        <f t="shared" si="18"/>
        <v>12.559555556555551</v>
      </c>
      <c r="AM43" s="123">
        <f t="shared" si="15"/>
        <v>15.669999973000003</v>
      </c>
      <c r="AN43" s="73">
        <f t="shared" si="19"/>
        <v>187441.75</v>
      </c>
      <c r="AO43" s="74">
        <f t="shared" si="20"/>
        <v>269723.66666666669</v>
      </c>
      <c r="AP43" s="74">
        <f t="shared" si="21"/>
        <v>189347.4</v>
      </c>
      <c r="AQ43" s="74">
        <f t="shared" si="22"/>
        <v>214966.16271520019</v>
      </c>
      <c r="AR43" s="74">
        <f t="shared" si="23"/>
        <v>198113.67646378136</v>
      </c>
      <c r="AS43" s="74">
        <f t="shared" si="24"/>
        <v>195497.70003010068</v>
      </c>
      <c r="AT43" s="74">
        <f t="shared" si="25"/>
        <v>393720.43492179021</v>
      </c>
      <c r="AU43" s="74">
        <f t="shared" si="26"/>
        <v>318961.83345495031</v>
      </c>
      <c r="AV43" s="74">
        <f t="shared" si="27"/>
        <v>283332.57290707179</v>
      </c>
      <c r="AW43" s="74">
        <f t="shared" si="28"/>
        <v>584509.61725097476</v>
      </c>
      <c r="AX43" s="74">
        <f t="shared" si="28"/>
        <v>717926.27373373799</v>
      </c>
      <c r="AY43" s="75">
        <f t="shared" si="29"/>
        <v>285194.9936899023</v>
      </c>
      <c r="AZ43" s="76">
        <f t="shared" si="12"/>
        <v>320602.33974273491</v>
      </c>
      <c r="BA43" s="77">
        <f t="shared" si="13"/>
        <v>283332.57290707179</v>
      </c>
      <c r="BB43" s="691">
        <f>SUM('Defect (Total)'!BB43,Planned!CE43,Reconductor!CE43,CTGS!CE43,'Substation 2025$'!CE43*$BL$1,Comms!CA43*$BL$2)</f>
        <v>9.693136002422218</v>
      </c>
      <c r="BC43" s="691">
        <f>SUM('Defect (Total)'!BC43,Planned!CF43,Reconductor!CF43,CTGS!CF43,'Substation 2025$'!CF43*$BL$1,Comms!CB43*$BL$2)</f>
        <v>16.710135995866665</v>
      </c>
      <c r="BD43" s="360">
        <f>SUM('Defect (Total)'!BD43,Planned!CG43,Reconductor!CG43,CTGS!CG43,'Substation 2025$'!CG43*$BL$1,Comms!CC43*$BL$2)</f>
        <v>17.710135995866665</v>
      </c>
      <c r="BE43" s="360">
        <f>SUM('Defect (Total)'!BE43,Planned!CH43,Reconductor!CH43,CTGS!CH43,'Substation 2025$'!CH43*$BL$1,Comms!CD43*$BL$2)</f>
        <v>17.710135995866665</v>
      </c>
      <c r="BF43" s="360">
        <f>SUM('Defect (Total)'!BF43,Planned!CI43,Reconductor!CI43,CTGS!CI43,'Substation 2025$'!CI43*$BL$1,Comms!CE43*$BL$2)</f>
        <v>18.710135995866665</v>
      </c>
      <c r="BG43" s="360">
        <f>SUM('Defect (Total)'!BG43,Planned!CJ43,Reconductor!CJ43,CTGS!CJ43,'Substation 2025$'!CJ43*$BL$1,Comms!CF43*$BL$2)</f>
        <v>18.710135995866665</v>
      </c>
      <c r="BH43" s="360">
        <f>SUM('Defect (Total)'!BH43,Planned!CK43,Reconductor!CK43,CTGS!CK43,'Substation 2025$'!CK43*$BL$1,Comms!CG43*$BL$2)</f>
        <v>19.710135995866665</v>
      </c>
      <c r="BI43" s="361">
        <f>SUM('Defect (Total)'!BI43,Planned!CL43,Reconductor!CL43,CTGS!CL43,'Substation 2025$'!CL43*$BL$1,Comms!CH43*$BL$2)</f>
        <v>19.710135995866665</v>
      </c>
      <c r="BJ43" s="124">
        <f t="shared" si="16"/>
        <v>333838.76019681973</v>
      </c>
      <c r="BK43" s="742"/>
      <c r="BL43" s="79"/>
      <c r="BM43" s="523"/>
      <c r="BN43" s="415">
        <f>'Distribution Summary'!CI43+'Substation 2025$'!CT43</f>
        <v>5873483.121013917</v>
      </c>
      <c r="BO43" s="79">
        <f>'Distribution Summary'!CJ43+'Substation 2025$'!CU43</f>
        <v>6226802.7412763312</v>
      </c>
      <c r="BP43" s="79">
        <f>'Distribution Summary'!CK43+'Substation 2025$'!CV43</f>
        <v>6241709.140341403</v>
      </c>
      <c r="BQ43" s="79">
        <f>'Distribution Summary'!CL43+'Substation 2025$'!CW43</f>
        <v>6600482.7949798303</v>
      </c>
      <c r="BR43" s="80">
        <f>'Distribution Summary'!CM43+'Substation 2025$'!CX43</f>
        <v>6622203.9824554212</v>
      </c>
    </row>
    <row r="44" spans="1:70" x14ac:dyDescent="0.25">
      <c r="A44" s="81" t="s">
        <v>94</v>
      </c>
      <c r="B44" s="82" t="s">
        <v>450</v>
      </c>
      <c r="C44" s="83" t="s">
        <v>70</v>
      </c>
      <c r="D44" s="84">
        <f>SUM('Defect (Total)'!D44,Planned!D44,Reconductor!D44,CTGS!D44)</f>
        <v>509333</v>
      </c>
      <c r="E44" s="85">
        <f>SUM('Defect (Total)'!E44,Planned!E44,Reconductor!E44,CTGS!E44)</f>
        <v>251119</v>
      </c>
      <c r="F44" s="85">
        <f>SUM('Defect (Total)'!F44,Planned!F44,Reconductor!F44,CTGS!F44)</f>
        <v>789354</v>
      </c>
      <c r="G44" s="85">
        <f>SUM('Defect (Total)'!G44,Planned!G44,Reconductor!G44,CTGS!G44)</f>
        <v>496868</v>
      </c>
      <c r="H44" s="85">
        <f>SUM('Defect (Total)'!H44,Planned!H44,Reconductor!H44,CTGS!H44)</f>
        <v>602005</v>
      </c>
      <c r="I44" s="85">
        <f>SUM('Defect (Total)'!I44,Planned!I44,Reconductor!I44,CTGS!I44)</f>
        <v>659068.26264213398</v>
      </c>
      <c r="J44" s="85">
        <f>SUM('Defect (Total)'!J44,Planned!J44,Reconductor!J44,CTGS!J44)</f>
        <v>269170.49318973796</v>
      </c>
      <c r="K44" s="85">
        <f>SUM('Defect (Total)'!K44,Planned!K44,Reconductor!K44,CTGS!K44)</f>
        <v>2014471.6377697799</v>
      </c>
      <c r="L44" s="85">
        <f>SUM('Defect (Total)'!L44,Planned!L44,Reconductor!L44,CTGS!L44)</f>
        <v>813777.5654024278</v>
      </c>
      <c r="M44" s="85">
        <f>SUM('Defect (Total)'!M44,Planned!M44,Reconductor!M44,CTGS!M44)</f>
        <v>131217.81677955485</v>
      </c>
      <c r="N44" s="85">
        <f>SUM('Defect (Total)'!N44,Planned!N44,Reconductor!N44,CTGS!N44)</f>
        <v>0</v>
      </c>
      <c r="O44" s="560">
        <f>SUM('Defect (Total)'!O44,Planned!O44,Reconductor!O44,CTGS!O44)</f>
        <v>685285.3034304434</v>
      </c>
      <c r="P44" s="561">
        <f>SUM('Defect (Total)'!P44,Planned!P44,Reconductor!P44,CTGS!P44)</f>
        <v>332840.88790956623</v>
      </c>
      <c r="Q44" s="561">
        <f>SUM('Defect (Total)'!Q44,Planned!Q44,Reconductor!Q44,CTGS!Q44)</f>
        <v>1035636.98499729</v>
      </c>
      <c r="R44" s="561">
        <f>SUM('Defect (Total)'!R44,Planned!R44,Reconductor!R44,CTGS!R44)</f>
        <v>639527.12524463783</v>
      </c>
      <c r="S44" s="561">
        <f>SUM('Defect (Total)'!S44,Planned!S44,Reconductor!S44,CTGS!S44)</f>
        <v>759079.42114968912</v>
      </c>
      <c r="T44" s="561">
        <f>SUM('Defect (Total)'!T44,Planned!T44,Reconductor!T44,CTGS!T44)</f>
        <v>818001.45011081907</v>
      </c>
      <c r="U44" s="561">
        <f>SUM('Defect (Total)'!U44,Planned!U44,Reconductor!U44,CTGS!U44)</f>
        <v>335248.61217258987</v>
      </c>
      <c r="V44" s="561">
        <f>SUM('Defect (Total)'!V44,Planned!V44,Reconductor!V44,CTGS!V44)</f>
        <v>2416074.2651505554</v>
      </c>
      <c r="W44" s="561">
        <f>SUM('Defect (Total)'!W44,Planned!W44,Reconductor!W44,CTGS!W44)</f>
        <v>919509.43354432611</v>
      </c>
      <c r="X44" s="561">
        <f>SUM('Defect (Total)'!X44,Planned!X44,Reconductor!X44,CTGS!X44)</f>
        <v>139545.02095216827</v>
      </c>
      <c r="Y44" s="561">
        <f>SUM('Defect (Total)'!Y44,Planned!Y44,Reconductor!Y44,CTGS!Y44)</f>
        <v>0</v>
      </c>
      <c r="Z44" s="125">
        <f>SUM('Defect (Total)'!Z44,Planned!Z44,Reconductor!Z44,CTGS!Z44)</f>
        <v>1</v>
      </c>
      <c r="AA44" s="126">
        <f>SUM('Defect (Total)'!AA44,Planned!AA44,Reconductor!AA44,CTGS!AA44)</f>
        <v>2</v>
      </c>
      <c r="AB44" s="126">
        <f>SUM('Defect (Total)'!AB44,Planned!AB44,Reconductor!AB44,CTGS!AB44)</f>
        <v>2</v>
      </c>
      <c r="AC44" s="126">
        <f>SUM('Defect (Total)'!AC44,Planned!AC44,Reconductor!AC44,CTGS!AC44)</f>
        <v>1</v>
      </c>
      <c r="AD44" s="126">
        <f>SUM('Defect (Total)'!AD44,Planned!AD44,Reconductor!AD44,CTGS!AD44)</f>
        <v>3</v>
      </c>
      <c r="AE44" s="126">
        <f>SUM('Defect (Total)'!AE44,Planned!AE44,Reconductor!AE44,CTGS!AE44)</f>
        <v>0.95473003099999998</v>
      </c>
      <c r="AF44" s="126">
        <f>SUM('Defect (Total)'!AF44,Planned!AF44,Reconductor!AF44,CTGS!AF44)</f>
        <v>-0.52633333299999996</v>
      </c>
      <c r="AG44" s="126">
        <f>SUM('Defect (Total)'!AG44,Planned!AG44,Reconductor!AG44,CTGS!AG44)</f>
        <v>1.7429999999999983</v>
      </c>
      <c r="AH44" s="126">
        <f>SUM('Defect (Total)'!AH44,Planned!AH44,Reconductor!AH44,CTGS!AH44)</f>
        <v>1.6276667210000002</v>
      </c>
      <c r="AI44" s="126">
        <f>SUM('Defect (Total)'!AI44,Planned!AI44,Reconductor!AI44,CTGS!AI44)</f>
        <v>-0.30233332200000002</v>
      </c>
      <c r="AJ44" s="126">
        <f>SUM('Defect (Total)'!AJ44,Planned!AJ44,Reconductor!AJ44,CTGS!AJ44)</f>
        <v>0</v>
      </c>
      <c r="AK44" s="127">
        <f t="shared" si="14"/>
        <v>1.3598126838</v>
      </c>
      <c r="AL44" s="128">
        <f t="shared" si="18"/>
        <v>0.94811112933333286</v>
      </c>
      <c r="AM44" s="129">
        <f t="shared" si="15"/>
        <v>1.6276667210000002</v>
      </c>
      <c r="AN44" s="91">
        <f t="shared" si="19"/>
        <v>509333</v>
      </c>
      <c r="AO44" s="92">
        <f t="shared" si="20"/>
        <v>125559.5</v>
      </c>
      <c r="AP44" s="92">
        <f t="shared" si="21"/>
        <v>394677</v>
      </c>
      <c r="AQ44" s="92">
        <f t="shared" si="22"/>
        <v>496868</v>
      </c>
      <c r="AR44" s="92">
        <f t="shared" si="23"/>
        <v>200668.33333333334</v>
      </c>
      <c r="AS44" s="92">
        <f t="shared" si="24"/>
        <v>690318.98153639829</v>
      </c>
      <c r="AT44" s="92">
        <f t="shared" si="25"/>
        <v>-511406.8904880436</v>
      </c>
      <c r="AU44" s="92">
        <f t="shared" si="26"/>
        <v>1155749.6487491578</v>
      </c>
      <c r="AV44" s="92">
        <f t="shared" si="27"/>
        <v>499965.72080951679</v>
      </c>
      <c r="AW44" s="92">
        <f t="shared" si="28"/>
        <v>-434017.05082165851</v>
      </c>
      <c r="AX44" s="92" t="str">
        <f t="shared" si="28"/>
        <v/>
      </c>
      <c r="AY44" s="93">
        <f t="shared" si="29"/>
        <v>641043.1393865603</v>
      </c>
      <c r="AZ44" s="94">
        <f t="shared" si="12"/>
        <v>1088979.1293206685</v>
      </c>
      <c r="BA44" s="95">
        <f t="shared" si="13"/>
        <v>499965.72080951679</v>
      </c>
      <c r="BB44" s="692">
        <f>SUM('Defect (Total)'!BB44,Planned!CE44,Reconductor!CE44,CTGS!CE44,'Substation 2025$'!CE44*$BL$1,Comms!CA44*$BL$2)</f>
        <v>0.57253335757777757</v>
      </c>
      <c r="BC44" s="692">
        <f>SUM('Defect (Total)'!BC44,Planned!CF44,Reconductor!CF44,CTGS!CF44,'Substation 2025$'!CF44*$BL$1,Comms!CB44*$BL$2)</f>
        <v>2.0692000015777778</v>
      </c>
      <c r="BD44" s="363">
        <f>SUM('Defect (Total)'!BD44,Planned!CG44,Reconductor!CG44,CTGS!CG44,'Substation 2025$'!CG44*$BL$1,Comms!CC44*$BL$2)</f>
        <v>1.6702000015777778</v>
      </c>
      <c r="BE44" s="363">
        <f>SUM('Defect (Total)'!BE44,Planned!CH44,Reconductor!CH44,CTGS!CH44,'Substation 2025$'!CH44*$BL$1,Comms!CD44*$BL$2)</f>
        <v>1.6692000015777779</v>
      </c>
      <c r="BF44" s="363">
        <f>SUM('Defect (Total)'!BF44,Planned!CI44,Reconductor!CI44,CTGS!CI44,'Substation 2025$'!CI44*$BL$1,Comms!CE44*$BL$2)</f>
        <v>6.1942000015777783</v>
      </c>
      <c r="BG44" s="363">
        <f>SUM('Defect (Total)'!BG44,Planned!CJ44,Reconductor!CJ44,CTGS!CJ44,'Substation 2025$'!CJ44*$BL$1,Comms!CF44*$BL$2)</f>
        <v>1.6692000015777779</v>
      </c>
      <c r="BH44" s="363">
        <f>SUM('Defect (Total)'!BH44,Planned!CK44,Reconductor!CK44,CTGS!CK44,'Substation 2025$'!CK44*$BL$1,Comms!CG44*$BL$2)</f>
        <v>1.6692000015777779</v>
      </c>
      <c r="BI44" s="364">
        <f>SUM('Defect (Total)'!BI44,Planned!CL44,Reconductor!CL44,CTGS!CL44,'Substation 2025$'!CL44*$BL$1,Comms!CH44*$BL$2)</f>
        <v>8.1702000015777791</v>
      </c>
      <c r="BJ44" s="99">
        <f t="shared" si="16"/>
        <v>470797.12348508171</v>
      </c>
      <c r="BK44" s="743"/>
      <c r="BL44" s="97"/>
      <c r="BM44" s="524"/>
      <c r="BN44" s="416">
        <f>'Distribution Summary'!CI44+'Substation 2025$'!CT44</f>
        <v>1791440.5479255985</v>
      </c>
      <c r="BO44" s="97">
        <f>'Distribution Summary'!CJ44+'Substation 2025$'!CU44</f>
        <v>1445397.3178212799</v>
      </c>
      <c r="BP44" s="97">
        <f>'Distribution Summary'!CK44+'Substation 2025$'!CV44</f>
        <v>1601386.1907050048</v>
      </c>
      <c r="BQ44" s="97">
        <f>'Distribution Summary'!CL44+'Substation 2025$'!CW44</f>
        <v>1800024.4207270246</v>
      </c>
      <c r="BR44" s="98">
        <f>'Distribution Summary'!CM44+'Substation 2025$'!CX44</f>
        <v>2482033.4026881633</v>
      </c>
    </row>
    <row r="45" spans="1:70" x14ac:dyDescent="0.25">
      <c r="A45" s="81" t="s">
        <v>94</v>
      </c>
      <c r="B45" s="82" t="s">
        <v>451</v>
      </c>
      <c r="C45" s="83" t="s">
        <v>72</v>
      </c>
      <c r="D45" s="84">
        <f>SUM('Defect (Total)'!D45,Planned!D45,Reconductor!D45,CTGS!D45)</f>
        <v>31728</v>
      </c>
      <c r="E45" s="85">
        <f>SUM('Defect (Total)'!E45,Planned!E45,Reconductor!E45,CTGS!E45)</f>
        <v>475780</v>
      </c>
      <c r="F45" s="85">
        <f>SUM('Defect (Total)'!F45,Planned!F45,Reconductor!F45,CTGS!F45)</f>
        <v>109674</v>
      </c>
      <c r="G45" s="85">
        <f>SUM('Defect (Total)'!G45,Planned!G45,Reconductor!G45,CTGS!G45)</f>
        <v>75000</v>
      </c>
      <c r="H45" s="85">
        <f>SUM('Defect (Total)'!H45,Planned!H45,Reconductor!H45,CTGS!H45)</f>
        <v>3020633.512534895</v>
      </c>
      <c r="I45" s="85">
        <f>SUM('Defect (Total)'!I45,Planned!I45,Reconductor!I45,CTGS!I45)</f>
        <v>139891.86488126704</v>
      </c>
      <c r="J45" s="85">
        <f>SUM('Defect (Total)'!J45,Planned!J45,Reconductor!J45,CTGS!J45)</f>
        <v>1266352.5827685168</v>
      </c>
      <c r="K45" s="85">
        <f>SUM('Defect (Total)'!K45,Planned!K45,Reconductor!K45,CTGS!K45)</f>
        <v>1570761.9579401626</v>
      </c>
      <c r="L45" s="85">
        <f>SUM('Defect (Total)'!L45,Planned!L45,Reconductor!L45,CTGS!L45)</f>
        <v>863150.24027861527</v>
      </c>
      <c r="M45" s="85">
        <f>SUM('Defect (Total)'!M45,Planned!M45,Reconductor!M45,CTGS!M45)</f>
        <v>838239.06526350579</v>
      </c>
      <c r="N45" s="85">
        <f>SUM('Defect (Total)'!N45,Planned!N45,Reconductor!N45,CTGS!N45)</f>
        <v>2473996.0427172133</v>
      </c>
      <c r="O45" s="560">
        <f>SUM('Defect (Total)'!O45,Planned!O45,Reconductor!O45,CTGS!O45)</f>
        <v>42688.638095786264</v>
      </c>
      <c r="P45" s="561">
        <f>SUM('Defect (Total)'!P45,Planned!P45,Reconductor!P45,CTGS!P45)</f>
        <v>630613.52446295752</v>
      </c>
      <c r="Q45" s="561">
        <f>SUM('Defect (Total)'!Q45,Planned!Q45,Reconductor!Q45,CTGS!Q45)</f>
        <v>143892.91837704345</v>
      </c>
      <c r="R45" s="561">
        <f>SUM('Defect (Total)'!R45,Planned!R45,Reconductor!R45,CTGS!R45)</f>
        <v>96533.756235756446</v>
      </c>
      <c r="S45" s="561">
        <f>SUM('Defect (Total)'!S45,Planned!S45,Reconductor!S45,CTGS!S45)</f>
        <v>3808773.5786253274</v>
      </c>
      <c r="T45" s="561">
        <f>SUM('Defect (Total)'!T45,Planned!T45,Reconductor!T45,CTGS!T45)</f>
        <v>173626.54950617498</v>
      </c>
      <c r="U45" s="561">
        <f>SUM('Defect (Total)'!U45,Planned!U45,Reconductor!U45,CTGS!U45)</f>
        <v>1577226.9124426658</v>
      </c>
      <c r="V45" s="561">
        <f>SUM('Defect (Total)'!V45,Planned!V45,Reconductor!V45,CTGS!V45)</f>
        <v>1883907.160618183</v>
      </c>
      <c r="W45" s="561">
        <f>SUM('Defect (Total)'!W45,Planned!W45,Reconductor!W45,CTGS!W45)</f>
        <v>975296.96350101754</v>
      </c>
      <c r="X45" s="561">
        <f>SUM('Defect (Total)'!X45,Planned!X45,Reconductor!X45,CTGS!X45)</f>
        <v>891434.49263170001</v>
      </c>
      <c r="Y45" s="561">
        <f>SUM('Defect (Total)'!Y45,Planned!Y45,Reconductor!Y45,CTGS!Y45)</f>
        <v>2542027.1717258226</v>
      </c>
      <c r="Z45" s="125">
        <f>SUM('Defect (Total)'!Z45,Planned!Z45,Reconductor!Z45,CTGS!Z45)</f>
        <v>0</v>
      </c>
      <c r="AA45" s="126">
        <f>SUM('Defect (Total)'!AA45,Planned!AA45,Reconductor!AA45,CTGS!AA45)</f>
        <v>1</v>
      </c>
      <c r="AB45" s="126">
        <f>SUM('Defect (Total)'!AB45,Planned!AB45,Reconductor!AB45,CTGS!AB45)</f>
        <v>0</v>
      </c>
      <c r="AC45" s="126">
        <f>SUM('Defect (Total)'!AC45,Planned!AC45,Reconductor!AC45,CTGS!AC45)</f>
        <v>0</v>
      </c>
      <c r="AD45" s="126">
        <f>SUM('Defect (Total)'!AD45,Planned!AD45,Reconductor!AD45,CTGS!AD45)</f>
        <v>0.97633333333333328</v>
      </c>
      <c r="AE45" s="126">
        <f>SUM('Defect (Total)'!AE45,Planned!AE45,Reconductor!AE45,CTGS!AE45)</f>
        <v>0.26466000900000003</v>
      </c>
      <c r="AF45" s="126">
        <f>SUM('Defect (Total)'!AF45,Planned!AF45,Reconductor!AF45,CTGS!AF45)</f>
        <v>1.4726666660000001</v>
      </c>
      <c r="AG45" s="126">
        <f>SUM('Defect (Total)'!AG45,Planned!AG45,Reconductor!AG45,CTGS!AG45)</f>
        <v>1.9636666666666656</v>
      </c>
      <c r="AH45" s="126">
        <f>SUM('Defect (Total)'!AH45,Planned!AH45,Reconductor!AH45,CTGS!AH45)</f>
        <v>8.9666663999999993E-2</v>
      </c>
      <c r="AI45" s="126">
        <f>SUM('Defect (Total)'!AI45,Planned!AI45,Reconductor!AI45,CTGS!AI45)</f>
        <v>1.0809999879999999</v>
      </c>
      <c r="AJ45" s="126">
        <f>SUM('Defect (Total)'!AJ45,Planned!AJ45,Reconductor!AJ45,CTGS!AJ45)</f>
        <v>7.4439999490000002</v>
      </c>
      <c r="AK45" s="127">
        <f t="shared" si="14"/>
        <v>0.95339866779999982</v>
      </c>
      <c r="AL45" s="128">
        <f t="shared" si="18"/>
        <v>1.1753333322222219</v>
      </c>
      <c r="AM45" s="129">
        <f t="shared" si="15"/>
        <v>8.9666663999999993E-2</v>
      </c>
      <c r="AN45" s="91" t="str">
        <f t="shared" si="19"/>
        <v/>
      </c>
      <c r="AO45" s="92">
        <f t="shared" si="20"/>
        <v>475780</v>
      </c>
      <c r="AP45" s="92" t="str">
        <f t="shared" si="21"/>
        <v/>
      </c>
      <c r="AQ45" s="92" t="str">
        <f t="shared" si="22"/>
        <v/>
      </c>
      <c r="AR45" s="92">
        <f t="shared" si="23"/>
        <v>3093854.7414150513</v>
      </c>
      <c r="AS45" s="92">
        <f t="shared" si="24"/>
        <v>528571.97961202753</v>
      </c>
      <c r="AT45" s="92">
        <f t="shared" si="25"/>
        <v>859904.42508496135</v>
      </c>
      <c r="AU45" s="92">
        <f t="shared" si="26"/>
        <v>799912.72684102703</v>
      </c>
      <c r="AV45" s="92">
        <f t="shared" si="27"/>
        <v>9626211.1444071941</v>
      </c>
      <c r="AW45" s="92">
        <f t="shared" si="28"/>
        <v>775429.30117359618</v>
      </c>
      <c r="AX45" s="92">
        <f t="shared" si="28"/>
        <v>332347.67056245892</v>
      </c>
      <c r="AY45" s="93">
        <f t="shared" si="29"/>
        <v>1439227.9725405881</v>
      </c>
      <c r="AZ45" s="94">
        <f t="shared" si="12"/>
        <v>1049422.7976419092</v>
      </c>
      <c r="BA45" s="95">
        <f t="shared" si="13"/>
        <v>9626211.1444071941</v>
      </c>
      <c r="BB45" s="692">
        <f>SUM('Defect (Total)'!BB45,Planned!CE45,Reconductor!CE45,CTGS!CE45,'Substation 2025$'!CE45*$BL$1,Comms!CA45*$BL$2)</f>
        <v>0.60135555248888872</v>
      </c>
      <c r="BC45" s="692">
        <f>SUM('Defect (Total)'!BC45,Planned!CF45,Reconductor!CF45,CTGS!CF45,'Substation 2025$'!CF45*$BL$1,Comms!CB45*$BL$2)</f>
        <v>0.60135555248888872</v>
      </c>
      <c r="BD45" s="363">
        <f>SUM('Defect (Total)'!BD45,Planned!CG45,Reconductor!CG45,CTGS!CG45,'Substation 2025$'!CG45*$BL$1,Comms!CC45*$BL$2)</f>
        <v>0.60135555248888872</v>
      </c>
      <c r="BE45" s="363">
        <f>SUM('Defect (Total)'!BE45,Planned!CH45,Reconductor!CH45,CTGS!CH45,'Substation 2025$'!CH45*$BL$1,Comms!CD45*$BL$2)</f>
        <v>0.60135555248888872</v>
      </c>
      <c r="BF45" s="363">
        <f>SUM('Defect (Total)'!BF45,Planned!CI45,Reconductor!CI45,CTGS!CI45,'Substation 2025$'!CI45*$BL$1,Comms!CE45*$BL$2)</f>
        <v>0.60135555248888872</v>
      </c>
      <c r="BG45" s="363">
        <f>SUM('Defect (Total)'!BG45,Planned!CJ45,Reconductor!CJ45,CTGS!CJ45,'Substation 2025$'!CJ45*$BL$1,Comms!CF45*$BL$2)</f>
        <v>0.60135555248888872</v>
      </c>
      <c r="BH45" s="363">
        <f>SUM('Defect (Total)'!BH45,Planned!CK45,Reconductor!CK45,CTGS!CK45,'Substation 2025$'!CK45*$BL$1,Comms!CG45*$BL$2)</f>
        <v>0.60135555248888872</v>
      </c>
      <c r="BI45" s="364">
        <f>SUM('Defect (Total)'!BI45,Planned!CL45,Reconductor!CL45,CTGS!CL45,'Substation 2025$'!CL45*$BL$1,Comms!CH45*$BL$2)</f>
        <v>0.60135555248888872</v>
      </c>
      <c r="BJ45" s="99">
        <f t="shared" si="16"/>
        <v>871375.07684048137</v>
      </c>
      <c r="BK45" s="743"/>
      <c r="BL45" s="97"/>
      <c r="BM45" s="524"/>
      <c r="BN45" s="416">
        <f>'Distribution Summary'!CI45+'Substation 2025$'!CT45</f>
        <v>521309.32653590065</v>
      </c>
      <c r="BO45" s="97">
        <f>'Distribution Summary'!CJ45+'Substation 2025$'!CU45</f>
        <v>522563.18717712554</v>
      </c>
      <c r="BP45" s="97">
        <f>'Distribution Summary'!CK45+'Substation 2025$'!CV45</f>
        <v>523814.15588906861</v>
      </c>
      <c r="BQ45" s="97">
        <f>'Distribution Summary'!CL45+'Substation 2025$'!CW45</f>
        <v>525307.91277358297</v>
      </c>
      <c r="BR45" s="98">
        <f>'Distribution Summary'!CM45+'Substation 2025$'!CX45</f>
        <v>527036.62141659996</v>
      </c>
    </row>
    <row r="46" spans="1:70" x14ac:dyDescent="0.25">
      <c r="A46" s="81" t="s">
        <v>94</v>
      </c>
      <c r="B46" s="82" t="s">
        <v>452</v>
      </c>
      <c r="C46" s="83" t="s">
        <v>98</v>
      </c>
      <c r="D46" s="84">
        <f>SUM('Defect (Total)'!D46,Planned!D46,Reconductor!D46,CTGS!D46)</f>
        <v>121670</v>
      </c>
      <c r="E46" s="85">
        <f>SUM('Defect (Total)'!E46,Planned!E46,Reconductor!E46,CTGS!E46)</f>
        <v>324458</v>
      </c>
      <c r="F46" s="85">
        <f>SUM('Defect (Total)'!F46,Planned!F46,Reconductor!F46,CTGS!F46)</f>
        <v>51175</v>
      </c>
      <c r="G46" s="85">
        <f>SUM('Defect (Total)'!G46,Planned!G46,Reconductor!G46,CTGS!G46)</f>
        <v>12952</v>
      </c>
      <c r="H46" s="85">
        <f>SUM('Defect (Total)'!H46,Planned!H46,Reconductor!H46,CTGS!H46)</f>
        <v>14507</v>
      </c>
      <c r="I46" s="85">
        <f>SUM('Defect (Total)'!I46,Planned!I46,Reconductor!I46,CTGS!I46)</f>
        <v>5017.3599460870018</v>
      </c>
      <c r="J46" s="85">
        <f>SUM('Defect (Total)'!J46,Planned!J46,Reconductor!J46,CTGS!J46)</f>
        <v>3255112.6385471998</v>
      </c>
      <c r="K46" s="85">
        <f>SUM('Defect (Total)'!K46,Planned!K46,Reconductor!K46,CTGS!K46)</f>
        <v>0</v>
      </c>
      <c r="L46" s="85">
        <f>SUM('Defect (Total)'!L46,Planned!L46,Reconductor!L46,CTGS!L46)</f>
        <v>0</v>
      </c>
      <c r="M46" s="85">
        <f>SUM('Defect (Total)'!M46,Planned!M46,Reconductor!M46,CTGS!M46)</f>
        <v>0</v>
      </c>
      <c r="N46" s="85">
        <f>SUM('Defect (Total)'!N46,Planned!N46,Reconductor!N46,CTGS!N46)</f>
        <v>291113.68239781511</v>
      </c>
      <c r="O46" s="560">
        <f>SUM('Defect (Total)'!O46,Planned!O46,Reconductor!O46,CTGS!O46)</f>
        <v>163701.67035786418</v>
      </c>
      <c r="P46" s="561">
        <f>SUM('Defect (Total)'!P46,Planned!P46,Reconductor!P46,CTGS!P46)</f>
        <v>430046.6663588261</v>
      </c>
      <c r="Q46" s="561">
        <f>SUM('Defect (Total)'!Q46,Planned!Q46,Reconductor!Q46,CTGS!Q46)</f>
        <v>67141.894140317658</v>
      </c>
      <c r="R46" s="561">
        <f>SUM('Defect (Total)'!R46,Planned!R46,Reconductor!R46,CTGS!R46)</f>
        <v>16670.736143540234</v>
      </c>
      <c r="S46" s="561">
        <f>SUM('Defect (Total)'!S46,Planned!S46,Reconductor!S46,CTGS!S46)</f>
        <v>18292.1490064344</v>
      </c>
      <c r="T46" s="561">
        <f>SUM('Defect (Total)'!T46,Planned!T46,Reconductor!T46,CTGS!T46)</f>
        <v>6227.2877397764232</v>
      </c>
      <c r="U46" s="561">
        <f>SUM('Defect (Total)'!U46,Planned!U46,Reconductor!U46,CTGS!U46)</f>
        <v>4054203.6447106758</v>
      </c>
      <c r="V46" s="561">
        <f>SUM('Defect (Total)'!V46,Planned!V46,Reconductor!V46,CTGS!V46)</f>
        <v>0</v>
      </c>
      <c r="W46" s="561">
        <f>SUM('Defect (Total)'!W46,Planned!W46,Reconductor!W46,CTGS!W46)</f>
        <v>0</v>
      </c>
      <c r="X46" s="561">
        <f>SUM('Defect (Total)'!X46,Planned!X46,Reconductor!X46,CTGS!X46)</f>
        <v>0</v>
      </c>
      <c r="Y46" s="561">
        <f>SUM('Defect (Total)'!Y46,Planned!Y46,Reconductor!Y46,CTGS!Y46)</f>
        <v>299118.86597184592</v>
      </c>
      <c r="Z46" s="125">
        <f>SUM('Defect (Total)'!Z46,Planned!Z46,Reconductor!Z46,CTGS!Z46)</f>
        <v>0</v>
      </c>
      <c r="AA46" s="126">
        <f>SUM('Defect (Total)'!AA46,Planned!AA46,Reconductor!AA46,CTGS!AA46)</f>
        <v>0</v>
      </c>
      <c r="AB46" s="126">
        <f>SUM('Defect (Total)'!AB46,Planned!AB46,Reconductor!AB46,CTGS!AB46)</f>
        <v>0</v>
      </c>
      <c r="AC46" s="126">
        <f>SUM('Defect (Total)'!AC46,Planned!AC46,Reconductor!AC46,CTGS!AC46)</f>
        <v>0</v>
      </c>
      <c r="AD46" s="126">
        <f>SUM('Defect (Total)'!AD46,Planned!AD46,Reconductor!AD46,CTGS!AD46)</f>
        <v>0</v>
      </c>
      <c r="AE46" s="126">
        <f>SUM('Defect (Total)'!AE46,Planned!AE46,Reconductor!AE46,CTGS!AE46)</f>
        <v>9.4710003000000001E-2</v>
      </c>
      <c r="AF46" s="126">
        <f>SUM('Defect (Total)'!AF46,Planned!AF46,Reconductor!AF46,CTGS!AF46)</f>
        <v>0.32733333399999998</v>
      </c>
      <c r="AG46" s="126">
        <f>SUM('Defect (Total)'!AG46,Planned!AG46,Reconductor!AG46,CTGS!AG46)</f>
        <v>0</v>
      </c>
      <c r="AH46" s="126">
        <f>SUM('Defect (Total)'!AH46,Planned!AH46,Reconductor!AH46,CTGS!AH46)</f>
        <v>0</v>
      </c>
      <c r="AI46" s="126">
        <f>SUM('Defect (Total)'!AI46,Planned!AI46,Reconductor!AI46,CTGS!AI46)</f>
        <v>0</v>
      </c>
      <c r="AJ46" s="126">
        <f>SUM('Defect (Total)'!AJ46,Planned!AJ46,Reconductor!AJ46,CTGS!AJ46)</f>
        <v>0.206666671</v>
      </c>
      <c r="AK46" s="127">
        <f t="shared" si="14"/>
        <v>8.4408667399999998E-2</v>
      </c>
      <c r="AL46" s="128">
        <f t="shared" si="18"/>
        <v>0.10911111133333333</v>
      </c>
      <c r="AM46" s="129">
        <f t="shared" si="15"/>
        <v>0</v>
      </c>
      <c r="AN46" s="91" t="str">
        <f t="shared" si="19"/>
        <v/>
      </c>
      <c r="AO46" s="92" t="str">
        <f t="shared" si="20"/>
        <v/>
      </c>
      <c r="AP46" s="92" t="str">
        <f t="shared" si="21"/>
        <v/>
      </c>
      <c r="AQ46" s="92" t="str">
        <f t="shared" si="22"/>
        <v/>
      </c>
      <c r="AR46" s="92" t="str">
        <f t="shared" si="23"/>
        <v/>
      </c>
      <c r="AS46" s="92">
        <f t="shared" si="24"/>
        <v>52976.029850690655</v>
      </c>
      <c r="AT46" s="92">
        <f t="shared" si="25"/>
        <v>9944335.942721922</v>
      </c>
      <c r="AU46" s="92" t="str">
        <f t="shared" si="26"/>
        <v/>
      </c>
      <c r="AV46" s="92" t="str">
        <f t="shared" si="27"/>
        <v/>
      </c>
      <c r="AW46" s="92" t="str">
        <f t="shared" si="28"/>
        <v/>
      </c>
      <c r="AX46" s="92">
        <f t="shared" si="28"/>
        <v>1408614.5627120258</v>
      </c>
      <c r="AY46" s="93">
        <f t="shared" si="29"/>
        <v>7759006.508123802</v>
      </c>
      <c r="AZ46" s="94">
        <f t="shared" si="12"/>
        <v>9944335.942721922</v>
      </c>
      <c r="BA46" s="95" t="str">
        <f t="shared" si="13"/>
        <v/>
      </c>
      <c r="BB46" s="692">
        <f>SUM('Defect (Total)'!BB46,Planned!CE46,Reconductor!CE46,CTGS!CE46,'Substation 2025$'!CE46*$BL$1,Comms!CA46*$BL$2)</f>
        <v>0</v>
      </c>
      <c r="BC46" s="692">
        <f>SUM('Defect (Total)'!BC46,Planned!CF46,Reconductor!CF46,CTGS!CF46,'Substation 2025$'!CF46*$BL$1,Comms!CB46*$BL$2)</f>
        <v>0</v>
      </c>
      <c r="BD46" s="363">
        <f>SUM('Defect (Total)'!BD46,Planned!CG46,Reconductor!CG46,CTGS!CG46,'Substation 2025$'!CG46*$BL$1,Comms!CC46*$BL$2)</f>
        <v>0</v>
      </c>
      <c r="BE46" s="363">
        <f>SUM('Defect (Total)'!BE46,Planned!CH46,Reconductor!CH46,CTGS!CH46,'Substation 2025$'!CH46*$BL$1,Comms!CD46*$BL$2)</f>
        <v>0</v>
      </c>
      <c r="BF46" s="363">
        <f>SUM('Defect (Total)'!BF46,Planned!CI46,Reconductor!CI46,CTGS!CI46,'Substation 2025$'!CI46*$BL$1,Comms!CE46*$BL$2)</f>
        <v>0</v>
      </c>
      <c r="BG46" s="363">
        <f>SUM('Defect (Total)'!BG46,Planned!CJ46,Reconductor!CJ46,CTGS!CJ46,'Substation 2025$'!CJ46*$BL$1,Comms!CF46*$BL$2)</f>
        <v>0</v>
      </c>
      <c r="BH46" s="363">
        <f>SUM('Defect (Total)'!BH46,Planned!CK46,Reconductor!CK46,CTGS!CK46,'Substation 2025$'!CK46*$BL$1,Comms!CG46*$BL$2)</f>
        <v>0</v>
      </c>
      <c r="BI46" s="364">
        <f>SUM('Defect (Total)'!BI46,Planned!CL46,Reconductor!CL46,CTGS!CL46,'Substation 2025$'!CL46*$BL$1,Comms!CH46*$BL$2)</f>
        <v>0.2</v>
      </c>
      <c r="BJ46" s="99">
        <f t="shared" si="16"/>
        <v>422577.28163056844</v>
      </c>
      <c r="BK46" s="743"/>
      <c r="BL46" s="97"/>
      <c r="BM46" s="524"/>
      <c r="BN46" s="416">
        <f>'Distribution Summary'!CI46+'Substation 2025$'!CT46</f>
        <v>0</v>
      </c>
      <c r="BO46" s="97">
        <f>'Distribution Summary'!CJ46+'Substation 2025$'!CU46</f>
        <v>0</v>
      </c>
      <c r="BP46" s="97">
        <f>'Distribution Summary'!CK46+'Substation 2025$'!CV46</f>
        <v>4385.1251381691236</v>
      </c>
      <c r="BQ46" s="97">
        <f>'Distribution Summary'!CL46+'Substation 2025$'!CW46</f>
        <v>12738.066064035187</v>
      </c>
      <c r="BR46" s="98">
        <f>'Distribution Summary'!CM46+'Substation 2025$'!CX46</f>
        <v>67392.265123909383</v>
      </c>
    </row>
    <row r="47" spans="1:70" x14ac:dyDescent="0.25">
      <c r="A47" s="81" t="s">
        <v>94</v>
      </c>
      <c r="B47" s="82" t="s">
        <v>453</v>
      </c>
      <c r="C47" s="83" t="s">
        <v>100</v>
      </c>
      <c r="D47" s="84">
        <f>SUM('Defect (Total)'!D47,Planned!D47,Reconductor!D47,CTGS!D47)</f>
        <v>0</v>
      </c>
      <c r="E47" s="85">
        <f>SUM('Defect (Total)'!E47,Planned!E47,Reconductor!E47,CTGS!E47)</f>
        <v>0</v>
      </c>
      <c r="F47" s="85">
        <f>SUM('Defect (Total)'!F47,Planned!F47,Reconductor!F47,CTGS!F47)</f>
        <v>0</v>
      </c>
      <c r="G47" s="85">
        <f>SUM('Defect (Total)'!G47,Planned!G47,Reconductor!G47,CTGS!G47)</f>
        <v>0</v>
      </c>
      <c r="H47" s="85">
        <f>SUM('Defect (Total)'!H47,Planned!H47,Reconductor!H47,CTGS!H47)</f>
        <v>0</v>
      </c>
      <c r="I47" s="85">
        <f>SUM('Defect (Total)'!I47,Planned!I47,Reconductor!I47,CTGS!I47)</f>
        <v>0</v>
      </c>
      <c r="J47" s="85">
        <f>SUM('Defect (Total)'!J47,Planned!J47,Reconductor!J47,CTGS!J47)</f>
        <v>0</v>
      </c>
      <c r="K47" s="85">
        <f>SUM('Defect (Total)'!K47,Planned!K47,Reconductor!K47,CTGS!K47)</f>
        <v>0</v>
      </c>
      <c r="L47" s="85">
        <f>SUM('Defect (Total)'!L47,Planned!L47,Reconductor!L47,CTGS!L47)</f>
        <v>0</v>
      </c>
      <c r="M47" s="85">
        <f>SUM('Defect (Total)'!M47,Planned!M47,Reconductor!M47,CTGS!M47)</f>
        <v>0</v>
      </c>
      <c r="N47" s="85">
        <f>SUM('Defect (Total)'!N47,Planned!N47,Reconductor!N47,CTGS!N47)</f>
        <v>0</v>
      </c>
      <c r="O47" s="560">
        <f>SUM('Defect (Total)'!O47,Planned!O47,Reconductor!O47,CTGS!O47)</f>
        <v>0</v>
      </c>
      <c r="P47" s="561">
        <f>SUM('Defect (Total)'!P47,Planned!P47,Reconductor!P47,CTGS!P47)</f>
        <v>0</v>
      </c>
      <c r="Q47" s="561">
        <f>SUM('Defect (Total)'!Q47,Planned!Q47,Reconductor!Q47,CTGS!Q47)</f>
        <v>0</v>
      </c>
      <c r="R47" s="561">
        <f>SUM('Defect (Total)'!R47,Planned!R47,Reconductor!R47,CTGS!R47)</f>
        <v>0</v>
      </c>
      <c r="S47" s="561">
        <f>SUM('Defect (Total)'!S47,Planned!S47,Reconductor!S47,CTGS!S47)</f>
        <v>0</v>
      </c>
      <c r="T47" s="561">
        <f>SUM('Defect (Total)'!T47,Planned!T47,Reconductor!T47,CTGS!T47)</f>
        <v>0</v>
      </c>
      <c r="U47" s="561">
        <f>SUM('Defect (Total)'!U47,Planned!U47,Reconductor!U47,CTGS!U47)</f>
        <v>0</v>
      </c>
      <c r="V47" s="561">
        <f>SUM('Defect (Total)'!V47,Planned!V47,Reconductor!V47,CTGS!V47)</f>
        <v>0</v>
      </c>
      <c r="W47" s="561">
        <f>SUM('Defect (Total)'!W47,Planned!W47,Reconductor!W47,CTGS!W47)</f>
        <v>0</v>
      </c>
      <c r="X47" s="561">
        <f>SUM('Defect (Total)'!X47,Planned!X47,Reconductor!X47,CTGS!X47)</f>
        <v>0</v>
      </c>
      <c r="Y47" s="561">
        <f>SUM('Defect (Total)'!Y47,Planned!Y47,Reconductor!Y47,CTGS!Y47)</f>
        <v>0</v>
      </c>
      <c r="Z47" s="125">
        <f>SUM('Defect (Total)'!Z47,Planned!Z47,Reconductor!Z47,CTGS!Z47)</f>
        <v>0</v>
      </c>
      <c r="AA47" s="126">
        <f>SUM('Defect (Total)'!AA47,Planned!AA47,Reconductor!AA47,CTGS!AA47)</f>
        <v>0</v>
      </c>
      <c r="AB47" s="126">
        <f>SUM('Defect (Total)'!AB47,Planned!AB47,Reconductor!AB47,CTGS!AB47)</f>
        <v>0</v>
      </c>
      <c r="AC47" s="126">
        <f>SUM('Defect (Total)'!AC47,Planned!AC47,Reconductor!AC47,CTGS!AC47)</f>
        <v>0</v>
      </c>
      <c r="AD47" s="126">
        <f>SUM('Defect (Total)'!AD47,Planned!AD47,Reconductor!AD47,CTGS!AD47)</f>
        <v>0</v>
      </c>
      <c r="AE47" s="126">
        <f>SUM('Defect (Total)'!AE47,Planned!AE47,Reconductor!AE47,CTGS!AE47)</f>
        <v>0</v>
      </c>
      <c r="AF47" s="126">
        <f>SUM('Defect (Total)'!AF47,Planned!AF47,Reconductor!AF47,CTGS!AF47)</f>
        <v>0</v>
      </c>
      <c r="AG47" s="126">
        <f>SUM('Defect (Total)'!AG47,Planned!AG47,Reconductor!AG47,CTGS!AG47)</f>
        <v>0</v>
      </c>
      <c r="AH47" s="126">
        <f>SUM('Defect (Total)'!AH47,Planned!AH47,Reconductor!AH47,CTGS!AH47)</f>
        <v>0</v>
      </c>
      <c r="AI47" s="126">
        <f>SUM('Defect (Total)'!AI47,Planned!AI47,Reconductor!AI47,CTGS!AI47)</f>
        <v>0</v>
      </c>
      <c r="AJ47" s="126">
        <f>SUM('Defect (Total)'!AJ47,Planned!AJ47,Reconductor!AJ47,CTGS!AJ47)</f>
        <v>0</v>
      </c>
      <c r="AK47" s="127">
        <f t="shared" si="14"/>
        <v>0</v>
      </c>
      <c r="AL47" s="128">
        <f t="shared" si="18"/>
        <v>0</v>
      </c>
      <c r="AM47" s="129">
        <f t="shared" si="15"/>
        <v>0</v>
      </c>
      <c r="AN47" s="91" t="str">
        <f t="shared" si="19"/>
        <v/>
      </c>
      <c r="AO47" s="92" t="str">
        <f t="shared" si="20"/>
        <v/>
      </c>
      <c r="AP47" s="92" t="str">
        <f t="shared" si="21"/>
        <v/>
      </c>
      <c r="AQ47" s="92" t="str">
        <f t="shared" si="22"/>
        <v/>
      </c>
      <c r="AR47" s="92" t="str">
        <f t="shared" si="23"/>
        <v/>
      </c>
      <c r="AS47" s="92" t="str">
        <f t="shared" si="24"/>
        <v/>
      </c>
      <c r="AT47" s="92" t="str">
        <f t="shared" si="25"/>
        <v/>
      </c>
      <c r="AU47" s="92" t="str">
        <f t="shared" si="26"/>
        <v/>
      </c>
      <c r="AV47" s="92" t="str">
        <f t="shared" si="27"/>
        <v/>
      </c>
      <c r="AW47" s="92" t="str">
        <f t="shared" si="28"/>
        <v/>
      </c>
      <c r="AX47" s="92" t="str">
        <f t="shared" si="28"/>
        <v/>
      </c>
      <c r="AY47" s="93" t="str">
        <f t="shared" si="29"/>
        <v/>
      </c>
      <c r="AZ47" s="94" t="str">
        <f t="shared" si="12"/>
        <v/>
      </c>
      <c r="BA47" s="95" t="str">
        <f t="shared" si="13"/>
        <v/>
      </c>
      <c r="BB47" s="692">
        <f>SUM('Defect (Total)'!BB47,Planned!CE47,Reconductor!CE47,CTGS!CE47,'Substation 2025$'!CE47*$BL$1,Comms!CA47*$BL$2)</f>
        <v>0</v>
      </c>
      <c r="BC47" s="692">
        <f>SUM('Defect (Total)'!BC47,Planned!CF47,Reconductor!CF47,CTGS!CF47,'Substation 2025$'!CF47*$BL$1,Comms!CB47*$BL$2)</f>
        <v>0</v>
      </c>
      <c r="BD47" s="363">
        <f>SUM('Defect (Total)'!BD47,Planned!CG47,Reconductor!CG47,CTGS!CG47,'Substation 2025$'!CG47*$BL$1,Comms!CC47*$BL$2)</f>
        <v>0</v>
      </c>
      <c r="BE47" s="363">
        <f>SUM('Defect (Total)'!BE47,Planned!CH47,Reconductor!CH47,CTGS!CH47,'Substation 2025$'!CH47*$BL$1,Comms!CD47*$BL$2)</f>
        <v>0</v>
      </c>
      <c r="BF47" s="363">
        <f>SUM('Defect (Total)'!BF47,Planned!CI47,Reconductor!CI47,CTGS!CI47,'Substation 2025$'!CI47*$BL$1,Comms!CE47*$BL$2)</f>
        <v>0</v>
      </c>
      <c r="BG47" s="363">
        <f>SUM('Defect (Total)'!BG47,Planned!CJ47,Reconductor!CJ47,CTGS!CJ47,'Substation 2025$'!CJ47*$BL$1,Comms!CF47*$BL$2)</f>
        <v>0</v>
      </c>
      <c r="BH47" s="363">
        <f>SUM('Defect (Total)'!BH47,Planned!CK47,Reconductor!CK47,CTGS!CK47,'Substation 2025$'!CK47*$BL$1,Comms!CG47*$BL$2)</f>
        <v>0</v>
      </c>
      <c r="BI47" s="364">
        <f>SUM('Defect (Total)'!BI47,Planned!CL47,Reconductor!CL47,CTGS!CL47,'Substation 2025$'!CL47*$BL$1,Comms!CH47*$BL$2)</f>
        <v>0</v>
      </c>
      <c r="BJ47" s="99" t="str">
        <f t="shared" si="16"/>
        <v/>
      </c>
      <c r="BK47" s="743"/>
      <c r="BL47" s="97"/>
      <c r="BM47" s="524"/>
      <c r="BN47" s="416">
        <f>'Distribution Summary'!CI47+'Substation 2025$'!CT47</f>
        <v>0</v>
      </c>
      <c r="BO47" s="97">
        <f>'Distribution Summary'!CJ47+'Substation 2025$'!CU47</f>
        <v>0</v>
      </c>
      <c r="BP47" s="97">
        <f>'Distribution Summary'!CK47+'Substation 2025$'!CV47</f>
        <v>0</v>
      </c>
      <c r="BQ47" s="97">
        <f>'Distribution Summary'!CL47+'Substation 2025$'!CW47</f>
        <v>0</v>
      </c>
      <c r="BR47" s="98">
        <f>'Distribution Summary'!CM47+'Substation 2025$'!CX47</f>
        <v>0</v>
      </c>
    </row>
    <row r="48" spans="1:70" x14ac:dyDescent="0.25">
      <c r="A48" s="81" t="s">
        <v>94</v>
      </c>
      <c r="B48" s="82" t="s">
        <v>321</v>
      </c>
      <c r="C48" s="83" t="s">
        <v>76</v>
      </c>
      <c r="D48" s="84">
        <f>SUM('Defect (Total)'!D48,Planned!D48,Reconductor!D48,CTGS!D48)</f>
        <v>0</v>
      </c>
      <c r="E48" s="85">
        <f>SUM('Defect (Total)'!E48,Planned!E48,Reconductor!E48,CTGS!E48)</f>
        <v>0</v>
      </c>
      <c r="F48" s="85">
        <f>SUM('Defect (Total)'!F48,Planned!F48,Reconductor!F48,CTGS!F48)</f>
        <v>0</v>
      </c>
      <c r="G48" s="85">
        <f>SUM('Defect (Total)'!G48,Planned!G48,Reconductor!G48,CTGS!G48)</f>
        <v>0</v>
      </c>
      <c r="H48" s="85">
        <f>SUM('Defect (Total)'!H48,Planned!H48,Reconductor!H48,CTGS!H48)</f>
        <v>0</v>
      </c>
      <c r="I48" s="85">
        <f>SUM('Defect (Total)'!I48,Planned!I48,Reconductor!I48,CTGS!I48)</f>
        <v>0</v>
      </c>
      <c r="J48" s="85">
        <f>SUM('Defect (Total)'!J48,Planned!J48,Reconductor!J48,CTGS!J48)</f>
        <v>0</v>
      </c>
      <c r="K48" s="85">
        <f>SUM('Defect (Total)'!K48,Planned!K48,Reconductor!K48,CTGS!K48)</f>
        <v>0</v>
      </c>
      <c r="L48" s="85">
        <f>SUM('Defect (Total)'!L48,Planned!L48,Reconductor!L48,CTGS!L48)</f>
        <v>0</v>
      </c>
      <c r="M48" s="85">
        <f>SUM('Defect (Total)'!M48,Planned!M48,Reconductor!M48,CTGS!M48)</f>
        <v>0</v>
      </c>
      <c r="N48" s="85">
        <f>SUM('Defect (Total)'!N48,Planned!N48,Reconductor!N48,CTGS!N48)</f>
        <v>0</v>
      </c>
      <c r="O48" s="560">
        <f>SUM('Defect (Total)'!O48,Planned!O48,Reconductor!O48,CTGS!O48)</f>
        <v>0</v>
      </c>
      <c r="P48" s="561">
        <f>SUM('Defect (Total)'!P48,Planned!P48,Reconductor!P48,CTGS!P48)</f>
        <v>0</v>
      </c>
      <c r="Q48" s="561">
        <f>SUM('Defect (Total)'!Q48,Planned!Q48,Reconductor!Q48,CTGS!Q48)</f>
        <v>0</v>
      </c>
      <c r="R48" s="561">
        <f>SUM('Defect (Total)'!R48,Planned!R48,Reconductor!R48,CTGS!R48)</f>
        <v>0</v>
      </c>
      <c r="S48" s="561">
        <f>SUM('Defect (Total)'!S48,Planned!S48,Reconductor!S48,CTGS!S48)</f>
        <v>0</v>
      </c>
      <c r="T48" s="561">
        <f>SUM('Defect (Total)'!T48,Planned!T48,Reconductor!T48,CTGS!T48)</f>
        <v>0</v>
      </c>
      <c r="U48" s="561">
        <f>SUM('Defect (Total)'!U48,Planned!U48,Reconductor!U48,CTGS!U48)</f>
        <v>0</v>
      </c>
      <c r="V48" s="561">
        <f>SUM('Defect (Total)'!V48,Planned!V48,Reconductor!V48,CTGS!V48)</f>
        <v>0</v>
      </c>
      <c r="W48" s="561">
        <f>SUM('Defect (Total)'!W48,Planned!W48,Reconductor!W48,CTGS!W48)</f>
        <v>0</v>
      </c>
      <c r="X48" s="561">
        <f>SUM('Defect (Total)'!X48,Planned!X48,Reconductor!X48,CTGS!X48)</f>
        <v>0</v>
      </c>
      <c r="Y48" s="561">
        <f>SUM('Defect (Total)'!Y48,Planned!Y48,Reconductor!Y48,CTGS!Y48)</f>
        <v>0</v>
      </c>
      <c r="Z48" s="125">
        <f>SUM('Defect (Total)'!Z48,Planned!Z48,Reconductor!Z48,CTGS!Z48)</f>
        <v>0</v>
      </c>
      <c r="AA48" s="126">
        <f>SUM('Defect (Total)'!AA48,Planned!AA48,Reconductor!AA48,CTGS!AA48)</f>
        <v>0</v>
      </c>
      <c r="AB48" s="126">
        <f>SUM('Defect (Total)'!AB48,Planned!AB48,Reconductor!AB48,CTGS!AB48)</f>
        <v>0</v>
      </c>
      <c r="AC48" s="126">
        <f>SUM('Defect (Total)'!AC48,Planned!AC48,Reconductor!AC48,CTGS!AC48)</f>
        <v>0</v>
      </c>
      <c r="AD48" s="126">
        <f>SUM('Defect (Total)'!AD48,Planned!AD48,Reconductor!AD48,CTGS!AD48)</f>
        <v>0</v>
      </c>
      <c r="AE48" s="126">
        <f>SUM('Defect (Total)'!AE48,Planned!AE48,Reconductor!AE48,CTGS!AE48)</f>
        <v>0</v>
      </c>
      <c r="AF48" s="126">
        <f>SUM('Defect (Total)'!AF48,Planned!AF48,Reconductor!AF48,CTGS!AF48)</f>
        <v>0</v>
      </c>
      <c r="AG48" s="126">
        <f>SUM('Defect (Total)'!AG48,Planned!AG48,Reconductor!AG48,CTGS!AG48)</f>
        <v>0</v>
      </c>
      <c r="AH48" s="126">
        <f>SUM('Defect (Total)'!AH48,Planned!AH48,Reconductor!AH48,CTGS!AH48)</f>
        <v>0</v>
      </c>
      <c r="AI48" s="126">
        <f>SUM('Defect (Total)'!AI48,Planned!AI48,Reconductor!AI48,CTGS!AI48)</f>
        <v>0</v>
      </c>
      <c r="AJ48" s="126">
        <f>SUM('Defect (Total)'!AJ48,Planned!AJ48,Reconductor!AJ48,CTGS!AJ48)</f>
        <v>0</v>
      </c>
      <c r="AK48" s="127">
        <f t="shared" si="14"/>
        <v>0</v>
      </c>
      <c r="AL48" s="128">
        <f t="shared" si="18"/>
        <v>0</v>
      </c>
      <c r="AM48" s="129">
        <f t="shared" si="15"/>
        <v>0</v>
      </c>
      <c r="AN48" s="91" t="str">
        <f t="shared" si="19"/>
        <v/>
      </c>
      <c r="AO48" s="92" t="str">
        <f t="shared" si="20"/>
        <v/>
      </c>
      <c r="AP48" s="92" t="str">
        <f t="shared" si="21"/>
        <v/>
      </c>
      <c r="AQ48" s="92" t="str">
        <f t="shared" si="22"/>
        <v/>
      </c>
      <c r="AR48" s="92" t="str">
        <f t="shared" si="23"/>
        <v/>
      </c>
      <c r="AS48" s="92" t="str">
        <f t="shared" si="24"/>
        <v/>
      </c>
      <c r="AT48" s="92" t="str">
        <f t="shared" si="25"/>
        <v/>
      </c>
      <c r="AU48" s="92" t="str">
        <f t="shared" si="26"/>
        <v/>
      </c>
      <c r="AV48" s="92" t="str">
        <f t="shared" si="27"/>
        <v/>
      </c>
      <c r="AW48" s="92" t="str">
        <f t="shared" si="28"/>
        <v/>
      </c>
      <c r="AX48" s="92" t="str">
        <f t="shared" si="28"/>
        <v/>
      </c>
      <c r="AY48" s="93" t="str">
        <f t="shared" si="29"/>
        <v/>
      </c>
      <c r="AZ48" s="94" t="str">
        <f t="shared" si="12"/>
        <v/>
      </c>
      <c r="BA48" s="95" t="str">
        <f t="shared" si="13"/>
        <v/>
      </c>
      <c r="BB48" s="692">
        <f>SUM('Defect (Total)'!BB48,Planned!CE48,Reconductor!CE48,CTGS!CE48,'Substation 2025$'!CE48*$BL$1,Comms!CA48*$BL$2)</f>
        <v>0</v>
      </c>
      <c r="BC48" s="692">
        <f>SUM('Defect (Total)'!BC48,Planned!CF48,Reconductor!CF48,CTGS!CF48,'Substation 2025$'!CF48*$BL$1,Comms!CB48*$BL$2)</f>
        <v>0</v>
      </c>
      <c r="BD48" s="363">
        <f>SUM('Defect (Total)'!BD48,Planned!CG48,Reconductor!CG48,CTGS!CG48,'Substation 2025$'!CG48*$BL$1,Comms!CC48*$BL$2)</f>
        <v>0</v>
      </c>
      <c r="BE48" s="363">
        <f>SUM('Defect (Total)'!BE48,Planned!CH48,Reconductor!CH48,CTGS!CH48,'Substation 2025$'!CH48*$BL$1,Comms!CD48*$BL$2)</f>
        <v>0</v>
      </c>
      <c r="BF48" s="363">
        <f>SUM('Defect (Total)'!BF48,Planned!CI48,Reconductor!CI48,CTGS!CI48,'Substation 2025$'!CI48*$BL$1,Comms!CE48*$BL$2)</f>
        <v>0</v>
      </c>
      <c r="BG48" s="363">
        <f>SUM('Defect (Total)'!BG48,Planned!CJ48,Reconductor!CJ48,CTGS!CJ48,'Substation 2025$'!CJ48*$BL$1,Comms!CF48*$BL$2)</f>
        <v>0</v>
      </c>
      <c r="BH48" s="363">
        <f>SUM('Defect (Total)'!BH48,Planned!CK48,Reconductor!CK48,CTGS!CK48,'Substation 2025$'!CK48*$BL$1,Comms!CG48*$BL$2)</f>
        <v>0</v>
      </c>
      <c r="BI48" s="364">
        <f>SUM('Defect (Total)'!BI48,Planned!CL48,Reconductor!CL48,CTGS!CL48,'Substation 2025$'!CL48*$BL$1,Comms!CH48*$BL$2)</f>
        <v>0</v>
      </c>
      <c r="BJ48" s="99" t="str">
        <f t="shared" si="16"/>
        <v/>
      </c>
      <c r="BK48" s="743"/>
      <c r="BL48" s="97"/>
      <c r="BM48" s="524"/>
      <c r="BN48" s="416">
        <f>'Distribution Summary'!CI48+'Substation 2025$'!CT48</f>
        <v>0</v>
      </c>
      <c r="BO48" s="97">
        <f>'Distribution Summary'!CJ48+'Substation 2025$'!CU48</f>
        <v>0</v>
      </c>
      <c r="BP48" s="97">
        <f>'Distribution Summary'!CK48+'Substation 2025$'!CV48</f>
        <v>0</v>
      </c>
      <c r="BQ48" s="97">
        <f>'Distribution Summary'!CL48+'Substation 2025$'!CW48</f>
        <v>0</v>
      </c>
      <c r="BR48" s="98">
        <f>'Distribution Summary'!CM48+'Substation 2025$'!CX48</f>
        <v>0</v>
      </c>
    </row>
    <row r="49" spans="1:70" x14ac:dyDescent="0.25">
      <c r="A49" s="81" t="s">
        <v>94</v>
      </c>
      <c r="B49" s="82" t="s">
        <v>322</v>
      </c>
      <c r="C49" s="83" t="s">
        <v>323</v>
      </c>
      <c r="D49" s="84">
        <f>SUM('Defect (Total)'!D49,Planned!D49,Reconductor!D49,CTGS!D49)</f>
        <v>0</v>
      </c>
      <c r="E49" s="85">
        <f>SUM('Defect (Total)'!E49,Planned!E49,Reconductor!E49,CTGS!E49)</f>
        <v>0</v>
      </c>
      <c r="F49" s="85">
        <f>SUM('Defect (Total)'!F49,Planned!F49,Reconductor!F49,CTGS!F49)</f>
        <v>0</v>
      </c>
      <c r="G49" s="85">
        <f>SUM('Defect (Total)'!G49,Planned!G49,Reconductor!G49,CTGS!G49)</f>
        <v>0</v>
      </c>
      <c r="H49" s="85">
        <f>SUM('Defect (Total)'!H49,Planned!H49,Reconductor!H49,CTGS!H49)</f>
        <v>0</v>
      </c>
      <c r="I49" s="85">
        <f>SUM('Defect (Total)'!I49,Planned!I49,Reconductor!I49,CTGS!I49)</f>
        <v>0</v>
      </c>
      <c r="J49" s="85">
        <f>SUM('Defect (Total)'!J49,Planned!J49,Reconductor!J49,CTGS!J49)</f>
        <v>0</v>
      </c>
      <c r="K49" s="85">
        <f>SUM('Defect (Total)'!K49,Planned!K49,Reconductor!K49,CTGS!K49)</f>
        <v>0</v>
      </c>
      <c r="L49" s="85">
        <f>SUM('Defect (Total)'!L49,Planned!L49,Reconductor!L49,CTGS!L49)</f>
        <v>0</v>
      </c>
      <c r="M49" s="85">
        <f>SUM('Defect (Total)'!M49,Planned!M49,Reconductor!M49,CTGS!M49)</f>
        <v>0</v>
      </c>
      <c r="N49" s="85">
        <f>SUM('Defect (Total)'!N49,Planned!N49,Reconductor!N49,CTGS!N49)</f>
        <v>0</v>
      </c>
      <c r="O49" s="560">
        <f>SUM('Defect (Total)'!O49,Planned!O49,Reconductor!O49,CTGS!O49)</f>
        <v>0</v>
      </c>
      <c r="P49" s="561">
        <f>SUM('Defect (Total)'!P49,Planned!P49,Reconductor!P49,CTGS!P49)</f>
        <v>0</v>
      </c>
      <c r="Q49" s="561">
        <f>SUM('Defect (Total)'!Q49,Planned!Q49,Reconductor!Q49,CTGS!Q49)</f>
        <v>0</v>
      </c>
      <c r="R49" s="561">
        <f>SUM('Defect (Total)'!R49,Planned!R49,Reconductor!R49,CTGS!R49)</f>
        <v>0</v>
      </c>
      <c r="S49" s="561">
        <f>SUM('Defect (Total)'!S49,Planned!S49,Reconductor!S49,CTGS!S49)</f>
        <v>0</v>
      </c>
      <c r="T49" s="561">
        <f>SUM('Defect (Total)'!T49,Planned!T49,Reconductor!T49,CTGS!T49)</f>
        <v>0</v>
      </c>
      <c r="U49" s="561">
        <f>SUM('Defect (Total)'!U49,Planned!U49,Reconductor!U49,CTGS!U49)</f>
        <v>0</v>
      </c>
      <c r="V49" s="561">
        <f>SUM('Defect (Total)'!V49,Planned!V49,Reconductor!V49,CTGS!V49)</f>
        <v>0</v>
      </c>
      <c r="W49" s="561">
        <f>SUM('Defect (Total)'!W49,Planned!W49,Reconductor!W49,CTGS!W49)</f>
        <v>0</v>
      </c>
      <c r="X49" s="561">
        <f>SUM('Defect (Total)'!X49,Planned!X49,Reconductor!X49,CTGS!X49)</f>
        <v>0</v>
      </c>
      <c r="Y49" s="561">
        <f>SUM('Defect (Total)'!Y49,Planned!Y49,Reconductor!Y49,CTGS!Y49)</f>
        <v>0</v>
      </c>
      <c r="Z49" s="125">
        <f>SUM('Defect (Total)'!Z49,Planned!Z49,Reconductor!Z49,CTGS!Z49)</f>
        <v>0</v>
      </c>
      <c r="AA49" s="126">
        <f>SUM('Defect (Total)'!AA49,Planned!AA49,Reconductor!AA49,CTGS!AA49)</f>
        <v>0</v>
      </c>
      <c r="AB49" s="126">
        <f>SUM('Defect (Total)'!AB49,Planned!AB49,Reconductor!AB49,CTGS!AB49)</f>
        <v>0</v>
      </c>
      <c r="AC49" s="126">
        <f>SUM('Defect (Total)'!AC49,Planned!AC49,Reconductor!AC49,CTGS!AC49)</f>
        <v>0</v>
      </c>
      <c r="AD49" s="126">
        <f>SUM('Defect (Total)'!AD49,Planned!AD49,Reconductor!AD49,CTGS!AD49)</f>
        <v>0</v>
      </c>
      <c r="AE49" s="126">
        <f>SUM('Defect (Total)'!AE49,Planned!AE49,Reconductor!AE49,CTGS!AE49)</f>
        <v>0</v>
      </c>
      <c r="AF49" s="126">
        <f>SUM('Defect (Total)'!AF49,Planned!AF49,Reconductor!AF49,CTGS!AF49)</f>
        <v>0</v>
      </c>
      <c r="AG49" s="126">
        <f>SUM('Defect (Total)'!AG49,Planned!AG49,Reconductor!AG49,CTGS!AG49)</f>
        <v>0</v>
      </c>
      <c r="AH49" s="126">
        <f>SUM('Defect (Total)'!AH49,Planned!AH49,Reconductor!AH49,CTGS!AH49)</f>
        <v>0</v>
      </c>
      <c r="AI49" s="126">
        <f>SUM('Defect (Total)'!AI49,Planned!AI49,Reconductor!AI49,CTGS!AI49)</f>
        <v>0</v>
      </c>
      <c r="AJ49" s="126">
        <f>SUM('Defect (Total)'!AJ49,Planned!AJ49,Reconductor!AJ49,CTGS!AJ49)</f>
        <v>0</v>
      </c>
      <c r="AK49" s="127">
        <f t="shared" si="14"/>
        <v>0</v>
      </c>
      <c r="AL49" s="128">
        <f t="shared" si="18"/>
        <v>0</v>
      </c>
      <c r="AM49" s="129">
        <f t="shared" si="15"/>
        <v>0</v>
      </c>
      <c r="AN49" s="91" t="str">
        <f t="shared" si="19"/>
        <v/>
      </c>
      <c r="AO49" s="92" t="str">
        <f t="shared" si="20"/>
        <v/>
      </c>
      <c r="AP49" s="92" t="str">
        <f t="shared" si="21"/>
        <v/>
      </c>
      <c r="AQ49" s="92" t="str">
        <f t="shared" si="22"/>
        <v/>
      </c>
      <c r="AR49" s="92" t="str">
        <f t="shared" si="23"/>
        <v/>
      </c>
      <c r="AS49" s="92" t="str">
        <f t="shared" si="24"/>
        <v/>
      </c>
      <c r="AT49" s="92" t="str">
        <f t="shared" si="25"/>
        <v/>
      </c>
      <c r="AU49" s="92" t="str">
        <f t="shared" si="26"/>
        <v/>
      </c>
      <c r="AV49" s="92" t="str">
        <f t="shared" si="27"/>
        <v/>
      </c>
      <c r="AW49" s="92" t="str">
        <f t="shared" si="28"/>
        <v/>
      </c>
      <c r="AX49" s="92" t="str">
        <f t="shared" si="28"/>
        <v/>
      </c>
      <c r="AY49" s="93" t="str">
        <f t="shared" si="29"/>
        <v/>
      </c>
      <c r="AZ49" s="94" t="str">
        <f t="shared" si="12"/>
        <v/>
      </c>
      <c r="BA49" s="95" t="str">
        <f t="shared" si="13"/>
        <v/>
      </c>
      <c r="BB49" s="692">
        <f>SUM('Defect (Total)'!BB49,Planned!CE49,Reconductor!CE49,CTGS!CE49,'Substation 2025$'!CE49*$BL$1,Comms!CA49*$BL$2)</f>
        <v>0</v>
      </c>
      <c r="BC49" s="692">
        <f>SUM('Defect (Total)'!BC49,Planned!CF49,Reconductor!CF49,CTGS!CF49,'Substation 2025$'!CF49*$BL$1,Comms!CB49*$BL$2)</f>
        <v>0</v>
      </c>
      <c r="BD49" s="363">
        <f>SUM('Defect (Total)'!BD49,Planned!CG49,Reconductor!CG49,CTGS!CG49,'Substation 2025$'!CG49*$BL$1,Comms!CC49*$BL$2)</f>
        <v>0</v>
      </c>
      <c r="BE49" s="363">
        <f>SUM('Defect (Total)'!BE49,Planned!CH49,Reconductor!CH49,CTGS!CH49,'Substation 2025$'!CH49*$BL$1,Comms!CD49*$BL$2)</f>
        <v>0</v>
      </c>
      <c r="BF49" s="363">
        <f>SUM('Defect (Total)'!BF49,Planned!CI49,Reconductor!CI49,CTGS!CI49,'Substation 2025$'!CI49*$BL$1,Comms!CE49*$BL$2)</f>
        <v>0</v>
      </c>
      <c r="BG49" s="363">
        <f>SUM('Defect (Total)'!BG49,Planned!CJ49,Reconductor!CJ49,CTGS!CJ49,'Substation 2025$'!CJ49*$BL$1,Comms!CF49*$BL$2)</f>
        <v>0</v>
      </c>
      <c r="BH49" s="363">
        <f>SUM('Defect (Total)'!BH49,Planned!CK49,Reconductor!CK49,CTGS!CK49,'Substation 2025$'!CK49*$BL$1,Comms!CG49*$BL$2)</f>
        <v>0</v>
      </c>
      <c r="BI49" s="364">
        <f>SUM('Defect (Total)'!BI49,Planned!CL49,Reconductor!CL49,CTGS!CL49,'Substation 2025$'!CL49*$BL$1,Comms!CH49*$BL$2)</f>
        <v>0</v>
      </c>
      <c r="BJ49" s="99" t="str">
        <f t="shared" si="16"/>
        <v/>
      </c>
      <c r="BK49" s="743"/>
      <c r="BL49" s="97"/>
      <c r="BM49" s="524"/>
      <c r="BN49" s="416">
        <f>'Distribution Summary'!CI49+'Substation 2025$'!CT49</f>
        <v>0</v>
      </c>
      <c r="BO49" s="97">
        <f>'Distribution Summary'!CJ49+'Substation 2025$'!CU49</f>
        <v>0</v>
      </c>
      <c r="BP49" s="97">
        <f>'Distribution Summary'!CK49+'Substation 2025$'!CV49</f>
        <v>0</v>
      </c>
      <c r="BQ49" s="97">
        <f>'Distribution Summary'!CL49+'Substation 2025$'!CW49</f>
        <v>0</v>
      </c>
      <c r="BR49" s="98">
        <f>'Distribution Summary'!CM49+'Substation 2025$'!CX49</f>
        <v>0</v>
      </c>
    </row>
    <row r="50" spans="1:70" ht="15.75" thickBot="1" x14ac:dyDescent="0.3">
      <c r="A50" s="138" t="s">
        <v>94</v>
      </c>
      <c r="B50" s="139" t="s">
        <v>324</v>
      </c>
      <c r="C50" s="102" t="s">
        <v>325</v>
      </c>
      <c r="D50" s="103">
        <f>SUM('Defect (Total)'!D50,Planned!D50,Reconductor!D50,CTGS!D50)</f>
        <v>0</v>
      </c>
      <c r="E50" s="104">
        <f>SUM('Defect (Total)'!E50,Planned!E50,Reconductor!E50,CTGS!E50)</f>
        <v>0</v>
      </c>
      <c r="F50" s="104">
        <f>SUM('Defect (Total)'!F50,Planned!F50,Reconductor!F50,CTGS!F50)</f>
        <v>0</v>
      </c>
      <c r="G50" s="104">
        <f>SUM('Defect (Total)'!G50,Planned!G50,Reconductor!G50,CTGS!G50)</f>
        <v>0</v>
      </c>
      <c r="H50" s="104">
        <f>SUM('Defect (Total)'!H50,Planned!H50,Reconductor!H50,CTGS!H50)</f>
        <v>0</v>
      </c>
      <c r="I50" s="104">
        <f>SUM('Defect (Total)'!I50,Planned!I50,Reconductor!I50,CTGS!I50)</f>
        <v>0</v>
      </c>
      <c r="J50" s="104">
        <f>SUM('Defect (Total)'!J50,Planned!J50,Reconductor!J50,CTGS!J50)</f>
        <v>0</v>
      </c>
      <c r="K50" s="104">
        <f>SUM('Defect (Total)'!K50,Planned!K50,Reconductor!K50,CTGS!K50)</f>
        <v>0</v>
      </c>
      <c r="L50" s="104">
        <f>SUM('Defect (Total)'!L50,Planned!L50,Reconductor!L50,CTGS!L50)</f>
        <v>0</v>
      </c>
      <c r="M50" s="104">
        <f>SUM('Defect (Total)'!M50,Planned!M50,Reconductor!M50,CTGS!M50)</f>
        <v>0</v>
      </c>
      <c r="N50" s="104">
        <f>SUM('Defect (Total)'!N50,Planned!N50,Reconductor!N50,CTGS!N50)</f>
        <v>0</v>
      </c>
      <c r="O50" s="563">
        <f>SUM('Defect (Total)'!O50,Planned!O50,Reconductor!O50,CTGS!O50)</f>
        <v>0</v>
      </c>
      <c r="P50" s="564">
        <f>SUM('Defect (Total)'!P50,Planned!P50,Reconductor!P50,CTGS!P50)</f>
        <v>0</v>
      </c>
      <c r="Q50" s="564">
        <f>SUM('Defect (Total)'!Q50,Planned!Q50,Reconductor!Q50,CTGS!Q50)</f>
        <v>0</v>
      </c>
      <c r="R50" s="564">
        <f>SUM('Defect (Total)'!R50,Planned!R50,Reconductor!R50,CTGS!R50)</f>
        <v>0</v>
      </c>
      <c r="S50" s="564">
        <f>SUM('Defect (Total)'!S50,Planned!S50,Reconductor!S50,CTGS!S50)</f>
        <v>0</v>
      </c>
      <c r="T50" s="564">
        <f>SUM('Defect (Total)'!T50,Planned!T50,Reconductor!T50,CTGS!T50)</f>
        <v>0</v>
      </c>
      <c r="U50" s="564">
        <f>SUM('Defect (Total)'!U50,Planned!U50,Reconductor!U50,CTGS!U50)</f>
        <v>0</v>
      </c>
      <c r="V50" s="564">
        <f>SUM('Defect (Total)'!V50,Planned!V50,Reconductor!V50,CTGS!V50)</f>
        <v>0</v>
      </c>
      <c r="W50" s="564">
        <f>SUM('Defect (Total)'!W50,Planned!W50,Reconductor!W50,CTGS!W50)</f>
        <v>0</v>
      </c>
      <c r="X50" s="564">
        <f>SUM('Defect (Total)'!X50,Planned!X50,Reconductor!X50,CTGS!X50)</f>
        <v>0</v>
      </c>
      <c r="Y50" s="564">
        <f>SUM('Defect (Total)'!Y50,Planned!Y50,Reconductor!Y50,CTGS!Y50)</f>
        <v>0</v>
      </c>
      <c r="Z50" s="131">
        <f>SUM('Defect (Total)'!Z50,Planned!Z50,Reconductor!Z50,CTGS!Z50)</f>
        <v>0</v>
      </c>
      <c r="AA50" s="132">
        <f>SUM('Defect (Total)'!AA50,Planned!AA50,Reconductor!AA50,CTGS!AA50)</f>
        <v>0</v>
      </c>
      <c r="AB50" s="132">
        <f>SUM('Defect (Total)'!AB50,Planned!AB50,Reconductor!AB50,CTGS!AB50)</f>
        <v>0</v>
      </c>
      <c r="AC50" s="132">
        <f>SUM('Defect (Total)'!AC50,Planned!AC50,Reconductor!AC50,CTGS!AC50)</f>
        <v>0</v>
      </c>
      <c r="AD50" s="132">
        <f>SUM('Defect (Total)'!AD50,Planned!AD50,Reconductor!AD50,CTGS!AD50)</f>
        <v>0</v>
      </c>
      <c r="AE50" s="132">
        <f>SUM('Defect (Total)'!AE50,Planned!AE50,Reconductor!AE50,CTGS!AE50)</f>
        <v>0</v>
      </c>
      <c r="AF50" s="132">
        <f>SUM('Defect (Total)'!AF50,Planned!AF50,Reconductor!AF50,CTGS!AF50)</f>
        <v>0</v>
      </c>
      <c r="AG50" s="132">
        <f>SUM('Defect (Total)'!AG50,Planned!AG50,Reconductor!AG50,CTGS!AG50)</f>
        <v>0</v>
      </c>
      <c r="AH50" s="132">
        <f>SUM('Defect (Total)'!AH50,Planned!AH50,Reconductor!AH50,CTGS!AH50)</f>
        <v>0</v>
      </c>
      <c r="AI50" s="132">
        <f>SUM('Defect (Total)'!AI50,Planned!AI50,Reconductor!AI50,CTGS!AI50)</f>
        <v>0</v>
      </c>
      <c r="AJ50" s="132">
        <f>SUM('Defect (Total)'!AJ50,Planned!AJ50,Reconductor!AJ50,CTGS!AJ50)</f>
        <v>0</v>
      </c>
      <c r="AK50" s="133">
        <f t="shared" si="14"/>
        <v>0</v>
      </c>
      <c r="AL50" s="134">
        <f t="shared" si="18"/>
        <v>0</v>
      </c>
      <c r="AM50" s="135">
        <f t="shared" si="15"/>
        <v>0</v>
      </c>
      <c r="AN50" s="110" t="str">
        <f t="shared" si="19"/>
        <v/>
      </c>
      <c r="AO50" s="111" t="str">
        <f t="shared" si="20"/>
        <v/>
      </c>
      <c r="AP50" s="111" t="str">
        <f t="shared" si="21"/>
        <v/>
      </c>
      <c r="AQ50" s="111" t="str">
        <f t="shared" si="22"/>
        <v/>
      </c>
      <c r="AR50" s="111" t="str">
        <f t="shared" si="23"/>
        <v/>
      </c>
      <c r="AS50" s="111" t="str">
        <f t="shared" si="24"/>
        <v/>
      </c>
      <c r="AT50" s="111" t="str">
        <f t="shared" si="25"/>
        <v/>
      </c>
      <c r="AU50" s="111" t="str">
        <f t="shared" si="26"/>
        <v/>
      </c>
      <c r="AV50" s="111" t="str">
        <f t="shared" si="27"/>
        <v/>
      </c>
      <c r="AW50" s="111" t="str">
        <f t="shared" si="28"/>
        <v/>
      </c>
      <c r="AX50" s="111" t="str">
        <f t="shared" si="28"/>
        <v/>
      </c>
      <c r="AY50" s="112" t="str">
        <f t="shared" si="29"/>
        <v/>
      </c>
      <c r="AZ50" s="113" t="str">
        <f t="shared" si="12"/>
        <v/>
      </c>
      <c r="BA50" s="114" t="str">
        <f t="shared" si="13"/>
        <v/>
      </c>
      <c r="BB50" s="693">
        <f>SUM('Defect (Total)'!BB50,Planned!CE50,Reconductor!CE50,CTGS!CE50,'Substation 2025$'!CE50*$BL$1,Comms!CA50*$BL$2)</f>
        <v>0</v>
      </c>
      <c r="BC50" s="693">
        <f>SUM('Defect (Total)'!BC50,Planned!CF50,Reconductor!CF50,CTGS!CF50,'Substation 2025$'!CF50*$BL$1,Comms!CB50*$BL$2)</f>
        <v>0</v>
      </c>
      <c r="BD50" s="366">
        <f>SUM('Defect (Total)'!BD50,Planned!CG50,Reconductor!CG50,CTGS!CG50,'Substation 2025$'!CG50*$BL$1,Comms!CC50*$BL$2)</f>
        <v>0</v>
      </c>
      <c r="BE50" s="366">
        <f>SUM('Defect (Total)'!BE50,Planned!CH50,Reconductor!CH50,CTGS!CH50,'Substation 2025$'!CH50*$BL$1,Comms!CD50*$BL$2)</f>
        <v>0</v>
      </c>
      <c r="BF50" s="366">
        <f>SUM('Defect (Total)'!BF50,Planned!CI50,Reconductor!CI50,CTGS!CI50,'Substation 2025$'!CI50*$BL$1,Comms!CE50*$BL$2)</f>
        <v>0</v>
      </c>
      <c r="BG50" s="366">
        <f>SUM('Defect (Total)'!BG50,Planned!CJ50,Reconductor!CJ50,CTGS!CJ50,'Substation 2025$'!CJ50*$BL$1,Comms!CF50*$BL$2)</f>
        <v>0</v>
      </c>
      <c r="BH50" s="366">
        <f>SUM('Defect (Total)'!BH50,Planned!CK50,Reconductor!CK50,CTGS!CK50,'Substation 2025$'!CK50*$BL$1,Comms!CG50*$BL$2)</f>
        <v>0</v>
      </c>
      <c r="BI50" s="367">
        <f>SUM('Defect (Total)'!BI50,Planned!CL50,Reconductor!CL50,CTGS!CL50,'Substation 2025$'!CL50*$BL$1,Comms!CH50*$BL$2)</f>
        <v>0</v>
      </c>
      <c r="BJ50" s="116" t="str">
        <f t="shared" si="16"/>
        <v/>
      </c>
      <c r="BK50" s="744"/>
      <c r="BL50" s="117"/>
      <c r="BM50" s="638"/>
      <c r="BN50" s="467">
        <f>'Distribution Summary'!CI50+'Substation 2025$'!CT50</f>
        <v>0</v>
      </c>
      <c r="BO50" s="117">
        <f>'Distribution Summary'!CJ50+'Substation 2025$'!CU50</f>
        <v>0</v>
      </c>
      <c r="BP50" s="117">
        <f>'Distribution Summary'!CK50+'Substation 2025$'!CV50</f>
        <v>0</v>
      </c>
      <c r="BQ50" s="117">
        <f>'Distribution Summary'!CL50+'Substation 2025$'!CW50</f>
        <v>0</v>
      </c>
      <c r="BR50" s="118">
        <f>'Distribution Summary'!CM50+'Substation 2025$'!CX50</f>
        <v>0</v>
      </c>
    </row>
    <row r="51" spans="1:70" x14ac:dyDescent="0.25">
      <c r="A51" s="63" t="s">
        <v>106</v>
      </c>
      <c r="B51" s="64" t="s">
        <v>103</v>
      </c>
      <c r="C51" s="65" t="s">
        <v>326</v>
      </c>
      <c r="D51" s="66">
        <f>SUM('Defect (Total)'!D51,Planned!D51,Reconductor!D51,CTGS!D51)</f>
        <v>1954633</v>
      </c>
      <c r="E51" s="67">
        <f>SUM('Defect (Total)'!E51,Planned!E51,Reconductor!E51,CTGS!E51)</f>
        <v>6388028</v>
      </c>
      <c r="F51" s="67">
        <f>SUM('Defect (Total)'!F51,Planned!F51,Reconductor!F51,CTGS!F51)</f>
        <v>3981781</v>
      </c>
      <c r="G51" s="67">
        <f>SUM('Defect (Total)'!G51,Planned!G51,Reconductor!G51,CTGS!G51)</f>
        <v>3662014.9800492651</v>
      </c>
      <c r="H51" s="67">
        <f>SUM('Defect (Total)'!H51,Planned!H51,Reconductor!H51,CTGS!H51)</f>
        <v>3255307.9144500908</v>
      </c>
      <c r="I51" s="67">
        <f>SUM('Defect (Total)'!I51,Planned!I51,Reconductor!I51,CTGS!I51)</f>
        <v>7169379.041949396</v>
      </c>
      <c r="J51" s="67">
        <f>SUM('Defect (Total)'!J51,Planned!J51,Reconductor!J51,CTGS!J51)</f>
        <v>10976147.460494608</v>
      </c>
      <c r="K51" s="67">
        <f>SUM('Defect (Total)'!K51,Planned!K51,Reconductor!K51,CTGS!K51)</f>
        <v>0</v>
      </c>
      <c r="L51" s="67">
        <f>SUM('Defect (Total)'!L51,Planned!L51,Reconductor!L51,CTGS!L51)</f>
        <v>14365479.53456215</v>
      </c>
      <c r="M51" s="67">
        <f>SUM('Defect (Total)'!M51,Planned!M51,Reconductor!M51,CTGS!M51)</f>
        <v>18306562.936667074</v>
      </c>
      <c r="N51" s="67">
        <f>SUM('Defect (Total)'!N51,Planned!N51,Reconductor!N51,CTGS!N51)</f>
        <v>21874760.55285845</v>
      </c>
      <c r="O51" s="557">
        <f>SUM('Defect (Total)'!O51,Planned!O51,Reconductor!O51,CTGS!O51)</f>
        <v>2629873.3215797087</v>
      </c>
      <c r="P51" s="558">
        <f>SUM('Defect (Total)'!P51,Planned!P51,Reconductor!P51,CTGS!P51)</f>
        <v>8466889.8470891118</v>
      </c>
      <c r="Q51" s="558">
        <f>SUM('Defect (Total)'!Q51,Planned!Q51,Reconductor!Q51,CTGS!Q51)</f>
        <v>5224119.5582203856</v>
      </c>
      <c r="R51" s="558">
        <f>SUM('Defect (Total)'!R51,Planned!R51,Reconductor!R51,CTGS!R51)</f>
        <v>4713440.8188768569</v>
      </c>
      <c r="S51" s="558">
        <f>SUM('Defect (Total)'!S51,Planned!S51,Reconductor!S51,CTGS!S51)</f>
        <v>4104678.9434718592</v>
      </c>
      <c r="T51" s="558">
        <f>SUM('Defect (Total)'!T51,Planned!T51,Reconductor!T51,CTGS!T51)</f>
        <v>8898262.5702507924</v>
      </c>
      <c r="U51" s="558">
        <f>SUM('Defect (Total)'!U51,Planned!U51,Reconductor!U51,CTGS!U51)</f>
        <v>13670659.660822</v>
      </c>
      <c r="V51" s="558">
        <f>SUM('Defect (Total)'!V51,Planned!V51,Reconductor!V51,CTGS!V51)</f>
        <v>0</v>
      </c>
      <c r="W51" s="558">
        <f>SUM('Defect (Total)'!W51,Planned!W51,Reconductor!W51,CTGS!W51)</f>
        <v>16231946.55518141</v>
      </c>
      <c r="X51" s="558">
        <f>SUM('Defect (Total)'!X51,Planned!X51,Reconductor!X51,CTGS!X51)</f>
        <v>19468314.374191191</v>
      </c>
      <c r="Y51" s="558">
        <f>SUM('Defect (Total)'!Y51,Planned!Y51,Reconductor!Y51,CTGS!Y51)</f>
        <v>22476283.203464422</v>
      </c>
      <c r="Z51" s="68">
        <f>SUM('Defect (Total)'!Z51,Planned!Z51,Reconductor!Z51,CTGS!Z51)</f>
        <v>4201</v>
      </c>
      <c r="AA51" s="69">
        <f>SUM('Defect (Total)'!AA51,Planned!AA51,Reconductor!AA51,CTGS!AA51)</f>
        <v>8899</v>
      </c>
      <c r="AB51" s="69">
        <f>SUM('Defect (Total)'!AB51,Planned!AB51,Reconductor!AB51,CTGS!AB51)</f>
        <v>4513</v>
      </c>
      <c r="AC51" s="69">
        <f>SUM('Defect (Total)'!AC51,Planned!AC51,Reconductor!AC51,CTGS!AC51)</f>
        <v>4116.46</v>
      </c>
      <c r="AD51" s="69">
        <f>SUM('Defect (Total)'!AD51,Planned!AD51,Reconductor!AD51,CTGS!AD51)</f>
        <v>5247.0583333333334</v>
      </c>
      <c r="AE51" s="69">
        <f>SUM('Defect (Total)'!AE51,Planned!AE51,Reconductor!AE51,CTGS!AE51)</f>
        <v>9771.449771354999</v>
      </c>
      <c r="AF51" s="69">
        <f>SUM('Defect (Total)'!AF51,Planned!AF51,Reconductor!AF51,CTGS!AF51)</f>
        <v>13949.404546907994</v>
      </c>
      <c r="AG51" s="69">
        <f>SUM('Defect (Total)'!AG51,Planned!AG51,Reconductor!AG51,CTGS!AG51)</f>
        <v>0</v>
      </c>
      <c r="AH51" s="69">
        <f>SUM('Defect (Total)'!AH51,Planned!AH51,Reconductor!AH51,CTGS!AH51)</f>
        <v>13752.624848082978</v>
      </c>
      <c r="AI51" s="69">
        <f>SUM('Defect (Total)'!AI51,Planned!AI51,Reconductor!AI51,CTGS!AI51)</f>
        <v>18445.963582347009</v>
      </c>
      <c r="AJ51" s="69">
        <f>SUM('Defect (Total)'!AJ51,Planned!AJ51,Reconductor!AJ51,CTGS!AJ51)</f>
        <v>13438.736097019999</v>
      </c>
      <c r="AK51" s="121">
        <f t="shared" si="14"/>
        <v>8544.1074999358607</v>
      </c>
      <c r="AL51" s="122">
        <f t="shared" si="18"/>
        <v>9234.009798330324</v>
      </c>
      <c r="AM51" s="123">
        <f t="shared" si="15"/>
        <v>13752.624848082978</v>
      </c>
      <c r="AN51" s="73">
        <f t="shared" si="19"/>
        <v>465.27802904070461</v>
      </c>
      <c r="AO51" s="74">
        <f t="shared" si="20"/>
        <v>717.83661085515223</v>
      </c>
      <c r="AP51" s="74">
        <f t="shared" si="21"/>
        <v>882.29138045645914</v>
      </c>
      <c r="AQ51" s="74">
        <f t="shared" si="22"/>
        <v>889.60295497812808</v>
      </c>
      <c r="AR51" s="74">
        <f t="shared" si="23"/>
        <v>620.40627483972912</v>
      </c>
      <c r="AS51" s="74">
        <f t="shared" si="24"/>
        <v>733.70678964818785</v>
      </c>
      <c r="AT51" s="74">
        <f t="shared" si="25"/>
        <v>786.85419320838082</v>
      </c>
      <c r="AU51" s="74" t="str">
        <f t="shared" si="26"/>
        <v/>
      </c>
      <c r="AV51" s="74">
        <f t="shared" si="27"/>
        <v>1044.5627429853582</v>
      </c>
      <c r="AW51" s="74">
        <f t="shared" si="28"/>
        <v>992.44275610446596</v>
      </c>
      <c r="AX51" s="74">
        <f t="shared" si="28"/>
        <v>1627.7394239261173</v>
      </c>
      <c r="AY51" s="75">
        <f t="shared" si="29"/>
        <v>837.21591638973962</v>
      </c>
      <c r="AZ51" s="76">
        <f t="shared" si="12"/>
        <v>914.79315950906403</v>
      </c>
      <c r="BA51" s="77">
        <f t="shared" si="13"/>
        <v>1044.5627429853582</v>
      </c>
      <c r="BB51" s="688">
        <f>SUM('Defect (Total)'!BB51,Planned!CE51,Reconductor!CE51,CTGS!CE51,'Substation 2025$'!CE51*$BL$1,Comms!CA51*$BL$2)</f>
        <v>16597.402785238595</v>
      </c>
      <c r="BC51" s="688">
        <f>SUM('Defect (Total)'!BC51,Planned!CF51,Reconductor!CF51,CTGS!CF51,'Substation 2025$'!CF51*$BL$1,Comms!CB51*$BL$2)</f>
        <v>16774.926364352144</v>
      </c>
      <c r="BD51" s="78">
        <f>SUM('Defect (Total)'!BD51,Planned!CG51,Reconductor!CG51,CTGS!CG51,'Substation 2025$'!CG51*$BL$1,Comms!CC51*$BL$2)</f>
        <v>16774.926364352144</v>
      </c>
      <c r="BE51" s="78">
        <f>SUM('Defect (Total)'!BE51,Planned!CH51,Reconductor!CH51,CTGS!CH51,'Substation 2025$'!CH51*$BL$1,Comms!CD51*$BL$2)</f>
        <v>17315.770586805509</v>
      </c>
      <c r="BF51" s="78">
        <f>SUM('Defect (Total)'!BF51,Planned!CI51,Reconductor!CI51,CTGS!CI51,'Substation 2025$'!CI51*$BL$1,Comms!CE51*$BL$2)</f>
        <v>17428.539753673507</v>
      </c>
      <c r="BG51" s="78">
        <f>SUM('Defect (Total)'!BG51,Planned!CJ51,Reconductor!CJ51,CTGS!CJ51,'Substation 2025$'!CJ51*$BL$1,Comms!CF51*$BL$2)</f>
        <v>17503.719198252169</v>
      </c>
      <c r="BH51" s="78">
        <f>SUM('Defect (Total)'!BH51,Planned!CK51,Reconductor!CK51,CTGS!CK51,'Substation 2025$'!CK51*$BL$1,Comms!CG51*$BL$2)</f>
        <v>17578.898642830834</v>
      </c>
      <c r="BI51" s="285">
        <f>SUM('Defect (Total)'!BI51,Planned!CL51,Reconductor!CL51,CTGS!CL51,'Substation 2025$'!CL51*$BL$1,Comms!CH51*$BL$2)</f>
        <v>17616.488365120164</v>
      </c>
      <c r="BJ51" s="124">
        <f t="shared" si="16"/>
        <v>1219.0699236735384</v>
      </c>
      <c r="BK51" s="742"/>
      <c r="BL51" s="79"/>
      <c r="BM51" s="523"/>
      <c r="BN51" s="415">
        <f>'Distribution Summary'!CI51+'Substation 2025$'!CT51</f>
        <v>20886570.566651475</v>
      </c>
      <c r="BO51" s="79">
        <f>'Distribution Summary'!CJ51+'Substation 2025$'!CU51</f>
        <v>21127906.164280944</v>
      </c>
      <c r="BP51" s="79">
        <f>'Distribution Summary'!CK51+'Substation 2025$'!CV51</f>
        <v>21322704.492232997</v>
      </c>
      <c r="BQ51" s="79">
        <f>'Distribution Summary'!CL51+'Substation 2025$'!CW51</f>
        <v>21537594.082504567</v>
      </c>
      <c r="BR51" s="80">
        <f>'Distribution Summary'!CM51+'Substation 2025$'!CX51</f>
        <v>21724863.829647291</v>
      </c>
    </row>
    <row r="52" spans="1:70" x14ac:dyDescent="0.25">
      <c r="A52" s="81" t="s">
        <v>106</v>
      </c>
      <c r="B52" s="82" t="s">
        <v>107</v>
      </c>
      <c r="C52" s="83" t="s">
        <v>328</v>
      </c>
      <c r="D52" s="84">
        <f>SUM('Defect (Total)'!D52,Planned!D52,Reconductor!D52,CTGS!D52)</f>
        <v>2076776</v>
      </c>
      <c r="E52" s="85">
        <f>SUM('Defect (Total)'!E52,Planned!E52,Reconductor!E52,CTGS!E52)</f>
        <v>1977268</v>
      </c>
      <c r="F52" s="85">
        <f>SUM('Defect (Total)'!F52,Planned!F52,Reconductor!F52,CTGS!F52)</f>
        <v>2249459</v>
      </c>
      <c r="G52" s="85">
        <f>SUM('Defect (Total)'!G52,Planned!G52,Reconductor!G52,CTGS!G52)</f>
        <v>1526470</v>
      </c>
      <c r="H52" s="85">
        <f>SUM('Defect (Total)'!H52,Planned!H52,Reconductor!H52,CTGS!H52)</f>
        <v>2084207.8325383167</v>
      </c>
      <c r="I52" s="85">
        <f>SUM('Defect (Total)'!I52,Planned!I52,Reconductor!I52,CTGS!I52)</f>
        <v>0</v>
      </c>
      <c r="J52" s="85">
        <f>SUM('Defect (Total)'!J52,Planned!J52,Reconductor!J52,CTGS!J52)</f>
        <v>0</v>
      </c>
      <c r="K52" s="85">
        <f>SUM('Defect (Total)'!K52,Planned!K52,Reconductor!K52,CTGS!K52)</f>
        <v>8732459.3557683397</v>
      </c>
      <c r="L52" s="85">
        <f>SUM('Defect (Total)'!L52,Planned!L52,Reconductor!L52,CTGS!L52)</f>
        <v>0</v>
      </c>
      <c r="M52" s="85">
        <f>SUM('Defect (Total)'!M52,Planned!M52,Reconductor!M52,CTGS!M52)</f>
        <v>10701866.632795805</v>
      </c>
      <c r="N52" s="85">
        <f>SUM('Defect (Total)'!N52,Planned!N52,Reconductor!N52,CTGS!N52)</f>
        <v>11714354.36996147</v>
      </c>
      <c r="O52" s="560">
        <f>SUM('Defect (Total)'!O52,Planned!O52,Reconductor!O52,CTGS!O52)</f>
        <v>2794211.3927765572</v>
      </c>
      <c r="P52" s="561">
        <f>SUM('Defect (Total)'!P52,Planned!P52,Reconductor!P52,CTGS!P52)</f>
        <v>2620732.149917658</v>
      </c>
      <c r="Q52" s="561">
        <f>SUM('Defect (Total)'!Q52,Planned!Q52,Reconductor!Q52,CTGS!Q52)</f>
        <v>2951303.1372933043</v>
      </c>
      <c r="R52" s="561">
        <f>SUM('Defect (Total)'!R52,Planned!R52,Reconductor!R52,CTGS!R52)</f>
        <v>1964745.1050826018</v>
      </c>
      <c r="S52" s="561">
        <f>SUM('Defect (Total)'!S52,Planned!S52,Reconductor!S52,CTGS!S52)</f>
        <v>2628016.8355392953</v>
      </c>
      <c r="T52" s="561">
        <f>SUM('Defect (Total)'!T52,Planned!T52,Reconductor!T52,CTGS!T52)</f>
        <v>0</v>
      </c>
      <c r="U52" s="561">
        <f>SUM('Defect (Total)'!U52,Planned!U52,Reconductor!U52,CTGS!U52)</f>
        <v>0</v>
      </c>
      <c r="V52" s="561">
        <f>SUM('Defect (Total)'!V52,Planned!V52,Reconductor!V52,CTGS!V52)</f>
        <v>10473351.883128501</v>
      </c>
      <c r="W52" s="561">
        <f>SUM('Defect (Total)'!W52,Planned!W52,Reconductor!W52,CTGS!W52)</f>
        <v>0</v>
      </c>
      <c r="X52" s="561">
        <f>SUM('Defect (Total)'!X52,Planned!X52,Reconductor!X52,CTGS!X52)</f>
        <v>11381017.000227118</v>
      </c>
      <c r="Y52" s="561">
        <f>SUM('Defect (Total)'!Y52,Planned!Y52,Reconductor!Y52,CTGS!Y52)</f>
        <v>12036481.301304547</v>
      </c>
      <c r="Z52" s="86">
        <f>SUM('Defect (Total)'!Z52,Planned!Z52,Reconductor!Z52,CTGS!Z52)</f>
        <v>1323</v>
      </c>
      <c r="AA52" s="87">
        <f>SUM('Defect (Total)'!AA52,Planned!AA52,Reconductor!AA52,CTGS!AA52)</f>
        <v>1994</v>
      </c>
      <c r="AB52" s="87">
        <f>SUM('Defect (Total)'!AB52,Planned!AB52,Reconductor!AB52,CTGS!AB52)</f>
        <v>1603</v>
      </c>
      <c r="AC52" s="87">
        <f>SUM('Defect (Total)'!AC52,Planned!AC52,Reconductor!AC52,CTGS!AC52)</f>
        <v>1348</v>
      </c>
      <c r="AD52" s="87">
        <f>SUM('Defect (Total)'!AD52,Planned!AD52,Reconductor!AD52,CTGS!AD52)</f>
        <v>1789.5</v>
      </c>
      <c r="AE52" s="87">
        <f>SUM('Defect (Total)'!AE52,Planned!AE52,Reconductor!AE52,CTGS!AE52)</f>
        <v>0</v>
      </c>
      <c r="AF52" s="87">
        <f>SUM('Defect (Total)'!AF52,Planned!AF52,Reconductor!AF52,CTGS!AF52)</f>
        <v>0</v>
      </c>
      <c r="AG52" s="87">
        <f>SUM('Defect (Total)'!AG52,Planned!AG52,Reconductor!AG52,CTGS!AG52)</f>
        <v>1242.4621907900189</v>
      </c>
      <c r="AH52" s="87">
        <f>SUM('Defect (Total)'!AH52,Planned!AH52,Reconductor!AH52,CTGS!AH52)</f>
        <v>0</v>
      </c>
      <c r="AI52" s="87">
        <f>SUM('Defect (Total)'!AI52,Planned!AI52,Reconductor!AI52,CTGS!AI52)</f>
        <v>1225.5064047439844</v>
      </c>
      <c r="AJ52" s="87">
        <f>SUM('Defect (Total)'!AJ52,Planned!AJ52,Reconductor!AJ52,CTGS!AJ52)</f>
        <v>1338.1439876899883</v>
      </c>
      <c r="AK52" s="127">
        <f t="shared" si="14"/>
        <v>606.39243815800387</v>
      </c>
      <c r="AL52" s="128">
        <f t="shared" si="18"/>
        <v>414.15406359667298</v>
      </c>
      <c r="AM52" s="129">
        <f t="shared" si="15"/>
        <v>0</v>
      </c>
      <c r="AN52" s="91">
        <f t="shared" si="19"/>
        <v>1569.7475434618291</v>
      </c>
      <c r="AO52" s="92">
        <f t="shared" si="20"/>
        <v>991.60882647943833</v>
      </c>
      <c r="AP52" s="92">
        <f t="shared" si="21"/>
        <v>1403.280723643169</v>
      </c>
      <c r="AQ52" s="92">
        <f t="shared" si="22"/>
        <v>1132.3961424332344</v>
      </c>
      <c r="AR52" s="92">
        <f t="shared" si="23"/>
        <v>1164.6872492530408</v>
      </c>
      <c r="AS52" s="92" t="str">
        <f t="shared" si="24"/>
        <v/>
      </c>
      <c r="AT52" s="92" t="str">
        <f t="shared" si="25"/>
        <v/>
      </c>
      <c r="AU52" s="92">
        <f t="shared" si="26"/>
        <v>7028.3501747572782</v>
      </c>
      <c r="AV52" s="92" t="str">
        <f t="shared" si="27"/>
        <v/>
      </c>
      <c r="AW52" s="92">
        <f t="shared" si="28"/>
        <v>8732.6076725249659</v>
      </c>
      <c r="AX52" s="92">
        <f t="shared" si="28"/>
        <v>8754.1807740613403</v>
      </c>
      <c r="AY52" s="93">
        <f t="shared" si="29"/>
        <v>3567.546858322869</v>
      </c>
      <c r="AZ52" s="94">
        <f t="shared" si="12"/>
        <v>7028.3501747572782</v>
      </c>
      <c r="BA52" s="95" t="str">
        <f t="shared" si="13"/>
        <v/>
      </c>
      <c r="BB52" s="689">
        <f>SUM('Defect (Total)'!BB52,Planned!CE52,Reconductor!CE52,CTGS!CE52,'Substation 2025$'!CE52*$BL$1,Comms!CA52*$BL$2)</f>
        <v>740.95467894686794</v>
      </c>
      <c r="BC52" s="689">
        <f>SUM('Defect (Total)'!BC52,Planned!CF52,Reconductor!CF52,CTGS!CF52,'Substation 2025$'!CF52*$BL$1,Comms!CB52*$BL$2)</f>
        <v>733.54070324579834</v>
      </c>
      <c r="BD52" s="96">
        <f>SUM('Defect (Total)'!BD52,Planned!CG52,Reconductor!CG52,CTGS!CG52,'Substation 2025$'!CG52*$BL$1,Comms!CC52*$BL$2)</f>
        <v>733.54070324579834</v>
      </c>
      <c r="BE52" s="96">
        <f>SUM('Defect (Total)'!BE52,Planned!CH52,Reconductor!CH52,CTGS!CH52,'Substation 2025$'!CH52*$BL$1,Comms!CD52*$BL$2)</f>
        <v>757.6745064254867</v>
      </c>
      <c r="BF52" s="96">
        <f>SUM('Defect (Total)'!BF52,Planned!CI52,Reconductor!CI52,CTGS!CI52,'Substation 2025$'!CI52*$BL$1,Comms!CE52*$BL$2)</f>
        <v>762.70654479243865</v>
      </c>
      <c r="BG52" s="96">
        <f>SUM('Defect (Total)'!BG52,Planned!CJ52,Reconductor!CJ52,CTGS!CJ52,'Substation 2025$'!CJ52*$BL$1,Comms!CF52*$BL$2)</f>
        <v>766.06123703707328</v>
      </c>
      <c r="BH52" s="96">
        <f>SUM('Defect (Total)'!BH52,Planned!CK52,Reconductor!CK52,CTGS!CK52,'Substation 2025$'!CK52*$BL$1,Comms!CG52*$BL$2)</f>
        <v>769.41592928170792</v>
      </c>
      <c r="BI52" s="286">
        <f>SUM('Defect (Total)'!BI52,Planned!CL52,Reconductor!CL52,CTGS!CL52,'Substation 2025$'!CL52*$BL$1,Comms!CH52*$BL$2)</f>
        <v>771.09327540402523</v>
      </c>
      <c r="BJ52" s="99">
        <f t="shared" si="16"/>
        <v>9040.9024930586311</v>
      </c>
      <c r="BK52" s="743"/>
      <c r="BL52" s="97"/>
      <c r="BM52" s="524"/>
      <c r="BN52" s="416">
        <f>'Distribution Summary'!CI52+'Substation 2025$'!CT52</f>
        <v>6791388.9799725953</v>
      </c>
      <c r="BO52" s="97">
        <f>'Distribution Summary'!CJ52+'Substation 2025$'!CU52</f>
        <v>6861793.701860154</v>
      </c>
      <c r="BP52" s="97">
        <f>'Distribution Summary'!CK52+'Substation 2025$'!CV52</f>
        <v>6919701.6542712739</v>
      </c>
      <c r="BQ52" s="97">
        <f>'Distribution Summary'!CL52+'Substation 2025$'!CW52</f>
        <v>6984082.3461351385</v>
      </c>
      <c r="BR52" s="98">
        <f>'Distribution Summary'!CM52+'Substation 2025$'!CX52</f>
        <v>7042128.6111031398</v>
      </c>
    </row>
    <row r="53" spans="1:70" x14ac:dyDescent="0.25">
      <c r="A53" s="81" t="s">
        <v>106</v>
      </c>
      <c r="B53" s="82" t="s">
        <v>109</v>
      </c>
      <c r="C53" s="83" t="s">
        <v>329</v>
      </c>
      <c r="D53" s="84">
        <f>SUM('Defect (Total)'!D53,Planned!D53,Reconductor!D53,CTGS!D53)</f>
        <v>115343</v>
      </c>
      <c r="E53" s="85">
        <f>SUM('Defect (Total)'!E53,Planned!E53,Reconductor!E53,CTGS!E53)</f>
        <v>42947</v>
      </c>
      <c r="F53" s="85">
        <f>SUM('Defect (Total)'!F53,Planned!F53,Reconductor!F53,CTGS!F53)</f>
        <v>109356</v>
      </c>
      <c r="G53" s="85">
        <f>SUM('Defect (Total)'!G53,Planned!G53,Reconductor!G53,CTGS!G53)</f>
        <v>141142</v>
      </c>
      <c r="H53" s="85">
        <f>SUM('Defect (Total)'!H53,Planned!H53,Reconductor!H53,CTGS!H53)</f>
        <v>34386</v>
      </c>
      <c r="I53" s="85">
        <f>SUM('Defect (Total)'!I53,Planned!I53,Reconductor!I53,CTGS!I53)</f>
        <v>0</v>
      </c>
      <c r="J53" s="85">
        <f>SUM('Defect (Total)'!J53,Planned!J53,Reconductor!J53,CTGS!J53)</f>
        <v>0</v>
      </c>
      <c r="K53" s="85">
        <f>SUM('Defect (Total)'!K53,Planned!K53,Reconductor!K53,CTGS!K53)</f>
        <v>0</v>
      </c>
      <c r="L53" s="85">
        <f>SUM('Defect (Total)'!L53,Planned!L53,Reconductor!L53,CTGS!L53)</f>
        <v>0</v>
      </c>
      <c r="M53" s="85">
        <f>SUM('Defect (Total)'!M53,Planned!M53,Reconductor!M53,CTGS!M53)</f>
        <v>0</v>
      </c>
      <c r="N53" s="85">
        <f>SUM('Defect (Total)'!N53,Planned!N53,Reconductor!N53,CTGS!N53)</f>
        <v>0</v>
      </c>
      <c r="O53" s="560">
        <f>SUM('Defect (Total)'!O53,Planned!O53,Reconductor!O53,CTGS!O53)</f>
        <v>155188.96822624418</v>
      </c>
      <c r="P53" s="561">
        <f>SUM('Defect (Total)'!P53,Planned!P53,Reconductor!P53,CTGS!P53)</f>
        <v>56923.281842680735</v>
      </c>
      <c r="Q53" s="561">
        <f>SUM('Defect (Total)'!Q53,Planned!Q53,Reconductor!Q53,CTGS!Q53)</f>
        <v>143475.70054926386</v>
      </c>
      <c r="R53" s="561">
        <f>SUM('Defect (Total)'!R53,Planned!R53,Reconductor!R53,CTGS!R53)</f>
        <v>181666.23230169513</v>
      </c>
      <c r="S53" s="561">
        <f>SUM('Defect (Total)'!S53,Planned!S53,Reconductor!S53,CTGS!S53)</f>
        <v>43357.953797149872</v>
      </c>
      <c r="T53" s="561">
        <f>SUM('Defect (Total)'!T53,Planned!T53,Reconductor!T53,CTGS!T53)</f>
        <v>0</v>
      </c>
      <c r="U53" s="561">
        <f>SUM('Defect (Total)'!U53,Planned!U53,Reconductor!U53,CTGS!U53)</f>
        <v>0</v>
      </c>
      <c r="V53" s="561">
        <f>SUM('Defect (Total)'!V53,Planned!V53,Reconductor!V53,CTGS!V53)</f>
        <v>0</v>
      </c>
      <c r="W53" s="561">
        <f>SUM('Defect (Total)'!W53,Planned!W53,Reconductor!W53,CTGS!W53)</f>
        <v>0</v>
      </c>
      <c r="X53" s="561">
        <f>SUM('Defect (Total)'!X53,Planned!X53,Reconductor!X53,CTGS!X53)</f>
        <v>0</v>
      </c>
      <c r="Y53" s="561">
        <f>SUM('Defect (Total)'!Y53,Planned!Y53,Reconductor!Y53,CTGS!Y53)</f>
        <v>0</v>
      </c>
      <c r="Z53" s="86">
        <f>SUM('Defect (Total)'!Z53,Planned!Z53,Reconductor!Z53,CTGS!Z53)</f>
        <v>90</v>
      </c>
      <c r="AA53" s="87">
        <f>SUM('Defect (Total)'!AA53,Planned!AA53,Reconductor!AA53,CTGS!AA53)</f>
        <v>23</v>
      </c>
      <c r="AB53" s="87">
        <f>SUM('Defect (Total)'!AB53,Planned!AB53,Reconductor!AB53,CTGS!AB53)</f>
        <v>44</v>
      </c>
      <c r="AC53" s="87">
        <f>SUM('Defect (Total)'!AC53,Planned!AC53,Reconductor!AC53,CTGS!AC53)</f>
        <v>58</v>
      </c>
      <c r="AD53" s="87">
        <f>SUM('Defect (Total)'!AD53,Planned!AD53,Reconductor!AD53,CTGS!AD53)</f>
        <v>31</v>
      </c>
      <c r="AE53" s="87">
        <f>SUM('Defect (Total)'!AE53,Planned!AE53,Reconductor!AE53,CTGS!AE53)</f>
        <v>0</v>
      </c>
      <c r="AF53" s="87">
        <f>SUM('Defect (Total)'!AF53,Planned!AF53,Reconductor!AF53,CTGS!AF53)</f>
        <v>0</v>
      </c>
      <c r="AG53" s="87">
        <f>SUM('Defect (Total)'!AG53,Planned!AG53,Reconductor!AG53,CTGS!AG53)</f>
        <v>0</v>
      </c>
      <c r="AH53" s="87">
        <f>SUM('Defect (Total)'!AH53,Planned!AH53,Reconductor!AH53,CTGS!AH53)</f>
        <v>0</v>
      </c>
      <c r="AI53" s="87">
        <f>SUM('Defect (Total)'!AI53,Planned!AI53,Reconductor!AI53,CTGS!AI53)</f>
        <v>0</v>
      </c>
      <c r="AJ53" s="87">
        <f>SUM('Defect (Total)'!AJ53,Planned!AJ53,Reconductor!AJ53,CTGS!AJ53)</f>
        <v>0</v>
      </c>
      <c r="AK53" s="127">
        <f t="shared" si="14"/>
        <v>6.2</v>
      </c>
      <c r="AL53" s="128">
        <f t="shared" si="18"/>
        <v>0</v>
      </c>
      <c r="AM53" s="129">
        <f t="shared" si="15"/>
        <v>0</v>
      </c>
      <c r="AN53" s="91">
        <f t="shared" si="19"/>
        <v>1281.588888888889</v>
      </c>
      <c r="AO53" s="92">
        <f t="shared" si="20"/>
        <v>1867.2608695652175</v>
      </c>
      <c r="AP53" s="92">
        <f t="shared" si="21"/>
        <v>2485.3636363636365</v>
      </c>
      <c r="AQ53" s="92">
        <f t="shared" si="22"/>
        <v>2433.4827586206898</v>
      </c>
      <c r="AR53" s="92">
        <f t="shared" si="23"/>
        <v>1109.2258064516129</v>
      </c>
      <c r="AS53" s="92" t="str">
        <f t="shared" si="24"/>
        <v/>
      </c>
      <c r="AT53" s="92" t="str">
        <f t="shared" si="25"/>
        <v/>
      </c>
      <c r="AU53" s="92" t="str">
        <f t="shared" si="26"/>
        <v/>
      </c>
      <c r="AV53" s="92" t="str">
        <f t="shared" si="27"/>
        <v/>
      </c>
      <c r="AW53" s="92" t="str">
        <f t="shared" si="28"/>
        <v/>
      </c>
      <c r="AX53" s="92" t="str">
        <f t="shared" si="28"/>
        <v/>
      </c>
      <c r="AY53" s="93">
        <f t="shared" si="29"/>
        <v>1109.2258064516129</v>
      </c>
      <c r="AZ53" s="94" t="str">
        <f t="shared" si="12"/>
        <v/>
      </c>
      <c r="BA53" s="95" t="str">
        <f t="shared" si="13"/>
        <v/>
      </c>
      <c r="BB53" s="689">
        <f>SUM('Defect (Total)'!BB53,Planned!CE53,Reconductor!CE53,CTGS!CE53,'Substation 2025$'!CE53*$BL$1,Comms!CA53*$BL$2)</f>
        <v>0</v>
      </c>
      <c r="BC53" s="689">
        <f>SUM('Defect (Total)'!BC53,Planned!CF53,Reconductor!CF53,CTGS!CF53,'Substation 2025$'!CF53*$BL$1,Comms!CB53*$BL$2)</f>
        <v>0</v>
      </c>
      <c r="BD53" s="96">
        <f>SUM('Defect (Total)'!BD53,Planned!CG53,Reconductor!CG53,CTGS!CG53,'Substation 2025$'!CG53*$BL$1,Comms!CC53*$BL$2)</f>
        <v>0</v>
      </c>
      <c r="BE53" s="96">
        <f>SUM('Defect (Total)'!BE53,Planned!CH53,Reconductor!CH53,CTGS!CH53,'Substation 2025$'!CH53*$BL$1,Comms!CD53*$BL$2)</f>
        <v>0</v>
      </c>
      <c r="BF53" s="96">
        <f>SUM('Defect (Total)'!BF53,Planned!CI53,Reconductor!CI53,CTGS!CI53,'Substation 2025$'!CI53*$BL$1,Comms!CE53*$BL$2)</f>
        <v>0</v>
      </c>
      <c r="BG53" s="96">
        <f>SUM('Defect (Total)'!BG53,Planned!CJ53,Reconductor!CJ53,CTGS!CJ53,'Substation 2025$'!CJ53*$BL$1,Comms!CF53*$BL$2)</f>
        <v>0</v>
      </c>
      <c r="BH53" s="96">
        <f>SUM('Defect (Total)'!BH53,Planned!CK53,Reconductor!CK53,CTGS!CK53,'Substation 2025$'!CK53*$BL$1,Comms!CG53*$BL$2)</f>
        <v>0</v>
      </c>
      <c r="BI53" s="286">
        <f>SUM('Defect (Total)'!BI53,Planned!CL53,Reconductor!CL53,CTGS!CL53,'Substation 2025$'!CL53*$BL$1,Comms!CH53*$BL$2)</f>
        <v>0</v>
      </c>
      <c r="BJ53" s="99" t="str">
        <f t="shared" si="16"/>
        <v/>
      </c>
      <c r="BK53" s="743"/>
      <c r="BL53" s="97"/>
      <c r="BM53" s="524"/>
      <c r="BN53" s="416">
        <f>'Distribution Summary'!CI53+'Substation 2025$'!CT53</f>
        <v>0</v>
      </c>
      <c r="BO53" s="97">
        <f>'Distribution Summary'!CJ53+'Substation 2025$'!CU53</f>
        <v>0</v>
      </c>
      <c r="BP53" s="97">
        <f>'Distribution Summary'!CK53+'Substation 2025$'!CV53</f>
        <v>0</v>
      </c>
      <c r="BQ53" s="97">
        <f>'Distribution Summary'!CL53+'Substation 2025$'!CW53</f>
        <v>0</v>
      </c>
      <c r="BR53" s="98">
        <f>'Distribution Summary'!CM53+'Substation 2025$'!CX53</f>
        <v>0</v>
      </c>
    </row>
    <row r="54" spans="1:70" x14ac:dyDescent="0.25">
      <c r="A54" s="81" t="s">
        <v>106</v>
      </c>
      <c r="B54" s="82" t="s">
        <v>111</v>
      </c>
      <c r="C54" s="83" t="s">
        <v>331</v>
      </c>
      <c r="D54" s="84">
        <f>SUM('Defect (Total)'!D54,Planned!D54,Reconductor!D54,CTGS!D54)</f>
        <v>0</v>
      </c>
      <c r="E54" s="85">
        <f>SUM('Defect (Total)'!E54,Planned!E54,Reconductor!E54,CTGS!E54)</f>
        <v>0</v>
      </c>
      <c r="F54" s="85">
        <f>SUM('Defect (Total)'!F54,Planned!F54,Reconductor!F54,CTGS!F54)</f>
        <v>0</v>
      </c>
      <c r="G54" s="85">
        <f>SUM('Defect (Total)'!G54,Planned!G54,Reconductor!G54,CTGS!G54)</f>
        <v>0</v>
      </c>
      <c r="H54" s="85">
        <f>SUM('Defect (Total)'!H54,Planned!H54,Reconductor!H54,CTGS!H54)</f>
        <v>0</v>
      </c>
      <c r="I54" s="85">
        <f>SUM('Defect (Total)'!I54,Planned!I54,Reconductor!I54,CTGS!I54)</f>
        <v>0</v>
      </c>
      <c r="J54" s="85">
        <f>SUM('Defect (Total)'!J54,Planned!J54,Reconductor!J54,CTGS!J54)</f>
        <v>0</v>
      </c>
      <c r="K54" s="85">
        <f>SUM('Defect (Total)'!K54,Planned!K54,Reconductor!K54,CTGS!K54)</f>
        <v>0</v>
      </c>
      <c r="L54" s="85">
        <f>SUM('Defect (Total)'!L54,Planned!L54,Reconductor!L54,CTGS!L54)</f>
        <v>0</v>
      </c>
      <c r="M54" s="85">
        <f>SUM('Defect (Total)'!M54,Planned!M54,Reconductor!M54,CTGS!M54)</f>
        <v>0</v>
      </c>
      <c r="N54" s="85">
        <f>SUM('Defect (Total)'!N54,Planned!N54,Reconductor!N54,CTGS!N54)</f>
        <v>0</v>
      </c>
      <c r="O54" s="560">
        <f>SUM('Defect (Total)'!O54,Planned!O54,Reconductor!O54,CTGS!O54)</f>
        <v>0</v>
      </c>
      <c r="P54" s="561">
        <f>SUM('Defect (Total)'!P54,Planned!P54,Reconductor!P54,CTGS!P54)</f>
        <v>0</v>
      </c>
      <c r="Q54" s="561">
        <f>SUM('Defect (Total)'!Q54,Planned!Q54,Reconductor!Q54,CTGS!Q54)</f>
        <v>0</v>
      </c>
      <c r="R54" s="561">
        <f>SUM('Defect (Total)'!R54,Planned!R54,Reconductor!R54,CTGS!R54)</f>
        <v>0</v>
      </c>
      <c r="S54" s="561">
        <f>SUM('Defect (Total)'!S54,Planned!S54,Reconductor!S54,CTGS!S54)</f>
        <v>0</v>
      </c>
      <c r="T54" s="561">
        <f>SUM('Defect (Total)'!T54,Planned!T54,Reconductor!T54,CTGS!T54)</f>
        <v>0</v>
      </c>
      <c r="U54" s="561">
        <f>SUM('Defect (Total)'!U54,Planned!U54,Reconductor!U54,CTGS!U54)</f>
        <v>0</v>
      </c>
      <c r="V54" s="561">
        <f>SUM('Defect (Total)'!V54,Planned!V54,Reconductor!V54,CTGS!V54)</f>
        <v>0</v>
      </c>
      <c r="W54" s="561">
        <f>SUM('Defect (Total)'!W54,Planned!W54,Reconductor!W54,CTGS!W54)</f>
        <v>0</v>
      </c>
      <c r="X54" s="561">
        <f>SUM('Defect (Total)'!X54,Planned!X54,Reconductor!X54,CTGS!X54)</f>
        <v>0</v>
      </c>
      <c r="Y54" s="561">
        <f>SUM('Defect (Total)'!Y54,Planned!Y54,Reconductor!Y54,CTGS!Y54)</f>
        <v>0</v>
      </c>
      <c r="Z54" s="86">
        <f>SUM('Defect (Total)'!Z54,Planned!Z54,Reconductor!Z54,CTGS!Z54)</f>
        <v>0</v>
      </c>
      <c r="AA54" s="87">
        <f>SUM('Defect (Total)'!AA54,Planned!AA54,Reconductor!AA54,CTGS!AA54)</f>
        <v>0</v>
      </c>
      <c r="AB54" s="87">
        <f>SUM('Defect (Total)'!AB54,Planned!AB54,Reconductor!AB54,CTGS!AB54)</f>
        <v>0</v>
      </c>
      <c r="AC54" s="87">
        <f>SUM('Defect (Total)'!AC54,Planned!AC54,Reconductor!AC54,CTGS!AC54)</f>
        <v>0</v>
      </c>
      <c r="AD54" s="87">
        <f>SUM('Defect (Total)'!AD54,Planned!AD54,Reconductor!AD54,CTGS!AD54)</f>
        <v>0</v>
      </c>
      <c r="AE54" s="87">
        <f>SUM('Defect (Total)'!AE54,Planned!AE54,Reconductor!AE54,CTGS!AE54)</f>
        <v>0</v>
      </c>
      <c r="AF54" s="87">
        <f>SUM('Defect (Total)'!AF54,Planned!AF54,Reconductor!AF54,CTGS!AF54)</f>
        <v>0</v>
      </c>
      <c r="AG54" s="87">
        <f>SUM('Defect (Total)'!AG54,Planned!AG54,Reconductor!AG54,CTGS!AG54)</f>
        <v>0</v>
      </c>
      <c r="AH54" s="87">
        <f>SUM('Defect (Total)'!AH54,Planned!AH54,Reconductor!AH54,CTGS!AH54)</f>
        <v>0</v>
      </c>
      <c r="AI54" s="87">
        <f>SUM('Defect (Total)'!AI54,Planned!AI54,Reconductor!AI54,CTGS!AI54)</f>
        <v>0</v>
      </c>
      <c r="AJ54" s="87">
        <f>SUM('Defect (Total)'!AJ54,Planned!AJ54,Reconductor!AJ54,CTGS!AJ54)</f>
        <v>0</v>
      </c>
      <c r="AK54" s="127">
        <f t="shared" si="14"/>
        <v>0</v>
      </c>
      <c r="AL54" s="128">
        <f t="shared" si="18"/>
        <v>0</v>
      </c>
      <c r="AM54" s="129">
        <f t="shared" si="15"/>
        <v>0</v>
      </c>
      <c r="AN54" s="91" t="str">
        <f t="shared" si="19"/>
        <v/>
      </c>
      <c r="AO54" s="92" t="str">
        <f t="shared" si="20"/>
        <v/>
      </c>
      <c r="AP54" s="92" t="str">
        <f t="shared" si="21"/>
        <v/>
      </c>
      <c r="AQ54" s="92" t="str">
        <f t="shared" si="22"/>
        <v/>
      </c>
      <c r="AR54" s="92" t="str">
        <f t="shared" si="23"/>
        <v/>
      </c>
      <c r="AS54" s="92" t="str">
        <f t="shared" si="24"/>
        <v/>
      </c>
      <c r="AT54" s="92" t="str">
        <f t="shared" si="25"/>
        <v/>
      </c>
      <c r="AU54" s="92" t="str">
        <f t="shared" si="26"/>
        <v/>
      </c>
      <c r="AV54" s="92" t="str">
        <f t="shared" si="27"/>
        <v/>
      </c>
      <c r="AW54" s="92" t="str">
        <f t="shared" si="28"/>
        <v/>
      </c>
      <c r="AX54" s="92" t="str">
        <f t="shared" si="28"/>
        <v/>
      </c>
      <c r="AY54" s="93" t="str">
        <f t="shared" si="29"/>
        <v/>
      </c>
      <c r="AZ54" s="94" t="str">
        <f t="shared" si="12"/>
        <v/>
      </c>
      <c r="BA54" s="95" t="str">
        <f t="shared" si="13"/>
        <v/>
      </c>
      <c r="BB54" s="689">
        <f>SUM('Defect (Total)'!BB54,Planned!CE54,Reconductor!CE54,CTGS!CE54,'Substation 2025$'!CE54*$BL$1,Comms!CA54*$BL$2)</f>
        <v>0</v>
      </c>
      <c r="BC54" s="689">
        <f>SUM('Defect (Total)'!BC54,Planned!CF54,Reconductor!CF54,CTGS!CF54,'Substation 2025$'!CF54*$BL$1,Comms!CB54*$BL$2)</f>
        <v>0</v>
      </c>
      <c r="BD54" s="96">
        <f>SUM('Defect (Total)'!BD54,Planned!CG54,Reconductor!CG54,CTGS!CG54,'Substation 2025$'!CG54*$BL$1,Comms!CC54*$BL$2)</f>
        <v>0</v>
      </c>
      <c r="BE54" s="96">
        <f>SUM('Defect (Total)'!BE54,Planned!CH54,Reconductor!CH54,CTGS!CH54,'Substation 2025$'!CH54*$BL$1,Comms!CD54*$BL$2)</f>
        <v>0</v>
      </c>
      <c r="BF54" s="96">
        <f>SUM('Defect (Total)'!BF54,Planned!CI54,Reconductor!CI54,CTGS!CI54,'Substation 2025$'!CI54*$BL$1,Comms!CE54*$BL$2)</f>
        <v>0</v>
      </c>
      <c r="BG54" s="96">
        <f>SUM('Defect (Total)'!BG54,Planned!CJ54,Reconductor!CJ54,CTGS!CJ54,'Substation 2025$'!CJ54*$BL$1,Comms!CF54*$BL$2)</f>
        <v>0</v>
      </c>
      <c r="BH54" s="96">
        <f>SUM('Defect (Total)'!BH54,Planned!CK54,Reconductor!CK54,CTGS!CK54,'Substation 2025$'!CK54*$BL$1,Comms!CG54*$BL$2)</f>
        <v>0</v>
      </c>
      <c r="BI54" s="286">
        <f>SUM('Defect (Total)'!BI54,Planned!CL54,Reconductor!CL54,CTGS!CL54,'Substation 2025$'!CL54*$BL$1,Comms!CH54*$BL$2)</f>
        <v>0</v>
      </c>
      <c r="BJ54" s="99" t="str">
        <f t="shared" si="16"/>
        <v/>
      </c>
      <c r="BK54" s="743"/>
      <c r="BL54" s="97"/>
      <c r="BM54" s="524"/>
      <c r="BN54" s="416">
        <f>'Distribution Summary'!CI54+'Substation 2025$'!CT54</f>
        <v>0</v>
      </c>
      <c r="BO54" s="97">
        <f>'Distribution Summary'!CJ54+'Substation 2025$'!CU54</f>
        <v>0</v>
      </c>
      <c r="BP54" s="97">
        <f>'Distribution Summary'!CK54+'Substation 2025$'!CV54</f>
        <v>0</v>
      </c>
      <c r="BQ54" s="97">
        <f>'Distribution Summary'!CL54+'Substation 2025$'!CW54</f>
        <v>0</v>
      </c>
      <c r="BR54" s="98">
        <f>'Distribution Summary'!CM54+'Substation 2025$'!CX54</f>
        <v>0</v>
      </c>
    </row>
    <row r="55" spans="1:70" x14ac:dyDescent="0.25">
      <c r="A55" s="81" t="s">
        <v>106</v>
      </c>
      <c r="B55" s="82" t="s">
        <v>113</v>
      </c>
      <c r="C55" s="83" t="s">
        <v>333</v>
      </c>
      <c r="D55" s="84">
        <f>SUM('Defect (Total)'!D55,Planned!D55,Reconductor!D55,CTGS!D55)</f>
        <v>0</v>
      </c>
      <c r="E55" s="85">
        <f>SUM('Defect (Total)'!E55,Planned!E55,Reconductor!E55,CTGS!E55)</f>
        <v>0</v>
      </c>
      <c r="F55" s="85">
        <f>SUM('Defect (Total)'!F55,Planned!F55,Reconductor!F55,CTGS!F55)</f>
        <v>0</v>
      </c>
      <c r="G55" s="85">
        <f>SUM('Defect (Total)'!G55,Planned!G55,Reconductor!G55,CTGS!G55)</f>
        <v>0</v>
      </c>
      <c r="H55" s="85">
        <f>SUM('Defect (Total)'!H55,Planned!H55,Reconductor!H55,CTGS!H55)</f>
        <v>0</v>
      </c>
      <c r="I55" s="85">
        <f>SUM('Defect (Total)'!I55,Planned!I55,Reconductor!I55,CTGS!I55)</f>
        <v>0</v>
      </c>
      <c r="J55" s="85">
        <f>SUM('Defect (Total)'!J55,Planned!J55,Reconductor!J55,CTGS!J55)</f>
        <v>0</v>
      </c>
      <c r="K55" s="85">
        <f>SUM('Defect (Total)'!K55,Planned!K55,Reconductor!K55,CTGS!K55)</f>
        <v>0</v>
      </c>
      <c r="L55" s="85">
        <f>SUM('Defect (Total)'!L55,Planned!L55,Reconductor!L55,CTGS!L55)</f>
        <v>0</v>
      </c>
      <c r="M55" s="85">
        <f>SUM('Defect (Total)'!M55,Planned!M55,Reconductor!M55,CTGS!M55)</f>
        <v>0</v>
      </c>
      <c r="N55" s="85">
        <f>SUM('Defect (Total)'!N55,Planned!N55,Reconductor!N55,CTGS!N55)</f>
        <v>0</v>
      </c>
      <c r="O55" s="560">
        <f>SUM('Defect (Total)'!O55,Planned!O55,Reconductor!O55,CTGS!O55)</f>
        <v>0</v>
      </c>
      <c r="P55" s="561">
        <f>SUM('Defect (Total)'!P55,Planned!P55,Reconductor!P55,CTGS!P55)</f>
        <v>0</v>
      </c>
      <c r="Q55" s="561">
        <f>SUM('Defect (Total)'!Q55,Planned!Q55,Reconductor!Q55,CTGS!Q55)</f>
        <v>0</v>
      </c>
      <c r="R55" s="561">
        <f>SUM('Defect (Total)'!R55,Planned!R55,Reconductor!R55,CTGS!R55)</f>
        <v>0</v>
      </c>
      <c r="S55" s="561">
        <f>SUM('Defect (Total)'!S55,Planned!S55,Reconductor!S55,CTGS!S55)</f>
        <v>0</v>
      </c>
      <c r="T55" s="561">
        <f>SUM('Defect (Total)'!T55,Planned!T55,Reconductor!T55,CTGS!T55)</f>
        <v>0</v>
      </c>
      <c r="U55" s="561">
        <f>SUM('Defect (Total)'!U55,Planned!U55,Reconductor!U55,CTGS!U55)</f>
        <v>0</v>
      </c>
      <c r="V55" s="561">
        <f>SUM('Defect (Total)'!V55,Planned!V55,Reconductor!V55,CTGS!V55)</f>
        <v>0</v>
      </c>
      <c r="W55" s="561">
        <f>SUM('Defect (Total)'!W55,Planned!W55,Reconductor!W55,CTGS!W55)</f>
        <v>0</v>
      </c>
      <c r="X55" s="561">
        <f>SUM('Defect (Total)'!X55,Planned!X55,Reconductor!X55,CTGS!X55)</f>
        <v>0</v>
      </c>
      <c r="Y55" s="561">
        <f>SUM('Defect (Total)'!Y55,Planned!Y55,Reconductor!Y55,CTGS!Y55)</f>
        <v>0</v>
      </c>
      <c r="Z55" s="86">
        <f>SUM('Defect (Total)'!Z55,Planned!Z55,Reconductor!Z55,CTGS!Z55)</f>
        <v>0</v>
      </c>
      <c r="AA55" s="87">
        <f>SUM('Defect (Total)'!AA55,Planned!AA55,Reconductor!AA55,CTGS!AA55)</f>
        <v>0</v>
      </c>
      <c r="AB55" s="87">
        <f>SUM('Defect (Total)'!AB55,Planned!AB55,Reconductor!AB55,CTGS!AB55)</f>
        <v>0</v>
      </c>
      <c r="AC55" s="87">
        <f>SUM('Defect (Total)'!AC55,Planned!AC55,Reconductor!AC55,CTGS!AC55)</f>
        <v>0</v>
      </c>
      <c r="AD55" s="87">
        <f>SUM('Defect (Total)'!AD55,Planned!AD55,Reconductor!AD55,CTGS!AD55)</f>
        <v>0</v>
      </c>
      <c r="AE55" s="87">
        <f>SUM('Defect (Total)'!AE55,Planned!AE55,Reconductor!AE55,CTGS!AE55)</f>
        <v>0</v>
      </c>
      <c r="AF55" s="87">
        <f>SUM('Defect (Total)'!AF55,Planned!AF55,Reconductor!AF55,CTGS!AF55)</f>
        <v>0</v>
      </c>
      <c r="AG55" s="87">
        <f>SUM('Defect (Total)'!AG55,Planned!AG55,Reconductor!AG55,CTGS!AG55)</f>
        <v>0</v>
      </c>
      <c r="AH55" s="87">
        <f>SUM('Defect (Total)'!AH55,Planned!AH55,Reconductor!AH55,CTGS!AH55)</f>
        <v>0</v>
      </c>
      <c r="AI55" s="87">
        <f>SUM('Defect (Total)'!AI55,Planned!AI55,Reconductor!AI55,CTGS!AI55)</f>
        <v>0</v>
      </c>
      <c r="AJ55" s="87">
        <f>SUM('Defect (Total)'!AJ55,Planned!AJ55,Reconductor!AJ55,CTGS!AJ55)</f>
        <v>0</v>
      </c>
      <c r="AK55" s="127">
        <f t="shared" si="14"/>
        <v>0</v>
      </c>
      <c r="AL55" s="128">
        <f t="shared" si="18"/>
        <v>0</v>
      </c>
      <c r="AM55" s="129">
        <f t="shared" si="15"/>
        <v>0</v>
      </c>
      <c r="AN55" s="91" t="str">
        <f t="shared" si="19"/>
        <v/>
      </c>
      <c r="AO55" s="92" t="str">
        <f t="shared" si="20"/>
        <v/>
      </c>
      <c r="AP55" s="92" t="str">
        <f t="shared" si="21"/>
        <v/>
      </c>
      <c r="AQ55" s="92" t="str">
        <f t="shared" si="22"/>
        <v/>
      </c>
      <c r="AR55" s="92" t="str">
        <f t="shared" si="23"/>
        <v/>
      </c>
      <c r="AS55" s="92" t="str">
        <f t="shared" si="24"/>
        <v/>
      </c>
      <c r="AT55" s="92" t="str">
        <f t="shared" si="25"/>
        <v/>
      </c>
      <c r="AU55" s="92" t="str">
        <f t="shared" si="26"/>
        <v/>
      </c>
      <c r="AV55" s="92" t="str">
        <f t="shared" si="27"/>
        <v/>
      </c>
      <c r="AW55" s="92" t="str">
        <f t="shared" ref="AW55:AX70" si="30">IFERROR(M55/AI55,"")</f>
        <v/>
      </c>
      <c r="AX55" s="92" t="str">
        <f t="shared" si="30"/>
        <v/>
      </c>
      <c r="AY55" s="93" t="str">
        <f t="shared" si="29"/>
        <v/>
      </c>
      <c r="AZ55" s="94" t="str">
        <f t="shared" si="12"/>
        <v/>
      </c>
      <c r="BA55" s="95" t="str">
        <f t="shared" si="13"/>
        <v/>
      </c>
      <c r="BB55" s="689">
        <f>SUM('Defect (Total)'!BB55,Planned!CE55,Reconductor!CE55,CTGS!CE55,'Substation 2025$'!CE55*$BL$1,Comms!CA55*$BL$2)</f>
        <v>0</v>
      </c>
      <c r="BC55" s="689">
        <f>SUM('Defect (Total)'!BC55,Planned!CF55,Reconductor!CF55,CTGS!CF55,'Substation 2025$'!CF55*$BL$1,Comms!CB55*$BL$2)</f>
        <v>0</v>
      </c>
      <c r="BD55" s="96">
        <f>SUM('Defect (Total)'!BD55,Planned!CG55,Reconductor!CG55,CTGS!CG55,'Substation 2025$'!CG55*$BL$1,Comms!CC55*$BL$2)</f>
        <v>0</v>
      </c>
      <c r="BE55" s="96">
        <f>SUM('Defect (Total)'!BE55,Planned!CH55,Reconductor!CH55,CTGS!CH55,'Substation 2025$'!CH55*$BL$1,Comms!CD55*$BL$2)</f>
        <v>0</v>
      </c>
      <c r="BF55" s="96">
        <f>SUM('Defect (Total)'!BF55,Planned!CI55,Reconductor!CI55,CTGS!CI55,'Substation 2025$'!CI55*$BL$1,Comms!CE55*$BL$2)</f>
        <v>0</v>
      </c>
      <c r="BG55" s="96">
        <f>SUM('Defect (Total)'!BG55,Planned!CJ55,Reconductor!CJ55,CTGS!CJ55,'Substation 2025$'!CJ55*$BL$1,Comms!CF55*$BL$2)</f>
        <v>0</v>
      </c>
      <c r="BH55" s="96">
        <f>SUM('Defect (Total)'!BH55,Planned!CK55,Reconductor!CK55,CTGS!CK55,'Substation 2025$'!CK55*$BL$1,Comms!CG55*$BL$2)</f>
        <v>0</v>
      </c>
      <c r="BI55" s="286">
        <f>SUM('Defect (Total)'!BI55,Planned!CL55,Reconductor!CL55,CTGS!CL55,'Substation 2025$'!CL55*$BL$1,Comms!CH55*$BL$2)</f>
        <v>0</v>
      </c>
      <c r="BJ55" s="99" t="str">
        <f t="shared" si="16"/>
        <v/>
      </c>
      <c r="BK55" s="743"/>
      <c r="BL55" s="97"/>
      <c r="BM55" s="524"/>
      <c r="BN55" s="416">
        <f>'Distribution Summary'!CI55+'Substation 2025$'!CT55</f>
        <v>0</v>
      </c>
      <c r="BO55" s="97">
        <f>'Distribution Summary'!CJ55+'Substation 2025$'!CU55</f>
        <v>0</v>
      </c>
      <c r="BP55" s="97">
        <f>'Distribution Summary'!CK55+'Substation 2025$'!CV55</f>
        <v>0</v>
      </c>
      <c r="BQ55" s="97">
        <f>'Distribution Summary'!CL55+'Substation 2025$'!CW55</f>
        <v>0</v>
      </c>
      <c r="BR55" s="98">
        <f>'Distribution Summary'!CM55+'Substation 2025$'!CX55</f>
        <v>0</v>
      </c>
    </row>
    <row r="56" spans="1:70" x14ac:dyDescent="0.25">
      <c r="A56" s="81" t="s">
        <v>106</v>
      </c>
      <c r="B56" s="82" t="s">
        <v>115</v>
      </c>
      <c r="C56" s="83" t="s">
        <v>335</v>
      </c>
      <c r="D56" s="84">
        <f>SUM('Defect (Total)'!D56,Planned!D56,Reconductor!D56,CTGS!D56)</f>
        <v>0</v>
      </c>
      <c r="E56" s="85">
        <f>SUM('Defect (Total)'!E56,Planned!E56,Reconductor!E56,CTGS!E56)</f>
        <v>0</v>
      </c>
      <c r="F56" s="85">
        <f>SUM('Defect (Total)'!F56,Planned!F56,Reconductor!F56,CTGS!F56)</f>
        <v>0</v>
      </c>
      <c r="G56" s="85">
        <f>SUM('Defect (Total)'!G56,Planned!G56,Reconductor!G56,CTGS!G56)</f>
        <v>0</v>
      </c>
      <c r="H56" s="85">
        <f>SUM('Defect (Total)'!H56,Planned!H56,Reconductor!H56,CTGS!H56)</f>
        <v>0</v>
      </c>
      <c r="I56" s="85">
        <f>SUM('Defect (Total)'!I56,Planned!I56,Reconductor!I56,CTGS!I56)</f>
        <v>0</v>
      </c>
      <c r="J56" s="85">
        <f>SUM('Defect (Total)'!J56,Planned!J56,Reconductor!J56,CTGS!J56)</f>
        <v>0</v>
      </c>
      <c r="K56" s="85">
        <f>SUM('Defect (Total)'!K56,Planned!K56,Reconductor!K56,CTGS!K56)</f>
        <v>0</v>
      </c>
      <c r="L56" s="85">
        <f>SUM('Defect (Total)'!L56,Planned!L56,Reconductor!L56,CTGS!L56)</f>
        <v>0</v>
      </c>
      <c r="M56" s="85">
        <f>SUM('Defect (Total)'!M56,Planned!M56,Reconductor!M56,CTGS!M56)</f>
        <v>0</v>
      </c>
      <c r="N56" s="85">
        <f>SUM('Defect (Total)'!N56,Planned!N56,Reconductor!N56,CTGS!N56)</f>
        <v>0</v>
      </c>
      <c r="O56" s="560">
        <f>SUM('Defect (Total)'!O56,Planned!O56,Reconductor!O56,CTGS!O56)</f>
        <v>0</v>
      </c>
      <c r="P56" s="561">
        <f>SUM('Defect (Total)'!P56,Planned!P56,Reconductor!P56,CTGS!P56)</f>
        <v>0</v>
      </c>
      <c r="Q56" s="561">
        <f>SUM('Defect (Total)'!Q56,Planned!Q56,Reconductor!Q56,CTGS!Q56)</f>
        <v>0</v>
      </c>
      <c r="R56" s="561">
        <f>SUM('Defect (Total)'!R56,Planned!R56,Reconductor!R56,CTGS!R56)</f>
        <v>0</v>
      </c>
      <c r="S56" s="561">
        <f>SUM('Defect (Total)'!S56,Planned!S56,Reconductor!S56,CTGS!S56)</f>
        <v>0</v>
      </c>
      <c r="T56" s="561">
        <f>SUM('Defect (Total)'!T56,Planned!T56,Reconductor!T56,CTGS!T56)</f>
        <v>0</v>
      </c>
      <c r="U56" s="561">
        <f>SUM('Defect (Total)'!U56,Planned!U56,Reconductor!U56,CTGS!U56)</f>
        <v>0</v>
      </c>
      <c r="V56" s="561">
        <f>SUM('Defect (Total)'!V56,Planned!V56,Reconductor!V56,CTGS!V56)</f>
        <v>0</v>
      </c>
      <c r="W56" s="561">
        <f>SUM('Defect (Total)'!W56,Planned!W56,Reconductor!W56,CTGS!W56)</f>
        <v>0</v>
      </c>
      <c r="X56" s="561">
        <f>SUM('Defect (Total)'!X56,Planned!X56,Reconductor!X56,CTGS!X56)</f>
        <v>0</v>
      </c>
      <c r="Y56" s="561">
        <f>SUM('Defect (Total)'!Y56,Planned!Y56,Reconductor!Y56,CTGS!Y56)</f>
        <v>0</v>
      </c>
      <c r="Z56" s="86">
        <f>SUM('Defect (Total)'!Z56,Planned!Z56,Reconductor!Z56,CTGS!Z56)</f>
        <v>0</v>
      </c>
      <c r="AA56" s="87">
        <f>SUM('Defect (Total)'!AA56,Planned!AA56,Reconductor!AA56,CTGS!AA56)</f>
        <v>0</v>
      </c>
      <c r="AB56" s="87">
        <f>SUM('Defect (Total)'!AB56,Planned!AB56,Reconductor!AB56,CTGS!AB56)</f>
        <v>0</v>
      </c>
      <c r="AC56" s="87">
        <f>SUM('Defect (Total)'!AC56,Planned!AC56,Reconductor!AC56,CTGS!AC56)</f>
        <v>0</v>
      </c>
      <c r="AD56" s="87">
        <f>SUM('Defect (Total)'!AD56,Planned!AD56,Reconductor!AD56,CTGS!AD56)</f>
        <v>0</v>
      </c>
      <c r="AE56" s="87">
        <f>SUM('Defect (Total)'!AE56,Planned!AE56,Reconductor!AE56,CTGS!AE56)</f>
        <v>0</v>
      </c>
      <c r="AF56" s="87">
        <f>SUM('Defect (Total)'!AF56,Planned!AF56,Reconductor!AF56,CTGS!AF56)</f>
        <v>0</v>
      </c>
      <c r="AG56" s="87">
        <f>SUM('Defect (Total)'!AG56,Planned!AG56,Reconductor!AG56,CTGS!AG56)</f>
        <v>0</v>
      </c>
      <c r="AH56" s="87">
        <f>SUM('Defect (Total)'!AH56,Planned!AH56,Reconductor!AH56,CTGS!AH56)</f>
        <v>0</v>
      </c>
      <c r="AI56" s="87">
        <f>SUM('Defect (Total)'!AI56,Planned!AI56,Reconductor!AI56,CTGS!AI56)</f>
        <v>0</v>
      </c>
      <c r="AJ56" s="87">
        <f>SUM('Defect (Total)'!AJ56,Planned!AJ56,Reconductor!AJ56,CTGS!AJ56)</f>
        <v>0</v>
      </c>
      <c r="AK56" s="127">
        <f t="shared" si="14"/>
        <v>0</v>
      </c>
      <c r="AL56" s="128">
        <f t="shared" si="18"/>
        <v>0</v>
      </c>
      <c r="AM56" s="129">
        <f t="shared" si="15"/>
        <v>0</v>
      </c>
      <c r="AN56" s="91" t="str">
        <f t="shared" si="19"/>
        <v/>
      </c>
      <c r="AO56" s="92" t="str">
        <f t="shared" si="20"/>
        <v/>
      </c>
      <c r="AP56" s="92" t="str">
        <f t="shared" si="21"/>
        <v/>
      </c>
      <c r="AQ56" s="92" t="str">
        <f t="shared" si="22"/>
        <v/>
      </c>
      <c r="AR56" s="92" t="str">
        <f t="shared" si="23"/>
        <v/>
      </c>
      <c r="AS56" s="92" t="str">
        <f t="shared" si="24"/>
        <v/>
      </c>
      <c r="AT56" s="92" t="str">
        <f t="shared" si="25"/>
        <v/>
      </c>
      <c r="AU56" s="92" t="str">
        <f t="shared" si="26"/>
        <v/>
      </c>
      <c r="AV56" s="92" t="str">
        <f t="shared" si="27"/>
        <v/>
      </c>
      <c r="AW56" s="92" t="str">
        <f t="shared" si="30"/>
        <v/>
      </c>
      <c r="AX56" s="92" t="str">
        <f t="shared" si="30"/>
        <v/>
      </c>
      <c r="AY56" s="93" t="str">
        <f t="shared" si="29"/>
        <v/>
      </c>
      <c r="AZ56" s="94" t="str">
        <f t="shared" si="12"/>
        <v/>
      </c>
      <c r="BA56" s="95" t="str">
        <f t="shared" si="13"/>
        <v/>
      </c>
      <c r="BB56" s="694">
        <f>SUM('Defect (Total)'!BB56,Planned!CE56,Reconductor!CE56,CTGS!CE56,'Substation 2025$'!CE56*$BL$1,Comms!CA56*$BL$2)</f>
        <v>0</v>
      </c>
      <c r="BC56" s="694">
        <f>SUM('Defect (Total)'!BC56,Planned!CF56,Reconductor!CF56,CTGS!CF56,'Substation 2025$'!CF56*$BL$1,Comms!CB56*$BL$2)</f>
        <v>0</v>
      </c>
      <c r="BD56" s="140">
        <f>SUM('Defect (Total)'!BD56,Planned!CG56,Reconductor!CG56,CTGS!CG56,'Substation 2025$'!CG56*$BL$1,Comms!CC56*$BL$2)</f>
        <v>0</v>
      </c>
      <c r="BE56" s="140">
        <f>SUM('Defect (Total)'!BE56,Planned!CH56,Reconductor!CH56,CTGS!CH56,'Substation 2025$'!CH56*$BL$1,Comms!CD56*$BL$2)</f>
        <v>0</v>
      </c>
      <c r="BF56" s="140">
        <f>SUM('Defect (Total)'!BF56,Planned!CI56,Reconductor!CI56,CTGS!CI56,'Substation 2025$'!CI56*$BL$1,Comms!CE56*$BL$2)</f>
        <v>0</v>
      </c>
      <c r="BG56" s="140">
        <f>SUM('Defect (Total)'!BG56,Planned!CJ56,Reconductor!CJ56,CTGS!CJ56,'Substation 2025$'!CJ56*$BL$1,Comms!CF56*$BL$2)</f>
        <v>0</v>
      </c>
      <c r="BH56" s="140">
        <f>SUM('Defect (Total)'!BH56,Planned!CK56,Reconductor!CK56,CTGS!CK56,'Substation 2025$'!CK56*$BL$1,Comms!CG56*$BL$2)</f>
        <v>0</v>
      </c>
      <c r="BI56" s="291">
        <f>SUM('Defect (Total)'!BI56,Planned!CL56,Reconductor!CL56,CTGS!CL56,'Substation 2025$'!CL56*$BL$1,Comms!CH56*$BL$2)</f>
        <v>0</v>
      </c>
      <c r="BJ56" s="99" t="str">
        <f t="shared" si="16"/>
        <v/>
      </c>
      <c r="BK56" s="743"/>
      <c r="BL56" s="97"/>
      <c r="BM56" s="524"/>
      <c r="BN56" s="416">
        <f>'Distribution Summary'!CI56+'Substation 2025$'!CT56</f>
        <v>0</v>
      </c>
      <c r="BO56" s="97">
        <f>'Distribution Summary'!CJ56+'Substation 2025$'!CU56</f>
        <v>0</v>
      </c>
      <c r="BP56" s="97">
        <f>'Distribution Summary'!CK56+'Substation 2025$'!CV56</f>
        <v>0</v>
      </c>
      <c r="BQ56" s="97">
        <f>'Distribution Summary'!CL56+'Substation 2025$'!CW56</f>
        <v>0</v>
      </c>
      <c r="BR56" s="98">
        <f>'Distribution Summary'!CM56+'Substation 2025$'!CX56</f>
        <v>0</v>
      </c>
    </row>
    <row r="57" spans="1:70" x14ac:dyDescent="0.25">
      <c r="A57" s="81" t="s">
        <v>106</v>
      </c>
      <c r="B57" s="82" t="s">
        <v>117</v>
      </c>
      <c r="C57" s="83" t="s">
        <v>337</v>
      </c>
      <c r="D57" s="84">
        <f>SUM('Defect (Total)'!D57,Planned!D57,Reconductor!D57,CTGS!D57)</f>
        <v>0</v>
      </c>
      <c r="E57" s="85">
        <f>SUM('Defect (Total)'!E57,Planned!E57,Reconductor!E57,CTGS!E57)</f>
        <v>0</v>
      </c>
      <c r="F57" s="85">
        <f>SUM('Defect (Total)'!F57,Planned!F57,Reconductor!F57,CTGS!F57)</f>
        <v>0</v>
      </c>
      <c r="G57" s="85">
        <f>SUM('Defect (Total)'!G57,Planned!G57,Reconductor!G57,CTGS!G57)</f>
        <v>0</v>
      </c>
      <c r="H57" s="85">
        <f>SUM('Defect (Total)'!H57,Planned!H57,Reconductor!H57,CTGS!H57)</f>
        <v>0</v>
      </c>
      <c r="I57" s="85">
        <f>SUM('Defect (Total)'!I57,Planned!I57,Reconductor!I57,CTGS!I57)</f>
        <v>0</v>
      </c>
      <c r="J57" s="85">
        <f>SUM('Defect (Total)'!J57,Planned!J57,Reconductor!J57,CTGS!J57)</f>
        <v>0</v>
      </c>
      <c r="K57" s="85">
        <f>SUM('Defect (Total)'!K57,Planned!K57,Reconductor!K57,CTGS!K57)</f>
        <v>0</v>
      </c>
      <c r="L57" s="85">
        <f>SUM('Defect (Total)'!L57,Planned!L57,Reconductor!L57,CTGS!L57)</f>
        <v>0</v>
      </c>
      <c r="M57" s="85">
        <f>SUM('Defect (Total)'!M57,Planned!M57,Reconductor!M57,CTGS!M57)</f>
        <v>0</v>
      </c>
      <c r="N57" s="85">
        <f>SUM('Defect (Total)'!N57,Planned!N57,Reconductor!N57,CTGS!N57)</f>
        <v>0</v>
      </c>
      <c r="O57" s="560">
        <f>SUM('Defect (Total)'!O57,Planned!O57,Reconductor!O57,CTGS!O57)</f>
        <v>0</v>
      </c>
      <c r="P57" s="561">
        <f>SUM('Defect (Total)'!P57,Planned!P57,Reconductor!P57,CTGS!P57)</f>
        <v>0</v>
      </c>
      <c r="Q57" s="561">
        <f>SUM('Defect (Total)'!Q57,Planned!Q57,Reconductor!Q57,CTGS!Q57)</f>
        <v>0</v>
      </c>
      <c r="R57" s="561">
        <f>SUM('Defect (Total)'!R57,Planned!R57,Reconductor!R57,CTGS!R57)</f>
        <v>0</v>
      </c>
      <c r="S57" s="561">
        <f>SUM('Defect (Total)'!S57,Planned!S57,Reconductor!S57,CTGS!S57)</f>
        <v>0</v>
      </c>
      <c r="T57" s="561">
        <f>SUM('Defect (Total)'!T57,Planned!T57,Reconductor!T57,CTGS!T57)</f>
        <v>0</v>
      </c>
      <c r="U57" s="561">
        <f>SUM('Defect (Total)'!U57,Planned!U57,Reconductor!U57,CTGS!U57)</f>
        <v>0</v>
      </c>
      <c r="V57" s="561">
        <f>SUM('Defect (Total)'!V57,Planned!V57,Reconductor!V57,CTGS!V57)</f>
        <v>0</v>
      </c>
      <c r="W57" s="561">
        <f>SUM('Defect (Total)'!W57,Planned!W57,Reconductor!W57,CTGS!W57)</f>
        <v>0</v>
      </c>
      <c r="X57" s="561">
        <f>SUM('Defect (Total)'!X57,Planned!X57,Reconductor!X57,CTGS!X57)</f>
        <v>0</v>
      </c>
      <c r="Y57" s="561">
        <f>SUM('Defect (Total)'!Y57,Planned!Y57,Reconductor!Y57,CTGS!Y57)</f>
        <v>0</v>
      </c>
      <c r="Z57" s="86">
        <f>SUM('Defect (Total)'!Z57,Planned!Z57,Reconductor!Z57,CTGS!Z57)</f>
        <v>0</v>
      </c>
      <c r="AA57" s="87">
        <f>SUM('Defect (Total)'!AA57,Planned!AA57,Reconductor!AA57,CTGS!AA57)</f>
        <v>0</v>
      </c>
      <c r="AB57" s="87">
        <f>SUM('Defect (Total)'!AB57,Planned!AB57,Reconductor!AB57,CTGS!AB57)</f>
        <v>0</v>
      </c>
      <c r="AC57" s="87">
        <f>SUM('Defect (Total)'!AC57,Planned!AC57,Reconductor!AC57,CTGS!AC57)</f>
        <v>0</v>
      </c>
      <c r="AD57" s="87">
        <f>SUM('Defect (Total)'!AD57,Planned!AD57,Reconductor!AD57,CTGS!AD57)</f>
        <v>0</v>
      </c>
      <c r="AE57" s="87">
        <f>SUM('Defect (Total)'!AE57,Planned!AE57,Reconductor!AE57,CTGS!AE57)</f>
        <v>0</v>
      </c>
      <c r="AF57" s="87">
        <f>SUM('Defect (Total)'!AF57,Planned!AF57,Reconductor!AF57,CTGS!AF57)</f>
        <v>0</v>
      </c>
      <c r="AG57" s="87">
        <f>SUM('Defect (Total)'!AG57,Planned!AG57,Reconductor!AG57,CTGS!AG57)</f>
        <v>0</v>
      </c>
      <c r="AH57" s="87">
        <f>SUM('Defect (Total)'!AH57,Planned!AH57,Reconductor!AH57,CTGS!AH57)</f>
        <v>0</v>
      </c>
      <c r="AI57" s="87">
        <f>SUM('Defect (Total)'!AI57,Planned!AI57,Reconductor!AI57,CTGS!AI57)</f>
        <v>0</v>
      </c>
      <c r="AJ57" s="87">
        <f>SUM('Defect (Total)'!AJ57,Planned!AJ57,Reconductor!AJ57,CTGS!AJ57)</f>
        <v>0</v>
      </c>
      <c r="AK57" s="127">
        <f t="shared" si="14"/>
        <v>0</v>
      </c>
      <c r="AL57" s="128">
        <f t="shared" si="18"/>
        <v>0</v>
      </c>
      <c r="AM57" s="129">
        <f t="shared" si="15"/>
        <v>0</v>
      </c>
      <c r="AN57" s="91" t="str">
        <f t="shared" si="19"/>
        <v/>
      </c>
      <c r="AO57" s="92" t="str">
        <f t="shared" si="20"/>
        <v/>
      </c>
      <c r="AP57" s="92" t="str">
        <f t="shared" si="21"/>
        <v/>
      </c>
      <c r="AQ57" s="92" t="str">
        <f t="shared" si="22"/>
        <v/>
      </c>
      <c r="AR57" s="92" t="str">
        <f t="shared" si="23"/>
        <v/>
      </c>
      <c r="AS57" s="92" t="str">
        <f t="shared" si="24"/>
        <v/>
      </c>
      <c r="AT57" s="92" t="str">
        <f t="shared" si="25"/>
        <v/>
      </c>
      <c r="AU57" s="92" t="str">
        <f t="shared" si="26"/>
        <v/>
      </c>
      <c r="AV57" s="92" t="str">
        <f t="shared" si="27"/>
        <v/>
      </c>
      <c r="AW57" s="92" t="str">
        <f t="shared" si="30"/>
        <v/>
      </c>
      <c r="AX57" s="92" t="str">
        <f t="shared" si="30"/>
        <v/>
      </c>
      <c r="AY57" s="93" t="str">
        <f t="shared" si="29"/>
        <v/>
      </c>
      <c r="AZ57" s="94" t="str">
        <f t="shared" si="12"/>
        <v/>
      </c>
      <c r="BA57" s="95" t="str">
        <f t="shared" si="13"/>
        <v/>
      </c>
      <c r="BB57" s="694">
        <f>SUM('Defect (Total)'!BB57,Planned!CE57,Reconductor!CE57,CTGS!CE57,'Substation 2025$'!CE57*$BL$1,Comms!CA57*$BL$2)</f>
        <v>0</v>
      </c>
      <c r="BC57" s="694">
        <f>SUM('Defect (Total)'!BC57,Planned!CF57,Reconductor!CF57,CTGS!CF57,'Substation 2025$'!CF57*$BL$1,Comms!CB57*$BL$2)</f>
        <v>0</v>
      </c>
      <c r="BD57" s="140">
        <f>SUM('Defect (Total)'!BD57,Planned!CG57,Reconductor!CG57,CTGS!CG57,'Substation 2025$'!CG57*$BL$1,Comms!CC57*$BL$2)</f>
        <v>0</v>
      </c>
      <c r="BE57" s="140">
        <f>SUM('Defect (Total)'!BE57,Planned!CH57,Reconductor!CH57,CTGS!CH57,'Substation 2025$'!CH57*$BL$1,Comms!CD57*$BL$2)</f>
        <v>0</v>
      </c>
      <c r="BF57" s="140">
        <f>SUM('Defect (Total)'!BF57,Planned!CI57,Reconductor!CI57,CTGS!CI57,'Substation 2025$'!CI57*$BL$1,Comms!CE57*$BL$2)</f>
        <v>0</v>
      </c>
      <c r="BG57" s="140">
        <f>SUM('Defect (Total)'!BG57,Planned!CJ57,Reconductor!CJ57,CTGS!CJ57,'Substation 2025$'!CJ57*$BL$1,Comms!CF57*$BL$2)</f>
        <v>0</v>
      </c>
      <c r="BH57" s="140">
        <f>SUM('Defect (Total)'!BH57,Planned!CK57,Reconductor!CK57,CTGS!CK57,'Substation 2025$'!CK57*$BL$1,Comms!CG57*$BL$2)</f>
        <v>0</v>
      </c>
      <c r="BI57" s="291">
        <f>SUM('Defect (Total)'!BI57,Planned!CL57,Reconductor!CL57,CTGS!CL57,'Substation 2025$'!CL57*$BL$1,Comms!CH57*$BL$2)</f>
        <v>0</v>
      </c>
      <c r="BJ57" s="99" t="str">
        <f t="shared" si="16"/>
        <v/>
      </c>
      <c r="BK57" s="743"/>
      <c r="BL57" s="97"/>
      <c r="BM57" s="524"/>
      <c r="BN57" s="416">
        <f>'Distribution Summary'!CI57+'Substation 2025$'!CT57</f>
        <v>0</v>
      </c>
      <c r="BO57" s="97">
        <f>'Distribution Summary'!CJ57+'Substation 2025$'!CU57</f>
        <v>0</v>
      </c>
      <c r="BP57" s="97">
        <f>'Distribution Summary'!CK57+'Substation 2025$'!CV57</f>
        <v>0</v>
      </c>
      <c r="BQ57" s="97">
        <f>'Distribution Summary'!CL57+'Substation 2025$'!CW57</f>
        <v>0</v>
      </c>
      <c r="BR57" s="98">
        <f>'Distribution Summary'!CM57+'Substation 2025$'!CX57</f>
        <v>0</v>
      </c>
    </row>
    <row r="58" spans="1:70" x14ac:dyDescent="0.25">
      <c r="A58" s="81" t="s">
        <v>106</v>
      </c>
      <c r="B58" s="82" t="s">
        <v>119</v>
      </c>
      <c r="C58" s="83" t="s">
        <v>339</v>
      </c>
      <c r="D58" s="84">
        <f>SUM('Defect (Total)'!D58,Planned!D58,Reconductor!D58,CTGS!D58)</f>
        <v>0</v>
      </c>
      <c r="E58" s="85">
        <f>SUM('Defect (Total)'!E58,Planned!E58,Reconductor!E58,CTGS!E58)</f>
        <v>0</v>
      </c>
      <c r="F58" s="85">
        <f>SUM('Defect (Total)'!F58,Planned!F58,Reconductor!F58,CTGS!F58)</f>
        <v>0</v>
      </c>
      <c r="G58" s="85">
        <f>SUM('Defect (Total)'!G58,Planned!G58,Reconductor!G58,CTGS!G58)</f>
        <v>0</v>
      </c>
      <c r="H58" s="85">
        <f>SUM('Defect (Total)'!H58,Planned!H58,Reconductor!H58,CTGS!H58)</f>
        <v>0</v>
      </c>
      <c r="I58" s="85">
        <f>SUM('Defect (Total)'!I58,Planned!I58,Reconductor!I58,CTGS!I58)</f>
        <v>0</v>
      </c>
      <c r="J58" s="85">
        <f>SUM('Defect (Total)'!J58,Planned!J58,Reconductor!J58,CTGS!J58)</f>
        <v>0</v>
      </c>
      <c r="K58" s="85">
        <f>SUM('Defect (Total)'!K58,Planned!K58,Reconductor!K58,CTGS!K58)</f>
        <v>0</v>
      </c>
      <c r="L58" s="85">
        <f>SUM('Defect (Total)'!L58,Planned!L58,Reconductor!L58,CTGS!L58)</f>
        <v>0</v>
      </c>
      <c r="M58" s="85">
        <f>SUM('Defect (Total)'!M58,Planned!M58,Reconductor!M58,CTGS!M58)</f>
        <v>0</v>
      </c>
      <c r="N58" s="85">
        <f>SUM('Defect (Total)'!N58,Planned!N58,Reconductor!N58,CTGS!N58)</f>
        <v>0</v>
      </c>
      <c r="O58" s="560">
        <f>SUM('Defect (Total)'!O58,Planned!O58,Reconductor!O58,CTGS!O58)</f>
        <v>0</v>
      </c>
      <c r="P58" s="561">
        <f>SUM('Defect (Total)'!P58,Planned!P58,Reconductor!P58,CTGS!P58)</f>
        <v>0</v>
      </c>
      <c r="Q58" s="561">
        <f>SUM('Defect (Total)'!Q58,Planned!Q58,Reconductor!Q58,CTGS!Q58)</f>
        <v>0</v>
      </c>
      <c r="R58" s="561">
        <f>SUM('Defect (Total)'!R58,Planned!R58,Reconductor!R58,CTGS!R58)</f>
        <v>0</v>
      </c>
      <c r="S58" s="561">
        <f>SUM('Defect (Total)'!S58,Planned!S58,Reconductor!S58,CTGS!S58)</f>
        <v>0</v>
      </c>
      <c r="T58" s="561">
        <f>SUM('Defect (Total)'!T58,Planned!T58,Reconductor!T58,CTGS!T58)</f>
        <v>0</v>
      </c>
      <c r="U58" s="561">
        <f>SUM('Defect (Total)'!U58,Planned!U58,Reconductor!U58,CTGS!U58)</f>
        <v>0</v>
      </c>
      <c r="V58" s="561">
        <f>SUM('Defect (Total)'!V58,Planned!V58,Reconductor!V58,CTGS!V58)</f>
        <v>0</v>
      </c>
      <c r="W58" s="561">
        <f>SUM('Defect (Total)'!W58,Planned!W58,Reconductor!W58,CTGS!W58)</f>
        <v>0</v>
      </c>
      <c r="X58" s="561">
        <f>SUM('Defect (Total)'!X58,Planned!X58,Reconductor!X58,CTGS!X58)</f>
        <v>0</v>
      </c>
      <c r="Y58" s="561">
        <f>SUM('Defect (Total)'!Y58,Planned!Y58,Reconductor!Y58,CTGS!Y58)</f>
        <v>0</v>
      </c>
      <c r="Z58" s="86">
        <f>SUM('Defect (Total)'!Z58,Planned!Z58,Reconductor!Z58,CTGS!Z58)</f>
        <v>0</v>
      </c>
      <c r="AA58" s="87">
        <f>SUM('Defect (Total)'!AA58,Planned!AA58,Reconductor!AA58,CTGS!AA58)</f>
        <v>0</v>
      </c>
      <c r="AB58" s="87">
        <f>SUM('Defect (Total)'!AB58,Planned!AB58,Reconductor!AB58,CTGS!AB58)</f>
        <v>0</v>
      </c>
      <c r="AC58" s="87">
        <f>SUM('Defect (Total)'!AC58,Planned!AC58,Reconductor!AC58,CTGS!AC58)</f>
        <v>0</v>
      </c>
      <c r="AD58" s="87">
        <f>SUM('Defect (Total)'!AD58,Planned!AD58,Reconductor!AD58,CTGS!AD58)</f>
        <v>0</v>
      </c>
      <c r="AE58" s="87">
        <f>SUM('Defect (Total)'!AE58,Planned!AE58,Reconductor!AE58,CTGS!AE58)</f>
        <v>0</v>
      </c>
      <c r="AF58" s="87">
        <f>SUM('Defect (Total)'!AF58,Planned!AF58,Reconductor!AF58,CTGS!AF58)</f>
        <v>0</v>
      </c>
      <c r="AG58" s="87">
        <f>SUM('Defect (Total)'!AG58,Planned!AG58,Reconductor!AG58,CTGS!AG58)</f>
        <v>0</v>
      </c>
      <c r="AH58" s="87">
        <f>SUM('Defect (Total)'!AH58,Planned!AH58,Reconductor!AH58,CTGS!AH58)</f>
        <v>0</v>
      </c>
      <c r="AI58" s="87">
        <f>SUM('Defect (Total)'!AI58,Planned!AI58,Reconductor!AI58,CTGS!AI58)</f>
        <v>0</v>
      </c>
      <c r="AJ58" s="87">
        <f>SUM('Defect (Total)'!AJ58,Planned!AJ58,Reconductor!AJ58,CTGS!AJ58)</f>
        <v>0</v>
      </c>
      <c r="AK58" s="127">
        <f t="shared" si="14"/>
        <v>0</v>
      </c>
      <c r="AL58" s="128">
        <f t="shared" si="18"/>
        <v>0</v>
      </c>
      <c r="AM58" s="129">
        <f t="shared" si="15"/>
        <v>0</v>
      </c>
      <c r="AN58" s="91" t="str">
        <f t="shared" si="19"/>
        <v/>
      </c>
      <c r="AO58" s="92" t="str">
        <f t="shared" si="20"/>
        <v/>
      </c>
      <c r="AP58" s="92" t="str">
        <f t="shared" si="21"/>
        <v/>
      </c>
      <c r="AQ58" s="92" t="str">
        <f t="shared" si="22"/>
        <v/>
      </c>
      <c r="AR58" s="92" t="str">
        <f t="shared" si="23"/>
        <v/>
      </c>
      <c r="AS58" s="92" t="str">
        <f t="shared" si="24"/>
        <v/>
      </c>
      <c r="AT58" s="92" t="str">
        <f t="shared" si="25"/>
        <v/>
      </c>
      <c r="AU58" s="92" t="str">
        <f t="shared" si="26"/>
        <v/>
      </c>
      <c r="AV58" s="92" t="str">
        <f t="shared" si="27"/>
        <v/>
      </c>
      <c r="AW58" s="92" t="str">
        <f t="shared" si="30"/>
        <v/>
      </c>
      <c r="AX58" s="92" t="str">
        <f t="shared" si="30"/>
        <v/>
      </c>
      <c r="AY58" s="93" t="str">
        <f t="shared" si="29"/>
        <v/>
      </c>
      <c r="AZ58" s="94" t="str">
        <f t="shared" si="12"/>
        <v/>
      </c>
      <c r="BA58" s="95" t="str">
        <f t="shared" si="13"/>
        <v/>
      </c>
      <c r="BB58" s="694">
        <f>SUM('Defect (Total)'!BB58,Planned!CE58,Reconductor!CE58,CTGS!CE58,'Substation 2025$'!CE58*$BL$1,Comms!CA58*$BL$2)</f>
        <v>0</v>
      </c>
      <c r="BC58" s="694">
        <f>SUM('Defect (Total)'!BC58,Planned!CF58,Reconductor!CF58,CTGS!CF58,'Substation 2025$'!CF58*$BL$1,Comms!CB58*$BL$2)</f>
        <v>0</v>
      </c>
      <c r="BD58" s="140">
        <f>SUM('Defect (Total)'!BD58,Planned!CG58,Reconductor!CG58,CTGS!CG58,'Substation 2025$'!CG58*$BL$1,Comms!CC58*$BL$2)</f>
        <v>0</v>
      </c>
      <c r="BE58" s="140">
        <f>SUM('Defect (Total)'!BE58,Planned!CH58,Reconductor!CH58,CTGS!CH58,'Substation 2025$'!CH58*$BL$1,Comms!CD58*$BL$2)</f>
        <v>0</v>
      </c>
      <c r="BF58" s="140">
        <f>SUM('Defect (Total)'!BF58,Planned!CI58,Reconductor!CI58,CTGS!CI58,'Substation 2025$'!CI58*$BL$1,Comms!CE58*$BL$2)</f>
        <v>0</v>
      </c>
      <c r="BG58" s="140">
        <f>SUM('Defect (Total)'!BG58,Planned!CJ58,Reconductor!CJ58,CTGS!CJ58,'Substation 2025$'!CJ58*$BL$1,Comms!CF58*$BL$2)</f>
        <v>0</v>
      </c>
      <c r="BH58" s="140">
        <f>SUM('Defect (Total)'!BH58,Planned!CK58,Reconductor!CK58,CTGS!CK58,'Substation 2025$'!CK58*$BL$1,Comms!CG58*$BL$2)</f>
        <v>0</v>
      </c>
      <c r="BI58" s="291">
        <f>SUM('Defect (Total)'!BI58,Planned!CL58,Reconductor!CL58,CTGS!CL58,'Substation 2025$'!CL58*$BL$1,Comms!CH58*$BL$2)</f>
        <v>0</v>
      </c>
      <c r="BJ58" s="99" t="str">
        <f t="shared" si="16"/>
        <v/>
      </c>
      <c r="BK58" s="743"/>
      <c r="BL58" s="97"/>
      <c r="BM58" s="524"/>
      <c r="BN58" s="416">
        <f>'Distribution Summary'!CI58+'Substation 2025$'!CT58</f>
        <v>0</v>
      </c>
      <c r="BO58" s="97">
        <f>'Distribution Summary'!CJ58+'Substation 2025$'!CU58</f>
        <v>0</v>
      </c>
      <c r="BP58" s="97">
        <f>'Distribution Summary'!CK58+'Substation 2025$'!CV58</f>
        <v>0</v>
      </c>
      <c r="BQ58" s="97">
        <f>'Distribution Summary'!CL58+'Substation 2025$'!CW58</f>
        <v>0</v>
      </c>
      <c r="BR58" s="98">
        <f>'Distribution Summary'!CM58+'Substation 2025$'!CX58</f>
        <v>0</v>
      </c>
    </row>
    <row r="59" spans="1:70" x14ac:dyDescent="0.25">
      <c r="A59" s="81" t="s">
        <v>106</v>
      </c>
      <c r="B59" s="82" t="s">
        <v>121</v>
      </c>
      <c r="C59" s="83" t="s">
        <v>341</v>
      </c>
      <c r="D59" s="84">
        <f>SUM('Defect (Total)'!D59,Planned!D59,Reconductor!D59,CTGS!D59)</f>
        <v>0</v>
      </c>
      <c r="E59" s="85">
        <f>SUM('Defect (Total)'!E59,Planned!E59,Reconductor!E59,CTGS!E59)</f>
        <v>0</v>
      </c>
      <c r="F59" s="85">
        <f>SUM('Defect (Total)'!F59,Planned!F59,Reconductor!F59,CTGS!F59)</f>
        <v>0</v>
      </c>
      <c r="G59" s="85">
        <f>SUM('Defect (Total)'!G59,Planned!G59,Reconductor!G59,CTGS!G59)</f>
        <v>0</v>
      </c>
      <c r="H59" s="85">
        <f>SUM('Defect (Total)'!H59,Planned!H59,Reconductor!H59,CTGS!H59)</f>
        <v>0</v>
      </c>
      <c r="I59" s="85">
        <f>SUM('Defect (Total)'!I59,Planned!I59,Reconductor!I59,CTGS!I59)</f>
        <v>0</v>
      </c>
      <c r="J59" s="85">
        <f>SUM('Defect (Total)'!J59,Planned!J59,Reconductor!J59,CTGS!J59)</f>
        <v>0</v>
      </c>
      <c r="K59" s="85">
        <f>SUM('Defect (Total)'!K59,Planned!K59,Reconductor!K59,CTGS!K59)</f>
        <v>0</v>
      </c>
      <c r="L59" s="85">
        <f>SUM('Defect (Total)'!L59,Planned!L59,Reconductor!L59,CTGS!L59)</f>
        <v>0</v>
      </c>
      <c r="M59" s="85">
        <f>SUM('Defect (Total)'!M59,Planned!M59,Reconductor!M59,CTGS!M59)</f>
        <v>0</v>
      </c>
      <c r="N59" s="85">
        <f>SUM('Defect (Total)'!N59,Planned!N59,Reconductor!N59,CTGS!N59)</f>
        <v>0</v>
      </c>
      <c r="O59" s="560">
        <f>SUM('Defect (Total)'!O59,Planned!O59,Reconductor!O59,CTGS!O59)</f>
        <v>0</v>
      </c>
      <c r="P59" s="561">
        <f>SUM('Defect (Total)'!P59,Planned!P59,Reconductor!P59,CTGS!P59)</f>
        <v>0</v>
      </c>
      <c r="Q59" s="561">
        <f>SUM('Defect (Total)'!Q59,Planned!Q59,Reconductor!Q59,CTGS!Q59)</f>
        <v>0</v>
      </c>
      <c r="R59" s="561">
        <f>SUM('Defect (Total)'!R59,Planned!R59,Reconductor!R59,CTGS!R59)</f>
        <v>0</v>
      </c>
      <c r="S59" s="561">
        <f>SUM('Defect (Total)'!S59,Planned!S59,Reconductor!S59,CTGS!S59)</f>
        <v>0</v>
      </c>
      <c r="T59" s="561">
        <f>SUM('Defect (Total)'!T59,Planned!T59,Reconductor!T59,CTGS!T59)</f>
        <v>0</v>
      </c>
      <c r="U59" s="561">
        <f>SUM('Defect (Total)'!U59,Planned!U59,Reconductor!U59,CTGS!U59)</f>
        <v>0</v>
      </c>
      <c r="V59" s="561">
        <f>SUM('Defect (Total)'!V59,Planned!V59,Reconductor!V59,CTGS!V59)</f>
        <v>0</v>
      </c>
      <c r="W59" s="561">
        <f>SUM('Defect (Total)'!W59,Planned!W59,Reconductor!W59,CTGS!W59)</f>
        <v>0</v>
      </c>
      <c r="X59" s="561">
        <f>SUM('Defect (Total)'!X59,Planned!X59,Reconductor!X59,CTGS!X59)</f>
        <v>0</v>
      </c>
      <c r="Y59" s="561">
        <f>SUM('Defect (Total)'!Y59,Planned!Y59,Reconductor!Y59,CTGS!Y59)</f>
        <v>0</v>
      </c>
      <c r="Z59" s="86">
        <f>SUM('Defect (Total)'!Z59,Planned!Z59,Reconductor!Z59,CTGS!Z59)</f>
        <v>0</v>
      </c>
      <c r="AA59" s="87">
        <f>SUM('Defect (Total)'!AA59,Planned!AA59,Reconductor!AA59,CTGS!AA59)</f>
        <v>0</v>
      </c>
      <c r="AB59" s="87">
        <f>SUM('Defect (Total)'!AB59,Planned!AB59,Reconductor!AB59,CTGS!AB59)</f>
        <v>0</v>
      </c>
      <c r="AC59" s="87">
        <f>SUM('Defect (Total)'!AC59,Planned!AC59,Reconductor!AC59,CTGS!AC59)</f>
        <v>0</v>
      </c>
      <c r="AD59" s="87">
        <f>SUM('Defect (Total)'!AD59,Planned!AD59,Reconductor!AD59,CTGS!AD59)</f>
        <v>0</v>
      </c>
      <c r="AE59" s="87">
        <f>SUM('Defect (Total)'!AE59,Planned!AE59,Reconductor!AE59,CTGS!AE59)</f>
        <v>0</v>
      </c>
      <c r="AF59" s="87">
        <f>SUM('Defect (Total)'!AF59,Planned!AF59,Reconductor!AF59,CTGS!AF59)</f>
        <v>0</v>
      </c>
      <c r="AG59" s="87">
        <f>SUM('Defect (Total)'!AG59,Planned!AG59,Reconductor!AG59,CTGS!AG59)</f>
        <v>0</v>
      </c>
      <c r="AH59" s="87">
        <f>SUM('Defect (Total)'!AH59,Planned!AH59,Reconductor!AH59,CTGS!AH59)</f>
        <v>0</v>
      </c>
      <c r="AI59" s="87">
        <f>SUM('Defect (Total)'!AI59,Planned!AI59,Reconductor!AI59,CTGS!AI59)</f>
        <v>0</v>
      </c>
      <c r="AJ59" s="87">
        <f>SUM('Defect (Total)'!AJ59,Planned!AJ59,Reconductor!AJ59,CTGS!AJ59)</f>
        <v>0</v>
      </c>
      <c r="AK59" s="127">
        <f t="shared" si="14"/>
        <v>0</v>
      </c>
      <c r="AL59" s="128">
        <f t="shared" si="18"/>
        <v>0</v>
      </c>
      <c r="AM59" s="129">
        <f t="shared" si="15"/>
        <v>0</v>
      </c>
      <c r="AN59" s="91" t="str">
        <f t="shared" si="19"/>
        <v/>
      </c>
      <c r="AO59" s="92" t="str">
        <f t="shared" si="20"/>
        <v/>
      </c>
      <c r="AP59" s="92" t="str">
        <f t="shared" si="21"/>
        <v/>
      </c>
      <c r="AQ59" s="92" t="str">
        <f t="shared" si="22"/>
        <v/>
      </c>
      <c r="AR59" s="92" t="str">
        <f t="shared" si="23"/>
        <v/>
      </c>
      <c r="AS59" s="92" t="str">
        <f t="shared" si="24"/>
        <v/>
      </c>
      <c r="AT59" s="92" t="str">
        <f t="shared" si="25"/>
        <v/>
      </c>
      <c r="AU59" s="92" t="str">
        <f t="shared" si="26"/>
        <v/>
      </c>
      <c r="AV59" s="92" t="str">
        <f t="shared" si="27"/>
        <v/>
      </c>
      <c r="AW59" s="92" t="str">
        <f t="shared" si="30"/>
        <v/>
      </c>
      <c r="AX59" s="92" t="str">
        <f t="shared" si="30"/>
        <v/>
      </c>
      <c r="AY59" s="93" t="str">
        <f t="shared" si="29"/>
        <v/>
      </c>
      <c r="AZ59" s="94" t="str">
        <f t="shared" si="12"/>
        <v/>
      </c>
      <c r="BA59" s="95" t="str">
        <f t="shared" si="13"/>
        <v/>
      </c>
      <c r="BB59" s="694">
        <f>SUM('Defect (Total)'!BB59,Planned!CE59,Reconductor!CE59,CTGS!CE59,'Substation 2025$'!CE59*$BL$1,Comms!CA59*$BL$2)</f>
        <v>0</v>
      </c>
      <c r="BC59" s="694">
        <f>SUM('Defect (Total)'!BC59,Planned!CF59,Reconductor!CF59,CTGS!CF59,'Substation 2025$'!CF59*$BL$1,Comms!CB59*$BL$2)</f>
        <v>0</v>
      </c>
      <c r="BD59" s="140">
        <f>SUM('Defect (Total)'!BD59,Planned!CG59,Reconductor!CG59,CTGS!CG59,'Substation 2025$'!CG59*$BL$1,Comms!CC59*$BL$2)</f>
        <v>0</v>
      </c>
      <c r="BE59" s="140">
        <f>SUM('Defect (Total)'!BE59,Planned!CH59,Reconductor!CH59,CTGS!CH59,'Substation 2025$'!CH59*$BL$1,Comms!CD59*$BL$2)</f>
        <v>0</v>
      </c>
      <c r="BF59" s="140">
        <f>SUM('Defect (Total)'!BF59,Planned!CI59,Reconductor!CI59,CTGS!CI59,'Substation 2025$'!CI59*$BL$1,Comms!CE59*$BL$2)</f>
        <v>0</v>
      </c>
      <c r="BG59" s="140">
        <f>SUM('Defect (Total)'!BG59,Planned!CJ59,Reconductor!CJ59,CTGS!CJ59,'Substation 2025$'!CJ59*$BL$1,Comms!CF59*$BL$2)</f>
        <v>0</v>
      </c>
      <c r="BH59" s="140">
        <f>SUM('Defect (Total)'!BH59,Planned!CK59,Reconductor!CK59,CTGS!CK59,'Substation 2025$'!CK59*$BL$1,Comms!CG59*$BL$2)</f>
        <v>0</v>
      </c>
      <c r="BI59" s="291">
        <f>SUM('Defect (Total)'!BI59,Planned!CL59,Reconductor!CL59,CTGS!CL59,'Substation 2025$'!CL59*$BL$1,Comms!CH59*$BL$2)</f>
        <v>0</v>
      </c>
      <c r="BJ59" s="99" t="str">
        <f t="shared" si="16"/>
        <v/>
      </c>
      <c r="BK59" s="743"/>
      <c r="BL59" s="97"/>
      <c r="BM59" s="524"/>
      <c r="BN59" s="416">
        <f>'Distribution Summary'!CI59+'Substation 2025$'!CT59</f>
        <v>0</v>
      </c>
      <c r="BO59" s="97">
        <f>'Distribution Summary'!CJ59+'Substation 2025$'!CU59</f>
        <v>0</v>
      </c>
      <c r="BP59" s="97">
        <f>'Distribution Summary'!CK59+'Substation 2025$'!CV59</f>
        <v>0</v>
      </c>
      <c r="BQ59" s="97">
        <f>'Distribution Summary'!CL59+'Substation 2025$'!CW59</f>
        <v>0</v>
      </c>
      <c r="BR59" s="98">
        <f>'Distribution Summary'!CM59+'Substation 2025$'!CX59</f>
        <v>0</v>
      </c>
    </row>
    <row r="60" spans="1:70" x14ac:dyDescent="0.25">
      <c r="A60" s="81" t="s">
        <v>106</v>
      </c>
      <c r="B60" s="82" t="s">
        <v>123</v>
      </c>
      <c r="C60" s="83" t="s">
        <v>343</v>
      </c>
      <c r="D60" s="84">
        <f>SUM('Defect (Total)'!D60,Planned!D60,Reconductor!D60,CTGS!D60)</f>
        <v>0</v>
      </c>
      <c r="E60" s="85">
        <f>SUM('Defect (Total)'!E60,Planned!E60,Reconductor!E60,CTGS!E60)</f>
        <v>0</v>
      </c>
      <c r="F60" s="85">
        <f>SUM('Defect (Total)'!F60,Planned!F60,Reconductor!F60,CTGS!F60)</f>
        <v>0</v>
      </c>
      <c r="G60" s="85">
        <f>SUM('Defect (Total)'!G60,Planned!G60,Reconductor!G60,CTGS!G60)</f>
        <v>0</v>
      </c>
      <c r="H60" s="85">
        <f>SUM('Defect (Total)'!H60,Planned!H60,Reconductor!H60,CTGS!H60)</f>
        <v>0</v>
      </c>
      <c r="I60" s="85">
        <f>SUM('Defect (Total)'!I60,Planned!I60,Reconductor!I60,CTGS!I60)</f>
        <v>0</v>
      </c>
      <c r="J60" s="85">
        <f>SUM('Defect (Total)'!J60,Planned!J60,Reconductor!J60,CTGS!J60)</f>
        <v>0</v>
      </c>
      <c r="K60" s="85">
        <f>SUM('Defect (Total)'!K60,Planned!K60,Reconductor!K60,CTGS!K60)</f>
        <v>0</v>
      </c>
      <c r="L60" s="85">
        <f>SUM('Defect (Total)'!L60,Planned!L60,Reconductor!L60,CTGS!L60)</f>
        <v>0</v>
      </c>
      <c r="M60" s="85">
        <f>SUM('Defect (Total)'!M60,Planned!M60,Reconductor!M60,CTGS!M60)</f>
        <v>0</v>
      </c>
      <c r="N60" s="85">
        <f>SUM('Defect (Total)'!N60,Planned!N60,Reconductor!N60,CTGS!N60)</f>
        <v>0</v>
      </c>
      <c r="O60" s="560">
        <f>SUM('Defect (Total)'!O60,Planned!O60,Reconductor!O60,CTGS!O60)</f>
        <v>0</v>
      </c>
      <c r="P60" s="561">
        <f>SUM('Defect (Total)'!P60,Planned!P60,Reconductor!P60,CTGS!P60)</f>
        <v>0</v>
      </c>
      <c r="Q60" s="561">
        <f>SUM('Defect (Total)'!Q60,Planned!Q60,Reconductor!Q60,CTGS!Q60)</f>
        <v>0</v>
      </c>
      <c r="R60" s="561">
        <f>SUM('Defect (Total)'!R60,Planned!R60,Reconductor!R60,CTGS!R60)</f>
        <v>0</v>
      </c>
      <c r="S60" s="561">
        <f>SUM('Defect (Total)'!S60,Planned!S60,Reconductor!S60,CTGS!S60)</f>
        <v>0</v>
      </c>
      <c r="T60" s="561">
        <f>SUM('Defect (Total)'!T60,Planned!T60,Reconductor!T60,CTGS!T60)</f>
        <v>0</v>
      </c>
      <c r="U60" s="561">
        <f>SUM('Defect (Total)'!U60,Planned!U60,Reconductor!U60,CTGS!U60)</f>
        <v>0</v>
      </c>
      <c r="V60" s="561">
        <f>SUM('Defect (Total)'!V60,Planned!V60,Reconductor!V60,CTGS!V60)</f>
        <v>0</v>
      </c>
      <c r="W60" s="561">
        <f>SUM('Defect (Total)'!W60,Planned!W60,Reconductor!W60,CTGS!W60)</f>
        <v>0</v>
      </c>
      <c r="X60" s="561">
        <f>SUM('Defect (Total)'!X60,Planned!X60,Reconductor!X60,CTGS!X60)</f>
        <v>0</v>
      </c>
      <c r="Y60" s="561">
        <f>SUM('Defect (Total)'!Y60,Planned!Y60,Reconductor!Y60,CTGS!Y60)</f>
        <v>0</v>
      </c>
      <c r="Z60" s="86">
        <f>SUM('Defect (Total)'!Z60,Planned!Z60,Reconductor!Z60,CTGS!Z60)</f>
        <v>0</v>
      </c>
      <c r="AA60" s="87">
        <f>SUM('Defect (Total)'!AA60,Planned!AA60,Reconductor!AA60,CTGS!AA60)</f>
        <v>0</v>
      </c>
      <c r="AB60" s="87">
        <f>SUM('Defect (Total)'!AB60,Planned!AB60,Reconductor!AB60,CTGS!AB60)</f>
        <v>0</v>
      </c>
      <c r="AC60" s="87">
        <f>SUM('Defect (Total)'!AC60,Planned!AC60,Reconductor!AC60,CTGS!AC60)</f>
        <v>0</v>
      </c>
      <c r="AD60" s="87">
        <f>SUM('Defect (Total)'!AD60,Planned!AD60,Reconductor!AD60,CTGS!AD60)</f>
        <v>0</v>
      </c>
      <c r="AE60" s="87">
        <f>SUM('Defect (Total)'!AE60,Planned!AE60,Reconductor!AE60,CTGS!AE60)</f>
        <v>0</v>
      </c>
      <c r="AF60" s="87">
        <f>SUM('Defect (Total)'!AF60,Planned!AF60,Reconductor!AF60,CTGS!AF60)</f>
        <v>0</v>
      </c>
      <c r="AG60" s="87">
        <f>SUM('Defect (Total)'!AG60,Planned!AG60,Reconductor!AG60,CTGS!AG60)</f>
        <v>0</v>
      </c>
      <c r="AH60" s="87">
        <f>SUM('Defect (Total)'!AH60,Planned!AH60,Reconductor!AH60,CTGS!AH60)</f>
        <v>0</v>
      </c>
      <c r="AI60" s="87">
        <f>SUM('Defect (Total)'!AI60,Planned!AI60,Reconductor!AI60,CTGS!AI60)</f>
        <v>0</v>
      </c>
      <c r="AJ60" s="87">
        <f>SUM('Defect (Total)'!AJ60,Planned!AJ60,Reconductor!AJ60,CTGS!AJ60)</f>
        <v>0</v>
      </c>
      <c r="AK60" s="127">
        <f t="shared" si="14"/>
        <v>0</v>
      </c>
      <c r="AL60" s="128">
        <f t="shared" si="18"/>
        <v>0</v>
      </c>
      <c r="AM60" s="129">
        <f t="shared" si="15"/>
        <v>0</v>
      </c>
      <c r="AN60" s="91" t="str">
        <f t="shared" si="19"/>
        <v/>
      </c>
      <c r="AO60" s="92" t="str">
        <f t="shared" si="20"/>
        <v/>
      </c>
      <c r="AP60" s="92" t="str">
        <f t="shared" si="21"/>
        <v/>
      </c>
      <c r="AQ60" s="92" t="str">
        <f t="shared" si="22"/>
        <v/>
      </c>
      <c r="AR60" s="92" t="str">
        <f t="shared" si="23"/>
        <v/>
      </c>
      <c r="AS60" s="92" t="str">
        <f t="shared" si="24"/>
        <v/>
      </c>
      <c r="AT60" s="92" t="str">
        <f t="shared" si="25"/>
        <v/>
      </c>
      <c r="AU60" s="92" t="str">
        <f t="shared" si="26"/>
        <v/>
      </c>
      <c r="AV60" s="92" t="str">
        <f t="shared" si="27"/>
        <v/>
      </c>
      <c r="AW60" s="92" t="str">
        <f t="shared" si="30"/>
        <v/>
      </c>
      <c r="AX60" s="92" t="str">
        <f t="shared" si="30"/>
        <v/>
      </c>
      <c r="AY60" s="93" t="str">
        <f t="shared" si="29"/>
        <v/>
      </c>
      <c r="AZ60" s="94" t="str">
        <f t="shared" si="12"/>
        <v/>
      </c>
      <c r="BA60" s="95" t="str">
        <f t="shared" si="13"/>
        <v/>
      </c>
      <c r="BB60" s="694">
        <f>SUM('Defect (Total)'!BB60,Planned!CE60,Reconductor!CE60,CTGS!CE60,'Substation 2025$'!CE60*$BL$1,Comms!CA60*$BL$2)</f>
        <v>0</v>
      </c>
      <c r="BC60" s="694">
        <f>SUM('Defect (Total)'!BC60,Planned!CF60,Reconductor!CF60,CTGS!CF60,'Substation 2025$'!CF60*$BL$1,Comms!CB60*$BL$2)</f>
        <v>0</v>
      </c>
      <c r="BD60" s="140">
        <f>SUM('Defect (Total)'!BD60,Planned!CG60,Reconductor!CG60,CTGS!CG60,'Substation 2025$'!CG60*$BL$1,Comms!CC60*$BL$2)</f>
        <v>0</v>
      </c>
      <c r="BE60" s="140">
        <f>SUM('Defect (Total)'!BE60,Planned!CH60,Reconductor!CH60,CTGS!CH60,'Substation 2025$'!CH60*$BL$1,Comms!CD60*$BL$2)</f>
        <v>0</v>
      </c>
      <c r="BF60" s="140">
        <f>SUM('Defect (Total)'!BF60,Planned!CI60,Reconductor!CI60,CTGS!CI60,'Substation 2025$'!CI60*$BL$1,Comms!CE60*$BL$2)</f>
        <v>0</v>
      </c>
      <c r="BG60" s="140">
        <f>SUM('Defect (Total)'!BG60,Planned!CJ60,Reconductor!CJ60,CTGS!CJ60,'Substation 2025$'!CJ60*$BL$1,Comms!CF60*$BL$2)</f>
        <v>0</v>
      </c>
      <c r="BH60" s="140">
        <f>SUM('Defect (Total)'!BH60,Planned!CK60,Reconductor!CK60,CTGS!CK60,'Substation 2025$'!CK60*$BL$1,Comms!CG60*$BL$2)</f>
        <v>0</v>
      </c>
      <c r="BI60" s="291">
        <f>SUM('Defect (Total)'!BI60,Planned!CL60,Reconductor!CL60,CTGS!CL60,'Substation 2025$'!CL60*$BL$1,Comms!CH60*$BL$2)</f>
        <v>0</v>
      </c>
      <c r="BJ60" s="99" t="str">
        <f t="shared" si="16"/>
        <v/>
      </c>
      <c r="BK60" s="743"/>
      <c r="BL60" s="97"/>
      <c r="BM60" s="524"/>
      <c r="BN60" s="416">
        <f>'Distribution Summary'!CI60+'Substation 2025$'!CT60</f>
        <v>0</v>
      </c>
      <c r="BO60" s="97">
        <f>'Distribution Summary'!CJ60+'Substation 2025$'!CU60</f>
        <v>0</v>
      </c>
      <c r="BP60" s="97">
        <f>'Distribution Summary'!CK60+'Substation 2025$'!CV60</f>
        <v>0</v>
      </c>
      <c r="BQ60" s="97">
        <f>'Distribution Summary'!CL60+'Substation 2025$'!CW60</f>
        <v>0</v>
      </c>
      <c r="BR60" s="98">
        <f>'Distribution Summary'!CM60+'Substation 2025$'!CX60</f>
        <v>0</v>
      </c>
    </row>
    <row r="61" spans="1:70" x14ac:dyDescent="0.25">
      <c r="A61" s="81" t="s">
        <v>106</v>
      </c>
      <c r="B61" s="82" t="s">
        <v>125</v>
      </c>
      <c r="C61" s="83" t="s">
        <v>345</v>
      </c>
      <c r="D61" s="84">
        <f>SUM('Defect (Total)'!D61,Planned!D61,Reconductor!D61,CTGS!D61)</f>
        <v>0</v>
      </c>
      <c r="E61" s="85">
        <f>SUM('Defect (Total)'!E61,Planned!E61,Reconductor!E61,CTGS!E61)</f>
        <v>0</v>
      </c>
      <c r="F61" s="85">
        <f>SUM('Defect (Total)'!F61,Planned!F61,Reconductor!F61,CTGS!F61)</f>
        <v>0</v>
      </c>
      <c r="G61" s="85">
        <f>SUM('Defect (Total)'!G61,Planned!G61,Reconductor!G61,CTGS!G61)</f>
        <v>0</v>
      </c>
      <c r="H61" s="85">
        <f>SUM('Defect (Total)'!H61,Planned!H61,Reconductor!H61,CTGS!H61)</f>
        <v>0</v>
      </c>
      <c r="I61" s="85">
        <f>SUM('Defect (Total)'!I61,Planned!I61,Reconductor!I61,CTGS!I61)</f>
        <v>0</v>
      </c>
      <c r="J61" s="85">
        <f>SUM('Defect (Total)'!J61,Planned!J61,Reconductor!J61,CTGS!J61)</f>
        <v>0</v>
      </c>
      <c r="K61" s="85">
        <f>SUM('Defect (Total)'!K61,Planned!K61,Reconductor!K61,CTGS!K61)</f>
        <v>0</v>
      </c>
      <c r="L61" s="85">
        <f>SUM('Defect (Total)'!L61,Planned!L61,Reconductor!L61,CTGS!L61)</f>
        <v>0</v>
      </c>
      <c r="M61" s="85">
        <f>SUM('Defect (Total)'!M61,Planned!M61,Reconductor!M61,CTGS!M61)</f>
        <v>0</v>
      </c>
      <c r="N61" s="85">
        <f>SUM('Defect (Total)'!N61,Planned!N61,Reconductor!N61,CTGS!N61)</f>
        <v>0</v>
      </c>
      <c r="O61" s="560">
        <f>SUM('Defect (Total)'!O61,Planned!O61,Reconductor!O61,CTGS!O61)</f>
        <v>0</v>
      </c>
      <c r="P61" s="561">
        <f>SUM('Defect (Total)'!P61,Planned!P61,Reconductor!P61,CTGS!P61)</f>
        <v>0</v>
      </c>
      <c r="Q61" s="561">
        <f>SUM('Defect (Total)'!Q61,Planned!Q61,Reconductor!Q61,CTGS!Q61)</f>
        <v>0</v>
      </c>
      <c r="R61" s="561">
        <f>SUM('Defect (Total)'!R61,Planned!R61,Reconductor!R61,CTGS!R61)</f>
        <v>0</v>
      </c>
      <c r="S61" s="561">
        <f>SUM('Defect (Total)'!S61,Planned!S61,Reconductor!S61,CTGS!S61)</f>
        <v>0</v>
      </c>
      <c r="T61" s="561">
        <f>SUM('Defect (Total)'!T61,Planned!T61,Reconductor!T61,CTGS!T61)</f>
        <v>0</v>
      </c>
      <c r="U61" s="561">
        <f>SUM('Defect (Total)'!U61,Planned!U61,Reconductor!U61,CTGS!U61)</f>
        <v>0</v>
      </c>
      <c r="V61" s="561">
        <f>SUM('Defect (Total)'!V61,Planned!V61,Reconductor!V61,CTGS!V61)</f>
        <v>0</v>
      </c>
      <c r="W61" s="561">
        <f>SUM('Defect (Total)'!W61,Planned!W61,Reconductor!W61,CTGS!W61)</f>
        <v>0</v>
      </c>
      <c r="X61" s="561">
        <f>SUM('Defect (Total)'!X61,Planned!X61,Reconductor!X61,CTGS!X61)</f>
        <v>0</v>
      </c>
      <c r="Y61" s="561">
        <f>SUM('Defect (Total)'!Y61,Planned!Y61,Reconductor!Y61,CTGS!Y61)</f>
        <v>0</v>
      </c>
      <c r="Z61" s="86">
        <f>SUM('Defect (Total)'!Z61,Planned!Z61,Reconductor!Z61,CTGS!Z61)</f>
        <v>0</v>
      </c>
      <c r="AA61" s="87">
        <f>SUM('Defect (Total)'!AA61,Planned!AA61,Reconductor!AA61,CTGS!AA61)</f>
        <v>0</v>
      </c>
      <c r="AB61" s="87">
        <f>SUM('Defect (Total)'!AB61,Planned!AB61,Reconductor!AB61,CTGS!AB61)</f>
        <v>0</v>
      </c>
      <c r="AC61" s="87">
        <f>SUM('Defect (Total)'!AC61,Planned!AC61,Reconductor!AC61,CTGS!AC61)</f>
        <v>0</v>
      </c>
      <c r="AD61" s="87">
        <f>SUM('Defect (Total)'!AD61,Planned!AD61,Reconductor!AD61,CTGS!AD61)</f>
        <v>0</v>
      </c>
      <c r="AE61" s="87">
        <f>SUM('Defect (Total)'!AE61,Planned!AE61,Reconductor!AE61,CTGS!AE61)</f>
        <v>0</v>
      </c>
      <c r="AF61" s="87">
        <f>SUM('Defect (Total)'!AF61,Planned!AF61,Reconductor!AF61,CTGS!AF61)</f>
        <v>0</v>
      </c>
      <c r="AG61" s="87">
        <f>SUM('Defect (Total)'!AG61,Planned!AG61,Reconductor!AG61,CTGS!AG61)</f>
        <v>0</v>
      </c>
      <c r="AH61" s="87">
        <f>SUM('Defect (Total)'!AH61,Planned!AH61,Reconductor!AH61,CTGS!AH61)</f>
        <v>0</v>
      </c>
      <c r="AI61" s="87">
        <f>SUM('Defect (Total)'!AI61,Planned!AI61,Reconductor!AI61,CTGS!AI61)</f>
        <v>0</v>
      </c>
      <c r="AJ61" s="87">
        <f>SUM('Defect (Total)'!AJ61,Planned!AJ61,Reconductor!AJ61,CTGS!AJ61)</f>
        <v>0</v>
      </c>
      <c r="AK61" s="127">
        <f t="shared" si="14"/>
        <v>0</v>
      </c>
      <c r="AL61" s="128">
        <f t="shared" si="18"/>
        <v>0</v>
      </c>
      <c r="AM61" s="129">
        <f t="shared" si="15"/>
        <v>0</v>
      </c>
      <c r="AN61" s="91" t="str">
        <f t="shared" si="19"/>
        <v/>
      </c>
      <c r="AO61" s="92" t="str">
        <f t="shared" si="20"/>
        <v/>
      </c>
      <c r="AP61" s="92" t="str">
        <f t="shared" si="21"/>
        <v/>
      </c>
      <c r="AQ61" s="92" t="str">
        <f t="shared" si="22"/>
        <v/>
      </c>
      <c r="AR61" s="92" t="str">
        <f t="shared" si="23"/>
        <v/>
      </c>
      <c r="AS61" s="92" t="str">
        <f t="shared" si="24"/>
        <v/>
      </c>
      <c r="AT61" s="92" t="str">
        <f t="shared" si="25"/>
        <v/>
      </c>
      <c r="AU61" s="92" t="str">
        <f t="shared" si="26"/>
        <v/>
      </c>
      <c r="AV61" s="92" t="str">
        <f t="shared" si="27"/>
        <v/>
      </c>
      <c r="AW61" s="92" t="str">
        <f t="shared" si="30"/>
        <v/>
      </c>
      <c r="AX61" s="92" t="str">
        <f t="shared" si="30"/>
        <v/>
      </c>
      <c r="AY61" s="93" t="str">
        <f t="shared" si="29"/>
        <v/>
      </c>
      <c r="AZ61" s="94" t="str">
        <f t="shared" si="12"/>
        <v/>
      </c>
      <c r="BA61" s="95" t="str">
        <f t="shared" si="13"/>
        <v/>
      </c>
      <c r="BB61" s="694">
        <f>SUM('Defect (Total)'!BB61,Planned!CE61,Reconductor!CE61,CTGS!CE61,'Substation 2025$'!CE61*$BL$1,Comms!CA61*$BL$2)</f>
        <v>0</v>
      </c>
      <c r="BC61" s="694">
        <f>SUM('Defect (Total)'!BC61,Planned!CF61,Reconductor!CF61,CTGS!CF61,'Substation 2025$'!CF61*$BL$1,Comms!CB61*$BL$2)</f>
        <v>0</v>
      </c>
      <c r="BD61" s="140">
        <f>SUM('Defect (Total)'!BD61,Planned!CG61,Reconductor!CG61,CTGS!CG61,'Substation 2025$'!CG61*$BL$1,Comms!CC61*$BL$2)</f>
        <v>0</v>
      </c>
      <c r="BE61" s="140">
        <f>SUM('Defect (Total)'!BE61,Planned!CH61,Reconductor!CH61,CTGS!CH61,'Substation 2025$'!CH61*$BL$1,Comms!CD61*$BL$2)</f>
        <v>0</v>
      </c>
      <c r="BF61" s="140">
        <f>SUM('Defect (Total)'!BF61,Planned!CI61,Reconductor!CI61,CTGS!CI61,'Substation 2025$'!CI61*$BL$1,Comms!CE61*$BL$2)</f>
        <v>0</v>
      </c>
      <c r="BG61" s="140">
        <f>SUM('Defect (Total)'!BG61,Planned!CJ61,Reconductor!CJ61,CTGS!CJ61,'Substation 2025$'!CJ61*$BL$1,Comms!CF61*$BL$2)</f>
        <v>0</v>
      </c>
      <c r="BH61" s="140">
        <f>SUM('Defect (Total)'!BH61,Planned!CK61,Reconductor!CK61,CTGS!CK61,'Substation 2025$'!CK61*$BL$1,Comms!CG61*$BL$2)</f>
        <v>0</v>
      </c>
      <c r="BI61" s="291">
        <f>SUM('Defect (Total)'!BI61,Planned!CL61,Reconductor!CL61,CTGS!CL61,'Substation 2025$'!CL61*$BL$1,Comms!CH61*$BL$2)</f>
        <v>0</v>
      </c>
      <c r="BJ61" s="99" t="str">
        <f t="shared" si="16"/>
        <v/>
      </c>
      <c r="BK61" s="743"/>
      <c r="BL61" s="97"/>
      <c r="BM61" s="524"/>
      <c r="BN61" s="416">
        <f>'Distribution Summary'!CI61+'Substation 2025$'!CT61</f>
        <v>0</v>
      </c>
      <c r="BO61" s="97">
        <f>'Distribution Summary'!CJ61+'Substation 2025$'!CU61</f>
        <v>0</v>
      </c>
      <c r="BP61" s="97">
        <f>'Distribution Summary'!CK61+'Substation 2025$'!CV61</f>
        <v>0</v>
      </c>
      <c r="BQ61" s="97">
        <f>'Distribution Summary'!CL61+'Substation 2025$'!CW61</f>
        <v>0</v>
      </c>
      <c r="BR61" s="98">
        <f>'Distribution Summary'!CM61+'Substation 2025$'!CX61</f>
        <v>0</v>
      </c>
    </row>
    <row r="62" spans="1:70" x14ac:dyDescent="0.25">
      <c r="A62" s="81" t="s">
        <v>106</v>
      </c>
      <c r="B62" s="82" t="s">
        <v>127</v>
      </c>
      <c r="C62" s="83" t="s">
        <v>347</v>
      </c>
      <c r="D62" s="84">
        <f>SUM('Defect (Total)'!D62,Planned!D62,Reconductor!D62,CTGS!D62)</f>
        <v>0</v>
      </c>
      <c r="E62" s="85">
        <f>SUM('Defect (Total)'!E62,Planned!E62,Reconductor!E62,CTGS!E62)</f>
        <v>0</v>
      </c>
      <c r="F62" s="85">
        <f>SUM('Defect (Total)'!F62,Planned!F62,Reconductor!F62,CTGS!F62)</f>
        <v>0</v>
      </c>
      <c r="G62" s="85">
        <f>SUM('Defect (Total)'!G62,Planned!G62,Reconductor!G62,CTGS!G62)</f>
        <v>0</v>
      </c>
      <c r="H62" s="85">
        <f>SUM('Defect (Total)'!H62,Planned!H62,Reconductor!H62,CTGS!H62)</f>
        <v>0</v>
      </c>
      <c r="I62" s="85">
        <f>SUM('Defect (Total)'!I62,Planned!I62,Reconductor!I62,CTGS!I62)</f>
        <v>0</v>
      </c>
      <c r="J62" s="85">
        <f>SUM('Defect (Total)'!J62,Planned!J62,Reconductor!J62,CTGS!J62)</f>
        <v>0</v>
      </c>
      <c r="K62" s="85">
        <f>SUM('Defect (Total)'!K62,Planned!K62,Reconductor!K62,CTGS!K62)</f>
        <v>0</v>
      </c>
      <c r="L62" s="85">
        <f>SUM('Defect (Total)'!L62,Planned!L62,Reconductor!L62,CTGS!L62)</f>
        <v>0</v>
      </c>
      <c r="M62" s="85">
        <f>SUM('Defect (Total)'!M62,Planned!M62,Reconductor!M62,CTGS!M62)</f>
        <v>0</v>
      </c>
      <c r="N62" s="85">
        <f>SUM('Defect (Total)'!N62,Planned!N62,Reconductor!N62,CTGS!N62)</f>
        <v>0</v>
      </c>
      <c r="O62" s="560">
        <f>SUM('Defect (Total)'!O62,Planned!O62,Reconductor!O62,CTGS!O62)</f>
        <v>0</v>
      </c>
      <c r="P62" s="561">
        <f>SUM('Defect (Total)'!P62,Planned!P62,Reconductor!P62,CTGS!P62)</f>
        <v>0</v>
      </c>
      <c r="Q62" s="561">
        <f>SUM('Defect (Total)'!Q62,Planned!Q62,Reconductor!Q62,CTGS!Q62)</f>
        <v>0</v>
      </c>
      <c r="R62" s="561">
        <f>SUM('Defect (Total)'!R62,Planned!R62,Reconductor!R62,CTGS!R62)</f>
        <v>0</v>
      </c>
      <c r="S62" s="561">
        <f>SUM('Defect (Total)'!S62,Planned!S62,Reconductor!S62,CTGS!S62)</f>
        <v>0</v>
      </c>
      <c r="T62" s="561">
        <f>SUM('Defect (Total)'!T62,Planned!T62,Reconductor!T62,CTGS!T62)</f>
        <v>0</v>
      </c>
      <c r="U62" s="561">
        <f>SUM('Defect (Total)'!U62,Planned!U62,Reconductor!U62,CTGS!U62)</f>
        <v>0</v>
      </c>
      <c r="V62" s="561">
        <f>SUM('Defect (Total)'!V62,Planned!V62,Reconductor!V62,CTGS!V62)</f>
        <v>0</v>
      </c>
      <c r="W62" s="561">
        <f>SUM('Defect (Total)'!W62,Planned!W62,Reconductor!W62,CTGS!W62)</f>
        <v>0</v>
      </c>
      <c r="X62" s="561">
        <f>SUM('Defect (Total)'!X62,Planned!X62,Reconductor!X62,CTGS!X62)</f>
        <v>0</v>
      </c>
      <c r="Y62" s="561">
        <f>SUM('Defect (Total)'!Y62,Planned!Y62,Reconductor!Y62,CTGS!Y62)</f>
        <v>0</v>
      </c>
      <c r="Z62" s="86">
        <f>SUM('Defect (Total)'!Z62,Planned!Z62,Reconductor!Z62,CTGS!Z62)</f>
        <v>0</v>
      </c>
      <c r="AA62" s="87">
        <f>SUM('Defect (Total)'!AA62,Planned!AA62,Reconductor!AA62,CTGS!AA62)</f>
        <v>0</v>
      </c>
      <c r="AB62" s="87">
        <f>SUM('Defect (Total)'!AB62,Planned!AB62,Reconductor!AB62,CTGS!AB62)</f>
        <v>0</v>
      </c>
      <c r="AC62" s="87">
        <f>SUM('Defect (Total)'!AC62,Planned!AC62,Reconductor!AC62,CTGS!AC62)</f>
        <v>0</v>
      </c>
      <c r="AD62" s="87">
        <f>SUM('Defect (Total)'!AD62,Planned!AD62,Reconductor!AD62,CTGS!AD62)</f>
        <v>0</v>
      </c>
      <c r="AE62" s="87">
        <f>SUM('Defect (Total)'!AE62,Planned!AE62,Reconductor!AE62,CTGS!AE62)</f>
        <v>0</v>
      </c>
      <c r="AF62" s="87">
        <f>SUM('Defect (Total)'!AF62,Planned!AF62,Reconductor!AF62,CTGS!AF62)</f>
        <v>0</v>
      </c>
      <c r="AG62" s="87">
        <f>SUM('Defect (Total)'!AG62,Planned!AG62,Reconductor!AG62,CTGS!AG62)</f>
        <v>0</v>
      </c>
      <c r="AH62" s="87">
        <f>SUM('Defect (Total)'!AH62,Planned!AH62,Reconductor!AH62,CTGS!AH62)</f>
        <v>0</v>
      </c>
      <c r="AI62" s="87">
        <f>SUM('Defect (Total)'!AI62,Planned!AI62,Reconductor!AI62,CTGS!AI62)</f>
        <v>0</v>
      </c>
      <c r="AJ62" s="87">
        <f>SUM('Defect (Total)'!AJ62,Planned!AJ62,Reconductor!AJ62,CTGS!AJ62)</f>
        <v>0</v>
      </c>
      <c r="AK62" s="127">
        <f t="shared" si="14"/>
        <v>0</v>
      </c>
      <c r="AL62" s="128">
        <f t="shared" si="18"/>
        <v>0</v>
      </c>
      <c r="AM62" s="129">
        <f t="shared" si="15"/>
        <v>0</v>
      </c>
      <c r="AN62" s="91" t="str">
        <f t="shared" si="19"/>
        <v/>
      </c>
      <c r="AO62" s="92" t="str">
        <f t="shared" si="20"/>
        <v/>
      </c>
      <c r="AP62" s="92" t="str">
        <f t="shared" si="21"/>
        <v/>
      </c>
      <c r="AQ62" s="92" t="str">
        <f t="shared" si="22"/>
        <v/>
      </c>
      <c r="AR62" s="92" t="str">
        <f t="shared" si="23"/>
        <v/>
      </c>
      <c r="AS62" s="92" t="str">
        <f t="shared" si="24"/>
        <v/>
      </c>
      <c r="AT62" s="92" t="str">
        <f t="shared" si="25"/>
        <v/>
      </c>
      <c r="AU62" s="92" t="str">
        <f t="shared" si="26"/>
        <v/>
      </c>
      <c r="AV62" s="92" t="str">
        <f t="shared" si="27"/>
        <v/>
      </c>
      <c r="AW62" s="92" t="str">
        <f t="shared" si="30"/>
        <v/>
      </c>
      <c r="AX62" s="92" t="str">
        <f t="shared" si="30"/>
        <v/>
      </c>
      <c r="AY62" s="93" t="str">
        <f t="shared" si="29"/>
        <v/>
      </c>
      <c r="AZ62" s="94" t="str">
        <f t="shared" si="12"/>
        <v/>
      </c>
      <c r="BA62" s="95" t="str">
        <f t="shared" si="13"/>
        <v/>
      </c>
      <c r="BB62" s="694">
        <f>SUM('Defect (Total)'!BB62,Planned!CE62,Reconductor!CE62,CTGS!CE62,'Substation 2025$'!CE62*$BL$1,Comms!CA62*$BL$2)</f>
        <v>0</v>
      </c>
      <c r="BC62" s="694">
        <f>SUM('Defect (Total)'!BC62,Planned!CF62,Reconductor!CF62,CTGS!CF62,'Substation 2025$'!CF62*$BL$1,Comms!CB62*$BL$2)</f>
        <v>0</v>
      </c>
      <c r="BD62" s="140">
        <f>SUM('Defect (Total)'!BD62,Planned!CG62,Reconductor!CG62,CTGS!CG62,'Substation 2025$'!CG62*$BL$1,Comms!CC62*$BL$2)</f>
        <v>0</v>
      </c>
      <c r="BE62" s="140">
        <f>SUM('Defect (Total)'!BE62,Planned!CH62,Reconductor!CH62,CTGS!CH62,'Substation 2025$'!CH62*$BL$1,Comms!CD62*$BL$2)</f>
        <v>0</v>
      </c>
      <c r="BF62" s="140">
        <f>SUM('Defect (Total)'!BF62,Planned!CI62,Reconductor!CI62,CTGS!CI62,'Substation 2025$'!CI62*$BL$1,Comms!CE62*$BL$2)</f>
        <v>0</v>
      </c>
      <c r="BG62" s="140">
        <f>SUM('Defect (Total)'!BG62,Planned!CJ62,Reconductor!CJ62,CTGS!CJ62,'Substation 2025$'!CJ62*$BL$1,Comms!CF62*$BL$2)</f>
        <v>0</v>
      </c>
      <c r="BH62" s="140">
        <f>SUM('Defect (Total)'!BH62,Planned!CK62,Reconductor!CK62,CTGS!CK62,'Substation 2025$'!CK62*$BL$1,Comms!CG62*$BL$2)</f>
        <v>0</v>
      </c>
      <c r="BI62" s="291">
        <f>SUM('Defect (Total)'!BI62,Planned!CL62,Reconductor!CL62,CTGS!CL62,'Substation 2025$'!CL62*$BL$1,Comms!CH62*$BL$2)</f>
        <v>0</v>
      </c>
      <c r="BJ62" s="99" t="str">
        <f t="shared" si="16"/>
        <v/>
      </c>
      <c r="BK62" s="743"/>
      <c r="BL62" s="97"/>
      <c r="BM62" s="524"/>
      <c r="BN62" s="416">
        <f>'Distribution Summary'!CI62+'Substation 2025$'!CT62</f>
        <v>0</v>
      </c>
      <c r="BO62" s="97">
        <f>'Distribution Summary'!CJ62+'Substation 2025$'!CU62</f>
        <v>0</v>
      </c>
      <c r="BP62" s="97">
        <f>'Distribution Summary'!CK62+'Substation 2025$'!CV62</f>
        <v>0</v>
      </c>
      <c r="BQ62" s="97">
        <f>'Distribution Summary'!CL62+'Substation 2025$'!CW62</f>
        <v>0</v>
      </c>
      <c r="BR62" s="98">
        <f>'Distribution Summary'!CM62+'Substation 2025$'!CX62</f>
        <v>0</v>
      </c>
    </row>
    <row r="63" spans="1:70" x14ac:dyDescent="0.25">
      <c r="A63" s="81" t="s">
        <v>106</v>
      </c>
      <c r="B63" s="82" t="s">
        <v>129</v>
      </c>
      <c r="C63" s="83" t="s">
        <v>349</v>
      </c>
      <c r="D63" s="84">
        <f>SUM('Defect (Total)'!D63,Planned!D63,Reconductor!D63,CTGS!D63)</f>
        <v>0</v>
      </c>
      <c r="E63" s="85">
        <f>SUM('Defect (Total)'!E63,Planned!E63,Reconductor!E63,CTGS!E63)</f>
        <v>0</v>
      </c>
      <c r="F63" s="85">
        <f>SUM('Defect (Total)'!F63,Planned!F63,Reconductor!F63,CTGS!F63)</f>
        <v>0</v>
      </c>
      <c r="G63" s="85">
        <f>SUM('Defect (Total)'!G63,Planned!G63,Reconductor!G63,CTGS!G63)</f>
        <v>0</v>
      </c>
      <c r="H63" s="85">
        <f>SUM('Defect (Total)'!H63,Planned!H63,Reconductor!H63,CTGS!H63)</f>
        <v>0</v>
      </c>
      <c r="I63" s="85">
        <f>SUM('Defect (Total)'!I63,Planned!I63,Reconductor!I63,CTGS!I63)</f>
        <v>0</v>
      </c>
      <c r="J63" s="85">
        <f>SUM('Defect (Total)'!J63,Planned!J63,Reconductor!J63,CTGS!J63)</f>
        <v>0</v>
      </c>
      <c r="K63" s="85">
        <f>SUM('Defect (Total)'!K63,Planned!K63,Reconductor!K63,CTGS!K63)</f>
        <v>0</v>
      </c>
      <c r="L63" s="85">
        <f>SUM('Defect (Total)'!L63,Planned!L63,Reconductor!L63,CTGS!L63)</f>
        <v>0</v>
      </c>
      <c r="M63" s="85">
        <f>SUM('Defect (Total)'!M63,Planned!M63,Reconductor!M63,CTGS!M63)</f>
        <v>0</v>
      </c>
      <c r="N63" s="85">
        <f>SUM('Defect (Total)'!N63,Planned!N63,Reconductor!N63,CTGS!N63)</f>
        <v>0</v>
      </c>
      <c r="O63" s="560">
        <f>SUM('Defect (Total)'!O63,Planned!O63,Reconductor!O63,CTGS!O63)</f>
        <v>0</v>
      </c>
      <c r="P63" s="561">
        <f>SUM('Defect (Total)'!P63,Planned!P63,Reconductor!P63,CTGS!P63)</f>
        <v>0</v>
      </c>
      <c r="Q63" s="561">
        <f>SUM('Defect (Total)'!Q63,Planned!Q63,Reconductor!Q63,CTGS!Q63)</f>
        <v>0</v>
      </c>
      <c r="R63" s="561">
        <f>SUM('Defect (Total)'!R63,Planned!R63,Reconductor!R63,CTGS!R63)</f>
        <v>0</v>
      </c>
      <c r="S63" s="561">
        <f>SUM('Defect (Total)'!S63,Planned!S63,Reconductor!S63,CTGS!S63)</f>
        <v>0</v>
      </c>
      <c r="T63" s="561">
        <f>SUM('Defect (Total)'!T63,Planned!T63,Reconductor!T63,CTGS!T63)</f>
        <v>0</v>
      </c>
      <c r="U63" s="561">
        <f>SUM('Defect (Total)'!U63,Planned!U63,Reconductor!U63,CTGS!U63)</f>
        <v>0</v>
      </c>
      <c r="V63" s="561">
        <f>SUM('Defect (Total)'!V63,Planned!V63,Reconductor!V63,CTGS!V63)</f>
        <v>0</v>
      </c>
      <c r="W63" s="561">
        <f>SUM('Defect (Total)'!W63,Planned!W63,Reconductor!W63,CTGS!W63)</f>
        <v>0</v>
      </c>
      <c r="X63" s="561">
        <f>SUM('Defect (Total)'!X63,Planned!X63,Reconductor!X63,CTGS!X63)</f>
        <v>0</v>
      </c>
      <c r="Y63" s="561">
        <f>SUM('Defect (Total)'!Y63,Planned!Y63,Reconductor!Y63,CTGS!Y63)</f>
        <v>0</v>
      </c>
      <c r="Z63" s="86">
        <f>SUM('Defect (Total)'!Z63,Planned!Z63,Reconductor!Z63,CTGS!Z63)</f>
        <v>0</v>
      </c>
      <c r="AA63" s="87">
        <f>SUM('Defect (Total)'!AA63,Planned!AA63,Reconductor!AA63,CTGS!AA63)</f>
        <v>0</v>
      </c>
      <c r="AB63" s="87">
        <f>SUM('Defect (Total)'!AB63,Planned!AB63,Reconductor!AB63,CTGS!AB63)</f>
        <v>0</v>
      </c>
      <c r="AC63" s="87">
        <f>SUM('Defect (Total)'!AC63,Planned!AC63,Reconductor!AC63,CTGS!AC63)</f>
        <v>0</v>
      </c>
      <c r="AD63" s="87">
        <f>SUM('Defect (Total)'!AD63,Planned!AD63,Reconductor!AD63,CTGS!AD63)</f>
        <v>0</v>
      </c>
      <c r="AE63" s="87">
        <f>SUM('Defect (Total)'!AE63,Planned!AE63,Reconductor!AE63,CTGS!AE63)</f>
        <v>0</v>
      </c>
      <c r="AF63" s="87">
        <f>SUM('Defect (Total)'!AF63,Planned!AF63,Reconductor!AF63,CTGS!AF63)</f>
        <v>0</v>
      </c>
      <c r="AG63" s="87">
        <f>SUM('Defect (Total)'!AG63,Planned!AG63,Reconductor!AG63,CTGS!AG63)</f>
        <v>0</v>
      </c>
      <c r="AH63" s="87">
        <f>SUM('Defect (Total)'!AH63,Planned!AH63,Reconductor!AH63,CTGS!AH63)</f>
        <v>0</v>
      </c>
      <c r="AI63" s="87">
        <f>SUM('Defect (Total)'!AI63,Planned!AI63,Reconductor!AI63,CTGS!AI63)</f>
        <v>0</v>
      </c>
      <c r="AJ63" s="87">
        <f>SUM('Defect (Total)'!AJ63,Planned!AJ63,Reconductor!AJ63,CTGS!AJ63)</f>
        <v>0</v>
      </c>
      <c r="AK63" s="127">
        <f t="shared" si="14"/>
        <v>0</v>
      </c>
      <c r="AL63" s="128">
        <f t="shared" si="18"/>
        <v>0</v>
      </c>
      <c r="AM63" s="129">
        <f t="shared" si="15"/>
        <v>0</v>
      </c>
      <c r="AN63" s="91" t="str">
        <f t="shared" si="19"/>
        <v/>
      </c>
      <c r="AO63" s="92" t="str">
        <f t="shared" si="20"/>
        <v/>
      </c>
      <c r="AP63" s="92" t="str">
        <f t="shared" si="21"/>
        <v/>
      </c>
      <c r="AQ63" s="92" t="str">
        <f t="shared" si="22"/>
        <v/>
      </c>
      <c r="AR63" s="92" t="str">
        <f t="shared" si="23"/>
        <v/>
      </c>
      <c r="AS63" s="92" t="str">
        <f t="shared" si="24"/>
        <v/>
      </c>
      <c r="AT63" s="92" t="str">
        <f t="shared" si="25"/>
        <v/>
      </c>
      <c r="AU63" s="92" t="str">
        <f t="shared" si="26"/>
        <v/>
      </c>
      <c r="AV63" s="92" t="str">
        <f t="shared" si="27"/>
        <v/>
      </c>
      <c r="AW63" s="92" t="str">
        <f t="shared" si="30"/>
        <v/>
      </c>
      <c r="AX63" s="92" t="str">
        <f t="shared" si="30"/>
        <v/>
      </c>
      <c r="AY63" s="93" t="str">
        <f t="shared" si="29"/>
        <v/>
      </c>
      <c r="AZ63" s="94" t="str">
        <f t="shared" si="12"/>
        <v/>
      </c>
      <c r="BA63" s="95" t="str">
        <f t="shared" si="13"/>
        <v/>
      </c>
      <c r="BB63" s="694">
        <f>SUM('Defect (Total)'!BB63,Planned!CE63,Reconductor!CE63,CTGS!CE63,'Substation 2025$'!CE63*$BL$1,Comms!CA63*$BL$2)</f>
        <v>0</v>
      </c>
      <c r="BC63" s="694">
        <f>SUM('Defect (Total)'!BC63,Planned!CF63,Reconductor!CF63,CTGS!CF63,'Substation 2025$'!CF63*$BL$1,Comms!CB63*$BL$2)</f>
        <v>0</v>
      </c>
      <c r="BD63" s="140">
        <f>SUM('Defect (Total)'!BD63,Planned!CG63,Reconductor!CG63,CTGS!CG63,'Substation 2025$'!CG63*$BL$1,Comms!CC63*$BL$2)</f>
        <v>0</v>
      </c>
      <c r="BE63" s="140">
        <f>SUM('Defect (Total)'!BE63,Planned!CH63,Reconductor!CH63,CTGS!CH63,'Substation 2025$'!CH63*$BL$1,Comms!CD63*$BL$2)</f>
        <v>0</v>
      </c>
      <c r="BF63" s="140">
        <f>SUM('Defect (Total)'!BF63,Planned!CI63,Reconductor!CI63,CTGS!CI63,'Substation 2025$'!CI63*$BL$1,Comms!CE63*$BL$2)</f>
        <v>0</v>
      </c>
      <c r="BG63" s="140">
        <f>SUM('Defect (Total)'!BG63,Planned!CJ63,Reconductor!CJ63,CTGS!CJ63,'Substation 2025$'!CJ63*$BL$1,Comms!CF63*$BL$2)</f>
        <v>0</v>
      </c>
      <c r="BH63" s="140">
        <f>SUM('Defect (Total)'!BH63,Planned!CK63,Reconductor!CK63,CTGS!CK63,'Substation 2025$'!CK63*$BL$1,Comms!CG63*$BL$2)</f>
        <v>0</v>
      </c>
      <c r="BI63" s="291">
        <f>SUM('Defect (Total)'!BI63,Planned!CL63,Reconductor!CL63,CTGS!CL63,'Substation 2025$'!CL63*$BL$1,Comms!CH63*$BL$2)</f>
        <v>0</v>
      </c>
      <c r="BJ63" s="99" t="str">
        <f t="shared" si="16"/>
        <v/>
      </c>
      <c r="BK63" s="743"/>
      <c r="BL63" s="97"/>
      <c r="BM63" s="524"/>
      <c r="BN63" s="416">
        <f>'Distribution Summary'!CI63+'Substation 2025$'!CT63</f>
        <v>0</v>
      </c>
      <c r="BO63" s="97">
        <f>'Distribution Summary'!CJ63+'Substation 2025$'!CU63</f>
        <v>0</v>
      </c>
      <c r="BP63" s="97">
        <f>'Distribution Summary'!CK63+'Substation 2025$'!CV63</f>
        <v>0</v>
      </c>
      <c r="BQ63" s="97">
        <f>'Distribution Summary'!CL63+'Substation 2025$'!CW63</f>
        <v>0</v>
      </c>
      <c r="BR63" s="98">
        <f>'Distribution Summary'!CM63+'Substation 2025$'!CX63</f>
        <v>0</v>
      </c>
    </row>
    <row r="64" spans="1:70" x14ac:dyDescent="0.25">
      <c r="A64" s="81" t="s">
        <v>106</v>
      </c>
      <c r="B64" s="82" t="s">
        <v>131</v>
      </c>
      <c r="C64" s="83" t="s">
        <v>351</v>
      </c>
      <c r="D64" s="84">
        <f>SUM('Defect (Total)'!D64,Planned!D64,Reconductor!D64,CTGS!D64)</f>
        <v>0</v>
      </c>
      <c r="E64" s="85">
        <f>SUM('Defect (Total)'!E64,Planned!E64,Reconductor!E64,CTGS!E64)</f>
        <v>0</v>
      </c>
      <c r="F64" s="85">
        <f>SUM('Defect (Total)'!F64,Planned!F64,Reconductor!F64,CTGS!F64)</f>
        <v>0</v>
      </c>
      <c r="G64" s="85">
        <f>SUM('Defect (Total)'!G64,Planned!G64,Reconductor!G64,CTGS!G64)</f>
        <v>0</v>
      </c>
      <c r="H64" s="85">
        <f>SUM('Defect (Total)'!H64,Planned!H64,Reconductor!H64,CTGS!H64)</f>
        <v>0</v>
      </c>
      <c r="I64" s="85">
        <f>SUM('Defect (Total)'!I64,Planned!I64,Reconductor!I64,CTGS!I64)</f>
        <v>0</v>
      </c>
      <c r="J64" s="85">
        <f>SUM('Defect (Total)'!J64,Planned!J64,Reconductor!J64,CTGS!J64)</f>
        <v>0</v>
      </c>
      <c r="K64" s="85">
        <f>SUM('Defect (Total)'!K64,Planned!K64,Reconductor!K64,CTGS!K64)</f>
        <v>0</v>
      </c>
      <c r="L64" s="85">
        <f>SUM('Defect (Total)'!L64,Planned!L64,Reconductor!L64,CTGS!L64)</f>
        <v>0</v>
      </c>
      <c r="M64" s="85">
        <f>SUM('Defect (Total)'!M64,Planned!M64,Reconductor!M64,CTGS!M64)</f>
        <v>0</v>
      </c>
      <c r="N64" s="85">
        <f>SUM('Defect (Total)'!N64,Planned!N64,Reconductor!N64,CTGS!N64)</f>
        <v>0</v>
      </c>
      <c r="O64" s="560">
        <f>SUM('Defect (Total)'!O64,Planned!O64,Reconductor!O64,CTGS!O64)</f>
        <v>0</v>
      </c>
      <c r="P64" s="561">
        <f>SUM('Defect (Total)'!P64,Planned!P64,Reconductor!P64,CTGS!P64)</f>
        <v>0</v>
      </c>
      <c r="Q64" s="561">
        <f>SUM('Defect (Total)'!Q64,Planned!Q64,Reconductor!Q64,CTGS!Q64)</f>
        <v>0</v>
      </c>
      <c r="R64" s="561">
        <f>SUM('Defect (Total)'!R64,Planned!R64,Reconductor!R64,CTGS!R64)</f>
        <v>0</v>
      </c>
      <c r="S64" s="561">
        <f>SUM('Defect (Total)'!S64,Planned!S64,Reconductor!S64,CTGS!S64)</f>
        <v>0</v>
      </c>
      <c r="T64" s="561">
        <f>SUM('Defect (Total)'!T64,Planned!T64,Reconductor!T64,CTGS!T64)</f>
        <v>0</v>
      </c>
      <c r="U64" s="561">
        <f>SUM('Defect (Total)'!U64,Planned!U64,Reconductor!U64,CTGS!U64)</f>
        <v>0</v>
      </c>
      <c r="V64" s="561">
        <f>SUM('Defect (Total)'!V64,Planned!V64,Reconductor!V64,CTGS!V64)</f>
        <v>0</v>
      </c>
      <c r="W64" s="561">
        <f>SUM('Defect (Total)'!W64,Planned!W64,Reconductor!W64,CTGS!W64)</f>
        <v>0</v>
      </c>
      <c r="X64" s="561">
        <f>SUM('Defect (Total)'!X64,Planned!X64,Reconductor!X64,CTGS!X64)</f>
        <v>0</v>
      </c>
      <c r="Y64" s="561">
        <f>SUM('Defect (Total)'!Y64,Planned!Y64,Reconductor!Y64,CTGS!Y64)</f>
        <v>0</v>
      </c>
      <c r="Z64" s="86">
        <f>SUM('Defect (Total)'!Z64,Planned!Z64,Reconductor!Z64,CTGS!Z64)</f>
        <v>0</v>
      </c>
      <c r="AA64" s="87">
        <f>SUM('Defect (Total)'!AA64,Planned!AA64,Reconductor!AA64,CTGS!AA64)</f>
        <v>0</v>
      </c>
      <c r="AB64" s="87">
        <f>SUM('Defect (Total)'!AB64,Planned!AB64,Reconductor!AB64,CTGS!AB64)</f>
        <v>0</v>
      </c>
      <c r="AC64" s="87">
        <f>SUM('Defect (Total)'!AC64,Planned!AC64,Reconductor!AC64,CTGS!AC64)</f>
        <v>0</v>
      </c>
      <c r="AD64" s="87">
        <f>SUM('Defect (Total)'!AD64,Planned!AD64,Reconductor!AD64,CTGS!AD64)</f>
        <v>0</v>
      </c>
      <c r="AE64" s="87">
        <f>SUM('Defect (Total)'!AE64,Planned!AE64,Reconductor!AE64,CTGS!AE64)</f>
        <v>0</v>
      </c>
      <c r="AF64" s="87">
        <f>SUM('Defect (Total)'!AF64,Planned!AF64,Reconductor!AF64,CTGS!AF64)</f>
        <v>0</v>
      </c>
      <c r="AG64" s="87">
        <f>SUM('Defect (Total)'!AG64,Planned!AG64,Reconductor!AG64,CTGS!AG64)</f>
        <v>0</v>
      </c>
      <c r="AH64" s="87">
        <f>SUM('Defect (Total)'!AH64,Planned!AH64,Reconductor!AH64,CTGS!AH64)</f>
        <v>0</v>
      </c>
      <c r="AI64" s="87">
        <f>SUM('Defect (Total)'!AI64,Planned!AI64,Reconductor!AI64,CTGS!AI64)</f>
        <v>0</v>
      </c>
      <c r="AJ64" s="87">
        <f>SUM('Defect (Total)'!AJ64,Planned!AJ64,Reconductor!AJ64,CTGS!AJ64)</f>
        <v>0</v>
      </c>
      <c r="AK64" s="127">
        <f t="shared" si="14"/>
        <v>0</v>
      </c>
      <c r="AL64" s="128">
        <f t="shared" si="18"/>
        <v>0</v>
      </c>
      <c r="AM64" s="129">
        <f t="shared" si="15"/>
        <v>0</v>
      </c>
      <c r="AN64" s="91" t="str">
        <f t="shared" si="19"/>
        <v/>
      </c>
      <c r="AO64" s="92" t="str">
        <f t="shared" si="20"/>
        <v/>
      </c>
      <c r="AP64" s="92" t="str">
        <f t="shared" si="21"/>
        <v/>
      </c>
      <c r="AQ64" s="92" t="str">
        <f t="shared" si="22"/>
        <v/>
      </c>
      <c r="AR64" s="92" t="str">
        <f t="shared" si="23"/>
        <v/>
      </c>
      <c r="AS64" s="92" t="str">
        <f t="shared" si="24"/>
        <v/>
      </c>
      <c r="AT64" s="92" t="str">
        <f t="shared" si="25"/>
        <v/>
      </c>
      <c r="AU64" s="92" t="str">
        <f t="shared" si="26"/>
        <v/>
      </c>
      <c r="AV64" s="92" t="str">
        <f t="shared" si="27"/>
        <v/>
      </c>
      <c r="AW64" s="92" t="str">
        <f t="shared" si="30"/>
        <v/>
      </c>
      <c r="AX64" s="92" t="str">
        <f t="shared" si="30"/>
        <v/>
      </c>
      <c r="AY64" s="93" t="str">
        <f t="shared" si="29"/>
        <v/>
      </c>
      <c r="AZ64" s="94" t="str">
        <f t="shared" si="12"/>
        <v/>
      </c>
      <c r="BA64" s="95" t="str">
        <f t="shared" si="13"/>
        <v/>
      </c>
      <c r="BB64" s="694">
        <f>SUM('Defect (Total)'!BB64,Planned!CE64,Reconductor!CE64,CTGS!CE64,'Substation 2025$'!CE64*$BL$1,Comms!CA64*$BL$2)</f>
        <v>0</v>
      </c>
      <c r="BC64" s="694">
        <f>SUM('Defect (Total)'!BC64,Planned!CF64,Reconductor!CF64,CTGS!CF64,'Substation 2025$'!CF64*$BL$1,Comms!CB64*$BL$2)</f>
        <v>0</v>
      </c>
      <c r="BD64" s="140">
        <f>SUM('Defect (Total)'!BD64,Planned!CG64,Reconductor!CG64,CTGS!CG64,'Substation 2025$'!CG64*$BL$1,Comms!CC64*$BL$2)</f>
        <v>0</v>
      </c>
      <c r="BE64" s="140">
        <f>SUM('Defect (Total)'!BE64,Planned!CH64,Reconductor!CH64,CTGS!CH64,'Substation 2025$'!CH64*$BL$1,Comms!CD64*$BL$2)</f>
        <v>0</v>
      </c>
      <c r="BF64" s="140">
        <f>SUM('Defect (Total)'!BF64,Planned!CI64,Reconductor!CI64,CTGS!CI64,'Substation 2025$'!CI64*$BL$1,Comms!CE64*$BL$2)</f>
        <v>0</v>
      </c>
      <c r="BG64" s="140">
        <f>SUM('Defect (Total)'!BG64,Planned!CJ64,Reconductor!CJ64,CTGS!CJ64,'Substation 2025$'!CJ64*$BL$1,Comms!CF64*$BL$2)</f>
        <v>0</v>
      </c>
      <c r="BH64" s="140">
        <f>SUM('Defect (Total)'!BH64,Planned!CK64,Reconductor!CK64,CTGS!CK64,'Substation 2025$'!CK64*$BL$1,Comms!CG64*$BL$2)</f>
        <v>0</v>
      </c>
      <c r="BI64" s="291">
        <f>SUM('Defect (Total)'!BI64,Planned!CL64,Reconductor!CL64,CTGS!CL64,'Substation 2025$'!CL64*$BL$1,Comms!CH64*$BL$2)</f>
        <v>0</v>
      </c>
      <c r="BJ64" s="99" t="str">
        <f t="shared" si="16"/>
        <v/>
      </c>
      <c r="BK64" s="743"/>
      <c r="BL64" s="97"/>
      <c r="BM64" s="524"/>
      <c r="BN64" s="416">
        <f>'Distribution Summary'!CI64+'Substation 2025$'!CT64</f>
        <v>0</v>
      </c>
      <c r="BO64" s="97">
        <f>'Distribution Summary'!CJ64+'Substation 2025$'!CU64</f>
        <v>0</v>
      </c>
      <c r="BP64" s="97">
        <f>'Distribution Summary'!CK64+'Substation 2025$'!CV64</f>
        <v>0</v>
      </c>
      <c r="BQ64" s="97">
        <f>'Distribution Summary'!CL64+'Substation 2025$'!CW64</f>
        <v>0</v>
      </c>
      <c r="BR64" s="98">
        <f>'Distribution Summary'!CM64+'Substation 2025$'!CX64</f>
        <v>0</v>
      </c>
    </row>
    <row r="65" spans="1:70" x14ac:dyDescent="0.25">
      <c r="A65" s="81" t="s">
        <v>106</v>
      </c>
      <c r="B65" s="82" t="s">
        <v>133</v>
      </c>
      <c r="C65" s="83" t="s">
        <v>353</v>
      </c>
      <c r="D65" s="84">
        <f>SUM('Defect (Total)'!D65,Planned!D65,Reconductor!D65,CTGS!D65)</f>
        <v>0</v>
      </c>
      <c r="E65" s="85">
        <f>SUM('Defect (Total)'!E65,Planned!E65,Reconductor!E65,CTGS!E65)</f>
        <v>0</v>
      </c>
      <c r="F65" s="85">
        <f>SUM('Defect (Total)'!F65,Planned!F65,Reconductor!F65,CTGS!F65)</f>
        <v>0</v>
      </c>
      <c r="G65" s="85">
        <f>SUM('Defect (Total)'!G65,Planned!G65,Reconductor!G65,CTGS!G65)</f>
        <v>0</v>
      </c>
      <c r="H65" s="85">
        <f>SUM('Defect (Total)'!H65,Planned!H65,Reconductor!H65,CTGS!H65)</f>
        <v>0</v>
      </c>
      <c r="I65" s="85">
        <f>SUM('Defect (Total)'!I65,Planned!I65,Reconductor!I65,CTGS!I65)</f>
        <v>0</v>
      </c>
      <c r="J65" s="85">
        <f>SUM('Defect (Total)'!J65,Planned!J65,Reconductor!J65,CTGS!J65)</f>
        <v>0</v>
      </c>
      <c r="K65" s="85">
        <f>SUM('Defect (Total)'!K65,Planned!K65,Reconductor!K65,CTGS!K65)</f>
        <v>0</v>
      </c>
      <c r="L65" s="85">
        <f>SUM('Defect (Total)'!L65,Planned!L65,Reconductor!L65,CTGS!L65)</f>
        <v>0</v>
      </c>
      <c r="M65" s="85">
        <f>SUM('Defect (Total)'!M65,Planned!M65,Reconductor!M65,CTGS!M65)</f>
        <v>0</v>
      </c>
      <c r="N65" s="85">
        <f>SUM('Defect (Total)'!N65,Planned!N65,Reconductor!N65,CTGS!N65)</f>
        <v>0</v>
      </c>
      <c r="O65" s="560">
        <f>SUM('Defect (Total)'!O65,Planned!O65,Reconductor!O65,CTGS!O65)</f>
        <v>0</v>
      </c>
      <c r="P65" s="561">
        <f>SUM('Defect (Total)'!P65,Planned!P65,Reconductor!P65,CTGS!P65)</f>
        <v>0</v>
      </c>
      <c r="Q65" s="561">
        <f>SUM('Defect (Total)'!Q65,Planned!Q65,Reconductor!Q65,CTGS!Q65)</f>
        <v>0</v>
      </c>
      <c r="R65" s="561">
        <f>SUM('Defect (Total)'!R65,Planned!R65,Reconductor!R65,CTGS!R65)</f>
        <v>0</v>
      </c>
      <c r="S65" s="561">
        <f>SUM('Defect (Total)'!S65,Planned!S65,Reconductor!S65,CTGS!S65)</f>
        <v>0</v>
      </c>
      <c r="T65" s="561">
        <f>SUM('Defect (Total)'!T65,Planned!T65,Reconductor!T65,CTGS!T65)</f>
        <v>0</v>
      </c>
      <c r="U65" s="561">
        <f>SUM('Defect (Total)'!U65,Planned!U65,Reconductor!U65,CTGS!U65)</f>
        <v>0</v>
      </c>
      <c r="V65" s="561">
        <f>SUM('Defect (Total)'!V65,Planned!V65,Reconductor!V65,CTGS!V65)</f>
        <v>0</v>
      </c>
      <c r="W65" s="561">
        <f>SUM('Defect (Total)'!W65,Planned!W65,Reconductor!W65,CTGS!W65)</f>
        <v>0</v>
      </c>
      <c r="X65" s="561">
        <f>SUM('Defect (Total)'!X65,Planned!X65,Reconductor!X65,CTGS!X65)</f>
        <v>0</v>
      </c>
      <c r="Y65" s="561">
        <f>SUM('Defect (Total)'!Y65,Planned!Y65,Reconductor!Y65,CTGS!Y65)</f>
        <v>0</v>
      </c>
      <c r="Z65" s="86">
        <f>SUM('Defect (Total)'!Z65,Planned!Z65,Reconductor!Z65,CTGS!Z65)</f>
        <v>0</v>
      </c>
      <c r="AA65" s="87">
        <f>SUM('Defect (Total)'!AA65,Planned!AA65,Reconductor!AA65,CTGS!AA65)</f>
        <v>0</v>
      </c>
      <c r="AB65" s="87">
        <f>SUM('Defect (Total)'!AB65,Planned!AB65,Reconductor!AB65,CTGS!AB65)</f>
        <v>0</v>
      </c>
      <c r="AC65" s="87">
        <f>SUM('Defect (Total)'!AC65,Planned!AC65,Reconductor!AC65,CTGS!AC65)</f>
        <v>0</v>
      </c>
      <c r="AD65" s="87">
        <f>SUM('Defect (Total)'!AD65,Planned!AD65,Reconductor!AD65,CTGS!AD65)</f>
        <v>0</v>
      </c>
      <c r="AE65" s="87">
        <f>SUM('Defect (Total)'!AE65,Planned!AE65,Reconductor!AE65,CTGS!AE65)</f>
        <v>0</v>
      </c>
      <c r="AF65" s="87">
        <f>SUM('Defect (Total)'!AF65,Planned!AF65,Reconductor!AF65,CTGS!AF65)</f>
        <v>0</v>
      </c>
      <c r="AG65" s="87">
        <f>SUM('Defect (Total)'!AG65,Planned!AG65,Reconductor!AG65,CTGS!AG65)</f>
        <v>0</v>
      </c>
      <c r="AH65" s="87">
        <f>SUM('Defect (Total)'!AH65,Planned!AH65,Reconductor!AH65,CTGS!AH65)</f>
        <v>0</v>
      </c>
      <c r="AI65" s="87">
        <f>SUM('Defect (Total)'!AI65,Planned!AI65,Reconductor!AI65,CTGS!AI65)</f>
        <v>0</v>
      </c>
      <c r="AJ65" s="87">
        <f>SUM('Defect (Total)'!AJ65,Planned!AJ65,Reconductor!AJ65,CTGS!AJ65)</f>
        <v>0</v>
      </c>
      <c r="AK65" s="127">
        <f t="shared" si="14"/>
        <v>0</v>
      </c>
      <c r="AL65" s="128">
        <f t="shared" si="18"/>
        <v>0</v>
      </c>
      <c r="AM65" s="129">
        <f t="shared" si="15"/>
        <v>0</v>
      </c>
      <c r="AN65" s="91" t="str">
        <f t="shared" si="19"/>
        <v/>
      </c>
      <c r="AO65" s="92" t="str">
        <f t="shared" si="20"/>
        <v/>
      </c>
      <c r="AP65" s="92" t="str">
        <f t="shared" si="21"/>
        <v/>
      </c>
      <c r="AQ65" s="92" t="str">
        <f t="shared" si="22"/>
        <v/>
      </c>
      <c r="AR65" s="92" t="str">
        <f t="shared" si="23"/>
        <v/>
      </c>
      <c r="AS65" s="92" t="str">
        <f t="shared" si="24"/>
        <v/>
      </c>
      <c r="AT65" s="92" t="str">
        <f t="shared" si="25"/>
        <v/>
      </c>
      <c r="AU65" s="92" t="str">
        <f t="shared" si="26"/>
        <v/>
      </c>
      <c r="AV65" s="92" t="str">
        <f t="shared" si="27"/>
        <v/>
      </c>
      <c r="AW65" s="92" t="str">
        <f t="shared" si="30"/>
        <v/>
      </c>
      <c r="AX65" s="92" t="str">
        <f t="shared" si="30"/>
        <v/>
      </c>
      <c r="AY65" s="93" t="str">
        <f t="shared" si="29"/>
        <v/>
      </c>
      <c r="AZ65" s="94" t="str">
        <f t="shared" si="12"/>
        <v/>
      </c>
      <c r="BA65" s="95" t="str">
        <f t="shared" si="13"/>
        <v/>
      </c>
      <c r="BB65" s="694">
        <f>SUM('Defect (Total)'!BB65,Planned!CE65,Reconductor!CE65,CTGS!CE65,'Substation 2025$'!CE65*$BL$1,Comms!CA65*$BL$2)</f>
        <v>0</v>
      </c>
      <c r="BC65" s="694">
        <f>SUM('Defect (Total)'!BC65,Planned!CF65,Reconductor!CF65,CTGS!CF65,'Substation 2025$'!CF65*$BL$1,Comms!CB65*$BL$2)</f>
        <v>0</v>
      </c>
      <c r="BD65" s="140">
        <f>SUM('Defect (Total)'!BD65,Planned!CG65,Reconductor!CG65,CTGS!CG65,'Substation 2025$'!CG65*$BL$1,Comms!CC65*$BL$2)</f>
        <v>0</v>
      </c>
      <c r="BE65" s="140">
        <f>SUM('Defect (Total)'!BE65,Planned!CH65,Reconductor!CH65,CTGS!CH65,'Substation 2025$'!CH65*$BL$1,Comms!CD65*$BL$2)</f>
        <v>0</v>
      </c>
      <c r="BF65" s="140">
        <f>SUM('Defect (Total)'!BF65,Planned!CI65,Reconductor!CI65,CTGS!CI65,'Substation 2025$'!CI65*$BL$1,Comms!CE65*$BL$2)</f>
        <v>0</v>
      </c>
      <c r="BG65" s="140">
        <f>SUM('Defect (Total)'!BG65,Planned!CJ65,Reconductor!CJ65,CTGS!CJ65,'Substation 2025$'!CJ65*$BL$1,Comms!CF65*$BL$2)</f>
        <v>0</v>
      </c>
      <c r="BH65" s="140">
        <f>SUM('Defect (Total)'!BH65,Planned!CK65,Reconductor!CK65,CTGS!CK65,'Substation 2025$'!CK65*$BL$1,Comms!CG65*$BL$2)</f>
        <v>0</v>
      </c>
      <c r="BI65" s="291">
        <f>SUM('Defect (Total)'!BI65,Planned!CL65,Reconductor!CL65,CTGS!CL65,'Substation 2025$'!CL65*$BL$1,Comms!CH65*$BL$2)</f>
        <v>0</v>
      </c>
      <c r="BJ65" s="99" t="str">
        <f t="shared" si="16"/>
        <v/>
      </c>
      <c r="BK65" s="743"/>
      <c r="BL65" s="97"/>
      <c r="BM65" s="524"/>
      <c r="BN65" s="416">
        <f>'Distribution Summary'!CI65+'Substation 2025$'!CT65</f>
        <v>0</v>
      </c>
      <c r="BO65" s="97">
        <f>'Distribution Summary'!CJ65+'Substation 2025$'!CU65</f>
        <v>0</v>
      </c>
      <c r="BP65" s="97">
        <f>'Distribution Summary'!CK65+'Substation 2025$'!CV65</f>
        <v>0</v>
      </c>
      <c r="BQ65" s="97">
        <f>'Distribution Summary'!CL65+'Substation 2025$'!CW65</f>
        <v>0</v>
      </c>
      <c r="BR65" s="98">
        <f>'Distribution Summary'!CM65+'Substation 2025$'!CX65</f>
        <v>0</v>
      </c>
    </row>
    <row r="66" spans="1:70" ht="15.75" thickBot="1" x14ac:dyDescent="0.3">
      <c r="A66" s="100" t="s">
        <v>106</v>
      </c>
      <c r="B66" s="101" t="s">
        <v>827</v>
      </c>
      <c r="C66" s="102" t="s">
        <v>355</v>
      </c>
      <c r="D66" s="103">
        <f>SUM('Defect (Total)'!D66,Planned!D66,Reconductor!D66,CTGS!D66)</f>
        <v>0</v>
      </c>
      <c r="E66" s="104">
        <f>SUM('Defect (Total)'!E66,Planned!E66,Reconductor!E66,CTGS!E66)</f>
        <v>0</v>
      </c>
      <c r="F66" s="104">
        <f>SUM('Defect (Total)'!F66,Planned!F66,Reconductor!F66,CTGS!F66)</f>
        <v>0</v>
      </c>
      <c r="G66" s="104">
        <f>SUM('Defect (Total)'!G66,Planned!G66,Reconductor!G66,CTGS!G66)</f>
        <v>0</v>
      </c>
      <c r="H66" s="104">
        <f>SUM('Defect (Total)'!H66,Planned!H66,Reconductor!H66,CTGS!H66)</f>
        <v>0</v>
      </c>
      <c r="I66" s="104">
        <f>SUM('Defect (Total)'!I66,Planned!I66,Reconductor!I66,CTGS!I66)</f>
        <v>0</v>
      </c>
      <c r="J66" s="104">
        <f>SUM('Defect (Total)'!J66,Planned!J66,Reconductor!J66,CTGS!J66)</f>
        <v>0</v>
      </c>
      <c r="K66" s="104">
        <f>SUM('Defect (Total)'!K66,Planned!K66,Reconductor!K66,CTGS!K66)</f>
        <v>0</v>
      </c>
      <c r="L66" s="104">
        <f>SUM('Defect (Total)'!L66,Planned!L66,Reconductor!L66,CTGS!L66)</f>
        <v>0</v>
      </c>
      <c r="M66" s="104">
        <f>SUM('Defect (Total)'!M66,Planned!M66,Reconductor!M66,CTGS!M66)</f>
        <v>0</v>
      </c>
      <c r="N66" s="104">
        <f>SUM('Defect (Total)'!N66,Planned!N66,Reconductor!N66,CTGS!N66)</f>
        <v>0</v>
      </c>
      <c r="O66" s="563">
        <f>SUM('Defect (Total)'!O66,Planned!O66,Reconductor!O66,CTGS!O66)</f>
        <v>0</v>
      </c>
      <c r="P66" s="564">
        <f>SUM('Defect (Total)'!P66,Planned!P66,Reconductor!P66,CTGS!P66)</f>
        <v>0</v>
      </c>
      <c r="Q66" s="564">
        <f>SUM('Defect (Total)'!Q66,Planned!Q66,Reconductor!Q66,CTGS!Q66)</f>
        <v>0</v>
      </c>
      <c r="R66" s="564">
        <f>SUM('Defect (Total)'!R66,Planned!R66,Reconductor!R66,CTGS!R66)</f>
        <v>0</v>
      </c>
      <c r="S66" s="564">
        <f>SUM('Defect (Total)'!S66,Planned!S66,Reconductor!S66,CTGS!S66)</f>
        <v>0</v>
      </c>
      <c r="T66" s="564">
        <f>SUM('Defect (Total)'!T66,Planned!T66,Reconductor!T66,CTGS!T66)</f>
        <v>0</v>
      </c>
      <c r="U66" s="564">
        <f>SUM('Defect (Total)'!U66,Planned!U66,Reconductor!U66,CTGS!U66)</f>
        <v>0</v>
      </c>
      <c r="V66" s="564">
        <f>SUM('Defect (Total)'!V66,Planned!V66,Reconductor!V66,CTGS!V66)</f>
        <v>0</v>
      </c>
      <c r="W66" s="564">
        <f>SUM('Defect (Total)'!W66,Planned!W66,Reconductor!W66,CTGS!W66)</f>
        <v>0</v>
      </c>
      <c r="X66" s="564">
        <f>SUM('Defect (Total)'!X66,Planned!X66,Reconductor!X66,CTGS!X66)</f>
        <v>0</v>
      </c>
      <c r="Y66" s="564">
        <f>SUM('Defect (Total)'!Y66,Planned!Y66,Reconductor!Y66,CTGS!Y66)</f>
        <v>0</v>
      </c>
      <c r="Z66" s="105">
        <f>SUM('Defect (Total)'!Z66,Planned!Z66,Reconductor!Z66,CTGS!Z66)</f>
        <v>0</v>
      </c>
      <c r="AA66" s="106">
        <f>SUM('Defect (Total)'!AA66,Planned!AA66,Reconductor!AA66,CTGS!AA66)</f>
        <v>0</v>
      </c>
      <c r="AB66" s="106">
        <f>SUM('Defect (Total)'!AB66,Planned!AB66,Reconductor!AB66,CTGS!AB66)</f>
        <v>0</v>
      </c>
      <c r="AC66" s="106">
        <f>SUM('Defect (Total)'!AC66,Planned!AC66,Reconductor!AC66,CTGS!AC66)</f>
        <v>0</v>
      </c>
      <c r="AD66" s="106">
        <f>SUM('Defect (Total)'!AD66,Planned!AD66,Reconductor!AD66,CTGS!AD66)</f>
        <v>0</v>
      </c>
      <c r="AE66" s="106">
        <f>SUM('Defect (Total)'!AE66,Planned!AE66,Reconductor!AE66,CTGS!AE66)</f>
        <v>0</v>
      </c>
      <c r="AF66" s="106">
        <f>SUM('Defect (Total)'!AF66,Planned!AF66,Reconductor!AF66,CTGS!AF66)</f>
        <v>0</v>
      </c>
      <c r="AG66" s="106">
        <f>SUM('Defect (Total)'!AG66,Planned!AG66,Reconductor!AG66,CTGS!AG66)</f>
        <v>0</v>
      </c>
      <c r="AH66" s="106">
        <f>SUM('Defect (Total)'!AH66,Planned!AH66,Reconductor!AH66,CTGS!AH66)</f>
        <v>0</v>
      </c>
      <c r="AI66" s="106">
        <f>SUM('Defect (Total)'!AI66,Planned!AI66,Reconductor!AI66,CTGS!AI66)</f>
        <v>0</v>
      </c>
      <c r="AJ66" s="106">
        <f>SUM('Defect (Total)'!AJ66,Planned!AJ66,Reconductor!AJ66,CTGS!AJ66)</f>
        <v>0</v>
      </c>
      <c r="AK66" s="133">
        <f t="shared" si="14"/>
        <v>0</v>
      </c>
      <c r="AL66" s="134">
        <f t="shared" si="18"/>
        <v>0</v>
      </c>
      <c r="AM66" s="135">
        <f t="shared" si="15"/>
        <v>0</v>
      </c>
      <c r="AN66" s="110" t="str">
        <f t="shared" si="19"/>
        <v/>
      </c>
      <c r="AO66" s="111" t="str">
        <f t="shared" si="20"/>
        <v/>
      </c>
      <c r="AP66" s="111" t="str">
        <f t="shared" si="21"/>
        <v/>
      </c>
      <c r="AQ66" s="111" t="str">
        <f t="shared" si="22"/>
        <v/>
      </c>
      <c r="AR66" s="111" t="str">
        <f t="shared" si="23"/>
        <v/>
      </c>
      <c r="AS66" s="111" t="str">
        <f t="shared" si="24"/>
        <v/>
      </c>
      <c r="AT66" s="111" t="str">
        <f t="shared" si="25"/>
        <v/>
      </c>
      <c r="AU66" s="111" t="str">
        <f t="shared" si="26"/>
        <v/>
      </c>
      <c r="AV66" s="111" t="str">
        <f t="shared" si="27"/>
        <v/>
      </c>
      <c r="AW66" s="111" t="str">
        <f t="shared" si="30"/>
        <v/>
      </c>
      <c r="AX66" s="111" t="str">
        <f t="shared" si="30"/>
        <v/>
      </c>
      <c r="AY66" s="112" t="str">
        <f t="shared" si="29"/>
        <v/>
      </c>
      <c r="AZ66" s="113" t="str">
        <f t="shared" si="12"/>
        <v/>
      </c>
      <c r="BA66" s="114" t="str">
        <f t="shared" si="13"/>
        <v/>
      </c>
      <c r="BB66" s="695">
        <f>SUM('Defect (Total)'!BB66,Planned!CE66,Reconductor!CE66,CTGS!CE66,'Substation 2025$'!CE66*$BL$1,Comms!CA66*$BL$2)</f>
        <v>0</v>
      </c>
      <c r="BC66" s="695">
        <f>SUM('Defect (Total)'!BC66,Planned!CF66,Reconductor!CF66,CTGS!CF66,'Substation 2025$'!CF66*$BL$1,Comms!CB66*$BL$2)</f>
        <v>0</v>
      </c>
      <c r="BD66" s="141">
        <f>SUM('Defect (Total)'!BD66,Planned!CG66,Reconductor!CG66,CTGS!CG66,'Substation 2025$'!CG66*$BL$1,Comms!CC66*$BL$2)</f>
        <v>0</v>
      </c>
      <c r="BE66" s="141">
        <f>SUM('Defect (Total)'!BE66,Planned!CH66,Reconductor!CH66,CTGS!CH66,'Substation 2025$'!CH66*$BL$1,Comms!CD66*$BL$2)</f>
        <v>0</v>
      </c>
      <c r="BF66" s="141">
        <f>SUM('Defect (Total)'!BF66,Planned!CI66,Reconductor!CI66,CTGS!CI66,'Substation 2025$'!CI66*$BL$1,Comms!CE66*$BL$2)</f>
        <v>0</v>
      </c>
      <c r="BG66" s="141">
        <f>SUM('Defect (Total)'!BG66,Planned!CJ66,Reconductor!CJ66,CTGS!CJ66,'Substation 2025$'!CJ66*$BL$1,Comms!CF66*$BL$2)</f>
        <v>0</v>
      </c>
      <c r="BH66" s="141">
        <f>SUM('Defect (Total)'!BH66,Planned!CK66,Reconductor!CK66,CTGS!CK66,'Substation 2025$'!CK66*$BL$1,Comms!CG66*$BL$2)</f>
        <v>0</v>
      </c>
      <c r="BI66" s="292">
        <f>SUM('Defect (Total)'!BI66,Planned!CL66,Reconductor!CL66,CTGS!CL66,'Substation 2025$'!CL66*$BL$1,Comms!CH66*$BL$2)</f>
        <v>0</v>
      </c>
      <c r="BJ66" s="116" t="str">
        <f t="shared" si="16"/>
        <v/>
      </c>
      <c r="BK66" s="744"/>
      <c r="BL66" s="117"/>
      <c r="BM66" s="638"/>
      <c r="BN66" s="467">
        <f>'Distribution Summary'!CI66+'Substation 2025$'!CT66</f>
        <v>0</v>
      </c>
      <c r="BO66" s="117">
        <f>'Distribution Summary'!CJ66+'Substation 2025$'!CU66</f>
        <v>0</v>
      </c>
      <c r="BP66" s="117">
        <f>'Distribution Summary'!CK66+'Substation 2025$'!CV66</f>
        <v>0</v>
      </c>
      <c r="BQ66" s="117">
        <f>'Distribution Summary'!CL66+'Substation 2025$'!CW66</f>
        <v>0</v>
      </c>
      <c r="BR66" s="118">
        <f>'Distribution Summary'!CM66+'Substation 2025$'!CX66</f>
        <v>0</v>
      </c>
    </row>
    <row r="67" spans="1:70" x14ac:dyDescent="0.25">
      <c r="A67" s="142" t="s">
        <v>138</v>
      </c>
      <c r="B67" s="143" t="s">
        <v>135</v>
      </c>
      <c r="C67" s="65" t="s">
        <v>356</v>
      </c>
      <c r="D67" s="66">
        <f>SUM('Defect (Total)'!D67,Planned!D67,Reconductor!D67,CTGS!D67)</f>
        <v>6000816</v>
      </c>
      <c r="E67" s="67">
        <f>SUM('Defect (Total)'!E67,Planned!E67,Reconductor!E67,CTGS!E67)</f>
        <v>8941752</v>
      </c>
      <c r="F67" s="67">
        <f>SUM('Defect (Total)'!F67,Planned!F67,Reconductor!F67,CTGS!F67)</f>
        <v>9312325</v>
      </c>
      <c r="G67" s="67">
        <f>SUM('Defect (Total)'!G67,Planned!G67,Reconductor!G67,CTGS!G67)</f>
        <v>9096562.6696317289</v>
      </c>
      <c r="H67" s="67">
        <f>SUM('Defect (Total)'!H67,Planned!H67,Reconductor!H67,CTGS!H67)</f>
        <v>7993887</v>
      </c>
      <c r="I67" s="67">
        <f>SUM('Defect (Total)'!I67,Planned!I67,Reconductor!I67,CTGS!I67)</f>
        <v>10843459.009213889</v>
      </c>
      <c r="J67" s="67">
        <f>SUM('Defect (Total)'!J67,Planned!J67,Reconductor!J67,CTGS!J67)</f>
        <v>14652031.353963524</v>
      </c>
      <c r="K67" s="67">
        <f>SUM('Defect (Total)'!K67,Planned!K67,Reconductor!K67,CTGS!K67)</f>
        <v>9931849.696183987</v>
      </c>
      <c r="L67" s="67">
        <f>SUM('Defect (Total)'!L67,Planned!L67,Reconductor!L67,CTGS!L67)</f>
        <v>11920492.007472835</v>
      </c>
      <c r="M67" s="67">
        <f>SUM('Defect (Total)'!M67,Planned!M67,Reconductor!M67,CTGS!M67)</f>
        <v>11840264.782220045</v>
      </c>
      <c r="N67" s="67">
        <f>SUM('Defect (Total)'!N67,Planned!N67,Reconductor!N67,CTGS!N67)</f>
        <v>11997006.69359792</v>
      </c>
      <c r="O67" s="557">
        <f>SUM('Defect (Total)'!O67,Planned!O67,Reconductor!O67,CTGS!O67)</f>
        <v>8073835.8075959319</v>
      </c>
      <c r="P67" s="558">
        <f>SUM('Defect (Total)'!P67,Planned!P67,Reconductor!P67,CTGS!P67)</f>
        <v>11851674.605056327</v>
      </c>
      <c r="Q67" s="558">
        <f>SUM('Defect (Total)'!Q67,Planned!Q67,Reconductor!Q67,CTGS!Q67)</f>
        <v>12217823.92477252</v>
      </c>
      <c r="R67" s="558">
        <f>SUM('Defect (Total)'!R67,Planned!R67,Reconductor!R67,CTGS!R67)</f>
        <v>11708338.177780151</v>
      </c>
      <c r="S67" s="558">
        <f>SUM('Defect (Total)'!S67,Planned!S67,Reconductor!S67,CTGS!S67)</f>
        <v>10079642.389508436</v>
      </c>
      <c r="T67" s="558">
        <f>SUM('Defect (Total)'!T67,Planned!T67,Reconductor!T67,CTGS!T67)</f>
        <v>13458340.655329764</v>
      </c>
      <c r="U67" s="558">
        <f>SUM('Defect (Total)'!U67,Planned!U67,Reconductor!U67,CTGS!U67)</f>
        <v>18248928.84326303</v>
      </c>
      <c r="V67" s="558">
        <f>SUM('Defect (Total)'!V67,Planned!V67,Reconductor!V67,CTGS!V67)</f>
        <v>11911851.230062265</v>
      </c>
      <c r="W67" s="558">
        <f>SUM('Defect (Total)'!W67,Planned!W67,Reconductor!W67,CTGS!W67)</f>
        <v>13469288.561599255</v>
      </c>
      <c r="X67" s="558">
        <f>SUM('Defect (Total)'!X67,Planned!X67,Reconductor!X67,CTGS!X67)</f>
        <v>12591658.950475348</v>
      </c>
      <c r="Y67" s="558">
        <f>SUM('Defect (Total)'!Y67,Planned!Y67,Reconductor!Y67,CTGS!Y67)</f>
        <v>12326906.134016145</v>
      </c>
      <c r="Z67" s="68">
        <f>SUM('Defect (Total)'!Z67,Planned!Z67,Reconductor!Z67,CTGS!Z67)</f>
        <v>585</v>
      </c>
      <c r="AA67" s="69">
        <f>SUM('Defect (Total)'!AA67,Planned!AA67,Reconductor!AA67,CTGS!AA67)</f>
        <v>813</v>
      </c>
      <c r="AB67" s="69">
        <f>SUM('Defect (Total)'!AB67,Planned!AB67,Reconductor!AB67,CTGS!AB67)</f>
        <v>714</v>
      </c>
      <c r="AC67" s="69">
        <f>SUM('Defect (Total)'!AC67,Planned!AC67,Reconductor!AC67,CTGS!AC67)</f>
        <v>584</v>
      </c>
      <c r="AD67" s="69">
        <f>SUM('Defect (Total)'!AD67,Planned!AD67,Reconductor!AD67,CTGS!AD67)</f>
        <v>724</v>
      </c>
      <c r="AE67" s="69">
        <f>SUM('Defect (Total)'!AE67,Planned!AE67,Reconductor!AE67,CTGS!AE67)</f>
        <v>841</v>
      </c>
      <c r="AF67" s="69">
        <f>SUM('Defect (Total)'!AF67,Planned!AF67,Reconductor!AF67,CTGS!AF67)</f>
        <v>1035</v>
      </c>
      <c r="AG67" s="69">
        <f>SUM('Defect (Total)'!AG67,Planned!AG67,Reconductor!AG67,CTGS!AG67)</f>
        <v>916</v>
      </c>
      <c r="AH67" s="69">
        <f>SUM('Defect (Total)'!AH67,Planned!AH67,Reconductor!AH67,CTGS!AH67)</f>
        <v>876</v>
      </c>
      <c r="AI67" s="69">
        <f>SUM('Defect (Total)'!AI67,Planned!AI67,Reconductor!AI67,CTGS!AI67)</f>
        <v>572</v>
      </c>
      <c r="AJ67" s="69">
        <f>SUM('Defect (Total)'!AJ67,Planned!AJ67,Reconductor!AJ67,CTGS!AJ67)</f>
        <v>573</v>
      </c>
      <c r="AK67" s="70">
        <f t="shared" si="14"/>
        <v>878.4</v>
      </c>
      <c r="AL67" s="71">
        <f t="shared" si="18"/>
        <v>942.33333333333337</v>
      </c>
      <c r="AM67" s="72">
        <f t="shared" si="15"/>
        <v>876</v>
      </c>
      <c r="AN67" s="73">
        <f t="shared" si="19"/>
        <v>10257.805128205127</v>
      </c>
      <c r="AO67" s="74">
        <f t="shared" si="20"/>
        <v>10998.464944649446</v>
      </c>
      <c r="AP67" s="74">
        <f t="shared" si="21"/>
        <v>13042.471988795518</v>
      </c>
      <c r="AQ67" s="74">
        <f t="shared" si="22"/>
        <v>15576.30594115022</v>
      </c>
      <c r="AR67" s="74">
        <f t="shared" si="23"/>
        <v>11041.280386740331</v>
      </c>
      <c r="AS67" s="74">
        <f t="shared" si="24"/>
        <v>12893.530332002247</v>
      </c>
      <c r="AT67" s="74">
        <f t="shared" si="25"/>
        <v>14156.552032815</v>
      </c>
      <c r="AU67" s="74">
        <f t="shared" si="26"/>
        <v>10842.630672689942</v>
      </c>
      <c r="AV67" s="74">
        <f t="shared" si="27"/>
        <v>13607.867588439311</v>
      </c>
      <c r="AW67" s="74">
        <f t="shared" si="30"/>
        <v>20699.763605279801</v>
      </c>
      <c r="AX67" s="74">
        <f t="shared" si="30"/>
        <v>20937.184456540872</v>
      </c>
      <c r="AY67" s="75">
        <f t="shared" si="29"/>
        <v>12600.573558022366</v>
      </c>
      <c r="AZ67" s="76">
        <f t="shared" si="12"/>
        <v>12912.760190173451</v>
      </c>
      <c r="BA67" s="77">
        <f t="shared" si="13"/>
        <v>13607.867588439311</v>
      </c>
      <c r="BB67" s="688">
        <f>SUM('Defect (Total)'!BB67,Planned!CE67,Reconductor!CE67,CTGS!CE67,'Substation 2025$'!CE67*$BL$1,Comms!CA67*$BL$2)</f>
        <v>743.8</v>
      </c>
      <c r="BC67" s="688">
        <f>SUM('Defect (Total)'!BC67,Planned!CF67,Reconductor!CF67,CTGS!CF67,'Substation 2025$'!CF67*$BL$1,Comms!CB67*$BL$2)</f>
        <v>699.11463294818657</v>
      </c>
      <c r="BD67" s="78">
        <f>SUM('Defect (Total)'!BD67,Planned!CG67,Reconductor!CG67,CTGS!CG67,'Substation 2025$'!CG67*$BL$1,Comms!CC67*$BL$2)</f>
        <v>699.11463294818657</v>
      </c>
      <c r="BE67" s="78">
        <f>SUM('Defect (Total)'!BE67,Planned!CH67,Reconductor!CH67,CTGS!CH67,'Substation 2025$'!CH67*$BL$1,Comms!CD67*$BL$2)</f>
        <v>380.83841145478141</v>
      </c>
      <c r="BF67" s="78">
        <f>SUM('Defect (Total)'!BF67,Planned!CI67,Reconductor!CI67,CTGS!CI67,'Substation 2025$'!CI67*$BL$1,Comms!CE67*$BL$2)</f>
        <v>383.45269364301907</v>
      </c>
      <c r="BG67" s="78">
        <f>SUM('Defect (Total)'!BG67,Planned!CJ67,Reconductor!CJ67,CTGS!CJ67,'Substation 2025$'!CJ67*$BL$1,Comms!CF67*$BL$2)</f>
        <v>385.19554843517744</v>
      </c>
      <c r="BH67" s="78">
        <f>SUM('Defect (Total)'!BH67,Planned!CK67,Reconductor!CK67,CTGS!CK67,'Substation 2025$'!CK67*$BL$1,Comms!CG67*$BL$2)</f>
        <v>386.93840322733587</v>
      </c>
      <c r="BI67" s="285">
        <f>SUM('Defect (Total)'!BI67,Planned!CL67,Reconductor!CL67,CTGS!CL67,'Substation 2025$'!CL67*$BL$1,Comms!CH67*$BL$2)</f>
        <v>387.80983062341511</v>
      </c>
      <c r="BJ67" s="124">
        <f t="shared" si="16"/>
        <v>13712.686722062117</v>
      </c>
      <c r="BK67" s="742"/>
      <c r="BL67" s="79"/>
      <c r="BM67" s="523"/>
      <c r="BN67" s="415">
        <f>'Distribution Summary'!CI67+'Substation 2025$'!CT67</f>
        <v>5143508.2321324656</v>
      </c>
      <c r="BO67" s="79">
        <f>'Distribution Summary'!CJ67+'Substation 2025$'!CU67</f>
        <v>5221417.7705732882</v>
      </c>
      <c r="BP67" s="79">
        <f>'Distribution Summary'!CK67+'Substation 2025$'!CV67</f>
        <v>5281019.8572088303</v>
      </c>
      <c r="BQ67" s="79">
        <f>'Distribution Summary'!CL67+'Substation 2025$'!CW67</f>
        <v>5345240.1266030399</v>
      </c>
      <c r="BR67" s="80">
        <f>'Distribution Summary'!CM67+'Substation 2025$'!CX67</f>
        <v>5395244.2038379265</v>
      </c>
    </row>
    <row r="68" spans="1:70" x14ac:dyDescent="0.25">
      <c r="A68" s="81" t="s">
        <v>138</v>
      </c>
      <c r="B68" s="82" t="s">
        <v>139</v>
      </c>
      <c r="C68" s="83" t="s">
        <v>357</v>
      </c>
      <c r="D68" s="84">
        <f>SUM('Defect (Total)'!D68,Planned!D68,Reconductor!D68,CTGS!D68)</f>
        <v>587123</v>
      </c>
      <c r="E68" s="85">
        <f>SUM('Defect (Total)'!E68,Planned!E68,Reconductor!E68,CTGS!E68)</f>
        <v>1166658</v>
      </c>
      <c r="F68" s="85">
        <f>SUM('Defect (Total)'!F68,Planned!F68,Reconductor!F68,CTGS!F68)</f>
        <v>934074</v>
      </c>
      <c r="G68" s="85">
        <f>SUM('Defect (Total)'!G68,Planned!G68,Reconductor!G68,CTGS!G68)</f>
        <v>2933777.4740999052</v>
      </c>
      <c r="H68" s="85">
        <f>SUM('Defect (Total)'!H68,Planned!H68,Reconductor!H68,CTGS!H68)</f>
        <v>724408</v>
      </c>
      <c r="I68" s="85">
        <f>SUM('Defect (Total)'!I68,Planned!I68,Reconductor!I68,CTGS!I68)</f>
        <v>801228.46534668386</v>
      </c>
      <c r="J68" s="85">
        <f>SUM('Defect (Total)'!J68,Planned!J68,Reconductor!J68,CTGS!J68)</f>
        <v>1363343.033293603</v>
      </c>
      <c r="K68" s="85">
        <f>SUM('Defect (Total)'!K68,Planned!K68,Reconductor!K68,CTGS!K68)</f>
        <v>1262600.1784691489</v>
      </c>
      <c r="L68" s="85">
        <f>SUM('Defect (Total)'!L68,Planned!L68,Reconductor!L68,CTGS!L68)</f>
        <v>1129862.4041227237</v>
      </c>
      <c r="M68" s="85">
        <f>SUM('Defect (Total)'!M68,Planned!M68,Reconductor!M68,CTGS!M68)</f>
        <v>1119365.1202139345</v>
      </c>
      <c r="N68" s="85">
        <f>SUM('Defect (Total)'!N68,Planned!N68,Reconductor!N68,CTGS!N68)</f>
        <v>1027137.1867614631</v>
      </c>
      <c r="O68" s="560">
        <f>SUM('Defect (Total)'!O68,Planned!O68,Reconductor!O68,CTGS!O68)</f>
        <v>789948.35050152289</v>
      </c>
      <c r="P68" s="561">
        <f>SUM('Defect (Total)'!P68,Planned!P68,Reconductor!P68,CTGS!P68)</f>
        <v>1546324.5895643057</v>
      </c>
      <c r="Q68" s="561">
        <f>SUM('Defect (Total)'!Q68,Planned!Q68,Reconductor!Q68,CTGS!Q68)</f>
        <v>1225510.4568094397</v>
      </c>
      <c r="R68" s="561">
        <f>SUM('Defect (Total)'!R68,Planned!R68,Reconductor!R68,CTGS!R68)</f>
        <v>3776114.1271295138</v>
      </c>
      <c r="S68" s="561">
        <f>SUM('Defect (Total)'!S68,Planned!S68,Reconductor!S68,CTGS!S68)</f>
        <v>913419.66481375392</v>
      </c>
      <c r="T68" s="561">
        <f>SUM('Defect (Total)'!T68,Planned!T68,Reconductor!T68,CTGS!T68)</f>
        <v>994443.34323762008</v>
      </c>
      <c r="U68" s="561">
        <f>SUM('Defect (Total)'!U68,Planned!U68,Reconductor!U68,CTGS!U68)</f>
        <v>1698027.3521461696</v>
      </c>
      <c r="V68" s="561">
        <f>SUM('Defect (Total)'!V68,Planned!V68,Reconductor!V68,CTGS!V68)</f>
        <v>1514310.6217921518</v>
      </c>
      <c r="W68" s="561">
        <f>SUM('Defect (Total)'!W68,Planned!W68,Reconductor!W68,CTGS!W68)</f>
        <v>1276662.301060305</v>
      </c>
      <c r="X68" s="561">
        <f>SUM('Defect (Total)'!X68,Planned!X68,Reconductor!X68,CTGS!X68)</f>
        <v>1190401.0673779</v>
      </c>
      <c r="Y68" s="561">
        <f>SUM('Defect (Total)'!Y68,Planned!Y68,Reconductor!Y68,CTGS!Y68)</f>
        <v>1055381.8974463525</v>
      </c>
      <c r="Z68" s="86">
        <f>SUM('Defect (Total)'!Z68,Planned!Z68,Reconductor!Z68,CTGS!Z68)</f>
        <v>19</v>
      </c>
      <c r="AA68" s="87">
        <f>SUM('Defect (Total)'!AA68,Planned!AA68,Reconductor!AA68,CTGS!AA68)</f>
        <v>36</v>
      </c>
      <c r="AB68" s="87">
        <f>SUM('Defect (Total)'!AB68,Planned!AB68,Reconductor!AB68,CTGS!AB68)</f>
        <v>24</v>
      </c>
      <c r="AC68" s="87">
        <f>SUM('Defect (Total)'!AC68,Planned!AC68,Reconductor!AC68,CTGS!AC68)</f>
        <v>15</v>
      </c>
      <c r="AD68" s="87">
        <f>SUM('Defect (Total)'!AD68,Planned!AD68,Reconductor!AD68,CTGS!AD68)</f>
        <v>15</v>
      </c>
      <c r="AE68" s="87">
        <f>SUM('Defect (Total)'!AE68,Planned!AE68,Reconductor!AE68,CTGS!AE68)</f>
        <v>18</v>
      </c>
      <c r="AF68" s="87">
        <f>SUM('Defect (Total)'!AF68,Planned!AF68,Reconductor!AF68,CTGS!AF68)</f>
        <v>21</v>
      </c>
      <c r="AG68" s="87">
        <f>SUM('Defect (Total)'!AG68,Planned!AG68,Reconductor!AG68,CTGS!AG68)</f>
        <v>24</v>
      </c>
      <c r="AH68" s="87">
        <f>SUM('Defect (Total)'!AH68,Planned!AH68,Reconductor!AH68,CTGS!AH68)</f>
        <v>23</v>
      </c>
      <c r="AI68" s="87">
        <f>SUM('Defect (Total)'!AI68,Planned!AI68,Reconductor!AI68,CTGS!AI68)</f>
        <v>20</v>
      </c>
      <c r="AJ68" s="87">
        <f>SUM('Defect (Total)'!AJ68,Planned!AJ68,Reconductor!AJ68,CTGS!AJ68)</f>
        <v>13</v>
      </c>
      <c r="AK68" s="88">
        <f t="shared" si="14"/>
        <v>20.2</v>
      </c>
      <c r="AL68" s="89">
        <f t="shared" si="18"/>
        <v>22.666666666666668</v>
      </c>
      <c r="AM68" s="90">
        <f t="shared" si="15"/>
        <v>23</v>
      </c>
      <c r="AN68" s="91">
        <f t="shared" si="19"/>
        <v>30901.21052631579</v>
      </c>
      <c r="AO68" s="92">
        <f t="shared" si="20"/>
        <v>32407.166666666668</v>
      </c>
      <c r="AP68" s="92">
        <f t="shared" si="21"/>
        <v>38919.75</v>
      </c>
      <c r="AQ68" s="92">
        <f t="shared" si="22"/>
        <v>195585.16493999367</v>
      </c>
      <c r="AR68" s="92">
        <f t="shared" si="23"/>
        <v>48293.866666666669</v>
      </c>
      <c r="AS68" s="92">
        <f t="shared" si="24"/>
        <v>44512.692519260214</v>
      </c>
      <c r="AT68" s="92">
        <f t="shared" si="25"/>
        <v>64921.096823504908</v>
      </c>
      <c r="AU68" s="92">
        <f t="shared" si="26"/>
        <v>52608.340769547875</v>
      </c>
      <c r="AV68" s="92">
        <f t="shared" si="27"/>
        <v>49124.452353161898</v>
      </c>
      <c r="AW68" s="92">
        <f t="shared" si="30"/>
        <v>55968.256010696721</v>
      </c>
      <c r="AX68" s="92">
        <f t="shared" si="30"/>
        <v>79010.552827804844</v>
      </c>
      <c r="AY68" s="93">
        <f t="shared" si="29"/>
        <v>52291.505754773854</v>
      </c>
      <c r="AZ68" s="94">
        <f t="shared" si="12"/>
        <v>55232.435527727583</v>
      </c>
      <c r="BA68" s="95">
        <f t="shared" si="13"/>
        <v>49124.452353161898</v>
      </c>
      <c r="BB68" s="689">
        <f>SUM('Defect (Total)'!BB68,Planned!CE68,Reconductor!CE68,CTGS!CE68,'Substation 2025$'!CE68*$BL$1,Comms!CA68*$BL$2)</f>
        <v>22.333333333333336</v>
      </c>
      <c r="BC68" s="689">
        <f>SUM('Defect (Total)'!BC68,Planned!CF68,Reconductor!CF68,CTGS!CF68,'Substation 2025$'!CF68*$BL$1,Comms!CB68*$BL$2)</f>
        <v>21.901054067528218</v>
      </c>
      <c r="BD68" s="96">
        <f>SUM('Defect (Total)'!BD68,Planned!CG68,Reconductor!CG68,CTGS!CG68,'Substation 2025$'!CG68*$BL$1,Comms!CC68*$BL$2)</f>
        <v>21.901054067528218</v>
      </c>
      <c r="BE68" s="96">
        <f>SUM('Defect (Total)'!BE68,Planned!CH68,Reconductor!CH68,CTGS!CH68,'Substation 2025$'!CH68*$BL$1,Comms!CD68*$BL$2)</f>
        <v>17.28033810332235</v>
      </c>
      <c r="BF68" s="96">
        <f>SUM('Defect (Total)'!BF68,Planned!CI68,Reconductor!CI68,CTGS!CI68,'Substation 2025$'!CI68*$BL$1,Comms!CE68*$BL$2)</f>
        <v>17.295537418370245</v>
      </c>
      <c r="BG68" s="96">
        <f>SUM('Defect (Total)'!BG68,Planned!CJ68,Reconductor!CJ68,CTGS!CJ68,'Substation 2025$'!CJ68*$BL$1,Comms!CF68*$BL$2)</f>
        <v>17.30567029506884</v>
      </c>
      <c r="BH68" s="96">
        <f>SUM('Defect (Total)'!BH68,Planned!CK68,Reconductor!CK68,CTGS!CK68,'Substation 2025$'!CK68*$BL$1,Comms!CG68*$BL$2)</f>
        <v>17.315803171767435</v>
      </c>
      <c r="BI68" s="286">
        <f>SUM('Defect (Total)'!BI68,Planned!CL68,Reconductor!CL68,CTGS!CL68,'Substation 2025$'!CL68*$BL$1,Comms!CH68*$BL$2)</f>
        <v>17.320869610116734</v>
      </c>
      <c r="BJ68" s="99">
        <f t="shared" si="16"/>
        <v>47695.708998574271</v>
      </c>
      <c r="BK68" s="743"/>
      <c r="BL68" s="97"/>
      <c r="BM68" s="524"/>
      <c r="BN68" s="416">
        <f>'Distribution Summary'!CI68+'Substation 2025$'!CT68</f>
        <v>816410.60196890868</v>
      </c>
      <c r="BO68" s="97">
        <f>'Distribution Summary'!CJ68+'Substation 2025$'!CU68</f>
        <v>820808.72480118531</v>
      </c>
      <c r="BP68" s="97">
        <f>'Distribution Summary'!CK68+'Substation 2025$'!CV68</f>
        <v>824896.22858313553</v>
      </c>
      <c r="BQ68" s="97">
        <f>'Distribution Summary'!CL68+'Substation 2025$'!CW68</f>
        <v>829653.03740426188</v>
      </c>
      <c r="BR68" s="98">
        <f>'Distribution Summary'!CM68+'Substation 2025$'!CX68</f>
        <v>834779.18459854473</v>
      </c>
    </row>
    <row r="69" spans="1:70" x14ac:dyDescent="0.25">
      <c r="A69" s="81" t="s">
        <v>138</v>
      </c>
      <c r="B69" s="82" t="s">
        <v>141</v>
      </c>
      <c r="C69" s="83" t="s">
        <v>358</v>
      </c>
      <c r="D69" s="84">
        <f>SUM('Defect (Total)'!D69,Planned!D69,Reconductor!D69,CTGS!D69)</f>
        <v>0</v>
      </c>
      <c r="E69" s="85">
        <f>SUM('Defect (Total)'!E69,Planned!E69,Reconductor!E69,CTGS!E69)</f>
        <v>0</v>
      </c>
      <c r="F69" s="85">
        <f>SUM('Defect (Total)'!F69,Planned!F69,Reconductor!F69,CTGS!F69)</f>
        <v>0</v>
      </c>
      <c r="G69" s="85">
        <f>SUM('Defect (Total)'!G69,Planned!G69,Reconductor!G69,CTGS!G69)</f>
        <v>0</v>
      </c>
      <c r="H69" s="85">
        <f>SUM('Defect (Total)'!H69,Planned!H69,Reconductor!H69,CTGS!H69)</f>
        <v>0</v>
      </c>
      <c r="I69" s="85">
        <f>SUM('Defect (Total)'!I69,Planned!I69,Reconductor!I69,CTGS!I69)</f>
        <v>0</v>
      </c>
      <c r="J69" s="85">
        <f>SUM('Defect (Total)'!J69,Planned!J69,Reconductor!J69,CTGS!J69)</f>
        <v>0</v>
      </c>
      <c r="K69" s="85">
        <f>SUM('Defect (Total)'!K69,Planned!K69,Reconductor!K69,CTGS!K69)</f>
        <v>0</v>
      </c>
      <c r="L69" s="85">
        <f>SUM('Defect (Total)'!L69,Planned!L69,Reconductor!L69,CTGS!L69)</f>
        <v>0</v>
      </c>
      <c r="M69" s="85">
        <f>SUM('Defect (Total)'!M69,Planned!M69,Reconductor!M69,CTGS!M69)</f>
        <v>0</v>
      </c>
      <c r="N69" s="85">
        <f>SUM('Defect (Total)'!N69,Planned!N69,Reconductor!N69,CTGS!N69)</f>
        <v>0</v>
      </c>
      <c r="O69" s="560">
        <f>SUM('Defect (Total)'!O69,Planned!O69,Reconductor!O69,CTGS!O69)</f>
        <v>0</v>
      </c>
      <c r="P69" s="561">
        <f>SUM('Defect (Total)'!P69,Planned!P69,Reconductor!P69,CTGS!P69)</f>
        <v>0</v>
      </c>
      <c r="Q69" s="561">
        <f>SUM('Defect (Total)'!Q69,Planned!Q69,Reconductor!Q69,CTGS!Q69)</f>
        <v>0</v>
      </c>
      <c r="R69" s="561">
        <f>SUM('Defect (Total)'!R69,Planned!R69,Reconductor!R69,CTGS!R69)</f>
        <v>0</v>
      </c>
      <c r="S69" s="561">
        <f>SUM('Defect (Total)'!S69,Planned!S69,Reconductor!S69,CTGS!S69)</f>
        <v>0</v>
      </c>
      <c r="T69" s="561">
        <f>SUM('Defect (Total)'!T69,Planned!T69,Reconductor!T69,CTGS!T69)</f>
        <v>0</v>
      </c>
      <c r="U69" s="561">
        <f>SUM('Defect (Total)'!U69,Planned!U69,Reconductor!U69,CTGS!U69)</f>
        <v>0</v>
      </c>
      <c r="V69" s="561">
        <f>SUM('Defect (Total)'!V69,Planned!V69,Reconductor!V69,CTGS!V69)</f>
        <v>0</v>
      </c>
      <c r="W69" s="561">
        <f>SUM('Defect (Total)'!W69,Planned!W69,Reconductor!W69,CTGS!W69)</f>
        <v>0</v>
      </c>
      <c r="X69" s="561">
        <f>SUM('Defect (Total)'!X69,Planned!X69,Reconductor!X69,CTGS!X69)</f>
        <v>0</v>
      </c>
      <c r="Y69" s="561">
        <f>SUM('Defect (Total)'!Y69,Planned!Y69,Reconductor!Y69,CTGS!Y69)</f>
        <v>0</v>
      </c>
      <c r="Z69" s="86">
        <f>SUM('Defect (Total)'!Z69,Planned!Z69,Reconductor!Z69,CTGS!Z69)</f>
        <v>0</v>
      </c>
      <c r="AA69" s="87">
        <f>SUM('Defect (Total)'!AA69,Planned!AA69,Reconductor!AA69,CTGS!AA69)</f>
        <v>0</v>
      </c>
      <c r="AB69" s="87">
        <f>SUM('Defect (Total)'!AB69,Planned!AB69,Reconductor!AB69,CTGS!AB69)</f>
        <v>0</v>
      </c>
      <c r="AC69" s="87">
        <f>SUM('Defect (Total)'!AC69,Planned!AC69,Reconductor!AC69,CTGS!AC69)</f>
        <v>0</v>
      </c>
      <c r="AD69" s="87">
        <f>SUM('Defect (Total)'!AD69,Planned!AD69,Reconductor!AD69,CTGS!AD69)</f>
        <v>0</v>
      </c>
      <c r="AE69" s="87">
        <f>SUM('Defect (Total)'!AE69,Planned!AE69,Reconductor!AE69,CTGS!AE69)</f>
        <v>0</v>
      </c>
      <c r="AF69" s="87">
        <f>SUM('Defect (Total)'!AF69,Planned!AF69,Reconductor!AF69,CTGS!AF69)</f>
        <v>0</v>
      </c>
      <c r="AG69" s="87">
        <f>SUM('Defect (Total)'!AG69,Planned!AG69,Reconductor!AG69,CTGS!AG69)</f>
        <v>0</v>
      </c>
      <c r="AH69" s="87">
        <f>SUM('Defect (Total)'!AH69,Planned!AH69,Reconductor!AH69,CTGS!AH69)</f>
        <v>0</v>
      </c>
      <c r="AI69" s="87">
        <f>SUM('Defect (Total)'!AI69,Planned!AI69,Reconductor!AI69,CTGS!AI69)</f>
        <v>0</v>
      </c>
      <c r="AJ69" s="87">
        <f>SUM('Defect (Total)'!AJ69,Planned!AJ69,Reconductor!AJ69,CTGS!AJ69)</f>
        <v>0</v>
      </c>
      <c r="AK69" s="88">
        <f t="shared" si="14"/>
        <v>0</v>
      </c>
      <c r="AL69" s="89">
        <f t="shared" si="18"/>
        <v>0</v>
      </c>
      <c r="AM69" s="90">
        <f t="shared" si="15"/>
        <v>0</v>
      </c>
      <c r="AN69" s="91" t="str">
        <f t="shared" si="19"/>
        <v/>
      </c>
      <c r="AO69" s="92" t="str">
        <f t="shared" si="20"/>
        <v/>
      </c>
      <c r="AP69" s="92" t="str">
        <f t="shared" si="21"/>
        <v/>
      </c>
      <c r="AQ69" s="92" t="str">
        <f t="shared" si="22"/>
        <v/>
      </c>
      <c r="AR69" s="92" t="str">
        <f t="shared" si="23"/>
        <v/>
      </c>
      <c r="AS69" s="92" t="str">
        <f t="shared" si="24"/>
        <v/>
      </c>
      <c r="AT69" s="92" t="str">
        <f t="shared" si="25"/>
        <v/>
      </c>
      <c r="AU69" s="92" t="str">
        <f t="shared" si="26"/>
        <v/>
      </c>
      <c r="AV69" s="92" t="str">
        <f t="shared" si="27"/>
        <v/>
      </c>
      <c r="AW69" s="92" t="str">
        <f t="shared" si="30"/>
        <v/>
      </c>
      <c r="AX69" s="92" t="str">
        <f t="shared" si="30"/>
        <v/>
      </c>
      <c r="AY69" s="93" t="str">
        <f t="shared" si="29"/>
        <v/>
      </c>
      <c r="AZ69" s="94" t="str">
        <f t="shared" si="12"/>
        <v/>
      </c>
      <c r="BA69" s="95" t="str">
        <f t="shared" si="13"/>
        <v/>
      </c>
      <c r="BB69" s="689">
        <f>SUM('Defect (Total)'!BB69,Planned!CE69,Reconductor!CE69,CTGS!CE69,'Substation 2025$'!CE69*$BL$1,Comms!CA69*$BL$2)</f>
        <v>0</v>
      </c>
      <c r="BC69" s="689">
        <f>SUM('Defect (Total)'!BC69,Planned!CF69,Reconductor!CF69,CTGS!CF69,'Substation 2025$'!CF69*$BL$1,Comms!CB69*$BL$2)</f>
        <v>0</v>
      </c>
      <c r="BD69" s="96">
        <f>SUM('Defect (Total)'!BD69,Planned!CG69,Reconductor!CG69,CTGS!CG69,'Substation 2025$'!CG69*$BL$1,Comms!CC69*$BL$2)</f>
        <v>0</v>
      </c>
      <c r="BE69" s="96">
        <f>SUM('Defect (Total)'!BE69,Planned!CH69,Reconductor!CH69,CTGS!CH69,'Substation 2025$'!CH69*$BL$1,Comms!CD69*$BL$2)</f>
        <v>0</v>
      </c>
      <c r="BF69" s="96">
        <f>SUM('Defect (Total)'!BF69,Planned!CI69,Reconductor!CI69,CTGS!CI69,'Substation 2025$'!CI69*$BL$1,Comms!CE69*$BL$2)</f>
        <v>0</v>
      </c>
      <c r="BG69" s="96">
        <f>SUM('Defect (Total)'!BG69,Planned!CJ69,Reconductor!CJ69,CTGS!CJ69,'Substation 2025$'!CJ69*$BL$1,Comms!CF69*$BL$2)</f>
        <v>0</v>
      </c>
      <c r="BH69" s="96">
        <f>SUM('Defect (Total)'!BH69,Planned!CK69,Reconductor!CK69,CTGS!CK69,'Substation 2025$'!CK69*$BL$1,Comms!CG69*$BL$2)</f>
        <v>0</v>
      </c>
      <c r="BI69" s="286">
        <f>SUM('Defect (Total)'!BI69,Planned!CL69,Reconductor!CL69,CTGS!CL69,'Substation 2025$'!CL69*$BL$1,Comms!CH69*$BL$2)</f>
        <v>0</v>
      </c>
      <c r="BJ69" s="99" t="str">
        <f t="shared" si="16"/>
        <v/>
      </c>
      <c r="BK69" s="743"/>
      <c r="BL69" s="97"/>
      <c r="BM69" s="524"/>
      <c r="BN69" s="416">
        <f>'Distribution Summary'!CI69+'Substation 2025$'!CT69</f>
        <v>0</v>
      </c>
      <c r="BO69" s="97">
        <f>'Distribution Summary'!CJ69+'Substation 2025$'!CU69</f>
        <v>0</v>
      </c>
      <c r="BP69" s="97">
        <f>'Distribution Summary'!CK69+'Substation 2025$'!CV69</f>
        <v>0</v>
      </c>
      <c r="BQ69" s="97">
        <f>'Distribution Summary'!CL69+'Substation 2025$'!CW69</f>
        <v>0</v>
      </c>
      <c r="BR69" s="98">
        <f>'Distribution Summary'!CM69+'Substation 2025$'!CX69</f>
        <v>0</v>
      </c>
    </row>
    <row r="70" spans="1:70" x14ac:dyDescent="0.25">
      <c r="A70" s="81" t="s">
        <v>138</v>
      </c>
      <c r="B70" s="82" t="s">
        <v>143</v>
      </c>
      <c r="C70" s="83" t="s">
        <v>359</v>
      </c>
      <c r="D70" s="84">
        <f>SUM('Defect (Total)'!D70,Planned!D70,Reconductor!D70,CTGS!D70)</f>
        <v>2210010</v>
      </c>
      <c r="E70" s="85">
        <f>SUM('Defect (Total)'!E70,Planned!E70,Reconductor!E70,CTGS!E70)</f>
        <v>6092017</v>
      </c>
      <c r="F70" s="85">
        <f>SUM('Defect (Total)'!F70,Planned!F70,Reconductor!F70,CTGS!F70)</f>
        <v>3875970</v>
      </c>
      <c r="G70" s="85">
        <f>SUM('Defect (Total)'!G70,Planned!G70,Reconductor!G70,CTGS!G70)</f>
        <v>3568750.4457187224</v>
      </c>
      <c r="H70" s="85">
        <f>SUM('Defect (Total)'!H70,Planned!H70,Reconductor!H70,CTGS!H70)</f>
        <v>3431686</v>
      </c>
      <c r="I70" s="85">
        <f>SUM('Defect (Total)'!I70,Planned!I70,Reconductor!I70,CTGS!I70)</f>
        <v>4691215.8412397569</v>
      </c>
      <c r="J70" s="85">
        <f>SUM('Defect (Total)'!J70,Planned!J70,Reconductor!J70,CTGS!J70)</f>
        <v>8154741.8973542023</v>
      </c>
      <c r="K70" s="85">
        <f>SUM('Defect (Total)'!K70,Planned!K70,Reconductor!K70,CTGS!K70)</f>
        <v>5212263.7938813874</v>
      </c>
      <c r="L70" s="85">
        <f>SUM('Defect (Total)'!L70,Planned!L70,Reconductor!L70,CTGS!L70)</f>
        <v>5677914.2130857818</v>
      </c>
      <c r="M70" s="85">
        <f>SUM('Defect (Total)'!M70,Planned!M70,Reconductor!M70,CTGS!M70)</f>
        <v>6931647.4131537406</v>
      </c>
      <c r="N70" s="85">
        <f>SUM('Defect (Total)'!N70,Planned!N70,Reconductor!N70,CTGS!N70)</f>
        <v>9894472.3679171093</v>
      </c>
      <c r="O70" s="560">
        <f>SUM('Defect (Total)'!O70,Planned!O70,Reconductor!O70,CTGS!O70)</f>
        <v>2973471.9200097267</v>
      </c>
      <c r="P70" s="561">
        <f>SUM('Defect (Total)'!P70,Planned!P70,Reconductor!P70,CTGS!P70)</f>
        <v>8074547.7141919648</v>
      </c>
      <c r="Q70" s="561">
        <f>SUM('Defect (Total)'!Q70,Planned!Q70,Reconductor!Q70,CTGS!Q70)</f>
        <v>5085294.9180468405</v>
      </c>
      <c r="R70" s="561">
        <f>SUM('Defect (Total)'!R70,Planned!R70,Reconductor!R70,CTGS!R70)</f>
        <v>4593398.4745767778</v>
      </c>
      <c r="S70" s="561">
        <f>SUM('Defect (Total)'!S70,Planned!S70,Reconductor!S70,CTGS!S70)</f>
        <v>4327077.3871437814</v>
      </c>
      <c r="T70" s="561">
        <f>SUM('Defect (Total)'!T70,Planned!T70,Reconductor!T70,CTGS!T70)</f>
        <v>5822494.5402971711</v>
      </c>
      <c r="U70" s="561">
        <f>SUM('Defect (Total)'!U70,Planned!U70,Reconductor!U70,CTGS!U70)</f>
        <v>10156632.96268722</v>
      </c>
      <c r="V70" s="561">
        <f>SUM('Defect (Total)'!V70,Planned!V70,Reconductor!V70,CTGS!V70)</f>
        <v>6251374.3948833952</v>
      </c>
      <c r="W70" s="561">
        <f>SUM('Defect (Total)'!W70,Planned!W70,Reconductor!W70,CTGS!W70)</f>
        <v>6415629.9015271543</v>
      </c>
      <c r="X70" s="561">
        <f>SUM('Defect (Total)'!X70,Planned!X70,Reconductor!X70,CTGS!X70)</f>
        <v>7371536.1773363519</v>
      </c>
      <c r="Y70" s="561">
        <f>SUM('Defect (Total)'!Y70,Planned!Y70,Reconductor!Y70,CTGS!Y70)</f>
        <v>10166555.311669348</v>
      </c>
      <c r="Z70" s="86">
        <f>SUM('Defect (Total)'!Z70,Planned!Z70,Reconductor!Z70,CTGS!Z70)</f>
        <v>153</v>
      </c>
      <c r="AA70" s="87">
        <f>SUM('Defect (Total)'!AA70,Planned!AA70,Reconductor!AA70,CTGS!AA70)</f>
        <v>282</v>
      </c>
      <c r="AB70" s="87">
        <f>SUM('Defect (Total)'!AB70,Planned!AB70,Reconductor!AB70,CTGS!AB70)</f>
        <v>195</v>
      </c>
      <c r="AC70" s="87">
        <f>SUM('Defect (Total)'!AC70,Planned!AC70,Reconductor!AC70,CTGS!AC70)</f>
        <v>174</v>
      </c>
      <c r="AD70" s="87">
        <f>SUM('Defect (Total)'!AD70,Planned!AD70,Reconductor!AD70,CTGS!AD70)</f>
        <v>193</v>
      </c>
      <c r="AE70" s="87">
        <f>SUM('Defect (Total)'!AE70,Planned!AE70,Reconductor!AE70,CTGS!AE70)</f>
        <v>254</v>
      </c>
      <c r="AF70" s="87">
        <f>SUM('Defect (Total)'!AF70,Planned!AF70,Reconductor!AF70,CTGS!AF70)</f>
        <v>353</v>
      </c>
      <c r="AG70" s="87">
        <f>SUM('Defect (Total)'!AG70,Planned!AG70,Reconductor!AG70,CTGS!AG70)</f>
        <v>331</v>
      </c>
      <c r="AH70" s="87">
        <f>SUM('Defect (Total)'!AH70,Planned!AH70,Reconductor!AH70,CTGS!AH70)</f>
        <v>257</v>
      </c>
      <c r="AI70" s="87">
        <f>SUM('Defect (Total)'!AI70,Planned!AI70,Reconductor!AI70,CTGS!AI70)</f>
        <v>222</v>
      </c>
      <c r="AJ70" s="87">
        <f>SUM('Defect (Total)'!AJ70,Planned!AJ70,Reconductor!AJ70,CTGS!AJ70)</f>
        <v>191</v>
      </c>
      <c r="AK70" s="88">
        <f t="shared" si="14"/>
        <v>277.60000000000002</v>
      </c>
      <c r="AL70" s="89">
        <f t="shared" si="18"/>
        <v>313.66666666666669</v>
      </c>
      <c r="AM70" s="90">
        <f t="shared" si="15"/>
        <v>257</v>
      </c>
      <c r="AN70" s="91">
        <f t="shared" si="19"/>
        <v>14444.509803921568</v>
      </c>
      <c r="AO70" s="92">
        <f t="shared" si="20"/>
        <v>21602.897163120568</v>
      </c>
      <c r="AP70" s="92">
        <f t="shared" si="21"/>
        <v>19876.76923076923</v>
      </c>
      <c r="AQ70" s="92">
        <f t="shared" si="22"/>
        <v>20510.060032866222</v>
      </c>
      <c r="AR70" s="92">
        <f t="shared" si="23"/>
        <v>17780.756476683939</v>
      </c>
      <c r="AS70" s="92">
        <f t="shared" si="24"/>
        <v>18469.353705668334</v>
      </c>
      <c r="AT70" s="92">
        <f t="shared" si="25"/>
        <v>23101.251833864597</v>
      </c>
      <c r="AU70" s="92">
        <f t="shared" si="26"/>
        <v>15747.020525321412</v>
      </c>
      <c r="AV70" s="92">
        <f t="shared" si="27"/>
        <v>22093.051412785142</v>
      </c>
      <c r="AW70" s="92">
        <f t="shared" si="30"/>
        <v>31223.636996188019</v>
      </c>
      <c r="AX70" s="92">
        <f t="shared" si="30"/>
        <v>51803.520250874921</v>
      </c>
      <c r="AY70" s="93">
        <f t="shared" si="29"/>
        <v>19573.358606312049</v>
      </c>
      <c r="AZ70" s="94">
        <f t="shared" si="12"/>
        <v>20239.022215006771</v>
      </c>
      <c r="BA70" s="95">
        <f t="shared" si="13"/>
        <v>22093.051412785142</v>
      </c>
      <c r="BB70" s="689">
        <f>SUM('Defect (Total)'!BB70,Planned!CE70,Reconductor!CE70,CTGS!CE70,'Substation 2025$'!CE70*$BL$1,Comms!CA70*$BL$2)</f>
        <v>254.86666666666665</v>
      </c>
      <c r="BC70" s="689">
        <f>SUM('Defect (Total)'!BC70,Planned!CF70,Reconductor!CF70,CTGS!CF70,'Substation 2025$'!CF70*$BL$1,Comms!CB70*$BL$2)</f>
        <v>224.89137525497554</v>
      </c>
      <c r="BD70" s="96">
        <f>SUM('Defect (Total)'!BD70,Planned!CG70,Reconductor!CG70,CTGS!CG70,'Substation 2025$'!CG70*$BL$1,Comms!CC70*$BL$2)</f>
        <v>224.89137525497554</v>
      </c>
      <c r="BE70" s="96">
        <f>SUM('Defect (Total)'!BE70,Planned!CH70,Reconductor!CH70,CTGS!CH70,'Substation 2025$'!CH70*$BL$1,Comms!CD70*$BL$2)</f>
        <v>127.82310309867987</v>
      </c>
      <c r="BF70" s="96">
        <f>SUM('Defect (Total)'!BF70,Planned!CI70,Reconductor!CI70,CTGS!CI70,'Substation 2025$'!CI70*$BL$1,Comms!CE70*$BL$2)</f>
        <v>129.38103289108892</v>
      </c>
      <c r="BG70" s="96">
        <f>SUM('Defect (Total)'!BG70,Planned!CJ70,Reconductor!CJ70,CTGS!CJ70,'Substation 2025$'!CJ70*$BL$1,Comms!CF70*$BL$2)</f>
        <v>130.41965275269496</v>
      </c>
      <c r="BH70" s="96">
        <f>SUM('Defect (Total)'!BH70,Planned!CK70,Reconductor!CK70,CTGS!CK70,'Substation 2025$'!CK70*$BL$1,Comms!CG70*$BL$2)</f>
        <v>131.45827261430099</v>
      </c>
      <c r="BI70" s="286">
        <f>SUM('Defect (Total)'!BI70,Planned!CL70,Reconductor!CL70,CTGS!CL70,'Substation 2025$'!CL70*$BL$1,Comms!CH70*$BL$2)</f>
        <v>131.97758254510401</v>
      </c>
      <c r="BJ70" s="99">
        <f t="shared" si="16"/>
        <v>21700.352196981647</v>
      </c>
      <c r="BK70" s="743"/>
      <c r="BL70" s="97"/>
      <c r="BM70" s="524"/>
      <c r="BN70" s="416">
        <f>'Distribution Summary'!CI70+'Substation 2025$'!CT70</f>
        <v>2735084.8312156051</v>
      </c>
      <c r="BO70" s="97">
        <f>'Distribution Summary'!CJ70+'Substation 2025$'!CU70</f>
        <v>2789060.3078919416</v>
      </c>
      <c r="BP70" s="97">
        <f>'Distribution Summary'!CK70+'Substation 2025$'!CV70</f>
        <v>2829214.2131280778</v>
      </c>
      <c r="BQ70" s="97">
        <f>'Distribution Summary'!CL70+'Substation 2025$'!CW70</f>
        <v>2871924.1965315654</v>
      </c>
      <c r="BR70" s="98">
        <f>'Distribution Summary'!CM70+'Substation 2025$'!CX70</f>
        <v>2902940.0251448196</v>
      </c>
    </row>
    <row r="71" spans="1:70" x14ac:dyDescent="0.25">
      <c r="A71" s="81" t="s">
        <v>138</v>
      </c>
      <c r="B71" s="82" t="s">
        <v>145</v>
      </c>
      <c r="C71" s="83" t="s">
        <v>360</v>
      </c>
      <c r="D71" s="84">
        <f>SUM('Defect (Total)'!D71,Planned!D71,Reconductor!D71,CTGS!D71)</f>
        <v>12715638</v>
      </c>
      <c r="E71" s="85">
        <f>SUM('Defect (Total)'!E71,Planned!E71,Reconductor!E71,CTGS!E71)</f>
        <v>15309940</v>
      </c>
      <c r="F71" s="85">
        <f>SUM('Defect (Total)'!F71,Planned!F71,Reconductor!F71,CTGS!F71)</f>
        <v>15988364</v>
      </c>
      <c r="G71" s="85">
        <f>SUM('Defect (Total)'!G71,Planned!G71,Reconductor!G71,CTGS!G71)</f>
        <v>16245684.329737073</v>
      </c>
      <c r="H71" s="85">
        <f>SUM('Defect (Total)'!H71,Planned!H71,Reconductor!H71,CTGS!H71)</f>
        <v>17304723</v>
      </c>
      <c r="I71" s="85">
        <f>SUM('Defect (Total)'!I71,Planned!I71,Reconductor!I71,CTGS!I71)</f>
        <v>20738184.040523149</v>
      </c>
      <c r="J71" s="85">
        <f>SUM('Defect (Total)'!J71,Planned!J71,Reconductor!J71,CTGS!J71)</f>
        <v>30859728.625410751</v>
      </c>
      <c r="K71" s="85">
        <f>SUM('Defect (Total)'!K71,Planned!K71,Reconductor!K71,CTGS!K71)</f>
        <v>21468528.212147921</v>
      </c>
      <c r="L71" s="85">
        <f>SUM('Defect (Total)'!L71,Planned!L71,Reconductor!L71,CTGS!L71)</f>
        <v>26617056.580464449</v>
      </c>
      <c r="M71" s="85">
        <f>SUM('Defect (Total)'!M71,Planned!M71,Reconductor!M71,CTGS!M71)</f>
        <v>27122530.944834404</v>
      </c>
      <c r="N71" s="85">
        <f>SUM('Defect (Total)'!N71,Planned!N71,Reconductor!N71,CTGS!N71)</f>
        <v>26816914.637487449</v>
      </c>
      <c r="O71" s="560">
        <f>SUM('Defect (Total)'!O71,Planned!O71,Reconductor!O71,CTGS!O71)</f>
        <v>17108335.499843277</v>
      </c>
      <c r="P71" s="561">
        <f>SUM('Defect (Total)'!P71,Planned!P71,Reconductor!P71,CTGS!P71)</f>
        <v>20292267.902636543</v>
      </c>
      <c r="Q71" s="561">
        <f>SUM('Defect (Total)'!Q71,Planned!Q71,Reconductor!Q71,CTGS!Q71)</f>
        <v>20976825.464872804</v>
      </c>
      <c r="R71" s="561">
        <f>SUM('Defect (Total)'!R71,Planned!R71,Reconductor!R71,CTGS!R71)</f>
        <v>20910092.41293183</v>
      </c>
      <c r="S71" s="561">
        <f>SUM('Defect (Total)'!S71,Planned!S71,Reconductor!S71,CTGS!S71)</f>
        <v>21819850.529473528</v>
      </c>
      <c r="T71" s="561">
        <f>SUM('Defect (Total)'!T71,Planned!T71,Reconductor!T71,CTGS!T71)</f>
        <v>25739161.752087209</v>
      </c>
      <c r="U71" s="561">
        <f>SUM('Defect (Total)'!U71,Planned!U71,Reconductor!U71,CTGS!U71)</f>
        <v>38435420.878019638</v>
      </c>
      <c r="V71" s="561">
        <f>SUM('Defect (Total)'!V71,Planned!V71,Reconductor!V71,CTGS!V71)</f>
        <v>25748468.010924201</v>
      </c>
      <c r="W71" s="561">
        <f>SUM('Defect (Total)'!W71,Planned!W71,Reconductor!W71,CTGS!W71)</f>
        <v>30075337.118463065</v>
      </c>
      <c r="X71" s="561">
        <f>SUM('Defect (Total)'!X71,Planned!X71,Reconductor!X71,CTGS!X71)</f>
        <v>28843751.876555093</v>
      </c>
      <c r="Y71" s="561">
        <f>SUM('Defect (Total)'!Y71,Planned!Y71,Reconductor!Y71,CTGS!Y71)</f>
        <v>27554339.009966247</v>
      </c>
      <c r="Z71" s="86">
        <f>SUM('Defect (Total)'!Z71,Planned!Z71,Reconductor!Z71,CTGS!Z71)</f>
        <v>410</v>
      </c>
      <c r="AA71" s="87">
        <f>SUM('Defect (Total)'!AA71,Planned!AA71,Reconductor!AA71,CTGS!AA71)</f>
        <v>515</v>
      </c>
      <c r="AB71" s="87">
        <f>SUM('Defect (Total)'!AB71,Planned!AB71,Reconductor!AB71,CTGS!AB71)</f>
        <v>484</v>
      </c>
      <c r="AC71" s="87">
        <f>SUM('Defect (Total)'!AC71,Planned!AC71,Reconductor!AC71,CTGS!AC71)</f>
        <v>381</v>
      </c>
      <c r="AD71" s="87">
        <f>SUM('Defect (Total)'!AD71,Planned!AD71,Reconductor!AD71,CTGS!AD71)</f>
        <v>494</v>
      </c>
      <c r="AE71" s="87">
        <f>SUM('Defect (Total)'!AE71,Planned!AE71,Reconductor!AE71,CTGS!AE71)</f>
        <v>550</v>
      </c>
      <c r="AF71" s="87">
        <f>SUM('Defect (Total)'!AF71,Planned!AF71,Reconductor!AF71,CTGS!AF71)</f>
        <v>776</v>
      </c>
      <c r="AG71" s="87">
        <f>SUM('Defect (Total)'!AG71,Planned!AG71,Reconductor!AG71,CTGS!AG71)</f>
        <v>715</v>
      </c>
      <c r="AH71" s="87">
        <f>SUM('Defect (Total)'!AH71,Planned!AH71,Reconductor!AH71,CTGS!AH71)</f>
        <v>660</v>
      </c>
      <c r="AI71" s="87">
        <f>SUM('Defect (Total)'!AI71,Planned!AI71,Reconductor!AI71,CTGS!AI71)</f>
        <v>471</v>
      </c>
      <c r="AJ71" s="87">
        <f>SUM('Defect (Total)'!AJ71,Planned!AJ71,Reconductor!AJ71,CTGS!AJ71)</f>
        <v>344</v>
      </c>
      <c r="AK71" s="88">
        <f t="shared" si="14"/>
        <v>639</v>
      </c>
      <c r="AL71" s="89">
        <f t="shared" si="18"/>
        <v>717</v>
      </c>
      <c r="AM71" s="90">
        <f t="shared" si="15"/>
        <v>660</v>
      </c>
      <c r="AN71" s="91">
        <f t="shared" ref="AN71:AN102" si="31">IFERROR(D71/Z71,"")</f>
        <v>31013.751219512196</v>
      </c>
      <c r="AO71" s="92">
        <f t="shared" ref="AO71:AO102" si="32">IFERROR(E71/AA71,"")</f>
        <v>29728.038834951458</v>
      </c>
      <c r="AP71" s="92">
        <f t="shared" ref="AP71:AP102" si="33">IFERROR(F71/AB71,"")</f>
        <v>33033.809917355371</v>
      </c>
      <c r="AQ71" s="92">
        <f t="shared" ref="AQ71:AQ102" si="34">IFERROR(G71/AC71,"")</f>
        <v>42639.591416632735</v>
      </c>
      <c r="AR71" s="92">
        <f t="shared" ref="AR71:AR102" si="35">IFERROR(H71/AD71,"")</f>
        <v>35029.803643724699</v>
      </c>
      <c r="AS71" s="92">
        <f t="shared" ref="AS71:AS102" si="36">IFERROR(I71/AE71,"")</f>
        <v>37705.789164587542</v>
      </c>
      <c r="AT71" s="92">
        <f t="shared" ref="AT71:AT102" si="37">IFERROR(J71/AF71,"")</f>
        <v>39767.691527591174</v>
      </c>
      <c r="AU71" s="92">
        <f t="shared" ref="AU71:AU102" si="38">IFERROR(K71/AG71,"")</f>
        <v>30025.913583423666</v>
      </c>
      <c r="AV71" s="92">
        <f t="shared" ref="AV71:AV102" si="39">IFERROR(L71/AH71,"")</f>
        <v>40328.873606764319</v>
      </c>
      <c r="AW71" s="92">
        <f t="shared" ref="AW71:AX86" si="40">IFERROR(M71/AI71,"")</f>
        <v>57584.99139030659</v>
      </c>
      <c r="AX71" s="92">
        <f t="shared" si="40"/>
        <v>77956.147201998392</v>
      </c>
      <c r="AY71" s="93">
        <f t="shared" si="29"/>
        <v>36616.031442424501</v>
      </c>
      <c r="AZ71" s="94">
        <f t="shared" ref="AZ71:AZ132" si="41">IFERROR(IF($BA$4="N",SUM(J71:L71)/SUM(AF71:AH71),SUM(K71:M71)/SUM(AG71:AI71)),"")</f>
        <v>36701.679878206938</v>
      </c>
      <c r="BA71" s="95">
        <f t="shared" ref="BA71:BA132" si="42">IFERROR(IF($BA$4="N",L71/AH71,M71/AI71),"")</f>
        <v>40328.873606764319</v>
      </c>
      <c r="BB71" s="689">
        <f>SUM('Defect (Total)'!BB71,Planned!CE71,Reconductor!CE71,CTGS!CE71,'Substation 2025$'!CE71*$BL$1,Comms!CA71*$BL$2)</f>
        <v>589.93333333333339</v>
      </c>
      <c r="BC71" s="689">
        <f>SUM('Defect (Total)'!BC71,Planned!CF71,Reconductor!CF71,CTGS!CF71,'Substation 2025$'!CF71*$BL$1,Comms!CB71*$BL$2)</f>
        <v>541.47668651717083</v>
      </c>
      <c r="BD71" s="96">
        <f>SUM('Defect (Total)'!BD71,Planned!CG71,Reconductor!CG71,CTGS!CG71,'Substation 2025$'!CG71*$BL$1,Comms!CC71*$BL$2)</f>
        <v>541.47668651717083</v>
      </c>
      <c r="BE71" s="96">
        <f>SUM('Defect (Total)'!BE71,Planned!CH71,Reconductor!CH71,CTGS!CH71,'Substation 2025$'!CH71*$BL$1,Comms!CD71*$BL$2)</f>
        <v>285.78159134793799</v>
      </c>
      <c r="BF71" s="96">
        <f>SUM('Defect (Total)'!BF71,Planned!CI71,Reconductor!CI71,CTGS!CI71,'Substation 2025$'!CI71*$BL$1,Comms!CE71*$BL$2)</f>
        <v>287.84869819445146</v>
      </c>
      <c r="BG71" s="96">
        <f>SUM('Defect (Total)'!BG71,Planned!CJ71,Reconductor!CJ71,CTGS!CJ71,'Substation 2025$'!CJ71*$BL$1,Comms!CF71*$BL$2)</f>
        <v>289.22676942546042</v>
      </c>
      <c r="BH71" s="96">
        <f>SUM('Defect (Total)'!BH71,Planned!CK71,Reconductor!CK71,CTGS!CK71,'Substation 2025$'!CK71*$BL$1,Comms!CG71*$BL$2)</f>
        <v>290.60484065646943</v>
      </c>
      <c r="BI71" s="286">
        <f>SUM('Defect (Total)'!BI71,Planned!CL71,Reconductor!CL71,CTGS!CL71,'Substation 2025$'!CL71*$BL$1,Comms!CH71*$BL$2)</f>
        <v>291.29387627197389</v>
      </c>
      <c r="BJ71" s="99">
        <f t="shared" si="16"/>
        <v>39345.491307011194</v>
      </c>
      <c r="BK71" s="743"/>
      <c r="BL71" s="97"/>
      <c r="BM71" s="524"/>
      <c r="BN71" s="416">
        <f>'Distribution Summary'!CI71+'Substation 2025$'!CT71</f>
        <v>11114320.448919136</v>
      </c>
      <c r="BO71" s="97">
        <f>'Distribution Summary'!CJ71+'Substation 2025$'!CU71</f>
        <v>11260405.171742771</v>
      </c>
      <c r="BP71" s="97">
        <f>'Distribution Summary'!CK71+'Substation 2025$'!CV71</f>
        <v>11374182.32642954</v>
      </c>
      <c r="BQ71" s="97">
        <f>'Distribution Summary'!CL71+'Substation 2025$'!CW71</f>
        <v>11497760.593705997</v>
      </c>
      <c r="BR71" s="98">
        <f>'Distribution Summary'!CM71+'Substation 2025$'!CX71</f>
        <v>11597957.280484363</v>
      </c>
    </row>
    <row r="72" spans="1:70" x14ac:dyDescent="0.25">
      <c r="A72" s="81" t="s">
        <v>138</v>
      </c>
      <c r="B72" s="82" t="s">
        <v>147</v>
      </c>
      <c r="C72" s="83" t="s">
        <v>362</v>
      </c>
      <c r="D72" s="84">
        <f>SUM('Defect (Total)'!D72,Planned!D72,Reconductor!D72,CTGS!D72)</f>
        <v>1287156</v>
      </c>
      <c r="E72" s="85">
        <f>SUM('Defect (Total)'!E72,Planned!E72,Reconductor!E72,CTGS!E72)</f>
        <v>3108436</v>
      </c>
      <c r="F72" s="85">
        <f>SUM('Defect (Total)'!F72,Planned!F72,Reconductor!F72,CTGS!F72)</f>
        <v>2692976</v>
      </c>
      <c r="G72" s="85">
        <f>SUM('Defect (Total)'!G72,Planned!G72,Reconductor!G72,CTGS!G72)</f>
        <v>2122399</v>
      </c>
      <c r="H72" s="85">
        <f>SUM('Defect (Total)'!H72,Planned!H72,Reconductor!H72,CTGS!H72)</f>
        <v>2895308</v>
      </c>
      <c r="I72" s="85">
        <f>SUM('Defect (Total)'!I72,Planned!I72,Reconductor!I72,CTGS!I72)</f>
        <v>3850324.922315469</v>
      </c>
      <c r="J72" s="85">
        <f>SUM('Defect (Total)'!J72,Planned!J72,Reconductor!J72,CTGS!J72)</f>
        <v>4745445.1241757814</v>
      </c>
      <c r="K72" s="85">
        <f>SUM('Defect (Total)'!K72,Planned!K72,Reconductor!K72,CTGS!K72)</f>
        <v>4133823.4021656667</v>
      </c>
      <c r="L72" s="85">
        <f>SUM('Defect (Total)'!L72,Planned!L72,Reconductor!L72,CTGS!L72)</f>
        <v>4333136.91693368</v>
      </c>
      <c r="M72" s="85">
        <f>SUM('Defect (Total)'!M72,Planned!M72,Reconductor!M72,CTGS!M72)</f>
        <v>3359075.9354444239</v>
      </c>
      <c r="N72" s="85">
        <f>SUM('Defect (Total)'!N72,Planned!N72,Reconductor!N72,CTGS!N72)</f>
        <v>3080720.9837781172</v>
      </c>
      <c r="O72" s="560">
        <f>SUM('Defect (Total)'!O72,Planned!O72,Reconductor!O72,CTGS!O72)</f>
        <v>1731812.1740046605</v>
      </c>
      <c r="P72" s="561">
        <f>SUM('Defect (Total)'!P72,Planned!P72,Reconductor!P72,CTGS!P72)</f>
        <v>4120017.1960308091</v>
      </c>
      <c r="Q72" s="561">
        <f>SUM('Defect (Total)'!Q72,Planned!Q72,Reconductor!Q72,CTGS!Q72)</f>
        <v>3533199.9905113061</v>
      </c>
      <c r="R72" s="561">
        <f>SUM('Defect (Total)'!R72,Planned!R72,Reconductor!R72,CTGS!R72)</f>
        <v>2731775.3026801762</v>
      </c>
      <c r="S72" s="561">
        <f>SUM('Defect (Total)'!S72,Planned!S72,Reconductor!S72,CTGS!S72)</f>
        <v>3650748.2839678479</v>
      </c>
      <c r="T72" s="561">
        <f>SUM('Defect (Total)'!T72,Planned!T72,Reconductor!T72,CTGS!T72)</f>
        <v>4778824.2104476206</v>
      </c>
      <c r="U72" s="561">
        <f>SUM('Defect (Total)'!U72,Planned!U72,Reconductor!U72,CTGS!U72)</f>
        <v>5910394.8325409051</v>
      </c>
      <c r="V72" s="561">
        <f>SUM('Defect (Total)'!V72,Planned!V72,Reconductor!V72,CTGS!V72)</f>
        <v>4957937.4320240486</v>
      </c>
      <c r="W72" s="561">
        <f>SUM('Defect (Total)'!W72,Planned!W72,Reconductor!W72,CTGS!W72)</f>
        <v>4896129.4109765198</v>
      </c>
      <c r="X72" s="561">
        <f>SUM('Defect (Total)'!X72,Planned!X72,Reconductor!X72,CTGS!X72)</f>
        <v>3572246.0051213978</v>
      </c>
      <c r="Y72" s="561">
        <f>SUM('Defect (Total)'!Y72,Planned!Y72,Reconductor!Y72,CTGS!Y72)</f>
        <v>3165436.1260290118</v>
      </c>
      <c r="Z72" s="86">
        <f>SUM('Defect (Total)'!Z72,Planned!Z72,Reconductor!Z72,CTGS!Z72)</f>
        <v>35</v>
      </c>
      <c r="AA72" s="87">
        <f>SUM('Defect (Total)'!AA72,Planned!AA72,Reconductor!AA72,CTGS!AA72)</f>
        <v>79</v>
      </c>
      <c r="AB72" s="87">
        <f>SUM('Defect (Total)'!AB72,Planned!AB72,Reconductor!AB72,CTGS!AB72)</f>
        <v>59</v>
      </c>
      <c r="AC72" s="87">
        <f>SUM('Defect (Total)'!AC72,Planned!AC72,Reconductor!AC72,CTGS!AC72)</f>
        <v>39</v>
      </c>
      <c r="AD72" s="87">
        <f>SUM('Defect (Total)'!AD72,Planned!AD72,Reconductor!AD72,CTGS!AD72)</f>
        <v>39</v>
      </c>
      <c r="AE72" s="87">
        <f>SUM('Defect (Total)'!AE72,Planned!AE72,Reconductor!AE72,CTGS!AE72)</f>
        <v>45</v>
      </c>
      <c r="AF72" s="87">
        <f>SUM('Defect (Total)'!AF72,Planned!AF72,Reconductor!AF72,CTGS!AF72)</f>
        <v>40</v>
      </c>
      <c r="AG72" s="87">
        <f>SUM('Defect (Total)'!AG72,Planned!AG72,Reconductor!AG72,CTGS!AG72)</f>
        <v>65</v>
      </c>
      <c r="AH72" s="87">
        <f>SUM('Defect (Total)'!AH72,Planned!AH72,Reconductor!AH72,CTGS!AH72)</f>
        <v>74</v>
      </c>
      <c r="AI72" s="87">
        <f>SUM('Defect (Total)'!AI72,Planned!AI72,Reconductor!AI72,CTGS!AI72)</f>
        <v>59</v>
      </c>
      <c r="AJ72" s="87">
        <f>SUM('Defect (Total)'!AJ72,Planned!AJ72,Reconductor!AJ72,CTGS!AJ72)</f>
        <v>69</v>
      </c>
      <c r="AK72" s="88">
        <f t="shared" ref="AK72:AK132" si="43">IFERROR(IF($AM$4="N",SUM(AD72:AH72)/5,SUM(AE72:AI72)/5),"")</f>
        <v>52.6</v>
      </c>
      <c r="AL72" s="89">
        <f t="shared" si="18"/>
        <v>59.666666666666664</v>
      </c>
      <c r="AM72" s="90">
        <f t="shared" ref="AM72:AM132" si="44">IFERROR(IF($AM$4="N",AH72,AI72),"")</f>
        <v>74</v>
      </c>
      <c r="AN72" s="91">
        <f t="shared" si="31"/>
        <v>36775.885714285716</v>
      </c>
      <c r="AO72" s="92">
        <f t="shared" si="32"/>
        <v>39347.291139240508</v>
      </c>
      <c r="AP72" s="92">
        <f t="shared" si="33"/>
        <v>45643.661016949154</v>
      </c>
      <c r="AQ72" s="92">
        <f t="shared" si="34"/>
        <v>54420.48717948718</v>
      </c>
      <c r="AR72" s="92">
        <f t="shared" si="35"/>
        <v>74238.666666666672</v>
      </c>
      <c r="AS72" s="92">
        <f t="shared" si="36"/>
        <v>85562.776051454872</v>
      </c>
      <c r="AT72" s="92">
        <f t="shared" si="37"/>
        <v>118636.12810439453</v>
      </c>
      <c r="AU72" s="92">
        <f t="shared" si="38"/>
        <v>63597.283110241027</v>
      </c>
      <c r="AV72" s="92">
        <f t="shared" si="39"/>
        <v>58555.904282887568</v>
      </c>
      <c r="AW72" s="92">
        <f t="shared" si="40"/>
        <v>56933.490431261424</v>
      </c>
      <c r="AX72" s="92">
        <f t="shared" si="40"/>
        <v>44648.130199682855</v>
      </c>
      <c r="AY72" s="93">
        <f t="shared" si="29"/>
        <v>75886.07743570568</v>
      </c>
      <c r="AZ72" s="94">
        <f t="shared" si="41"/>
        <v>73812.320912151554</v>
      </c>
      <c r="BA72" s="95">
        <f t="shared" si="42"/>
        <v>58555.904282887568</v>
      </c>
      <c r="BB72" s="689">
        <f>SUM('Defect (Total)'!BB72,Planned!CE72,Reconductor!CE72,CTGS!CE72,'Substation 2025$'!CE72*$BL$1,Comms!CA72*$BL$2)</f>
        <v>66</v>
      </c>
      <c r="BC72" s="689">
        <f>SUM('Defect (Total)'!BC72,Planned!CF72,Reconductor!CF72,CTGS!CF72,'Substation 2025$'!CF72*$BL$1,Comms!CB72*$BL$2)</f>
        <v>66</v>
      </c>
      <c r="BD72" s="96">
        <f>SUM('Defect (Total)'!BD72,Planned!CG72,Reconductor!CG72,CTGS!CG72,'Substation 2025$'!CG72*$BL$1,Comms!CC72*$BL$2)</f>
        <v>66</v>
      </c>
      <c r="BE72" s="96">
        <f>SUM('Defect (Total)'!BE72,Planned!CH72,Reconductor!CH72,CTGS!CH72,'Substation 2025$'!CH72*$BL$1,Comms!CD72*$BL$2)</f>
        <v>57.792420821261011</v>
      </c>
      <c r="BF72" s="96">
        <f>SUM('Defect (Total)'!BF72,Planned!CI72,Reconductor!CI72,CTGS!CI72,'Substation 2025$'!CI72*$BL$1,Comms!CE72*$BL$2)</f>
        <v>57.792420821261011</v>
      </c>
      <c r="BG72" s="96">
        <f>SUM('Defect (Total)'!BG72,Planned!CJ72,Reconductor!CJ72,CTGS!CJ72,'Substation 2025$'!CJ72*$BL$1,Comms!CF72*$BL$2)</f>
        <v>57.792420821261011</v>
      </c>
      <c r="BH72" s="96">
        <f>SUM('Defect (Total)'!BH72,Planned!CK72,Reconductor!CK72,CTGS!CK72,'Substation 2025$'!CK72*$BL$1,Comms!CG72*$BL$2)</f>
        <v>57.792420821261011</v>
      </c>
      <c r="BI72" s="286">
        <f>SUM('Defect (Total)'!BI72,Planned!CL72,Reconductor!CL72,CTGS!CL72,'Substation 2025$'!CL72*$BL$1,Comms!CH72*$BL$2)</f>
        <v>57.792420821261011</v>
      </c>
      <c r="BJ72" s="99">
        <f t="shared" ref="BJ72:BJ95" si="45">IFERROR(SUM(BN72:BR72)/SUM(BE72:BI72),"")</f>
        <v>59436.23823533699</v>
      </c>
      <c r="BK72" s="743"/>
      <c r="BL72" s="97"/>
      <c r="BM72" s="524"/>
      <c r="BN72" s="416">
        <f>'Distribution Summary'!CI72+'Substation 2025$'!CT72</f>
        <v>3401065.1937499302</v>
      </c>
      <c r="BO72" s="97">
        <f>'Distribution Summary'!CJ72+'Substation 2025$'!CU72</f>
        <v>3417337.5245536338</v>
      </c>
      <c r="BP72" s="97">
        <f>'Distribution Summary'!CK72+'Substation 2025$'!CV72</f>
        <v>3432983.4486448388</v>
      </c>
      <c r="BQ72" s="97">
        <f>'Distribution Summary'!CL72+'Substation 2025$'!CW72</f>
        <v>3451401.2226878717</v>
      </c>
      <c r="BR72" s="98">
        <f>'Distribution Summary'!CM72+'Substation 2025$'!CX72</f>
        <v>3472033.07101032</v>
      </c>
    </row>
    <row r="73" spans="1:70" x14ac:dyDescent="0.25">
      <c r="A73" s="81" t="s">
        <v>138</v>
      </c>
      <c r="B73" s="82" t="s">
        <v>149</v>
      </c>
      <c r="C73" s="83" t="s">
        <v>363</v>
      </c>
      <c r="D73" s="84">
        <f>SUM('Defect (Total)'!D73,Planned!D73,Reconductor!D73,CTGS!D73)</f>
        <v>0</v>
      </c>
      <c r="E73" s="85">
        <f>SUM('Defect (Total)'!E73,Planned!E73,Reconductor!E73,CTGS!E73)</f>
        <v>0</v>
      </c>
      <c r="F73" s="85">
        <f>SUM('Defect (Total)'!F73,Planned!F73,Reconductor!F73,CTGS!F73)</f>
        <v>0</v>
      </c>
      <c r="G73" s="85">
        <f>SUM('Defect (Total)'!G73,Planned!G73,Reconductor!G73,CTGS!G73)</f>
        <v>0</v>
      </c>
      <c r="H73" s="85">
        <f>SUM('Defect (Total)'!H73,Planned!H73,Reconductor!H73,CTGS!H73)</f>
        <v>0</v>
      </c>
      <c r="I73" s="85">
        <f>SUM('Defect (Total)'!I73,Planned!I73,Reconductor!I73,CTGS!I73)</f>
        <v>0</v>
      </c>
      <c r="J73" s="85">
        <f>SUM('Defect (Total)'!J73,Planned!J73,Reconductor!J73,CTGS!J73)</f>
        <v>0</v>
      </c>
      <c r="K73" s="85">
        <f>SUM('Defect (Total)'!K73,Planned!K73,Reconductor!K73,CTGS!K73)</f>
        <v>0</v>
      </c>
      <c r="L73" s="85">
        <f>SUM('Defect (Total)'!L73,Planned!L73,Reconductor!L73,CTGS!L73)</f>
        <v>0</v>
      </c>
      <c r="M73" s="85">
        <f>SUM('Defect (Total)'!M73,Planned!M73,Reconductor!M73,CTGS!M73)</f>
        <v>0</v>
      </c>
      <c r="N73" s="85">
        <f>SUM('Defect (Total)'!N73,Planned!N73,Reconductor!N73,CTGS!N73)</f>
        <v>0</v>
      </c>
      <c r="O73" s="560">
        <f>SUM('Defect (Total)'!O73,Planned!O73,Reconductor!O73,CTGS!O73)</f>
        <v>0</v>
      </c>
      <c r="P73" s="561">
        <f>SUM('Defect (Total)'!P73,Planned!P73,Reconductor!P73,CTGS!P73)</f>
        <v>0</v>
      </c>
      <c r="Q73" s="561">
        <f>SUM('Defect (Total)'!Q73,Planned!Q73,Reconductor!Q73,CTGS!Q73)</f>
        <v>0</v>
      </c>
      <c r="R73" s="561">
        <f>SUM('Defect (Total)'!R73,Planned!R73,Reconductor!R73,CTGS!R73)</f>
        <v>0</v>
      </c>
      <c r="S73" s="561">
        <f>SUM('Defect (Total)'!S73,Planned!S73,Reconductor!S73,CTGS!S73)</f>
        <v>0</v>
      </c>
      <c r="T73" s="561">
        <f>SUM('Defect (Total)'!T73,Planned!T73,Reconductor!T73,CTGS!T73)</f>
        <v>0</v>
      </c>
      <c r="U73" s="561">
        <f>SUM('Defect (Total)'!U73,Planned!U73,Reconductor!U73,CTGS!U73)</f>
        <v>0</v>
      </c>
      <c r="V73" s="561">
        <f>SUM('Defect (Total)'!V73,Planned!V73,Reconductor!V73,CTGS!V73)</f>
        <v>0</v>
      </c>
      <c r="W73" s="561">
        <f>SUM('Defect (Total)'!W73,Planned!W73,Reconductor!W73,CTGS!W73)</f>
        <v>0</v>
      </c>
      <c r="X73" s="561">
        <f>SUM('Defect (Total)'!X73,Planned!X73,Reconductor!X73,CTGS!X73)</f>
        <v>0</v>
      </c>
      <c r="Y73" s="561">
        <f>SUM('Defect (Total)'!Y73,Planned!Y73,Reconductor!Y73,CTGS!Y73)</f>
        <v>0</v>
      </c>
      <c r="Z73" s="86">
        <f>SUM('Defect (Total)'!Z73,Planned!Z73,Reconductor!Z73,CTGS!Z73)</f>
        <v>0</v>
      </c>
      <c r="AA73" s="87">
        <f>SUM('Defect (Total)'!AA73,Planned!AA73,Reconductor!AA73,CTGS!AA73)</f>
        <v>0</v>
      </c>
      <c r="AB73" s="87">
        <f>SUM('Defect (Total)'!AB73,Planned!AB73,Reconductor!AB73,CTGS!AB73)</f>
        <v>0</v>
      </c>
      <c r="AC73" s="87">
        <f>SUM('Defect (Total)'!AC73,Planned!AC73,Reconductor!AC73,CTGS!AC73)</f>
        <v>0</v>
      </c>
      <c r="AD73" s="87">
        <f>SUM('Defect (Total)'!AD73,Planned!AD73,Reconductor!AD73,CTGS!AD73)</f>
        <v>0</v>
      </c>
      <c r="AE73" s="87">
        <f>SUM('Defect (Total)'!AE73,Planned!AE73,Reconductor!AE73,CTGS!AE73)</f>
        <v>0</v>
      </c>
      <c r="AF73" s="87">
        <f>SUM('Defect (Total)'!AF73,Planned!AF73,Reconductor!AF73,CTGS!AF73)</f>
        <v>0</v>
      </c>
      <c r="AG73" s="87">
        <f>SUM('Defect (Total)'!AG73,Planned!AG73,Reconductor!AG73,CTGS!AG73)</f>
        <v>0</v>
      </c>
      <c r="AH73" s="87">
        <f>SUM('Defect (Total)'!AH73,Planned!AH73,Reconductor!AH73,CTGS!AH73)</f>
        <v>0</v>
      </c>
      <c r="AI73" s="87">
        <f>SUM('Defect (Total)'!AI73,Planned!AI73,Reconductor!AI73,CTGS!AI73)</f>
        <v>0</v>
      </c>
      <c r="AJ73" s="87">
        <f>SUM('Defect (Total)'!AJ73,Planned!AJ73,Reconductor!AJ73,CTGS!AJ73)</f>
        <v>0</v>
      </c>
      <c r="AK73" s="88">
        <f t="shared" si="43"/>
        <v>0</v>
      </c>
      <c r="AL73" s="89">
        <f t="shared" si="18"/>
        <v>0</v>
      </c>
      <c r="AM73" s="90">
        <f t="shared" si="44"/>
        <v>0</v>
      </c>
      <c r="AN73" s="91" t="str">
        <f t="shared" si="31"/>
        <v/>
      </c>
      <c r="AO73" s="92" t="str">
        <f t="shared" si="32"/>
        <v/>
      </c>
      <c r="AP73" s="92" t="str">
        <f t="shared" si="33"/>
        <v/>
      </c>
      <c r="AQ73" s="92" t="str">
        <f t="shared" si="34"/>
        <v/>
      </c>
      <c r="AR73" s="92" t="str">
        <f t="shared" si="35"/>
        <v/>
      </c>
      <c r="AS73" s="92" t="str">
        <f t="shared" si="36"/>
        <v/>
      </c>
      <c r="AT73" s="92" t="str">
        <f t="shared" si="37"/>
        <v/>
      </c>
      <c r="AU73" s="92" t="str">
        <f t="shared" si="38"/>
        <v/>
      </c>
      <c r="AV73" s="92" t="str">
        <f t="shared" si="39"/>
        <v/>
      </c>
      <c r="AW73" s="92" t="str">
        <f t="shared" si="40"/>
        <v/>
      </c>
      <c r="AX73" s="92" t="str">
        <f t="shared" si="40"/>
        <v/>
      </c>
      <c r="AY73" s="93" t="str">
        <f t="shared" si="29"/>
        <v/>
      </c>
      <c r="AZ73" s="94" t="str">
        <f t="shared" si="41"/>
        <v/>
      </c>
      <c r="BA73" s="95" t="str">
        <f t="shared" si="42"/>
        <v/>
      </c>
      <c r="BB73" s="689">
        <f>SUM('Defect (Total)'!BB73,Planned!CE73,Reconductor!CE73,CTGS!CE73,'Substation 2025$'!CE73*$BL$1,Comms!CA73*$BL$2)</f>
        <v>0</v>
      </c>
      <c r="BC73" s="689">
        <f>SUM('Defect (Total)'!BC73,Planned!CF73,Reconductor!CF73,CTGS!CF73,'Substation 2025$'!CF73*$BL$1,Comms!CB73*$BL$2)</f>
        <v>0</v>
      </c>
      <c r="BD73" s="96">
        <f>SUM('Defect (Total)'!BD73,Planned!CG73,Reconductor!CG73,CTGS!CG73,'Substation 2025$'!CG73*$BL$1,Comms!CC73*$BL$2)</f>
        <v>0</v>
      </c>
      <c r="BE73" s="96">
        <f>SUM('Defect (Total)'!BE73,Planned!CH73,Reconductor!CH73,CTGS!CH73,'Substation 2025$'!CH73*$BL$1,Comms!CD73*$BL$2)</f>
        <v>0</v>
      </c>
      <c r="BF73" s="96">
        <f>SUM('Defect (Total)'!BF73,Planned!CI73,Reconductor!CI73,CTGS!CI73,'Substation 2025$'!CI73*$BL$1,Comms!CE73*$BL$2)</f>
        <v>0</v>
      </c>
      <c r="BG73" s="96">
        <f>SUM('Defect (Total)'!BG73,Planned!CJ73,Reconductor!CJ73,CTGS!CJ73,'Substation 2025$'!CJ73*$BL$1,Comms!CF73*$BL$2)</f>
        <v>0</v>
      </c>
      <c r="BH73" s="96">
        <f>SUM('Defect (Total)'!BH73,Planned!CK73,Reconductor!CK73,CTGS!CK73,'Substation 2025$'!CK73*$BL$1,Comms!CG73*$BL$2)</f>
        <v>0</v>
      </c>
      <c r="BI73" s="286">
        <f>SUM('Defect (Total)'!BI73,Planned!CL73,Reconductor!CL73,CTGS!CL73,'Substation 2025$'!CL73*$BL$1,Comms!CH73*$BL$2)</f>
        <v>0</v>
      </c>
      <c r="BJ73" s="99" t="str">
        <f t="shared" si="45"/>
        <v/>
      </c>
      <c r="BK73" s="743"/>
      <c r="BL73" s="97"/>
      <c r="BM73" s="524"/>
      <c r="BN73" s="416">
        <f>'Distribution Summary'!CI73+'Substation 2025$'!CT73</f>
        <v>0</v>
      </c>
      <c r="BO73" s="97">
        <f>'Distribution Summary'!CJ73+'Substation 2025$'!CU73</f>
        <v>0</v>
      </c>
      <c r="BP73" s="97">
        <f>'Distribution Summary'!CK73+'Substation 2025$'!CV73</f>
        <v>0</v>
      </c>
      <c r="BQ73" s="97">
        <f>'Distribution Summary'!CL73+'Substation 2025$'!CW73</f>
        <v>0</v>
      </c>
      <c r="BR73" s="98">
        <f>'Distribution Summary'!CM73+'Substation 2025$'!CX73</f>
        <v>0</v>
      </c>
    </row>
    <row r="74" spans="1:70" x14ac:dyDescent="0.25">
      <c r="A74" s="81" t="s">
        <v>138</v>
      </c>
      <c r="B74" s="82" t="s">
        <v>151</v>
      </c>
      <c r="C74" s="83" t="s">
        <v>364</v>
      </c>
      <c r="D74" s="84">
        <f>SUM('Defect (Total)'!D74,Planned!D74,Reconductor!D74,CTGS!D74)</f>
        <v>0</v>
      </c>
      <c r="E74" s="85">
        <f>SUM('Defect (Total)'!E74,Planned!E74,Reconductor!E74,CTGS!E74)</f>
        <v>0</v>
      </c>
      <c r="F74" s="85">
        <f>SUM('Defect (Total)'!F74,Planned!F74,Reconductor!F74,CTGS!F74)</f>
        <v>0</v>
      </c>
      <c r="G74" s="85">
        <f>SUM('Defect (Total)'!G74,Planned!G74,Reconductor!G74,CTGS!G74)</f>
        <v>0</v>
      </c>
      <c r="H74" s="85">
        <f>SUM('Defect (Total)'!H74,Planned!H74,Reconductor!H74,CTGS!H74)</f>
        <v>0</v>
      </c>
      <c r="I74" s="85">
        <f>SUM('Defect (Total)'!I74,Planned!I74,Reconductor!I74,CTGS!I74)</f>
        <v>0</v>
      </c>
      <c r="J74" s="85">
        <f>SUM('Defect (Total)'!J74,Planned!J74,Reconductor!J74,CTGS!J74)</f>
        <v>0</v>
      </c>
      <c r="K74" s="85">
        <f>SUM('Defect (Total)'!K74,Planned!K74,Reconductor!K74,CTGS!K74)</f>
        <v>0</v>
      </c>
      <c r="L74" s="85">
        <f>SUM('Defect (Total)'!L74,Planned!L74,Reconductor!L74,CTGS!L74)</f>
        <v>0</v>
      </c>
      <c r="M74" s="85">
        <f>SUM('Defect (Total)'!M74,Planned!M74,Reconductor!M74,CTGS!M74)</f>
        <v>0</v>
      </c>
      <c r="N74" s="85">
        <f>SUM('Defect (Total)'!N74,Planned!N74,Reconductor!N74,CTGS!N74)</f>
        <v>0</v>
      </c>
      <c r="O74" s="560">
        <f>SUM('Defect (Total)'!O74,Planned!O74,Reconductor!O74,CTGS!O74)</f>
        <v>0</v>
      </c>
      <c r="P74" s="561">
        <f>SUM('Defect (Total)'!P74,Planned!P74,Reconductor!P74,CTGS!P74)</f>
        <v>0</v>
      </c>
      <c r="Q74" s="561">
        <f>SUM('Defect (Total)'!Q74,Planned!Q74,Reconductor!Q74,CTGS!Q74)</f>
        <v>0</v>
      </c>
      <c r="R74" s="561">
        <f>SUM('Defect (Total)'!R74,Planned!R74,Reconductor!R74,CTGS!R74)</f>
        <v>0</v>
      </c>
      <c r="S74" s="561">
        <f>SUM('Defect (Total)'!S74,Planned!S74,Reconductor!S74,CTGS!S74)</f>
        <v>0</v>
      </c>
      <c r="T74" s="561">
        <f>SUM('Defect (Total)'!T74,Planned!T74,Reconductor!T74,CTGS!T74)</f>
        <v>0</v>
      </c>
      <c r="U74" s="561">
        <f>SUM('Defect (Total)'!U74,Planned!U74,Reconductor!U74,CTGS!U74)</f>
        <v>0</v>
      </c>
      <c r="V74" s="561">
        <f>SUM('Defect (Total)'!V74,Planned!V74,Reconductor!V74,CTGS!V74)</f>
        <v>0</v>
      </c>
      <c r="W74" s="561">
        <f>SUM('Defect (Total)'!W74,Planned!W74,Reconductor!W74,CTGS!W74)</f>
        <v>0</v>
      </c>
      <c r="X74" s="561">
        <f>SUM('Defect (Total)'!X74,Planned!X74,Reconductor!X74,CTGS!X74)</f>
        <v>0</v>
      </c>
      <c r="Y74" s="561">
        <f>SUM('Defect (Total)'!Y74,Planned!Y74,Reconductor!Y74,CTGS!Y74)</f>
        <v>0</v>
      </c>
      <c r="Z74" s="86">
        <f>SUM('Defect (Total)'!Z74,Planned!Z74,Reconductor!Z74,CTGS!Z74)</f>
        <v>0</v>
      </c>
      <c r="AA74" s="87">
        <f>SUM('Defect (Total)'!AA74,Planned!AA74,Reconductor!AA74,CTGS!AA74)</f>
        <v>0</v>
      </c>
      <c r="AB74" s="87">
        <f>SUM('Defect (Total)'!AB74,Planned!AB74,Reconductor!AB74,CTGS!AB74)</f>
        <v>0</v>
      </c>
      <c r="AC74" s="87">
        <f>SUM('Defect (Total)'!AC74,Planned!AC74,Reconductor!AC74,CTGS!AC74)</f>
        <v>0</v>
      </c>
      <c r="AD74" s="87">
        <f>SUM('Defect (Total)'!AD74,Planned!AD74,Reconductor!AD74,CTGS!AD74)</f>
        <v>0</v>
      </c>
      <c r="AE74" s="87">
        <f>SUM('Defect (Total)'!AE74,Planned!AE74,Reconductor!AE74,CTGS!AE74)</f>
        <v>0</v>
      </c>
      <c r="AF74" s="87">
        <f>SUM('Defect (Total)'!AF74,Planned!AF74,Reconductor!AF74,CTGS!AF74)</f>
        <v>0</v>
      </c>
      <c r="AG74" s="87">
        <f>SUM('Defect (Total)'!AG74,Planned!AG74,Reconductor!AG74,CTGS!AG74)</f>
        <v>0</v>
      </c>
      <c r="AH74" s="87">
        <f>SUM('Defect (Total)'!AH74,Planned!AH74,Reconductor!AH74,CTGS!AH74)</f>
        <v>0</v>
      </c>
      <c r="AI74" s="87">
        <f>SUM('Defect (Total)'!AI74,Planned!AI74,Reconductor!AI74,CTGS!AI74)</f>
        <v>0</v>
      </c>
      <c r="AJ74" s="87">
        <f>SUM('Defect (Total)'!AJ74,Planned!AJ74,Reconductor!AJ74,CTGS!AJ74)</f>
        <v>0</v>
      </c>
      <c r="AK74" s="88">
        <f t="shared" si="43"/>
        <v>0</v>
      </c>
      <c r="AL74" s="89">
        <f t="shared" si="18"/>
        <v>0</v>
      </c>
      <c r="AM74" s="90">
        <f t="shared" si="44"/>
        <v>0</v>
      </c>
      <c r="AN74" s="91" t="str">
        <f t="shared" si="31"/>
        <v/>
      </c>
      <c r="AO74" s="92" t="str">
        <f t="shared" si="32"/>
        <v/>
      </c>
      <c r="AP74" s="92" t="str">
        <f t="shared" si="33"/>
        <v/>
      </c>
      <c r="AQ74" s="92" t="str">
        <f t="shared" si="34"/>
        <v/>
      </c>
      <c r="AR74" s="92" t="str">
        <f t="shared" si="35"/>
        <v/>
      </c>
      <c r="AS74" s="92" t="str">
        <f t="shared" si="36"/>
        <v/>
      </c>
      <c r="AT74" s="92" t="str">
        <f t="shared" si="37"/>
        <v/>
      </c>
      <c r="AU74" s="92" t="str">
        <f t="shared" si="38"/>
        <v/>
      </c>
      <c r="AV74" s="92" t="str">
        <f t="shared" si="39"/>
        <v/>
      </c>
      <c r="AW74" s="92" t="str">
        <f t="shared" si="40"/>
        <v/>
      </c>
      <c r="AX74" s="92" t="str">
        <f t="shared" si="40"/>
        <v/>
      </c>
      <c r="AY74" s="93" t="str">
        <f t="shared" si="29"/>
        <v/>
      </c>
      <c r="AZ74" s="94" t="str">
        <f t="shared" si="41"/>
        <v/>
      </c>
      <c r="BA74" s="95" t="str">
        <f t="shared" si="42"/>
        <v/>
      </c>
      <c r="BB74" s="689">
        <f>SUM('Defect (Total)'!BB74,Planned!CE74,Reconductor!CE74,CTGS!CE74,'Substation 2025$'!CE74*$BL$1,Comms!CA74*$BL$2)</f>
        <v>0</v>
      </c>
      <c r="BC74" s="689">
        <f>SUM('Defect (Total)'!BC74,Planned!CF74,Reconductor!CF74,CTGS!CF74,'Substation 2025$'!CF74*$BL$1,Comms!CB74*$BL$2)</f>
        <v>0</v>
      </c>
      <c r="BD74" s="96">
        <f>SUM('Defect (Total)'!BD74,Planned!CG74,Reconductor!CG74,CTGS!CG74,'Substation 2025$'!CG74*$BL$1,Comms!CC74*$BL$2)</f>
        <v>0</v>
      </c>
      <c r="BE74" s="96">
        <f>SUM('Defect (Total)'!BE74,Planned!CH74,Reconductor!CH74,CTGS!CH74,'Substation 2025$'!CH74*$BL$1,Comms!CD74*$BL$2)</f>
        <v>0</v>
      </c>
      <c r="BF74" s="96">
        <f>SUM('Defect (Total)'!BF74,Planned!CI74,Reconductor!CI74,CTGS!CI74,'Substation 2025$'!CI74*$BL$1,Comms!CE74*$BL$2)</f>
        <v>0</v>
      </c>
      <c r="BG74" s="96">
        <f>SUM('Defect (Total)'!BG74,Planned!CJ74,Reconductor!CJ74,CTGS!CJ74,'Substation 2025$'!CJ74*$BL$1,Comms!CF74*$BL$2)</f>
        <v>0</v>
      </c>
      <c r="BH74" s="96">
        <f>SUM('Defect (Total)'!BH74,Planned!CK74,Reconductor!CK74,CTGS!CK74,'Substation 2025$'!CK74*$BL$1,Comms!CG74*$BL$2)</f>
        <v>0</v>
      </c>
      <c r="BI74" s="286">
        <f>SUM('Defect (Total)'!BI74,Planned!CL74,Reconductor!CL74,CTGS!CL74,'Substation 2025$'!CL74*$BL$1,Comms!CH74*$BL$2)</f>
        <v>0</v>
      </c>
      <c r="BJ74" s="99" t="str">
        <f t="shared" si="45"/>
        <v/>
      </c>
      <c r="BK74" s="743"/>
      <c r="BL74" s="97"/>
      <c r="BM74" s="524"/>
      <c r="BN74" s="416">
        <f>'Distribution Summary'!CI74+'Substation 2025$'!CT74</f>
        <v>0</v>
      </c>
      <c r="BO74" s="97">
        <f>'Distribution Summary'!CJ74+'Substation 2025$'!CU74</f>
        <v>0</v>
      </c>
      <c r="BP74" s="97">
        <f>'Distribution Summary'!CK74+'Substation 2025$'!CV74</f>
        <v>0</v>
      </c>
      <c r="BQ74" s="97">
        <f>'Distribution Summary'!CL74+'Substation 2025$'!CW74</f>
        <v>0</v>
      </c>
      <c r="BR74" s="98">
        <f>'Distribution Summary'!CM74+'Substation 2025$'!CX74</f>
        <v>0</v>
      </c>
    </row>
    <row r="75" spans="1:70" x14ac:dyDescent="0.25">
      <c r="A75" s="81" t="s">
        <v>138</v>
      </c>
      <c r="B75" s="82" t="s">
        <v>153</v>
      </c>
      <c r="C75" s="83" t="s">
        <v>365</v>
      </c>
      <c r="D75" s="84">
        <f>SUM('Defect (Total)'!D75,Planned!D75,Reconductor!D75,CTGS!D75)</f>
        <v>0</v>
      </c>
      <c r="E75" s="85">
        <f>SUM('Defect (Total)'!E75,Planned!E75,Reconductor!E75,CTGS!E75)</f>
        <v>0</v>
      </c>
      <c r="F75" s="85">
        <f>SUM('Defect (Total)'!F75,Planned!F75,Reconductor!F75,CTGS!F75)</f>
        <v>0</v>
      </c>
      <c r="G75" s="85">
        <f>SUM('Defect (Total)'!G75,Planned!G75,Reconductor!G75,CTGS!G75)</f>
        <v>0</v>
      </c>
      <c r="H75" s="85">
        <f>SUM('Defect (Total)'!H75,Planned!H75,Reconductor!H75,CTGS!H75)</f>
        <v>0</v>
      </c>
      <c r="I75" s="85">
        <f>SUM('Defect (Total)'!I75,Planned!I75,Reconductor!I75,CTGS!I75)</f>
        <v>0</v>
      </c>
      <c r="J75" s="85">
        <f>SUM('Defect (Total)'!J75,Planned!J75,Reconductor!J75,CTGS!J75)</f>
        <v>0</v>
      </c>
      <c r="K75" s="85">
        <f>SUM('Defect (Total)'!K75,Planned!K75,Reconductor!K75,CTGS!K75)</f>
        <v>0</v>
      </c>
      <c r="L75" s="85">
        <f>SUM('Defect (Total)'!L75,Planned!L75,Reconductor!L75,CTGS!L75)</f>
        <v>0</v>
      </c>
      <c r="M75" s="85">
        <f>SUM('Defect (Total)'!M75,Planned!M75,Reconductor!M75,CTGS!M75)</f>
        <v>0</v>
      </c>
      <c r="N75" s="85">
        <f>SUM('Defect (Total)'!N75,Planned!N75,Reconductor!N75,CTGS!N75)</f>
        <v>0</v>
      </c>
      <c r="O75" s="560">
        <f>SUM('Defect (Total)'!O75,Planned!O75,Reconductor!O75,CTGS!O75)</f>
        <v>0</v>
      </c>
      <c r="P75" s="561">
        <f>SUM('Defect (Total)'!P75,Planned!P75,Reconductor!P75,CTGS!P75)</f>
        <v>0</v>
      </c>
      <c r="Q75" s="561">
        <f>SUM('Defect (Total)'!Q75,Planned!Q75,Reconductor!Q75,CTGS!Q75)</f>
        <v>0</v>
      </c>
      <c r="R75" s="561">
        <f>SUM('Defect (Total)'!R75,Planned!R75,Reconductor!R75,CTGS!R75)</f>
        <v>0</v>
      </c>
      <c r="S75" s="561">
        <f>SUM('Defect (Total)'!S75,Planned!S75,Reconductor!S75,CTGS!S75)</f>
        <v>0</v>
      </c>
      <c r="T75" s="561">
        <f>SUM('Defect (Total)'!T75,Planned!T75,Reconductor!T75,CTGS!T75)</f>
        <v>0</v>
      </c>
      <c r="U75" s="561">
        <f>SUM('Defect (Total)'!U75,Planned!U75,Reconductor!U75,CTGS!U75)</f>
        <v>0</v>
      </c>
      <c r="V75" s="561">
        <f>SUM('Defect (Total)'!V75,Planned!V75,Reconductor!V75,CTGS!V75)</f>
        <v>0</v>
      </c>
      <c r="W75" s="561">
        <f>SUM('Defect (Total)'!W75,Planned!W75,Reconductor!W75,CTGS!W75)</f>
        <v>0</v>
      </c>
      <c r="X75" s="561">
        <f>SUM('Defect (Total)'!X75,Planned!X75,Reconductor!X75,CTGS!X75)</f>
        <v>0</v>
      </c>
      <c r="Y75" s="561">
        <f>SUM('Defect (Total)'!Y75,Planned!Y75,Reconductor!Y75,CTGS!Y75)</f>
        <v>0</v>
      </c>
      <c r="Z75" s="86">
        <f>SUM('Defect (Total)'!Z75,Planned!Z75,Reconductor!Z75,CTGS!Z75)</f>
        <v>0</v>
      </c>
      <c r="AA75" s="87">
        <f>SUM('Defect (Total)'!AA75,Planned!AA75,Reconductor!AA75,CTGS!AA75)</f>
        <v>0</v>
      </c>
      <c r="AB75" s="87">
        <f>SUM('Defect (Total)'!AB75,Planned!AB75,Reconductor!AB75,CTGS!AB75)</f>
        <v>0</v>
      </c>
      <c r="AC75" s="87">
        <f>SUM('Defect (Total)'!AC75,Planned!AC75,Reconductor!AC75,CTGS!AC75)</f>
        <v>0</v>
      </c>
      <c r="AD75" s="87">
        <f>SUM('Defect (Total)'!AD75,Planned!AD75,Reconductor!AD75,CTGS!AD75)</f>
        <v>0</v>
      </c>
      <c r="AE75" s="87">
        <f>SUM('Defect (Total)'!AE75,Planned!AE75,Reconductor!AE75,CTGS!AE75)</f>
        <v>0</v>
      </c>
      <c r="AF75" s="87">
        <f>SUM('Defect (Total)'!AF75,Planned!AF75,Reconductor!AF75,CTGS!AF75)</f>
        <v>0</v>
      </c>
      <c r="AG75" s="87">
        <f>SUM('Defect (Total)'!AG75,Planned!AG75,Reconductor!AG75,CTGS!AG75)</f>
        <v>0</v>
      </c>
      <c r="AH75" s="87">
        <f>SUM('Defect (Total)'!AH75,Planned!AH75,Reconductor!AH75,CTGS!AH75)</f>
        <v>0</v>
      </c>
      <c r="AI75" s="87">
        <f>SUM('Defect (Total)'!AI75,Planned!AI75,Reconductor!AI75,CTGS!AI75)</f>
        <v>0</v>
      </c>
      <c r="AJ75" s="87">
        <f>SUM('Defect (Total)'!AJ75,Planned!AJ75,Reconductor!AJ75,CTGS!AJ75)</f>
        <v>0</v>
      </c>
      <c r="AK75" s="88">
        <f t="shared" si="43"/>
        <v>0</v>
      </c>
      <c r="AL75" s="89">
        <f t="shared" si="18"/>
        <v>0</v>
      </c>
      <c r="AM75" s="90">
        <f t="shared" si="44"/>
        <v>0</v>
      </c>
      <c r="AN75" s="91" t="str">
        <f t="shared" si="31"/>
        <v/>
      </c>
      <c r="AO75" s="92" t="str">
        <f t="shared" si="32"/>
        <v/>
      </c>
      <c r="AP75" s="92" t="str">
        <f t="shared" si="33"/>
        <v/>
      </c>
      <c r="AQ75" s="92" t="str">
        <f t="shared" si="34"/>
        <v/>
      </c>
      <c r="AR75" s="92" t="str">
        <f t="shared" si="35"/>
        <v/>
      </c>
      <c r="AS75" s="92" t="str">
        <f t="shared" si="36"/>
        <v/>
      </c>
      <c r="AT75" s="92" t="str">
        <f t="shared" si="37"/>
        <v/>
      </c>
      <c r="AU75" s="92" t="str">
        <f t="shared" si="38"/>
        <v/>
      </c>
      <c r="AV75" s="92" t="str">
        <f t="shared" si="39"/>
        <v/>
      </c>
      <c r="AW75" s="92" t="str">
        <f t="shared" si="40"/>
        <v/>
      </c>
      <c r="AX75" s="92" t="str">
        <f t="shared" si="40"/>
        <v/>
      </c>
      <c r="AY75" s="93" t="str">
        <f t="shared" si="29"/>
        <v/>
      </c>
      <c r="AZ75" s="94" t="str">
        <f t="shared" si="41"/>
        <v/>
      </c>
      <c r="BA75" s="95" t="str">
        <f t="shared" si="42"/>
        <v/>
      </c>
      <c r="BB75" s="689">
        <f>SUM('Defect (Total)'!BB75,Planned!CE75,Reconductor!CE75,CTGS!CE75,'Substation 2025$'!CE75*$BL$1,Comms!CA75*$BL$2)</f>
        <v>0</v>
      </c>
      <c r="BC75" s="689">
        <f>SUM('Defect (Total)'!BC75,Planned!CF75,Reconductor!CF75,CTGS!CF75,'Substation 2025$'!CF75*$BL$1,Comms!CB75*$BL$2)</f>
        <v>0</v>
      </c>
      <c r="BD75" s="96">
        <f>SUM('Defect (Total)'!BD75,Planned!CG75,Reconductor!CG75,CTGS!CG75,'Substation 2025$'!CG75*$BL$1,Comms!CC75*$BL$2)</f>
        <v>0</v>
      </c>
      <c r="BE75" s="96">
        <f>SUM('Defect (Total)'!BE75,Planned!CH75,Reconductor!CH75,CTGS!CH75,'Substation 2025$'!CH75*$BL$1,Comms!CD75*$BL$2)</f>
        <v>0</v>
      </c>
      <c r="BF75" s="96">
        <f>SUM('Defect (Total)'!BF75,Planned!CI75,Reconductor!CI75,CTGS!CI75,'Substation 2025$'!CI75*$BL$1,Comms!CE75*$BL$2)</f>
        <v>0</v>
      </c>
      <c r="BG75" s="96">
        <f>SUM('Defect (Total)'!BG75,Planned!CJ75,Reconductor!CJ75,CTGS!CJ75,'Substation 2025$'!CJ75*$BL$1,Comms!CF75*$BL$2)</f>
        <v>0</v>
      </c>
      <c r="BH75" s="96">
        <f>SUM('Defect (Total)'!BH75,Planned!CK75,Reconductor!CK75,CTGS!CK75,'Substation 2025$'!CK75*$BL$1,Comms!CG75*$BL$2)</f>
        <v>0</v>
      </c>
      <c r="BI75" s="286">
        <f>SUM('Defect (Total)'!BI75,Planned!CL75,Reconductor!CL75,CTGS!CL75,'Substation 2025$'!CL75*$BL$1,Comms!CH75*$BL$2)</f>
        <v>0</v>
      </c>
      <c r="BJ75" s="99" t="str">
        <f t="shared" si="45"/>
        <v/>
      </c>
      <c r="BK75" s="743"/>
      <c r="BL75" s="97"/>
      <c r="BM75" s="524"/>
      <c r="BN75" s="416">
        <f>'Distribution Summary'!CI75+'Substation 2025$'!CT75</f>
        <v>0</v>
      </c>
      <c r="BO75" s="97">
        <f>'Distribution Summary'!CJ75+'Substation 2025$'!CU75</f>
        <v>0</v>
      </c>
      <c r="BP75" s="97">
        <f>'Distribution Summary'!CK75+'Substation 2025$'!CV75</f>
        <v>0</v>
      </c>
      <c r="BQ75" s="97">
        <f>'Distribution Summary'!CL75+'Substation 2025$'!CW75</f>
        <v>0</v>
      </c>
      <c r="BR75" s="98">
        <f>'Distribution Summary'!CM75+'Substation 2025$'!CX75</f>
        <v>0</v>
      </c>
    </row>
    <row r="76" spans="1:70" x14ac:dyDescent="0.25">
      <c r="A76" s="81" t="s">
        <v>138</v>
      </c>
      <c r="B76" s="82" t="s">
        <v>155</v>
      </c>
      <c r="C76" s="83" t="s">
        <v>366</v>
      </c>
      <c r="D76" s="84">
        <f>SUM('Defect (Total)'!D76,Planned!D76,Reconductor!D76,CTGS!D76)</f>
        <v>0</v>
      </c>
      <c r="E76" s="85">
        <f>SUM('Defect (Total)'!E76,Planned!E76,Reconductor!E76,CTGS!E76)</f>
        <v>0</v>
      </c>
      <c r="F76" s="85">
        <f>SUM('Defect (Total)'!F76,Planned!F76,Reconductor!F76,CTGS!F76)</f>
        <v>0</v>
      </c>
      <c r="G76" s="85">
        <f>SUM('Defect (Total)'!G76,Planned!G76,Reconductor!G76,CTGS!G76)</f>
        <v>0</v>
      </c>
      <c r="H76" s="85">
        <f>SUM('Defect (Total)'!H76,Planned!H76,Reconductor!H76,CTGS!H76)</f>
        <v>0</v>
      </c>
      <c r="I76" s="85">
        <f>SUM('Defect (Total)'!I76,Planned!I76,Reconductor!I76,CTGS!I76)</f>
        <v>0</v>
      </c>
      <c r="J76" s="85">
        <f>SUM('Defect (Total)'!J76,Planned!J76,Reconductor!J76,CTGS!J76)</f>
        <v>0</v>
      </c>
      <c r="K76" s="85">
        <f>SUM('Defect (Total)'!K76,Planned!K76,Reconductor!K76,CTGS!K76)</f>
        <v>0</v>
      </c>
      <c r="L76" s="85">
        <f>SUM('Defect (Total)'!L76,Planned!L76,Reconductor!L76,CTGS!L76)</f>
        <v>0</v>
      </c>
      <c r="M76" s="85">
        <f>SUM('Defect (Total)'!M76,Planned!M76,Reconductor!M76,CTGS!M76)</f>
        <v>0</v>
      </c>
      <c r="N76" s="85">
        <f>SUM('Defect (Total)'!N76,Planned!N76,Reconductor!N76,CTGS!N76)</f>
        <v>0</v>
      </c>
      <c r="O76" s="560">
        <f>SUM('Defect (Total)'!O76,Planned!O76,Reconductor!O76,CTGS!O76)</f>
        <v>0</v>
      </c>
      <c r="P76" s="561">
        <f>SUM('Defect (Total)'!P76,Planned!P76,Reconductor!P76,CTGS!P76)</f>
        <v>0</v>
      </c>
      <c r="Q76" s="561">
        <f>SUM('Defect (Total)'!Q76,Planned!Q76,Reconductor!Q76,CTGS!Q76)</f>
        <v>0</v>
      </c>
      <c r="R76" s="561">
        <f>SUM('Defect (Total)'!R76,Planned!R76,Reconductor!R76,CTGS!R76)</f>
        <v>0</v>
      </c>
      <c r="S76" s="561">
        <f>SUM('Defect (Total)'!S76,Planned!S76,Reconductor!S76,CTGS!S76)</f>
        <v>0</v>
      </c>
      <c r="T76" s="561">
        <f>SUM('Defect (Total)'!T76,Planned!T76,Reconductor!T76,CTGS!T76)</f>
        <v>0</v>
      </c>
      <c r="U76" s="561">
        <f>SUM('Defect (Total)'!U76,Planned!U76,Reconductor!U76,CTGS!U76)</f>
        <v>0</v>
      </c>
      <c r="V76" s="561">
        <f>SUM('Defect (Total)'!V76,Planned!V76,Reconductor!V76,CTGS!V76)</f>
        <v>0</v>
      </c>
      <c r="W76" s="561">
        <f>SUM('Defect (Total)'!W76,Planned!W76,Reconductor!W76,CTGS!W76)</f>
        <v>0</v>
      </c>
      <c r="X76" s="561">
        <f>SUM('Defect (Total)'!X76,Planned!X76,Reconductor!X76,CTGS!X76)</f>
        <v>0</v>
      </c>
      <c r="Y76" s="561">
        <f>SUM('Defect (Total)'!Y76,Planned!Y76,Reconductor!Y76,CTGS!Y76)</f>
        <v>0</v>
      </c>
      <c r="Z76" s="86">
        <f>SUM('Defect (Total)'!Z76,Planned!Z76,Reconductor!Z76,CTGS!Z76)</f>
        <v>0</v>
      </c>
      <c r="AA76" s="87">
        <f>SUM('Defect (Total)'!AA76,Planned!AA76,Reconductor!AA76,CTGS!AA76)</f>
        <v>0</v>
      </c>
      <c r="AB76" s="87">
        <f>SUM('Defect (Total)'!AB76,Planned!AB76,Reconductor!AB76,CTGS!AB76)</f>
        <v>0</v>
      </c>
      <c r="AC76" s="87">
        <f>SUM('Defect (Total)'!AC76,Planned!AC76,Reconductor!AC76,CTGS!AC76)</f>
        <v>0</v>
      </c>
      <c r="AD76" s="87">
        <f>SUM('Defect (Total)'!AD76,Planned!AD76,Reconductor!AD76,CTGS!AD76)</f>
        <v>0</v>
      </c>
      <c r="AE76" s="87">
        <f>SUM('Defect (Total)'!AE76,Planned!AE76,Reconductor!AE76,CTGS!AE76)</f>
        <v>0</v>
      </c>
      <c r="AF76" s="87">
        <f>SUM('Defect (Total)'!AF76,Planned!AF76,Reconductor!AF76,CTGS!AF76)</f>
        <v>0</v>
      </c>
      <c r="AG76" s="87">
        <f>SUM('Defect (Total)'!AG76,Planned!AG76,Reconductor!AG76,CTGS!AG76)</f>
        <v>0</v>
      </c>
      <c r="AH76" s="87">
        <f>SUM('Defect (Total)'!AH76,Planned!AH76,Reconductor!AH76,CTGS!AH76)</f>
        <v>0</v>
      </c>
      <c r="AI76" s="87">
        <f>SUM('Defect (Total)'!AI76,Planned!AI76,Reconductor!AI76,CTGS!AI76)</f>
        <v>0</v>
      </c>
      <c r="AJ76" s="87">
        <f>SUM('Defect (Total)'!AJ76,Planned!AJ76,Reconductor!AJ76,CTGS!AJ76)</f>
        <v>0</v>
      </c>
      <c r="AK76" s="88">
        <f t="shared" si="43"/>
        <v>0</v>
      </c>
      <c r="AL76" s="89">
        <f t="shared" si="18"/>
        <v>0</v>
      </c>
      <c r="AM76" s="90">
        <f t="shared" si="44"/>
        <v>0</v>
      </c>
      <c r="AN76" s="91" t="str">
        <f t="shared" si="31"/>
        <v/>
      </c>
      <c r="AO76" s="92" t="str">
        <f t="shared" si="32"/>
        <v/>
      </c>
      <c r="AP76" s="92" t="str">
        <f t="shared" si="33"/>
        <v/>
      </c>
      <c r="AQ76" s="92" t="str">
        <f t="shared" si="34"/>
        <v/>
      </c>
      <c r="AR76" s="92" t="str">
        <f t="shared" si="35"/>
        <v/>
      </c>
      <c r="AS76" s="92" t="str">
        <f t="shared" si="36"/>
        <v/>
      </c>
      <c r="AT76" s="92" t="str">
        <f t="shared" si="37"/>
        <v/>
      </c>
      <c r="AU76" s="92" t="str">
        <f t="shared" si="38"/>
        <v/>
      </c>
      <c r="AV76" s="92" t="str">
        <f t="shared" si="39"/>
        <v/>
      </c>
      <c r="AW76" s="92" t="str">
        <f t="shared" si="40"/>
        <v/>
      </c>
      <c r="AX76" s="92" t="str">
        <f t="shared" si="40"/>
        <v/>
      </c>
      <c r="AY76" s="93" t="str">
        <f t="shared" si="29"/>
        <v/>
      </c>
      <c r="AZ76" s="94" t="str">
        <f t="shared" si="41"/>
        <v/>
      </c>
      <c r="BA76" s="95" t="str">
        <f t="shared" si="42"/>
        <v/>
      </c>
      <c r="BB76" s="689">
        <f>SUM('Defect (Total)'!BB76,Planned!CE76,Reconductor!CE76,CTGS!CE76,'Substation 2025$'!CE76*$BL$1,Comms!CA76*$BL$2)</f>
        <v>0</v>
      </c>
      <c r="BC76" s="689">
        <f>SUM('Defect (Total)'!BC76,Planned!CF76,Reconductor!CF76,CTGS!CF76,'Substation 2025$'!CF76*$BL$1,Comms!CB76*$BL$2)</f>
        <v>0</v>
      </c>
      <c r="BD76" s="96">
        <f>SUM('Defect (Total)'!BD76,Planned!CG76,Reconductor!CG76,CTGS!CG76,'Substation 2025$'!CG76*$BL$1,Comms!CC76*$BL$2)</f>
        <v>0</v>
      </c>
      <c r="BE76" s="96">
        <f>SUM('Defect (Total)'!BE76,Planned!CH76,Reconductor!CH76,CTGS!CH76,'Substation 2025$'!CH76*$BL$1,Comms!CD76*$BL$2)</f>
        <v>0</v>
      </c>
      <c r="BF76" s="96">
        <f>SUM('Defect (Total)'!BF76,Planned!CI76,Reconductor!CI76,CTGS!CI76,'Substation 2025$'!CI76*$BL$1,Comms!CE76*$BL$2)</f>
        <v>0</v>
      </c>
      <c r="BG76" s="96">
        <f>SUM('Defect (Total)'!BG76,Planned!CJ76,Reconductor!CJ76,CTGS!CJ76,'Substation 2025$'!CJ76*$BL$1,Comms!CF76*$BL$2)</f>
        <v>0</v>
      </c>
      <c r="BH76" s="96">
        <f>SUM('Defect (Total)'!BH76,Planned!CK76,Reconductor!CK76,CTGS!CK76,'Substation 2025$'!CK76*$BL$1,Comms!CG76*$BL$2)</f>
        <v>0</v>
      </c>
      <c r="BI76" s="286">
        <f>SUM('Defect (Total)'!BI76,Planned!CL76,Reconductor!CL76,CTGS!CL76,'Substation 2025$'!CL76*$BL$1,Comms!CH76*$BL$2)</f>
        <v>0</v>
      </c>
      <c r="BJ76" s="99" t="str">
        <f t="shared" si="45"/>
        <v/>
      </c>
      <c r="BK76" s="743"/>
      <c r="BL76" s="97"/>
      <c r="BM76" s="524"/>
      <c r="BN76" s="416">
        <f>'Distribution Summary'!CI76+'Substation 2025$'!CT76</f>
        <v>0</v>
      </c>
      <c r="BO76" s="97">
        <f>'Distribution Summary'!CJ76+'Substation 2025$'!CU76</f>
        <v>0</v>
      </c>
      <c r="BP76" s="97">
        <f>'Distribution Summary'!CK76+'Substation 2025$'!CV76</f>
        <v>0</v>
      </c>
      <c r="BQ76" s="97">
        <f>'Distribution Summary'!CL76+'Substation 2025$'!CW76</f>
        <v>0</v>
      </c>
      <c r="BR76" s="98">
        <f>'Distribution Summary'!CM76+'Substation 2025$'!CX76</f>
        <v>0</v>
      </c>
    </row>
    <row r="77" spans="1:70" x14ac:dyDescent="0.25">
      <c r="A77" s="81" t="s">
        <v>138</v>
      </c>
      <c r="B77" s="82" t="s">
        <v>157</v>
      </c>
      <c r="C77" s="83" t="s">
        <v>367</v>
      </c>
      <c r="D77" s="84">
        <f>SUM('Defect (Total)'!D77,Planned!D77,Reconductor!D77,CTGS!D77)</f>
        <v>957269</v>
      </c>
      <c r="E77" s="85">
        <f>SUM('Defect (Total)'!E77,Planned!E77,Reconductor!E77,CTGS!E77)</f>
        <v>6980790</v>
      </c>
      <c r="F77" s="85">
        <f>SUM('Defect (Total)'!F77,Planned!F77,Reconductor!F77,CTGS!F77)</f>
        <v>3204121</v>
      </c>
      <c r="G77" s="85">
        <f>SUM('Defect (Total)'!G77,Planned!G77,Reconductor!G77,CTGS!G77)</f>
        <v>2454860</v>
      </c>
      <c r="H77" s="85">
        <f>SUM('Defect (Total)'!H77,Planned!H77,Reconductor!H77,CTGS!H77)</f>
        <v>3798580</v>
      </c>
      <c r="I77" s="85">
        <f>SUM('Defect (Total)'!I77,Planned!I77,Reconductor!I77,CTGS!I77)</f>
        <v>5762934.3257183684</v>
      </c>
      <c r="J77" s="85">
        <f>SUM('Defect (Total)'!J77,Planned!J77,Reconductor!J77,CTGS!J77)</f>
        <v>4115054.0009450135</v>
      </c>
      <c r="K77" s="85">
        <f>SUM('Defect (Total)'!K77,Planned!K77,Reconductor!K77,CTGS!K77)</f>
        <v>7634899.2763322387</v>
      </c>
      <c r="L77" s="85">
        <f>SUM('Defect (Total)'!L77,Planned!L77,Reconductor!L77,CTGS!L77)</f>
        <v>8367413.4908599071</v>
      </c>
      <c r="M77" s="85">
        <f>SUM('Defect (Total)'!M77,Planned!M77,Reconductor!M77,CTGS!M77)</f>
        <v>7465331.9368924638</v>
      </c>
      <c r="N77" s="85">
        <f>SUM('Defect (Total)'!N77,Planned!N77,Reconductor!N77,CTGS!N77)</f>
        <v>8828575.6663557477</v>
      </c>
      <c r="O77" s="560">
        <f>SUM('Defect (Total)'!O77,Planned!O77,Reconductor!O77,CTGS!O77)</f>
        <v>1287963.6252305608</v>
      </c>
      <c r="P77" s="561">
        <f>SUM('Defect (Total)'!P77,Planned!P77,Reconductor!P77,CTGS!P77)</f>
        <v>9252554.9317662977</v>
      </c>
      <c r="Q77" s="561">
        <f>SUM('Defect (Total)'!Q77,Planned!Q77,Reconductor!Q77,CTGS!Q77)</f>
        <v>4203825.1684371028</v>
      </c>
      <c r="R77" s="561">
        <f>SUM('Defect (Total)'!R77,Planned!R77,Reconductor!R77,CTGS!R77)</f>
        <v>3159691.4244387876</v>
      </c>
      <c r="S77" s="561">
        <f>SUM('Defect (Total)'!S77,Planned!S77,Reconductor!S77,CTGS!S77)</f>
        <v>4789700.9287145222</v>
      </c>
      <c r="T77" s="561">
        <f>SUM('Defect (Total)'!T77,Planned!T77,Reconductor!T77,CTGS!T77)</f>
        <v>7152656.1094487607</v>
      </c>
      <c r="U77" s="561">
        <f>SUM('Defect (Total)'!U77,Planned!U77,Reconductor!U77,CTGS!U77)</f>
        <v>5125250.2697597863</v>
      </c>
      <c r="V77" s="561">
        <f>SUM('Defect (Total)'!V77,Planned!V77,Reconductor!V77,CTGS!V77)</f>
        <v>9156983.5547473915</v>
      </c>
      <c r="W77" s="561">
        <f>SUM('Defect (Total)'!W77,Planned!W77,Reconductor!W77,CTGS!W77)</f>
        <v>9454568.3812344521</v>
      </c>
      <c r="X77" s="561">
        <f>SUM('Defect (Total)'!X77,Planned!X77,Reconductor!X77,CTGS!X77)</f>
        <v>7939088.8151925523</v>
      </c>
      <c r="Y77" s="561">
        <f>SUM('Defect (Total)'!Y77,Planned!Y77,Reconductor!Y77,CTGS!Y77)</f>
        <v>9071348.0717070717</v>
      </c>
      <c r="Z77" s="86">
        <f>SUM('Defect (Total)'!Z77,Planned!Z77,Reconductor!Z77,CTGS!Z77)</f>
        <v>12</v>
      </c>
      <c r="AA77" s="87">
        <f>SUM('Defect (Total)'!AA77,Planned!AA77,Reconductor!AA77,CTGS!AA77)</f>
        <v>20</v>
      </c>
      <c r="AB77" s="87">
        <f>SUM('Defect (Total)'!AB77,Planned!AB77,Reconductor!AB77,CTGS!AB77)</f>
        <v>21</v>
      </c>
      <c r="AC77" s="87">
        <f>SUM('Defect (Total)'!AC77,Planned!AC77,Reconductor!AC77,CTGS!AC77)</f>
        <v>10</v>
      </c>
      <c r="AD77" s="87">
        <f>SUM('Defect (Total)'!AD77,Planned!AD77,Reconductor!AD77,CTGS!AD77)</f>
        <v>21</v>
      </c>
      <c r="AE77" s="87">
        <f>SUM('Defect (Total)'!AE77,Planned!AE77,Reconductor!AE77,CTGS!AE77)</f>
        <v>24</v>
      </c>
      <c r="AF77" s="87">
        <f>SUM('Defect (Total)'!AF77,Planned!AF77,Reconductor!AF77,CTGS!AF77)</f>
        <v>26</v>
      </c>
      <c r="AG77" s="87">
        <f>SUM('Defect (Total)'!AG77,Planned!AG77,Reconductor!AG77,CTGS!AG77)</f>
        <v>65</v>
      </c>
      <c r="AH77" s="87">
        <f>SUM('Defect (Total)'!AH77,Planned!AH77,Reconductor!AH77,CTGS!AH77)</f>
        <v>99</v>
      </c>
      <c r="AI77" s="87">
        <f>SUM('Defect (Total)'!AI77,Planned!AI77,Reconductor!AI77,CTGS!AI77)</f>
        <v>96</v>
      </c>
      <c r="AJ77" s="87">
        <f>SUM('Defect (Total)'!AJ77,Planned!AJ77,Reconductor!AJ77,CTGS!AJ77)</f>
        <v>84</v>
      </c>
      <c r="AK77" s="88">
        <f t="shared" si="43"/>
        <v>47</v>
      </c>
      <c r="AL77" s="89">
        <f t="shared" si="18"/>
        <v>63.333333333333336</v>
      </c>
      <c r="AM77" s="90">
        <f t="shared" si="44"/>
        <v>99</v>
      </c>
      <c r="AN77" s="91">
        <f t="shared" si="31"/>
        <v>79772.416666666672</v>
      </c>
      <c r="AO77" s="92">
        <f t="shared" si="32"/>
        <v>349039.5</v>
      </c>
      <c r="AP77" s="92">
        <f t="shared" si="33"/>
        <v>152577.19047619047</v>
      </c>
      <c r="AQ77" s="92">
        <f t="shared" si="34"/>
        <v>245486</v>
      </c>
      <c r="AR77" s="92">
        <f t="shared" si="35"/>
        <v>180884.76190476189</v>
      </c>
      <c r="AS77" s="92">
        <f t="shared" si="36"/>
        <v>240122.26357159868</v>
      </c>
      <c r="AT77" s="92">
        <f t="shared" si="37"/>
        <v>158271.30772865436</v>
      </c>
      <c r="AU77" s="92">
        <f t="shared" si="38"/>
        <v>117459.98886664983</v>
      </c>
      <c r="AV77" s="92">
        <f t="shared" si="39"/>
        <v>84519.328190504108</v>
      </c>
      <c r="AW77" s="92">
        <f t="shared" si="40"/>
        <v>77763.874342629832</v>
      </c>
      <c r="AX77" s="92">
        <f t="shared" si="40"/>
        <v>105102.09126613985</v>
      </c>
      <c r="AY77" s="93">
        <f t="shared" si="29"/>
        <v>126293.11103768309</v>
      </c>
      <c r="AZ77" s="94">
        <f t="shared" si="41"/>
        <v>105880.87772703767</v>
      </c>
      <c r="BA77" s="95">
        <f t="shared" si="42"/>
        <v>84519.328190504108</v>
      </c>
      <c r="BB77" s="689">
        <f>SUM('Defect (Total)'!BB77,Planned!CE77,Reconductor!CE77,CTGS!CE77,'Substation 2025$'!CE77*$BL$1,Comms!CA77*$BL$2)</f>
        <v>63.2</v>
      </c>
      <c r="BC77" s="689">
        <f>SUM('Defect (Total)'!BC77,Planned!CF77,Reconductor!CF77,CTGS!CF77,'Substation 2025$'!CF77*$BL$1,Comms!CB77*$BL$2)</f>
        <v>64.2</v>
      </c>
      <c r="BD77" s="96">
        <f>SUM('Defect (Total)'!BD77,Planned!CG77,Reconductor!CG77,CTGS!CG77,'Substation 2025$'!CG77*$BL$1,Comms!CC77*$BL$2)</f>
        <v>63.2</v>
      </c>
      <c r="BE77" s="96">
        <f>SUM('Defect (Total)'!BE77,Planned!CH77,Reconductor!CH77,CTGS!CH77,'Substation 2025$'!CH77*$BL$1,Comms!CD77*$BL$2)</f>
        <v>54.318426573432006</v>
      </c>
      <c r="BF77" s="96">
        <f>SUM('Defect (Total)'!BF77,Planned!CI77,Reconductor!CI77,CTGS!CI77,'Substation 2025$'!CI77*$BL$1,Comms!CE77*$BL$2)</f>
        <v>54.318426573432006</v>
      </c>
      <c r="BG77" s="96">
        <f>SUM('Defect (Total)'!BG77,Planned!CJ77,Reconductor!CJ77,CTGS!CJ77,'Substation 2025$'!CJ77*$BL$1,Comms!CF77*$BL$2)</f>
        <v>54.318426573432006</v>
      </c>
      <c r="BH77" s="96">
        <f>SUM('Defect (Total)'!BH77,Planned!CK77,Reconductor!CK77,CTGS!CK77,'Substation 2025$'!CK77*$BL$1,Comms!CG77*$BL$2)</f>
        <v>54.318426573432006</v>
      </c>
      <c r="BI77" s="286">
        <f>SUM('Defect (Total)'!BI77,Planned!CL77,Reconductor!CL77,CTGS!CL77,'Substation 2025$'!CL77*$BL$1,Comms!CH77*$BL$2)</f>
        <v>54.318426573432006</v>
      </c>
      <c r="BJ77" s="99">
        <f t="shared" si="45"/>
        <v>108286.92688395384</v>
      </c>
      <c r="BK77" s="743"/>
      <c r="BL77" s="97"/>
      <c r="BM77" s="524"/>
      <c r="BN77" s="416">
        <f>'Distribution Summary'!CI77+'Substation 2025$'!CT77</f>
        <v>5823927.5759864468</v>
      </c>
      <c r="BO77" s="97">
        <f>'Distribution Summary'!CJ77+'Substation 2025$'!CU77</f>
        <v>5851792.0451143598</v>
      </c>
      <c r="BP77" s="97">
        <f>'Distribution Summary'!CK77+'Substation 2025$'!CV77</f>
        <v>5878583.8657868979</v>
      </c>
      <c r="BQ77" s="97">
        <f>'Distribution Summary'!CL77+'Substation 2025$'!CW77</f>
        <v>5910122.1563008884</v>
      </c>
      <c r="BR77" s="98">
        <f>'Distribution Summary'!CM77+'Substation 2025$'!CX77</f>
        <v>5945451.7908546422</v>
      </c>
    </row>
    <row r="78" spans="1:70" x14ac:dyDescent="0.25">
      <c r="A78" s="81" t="s">
        <v>138</v>
      </c>
      <c r="B78" s="82" t="s">
        <v>159</v>
      </c>
      <c r="C78" s="83" t="s">
        <v>368</v>
      </c>
      <c r="D78" s="84">
        <f>SUM('Defect (Total)'!D78,Planned!D78,Reconductor!D78,CTGS!D78)</f>
        <v>871387</v>
      </c>
      <c r="E78" s="85">
        <f>SUM('Defect (Total)'!E78,Planned!E78,Reconductor!E78,CTGS!E78)</f>
        <v>551584</v>
      </c>
      <c r="F78" s="85">
        <f>SUM('Defect (Total)'!F78,Planned!F78,Reconductor!F78,CTGS!F78)</f>
        <v>572502</v>
      </c>
      <c r="G78" s="85">
        <f>SUM('Defect (Total)'!G78,Planned!G78,Reconductor!G78,CTGS!G78)</f>
        <v>1322749</v>
      </c>
      <c r="H78" s="85">
        <f>SUM('Defect (Total)'!H78,Planned!H78,Reconductor!H78,CTGS!H78)</f>
        <v>1607523</v>
      </c>
      <c r="I78" s="85">
        <f>SUM('Defect (Total)'!I78,Planned!I78,Reconductor!I78,CTGS!I78)</f>
        <v>1784656.6065774828</v>
      </c>
      <c r="J78" s="85">
        <f>SUM('Defect (Total)'!J78,Planned!J78,Reconductor!J78,CTGS!J78)</f>
        <v>994565.94573161122</v>
      </c>
      <c r="K78" s="85">
        <f>SUM('Defect (Total)'!K78,Planned!K78,Reconductor!K78,CTGS!K78)</f>
        <v>1350642.411592179</v>
      </c>
      <c r="L78" s="85">
        <f>SUM('Defect (Total)'!L78,Planned!L78,Reconductor!L78,CTGS!L78)</f>
        <v>917905.96047592838</v>
      </c>
      <c r="M78" s="85">
        <f>SUM('Defect (Total)'!M78,Planned!M78,Reconductor!M78,CTGS!M78)</f>
        <v>2022024.0670805369</v>
      </c>
      <c r="N78" s="85">
        <f>SUM('Defect (Total)'!N78,Planned!N78,Reconductor!N78,CTGS!N78)</f>
        <v>3236790.5212657144</v>
      </c>
      <c r="O78" s="560">
        <f>SUM('Defect (Total)'!O78,Planned!O78,Reconductor!O78,CTGS!O78)</f>
        <v>1172413.1456244609</v>
      </c>
      <c r="P78" s="561">
        <f>SUM('Defect (Total)'!P78,Planned!P78,Reconductor!P78,CTGS!P78)</f>
        <v>731086.49013698765</v>
      </c>
      <c r="Q78" s="561">
        <f>SUM('Defect (Total)'!Q78,Planned!Q78,Reconductor!Q78,CTGS!Q78)</f>
        <v>751125.91458954848</v>
      </c>
      <c r="R78" s="561">
        <f>SUM('Defect (Total)'!R78,Planned!R78,Reconductor!R78,CTGS!R78)</f>
        <v>1702532.3936945414</v>
      </c>
      <c r="S78" s="561">
        <f>SUM('Defect (Total)'!S78,Planned!S78,Reconductor!S78,CTGS!S78)</f>
        <v>2026955.9693437957</v>
      </c>
      <c r="T78" s="561">
        <f>SUM('Defect (Total)'!T78,Planned!T78,Reconductor!T78,CTGS!T78)</f>
        <v>2215023.5034499248</v>
      </c>
      <c r="U78" s="561">
        <f>SUM('Defect (Total)'!U78,Planned!U78,Reconductor!U78,CTGS!U78)</f>
        <v>1238719.924570669</v>
      </c>
      <c r="V78" s="561">
        <f>SUM('Defect (Total)'!V78,Planned!V78,Reconductor!V78,CTGS!V78)</f>
        <v>1619904.8479438967</v>
      </c>
      <c r="W78" s="561">
        <f>SUM('Defect (Total)'!W78,Planned!W78,Reconductor!W78,CTGS!W78)</f>
        <v>1037166.9429677589</v>
      </c>
      <c r="X78" s="561">
        <f>SUM('Defect (Total)'!X78,Planned!X78,Reconductor!X78,CTGS!X78)</f>
        <v>2150343.5869579725</v>
      </c>
      <c r="Y78" s="561">
        <f>SUM('Defect (Total)'!Y78,Planned!Y78,Reconductor!Y78,CTGS!Y78)</f>
        <v>3325797.3384650745</v>
      </c>
      <c r="Z78" s="86">
        <f>SUM('Defect (Total)'!Z78,Planned!Z78,Reconductor!Z78,CTGS!Z78)</f>
        <v>6</v>
      </c>
      <c r="AA78" s="87">
        <f>SUM('Defect (Total)'!AA78,Planned!AA78,Reconductor!AA78,CTGS!AA78)</f>
        <v>4</v>
      </c>
      <c r="AB78" s="87">
        <f>SUM('Defect (Total)'!AB78,Planned!AB78,Reconductor!AB78,CTGS!AB78)</f>
        <v>4</v>
      </c>
      <c r="AC78" s="87">
        <f>SUM('Defect (Total)'!AC78,Planned!AC78,Reconductor!AC78,CTGS!AC78)</f>
        <v>6</v>
      </c>
      <c r="AD78" s="87">
        <f>SUM('Defect (Total)'!AD78,Planned!AD78,Reconductor!AD78,CTGS!AD78)</f>
        <v>10</v>
      </c>
      <c r="AE78" s="87">
        <f>SUM('Defect (Total)'!AE78,Planned!AE78,Reconductor!AE78,CTGS!AE78)</f>
        <v>8</v>
      </c>
      <c r="AF78" s="87">
        <f>SUM('Defect (Total)'!AF78,Planned!AF78,Reconductor!AF78,CTGS!AF78)</f>
        <v>8</v>
      </c>
      <c r="AG78" s="87">
        <f>SUM('Defect (Total)'!AG78,Planned!AG78,Reconductor!AG78,CTGS!AG78)</f>
        <v>16</v>
      </c>
      <c r="AH78" s="87">
        <f>SUM('Defect (Total)'!AH78,Planned!AH78,Reconductor!AH78,CTGS!AH78)</f>
        <v>8</v>
      </c>
      <c r="AI78" s="87">
        <f>SUM('Defect (Total)'!AI78,Planned!AI78,Reconductor!AI78,CTGS!AI78)</f>
        <v>16</v>
      </c>
      <c r="AJ78" s="87">
        <f>SUM('Defect (Total)'!AJ78,Planned!AJ78,Reconductor!AJ78,CTGS!AJ78)</f>
        <v>9</v>
      </c>
      <c r="AK78" s="88">
        <f t="shared" si="43"/>
        <v>10</v>
      </c>
      <c r="AL78" s="89">
        <f t="shared" si="18"/>
        <v>10.666666666666666</v>
      </c>
      <c r="AM78" s="90">
        <f t="shared" si="44"/>
        <v>8</v>
      </c>
      <c r="AN78" s="91">
        <f t="shared" si="31"/>
        <v>145231.16666666666</v>
      </c>
      <c r="AO78" s="92">
        <f t="shared" si="32"/>
        <v>137896</v>
      </c>
      <c r="AP78" s="92">
        <f t="shared" si="33"/>
        <v>143125.5</v>
      </c>
      <c r="AQ78" s="92">
        <f t="shared" si="34"/>
        <v>220458.16666666666</v>
      </c>
      <c r="AR78" s="92">
        <f t="shared" si="35"/>
        <v>160752.29999999999</v>
      </c>
      <c r="AS78" s="92">
        <f t="shared" si="36"/>
        <v>223082.07582218535</v>
      </c>
      <c r="AT78" s="92">
        <f t="shared" si="37"/>
        <v>124320.7432164514</v>
      </c>
      <c r="AU78" s="92">
        <f t="shared" si="38"/>
        <v>84415.150724511186</v>
      </c>
      <c r="AV78" s="92">
        <f t="shared" si="39"/>
        <v>114738.24505949105</v>
      </c>
      <c r="AW78" s="92">
        <f t="shared" si="40"/>
        <v>126376.50419253355</v>
      </c>
      <c r="AX78" s="92">
        <f t="shared" si="40"/>
        <v>359643.39125174604</v>
      </c>
      <c r="AY78" s="93">
        <f t="shared" si="29"/>
        <v>133105.87848754402</v>
      </c>
      <c r="AZ78" s="94">
        <f t="shared" si="41"/>
        <v>101972.32243124119</v>
      </c>
      <c r="BA78" s="95">
        <f t="shared" si="42"/>
        <v>114738.24505949105</v>
      </c>
      <c r="BB78" s="689">
        <f>SUM('Defect (Total)'!BB78,Planned!CE78,Reconductor!CE78,CTGS!CE78,'Substation 2025$'!CE78*$BL$1,Comms!CA78*$BL$2)</f>
        <v>12</v>
      </c>
      <c r="BC78" s="689">
        <f>SUM('Defect (Total)'!BC78,Planned!CF78,Reconductor!CF78,CTGS!CF78,'Substation 2025$'!CF78*$BL$1,Comms!CB78*$BL$2)</f>
        <v>12</v>
      </c>
      <c r="BD78" s="96">
        <f>SUM('Defect (Total)'!BD78,Planned!CG78,Reconductor!CG78,CTGS!CG78,'Substation 2025$'!CG78*$BL$1,Comms!CC78*$BL$2)</f>
        <v>12</v>
      </c>
      <c r="BE78" s="96">
        <f>SUM('Defect (Total)'!BE78,Planned!CH78,Reconductor!CH78,CTGS!CH78,'Substation 2025$'!CH78*$BL$1,Comms!CD78*$BL$2)</f>
        <v>10.213006993007999</v>
      </c>
      <c r="BF78" s="96">
        <f>SUM('Defect (Total)'!BF78,Planned!CI78,Reconductor!CI78,CTGS!CI78,'Substation 2025$'!CI78*$BL$1,Comms!CE78*$BL$2)</f>
        <v>10.213006993007999</v>
      </c>
      <c r="BG78" s="96">
        <f>SUM('Defect (Total)'!BG78,Planned!CJ78,Reconductor!CJ78,CTGS!CJ78,'Substation 2025$'!CJ78*$BL$1,Comms!CF78*$BL$2)</f>
        <v>10.213006993007999</v>
      </c>
      <c r="BH78" s="96">
        <f>SUM('Defect (Total)'!BH78,Planned!CK78,Reconductor!CK78,CTGS!CK78,'Substation 2025$'!CK78*$BL$1,Comms!CG78*$BL$2)</f>
        <v>10.213006993007999</v>
      </c>
      <c r="BI78" s="286">
        <f>SUM('Defect (Total)'!BI78,Planned!CL78,Reconductor!CL78,CTGS!CL78,'Substation 2025$'!CL78*$BL$1,Comms!CH78*$BL$2)</f>
        <v>10.213006993007999</v>
      </c>
      <c r="BJ78" s="99">
        <f t="shared" si="45"/>
        <v>127112.53351620086</v>
      </c>
      <c r="BK78" s="743"/>
      <c r="BL78" s="97"/>
      <c r="BM78" s="524"/>
      <c r="BN78" s="416">
        <f>'Distribution Summary'!CI78+'Substation 2025$'!CT78</f>
        <v>1285389.5342004625</v>
      </c>
      <c r="BO78" s="97">
        <f>'Distribution Summary'!CJ78+'Substation 2025$'!CU78</f>
        <v>1291539.4556281862</v>
      </c>
      <c r="BP78" s="97">
        <f>'Distribution Summary'!CK78+'Substation 2025$'!CV78</f>
        <v>1297452.6345689157</v>
      </c>
      <c r="BQ78" s="97">
        <f>'Distribution Summary'!CL78+'Substation 2025$'!CW78</f>
        <v>1304413.39910871</v>
      </c>
      <c r="BR78" s="98">
        <f>'Distribution Summary'!CM78+'Substation 2025$'!CX78</f>
        <v>1312210.9449933411</v>
      </c>
    </row>
    <row r="79" spans="1:70" x14ac:dyDescent="0.25">
      <c r="A79" s="81" t="s">
        <v>138</v>
      </c>
      <c r="B79" s="82" t="s">
        <v>161</v>
      </c>
      <c r="C79" s="83" t="s">
        <v>369</v>
      </c>
      <c r="D79" s="84">
        <f>SUM('Defect (Total)'!D79,Planned!D79,Reconductor!D79,CTGS!D79)</f>
        <v>0</v>
      </c>
      <c r="E79" s="85">
        <f>SUM('Defect (Total)'!E79,Planned!E79,Reconductor!E79,CTGS!E79)</f>
        <v>0</v>
      </c>
      <c r="F79" s="85">
        <f>SUM('Defect (Total)'!F79,Planned!F79,Reconductor!F79,CTGS!F79)</f>
        <v>0</v>
      </c>
      <c r="G79" s="85">
        <f>SUM('Defect (Total)'!G79,Planned!G79,Reconductor!G79,CTGS!G79)</f>
        <v>0</v>
      </c>
      <c r="H79" s="85">
        <f>SUM('Defect (Total)'!H79,Planned!H79,Reconductor!H79,CTGS!H79)</f>
        <v>0</v>
      </c>
      <c r="I79" s="85">
        <f>SUM('Defect (Total)'!I79,Planned!I79,Reconductor!I79,CTGS!I79)</f>
        <v>0</v>
      </c>
      <c r="J79" s="85">
        <f>SUM('Defect (Total)'!J79,Planned!J79,Reconductor!J79,CTGS!J79)</f>
        <v>0</v>
      </c>
      <c r="K79" s="85">
        <f>SUM('Defect (Total)'!K79,Planned!K79,Reconductor!K79,CTGS!K79)</f>
        <v>0</v>
      </c>
      <c r="L79" s="85">
        <f>SUM('Defect (Total)'!L79,Planned!L79,Reconductor!L79,CTGS!L79)</f>
        <v>0</v>
      </c>
      <c r="M79" s="85">
        <f>SUM('Defect (Total)'!M79,Planned!M79,Reconductor!M79,CTGS!M79)</f>
        <v>0</v>
      </c>
      <c r="N79" s="85">
        <f>SUM('Defect (Total)'!N79,Planned!N79,Reconductor!N79,CTGS!N79)</f>
        <v>0</v>
      </c>
      <c r="O79" s="560">
        <f>SUM('Defect (Total)'!O79,Planned!O79,Reconductor!O79,CTGS!O79)</f>
        <v>0</v>
      </c>
      <c r="P79" s="561">
        <f>SUM('Defect (Total)'!P79,Planned!P79,Reconductor!P79,CTGS!P79)</f>
        <v>0</v>
      </c>
      <c r="Q79" s="561">
        <f>SUM('Defect (Total)'!Q79,Planned!Q79,Reconductor!Q79,CTGS!Q79)</f>
        <v>0</v>
      </c>
      <c r="R79" s="561">
        <f>SUM('Defect (Total)'!R79,Planned!R79,Reconductor!R79,CTGS!R79)</f>
        <v>0</v>
      </c>
      <c r="S79" s="561">
        <f>SUM('Defect (Total)'!S79,Planned!S79,Reconductor!S79,CTGS!S79)</f>
        <v>0</v>
      </c>
      <c r="T79" s="561">
        <f>SUM('Defect (Total)'!T79,Planned!T79,Reconductor!T79,CTGS!T79)</f>
        <v>0</v>
      </c>
      <c r="U79" s="561">
        <f>SUM('Defect (Total)'!U79,Planned!U79,Reconductor!U79,CTGS!U79)</f>
        <v>0</v>
      </c>
      <c r="V79" s="561">
        <f>SUM('Defect (Total)'!V79,Planned!V79,Reconductor!V79,CTGS!V79)</f>
        <v>0</v>
      </c>
      <c r="W79" s="561">
        <f>SUM('Defect (Total)'!W79,Planned!W79,Reconductor!W79,CTGS!W79)</f>
        <v>0</v>
      </c>
      <c r="X79" s="561">
        <f>SUM('Defect (Total)'!X79,Planned!X79,Reconductor!X79,CTGS!X79)</f>
        <v>0</v>
      </c>
      <c r="Y79" s="561">
        <f>SUM('Defect (Total)'!Y79,Planned!Y79,Reconductor!Y79,CTGS!Y79)</f>
        <v>0</v>
      </c>
      <c r="Z79" s="86">
        <f>SUM('Defect (Total)'!Z79,Planned!Z79,Reconductor!Z79,CTGS!Z79)</f>
        <v>0</v>
      </c>
      <c r="AA79" s="87">
        <f>SUM('Defect (Total)'!AA79,Planned!AA79,Reconductor!AA79,CTGS!AA79)</f>
        <v>0</v>
      </c>
      <c r="AB79" s="87">
        <f>SUM('Defect (Total)'!AB79,Planned!AB79,Reconductor!AB79,CTGS!AB79)</f>
        <v>0</v>
      </c>
      <c r="AC79" s="87">
        <f>SUM('Defect (Total)'!AC79,Planned!AC79,Reconductor!AC79,CTGS!AC79)</f>
        <v>0</v>
      </c>
      <c r="AD79" s="87">
        <f>SUM('Defect (Total)'!AD79,Planned!AD79,Reconductor!AD79,CTGS!AD79)</f>
        <v>0</v>
      </c>
      <c r="AE79" s="87">
        <f>SUM('Defect (Total)'!AE79,Planned!AE79,Reconductor!AE79,CTGS!AE79)</f>
        <v>0</v>
      </c>
      <c r="AF79" s="87">
        <f>SUM('Defect (Total)'!AF79,Planned!AF79,Reconductor!AF79,CTGS!AF79)</f>
        <v>0</v>
      </c>
      <c r="AG79" s="87">
        <f>SUM('Defect (Total)'!AG79,Planned!AG79,Reconductor!AG79,CTGS!AG79)</f>
        <v>0</v>
      </c>
      <c r="AH79" s="87">
        <f>SUM('Defect (Total)'!AH79,Planned!AH79,Reconductor!AH79,CTGS!AH79)</f>
        <v>0</v>
      </c>
      <c r="AI79" s="87">
        <f>SUM('Defect (Total)'!AI79,Planned!AI79,Reconductor!AI79,CTGS!AI79)</f>
        <v>0</v>
      </c>
      <c r="AJ79" s="87">
        <f>SUM('Defect (Total)'!AJ79,Planned!AJ79,Reconductor!AJ79,CTGS!AJ79)</f>
        <v>0</v>
      </c>
      <c r="AK79" s="88">
        <f t="shared" si="43"/>
        <v>0</v>
      </c>
      <c r="AL79" s="89">
        <f t="shared" si="18"/>
        <v>0</v>
      </c>
      <c r="AM79" s="90">
        <f t="shared" si="44"/>
        <v>0</v>
      </c>
      <c r="AN79" s="91" t="str">
        <f t="shared" si="31"/>
        <v/>
      </c>
      <c r="AO79" s="92" t="str">
        <f t="shared" si="32"/>
        <v/>
      </c>
      <c r="AP79" s="92" t="str">
        <f t="shared" si="33"/>
        <v/>
      </c>
      <c r="AQ79" s="92" t="str">
        <f t="shared" si="34"/>
        <v/>
      </c>
      <c r="AR79" s="92" t="str">
        <f t="shared" si="35"/>
        <v/>
      </c>
      <c r="AS79" s="92" t="str">
        <f t="shared" si="36"/>
        <v/>
      </c>
      <c r="AT79" s="92" t="str">
        <f t="shared" si="37"/>
        <v/>
      </c>
      <c r="AU79" s="92" t="str">
        <f t="shared" si="38"/>
        <v/>
      </c>
      <c r="AV79" s="92" t="str">
        <f t="shared" si="39"/>
        <v/>
      </c>
      <c r="AW79" s="92" t="str">
        <f t="shared" si="40"/>
        <v/>
      </c>
      <c r="AX79" s="92" t="str">
        <f t="shared" si="40"/>
        <v/>
      </c>
      <c r="AY79" s="93" t="str">
        <f t="shared" si="29"/>
        <v/>
      </c>
      <c r="AZ79" s="94" t="str">
        <f t="shared" si="41"/>
        <v/>
      </c>
      <c r="BA79" s="95" t="str">
        <f t="shared" si="42"/>
        <v/>
      </c>
      <c r="BB79" s="689">
        <f>SUM('Defect (Total)'!BB79,Planned!CE79,Reconductor!CE79,CTGS!CE79,'Substation 2025$'!CE79*$BL$1,Comms!CA79*$BL$2)</f>
        <v>0</v>
      </c>
      <c r="BC79" s="689">
        <f>SUM('Defect (Total)'!BC79,Planned!CF79,Reconductor!CF79,CTGS!CF79,'Substation 2025$'!CF79*$BL$1,Comms!CB79*$BL$2)</f>
        <v>0</v>
      </c>
      <c r="BD79" s="96">
        <f>SUM('Defect (Total)'!BD79,Planned!CG79,Reconductor!CG79,CTGS!CG79,'Substation 2025$'!CG79*$BL$1,Comms!CC79*$BL$2)</f>
        <v>0</v>
      </c>
      <c r="BE79" s="96">
        <f>SUM('Defect (Total)'!BE79,Planned!CH79,Reconductor!CH79,CTGS!CH79,'Substation 2025$'!CH79*$BL$1,Comms!CD79*$BL$2)</f>
        <v>0</v>
      </c>
      <c r="BF79" s="96">
        <f>SUM('Defect (Total)'!BF79,Planned!CI79,Reconductor!CI79,CTGS!CI79,'Substation 2025$'!CI79*$BL$1,Comms!CE79*$BL$2)</f>
        <v>0</v>
      </c>
      <c r="BG79" s="96">
        <f>SUM('Defect (Total)'!BG79,Planned!CJ79,Reconductor!CJ79,CTGS!CJ79,'Substation 2025$'!CJ79*$BL$1,Comms!CF79*$BL$2)</f>
        <v>0</v>
      </c>
      <c r="BH79" s="96">
        <f>SUM('Defect (Total)'!BH79,Planned!CK79,Reconductor!CK79,CTGS!CK79,'Substation 2025$'!CK79*$BL$1,Comms!CG79*$BL$2)</f>
        <v>0</v>
      </c>
      <c r="BI79" s="286">
        <f>SUM('Defect (Total)'!BI79,Planned!CL79,Reconductor!CL79,CTGS!CL79,'Substation 2025$'!CL79*$BL$1,Comms!CH79*$BL$2)</f>
        <v>0</v>
      </c>
      <c r="BJ79" s="99" t="str">
        <f t="shared" si="45"/>
        <v/>
      </c>
      <c r="BK79" s="743"/>
      <c r="BL79" s="97"/>
      <c r="BM79" s="524"/>
      <c r="BN79" s="416">
        <f>'Distribution Summary'!CI79+'Substation 2025$'!CT79</f>
        <v>0</v>
      </c>
      <c r="BO79" s="97">
        <f>'Distribution Summary'!CJ79+'Substation 2025$'!CU79</f>
        <v>0</v>
      </c>
      <c r="BP79" s="97">
        <f>'Distribution Summary'!CK79+'Substation 2025$'!CV79</f>
        <v>0</v>
      </c>
      <c r="BQ79" s="97">
        <f>'Distribution Summary'!CL79+'Substation 2025$'!CW79</f>
        <v>0</v>
      </c>
      <c r="BR79" s="98">
        <f>'Distribution Summary'!CM79+'Substation 2025$'!CX79</f>
        <v>0</v>
      </c>
    </row>
    <row r="80" spans="1:70" x14ac:dyDescent="0.25">
      <c r="A80" s="81" t="s">
        <v>138</v>
      </c>
      <c r="B80" s="82" t="s">
        <v>163</v>
      </c>
      <c r="C80" s="83" t="s">
        <v>370</v>
      </c>
      <c r="D80" s="84">
        <f>SUM('Defect (Total)'!D80,Planned!D80,Reconductor!D80,CTGS!D80)</f>
        <v>0</v>
      </c>
      <c r="E80" s="85">
        <f>SUM('Defect (Total)'!E80,Planned!E80,Reconductor!E80,CTGS!E80)</f>
        <v>0</v>
      </c>
      <c r="F80" s="85">
        <f>SUM('Defect (Total)'!F80,Planned!F80,Reconductor!F80,CTGS!F80)</f>
        <v>0</v>
      </c>
      <c r="G80" s="85">
        <f>SUM('Defect (Total)'!G80,Planned!G80,Reconductor!G80,CTGS!G80)</f>
        <v>0</v>
      </c>
      <c r="H80" s="85">
        <f>SUM('Defect (Total)'!H80,Planned!H80,Reconductor!H80,CTGS!H80)</f>
        <v>0</v>
      </c>
      <c r="I80" s="85">
        <f>SUM('Defect (Total)'!I80,Planned!I80,Reconductor!I80,CTGS!I80)</f>
        <v>0</v>
      </c>
      <c r="J80" s="85">
        <f>SUM('Defect (Total)'!J80,Planned!J80,Reconductor!J80,CTGS!J80)</f>
        <v>0</v>
      </c>
      <c r="K80" s="85">
        <f>SUM('Defect (Total)'!K80,Planned!K80,Reconductor!K80,CTGS!K80)</f>
        <v>0</v>
      </c>
      <c r="L80" s="85">
        <f>SUM('Defect (Total)'!L80,Planned!L80,Reconductor!L80,CTGS!L80)</f>
        <v>0</v>
      </c>
      <c r="M80" s="85">
        <f>SUM('Defect (Total)'!M80,Planned!M80,Reconductor!M80,CTGS!M80)</f>
        <v>0</v>
      </c>
      <c r="N80" s="85">
        <f>SUM('Defect (Total)'!N80,Planned!N80,Reconductor!N80,CTGS!N80)</f>
        <v>0</v>
      </c>
      <c r="O80" s="560">
        <f>SUM('Defect (Total)'!O80,Planned!O80,Reconductor!O80,CTGS!O80)</f>
        <v>0</v>
      </c>
      <c r="P80" s="561">
        <f>SUM('Defect (Total)'!P80,Planned!P80,Reconductor!P80,CTGS!P80)</f>
        <v>0</v>
      </c>
      <c r="Q80" s="561">
        <f>SUM('Defect (Total)'!Q80,Planned!Q80,Reconductor!Q80,CTGS!Q80)</f>
        <v>0</v>
      </c>
      <c r="R80" s="561">
        <f>SUM('Defect (Total)'!R80,Planned!R80,Reconductor!R80,CTGS!R80)</f>
        <v>0</v>
      </c>
      <c r="S80" s="561">
        <f>SUM('Defect (Total)'!S80,Planned!S80,Reconductor!S80,CTGS!S80)</f>
        <v>0</v>
      </c>
      <c r="T80" s="561">
        <f>SUM('Defect (Total)'!T80,Planned!T80,Reconductor!T80,CTGS!T80)</f>
        <v>0</v>
      </c>
      <c r="U80" s="561">
        <f>SUM('Defect (Total)'!U80,Planned!U80,Reconductor!U80,CTGS!U80)</f>
        <v>0</v>
      </c>
      <c r="V80" s="561">
        <f>SUM('Defect (Total)'!V80,Planned!V80,Reconductor!V80,CTGS!V80)</f>
        <v>0</v>
      </c>
      <c r="W80" s="561">
        <f>SUM('Defect (Total)'!W80,Planned!W80,Reconductor!W80,CTGS!W80)</f>
        <v>0</v>
      </c>
      <c r="X80" s="561">
        <f>SUM('Defect (Total)'!X80,Planned!X80,Reconductor!X80,CTGS!X80)</f>
        <v>0</v>
      </c>
      <c r="Y80" s="561">
        <f>SUM('Defect (Total)'!Y80,Planned!Y80,Reconductor!Y80,CTGS!Y80)</f>
        <v>0</v>
      </c>
      <c r="Z80" s="86">
        <f>SUM('Defect (Total)'!Z80,Planned!Z80,Reconductor!Z80,CTGS!Z80)</f>
        <v>0</v>
      </c>
      <c r="AA80" s="87">
        <f>SUM('Defect (Total)'!AA80,Planned!AA80,Reconductor!AA80,CTGS!AA80)</f>
        <v>0</v>
      </c>
      <c r="AB80" s="87">
        <f>SUM('Defect (Total)'!AB80,Planned!AB80,Reconductor!AB80,CTGS!AB80)</f>
        <v>0</v>
      </c>
      <c r="AC80" s="87">
        <f>SUM('Defect (Total)'!AC80,Planned!AC80,Reconductor!AC80,CTGS!AC80)</f>
        <v>0</v>
      </c>
      <c r="AD80" s="87">
        <f>SUM('Defect (Total)'!AD80,Planned!AD80,Reconductor!AD80,CTGS!AD80)</f>
        <v>0</v>
      </c>
      <c r="AE80" s="87">
        <f>SUM('Defect (Total)'!AE80,Planned!AE80,Reconductor!AE80,CTGS!AE80)</f>
        <v>0</v>
      </c>
      <c r="AF80" s="87">
        <f>SUM('Defect (Total)'!AF80,Planned!AF80,Reconductor!AF80,CTGS!AF80)</f>
        <v>0</v>
      </c>
      <c r="AG80" s="87">
        <f>SUM('Defect (Total)'!AG80,Planned!AG80,Reconductor!AG80,CTGS!AG80)</f>
        <v>0</v>
      </c>
      <c r="AH80" s="87">
        <f>SUM('Defect (Total)'!AH80,Planned!AH80,Reconductor!AH80,CTGS!AH80)</f>
        <v>0</v>
      </c>
      <c r="AI80" s="87">
        <f>SUM('Defect (Total)'!AI80,Planned!AI80,Reconductor!AI80,CTGS!AI80)</f>
        <v>0</v>
      </c>
      <c r="AJ80" s="87">
        <f>SUM('Defect (Total)'!AJ80,Planned!AJ80,Reconductor!AJ80,CTGS!AJ80)</f>
        <v>0</v>
      </c>
      <c r="AK80" s="88">
        <f t="shared" si="43"/>
        <v>0</v>
      </c>
      <c r="AL80" s="89">
        <f t="shared" si="18"/>
        <v>0</v>
      </c>
      <c r="AM80" s="90">
        <f t="shared" si="44"/>
        <v>0</v>
      </c>
      <c r="AN80" s="91" t="str">
        <f t="shared" si="31"/>
        <v/>
      </c>
      <c r="AO80" s="92" t="str">
        <f t="shared" si="32"/>
        <v/>
      </c>
      <c r="AP80" s="92" t="str">
        <f t="shared" si="33"/>
        <v/>
      </c>
      <c r="AQ80" s="92" t="str">
        <f t="shared" si="34"/>
        <v/>
      </c>
      <c r="AR80" s="92" t="str">
        <f t="shared" si="35"/>
        <v/>
      </c>
      <c r="AS80" s="92" t="str">
        <f t="shared" si="36"/>
        <v/>
      </c>
      <c r="AT80" s="92" t="str">
        <f t="shared" si="37"/>
        <v/>
      </c>
      <c r="AU80" s="92" t="str">
        <f t="shared" si="38"/>
        <v/>
      </c>
      <c r="AV80" s="92" t="str">
        <f t="shared" si="39"/>
        <v/>
      </c>
      <c r="AW80" s="92" t="str">
        <f t="shared" si="40"/>
        <v/>
      </c>
      <c r="AX80" s="92" t="str">
        <f t="shared" si="40"/>
        <v/>
      </c>
      <c r="AY80" s="93" t="str">
        <f t="shared" si="29"/>
        <v/>
      </c>
      <c r="AZ80" s="94" t="str">
        <f t="shared" si="41"/>
        <v/>
      </c>
      <c r="BA80" s="95" t="str">
        <f t="shared" si="42"/>
        <v/>
      </c>
      <c r="BB80" s="689">
        <f>SUM('Defect (Total)'!BB80,Planned!CE80,Reconductor!CE80,CTGS!CE80,'Substation 2025$'!CE80*$BL$1,Comms!CA80*$BL$2)</f>
        <v>0</v>
      </c>
      <c r="BC80" s="689">
        <f>SUM('Defect (Total)'!BC80,Planned!CF80,Reconductor!CF80,CTGS!CF80,'Substation 2025$'!CF80*$BL$1,Comms!CB80*$BL$2)</f>
        <v>0</v>
      </c>
      <c r="BD80" s="96">
        <f>SUM('Defect (Total)'!BD80,Planned!CG80,Reconductor!CG80,CTGS!CG80,'Substation 2025$'!CG80*$BL$1,Comms!CC80*$BL$2)</f>
        <v>0</v>
      </c>
      <c r="BE80" s="96">
        <f>SUM('Defect (Total)'!BE80,Planned!CH80,Reconductor!CH80,CTGS!CH80,'Substation 2025$'!CH80*$BL$1,Comms!CD80*$BL$2)</f>
        <v>0</v>
      </c>
      <c r="BF80" s="96">
        <f>SUM('Defect (Total)'!BF80,Planned!CI80,Reconductor!CI80,CTGS!CI80,'Substation 2025$'!CI80*$BL$1,Comms!CE80*$BL$2)</f>
        <v>0</v>
      </c>
      <c r="BG80" s="96">
        <f>SUM('Defect (Total)'!BG80,Planned!CJ80,Reconductor!CJ80,CTGS!CJ80,'Substation 2025$'!CJ80*$BL$1,Comms!CF80*$BL$2)</f>
        <v>0</v>
      </c>
      <c r="BH80" s="96">
        <f>SUM('Defect (Total)'!BH80,Planned!CK80,Reconductor!CK80,CTGS!CK80,'Substation 2025$'!CK80*$BL$1,Comms!CG80*$BL$2)</f>
        <v>0</v>
      </c>
      <c r="BI80" s="286">
        <f>SUM('Defect (Total)'!BI80,Planned!CL80,Reconductor!CL80,CTGS!CL80,'Substation 2025$'!CL80*$BL$1,Comms!CH80*$BL$2)</f>
        <v>0</v>
      </c>
      <c r="BJ80" s="99" t="str">
        <f t="shared" si="45"/>
        <v/>
      </c>
      <c r="BK80" s="743"/>
      <c r="BL80" s="97"/>
      <c r="BM80" s="524"/>
      <c r="BN80" s="416">
        <f>'Distribution Summary'!CI80+'Substation 2025$'!CT80</f>
        <v>0</v>
      </c>
      <c r="BO80" s="97">
        <f>'Distribution Summary'!CJ80+'Substation 2025$'!CU80</f>
        <v>0</v>
      </c>
      <c r="BP80" s="97">
        <f>'Distribution Summary'!CK80+'Substation 2025$'!CV80</f>
        <v>0</v>
      </c>
      <c r="BQ80" s="97">
        <f>'Distribution Summary'!CL80+'Substation 2025$'!CW80</f>
        <v>0</v>
      </c>
      <c r="BR80" s="98">
        <f>'Distribution Summary'!CM80+'Substation 2025$'!CX80</f>
        <v>0</v>
      </c>
    </row>
    <row r="81" spans="1:70" x14ac:dyDescent="0.25">
      <c r="A81" s="81" t="s">
        <v>138</v>
      </c>
      <c r="B81" s="82" t="s">
        <v>165</v>
      </c>
      <c r="C81" s="83" t="s">
        <v>371</v>
      </c>
      <c r="D81" s="84">
        <f>SUM('Defect (Total)'!D81,Planned!D81,Reconductor!D81,CTGS!D81)</f>
        <v>0</v>
      </c>
      <c r="E81" s="85">
        <f>SUM('Defect (Total)'!E81,Planned!E81,Reconductor!E81,CTGS!E81)</f>
        <v>0</v>
      </c>
      <c r="F81" s="85">
        <f>SUM('Defect (Total)'!F81,Planned!F81,Reconductor!F81,CTGS!F81)</f>
        <v>0</v>
      </c>
      <c r="G81" s="85">
        <f>SUM('Defect (Total)'!G81,Planned!G81,Reconductor!G81,CTGS!G81)</f>
        <v>0</v>
      </c>
      <c r="H81" s="85">
        <f>SUM('Defect (Total)'!H81,Planned!H81,Reconductor!H81,CTGS!H81)</f>
        <v>0</v>
      </c>
      <c r="I81" s="85">
        <f>SUM('Defect (Total)'!I81,Planned!I81,Reconductor!I81,CTGS!I81)</f>
        <v>0</v>
      </c>
      <c r="J81" s="85">
        <f>SUM('Defect (Total)'!J81,Planned!J81,Reconductor!J81,CTGS!J81)</f>
        <v>0</v>
      </c>
      <c r="K81" s="85">
        <f>SUM('Defect (Total)'!K81,Planned!K81,Reconductor!K81,CTGS!K81)</f>
        <v>0</v>
      </c>
      <c r="L81" s="85">
        <f>SUM('Defect (Total)'!L81,Planned!L81,Reconductor!L81,CTGS!L81)</f>
        <v>0</v>
      </c>
      <c r="M81" s="85">
        <f>SUM('Defect (Total)'!M81,Planned!M81,Reconductor!M81,CTGS!M81)</f>
        <v>0</v>
      </c>
      <c r="N81" s="85">
        <f>SUM('Defect (Total)'!N81,Planned!N81,Reconductor!N81,CTGS!N81)</f>
        <v>0</v>
      </c>
      <c r="O81" s="560">
        <f>SUM('Defect (Total)'!O81,Planned!O81,Reconductor!O81,CTGS!O81)</f>
        <v>0</v>
      </c>
      <c r="P81" s="561">
        <f>SUM('Defect (Total)'!P81,Planned!P81,Reconductor!P81,CTGS!P81)</f>
        <v>0</v>
      </c>
      <c r="Q81" s="561">
        <f>SUM('Defect (Total)'!Q81,Planned!Q81,Reconductor!Q81,CTGS!Q81)</f>
        <v>0</v>
      </c>
      <c r="R81" s="561">
        <f>SUM('Defect (Total)'!R81,Planned!R81,Reconductor!R81,CTGS!R81)</f>
        <v>0</v>
      </c>
      <c r="S81" s="561">
        <f>SUM('Defect (Total)'!S81,Planned!S81,Reconductor!S81,CTGS!S81)</f>
        <v>0</v>
      </c>
      <c r="T81" s="561">
        <f>SUM('Defect (Total)'!T81,Planned!T81,Reconductor!T81,CTGS!T81)</f>
        <v>0</v>
      </c>
      <c r="U81" s="561">
        <f>SUM('Defect (Total)'!U81,Planned!U81,Reconductor!U81,CTGS!U81)</f>
        <v>0</v>
      </c>
      <c r="V81" s="561">
        <f>SUM('Defect (Total)'!V81,Planned!V81,Reconductor!V81,CTGS!V81)</f>
        <v>0</v>
      </c>
      <c r="W81" s="561">
        <f>SUM('Defect (Total)'!W81,Planned!W81,Reconductor!W81,CTGS!W81)</f>
        <v>0</v>
      </c>
      <c r="X81" s="561">
        <f>SUM('Defect (Total)'!X81,Planned!X81,Reconductor!X81,CTGS!X81)</f>
        <v>0</v>
      </c>
      <c r="Y81" s="561">
        <f>SUM('Defect (Total)'!Y81,Planned!Y81,Reconductor!Y81,CTGS!Y81)</f>
        <v>0</v>
      </c>
      <c r="Z81" s="86">
        <f>SUM('Defect (Total)'!Z81,Planned!Z81,Reconductor!Z81,CTGS!Z81)</f>
        <v>0</v>
      </c>
      <c r="AA81" s="87">
        <f>SUM('Defect (Total)'!AA81,Planned!AA81,Reconductor!AA81,CTGS!AA81)</f>
        <v>0</v>
      </c>
      <c r="AB81" s="87">
        <f>SUM('Defect (Total)'!AB81,Planned!AB81,Reconductor!AB81,CTGS!AB81)</f>
        <v>0</v>
      </c>
      <c r="AC81" s="87">
        <f>SUM('Defect (Total)'!AC81,Planned!AC81,Reconductor!AC81,CTGS!AC81)</f>
        <v>0</v>
      </c>
      <c r="AD81" s="87">
        <f>SUM('Defect (Total)'!AD81,Planned!AD81,Reconductor!AD81,CTGS!AD81)</f>
        <v>0</v>
      </c>
      <c r="AE81" s="87">
        <f>SUM('Defect (Total)'!AE81,Planned!AE81,Reconductor!AE81,CTGS!AE81)</f>
        <v>0</v>
      </c>
      <c r="AF81" s="87">
        <f>SUM('Defect (Total)'!AF81,Planned!AF81,Reconductor!AF81,CTGS!AF81)</f>
        <v>0</v>
      </c>
      <c r="AG81" s="87">
        <f>SUM('Defect (Total)'!AG81,Planned!AG81,Reconductor!AG81,CTGS!AG81)</f>
        <v>0</v>
      </c>
      <c r="AH81" s="87">
        <f>SUM('Defect (Total)'!AH81,Planned!AH81,Reconductor!AH81,CTGS!AH81)</f>
        <v>0</v>
      </c>
      <c r="AI81" s="87">
        <f>SUM('Defect (Total)'!AI81,Planned!AI81,Reconductor!AI81,CTGS!AI81)</f>
        <v>0</v>
      </c>
      <c r="AJ81" s="87">
        <f>SUM('Defect (Total)'!AJ81,Planned!AJ81,Reconductor!AJ81,CTGS!AJ81)</f>
        <v>0</v>
      </c>
      <c r="AK81" s="88">
        <f t="shared" si="43"/>
        <v>0</v>
      </c>
      <c r="AL81" s="89">
        <f t="shared" si="18"/>
        <v>0</v>
      </c>
      <c r="AM81" s="90">
        <f t="shared" si="44"/>
        <v>0</v>
      </c>
      <c r="AN81" s="91" t="str">
        <f t="shared" si="31"/>
        <v/>
      </c>
      <c r="AO81" s="92" t="str">
        <f t="shared" si="32"/>
        <v/>
      </c>
      <c r="AP81" s="92" t="str">
        <f t="shared" si="33"/>
        <v/>
      </c>
      <c r="AQ81" s="92" t="str">
        <f t="shared" si="34"/>
        <v/>
      </c>
      <c r="AR81" s="92" t="str">
        <f t="shared" si="35"/>
        <v/>
      </c>
      <c r="AS81" s="92" t="str">
        <f t="shared" si="36"/>
        <v/>
      </c>
      <c r="AT81" s="92" t="str">
        <f t="shared" si="37"/>
        <v/>
      </c>
      <c r="AU81" s="92" t="str">
        <f t="shared" si="38"/>
        <v/>
      </c>
      <c r="AV81" s="92" t="str">
        <f t="shared" si="39"/>
        <v/>
      </c>
      <c r="AW81" s="92" t="str">
        <f t="shared" si="40"/>
        <v/>
      </c>
      <c r="AX81" s="92" t="str">
        <f t="shared" si="40"/>
        <v/>
      </c>
      <c r="AY81" s="93" t="str">
        <f t="shared" si="29"/>
        <v/>
      </c>
      <c r="AZ81" s="94" t="str">
        <f t="shared" si="41"/>
        <v/>
      </c>
      <c r="BA81" s="95" t="str">
        <f t="shared" si="42"/>
        <v/>
      </c>
      <c r="BB81" s="689">
        <f>SUM('Defect (Total)'!BB81,Planned!CE81,Reconductor!CE81,CTGS!CE81,'Substation 2025$'!CE81*$BL$1,Comms!CA81*$BL$2)</f>
        <v>0</v>
      </c>
      <c r="BC81" s="689">
        <f>SUM('Defect (Total)'!BC81,Planned!CF81,Reconductor!CF81,CTGS!CF81,'Substation 2025$'!CF81*$BL$1,Comms!CB81*$BL$2)</f>
        <v>0</v>
      </c>
      <c r="BD81" s="96">
        <f>SUM('Defect (Total)'!BD81,Planned!CG81,Reconductor!CG81,CTGS!CG81,'Substation 2025$'!CG81*$BL$1,Comms!CC81*$BL$2)</f>
        <v>0</v>
      </c>
      <c r="BE81" s="96">
        <f>SUM('Defect (Total)'!BE81,Planned!CH81,Reconductor!CH81,CTGS!CH81,'Substation 2025$'!CH81*$BL$1,Comms!CD81*$BL$2)</f>
        <v>0</v>
      </c>
      <c r="BF81" s="96">
        <f>SUM('Defect (Total)'!BF81,Planned!CI81,Reconductor!CI81,CTGS!CI81,'Substation 2025$'!CI81*$BL$1,Comms!CE81*$BL$2)</f>
        <v>0</v>
      </c>
      <c r="BG81" s="96">
        <f>SUM('Defect (Total)'!BG81,Planned!CJ81,Reconductor!CJ81,CTGS!CJ81,'Substation 2025$'!CJ81*$BL$1,Comms!CF81*$BL$2)</f>
        <v>0</v>
      </c>
      <c r="BH81" s="96">
        <f>SUM('Defect (Total)'!BH81,Planned!CK81,Reconductor!CK81,CTGS!CK81,'Substation 2025$'!CK81*$BL$1,Comms!CG81*$BL$2)</f>
        <v>0</v>
      </c>
      <c r="BI81" s="286">
        <f>SUM('Defect (Total)'!BI81,Planned!CL81,Reconductor!CL81,CTGS!CL81,'Substation 2025$'!CL81*$BL$1,Comms!CH81*$BL$2)</f>
        <v>0</v>
      </c>
      <c r="BJ81" s="99" t="str">
        <f t="shared" si="45"/>
        <v/>
      </c>
      <c r="BK81" s="743"/>
      <c r="BL81" s="97"/>
      <c r="BM81" s="524"/>
      <c r="BN81" s="416">
        <f>'Distribution Summary'!CI81+'Substation 2025$'!CT81</f>
        <v>0</v>
      </c>
      <c r="BO81" s="97">
        <f>'Distribution Summary'!CJ81+'Substation 2025$'!CU81</f>
        <v>0</v>
      </c>
      <c r="BP81" s="97">
        <f>'Distribution Summary'!CK81+'Substation 2025$'!CV81</f>
        <v>0</v>
      </c>
      <c r="BQ81" s="97">
        <f>'Distribution Summary'!CL81+'Substation 2025$'!CW81</f>
        <v>0</v>
      </c>
      <c r="BR81" s="98">
        <f>'Distribution Summary'!CM81+'Substation 2025$'!CX81</f>
        <v>0</v>
      </c>
    </row>
    <row r="82" spans="1:70" x14ac:dyDescent="0.25">
      <c r="A82" s="81" t="s">
        <v>138</v>
      </c>
      <c r="B82" s="82" t="s">
        <v>167</v>
      </c>
      <c r="C82" s="83" t="s">
        <v>372</v>
      </c>
      <c r="D82" s="84">
        <f>SUM('Defect (Total)'!D82,Planned!D82,Reconductor!D82,CTGS!D82)</f>
        <v>0</v>
      </c>
      <c r="E82" s="85">
        <f>SUM('Defect (Total)'!E82,Planned!E82,Reconductor!E82,CTGS!E82)</f>
        <v>0</v>
      </c>
      <c r="F82" s="85">
        <f>SUM('Defect (Total)'!F82,Planned!F82,Reconductor!F82,CTGS!F82)</f>
        <v>0</v>
      </c>
      <c r="G82" s="85">
        <f>SUM('Defect (Total)'!G82,Planned!G82,Reconductor!G82,CTGS!G82)</f>
        <v>0</v>
      </c>
      <c r="H82" s="85">
        <f>SUM('Defect (Total)'!H82,Planned!H82,Reconductor!H82,CTGS!H82)</f>
        <v>0</v>
      </c>
      <c r="I82" s="85">
        <f>SUM('Defect (Total)'!I82,Planned!I82,Reconductor!I82,CTGS!I82)</f>
        <v>0</v>
      </c>
      <c r="J82" s="85">
        <f>SUM('Defect (Total)'!J82,Planned!J82,Reconductor!J82,CTGS!J82)</f>
        <v>0</v>
      </c>
      <c r="K82" s="85">
        <f>SUM('Defect (Total)'!K82,Planned!K82,Reconductor!K82,CTGS!K82)</f>
        <v>0</v>
      </c>
      <c r="L82" s="85">
        <f>SUM('Defect (Total)'!L82,Planned!L82,Reconductor!L82,CTGS!L82)</f>
        <v>0</v>
      </c>
      <c r="M82" s="85">
        <f>SUM('Defect (Total)'!M82,Planned!M82,Reconductor!M82,CTGS!M82)</f>
        <v>0</v>
      </c>
      <c r="N82" s="85">
        <f>SUM('Defect (Total)'!N82,Planned!N82,Reconductor!N82,CTGS!N82)</f>
        <v>0</v>
      </c>
      <c r="O82" s="560">
        <f>SUM('Defect (Total)'!O82,Planned!O82,Reconductor!O82,CTGS!O82)</f>
        <v>0</v>
      </c>
      <c r="P82" s="561">
        <f>SUM('Defect (Total)'!P82,Planned!P82,Reconductor!P82,CTGS!P82)</f>
        <v>0</v>
      </c>
      <c r="Q82" s="561">
        <f>SUM('Defect (Total)'!Q82,Planned!Q82,Reconductor!Q82,CTGS!Q82)</f>
        <v>0</v>
      </c>
      <c r="R82" s="561">
        <f>SUM('Defect (Total)'!R82,Planned!R82,Reconductor!R82,CTGS!R82)</f>
        <v>0</v>
      </c>
      <c r="S82" s="561">
        <f>SUM('Defect (Total)'!S82,Planned!S82,Reconductor!S82,CTGS!S82)</f>
        <v>0</v>
      </c>
      <c r="T82" s="561">
        <f>SUM('Defect (Total)'!T82,Planned!T82,Reconductor!T82,CTGS!T82)</f>
        <v>0</v>
      </c>
      <c r="U82" s="561">
        <f>SUM('Defect (Total)'!U82,Planned!U82,Reconductor!U82,CTGS!U82)</f>
        <v>0</v>
      </c>
      <c r="V82" s="561">
        <f>SUM('Defect (Total)'!V82,Planned!V82,Reconductor!V82,CTGS!V82)</f>
        <v>0</v>
      </c>
      <c r="W82" s="561">
        <f>SUM('Defect (Total)'!W82,Planned!W82,Reconductor!W82,CTGS!W82)</f>
        <v>0</v>
      </c>
      <c r="X82" s="561">
        <f>SUM('Defect (Total)'!X82,Planned!X82,Reconductor!X82,CTGS!X82)</f>
        <v>0</v>
      </c>
      <c r="Y82" s="561">
        <f>SUM('Defect (Total)'!Y82,Planned!Y82,Reconductor!Y82,CTGS!Y82)</f>
        <v>0</v>
      </c>
      <c r="Z82" s="86">
        <f>SUM('Defect (Total)'!Z82,Planned!Z82,Reconductor!Z82,CTGS!Z82)</f>
        <v>0</v>
      </c>
      <c r="AA82" s="87">
        <f>SUM('Defect (Total)'!AA82,Planned!AA82,Reconductor!AA82,CTGS!AA82)</f>
        <v>0</v>
      </c>
      <c r="AB82" s="87">
        <f>SUM('Defect (Total)'!AB82,Planned!AB82,Reconductor!AB82,CTGS!AB82)</f>
        <v>0</v>
      </c>
      <c r="AC82" s="87">
        <f>SUM('Defect (Total)'!AC82,Planned!AC82,Reconductor!AC82,CTGS!AC82)</f>
        <v>0</v>
      </c>
      <c r="AD82" s="87">
        <f>SUM('Defect (Total)'!AD82,Planned!AD82,Reconductor!AD82,CTGS!AD82)</f>
        <v>0</v>
      </c>
      <c r="AE82" s="87">
        <f>SUM('Defect (Total)'!AE82,Planned!AE82,Reconductor!AE82,CTGS!AE82)</f>
        <v>0</v>
      </c>
      <c r="AF82" s="87">
        <f>SUM('Defect (Total)'!AF82,Planned!AF82,Reconductor!AF82,CTGS!AF82)</f>
        <v>0</v>
      </c>
      <c r="AG82" s="87">
        <f>SUM('Defect (Total)'!AG82,Planned!AG82,Reconductor!AG82,CTGS!AG82)</f>
        <v>0</v>
      </c>
      <c r="AH82" s="87">
        <f>SUM('Defect (Total)'!AH82,Planned!AH82,Reconductor!AH82,CTGS!AH82)</f>
        <v>0</v>
      </c>
      <c r="AI82" s="87">
        <f>SUM('Defect (Total)'!AI82,Planned!AI82,Reconductor!AI82,CTGS!AI82)</f>
        <v>0</v>
      </c>
      <c r="AJ82" s="87">
        <f>SUM('Defect (Total)'!AJ82,Planned!AJ82,Reconductor!AJ82,CTGS!AJ82)</f>
        <v>0</v>
      </c>
      <c r="AK82" s="88">
        <f t="shared" si="43"/>
        <v>0</v>
      </c>
      <c r="AL82" s="89">
        <f t="shared" si="18"/>
        <v>0</v>
      </c>
      <c r="AM82" s="90">
        <f t="shared" si="44"/>
        <v>0</v>
      </c>
      <c r="AN82" s="91" t="str">
        <f t="shared" si="31"/>
        <v/>
      </c>
      <c r="AO82" s="92" t="str">
        <f t="shared" si="32"/>
        <v/>
      </c>
      <c r="AP82" s="92" t="str">
        <f t="shared" si="33"/>
        <v/>
      </c>
      <c r="AQ82" s="92" t="str">
        <f t="shared" si="34"/>
        <v/>
      </c>
      <c r="AR82" s="92" t="str">
        <f t="shared" si="35"/>
        <v/>
      </c>
      <c r="AS82" s="92" t="str">
        <f t="shared" si="36"/>
        <v/>
      </c>
      <c r="AT82" s="92" t="str">
        <f t="shared" si="37"/>
        <v/>
      </c>
      <c r="AU82" s="92" t="str">
        <f t="shared" si="38"/>
        <v/>
      </c>
      <c r="AV82" s="92" t="str">
        <f t="shared" si="39"/>
        <v/>
      </c>
      <c r="AW82" s="92" t="str">
        <f t="shared" si="40"/>
        <v/>
      </c>
      <c r="AX82" s="92" t="str">
        <f t="shared" si="40"/>
        <v/>
      </c>
      <c r="AY82" s="93" t="str">
        <f t="shared" si="29"/>
        <v/>
      </c>
      <c r="AZ82" s="94" t="str">
        <f t="shared" si="41"/>
        <v/>
      </c>
      <c r="BA82" s="95" t="str">
        <f t="shared" si="42"/>
        <v/>
      </c>
      <c r="BB82" s="689">
        <f>SUM('Defect (Total)'!BB82,Planned!CE82,Reconductor!CE82,CTGS!CE82,'Substation 2025$'!CE82*$BL$1,Comms!CA82*$BL$2)</f>
        <v>0</v>
      </c>
      <c r="BC82" s="689">
        <f>SUM('Defect (Total)'!BC82,Planned!CF82,Reconductor!CF82,CTGS!CF82,'Substation 2025$'!CF82*$BL$1,Comms!CB82*$BL$2)</f>
        <v>0</v>
      </c>
      <c r="BD82" s="96">
        <f>SUM('Defect (Total)'!BD82,Planned!CG82,Reconductor!CG82,CTGS!CG82,'Substation 2025$'!CG82*$BL$1,Comms!CC82*$BL$2)</f>
        <v>0</v>
      </c>
      <c r="BE82" s="96">
        <f>SUM('Defect (Total)'!BE82,Planned!CH82,Reconductor!CH82,CTGS!CH82,'Substation 2025$'!CH82*$BL$1,Comms!CD82*$BL$2)</f>
        <v>0</v>
      </c>
      <c r="BF82" s="96">
        <f>SUM('Defect (Total)'!BF82,Planned!CI82,Reconductor!CI82,CTGS!CI82,'Substation 2025$'!CI82*$BL$1,Comms!CE82*$BL$2)</f>
        <v>0</v>
      </c>
      <c r="BG82" s="96">
        <f>SUM('Defect (Total)'!BG82,Planned!CJ82,Reconductor!CJ82,CTGS!CJ82,'Substation 2025$'!CJ82*$BL$1,Comms!CF82*$BL$2)</f>
        <v>0</v>
      </c>
      <c r="BH82" s="96">
        <f>SUM('Defect (Total)'!BH82,Planned!CK82,Reconductor!CK82,CTGS!CK82,'Substation 2025$'!CK82*$BL$1,Comms!CG82*$BL$2)</f>
        <v>0</v>
      </c>
      <c r="BI82" s="286">
        <f>SUM('Defect (Total)'!BI82,Planned!CL82,Reconductor!CL82,CTGS!CL82,'Substation 2025$'!CL82*$BL$1,Comms!CH82*$BL$2)</f>
        <v>0</v>
      </c>
      <c r="BJ82" s="99" t="str">
        <f t="shared" si="45"/>
        <v/>
      </c>
      <c r="BK82" s="743"/>
      <c r="BL82" s="97"/>
      <c r="BM82" s="524"/>
      <c r="BN82" s="416">
        <f>'Distribution Summary'!CI82+'Substation 2025$'!CT82</f>
        <v>0</v>
      </c>
      <c r="BO82" s="97">
        <f>'Distribution Summary'!CJ82+'Substation 2025$'!CU82</f>
        <v>0</v>
      </c>
      <c r="BP82" s="97">
        <f>'Distribution Summary'!CK82+'Substation 2025$'!CV82</f>
        <v>0</v>
      </c>
      <c r="BQ82" s="97">
        <f>'Distribution Summary'!CL82+'Substation 2025$'!CW82</f>
        <v>0</v>
      </c>
      <c r="BR82" s="98">
        <f>'Distribution Summary'!CM82+'Substation 2025$'!CX82</f>
        <v>0</v>
      </c>
    </row>
    <row r="83" spans="1:70" x14ac:dyDescent="0.25">
      <c r="A83" s="81" t="s">
        <v>138</v>
      </c>
      <c r="B83" s="82" t="s">
        <v>169</v>
      </c>
      <c r="C83" s="83" t="s">
        <v>373</v>
      </c>
      <c r="D83" s="84">
        <f>SUM('Defect (Total)'!D83,Planned!D83,Reconductor!D83,CTGS!D83)</f>
        <v>0</v>
      </c>
      <c r="E83" s="85">
        <f>SUM('Defect (Total)'!E83,Planned!E83,Reconductor!E83,CTGS!E83)</f>
        <v>0</v>
      </c>
      <c r="F83" s="85">
        <f>SUM('Defect (Total)'!F83,Planned!F83,Reconductor!F83,CTGS!F83)</f>
        <v>154498</v>
      </c>
      <c r="G83" s="85">
        <f>SUM('Defect (Total)'!G83,Planned!G83,Reconductor!G83,CTGS!G83)</f>
        <v>61598</v>
      </c>
      <c r="H83" s="85">
        <f>SUM('Defect (Total)'!H83,Planned!H83,Reconductor!H83,CTGS!H83)</f>
        <v>26374</v>
      </c>
      <c r="I83" s="85">
        <f>SUM('Defect (Total)'!I83,Planned!I83,Reconductor!I83,CTGS!I83)</f>
        <v>209260.36004262482</v>
      </c>
      <c r="J83" s="85">
        <f>SUM('Defect (Total)'!J83,Planned!J83,Reconductor!J83,CTGS!J83)</f>
        <v>198170.09733996692</v>
      </c>
      <c r="K83" s="85">
        <f>SUM('Defect (Total)'!K83,Planned!K83,Reconductor!K83,CTGS!K83)</f>
        <v>49884.6</v>
      </c>
      <c r="L83" s="85">
        <f>SUM('Defect (Total)'!L83,Planned!L83,Reconductor!L83,CTGS!L83)</f>
        <v>51271.75</v>
      </c>
      <c r="M83" s="85">
        <f>SUM('Defect (Total)'!M83,Planned!M83,Reconductor!M83,CTGS!M83)</f>
        <v>95340.15</v>
      </c>
      <c r="N83" s="85">
        <f>SUM('Defect (Total)'!N83,Planned!N83,Reconductor!N83,CTGS!N83)</f>
        <v>0</v>
      </c>
      <c r="O83" s="560">
        <f>SUM('Defect (Total)'!O83,Planned!O83,Reconductor!O83,CTGS!O83)</f>
        <v>0</v>
      </c>
      <c r="P83" s="561">
        <f>SUM('Defect (Total)'!P83,Planned!P83,Reconductor!P83,CTGS!P83)</f>
        <v>0</v>
      </c>
      <c r="Q83" s="561">
        <f>SUM('Defect (Total)'!Q83,Planned!Q83,Reconductor!Q83,CTGS!Q83)</f>
        <v>202702.26401349873</v>
      </c>
      <c r="R83" s="561">
        <f>SUM('Defect (Total)'!R83,Planned!R83,Reconductor!R83,CTGS!R83)</f>
        <v>79283.817554801673</v>
      </c>
      <c r="S83" s="561">
        <f>SUM('Defect (Total)'!S83,Planned!S83,Reconductor!S83,CTGS!S83)</f>
        <v>33255.472385448462</v>
      </c>
      <c r="T83" s="561">
        <f>SUM('Defect (Total)'!T83,Planned!T83,Reconductor!T83,CTGS!T83)</f>
        <v>259723.13896493192</v>
      </c>
      <c r="U83" s="561">
        <f>SUM('Defect (Total)'!U83,Planned!U83,Reconductor!U83,CTGS!U83)</f>
        <v>246818.47300588075</v>
      </c>
      <c r="V83" s="561">
        <f>SUM('Defect (Total)'!V83,Planned!V83,Reconductor!V83,CTGS!V83)</f>
        <v>59829.53347546875</v>
      </c>
      <c r="W83" s="561">
        <f>SUM('Defect (Total)'!W83,Planned!W83,Reconductor!W83,CTGS!W83)</f>
        <v>57933.346658447525</v>
      </c>
      <c r="X83" s="561">
        <f>SUM('Defect (Total)'!X83,Planned!X83,Reconductor!X83,CTGS!X83)</f>
        <v>101390.52421275925</v>
      </c>
      <c r="Y83" s="561">
        <f>SUM('Defect (Total)'!Y83,Planned!Y83,Reconductor!Y83,CTGS!Y83)</f>
        <v>0</v>
      </c>
      <c r="Z83" s="86">
        <f>SUM('Defect (Total)'!Z83,Planned!Z83,Reconductor!Z83,CTGS!Z83)</f>
        <v>0</v>
      </c>
      <c r="AA83" s="87">
        <f>SUM('Defect (Total)'!AA83,Planned!AA83,Reconductor!AA83,CTGS!AA83)</f>
        <v>0</v>
      </c>
      <c r="AB83" s="87">
        <f>SUM('Defect (Total)'!AB83,Planned!AB83,Reconductor!AB83,CTGS!AB83)</f>
        <v>3</v>
      </c>
      <c r="AC83" s="87">
        <f>SUM('Defect (Total)'!AC83,Planned!AC83,Reconductor!AC83,CTGS!AC83)</f>
        <v>1</v>
      </c>
      <c r="AD83" s="87">
        <f>SUM('Defect (Total)'!AD83,Planned!AD83,Reconductor!AD83,CTGS!AD83)</f>
        <v>1</v>
      </c>
      <c r="AE83" s="87">
        <f>SUM('Defect (Total)'!AE83,Planned!AE83,Reconductor!AE83,CTGS!AE83)</f>
        <v>1</v>
      </c>
      <c r="AF83" s="87">
        <f>SUM('Defect (Total)'!AF83,Planned!AF83,Reconductor!AF83,CTGS!AF83)</f>
        <v>0</v>
      </c>
      <c r="AG83" s="87">
        <f>SUM('Defect (Total)'!AG83,Planned!AG83,Reconductor!AG83,CTGS!AG83)</f>
        <v>2</v>
      </c>
      <c r="AH83" s="87">
        <f>SUM('Defect (Total)'!AH83,Planned!AH83,Reconductor!AH83,CTGS!AH83)</f>
        <v>1</v>
      </c>
      <c r="AI83" s="87">
        <f>SUM('Defect (Total)'!AI83,Planned!AI83,Reconductor!AI83,CTGS!AI83)</f>
        <v>3</v>
      </c>
      <c r="AJ83" s="87">
        <f>SUM('Defect (Total)'!AJ83,Planned!AJ83,Reconductor!AJ83,CTGS!AJ83)</f>
        <v>0</v>
      </c>
      <c r="AK83" s="88">
        <f t="shared" si="43"/>
        <v>1</v>
      </c>
      <c r="AL83" s="89">
        <f t="shared" si="18"/>
        <v>1</v>
      </c>
      <c r="AM83" s="90">
        <f t="shared" si="44"/>
        <v>1</v>
      </c>
      <c r="AN83" s="91" t="str">
        <f t="shared" si="31"/>
        <v/>
      </c>
      <c r="AO83" s="92" t="str">
        <f t="shared" si="32"/>
        <v/>
      </c>
      <c r="AP83" s="92">
        <f t="shared" si="33"/>
        <v>51499.333333333336</v>
      </c>
      <c r="AQ83" s="92">
        <f t="shared" si="34"/>
        <v>61598</v>
      </c>
      <c r="AR83" s="92">
        <f t="shared" si="35"/>
        <v>26374</v>
      </c>
      <c r="AS83" s="92">
        <f t="shared" si="36"/>
        <v>209260.36004262482</v>
      </c>
      <c r="AT83" s="92" t="str">
        <f t="shared" si="37"/>
        <v/>
      </c>
      <c r="AU83" s="92">
        <f t="shared" si="38"/>
        <v>24942.3</v>
      </c>
      <c r="AV83" s="92">
        <f t="shared" si="39"/>
        <v>51271.75</v>
      </c>
      <c r="AW83" s="92">
        <f t="shared" si="40"/>
        <v>31780.05</v>
      </c>
      <c r="AX83" s="92" t="str">
        <f t="shared" si="40"/>
        <v/>
      </c>
      <c r="AY83" s="93">
        <f t="shared" si="29"/>
        <v>106992.16147651835</v>
      </c>
      <c r="AZ83" s="94">
        <f t="shared" si="41"/>
        <v>99775.482446655631</v>
      </c>
      <c r="BA83" s="95">
        <f t="shared" si="42"/>
        <v>51271.75</v>
      </c>
      <c r="BB83" s="689">
        <f>SUM('Defect (Total)'!BB83,Planned!CE83,Reconductor!CE83,CTGS!CE83,'Substation 2025$'!CE83*$BL$1,Comms!CA83*$BL$2)</f>
        <v>2</v>
      </c>
      <c r="BC83" s="689">
        <f>SUM('Defect (Total)'!BC83,Planned!CF83,Reconductor!CF83,CTGS!CF83,'Substation 2025$'!CF83*$BL$1,Comms!CB83*$BL$2)</f>
        <v>2</v>
      </c>
      <c r="BD83" s="96">
        <f>SUM('Defect (Total)'!BD83,Planned!CG83,Reconductor!CG83,CTGS!CG83,'Substation 2025$'!CG83*$BL$1,Comms!CC83*$BL$2)</f>
        <v>2</v>
      </c>
      <c r="BE83" s="96">
        <f>SUM('Defect (Total)'!BE83,Planned!CH83,Reconductor!CH83,CTGS!CH83,'Substation 2025$'!CH83*$BL$1,Comms!CD83*$BL$2)</f>
        <v>1.6081118881119998</v>
      </c>
      <c r="BF83" s="96">
        <f>SUM('Defect (Total)'!BF83,Planned!CI83,Reconductor!CI83,CTGS!CI83,'Substation 2025$'!CI83*$BL$1,Comms!CE83*$BL$2)</f>
        <v>1.6081118881119998</v>
      </c>
      <c r="BG83" s="96">
        <f>SUM('Defect (Total)'!BG83,Planned!CJ83,Reconductor!CJ83,CTGS!CJ83,'Substation 2025$'!CJ83*$BL$1,Comms!CF83*$BL$2)</f>
        <v>1.6081118881119998</v>
      </c>
      <c r="BH83" s="96">
        <f>SUM('Defect (Total)'!BH83,Planned!CK83,Reconductor!CK83,CTGS!CK83,'Substation 2025$'!CK83*$BL$1,Comms!CG83*$BL$2)</f>
        <v>1.6081118881119998</v>
      </c>
      <c r="BI83" s="286">
        <f>SUM('Defect (Total)'!BI83,Planned!CL83,Reconductor!CL83,CTGS!CL83,'Substation 2025$'!CL83*$BL$1,Comms!CH83*$BL$2)</f>
        <v>1.6081118881119998</v>
      </c>
      <c r="BJ83" s="99">
        <f t="shared" si="45"/>
        <v>35890.583801648201</v>
      </c>
      <c r="BK83" s="743"/>
      <c r="BL83" s="97"/>
      <c r="BM83" s="524"/>
      <c r="BN83" s="416">
        <f>'Distribution Summary'!CI83+'Substation 2025$'!CT83</f>
        <v>57146.487351296273</v>
      </c>
      <c r="BO83" s="97">
        <f>'Distribution Summary'!CJ83+'Substation 2025$'!CU83</f>
        <v>57419.90361751747</v>
      </c>
      <c r="BP83" s="97">
        <f>'Distribution Summary'!CK83+'Substation 2025$'!CV83</f>
        <v>57682.794668480114</v>
      </c>
      <c r="BQ83" s="97">
        <f>'Distribution Summary'!CL83+'Substation 2025$'!CW83</f>
        <v>57992.259801146014</v>
      </c>
      <c r="BR83" s="98">
        <f>'Distribution Summary'!CM83+'Substation 2025$'!CX83</f>
        <v>58338.926975112379</v>
      </c>
    </row>
    <row r="84" spans="1:70" x14ac:dyDescent="0.25">
      <c r="A84" s="81" t="s">
        <v>138</v>
      </c>
      <c r="B84" s="82" t="s">
        <v>171</v>
      </c>
      <c r="C84" s="83" t="s">
        <v>374</v>
      </c>
      <c r="D84" s="84">
        <f>SUM('Defect (Total)'!D84,Planned!D84,Reconductor!D84,CTGS!D84)</f>
        <v>0</v>
      </c>
      <c r="E84" s="85">
        <f>SUM('Defect (Total)'!E84,Planned!E84,Reconductor!E84,CTGS!E84)</f>
        <v>190050</v>
      </c>
      <c r="F84" s="85">
        <f>SUM('Defect (Total)'!F84,Planned!F84,Reconductor!F84,CTGS!F84)</f>
        <v>70254</v>
      </c>
      <c r="G84" s="85">
        <f>SUM('Defect (Total)'!G84,Planned!G84,Reconductor!G84,CTGS!G84)</f>
        <v>83179</v>
      </c>
      <c r="H84" s="85">
        <f>SUM('Defect (Total)'!H84,Planned!H84,Reconductor!H84,CTGS!H84)</f>
        <v>148721</v>
      </c>
      <c r="I84" s="85">
        <f>SUM('Defect (Total)'!I84,Planned!I84,Reconductor!I84,CTGS!I84)</f>
        <v>432277.48327805428</v>
      </c>
      <c r="J84" s="85">
        <f>SUM('Defect (Total)'!J84,Planned!J84,Reconductor!J84,CTGS!J84)</f>
        <v>638491.67258151434</v>
      </c>
      <c r="K84" s="85">
        <f>SUM('Defect (Total)'!K84,Planned!K84,Reconductor!K84,CTGS!K84)</f>
        <v>32120.95</v>
      </c>
      <c r="L84" s="85">
        <f>SUM('Defect (Total)'!L84,Planned!L84,Reconductor!L84,CTGS!L84)</f>
        <v>73500.628030338994</v>
      </c>
      <c r="M84" s="85">
        <f>SUM('Defect (Total)'!M84,Planned!M84,Reconductor!M84,CTGS!M84)</f>
        <v>136859.06406143005</v>
      </c>
      <c r="N84" s="85">
        <f>SUM('Defect (Total)'!N84,Planned!N84,Reconductor!N84,CTGS!N84)</f>
        <v>91035.473545261906</v>
      </c>
      <c r="O84" s="560">
        <f>SUM('Defect (Total)'!O84,Planned!O84,Reconductor!O84,CTGS!O84)</f>
        <v>0</v>
      </c>
      <c r="P84" s="561">
        <f>SUM('Defect (Total)'!P84,Planned!P84,Reconductor!P84,CTGS!P84)</f>
        <v>251898.14688340217</v>
      </c>
      <c r="Q84" s="561">
        <f>SUM('Defect (Total)'!Q84,Planned!Q84,Reconductor!Q84,CTGS!Q84)</f>
        <v>92173.651801345899</v>
      </c>
      <c r="R84" s="561">
        <f>SUM('Defect (Total)'!R84,Planned!R84,Reconductor!R84,CTGS!R84)</f>
        <v>107061.08413245314</v>
      </c>
      <c r="S84" s="561">
        <f>SUM('Defect (Total)'!S84,Planned!S84,Reconductor!S84,CTGS!S84)</f>
        <v>187525.10459681053</v>
      </c>
      <c r="T84" s="561">
        <f>SUM('Defect (Total)'!T84,Planned!T84,Reconductor!T84,CTGS!T84)</f>
        <v>536520.46110389964</v>
      </c>
      <c r="U84" s="561">
        <f>SUM('Defect (Total)'!U84,Planned!U84,Reconductor!U84,CTGS!U84)</f>
        <v>795233.69957873609</v>
      </c>
      <c r="V84" s="561">
        <f>SUM('Defect (Total)'!V84,Planned!V84,Reconductor!V84,CTGS!V84)</f>
        <v>38524.543712665996</v>
      </c>
      <c r="W84" s="561">
        <f>SUM('Defect (Total)'!W84,Planned!W84,Reconductor!W84,CTGS!W84)</f>
        <v>83050.361325588339</v>
      </c>
      <c r="X84" s="561">
        <f>SUM('Defect (Total)'!X84,Planned!X84,Reconductor!X84,CTGS!X84)</f>
        <v>145544.26701086576</v>
      </c>
      <c r="Y84" s="561">
        <f>SUM('Defect (Total)'!Y84,Planned!Y84,Reconductor!Y84,CTGS!Y84)</f>
        <v>93538.810631571658</v>
      </c>
      <c r="Z84" s="86">
        <f>SUM('Defect (Total)'!Z84,Planned!Z84,Reconductor!Z84,CTGS!Z84)</f>
        <v>0</v>
      </c>
      <c r="AA84" s="87">
        <f>SUM('Defect (Total)'!AA84,Planned!AA84,Reconductor!AA84,CTGS!AA84)</f>
        <v>2</v>
      </c>
      <c r="AB84" s="87">
        <f>SUM('Defect (Total)'!AB84,Planned!AB84,Reconductor!AB84,CTGS!AB84)</f>
        <v>1</v>
      </c>
      <c r="AC84" s="87">
        <f>SUM('Defect (Total)'!AC84,Planned!AC84,Reconductor!AC84,CTGS!AC84)</f>
        <v>1</v>
      </c>
      <c r="AD84" s="87">
        <f>SUM('Defect (Total)'!AD84,Planned!AD84,Reconductor!AD84,CTGS!AD84)</f>
        <v>2</v>
      </c>
      <c r="AE84" s="87">
        <f>SUM('Defect (Total)'!AE84,Planned!AE84,Reconductor!AE84,CTGS!AE84)</f>
        <v>4</v>
      </c>
      <c r="AF84" s="87">
        <f>SUM('Defect (Total)'!AF84,Planned!AF84,Reconductor!AF84,CTGS!AF84)</f>
        <v>2</v>
      </c>
      <c r="AG84" s="87">
        <f>SUM('Defect (Total)'!AG84,Planned!AG84,Reconductor!AG84,CTGS!AG84)</f>
        <v>1</v>
      </c>
      <c r="AH84" s="87">
        <f>SUM('Defect (Total)'!AH84,Planned!AH84,Reconductor!AH84,CTGS!AH84)</f>
        <v>2</v>
      </c>
      <c r="AI84" s="87">
        <f>SUM('Defect (Total)'!AI84,Planned!AI84,Reconductor!AI84,CTGS!AI84)</f>
        <v>3</v>
      </c>
      <c r="AJ84" s="87">
        <f>SUM('Defect (Total)'!AJ84,Planned!AJ84,Reconductor!AJ84,CTGS!AJ84)</f>
        <v>1</v>
      </c>
      <c r="AK84" s="88">
        <f t="shared" si="43"/>
        <v>2.2000000000000002</v>
      </c>
      <c r="AL84" s="89">
        <f t="shared" si="18"/>
        <v>1.6666666666666667</v>
      </c>
      <c r="AM84" s="90">
        <f t="shared" si="44"/>
        <v>2</v>
      </c>
      <c r="AN84" s="91" t="str">
        <f t="shared" si="31"/>
        <v/>
      </c>
      <c r="AO84" s="92">
        <f t="shared" si="32"/>
        <v>95025</v>
      </c>
      <c r="AP84" s="92">
        <f t="shared" si="33"/>
        <v>70254</v>
      </c>
      <c r="AQ84" s="92">
        <f t="shared" si="34"/>
        <v>83179</v>
      </c>
      <c r="AR84" s="92">
        <f t="shared" si="35"/>
        <v>74360.5</v>
      </c>
      <c r="AS84" s="92">
        <f t="shared" si="36"/>
        <v>108069.37081951357</v>
      </c>
      <c r="AT84" s="92">
        <f t="shared" si="37"/>
        <v>319245.83629075717</v>
      </c>
      <c r="AU84" s="92">
        <f t="shared" si="38"/>
        <v>32120.95</v>
      </c>
      <c r="AV84" s="92">
        <f t="shared" si="39"/>
        <v>36750.314015169497</v>
      </c>
      <c r="AW84" s="92">
        <f t="shared" si="40"/>
        <v>45619.688020476686</v>
      </c>
      <c r="AX84" s="92">
        <f t="shared" si="40"/>
        <v>91035.473545261906</v>
      </c>
      <c r="AY84" s="93">
        <f t="shared" si="29"/>
        <v>120464.7030809007</v>
      </c>
      <c r="AZ84" s="94">
        <f t="shared" si="41"/>
        <v>148822.65012237066</v>
      </c>
      <c r="BA84" s="95">
        <f t="shared" si="42"/>
        <v>36750.314015169497</v>
      </c>
      <c r="BB84" s="689">
        <f>SUM('Defect (Total)'!BB84,Planned!CE84,Reconductor!CE84,CTGS!CE84,'Substation 2025$'!CE84*$BL$1,Comms!CA84*$BL$2)</f>
        <v>2</v>
      </c>
      <c r="BC84" s="689">
        <f>SUM('Defect (Total)'!BC84,Planned!CF84,Reconductor!CF84,CTGS!CF84,'Substation 2025$'!CF84*$BL$1,Comms!CB84*$BL$2)</f>
        <v>2</v>
      </c>
      <c r="BD84" s="96">
        <f>SUM('Defect (Total)'!BD84,Planned!CG84,Reconductor!CG84,CTGS!CG84,'Substation 2025$'!CG84*$BL$1,Comms!CC84*$BL$2)</f>
        <v>2</v>
      </c>
      <c r="BE84" s="96">
        <f>SUM('Defect (Total)'!BE84,Planned!CH84,Reconductor!CH84,CTGS!CH84,'Substation 2025$'!CH84*$BL$1,Comms!CD84*$BL$2)</f>
        <v>1.6081118881119998</v>
      </c>
      <c r="BF84" s="96">
        <f>SUM('Defect (Total)'!BF84,Planned!CI84,Reconductor!CI84,CTGS!CI84,'Substation 2025$'!CI84*$BL$1,Comms!CE84*$BL$2)</f>
        <v>1.6081118881119998</v>
      </c>
      <c r="BG84" s="96">
        <f>SUM('Defect (Total)'!BG84,Planned!CJ84,Reconductor!CJ84,CTGS!CJ84,'Substation 2025$'!CJ84*$BL$1,Comms!CF84*$BL$2)</f>
        <v>1.6081118881119998</v>
      </c>
      <c r="BH84" s="96">
        <f>SUM('Defect (Total)'!BH84,Planned!CK84,Reconductor!CK84,CTGS!CK84,'Substation 2025$'!CK84*$BL$1,Comms!CG84*$BL$2)</f>
        <v>1.6081118881119998</v>
      </c>
      <c r="BI84" s="286">
        <f>SUM('Defect (Total)'!BI84,Planned!CL84,Reconductor!CL84,CTGS!CL84,'Substation 2025$'!CL84*$BL$1,Comms!CH84*$BL$2)</f>
        <v>1.6081118881119998</v>
      </c>
      <c r="BJ84" s="99">
        <f t="shared" si="45"/>
        <v>47694.892670341185</v>
      </c>
      <c r="BK84" s="743"/>
      <c r="BL84" s="97"/>
      <c r="BM84" s="524"/>
      <c r="BN84" s="416">
        <f>'Distribution Summary'!CI84+'Substation 2025$'!CT84</f>
        <v>75941.801219235625</v>
      </c>
      <c r="BO84" s="97">
        <f>'Distribution Summary'!CJ84+'Substation 2025$'!CU84</f>
        <v>76305.143302045282</v>
      </c>
      <c r="BP84" s="97">
        <f>'Distribution Summary'!CK84+'Substation 2025$'!CV84</f>
        <v>76654.498456838861</v>
      </c>
      <c r="BQ84" s="97">
        <f>'Distribution Summary'!CL84+'Substation 2025$'!CW84</f>
        <v>77065.745773663919</v>
      </c>
      <c r="BR84" s="98">
        <f>'Distribution Summary'!CM84+'Substation 2025$'!CX84</f>
        <v>77526.430775224057</v>
      </c>
    </row>
    <row r="85" spans="1:70" x14ac:dyDescent="0.25">
      <c r="A85" s="81" t="s">
        <v>138</v>
      </c>
      <c r="B85" s="82" t="s">
        <v>173</v>
      </c>
      <c r="C85" s="83" t="s">
        <v>375</v>
      </c>
      <c r="D85" s="84">
        <f>SUM('Defect (Total)'!D85,Planned!D85,Reconductor!D85,CTGS!D85)</f>
        <v>0</v>
      </c>
      <c r="E85" s="85">
        <f>SUM('Defect (Total)'!E85,Planned!E85,Reconductor!E85,CTGS!E85)</f>
        <v>80744</v>
      </c>
      <c r="F85" s="85">
        <f>SUM('Defect (Total)'!F85,Planned!F85,Reconductor!F85,CTGS!F85)</f>
        <v>200271</v>
      </c>
      <c r="G85" s="85">
        <f>SUM('Defect (Total)'!G85,Planned!G85,Reconductor!G85,CTGS!G85)</f>
        <v>0</v>
      </c>
      <c r="H85" s="85">
        <f>SUM('Defect (Total)'!H85,Planned!H85,Reconductor!H85,CTGS!H85)</f>
        <v>0</v>
      </c>
      <c r="I85" s="85">
        <f>SUM('Defect (Total)'!I85,Planned!I85,Reconductor!I85,CTGS!I85)</f>
        <v>125300.59687523704</v>
      </c>
      <c r="J85" s="85">
        <f>SUM('Defect (Total)'!J85,Planned!J85,Reconductor!J85,CTGS!J85)</f>
        <v>0</v>
      </c>
      <c r="K85" s="85">
        <f>SUM('Defect (Total)'!K85,Planned!K85,Reconductor!K85,CTGS!K85)</f>
        <v>181400.89701398701</v>
      </c>
      <c r="L85" s="85">
        <f>SUM('Defect (Total)'!L85,Planned!L85,Reconductor!L85,CTGS!L85)</f>
        <v>0</v>
      </c>
      <c r="M85" s="85">
        <f>SUM('Defect (Total)'!M85,Planned!M85,Reconductor!M85,CTGS!M85)</f>
        <v>0</v>
      </c>
      <c r="N85" s="85">
        <f>SUM('Defect (Total)'!N85,Planned!N85,Reconductor!N85,CTGS!N85)</f>
        <v>0</v>
      </c>
      <c r="O85" s="560">
        <f>SUM('Defect (Total)'!O85,Planned!O85,Reconductor!O85,CTGS!O85)</f>
        <v>0</v>
      </c>
      <c r="P85" s="561">
        <f>SUM('Defect (Total)'!P85,Planned!P85,Reconductor!P85,CTGS!P85)</f>
        <v>107020.59443279887</v>
      </c>
      <c r="Q85" s="561">
        <f>SUM('Defect (Total)'!Q85,Planned!Q85,Reconductor!Q85,CTGS!Q85)</f>
        <v>262756.70310455409</v>
      </c>
      <c r="R85" s="561">
        <f>SUM('Defect (Total)'!R85,Planned!R85,Reconductor!R85,CTGS!R85)</f>
        <v>0</v>
      </c>
      <c r="S85" s="561">
        <f>SUM('Defect (Total)'!S85,Planned!S85,Reconductor!S85,CTGS!S85)</f>
        <v>0</v>
      </c>
      <c r="T85" s="561">
        <f>SUM('Defect (Total)'!T85,Planned!T85,Reconductor!T85,CTGS!T85)</f>
        <v>155516.62210648609</v>
      </c>
      <c r="U85" s="561">
        <f>SUM('Defect (Total)'!U85,Planned!U85,Reconductor!U85,CTGS!U85)</f>
        <v>0</v>
      </c>
      <c r="V85" s="561">
        <f>SUM('Defect (Total)'!V85,Planned!V85,Reconductor!V85,CTGS!V85)</f>
        <v>217564.76027428094</v>
      </c>
      <c r="W85" s="561">
        <f>SUM('Defect (Total)'!W85,Planned!W85,Reconductor!W85,CTGS!W85)</f>
        <v>0</v>
      </c>
      <c r="X85" s="561">
        <f>SUM('Defect (Total)'!X85,Planned!X85,Reconductor!X85,CTGS!X85)</f>
        <v>0</v>
      </c>
      <c r="Y85" s="561">
        <f>SUM('Defect (Total)'!Y85,Planned!Y85,Reconductor!Y85,CTGS!Y85)</f>
        <v>0</v>
      </c>
      <c r="Z85" s="86">
        <f>SUM('Defect (Total)'!Z85,Planned!Z85,Reconductor!Z85,CTGS!Z85)</f>
        <v>0</v>
      </c>
      <c r="AA85" s="87">
        <f>SUM('Defect (Total)'!AA85,Planned!AA85,Reconductor!AA85,CTGS!AA85)</f>
        <v>1</v>
      </c>
      <c r="AB85" s="87">
        <f>SUM('Defect (Total)'!AB85,Planned!AB85,Reconductor!AB85,CTGS!AB85)</f>
        <v>3</v>
      </c>
      <c r="AC85" s="87">
        <f>SUM('Defect (Total)'!AC85,Planned!AC85,Reconductor!AC85,CTGS!AC85)</f>
        <v>0</v>
      </c>
      <c r="AD85" s="87">
        <f>SUM('Defect (Total)'!AD85,Planned!AD85,Reconductor!AD85,CTGS!AD85)</f>
        <v>0</v>
      </c>
      <c r="AE85" s="87">
        <f>SUM('Defect (Total)'!AE85,Planned!AE85,Reconductor!AE85,CTGS!AE85)</f>
        <v>1</v>
      </c>
      <c r="AF85" s="87">
        <f>SUM('Defect (Total)'!AF85,Planned!AF85,Reconductor!AF85,CTGS!AF85)</f>
        <v>0</v>
      </c>
      <c r="AG85" s="87">
        <f>SUM('Defect (Total)'!AG85,Planned!AG85,Reconductor!AG85,CTGS!AG85)</f>
        <v>2</v>
      </c>
      <c r="AH85" s="87">
        <f>SUM('Defect (Total)'!AH85,Planned!AH85,Reconductor!AH85,CTGS!AH85)</f>
        <v>0</v>
      </c>
      <c r="AI85" s="87">
        <f>SUM('Defect (Total)'!AI85,Planned!AI85,Reconductor!AI85,CTGS!AI85)</f>
        <v>0</v>
      </c>
      <c r="AJ85" s="87">
        <f>SUM('Defect (Total)'!AJ85,Planned!AJ85,Reconductor!AJ85,CTGS!AJ85)</f>
        <v>0</v>
      </c>
      <c r="AK85" s="88">
        <f t="shared" si="43"/>
        <v>0.6</v>
      </c>
      <c r="AL85" s="89">
        <f t="shared" si="18"/>
        <v>0.66666666666666663</v>
      </c>
      <c r="AM85" s="90">
        <f t="shared" si="44"/>
        <v>0</v>
      </c>
      <c r="AN85" s="91" t="str">
        <f t="shared" si="31"/>
        <v/>
      </c>
      <c r="AO85" s="92">
        <f t="shared" si="32"/>
        <v>80744</v>
      </c>
      <c r="AP85" s="92">
        <f t="shared" si="33"/>
        <v>66757</v>
      </c>
      <c r="AQ85" s="92" t="str">
        <f t="shared" si="34"/>
        <v/>
      </c>
      <c r="AR85" s="92" t="str">
        <f t="shared" si="35"/>
        <v/>
      </c>
      <c r="AS85" s="92">
        <f t="shared" si="36"/>
        <v>125300.59687523704</v>
      </c>
      <c r="AT85" s="92" t="str">
        <f t="shared" si="37"/>
        <v/>
      </c>
      <c r="AU85" s="92">
        <f t="shared" si="38"/>
        <v>90700.448506993504</v>
      </c>
      <c r="AV85" s="92" t="str">
        <f t="shared" si="39"/>
        <v/>
      </c>
      <c r="AW85" s="92" t="str">
        <f t="shared" si="40"/>
        <v/>
      </c>
      <c r="AX85" s="92" t="str">
        <f t="shared" si="40"/>
        <v/>
      </c>
      <c r="AY85" s="93">
        <f t="shared" si="29"/>
        <v>102233.83129640801</v>
      </c>
      <c r="AZ85" s="94">
        <f t="shared" si="41"/>
        <v>90700.448506993504</v>
      </c>
      <c r="BA85" s="95" t="str">
        <f t="shared" si="42"/>
        <v/>
      </c>
      <c r="BB85" s="689">
        <f>SUM('Defect (Total)'!BB85,Planned!CE85,Reconductor!CE85,CTGS!CE85,'Substation 2025$'!CE85*$BL$1,Comms!CA85*$BL$2)</f>
        <v>0.66666666666666663</v>
      </c>
      <c r="BC85" s="689">
        <f>SUM('Defect (Total)'!BC85,Planned!CF85,Reconductor!CF85,CTGS!CF85,'Substation 2025$'!CF85*$BL$1,Comms!CB85*$BL$2)</f>
        <v>0.66666666666666663</v>
      </c>
      <c r="BD85" s="96">
        <f>SUM('Defect (Total)'!BD85,Planned!CG85,Reconductor!CG85,CTGS!CG85,'Substation 2025$'!CG85*$BL$1,Comms!CC85*$BL$2)</f>
        <v>0.66666666666666663</v>
      </c>
      <c r="BE85" s="96">
        <f>SUM('Defect (Total)'!BE85,Planned!CH85,Reconductor!CH85,CTGS!CH85,'Substation 2025$'!CH85*$BL$1,Comms!CD85*$BL$2)</f>
        <v>0.5673892773893332</v>
      </c>
      <c r="BF85" s="96">
        <f>SUM('Defect (Total)'!BF85,Planned!CI85,Reconductor!CI85,CTGS!CI85,'Substation 2025$'!CI85*$BL$1,Comms!CE85*$BL$2)</f>
        <v>0.5673892773893332</v>
      </c>
      <c r="BG85" s="96">
        <f>SUM('Defect (Total)'!BG85,Planned!CJ85,Reconductor!CJ85,CTGS!CJ85,'Substation 2025$'!CJ85*$BL$1,Comms!CF85*$BL$2)</f>
        <v>5.5673892773893332</v>
      </c>
      <c r="BH85" s="96">
        <f>SUM('Defect (Total)'!BH85,Planned!CK85,Reconductor!CK85,CTGS!CK85,'Substation 2025$'!CK85*$BL$1,Comms!CG85*$BL$2)</f>
        <v>4.5673892773893332</v>
      </c>
      <c r="BI85" s="286">
        <f>SUM('Defect (Total)'!BI85,Planned!CL85,Reconductor!CL85,CTGS!CL85,'Substation 2025$'!CL85*$BL$1,Comms!CH85*$BL$2)</f>
        <v>1.5673892773893332</v>
      </c>
      <c r="BJ85" s="99">
        <f t="shared" si="45"/>
        <v>2169985.2463990767</v>
      </c>
      <c r="BK85" s="743"/>
      <c r="BL85" s="97"/>
      <c r="BM85" s="524"/>
      <c r="BN85" s="416">
        <f>'Distribution Summary'!CI85+'Substation 2025$'!CT85</f>
        <v>3690333.0678926683</v>
      </c>
      <c r="BO85" s="97">
        <f>'Distribution Summary'!CJ85+'Substation 2025$'!CU85</f>
        <v>4580913.6787725734</v>
      </c>
      <c r="BP85" s="97">
        <f>'Distribution Summary'!CK85+'Substation 2025$'!CV85</f>
        <v>5789638.9678921374</v>
      </c>
      <c r="BQ85" s="97">
        <f>'Distribution Summary'!CL85+'Substation 2025$'!CW85</f>
        <v>4543266.6122254068</v>
      </c>
      <c r="BR85" s="98">
        <f>'Distribution Summary'!CM85+'Substation 2025$'!CX85</f>
        <v>9251831.9417074081</v>
      </c>
    </row>
    <row r="86" spans="1:70" x14ac:dyDescent="0.25">
      <c r="A86" s="81" t="s">
        <v>138</v>
      </c>
      <c r="B86" s="82" t="s">
        <v>175</v>
      </c>
      <c r="C86" s="83" t="s">
        <v>376</v>
      </c>
      <c r="D86" s="84">
        <f>SUM('Defect (Total)'!D86,Planned!D86,Reconductor!D86,CTGS!D86)</f>
        <v>0</v>
      </c>
      <c r="E86" s="85">
        <f>SUM('Defect (Total)'!E86,Planned!E86,Reconductor!E86,CTGS!E86)</f>
        <v>0</v>
      </c>
      <c r="F86" s="85">
        <f>SUM('Defect (Total)'!F86,Planned!F86,Reconductor!F86,CTGS!F86)</f>
        <v>0</v>
      </c>
      <c r="G86" s="85">
        <f>SUM('Defect (Total)'!G86,Planned!G86,Reconductor!G86,CTGS!G86)</f>
        <v>0</v>
      </c>
      <c r="H86" s="85">
        <f>SUM('Defect (Total)'!H86,Planned!H86,Reconductor!H86,CTGS!H86)</f>
        <v>0</v>
      </c>
      <c r="I86" s="85">
        <f>SUM('Defect (Total)'!I86,Planned!I86,Reconductor!I86,CTGS!I86)</f>
        <v>0</v>
      </c>
      <c r="J86" s="85">
        <f>SUM('Defect (Total)'!J86,Planned!J86,Reconductor!J86,CTGS!J86)</f>
        <v>0</v>
      </c>
      <c r="K86" s="85">
        <f>SUM('Defect (Total)'!K86,Planned!K86,Reconductor!K86,CTGS!K86)</f>
        <v>0</v>
      </c>
      <c r="L86" s="85">
        <f>SUM('Defect (Total)'!L86,Planned!L86,Reconductor!L86,CTGS!L86)</f>
        <v>0</v>
      </c>
      <c r="M86" s="85">
        <f>SUM('Defect (Total)'!M86,Planned!M86,Reconductor!M86,CTGS!M86)</f>
        <v>0</v>
      </c>
      <c r="N86" s="85">
        <f>SUM('Defect (Total)'!N86,Planned!N86,Reconductor!N86,CTGS!N86)</f>
        <v>0</v>
      </c>
      <c r="O86" s="560">
        <f>SUM('Defect (Total)'!O86,Planned!O86,Reconductor!O86,CTGS!O86)</f>
        <v>0</v>
      </c>
      <c r="P86" s="561">
        <f>SUM('Defect (Total)'!P86,Planned!P86,Reconductor!P86,CTGS!P86)</f>
        <v>0</v>
      </c>
      <c r="Q86" s="561">
        <f>SUM('Defect (Total)'!Q86,Planned!Q86,Reconductor!Q86,CTGS!Q86)</f>
        <v>0</v>
      </c>
      <c r="R86" s="561">
        <f>SUM('Defect (Total)'!R86,Planned!R86,Reconductor!R86,CTGS!R86)</f>
        <v>0</v>
      </c>
      <c r="S86" s="561">
        <f>SUM('Defect (Total)'!S86,Planned!S86,Reconductor!S86,CTGS!S86)</f>
        <v>0</v>
      </c>
      <c r="T86" s="561">
        <f>SUM('Defect (Total)'!T86,Planned!T86,Reconductor!T86,CTGS!T86)</f>
        <v>0</v>
      </c>
      <c r="U86" s="561">
        <f>SUM('Defect (Total)'!U86,Planned!U86,Reconductor!U86,CTGS!U86)</f>
        <v>0</v>
      </c>
      <c r="V86" s="561">
        <f>SUM('Defect (Total)'!V86,Planned!V86,Reconductor!V86,CTGS!V86)</f>
        <v>0</v>
      </c>
      <c r="W86" s="561">
        <f>SUM('Defect (Total)'!W86,Planned!W86,Reconductor!W86,CTGS!W86)</f>
        <v>0</v>
      </c>
      <c r="X86" s="561">
        <f>SUM('Defect (Total)'!X86,Planned!X86,Reconductor!X86,CTGS!X86)</f>
        <v>0</v>
      </c>
      <c r="Y86" s="561">
        <f>SUM('Defect (Total)'!Y86,Planned!Y86,Reconductor!Y86,CTGS!Y86)</f>
        <v>0</v>
      </c>
      <c r="Z86" s="86">
        <f>SUM('Defect (Total)'!Z86,Planned!Z86,Reconductor!Z86,CTGS!Z86)</f>
        <v>0</v>
      </c>
      <c r="AA86" s="87">
        <f>SUM('Defect (Total)'!AA86,Planned!AA86,Reconductor!AA86,CTGS!AA86)</f>
        <v>0</v>
      </c>
      <c r="AB86" s="87">
        <f>SUM('Defect (Total)'!AB86,Planned!AB86,Reconductor!AB86,CTGS!AB86)</f>
        <v>0</v>
      </c>
      <c r="AC86" s="87">
        <f>SUM('Defect (Total)'!AC86,Planned!AC86,Reconductor!AC86,CTGS!AC86)</f>
        <v>0</v>
      </c>
      <c r="AD86" s="87">
        <f>SUM('Defect (Total)'!AD86,Planned!AD86,Reconductor!AD86,CTGS!AD86)</f>
        <v>0</v>
      </c>
      <c r="AE86" s="87">
        <f>SUM('Defect (Total)'!AE86,Planned!AE86,Reconductor!AE86,CTGS!AE86)</f>
        <v>0</v>
      </c>
      <c r="AF86" s="87">
        <f>SUM('Defect (Total)'!AF86,Planned!AF86,Reconductor!AF86,CTGS!AF86)</f>
        <v>0</v>
      </c>
      <c r="AG86" s="87">
        <f>SUM('Defect (Total)'!AG86,Planned!AG86,Reconductor!AG86,CTGS!AG86)</f>
        <v>0</v>
      </c>
      <c r="AH86" s="87">
        <f>SUM('Defect (Total)'!AH86,Planned!AH86,Reconductor!AH86,CTGS!AH86)</f>
        <v>0</v>
      </c>
      <c r="AI86" s="87">
        <f>SUM('Defect (Total)'!AI86,Planned!AI86,Reconductor!AI86,CTGS!AI86)</f>
        <v>0</v>
      </c>
      <c r="AJ86" s="87">
        <f>SUM('Defect (Total)'!AJ86,Planned!AJ86,Reconductor!AJ86,CTGS!AJ86)</f>
        <v>0</v>
      </c>
      <c r="AK86" s="88">
        <f t="shared" si="43"/>
        <v>0</v>
      </c>
      <c r="AL86" s="89">
        <f t="shared" si="18"/>
        <v>0</v>
      </c>
      <c r="AM86" s="90">
        <f t="shared" si="44"/>
        <v>0</v>
      </c>
      <c r="AN86" s="91" t="str">
        <f t="shared" si="31"/>
        <v/>
      </c>
      <c r="AO86" s="92" t="str">
        <f t="shared" si="32"/>
        <v/>
      </c>
      <c r="AP86" s="92" t="str">
        <f t="shared" si="33"/>
        <v/>
      </c>
      <c r="AQ86" s="92" t="str">
        <f t="shared" si="34"/>
        <v/>
      </c>
      <c r="AR86" s="92" t="str">
        <f t="shared" si="35"/>
        <v/>
      </c>
      <c r="AS86" s="92" t="str">
        <f t="shared" si="36"/>
        <v/>
      </c>
      <c r="AT86" s="92" t="str">
        <f t="shared" si="37"/>
        <v/>
      </c>
      <c r="AU86" s="92" t="str">
        <f t="shared" si="38"/>
        <v/>
      </c>
      <c r="AV86" s="92" t="str">
        <f t="shared" si="39"/>
        <v/>
      </c>
      <c r="AW86" s="92" t="str">
        <f t="shared" si="40"/>
        <v/>
      </c>
      <c r="AX86" s="92" t="str">
        <f t="shared" si="40"/>
        <v/>
      </c>
      <c r="AY86" s="93" t="str">
        <f t="shared" si="29"/>
        <v/>
      </c>
      <c r="AZ86" s="94" t="str">
        <f t="shared" si="41"/>
        <v/>
      </c>
      <c r="BA86" s="95" t="str">
        <f t="shared" si="42"/>
        <v/>
      </c>
      <c r="BB86" s="689">
        <f>SUM('Defect (Total)'!BB86,Planned!CE86,Reconductor!CE86,CTGS!CE86,'Substation 2025$'!CE86*$BL$1,Comms!CA86*$BL$2)</f>
        <v>0</v>
      </c>
      <c r="BC86" s="689">
        <f>SUM('Defect (Total)'!BC86,Planned!CF86,Reconductor!CF86,CTGS!CF86,'Substation 2025$'!CF86*$BL$1,Comms!CB86*$BL$2)</f>
        <v>0</v>
      </c>
      <c r="BD86" s="96">
        <f>SUM('Defect (Total)'!BD86,Planned!CG86,Reconductor!CG86,CTGS!CG86,'Substation 2025$'!CG86*$BL$1,Comms!CC86*$BL$2)</f>
        <v>0</v>
      </c>
      <c r="BE86" s="96">
        <f>SUM('Defect (Total)'!BE86,Planned!CH86,Reconductor!CH86,CTGS!CH86,'Substation 2025$'!CH86*$BL$1,Comms!CD86*$BL$2)</f>
        <v>0</v>
      </c>
      <c r="BF86" s="96">
        <f>SUM('Defect (Total)'!BF86,Planned!CI86,Reconductor!CI86,CTGS!CI86,'Substation 2025$'!CI86*$BL$1,Comms!CE86*$BL$2)</f>
        <v>0</v>
      </c>
      <c r="BG86" s="96">
        <f>SUM('Defect (Total)'!BG86,Planned!CJ86,Reconductor!CJ86,CTGS!CJ86,'Substation 2025$'!CJ86*$BL$1,Comms!CF86*$BL$2)</f>
        <v>0</v>
      </c>
      <c r="BH86" s="96">
        <f>SUM('Defect (Total)'!BH86,Planned!CK86,Reconductor!CK86,CTGS!CK86,'Substation 2025$'!CK86*$BL$1,Comms!CG86*$BL$2)</f>
        <v>0</v>
      </c>
      <c r="BI86" s="286">
        <f>SUM('Defect (Total)'!BI86,Planned!CL86,Reconductor!CL86,CTGS!CL86,'Substation 2025$'!CL86*$BL$1,Comms!CH86*$BL$2)</f>
        <v>0</v>
      </c>
      <c r="BJ86" s="99" t="str">
        <f t="shared" si="45"/>
        <v/>
      </c>
      <c r="BK86" s="743"/>
      <c r="BL86" s="97"/>
      <c r="BM86" s="524"/>
      <c r="BN86" s="416">
        <f>'Distribution Summary'!CI86+'Substation 2025$'!CT86</f>
        <v>0</v>
      </c>
      <c r="BO86" s="97">
        <f>'Distribution Summary'!CJ86+'Substation 2025$'!CU86</f>
        <v>0</v>
      </c>
      <c r="BP86" s="97">
        <f>'Distribution Summary'!CK86+'Substation 2025$'!CV86</f>
        <v>0</v>
      </c>
      <c r="BQ86" s="97">
        <f>'Distribution Summary'!CL86+'Substation 2025$'!CW86</f>
        <v>0</v>
      </c>
      <c r="BR86" s="98">
        <f>'Distribution Summary'!CM86+'Substation 2025$'!CX86</f>
        <v>0</v>
      </c>
    </row>
    <row r="87" spans="1:70" x14ac:dyDescent="0.25">
      <c r="A87" s="81" t="s">
        <v>138</v>
      </c>
      <c r="B87" s="82" t="s">
        <v>177</v>
      </c>
      <c r="C87" s="83" t="s">
        <v>377</v>
      </c>
      <c r="D87" s="84">
        <f>SUM('Defect (Total)'!D87,Planned!D87,Reconductor!D87,CTGS!D87)</f>
        <v>0</v>
      </c>
      <c r="E87" s="85">
        <f>SUM('Defect (Total)'!E87,Planned!E87,Reconductor!E87,CTGS!E87)</f>
        <v>0</v>
      </c>
      <c r="F87" s="85">
        <f>SUM('Defect (Total)'!F87,Planned!F87,Reconductor!F87,CTGS!F87)</f>
        <v>0</v>
      </c>
      <c r="G87" s="85">
        <f>SUM('Defect (Total)'!G87,Planned!G87,Reconductor!G87,CTGS!G87)</f>
        <v>0</v>
      </c>
      <c r="H87" s="85">
        <f>SUM('Defect (Total)'!H87,Planned!H87,Reconductor!H87,CTGS!H87)</f>
        <v>0</v>
      </c>
      <c r="I87" s="85">
        <f>SUM('Defect (Total)'!I87,Planned!I87,Reconductor!I87,CTGS!I87)</f>
        <v>0</v>
      </c>
      <c r="J87" s="85">
        <f>SUM('Defect (Total)'!J87,Planned!J87,Reconductor!J87,CTGS!J87)</f>
        <v>0</v>
      </c>
      <c r="K87" s="85">
        <f>SUM('Defect (Total)'!K87,Planned!K87,Reconductor!K87,CTGS!K87)</f>
        <v>0</v>
      </c>
      <c r="L87" s="85">
        <f>SUM('Defect (Total)'!L87,Planned!L87,Reconductor!L87,CTGS!L87)</f>
        <v>0</v>
      </c>
      <c r="M87" s="85">
        <f>SUM('Defect (Total)'!M87,Planned!M87,Reconductor!M87,CTGS!M87)</f>
        <v>0</v>
      </c>
      <c r="N87" s="85">
        <f>SUM('Defect (Total)'!N87,Planned!N87,Reconductor!N87,CTGS!N87)</f>
        <v>0</v>
      </c>
      <c r="O87" s="560">
        <f>SUM('Defect (Total)'!O87,Planned!O87,Reconductor!O87,CTGS!O87)</f>
        <v>0</v>
      </c>
      <c r="P87" s="561">
        <f>SUM('Defect (Total)'!P87,Planned!P87,Reconductor!P87,CTGS!P87)</f>
        <v>0</v>
      </c>
      <c r="Q87" s="561">
        <f>SUM('Defect (Total)'!Q87,Planned!Q87,Reconductor!Q87,CTGS!Q87)</f>
        <v>0</v>
      </c>
      <c r="R87" s="561">
        <f>SUM('Defect (Total)'!R87,Planned!R87,Reconductor!R87,CTGS!R87)</f>
        <v>0</v>
      </c>
      <c r="S87" s="561">
        <f>SUM('Defect (Total)'!S87,Planned!S87,Reconductor!S87,CTGS!S87)</f>
        <v>0</v>
      </c>
      <c r="T87" s="561">
        <f>SUM('Defect (Total)'!T87,Planned!T87,Reconductor!T87,CTGS!T87)</f>
        <v>0</v>
      </c>
      <c r="U87" s="561">
        <f>SUM('Defect (Total)'!U87,Planned!U87,Reconductor!U87,CTGS!U87)</f>
        <v>0</v>
      </c>
      <c r="V87" s="561">
        <f>SUM('Defect (Total)'!V87,Planned!V87,Reconductor!V87,CTGS!V87)</f>
        <v>0</v>
      </c>
      <c r="W87" s="561">
        <f>SUM('Defect (Total)'!W87,Planned!W87,Reconductor!W87,CTGS!W87)</f>
        <v>0</v>
      </c>
      <c r="X87" s="561">
        <f>SUM('Defect (Total)'!X87,Planned!X87,Reconductor!X87,CTGS!X87)</f>
        <v>0</v>
      </c>
      <c r="Y87" s="561">
        <f>SUM('Defect (Total)'!Y87,Planned!Y87,Reconductor!Y87,CTGS!Y87)</f>
        <v>0</v>
      </c>
      <c r="Z87" s="86">
        <f>SUM('Defect (Total)'!Z87,Planned!Z87,Reconductor!Z87,CTGS!Z87)</f>
        <v>0</v>
      </c>
      <c r="AA87" s="87">
        <f>SUM('Defect (Total)'!AA87,Planned!AA87,Reconductor!AA87,CTGS!AA87)</f>
        <v>0</v>
      </c>
      <c r="AB87" s="87">
        <f>SUM('Defect (Total)'!AB87,Planned!AB87,Reconductor!AB87,CTGS!AB87)</f>
        <v>0</v>
      </c>
      <c r="AC87" s="87">
        <f>SUM('Defect (Total)'!AC87,Planned!AC87,Reconductor!AC87,CTGS!AC87)</f>
        <v>0</v>
      </c>
      <c r="AD87" s="87">
        <f>SUM('Defect (Total)'!AD87,Planned!AD87,Reconductor!AD87,CTGS!AD87)</f>
        <v>0</v>
      </c>
      <c r="AE87" s="87">
        <f>SUM('Defect (Total)'!AE87,Planned!AE87,Reconductor!AE87,CTGS!AE87)</f>
        <v>0</v>
      </c>
      <c r="AF87" s="87">
        <f>SUM('Defect (Total)'!AF87,Planned!AF87,Reconductor!AF87,CTGS!AF87)</f>
        <v>0</v>
      </c>
      <c r="AG87" s="87">
        <f>SUM('Defect (Total)'!AG87,Planned!AG87,Reconductor!AG87,CTGS!AG87)</f>
        <v>0</v>
      </c>
      <c r="AH87" s="87">
        <f>SUM('Defect (Total)'!AH87,Planned!AH87,Reconductor!AH87,CTGS!AH87)</f>
        <v>0</v>
      </c>
      <c r="AI87" s="87">
        <f>SUM('Defect (Total)'!AI87,Planned!AI87,Reconductor!AI87,CTGS!AI87)</f>
        <v>0</v>
      </c>
      <c r="AJ87" s="87">
        <f>SUM('Defect (Total)'!AJ87,Planned!AJ87,Reconductor!AJ87,CTGS!AJ87)</f>
        <v>0</v>
      </c>
      <c r="AK87" s="88">
        <f t="shared" si="43"/>
        <v>0</v>
      </c>
      <c r="AL87" s="89">
        <f t="shared" si="18"/>
        <v>0</v>
      </c>
      <c r="AM87" s="90">
        <f t="shared" si="44"/>
        <v>0</v>
      </c>
      <c r="AN87" s="91" t="str">
        <f t="shared" si="31"/>
        <v/>
      </c>
      <c r="AO87" s="92" t="str">
        <f t="shared" si="32"/>
        <v/>
      </c>
      <c r="AP87" s="92" t="str">
        <f t="shared" si="33"/>
        <v/>
      </c>
      <c r="AQ87" s="92" t="str">
        <f t="shared" si="34"/>
        <v/>
      </c>
      <c r="AR87" s="92" t="str">
        <f t="shared" si="35"/>
        <v/>
      </c>
      <c r="AS87" s="92" t="str">
        <f t="shared" si="36"/>
        <v/>
      </c>
      <c r="AT87" s="92" t="str">
        <f t="shared" si="37"/>
        <v/>
      </c>
      <c r="AU87" s="92" t="str">
        <f t="shared" si="38"/>
        <v/>
      </c>
      <c r="AV87" s="92" t="str">
        <f t="shared" si="39"/>
        <v/>
      </c>
      <c r="AW87" s="92" t="str">
        <f t="shared" ref="AW87:AX102" si="46">IFERROR(M87/AI87,"")</f>
        <v/>
      </c>
      <c r="AX87" s="92" t="str">
        <f t="shared" si="46"/>
        <v/>
      </c>
      <c r="AY87" s="93" t="str">
        <f t="shared" si="29"/>
        <v/>
      </c>
      <c r="AZ87" s="94" t="str">
        <f t="shared" si="41"/>
        <v/>
      </c>
      <c r="BA87" s="95" t="str">
        <f t="shared" si="42"/>
        <v/>
      </c>
      <c r="BB87" s="689">
        <f>SUM('Defect (Total)'!BB87,Planned!CE87,Reconductor!CE87,CTGS!CE87,'Substation 2025$'!CE87*$BL$1,Comms!CA87*$BL$2)</f>
        <v>0</v>
      </c>
      <c r="BC87" s="689">
        <f>SUM('Defect (Total)'!BC87,Planned!CF87,Reconductor!CF87,CTGS!CF87,'Substation 2025$'!CF87*$BL$1,Comms!CB87*$BL$2)</f>
        <v>0</v>
      </c>
      <c r="BD87" s="96">
        <f>SUM('Defect (Total)'!BD87,Planned!CG87,Reconductor!CG87,CTGS!CG87,'Substation 2025$'!CG87*$BL$1,Comms!CC87*$BL$2)</f>
        <v>0</v>
      </c>
      <c r="BE87" s="96">
        <f>SUM('Defect (Total)'!BE87,Planned!CH87,Reconductor!CH87,CTGS!CH87,'Substation 2025$'!CH87*$BL$1,Comms!CD87*$BL$2)</f>
        <v>0</v>
      </c>
      <c r="BF87" s="96">
        <f>SUM('Defect (Total)'!BF87,Planned!CI87,Reconductor!CI87,CTGS!CI87,'Substation 2025$'!CI87*$BL$1,Comms!CE87*$BL$2)</f>
        <v>0</v>
      </c>
      <c r="BG87" s="96">
        <f>SUM('Defect (Total)'!BG87,Planned!CJ87,Reconductor!CJ87,CTGS!CJ87,'Substation 2025$'!CJ87*$BL$1,Comms!CF87*$BL$2)</f>
        <v>0</v>
      </c>
      <c r="BH87" s="96">
        <f>SUM('Defect (Total)'!BH87,Planned!CK87,Reconductor!CK87,CTGS!CK87,'Substation 2025$'!CK87*$BL$1,Comms!CG87*$BL$2)</f>
        <v>0</v>
      </c>
      <c r="BI87" s="286">
        <f>SUM('Defect (Total)'!BI87,Planned!CL87,Reconductor!CL87,CTGS!CL87,'Substation 2025$'!CL87*$BL$1,Comms!CH87*$BL$2)</f>
        <v>0</v>
      </c>
      <c r="BJ87" s="99" t="str">
        <f t="shared" si="45"/>
        <v/>
      </c>
      <c r="BK87" s="743"/>
      <c r="BL87" s="97"/>
      <c r="BM87" s="524"/>
      <c r="BN87" s="416">
        <f>'Distribution Summary'!CI87+'Substation 2025$'!CT87</f>
        <v>0</v>
      </c>
      <c r="BO87" s="97">
        <f>'Distribution Summary'!CJ87+'Substation 2025$'!CU87</f>
        <v>0</v>
      </c>
      <c r="BP87" s="97">
        <f>'Distribution Summary'!CK87+'Substation 2025$'!CV87</f>
        <v>0</v>
      </c>
      <c r="BQ87" s="97">
        <f>'Distribution Summary'!CL87+'Substation 2025$'!CW87</f>
        <v>0</v>
      </c>
      <c r="BR87" s="98">
        <f>'Distribution Summary'!CM87+'Substation 2025$'!CX87</f>
        <v>0</v>
      </c>
    </row>
    <row r="88" spans="1:70" x14ac:dyDescent="0.25">
      <c r="A88" s="81" t="s">
        <v>138</v>
      </c>
      <c r="B88" s="82" t="s">
        <v>179</v>
      </c>
      <c r="C88" s="83" t="s">
        <v>378</v>
      </c>
      <c r="D88" s="84">
        <f>SUM('Defect (Total)'!D88,Planned!D88,Reconductor!D88,CTGS!D88)</f>
        <v>0</v>
      </c>
      <c r="E88" s="85">
        <f>SUM('Defect (Total)'!E88,Planned!E88,Reconductor!E88,CTGS!E88)</f>
        <v>0</v>
      </c>
      <c r="F88" s="85">
        <f>SUM('Defect (Total)'!F88,Planned!F88,Reconductor!F88,CTGS!F88)</f>
        <v>0</v>
      </c>
      <c r="G88" s="85">
        <f>SUM('Defect (Total)'!G88,Planned!G88,Reconductor!G88,CTGS!G88)</f>
        <v>0</v>
      </c>
      <c r="H88" s="85">
        <f>SUM('Defect (Total)'!H88,Planned!H88,Reconductor!H88,CTGS!H88)</f>
        <v>0</v>
      </c>
      <c r="I88" s="85">
        <f>SUM('Defect (Total)'!I88,Planned!I88,Reconductor!I88,CTGS!I88)</f>
        <v>0</v>
      </c>
      <c r="J88" s="85">
        <f>SUM('Defect (Total)'!J88,Planned!J88,Reconductor!J88,CTGS!J88)</f>
        <v>0</v>
      </c>
      <c r="K88" s="85">
        <f>SUM('Defect (Total)'!K88,Planned!K88,Reconductor!K88,CTGS!K88)</f>
        <v>0</v>
      </c>
      <c r="L88" s="85">
        <f>SUM('Defect (Total)'!L88,Planned!L88,Reconductor!L88,CTGS!L88)</f>
        <v>0</v>
      </c>
      <c r="M88" s="85">
        <f>SUM('Defect (Total)'!M88,Planned!M88,Reconductor!M88,CTGS!M88)</f>
        <v>0</v>
      </c>
      <c r="N88" s="85">
        <f>SUM('Defect (Total)'!N88,Planned!N88,Reconductor!N88,CTGS!N88)</f>
        <v>0</v>
      </c>
      <c r="O88" s="560">
        <f>SUM('Defect (Total)'!O88,Planned!O88,Reconductor!O88,CTGS!O88)</f>
        <v>0</v>
      </c>
      <c r="P88" s="561">
        <f>SUM('Defect (Total)'!P88,Planned!P88,Reconductor!P88,CTGS!P88)</f>
        <v>0</v>
      </c>
      <c r="Q88" s="561">
        <f>SUM('Defect (Total)'!Q88,Planned!Q88,Reconductor!Q88,CTGS!Q88)</f>
        <v>0</v>
      </c>
      <c r="R88" s="561">
        <f>SUM('Defect (Total)'!R88,Planned!R88,Reconductor!R88,CTGS!R88)</f>
        <v>0</v>
      </c>
      <c r="S88" s="561">
        <f>SUM('Defect (Total)'!S88,Planned!S88,Reconductor!S88,CTGS!S88)</f>
        <v>0</v>
      </c>
      <c r="T88" s="561">
        <f>SUM('Defect (Total)'!T88,Planned!T88,Reconductor!T88,CTGS!T88)</f>
        <v>0</v>
      </c>
      <c r="U88" s="561">
        <f>SUM('Defect (Total)'!U88,Planned!U88,Reconductor!U88,CTGS!U88)</f>
        <v>0</v>
      </c>
      <c r="V88" s="561">
        <f>SUM('Defect (Total)'!V88,Planned!V88,Reconductor!V88,CTGS!V88)</f>
        <v>0</v>
      </c>
      <c r="W88" s="561">
        <f>SUM('Defect (Total)'!W88,Planned!W88,Reconductor!W88,CTGS!W88)</f>
        <v>0</v>
      </c>
      <c r="X88" s="561">
        <f>SUM('Defect (Total)'!X88,Planned!X88,Reconductor!X88,CTGS!X88)</f>
        <v>0</v>
      </c>
      <c r="Y88" s="561">
        <f>SUM('Defect (Total)'!Y88,Planned!Y88,Reconductor!Y88,CTGS!Y88)</f>
        <v>0</v>
      </c>
      <c r="Z88" s="86">
        <f>SUM('Defect (Total)'!Z88,Planned!Z88,Reconductor!Z88,CTGS!Z88)</f>
        <v>0</v>
      </c>
      <c r="AA88" s="87">
        <f>SUM('Defect (Total)'!AA88,Planned!AA88,Reconductor!AA88,CTGS!AA88)</f>
        <v>0</v>
      </c>
      <c r="AB88" s="87">
        <f>SUM('Defect (Total)'!AB88,Planned!AB88,Reconductor!AB88,CTGS!AB88)</f>
        <v>0</v>
      </c>
      <c r="AC88" s="87">
        <f>SUM('Defect (Total)'!AC88,Planned!AC88,Reconductor!AC88,CTGS!AC88)</f>
        <v>0</v>
      </c>
      <c r="AD88" s="87">
        <f>SUM('Defect (Total)'!AD88,Planned!AD88,Reconductor!AD88,CTGS!AD88)</f>
        <v>0</v>
      </c>
      <c r="AE88" s="87">
        <f>SUM('Defect (Total)'!AE88,Planned!AE88,Reconductor!AE88,CTGS!AE88)</f>
        <v>0</v>
      </c>
      <c r="AF88" s="87">
        <f>SUM('Defect (Total)'!AF88,Planned!AF88,Reconductor!AF88,CTGS!AF88)</f>
        <v>0</v>
      </c>
      <c r="AG88" s="87">
        <f>SUM('Defect (Total)'!AG88,Planned!AG88,Reconductor!AG88,CTGS!AG88)</f>
        <v>0</v>
      </c>
      <c r="AH88" s="87">
        <f>SUM('Defect (Total)'!AH88,Planned!AH88,Reconductor!AH88,CTGS!AH88)</f>
        <v>0</v>
      </c>
      <c r="AI88" s="87">
        <f>SUM('Defect (Total)'!AI88,Planned!AI88,Reconductor!AI88,CTGS!AI88)</f>
        <v>0</v>
      </c>
      <c r="AJ88" s="87">
        <f>SUM('Defect (Total)'!AJ88,Planned!AJ88,Reconductor!AJ88,CTGS!AJ88)</f>
        <v>0</v>
      </c>
      <c r="AK88" s="88">
        <f t="shared" si="43"/>
        <v>0</v>
      </c>
      <c r="AL88" s="89">
        <f t="shared" si="18"/>
        <v>0</v>
      </c>
      <c r="AM88" s="90">
        <f t="shared" si="44"/>
        <v>0</v>
      </c>
      <c r="AN88" s="91" t="str">
        <f t="shared" si="31"/>
        <v/>
      </c>
      <c r="AO88" s="92" t="str">
        <f t="shared" si="32"/>
        <v/>
      </c>
      <c r="AP88" s="92" t="str">
        <f t="shared" si="33"/>
        <v/>
      </c>
      <c r="AQ88" s="92" t="str">
        <f t="shared" si="34"/>
        <v/>
      </c>
      <c r="AR88" s="92" t="str">
        <f t="shared" si="35"/>
        <v/>
      </c>
      <c r="AS88" s="92" t="str">
        <f t="shared" si="36"/>
        <v/>
      </c>
      <c r="AT88" s="92" t="str">
        <f t="shared" si="37"/>
        <v/>
      </c>
      <c r="AU88" s="92" t="str">
        <f t="shared" si="38"/>
        <v/>
      </c>
      <c r="AV88" s="92" t="str">
        <f t="shared" si="39"/>
        <v/>
      </c>
      <c r="AW88" s="92" t="str">
        <f t="shared" si="46"/>
        <v/>
      </c>
      <c r="AX88" s="92" t="str">
        <f t="shared" si="46"/>
        <v/>
      </c>
      <c r="AY88" s="93" t="str">
        <f t="shared" si="29"/>
        <v/>
      </c>
      <c r="AZ88" s="94" t="str">
        <f t="shared" si="41"/>
        <v/>
      </c>
      <c r="BA88" s="95" t="str">
        <f t="shared" si="42"/>
        <v/>
      </c>
      <c r="BB88" s="689">
        <f>SUM('Defect (Total)'!BB88,Planned!CE88,Reconductor!CE88,CTGS!CE88,'Substation 2025$'!CE88*$BL$1,Comms!CA88*$BL$2)</f>
        <v>0</v>
      </c>
      <c r="BC88" s="689">
        <f>SUM('Defect (Total)'!BC88,Planned!CF88,Reconductor!CF88,CTGS!CF88,'Substation 2025$'!CF88*$BL$1,Comms!CB88*$BL$2)</f>
        <v>0</v>
      </c>
      <c r="BD88" s="96">
        <f>SUM('Defect (Total)'!BD88,Planned!CG88,Reconductor!CG88,CTGS!CG88,'Substation 2025$'!CG88*$BL$1,Comms!CC88*$BL$2)</f>
        <v>1</v>
      </c>
      <c r="BE88" s="96">
        <f>SUM('Defect (Total)'!BE88,Planned!CH88,Reconductor!CH88,CTGS!CH88,'Substation 2025$'!CH88*$BL$1,Comms!CD88*$BL$2)</f>
        <v>0</v>
      </c>
      <c r="BF88" s="96">
        <f>SUM('Defect (Total)'!BF88,Planned!CI88,Reconductor!CI88,CTGS!CI88,'Substation 2025$'!CI88*$BL$1,Comms!CE88*$BL$2)</f>
        <v>4</v>
      </c>
      <c r="BG88" s="96">
        <f>SUM('Defect (Total)'!BG88,Planned!CJ88,Reconductor!CJ88,CTGS!CJ88,'Substation 2025$'!CJ88*$BL$1,Comms!CF88*$BL$2)</f>
        <v>6</v>
      </c>
      <c r="BH88" s="96">
        <f>SUM('Defect (Total)'!BH88,Planned!CK88,Reconductor!CK88,CTGS!CK88,'Substation 2025$'!CK88*$BL$1,Comms!CG88*$BL$2)</f>
        <v>1</v>
      </c>
      <c r="BI88" s="286">
        <f>SUM('Defect (Total)'!BI88,Planned!CL88,Reconductor!CL88,CTGS!CL88,'Substation 2025$'!CL88*$BL$1,Comms!CH88*$BL$2)</f>
        <v>8</v>
      </c>
      <c r="BJ88" s="99">
        <f t="shared" si="45"/>
        <v>2189093.2736928873</v>
      </c>
      <c r="BK88" s="743"/>
      <c r="BL88" s="97"/>
      <c r="BM88" s="524"/>
      <c r="BN88" s="416">
        <f>'Distribution Summary'!CI88+'Substation 2025$'!CT88</f>
        <v>5050947.0776173985</v>
      </c>
      <c r="BO88" s="97">
        <f>'Distribution Summary'!CJ88+'Substation 2025$'!CU88</f>
        <v>6532545.7726652836</v>
      </c>
      <c r="BP88" s="97">
        <f>'Distribution Summary'!CK88+'Substation 2025$'!CV88</f>
        <v>7229526.3177307546</v>
      </c>
      <c r="BQ88" s="97">
        <f>'Distribution Summary'!CL88+'Substation 2025$'!CW88</f>
        <v>11648819.245049668</v>
      </c>
      <c r="BR88" s="98">
        <f>'Distribution Summary'!CM88+'Substation 2025$'!CX88</f>
        <v>11130933.787101747</v>
      </c>
    </row>
    <row r="89" spans="1:70" x14ac:dyDescent="0.25">
      <c r="A89" s="81" t="s">
        <v>138</v>
      </c>
      <c r="B89" s="82" t="s">
        <v>181</v>
      </c>
      <c r="C89" s="83" t="s">
        <v>379</v>
      </c>
      <c r="D89" s="84">
        <f>SUM('Defect (Total)'!D89,Planned!D89,Reconductor!D89,CTGS!D89)</f>
        <v>0</v>
      </c>
      <c r="E89" s="85">
        <f>SUM('Defect (Total)'!E89,Planned!E89,Reconductor!E89,CTGS!E89)</f>
        <v>0</v>
      </c>
      <c r="F89" s="85">
        <f>SUM('Defect (Total)'!F89,Planned!F89,Reconductor!F89,CTGS!F89)</f>
        <v>0</v>
      </c>
      <c r="G89" s="85">
        <f>SUM('Defect (Total)'!G89,Planned!G89,Reconductor!G89,CTGS!G89)</f>
        <v>0</v>
      </c>
      <c r="H89" s="85">
        <f>SUM('Defect (Total)'!H89,Planned!H89,Reconductor!H89,CTGS!H89)</f>
        <v>0</v>
      </c>
      <c r="I89" s="85">
        <f>SUM('Defect (Total)'!I89,Planned!I89,Reconductor!I89,CTGS!I89)</f>
        <v>0</v>
      </c>
      <c r="J89" s="85">
        <f>SUM('Defect (Total)'!J89,Planned!J89,Reconductor!J89,CTGS!J89)</f>
        <v>0</v>
      </c>
      <c r="K89" s="85">
        <f>SUM('Defect (Total)'!K89,Planned!K89,Reconductor!K89,CTGS!K89)</f>
        <v>0</v>
      </c>
      <c r="L89" s="85">
        <f>SUM('Defect (Total)'!L89,Planned!L89,Reconductor!L89,CTGS!L89)</f>
        <v>0</v>
      </c>
      <c r="M89" s="85">
        <f>SUM('Defect (Total)'!M89,Planned!M89,Reconductor!M89,CTGS!M89)</f>
        <v>0</v>
      </c>
      <c r="N89" s="85">
        <f>SUM('Defect (Total)'!N89,Planned!N89,Reconductor!N89,CTGS!N89)</f>
        <v>0</v>
      </c>
      <c r="O89" s="560">
        <f>SUM('Defect (Total)'!O89,Planned!O89,Reconductor!O89,CTGS!O89)</f>
        <v>0</v>
      </c>
      <c r="P89" s="561">
        <f>SUM('Defect (Total)'!P89,Planned!P89,Reconductor!P89,CTGS!P89)</f>
        <v>0</v>
      </c>
      <c r="Q89" s="561">
        <f>SUM('Defect (Total)'!Q89,Planned!Q89,Reconductor!Q89,CTGS!Q89)</f>
        <v>0</v>
      </c>
      <c r="R89" s="561">
        <f>SUM('Defect (Total)'!R89,Planned!R89,Reconductor!R89,CTGS!R89)</f>
        <v>0</v>
      </c>
      <c r="S89" s="561">
        <f>SUM('Defect (Total)'!S89,Planned!S89,Reconductor!S89,CTGS!S89)</f>
        <v>0</v>
      </c>
      <c r="T89" s="561">
        <f>SUM('Defect (Total)'!T89,Planned!T89,Reconductor!T89,CTGS!T89)</f>
        <v>0</v>
      </c>
      <c r="U89" s="561">
        <f>SUM('Defect (Total)'!U89,Planned!U89,Reconductor!U89,CTGS!U89)</f>
        <v>0</v>
      </c>
      <c r="V89" s="561">
        <f>SUM('Defect (Total)'!V89,Planned!V89,Reconductor!V89,CTGS!V89)</f>
        <v>0</v>
      </c>
      <c r="W89" s="561">
        <f>SUM('Defect (Total)'!W89,Planned!W89,Reconductor!W89,CTGS!W89)</f>
        <v>0</v>
      </c>
      <c r="X89" s="561">
        <f>SUM('Defect (Total)'!X89,Planned!X89,Reconductor!X89,CTGS!X89)</f>
        <v>0</v>
      </c>
      <c r="Y89" s="561">
        <f>SUM('Defect (Total)'!Y89,Planned!Y89,Reconductor!Y89,CTGS!Y89)</f>
        <v>0</v>
      </c>
      <c r="Z89" s="86">
        <f>SUM('Defect (Total)'!Z89,Planned!Z89,Reconductor!Z89,CTGS!Z89)</f>
        <v>0</v>
      </c>
      <c r="AA89" s="87">
        <f>SUM('Defect (Total)'!AA89,Planned!AA89,Reconductor!AA89,CTGS!AA89)</f>
        <v>0</v>
      </c>
      <c r="AB89" s="87">
        <f>SUM('Defect (Total)'!AB89,Planned!AB89,Reconductor!AB89,CTGS!AB89)</f>
        <v>0</v>
      </c>
      <c r="AC89" s="87">
        <f>SUM('Defect (Total)'!AC89,Planned!AC89,Reconductor!AC89,CTGS!AC89)</f>
        <v>0</v>
      </c>
      <c r="AD89" s="87">
        <f>SUM('Defect (Total)'!AD89,Planned!AD89,Reconductor!AD89,CTGS!AD89)</f>
        <v>0</v>
      </c>
      <c r="AE89" s="87">
        <f>SUM('Defect (Total)'!AE89,Planned!AE89,Reconductor!AE89,CTGS!AE89)</f>
        <v>0</v>
      </c>
      <c r="AF89" s="87">
        <f>SUM('Defect (Total)'!AF89,Planned!AF89,Reconductor!AF89,CTGS!AF89)</f>
        <v>0</v>
      </c>
      <c r="AG89" s="87">
        <f>SUM('Defect (Total)'!AG89,Planned!AG89,Reconductor!AG89,CTGS!AG89)</f>
        <v>0</v>
      </c>
      <c r="AH89" s="87">
        <f>SUM('Defect (Total)'!AH89,Planned!AH89,Reconductor!AH89,CTGS!AH89)</f>
        <v>0</v>
      </c>
      <c r="AI89" s="87">
        <f>SUM('Defect (Total)'!AI89,Planned!AI89,Reconductor!AI89,CTGS!AI89)</f>
        <v>0</v>
      </c>
      <c r="AJ89" s="87">
        <f>SUM('Defect (Total)'!AJ89,Planned!AJ89,Reconductor!AJ89,CTGS!AJ89)</f>
        <v>0</v>
      </c>
      <c r="AK89" s="88">
        <f t="shared" si="43"/>
        <v>0</v>
      </c>
      <c r="AL89" s="89">
        <f t="shared" si="18"/>
        <v>0</v>
      </c>
      <c r="AM89" s="90">
        <f t="shared" si="44"/>
        <v>0</v>
      </c>
      <c r="AN89" s="91" t="str">
        <f t="shared" si="31"/>
        <v/>
      </c>
      <c r="AO89" s="92" t="str">
        <f t="shared" si="32"/>
        <v/>
      </c>
      <c r="AP89" s="92" t="str">
        <f t="shared" si="33"/>
        <v/>
      </c>
      <c r="AQ89" s="92" t="str">
        <f t="shared" si="34"/>
        <v/>
      </c>
      <c r="AR89" s="92" t="str">
        <f t="shared" si="35"/>
        <v/>
      </c>
      <c r="AS89" s="92" t="str">
        <f t="shared" si="36"/>
        <v/>
      </c>
      <c r="AT89" s="92" t="str">
        <f t="shared" si="37"/>
        <v/>
      </c>
      <c r="AU89" s="92" t="str">
        <f t="shared" si="38"/>
        <v/>
      </c>
      <c r="AV89" s="92" t="str">
        <f t="shared" si="39"/>
        <v/>
      </c>
      <c r="AW89" s="92" t="str">
        <f t="shared" si="46"/>
        <v/>
      </c>
      <c r="AX89" s="92" t="str">
        <f t="shared" si="46"/>
        <v/>
      </c>
      <c r="AY89" s="93" t="str">
        <f t="shared" si="29"/>
        <v/>
      </c>
      <c r="AZ89" s="94" t="str">
        <f t="shared" si="41"/>
        <v/>
      </c>
      <c r="BA89" s="95" t="str">
        <f t="shared" si="42"/>
        <v/>
      </c>
      <c r="BB89" s="689">
        <f>SUM('Defect (Total)'!BB89,Planned!CE89,Reconductor!CE89,CTGS!CE89,'Substation 2025$'!CE89*$BL$1,Comms!CA89*$BL$2)</f>
        <v>0</v>
      </c>
      <c r="BC89" s="689">
        <f>SUM('Defect (Total)'!BC89,Planned!CF89,Reconductor!CF89,CTGS!CF89,'Substation 2025$'!CF89*$BL$1,Comms!CB89*$BL$2)</f>
        <v>0</v>
      </c>
      <c r="BD89" s="96">
        <f>SUM('Defect (Total)'!BD89,Planned!CG89,Reconductor!CG89,CTGS!CG89,'Substation 2025$'!CG89*$BL$1,Comms!CC89*$BL$2)</f>
        <v>0</v>
      </c>
      <c r="BE89" s="96">
        <f>SUM('Defect (Total)'!BE89,Planned!CH89,Reconductor!CH89,CTGS!CH89,'Substation 2025$'!CH89*$BL$1,Comms!CD89*$BL$2)</f>
        <v>3</v>
      </c>
      <c r="BF89" s="96">
        <f>SUM('Defect (Total)'!BF89,Planned!CI89,Reconductor!CI89,CTGS!CI89,'Substation 2025$'!CI89*$BL$1,Comms!CE89*$BL$2)</f>
        <v>1</v>
      </c>
      <c r="BG89" s="96">
        <f>SUM('Defect (Total)'!BG89,Planned!CJ89,Reconductor!CJ89,CTGS!CJ89,'Substation 2025$'!CJ89*$BL$1,Comms!CF89*$BL$2)</f>
        <v>3</v>
      </c>
      <c r="BH89" s="96">
        <f>SUM('Defect (Total)'!BH89,Planned!CK89,Reconductor!CK89,CTGS!CK89,'Substation 2025$'!CK89*$BL$1,Comms!CG89*$BL$2)</f>
        <v>1</v>
      </c>
      <c r="BI89" s="286">
        <f>SUM('Defect (Total)'!BI89,Planned!CL89,Reconductor!CL89,CTGS!CL89,'Substation 2025$'!CL89*$BL$1,Comms!CH89*$BL$2)</f>
        <v>0</v>
      </c>
      <c r="BJ89" s="99">
        <f t="shared" si="45"/>
        <v>1190747.5936213804</v>
      </c>
      <c r="BK89" s="743"/>
      <c r="BL89" s="97"/>
      <c r="BM89" s="524"/>
      <c r="BN89" s="416">
        <f>'Distribution Summary'!CI89+'Substation 2025$'!CT89</f>
        <v>1871501.9804030296</v>
      </c>
      <c r="BO89" s="97">
        <f>'Distribution Summary'!CJ89+'Substation 2025$'!CU89</f>
        <v>2138736.6748103737</v>
      </c>
      <c r="BP89" s="97">
        <f>'Distribution Summary'!CK89+'Substation 2025$'!CV89</f>
        <v>1752973.4284182887</v>
      </c>
      <c r="BQ89" s="97">
        <f>'Distribution Summary'!CL89+'Substation 2025$'!CW89</f>
        <v>2906945.5614089356</v>
      </c>
      <c r="BR89" s="98">
        <f>'Distribution Summary'!CM89+'Substation 2025$'!CX89</f>
        <v>855823.10393041524</v>
      </c>
    </row>
    <row r="90" spans="1:70" x14ac:dyDescent="0.25">
      <c r="A90" s="81" t="s">
        <v>138</v>
      </c>
      <c r="B90" s="82" t="s">
        <v>183</v>
      </c>
      <c r="C90" s="83" t="s">
        <v>380</v>
      </c>
      <c r="D90" s="84">
        <f>SUM('Defect (Total)'!D90,Planned!D90,Reconductor!D90,CTGS!D90)</f>
        <v>0</v>
      </c>
      <c r="E90" s="85">
        <f>SUM('Defect (Total)'!E90,Planned!E90,Reconductor!E90,CTGS!E90)</f>
        <v>0</v>
      </c>
      <c r="F90" s="85">
        <f>SUM('Defect (Total)'!F90,Planned!F90,Reconductor!F90,CTGS!F90)</f>
        <v>0</v>
      </c>
      <c r="G90" s="85">
        <f>SUM('Defect (Total)'!G90,Planned!G90,Reconductor!G90,CTGS!G90)</f>
        <v>0</v>
      </c>
      <c r="H90" s="85">
        <f>SUM('Defect (Total)'!H90,Planned!H90,Reconductor!H90,CTGS!H90)</f>
        <v>0</v>
      </c>
      <c r="I90" s="85">
        <f>SUM('Defect (Total)'!I90,Planned!I90,Reconductor!I90,CTGS!I90)</f>
        <v>0</v>
      </c>
      <c r="J90" s="85">
        <f>SUM('Defect (Total)'!J90,Planned!J90,Reconductor!J90,CTGS!J90)</f>
        <v>0</v>
      </c>
      <c r="K90" s="85">
        <f>SUM('Defect (Total)'!K90,Planned!K90,Reconductor!K90,CTGS!K90)</f>
        <v>0</v>
      </c>
      <c r="L90" s="85">
        <f>SUM('Defect (Total)'!L90,Planned!L90,Reconductor!L90,CTGS!L90)</f>
        <v>0</v>
      </c>
      <c r="M90" s="85">
        <f>SUM('Defect (Total)'!M90,Planned!M90,Reconductor!M90,CTGS!M90)</f>
        <v>0</v>
      </c>
      <c r="N90" s="85">
        <f>SUM('Defect (Total)'!N90,Planned!N90,Reconductor!N90,CTGS!N90)</f>
        <v>0</v>
      </c>
      <c r="O90" s="560">
        <f>SUM('Defect (Total)'!O90,Planned!O90,Reconductor!O90,CTGS!O90)</f>
        <v>0</v>
      </c>
      <c r="P90" s="561">
        <f>SUM('Defect (Total)'!P90,Planned!P90,Reconductor!P90,CTGS!P90)</f>
        <v>0</v>
      </c>
      <c r="Q90" s="561">
        <f>SUM('Defect (Total)'!Q90,Planned!Q90,Reconductor!Q90,CTGS!Q90)</f>
        <v>0</v>
      </c>
      <c r="R90" s="561">
        <f>SUM('Defect (Total)'!R90,Planned!R90,Reconductor!R90,CTGS!R90)</f>
        <v>0</v>
      </c>
      <c r="S90" s="561">
        <f>SUM('Defect (Total)'!S90,Planned!S90,Reconductor!S90,CTGS!S90)</f>
        <v>0</v>
      </c>
      <c r="T90" s="561">
        <f>SUM('Defect (Total)'!T90,Planned!T90,Reconductor!T90,CTGS!T90)</f>
        <v>0</v>
      </c>
      <c r="U90" s="561">
        <f>SUM('Defect (Total)'!U90,Planned!U90,Reconductor!U90,CTGS!U90)</f>
        <v>0</v>
      </c>
      <c r="V90" s="561">
        <f>SUM('Defect (Total)'!V90,Planned!V90,Reconductor!V90,CTGS!V90)</f>
        <v>0</v>
      </c>
      <c r="W90" s="561">
        <f>SUM('Defect (Total)'!W90,Planned!W90,Reconductor!W90,CTGS!W90)</f>
        <v>0</v>
      </c>
      <c r="X90" s="561">
        <f>SUM('Defect (Total)'!X90,Planned!X90,Reconductor!X90,CTGS!X90)</f>
        <v>0</v>
      </c>
      <c r="Y90" s="561">
        <f>SUM('Defect (Total)'!Y90,Planned!Y90,Reconductor!Y90,CTGS!Y90)</f>
        <v>0</v>
      </c>
      <c r="Z90" s="86">
        <f>SUM('Defect (Total)'!Z90,Planned!Z90,Reconductor!Z90,CTGS!Z90)</f>
        <v>0</v>
      </c>
      <c r="AA90" s="87">
        <f>SUM('Defect (Total)'!AA90,Planned!AA90,Reconductor!AA90,CTGS!AA90)</f>
        <v>0</v>
      </c>
      <c r="AB90" s="87">
        <f>SUM('Defect (Total)'!AB90,Planned!AB90,Reconductor!AB90,CTGS!AB90)</f>
        <v>0</v>
      </c>
      <c r="AC90" s="87">
        <f>SUM('Defect (Total)'!AC90,Planned!AC90,Reconductor!AC90,CTGS!AC90)</f>
        <v>0</v>
      </c>
      <c r="AD90" s="87">
        <f>SUM('Defect (Total)'!AD90,Planned!AD90,Reconductor!AD90,CTGS!AD90)</f>
        <v>0</v>
      </c>
      <c r="AE90" s="87">
        <f>SUM('Defect (Total)'!AE90,Planned!AE90,Reconductor!AE90,CTGS!AE90)</f>
        <v>0</v>
      </c>
      <c r="AF90" s="87">
        <f>SUM('Defect (Total)'!AF90,Planned!AF90,Reconductor!AF90,CTGS!AF90)</f>
        <v>0</v>
      </c>
      <c r="AG90" s="87">
        <f>SUM('Defect (Total)'!AG90,Planned!AG90,Reconductor!AG90,CTGS!AG90)</f>
        <v>0</v>
      </c>
      <c r="AH90" s="87">
        <f>SUM('Defect (Total)'!AH90,Planned!AH90,Reconductor!AH90,CTGS!AH90)</f>
        <v>0</v>
      </c>
      <c r="AI90" s="87">
        <f>SUM('Defect (Total)'!AI90,Planned!AI90,Reconductor!AI90,CTGS!AI90)</f>
        <v>0</v>
      </c>
      <c r="AJ90" s="87">
        <f>SUM('Defect (Total)'!AJ90,Planned!AJ90,Reconductor!AJ90,CTGS!AJ90)</f>
        <v>0</v>
      </c>
      <c r="AK90" s="88">
        <f t="shared" si="43"/>
        <v>0</v>
      </c>
      <c r="AL90" s="89">
        <f t="shared" si="18"/>
        <v>0</v>
      </c>
      <c r="AM90" s="90">
        <f t="shared" si="44"/>
        <v>0</v>
      </c>
      <c r="AN90" s="91" t="str">
        <f t="shared" si="31"/>
        <v/>
      </c>
      <c r="AO90" s="92" t="str">
        <f t="shared" si="32"/>
        <v/>
      </c>
      <c r="AP90" s="92" t="str">
        <f t="shared" si="33"/>
        <v/>
      </c>
      <c r="AQ90" s="92" t="str">
        <f t="shared" si="34"/>
        <v/>
      </c>
      <c r="AR90" s="92" t="str">
        <f t="shared" si="35"/>
        <v/>
      </c>
      <c r="AS90" s="92" t="str">
        <f t="shared" si="36"/>
        <v/>
      </c>
      <c r="AT90" s="92" t="str">
        <f t="shared" si="37"/>
        <v/>
      </c>
      <c r="AU90" s="92" t="str">
        <f t="shared" si="38"/>
        <v/>
      </c>
      <c r="AV90" s="92" t="str">
        <f t="shared" si="39"/>
        <v/>
      </c>
      <c r="AW90" s="92" t="str">
        <f t="shared" si="46"/>
        <v/>
      </c>
      <c r="AX90" s="92" t="str">
        <f t="shared" si="46"/>
        <v/>
      </c>
      <c r="AY90" s="93" t="str">
        <f t="shared" si="29"/>
        <v/>
      </c>
      <c r="AZ90" s="94" t="str">
        <f t="shared" si="41"/>
        <v/>
      </c>
      <c r="BA90" s="95" t="str">
        <f t="shared" si="42"/>
        <v/>
      </c>
      <c r="BB90" s="689">
        <f>SUM('Defect (Total)'!BB90,Planned!CE90,Reconductor!CE90,CTGS!CE90,'Substation 2025$'!CE90*$BL$1,Comms!CA90*$BL$2)</f>
        <v>0</v>
      </c>
      <c r="BC90" s="689">
        <f>SUM('Defect (Total)'!BC90,Planned!CF90,Reconductor!CF90,CTGS!CF90,'Substation 2025$'!CF90*$BL$1,Comms!CB90*$BL$2)</f>
        <v>0</v>
      </c>
      <c r="BD90" s="96">
        <f>SUM('Defect (Total)'!BD90,Planned!CG90,Reconductor!CG90,CTGS!CG90,'Substation 2025$'!CG90*$BL$1,Comms!CC90*$BL$2)</f>
        <v>0</v>
      </c>
      <c r="BE90" s="96">
        <f>SUM('Defect (Total)'!BE90,Planned!CH90,Reconductor!CH90,CTGS!CH90,'Substation 2025$'!CH90*$BL$1,Comms!CD90*$BL$2)</f>
        <v>0</v>
      </c>
      <c r="BF90" s="96">
        <f>SUM('Defect (Total)'!BF90,Planned!CI90,Reconductor!CI90,CTGS!CI90,'Substation 2025$'!CI90*$BL$1,Comms!CE90*$BL$2)</f>
        <v>0</v>
      </c>
      <c r="BG90" s="96">
        <f>SUM('Defect (Total)'!BG90,Planned!CJ90,Reconductor!CJ90,CTGS!CJ90,'Substation 2025$'!CJ90*$BL$1,Comms!CF90*$BL$2)</f>
        <v>0</v>
      </c>
      <c r="BH90" s="96">
        <f>SUM('Defect (Total)'!BH90,Planned!CK90,Reconductor!CK90,CTGS!CK90,'Substation 2025$'!CK90*$BL$1,Comms!CG90*$BL$2)</f>
        <v>0</v>
      </c>
      <c r="BI90" s="286">
        <f>SUM('Defect (Total)'!BI90,Planned!CL90,Reconductor!CL90,CTGS!CL90,'Substation 2025$'!CL90*$BL$1,Comms!CH90*$BL$2)</f>
        <v>0</v>
      </c>
      <c r="BJ90" s="99" t="str">
        <f t="shared" si="45"/>
        <v/>
      </c>
      <c r="BK90" s="743"/>
      <c r="BL90" s="97"/>
      <c r="BM90" s="524"/>
      <c r="BN90" s="416">
        <f>'Distribution Summary'!CI90+'Substation 2025$'!CT90</f>
        <v>0</v>
      </c>
      <c r="BO90" s="97">
        <f>'Distribution Summary'!CJ90+'Substation 2025$'!CU90</f>
        <v>0</v>
      </c>
      <c r="BP90" s="97">
        <f>'Distribution Summary'!CK90+'Substation 2025$'!CV90</f>
        <v>0</v>
      </c>
      <c r="BQ90" s="97">
        <f>'Distribution Summary'!CL90+'Substation 2025$'!CW90</f>
        <v>0</v>
      </c>
      <c r="BR90" s="98">
        <f>'Distribution Summary'!CM90+'Substation 2025$'!CX90</f>
        <v>0</v>
      </c>
    </row>
    <row r="91" spans="1:70" x14ac:dyDescent="0.25">
      <c r="A91" s="81" t="s">
        <v>138</v>
      </c>
      <c r="B91" s="82" t="s">
        <v>185</v>
      </c>
      <c r="C91" s="83" t="s">
        <v>381</v>
      </c>
      <c r="D91" s="84">
        <f>SUM('Defect (Total)'!D91,Planned!D91,Reconductor!D91,CTGS!D91)</f>
        <v>0</v>
      </c>
      <c r="E91" s="85">
        <f>SUM('Defect (Total)'!E91,Planned!E91,Reconductor!E91,CTGS!E91)</f>
        <v>0</v>
      </c>
      <c r="F91" s="85">
        <f>SUM('Defect (Total)'!F91,Planned!F91,Reconductor!F91,CTGS!F91)</f>
        <v>0</v>
      </c>
      <c r="G91" s="85">
        <f>SUM('Defect (Total)'!G91,Planned!G91,Reconductor!G91,CTGS!G91)</f>
        <v>0</v>
      </c>
      <c r="H91" s="85">
        <f>SUM('Defect (Total)'!H91,Planned!H91,Reconductor!H91,CTGS!H91)</f>
        <v>0</v>
      </c>
      <c r="I91" s="85">
        <f>SUM('Defect (Total)'!I91,Planned!I91,Reconductor!I91,CTGS!I91)</f>
        <v>0</v>
      </c>
      <c r="J91" s="85">
        <f>SUM('Defect (Total)'!J91,Planned!J91,Reconductor!J91,CTGS!J91)</f>
        <v>0</v>
      </c>
      <c r="K91" s="85">
        <f>SUM('Defect (Total)'!K91,Planned!K91,Reconductor!K91,CTGS!K91)</f>
        <v>0</v>
      </c>
      <c r="L91" s="85">
        <f>SUM('Defect (Total)'!L91,Planned!L91,Reconductor!L91,CTGS!L91)</f>
        <v>0</v>
      </c>
      <c r="M91" s="85">
        <f>SUM('Defect (Total)'!M91,Planned!M91,Reconductor!M91,CTGS!M91)</f>
        <v>0</v>
      </c>
      <c r="N91" s="85">
        <f>SUM('Defect (Total)'!N91,Planned!N91,Reconductor!N91,CTGS!N91)</f>
        <v>0</v>
      </c>
      <c r="O91" s="560">
        <f>SUM('Defect (Total)'!O91,Planned!O91,Reconductor!O91,CTGS!O91)</f>
        <v>0</v>
      </c>
      <c r="P91" s="561">
        <f>SUM('Defect (Total)'!P91,Planned!P91,Reconductor!P91,CTGS!P91)</f>
        <v>0</v>
      </c>
      <c r="Q91" s="561">
        <f>SUM('Defect (Total)'!Q91,Planned!Q91,Reconductor!Q91,CTGS!Q91)</f>
        <v>0</v>
      </c>
      <c r="R91" s="561">
        <f>SUM('Defect (Total)'!R91,Planned!R91,Reconductor!R91,CTGS!R91)</f>
        <v>0</v>
      </c>
      <c r="S91" s="561">
        <f>SUM('Defect (Total)'!S91,Planned!S91,Reconductor!S91,CTGS!S91)</f>
        <v>0</v>
      </c>
      <c r="T91" s="561">
        <f>SUM('Defect (Total)'!T91,Planned!T91,Reconductor!T91,CTGS!T91)</f>
        <v>0</v>
      </c>
      <c r="U91" s="561">
        <f>SUM('Defect (Total)'!U91,Planned!U91,Reconductor!U91,CTGS!U91)</f>
        <v>0</v>
      </c>
      <c r="V91" s="561">
        <f>SUM('Defect (Total)'!V91,Planned!V91,Reconductor!V91,CTGS!V91)</f>
        <v>0</v>
      </c>
      <c r="W91" s="561">
        <f>SUM('Defect (Total)'!W91,Planned!W91,Reconductor!W91,CTGS!W91)</f>
        <v>0</v>
      </c>
      <c r="X91" s="561">
        <f>SUM('Defect (Total)'!X91,Planned!X91,Reconductor!X91,CTGS!X91)</f>
        <v>0</v>
      </c>
      <c r="Y91" s="561">
        <f>SUM('Defect (Total)'!Y91,Planned!Y91,Reconductor!Y91,CTGS!Y91)</f>
        <v>0</v>
      </c>
      <c r="Z91" s="86">
        <f>SUM('Defect (Total)'!Z91,Planned!Z91,Reconductor!Z91,CTGS!Z91)</f>
        <v>0</v>
      </c>
      <c r="AA91" s="87">
        <f>SUM('Defect (Total)'!AA91,Planned!AA91,Reconductor!AA91,CTGS!AA91)</f>
        <v>0</v>
      </c>
      <c r="AB91" s="87">
        <f>SUM('Defect (Total)'!AB91,Planned!AB91,Reconductor!AB91,CTGS!AB91)</f>
        <v>0</v>
      </c>
      <c r="AC91" s="87">
        <f>SUM('Defect (Total)'!AC91,Planned!AC91,Reconductor!AC91,CTGS!AC91)</f>
        <v>0</v>
      </c>
      <c r="AD91" s="87">
        <f>SUM('Defect (Total)'!AD91,Planned!AD91,Reconductor!AD91,CTGS!AD91)</f>
        <v>0</v>
      </c>
      <c r="AE91" s="87">
        <f>SUM('Defect (Total)'!AE91,Planned!AE91,Reconductor!AE91,CTGS!AE91)</f>
        <v>0</v>
      </c>
      <c r="AF91" s="87">
        <f>SUM('Defect (Total)'!AF91,Planned!AF91,Reconductor!AF91,CTGS!AF91)</f>
        <v>0</v>
      </c>
      <c r="AG91" s="87">
        <f>SUM('Defect (Total)'!AG91,Planned!AG91,Reconductor!AG91,CTGS!AG91)</f>
        <v>0</v>
      </c>
      <c r="AH91" s="87">
        <f>SUM('Defect (Total)'!AH91,Planned!AH91,Reconductor!AH91,CTGS!AH91)</f>
        <v>0</v>
      </c>
      <c r="AI91" s="87">
        <f>SUM('Defect (Total)'!AI91,Planned!AI91,Reconductor!AI91,CTGS!AI91)</f>
        <v>0</v>
      </c>
      <c r="AJ91" s="87">
        <f>SUM('Defect (Total)'!AJ91,Planned!AJ91,Reconductor!AJ91,CTGS!AJ91)</f>
        <v>0</v>
      </c>
      <c r="AK91" s="88">
        <f t="shared" si="43"/>
        <v>0</v>
      </c>
      <c r="AL91" s="89">
        <f t="shared" si="18"/>
        <v>0</v>
      </c>
      <c r="AM91" s="90">
        <f t="shared" si="44"/>
        <v>0</v>
      </c>
      <c r="AN91" s="91" t="str">
        <f t="shared" si="31"/>
        <v/>
      </c>
      <c r="AO91" s="92" t="str">
        <f t="shared" si="32"/>
        <v/>
      </c>
      <c r="AP91" s="92" t="str">
        <f t="shared" si="33"/>
        <v/>
      </c>
      <c r="AQ91" s="92" t="str">
        <f t="shared" si="34"/>
        <v/>
      </c>
      <c r="AR91" s="92" t="str">
        <f t="shared" si="35"/>
        <v/>
      </c>
      <c r="AS91" s="92" t="str">
        <f t="shared" si="36"/>
        <v/>
      </c>
      <c r="AT91" s="92" t="str">
        <f t="shared" si="37"/>
        <v/>
      </c>
      <c r="AU91" s="92" t="str">
        <f t="shared" si="38"/>
        <v/>
      </c>
      <c r="AV91" s="92" t="str">
        <f t="shared" si="39"/>
        <v/>
      </c>
      <c r="AW91" s="92" t="str">
        <f t="shared" si="46"/>
        <v/>
      </c>
      <c r="AX91" s="92" t="str">
        <f t="shared" si="46"/>
        <v/>
      </c>
      <c r="AY91" s="93" t="str">
        <f t="shared" si="29"/>
        <v/>
      </c>
      <c r="AZ91" s="94" t="str">
        <f t="shared" si="41"/>
        <v/>
      </c>
      <c r="BA91" s="95" t="str">
        <f t="shared" si="42"/>
        <v/>
      </c>
      <c r="BB91" s="689">
        <f>SUM('Defect (Total)'!BB91,Planned!CE91,Reconductor!CE91,CTGS!CE91,'Substation 2025$'!CE91*$BL$1,Comms!CA91*$BL$2)</f>
        <v>0</v>
      </c>
      <c r="BC91" s="689">
        <f>SUM('Defect (Total)'!BC91,Planned!CF91,Reconductor!CF91,CTGS!CF91,'Substation 2025$'!CF91*$BL$1,Comms!CB91*$BL$2)</f>
        <v>0</v>
      </c>
      <c r="BD91" s="96">
        <f>SUM('Defect (Total)'!BD91,Planned!CG91,Reconductor!CG91,CTGS!CG91,'Substation 2025$'!CG91*$BL$1,Comms!CC91*$BL$2)</f>
        <v>2</v>
      </c>
      <c r="BE91" s="96">
        <f>SUM('Defect (Total)'!BE91,Planned!CH91,Reconductor!CH91,CTGS!CH91,'Substation 2025$'!CH91*$BL$1,Comms!CD91*$BL$2)</f>
        <v>1</v>
      </c>
      <c r="BF91" s="96">
        <f>SUM('Defect (Total)'!BF91,Planned!CI91,Reconductor!CI91,CTGS!CI91,'Substation 2025$'!CI91*$BL$1,Comms!CE91*$BL$2)</f>
        <v>0</v>
      </c>
      <c r="BG91" s="96">
        <f>SUM('Defect (Total)'!BG91,Planned!CJ91,Reconductor!CJ91,CTGS!CJ91,'Substation 2025$'!CJ91*$BL$1,Comms!CF91*$BL$2)</f>
        <v>0</v>
      </c>
      <c r="BH91" s="96">
        <f>SUM('Defect (Total)'!BH91,Planned!CK91,Reconductor!CK91,CTGS!CK91,'Substation 2025$'!CK91*$BL$1,Comms!CG91*$BL$2)</f>
        <v>0</v>
      </c>
      <c r="BI91" s="286">
        <f>SUM('Defect (Total)'!BI91,Planned!CL91,Reconductor!CL91,CTGS!CL91,'Substation 2025$'!CL91*$BL$1,Comms!CH91*$BL$2)</f>
        <v>2</v>
      </c>
      <c r="BJ91" s="99">
        <f t="shared" si="45"/>
        <v>2382037.2820156286</v>
      </c>
      <c r="BK91" s="743"/>
      <c r="BL91" s="97"/>
      <c r="BM91" s="524"/>
      <c r="BN91" s="416">
        <f>'Distribution Summary'!CI91+'Substation 2025$'!CT91</f>
        <v>10843.92142643568</v>
      </c>
      <c r="BO91" s="97">
        <f>'Distribution Summary'!CJ91+'Substation 2025$'!CU91</f>
        <v>15972.578060655806</v>
      </c>
      <c r="BP91" s="97">
        <f>'Distribution Summary'!CK91+'Substation 2025$'!CV91</f>
        <v>586977.23337779799</v>
      </c>
      <c r="BQ91" s="97">
        <f>'Distribution Summary'!CL91+'Substation 2025$'!CW91</f>
        <v>2032809.6062093987</v>
      </c>
      <c r="BR91" s="98">
        <f>'Distribution Summary'!CM91+'Substation 2025$'!CX91</f>
        <v>4499508.5069725979</v>
      </c>
    </row>
    <row r="92" spans="1:70" x14ac:dyDescent="0.25">
      <c r="A92" s="81" t="s">
        <v>138</v>
      </c>
      <c r="B92" s="82" t="s">
        <v>187</v>
      </c>
      <c r="C92" s="83" t="s">
        <v>382</v>
      </c>
      <c r="D92" s="84">
        <f>SUM('Defect (Total)'!D92,Planned!D92,Reconductor!D92,CTGS!D92)</f>
        <v>0</v>
      </c>
      <c r="E92" s="85">
        <f>SUM('Defect (Total)'!E92,Planned!E92,Reconductor!E92,CTGS!E92)</f>
        <v>0</v>
      </c>
      <c r="F92" s="85">
        <f>SUM('Defect (Total)'!F92,Planned!F92,Reconductor!F92,CTGS!F92)</f>
        <v>0</v>
      </c>
      <c r="G92" s="85">
        <f>SUM('Defect (Total)'!G92,Planned!G92,Reconductor!G92,CTGS!G92)</f>
        <v>0</v>
      </c>
      <c r="H92" s="85">
        <f>SUM('Defect (Total)'!H92,Planned!H92,Reconductor!H92,CTGS!H92)</f>
        <v>0</v>
      </c>
      <c r="I92" s="85">
        <f>SUM('Defect (Total)'!I92,Planned!I92,Reconductor!I92,CTGS!I92)</f>
        <v>0</v>
      </c>
      <c r="J92" s="85">
        <f>SUM('Defect (Total)'!J92,Planned!J92,Reconductor!J92,CTGS!J92)</f>
        <v>0</v>
      </c>
      <c r="K92" s="85">
        <f>SUM('Defect (Total)'!K92,Planned!K92,Reconductor!K92,CTGS!K92)</f>
        <v>0</v>
      </c>
      <c r="L92" s="85">
        <f>SUM('Defect (Total)'!L92,Planned!L92,Reconductor!L92,CTGS!L92)</f>
        <v>0</v>
      </c>
      <c r="M92" s="85">
        <f>SUM('Defect (Total)'!M92,Planned!M92,Reconductor!M92,CTGS!M92)</f>
        <v>0</v>
      </c>
      <c r="N92" s="85">
        <f>SUM('Defect (Total)'!N92,Planned!N92,Reconductor!N92,CTGS!N92)</f>
        <v>0</v>
      </c>
      <c r="O92" s="560">
        <f>SUM('Defect (Total)'!O92,Planned!O92,Reconductor!O92,CTGS!O92)</f>
        <v>0</v>
      </c>
      <c r="P92" s="561">
        <f>SUM('Defect (Total)'!P92,Planned!P92,Reconductor!P92,CTGS!P92)</f>
        <v>0</v>
      </c>
      <c r="Q92" s="561">
        <f>SUM('Defect (Total)'!Q92,Planned!Q92,Reconductor!Q92,CTGS!Q92)</f>
        <v>0</v>
      </c>
      <c r="R92" s="561">
        <f>SUM('Defect (Total)'!R92,Planned!R92,Reconductor!R92,CTGS!R92)</f>
        <v>0</v>
      </c>
      <c r="S92" s="561">
        <f>SUM('Defect (Total)'!S92,Planned!S92,Reconductor!S92,CTGS!S92)</f>
        <v>0</v>
      </c>
      <c r="T92" s="561">
        <f>SUM('Defect (Total)'!T92,Planned!T92,Reconductor!T92,CTGS!T92)</f>
        <v>0</v>
      </c>
      <c r="U92" s="561">
        <f>SUM('Defect (Total)'!U92,Planned!U92,Reconductor!U92,CTGS!U92)</f>
        <v>0</v>
      </c>
      <c r="V92" s="561">
        <f>SUM('Defect (Total)'!V92,Planned!V92,Reconductor!V92,CTGS!V92)</f>
        <v>0</v>
      </c>
      <c r="W92" s="561">
        <f>SUM('Defect (Total)'!W92,Planned!W92,Reconductor!W92,CTGS!W92)</f>
        <v>0</v>
      </c>
      <c r="X92" s="561">
        <f>SUM('Defect (Total)'!X92,Planned!X92,Reconductor!X92,CTGS!X92)</f>
        <v>0</v>
      </c>
      <c r="Y92" s="561">
        <f>SUM('Defect (Total)'!Y92,Planned!Y92,Reconductor!Y92,CTGS!Y92)</f>
        <v>0</v>
      </c>
      <c r="Z92" s="86">
        <f>SUM('Defect (Total)'!Z92,Planned!Z92,Reconductor!Z92,CTGS!Z92)</f>
        <v>0</v>
      </c>
      <c r="AA92" s="87">
        <f>SUM('Defect (Total)'!AA92,Planned!AA92,Reconductor!AA92,CTGS!AA92)</f>
        <v>0</v>
      </c>
      <c r="AB92" s="87">
        <f>SUM('Defect (Total)'!AB92,Planned!AB92,Reconductor!AB92,CTGS!AB92)</f>
        <v>0</v>
      </c>
      <c r="AC92" s="87">
        <f>SUM('Defect (Total)'!AC92,Planned!AC92,Reconductor!AC92,CTGS!AC92)</f>
        <v>0</v>
      </c>
      <c r="AD92" s="87">
        <f>SUM('Defect (Total)'!AD92,Planned!AD92,Reconductor!AD92,CTGS!AD92)</f>
        <v>0</v>
      </c>
      <c r="AE92" s="87">
        <f>SUM('Defect (Total)'!AE92,Planned!AE92,Reconductor!AE92,CTGS!AE92)</f>
        <v>0</v>
      </c>
      <c r="AF92" s="87">
        <f>SUM('Defect (Total)'!AF92,Planned!AF92,Reconductor!AF92,CTGS!AF92)</f>
        <v>0</v>
      </c>
      <c r="AG92" s="87">
        <f>SUM('Defect (Total)'!AG92,Planned!AG92,Reconductor!AG92,CTGS!AG92)</f>
        <v>0</v>
      </c>
      <c r="AH92" s="87">
        <f>SUM('Defect (Total)'!AH92,Planned!AH92,Reconductor!AH92,CTGS!AH92)</f>
        <v>0</v>
      </c>
      <c r="AI92" s="87">
        <f>SUM('Defect (Total)'!AI92,Planned!AI92,Reconductor!AI92,CTGS!AI92)</f>
        <v>0</v>
      </c>
      <c r="AJ92" s="87">
        <f>SUM('Defect (Total)'!AJ92,Planned!AJ92,Reconductor!AJ92,CTGS!AJ92)</f>
        <v>0</v>
      </c>
      <c r="AK92" s="88">
        <f t="shared" si="43"/>
        <v>0</v>
      </c>
      <c r="AL92" s="89">
        <f t="shared" si="18"/>
        <v>0</v>
      </c>
      <c r="AM92" s="90">
        <f t="shared" si="44"/>
        <v>0</v>
      </c>
      <c r="AN92" s="91" t="str">
        <f t="shared" si="31"/>
        <v/>
      </c>
      <c r="AO92" s="92" t="str">
        <f t="shared" si="32"/>
        <v/>
      </c>
      <c r="AP92" s="92" t="str">
        <f t="shared" si="33"/>
        <v/>
      </c>
      <c r="AQ92" s="92" t="str">
        <f t="shared" si="34"/>
        <v/>
      </c>
      <c r="AR92" s="92" t="str">
        <f t="shared" si="35"/>
        <v/>
      </c>
      <c r="AS92" s="92" t="str">
        <f t="shared" si="36"/>
        <v/>
      </c>
      <c r="AT92" s="92" t="str">
        <f t="shared" si="37"/>
        <v/>
      </c>
      <c r="AU92" s="92" t="str">
        <f t="shared" si="38"/>
        <v/>
      </c>
      <c r="AV92" s="92" t="str">
        <f t="shared" si="39"/>
        <v/>
      </c>
      <c r="AW92" s="92" t="str">
        <f t="shared" si="46"/>
        <v/>
      </c>
      <c r="AX92" s="92" t="str">
        <f t="shared" si="46"/>
        <v/>
      </c>
      <c r="AY92" s="93" t="str">
        <f t="shared" si="29"/>
        <v/>
      </c>
      <c r="AZ92" s="94" t="str">
        <f t="shared" si="41"/>
        <v/>
      </c>
      <c r="BA92" s="95" t="str">
        <f t="shared" si="42"/>
        <v/>
      </c>
      <c r="BB92" s="689">
        <f>SUM('Defect (Total)'!BB92,Planned!CE92,Reconductor!CE92,CTGS!CE92,'Substation 2025$'!CE92*$BL$1,Comms!CA92*$BL$2)</f>
        <v>0</v>
      </c>
      <c r="BC92" s="689">
        <f>SUM('Defect (Total)'!BC92,Planned!CF92,Reconductor!CF92,CTGS!CF92,'Substation 2025$'!CF92*$BL$1,Comms!CB92*$BL$2)</f>
        <v>0</v>
      </c>
      <c r="BD92" s="96">
        <f>SUM('Defect (Total)'!BD92,Planned!CG92,Reconductor!CG92,CTGS!CG92,'Substation 2025$'!CG92*$BL$1,Comms!CC92*$BL$2)</f>
        <v>0</v>
      </c>
      <c r="BE92" s="96">
        <f>SUM('Defect (Total)'!BE92,Planned!CH92,Reconductor!CH92,CTGS!CH92,'Substation 2025$'!CH92*$BL$1,Comms!CD92*$BL$2)</f>
        <v>0</v>
      </c>
      <c r="BF92" s="96">
        <f>SUM('Defect (Total)'!BF92,Planned!CI92,Reconductor!CI92,CTGS!CI92,'Substation 2025$'!CI92*$BL$1,Comms!CE92*$BL$2)</f>
        <v>0</v>
      </c>
      <c r="BG92" s="96">
        <f>SUM('Defect (Total)'!BG92,Planned!CJ92,Reconductor!CJ92,CTGS!CJ92,'Substation 2025$'!CJ92*$BL$1,Comms!CF92*$BL$2)</f>
        <v>0</v>
      </c>
      <c r="BH92" s="96">
        <f>SUM('Defect (Total)'!BH92,Planned!CK92,Reconductor!CK92,CTGS!CK92,'Substation 2025$'!CK92*$BL$1,Comms!CG92*$BL$2)</f>
        <v>0</v>
      </c>
      <c r="BI92" s="286">
        <f>SUM('Defect (Total)'!BI92,Planned!CL92,Reconductor!CL92,CTGS!CL92,'Substation 2025$'!CL92*$BL$1,Comms!CH92*$BL$2)</f>
        <v>0</v>
      </c>
      <c r="BJ92" s="99" t="str">
        <f t="shared" si="45"/>
        <v/>
      </c>
      <c r="BK92" s="743"/>
      <c r="BL92" s="97"/>
      <c r="BM92" s="524"/>
      <c r="BN92" s="416">
        <f>'Distribution Summary'!CI92+'Substation 2025$'!CT92</f>
        <v>0</v>
      </c>
      <c r="BO92" s="97">
        <f>'Distribution Summary'!CJ92+'Substation 2025$'!CU92</f>
        <v>0</v>
      </c>
      <c r="BP92" s="97">
        <f>'Distribution Summary'!CK92+'Substation 2025$'!CV92</f>
        <v>0</v>
      </c>
      <c r="BQ92" s="97">
        <f>'Distribution Summary'!CL92+'Substation 2025$'!CW92</f>
        <v>0</v>
      </c>
      <c r="BR92" s="98">
        <f>'Distribution Summary'!CM92+'Substation 2025$'!CX92</f>
        <v>0</v>
      </c>
    </row>
    <row r="93" spans="1:70" x14ac:dyDescent="0.25">
      <c r="A93" s="81" t="s">
        <v>138</v>
      </c>
      <c r="B93" s="82" t="s">
        <v>189</v>
      </c>
      <c r="C93" s="83" t="s">
        <v>383</v>
      </c>
      <c r="D93" s="84">
        <f>SUM('Defect (Total)'!D93,Planned!D93,Reconductor!D93,CTGS!D93)</f>
        <v>0</v>
      </c>
      <c r="E93" s="85">
        <f>SUM('Defect (Total)'!E93,Planned!E93,Reconductor!E93,CTGS!E93)</f>
        <v>0</v>
      </c>
      <c r="F93" s="85">
        <f>SUM('Defect (Total)'!F93,Planned!F93,Reconductor!F93,CTGS!F93)</f>
        <v>0</v>
      </c>
      <c r="G93" s="85">
        <f>SUM('Defect (Total)'!G93,Planned!G93,Reconductor!G93,CTGS!G93)</f>
        <v>0</v>
      </c>
      <c r="H93" s="85">
        <f>SUM('Defect (Total)'!H93,Planned!H93,Reconductor!H93,CTGS!H93)</f>
        <v>0</v>
      </c>
      <c r="I93" s="85">
        <f>SUM('Defect (Total)'!I93,Planned!I93,Reconductor!I93,CTGS!I93)</f>
        <v>0</v>
      </c>
      <c r="J93" s="85">
        <f>SUM('Defect (Total)'!J93,Planned!J93,Reconductor!J93,CTGS!J93)</f>
        <v>0</v>
      </c>
      <c r="K93" s="85">
        <f>SUM('Defect (Total)'!K93,Planned!K93,Reconductor!K93,CTGS!K93)</f>
        <v>0</v>
      </c>
      <c r="L93" s="85">
        <f>SUM('Defect (Total)'!L93,Planned!L93,Reconductor!L93,CTGS!L93)</f>
        <v>0</v>
      </c>
      <c r="M93" s="85">
        <f>SUM('Defect (Total)'!M93,Planned!M93,Reconductor!M93,CTGS!M93)</f>
        <v>0</v>
      </c>
      <c r="N93" s="85">
        <f>SUM('Defect (Total)'!N93,Planned!N93,Reconductor!N93,CTGS!N93)</f>
        <v>0</v>
      </c>
      <c r="O93" s="560">
        <f>SUM('Defect (Total)'!O93,Planned!O93,Reconductor!O93,CTGS!O93)</f>
        <v>0</v>
      </c>
      <c r="P93" s="561">
        <f>SUM('Defect (Total)'!P93,Planned!P93,Reconductor!P93,CTGS!P93)</f>
        <v>0</v>
      </c>
      <c r="Q93" s="561">
        <f>SUM('Defect (Total)'!Q93,Planned!Q93,Reconductor!Q93,CTGS!Q93)</f>
        <v>0</v>
      </c>
      <c r="R93" s="561">
        <f>SUM('Defect (Total)'!R93,Planned!R93,Reconductor!R93,CTGS!R93)</f>
        <v>0</v>
      </c>
      <c r="S93" s="561">
        <f>SUM('Defect (Total)'!S93,Planned!S93,Reconductor!S93,CTGS!S93)</f>
        <v>0</v>
      </c>
      <c r="T93" s="561">
        <f>SUM('Defect (Total)'!T93,Planned!T93,Reconductor!T93,CTGS!T93)</f>
        <v>0</v>
      </c>
      <c r="U93" s="561">
        <f>SUM('Defect (Total)'!U93,Planned!U93,Reconductor!U93,CTGS!U93)</f>
        <v>0</v>
      </c>
      <c r="V93" s="561">
        <f>SUM('Defect (Total)'!V93,Planned!V93,Reconductor!V93,CTGS!V93)</f>
        <v>0</v>
      </c>
      <c r="W93" s="561">
        <f>SUM('Defect (Total)'!W93,Planned!W93,Reconductor!W93,CTGS!W93)</f>
        <v>0</v>
      </c>
      <c r="X93" s="561">
        <f>SUM('Defect (Total)'!X93,Planned!X93,Reconductor!X93,CTGS!X93)</f>
        <v>0</v>
      </c>
      <c r="Y93" s="561">
        <f>SUM('Defect (Total)'!Y93,Planned!Y93,Reconductor!Y93,CTGS!Y93)</f>
        <v>0</v>
      </c>
      <c r="Z93" s="86">
        <f>SUM('Defect (Total)'!Z93,Planned!Z93,Reconductor!Z93,CTGS!Z93)</f>
        <v>0</v>
      </c>
      <c r="AA93" s="87">
        <f>SUM('Defect (Total)'!AA93,Planned!AA93,Reconductor!AA93,CTGS!AA93)</f>
        <v>0</v>
      </c>
      <c r="AB93" s="87">
        <f>SUM('Defect (Total)'!AB93,Planned!AB93,Reconductor!AB93,CTGS!AB93)</f>
        <v>0</v>
      </c>
      <c r="AC93" s="87">
        <f>SUM('Defect (Total)'!AC93,Planned!AC93,Reconductor!AC93,CTGS!AC93)</f>
        <v>0</v>
      </c>
      <c r="AD93" s="87">
        <f>SUM('Defect (Total)'!AD93,Planned!AD93,Reconductor!AD93,CTGS!AD93)</f>
        <v>0</v>
      </c>
      <c r="AE93" s="87">
        <f>SUM('Defect (Total)'!AE93,Planned!AE93,Reconductor!AE93,CTGS!AE93)</f>
        <v>0</v>
      </c>
      <c r="AF93" s="87">
        <f>SUM('Defect (Total)'!AF93,Planned!AF93,Reconductor!AF93,CTGS!AF93)</f>
        <v>0</v>
      </c>
      <c r="AG93" s="87">
        <f>SUM('Defect (Total)'!AG93,Planned!AG93,Reconductor!AG93,CTGS!AG93)</f>
        <v>0</v>
      </c>
      <c r="AH93" s="87">
        <f>SUM('Defect (Total)'!AH93,Planned!AH93,Reconductor!AH93,CTGS!AH93)</f>
        <v>0</v>
      </c>
      <c r="AI93" s="87">
        <f>SUM('Defect (Total)'!AI93,Planned!AI93,Reconductor!AI93,CTGS!AI93)</f>
        <v>0</v>
      </c>
      <c r="AJ93" s="87">
        <f>SUM('Defect (Total)'!AJ93,Planned!AJ93,Reconductor!AJ93,CTGS!AJ93)</f>
        <v>0</v>
      </c>
      <c r="AK93" s="88">
        <f t="shared" si="43"/>
        <v>0</v>
      </c>
      <c r="AL93" s="89">
        <f t="shared" si="18"/>
        <v>0</v>
      </c>
      <c r="AM93" s="90">
        <f t="shared" si="44"/>
        <v>0</v>
      </c>
      <c r="AN93" s="91" t="str">
        <f t="shared" si="31"/>
        <v/>
      </c>
      <c r="AO93" s="92" t="str">
        <f t="shared" si="32"/>
        <v/>
      </c>
      <c r="AP93" s="92" t="str">
        <f t="shared" si="33"/>
        <v/>
      </c>
      <c r="AQ93" s="92" t="str">
        <f t="shared" si="34"/>
        <v/>
      </c>
      <c r="AR93" s="92" t="str">
        <f t="shared" si="35"/>
        <v/>
      </c>
      <c r="AS93" s="92" t="str">
        <f t="shared" si="36"/>
        <v/>
      </c>
      <c r="AT93" s="92" t="str">
        <f t="shared" si="37"/>
        <v/>
      </c>
      <c r="AU93" s="92" t="str">
        <f t="shared" si="38"/>
        <v/>
      </c>
      <c r="AV93" s="92" t="str">
        <f t="shared" si="39"/>
        <v/>
      </c>
      <c r="AW93" s="92" t="str">
        <f t="shared" si="46"/>
        <v/>
      </c>
      <c r="AX93" s="92" t="str">
        <f t="shared" si="46"/>
        <v/>
      </c>
      <c r="AY93" s="93" t="str">
        <f t="shared" si="29"/>
        <v/>
      </c>
      <c r="AZ93" s="94" t="str">
        <f t="shared" si="41"/>
        <v/>
      </c>
      <c r="BA93" s="95" t="str">
        <f t="shared" si="42"/>
        <v/>
      </c>
      <c r="BB93" s="689">
        <f>SUM('Defect (Total)'!BB93,Planned!CE93,Reconductor!CE93,CTGS!CE93,'Substation 2025$'!CE93*$BL$1,Comms!CA93*$BL$2)</f>
        <v>0</v>
      </c>
      <c r="BC93" s="689">
        <f>SUM('Defect (Total)'!BC93,Planned!CF93,Reconductor!CF93,CTGS!CF93,'Substation 2025$'!CF93*$BL$1,Comms!CB93*$BL$2)</f>
        <v>0</v>
      </c>
      <c r="BD93" s="96">
        <f>SUM('Defect (Total)'!BD93,Planned!CG93,Reconductor!CG93,CTGS!CG93,'Substation 2025$'!CG93*$BL$1,Comms!CC93*$BL$2)</f>
        <v>0</v>
      </c>
      <c r="BE93" s="96">
        <f>SUM('Defect (Total)'!BE93,Planned!CH93,Reconductor!CH93,CTGS!CH93,'Substation 2025$'!CH93*$BL$1,Comms!CD93*$BL$2)</f>
        <v>0</v>
      </c>
      <c r="BF93" s="96">
        <f>SUM('Defect (Total)'!BF93,Planned!CI93,Reconductor!CI93,CTGS!CI93,'Substation 2025$'!CI93*$BL$1,Comms!CE93*$BL$2)</f>
        <v>0</v>
      </c>
      <c r="BG93" s="96">
        <f>SUM('Defect (Total)'!BG93,Planned!CJ93,Reconductor!CJ93,CTGS!CJ93,'Substation 2025$'!CJ93*$BL$1,Comms!CF93*$BL$2)</f>
        <v>0</v>
      </c>
      <c r="BH93" s="96">
        <f>SUM('Defect (Total)'!BH93,Planned!CK93,Reconductor!CK93,CTGS!CK93,'Substation 2025$'!CK93*$BL$1,Comms!CG93*$BL$2)</f>
        <v>0</v>
      </c>
      <c r="BI93" s="286">
        <f>SUM('Defect (Total)'!BI93,Planned!CL93,Reconductor!CL93,CTGS!CL93,'Substation 2025$'!CL93*$BL$1,Comms!CH93*$BL$2)</f>
        <v>0</v>
      </c>
      <c r="BJ93" s="99" t="str">
        <f t="shared" si="45"/>
        <v/>
      </c>
      <c r="BK93" s="743"/>
      <c r="BL93" s="97"/>
      <c r="BM93" s="524"/>
      <c r="BN93" s="416">
        <f>'Distribution Summary'!CI93+'Substation 2025$'!CT93</f>
        <v>0</v>
      </c>
      <c r="BO93" s="97">
        <f>'Distribution Summary'!CJ93+'Substation 2025$'!CU93</f>
        <v>0</v>
      </c>
      <c r="BP93" s="97">
        <f>'Distribution Summary'!CK93+'Substation 2025$'!CV93</f>
        <v>0</v>
      </c>
      <c r="BQ93" s="97">
        <f>'Distribution Summary'!CL93+'Substation 2025$'!CW93</f>
        <v>0</v>
      </c>
      <c r="BR93" s="98">
        <f>'Distribution Summary'!CM93+'Substation 2025$'!CX93</f>
        <v>0</v>
      </c>
    </row>
    <row r="94" spans="1:70" x14ac:dyDescent="0.25">
      <c r="A94" s="81" t="s">
        <v>138</v>
      </c>
      <c r="B94" s="82" t="s">
        <v>191</v>
      </c>
      <c r="C94" s="83" t="s">
        <v>384</v>
      </c>
      <c r="D94" s="84">
        <f>SUM('Defect (Total)'!D94,Planned!D94,Reconductor!D94,CTGS!D94)</f>
        <v>0</v>
      </c>
      <c r="E94" s="85">
        <f>SUM('Defect (Total)'!E94,Planned!E94,Reconductor!E94,CTGS!E94)</f>
        <v>0</v>
      </c>
      <c r="F94" s="85">
        <f>SUM('Defect (Total)'!F94,Planned!F94,Reconductor!F94,CTGS!F94)</f>
        <v>0</v>
      </c>
      <c r="G94" s="85">
        <f>SUM('Defect (Total)'!G94,Planned!G94,Reconductor!G94,CTGS!G94)</f>
        <v>0</v>
      </c>
      <c r="H94" s="85">
        <f>SUM('Defect (Total)'!H94,Planned!H94,Reconductor!H94,CTGS!H94)</f>
        <v>0</v>
      </c>
      <c r="I94" s="85">
        <f>SUM('Defect (Total)'!I94,Planned!I94,Reconductor!I94,CTGS!I94)</f>
        <v>0</v>
      </c>
      <c r="J94" s="85">
        <f>SUM('Defect (Total)'!J94,Planned!J94,Reconductor!J94,CTGS!J94)</f>
        <v>0</v>
      </c>
      <c r="K94" s="85">
        <f>SUM('Defect (Total)'!K94,Planned!K94,Reconductor!K94,CTGS!K94)</f>
        <v>0</v>
      </c>
      <c r="L94" s="85">
        <f>SUM('Defect (Total)'!L94,Planned!L94,Reconductor!L94,CTGS!L94)</f>
        <v>0</v>
      </c>
      <c r="M94" s="85">
        <f>SUM('Defect (Total)'!M94,Planned!M94,Reconductor!M94,CTGS!M94)</f>
        <v>0</v>
      </c>
      <c r="N94" s="85">
        <f>SUM('Defect (Total)'!N94,Planned!N94,Reconductor!N94,CTGS!N94)</f>
        <v>0</v>
      </c>
      <c r="O94" s="560">
        <f>SUM('Defect (Total)'!O94,Planned!O94,Reconductor!O94,CTGS!O94)</f>
        <v>0</v>
      </c>
      <c r="P94" s="561">
        <f>SUM('Defect (Total)'!P94,Planned!P94,Reconductor!P94,CTGS!P94)</f>
        <v>0</v>
      </c>
      <c r="Q94" s="561">
        <f>SUM('Defect (Total)'!Q94,Planned!Q94,Reconductor!Q94,CTGS!Q94)</f>
        <v>0</v>
      </c>
      <c r="R94" s="561">
        <f>SUM('Defect (Total)'!R94,Planned!R94,Reconductor!R94,CTGS!R94)</f>
        <v>0</v>
      </c>
      <c r="S94" s="561">
        <f>SUM('Defect (Total)'!S94,Planned!S94,Reconductor!S94,CTGS!S94)</f>
        <v>0</v>
      </c>
      <c r="T94" s="561">
        <f>SUM('Defect (Total)'!T94,Planned!T94,Reconductor!T94,CTGS!T94)</f>
        <v>0</v>
      </c>
      <c r="U94" s="561">
        <f>SUM('Defect (Total)'!U94,Planned!U94,Reconductor!U94,CTGS!U94)</f>
        <v>0</v>
      </c>
      <c r="V94" s="561">
        <f>SUM('Defect (Total)'!V94,Planned!V94,Reconductor!V94,CTGS!V94)</f>
        <v>0</v>
      </c>
      <c r="W94" s="561">
        <f>SUM('Defect (Total)'!W94,Planned!W94,Reconductor!W94,CTGS!W94)</f>
        <v>0</v>
      </c>
      <c r="X94" s="561">
        <f>SUM('Defect (Total)'!X94,Planned!X94,Reconductor!X94,CTGS!X94)</f>
        <v>0</v>
      </c>
      <c r="Y94" s="561">
        <f>SUM('Defect (Total)'!Y94,Planned!Y94,Reconductor!Y94,CTGS!Y94)</f>
        <v>0</v>
      </c>
      <c r="Z94" s="86">
        <f>SUM('Defect (Total)'!Z94,Planned!Z94,Reconductor!Z94,CTGS!Z94)</f>
        <v>0</v>
      </c>
      <c r="AA94" s="87">
        <f>SUM('Defect (Total)'!AA94,Planned!AA94,Reconductor!AA94,CTGS!AA94)</f>
        <v>0</v>
      </c>
      <c r="AB94" s="87">
        <f>SUM('Defect (Total)'!AB94,Planned!AB94,Reconductor!AB94,CTGS!AB94)</f>
        <v>0</v>
      </c>
      <c r="AC94" s="87">
        <f>SUM('Defect (Total)'!AC94,Planned!AC94,Reconductor!AC94,CTGS!AC94)</f>
        <v>0</v>
      </c>
      <c r="AD94" s="87">
        <f>SUM('Defect (Total)'!AD94,Planned!AD94,Reconductor!AD94,CTGS!AD94)</f>
        <v>0</v>
      </c>
      <c r="AE94" s="87">
        <f>SUM('Defect (Total)'!AE94,Planned!AE94,Reconductor!AE94,CTGS!AE94)</f>
        <v>0</v>
      </c>
      <c r="AF94" s="87">
        <f>SUM('Defect (Total)'!AF94,Planned!AF94,Reconductor!AF94,CTGS!AF94)</f>
        <v>0</v>
      </c>
      <c r="AG94" s="87">
        <f>SUM('Defect (Total)'!AG94,Planned!AG94,Reconductor!AG94,CTGS!AG94)</f>
        <v>0</v>
      </c>
      <c r="AH94" s="87">
        <f>SUM('Defect (Total)'!AH94,Planned!AH94,Reconductor!AH94,CTGS!AH94)</f>
        <v>0</v>
      </c>
      <c r="AI94" s="87">
        <f>SUM('Defect (Total)'!AI94,Planned!AI94,Reconductor!AI94,CTGS!AI94)</f>
        <v>0</v>
      </c>
      <c r="AJ94" s="87">
        <f>SUM('Defect (Total)'!AJ94,Planned!AJ94,Reconductor!AJ94,CTGS!AJ94)</f>
        <v>0</v>
      </c>
      <c r="AK94" s="88">
        <f t="shared" si="43"/>
        <v>0</v>
      </c>
      <c r="AL94" s="89">
        <f t="shared" si="18"/>
        <v>0</v>
      </c>
      <c r="AM94" s="90">
        <f t="shared" si="44"/>
        <v>0</v>
      </c>
      <c r="AN94" s="91" t="str">
        <f t="shared" si="31"/>
        <v/>
      </c>
      <c r="AO94" s="92" t="str">
        <f t="shared" si="32"/>
        <v/>
      </c>
      <c r="AP94" s="92" t="str">
        <f t="shared" si="33"/>
        <v/>
      </c>
      <c r="AQ94" s="92" t="str">
        <f t="shared" si="34"/>
        <v/>
      </c>
      <c r="AR94" s="92" t="str">
        <f t="shared" si="35"/>
        <v/>
      </c>
      <c r="AS94" s="92" t="str">
        <f t="shared" si="36"/>
        <v/>
      </c>
      <c r="AT94" s="92" t="str">
        <f t="shared" si="37"/>
        <v/>
      </c>
      <c r="AU94" s="92" t="str">
        <f t="shared" si="38"/>
        <v/>
      </c>
      <c r="AV94" s="92" t="str">
        <f t="shared" si="39"/>
        <v/>
      </c>
      <c r="AW94" s="92" t="str">
        <f t="shared" si="46"/>
        <v/>
      </c>
      <c r="AX94" s="92" t="str">
        <f t="shared" si="46"/>
        <v/>
      </c>
      <c r="AY94" s="93" t="str">
        <f t="shared" si="29"/>
        <v/>
      </c>
      <c r="AZ94" s="94" t="str">
        <f t="shared" si="41"/>
        <v/>
      </c>
      <c r="BA94" s="95" t="str">
        <f t="shared" si="42"/>
        <v/>
      </c>
      <c r="BB94" s="689">
        <f>SUM('Defect (Total)'!BB94,Planned!CE94,Reconductor!CE94,CTGS!CE94,'Substation 2025$'!CE94*$BL$1,Comms!CA94*$BL$2)</f>
        <v>0</v>
      </c>
      <c r="BC94" s="689">
        <f>SUM('Defect (Total)'!BC94,Planned!CF94,Reconductor!CF94,CTGS!CF94,'Substation 2025$'!CF94*$BL$1,Comms!CB94*$BL$2)</f>
        <v>0</v>
      </c>
      <c r="BD94" s="96">
        <f>SUM('Defect (Total)'!BD94,Planned!CG94,Reconductor!CG94,CTGS!CG94,'Substation 2025$'!CG94*$BL$1,Comms!CC94*$BL$2)</f>
        <v>0</v>
      </c>
      <c r="BE94" s="96">
        <f>SUM('Defect (Total)'!BE94,Planned!CH94,Reconductor!CH94,CTGS!CH94,'Substation 2025$'!CH94*$BL$1,Comms!CD94*$BL$2)</f>
        <v>0</v>
      </c>
      <c r="BF94" s="96">
        <f>SUM('Defect (Total)'!BF94,Planned!CI94,Reconductor!CI94,CTGS!CI94,'Substation 2025$'!CI94*$BL$1,Comms!CE94*$BL$2)</f>
        <v>0</v>
      </c>
      <c r="BG94" s="96">
        <f>SUM('Defect (Total)'!BG94,Planned!CJ94,Reconductor!CJ94,CTGS!CJ94,'Substation 2025$'!CJ94*$BL$1,Comms!CF94*$BL$2)</f>
        <v>0</v>
      </c>
      <c r="BH94" s="96">
        <f>SUM('Defect (Total)'!BH94,Planned!CK94,Reconductor!CK94,CTGS!CK94,'Substation 2025$'!CK94*$BL$1,Comms!CG94*$BL$2)</f>
        <v>0</v>
      </c>
      <c r="BI94" s="286">
        <f>SUM('Defect (Total)'!BI94,Planned!CL94,Reconductor!CL94,CTGS!CL94,'Substation 2025$'!CL94*$BL$1,Comms!CH94*$BL$2)</f>
        <v>0</v>
      </c>
      <c r="BJ94" s="99" t="str">
        <f t="shared" si="45"/>
        <v/>
      </c>
      <c r="BK94" s="743"/>
      <c r="BL94" s="97"/>
      <c r="BM94" s="524"/>
      <c r="BN94" s="416">
        <f>'Distribution Summary'!CI94+'Substation 2025$'!CT94</f>
        <v>0</v>
      </c>
      <c r="BO94" s="97">
        <f>'Distribution Summary'!CJ94+'Substation 2025$'!CU94</f>
        <v>0</v>
      </c>
      <c r="BP94" s="97">
        <f>'Distribution Summary'!CK94+'Substation 2025$'!CV94</f>
        <v>0</v>
      </c>
      <c r="BQ94" s="97">
        <f>'Distribution Summary'!CL94+'Substation 2025$'!CW94</f>
        <v>0</v>
      </c>
      <c r="BR94" s="98">
        <f>'Distribution Summary'!CM94+'Substation 2025$'!CX94</f>
        <v>0</v>
      </c>
    </row>
    <row r="95" spans="1:70" ht="15.75" thickBot="1" x14ac:dyDescent="0.3">
      <c r="A95" s="100" t="s">
        <v>138</v>
      </c>
      <c r="B95" s="101" t="s">
        <v>385</v>
      </c>
      <c r="C95" s="102" t="s">
        <v>386</v>
      </c>
      <c r="D95" s="103">
        <f>SUM('Defect (Total)'!D95,Planned!D95,Reconductor!D95,CTGS!D95)</f>
        <v>13539</v>
      </c>
      <c r="E95" s="104">
        <f>SUM('Defect (Total)'!E95,Planned!E95,Reconductor!E95,CTGS!E95)</f>
        <v>0</v>
      </c>
      <c r="F95" s="104">
        <f>SUM('Defect (Total)'!F95,Planned!F95,Reconductor!F95,CTGS!F95)</f>
        <v>99217</v>
      </c>
      <c r="G95" s="104">
        <f>SUM('Defect (Total)'!G95,Planned!G95,Reconductor!G95,CTGS!G95)</f>
        <v>0</v>
      </c>
      <c r="H95" s="104">
        <f>SUM('Defect (Total)'!H95,Planned!H95,Reconductor!H95,CTGS!H95)</f>
        <v>0</v>
      </c>
      <c r="I95" s="104">
        <f>SUM('Defect (Total)'!I95,Planned!I95,Reconductor!I95,CTGS!I95)</f>
        <v>29709.836920557962</v>
      </c>
      <c r="J95" s="104">
        <f>SUM('Defect (Total)'!J95,Planned!J95,Reconductor!J95,CTGS!J95)</f>
        <v>14752.90333395</v>
      </c>
      <c r="K95" s="104">
        <f>SUM('Defect (Total)'!K95,Planned!K95,Reconductor!K95,CTGS!K95)</f>
        <v>46275.077679972004</v>
      </c>
      <c r="L95" s="104">
        <f>SUM('Defect (Total)'!L95,Planned!L95,Reconductor!L95,CTGS!L95)</f>
        <v>0</v>
      </c>
      <c r="M95" s="104">
        <f>SUM('Defect (Total)'!M95,Planned!M95,Reconductor!M95,CTGS!M95)</f>
        <v>0</v>
      </c>
      <c r="N95" s="104">
        <f>SUM('Defect (Total)'!N95,Planned!N95,Reconductor!N95,CTGS!N95)</f>
        <v>0</v>
      </c>
      <c r="O95" s="563">
        <f>SUM('Defect (Total)'!O95,Planned!O95,Reconductor!O95,CTGS!O95)</f>
        <v>18216.133105737841</v>
      </c>
      <c r="P95" s="564">
        <f>SUM('Defect (Total)'!P95,Planned!P95,Reconductor!P95,CTGS!P95)</f>
        <v>0</v>
      </c>
      <c r="Q95" s="564">
        <f>SUM('Defect (Total)'!Q95,Planned!Q95,Reconductor!Q95,CTGS!Q95)</f>
        <v>130173.27427298285</v>
      </c>
      <c r="R95" s="564">
        <f>SUM('Defect (Total)'!R95,Planned!R95,Reconductor!R95,CTGS!R95)</f>
        <v>0</v>
      </c>
      <c r="S95" s="564">
        <f>SUM('Defect (Total)'!S95,Planned!S95,Reconductor!S95,CTGS!S95)</f>
        <v>0</v>
      </c>
      <c r="T95" s="564">
        <f>SUM('Defect (Total)'!T95,Planned!T95,Reconductor!T95,CTGS!T95)</f>
        <v>36874.313422627099</v>
      </c>
      <c r="U95" s="564">
        <f>SUM('Defect (Total)'!U95,Planned!U95,Reconductor!U95,CTGS!U95)</f>
        <v>18374.563681230688</v>
      </c>
      <c r="V95" s="564">
        <f>SUM('Defect (Total)'!V95,Planned!V95,Reconductor!V95,CTGS!V95)</f>
        <v>55500.421154701085</v>
      </c>
      <c r="W95" s="564">
        <f>SUM('Defect (Total)'!W95,Planned!W95,Reconductor!W95,CTGS!W95)</f>
        <v>0</v>
      </c>
      <c r="X95" s="564">
        <f>SUM('Defect (Total)'!X95,Planned!X95,Reconductor!X95,CTGS!X95)</f>
        <v>0</v>
      </c>
      <c r="Y95" s="564">
        <f>SUM('Defect (Total)'!Y95,Planned!Y95,Reconductor!Y95,CTGS!Y95)</f>
        <v>0</v>
      </c>
      <c r="Z95" s="105">
        <f>SUM('Defect (Total)'!Z95,Planned!Z95,Reconductor!Z95,CTGS!Z95)</f>
        <v>1</v>
      </c>
      <c r="AA95" s="106">
        <f>SUM('Defect (Total)'!AA95,Planned!AA95,Reconductor!AA95,CTGS!AA95)</f>
        <v>0</v>
      </c>
      <c r="AB95" s="106">
        <f>SUM('Defect (Total)'!AB95,Planned!AB95,Reconductor!AB95,CTGS!AB95)</f>
        <v>1</v>
      </c>
      <c r="AC95" s="106">
        <f>SUM('Defect (Total)'!AC95,Planned!AC95,Reconductor!AC95,CTGS!AC95)</f>
        <v>0</v>
      </c>
      <c r="AD95" s="106">
        <f>SUM('Defect (Total)'!AD95,Planned!AD95,Reconductor!AD95,CTGS!AD95)</f>
        <v>0</v>
      </c>
      <c r="AE95" s="106">
        <f>SUM('Defect (Total)'!AE95,Planned!AE95,Reconductor!AE95,CTGS!AE95)</f>
        <v>1</v>
      </c>
      <c r="AF95" s="106">
        <f>SUM('Defect (Total)'!AF95,Planned!AF95,Reconductor!AF95,CTGS!AF95)</f>
        <v>0</v>
      </c>
      <c r="AG95" s="106">
        <f>SUM('Defect (Total)'!AG95,Planned!AG95,Reconductor!AG95,CTGS!AG95)</f>
        <v>3</v>
      </c>
      <c r="AH95" s="106">
        <f>SUM('Defect (Total)'!AH95,Planned!AH95,Reconductor!AH95,CTGS!AH95)</f>
        <v>0</v>
      </c>
      <c r="AI95" s="106">
        <f>SUM('Defect (Total)'!AI95,Planned!AI95,Reconductor!AI95,CTGS!AI95)</f>
        <v>0</v>
      </c>
      <c r="AJ95" s="106">
        <f>SUM('Defect (Total)'!AJ95,Planned!AJ95,Reconductor!AJ95,CTGS!AJ95)</f>
        <v>0</v>
      </c>
      <c r="AK95" s="107">
        <f t="shared" si="43"/>
        <v>0.8</v>
      </c>
      <c r="AL95" s="108">
        <f t="shared" si="18"/>
        <v>1</v>
      </c>
      <c r="AM95" s="109">
        <f t="shared" si="44"/>
        <v>0</v>
      </c>
      <c r="AN95" s="110">
        <f t="shared" si="31"/>
        <v>13539</v>
      </c>
      <c r="AO95" s="111" t="str">
        <f t="shared" si="32"/>
        <v/>
      </c>
      <c r="AP95" s="111">
        <f t="shared" si="33"/>
        <v>99217</v>
      </c>
      <c r="AQ95" s="111" t="str">
        <f t="shared" si="34"/>
        <v/>
      </c>
      <c r="AR95" s="111" t="str">
        <f t="shared" si="35"/>
        <v/>
      </c>
      <c r="AS95" s="111">
        <f t="shared" si="36"/>
        <v>29709.836920557962</v>
      </c>
      <c r="AT95" s="111" t="str">
        <f t="shared" si="37"/>
        <v/>
      </c>
      <c r="AU95" s="111">
        <f t="shared" si="38"/>
        <v>15425.025893324002</v>
      </c>
      <c r="AV95" s="111" t="str">
        <f t="shared" si="39"/>
        <v/>
      </c>
      <c r="AW95" s="111" t="str">
        <f t="shared" si="46"/>
        <v/>
      </c>
      <c r="AX95" s="111" t="str">
        <f t="shared" si="46"/>
        <v/>
      </c>
      <c r="AY95" s="112">
        <f t="shared" si="29"/>
        <v>22684.454483619993</v>
      </c>
      <c r="AZ95" s="113">
        <f t="shared" si="41"/>
        <v>20342.660337974001</v>
      </c>
      <c r="BA95" s="114" t="str">
        <f t="shared" si="42"/>
        <v/>
      </c>
      <c r="BB95" s="695">
        <f>SUM('Defect (Total)'!BB95,Planned!CE95,Reconductor!CE95,CTGS!CE95,'Substation 2025$'!CE95*$BL$1,Comms!CA95*$BL$2)</f>
        <v>0.66666666666666663</v>
      </c>
      <c r="BC95" s="695">
        <f>SUM('Defect (Total)'!BC95,Planned!CF95,Reconductor!CF95,CTGS!CF95,'Substation 2025$'!CF95*$BL$1,Comms!CB95*$BL$2)</f>
        <v>0.66666666666666663</v>
      </c>
      <c r="BD95" s="141">
        <f>SUM('Defect (Total)'!BD95,Planned!CG95,Reconductor!CG95,CTGS!CG95,'Substation 2025$'!CG95*$BL$1,Comms!CC95*$BL$2)</f>
        <v>0.66666666666666663</v>
      </c>
      <c r="BE95" s="141">
        <f>SUM('Defect (Total)'!BE95,Planned!CH95,Reconductor!CH95,CTGS!CH95,'Substation 2025$'!CH95*$BL$1,Comms!CD95*$BL$2)</f>
        <v>0.47333333333333327</v>
      </c>
      <c r="BF95" s="141">
        <f>SUM('Defect (Total)'!BF95,Planned!CI95,Reconductor!CI95,CTGS!CI95,'Substation 2025$'!CI95*$BL$1,Comms!CE95*$BL$2)</f>
        <v>0.47333333333333327</v>
      </c>
      <c r="BG95" s="141">
        <f>SUM('Defect (Total)'!BG95,Planned!CJ95,Reconductor!CJ95,CTGS!CJ95,'Substation 2025$'!CJ95*$BL$1,Comms!CF95*$BL$2)</f>
        <v>0.47333333333333327</v>
      </c>
      <c r="BH95" s="141">
        <f>SUM('Defect (Total)'!BH95,Planned!CK95,Reconductor!CK95,CTGS!CK95,'Substation 2025$'!CK95*$BL$1,Comms!CG95*$BL$2)</f>
        <v>0.47333333333333327</v>
      </c>
      <c r="BI95" s="292">
        <f>SUM('Defect (Total)'!BI95,Planned!CL95,Reconductor!CL95,CTGS!CL95,'Substation 2025$'!CL95*$BL$1,Comms!CH95*$BL$2)</f>
        <v>0.47333333333333327</v>
      </c>
      <c r="BJ95" s="116">
        <f t="shared" si="45"/>
        <v>6625.336102633466</v>
      </c>
      <c r="BK95" s="744"/>
      <c r="BL95" s="117"/>
      <c r="BM95" s="638"/>
      <c r="BN95" s="467">
        <f>'Distribution Summary'!CI95+'Substation 2025$'!CT95</f>
        <v>3105.0440086029571</v>
      </c>
      <c r="BO95" s="117">
        <f>'Distribution Summary'!CJ95+'Substation 2025$'!CU95</f>
        <v>3119.9000317573787</v>
      </c>
      <c r="BP95" s="117">
        <f>'Distribution Summary'!CK95+'Substation 2025$'!CV95</f>
        <v>3134.1841692528105</v>
      </c>
      <c r="BQ95" s="117">
        <f>'Distribution Summary'!CL95+'Substation 2025$'!CW95</f>
        <v>3150.9989010166164</v>
      </c>
      <c r="BR95" s="118">
        <f>'Distribution Summary'!CM95+'Substation 2025$'!CX95</f>
        <v>3169.8349989361009</v>
      </c>
    </row>
    <row r="96" spans="1:70" x14ac:dyDescent="0.25">
      <c r="A96" s="63" t="s">
        <v>196</v>
      </c>
      <c r="B96" s="64" t="s">
        <v>193</v>
      </c>
      <c r="C96" s="65" t="s">
        <v>387</v>
      </c>
      <c r="D96" s="66">
        <f>SUM('Defect (Total)'!D96,Planned!D96,Reconductor!D96,CTGS!D96)</f>
        <v>7732379</v>
      </c>
      <c r="E96" s="67">
        <f>SUM('Defect (Total)'!E96,Planned!E96,Reconductor!E96,CTGS!E96)</f>
        <v>12979653</v>
      </c>
      <c r="F96" s="67">
        <f>SUM('Defect (Total)'!F96,Planned!F96,Reconductor!F96,CTGS!F96)</f>
        <v>9529379</v>
      </c>
      <c r="G96" s="67">
        <f>SUM('Defect (Total)'!G96,Planned!G96,Reconductor!G96,CTGS!G96)</f>
        <v>9770613.853181988</v>
      </c>
      <c r="H96" s="67">
        <f>SUM('Defect (Total)'!H96,Planned!H96,Reconductor!H96,CTGS!H96)</f>
        <v>14853760</v>
      </c>
      <c r="I96" s="67">
        <f>SUM('Defect (Total)'!I96,Planned!I96,Reconductor!I96,CTGS!I96)</f>
        <v>20247483.025644697</v>
      </c>
      <c r="J96" s="67">
        <f>SUM('Defect (Total)'!J96,Planned!J96,Reconductor!J96,CTGS!J96)</f>
        <v>31495466.058852024</v>
      </c>
      <c r="K96" s="67">
        <f>SUM('Defect (Total)'!K96,Planned!K96,Reconductor!K96,CTGS!K96)</f>
        <v>36015836.806626536</v>
      </c>
      <c r="L96" s="67">
        <f>SUM('Defect (Total)'!L96,Planned!L96,Reconductor!L96,CTGS!L96)</f>
        <v>32359237.581893343</v>
      </c>
      <c r="M96" s="67">
        <f>SUM('Defect (Total)'!M96,Planned!M96,Reconductor!M96,CTGS!M96)</f>
        <v>38923315.424239181</v>
      </c>
      <c r="N96" s="67">
        <f>SUM('Defect (Total)'!N96,Planned!N96,Reconductor!N96,CTGS!N96)</f>
        <v>41033547.454271652</v>
      </c>
      <c r="O96" s="557">
        <f>SUM('Defect (Total)'!O96,Planned!O96,Reconductor!O96,CTGS!O96)</f>
        <v>10403578.188050231</v>
      </c>
      <c r="P96" s="558">
        <f>SUM('Defect (Total)'!P96,Planned!P96,Reconductor!P96,CTGS!P96)</f>
        <v>17203633.453773174</v>
      </c>
      <c r="Q96" s="558">
        <f>SUM('Defect (Total)'!Q96,Planned!Q96,Reconductor!Q96,CTGS!Q96)</f>
        <v>12502600.020341303</v>
      </c>
      <c r="R96" s="558">
        <f>SUM('Defect (Total)'!R96,Planned!R96,Reconductor!R96,CTGS!R96)</f>
        <v>12575920.746357001</v>
      </c>
      <c r="S96" s="558">
        <f>SUM('Defect (Total)'!S96,Planned!S96,Reconductor!S96,CTGS!S96)</f>
        <v>18729385.208920866</v>
      </c>
      <c r="T96" s="558">
        <f>SUM('Defect (Total)'!T96,Planned!T96,Reconductor!T96,CTGS!T96)</f>
        <v>25130129.024381161</v>
      </c>
      <c r="U96" s="558">
        <f>SUM('Defect (Total)'!U96,Planned!U96,Reconductor!U96,CTGS!U96)</f>
        <v>39227224.2058722</v>
      </c>
      <c r="V96" s="558">
        <f>SUM('Defect (Total)'!V96,Planned!V96,Reconductor!V96,CTGS!V96)</f>
        <v>43195910.438674092</v>
      </c>
      <c r="W96" s="558">
        <f>SUM('Defect (Total)'!W96,Planned!W96,Reconductor!W96,CTGS!W96)</f>
        <v>36563583.814379074</v>
      </c>
      <c r="X96" s="558">
        <f>SUM('Defect (Total)'!X96,Planned!X96,Reconductor!X96,CTGS!X96)</f>
        <v>41393425.067636125</v>
      </c>
      <c r="Y96" s="558">
        <f>SUM('Defect (Total)'!Y96,Planned!Y96,Reconductor!Y96,CTGS!Y96)</f>
        <v>42161907.610206448</v>
      </c>
      <c r="Z96" s="68">
        <f>SUM('Defect (Total)'!Z96,Planned!Z96,Reconductor!Z96,CTGS!Z96)</f>
        <v>1120</v>
      </c>
      <c r="AA96" s="69">
        <f>SUM('Defect (Total)'!AA96,Planned!AA96,Reconductor!AA96,CTGS!AA96)</f>
        <v>1255</v>
      </c>
      <c r="AB96" s="69">
        <f>SUM('Defect (Total)'!AB96,Planned!AB96,Reconductor!AB96,CTGS!AB96)</f>
        <v>1534</v>
      </c>
      <c r="AC96" s="69">
        <f>SUM('Defect (Total)'!AC96,Planned!AC96,Reconductor!AC96,CTGS!AC96)</f>
        <v>1672</v>
      </c>
      <c r="AD96" s="69">
        <f>SUM('Defect (Total)'!AD96,Planned!AD96,Reconductor!AD96,CTGS!AD96)</f>
        <v>2227</v>
      </c>
      <c r="AE96" s="69">
        <f>SUM('Defect (Total)'!AE96,Planned!AE96,Reconductor!AE96,CTGS!AE96)</f>
        <v>71807</v>
      </c>
      <c r="AF96" s="69">
        <f>SUM('Defect (Total)'!AF96,Planned!AF96,Reconductor!AF96,CTGS!AF96)</f>
        <v>3557</v>
      </c>
      <c r="AG96" s="69">
        <f>SUM('Defect (Total)'!AG96,Planned!AG96,Reconductor!AG96,CTGS!AG96)</f>
        <v>3331</v>
      </c>
      <c r="AH96" s="69">
        <f>SUM('Defect (Total)'!AH96,Planned!AH96,Reconductor!AH96,CTGS!AH96)</f>
        <v>3045</v>
      </c>
      <c r="AI96" s="69">
        <f>SUM('Defect (Total)'!AI96,Planned!AI96,Reconductor!AI96,CTGS!AI96)</f>
        <v>2499</v>
      </c>
      <c r="AJ96" s="69">
        <f>SUM('Defect (Total)'!AJ96,Planned!AJ96,Reconductor!AJ96,CTGS!AJ96)</f>
        <v>1995</v>
      </c>
      <c r="AK96" s="70">
        <f t="shared" si="43"/>
        <v>16793.400000000001</v>
      </c>
      <c r="AL96" s="71">
        <f t="shared" si="18"/>
        <v>3311</v>
      </c>
      <c r="AM96" s="72">
        <f t="shared" si="44"/>
        <v>3045</v>
      </c>
      <c r="AN96" s="73">
        <f t="shared" si="31"/>
        <v>6903.9098214285714</v>
      </c>
      <c r="AO96" s="74">
        <f t="shared" si="32"/>
        <v>10342.352988047809</v>
      </c>
      <c r="AP96" s="74">
        <f t="shared" si="33"/>
        <v>6212.11147327249</v>
      </c>
      <c r="AQ96" s="74">
        <f t="shared" si="34"/>
        <v>5843.6685724772651</v>
      </c>
      <c r="AR96" s="74">
        <f t="shared" si="35"/>
        <v>6669.8518185900311</v>
      </c>
      <c r="AS96" s="74">
        <f t="shared" si="36"/>
        <v>281.97088063342983</v>
      </c>
      <c r="AT96" s="74">
        <f t="shared" si="37"/>
        <v>8854.5026873354018</v>
      </c>
      <c r="AU96" s="74">
        <f t="shared" si="38"/>
        <v>10812.319665753988</v>
      </c>
      <c r="AV96" s="74">
        <f t="shared" si="39"/>
        <v>10627.007416056927</v>
      </c>
      <c r="AW96" s="74">
        <f t="shared" si="46"/>
        <v>15575.556392252573</v>
      </c>
      <c r="AX96" s="74">
        <f t="shared" si="46"/>
        <v>20568.194212667495</v>
      </c>
      <c r="AY96" s="75">
        <f t="shared" si="29"/>
        <v>1607.4384397801114</v>
      </c>
      <c r="AZ96" s="76">
        <f t="shared" si="41"/>
        <v>10054.418649690113</v>
      </c>
      <c r="BA96" s="77">
        <f t="shared" si="42"/>
        <v>10627.007416056927</v>
      </c>
      <c r="BB96" s="688">
        <f>SUM('Defect (Total)'!BB96,Planned!CE96,Reconductor!CE96,CTGS!CE96,'Substation 2025$'!CE96*$BL$1,Comms!CA96*$BL$2)</f>
        <v>2666</v>
      </c>
      <c r="BC96" s="688">
        <f>SUM('Defect (Total)'!BC96,Planned!CF96,Reconductor!CF96,CTGS!CF96,'Substation 2025$'!CF96*$BL$1,Comms!CB96*$BL$2)</f>
        <v>2382.5674975757224</v>
      </c>
      <c r="BD96" s="78">
        <f>SUM('Defect (Total)'!BD96,Planned!CG96,Reconductor!CG96,CTGS!CG96,'Substation 2025$'!CG96*$BL$1,Comms!CC96*$BL$2)</f>
        <v>2382.5674975757224</v>
      </c>
      <c r="BE96" s="78">
        <f>SUM('Defect (Total)'!BE96,Planned!CH96,Reconductor!CH96,CTGS!CH96,'Substation 2025$'!CH96*$BL$1,Comms!CD96*$BL$2)</f>
        <v>1522.3022671353715</v>
      </c>
      <c r="BF96" s="78">
        <f>SUM('Defect (Total)'!BF96,Planned!CI96,Reconductor!CI96,CTGS!CI96,'Substation 2025$'!CI96*$BL$1,Comms!CE96*$BL$2)</f>
        <v>1534.8113034197877</v>
      </c>
      <c r="BG96" s="78">
        <f>SUM('Defect (Total)'!BG96,Planned!CJ96,Reconductor!CJ96,CTGS!CJ96,'Substation 2025$'!CJ96*$BL$1,Comms!CF96*$BL$2)</f>
        <v>1543.1506609427315</v>
      </c>
      <c r="BH96" s="78">
        <f>SUM('Defect (Total)'!BH96,Planned!CK96,Reconductor!CK96,CTGS!CK96,'Substation 2025$'!CK96*$BL$1,Comms!CG96*$BL$2)</f>
        <v>1551.4900184656756</v>
      </c>
      <c r="BI96" s="285">
        <f>SUM('Defect (Total)'!BI96,Planned!CL96,Reconductor!CL96,CTGS!CL96,'Substation 2025$'!CL96*$BL$1,Comms!CH96*$BL$2)</f>
        <v>1555.6596972271477</v>
      </c>
      <c r="BJ96" s="124">
        <f>IFERROR(SUM(BN96:BR96)/SUM(BE96:BI96),"")</f>
        <v>14531.922784009894</v>
      </c>
      <c r="BK96" s="742"/>
      <c r="BL96" s="79"/>
      <c r="BM96" s="523"/>
      <c r="BN96" s="415">
        <f>'Distribution Summary'!CI96+'Substation 2025$'!CT96</f>
        <v>21933421.394589961</v>
      </c>
      <c r="BO96" s="79">
        <f>'Distribution Summary'!CJ96+'Substation 2025$'!CU96</f>
        <v>22196769.508326944</v>
      </c>
      <c r="BP96" s="79">
        <f>'Distribution Summary'!CK96+'Substation 2025$'!CV96</f>
        <v>22407504.398786101</v>
      </c>
      <c r="BQ96" s="79">
        <f>'Distribution Summary'!CL96+'Substation 2025$'!CW96</f>
        <v>22637973.635054857</v>
      </c>
      <c r="BR96" s="80">
        <f>'Distribution Summary'!CM96+'Substation 2025$'!CX96</f>
        <v>22827875.408218514</v>
      </c>
    </row>
    <row r="97" spans="1:70" x14ac:dyDescent="0.25">
      <c r="A97" s="81" t="s">
        <v>196</v>
      </c>
      <c r="B97" s="82" t="s">
        <v>197</v>
      </c>
      <c r="C97" s="83" t="s">
        <v>388</v>
      </c>
      <c r="D97" s="84">
        <f>SUM('Defect (Total)'!D97,Planned!D97,Reconductor!D97,CTGS!D97)</f>
        <v>3635816</v>
      </c>
      <c r="E97" s="85">
        <f>SUM('Defect (Total)'!E97,Planned!E97,Reconductor!E97,CTGS!E97)</f>
        <v>5714487</v>
      </c>
      <c r="F97" s="85">
        <f>SUM('Defect (Total)'!F97,Planned!F97,Reconductor!F97,CTGS!F97)</f>
        <v>4672147</v>
      </c>
      <c r="G97" s="85">
        <f>SUM('Defect (Total)'!G97,Planned!G97,Reconductor!G97,CTGS!G97)</f>
        <v>5228652.4073290844</v>
      </c>
      <c r="H97" s="85">
        <f>SUM('Defect (Total)'!H97,Planned!H97,Reconductor!H97,CTGS!H97)</f>
        <v>5223851</v>
      </c>
      <c r="I97" s="85">
        <f>SUM('Defect (Total)'!I97,Planned!I97,Reconductor!I97,CTGS!I97)</f>
        <v>8100962.0602794215</v>
      </c>
      <c r="J97" s="85">
        <f>SUM('Defect (Total)'!J97,Planned!J97,Reconductor!J97,CTGS!J97)</f>
        <v>6416486.3232819932</v>
      </c>
      <c r="K97" s="85">
        <f>SUM('Defect (Total)'!K97,Planned!K97,Reconductor!K97,CTGS!K97)</f>
        <v>8440190.1703399196</v>
      </c>
      <c r="L97" s="85">
        <f>SUM('Defect (Total)'!L97,Planned!L97,Reconductor!L97,CTGS!L97)</f>
        <v>8205291.0403893301</v>
      </c>
      <c r="M97" s="85">
        <f>SUM('Defect (Total)'!M97,Planned!M97,Reconductor!M97,CTGS!M97)</f>
        <v>8392236.2895577494</v>
      </c>
      <c r="N97" s="85">
        <f>SUM('Defect (Total)'!N97,Planned!N97,Reconductor!N97,CTGS!N97)</f>
        <v>8136031.3421527604</v>
      </c>
      <c r="O97" s="560">
        <f>SUM('Defect (Total)'!O97,Planned!O97,Reconductor!O97,CTGS!O97)</f>
        <v>4891831.6126723783</v>
      </c>
      <c r="P97" s="561">
        <f>SUM('Defect (Total)'!P97,Planned!P97,Reconductor!P97,CTGS!P97)</f>
        <v>7574157.7778968289</v>
      </c>
      <c r="Q97" s="561">
        <f>SUM('Defect (Total)'!Q97,Planned!Q97,Reconductor!Q97,CTGS!Q97)</f>
        <v>6129883.7182609234</v>
      </c>
      <c r="R97" s="561">
        <f>SUM('Defect (Total)'!R97,Planned!R97,Reconductor!R97,CTGS!R97)</f>
        <v>6729886.0924080918</v>
      </c>
      <c r="S97" s="561">
        <f>SUM('Defect (Total)'!S97,Planned!S97,Reconductor!S97,CTGS!S97)</f>
        <v>6586851.9252368752</v>
      </c>
      <c r="T97" s="561">
        <f>SUM('Defect (Total)'!T97,Planned!T97,Reconductor!T97,CTGS!T97)</f>
        <v>10054495.24459875</v>
      </c>
      <c r="U97" s="561">
        <f>SUM('Defect (Total)'!U97,Planned!U97,Reconductor!U97,CTGS!U97)</f>
        <v>7991656.5497703776</v>
      </c>
      <c r="V97" s="561">
        <f>SUM('Defect (Total)'!V97,Planned!V97,Reconductor!V97,CTGS!V97)</f>
        <v>10122816.266656935</v>
      </c>
      <c r="W97" s="561">
        <f>SUM('Defect (Total)'!W97,Planned!W97,Reconductor!W97,CTGS!W97)</f>
        <v>9271381.8092093319</v>
      </c>
      <c r="X97" s="561">
        <f>SUM('Defect (Total)'!X97,Planned!X97,Reconductor!X97,CTGS!X97)</f>
        <v>8924815.3764767721</v>
      </c>
      <c r="Y97" s="561">
        <f>SUM('Defect (Total)'!Y97,Planned!Y97,Reconductor!Y97,CTGS!Y97)</f>
        <v>8359759.8317295518</v>
      </c>
      <c r="Z97" s="86">
        <f>SUM('Defect (Total)'!Z97,Planned!Z97,Reconductor!Z97,CTGS!Z97)</f>
        <v>58</v>
      </c>
      <c r="AA97" s="87">
        <f>SUM('Defect (Total)'!AA97,Planned!AA97,Reconductor!AA97,CTGS!AA97)</f>
        <v>419</v>
      </c>
      <c r="AB97" s="87">
        <f>SUM('Defect (Total)'!AB97,Planned!AB97,Reconductor!AB97,CTGS!AB97)</f>
        <v>204</v>
      </c>
      <c r="AC97" s="87">
        <f>SUM('Defect (Total)'!AC97,Planned!AC97,Reconductor!AC97,CTGS!AC97)</f>
        <v>216</v>
      </c>
      <c r="AD97" s="87">
        <f>SUM('Defect (Total)'!AD97,Planned!AD97,Reconductor!AD97,CTGS!AD97)</f>
        <v>227</v>
      </c>
      <c r="AE97" s="87">
        <f>SUM('Defect (Total)'!AE97,Planned!AE97,Reconductor!AE97,CTGS!AE97)</f>
        <v>279</v>
      </c>
      <c r="AF97" s="87">
        <f>SUM('Defect (Total)'!AF97,Planned!AF97,Reconductor!AF97,CTGS!AF97)</f>
        <v>191</v>
      </c>
      <c r="AG97" s="87">
        <f>SUM('Defect (Total)'!AG97,Planned!AG97,Reconductor!AG97,CTGS!AG97)</f>
        <v>316</v>
      </c>
      <c r="AH97" s="87">
        <f>SUM('Defect (Total)'!AH97,Planned!AH97,Reconductor!AH97,CTGS!AH97)</f>
        <v>323</v>
      </c>
      <c r="AI97" s="87">
        <f>SUM('Defect (Total)'!AI97,Planned!AI97,Reconductor!AI97,CTGS!AI97)</f>
        <v>324</v>
      </c>
      <c r="AJ97" s="87">
        <f>SUM('Defect (Total)'!AJ97,Planned!AJ97,Reconductor!AJ97,CTGS!AJ97)</f>
        <v>278</v>
      </c>
      <c r="AK97" s="88">
        <f t="shared" si="43"/>
        <v>267.2</v>
      </c>
      <c r="AL97" s="89">
        <f t="shared" si="18"/>
        <v>276.66666666666669</v>
      </c>
      <c r="AM97" s="90">
        <f t="shared" si="44"/>
        <v>323</v>
      </c>
      <c r="AN97" s="91">
        <f t="shared" si="31"/>
        <v>62686.482758620688</v>
      </c>
      <c r="AO97" s="92">
        <f t="shared" si="32"/>
        <v>13638.393794749403</v>
      </c>
      <c r="AP97" s="92">
        <f t="shared" si="33"/>
        <v>22902.681372549021</v>
      </c>
      <c r="AQ97" s="92">
        <f t="shared" si="34"/>
        <v>24206.724108005019</v>
      </c>
      <c r="AR97" s="92">
        <f t="shared" si="35"/>
        <v>23012.559471365639</v>
      </c>
      <c r="AS97" s="92">
        <f t="shared" si="36"/>
        <v>29035.706309245237</v>
      </c>
      <c r="AT97" s="92">
        <f t="shared" si="37"/>
        <v>33594.169231842898</v>
      </c>
      <c r="AU97" s="92">
        <f t="shared" si="38"/>
        <v>26709.462564366833</v>
      </c>
      <c r="AV97" s="92">
        <f t="shared" si="39"/>
        <v>25403.377834022693</v>
      </c>
      <c r="AW97" s="92">
        <f t="shared" si="46"/>
        <v>25901.96385665972</v>
      </c>
      <c r="AX97" s="92">
        <f t="shared" si="46"/>
        <v>29266.299791916405</v>
      </c>
      <c r="AY97" s="93">
        <f t="shared" si="29"/>
        <v>27235.614217283433</v>
      </c>
      <c r="AZ97" s="94">
        <f t="shared" si="41"/>
        <v>27785.50305302559</v>
      </c>
      <c r="BA97" s="95">
        <f t="shared" si="42"/>
        <v>25403.377834022693</v>
      </c>
      <c r="BB97" s="689">
        <f>SUM('Defect (Total)'!BB97,Planned!CE97,Reconductor!CE97,CTGS!CE97,'Substation 2025$'!CE97*$BL$1,Comms!CA97*$BL$2)</f>
        <v>310.26666666666671</v>
      </c>
      <c r="BC97" s="689">
        <f>SUM('Defect (Total)'!BC97,Planned!CF97,Reconductor!CF97,CTGS!CF97,'Substation 2025$'!CF97*$BL$1,Comms!CB97*$BL$2)</f>
        <v>295.72589182716797</v>
      </c>
      <c r="BD97" s="96">
        <f>SUM('Defect (Total)'!BD97,Planned!CG97,Reconductor!CG97,CTGS!CG97,'Substation 2025$'!CG97*$BL$1,Comms!CC97*$BL$2)</f>
        <v>298.72589182716797</v>
      </c>
      <c r="BE97" s="96">
        <f>SUM('Defect (Total)'!BE97,Planned!CH97,Reconductor!CH97,CTGS!CH97,'Substation 2025$'!CH97*$BL$1,Comms!CD97*$BL$2)</f>
        <v>198.38707472484677</v>
      </c>
      <c r="BF97" s="96">
        <f>SUM('Defect (Total)'!BF97,Planned!CI97,Reconductor!CI97,CTGS!CI97,'Substation 2025$'!CI97*$BL$1,Comms!CE97*$BL$2)</f>
        <v>201.3679431265459</v>
      </c>
      <c r="BG97" s="96">
        <f>SUM('Defect (Total)'!BG97,Planned!CJ97,Reconductor!CJ97,CTGS!CJ97,'Substation 2025$'!CJ97*$BL$1,Comms!CF97*$BL$2)</f>
        <v>218.02185539434529</v>
      </c>
      <c r="BH97" s="96">
        <f>SUM('Defect (Total)'!BH97,Planned!CK97,Reconductor!CK97,CTGS!CK97,'Substation 2025$'!CK97*$BL$1,Comms!CG97*$BL$2)</f>
        <v>217.67576766214472</v>
      </c>
      <c r="BI97" s="286">
        <f>SUM('Defect (Total)'!BI97,Planned!CL97,Reconductor!CL97,CTGS!CL97,'Substation 2025$'!CL97*$BL$1,Comms!CH97*$BL$2)</f>
        <v>201.00272379604442</v>
      </c>
      <c r="BJ97" s="99">
        <f t="shared" ref="BJ97:BJ132" si="47">IFERROR(SUM(BN97:BR97)/SUM(BE97:BI97),"")</f>
        <v>25349.67062616373</v>
      </c>
      <c r="BK97" s="743"/>
      <c r="BL97" s="97"/>
      <c r="BM97" s="524"/>
      <c r="BN97" s="416">
        <f>'Distribution Summary'!CI97+'Substation 2025$'!CT97</f>
        <v>5232560.2735096049</v>
      </c>
      <c r="BO97" s="97">
        <f>'Distribution Summary'!CJ97+'Substation 2025$'!CU97</f>
        <v>5294118.7226166818</v>
      </c>
      <c r="BP97" s="97">
        <f>'Distribution Summary'!CK97+'Substation 2025$'!CV97</f>
        <v>5242510.3583605699</v>
      </c>
      <c r="BQ97" s="97">
        <f>'Distribution Summary'!CL97+'Substation 2025$'!CW97</f>
        <v>5244196.558495705</v>
      </c>
      <c r="BR97" s="98">
        <f>'Distribution Summary'!CM97+'Substation 2025$'!CX97</f>
        <v>5260416.2009823974</v>
      </c>
    </row>
    <row r="98" spans="1:70" x14ac:dyDescent="0.25">
      <c r="A98" s="81" t="s">
        <v>196</v>
      </c>
      <c r="B98" s="82" t="s">
        <v>199</v>
      </c>
      <c r="C98" s="83" t="s">
        <v>389</v>
      </c>
      <c r="D98" s="84">
        <f>SUM('Defect (Total)'!D98,Planned!D98,Reconductor!D98,CTGS!D98)</f>
        <v>378710</v>
      </c>
      <c r="E98" s="85">
        <f>SUM('Defect (Total)'!E98,Planned!E98,Reconductor!E98,CTGS!E98)</f>
        <v>218775</v>
      </c>
      <c r="F98" s="85">
        <f>SUM('Defect (Total)'!F98,Planned!F98,Reconductor!F98,CTGS!F98)</f>
        <v>268964</v>
      </c>
      <c r="G98" s="85">
        <f>SUM('Defect (Total)'!G98,Planned!G98,Reconductor!G98,CTGS!G98)</f>
        <v>94919</v>
      </c>
      <c r="H98" s="85">
        <f>SUM('Defect (Total)'!H98,Planned!H98,Reconductor!H98,CTGS!H98)</f>
        <v>-17265</v>
      </c>
      <c r="I98" s="85">
        <f>SUM('Defect (Total)'!I98,Planned!I98,Reconductor!I98,CTGS!I98)</f>
        <v>95505.643745117995</v>
      </c>
      <c r="J98" s="85">
        <f>SUM('Defect (Total)'!J98,Planned!J98,Reconductor!J98,CTGS!J98)</f>
        <v>0</v>
      </c>
      <c r="K98" s="85">
        <f>SUM('Defect (Total)'!K98,Planned!K98,Reconductor!K98,CTGS!K98)</f>
        <v>7911.6376643140011</v>
      </c>
      <c r="L98" s="85">
        <f>SUM('Defect (Total)'!L98,Planned!L98,Reconductor!L98,CTGS!L98)</f>
        <v>11778.04</v>
      </c>
      <c r="M98" s="85">
        <f>SUM('Defect (Total)'!M98,Planned!M98,Reconductor!M98,CTGS!M98)</f>
        <v>0</v>
      </c>
      <c r="N98" s="85">
        <f>SUM('Defect (Total)'!N98,Planned!N98,Reconductor!N98,CTGS!N98)</f>
        <v>0</v>
      </c>
      <c r="O98" s="560">
        <f>SUM('Defect (Total)'!O98,Planned!O98,Reconductor!O98,CTGS!O98)</f>
        <v>509537.76264672267</v>
      </c>
      <c r="P98" s="561">
        <f>SUM('Defect (Total)'!P98,Planned!P98,Reconductor!P98,CTGS!P98)</f>
        <v>289971.15014162753</v>
      </c>
      <c r="Q98" s="561">
        <f>SUM('Defect (Total)'!Q98,Planned!Q98,Reconductor!Q98,CTGS!Q98)</f>
        <v>352882.31393368635</v>
      </c>
      <c r="R98" s="561">
        <f>SUM('Defect (Total)'!R98,Planned!R98,Reconductor!R98,CTGS!R98)</f>
        <v>122171.83477522356</v>
      </c>
      <c r="S98" s="561">
        <f>SUM('Defect (Total)'!S98,Planned!S98,Reconductor!S98,CTGS!S98)</f>
        <v>-21769.763052050035</v>
      </c>
      <c r="T98" s="561">
        <f>SUM('Defect (Total)'!T98,Planned!T98,Reconductor!T98,CTGS!T98)</f>
        <v>118536.66684553136</v>
      </c>
      <c r="U98" s="561">
        <f>SUM('Defect (Total)'!U98,Planned!U98,Reconductor!U98,CTGS!U98)</f>
        <v>0</v>
      </c>
      <c r="V98" s="561">
        <f>SUM('Defect (Total)'!V98,Planned!V98,Reconductor!V98,CTGS!V98)</f>
        <v>9488.8921727918823</v>
      </c>
      <c r="W98" s="561">
        <f>SUM('Defect (Total)'!W98,Planned!W98,Reconductor!W98,CTGS!W98)</f>
        <v>13308.3281588216</v>
      </c>
      <c r="X98" s="561">
        <f>SUM('Defect (Total)'!X98,Planned!X98,Reconductor!X98,CTGS!X98)</f>
        <v>0</v>
      </c>
      <c r="Y98" s="561">
        <f>SUM('Defect (Total)'!Y98,Planned!Y98,Reconductor!Y98,CTGS!Y98)</f>
        <v>0</v>
      </c>
      <c r="Z98" s="86">
        <f>SUM('Defect (Total)'!Z98,Planned!Z98,Reconductor!Z98,CTGS!Z98)</f>
        <v>9</v>
      </c>
      <c r="AA98" s="87">
        <f>SUM('Defect (Total)'!AA98,Planned!AA98,Reconductor!AA98,CTGS!AA98)</f>
        <v>5</v>
      </c>
      <c r="AB98" s="87">
        <f>SUM('Defect (Total)'!AB98,Planned!AB98,Reconductor!AB98,CTGS!AB98)</f>
        <v>5</v>
      </c>
      <c r="AC98" s="87">
        <f>SUM('Defect (Total)'!AC98,Planned!AC98,Reconductor!AC98,CTGS!AC98)</f>
        <v>2</v>
      </c>
      <c r="AD98" s="87">
        <f>SUM('Defect (Total)'!AD98,Planned!AD98,Reconductor!AD98,CTGS!AD98)</f>
        <v>-1</v>
      </c>
      <c r="AE98" s="87">
        <f>SUM('Defect (Total)'!AE98,Planned!AE98,Reconductor!AE98,CTGS!AE98)</f>
        <v>2</v>
      </c>
      <c r="AF98" s="87">
        <f>SUM('Defect (Total)'!AF98,Planned!AF98,Reconductor!AF98,CTGS!AF98)</f>
        <v>0</v>
      </c>
      <c r="AG98" s="87">
        <f>SUM('Defect (Total)'!AG98,Planned!AG98,Reconductor!AG98,CTGS!AG98)</f>
        <v>-1</v>
      </c>
      <c r="AH98" s="87">
        <f>SUM('Defect (Total)'!AH98,Planned!AH98,Reconductor!AH98,CTGS!AH98)</f>
        <v>1</v>
      </c>
      <c r="AI98" s="87">
        <f>SUM('Defect (Total)'!AI98,Planned!AI98,Reconductor!AI98,CTGS!AI98)</f>
        <v>0</v>
      </c>
      <c r="AJ98" s="87">
        <f>SUM('Defect (Total)'!AJ98,Planned!AJ98,Reconductor!AJ98,CTGS!AJ98)</f>
        <v>0</v>
      </c>
      <c r="AK98" s="88">
        <f t="shared" si="43"/>
        <v>0.2</v>
      </c>
      <c r="AL98" s="89">
        <f t="shared" si="18"/>
        <v>0</v>
      </c>
      <c r="AM98" s="90">
        <f t="shared" si="44"/>
        <v>1</v>
      </c>
      <c r="AN98" s="91">
        <f t="shared" si="31"/>
        <v>42078.888888888891</v>
      </c>
      <c r="AO98" s="92">
        <f t="shared" si="32"/>
        <v>43755</v>
      </c>
      <c r="AP98" s="92">
        <f t="shared" si="33"/>
        <v>53792.800000000003</v>
      </c>
      <c r="AQ98" s="92">
        <f t="shared" si="34"/>
        <v>47459.5</v>
      </c>
      <c r="AR98" s="92">
        <f t="shared" si="35"/>
        <v>17265</v>
      </c>
      <c r="AS98" s="92">
        <f t="shared" si="36"/>
        <v>47752.821872558998</v>
      </c>
      <c r="AT98" s="92" t="str">
        <f t="shared" si="37"/>
        <v/>
      </c>
      <c r="AU98" s="92">
        <f t="shared" si="38"/>
        <v>-7911.6376643140011</v>
      </c>
      <c r="AV98" s="92">
        <f t="shared" si="39"/>
        <v>11778.04</v>
      </c>
      <c r="AW98" s="92" t="str">
        <f t="shared" si="46"/>
        <v/>
      </c>
      <c r="AX98" s="92" t="str">
        <f t="shared" si="46"/>
        <v/>
      </c>
      <c r="AY98" s="93">
        <f t="shared" si="29"/>
        <v>97930.321409431985</v>
      </c>
      <c r="AZ98" s="94" t="str">
        <f t="shared" si="41"/>
        <v/>
      </c>
      <c r="BA98" s="95">
        <f t="shared" si="42"/>
        <v>11778.04</v>
      </c>
      <c r="BB98" s="689">
        <f>SUM('Defect (Total)'!BB98,Planned!CE98,Reconductor!CE98,CTGS!CE98,'Substation 2025$'!CE98*$BL$1,Comms!CA98*$BL$2)</f>
        <v>0.33333333333333331</v>
      </c>
      <c r="BC98" s="689">
        <f>SUM('Defect (Total)'!BC98,Planned!CF98,Reconductor!CF98,CTGS!CF98,'Substation 2025$'!CF98*$BL$1,Comms!CB98*$BL$2)</f>
        <v>1.3333333333333333</v>
      </c>
      <c r="BD98" s="96">
        <f>SUM('Defect (Total)'!BD98,Planned!CG98,Reconductor!CG98,CTGS!CG98,'Substation 2025$'!CG98*$BL$1,Comms!CC98*$BL$2)</f>
        <v>4.333333333333333</v>
      </c>
      <c r="BE98" s="96">
        <f>SUM('Defect (Total)'!BE98,Planned!CH98,Reconductor!CH98,CTGS!CH98,'Substation 2025$'!CH98*$BL$1,Comms!CD98*$BL$2)</f>
        <v>0.26783333333333331</v>
      </c>
      <c r="BF98" s="96">
        <f>SUM('Defect (Total)'!BF98,Planned!CI98,Reconductor!CI98,CTGS!CI98,'Substation 2025$'!CI98*$BL$1,Comms!CE98*$BL$2)</f>
        <v>51.267833333333336</v>
      </c>
      <c r="BG98" s="96">
        <f>SUM('Defect (Total)'!BG98,Planned!CJ98,Reconductor!CJ98,CTGS!CJ98,'Substation 2025$'!CJ98*$BL$1,Comms!CF98*$BL$2)</f>
        <v>26.267833333333332</v>
      </c>
      <c r="BH98" s="96">
        <f>SUM('Defect (Total)'!BH98,Planned!CK98,Reconductor!CK98,CTGS!CK98,'Substation 2025$'!CK98*$BL$1,Comms!CG98*$BL$2)</f>
        <v>15.267833333333334</v>
      </c>
      <c r="BI98" s="286">
        <f>SUM('Defect (Total)'!BI98,Planned!CL98,Reconductor!CL98,CTGS!CL98,'Substation 2025$'!CL98*$BL$1,Comms!CH98*$BL$2)</f>
        <v>45.267833333333336</v>
      </c>
      <c r="BJ98" s="99">
        <f t="shared" si="47"/>
        <v>199644.82550699674</v>
      </c>
      <c r="BK98" s="743"/>
      <c r="BL98" s="97"/>
      <c r="BM98" s="524"/>
      <c r="BN98" s="416">
        <f>'Distribution Summary'!CI98+'Substation 2025$'!CT98</f>
        <v>4898641.0001130914</v>
      </c>
      <c r="BO98" s="97">
        <f>'Distribution Summary'!CJ98+'Substation 2025$'!CU98</f>
        <v>4543467.0767347207</v>
      </c>
      <c r="BP98" s="97">
        <f>'Distribution Summary'!CK98+'Substation 2025$'!CV98</f>
        <v>5583290.6773441946</v>
      </c>
      <c r="BQ98" s="97">
        <f>'Distribution Summary'!CL98+'Substation 2025$'!CW98</f>
        <v>5290460.1311393511</v>
      </c>
      <c r="BR98" s="98">
        <f>'Distribution Summary'!CM98+'Substation 2025$'!CX98</f>
        <v>7302839.9046186535</v>
      </c>
    </row>
    <row r="99" spans="1:70" x14ac:dyDescent="0.25">
      <c r="A99" s="81" t="s">
        <v>196</v>
      </c>
      <c r="B99" s="82" t="s">
        <v>201</v>
      </c>
      <c r="C99" s="83" t="s">
        <v>390</v>
      </c>
      <c r="D99" s="84">
        <f>SUM('Defect (Total)'!D99,Planned!D99,Reconductor!D99,CTGS!D99)</f>
        <v>1927720</v>
      </c>
      <c r="E99" s="85">
        <f>SUM('Defect (Total)'!E99,Planned!E99,Reconductor!E99,CTGS!E99)</f>
        <v>3341057</v>
      </c>
      <c r="F99" s="85">
        <f>SUM('Defect (Total)'!F99,Planned!F99,Reconductor!F99,CTGS!F99)</f>
        <v>4938430</v>
      </c>
      <c r="G99" s="85">
        <f>SUM('Defect (Total)'!G99,Planned!G99,Reconductor!G99,CTGS!G99)</f>
        <v>3589486.1107919114</v>
      </c>
      <c r="H99" s="85">
        <f>SUM('Defect (Total)'!H99,Planned!H99,Reconductor!H99,CTGS!H99)</f>
        <v>4263595.9559755251</v>
      </c>
      <c r="I99" s="85">
        <f>SUM('Defect (Total)'!I99,Planned!I99,Reconductor!I99,CTGS!I99)</f>
        <v>5087953.1400068859</v>
      </c>
      <c r="J99" s="85">
        <f>SUM('Defect (Total)'!J99,Planned!J99,Reconductor!J99,CTGS!J99)</f>
        <v>7135347.7413419923</v>
      </c>
      <c r="K99" s="85">
        <f>SUM('Defect (Total)'!K99,Planned!K99,Reconductor!K99,CTGS!K99)</f>
        <v>6251305.9239517888</v>
      </c>
      <c r="L99" s="85">
        <f>SUM('Defect (Total)'!L99,Planned!L99,Reconductor!L99,CTGS!L99)</f>
        <v>6479710.6673518447</v>
      </c>
      <c r="M99" s="85">
        <f>SUM('Defect (Total)'!M99,Planned!M99,Reconductor!M99,CTGS!M99)</f>
        <v>9296828.6215838734</v>
      </c>
      <c r="N99" s="85">
        <f>SUM('Defect (Total)'!N99,Planned!N99,Reconductor!N99,CTGS!N99)</f>
        <v>10680511.956582388</v>
      </c>
      <c r="O99" s="560">
        <f>SUM('Defect (Total)'!O99,Planned!O99,Reconductor!O99,CTGS!O99)</f>
        <v>2593663.0556609021</v>
      </c>
      <c r="P99" s="561">
        <f>SUM('Defect (Total)'!P99,Planned!P99,Reconductor!P99,CTGS!P99)</f>
        <v>4428340.2627299083</v>
      </c>
      <c r="Q99" s="561">
        <f>SUM('Defect (Total)'!Q99,Planned!Q99,Reconductor!Q99,CTGS!Q99)</f>
        <v>6479248.5447849333</v>
      </c>
      <c r="R99" s="561">
        <f>SUM('Defect (Total)'!R99,Planned!R99,Reconductor!R99,CTGS!R99)</f>
        <v>4620087.6964109307</v>
      </c>
      <c r="S99" s="561">
        <f>SUM('Defect (Total)'!S99,Planned!S99,Reconductor!S99,CTGS!S99)</f>
        <v>5376048.2890973613</v>
      </c>
      <c r="T99" s="561">
        <f>SUM('Defect (Total)'!T99,Planned!T99,Reconductor!T99,CTGS!T99)</f>
        <v>6314904.3620105544</v>
      </c>
      <c r="U99" s="561">
        <f>SUM('Defect (Total)'!U99,Planned!U99,Reconductor!U99,CTGS!U99)</f>
        <v>8886989.8008008134</v>
      </c>
      <c r="V99" s="561">
        <f>SUM('Defect (Total)'!V99,Planned!V99,Reconductor!V99,CTGS!V99)</f>
        <v>7497558.7063436359</v>
      </c>
      <c r="W99" s="561">
        <f>SUM('Defect (Total)'!W99,Planned!W99,Reconductor!W99,CTGS!W99)</f>
        <v>7321601.5513052465</v>
      </c>
      <c r="X99" s="561">
        <f>SUM('Defect (Total)'!X99,Planned!X99,Reconductor!X99,CTGS!X99)</f>
        <v>9886813.9756290801</v>
      </c>
      <c r="Y99" s="561">
        <f>SUM('Defect (Total)'!Y99,Planned!Y99,Reconductor!Y99,CTGS!Y99)</f>
        <v>10974209.793705119</v>
      </c>
      <c r="Z99" s="86">
        <f>SUM('Defect (Total)'!Z99,Planned!Z99,Reconductor!Z99,CTGS!Z99)</f>
        <v>497</v>
      </c>
      <c r="AA99" s="87">
        <f>SUM('Defect (Total)'!AA99,Planned!AA99,Reconductor!AA99,CTGS!AA99)</f>
        <v>668</v>
      </c>
      <c r="AB99" s="87">
        <f>SUM('Defect (Total)'!AB99,Planned!AB99,Reconductor!AB99,CTGS!AB99)</f>
        <v>621</v>
      </c>
      <c r="AC99" s="87">
        <f>SUM('Defect (Total)'!AC99,Planned!AC99,Reconductor!AC99,CTGS!AC99)</f>
        <v>642</v>
      </c>
      <c r="AD99" s="87">
        <f>SUM('Defect (Total)'!AD99,Planned!AD99,Reconductor!AD99,CTGS!AD99)</f>
        <v>854</v>
      </c>
      <c r="AE99" s="87">
        <f>SUM('Defect (Total)'!AE99,Planned!AE99,Reconductor!AE99,CTGS!AE99)</f>
        <v>1147</v>
      </c>
      <c r="AF99" s="87">
        <f>SUM('Defect (Total)'!AF99,Planned!AF99,Reconductor!AF99,CTGS!AF99)</f>
        <v>1122</v>
      </c>
      <c r="AG99" s="87">
        <f>SUM('Defect (Total)'!AG99,Planned!AG99,Reconductor!AG99,CTGS!AG99)</f>
        <v>1155</v>
      </c>
      <c r="AH99" s="87">
        <f>SUM('Defect (Total)'!AH99,Planned!AH99,Reconductor!AH99,CTGS!AH99)</f>
        <v>1337</v>
      </c>
      <c r="AI99" s="87">
        <f>SUM('Defect (Total)'!AI99,Planned!AI99,Reconductor!AI99,CTGS!AI99)</f>
        <v>1576</v>
      </c>
      <c r="AJ99" s="87">
        <f>SUM('Defect (Total)'!AJ99,Planned!AJ99,Reconductor!AJ99,CTGS!AJ99)</f>
        <v>1460.000999999</v>
      </c>
      <c r="AK99" s="88">
        <f t="shared" si="43"/>
        <v>1123</v>
      </c>
      <c r="AL99" s="89">
        <f t="shared" si="18"/>
        <v>1204.6666666666667</v>
      </c>
      <c r="AM99" s="90">
        <f t="shared" si="44"/>
        <v>1337</v>
      </c>
      <c r="AN99" s="91">
        <f t="shared" si="31"/>
        <v>3878.712273641851</v>
      </c>
      <c r="AO99" s="92">
        <f t="shared" si="32"/>
        <v>5001.5823353293417</v>
      </c>
      <c r="AP99" s="92">
        <f t="shared" si="33"/>
        <v>7952.3832528180355</v>
      </c>
      <c r="AQ99" s="92">
        <f t="shared" si="34"/>
        <v>5591.0998610465913</v>
      </c>
      <c r="AR99" s="92">
        <f t="shared" si="35"/>
        <v>4992.5011194092804</v>
      </c>
      <c r="AS99" s="92">
        <f t="shared" si="36"/>
        <v>4435.8789363617143</v>
      </c>
      <c r="AT99" s="92">
        <f t="shared" si="37"/>
        <v>6359.4899655454474</v>
      </c>
      <c r="AU99" s="92">
        <f t="shared" si="38"/>
        <v>5412.3860813435404</v>
      </c>
      <c r="AV99" s="92">
        <f t="shared" si="39"/>
        <v>4846.4552485802878</v>
      </c>
      <c r="AW99" s="92">
        <f t="shared" si="46"/>
        <v>5899.0029324770767</v>
      </c>
      <c r="AX99" s="92">
        <f t="shared" si="46"/>
        <v>7315.414137791483</v>
      </c>
      <c r="AY99" s="93">
        <f t="shared" si="29"/>
        <v>5203.5464699248514</v>
      </c>
      <c r="AZ99" s="94">
        <f t="shared" si="41"/>
        <v>5497.0570925970187</v>
      </c>
      <c r="BA99" s="95">
        <f t="shared" si="42"/>
        <v>4846.4552485802878</v>
      </c>
      <c r="BB99" s="689">
        <f>SUM('Defect (Total)'!BB99,Planned!CE99,Reconductor!CE99,CTGS!CE99,'Substation 2025$'!CE99*$BL$1,Comms!CA99*$BL$2)</f>
        <v>1372.2</v>
      </c>
      <c r="BC99" s="689">
        <f>SUM('Defect (Total)'!BC99,Planned!CF99,Reconductor!CF99,CTGS!CF99,'Substation 2025$'!CF99*$BL$1,Comms!CB99*$BL$2)</f>
        <v>1288.5158077008812</v>
      </c>
      <c r="BD99" s="96">
        <f>SUM('Defect (Total)'!BD99,Planned!CG99,Reconductor!CG99,CTGS!CG99,'Substation 2025$'!CG99*$BL$1,Comms!CC99*$BL$2)</f>
        <v>1288.5158077008812</v>
      </c>
      <c r="BE99" s="96">
        <f>SUM('Defect (Total)'!BE99,Planned!CH99,Reconductor!CH99,CTGS!CH99,'Substation 2025$'!CH99*$BL$1,Comms!CD99*$BL$2)</f>
        <v>650.47326195690448</v>
      </c>
      <c r="BF99" s="96">
        <f>SUM('Defect (Total)'!BF99,Planned!CI99,Reconductor!CI99,CTGS!CI99,'Substation 2025$'!CI99*$BL$1,Comms!CE99*$BL$2)</f>
        <v>643.15704403460745</v>
      </c>
      <c r="BG99" s="96">
        <f>SUM('Defect (Total)'!BG99,Planned!CJ99,Reconductor!CJ99,CTGS!CJ99,'Substation 2025$'!CJ99*$BL$1,Comms!CF99*$BL$2)</f>
        <v>653.94623208640928</v>
      </c>
      <c r="BH99" s="96">
        <f>SUM('Defect (Total)'!BH99,Planned!CK99,Reconductor!CK99,CTGS!CK99,'Substation 2025$'!CK99*$BL$1,Comms!CG99*$BL$2)</f>
        <v>651.73542013821134</v>
      </c>
      <c r="BI99" s="286">
        <f>SUM('Defect (Total)'!BI99,Planned!CL99,Reconductor!CL99,CTGS!CL99,'Substation 2025$'!CL99*$BL$1,Comms!CH99*$BL$2)</f>
        <v>672.63001416411225</v>
      </c>
      <c r="BJ99" s="99">
        <f t="shared" si="47"/>
        <v>5894.9016554094833</v>
      </c>
      <c r="BK99" s="743"/>
      <c r="BL99" s="97"/>
      <c r="BM99" s="524"/>
      <c r="BN99" s="416">
        <f>'Distribution Summary'!CI99+'Substation 2025$'!CT99</f>
        <v>3725855.0649224366</v>
      </c>
      <c r="BO99" s="97">
        <f>'Distribution Summary'!CJ99+'Substation 2025$'!CU99</f>
        <v>3770859.7102569272</v>
      </c>
      <c r="BP99" s="97">
        <f>'Distribution Summary'!CK99+'Substation 2025$'!CV99</f>
        <v>3869293.5224520331</v>
      </c>
      <c r="BQ99" s="97">
        <f>'Distribution Summary'!CL99+'Substation 2025$'!CW99</f>
        <v>3951528.4348047758</v>
      </c>
      <c r="BR99" s="98">
        <f>'Distribution Summary'!CM99+'Substation 2025$'!CX99</f>
        <v>3970239.4169519041</v>
      </c>
    </row>
    <row r="100" spans="1:70" x14ac:dyDescent="0.25">
      <c r="A100" s="81" t="s">
        <v>196</v>
      </c>
      <c r="B100" s="82" t="s">
        <v>203</v>
      </c>
      <c r="C100" s="83" t="s">
        <v>391</v>
      </c>
      <c r="D100" s="84">
        <f>SUM('Defect (Total)'!D100,Planned!D100,Reconductor!D100,CTGS!D100)</f>
        <v>408973</v>
      </c>
      <c r="E100" s="85">
        <f>SUM('Defect (Total)'!E100,Planned!E100,Reconductor!E100,CTGS!E100)</f>
        <v>781179</v>
      </c>
      <c r="F100" s="85">
        <f>SUM('Defect (Total)'!F100,Planned!F100,Reconductor!F100,CTGS!F100)</f>
        <v>966856</v>
      </c>
      <c r="G100" s="85">
        <f>SUM('Defect (Total)'!G100,Planned!G100,Reconductor!G100,CTGS!G100)</f>
        <v>578299</v>
      </c>
      <c r="H100" s="85">
        <f>SUM('Defect (Total)'!H100,Planned!H100,Reconductor!H100,CTGS!H100)</f>
        <v>754406</v>
      </c>
      <c r="I100" s="85">
        <f>SUM('Defect (Total)'!I100,Planned!I100,Reconductor!I100,CTGS!I100)</f>
        <v>736071.574462877</v>
      </c>
      <c r="J100" s="85">
        <f>SUM('Defect (Total)'!J100,Planned!J100,Reconductor!J100,CTGS!J100)</f>
        <v>1806543.8950696508</v>
      </c>
      <c r="K100" s="85">
        <f>SUM('Defect (Total)'!K100,Planned!K100,Reconductor!K100,CTGS!K100)</f>
        <v>1089619.2208482549</v>
      </c>
      <c r="L100" s="85">
        <f>SUM('Defect (Total)'!L100,Planned!L100,Reconductor!L100,CTGS!L100)</f>
        <v>1175358.6228021632</v>
      </c>
      <c r="M100" s="85">
        <f>SUM('Defect (Total)'!M100,Planned!M100,Reconductor!M100,CTGS!M100)</f>
        <v>1184392.55431418</v>
      </c>
      <c r="N100" s="85">
        <f>SUM('Defect (Total)'!N100,Planned!N100,Reconductor!N100,CTGS!N100)</f>
        <v>521024.84499668929</v>
      </c>
      <c r="O100" s="560">
        <f>SUM('Defect (Total)'!O100,Planned!O100,Reconductor!O100,CTGS!O100)</f>
        <v>550255.30723487132</v>
      </c>
      <c r="P100" s="561">
        <f>SUM('Defect (Total)'!P100,Planned!P100,Reconductor!P100,CTGS!P100)</f>
        <v>1035398.8028636108</v>
      </c>
      <c r="Q100" s="561">
        <f>SUM('Defect (Total)'!Q100,Planned!Q100,Reconductor!Q100,CTGS!Q100)</f>
        <v>1268520.6292316751</v>
      </c>
      <c r="R100" s="561">
        <f>SUM('Defect (Total)'!R100,Planned!R100,Reconductor!R100,CTGS!R100)</f>
        <v>744338.3292984229</v>
      </c>
      <c r="S100" s="561">
        <f>SUM('Defect (Total)'!S100,Planned!S100,Reconductor!S100,CTGS!S100)</f>
        <v>951244.70692411577</v>
      </c>
      <c r="T100" s="561">
        <f>SUM('Defect (Total)'!T100,Planned!T100,Reconductor!T100,CTGS!T100)</f>
        <v>913573.9792448848</v>
      </c>
      <c r="U100" s="561">
        <f>SUM('Defect (Total)'!U100,Planned!U100,Reconductor!U100,CTGS!U100)</f>
        <v>2250028.6954709012</v>
      </c>
      <c r="V100" s="561">
        <f>SUM('Defect (Total)'!V100,Planned!V100,Reconductor!V100,CTGS!V100)</f>
        <v>1306844.3898368401</v>
      </c>
      <c r="W100" s="561">
        <f>SUM('Defect (Total)'!W100,Planned!W100,Reconductor!W100,CTGS!W100)</f>
        <v>1328069.7175889877</v>
      </c>
      <c r="X100" s="561">
        <f>SUM('Defect (Total)'!X100,Planned!X100,Reconductor!X100,CTGS!X100)</f>
        <v>1259555.2026675399</v>
      </c>
      <c r="Y100" s="561">
        <f>SUM('Defect (Total)'!Y100,Planned!Y100,Reconductor!Y100,CTGS!Y100)</f>
        <v>535352.23591997055</v>
      </c>
      <c r="Z100" s="86">
        <f>SUM('Defect (Total)'!Z100,Planned!Z100,Reconductor!Z100,CTGS!Z100)</f>
        <v>25</v>
      </c>
      <c r="AA100" s="87">
        <f>SUM('Defect (Total)'!AA100,Planned!AA100,Reconductor!AA100,CTGS!AA100)</f>
        <v>50</v>
      </c>
      <c r="AB100" s="87">
        <f>SUM('Defect (Total)'!AB100,Planned!AB100,Reconductor!AB100,CTGS!AB100)</f>
        <v>47</v>
      </c>
      <c r="AC100" s="87">
        <f>SUM('Defect (Total)'!AC100,Planned!AC100,Reconductor!AC100,CTGS!AC100)</f>
        <v>32</v>
      </c>
      <c r="AD100" s="87">
        <f>SUM('Defect (Total)'!AD100,Planned!AD100,Reconductor!AD100,CTGS!AD100)</f>
        <v>42</v>
      </c>
      <c r="AE100" s="87">
        <f>SUM('Defect (Total)'!AE100,Planned!AE100,Reconductor!AE100,CTGS!AE100)</f>
        <v>40</v>
      </c>
      <c r="AF100" s="87">
        <f>SUM('Defect (Total)'!AF100,Planned!AF100,Reconductor!AF100,CTGS!AF100)</f>
        <v>23</v>
      </c>
      <c r="AG100" s="87">
        <f>SUM('Defect (Total)'!AG100,Planned!AG100,Reconductor!AG100,CTGS!AG100)</f>
        <v>48</v>
      </c>
      <c r="AH100" s="87">
        <f>SUM('Defect (Total)'!AH100,Planned!AH100,Reconductor!AH100,CTGS!AH100)</f>
        <v>55</v>
      </c>
      <c r="AI100" s="87">
        <f>SUM('Defect (Total)'!AI100,Planned!AI100,Reconductor!AI100,CTGS!AI100)</f>
        <v>47</v>
      </c>
      <c r="AJ100" s="87">
        <f>SUM('Defect (Total)'!AJ100,Planned!AJ100,Reconductor!AJ100,CTGS!AJ100)</f>
        <v>22</v>
      </c>
      <c r="AK100" s="88">
        <f t="shared" si="43"/>
        <v>41.6</v>
      </c>
      <c r="AL100" s="89">
        <f t="shared" si="18"/>
        <v>42</v>
      </c>
      <c r="AM100" s="90">
        <f t="shared" si="44"/>
        <v>55</v>
      </c>
      <c r="AN100" s="91">
        <f t="shared" si="31"/>
        <v>16358.92</v>
      </c>
      <c r="AO100" s="92">
        <f t="shared" si="32"/>
        <v>15623.58</v>
      </c>
      <c r="AP100" s="92">
        <f t="shared" si="33"/>
        <v>20571.40425531915</v>
      </c>
      <c r="AQ100" s="92">
        <f t="shared" si="34"/>
        <v>18071.84375</v>
      </c>
      <c r="AR100" s="92">
        <f t="shared" si="35"/>
        <v>17962.047619047618</v>
      </c>
      <c r="AS100" s="92">
        <f t="shared" si="36"/>
        <v>18401.789361571926</v>
      </c>
      <c r="AT100" s="92">
        <f t="shared" si="37"/>
        <v>78545.386742158735</v>
      </c>
      <c r="AU100" s="92">
        <f t="shared" si="38"/>
        <v>22700.400434338644</v>
      </c>
      <c r="AV100" s="92">
        <f t="shared" si="39"/>
        <v>21370.15677822115</v>
      </c>
      <c r="AW100" s="92">
        <f t="shared" si="46"/>
        <v>25199.841581152767</v>
      </c>
      <c r="AX100" s="92">
        <f t="shared" si="46"/>
        <v>23682.947499849513</v>
      </c>
      <c r="AY100" s="93">
        <f t="shared" si="29"/>
        <v>26740.381313379548</v>
      </c>
      <c r="AZ100" s="94">
        <f t="shared" si="41"/>
        <v>32313.66459301642</v>
      </c>
      <c r="BA100" s="95">
        <f t="shared" si="42"/>
        <v>21370.15677822115</v>
      </c>
      <c r="BB100" s="689">
        <f>SUM('Defect (Total)'!BB100,Planned!CE100,Reconductor!CE100,CTGS!CE100,'Substation 2025$'!CE100*$BL$1,Comms!CA100*$BL$2)</f>
        <v>47.199999999999996</v>
      </c>
      <c r="BC100" s="689">
        <f>SUM('Defect (Total)'!BC100,Planned!CF100,Reconductor!CF100,CTGS!CF100,'Substation 2025$'!CF100*$BL$1,Comms!CB100*$BL$2)</f>
        <v>45.86666666666666</v>
      </c>
      <c r="BD100" s="96">
        <f>SUM('Defect (Total)'!BD100,Planned!CG100,Reconductor!CG100,CTGS!CG100,'Substation 2025$'!CG100*$BL$1,Comms!CC100*$BL$2)</f>
        <v>45.86666666666666</v>
      </c>
      <c r="BE100" s="96">
        <f>SUM('Defect (Total)'!BE100,Planned!CH100,Reconductor!CH100,CTGS!CH100,'Substation 2025$'!CH100*$BL$1,Comms!CD100*$BL$2)</f>
        <v>45.617309523806668</v>
      </c>
      <c r="BF100" s="96">
        <f>SUM('Defect (Total)'!BF100,Planned!CI100,Reconductor!CI100,CTGS!CI100,'Substation 2025$'!CI100*$BL$1,Comms!CE100*$BL$2)</f>
        <v>38.617309523806668</v>
      </c>
      <c r="BG100" s="96">
        <f>SUM('Defect (Total)'!BG100,Planned!CJ100,Reconductor!CJ100,CTGS!CJ100,'Substation 2025$'!CJ100*$BL$1,Comms!CF100*$BL$2)</f>
        <v>38.617309523806668</v>
      </c>
      <c r="BH100" s="96">
        <f>SUM('Defect (Total)'!BH100,Planned!CK100,Reconductor!CK100,CTGS!CK100,'Substation 2025$'!CK100*$BL$1,Comms!CG100*$BL$2)</f>
        <v>41.617309523806668</v>
      </c>
      <c r="BI100" s="286">
        <f>SUM('Defect (Total)'!BI100,Planned!CL100,Reconductor!CL100,CTGS!CL100,'Substation 2025$'!CL100*$BL$1,Comms!CH100*$BL$2)</f>
        <v>38.617309523806668</v>
      </c>
      <c r="BJ100" s="99">
        <f t="shared" si="47"/>
        <v>26330.764442963602</v>
      </c>
      <c r="BK100" s="743"/>
      <c r="BL100" s="97"/>
      <c r="BM100" s="524"/>
      <c r="BN100" s="416">
        <f>'Distribution Summary'!CI100+'Substation 2025$'!CT100</f>
        <v>957766.79909410037</v>
      </c>
      <c r="BO100" s="97">
        <f>'Distribution Summary'!CJ100+'Substation 2025$'!CU100</f>
        <v>1005381.0409524449</v>
      </c>
      <c r="BP100" s="97">
        <f>'Distribution Summary'!CK100+'Substation 2025$'!CV100</f>
        <v>1275120.5462523585</v>
      </c>
      <c r="BQ100" s="97">
        <f>'Distribution Summary'!CL100+'Substation 2025$'!CW100</f>
        <v>1135237.5241472095</v>
      </c>
      <c r="BR100" s="98">
        <f>'Distribution Summary'!CM100+'Substation 2025$'!CX100</f>
        <v>973918.13644536491</v>
      </c>
    </row>
    <row r="101" spans="1:70" x14ac:dyDescent="0.25">
      <c r="A101" s="81" t="s">
        <v>196</v>
      </c>
      <c r="B101" s="82" t="s">
        <v>205</v>
      </c>
      <c r="C101" s="83" t="s">
        <v>206</v>
      </c>
      <c r="D101" s="84">
        <f>SUM('Defect (Total)'!D101,Planned!D101,Reconductor!D101,CTGS!D101)</f>
        <v>36149</v>
      </c>
      <c r="E101" s="85">
        <f>SUM('Defect (Total)'!E101,Planned!E101,Reconductor!E101,CTGS!E101)</f>
        <v>21796</v>
      </c>
      <c r="F101" s="85">
        <f>SUM('Defect (Total)'!F101,Planned!F101,Reconductor!F101,CTGS!F101)</f>
        <v>181589</v>
      </c>
      <c r="G101" s="85">
        <f>SUM('Defect (Total)'!G101,Planned!G101,Reconductor!G101,CTGS!G101)</f>
        <v>362603.49423200655</v>
      </c>
      <c r="H101" s="85">
        <f>SUM('Defect (Total)'!H101,Planned!H101,Reconductor!H101,CTGS!H101)</f>
        <v>83026</v>
      </c>
      <c r="I101" s="85">
        <f>SUM('Defect (Total)'!I101,Planned!I101,Reconductor!I101,CTGS!I101)</f>
        <v>112441.8481748459</v>
      </c>
      <c r="J101" s="85">
        <f>SUM('Defect (Total)'!J101,Planned!J101,Reconductor!J101,CTGS!J101)</f>
        <v>608415.03429043898</v>
      </c>
      <c r="K101" s="85">
        <f>SUM('Defect (Total)'!K101,Planned!K101,Reconductor!K101,CTGS!K101)</f>
        <v>67015.694254380011</v>
      </c>
      <c r="L101" s="85">
        <f>SUM('Defect (Total)'!L101,Planned!L101,Reconductor!L101,CTGS!L101)</f>
        <v>584176.28519701248</v>
      </c>
      <c r="M101" s="85">
        <f>SUM('Defect (Total)'!M101,Planned!M101,Reconductor!M101,CTGS!M101)</f>
        <v>182061.47302960342</v>
      </c>
      <c r="N101" s="85">
        <f>SUM('Defect (Total)'!N101,Planned!N101,Reconductor!N101,CTGS!N101)</f>
        <v>401430.88003524259</v>
      </c>
      <c r="O101" s="560">
        <f>SUM('Defect (Total)'!O101,Planned!O101,Reconductor!O101,CTGS!O101)</f>
        <v>48636.90048299855</v>
      </c>
      <c r="P101" s="561">
        <f>SUM('Defect (Total)'!P101,Planned!P101,Reconductor!P101,CTGS!P101)</f>
        <v>28889.092393952291</v>
      </c>
      <c r="Q101" s="561">
        <f>SUM('Defect (Total)'!Q101,Planned!Q101,Reconductor!Q101,CTGS!Q101)</f>
        <v>238245.81172537652</v>
      </c>
      <c r="R101" s="561">
        <f>SUM('Defect (Total)'!R101,Planned!R101,Reconductor!R101,CTGS!R101)</f>
        <v>466713.03096568055</v>
      </c>
      <c r="S101" s="561">
        <f>SUM('Defect (Total)'!S101,Planned!S101,Reconductor!S101,CTGS!S101)</f>
        <v>104689.04414477303</v>
      </c>
      <c r="T101" s="561">
        <f>SUM('Defect (Total)'!T101,Planned!T101,Reconductor!T101,CTGS!T101)</f>
        <v>139557.0080881094</v>
      </c>
      <c r="U101" s="561">
        <f>SUM('Defect (Total)'!U101,Planned!U101,Reconductor!U101,CTGS!U101)</f>
        <v>757773.60829453892</v>
      </c>
      <c r="V101" s="561">
        <f>SUM('Defect (Total)'!V101,Planned!V101,Reconductor!V101,CTGS!V101)</f>
        <v>80375.861944852863</v>
      </c>
      <c r="W101" s="561">
        <f>SUM('Defect (Total)'!W101,Planned!W101,Reconductor!W101,CTGS!W101)</f>
        <v>660076.69408519566</v>
      </c>
      <c r="X101" s="561">
        <f>SUM('Defect (Total)'!X101,Planned!X101,Reconductor!X101,CTGS!X101)</f>
        <v>193615.26271375304</v>
      </c>
      <c r="Y101" s="561">
        <f>SUM('Defect (Total)'!Y101,Planned!Y101,Reconductor!Y101,CTGS!Y101)</f>
        <v>412469.61878670903</v>
      </c>
      <c r="Z101" s="86">
        <f>SUM('Defect (Total)'!Z101,Planned!Z101,Reconductor!Z101,CTGS!Z101)</f>
        <v>3</v>
      </c>
      <c r="AA101" s="87">
        <f>SUM('Defect (Total)'!AA101,Planned!AA101,Reconductor!AA101,CTGS!AA101)</f>
        <v>8</v>
      </c>
      <c r="AB101" s="87">
        <f>SUM('Defect (Total)'!AB101,Planned!AB101,Reconductor!AB101,CTGS!AB101)</f>
        <v>44</v>
      </c>
      <c r="AC101" s="87">
        <f>SUM('Defect (Total)'!AC101,Planned!AC101,Reconductor!AC101,CTGS!AC101)</f>
        <v>34</v>
      </c>
      <c r="AD101" s="87">
        <f>SUM('Defect (Total)'!AD101,Planned!AD101,Reconductor!AD101,CTGS!AD101)</f>
        <v>20</v>
      </c>
      <c r="AE101" s="87">
        <f>SUM('Defect (Total)'!AE101,Planned!AE101,Reconductor!AE101,CTGS!AE101)</f>
        <v>25</v>
      </c>
      <c r="AF101" s="87">
        <f>SUM('Defect (Total)'!AF101,Planned!AF101,Reconductor!AF101,CTGS!AF101)</f>
        <v>34</v>
      </c>
      <c r="AG101" s="87">
        <f>SUM('Defect (Total)'!AG101,Planned!AG101,Reconductor!AG101,CTGS!AG101)</f>
        <v>19</v>
      </c>
      <c r="AH101" s="87">
        <f>SUM('Defect (Total)'!AH101,Planned!AH101,Reconductor!AH101,CTGS!AH101)</f>
        <v>43</v>
      </c>
      <c r="AI101" s="87">
        <f>SUM('Defect (Total)'!AI101,Planned!AI101,Reconductor!AI101,CTGS!AI101)</f>
        <v>39</v>
      </c>
      <c r="AJ101" s="87">
        <f>SUM('Defect (Total)'!AJ101,Planned!AJ101,Reconductor!AJ101,CTGS!AJ101)</f>
        <v>44</v>
      </c>
      <c r="AK101" s="88">
        <f t="shared" si="43"/>
        <v>28.2</v>
      </c>
      <c r="AL101" s="89">
        <f t="shared" si="18"/>
        <v>32</v>
      </c>
      <c r="AM101" s="90">
        <f t="shared" si="44"/>
        <v>43</v>
      </c>
      <c r="AN101" s="91">
        <f t="shared" si="31"/>
        <v>12049.666666666666</v>
      </c>
      <c r="AO101" s="92">
        <f t="shared" si="32"/>
        <v>2724.5</v>
      </c>
      <c r="AP101" s="92">
        <f t="shared" si="33"/>
        <v>4127.022727272727</v>
      </c>
      <c r="AQ101" s="92">
        <f t="shared" si="34"/>
        <v>10664.808653882545</v>
      </c>
      <c r="AR101" s="92">
        <f t="shared" si="35"/>
        <v>4151.3</v>
      </c>
      <c r="AS101" s="92">
        <f t="shared" si="36"/>
        <v>4497.6739269938362</v>
      </c>
      <c r="AT101" s="92">
        <f t="shared" si="37"/>
        <v>17894.559832071736</v>
      </c>
      <c r="AU101" s="92">
        <f t="shared" si="38"/>
        <v>3527.141802862106</v>
      </c>
      <c r="AV101" s="92">
        <f t="shared" si="39"/>
        <v>13585.495004581686</v>
      </c>
      <c r="AW101" s="92">
        <f t="shared" si="46"/>
        <v>4668.2428981949597</v>
      </c>
      <c r="AX101" s="92">
        <f t="shared" si="46"/>
        <v>9123.4290917100589</v>
      </c>
      <c r="AY101" s="93">
        <f t="shared" si="29"/>
        <v>10319.679871749486</v>
      </c>
      <c r="AZ101" s="94">
        <f t="shared" si="41"/>
        <v>13120.906393144076</v>
      </c>
      <c r="BA101" s="95">
        <f t="shared" si="42"/>
        <v>13585.495004581686</v>
      </c>
      <c r="BB101" s="689">
        <f>SUM('Defect (Total)'!BB101,Planned!CE101,Reconductor!CE101,CTGS!CE101,'Substation 2025$'!CE101*$BL$1,Comms!CA101*$BL$2)</f>
        <v>31.533333333333331</v>
      </c>
      <c r="BC101" s="689">
        <f>SUM('Defect (Total)'!BC101,Planned!CF101,Reconductor!CF101,CTGS!CF101,'Substation 2025$'!CF101*$BL$1,Comms!CB101*$BL$2)</f>
        <v>31.533333333333331</v>
      </c>
      <c r="BD101" s="96">
        <f>SUM('Defect (Total)'!BD101,Planned!CG101,Reconductor!CG101,CTGS!CG101,'Substation 2025$'!CG101*$BL$1,Comms!CC101*$BL$2)</f>
        <v>31.533333333333331</v>
      </c>
      <c r="BE101" s="96">
        <f>SUM('Defect (Total)'!BE101,Planned!CH101,Reconductor!CH101,CTGS!CH101,'Substation 2025$'!CH101*$BL$1,Comms!CD101*$BL$2)</f>
        <v>13.381690864428883</v>
      </c>
      <c r="BF101" s="96">
        <f>SUM('Defect (Total)'!BF101,Planned!CI101,Reconductor!CI101,CTGS!CI101,'Substation 2025$'!CI101*$BL$1,Comms!CE101*$BL$2)</f>
        <v>13.381690864428883</v>
      </c>
      <c r="BG101" s="96">
        <f>SUM('Defect (Total)'!BG101,Planned!CJ101,Reconductor!CJ101,CTGS!CJ101,'Substation 2025$'!CJ101*$BL$1,Comms!CF101*$BL$2)</f>
        <v>19.381690864428883</v>
      </c>
      <c r="BH101" s="96">
        <f>SUM('Defect (Total)'!BH101,Planned!CK101,Reconductor!CK101,CTGS!CK101,'Substation 2025$'!CK101*$BL$1,Comms!CG101*$BL$2)</f>
        <v>23.381690864428883</v>
      </c>
      <c r="BI101" s="286">
        <f>SUM('Defect (Total)'!BI101,Planned!CL101,Reconductor!CL101,CTGS!CL101,'Substation 2025$'!CL101*$BL$1,Comms!CH101*$BL$2)</f>
        <v>17.381690864428883</v>
      </c>
      <c r="BJ101" s="99">
        <f t="shared" si="47"/>
        <v>9940.8693757409874</v>
      </c>
      <c r="BK101" s="743"/>
      <c r="BL101" s="97"/>
      <c r="BM101" s="524"/>
      <c r="BN101" s="416">
        <f>'Distribution Summary'!CI101+'Substation 2025$'!CT101</f>
        <v>186971.27015605243</v>
      </c>
      <c r="BO101" s="97">
        <f>'Distribution Summary'!CJ101+'Substation 2025$'!CU101</f>
        <v>180284.7487355484</v>
      </c>
      <c r="BP101" s="97">
        <f>'Distribution Summary'!CK101+'Substation 2025$'!CV101</f>
        <v>185533.73117183009</v>
      </c>
      <c r="BQ101" s="97">
        <f>'Distribution Summary'!CL101+'Substation 2025$'!CW101</f>
        <v>115140.43854008408</v>
      </c>
      <c r="BR101" s="98">
        <f>'Distribution Summary'!CM101+'Substation 2025$'!CX101</f>
        <v>196015.40346047498</v>
      </c>
    </row>
    <row r="102" spans="1:70" x14ac:dyDescent="0.25">
      <c r="A102" s="81" t="s">
        <v>196</v>
      </c>
      <c r="B102" s="82" t="s">
        <v>207</v>
      </c>
      <c r="C102" s="83" t="s">
        <v>208</v>
      </c>
      <c r="D102" s="84">
        <f>SUM('Defect (Total)'!D102,Planned!D102,Reconductor!D102,CTGS!D102)</f>
        <v>0</v>
      </c>
      <c r="E102" s="85">
        <f>SUM('Defect (Total)'!E102,Planned!E102,Reconductor!E102,CTGS!E102)</f>
        <v>0</v>
      </c>
      <c r="F102" s="85">
        <f>SUM('Defect (Total)'!F102,Planned!F102,Reconductor!F102,CTGS!F102)</f>
        <v>0</v>
      </c>
      <c r="G102" s="85">
        <f>SUM('Defect (Total)'!G102,Planned!G102,Reconductor!G102,CTGS!G102)</f>
        <v>0</v>
      </c>
      <c r="H102" s="85">
        <f>SUM('Defect (Total)'!H102,Planned!H102,Reconductor!H102,CTGS!H102)</f>
        <v>0</v>
      </c>
      <c r="I102" s="85">
        <f>SUM('Defect (Total)'!I102,Planned!I102,Reconductor!I102,CTGS!I102)</f>
        <v>0</v>
      </c>
      <c r="J102" s="85">
        <f>SUM('Defect (Total)'!J102,Planned!J102,Reconductor!J102,CTGS!J102)</f>
        <v>0</v>
      </c>
      <c r="K102" s="85">
        <f>SUM('Defect (Total)'!K102,Planned!K102,Reconductor!K102,CTGS!K102)</f>
        <v>0</v>
      </c>
      <c r="L102" s="85">
        <f>SUM('Defect (Total)'!L102,Planned!L102,Reconductor!L102,CTGS!L102)</f>
        <v>0</v>
      </c>
      <c r="M102" s="85">
        <f>SUM('Defect (Total)'!M102,Planned!M102,Reconductor!M102,CTGS!M102)</f>
        <v>0</v>
      </c>
      <c r="N102" s="85">
        <f>SUM('Defect (Total)'!N102,Planned!N102,Reconductor!N102,CTGS!N102)</f>
        <v>0</v>
      </c>
      <c r="O102" s="560">
        <f>SUM('Defect (Total)'!O102,Planned!O102,Reconductor!O102,CTGS!O102)</f>
        <v>0</v>
      </c>
      <c r="P102" s="561">
        <f>SUM('Defect (Total)'!P102,Planned!P102,Reconductor!P102,CTGS!P102)</f>
        <v>0</v>
      </c>
      <c r="Q102" s="561">
        <f>SUM('Defect (Total)'!Q102,Planned!Q102,Reconductor!Q102,CTGS!Q102)</f>
        <v>0</v>
      </c>
      <c r="R102" s="561">
        <f>SUM('Defect (Total)'!R102,Planned!R102,Reconductor!R102,CTGS!R102)</f>
        <v>0</v>
      </c>
      <c r="S102" s="561">
        <f>SUM('Defect (Total)'!S102,Planned!S102,Reconductor!S102,CTGS!S102)</f>
        <v>0</v>
      </c>
      <c r="T102" s="561">
        <f>SUM('Defect (Total)'!T102,Planned!T102,Reconductor!T102,CTGS!T102)</f>
        <v>0</v>
      </c>
      <c r="U102" s="561">
        <f>SUM('Defect (Total)'!U102,Planned!U102,Reconductor!U102,CTGS!U102)</f>
        <v>0</v>
      </c>
      <c r="V102" s="561">
        <f>SUM('Defect (Total)'!V102,Planned!V102,Reconductor!V102,CTGS!V102)</f>
        <v>0</v>
      </c>
      <c r="W102" s="561">
        <f>SUM('Defect (Total)'!W102,Planned!W102,Reconductor!W102,CTGS!W102)</f>
        <v>0</v>
      </c>
      <c r="X102" s="561">
        <f>SUM('Defect (Total)'!X102,Planned!X102,Reconductor!X102,CTGS!X102)</f>
        <v>0</v>
      </c>
      <c r="Y102" s="561">
        <f>SUM('Defect (Total)'!Y102,Planned!Y102,Reconductor!Y102,CTGS!Y102)</f>
        <v>0</v>
      </c>
      <c r="Z102" s="86">
        <f>SUM('Defect (Total)'!Z102,Planned!Z102,Reconductor!Z102,CTGS!Z102)</f>
        <v>0</v>
      </c>
      <c r="AA102" s="87">
        <f>SUM('Defect (Total)'!AA102,Planned!AA102,Reconductor!AA102,CTGS!AA102)</f>
        <v>-1</v>
      </c>
      <c r="AB102" s="87">
        <f>SUM('Defect (Total)'!AB102,Planned!AB102,Reconductor!AB102,CTGS!AB102)</f>
        <v>0</v>
      </c>
      <c r="AC102" s="87">
        <f>SUM('Defect (Total)'!AC102,Planned!AC102,Reconductor!AC102,CTGS!AC102)</f>
        <v>0</v>
      </c>
      <c r="AD102" s="87">
        <f>SUM('Defect (Total)'!AD102,Planned!AD102,Reconductor!AD102,CTGS!AD102)</f>
        <v>0</v>
      </c>
      <c r="AE102" s="87">
        <f>SUM('Defect (Total)'!AE102,Planned!AE102,Reconductor!AE102,CTGS!AE102)</f>
        <v>0</v>
      </c>
      <c r="AF102" s="87">
        <f>SUM('Defect (Total)'!AF102,Planned!AF102,Reconductor!AF102,CTGS!AF102)</f>
        <v>0</v>
      </c>
      <c r="AG102" s="87">
        <f>SUM('Defect (Total)'!AG102,Planned!AG102,Reconductor!AG102,CTGS!AG102)</f>
        <v>0</v>
      </c>
      <c r="AH102" s="87">
        <f>SUM('Defect (Total)'!AH102,Planned!AH102,Reconductor!AH102,CTGS!AH102)</f>
        <v>0</v>
      </c>
      <c r="AI102" s="87">
        <f>SUM('Defect (Total)'!AI102,Planned!AI102,Reconductor!AI102,CTGS!AI102)</f>
        <v>0</v>
      </c>
      <c r="AJ102" s="87">
        <f>SUM('Defect (Total)'!AJ102,Planned!AJ102,Reconductor!AJ102,CTGS!AJ102)</f>
        <v>0</v>
      </c>
      <c r="AK102" s="88">
        <f t="shared" si="43"/>
        <v>0</v>
      </c>
      <c r="AL102" s="89">
        <f t="shared" si="18"/>
        <v>0</v>
      </c>
      <c r="AM102" s="90">
        <f t="shared" si="44"/>
        <v>0</v>
      </c>
      <c r="AN102" s="91" t="str">
        <f t="shared" si="31"/>
        <v/>
      </c>
      <c r="AO102" s="92">
        <f t="shared" si="32"/>
        <v>0</v>
      </c>
      <c r="AP102" s="92" t="str">
        <f t="shared" si="33"/>
        <v/>
      </c>
      <c r="AQ102" s="92" t="str">
        <f t="shared" si="34"/>
        <v/>
      </c>
      <c r="AR102" s="92" t="str">
        <f t="shared" si="35"/>
        <v/>
      </c>
      <c r="AS102" s="92" t="str">
        <f t="shared" si="36"/>
        <v/>
      </c>
      <c r="AT102" s="92" t="str">
        <f t="shared" si="37"/>
        <v/>
      </c>
      <c r="AU102" s="92" t="str">
        <f t="shared" si="38"/>
        <v/>
      </c>
      <c r="AV102" s="92" t="str">
        <f t="shared" si="39"/>
        <v/>
      </c>
      <c r="AW102" s="92" t="str">
        <f t="shared" si="46"/>
        <v/>
      </c>
      <c r="AX102" s="92" t="str">
        <f t="shared" si="46"/>
        <v/>
      </c>
      <c r="AY102" s="93" t="str">
        <f t="shared" si="29"/>
        <v/>
      </c>
      <c r="AZ102" s="94" t="str">
        <f t="shared" si="41"/>
        <v/>
      </c>
      <c r="BA102" s="95" t="str">
        <f t="shared" si="42"/>
        <v/>
      </c>
      <c r="BB102" s="689">
        <f>SUM('Defect (Total)'!BB102,Planned!CE102,Reconductor!CE102,CTGS!CE102,'Substation 2025$'!CE102*$BL$1,Comms!CA102*$BL$2)</f>
        <v>0</v>
      </c>
      <c r="BC102" s="689">
        <f>SUM('Defect (Total)'!BC102,Planned!CF102,Reconductor!CF102,CTGS!CF102,'Substation 2025$'!CF102*$BL$1,Comms!CB102*$BL$2)</f>
        <v>0</v>
      </c>
      <c r="BD102" s="96">
        <f>SUM('Defect (Total)'!BD102,Planned!CG102,Reconductor!CG102,CTGS!CG102,'Substation 2025$'!CG102*$BL$1,Comms!CC102*$BL$2)</f>
        <v>0</v>
      </c>
      <c r="BE102" s="96">
        <f>SUM('Defect (Total)'!BE102,Planned!CH102,Reconductor!CH102,CTGS!CH102,'Substation 2025$'!CH102*$BL$1,Comms!CD102*$BL$2)</f>
        <v>0</v>
      </c>
      <c r="BF102" s="96">
        <f>SUM('Defect (Total)'!BF102,Planned!CI102,Reconductor!CI102,CTGS!CI102,'Substation 2025$'!CI102*$BL$1,Comms!CE102*$BL$2)</f>
        <v>0</v>
      </c>
      <c r="BG102" s="96">
        <f>SUM('Defect (Total)'!BG102,Planned!CJ102,Reconductor!CJ102,CTGS!CJ102,'Substation 2025$'!CJ102*$BL$1,Comms!CF102*$BL$2)</f>
        <v>7</v>
      </c>
      <c r="BH102" s="96">
        <f>SUM('Defect (Total)'!BH102,Planned!CK102,Reconductor!CK102,CTGS!CK102,'Substation 2025$'!CK102*$BL$1,Comms!CG102*$BL$2)</f>
        <v>4</v>
      </c>
      <c r="BI102" s="286">
        <f>SUM('Defect (Total)'!BI102,Planned!CL102,Reconductor!CL102,CTGS!CL102,'Substation 2025$'!CL102*$BL$1,Comms!CH102*$BL$2)</f>
        <v>2</v>
      </c>
      <c r="BJ102" s="99">
        <f t="shared" si="47"/>
        <v>765824.3438680484</v>
      </c>
      <c r="BK102" s="743"/>
      <c r="BL102" s="97"/>
      <c r="BM102" s="524"/>
      <c r="BN102" s="416">
        <f>'Distribution Summary'!CI102+'Substation 2025$'!CT102</f>
        <v>2409208.6704759621</v>
      </c>
      <c r="BO102" s="97">
        <f>'Distribution Summary'!CJ102+'Substation 2025$'!CU102</f>
        <v>2162601.8442003885</v>
      </c>
      <c r="BP102" s="97">
        <f>'Distribution Summary'!CK102+'Substation 2025$'!CV102</f>
        <v>1029109.9259437313</v>
      </c>
      <c r="BQ102" s="97">
        <f>'Distribution Summary'!CL102+'Substation 2025$'!CW102</f>
        <v>1714881.0583465691</v>
      </c>
      <c r="BR102" s="98">
        <f>'Distribution Summary'!CM102+'Substation 2025$'!CX102</f>
        <v>2639914.9713179786</v>
      </c>
    </row>
    <row r="103" spans="1:70" x14ac:dyDescent="0.25">
      <c r="A103" s="81" t="s">
        <v>196</v>
      </c>
      <c r="B103" s="82" t="s">
        <v>209</v>
      </c>
      <c r="C103" s="83" t="s">
        <v>210</v>
      </c>
      <c r="D103" s="84">
        <f>SUM('Defect (Total)'!D103,Planned!D103,Reconductor!D103,CTGS!D103)</f>
        <v>11932</v>
      </c>
      <c r="E103" s="85">
        <f>SUM('Defect (Total)'!E103,Planned!E103,Reconductor!E103,CTGS!E103)</f>
        <v>31965</v>
      </c>
      <c r="F103" s="85">
        <f>SUM('Defect (Total)'!F103,Planned!F103,Reconductor!F103,CTGS!F103)</f>
        <v>257313</v>
      </c>
      <c r="G103" s="85">
        <f>SUM('Defect (Total)'!G103,Planned!G103,Reconductor!G103,CTGS!G103)</f>
        <v>0</v>
      </c>
      <c r="H103" s="85">
        <f>SUM('Defect (Total)'!H103,Planned!H103,Reconductor!H103,CTGS!H103)</f>
        <v>0</v>
      </c>
      <c r="I103" s="85">
        <f>SUM('Defect (Total)'!I103,Planned!I103,Reconductor!I103,CTGS!I103)</f>
        <v>285649.78413438308</v>
      </c>
      <c r="J103" s="85">
        <f>SUM('Defect (Total)'!J103,Planned!J103,Reconductor!J103,CTGS!J103)</f>
        <v>0</v>
      </c>
      <c r="K103" s="85">
        <f>SUM('Defect (Total)'!K103,Planned!K103,Reconductor!K103,CTGS!K103)</f>
        <v>648726.04452124797</v>
      </c>
      <c r="L103" s="85">
        <f>SUM('Defect (Total)'!L103,Planned!L103,Reconductor!L103,CTGS!L103)</f>
        <v>530056.91093700798</v>
      </c>
      <c r="M103" s="85">
        <f>SUM('Defect (Total)'!M103,Planned!M103,Reconductor!M103,CTGS!M103)</f>
        <v>120828.217046758</v>
      </c>
      <c r="N103" s="85">
        <f>SUM('Defect (Total)'!N103,Planned!N103,Reconductor!N103,CTGS!N103)</f>
        <v>118796.53226581504</v>
      </c>
      <c r="O103" s="560">
        <f>SUM('Defect (Total)'!O103,Planned!O103,Reconductor!O103,CTGS!O103)</f>
        <v>16053.984800772874</v>
      </c>
      <c r="P103" s="561">
        <f>SUM('Defect (Total)'!P103,Planned!P103,Reconductor!P103,CTGS!P103)</f>
        <v>42367.399448187061</v>
      </c>
      <c r="Q103" s="561">
        <f>SUM('Defect (Total)'!Q103,Planned!Q103,Reconductor!Q103,CTGS!Q103)</f>
        <v>337596.13496683066</v>
      </c>
      <c r="R103" s="561">
        <f>SUM('Defect (Total)'!R103,Planned!R103,Reconductor!R103,CTGS!R103)</f>
        <v>0</v>
      </c>
      <c r="S103" s="561">
        <f>SUM('Defect (Total)'!S103,Planned!S103,Reconductor!S103,CTGS!S103)</f>
        <v>0</v>
      </c>
      <c r="T103" s="561">
        <f>SUM('Defect (Total)'!T103,Planned!T103,Reconductor!T103,CTGS!T103)</f>
        <v>354533.74239117838</v>
      </c>
      <c r="U103" s="561">
        <f>SUM('Defect (Total)'!U103,Planned!U103,Reconductor!U103,CTGS!U103)</f>
        <v>0</v>
      </c>
      <c r="V103" s="561">
        <f>SUM('Defect (Total)'!V103,Planned!V103,Reconductor!V103,CTGS!V103)</f>
        <v>778055.28353625035</v>
      </c>
      <c r="W103" s="561">
        <f>SUM('Defect (Total)'!W103,Planned!W103,Reconductor!W103,CTGS!W103)</f>
        <v>598925.73922324739</v>
      </c>
      <c r="X103" s="561">
        <f>SUM('Defect (Total)'!X103,Planned!X103,Reconductor!X103,CTGS!X103)</f>
        <v>128496.08759860194</v>
      </c>
      <c r="Y103" s="561">
        <f>SUM('Defect (Total)'!Y103,Planned!Y103,Reconductor!Y103,CTGS!Y103)</f>
        <v>122063.25625114312</v>
      </c>
      <c r="Z103" s="86">
        <f>SUM('Defect (Total)'!Z103,Planned!Z103,Reconductor!Z103,CTGS!Z103)</f>
        <v>1</v>
      </c>
      <c r="AA103" s="87">
        <f>SUM('Defect (Total)'!AA103,Planned!AA103,Reconductor!AA103,CTGS!AA103)</f>
        <v>1</v>
      </c>
      <c r="AB103" s="87">
        <f>SUM('Defect (Total)'!AB103,Planned!AB103,Reconductor!AB103,CTGS!AB103)</f>
        <v>3</v>
      </c>
      <c r="AC103" s="87">
        <f>SUM('Defect (Total)'!AC103,Planned!AC103,Reconductor!AC103,CTGS!AC103)</f>
        <v>0</v>
      </c>
      <c r="AD103" s="87">
        <f>SUM('Defect (Total)'!AD103,Planned!AD103,Reconductor!AD103,CTGS!AD103)</f>
        <v>0</v>
      </c>
      <c r="AE103" s="87">
        <f>SUM('Defect (Total)'!AE103,Planned!AE103,Reconductor!AE103,CTGS!AE103)</f>
        <v>3</v>
      </c>
      <c r="AF103" s="87">
        <f>SUM('Defect (Total)'!AF103,Planned!AF103,Reconductor!AF103,CTGS!AF103)</f>
        <v>0</v>
      </c>
      <c r="AG103" s="87">
        <f>SUM('Defect (Total)'!AG103,Planned!AG103,Reconductor!AG103,CTGS!AG103)</f>
        <v>1</v>
      </c>
      <c r="AH103" s="87">
        <f>SUM('Defect (Total)'!AH103,Planned!AH103,Reconductor!AH103,CTGS!AH103)</f>
        <v>5</v>
      </c>
      <c r="AI103" s="87">
        <f>SUM('Defect (Total)'!AI103,Planned!AI103,Reconductor!AI103,CTGS!AI103)</f>
        <v>1</v>
      </c>
      <c r="AJ103" s="87">
        <f>SUM('Defect (Total)'!AJ103,Planned!AJ103,Reconductor!AJ103,CTGS!AJ103)</f>
        <v>6</v>
      </c>
      <c r="AK103" s="88">
        <f t="shared" si="43"/>
        <v>1.8</v>
      </c>
      <c r="AL103" s="89">
        <f t="shared" ref="AL103:AL132" si="48">IFERROR(IF($AM$4="N",SUM(AF103:AH103)/3,SUM(AG103:AI103)/3),"")</f>
        <v>2</v>
      </c>
      <c r="AM103" s="90">
        <f t="shared" si="44"/>
        <v>5</v>
      </c>
      <c r="AN103" s="91">
        <f t="shared" ref="AN103:AN132" si="49">IFERROR(D103/Z103,"")</f>
        <v>11932</v>
      </c>
      <c r="AO103" s="92">
        <f t="shared" ref="AO103:AO132" si="50">IFERROR(E103/AA103,"")</f>
        <v>31965</v>
      </c>
      <c r="AP103" s="92">
        <f t="shared" ref="AP103:AP132" si="51">IFERROR(F103/AB103,"")</f>
        <v>85771</v>
      </c>
      <c r="AQ103" s="92" t="str">
        <f t="shared" ref="AQ103:AQ132" si="52">IFERROR(G103/AC103,"")</f>
        <v/>
      </c>
      <c r="AR103" s="92" t="str">
        <f t="shared" ref="AR103:AR132" si="53">IFERROR(H103/AD103,"")</f>
        <v/>
      </c>
      <c r="AS103" s="92">
        <f t="shared" ref="AS103:AS132" si="54">IFERROR(I103/AE103,"")</f>
        <v>95216.594711461032</v>
      </c>
      <c r="AT103" s="92" t="str">
        <f t="shared" ref="AT103:AT132" si="55">IFERROR(J103/AF103,"")</f>
        <v/>
      </c>
      <c r="AU103" s="92">
        <f t="shared" ref="AU103:AU132" si="56">IFERROR(K103/AG103,"")</f>
        <v>648726.04452124797</v>
      </c>
      <c r="AV103" s="92">
        <f t="shared" ref="AV103:AV132" si="57">IFERROR(L103/AH103,"")</f>
        <v>106011.3821874016</v>
      </c>
      <c r="AW103" s="92">
        <f t="shared" ref="AW103:AX118" si="58">IFERROR(M103/AI103,"")</f>
        <v>120828.217046758</v>
      </c>
      <c r="AX103" s="92">
        <f t="shared" si="58"/>
        <v>19799.422044302508</v>
      </c>
      <c r="AY103" s="93">
        <f t="shared" ref="AY103:AY132" si="59">IFERROR(IF($BA$4="N",SUM(H103:L103)/SUM(AD103:AH103),SUM(I103:M103)/SUM(AE103:AI103)),"")</f>
        <v>162714.74884362656</v>
      </c>
      <c r="AZ103" s="94">
        <f t="shared" si="41"/>
        <v>196463.82590970933</v>
      </c>
      <c r="BA103" s="95">
        <f t="shared" si="42"/>
        <v>106011.3821874016</v>
      </c>
      <c r="BB103" s="689">
        <f>SUM('Defect (Total)'!BB103,Planned!CE103,Reconductor!CE103,CTGS!CE103,'Substation 2025$'!CE103*$BL$1,Comms!CA103*$BL$2)</f>
        <v>0</v>
      </c>
      <c r="BC103" s="689">
        <f>SUM('Defect (Total)'!BC103,Planned!CF103,Reconductor!CF103,CTGS!CF103,'Substation 2025$'!CF103*$BL$1,Comms!CB103*$BL$2)</f>
        <v>0</v>
      </c>
      <c r="BD103" s="96">
        <f>SUM('Defect (Total)'!BD103,Planned!CG103,Reconductor!CG103,CTGS!CG103,'Substation 2025$'!CG103*$BL$1,Comms!CC103*$BL$2)</f>
        <v>16</v>
      </c>
      <c r="BE103" s="96">
        <f>SUM('Defect (Total)'!BE103,Planned!CH103,Reconductor!CH103,CTGS!CH103,'Substation 2025$'!CH103*$BL$1,Comms!CD103*$BL$2)</f>
        <v>26</v>
      </c>
      <c r="BF103" s="96">
        <f>SUM('Defect (Total)'!BF103,Planned!CI103,Reconductor!CI103,CTGS!CI103,'Substation 2025$'!CI103*$BL$1,Comms!CE103*$BL$2)</f>
        <v>43</v>
      </c>
      <c r="BG103" s="96">
        <f>SUM('Defect (Total)'!BG103,Planned!CJ103,Reconductor!CJ103,CTGS!CJ103,'Substation 2025$'!CJ103*$BL$1,Comms!CF103*$BL$2)</f>
        <v>10</v>
      </c>
      <c r="BH103" s="96">
        <f>SUM('Defect (Total)'!BH103,Planned!CK103,Reconductor!CK103,CTGS!CK103,'Substation 2025$'!CK103*$BL$1,Comms!CG103*$BL$2)</f>
        <v>34</v>
      </c>
      <c r="BI103" s="286">
        <f>SUM('Defect (Total)'!BI103,Planned!CL103,Reconductor!CL103,CTGS!CL103,'Substation 2025$'!CL103*$BL$1,Comms!CH103*$BL$2)</f>
        <v>7</v>
      </c>
      <c r="BJ103" s="99">
        <f t="shared" si="47"/>
        <v>50196.575439428401</v>
      </c>
      <c r="BK103" s="743"/>
      <c r="BL103" s="97"/>
      <c r="BM103" s="524"/>
      <c r="BN103" s="416">
        <f>'Distribution Summary'!CI103+'Substation 2025$'!CT103</f>
        <v>1437858.7537742888</v>
      </c>
      <c r="BO103" s="97">
        <f>'Distribution Summary'!CJ103+'Substation 2025$'!CU103</f>
        <v>1403882.7468850212</v>
      </c>
      <c r="BP103" s="97">
        <f>'Distribution Summary'!CK103+'Substation 2025$'!CV103</f>
        <v>2091380.5241455371</v>
      </c>
      <c r="BQ103" s="97">
        <f>'Distribution Summary'!CL103+'Substation 2025$'!CW103</f>
        <v>1021212.1335129078</v>
      </c>
      <c r="BR103" s="98">
        <f>'Distribution Summary'!CM103+'Substation 2025$'!CX103</f>
        <v>69254.894413652568</v>
      </c>
    </row>
    <row r="104" spans="1:70" x14ac:dyDescent="0.25">
      <c r="A104" s="81" t="s">
        <v>196</v>
      </c>
      <c r="B104" s="82" t="s">
        <v>211</v>
      </c>
      <c r="C104" s="83" t="s">
        <v>212</v>
      </c>
      <c r="D104" s="84">
        <f>SUM('Defect (Total)'!D104,Planned!D104,Reconductor!D104,CTGS!D104)</f>
        <v>0</v>
      </c>
      <c r="E104" s="85">
        <f>SUM('Defect (Total)'!E104,Planned!E104,Reconductor!E104,CTGS!E104)</f>
        <v>0</v>
      </c>
      <c r="F104" s="85">
        <f>SUM('Defect (Total)'!F104,Planned!F104,Reconductor!F104,CTGS!F104)</f>
        <v>0</v>
      </c>
      <c r="G104" s="85">
        <f>SUM('Defect (Total)'!G104,Planned!G104,Reconductor!G104,CTGS!G104)</f>
        <v>0</v>
      </c>
      <c r="H104" s="85">
        <f>SUM('Defect (Total)'!H104,Planned!H104,Reconductor!H104,CTGS!H104)</f>
        <v>0</v>
      </c>
      <c r="I104" s="85">
        <f>SUM('Defect (Total)'!I104,Planned!I104,Reconductor!I104,CTGS!I104)</f>
        <v>0</v>
      </c>
      <c r="J104" s="85">
        <f>SUM('Defect (Total)'!J104,Planned!J104,Reconductor!J104,CTGS!J104)</f>
        <v>0</v>
      </c>
      <c r="K104" s="85">
        <f>SUM('Defect (Total)'!K104,Planned!K104,Reconductor!K104,CTGS!K104)</f>
        <v>0</v>
      </c>
      <c r="L104" s="85">
        <f>SUM('Defect (Total)'!L104,Planned!L104,Reconductor!L104,CTGS!L104)</f>
        <v>489688.91495324398</v>
      </c>
      <c r="M104" s="85">
        <f>SUM('Defect (Total)'!M104,Planned!M104,Reconductor!M104,CTGS!M104)</f>
        <v>0</v>
      </c>
      <c r="N104" s="85">
        <f>SUM('Defect (Total)'!N104,Planned!N104,Reconductor!N104,CTGS!N104)</f>
        <v>0</v>
      </c>
      <c r="O104" s="560">
        <f>SUM('Defect (Total)'!O104,Planned!O104,Reconductor!O104,CTGS!O104)</f>
        <v>0</v>
      </c>
      <c r="P104" s="561">
        <f>SUM('Defect (Total)'!P104,Planned!P104,Reconductor!P104,CTGS!P104)</f>
        <v>0</v>
      </c>
      <c r="Q104" s="561">
        <f>SUM('Defect (Total)'!Q104,Planned!Q104,Reconductor!Q104,CTGS!Q104)</f>
        <v>0</v>
      </c>
      <c r="R104" s="561">
        <f>SUM('Defect (Total)'!R104,Planned!R104,Reconductor!R104,CTGS!R104)</f>
        <v>0</v>
      </c>
      <c r="S104" s="561">
        <f>SUM('Defect (Total)'!S104,Planned!S104,Reconductor!S104,CTGS!S104)</f>
        <v>0</v>
      </c>
      <c r="T104" s="561">
        <f>SUM('Defect (Total)'!T104,Planned!T104,Reconductor!T104,CTGS!T104)</f>
        <v>0</v>
      </c>
      <c r="U104" s="561">
        <f>SUM('Defect (Total)'!U104,Planned!U104,Reconductor!U104,CTGS!U104)</f>
        <v>0</v>
      </c>
      <c r="V104" s="561">
        <f>SUM('Defect (Total)'!V104,Planned!V104,Reconductor!V104,CTGS!V104)</f>
        <v>0</v>
      </c>
      <c r="W104" s="561">
        <f>SUM('Defect (Total)'!W104,Planned!W104,Reconductor!W104,CTGS!W104)</f>
        <v>553312.84118028567</v>
      </c>
      <c r="X104" s="561">
        <f>SUM('Defect (Total)'!X104,Planned!X104,Reconductor!X104,CTGS!X104)</f>
        <v>0</v>
      </c>
      <c r="Y104" s="561">
        <f>SUM('Defect (Total)'!Y104,Planned!Y104,Reconductor!Y104,CTGS!Y104)</f>
        <v>0</v>
      </c>
      <c r="Z104" s="86">
        <f>SUM('Defect (Total)'!Z104,Planned!Z104,Reconductor!Z104,CTGS!Z104)</f>
        <v>0</v>
      </c>
      <c r="AA104" s="87">
        <f>SUM('Defect (Total)'!AA104,Planned!AA104,Reconductor!AA104,CTGS!AA104)</f>
        <v>0</v>
      </c>
      <c r="AB104" s="87">
        <f>SUM('Defect (Total)'!AB104,Planned!AB104,Reconductor!AB104,CTGS!AB104)</f>
        <v>0</v>
      </c>
      <c r="AC104" s="87">
        <f>SUM('Defect (Total)'!AC104,Planned!AC104,Reconductor!AC104,CTGS!AC104)</f>
        <v>0</v>
      </c>
      <c r="AD104" s="87">
        <f>SUM('Defect (Total)'!AD104,Planned!AD104,Reconductor!AD104,CTGS!AD104)</f>
        <v>0</v>
      </c>
      <c r="AE104" s="87">
        <f>SUM('Defect (Total)'!AE104,Planned!AE104,Reconductor!AE104,CTGS!AE104)</f>
        <v>0</v>
      </c>
      <c r="AF104" s="87">
        <f>SUM('Defect (Total)'!AF104,Planned!AF104,Reconductor!AF104,CTGS!AF104)</f>
        <v>0</v>
      </c>
      <c r="AG104" s="87">
        <f>SUM('Defect (Total)'!AG104,Planned!AG104,Reconductor!AG104,CTGS!AG104)</f>
        <v>0</v>
      </c>
      <c r="AH104" s="87">
        <f>SUM('Defect (Total)'!AH104,Planned!AH104,Reconductor!AH104,CTGS!AH104)</f>
        <v>0</v>
      </c>
      <c r="AI104" s="87">
        <f>SUM('Defect (Total)'!AI104,Planned!AI104,Reconductor!AI104,CTGS!AI104)</f>
        <v>0</v>
      </c>
      <c r="AJ104" s="87">
        <f>SUM('Defect (Total)'!AJ104,Planned!AJ104,Reconductor!AJ104,CTGS!AJ104)</f>
        <v>1</v>
      </c>
      <c r="AK104" s="88">
        <f t="shared" si="43"/>
        <v>0</v>
      </c>
      <c r="AL104" s="89">
        <f t="shared" si="48"/>
        <v>0</v>
      </c>
      <c r="AM104" s="90">
        <f t="shared" si="44"/>
        <v>0</v>
      </c>
      <c r="AN104" s="91" t="str">
        <f t="shared" si="49"/>
        <v/>
      </c>
      <c r="AO104" s="92" t="str">
        <f t="shared" si="50"/>
        <v/>
      </c>
      <c r="AP104" s="92" t="str">
        <f t="shared" si="51"/>
        <v/>
      </c>
      <c r="AQ104" s="92" t="str">
        <f t="shared" si="52"/>
        <v/>
      </c>
      <c r="AR104" s="92" t="str">
        <f t="shared" si="53"/>
        <v/>
      </c>
      <c r="AS104" s="92" t="str">
        <f t="shared" si="54"/>
        <v/>
      </c>
      <c r="AT104" s="92" t="str">
        <f t="shared" si="55"/>
        <v/>
      </c>
      <c r="AU104" s="92" t="str">
        <f t="shared" si="56"/>
        <v/>
      </c>
      <c r="AV104" s="92" t="str">
        <f t="shared" si="57"/>
        <v/>
      </c>
      <c r="AW104" s="92" t="str">
        <f t="shared" si="58"/>
        <v/>
      </c>
      <c r="AX104" s="92">
        <f t="shared" si="58"/>
        <v>0</v>
      </c>
      <c r="AY104" s="93" t="str">
        <f t="shared" si="59"/>
        <v/>
      </c>
      <c r="AZ104" s="94" t="str">
        <f t="shared" si="41"/>
        <v/>
      </c>
      <c r="BA104" s="95" t="str">
        <f t="shared" si="42"/>
        <v/>
      </c>
      <c r="BB104" s="689">
        <f>SUM('Defect (Total)'!BB104,Planned!CE104,Reconductor!CE104,CTGS!CE104,'Substation 2025$'!CE104*$BL$1,Comms!CA104*$BL$2)</f>
        <v>0</v>
      </c>
      <c r="BC104" s="689">
        <f>SUM('Defect (Total)'!BC104,Planned!CF104,Reconductor!CF104,CTGS!CF104,'Substation 2025$'!CF104*$BL$1,Comms!CB104*$BL$2)</f>
        <v>8</v>
      </c>
      <c r="BD104" s="96">
        <f>SUM('Defect (Total)'!BD104,Planned!CG104,Reconductor!CG104,CTGS!CG104,'Substation 2025$'!CG104*$BL$1,Comms!CC104*$BL$2)</f>
        <v>10</v>
      </c>
      <c r="BE104" s="96">
        <f>SUM('Defect (Total)'!BE104,Planned!CH104,Reconductor!CH104,CTGS!CH104,'Substation 2025$'!CH104*$BL$1,Comms!CD104*$BL$2)</f>
        <v>4</v>
      </c>
      <c r="BF104" s="96">
        <f>SUM('Defect (Total)'!BF104,Planned!CI104,Reconductor!CI104,CTGS!CI104,'Substation 2025$'!CI104*$BL$1,Comms!CE104*$BL$2)</f>
        <v>21</v>
      </c>
      <c r="BG104" s="96">
        <f>SUM('Defect (Total)'!BG104,Planned!CJ104,Reconductor!CJ104,CTGS!CJ104,'Substation 2025$'!CJ104*$BL$1,Comms!CF104*$BL$2)</f>
        <v>14</v>
      </c>
      <c r="BH104" s="96">
        <f>SUM('Defect (Total)'!BH104,Planned!CK104,Reconductor!CK104,CTGS!CK104,'Substation 2025$'!CK104*$BL$1,Comms!CG104*$BL$2)</f>
        <v>23</v>
      </c>
      <c r="BI104" s="286">
        <f>SUM('Defect (Total)'!BI104,Planned!CL104,Reconductor!CL104,CTGS!CL104,'Substation 2025$'!CL104*$BL$1,Comms!CH104*$BL$2)</f>
        <v>9</v>
      </c>
      <c r="BJ104" s="99">
        <f t="shared" si="47"/>
        <v>128401.68964088437</v>
      </c>
      <c r="BK104" s="743"/>
      <c r="BL104" s="97"/>
      <c r="BM104" s="524"/>
      <c r="BN104" s="416">
        <f>'Distribution Summary'!CI104+'Substation 2025$'!CT104</f>
        <v>1674939.1746166376</v>
      </c>
      <c r="BO104" s="97">
        <f>'Distribution Summary'!CJ104+'Substation 2025$'!CU104</f>
        <v>1868658.1572883388</v>
      </c>
      <c r="BP104" s="97">
        <f>'Distribution Summary'!CK104+'Substation 2025$'!CV104</f>
        <v>2515390.7335641538</v>
      </c>
      <c r="BQ104" s="97">
        <f>'Distribution Summary'!CL104+'Substation 2025$'!CW104</f>
        <v>1645424.8969017758</v>
      </c>
      <c r="BR104" s="98">
        <f>'Distribution Summary'!CM104+'Substation 2025$'!CX104</f>
        <v>1412107.002131884</v>
      </c>
    </row>
    <row r="105" spans="1:70" x14ac:dyDescent="0.25">
      <c r="A105" s="81" t="s">
        <v>196</v>
      </c>
      <c r="B105" s="82" t="s">
        <v>213</v>
      </c>
      <c r="C105" s="83" t="s">
        <v>214</v>
      </c>
      <c r="D105" s="84">
        <f>SUM('Defect (Total)'!D105,Planned!D105,Reconductor!D105,CTGS!D105)</f>
        <v>0</v>
      </c>
      <c r="E105" s="85">
        <f>SUM('Defect (Total)'!E105,Planned!E105,Reconductor!E105,CTGS!E105)</f>
        <v>0</v>
      </c>
      <c r="F105" s="85">
        <f>SUM('Defect (Total)'!F105,Planned!F105,Reconductor!F105,CTGS!F105)</f>
        <v>0</v>
      </c>
      <c r="G105" s="85">
        <f>SUM('Defect (Total)'!G105,Planned!G105,Reconductor!G105,CTGS!G105)</f>
        <v>0</v>
      </c>
      <c r="H105" s="85">
        <f>SUM('Defect (Total)'!H105,Planned!H105,Reconductor!H105,CTGS!H105)</f>
        <v>0</v>
      </c>
      <c r="I105" s="85">
        <f>SUM('Defect (Total)'!I105,Planned!I105,Reconductor!I105,CTGS!I105)</f>
        <v>0</v>
      </c>
      <c r="J105" s="85">
        <f>SUM('Defect (Total)'!J105,Planned!J105,Reconductor!J105,CTGS!J105)</f>
        <v>0</v>
      </c>
      <c r="K105" s="85">
        <f>SUM('Defect (Total)'!K105,Planned!K105,Reconductor!K105,CTGS!K105)</f>
        <v>0</v>
      </c>
      <c r="L105" s="85">
        <f>SUM('Defect (Total)'!L105,Planned!L105,Reconductor!L105,CTGS!L105)</f>
        <v>0</v>
      </c>
      <c r="M105" s="85">
        <f>SUM('Defect (Total)'!M105,Planned!M105,Reconductor!M105,CTGS!M105)</f>
        <v>0</v>
      </c>
      <c r="N105" s="85">
        <f>SUM('Defect (Total)'!N105,Planned!N105,Reconductor!N105,CTGS!N105)</f>
        <v>0</v>
      </c>
      <c r="O105" s="560">
        <f>SUM('Defect (Total)'!O105,Planned!O105,Reconductor!O105,CTGS!O105)</f>
        <v>0</v>
      </c>
      <c r="P105" s="561">
        <f>SUM('Defect (Total)'!P105,Planned!P105,Reconductor!P105,CTGS!P105)</f>
        <v>0</v>
      </c>
      <c r="Q105" s="561">
        <f>SUM('Defect (Total)'!Q105,Planned!Q105,Reconductor!Q105,CTGS!Q105)</f>
        <v>0</v>
      </c>
      <c r="R105" s="561">
        <f>SUM('Defect (Total)'!R105,Planned!R105,Reconductor!R105,CTGS!R105)</f>
        <v>0</v>
      </c>
      <c r="S105" s="561">
        <f>SUM('Defect (Total)'!S105,Planned!S105,Reconductor!S105,CTGS!S105)</f>
        <v>0</v>
      </c>
      <c r="T105" s="561">
        <f>SUM('Defect (Total)'!T105,Planned!T105,Reconductor!T105,CTGS!T105)</f>
        <v>0</v>
      </c>
      <c r="U105" s="561">
        <f>SUM('Defect (Total)'!U105,Planned!U105,Reconductor!U105,CTGS!U105)</f>
        <v>0</v>
      </c>
      <c r="V105" s="561">
        <f>SUM('Defect (Total)'!V105,Planned!V105,Reconductor!V105,CTGS!V105)</f>
        <v>0</v>
      </c>
      <c r="W105" s="561">
        <f>SUM('Defect (Total)'!W105,Planned!W105,Reconductor!W105,CTGS!W105)</f>
        <v>0</v>
      </c>
      <c r="X105" s="561">
        <f>SUM('Defect (Total)'!X105,Planned!X105,Reconductor!X105,CTGS!X105)</f>
        <v>0</v>
      </c>
      <c r="Y105" s="561">
        <f>SUM('Defect (Total)'!Y105,Planned!Y105,Reconductor!Y105,CTGS!Y105)</f>
        <v>0</v>
      </c>
      <c r="Z105" s="86">
        <f>SUM('Defect (Total)'!Z105,Planned!Z105,Reconductor!Z105,CTGS!Z105)</f>
        <v>0</v>
      </c>
      <c r="AA105" s="87">
        <f>SUM('Defect (Total)'!AA105,Planned!AA105,Reconductor!AA105,CTGS!AA105)</f>
        <v>0</v>
      </c>
      <c r="AB105" s="87">
        <f>SUM('Defect (Total)'!AB105,Planned!AB105,Reconductor!AB105,CTGS!AB105)</f>
        <v>0</v>
      </c>
      <c r="AC105" s="87">
        <f>SUM('Defect (Total)'!AC105,Planned!AC105,Reconductor!AC105,CTGS!AC105)</f>
        <v>0</v>
      </c>
      <c r="AD105" s="87">
        <f>SUM('Defect (Total)'!AD105,Planned!AD105,Reconductor!AD105,CTGS!AD105)</f>
        <v>0</v>
      </c>
      <c r="AE105" s="87">
        <f>SUM('Defect (Total)'!AE105,Planned!AE105,Reconductor!AE105,CTGS!AE105)</f>
        <v>0</v>
      </c>
      <c r="AF105" s="87">
        <f>SUM('Defect (Total)'!AF105,Planned!AF105,Reconductor!AF105,CTGS!AF105)</f>
        <v>0</v>
      </c>
      <c r="AG105" s="87">
        <f>SUM('Defect (Total)'!AG105,Planned!AG105,Reconductor!AG105,CTGS!AG105)</f>
        <v>0</v>
      </c>
      <c r="AH105" s="87">
        <f>SUM('Defect (Total)'!AH105,Planned!AH105,Reconductor!AH105,CTGS!AH105)</f>
        <v>0</v>
      </c>
      <c r="AI105" s="87">
        <f>SUM('Defect (Total)'!AI105,Planned!AI105,Reconductor!AI105,CTGS!AI105)</f>
        <v>0</v>
      </c>
      <c r="AJ105" s="87">
        <f>SUM('Defect (Total)'!AJ105,Planned!AJ105,Reconductor!AJ105,CTGS!AJ105)</f>
        <v>0</v>
      </c>
      <c r="AK105" s="88">
        <f t="shared" si="43"/>
        <v>0</v>
      </c>
      <c r="AL105" s="89">
        <f t="shared" si="48"/>
        <v>0</v>
      </c>
      <c r="AM105" s="90">
        <f t="shared" si="44"/>
        <v>0</v>
      </c>
      <c r="AN105" s="91" t="str">
        <f t="shared" si="49"/>
        <v/>
      </c>
      <c r="AO105" s="92" t="str">
        <f t="shared" si="50"/>
        <v/>
      </c>
      <c r="AP105" s="92" t="str">
        <f t="shared" si="51"/>
        <v/>
      </c>
      <c r="AQ105" s="92" t="str">
        <f t="shared" si="52"/>
        <v/>
      </c>
      <c r="AR105" s="92" t="str">
        <f t="shared" si="53"/>
        <v/>
      </c>
      <c r="AS105" s="92" t="str">
        <f t="shared" si="54"/>
        <v/>
      </c>
      <c r="AT105" s="92" t="str">
        <f t="shared" si="55"/>
        <v/>
      </c>
      <c r="AU105" s="92" t="str">
        <f t="shared" si="56"/>
        <v/>
      </c>
      <c r="AV105" s="92" t="str">
        <f t="shared" si="57"/>
        <v/>
      </c>
      <c r="AW105" s="92" t="str">
        <f t="shared" si="58"/>
        <v/>
      </c>
      <c r="AX105" s="92" t="str">
        <f t="shared" si="58"/>
        <v/>
      </c>
      <c r="AY105" s="93" t="str">
        <f t="shared" si="59"/>
        <v/>
      </c>
      <c r="AZ105" s="94" t="str">
        <f t="shared" si="41"/>
        <v/>
      </c>
      <c r="BA105" s="95" t="str">
        <f t="shared" si="42"/>
        <v/>
      </c>
      <c r="BB105" s="689">
        <f>SUM('Defect (Total)'!BB105,Planned!CE105,Reconductor!CE105,CTGS!CE105,'Substation 2025$'!CE105*$BL$1,Comms!CA105*$BL$2)</f>
        <v>0</v>
      </c>
      <c r="BC105" s="689">
        <f>SUM('Defect (Total)'!BC105,Planned!CF105,Reconductor!CF105,CTGS!CF105,'Substation 2025$'!CF105*$BL$1,Comms!CB105*$BL$2)</f>
        <v>0</v>
      </c>
      <c r="BD105" s="96">
        <f>SUM('Defect (Total)'!BD105,Planned!CG105,Reconductor!CG105,CTGS!CG105,'Substation 2025$'!CG105*$BL$1,Comms!CC105*$BL$2)</f>
        <v>20</v>
      </c>
      <c r="BE105" s="96">
        <f>SUM('Defect (Total)'!BE105,Planned!CH105,Reconductor!CH105,CTGS!CH105,'Substation 2025$'!CH105*$BL$1,Comms!CD105*$BL$2)</f>
        <v>0</v>
      </c>
      <c r="BF105" s="96">
        <f>SUM('Defect (Total)'!BF105,Planned!CI105,Reconductor!CI105,CTGS!CI105,'Substation 2025$'!CI105*$BL$1,Comms!CE105*$BL$2)</f>
        <v>0</v>
      </c>
      <c r="BG105" s="96">
        <f>SUM('Defect (Total)'!BG105,Planned!CJ105,Reconductor!CJ105,CTGS!CJ105,'Substation 2025$'!CJ105*$BL$1,Comms!CF105*$BL$2)</f>
        <v>0</v>
      </c>
      <c r="BH105" s="96">
        <f>SUM('Defect (Total)'!BH105,Planned!CK105,Reconductor!CK105,CTGS!CK105,'Substation 2025$'!CK105*$BL$1,Comms!CG105*$BL$2)</f>
        <v>0</v>
      </c>
      <c r="BI105" s="286">
        <f>SUM('Defect (Total)'!BI105,Planned!CL105,Reconductor!CL105,CTGS!CL105,'Substation 2025$'!CL105*$BL$1,Comms!CH105*$BL$2)</f>
        <v>0</v>
      </c>
      <c r="BJ105" s="99" t="str">
        <f t="shared" si="47"/>
        <v/>
      </c>
      <c r="BK105" s="743"/>
      <c r="BL105" s="97"/>
      <c r="BM105" s="524"/>
      <c r="BN105" s="416">
        <f>'Distribution Summary'!CI105+'Substation 2025$'!CT105</f>
        <v>0</v>
      </c>
      <c r="BO105" s="97">
        <f>'Distribution Summary'!CJ105+'Substation 2025$'!CU105</f>
        <v>0</v>
      </c>
      <c r="BP105" s="97">
        <f>'Distribution Summary'!CK105+'Substation 2025$'!CV105</f>
        <v>0</v>
      </c>
      <c r="BQ105" s="97">
        <f>'Distribution Summary'!CL105+'Substation 2025$'!CW105</f>
        <v>0</v>
      </c>
      <c r="BR105" s="98">
        <f>'Distribution Summary'!CM105+'Substation 2025$'!CX105</f>
        <v>0</v>
      </c>
    </row>
    <row r="106" spans="1:70" x14ac:dyDescent="0.25">
      <c r="A106" s="81" t="s">
        <v>196</v>
      </c>
      <c r="B106" s="82" t="s">
        <v>215</v>
      </c>
      <c r="C106" s="83" t="s">
        <v>392</v>
      </c>
      <c r="D106" s="84">
        <f>SUM('Defect (Total)'!D106,Planned!D106,Reconductor!D106,CTGS!D106)</f>
        <v>0</v>
      </c>
      <c r="E106" s="85">
        <f>SUM('Defect (Total)'!E106,Planned!E106,Reconductor!E106,CTGS!E106)</f>
        <v>0</v>
      </c>
      <c r="F106" s="85">
        <f>SUM('Defect (Total)'!F106,Planned!F106,Reconductor!F106,CTGS!F106)</f>
        <v>0</v>
      </c>
      <c r="G106" s="85">
        <f>SUM('Defect (Total)'!G106,Planned!G106,Reconductor!G106,CTGS!G106)</f>
        <v>0</v>
      </c>
      <c r="H106" s="85">
        <f>SUM('Defect (Total)'!H106,Planned!H106,Reconductor!H106,CTGS!H106)</f>
        <v>0</v>
      </c>
      <c r="I106" s="85">
        <f>SUM('Defect (Total)'!I106,Planned!I106,Reconductor!I106,CTGS!I106)</f>
        <v>0</v>
      </c>
      <c r="J106" s="85">
        <f>SUM('Defect (Total)'!J106,Planned!J106,Reconductor!J106,CTGS!J106)</f>
        <v>0</v>
      </c>
      <c r="K106" s="85">
        <f>SUM('Defect (Total)'!K106,Planned!K106,Reconductor!K106,CTGS!K106)</f>
        <v>0</v>
      </c>
      <c r="L106" s="85">
        <f>SUM('Defect (Total)'!L106,Planned!L106,Reconductor!L106,CTGS!L106)</f>
        <v>0</v>
      </c>
      <c r="M106" s="85">
        <f>SUM('Defect (Total)'!M106,Planned!M106,Reconductor!M106,CTGS!M106)</f>
        <v>0</v>
      </c>
      <c r="N106" s="85">
        <f>SUM('Defect (Total)'!N106,Planned!N106,Reconductor!N106,CTGS!N106)</f>
        <v>0</v>
      </c>
      <c r="O106" s="560">
        <f>SUM('Defect (Total)'!O106,Planned!O106,Reconductor!O106,CTGS!O106)</f>
        <v>0</v>
      </c>
      <c r="P106" s="561">
        <f>SUM('Defect (Total)'!P106,Planned!P106,Reconductor!P106,CTGS!P106)</f>
        <v>0</v>
      </c>
      <c r="Q106" s="561">
        <f>SUM('Defect (Total)'!Q106,Planned!Q106,Reconductor!Q106,CTGS!Q106)</f>
        <v>0</v>
      </c>
      <c r="R106" s="561">
        <f>SUM('Defect (Total)'!R106,Planned!R106,Reconductor!R106,CTGS!R106)</f>
        <v>0</v>
      </c>
      <c r="S106" s="561">
        <f>SUM('Defect (Total)'!S106,Planned!S106,Reconductor!S106,CTGS!S106)</f>
        <v>0</v>
      </c>
      <c r="T106" s="561">
        <f>SUM('Defect (Total)'!T106,Planned!T106,Reconductor!T106,CTGS!T106)</f>
        <v>0</v>
      </c>
      <c r="U106" s="561">
        <f>SUM('Defect (Total)'!U106,Planned!U106,Reconductor!U106,CTGS!U106)</f>
        <v>0</v>
      </c>
      <c r="V106" s="561">
        <f>SUM('Defect (Total)'!V106,Planned!V106,Reconductor!V106,CTGS!V106)</f>
        <v>0</v>
      </c>
      <c r="W106" s="561">
        <f>SUM('Defect (Total)'!W106,Planned!W106,Reconductor!W106,CTGS!W106)</f>
        <v>0</v>
      </c>
      <c r="X106" s="561">
        <f>SUM('Defect (Total)'!X106,Planned!X106,Reconductor!X106,CTGS!X106)</f>
        <v>0</v>
      </c>
      <c r="Y106" s="561">
        <f>SUM('Defect (Total)'!Y106,Planned!Y106,Reconductor!Y106,CTGS!Y106)</f>
        <v>0</v>
      </c>
      <c r="Z106" s="86">
        <f>SUM('Defect (Total)'!Z106,Planned!Z106,Reconductor!Z106,CTGS!Z106)</f>
        <v>0</v>
      </c>
      <c r="AA106" s="87">
        <f>SUM('Defect (Total)'!AA106,Planned!AA106,Reconductor!AA106,CTGS!AA106)</f>
        <v>0</v>
      </c>
      <c r="AB106" s="87">
        <f>SUM('Defect (Total)'!AB106,Planned!AB106,Reconductor!AB106,CTGS!AB106)</f>
        <v>0</v>
      </c>
      <c r="AC106" s="87">
        <f>SUM('Defect (Total)'!AC106,Planned!AC106,Reconductor!AC106,CTGS!AC106)</f>
        <v>0</v>
      </c>
      <c r="AD106" s="87">
        <f>SUM('Defect (Total)'!AD106,Planned!AD106,Reconductor!AD106,CTGS!AD106)</f>
        <v>0</v>
      </c>
      <c r="AE106" s="87">
        <f>SUM('Defect (Total)'!AE106,Planned!AE106,Reconductor!AE106,CTGS!AE106)</f>
        <v>0</v>
      </c>
      <c r="AF106" s="87">
        <f>SUM('Defect (Total)'!AF106,Planned!AF106,Reconductor!AF106,CTGS!AF106)</f>
        <v>0</v>
      </c>
      <c r="AG106" s="87">
        <f>SUM('Defect (Total)'!AG106,Planned!AG106,Reconductor!AG106,CTGS!AG106)</f>
        <v>0</v>
      </c>
      <c r="AH106" s="87">
        <f>SUM('Defect (Total)'!AH106,Planned!AH106,Reconductor!AH106,CTGS!AH106)</f>
        <v>0</v>
      </c>
      <c r="AI106" s="87">
        <f>SUM('Defect (Total)'!AI106,Planned!AI106,Reconductor!AI106,CTGS!AI106)</f>
        <v>0</v>
      </c>
      <c r="AJ106" s="87">
        <f>SUM('Defect (Total)'!AJ106,Planned!AJ106,Reconductor!AJ106,CTGS!AJ106)</f>
        <v>0</v>
      </c>
      <c r="AK106" s="88">
        <f t="shared" si="43"/>
        <v>0</v>
      </c>
      <c r="AL106" s="89">
        <f t="shared" si="48"/>
        <v>0</v>
      </c>
      <c r="AM106" s="90">
        <f t="shared" si="44"/>
        <v>0</v>
      </c>
      <c r="AN106" s="91" t="str">
        <f t="shared" si="49"/>
        <v/>
      </c>
      <c r="AO106" s="92" t="str">
        <f t="shared" si="50"/>
        <v/>
      </c>
      <c r="AP106" s="92" t="str">
        <f t="shared" si="51"/>
        <v/>
      </c>
      <c r="AQ106" s="92" t="str">
        <f t="shared" si="52"/>
        <v/>
      </c>
      <c r="AR106" s="92" t="str">
        <f t="shared" si="53"/>
        <v/>
      </c>
      <c r="AS106" s="92" t="str">
        <f t="shared" si="54"/>
        <v/>
      </c>
      <c r="AT106" s="92" t="str">
        <f t="shared" si="55"/>
        <v/>
      </c>
      <c r="AU106" s="92" t="str">
        <f t="shared" si="56"/>
        <v/>
      </c>
      <c r="AV106" s="92" t="str">
        <f t="shared" si="57"/>
        <v/>
      </c>
      <c r="AW106" s="92" t="str">
        <f t="shared" si="58"/>
        <v/>
      </c>
      <c r="AX106" s="92" t="str">
        <f t="shared" si="58"/>
        <v/>
      </c>
      <c r="AY106" s="93" t="str">
        <f t="shared" si="59"/>
        <v/>
      </c>
      <c r="AZ106" s="94" t="str">
        <f t="shared" si="41"/>
        <v/>
      </c>
      <c r="BA106" s="95" t="str">
        <f t="shared" si="42"/>
        <v/>
      </c>
      <c r="BB106" s="689">
        <f>SUM('Defect (Total)'!BB106,Planned!CE106,Reconductor!CE106,CTGS!CE106,'Substation 2025$'!CE106*$BL$1,Comms!CA106*$BL$2)</f>
        <v>0</v>
      </c>
      <c r="BC106" s="689">
        <f>SUM('Defect (Total)'!BC106,Planned!CF106,Reconductor!CF106,CTGS!CF106,'Substation 2025$'!CF106*$BL$1,Comms!CB106*$BL$2)</f>
        <v>1</v>
      </c>
      <c r="BD106" s="96">
        <f>SUM('Defect (Total)'!BD106,Planned!CG106,Reconductor!CG106,CTGS!CG106,'Substation 2025$'!CG106*$BL$1,Comms!CC106*$BL$2)</f>
        <v>2</v>
      </c>
      <c r="BE106" s="96">
        <f>SUM('Defect (Total)'!BE106,Planned!CH106,Reconductor!CH106,CTGS!CH106,'Substation 2025$'!CH106*$BL$1,Comms!CD106*$BL$2)</f>
        <v>1</v>
      </c>
      <c r="BF106" s="96">
        <f>SUM('Defect (Total)'!BF106,Planned!CI106,Reconductor!CI106,CTGS!CI106,'Substation 2025$'!CI106*$BL$1,Comms!CE106*$BL$2)</f>
        <v>0</v>
      </c>
      <c r="BG106" s="96">
        <f>SUM('Defect (Total)'!BG106,Planned!CJ106,Reconductor!CJ106,CTGS!CJ106,'Substation 2025$'!CJ106*$BL$1,Comms!CF106*$BL$2)</f>
        <v>3</v>
      </c>
      <c r="BH106" s="96">
        <f>SUM('Defect (Total)'!BH106,Planned!CK106,Reconductor!CK106,CTGS!CK106,'Substation 2025$'!CK106*$BL$1,Comms!CG106*$BL$2)</f>
        <v>0</v>
      </c>
      <c r="BI106" s="286">
        <f>SUM('Defect (Total)'!BI106,Planned!CL106,Reconductor!CL106,CTGS!CL106,'Substation 2025$'!CL106*$BL$1,Comms!CH106*$BL$2)</f>
        <v>0</v>
      </c>
      <c r="BJ106" s="99">
        <f t="shared" si="47"/>
        <v>56843.709908993427</v>
      </c>
      <c r="BK106" s="743"/>
      <c r="BL106" s="97"/>
      <c r="BM106" s="524"/>
      <c r="BN106" s="416">
        <f>'Distribution Summary'!CI106+'Substation 2025$'!CT106</f>
        <v>106193.1265192834</v>
      </c>
      <c r="BO106" s="97">
        <f>'Distribution Summary'!CJ106+'Substation 2025$'!CU106</f>
        <v>95705.163304512549</v>
      </c>
      <c r="BP106" s="97">
        <f>'Distribution Summary'!CK106+'Substation 2025$'!CV106</f>
        <v>25476.549812177749</v>
      </c>
      <c r="BQ106" s="97">
        <f>'Distribution Summary'!CL106+'Substation 2025$'!CW106</f>
        <v>0</v>
      </c>
      <c r="BR106" s="98">
        <f>'Distribution Summary'!CM106+'Substation 2025$'!CX106</f>
        <v>0</v>
      </c>
    </row>
    <row r="107" spans="1:70" x14ac:dyDescent="0.25">
      <c r="A107" s="81" t="s">
        <v>196</v>
      </c>
      <c r="B107" s="82" t="s">
        <v>217</v>
      </c>
      <c r="C107" s="83" t="s">
        <v>218</v>
      </c>
      <c r="D107" s="84">
        <f>SUM('Defect (Total)'!D107,Planned!D107,Reconductor!D107,CTGS!D107)</f>
        <v>0</v>
      </c>
      <c r="E107" s="85">
        <f>SUM('Defect (Total)'!E107,Planned!E107,Reconductor!E107,CTGS!E107)</f>
        <v>0</v>
      </c>
      <c r="F107" s="85">
        <f>SUM('Defect (Total)'!F107,Planned!F107,Reconductor!F107,CTGS!F107)</f>
        <v>0</v>
      </c>
      <c r="G107" s="85">
        <f>SUM('Defect (Total)'!G107,Planned!G107,Reconductor!G107,CTGS!G107)</f>
        <v>0</v>
      </c>
      <c r="H107" s="85">
        <f>SUM('Defect (Total)'!H107,Planned!H107,Reconductor!H107,CTGS!H107)</f>
        <v>0</v>
      </c>
      <c r="I107" s="85">
        <f>SUM('Defect (Total)'!I107,Planned!I107,Reconductor!I107,CTGS!I107)</f>
        <v>0</v>
      </c>
      <c r="J107" s="85">
        <f>SUM('Defect (Total)'!J107,Planned!J107,Reconductor!J107,CTGS!J107)</f>
        <v>0</v>
      </c>
      <c r="K107" s="85">
        <f>SUM('Defect (Total)'!K107,Planned!K107,Reconductor!K107,CTGS!K107)</f>
        <v>0</v>
      </c>
      <c r="L107" s="85">
        <f>SUM('Defect (Total)'!L107,Planned!L107,Reconductor!L107,CTGS!L107)</f>
        <v>0</v>
      </c>
      <c r="M107" s="85">
        <f>SUM('Defect (Total)'!M107,Planned!M107,Reconductor!M107,CTGS!M107)</f>
        <v>0</v>
      </c>
      <c r="N107" s="85">
        <f>SUM('Defect (Total)'!N107,Planned!N107,Reconductor!N107,CTGS!N107)</f>
        <v>0</v>
      </c>
      <c r="O107" s="560">
        <f>SUM('Defect (Total)'!O107,Planned!O107,Reconductor!O107,CTGS!O107)</f>
        <v>0</v>
      </c>
      <c r="P107" s="561">
        <f>SUM('Defect (Total)'!P107,Planned!P107,Reconductor!P107,CTGS!P107)</f>
        <v>0</v>
      </c>
      <c r="Q107" s="561">
        <f>SUM('Defect (Total)'!Q107,Planned!Q107,Reconductor!Q107,CTGS!Q107)</f>
        <v>0</v>
      </c>
      <c r="R107" s="561">
        <f>SUM('Defect (Total)'!R107,Planned!R107,Reconductor!R107,CTGS!R107)</f>
        <v>0</v>
      </c>
      <c r="S107" s="561">
        <f>SUM('Defect (Total)'!S107,Planned!S107,Reconductor!S107,CTGS!S107)</f>
        <v>0</v>
      </c>
      <c r="T107" s="561">
        <f>SUM('Defect (Total)'!T107,Planned!T107,Reconductor!T107,CTGS!T107)</f>
        <v>0</v>
      </c>
      <c r="U107" s="561">
        <f>SUM('Defect (Total)'!U107,Planned!U107,Reconductor!U107,CTGS!U107)</f>
        <v>0</v>
      </c>
      <c r="V107" s="561">
        <f>SUM('Defect (Total)'!V107,Planned!V107,Reconductor!V107,CTGS!V107)</f>
        <v>0</v>
      </c>
      <c r="W107" s="561">
        <f>SUM('Defect (Total)'!W107,Planned!W107,Reconductor!W107,CTGS!W107)</f>
        <v>0</v>
      </c>
      <c r="X107" s="561">
        <f>SUM('Defect (Total)'!X107,Planned!X107,Reconductor!X107,CTGS!X107)</f>
        <v>0</v>
      </c>
      <c r="Y107" s="561">
        <f>SUM('Defect (Total)'!Y107,Planned!Y107,Reconductor!Y107,CTGS!Y107)</f>
        <v>0</v>
      </c>
      <c r="Z107" s="86">
        <f>SUM('Defect (Total)'!Z107,Planned!Z107,Reconductor!Z107,CTGS!Z107)</f>
        <v>0</v>
      </c>
      <c r="AA107" s="87">
        <f>SUM('Defect (Total)'!AA107,Planned!AA107,Reconductor!AA107,CTGS!AA107)</f>
        <v>0</v>
      </c>
      <c r="AB107" s="87">
        <f>SUM('Defect (Total)'!AB107,Planned!AB107,Reconductor!AB107,CTGS!AB107)</f>
        <v>0</v>
      </c>
      <c r="AC107" s="87">
        <f>SUM('Defect (Total)'!AC107,Planned!AC107,Reconductor!AC107,CTGS!AC107)</f>
        <v>0</v>
      </c>
      <c r="AD107" s="87">
        <f>SUM('Defect (Total)'!AD107,Planned!AD107,Reconductor!AD107,CTGS!AD107)</f>
        <v>0</v>
      </c>
      <c r="AE107" s="87">
        <f>SUM('Defect (Total)'!AE107,Planned!AE107,Reconductor!AE107,CTGS!AE107)</f>
        <v>0</v>
      </c>
      <c r="AF107" s="87">
        <f>SUM('Defect (Total)'!AF107,Planned!AF107,Reconductor!AF107,CTGS!AF107)</f>
        <v>0</v>
      </c>
      <c r="AG107" s="87">
        <f>SUM('Defect (Total)'!AG107,Planned!AG107,Reconductor!AG107,CTGS!AG107)</f>
        <v>0</v>
      </c>
      <c r="AH107" s="87">
        <f>SUM('Defect (Total)'!AH107,Planned!AH107,Reconductor!AH107,CTGS!AH107)</f>
        <v>0</v>
      </c>
      <c r="AI107" s="87">
        <f>SUM('Defect (Total)'!AI107,Planned!AI107,Reconductor!AI107,CTGS!AI107)</f>
        <v>0</v>
      </c>
      <c r="AJ107" s="87">
        <f>SUM('Defect (Total)'!AJ107,Planned!AJ107,Reconductor!AJ107,CTGS!AJ107)</f>
        <v>0</v>
      </c>
      <c r="AK107" s="88">
        <f t="shared" si="43"/>
        <v>0</v>
      </c>
      <c r="AL107" s="89">
        <f t="shared" si="48"/>
        <v>0</v>
      </c>
      <c r="AM107" s="90">
        <f t="shared" si="44"/>
        <v>0</v>
      </c>
      <c r="AN107" s="91" t="str">
        <f t="shared" si="49"/>
        <v/>
      </c>
      <c r="AO107" s="92" t="str">
        <f t="shared" si="50"/>
        <v/>
      </c>
      <c r="AP107" s="92" t="str">
        <f t="shared" si="51"/>
        <v/>
      </c>
      <c r="AQ107" s="92" t="str">
        <f t="shared" si="52"/>
        <v/>
      </c>
      <c r="AR107" s="92" t="str">
        <f t="shared" si="53"/>
        <v/>
      </c>
      <c r="AS107" s="92" t="str">
        <f t="shared" si="54"/>
        <v/>
      </c>
      <c r="AT107" s="92" t="str">
        <f t="shared" si="55"/>
        <v/>
      </c>
      <c r="AU107" s="92" t="str">
        <f t="shared" si="56"/>
        <v/>
      </c>
      <c r="AV107" s="92" t="str">
        <f t="shared" si="57"/>
        <v/>
      </c>
      <c r="AW107" s="92" t="str">
        <f t="shared" si="58"/>
        <v/>
      </c>
      <c r="AX107" s="92" t="str">
        <f t="shared" si="58"/>
        <v/>
      </c>
      <c r="AY107" s="93" t="str">
        <f t="shared" si="59"/>
        <v/>
      </c>
      <c r="AZ107" s="94" t="str">
        <f t="shared" si="41"/>
        <v/>
      </c>
      <c r="BA107" s="95" t="str">
        <f t="shared" si="42"/>
        <v/>
      </c>
      <c r="BB107" s="689">
        <f>SUM('Defect (Total)'!BB107,Planned!CE107,Reconductor!CE107,CTGS!CE107,'Substation 2025$'!CE107*$BL$1,Comms!CA107*$BL$2)</f>
        <v>0</v>
      </c>
      <c r="BC107" s="689">
        <f>SUM('Defect (Total)'!BC107,Planned!CF107,Reconductor!CF107,CTGS!CF107,'Substation 2025$'!CF107*$BL$1,Comms!CB107*$BL$2)</f>
        <v>0</v>
      </c>
      <c r="BD107" s="96">
        <f>SUM('Defect (Total)'!BD107,Planned!CG107,Reconductor!CG107,CTGS!CG107,'Substation 2025$'!CG107*$BL$1,Comms!CC107*$BL$2)</f>
        <v>0</v>
      </c>
      <c r="BE107" s="96">
        <f>SUM('Defect (Total)'!BE107,Planned!CH107,Reconductor!CH107,CTGS!CH107,'Substation 2025$'!CH107*$BL$1,Comms!CD107*$BL$2)</f>
        <v>0</v>
      </c>
      <c r="BF107" s="96">
        <f>SUM('Defect (Total)'!BF107,Planned!CI107,Reconductor!CI107,CTGS!CI107,'Substation 2025$'!CI107*$BL$1,Comms!CE107*$BL$2)</f>
        <v>0</v>
      </c>
      <c r="BG107" s="96">
        <f>SUM('Defect (Total)'!BG107,Planned!CJ107,Reconductor!CJ107,CTGS!CJ107,'Substation 2025$'!CJ107*$BL$1,Comms!CF107*$BL$2)</f>
        <v>0</v>
      </c>
      <c r="BH107" s="96">
        <f>SUM('Defect (Total)'!BH107,Planned!CK107,Reconductor!CK107,CTGS!CK107,'Substation 2025$'!CK107*$BL$1,Comms!CG107*$BL$2)</f>
        <v>0</v>
      </c>
      <c r="BI107" s="286">
        <f>SUM('Defect (Total)'!BI107,Planned!CL107,Reconductor!CL107,CTGS!CL107,'Substation 2025$'!CL107*$BL$1,Comms!CH107*$BL$2)</f>
        <v>0</v>
      </c>
      <c r="BJ107" s="99" t="str">
        <f t="shared" si="47"/>
        <v/>
      </c>
      <c r="BK107" s="743"/>
      <c r="BL107" s="97"/>
      <c r="BM107" s="524"/>
      <c r="BN107" s="416">
        <f>'Distribution Summary'!CI107+'Substation 2025$'!CT107</f>
        <v>0</v>
      </c>
      <c r="BO107" s="97">
        <f>'Distribution Summary'!CJ107+'Substation 2025$'!CU107</f>
        <v>0</v>
      </c>
      <c r="BP107" s="97">
        <f>'Distribution Summary'!CK107+'Substation 2025$'!CV107</f>
        <v>0</v>
      </c>
      <c r="BQ107" s="97">
        <f>'Distribution Summary'!CL107+'Substation 2025$'!CW107</f>
        <v>0</v>
      </c>
      <c r="BR107" s="98">
        <f>'Distribution Summary'!CM107+'Substation 2025$'!CX107</f>
        <v>0</v>
      </c>
    </row>
    <row r="108" spans="1:70" x14ac:dyDescent="0.25">
      <c r="A108" s="81" t="s">
        <v>196</v>
      </c>
      <c r="B108" s="82" t="s">
        <v>219</v>
      </c>
      <c r="C108" s="83" t="s">
        <v>220</v>
      </c>
      <c r="D108" s="84">
        <f>SUM('Defect (Total)'!D108,Planned!D108,Reconductor!D108,CTGS!D108)</f>
        <v>0</v>
      </c>
      <c r="E108" s="85">
        <f>SUM('Defect (Total)'!E108,Planned!E108,Reconductor!E108,CTGS!E108)</f>
        <v>0</v>
      </c>
      <c r="F108" s="85">
        <f>SUM('Defect (Total)'!F108,Planned!F108,Reconductor!F108,CTGS!F108)</f>
        <v>0</v>
      </c>
      <c r="G108" s="85">
        <f>SUM('Defect (Total)'!G108,Planned!G108,Reconductor!G108,CTGS!G108)</f>
        <v>0</v>
      </c>
      <c r="H108" s="85">
        <f>SUM('Defect (Total)'!H108,Planned!H108,Reconductor!H108,CTGS!H108)</f>
        <v>0</v>
      </c>
      <c r="I108" s="85">
        <f>SUM('Defect (Total)'!I108,Planned!I108,Reconductor!I108,CTGS!I108)</f>
        <v>0</v>
      </c>
      <c r="J108" s="85">
        <f>SUM('Defect (Total)'!J108,Planned!J108,Reconductor!J108,CTGS!J108)</f>
        <v>0</v>
      </c>
      <c r="K108" s="85">
        <f>SUM('Defect (Total)'!K108,Planned!K108,Reconductor!K108,CTGS!K108)</f>
        <v>0</v>
      </c>
      <c r="L108" s="85">
        <f>SUM('Defect (Total)'!L108,Planned!L108,Reconductor!L108,CTGS!L108)</f>
        <v>0</v>
      </c>
      <c r="M108" s="85">
        <f>SUM('Defect (Total)'!M108,Planned!M108,Reconductor!M108,CTGS!M108)</f>
        <v>0</v>
      </c>
      <c r="N108" s="85">
        <f>SUM('Defect (Total)'!N108,Planned!N108,Reconductor!N108,CTGS!N108)</f>
        <v>0</v>
      </c>
      <c r="O108" s="560">
        <f>SUM('Defect (Total)'!O108,Planned!O108,Reconductor!O108,CTGS!O108)</f>
        <v>0</v>
      </c>
      <c r="P108" s="561">
        <f>SUM('Defect (Total)'!P108,Planned!P108,Reconductor!P108,CTGS!P108)</f>
        <v>0</v>
      </c>
      <c r="Q108" s="561">
        <f>SUM('Defect (Total)'!Q108,Planned!Q108,Reconductor!Q108,CTGS!Q108)</f>
        <v>0</v>
      </c>
      <c r="R108" s="561">
        <f>SUM('Defect (Total)'!R108,Planned!R108,Reconductor!R108,CTGS!R108)</f>
        <v>0</v>
      </c>
      <c r="S108" s="561">
        <f>SUM('Defect (Total)'!S108,Planned!S108,Reconductor!S108,CTGS!S108)</f>
        <v>0</v>
      </c>
      <c r="T108" s="561">
        <f>SUM('Defect (Total)'!T108,Planned!T108,Reconductor!T108,CTGS!T108)</f>
        <v>0</v>
      </c>
      <c r="U108" s="561">
        <f>SUM('Defect (Total)'!U108,Planned!U108,Reconductor!U108,CTGS!U108)</f>
        <v>0</v>
      </c>
      <c r="V108" s="561">
        <f>SUM('Defect (Total)'!V108,Planned!V108,Reconductor!V108,CTGS!V108)</f>
        <v>0</v>
      </c>
      <c r="W108" s="561">
        <f>SUM('Defect (Total)'!W108,Planned!W108,Reconductor!W108,CTGS!W108)</f>
        <v>0</v>
      </c>
      <c r="X108" s="561">
        <f>SUM('Defect (Total)'!X108,Planned!X108,Reconductor!X108,CTGS!X108)</f>
        <v>0</v>
      </c>
      <c r="Y108" s="561">
        <f>SUM('Defect (Total)'!Y108,Planned!Y108,Reconductor!Y108,CTGS!Y108)</f>
        <v>0</v>
      </c>
      <c r="Z108" s="86">
        <f>SUM('Defect (Total)'!Z108,Planned!Z108,Reconductor!Z108,CTGS!Z108)</f>
        <v>0</v>
      </c>
      <c r="AA108" s="87">
        <f>SUM('Defect (Total)'!AA108,Planned!AA108,Reconductor!AA108,CTGS!AA108)</f>
        <v>0</v>
      </c>
      <c r="AB108" s="87">
        <f>SUM('Defect (Total)'!AB108,Planned!AB108,Reconductor!AB108,CTGS!AB108)</f>
        <v>0</v>
      </c>
      <c r="AC108" s="87">
        <f>SUM('Defect (Total)'!AC108,Planned!AC108,Reconductor!AC108,CTGS!AC108)</f>
        <v>0</v>
      </c>
      <c r="AD108" s="87">
        <f>SUM('Defect (Total)'!AD108,Planned!AD108,Reconductor!AD108,CTGS!AD108)</f>
        <v>0</v>
      </c>
      <c r="AE108" s="87">
        <f>SUM('Defect (Total)'!AE108,Planned!AE108,Reconductor!AE108,CTGS!AE108)</f>
        <v>0</v>
      </c>
      <c r="AF108" s="87">
        <f>SUM('Defect (Total)'!AF108,Planned!AF108,Reconductor!AF108,CTGS!AF108)</f>
        <v>0</v>
      </c>
      <c r="AG108" s="87">
        <f>SUM('Defect (Total)'!AG108,Planned!AG108,Reconductor!AG108,CTGS!AG108)</f>
        <v>0</v>
      </c>
      <c r="AH108" s="87">
        <f>SUM('Defect (Total)'!AH108,Planned!AH108,Reconductor!AH108,CTGS!AH108)</f>
        <v>0</v>
      </c>
      <c r="AI108" s="87">
        <f>SUM('Defect (Total)'!AI108,Planned!AI108,Reconductor!AI108,CTGS!AI108)</f>
        <v>0</v>
      </c>
      <c r="AJ108" s="87">
        <f>SUM('Defect (Total)'!AJ108,Planned!AJ108,Reconductor!AJ108,CTGS!AJ108)</f>
        <v>0</v>
      </c>
      <c r="AK108" s="88">
        <f t="shared" si="43"/>
        <v>0</v>
      </c>
      <c r="AL108" s="89">
        <f t="shared" si="48"/>
        <v>0</v>
      </c>
      <c r="AM108" s="90">
        <f t="shared" si="44"/>
        <v>0</v>
      </c>
      <c r="AN108" s="91" t="str">
        <f t="shared" si="49"/>
        <v/>
      </c>
      <c r="AO108" s="92" t="str">
        <f t="shared" si="50"/>
        <v/>
      </c>
      <c r="AP108" s="92" t="str">
        <f t="shared" si="51"/>
        <v/>
      </c>
      <c r="AQ108" s="92" t="str">
        <f t="shared" si="52"/>
        <v/>
      </c>
      <c r="AR108" s="92" t="str">
        <f t="shared" si="53"/>
        <v/>
      </c>
      <c r="AS108" s="92" t="str">
        <f t="shared" si="54"/>
        <v/>
      </c>
      <c r="AT108" s="92" t="str">
        <f t="shared" si="55"/>
        <v/>
      </c>
      <c r="AU108" s="92" t="str">
        <f t="shared" si="56"/>
        <v/>
      </c>
      <c r="AV108" s="92" t="str">
        <f t="shared" si="57"/>
        <v/>
      </c>
      <c r="AW108" s="92" t="str">
        <f t="shared" si="58"/>
        <v/>
      </c>
      <c r="AX108" s="92" t="str">
        <f t="shared" si="58"/>
        <v/>
      </c>
      <c r="AY108" s="93" t="str">
        <f t="shared" si="59"/>
        <v/>
      </c>
      <c r="AZ108" s="94" t="str">
        <f t="shared" si="41"/>
        <v/>
      </c>
      <c r="BA108" s="95" t="str">
        <f t="shared" si="42"/>
        <v/>
      </c>
      <c r="BB108" s="689">
        <f>SUM('Defect (Total)'!BB108,Planned!CE108,Reconductor!CE108,CTGS!CE108,'Substation 2025$'!CE108*$BL$1,Comms!CA108*$BL$2)</f>
        <v>0</v>
      </c>
      <c r="BC108" s="689">
        <f>SUM('Defect (Total)'!BC108,Planned!CF108,Reconductor!CF108,CTGS!CF108,'Substation 2025$'!CF108*$BL$1,Comms!CB108*$BL$2)</f>
        <v>0</v>
      </c>
      <c r="BD108" s="96">
        <f>SUM('Defect (Total)'!BD108,Planned!CG108,Reconductor!CG108,CTGS!CG108,'Substation 2025$'!CG108*$BL$1,Comms!CC108*$BL$2)</f>
        <v>0</v>
      </c>
      <c r="BE108" s="96">
        <f>SUM('Defect (Total)'!BE108,Planned!CH108,Reconductor!CH108,CTGS!CH108,'Substation 2025$'!CH108*$BL$1,Comms!CD108*$BL$2)</f>
        <v>0</v>
      </c>
      <c r="BF108" s="96">
        <f>SUM('Defect (Total)'!BF108,Planned!CI108,Reconductor!CI108,CTGS!CI108,'Substation 2025$'!CI108*$BL$1,Comms!CE108*$BL$2)</f>
        <v>0</v>
      </c>
      <c r="BG108" s="96">
        <f>SUM('Defect (Total)'!BG108,Planned!CJ108,Reconductor!CJ108,CTGS!CJ108,'Substation 2025$'!CJ108*$BL$1,Comms!CF108*$BL$2)</f>
        <v>0</v>
      </c>
      <c r="BH108" s="96">
        <f>SUM('Defect (Total)'!BH108,Planned!CK108,Reconductor!CK108,CTGS!CK108,'Substation 2025$'!CK108*$BL$1,Comms!CG108*$BL$2)</f>
        <v>0</v>
      </c>
      <c r="BI108" s="286">
        <f>SUM('Defect (Total)'!BI108,Planned!CL108,Reconductor!CL108,CTGS!CL108,'Substation 2025$'!CL108*$BL$1,Comms!CH108*$BL$2)</f>
        <v>0</v>
      </c>
      <c r="BJ108" s="99" t="str">
        <f t="shared" si="47"/>
        <v/>
      </c>
      <c r="BK108" s="743"/>
      <c r="BL108" s="97"/>
      <c r="BM108" s="524"/>
      <c r="BN108" s="416">
        <f>'Distribution Summary'!CI108+'Substation 2025$'!CT108</f>
        <v>0</v>
      </c>
      <c r="BO108" s="97">
        <f>'Distribution Summary'!CJ108+'Substation 2025$'!CU108</f>
        <v>0</v>
      </c>
      <c r="BP108" s="97">
        <f>'Distribution Summary'!CK108+'Substation 2025$'!CV108</f>
        <v>0</v>
      </c>
      <c r="BQ108" s="97">
        <f>'Distribution Summary'!CL108+'Substation 2025$'!CW108</f>
        <v>0</v>
      </c>
      <c r="BR108" s="98">
        <f>'Distribution Summary'!CM108+'Substation 2025$'!CX108</f>
        <v>0</v>
      </c>
    </row>
    <row r="109" spans="1:70" ht="15.75" thickBot="1" x14ac:dyDescent="0.3">
      <c r="A109" s="100" t="s">
        <v>196</v>
      </c>
      <c r="B109" s="101" t="s">
        <v>393</v>
      </c>
      <c r="C109" s="102" t="s">
        <v>394</v>
      </c>
      <c r="D109" s="103">
        <f>SUM('Defect (Total)'!D109,Planned!D109,Reconductor!D109,CTGS!D109)</f>
        <v>0</v>
      </c>
      <c r="E109" s="104">
        <f>SUM('Defect (Total)'!E109,Planned!E109,Reconductor!E109,CTGS!E109)</f>
        <v>0</v>
      </c>
      <c r="F109" s="104">
        <f>SUM('Defect (Total)'!F109,Planned!F109,Reconductor!F109,CTGS!F109)</f>
        <v>45060</v>
      </c>
      <c r="G109" s="104">
        <f>SUM('Defect (Total)'!G109,Planned!G109,Reconductor!G109,CTGS!G109)</f>
        <v>0</v>
      </c>
      <c r="H109" s="104">
        <f>SUM('Defect (Total)'!H109,Planned!H109,Reconductor!H109,CTGS!H109)</f>
        <v>0</v>
      </c>
      <c r="I109" s="104">
        <f>SUM('Defect (Total)'!I109,Planned!I109,Reconductor!I109,CTGS!I109)</f>
        <v>0</v>
      </c>
      <c r="J109" s="104">
        <f>SUM('Defect (Total)'!J109,Planned!J109,Reconductor!J109,CTGS!J109)</f>
        <v>0</v>
      </c>
      <c r="K109" s="104">
        <f>SUM('Defect (Total)'!K109,Planned!K109,Reconductor!K109,CTGS!K109)</f>
        <v>0</v>
      </c>
      <c r="L109" s="104">
        <f>SUM('Defect (Total)'!L109,Planned!L109,Reconductor!L109,CTGS!L109)</f>
        <v>0</v>
      </c>
      <c r="M109" s="104">
        <f>SUM('Defect (Total)'!M109,Planned!M109,Reconductor!M109,CTGS!M109)</f>
        <v>0</v>
      </c>
      <c r="N109" s="104">
        <f>SUM('Defect (Total)'!N109,Planned!N109,Reconductor!N109,CTGS!N109)</f>
        <v>0</v>
      </c>
      <c r="O109" s="563">
        <f>SUM('Defect (Total)'!O109,Planned!O109,Reconductor!O109,CTGS!O109)</f>
        <v>0</v>
      </c>
      <c r="P109" s="564">
        <f>SUM('Defect (Total)'!P109,Planned!P109,Reconductor!P109,CTGS!P109)</f>
        <v>0</v>
      </c>
      <c r="Q109" s="564">
        <f>SUM('Defect (Total)'!Q109,Planned!Q109,Reconductor!Q109,CTGS!Q109)</f>
        <v>59118.978992920638</v>
      </c>
      <c r="R109" s="564">
        <f>SUM('Defect (Total)'!R109,Planned!R109,Reconductor!R109,CTGS!R109)</f>
        <v>0</v>
      </c>
      <c r="S109" s="564">
        <f>SUM('Defect (Total)'!S109,Planned!S109,Reconductor!S109,CTGS!S109)</f>
        <v>0</v>
      </c>
      <c r="T109" s="564">
        <f>SUM('Defect (Total)'!T109,Planned!T109,Reconductor!T109,CTGS!T109)</f>
        <v>0</v>
      </c>
      <c r="U109" s="564">
        <f>SUM('Defect (Total)'!U109,Planned!U109,Reconductor!U109,CTGS!U109)</f>
        <v>0</v>
      </c>
      <c r="V109" s="564">
        <f>SUM('Defect (Total)'!V109,Planned!V109,Reconductor!V109,CTGS!V109)</f>
        <v>0</v>
      </c>
      <c r="W109" s="564">
        <f>SUM('Defect (Total)'!W109,Planned!W109,Reconductor!W109,CTGS!W109)</f>
        <v>0</v>
      </c>
      <c r="X109" s="564">
        <f>SUM('Defect (Total)'!X109,Planned!X109,Reconductor!X109,CTGS!X109)</f>
        <v>0</v>
      </c>
      <c r="Y109" s="564">
        <f>SUM('Defect (Total)'!Y109,Planned!Y109,Reconductor!Y109,CTGS!Y109)</f>
        <v>0</v>
      </c>
      <c r="Z109" s="105">
        <f>SUM('Defect (Total)'!Z109,Planned!Z109,Reconductor!Z109,CTGS!Z109)</f>
        <v>0</v>
      </c>
      <c r="AA109" s="106">
        <f>SUM('Defect (Total)'!AA109,Planned!AA109,Reconductor!AA109,CTGS!AA109)</f>
        <v>0</v>
      </c>
      <c r="AB109" s="106">
        <f>SUM('Defect (Total)'!AB109,Planned!AB109,Reconductor!AB109,CTGS!AB109)</f>
        <v>1</v>
      </c>
      <c r="AC109" s="106">
        <f>SUM('Defect (Total)'!AC109,Planned!AC109,Reconductor!AC109,CTGS!AC109)</f>
        <v>0</v>
      </c>
      <c r="AD109" s="106">
        <f>SUM('Defect (Total)'!AD109,Planned!AD109,Reconductor!AD109,CTGS!AD109)</f>
        <v>0</v>
      </c>
      <c r="AE109" s="106">
        <f>SUM('Defect (Total)'!AE109,Planned!AE109,Reconductor!AE109,CTGS!AE109)</f>
        <v>0</v>
      </c>
      <c r="AF109" s="106">
        <f>SUM('Defect (Total)'!AF109,Planned!AF109,Reconductor!AF109,CTGS!AF109)</f>
        <v>0</v>
      </c>
      <c r="AG109" s="106">
        <f>SUM('Defect (Total)'!AG109,Planned!AG109,Reconductor!AG109,CTGS!AG109)</f>
        <v>0</v>
      </c>
      <c r="AH109" s="106">
        <f>SUM('Defect (Total)'!AH109,Planned!AH109,Reconductor!AH109,CTGS!AH109)</f>
        <v>0</v>
      </c>
      <c r="AI109" s="106">
        <f>SUM('Defect (Total)'!AI109,Planned!AI109,Reconductor!AI109,CTGS!AI109)</f>
        <v>0</v>
      </c>
      <c r="AJ109" s="106">
        <f>SUM('Defect (Total)'!AJ109,Planned!AJ109,Reconductor!AJ109,CTGS!AJ109)</f>
        <v>0</v>
      </c>
      <c r="AK109" s="107">
        <f t="shared" si="43"/>
        <v>0</v>
      </c>
      <c r="AL109" s="108">
        <f t="shared" si="48"/>
        <v>0</v>
      </c>
      <c r="AM109" s="109">
        <f t="shared" si="44"/>
        <v>0</v>
      </c>
      <c r="AN109" s="110" t="str">
        <f t="shared" si="49"/>
        <v/>
      </c>
      <c r="AO109" s="111" t="str">
        <f t="shared" si="50"/>
        <v/>
      </c>
      <c r="AP109" s="111">
        <f t="shared" si="51"/>
        <v>45060</v>
      </c>
      <c r="AQ109" s="111" t="str">
        <f t="shared" si="52"/>
        <v/>
      </c>
      <c r="AR109" s="111" t="str">
        <f t="shared" si="53"/>
        <v/>
      </c>
      <c r="AS109" s="111" t="str">
        <f t="shared" si="54"/>
        <v/>
      </c>
      <c r="AT109" s="111" t="str">
        <f t="shared" si="55"/>
        <v/>
      </c>
      <c r="AU109" s="111" t="str">
        <f t="shared" si="56"/>
        <v/>
      </c>
      <c r="AV109" s="111" t="str">
        <f t="shared" si="57"/>
        <v/>
      </c>
      <c r="AW109" s="111" t="str">
        <f t="shared" si="58"/>
        <v/>
      </c>
      <c r="AX109" s="111" t="str">
        <f t="shared" si="58"/>
        <v/>
      </c>
      <c r="AY109" s="112" t="str">
        <f t="shared" si="59"/>
        <v/>
      </c>
      <c r="AZ109" s="113" t="str">
        <f t="shared" si="41"/>
        <v/>
      </c>
      <c r="BA109" s="114" t="str">
        <f t="shared" si="42"/>
        <v/>
      </c>
      <c r="BB109" s="690">
        <f>SUM('Defect (Total)'!BB109,Planned!CE109,Reconductor!CE109,CTGS!CE109,'Substation 2025$'!CE109*$BL$1,Comms!CA109*$BL$2)</f>
        <v>0</v>
      </c>
      <c r="BC109" s="690">
        <f>SUM('Defect (Total)'!BC109,Planned!CF109,Reconductor!CF109,CTGS!CF109,'Substation 2025$'!CF109*$BL$1,Comms!CB109*$BL$2)</f>
        <v>0</v>
      </c>
      <c r="BD109" s="115">
        <f>SUM('Defect (Total)'!BD109,Planned!CG109,Reconductor!CG109,CTGS!CG109,'Substation 2025$'!CG109*$BL$1,Comms!CC109*$BL$2)</f>
        <v>0</v>
      </c>
      <c r="BE109" s="115">
        <f>SUM('Defect (Total)'!BE109,Planned!CH109,Reconductor!CH109,CTGS!CH109,'Substation 2025$'!CH109*$BL$1,Comms!CD109*$BL$2)</f>
        <v>0</v>
      </c>
      <c r="BF109" s="115">
        <f>SUM('Defect (Total)'!BF109,Planned!CI109,Reconductor!CI109,CTGS!CI109,'Substation 2025$'!CI109*$BL$1,Comms!CE109*$BL$2)</f>
        <v>0</v>
      </c>
      <c r="BG109" s="115">
        <f>SUM('Defect (Total)'!BG109,Planned!CJ109,Reconductor!CJ109,CTGS!CJ109,'Substation 2025$'!CJ109*$BL$1,Comms!CF109*$BL$2)</f>
        <v>0</v>
      </c>
      <c r="BH109" s="115">
        <f>SUM('Defect (Total)'!BH109,Planned!CK109,Reconductor!CK109,CTGS!CK109,'Substation 2025$'!CK109*$BL$1,Comms!CG109*$BL$2)</f>
        <v>0</v>
      </c>
      <c r="BI109" s="287">
        <f>SUM('Defect (Total)'!BI109,Planned!CL109,Reconductor!CL109,CTGS!CL109,'Substation 2025$'!CL109*$BL$1,Comms!CH109*$BL$2)</f>
        <v>0</v>
      </c>
      <c r="BJ109" s="116" t="str">
        <f t="shared" si="47"/>
        <v/>
      </c>
      <c r="BK109" s="744"/>
      <c r="BL109" s="117"/>
      <c r="BM109" s="638"/>
      <c r="BN109" s="467">
        <f>'Distribution Summary'!CI109+'Substation 2025$'!CT109</f>
        <v>0</v>
      </c>
      <c r="BO109" s="117">
        <f>'Distribution Summary'!CJ109+'Substation 2025$'!CU109</f>
        <v>0</v>
      </c>
      <c r="BP109" s="117">
        <f>'Distribution Summary'!CK109+'Substation 2025$'!CV109</f>
        <v>0</v>
      </c>
      <c r="BQ109" s="117">
        <f>'Distribution Summary'!CL109+'Substation 2025$'!CW109</f>
        <v>0</v>
      </c>
      <c r="BR109" s="118">
        <f>'Distribution Summary'!CM109+'Substation 2025$'!CX109</f>
        <v>0</v>
      </c>
    </row>
    <row r="110" spans="1:70" x14ac:dyDescent="0.25">
      <c r="A110" s="63" t="s">
        <v>224</v>
      </c>
      <c r="B110" s="64" t="s">
        <v>221</v>
      </c>
      <c r="C110" s="65" t="s">
        <v>395</v>
      </c>
      <c r="D110" s="66">
        <f>SUM('Defect (Total)'!D110,Planned!D110,Reconductor!D110,CTGS!D110)</f>
        <v>556013</v>
      </c>
      <c r="E110" s="67">
        <f>SUM('Defect (Total)'!E110,Planned!E110,Reconductor!E110,CTGS!E110)</f>
        <v>754700</v>
      </c>
      <c r="F110" s="67">
        <f>SUM('Defect (Total)'!F110,Planned!F110,Reconductor!F110,CTGS!F110)</f>
        <v>898408</v>
      </c>
      <c r="G110" s="67">
        <f>SUM('Defect (Total)'!G110,Planned!G110,Reconductor!G110,CTGS!G110)</f>
        <v>912075.20484481123</v>
      </c>
      <c r="H110" s="67">
        <f>SUM('Defect (Total)'!H110,Planned!H110,Reconductor!H110,CTGS!H110)</f>
        <v>1168840</v>
      </c>
      <c r="I110" s="67">
        <f>SUM('Defect (Total)'!I110,Planned!I110,Reconductor!I110,CTGS!I110)</f>
        <v>1187985.8409988044</v>
      </c>
      <c r="J110" s="67">
        <f>SUM('Defect (Total)'!J110,Planned!J110,Reconductor!J110,CTGS!J110)</f>
        <v>1289452.1432547553</v>
      </c>
      <c r="K110" s="67">
        <f>SUM('Defect (Total)'!K110,Planned!K110,Reconductor!K110,CTGS!K110)</f>
        <v>958659.04818659043</v>
      </c>
      <c r="L110" s="67">
        <f>SUM('Defect (Total)'!L110,Planned!L110,Reconductor!L110,CTGS!L110)</f>
        <v>938646.92503547622</v>
      </c>
      <c r="M110" s="67">
        <f>SUM('Defect (Total)'!M110,Planned!M110,Reconductor!M110,CTGS!M110)</f>
        <v>1110161.1377186542</v>
      </c>
      <c r="N110" s="67">
        <f>SUM('Defect (Total)'!N110,Planned!N110,Reconductor!N110,CTGS!N110)</f>
        <v>1247.6600000000001</v>
      </c>
      <c r="O110" s="557">
        <f>SUM('Defect (Total)'!O110,Planned!O110,Reconductor!O110,CTGS!O110)</f>
        <v>748091.20441100642</v>
      </c>
      <c r="P110" s="558">
        <f>SUM('Defect (Total)'!P110,Planned!P110,Reconductor!P110,CTGS!P110)</f>
        <v>1000302.7174580565</v>
      </c>
      <c r="Q110" s="558">
        <f>SUM('Defect (Total)'!Q110,Planned!Q110,Reconductor!Q110,CTGS!Q110)</f>
        <v>1178716.4598107378</v>
      </c>
      <c r="R110" s="558">
        <f>SUM('Defect (Total)'!R110,Planned!R110,Reconductor!R110,CTGS!R110)</f>
        <v>1173947.2732422217</v>
      </c>
      <c r="S110" s="558">
        <f>SUM('Defect (Total)'!S110,Planned!S110,Reconductor!S110,CTGS!S110)</f>
        <v>1473812.3281643884</v>
      </c>
      <c r="T110" s="558">
        <f>SUM('Defect (Total)'!T110,Planned!T110,Reconductor!T110,CTGS!T110)</f>
        <v>1474466.6003979691</v>
      </c>
      <c r="U110" s="558">
        <f>SUM('Defect (Total)'!U110,Planned!U110,Reconductor!U110,CTGS!U110)</f>
        <v>1605997.1372285951</v>
      </c>
      <c r="V110" s="558">
        <f>SUM('Defect (Total)'!V110,Planned!V110,Reconductor!V110,CTGS!V110)</f>
        <v>1149776.1556680943</v>
      </c>
      <c r="W110" s="558">
        <f>SUM('Defect (Total)'!W110,Planned!W110,Reconductor!W110,CTGS!W110)</f>
        <v>1060602.7236824576</v>
      </c>
      <c r="X110" s="558">
        <f>SUM('Defect (Total)'!X110,Planned!X110,Reconductor!X110,CTGS!X110)</f>
        <v>1180612.9916297342</v>
      </c>
      <c r="Y110" s="558">
        <f>SUM('Defect (Total)'!Y110,Planned!Y110,Reconductor!Y110,CTGS!Y110)</f>
        <v>317578.72582844301</v>
      </c>
      <c r="Z110" s="68">
        <f>SUM('Defect (Total)'!Z110,Planned!Z110,Reconductor!Z110,CTGS!Z110)</f>
        <v>184</v>
      </c>
      <c r="AA110" s="69">
        <f>SUM('Defect (Total)'!AA110,Planned!AA110,Reconductor!AA110,CTGS!AA110)</f>
        <v>288</v>
      </c>
      <c r="AB110" s="69">
        <f>SUM('Defect (Total)'!AB110,Planned!AB110,Reconductor!AB110,CTGS!AB110)</f>
        <v>285</v>
      </c>
      <c r="AC110" s="69">
        <f>SUM('Defect (Total)'!AC110,Planned!AC110,Reconductor!AC110,CTGS!AC110)</f>
        <v>306</v>
      </c>
      <c r="AD110" s="69">
        <f>SUM('Defect (Total)'!AD110,Planned!AD110,Reconductor!AD110,CTGS!AD110)</f>
        <v>323</v>
      </c>
      <c r="AE110" s="69">
        <f>SUM('Defect (Total)'!AE110,Planned!AE110,Reconductor!AE110,CTGS!AE110)</f>
        <v>351</v>
      </c>
      <c r="AF110" s="69">
        <f>SUM('Defect (Total)'!AF110,Planned!AF110,Reconductor!AF110,CTGS!AF110)</f>
        <v>471</v>
      </c>
      <c r="AG110" s="69">
        <f>SUM('Defect (Total)'!AG110,Planned!AG110,Reconductor!AG110,CTGS!AG110)</f>
        <v>370</v>
      </c>
      <c r="AH110" s="69">
        <f>SUM('Defect (Total)'!AH110,Planned!AH110,Reconductor!AH110,CTGS!AH110)</f>
        <v>251</v>
      </c>
      <c r="AI110" s="69">
        <f>SUM('Defect (Total)'!AI110,Planned!AI110,Reconductor!AI110,CTGS!AI110)</f>
        <v>247</v>
      </c>
      <c r="AJ110" s="69">
        <f>SUM('Defect (Total)'!AJ110,Planned!AJ110,Reconductor!AJ110,CTGS!AJ110)</f>
        <v>3</v>
      </c>
      <c r="AK110" s="70">
        <f t="shared" si="43"/>
        <v>353.2</v>
      </c>
      <c r="AL110" s="71">
        <f t="shared" si="48"/>
        <v>364</v>
      </c>
      <c r="AM110" s="72">
        <f t="shared" si="44"/>
        <v>251</v>
      </c>
      <c r="AN110" s="73">
        <f t="shared" si="49"/>
        <v>3021.8097826086955</v>
      </c>
      <c r="AO110" s="74">
        <f t="shared" si="50"/>
        <v>2620.4861111111113</v>
      </c>
      <c r="AP110" s="74">
        <f t="shared" si="51"/>
        <v>3152.3087719298246</v>
      </c>
      <c r="AQ110" s="74">
        <f t="shared" si="52"/>
        <v>2980.6379243294487</v>
      </c>
      <c r="AR110" s="74">
        <f t="shared" si="53"/>
        <v>3618.6996904024768</v>
      </c>
      <c r="AS110" s="74">
        <f t="shared" si="54"/>
        <v>3384.5750455806392</v>
      </c>
      <c r="AT110" s="74">
        <f t="shared" si="55"/>
        <v>2737.6903253816463</v>
      </c>
      <c r="AU110" s="74">
        <f t="shared" si="56"/>
        <v>2590.9704005042986</v>
      </c>
      <c r="AV110" s="74">
        <f t="shared" si="57"/>
        <v>3739.6291834082717</v>
      </c>
      <c r="AW110" s="74">
        <f t="shared" si="58"/>
        <v>4494.579504933823</v>
      </c>
      <c r="AX110" s="74">
        <f t="shared" si="58"/>
        <v>415.88666666666671</v>
      </c>
      <c r="AY110" s="75">
        <f t="shared" si="59"/>
        <v>3139.0622635762325</v>
      </c>
      <c r="AZ110" s="76">
        <f t="shared" si="41"/>
        <v>2918.2766634403133</v>
      </c>
      <c r="BA110" s="77">
        <f t="shared" si="42"/>
        <v>3739.6291834082717</v>
      </c>
      <c r="BB110" s="688">
        <f>SUM('Defect (Total)'!BB110,Planned!CE110,Reconductor!CE110,CTGS!CE110,'Substation 2025$'!CE110*$BL$1,Comms!CA110*$BL$2)</f>
        <v>0</v>
      </c>
      <c r="BC110" s="688">
        <f>SUM('Defect (Total)'!BC110,Planned!CF110,Reconductor!CF110,CTGS!CF110,'Substation 2025$'!CF110*$BL$1,Comms!CB110*$BL$2)</f>
        <v>0</v>
      </c>
      <c r="BD110" s="78">
        <f>SUM('Defect (Total)'!BD110,Planned!CG110,Reconductor!CG110,CTGS!CG110,'Substation 2025$'!CG110*$BL$1,Comms!CC110*$BL$2)</f>
        <v>0</v>
      </c>
      <c r="BE110" s="78">
        <f>SUM('Defect (Total)'!BE110,Planned!CH110,Reconductor!CH110,CTGS!CH110,'Substation 2025$'!CH110*$BL$1,Comms!CD110*$BL$2)</f>
        <v>0</v>
      </c>
      <c r="BF110" s="78">
        <f>SUM('Defect (Total)'!BF110,Planned!CI110,Reconductor!CI110,CTGS!CI110,'Substation 2025$'!CI110*$BL$1,Comms!CE110*$BL$2)</f>
        <v>0</v>
      </c>
      <c r="BG110" s="78">
        <f>SUM('Defect (Total)'!BG110,Planned!CJ110,Reconductor!CJ110,CTGS!CJ110,'Substation 2025$'!CJ110*$BL$1,Comms!CF110*$BL$2)</f>
        <v>0</v>
      </c>
      <c r="BH110" s="78">
        <f>SUM('Defect (Total)'!BH110,Planned!CK110,Reconductor!CK110,CTGS!CK110,'Substation 2025$'!CK110*$BL$1,Comms!CG110*$BL$2)</f>
        <v>0</v>
      </c>
      <c r="BI110" s="285">
        <f>SUM('Defect (Total)'!BI110,Planned!CL110,Reconductor!CL110,CTGS!CL110,'Substation 2025$'!CL110*$BL$1,Comms!CH110*$BL$2)</f>
        <v>0</v>
      </c>
      <c r="BJ110" s="124" t="str">
        <f t="shared" si="47"/>
        <v/>
      </c>
      <c r="BK110" s="742"/>
      <c r="BL110" s="79"/>
      <c r="BM110" s="523"/>
      <c r="BN110" s="415">
        <f>'Distribution Summary'!CI110+'Substation 2025$'!CT110</f>
        <v>0</v>
      </c>
      <c r="BO110" s="79">
        <f>'Distribution Summary'!CJ110+'Substation 2025$'!CU110</f>
        <v>0</v>
      </c>
      <c r="BP110" s="79">
        <f>'Distribution Summary'!CK110+'Substation 2025$'!CV110</f>
        <v>0</v>
      </c>
      <c r="BQ110" s="79">
        <f>'Distribution Summary'!CL110+'Substation 2025$'!CW110</f>
        <v>0</v>
      </c>
      <c r="BR110" s="80">
        <f>'Distribution Summary'!CM110+'Substation 2025$'!CX110</f>
        <v>0</v>
      </c>
    </row>
    <row r="111" spans="1:70" x14ac:dyDescent="0.25">
      <c r="A111" s="81" t="s">
        <v>224</v>
      </c>
      <c r="B111" s="82" t="s">
        <v>225</v>
      </c>
      <c r="C111" s="83" t="s">
        <v>396</v>
      </c>
      <c r="D111" s="84">
        <f>SUM('Defect (Total)'!D111,Planned!D111,Reconductor!D111,CTGS!D111)</f>
        <v>1194146</v>
      </c>
      <c r="E111" s="85">
        <f>SUM('Defect (Total)'!E111,Planned!E111,Reconductor!E111,CTGS!E111)</f>
        <v>2200169.9999999995</v>
      </c>
      <c r="F111" s="85">
        <f>SUM('Defect (Total)'!F111,Planned!F111,Reconductor!F111,CTGS!F111)</f>
        <v>1234867</v>
      </c>
      <c r="G111" s="85">
        <f>SUM('Defect (Total)'!G111,Planned!G111,Reconductor!G111,CTGS!G111)</f>
        <v>1871159.4359033722</v>
      </c>
      <c r="H111" s="85">
        <f>SUM('Defect (Total)'!H111,Planned!H111,Reconductor!H111,CTGS!H111)</f>
        <v>1051186</v>
      </c>
      <c r="I111" s="85">
        <f>SUM('Defect (Total)'!I111,Planned!I111,Reconductor!I111,CTGS!I111)</f>
        <v>1592848.490974853</v>
      </c>
      <c r="J111" s="85">
        <f>SUM('Defect (Total)'!J111,Planned!J111,Reconductor!J111,CTGS!J111)</f>
        <v>3000057.616529163</v>
      </c>
      <c r="K111" s="85">
        <f>SUM('Defect (Total)'!K111,Planned!K111,Reconductor!K111,CTGS!K111)</f>
        <v>1322073.5502679709</v>
      </c>
      <c r="L111" s="85">
        <f>SUM('Defect (Total)'!L111,Planned!L111,Reconductor!L111,CTGS!L111)</f>
        <v>1026270.1148063598</v>
      </c>
      <c r="M111" s="85">
        <f>SUM('Defect (Total)'!M111,Planned!M111,Reconductor!M111,CTGS!M111)</f>
        <v>1334773.2962086189</v>
      </c>
      <c r="N111" s="85">
        <f>SUM('Defect (Total)'!N111,Planned!N111,Reconductor!N111,CTGS!N111)</f>
        <v>615718.86</v>
      </c>
      <c r="O111" s="560">
        <f>SUM('Defect (Total)'!O111,Planned!O111,Reconductor!O111,CTGS!O111)</f>
        <v>1606671.2817552567</v>
      </c>
      <c r="P111" s="561">
        <f>SUM('Defect (Total)'!P111,Planned!P111,Reconductor!P111,CTGS!P111)</f>
        <v>2916173.3534777951</v>
      </c>
      <c r="Q111" s="561">
        <f>SUM('Defect (Total)'!Q111,Planned!Q111,Reconductor!Q111,CTGS!Q111)</f>
        <v>1620152.6016877701</v>
      </c>
      <c r="R111" s="561">
        <f>SUM('Defect (Total)'!R111,Planned!R111,Reconductor!R111,CTGS!R111)</f>
        <v>2408400.6515164226</v>
      </c>
      <c r="S111" s="561">
        <f>SUM('Defect (Total)'!S111,Planned!S111,Reconductor!S111,CTGS!S111)</f>
        <v>1325460.1878732853</v>
      </c>
      <c r="T111" s="561">
        <f>SUM('Defect (Total)'!T111,Planned!T111,Reconductor!T111,CTGS!T111)</f>
        <v>1976961.1879061863</v>
      </c>
      <c r="U111" s="561">
        <f>SUM('Defect (Total)'!U111,Planned!U111,Reconductor!U111,CTGS!U111)</f>
        <v>3736535.6821271158</v>
      </c>
      <c r="V111" s="561">
        <f>SUM('Defect (Total)'!V111,Planned!V111,Reconductor!V111,CTGS!V111)</f>
        <v>1585640.5330059652</v>
      </c>
      <c r="W111" s="561">
        <f>SUM('Defect (Total)'!W111,Planned!W111,Reconductor!W111,CTGS!W111)</f>
        <v>1159610.5521321502</v>
      </c>
      <c r="X111" s="561">
        <f>SUM('Defect (Total)'!X111,Planned!X111,Reconductor!X111,CTGS!X111)</f>
        <v>1419479.2457090162</v>
      </c>
      <c r="Y111" s="561">
        <f>SUM('Defect (Total)'!Y111,Planned!Y111,Reconductor!Y111,CTGS!Y111)</f>
        <v>2833445.4716554563</v>
      </c>
      <c r="Z111" s="86">
        <f>SUM('Defect (Total)'!Z111,Planned!Z111,Reconductor!Z111,CTGS!Z111)</f>
        <v>760</v>
      </c>
      <c r="AA111" s="87">
        <f>SUM('Defect (Total)'!AA111,Planned!AA111,Reconductor!AA111,CTGS!AA111)</f>
        <v>1158</v>
      </c>
      <c r="AB111" s="87">
        <f>SUM('Defect (Total)'!AB111,Planned!AB111,Reconductor!AB111,CTGS!AB111)</f>
        <v>610</v>
      </c>
      <c r="AC111" s="87">
        <f>SUM('Defect (Total)'!AC111,Planned!AC111,Reconductor!AC111,CTGS!AC111)</f>
        <v>673</v>
      </c>
      <c r="AD111" s="87">
        <f>SUM('Defect (Total)'!AD111,Planned!AD111,Reconductor!AD111,CTGS!AD111)</f>
        <v>587</v>
      </c>
      <c r="AE111" s="87">
        <f>SUM('Defect (Total)'!AE111,Planned!AE111,Reconductor!AE111,CTGS!AE111)</f>
        <v>674</v>
      </c>
      <c r="AF111" s="87">
        <f>SUM('Defect (Total)'!AF111,Planned!AF111,Reconductor!AF111,CTGS!AF111)</f>
        <v>1114</v>
      </c>
      <c r="AG111" s="87">
        <f>SUM('Defect (Total)'!AG111,Planned!AG111,Reconductor!AG111,CTGS!AG111)</f>
        <v>558</v>
      </c>
      <c r="AH111" s="87">
        <f>SUM('Defect (Total)'!AH111,Planned!AH111,Reconductor!AH111,CTGS!AH111)</f>
        <v>198</v>
      </c>
      <c r="AI111" s="87">
        <f>SUM('Defect (Total)'!AI111,Planned!AI111,Reconductor!AI111,CTGS!AI111)</f>
        <v>201</v>
      </c>
      <c r="AJ111" s="87">
        <f>SUM('Defect (Total)'!AJ111,Planned!AJ111,Reconductor!AJ111,CTGS!AJ111)</f>
        <v>4</v>
      </c>
      <c r="AK111" s="88">
        <f t="shared" si="43"/>
        <v>626.20000000000005</v>
      </c>
      <c r="AL111" s="89">
        <f t="shared" si="48"/>
        <v>623.33333333333337</v>
      </c>
      <c r="AM111" s="90">
        <f t="shared" si="44"/>
        <v>198</v>
      </c>
      <c r="AN111" s="91">
        <f t="shared" si="49"/>
        <v>1571.2447368421053</v>
      </c>
      <c r="AO111" s="92">
        <f t="shared" si="50"/>
        <v>1899.9740932642483</v>
      </c>
      <c r="AP111" s="92">
        <f t="shared" si="51"/>
        <v>2024.372131147541</v>
      </c>
      <c r="AQ111" s="92">
        <f t="shared" si="52"/>
        <v>2780.3260563200183</v>
      </c>
      <c r="AR111" s="92">
        <f t="shared" si="53"/>
        <v>1790.7768313458262</v>
      </c>
      <c r="AS111" s="92">
        <f t="shared" si="54"/>
        <v>2363.2766928410283</v>
      </c>
      <c r="AT111" s="92">
        <f t="shared" si="55"/>
        <v>2693.0499250710618</v>
      </c>
      <c r="AU111" s="92">
        <f t="shared" si="56"/>
        <v>2369.3074377562202</v>
      </c>
      <c r="AV111" s="92">
        <f t="shared" si="57"/>
        <v>5183.1823980119179</v>
      </c>
      <c r="AW111" s="92">
        <f t="shared" si="58"/>
        <v>6640.6631652170099</v>
      </c>
      <c r="AX111" s="92">
        <f t="shared" si="58"/>
        <v>153929.715</v>
      </c>
      <c r="AY111" s="93">
        <f t="shared" si="59"/>
        <v>2552.678304879702</v>
      </c>
      <c r="AZ111" s="94">
        <f t="shared" si="41"/>
        <v>2860.1076372211196</v>
      </c>
      <c r="BA111" s="95">
        <f t="shared" si="42"/>
        <v>5183.1823980119179</v>
      </c>
      <c r="BB111" s="689">
        <f>SUM('Defect (Total)'!BB111,Planned!CE111,Reconductor!CE111,CTGS!CE111,'Substation 2025$'!CE111*$BL$1,Comms!CA111*$BL$2)</f>
        <v>0</v>
      </c>
      <c r="BC111" s="689">
        <f>SUM('Defect (Total)'!BC111,Planned!CF111,Reconductor!CF111,CTGS!CF111,'Substation 2025$'!CF111*$BL$1,Comms!CB111*$BL$2)</f>
        <v>0</v>
      </c>
      <c r="BD111" s="96">
        <f>SUM('Defect (Total)'!BD111,Planned!CG111,Reconductor!CG111,CTGS!CG111,'Substation 2025$'!CG111*$BL$1,Comms!CC111*$BL$2)</f>
        <v>0</v>
      </c>
      <c r="BE111" s="96">
        <f>SUM('Defect (Total)'!BE111,Planned!CH111,Reconductor!CH111,CTGS!CH111,'Substation 2025$'!CH111*$BL$1,Comms!CD111*$BL$2)</f>
        <v>0</v>
      </c>
      <c r="BF111" s="96">
        <f>SUM('Defect (Total)'!BF111,Planned!CI111,Reconductor!CI111,CTGS!CI111,'Substation 2025$'!CI111*$BL$1,Comms!CE111*$BL$2)</f>
        <v>0</v>
      </c>
      <c r="BG111" s="96">
        <f>SUM('Defect (Total)'!BG111,Planned!CJ111,Reconductor!CJ111,CTGS!CJ111,'Substation 2025$'!CJ111*$BL$1,Comms!CF111*$BL$2)</f>
        <v>0</v>
      </c>
      <c r="BH111" s="96">
        <f>SUM('Defect (Total)'!BH111,Planned!CK111,Reconductor!CK111,CTGS!CK111,'Substation 2025$'!CK111*$BL$1,Comms!CG111*$BL$2)</f>
        <v>0</v>
      </c>
      <c r="BI111" s="286">
        <f>SUM('Defect (Total)'!BI111,Planned!CL111,Reconductor!CL111,CTGS!CL111,'Substation 2025$'!CL111*$BL$1,Comms!CH111*$BL$2)</f>
        <v>0</v>
      </c>
      <c r="BJ111" s="99" t="str">
        <f t="shared" si="47"/>
        <v/>
      </c>
      <c r="BK111" s="743"/>
      <c r="BL111" s="97"/>
      <c r="BM111" s="524"/>
      <c r="BN111" s="416">
        <f>'Distribution Summary'!CI111+'Substation 2025$'!CT111</f>
        <v>0</v>
      </c>
      <c r="BO111" s="97">
        <f>'Distribution Summary'!CJ111+'Substation 2025$'!CU111</f>
        <v>0</v>
      </c>
      <c r="BP111" s="97">
        <f>'Distribution Summary'!CK111+'Substation 2025$'!CV111</f>
        <v>0</v>
      </c>
      <c r="BQ111" s="97">
        <f>'Distribution Summary'!CL111+'Substation 2025$'!CW111</f>
        <v>0</v>
      </c>
      <c r="BR111" s="98">
        <f>'Distribution Summary'!CM111+'Substation 2025$'!CX111</f>
        <v>0</v>
      </c>
    </row>
    <row r="112" spans="1:70" x14ac:dyDescent="0.25">
      <c r="A112" s="81" t="s">
        <v>224</v>
      </c>
      <c r="B112" s="82" t="s">
        <v>227</v>
      </c>
      <c r="C112" s="83" t="s">
        <v>228</v>
      </c>
      <c r="D112" s="84">
        <f>SUM('Defect (Total)'!D112,Planned!D112,Reconductor!D112,CTGS!D112)</f>
        <v>195749</v>
      </c>
      <c r="E112" s="85">
        <f>SUM('Defect (Total)'!E112,Planned!E112,Reconductor!E112,CTGS!E112)</f>
        <v>287365</v>
      </c>
      <c r="F112" s="85">
        <f>SUM('Defect (Total)'!F112,Planned!F112,Reconductor!F112,CTGS!F112)</f>
        <v>372507</v>
      </c>
      <c r="G112" s="85">
        <f>SUM('Defect (Total)'!G112,Planned!G112,Reconductor!G112,CTGS!G112)</f>
        <v>222886.46442510301</v>
      </c>
      <c r="H112" s="85">
        <f>SUM('Defect (Total)'!H112,Planned!H112,Reconductor!H112,CTGS!H112)</f>
        <v>323409</v>
      </c>
      <c r="I112" s="85">
        <f>SUM('Defect (Total)'!I112,Planned!I112,Reconductor!I112,CTGS!I112)</f>
        <v>414479.04173260205</v>
      </c>
      <c r="J112" s="85">
        <f>SUM('Defect (Total)'!J112,Planned!J112,Reconductor!J112,CTGS!J112)</f>
        <v>736914.72464261984</v>
      </c>
      <c r="K112" s="85">
        <f>SUM('Defect (Total)'!K112,Planned!K112,Reconductor!K112,CTGS!K112)</f>
        <v>756759.76428005786</v>
      </c>
      <c r="L112" s="85">
        <f>SUM('Defect (Total)'!L112,Planned!L112,Reconductor!L112,CTGS!L112)</f>
        <v>683685.63255165576</v>
      </c>
      <c r="M112" s="85">
        <f>SUM('Defect (Total)'!M112,Planned!M112,Reconductor!M112,CTGS!M112)</f>
        <v>757040.93837970309</v>
      </c>
      <c r="N112" s="85">
        <f>SUM('Defect (Total)'!N112,Planned!N112,Reconductor!N112,CTGS!N112)</f>
        <v>3980.900805197</v>
      </c>
      <c r="O112" s="560">
        <f>SUM('Defect (Total)'!O112,Planned!O112,Reconductor!O112,CTGS!O112)</f>
        <v>263371.72902836819</v>
      </c>
      <c r="P112" s="561">
        <f>SUM('Defect (Total)'!P112,Planned!P112,Reconductor!P112,CTGS!P112)</f>
        <v>380882.4571383787</v>
      </c>
      <c r="Q112" s="561">
        <f>SUM('Defect (Total)'!Q112,Planned!Q112,Reconductor!Q112,CTGS!Q112)</f>
        <v>488731.32507136906</v>
      </c>
      <c r="R112" s="561">
        <f>SUM('Defect (Total)'!R112,Planned!R112,Reconductor!R112,CTGS!R112)</f>
        <v>286880.90166749986</v>
      </c>
      <c r="S112" s="561">
        <f>SUM('Defect (Total)'!S112,Planned!S112,Reconductor!S112,CTGS!S112)</f>
        <v>407792.48762817553</v>
      </c>
      <c r="T112" s="561">
        <f>SUM('Defect (Total)'!T112,Planned!T112,Reconductor!T112,CTGS!T112)</f>
        <v>514429.95573572058</v>
      </c>
      <c r="U112" s="561">
        <f>SUM('Defect (Total)'!U112,Planned!U112,Reconductor!U112,CTGS!U112)</f>
        <v>917818.42726661544</v>
      </c>
      <c r="V112" s="561">
        <f>SUM('Defect (Total)'!V112,Planned!V112,Reconductor!V112,CTGS!V112)</f>
        <v>907626.47490170435</v>
      </c>
      <c r="W112" s="561">
        <f>SUM('Defect (Total)'!W112,Planned!W112,Reconductor!W112,CTGS!W112)</f>
        <v>772515.01569607132</v>
      </c>
      <c r="X112" s="561">
        <f>SUM('Defect (Total)'!X112,Planned!X112,Reconductor!X112,CTGS!X112)</f>
        <v>805083.45741890755</v>
      </c>
      <c r="Y112" s="561">
        <f>SUM('Defect (Total)'!Y112,Planned!Y112,Reconductor!Y112,CTGS!Y112)</f>
        <v>616327.74113591458</v>
      </c>
      <c r="Z112" s="86">
        <f>SUM('Defect (Total)'!Z112,Planned!Z112,Reconductor!Z112,CTGS!Z112)</f>
        <v>72</v>
      </c>
      <c r="AA112" s="87">
        <f>SUM('Defect (Total)'!AA112,Planned!AA112,Reconductor!AA112,CTGS!AA112)</f>
        <v>108</v>
      </c>
      <c r="AB112" s="87">
        <f>SUM('Defect (Total)'!AB112,Planned!AB112,Reconductor!AB112,CTGS!AB112)</f>
        <v>135</v>
      </c>
      <c r="AC112" s="87">
        <f>SUM('Defect (Total)'!AC112,Planned!AC112,Reconductor!AC112,CTGS!AC112)</f>
        <v>98</v>
      </c>
      <c r="AD112" s="87">
        <f>SUM('Defect (Total)'!AD112,Planned!AD112,Reconductor!AD112,CTGS!AD112)</f>
        <v>130</v>
      </c>
      <c r="AE112" s="87">
        <f>SUM('Defect (Total)'!AE112,Planned!AE112,Reconductor!AE112,CTGS!AE112)</f>
        <v>180</v>
      </c>
      <c r="AF112" s="87">
        <f>SUM('Defect (Total)'!AF112,Planned!AF112,Reconductor!AF112,CTGS!AF112)</f>
        <v>409</v>
      </c>
      <c r="AG112" s="87">
        <f>SUM('Defect (Total)'!AG112,Planned!AG112,Reconductor!AG112,CTGS!AG112)</f>
        <v>484</v>
      </c>
      <c r="AH112" s="87">
        <f>SUM('Defect (Total)'!AH112,Planned!AH112,Reconductor!AH112,CTGS!AH112)</f>
        <v>344</v>
      </c>
      <c r="AI112" s="87">
        <f>SUM('Defect (Total)'!AI112,Planned!AI112,Reconductor!AI112,CTGS!AI112)</f>
        <v>255</v>
      </c>
      <c r="AJ112" s="87">
        <f>SUM('Defect (Total)'!AJ112,Planned!AJ112,Reconductor!AJ112,CTGS!AJ112)</f>
        <v>26</v>
      </c>
      <c r="AK112" s="88">
        <f t="shared" si="43"/>
        <v>309.39999999999998</v>
      </c>
      <c r="AL112" s="89">
        <f t="shared" si="48"/>
        <v>412.33333333333331</v>
      </c>
      <c r="AM112" s="90">
        <f t="shared" si="44"/>
        <v>344</v>
      </c>
      <c r="AN112" s="91">
        <f t="shared" si="49"/>
        <v>2718.7361111111113</v>
      </c>
      <c r="AO112" s="92">
        <f t="shared" si="50"/>
        <v>2660.787037037037</v>
      </c>
      <c r="AP112" s="92">
        <f t="shared" si="51"/>
        <v>2759.3111111111111</v>
      </c>
      <c r="AQ112" s="92">
        <f t="shared" si="52"/>
        <v>2274.3516778071735</v>
      </c>
      <c r="AR112" s="92">
        <f t="shared" si="53"/>
        <v>2487.7615384615383</v>
      </c>
      <c r="AS112" s="92">
        <f t="shared" si="54"/>
        <v>2302.6613429589001</v>
      </c>
      <c r="AT112" s="92">
        <f t="shared" si="55"/>
        <v>1801.7474930137405</v>
      </c>
      <c r="AU112" s="92">
        <f t="shared" si="56"/>
        <v>1563.5532319835906</v>
      </c>
      <c r="AV112" s="92">
        <f t="shared" si="57"/>
        <v>1987.45823416179</v>
      </c>
      <c r="AW112" s="92">
        <f t="shared" si="58"/>
        <v>2968.7879936458944</v>
      </c>
      <c r="AX112" s="92">
        <f t="shared" si="58"/>
        <v>153.11156943065384</v>
      </c>
      <c r="AY112" s="93">
        <f t="shared" si="59"/>
        <v>1884.4525941867714</v>
      </c>
      <c r="AZ112" s="94">
        <f t="shared" si="41"/>
        <v>1760.1941159857183</v>
      </c>
      <c r="BA112" s="95">
        <f t="shared" si="42"/>
        <v>1987.45823416179</v>
      </c>
      <c r="BB112" s="689">
        <f>SUM('Defect (Total)'!BB112,Planned!CE112,Reconductor!CE112,CTGS!CE112,'Substation 2025$'!CE112*$BL$1,Comms!CA112*$BL$2)</f>
        <v>0</v>
      </c>
      <c r="BC112" s="689">
        <f>SUM('Defect (Total)'!BC112,Planned!CF112,Reconductor!CF112,CTGS!CF112,'Substation 2025$'!CF112*$BL$1,Comms!CB112*$BL$2)</f>
        <v>0</v>
      </c>
      <c r="BD112" s="96">
        <f>SUM('Defect (Total)'!BD112,Planned!CG112,Reconductor!CG112,CTGS!CG112,'Substation 2025$'!CG112*$BL$1,Comms!CC112*$BL$2)</f>
        <v>0</v>
      </c>
      <c r="BE112" s="96">
        <f>SUM('Defect (Total)'!BE112,Planned!CH112,Reconductor!CH112,CTGS!CH112,'Substation 2025$'!CH112*$BL$1,Comms!CD112*$BL$2)</f>
        <v>0</v>
      </c>
      <c r="BF112" s="96">
        <f>SUM('Defect (Total)'!BF112,Planned!CI112,Reconductor!CI112,CTGS!CI112,'Substation 2025$'!CI112*$BL$1,Comms!CE112*$BL$2)</f>
        <v>0</v>
      </c>
      <c r="BG112" s="96">
        <f>SUM('Defect (Total)'!BG112,Planned!CJ112,Reconductor!CJ112,CTGS!CJ112,'Substation 2025$'!CJ112*$BL$1,Comms!CF112*$BL$2)</f>
        <v>0</v>
      </c>
      <c r="BH112" s="96">
        <f>SUM('Defect (Total)'!BH112,Planned!CK112,Reconductor!CK112,CTGS!CK112,'Substation 2025$'!CK112*$BL$1,Comms!CG112*$BL$2)</f>
        <v>0</v>
      </c>
      <c r="BI112" s="286">
        <f>SUM('Defect (Total)'!BI112,Planned!CL112,Reconductor!CL112,CTGS!CL112,'Substation 2025$'!CL112*$BL$1,Comms!CH112*$BL$2)</f>
        <v>0</v>
      </c>
      <c r="BJ112" s="99" t="str">
        <f t="shared" si="47"/>
        <v/>
      </c>
      <c r="BK112" s="743"/>
      <c r="BL112" s="97"/>
      <c r="BM112" s="524"/>
      <c r="BN112" s="416">
        <f>'Distribution Summary'!CI112+'Substation 2025$'!CT112</f>
        <v>0</v>
      </c>
      <c r="BO112" s="97">
        <f>'Distribution Summary'!CJ112+'Substation 2025$'!CU112</f>
        <v>0</v>
      </c>
      <c r="BP112" s="97">
        <f>'Distribution Summary'!CK112+'Substation 2025$'!CV112</f>
        <v>0</v>
      </c>
      <c r="BQ112" s="97">
        <f>'Distribution Summary'!CL112+'Substation 2025$'!CW112</f>
        <v>0</v>
      </c>
      <c r="BR112" s="98">
        <f>'Distribution Summary'!CM112+'Substation 2025$'!CX112</f>
        <v>0</v>
      </c>
    </row>
    <row r="113" spans="1:70" x14ac:dyDescent="0.25">
      <c r="A113" s="81" t="s">
        <v>224</v>
      </c>
      <c r="B113" s="82" t="s">
        <v>229</v>
      </c>
      <c r="C113" s="83" t="s">
        <v>230</v>
      </c>
      <c r="D113" s="84">
        <f>SUM('Defect (Total)'!D113,Planned!D113,Reconductor!D113,CTGS!D113)</f>
        <v>307521</v>
      </c>
      <c r="E113" s="85">
        <f>SUM('Defect (Total)'!E113,Planned!E113,Reconductor!E113,CTGS!E113)</f>
        <v>283909</v>
      </c>
      <c r="F113" s="85">
        <f>SUM('Defect (Total)'!F113,Planned!F113,Reconductor!F113,CTGS!F113)</f>
        <v>339947</v>
      </c>
      <c r="G113" s="85">
        <f>SUM('Defect (Total)'!G113,Planned!G113,Reconductor!G113,CTGS!G113)</f>
        <v>246194.43773095025</v>
      </c>
      <c r="H113" s="85">
        <f>SUM('Defect (Total)'!H113,Planned!H113,Reconductor!H113,CTGS!H113)</f>
        <v>245128</v>
      </c>
      <c r="I113" s="85">
        <f>SUM('Defect (Total)'!I113,Planned!I113,Reconductor!I113,CTGS!I113)</f>
        <v>249025.71876388742</v>
      </c>
      <c r="J113" s="85">
        <f>SUM('Defect (Total)'!J113,Planned!J113,Reconductor!J113,CTGS!J113)</f>
        <v>585983.41718993243</v>
      </c>
      <c r="K113" s="85">
        <f>SUM('Defect (Total)'!K113,Planned!K113,Reconductor!K113,CTGS!K113)</f>
        <v>564010.11772546405</v>
      </c>
      <c r="L113" s="85">
        <f>SUM('Defect (Total)'!L113,Planned!L113,Reconductor!L113,CTGS!L113)</f>
        <v>558365.9545301327</v>
      </c>
      <c r="M113" s="85">
        <f>SUM('Defect (Total)'!M113,Planned!M113,Reconductor!M113,CTGS!M113)</f>
        <v>935293.12855472369</v>
      </c>
      <c r="N113" s="85">
        <f>SUM('Defect (Total)'!N113,Planned!N113,Reconductor!N113,CTGS!N113)</f>
        <v>0</v>
      </c>
      <c r="O113" s="560">
        <f>SUM('Defect (Total)'!O113,Planned!O113,Reconductor!O113,CTGS!O113)</f>
        <v>413756.07273872569</v>
      </c>
      <c r="P113" s="561">
        <f>SUM('Defect (Total)'!P113,Planned!P113,Reconductor!P113,CTGS!P113)</f>
        <v>376301.76786908618</v>
      </c>
      <c r="Q113" s="561">
        <f>SUM('Defect (Total)'!Q113,Planned!Q113,Reconductor!Q113,CTGS!Q113)</f>
        <v>446012.41792513081</v>
      </c>
      <c r="R113" s="561">
        <f>SUM('Defect (Total)'!R113,Planned!R113,Reconductor!R113,CTGS!R113)</f>
        <v>316880.98451358231</v>
      </c>
      <c r="S113" s="561">
        <f>SUM('Defect (Total)'!S113,Planned!S113,Reconductor!S113,CTGS!S113)</f>
        <v>309086.50318117131</v>
      </c>
      <c r="T113" s="561">
        <f>SUM('Defect (Total)'!T113,Planned!T113,Reconductor!T113,CTGS!T113)</f>
        <v>309077.84612040618</v>
      </c>
      <c r="U113" s="561">
        <f>SUM('Defect (Total)'!U113,Planned!U113,Reconductor!U113,CTGS!U113)</f>
        <v>729835.29896272509</v>
      </c>
      <c r="V113" s="561">
        <f>SUM('Defect (Total)'!V113,Planned!V113,Reconductor!V113,CTGS!V113)</f>
        <v>676450.49211497582</v>
      </c>
      <c r="W113" s="561">
        <f>SUM('Defect (Total)'!W113,Planned!W113,Reconductor!W113,CTGS!W113)</f>
        <v>630912.89854684356</v>
      </c>
      <c r="X113" s="561">
        <f>SUM('Defect (Total)'!X113,Planned!X113,Reconductor!X113,CTGS!X113)</f>
        <v>994647.6966603793</v>
      </c>
      <c r="Y113" s="561">
        <f>SUM('Defect (Total)'!Y113,Planned!Y113,Reconductor!Y113,CTGS!Y113)</f>
        <v>856460.40970438288</v>
      </c>
      <c r="Z113" s="86">
        <f>SUM('Defect (Total)'!Z113,Planned!Z113,Reconductor!Z113,CTGS!Z113)</f>
        <v>347</v>
      </c>
      <c r="AA113" s="87">
        <f>SUM('Defect (Total)'!AA113,Planned!AA113,Reconductor!AA113,CTGS!AA113)</f>
        <v>317</v>
      </c>
      <c r="AB113" s="87">
        <f>SUM('Defect (Total)'!AB113,Planned!AB113,Reconductor!AB113,CTGS!AB113)</f>
        <v>314</v>
      </c>
      <c r="AC113" s="87">
        <f>SUM('Defect (Total)'!AC113,Planned!AC113,Reconductor!AC113,CTGS!AC113)</f>
        <v>260</v>
      </c>
      <c r="AD113" s="87">
        <f>SUM('Defect (Total)'!AD113,Planned!AD113,Reconductor!AD113,CTGS!AD113)</f>
        <v>273</v>
      </c>
      <c r="AE113" s="87">
        <f>SUM('Defect (Total)'!AE113,Planned!AE113,Reconductor!AE113,CTGS!AE113)</f>
        <v>296</v>
      </c>
      <c r="AF113" s="87">
        <f>SUM('Defect (Total)'!AF113,Planned!AF113,Reconductor!AF113,CTGS!AF113)</f>
        <v>922</v>
      </c>
      <c r="AG113" s="87">
        <f>SUM('Defect (Total)'!AG113,Planned!AG113,Reconductor!AG113,CTGS!AG113)</f>
        <v>1102</v>
      </c>
      <c r="AH113" s="87">
        <f>SUM('Defect (Total)'!AH113,Planned!AH113,Reconductor!AH113,CTGS!AH113)</f>
        <v>806</v>
      </c>
      <c r="AI113" s="87">
        <f>SUM('Defect (Total)'!AI113,Planned!AI113,Reconductor!AI113,CTGS!AI113)</f>
        <v>771</v>
      </c>
      <c r="AJ113" s="87">
        <f>SUM('Defect (Total)'!AJ113,Planned!AJ113,Reconductor!AJ113,CTGS!AJ113)</f>
        <v>114</v>
      </c>
      <c r="AK113" s="88">
        <f t="shared" si="43"/>
        <v>679.8</v>
      </c>
      <c r="AL113" s="89">
        <f t="shared" si="48"/>
        <v>943.33333333333337</v>
      </c>
      <c r="AM113" s="90">
        <f t="shared" si="44"/>
        <v>806</v>
      </c>
      <c r="AN113" s="91">
        <f t="shared" si="49"/>
        <v>886.22766570605188</v>
      </c>
      <c r="AO113" s="92">
        <f t="shared" si="50"/>
        <v>895.61198738170344</v>
      </c>
      <c r="AP113" s="92">
        <f t="shared" si="51"/>
        <v>1082.6337579617834</v>
      </c>
      <c r="AQ113" s="92">
        <f t="shared" si="52"/>
        <v>946.90168358057781</v>
      </c>
      <c r="AR113" s="92">
        <f t="shared" si="53"/>
        <v>897.90476190476193</v>
      </c>
      <c r="AS113" s="92">
        <f t="shared" si="54"/>
        <v>841.30310393205207</v>
      </c>
      <c r="AT113" s="92">
        <f t="shared" si="55"/>
        <v>635.55685161597876</v>
      </c>
      <c r="AU113" s="92">
        <f t="shared" si="56"/>
        <v>511.80591445141926</v>
      </c>
      <c r="AV113" s="92">
        <f t="shared" si="57"/>
        <v>692.76173018626889</v>
      </c>
      <c r="AW113" s="92">
        <f t="shared" si="58"/>
        <v>1213.0909579179295</v>
      </c>
      <c r="AX113" s="92">
        <f t="shared" si="58"/>
        <v>0</v>
      </c>
      <c r="AY113" s="93">
        <f t="shared" si="59"/>
        <v>647.98858729314998</v>
      </c>
      <c r="AZ113" s="94">
        <f t="shared" si="41"/>
        <v>603.6605969772188</v>
      </c>
      <c r="BA113" s="95">
        <f t="shared" si="42"/>
        <v>692.76173018626889</v>
      </c>
      <c r="BB113" s="689">
        <f>SUM('Defect (Total)'!BB113,Planned!CE113,Reconductor!CE113,CTGS!CE113,'Substation 2025$'!CE113*$BL$1,Comms!CA113*$BL$2)</f>
        <v>0</v>
      </c>
      <c r="BC113" s="689">
        <f>SUM('Defect (Total)'!BC113,Planned!CF113,Reconductor!CF113,CTGS!CF113,'Substation 2025$'!CF113*$BL$1,Comms!CB113*$BL$2)</f>
        <v>0</v>
      </c>
      <c r="BD113" s="96">
        <f>SUM('Defect (Total)'!BD113,Planned!CG113,Reconductor!CG113,CTGS!CG113,'Substation 2025$'!CG113*$BL$1,Comms!CC113*$BL$2)</f>
        <v>0</v>
      </c>
      <c r="BE113" s="96">
        <f>SUM('Defect (Total)'!BE113,Planned!CH113,Reconductor!CH113,CTGS!CH113,'Substation 2025$'!CH113*$BL$1,Comms!CD113*$BL$2)</f>
        <v>0</v>
      </c>
      <c r="BF113" s="96">
        <f>SUM('Defect (Total)'!BF113,Planned!CI113,Reconductor!CI113,CTGS!CI113,'Substation 2025$'!CI113*$BL$1,Comms!CE113*$BL$2)</f>
        <v>0</v>
      </c>
      <c r="BG113" s="96">
        <f>SUM('Defect (Total)'!BG113,Planned!CJ113,Reconductor!CJ113,CTGS!CJ113,'Substation 2025$'!CJ113*$BL$1,Comms!CF113*$BL$2)</f>
        <v>0</v>
      </c>
      <c r="BH113" s="96">
        <f>SUM('Defect (Total)'!BH113,Planned!CK113,Reconductor!CK113,CTGS!CK113,'Substation 2025$'!CK113*$BL$1,Comms!CG113*$BL$2)</f>
        <v>0</v>
      </c>
      <c r="BI113" s="286">
        <f>SUM('Defect (Total)'!BI113,Planned!CL113,Reconductor!CL113,CTGS!CL113,'Substation 2025$'!CL113*$BL$1,Comms!CH113*$BL$2)</f>
        <v>0</v>
      </c>
      <c r="BJ113" s="99" t="str">
        <f t="shared" si="47"/>
        <v/>
      </c>
      <c r="BK113" s="743"/>
      <c r="BL113" s="97"/>
      <c r="BM113" s="524"/>
      <c r="BN113" s="416">
        <f>'Distribution Summary'!CI113+'Substation 2025$'!CT113</f>
        <v>0</v>
      </c>
      <c r="BO113" s="97">
        <f>'Distribution Summary'!CJ113+'Substation 2025$'!CU113</f>
        <v>0</v>
      </c>
      <c r="BP113" s="97">
        <f>'Distribution Summary'!CK113+'Substation 2025$'!CV113</f>
        <v>0</v>
      </c>
      <c r="BQ113" s="97">
        <f>'Distribution Summary'!CL113+'Substation 2025$'!CW113</f>
        <v>0</v>
      </c>
      <c r="BR113" s="98">
        <f>'Distribution Summary'!CM113+'Substation 2025$'!CX113</f>
        <v>0</v>
      </c>
    </row>
    <row r="114" spans="1:70" x14ac:dyDescent="0.25">
      <c r="A114" s="81" t="s">
        <v>224</v>
      </c>
      <c r="B114" s="82" t="s">
        <v>231</v>
      </c>
      <c r="C114" s="83" t="s">
        <v>232</v>
      </c>
      <c r="D114" s="84">
        <f>SUM('Defect (Total)'!D114,Planned!D114,Reconductor!D114,CTGS!D114)</f>
        <v>36696</v>
      </c>
      <c r="E114" s="85">
        <f>SUM('Defect (Total)'!E114,Planned!E114,Reconductor!E114,CTGS!E114)</f>
        <v>57818</v>
      </c>
      <c r="F114" s="85">
        <f>SUM('Defect (Total)'!F114,Planned!F114,Reconductor!F114,CTGS!F114)</f>
        <v>293726</v>
      </c>
      <c r="G114" s="85">
        <f>SUM('Defect (Total)'!G114,Planned!G114,Reconductor!G114,CTGS!G114)</f>
        <v>146731.57355568738</v>
      </c>
      <c r="H114" s="85">
        <f>SUM('Defect (Total)'!H114,Planned!H114,Reconductor!H114,CTGS!H114)</f>
        <v>93270</v>
      </c>
      <c r="I114" s="85">
        <f>SUM('Defect (Total)'!I114,Planned!I114,Reconductor!I114,CTGS!I114)</f>
        <v>54061.559292364342</v>
      </c>
      <c r="J114" s="85">
        <f>SUM('Defect (Total)'!J114,Planned!J114,Reconductor!J114,CTGS!J114)</f>
        <v>121210.77187148982</v>
      </c>
      <c r="K114" s="85">
        <f>SUM('Defect (Total)'!K114,Planned!K114,Reconductor!K114,CTGS!K114)</f>
        <v>55263.250618985978</v>
      </c>
      <c r="L114" s="85">
        <f>SUM('Defect (Total)'!L114,Planned!L114,Reconductor!L114,CTGS!L114)</f>
        <v>55515.892467058176</v>
      </c>
      <c r="M114" s="85">
        <f>SUM('Defect (Total)'!M114,Planned!M114,Reconductor!M114,CTGS!M114)</f>
        <v>84929.640916871998</v>
      </c>
      <c r="N114" s="85">
        <f>SUM('Defect (Total)'!N114,Planned!N114,Reconductor!N114,CTGS!N114)</f>
        <v>0</v>
      </c>
      <c r="O114" s="560">
        <f>SUM('Defect (Total)'!O114,Planned!O114,Reconductor!O114,CTGS!O114)</f>
        <v>49372.865089604529</v>
      </c>
      <c r="P114" s="561">
        <f>SUM('Defect (Total)'!P114,Planned!P114,Reconductor!P114,CTGS!P114)</f>
        <v>76633.765096051284</v>
      </c>
      <c r="Q114" s="561">
        <f>SUM('Defect (Total)'!Q114,Planned!Q114,Reconductor!Q114,CTGS!Q114)</f>
        <v>385370.20025909028</v>
      </c>
      <c r="R114" s="561">
        <f>SUM('Defect (Total)'!R114,Planned!R114,Reconductor!R114,CTGS!R114)</f>
        <v>188860.66604951592</v>
      </c>
      <c r="S114" s="561">
        <f>SUM('Defect (Total)'!S114,Planned!S114,Reconductor!S114,CTGS!S114)</f>
        <v>117605.89631420255</v>
      </c>
      <c r="T114" s="561">
        <f>SUM('Defect (Total)'!T114,Planned!T114,Reconductor!T114,CTGS!T114)</f>
        <v>67098.412111551312</v>
      </c>
      <c r="U114" s="561">
        <f>SUM('Defect (Total)'!U114,Planned!U114,Reconductor!U114,CTGS!U114)</f>
        <v>150966.55866228719</v>
      </c>
      <c r="V114" s="561">
        <f>SUM('Defect (Total)'!V114,Planned!V114,Reconductor!V114,CTGS!V114)</f>
        <v>66280.465371514263</v>
      </c>
      <c r="W114" s="561">
        <f>SUM('Defect (Total)'!W114,Planned!W114,Reconductor!W114,CTGS!W114)</f>
        <v>62728.918816837278</v>
      </c>
      <c r="X114" s="561">
        <f>SUM('Defect (Total)'!X114,Planned!X114,Reconductor!X114,CTGS!X114)</f>
        <v>90319.354582125801</v>
      </c>
      <c r="Y114" s="561">
        <f>SUM('Defect (Total)'!Y114,Planned!Y114,Reconductor!Y114,CTGS!Y114)</f>
        <v>141577.33427273456</v>
      </c>
      <c r="Z114" s="86">
        <f>SUM('Defect (Total)'!Z114,Planned!Z114,Reconductor!Z114,CTGS!Z114)</f>
        <v>182</v>
      </c>
      <c r="AA114" s="87">
        <f>SUM('Defect (Total)'!AA114,Planned!AA114,Reconductor!AA114,CTGS!AA114)</f>
        <v>210</v>
      </c>
      <c r="AB114" s="87">
        <f>SUM('Defect (Total)'!AB114,Planned!AB114,Reconductor!AB114,CTGS!AB114)</f>
        <v>315</v>
      </c>
      <c r="AC114" s="87">
        <f>SUM('Defect (Total)'!AC114,Planned!AC114,Reconductor!AC114,CTGS!AC114)</f>
        <v>405</v>
      </c>
      <c r="AD114" s="87">
        <f>SUM('Defect (Total)'!AD114,Planned!AD114,Reconductor!AD114,CTGS!AD114)</f>
        <v>393</v>
      </c>
      <c r="AE114" s="87">
        <f>SUM('Defect (Total)'!AE114,Planned!AE114,Reconductor!AE114,CTGS!AE114)</f>
        <v>333</v>
      </c>
      <c r="AF114" s="87">
        <f>SUM('Defect (Total)'!AF114,Planned!AF114,Reconductor!AF114,CTGS!AF114)</f>
        <v>542</v>
      </c>
      <c r="AG114" s="87">
        <f>SUM('Defect (Total)'!AG114,Planned!AG114,Reconductor!AG114,CTGS!AG114)</f>
        <v>346</v>
      </c>
      <c r="AH114" s="87">
        <f>SUM('Defect (Total)'!AH114,Planned!AH114,Reconductor!AH114,CTGS!AH114)</f>
        <v>259</v>
      </c>
      <c r="AI114" s="87">
        <f>SUM('Defect (Total)'!AI114,Planned!AI114,Reconductor!AI114,CTGS!AI114)</f>
        <v>484</v>
      </c>
      <c r="AJ114" s="87">
        <f>SUM('Defect (Total)'!AJ114,Planned!AJ114,Reconductor!AJ114,CTGS!AJ114)</f>
        <v>5</v>
      </c>
      <c r="AK114" s="88">
        <f t="shared" si="43"/>
        <v>374.6</v>
      </c>
      <c r="AL114" s="89">
        <f t="shared" si="48"/>
        <v>382.33333333333331</v>
      </c>
      <c r="AM114" s="90">
        <f t="shared" si="44"/>
        <v>259</v>
      </c>
      <c r="AN114" s="91">
        <f t="shared" si="49"/>
        <v>201.62637362637363</v>
      </c>
      <c r="AO114" s="92">
        <f t="shared" si="50"/>
        <v>275.32380952380953</v>
      </c>
      <c r="AP114" s="92">
        <f t="shared" si="51"/>
        <v>932.46349206349203</v>
      </c>
      <c r="AQ114" s="92">
        <f t="shared" si="52"/>
        <v>362.30018161898118</v>
      </c>
      <c r="AR114" s="92">
        <f t="shared" si="53"/>
        <v>237.32824427480915</v>
      </c>
      <c r="AS114" s="92">
        <f t="shared" si="54"/>
        <v>162.34702490199501</v>
      </c>
      <c r="AT114" s="92">
        <f t="shared" si="55"/>
        <v>223.63611046400337</v>
      </c>
      <c r="AU114" s="92">
        <f t="shared" si="56"/>
        <v>159.72037751152016</v>
      </c>
      <c r="AV114" s="92">
        <f t="shared" si="57"/>
        <v>214.34707516238677</v>
      </c>
      <c r="AW114" s="92">
        <f t="shared" si="58"/>
        <v>175.47446470428099</v>
      </c>
      <c r="AX114" s="92">
        <f t="shared" si="58"/>
        <v>0</v>
      </c>
      <c r="AY114" s="93">
        <f t="shared" si="59"/>
        <v>202.52080846230558</v>
      </c>
      <c r="AZ114" s="94">
        <f t="shared" si="41"/>
        <v>202.25799037274103</v>
      </c>
      <c r="BA114" s="95">
        <f t="shared" si="42"/>
        <v>214.34707516238677</v>
      </c>
      <c r="BB114" s="689">
        <f>SUM('Defect (Total)'!BB114,Planned!CE114,Reconductor!CE114,CTGS!CE114,'Substation 2025$'!CE114*$BL$1,Comms!CA114*$BL$2)</f>
        <v>0</v>
      </c>
      <c r="BC114" s="689">
        <f>SUM('Defect (Total)'!BC114,Planned!CF114,Reconductor!CF114,CTGS!CF114,'Substation 2025$'!CF114*$BL$1,Comms!CB114*$BL$2)</f>
        <v>0</v>
      </c>
      <c r="BD114" s="96">
        <f>SUM('Defect (Total)'!BD114,Planned!CG114,Reconductor!CG114,CTGS!CG114,'Substation 2025$'!CG114*$BL$1,Comms!CC114*$BL$2)</f>
        <v>0</v>
      </c>
      <c r="BE114" s="96">
        <f>SUM('Defect (Total)'!BE114,Planned!CH114,Reconductor!CH114,CTGS!CH114,'Substation 2025$'!CH114*$BL$1,Comms!CD114*$BL$2)</f>
        <v>0</v>
      </c>
      <c r="BF114" s="96">
        <f>SUM('Defect (Total)'!BF114,Planned!CI114,Reconductor!CI114,CTGS!CI114,'Substation 2025$'!CI114*$BL$1,Comms!CE114*$BL$2)</f>
        <v>0</v>
      </c>
      <c r="BG114" s="96">
        <f>SUM('Defect (Total)'!BG114,Planned!CJ114,Reconductor!CJ114,CTGS!CJ114,'Substation 2025$'!CJ114*$BL$1,Comms!CF114*$BL$2)</f>
        <v>0</v>
      </c>
      <c r="BH114" s="96">
        <f>SUM('Defect (Total)'!BH114,Planned!CK114,Reconductor!CK114,CTGS!CK114,'Substation 2025$'!CK114*$BL$1,Comms!CG114*$BL$2)</f>
        <v>0</v>
      </c>
      <c r="BI114" s="286">
        <f>SUM('Defect (Total)'!BI114,Planned!CL114,Reconductor!CL114,CTGS!CL114,'Substation 2025$'!CL114*$BL$1,Comms!CH114*$BL$2)</f>
        <v>0</v>
      </c>
      <c r="BJ114" s="99" t="str">
        <f t="shared" si="47"/>
        <v/>
      </c>
      <c r="BK114" s="743"/>
      <c r="BL114" s="97"/>
      <c r="BM114" s="524"/>
      <c r="BN114" s="416">
        <f>'Distribution Summary'!CI114+'Substation 2025$'!CT114</f>
        <v>0</v>
      </c>
      <c r="BO114" s="97">
        <f>'Distribution Summary'!CJ114+'Substation 2025$'!CU114</f>
        <v>0</v>
      </c>
      <c r="BP114" s="97">
        <f>'Distribution Summary'!CK114+'Substation 2025$'!CV114</f>
        <v>0</v>
      </c>
      <c r="BQ114" s="97">
        <f>'Distribution Summary'!CL114+'Substation 2025$'!CW114</f>
        <v>0</v>
      </c>
      <c r="BR114" s="98">
        <f>'Distribution Summary'!CM114+'Substation 2025$'!CX114</f>
        <v>0</v>
      </c>
    </row>
    <row r="115" spans="1:70" x14ac:dyDescent="0.25">
      <c r="A115" s="81" t="s">
        <v>224</v>
      </c>
      <c r="B115" s="82" t="s">
        <v>233</v>
      </c>
      <c r="C115" s="83" t="s">
        <v>234</v>
      </c>
      <c r="D115" s="84">
        <f>SUM('Defect (Total)'!D115,Planned!D115,Reconductor!D115,CTGS!D115)</f>
        <v>22542</v>
      </c>
      <c r="E115" s="85">
        <f>SUM('Defect (Total)'!E115,Planned!E115,Reconductor!E115,CTGS!E115)</f>
        <v>39699</v>
      </c>
      <c r="F115" s="85">
        <f>SUM('Defect (Total)'!F115,Planned!F115,Reconductor!F115,CTGS!F115)</f>
        <v>36556</v>
      </c>
      <c r="G115" s="85">
        <f>SUM('Defect (Total)'!G115,Planned!G115,Reconductor!G115,CTGS!G115)</f>
        <v>90603.004376880781</v>
      </c>
      <c r="H115" s="85">
        <f>SUM('Defect (Total)'!H115,Planned!H115,Reconductor!H115,CTGS!H115)</f>
        <v>71114</v>
      </c>
      <c r="I115" s="85">
        <f>SUM('Defect (Total)'!I115,Planned!I115,Reconductor!I115,CTGS!I115)</f>
        <v>34401.234633262131</v>
      </c>
      <c r="J115" s="85">
        <f>SUM('Defect (Total)'!J115,Planned!J115,Reconductor!J115,CTGS!J115)</f>
        <v>136588.22561187376</v>
      </c>
      <c r="K115" s="85">
        <f>SUM('Defect (Total)'!K115,Planned!K115,Reconductor!K115,CTGS!K115)</f>
        <v>61193.642882788983</v>
      </c>
      <c r="L115" s="85">
        <f>SUM('Defect (Total)'!L115,Planned!L115,Reconductor!L115,CTGS!L115)</f>
        <v>72842.440374214231</v>
      </c>
      <c r="M115" s="85">
        <f>SUM('Defect (Total)'!M115,Planned!M115,Reconductor!M115,CTGS!M115)</f>
        <v>46684.871811953824</v>
      </c>
      <c r="N115" s="85">
        <f>SUM('Defect (Total)'!N115,Planned!N115,Reconductor!N115,CTGS!N115)</f>
        <v>0</v>
      </c>
      <c r="O115" s="560">
        <f>SUM('Defect (Total)'!O115,Planned!O115,Reconductor!O115,CTGS!O115)</f>
        <v>30329.276347554653</v>
      </c>
      <c r="P115" s="561">
        <f>SUM('Defect (Total)'!P115,Planned!P115,Reconductor!P115,CTGS!P115)</f>
        <v>52618.282205336407</v>
      </c>
      <c r="Q115" s="561">
        <f>SUM('Defect (Total)'!Q115,Planned!Q115,Reconductor!Q115,CTGS!Q115)</f>
        <v>47961.682114185693</v>
      </c>
      <c r="R115" s="561">
        <f>SUM('Defect (Total)'!R115,Planned!R115,Reconductor!R115,CTGS!R115)</f>
        <v>116616.64451659977</v>
      </c>
      <c r="S115" s="561">
        <f>SUM('Defect (Total)'!S115,Planned!S115,Reconductor!S115,CTGS!S115)</f>
        <v>89668.979419837036</v>
      </c>
      <c r="T115" s="561">
        <f>SUM('Defect (Total)'!T115,Planned!T115,Reconductor!T115,CTGS!T115)</f>
        <v>42697.033692382145</v>
      </c>
      <c r="U115" s="561">
        <f>SUM('Defect (Total)'!U115,Planned!U115,Reconductor!U115,CTGS!U115)</f>
        <v>170118.99236377014</v>
      </c>
      <c r="V115" s="561">
        <f>SUM('Defect (Total)'!V115,Planned!V115,Reconductor!V115,CTGS!V115)</f>
        <v>73393.133458857104</v>
      </c>
      <c r="W115" s="561">
        <f>SUM('Defect (Total)'!W115,Planned!W115,Reconductor!W115,CTGS!W115)</f>
        <v>82306.657167868208</v>
      </c>
      <c r="X115" s="561">
        <f>SUM('Defect (Total)'!X115,Planned!X115,Reconductor!X115,CTGS!X115)</f>
        <v>49647.537011631161</v>
      </c>
      <c r="Y115" s="561">
        <f>SUM('Defect (Total)'!Y115,Planned!Y115,Reconductor!Y115,CTGS!Y115)</f>
        <v>144302.50900239302</v>
      </c>
      <c r="Z115" s="86">
        <f>SUM('Defect (Total)'!Z115,Planned!Z115,Reconductor!Z115,CTGS!Z115)</f>
        <v>737</v>
      </c>
      <c r="AA115" s="87">
        <f>SUM('Defect (Total)'!AA115,Planned!AA115,Reconductor!AA115,CTGS!AA115)</f>
        <v>801</v>
      </c>
      <c r="AB115" s="87">
        <f>SUM('Defect (Total)'!AB115,Planned!AB115,Reconductor!AB115,CTGS!AB115)</f>
        <v>524</v>
      </c>
      <c r="AC115" s="87">
        <f>SUM('Defect (Total)'!AC115,Planned!AC115,Reconductor!AC115,CTGS!AC115)</f>
        <v>909</v>
      </c>
      <c r="AD115" s="87">
        <f>SUM('Defect (Total)'!AD115,Planned!AD115,Reconductor!AD115,CTGS!AD115)</f>
        <v>736</v>
      </c>
      <c r="AE115" s="87">
        <f>SUM('Defect (Total)'!AE115,Planned!AE115,Reconductor!AE115,CTGS!AE115)</f>
        <v>648</v>
      </c>
      <c r="AF115" s="87">
        <f>SUM('Defect (Total)'!AF115,Planned!AF115,Reconductor!AF115,CTGS!AF115)</f>
        <v>1482</v>
      </c>
      <c r="AG115" s="87">
        <f>SUM('Defect (Total)'!AG115,Planned!AG115,Reconductor!AG115,CTGS!AG115)</f>
        <v>489</v>
      </c>
      <c r="AH115" s="87">
        <f>SUM('Defect (Total)'!AH115,Planned!AH115,Reconductor!AH115,CTGS!AH115)</f>
        <v>404</v>
      </c>
      <c r="AI115" s="87">
        <f>SUM('Defect (Total)'!AI115,Planned!AI115,Reconductor!AI115,CTGS!AI115)</f>
        <v>438</v>
      </c>
      <c r="AJ115" s="87">
        <f>SUM('Defect (Total)'!AJ115,Planned!AJ115,Reconductor!AJ115,CTGS!AJ115)</f>
        <v>3</v>
      </c>
      <c r="AK115" s="88">
        <f t="shared" si="43"/>
        <v>751.8</v>
      </c>
      <c r="AL115" s="89">
        <f t="shared" si="48"/>
        <v>791.66666666666663</v>
      </c>
      <c r="AM115" s="90">
        <f t="shared" si="44"/>
        <v>404</v>
      </c>
      <c r="AN115" s="91">
        <f t="shared" si="49"/>
        <v>30.586160108548167</v>
      </c>
      <c r="AO115" s="92">
        <f t="shared" si="50"/>
        <v>49.561797752808985</v>
      </c>
      <c r="AP115" s="92">
        <f t="shared" si="51"/>
        <v>69.763358778625957</v>
      </c>
      <c r="AQ115" s="92">
        <f t="shared" si="52"/>
        <v>99.673272141783031</v>
      </c>
      <c r="AR115" s="92">
        <f t="shared" si="53"/>
        <v>96.622282608695656</v>
      </c>
      <c r="AS115" s="92">
        <f t="shared" si="54"/>
        <v>53.08832505133045</v>
      </c>
      <c r="AT115" s="92">
        <f t="shared" si="55"/>
        <v>92.164794609901321</v>
      </c>
      <c r="AU115" s="92">
        <f t="shared" si="56"/>
        <v>125.1403739934335</v>
      </c>
      <c r="AV115" s="92">
        <f t="shared" si="57"/>
        <v>180.30307023320356</v>
      </c>
      <c r="AW115" s="92">
        <f t="shared" si="58"/>
        <v>106.58646532409549</v>
      </c>
      <c r="AX115" s="92">
        <f t="shared" si="58"/>
        <v>0</v>
      </c>
      <c r="AY115" s="93">
        <f t="shared" si="59"/>
        <v>100.06372532645359</v>
      </c>
      <c r="AZ115" s="94">
        <f t="shared" si="41"/>
        <v>113.94707741847454</v>
      </c>
      <c r="BA115" s="95">
        <f t="shared" si="42"/>
        <v>180.30307023320356</v>
      </c>
      <c r="BB115" s="689">
        <f>SUM('Defect (Total)'!BB115,Planned!CE115,Reconductor!CE115,CTGS!CE115,'Substation 2025$'!CE115*$BL$1,Comms!CA115*$BL$2)</f>
        <v>0</v>
      </c>
      <c r="BC115" s="689">
        <f>SUM('Defect (Total)'!BC115,Planned!CF115,Reconductor!CF115,CTGS!CF115,'Substation 2025$'!CF115*$BL$1,Comms!CB115*$BL$2)</f>
        <v>0</v>
      </c>
      <c r="BD115" s="96">
        <f>SUM('Defect (Total)'!BD115,Planned!CG115,Reconductor!CG115,CTGS!CG115,'Substation 2025$'!CG115*$BL$1,Comms!CC115*$BL$2)</f>
        <v>0</v>
      </c>
      <c r="BE115" s="96">
        <f>SUM('Defect (Total)'!BE115,Planned!CH115,Reconductor!CH115,CTGS!CH115,'Substation 2025$'!CH115*$BL$1,Comms!CD115*$BL$2)</f>
        <v>0</v>
      </c>
      <c r="BF115" s="96">
        <f>SUM('Defect (Total)'!BF115,Planned!CI115,Reconductor!CI115,CTGS!CI115,'Substation 2025$'!CI115*$BL$1,Comms!CE115*$BL$2)</f>
        <v>0</v>
      </c>
      <c r="BG115" s="96">
        <f>SUM('Defect (Total)'!BG115,Planned!CJ115,Reconductor!CJ115,CTGS!CJ115,'Substation 2025$'!CJ115*$BL$1,Comms!CF115*$BL$2)</f>
        <v>0</v>
      </c>
      <c r="BH115" s="96">
        <f>SUM('Defect (Total)'!BH115,Planned!CK115,Reconductor!CK115,CTGS!CK115,'Substation 2025$'!CK115*$BL$1,Comms!CG115*$BL$2)</f>
        <v>0</v>
      </c>
      <c r="BI115" s="286">
        <f>SUM('Defect (Total)'!BI115,Planned!CL115,Reconductor!CL115,CTGS!CL115,'Substation 2025$'!CL115*$BL$1,Comms!CH115*$BL$2)</f>
        <v>0</v>
      </c>
      <c r="BJ115" s="99" t="str">
        <f t="shared" si="47"/>
        <v/>
      </c>
      <c r="BK115" s="743"/>
      <c r="BL115" s="97"/>
      <c r="BM115" s="524"/>
      <c r="BN115" s="416">
        <f>'Distribution Summary'!CI115+'Substation 2025$'!CT115</f>
        <v>0</v>
      </c>
      <c r="BO115" s="97">
        <f>'Distribution Summary'!CJ115+'Substation 2025$'!CU115</f>
        <v>0</v>
      </c>
      <c r="BP115" s="97">
        <f>'Distribution Summary'!CK115+'Substation 2025$'!CV115</f>
        <v>0</v>
      </c>
      <c r="BQ115" s="97">
        <f>'Distribution Summary'!CL115+'Substation 2025$'!CW115</f>
        <v>0</v>
      </c>
      <c r="BR115" s="98">
        <f>'Distribution Summary'!CM115+'Substation 2025$'!CX115</f>
        <v>0</v>
      </c>
    </row>
    <row r="116" spans="1:70" x14ac:dyDescent="0.25">
      <c r="A116" s="81" t="s">
        <v>224</v>
      </c>
      <c r="B116" s="82" t="s">
        <v>235</v>
      </c>
      <c r="C116" s="83" t="s">
        <v>236</v>
      </c>
      <c r="D116" s="84">
        <f>SUM('Defect (Total)'!D116,Planned!D116,Reconductor!D116,CTGS!D116)</f>
        <v>186884</v>
      </c>
      <c r="E116" s="85">
        <f>SUM('Defect (Total)'!E116,Planned!E116,Reconductor!E116,CTGS!E116)</f>
        <v>122614</v>
      </c>
      <c r="F116" s="85">
        <f>SUM('Defect (Total)'!F116,Planned!F116,Reconductor!F116,CTGS!F116)</f>
        <v>451829</v>
      </c>
      <c r="G116" s="85">
        <f>SUM('Defect (Total)'!G116,Planned!G116,Reconductor!G116,CTGS!G116)</f>
        <v>308182.92422913248</v>
      </c>
      <c r="H116" s="85">
        <f>SUM('Defect (Total)'!H116,Planned!H116,Reconductor!H116,CTGS!H116)</f>
        <v>175270</v>
      </c>
      <c r="I116" s="85">
        <f>SUM('Defect (Total)'!I116,Planned!I116,Reconductor!I116,CTGS!I116)</f>
        <v>246128.60559820657</v>
      </c>
      <c r="J116" s="85">
        <f>SUM('Defect (Total)'!J116,Planned!J116,Reconductor!J116,CTGS!J116)</f>
        <v>397559.2013652004</v>
      </c>
      <c r="K116" s="85">
        <f>SUM('Defect (Total)'!K116,Planned!K116,Reconductor!K116,CTGS!K116)</f>
        <v>65755.440700314997</v>
      </c>
      <c r="L116" s="85">
        <f>SUM('Defect (Total)'!L116,Planned!L116,Reconductor!L116,CTGS!L116)</f>
        <v>238480.01422008692</v>
      </c>
      <c r="M116" s="85">
        <f>SUM('Defect (Total)'!M116,Planned!M116,Reconductor!M116,CTGS!M116)</f>
        <v>299780.3468326013</v>
      </c>
      <c r="N116" s="85">
        <f>SUM('Defect (Total)'!N116,Planned!N116,Reconductor!N116,CTGS!N116)</f>
        <v>0</v>
      </c>
      <c r="O116" s="560">
        <f>SUM('Defect (Total)'!O116,Planned!O116,Reconductor!O116,CTGS!O116)</f>
        <v>251444.25875860185</v>
      </c>
      <c r="P116" s="561">
        <f>SUM('Defect (Total)'!P116,Planned!P116,Reconductor!P116,CTGS!P116)</f>
        <v>162516.38717159419</v>
      </c>
      <c r="Q116" s="561">
        <f>SUM('Defect (Total)'!Q116,Planned!Q116,Reconductor!Q116,CTGS!Q116)</f>
        <v>592802.24499317224</v>
      </c>
      <c r="R116" s="561">
        <f>SUM('Defect (Total)'!R116,Planned!R116,Reconductor!R116,CTGS!R116)</f>
        <v>396667.40378076897</v>
      </c>
      <c r="S116" s="561">
        <f>SUM('Defect (Total)'!S116,Planned!S116,Reconductor!S116,CTGS!S116)</f>
        <v>221001.23777195541</v>
      </c>
      <c r="T116" s="561">
        <f>SUM('Defect (Total)'!T116,Planned!T116,Reconductor!T116,CTGS!T116)</f>
        <v>305482.09905596462</v>
      </c>
      <c r="U116" s="561">
        <f>SUM('Defect (Total)'!U116,Planned!U116,Reconductor!U116,CTGS!U116)</f>
        <v>495155.2041782561</v>
      </c>
      <c r="V116" s="561">
        <f>SUM('Defect (Total)'!V116,Planned!V116,Reconductor!V116,CTGS!V116)</f>
        <v>78864.365767665702</v>
      </c>
      <c r="W116" s="561">
        <f>SUM('Defect (Total)'!W116,Planned!W116,Reconductor!W116,CTGS!W116)</f>
        <v>269465.062825509</v>
      </c>
      <c r="X116" s="561">
        <f>SUM('Defect (Total)'!X116,Planned!X116,Reconductor!X116,CTGS!X116)</f>
        <v>318804.68526680762</v>
      </c>
      <c r="Y116" s="561">
        <f>SUM('Defect (Total)'!Y116,Planned!Y116,Reconductor!Y116,CTGS!Y116)</f>
        <v>315911.24410827231</v>
      </c>
      <c r="Z116" s="86">
        <f>SUM('Defect (Total)'!Z116,Planned!Z116,Reconductor!Z116,CTGS!Z116)</f>
        <v>31</v>
      </c>
      <c r="AA116" s="87">
        <f>SUM('Defect (Total)'!AA116,Planned!AA116,Reconductor!AA116,CTGS!AA116)</f>
        <v>22</v>
      </c>
      <c r="AB116" s="87">
        <f>SUM('Defect (Total)'!AB116,Planned!AB116,Reconductor!AB116,CTGS!AB116)</f>
        <v>65</v>
      </c>
      <c r="AC116" s="87">
        <f>SUM('Defect (Total)'!AC116,Planned!AC116,Reconductor!AC116,CTGS!AC116)</f>
        <v>20</v>
      </c>
      <c r="AD116" s="87">
        <f>SUM('Defect (Total)'!AD116,Planned!AD116,Reconductor!AD116,CTGS!AD116)</f>
        <v>31</v>
      </c>
      <c r="AE116" s="87">
        <f>SUM('Defect (Total)'!AE116,Planned!AE116,Reconductor!AE116,CTGS!AE116)</f>
        <v>46</v>
      </c>
      <c r="AF116" s="87">
        <f>SUM('Defect (Total)'!AF116,Planned!AF116,Reconductor!AF116,CTGS!AF116)</f>
        <v>81</v>
      </c>
      <c r="AG116" s="87">
        <f>SUM('Defect (Total)'!AG116,Planned!AG116,Reconductor!AG116,CTGS!AG116)</f>
        <v>16</v>
      </c>
      <c r="AH116" s="87">
        <f>SUM('Defect (Total)'!AH116,Planned!AH116,Reconductor!AH116,CTGS!AH116)</f>
        <v>23</v>
      </c>
      <c r="AI116" s="87">
        <f>SUM('Defect (Total)'!AI116,Planned!AI116,Reconductor!AI116,CTGS!AI116)</f>
        <v>24</v>
      </c>
      <c r="AJ116" s="87">
        <f>SUM('Defect (Total)'!AJ116,Planned!AJ116,Reconductor!AJ116,CTGS!AJ116)</f>
        <v>0</v>
      </c>
      <c r="AK116" s="88">
        <f t="shared" si="43"/>
        <v>39.4</v>
      </c>
      <c r="AL116" s="89">
        <f t="shared" si="48"/>
        <v>40</v>
      </c>
      <c r="AM116" s="90">
        <f t="shared" si="44"/>
        <v>23</v>
      </c>
      <c r="AN116" s="91">
        <f t="shared" si="49"/>
        <v>6028.5161290322585</v>
      </c>
      <c r="AO116" s="92">
        <f t="shared" si="50"/>
        <v>5573.363636363636</v>
      </c>
      <c r="AP116" s="92">
        <f t="shared" si="51"/>
        <v>6951.2153846153842</v>
      </c>
      <c r="AQ116" s="92">
        <f t="shared" si="52"/>
        <v>15409.146211456624</v>
      </c>
      <c r="AR116" s="92">
        <f t="shared" si="53"/>
        <v>5653.8709677419356</v>
      </c>
      <c r="AS116" s="92">
        <f t="shared" si="54"/>
        <v>5350.621860830578</v>
      </c>
      <c r="AT116" s="92">
        <f t="shared" si="55"/>
        <v>4908.138288459264</v>
      </c>
      <c r="AU116" s="92">
        <f t="shared" si="56"/>
        <v>4109.7150437696873</v>
      </c>
      <c r="AV116" s="92">
        <f t="shared" si="57"/>
        <v>10368.696270438562</v>
      </c>
      <c r="AW116" s="92">
        <f t="shared" si="58"/>
        <v>12490.847784691721</v>
      </c>
      <c r="AX116" s="92" t="str">
        <f t="shared" si="58"/>
        <v/>
      </c>
      <c r="AY116" s="93">
        <f t="shared" si="59"/>
        <v>5701.4886390041056</v>
      </c>
      <c r="AZ116" s="94">
        <f t="shared" si="41"/>
        <v>5848.2888023800197</v>
      </c>
      <c r="BA116" s="95">
        <f t="shared" si="42"/>
        <v>10368.696270438562</v>
      </c>
      <c r="BB116" s="689">
        <f>SUM('Defect (Total)'!BB116,Planned!CE116,Reconductor!CE116,CTGS!CE116,'Substation 2025$'!CE116*$BL$1,Comms!CA116*$BL$2)</f>
        <v>0</v>
      </c>
      <c r="BC116" s="689">
        <f>SUM('Defect (Total)'!BC116,Planned!CF116,Reconductor!CF116,CTGS!CF116,'Substation 2025$'!CF116*$BL$1,Comms!CB116*$BL$2)</f>
        <v>0</v>
      </c>
      <c r="BD116" s="96">
        <f>SUM('Defect (Total)'!BD116,Planned!CG116,Reconductor!CG116,CTGS!CG116,'Substation 2025$'!CG116*$BL$1,Comms!CC116*$BL$2)</f>
        <v>0</v>
      </c>
      <c r="BE116" s="96">
        <f>SUM('Defect (Total)'!BE116,Planned!CH116,Reconductor!CH116,CTGS!CH116,'Substation 2025$'!CH116*$BL$1,Comms!CD116*$BL$2)</f>
        <v>0</v>
      </c>
      <c r="BF116" s="96">
        <f>SUM('Defect (Total)'!BF116,Planned!CI116,Reconductor!CI116,CTGS!CI116,'Substation 2025$'!CI116*$BL$1,Comms!CE116*$BL$2)</f>
        <v>0</v>
      </c>
      <c r="BG116" s="96">
        <f>SUM('Defect (Total)'!BG116,Planned!CJ116,Reconductor!CJ116,CTGS!CJ116,'Substation 2025$'!CJ116*$BL$1,Comms!CF116*$BL$2)</f>
        <v>0</v>
      </c>
      <c r="BH116" s="96">
        <f>SUM('Defect (Total)'!BH116,Planned!CK116,Reconductor!CK116,CTGS!CK116,'Substation 2025$'!CK116*$BL$1,Comms!CG116*$BL$2)</f>
        <v>0</v>
      </c>
      <c r="BI116" s="286">
        <f>SUM('Defect (Total)'!BI116,Planned!CL116,Reconductor!CL116,CTGS!CL116,'Substation 2025$'!CL116*$BL$1,Comms!CH116*$BL$2)</f>
        <v>0</v>
      </c>
      <c r="BJ116" s="99" t="str">
        <f t="shared" si="47"/>
        <v/>
      </c>
      <c r="BK116" s="743"/>
      <c r="BL116" s="97"/>
      <c r="BM116" s="524"/>
      <c r="BN116" s="416">
        <f>'Distribution Summary'!CI116+'Substation 2025$'!CT116</f>
        <v>0</v>
      </c>
      <c r="BO116" s="97">
        <f>'Distribution Summary'!CJ116+'Substation 2025$'!CU116</f>
        <v>0</v>
      </c>
      <c r="BP116" s="97">
        <f>'Distribution Summary'!CK116+'Substation 2025$'!CV116</f>
        <v>0</v>
      </c>
      <c r="BQ116" s="97">
        <f>'Distribution Summary'!CL116+'Substation 2025$'!CW116</f>
        <v>0</v>
      </c>
      <c r="BR116" s="98">
        <f>'Distribution Summary'!CM116+'Substation 2025$'!CX116</f>
        <v>0</v>
      </c>
    </row>
    <row r="117" spans="1:70" x14ac:dyDescent="0.25">
      <c r="A117" s="81" t="s">
        <v>224</v>
      </c>
      <c r="B117" s="82" t="s">
        <v>237</v>
      </c>
      <c r="C117" s="83" t="s">
        <v>238</v>
      </c>
      <c r="D117" s="84">
        <f>SUM('Defect (Total)'!D117,Planned!D117,Reconductor!D117,CTGS!D117)</f>
        <v>760961</v>
      </c>
      <c r="E117" s="85">
        <f>SUM('Defect (Total)'!E117,Planned!E117,Reconductor!E117,CTGS!E117)</f>
        <v>339992</v>
      </c>
      <c r="F117" s="85">
        <f>SUM('Defect (Total)'!F117,Planned!F117,Reconductor!F117,CTGS!F117)</f>
        <v>564615</v>
      </c>
      <c r="G117" s="85">
        <f>SUM('Defect (Total)'!G117,Planned!G117,Reconductor!G117,CTGS!G117)</f>
        <v>612721</v>
      </c>
      <c r="H117" s="85">
        <f>SUM('Defect (Total)'!H117,Planned!H117,Reconductor!H117,CTGS!H117)</f>
        <v>285204</v>
      </c>
      <c r="I117" s="85">
        <f>SUM('Defect (Total)'!I117,Planned!I117,Reconductor!I117,CTGS!I117)</f>
        <v>595636.01373642439</v>
      </c>
      <c r="J117" s="85">
        <f>SUM('Defect (Total)'!J117,Planned!J117,Reconductor!J117,CTGS!J117)</f>
        <v>622978.73421031435</v>
      </c>
      <c r="K117" s="85">
        <f>SUM('Defect (Total)'!K117,Planned!K117,Reconductor!K117,CTGS!K117)</f>
        <v>286797.90969337494</v>
      </c>
      <c r="L117" s="85">
        <f>SUM('Defect (Total)'!L117,Planned!L117,Reconductor!L117,CTGS!L117)</f>
        <v>315216.12086729851</v>
      </c>
      <c r="M117" s="85">
        <f>SUM('Defect (Total)'!M117,Planned!M117,Reconductor!M117,CTGS!M117)</f>
        <v>804917.52853729413</v>
      </c>
      <c r="N117" s="85">
        <f>SUM('Defect (Total)'!N117,Planned!N117,Reconductor!N117,CTGS!N117)</f>
        <v>0</v>
      </c>
      <c r="O117" s="560">
        <f>SUM('Defect (Total)'!O117,Planned!O117,Reconductor!O117,CTGS!O117)</f>
        <v>1023839.7861197558</v>
      </c>
      <c r="P117" s="561">
        <f>SUM('Defect (Total)'!P117,Planned!P117,Reconductor!P117,CTGS!P117)</f>
        <v>450635.91031403141</v>
      </c>
      <c r="Q117" s="561">
        <f>SUM('Defect (Total)'!Q117,Planned!Q117,Reconductor!Q117,CTGS!Q117)</f>
        <v>740778.12525716564</v>
      </c>
      <c r="R117" s="561">
        <f>SUM('Defect (Total)'!R117,Planned!R117,Reconductor!R117,CTGS!R117)</f>
        <v>788643.46206038562</v>
      </c>
      <c r="S117" s="561">
        <f>SUM('Defect (Total)'!S117,Planned!S117,Reconductor!S117,CTGS!S117)</f>
        <v>359619.08494045067</v>
      </c>
      <c r="T117" s="561">
        <f>SUM('Defect (Total)'!T117,Planned!T117,Reconductor!T117,CTGS!T117)</f>
        <v>739272.62256775284</v>
      </c>
      <c r="U117" s="561">
        <f>SUM('Defect (Total)'!U117,Planned!U117,Reconductor!U117,CTGS!U117)</f>
        <v>775912.52139893535</v>
      </c>
      <c r="V117" s="561">
        <f>SUM('Defect (Total)'!V117,Planned!V117,Reconductor!V117,CTGS!V117)</f>
        <v>343973.59382844088</v>
      </c>
      <c r="W117" s="561">
        <f>SUM('Defect (Total)'!W117,Planned!W117,Reconductor!W117,CTGS!W117)</f>
        <v>356171.27955523849</v>
      </c>
      <c r="X117" s="561">
        <f>SUM('Defect (Total)'!X117,Planned!X117,Reconductor!X117,CTGS!X117)</f>
        <v>855998.34032603132</v>
      </c>
      <c r="Y117" s="561">
        <f>SUM('Defect (Total)'!Y117,Planned!Y117,Reconductor!Y117,CTGS!Y117)</f>
        <v>782154.61283102119</v>
      </c>
      <c r="Z117" s="86">
        <f>SUM('Defect (Total)'!Z117,Planned!Z117,Reconductor!Z117,CTGS!Z117)</f>
        <v>303</v>
      </c>
      <c r="AA117" s="87">
        <f>SUM('Defect (Total)'!AA117,Planned!AA117,Reconductor!AA117,CTGS!AA117)</f>
        <v>121</v>
      </c>
      <c r="AB117" s="87">
        <f>SUM('Defect (Total)'!AB117,Planned!AB117,Reconductor!AB117,CTGS!AB117)</f>
        <v>180</v>
      </c>
      <c r="AC117" s="87">
        <f>SUM('Defect (Total)'!AC117,Planned!AC117,Reconductor!AC117,CTGS!AC117)</f>
        <v>195</v>
      </c>
      <c r="AD117" s="87">
        <f>SUM('Defect (Total)'!AD117,Planned!AD117,Reconductor!AD117,CTGS!AD117)</f>
        <v>105</v>
      </c>
      <c r="AE117" s="87">
        <f>SUM('Defect (Total)'!AE117,Planned!AE117,Reconductor!AE117,CTGS!AE117)</f>
        <v>159</v>
      </c>
      <c r="AF117" s="87">
        <f>SUM('Defect (Total)'!AF117,Planned!AF117,Reconductor!AF117,CTGS!AF117)</f>
        <v>273</v>
      </c>
      <c r="AG117" s="87">
        <f>SUM('Defect (Total)'!AG117,Planned!AG117,Reconductor!AG117,CTGS!AG117)</f>
        <v>93</v>
      </c>
      <c r="AH117" s="87">
        <f>SUM('Defect (Total)'!AH117,Planned!AH117,Reconductor!AH117,CTGS!AH117)</f>
        <v>61</v>
      </c>
      <c r="AI117" s="87">
        <f>SUM('Defect (Total)'!AI117,Planned!AI117,Reconductor!AI117,CTGS!AI117)</f>
        <v>98</v>
      </c>
      <c r="AJ117" s="87">
        <f>SUM('Defect (Total)'!AJ117,Planned!AJ117,Reconductor!AJ117,CTGS!AJ117)</f>
        <v>0</v>
      </c>
      <c r="AK117" s="88">
        <f t="shared" si="43"/>
        <v>138.19999999999999</v>
      </c>
      <c r="AL117" s="89">
        <f t="shared" si="48"/>
        <v>142.33333333333334</v>
      </c>
      <c r="AM117" s="90">
        <f t="shared" si="44"/>
        <v>61</v>
      </c>
      <c r="AN117" s="91">
        <f t="shared" si="49"/>
        <v>2511.4224422442244</v>
      </c>
      <c r="AO117" s="92">
        <f t="shared" si="50"/>
        <v>2809.8512396694214</v>
      </c>
      <c r="AP117" s="92">
        <f t="shared" si="51"/>
        <v>3136.75</v>
      </c>
      <c r="AQ117" s="92">
        <f t="shared" si="52"/>
        <v>3142.1589743589743</v>
      </c>
      <c r="AR117" s="92">
        <f t="shared" si="53"/>
        <v>2716.2285714285713</v>
      </c>
      <c r="AS117" s="92">
        <f t="shared" si="54"/>
        <v>3746.1384511724805</v>
      </c>
      <c r="AT117" s="92">
        <f t="shared" si="55"/>
        <v>2281.973385385767</v>
      </c>
      <c r="AU117" s="92">
        <f t="shared" si="56"/>
        <v>3083.848491326612</v>
      </c>
      <c r="AV117" s="92">
        <f t="shared" si="57"/>
        <v>5167.477391267189</v>
      </c>
      <c r="AW117" s="92">
        <f t="shared" si="58"/>
        <v>8213.4441687478993</v>
      </c>
      <c r="AX117" s="92" t="str">
        <f t="shared" si="58"/>
        <v/>
      </c>
      <c r="AY117" s="93">
        <f t="shared" si="59"/>
        <v>3047.5148748298298</v>
      </c>
      <c r="AZ117" s="94">
        <f t="shared" si="41"/>
        <v>2868.8355146861536</v>
      </c>
      <c r="BA117" s="95">
        <f t="shared" si="42"/>
        <v>5167.477391267189</v>
      </c>
      <c r="BB117" s="689">
        <f>SUM('Defect (Total)'!BB117,Planned!CE117,Reconductor!CE117,CTGS!CE117,'Substation 2025$'!CE117*$BL$1,Comms!CA117*$BL$2)</f>
        <v>0</v>
      </c>
      <c r="BC117" s="689">
        <f>SUM('Defect (Total)'!BC117,Planned!CF117,Reconductor!CF117,CTGS!CF117,'Substation 2025$'!CF117*$BL$1,Comms!CB117*$BL$2)</f>
        <v>0</v>
      </c>
      <c r="BD117" s="96">
        <f>SUM('Defect (Total)'!BD117,Planned!CG117,Reconductor!CG117,CTGS!CG117,'Substation 2025$'!CG117*$BL$1,Comms!CC117*$BL$2)</f>
        <v>0</v>
      </c>
      <c r="BE117" s="96">
        <f>SUM('Defect (Total)'!BE117,Planned!CH117,Reconductor!CH117,CTGS!CH117,'Substation 2025$'!CH117*$BL$1,Comms!CD117*$BL$2)</f>
        <v>0</v>
      </c>
      <c r="BF117" s="96">
        <f>SUM('Defect (Total)'!BF117,Planned!CI117,Reconductor!CI117,CTGS!CI117,'Substation 2025$'!CI117*$BL$1,Comms!CE117*$BL$2)</f>
        <v>0</v>
      </c>
      <c r="BG117" s="96">
        <f>SUM('Defect (Total)'!BG117,Planned!CJ117,Reconductor!CJ117,CTGS!CJ117,'Substation 2025$'!CJ117*$BL$1,Comms!CF117*$BL$2)</f>
        <v>0</v>
      </c>
      <c r="BH117" s="96">
        <f>SUM('Defect (Total)'!BH117,Planned!CK117,Reconductor!CK117,CTGS!CK117,'Substation 2025$'!CK117*$BL$1,Comms!CG117*$BL$2)</f>
        <v>0</v>
      </c>
      <c r="BI117" s="286">
        <f>SUM('Defect (Total)'!BI117,Planned!CL117,Reconductor!CL117,CTGS!CL117,'Substation 2025$'!CL117*$BL$1,Comms!CH117*$BL$2)</f>
        <v>0</v>
      </c>
      <c r="BJ117" s="99" t="str">
        <f t="shared" si="47"/>
        <v/>
      </c>
      <c r="BK117" s="743"/>
      <c r="BL117" s="97"/>
      <c r="BM117" s="524"/>
      <c r="BN117" s="416">
        <f>'Distribution Summary'!CI117+'Substation 2025$'!CT117</f>
        <v>0</v>
      </c>
      <c r="BO117" s="97">
        <f>'Distribution Summary'!CJ117+'Substation 2025$'!CU117</f>
        <v>0</v>
      </c>
      <c r="BP117" s="97">
        <f>'Distribution Summary'!CK117+'Substation 2025$'!CV117</f>
        <v>0</v>
      </c>
      <c r="BQ117" s="97">
        <f>'Distribution Summary'!CL117+'Substation 2025$'!CW117</f>
        <v>0</v>
      </c>
      <c r="BR117" s="98">
        <f>'Distribution Summary'!CM117+'Substation 2025$'!CX117</f>
        <v>0</v>
      </c>
    </row>
    <row r="118" spans="1:70" ht="15.75" thickBot="1" x14ac:dyDescent="0.3">
      <c r="A118" s="100" t="s">
        <v>224</v>
      </c>
      <c r="B118" s="101" t="s">
        <v>397</v>
      </c>
      <c r="C118" s="102" t="s">
        <v>398</v>
      </c>
      <c r="D118" s="103">
        <f>SUM('Defect (Total)'!D118,Planned!D118,Reconductor!D118,CTGS!D118)</f>
        <v>0</v>
      </c>
      <c r="E118" s="104">
        <f>SUM('Defect (Total)'!E118,Planned!E118,Reconductor!E118,CTGS!E118)</f>
        <v>0</v>
      </c>
      <c r="F118" s="104">
        <f>SUM('Defect (Total)'!F118,Planned!F118,Reconductor!F118,CTGS!F118)</f>
        <v>0</v>
      </c>
      <c r="G118" s="104">
        <f>SUM('Defect (Total)'!G118,Planned!G118,Reconductor!G118,CTGS!G118)</f>
        <v>0</v>
      </c>
      <c r="H118" s="104">
        <f>SUM('Defect (Total)'!H118,Planned!H118,Reconductor!H118,CTGS!H118)</f>
        <v>0</v>
      </c>
      <c r="I118" s="104">
        <f>SUM('Defect (Total)'!I118,Planned!I118,Reconductor!I118,CTGS!I118)</f>
        <v>0</v>
      </c>
      <c r="J118" s="104">
        <f>SUM('Defect (Total)'!J118,Planned!J118,Reconductor!J118,CTGS!J118)</f>
        <v>0</v>
      </c>
      <c r="K118" s="104">
        <f>SUM('Defect (Total)'!K118,Planned!K118,Reconductor!K118,CTGS!K118)</f>
        <v>0</v>
      </c>
      <c r="L118" s="104">
        <f>SUM('Defect (Total)'!L118,Planned!L118,Reconductor!L118,CTGS!L118)</f>
        <v>0</v>
      </c>
      <c r="M118" s="104">
        <f>SUM('Defect (Total)'!M118,Planned!M118,Reconductor!M118,CTGS!M118)</f>
        <v>0</v>
      </c>
      <c r="N118" s="104">
        <f>SUM('Defect (Total)'!N118,Planned!N118,Reconductor!N118,CTGS!N118)</f>
        <v>0</v>
      </c>
      <c r="O118" s="563">
        <f>SUM('Defect (Total)'!O118,Planned!O118,Reconductor!O118,CTGS!O118)</f>
        <v>0</v>
      </c>
      <c r="P118" s="564">
        <f>SUM('Defect (Total)'!P118,Planned!P118,Reconductor!P118,CTGS!P118)</f>
        <v>0</v>
      </c>
      <c r="Q118" s="564">
        <f>SUM('Defect (Total)'!Q118,Planned!Q118,Reconductor!Q118,CTGS!Q118)</f>
        <v>0</v>
      </c>
      <c r="R118" s="564">
        <f>SUM('Defect (Total)'!R118,Planned!R118,Reconductor!R118,CTGS!R118)</f>
        <v>0</v>
      </c>
      <c r="S118" s="564">
        <f>SUM('Defect (Total)'!S118,Planned!S118,Reconductor!S118,CTGS!S118)</f>
        <v>0</v>
      </c>
      <c r="T118" s="564">
        <f>SUM('Defect (Total)'!T118,Planned!T118,Reconductor!T118,CTGS!T118)</f>
        <v>0</v>
      </c>
      <c r="U118" s="564">
        <f>SUM('Defect (Total)'!U118,Planned!U118,Reconductor!U118,CTGS!U118)</f>
        <v>0</v>
      </c>
      <c r="V118" s="564">
        <f>SUM('Defect (Total)'!V118,Planned!V118,Reconductor!V118,CTGS!V118)</f>
        <v>0</v>
      </c>
      <c r="W118" s="564">
        <f>SUM('Defect (Total)'!W118,Planned!W118,Reconductor!W118,CTGS!W118)</f>
        <v>0</v>
      </c>
      <c r="X118" s="564">
        <f>SUM('Defect (Total)'!X118,Planned!X118,Reconductor!X118,CTGS!X118)</f>
        <v>0</v>
      </c>
      <c r="Y118" s="564">
        <f>SUM('Defect (Total)'!Y118,Planned!Y118,Reconductor!Y118,CTGS!Y118)</f>
        <v>0</v>
      </c>
      <c r="Z118" s="105">
        <f>SUM('Defect (Total)'!Z118,Planned!Z118,Reconductor!Z118,CTGS!Z118)</f>
        <v>0</v>
      </c>
      <c r="AA118" s="106">
        <f>SUM('Defect (Total)'!AA118,Planned!AA118,Reconductor!AA118,CTGS!AA118)</f>
        <v>0</v>
      </c>
      <c r="AB118" s="106">
        <f>SUM('Defect (Total)'!AB118,Planned!AB118,Reconductor!AB118,CTGS!AB118)</f>
        <v>0</v>
      </c>
      <c r="AC118" s="106">
        <f>SUM('Defect (Total)'!AC118,Planned!AC118,Reconductor!AC118,CTGS!AC118)</f>
        <v>0</v>
      </c>
      <c r="AD118" s="106">
        <f>SUM('Defect (Total)'!AD118,Planned!AD118,Reconductor!AD118,CTGS!AD118)</f>
        <v>0</v>
      </c>
      <c r="AE118" s="106">
        <f>SUM('Defect (Total)'!AE118,Planned!AE118,Reconductor!AE118,CTGS!AE118)</f>
        <v>0</v>
      </c>
      <c r="AF118" s="106">
        <f>SUM('Defect (Total)'!AF118,Planned!AF118,Reconductor!AF118,CTGS!AF118)</f>
        <v>0</v>
      </c>
      <c r="AG118" s="106">
        <f>SUM('Defect (Total)'!AG118,Planned!AG118,Reconductor!AG118,CTGS!AG118)</f>
        <v>0</v>
      </c>
      <c r="AH118" s="106">
        <f>SUM('Defect (Total)'!AH118,Planned!AH118,Reconductor!AH118,CTGS!AH118)</f>
        <v>0</v>
      </c>
      <c r="AI118" s="106">
        <f>SUM('Defect (Total)'!AI118,Planned!AI118,Reconductor!AI118,CTGS!AI118)</f>
        <v>0</v>
      </c>
      <c r="AJ118" s="106">
        <f>SUM('Defect (Total)'!AJ118,Planned!AJ118,Reconductor!AJ118,CTGS!AJ118)</f>
        <v>0</v>
      </c>
      <c r="AK118" s="107">
        <f t="shared" si="43"/>
        <v>0</v>
      </c>
      <c r="AL118" s="108">
        <f t="shared" si="48"/>
        <v>0</v>
      </c>
      <c r="AM118" s="109">
        <f t="shared" si="44"/>
        <v>0</v>
      </c>
      <c r="AN118" s="110" t="str">
        <f t="shared" si="49"/>
        <v/>
      </c>
      <c r="AO118" s="111" t="str">
        <f t="shared" si="50"/>
        <v/>
      </c>
      <c r="AP118" s="111" t="str">
        <f t="shared" si="51"/>
        <v/>
      </c>
      <c r="AQ118" s="111" t="str">
        <f t="shared" si="52"/>
        <v/>
      </c>
      <c r="AR118" s="111" t="str">
        <f t="shared" si="53"/>
        <v/>
      </c>
      <c r="AS118" s="111" t="str">
        <f t="shared" si="54"/>
        <v/>
      </c>
      <c r="AT118" s="111" t="str">
        <f t="shared" si="55"/>
        <v/>
      </c>
      <c r="AU118" s="111" t="str">
        <f t="shared" si="56"/>
        <v/>
      </c>
      <c r="AV118" s="111" t="str">
        <f t="shared" si="57"/>
        <v/>
      </c>
      <c r="AW118" s="111" t="str">
        <f t="shared" si="58"/>
        <v/>
      </c>
      <c r="AX118" s="111" t="str">
        <f t="shared" si="58"/>
        <v/>
      </c>
      <c r="AY118" s="112" t="str">
        <f t="shared" si="59"/>
        <v/>
      </c>
      <c r="AZ118" s="113" t="str">
        <f t="shared" si="41"/>
        <v/>
      </c>
      <c r="BA118" s="114" t="str">
        <f t="shared" si="42"/>
        <v/>
      </c>
      <c r="BB118" s="690">
        <f>SUM('Defect (Total)'!BB118,Planned!CE118,Reconductor!CE118,CTGS!CE118,'Substation 2025$'!CE118*$BL$1,Comms!CA118*$BL$2)</f>
        <v>0</v>
      </c>
      <c r="BC118" s="690">
        <f>SUM('Defect (Total)'!BC118,Planned!CF118,Reconductor!CF118,CTGS!CF118,'Substation 2025$'!CF118*$BL$1,Comms!CB118*$BL$2)</f>
        <v>0</v>
      </c>
      <c r="BD118" s="115">
        <f>SUM('Defect (Total)'!BD118,Planned!CG118,Reconductor!CG118,CTGS!CG118,'Substation 2025$'!CG118*$BL$1,Comms!CC118*$BL$2)</f>
        <v>0</v>
      </c>
      <c r="BE118" s="115">
        <f>SUM('Defect (Total)'!BE118,Planned!CH118,Reconductor!CH118,CTGS!CH118,'Substation 2025$'!CH118*$BL$1,Comms!CD118*$BL$2)</f>
        <v>0</v>
      </c>
      <c r="BF118" s="115">
        <f>SUM('Defect (Total)'!BF118,Planned!CI118,Reconductor!CI118,CTGS!CI118,'Substation 2025$'!CI118*$BL$1,Comms!CE118*$BL$2)</f>
        <v>0</v>
      </c>
      <c r="BG118" s="115">
        <f>SUM('Defect (Total)'!BG118,Planned!CJ118,Reconductor!CJ118,CTGS!CJ118,'Substation 2025$'!CJ118*$BL$1,Comms!CF118*$BL$2)</f>
        <v>0</v>
      </c>
      <c r="BH118" s="115">
        <f>SUM('Defect (Total)'!BH118,Planned!CK118,Reconductor!CK118,CTGS!CK118,'Substation 2025$'!CK118*$BL$1,Comms!CG118*$BL$2)</f>
        <v>0</v>
      </c>
      <c r="BI118" s="287">
        <f>SUM('Defect (Total)'!BI118,Planned!CL118,Reconductor!CL118,CTGS!CL118,'Substation 2025$'!CL118*$BL$1,Comms!CH118*$BL$2)</f>
        <v>0</v>
      </c>
      <c r="BJ118" s="116" t="str">
        <f t="shared" si="47"/>
        <v/>
      </c>
      <c r="BK118" s="744"/>
      <c r="BL118" s="117"/>
      <c r="BM118" s="638"/>
      <c r="BN118" s="467">
        <f>'Distribution Summary'!CI118+'Substation 2025$'!CT118</f>
        <v>0</v>
      </c>
      <c r="BO118" s="117">
        <f>'Distribution Summary'!CJ118+'Substation 2025$'!CU118</f>
        <v>0</v>
      </c>
      <c r="BP118" s="117">
        <f>'Distribution Summary'!CK118+'Substation 2025$'!CV118</f>
        <v>0</v>
      </c>
      <c r="BQ118" s="117">
        <f>'Distribution Summary'!CL118+'Substation 2025$'!CW118</f>
        <v>0</v>
      </c>
      <c r="BR118" s="118">
        <f>'Distribution Summary'!CM118+'Substation 2025$'!CX118</f>
        <v>0</v>
      </c>
    </row>
    <row r="119" spans="1:70" x14ac:dyDescent="0.25">
      <c r="A119" s="63" t="s">
        <v>242</v>
      </c>
      <c r="B119" s="64" t="s">
        <v>239</v>
      </c>
      <c r="C119" s="65" t="s">
        <v>241</v>
      </c>
      <c r="D119" s="66">
        <f>SUM('Defect (Total)'!D119,Planned!D119,Reconductor!D119,CTGS!D119)</f>
        <v>0</v>
      </c>
      <c r="E119" s="67">
        <f>SUM('Defect (Total)'!E119,Planned!E119,Reconductor!E119,CTGS!E119)</f>
        <v>0</v>
      </c>
      <c r="F119" s="67">
        <f>SUM('Defect (Total)'!F119,Planned!F119,Reconductor!F119,CTGS!F119)</f>
        <v>651258</v>
      </c>
      <c r="G119" s="67">
        <f>SUM('Defect (Total)'!G119,Planned!G119,Reconductor!G119,CTGS!G119)</f>
        <v>580051.2492048007</v>
      </c>
      <c r="H119" s="67">
        <f>SUM('Defect (Total)'!H119,Planned!H119,Reconductor!H119,CTGS!H119)</f>
        <v>20358</v>
      </c>
      <c r="I119" s="67">
        <f>SUM('Defect (Total)'!I119,Planned!I119,Reconductor!I119,CTGS!I119)</f>
        <v>0</v>
      </c>
      <c r="J119" s="67">
        <f>SUM('Defect (Total)'!J119,Planned!J119,Reconductor!J119,CTGS!J119)</f>
        <v>0</v>
      </c>
      <c r="K119" s="67">
        <f>SUM('Defect (Total)'!K119,Planned!K119,Reconductor!K119,CTGS!K119)</f>
        <v>0</v>
      </c>
      <c r="L119" s="67">
        <f>SUM('Defect (Total)'!L119,Planned!L119,Reconductor!L119,CTGS!L119)</f>
        <v>74970.09770742101</v>
      </c>
      <c r="M119" s="67">
        <f>SUM('Defect (Total)'!M119,Planned!M119,Reconductor!M119,CTGS!M119)</f>
        <v>0</v>
      </c>
      <c r="N119" s="67">
        <f>SUM('Defect (Total)'!N119,Planned!N119,Reconductor!N119,CTGS!N119)</f>
        <v>5185.1099999999997</v>
      </c>
      <c r="O119" s="557">
        <f>SUM('Defect (Total)'!O119,Planned!O119,Reconductor!O119,CTGS!O119)</f>
        <v>0</v>
      </c>
      <c r="P119" s="558">
        <f>SUM('Defect (Total)'!P119,Planned!P119,Reconductor!P119,CTGS!P119)</f>
        <v>0</v>
      </c>
      <c r="Q119" s="558">
        <f>SUM('Defect (Total)'!Q119,Planned!Q119,Reconductor!Q119,CTGS!Q119)</f>
        <v>854454.23925813381</v>
      </c>
      <c r="R119" s="558">
        <f>SUM('Defect (Total)'!R119,Planned!R119,Reconductor!R119,CTGS!R119)</f>
        <v>746593.6785997632</v>
      </c>
      <c r="S119" s="558">
        <f>SUM('Defect (Total)'!S119,Planned!S119,Reconductor!S119,CTGS!S119)</f>
        <v>25669.784895084544</v>
      </c>
      <c r="T119" s="558">
        <f>SUM('Defect (Total)'!T119,Planned!T119,Reconductor!T119,CTGS!T119)</f>
        <v>0</v>
      </c>
      <c r="U119" s="558">
        <f>SUM('Defect (Total)'!U119,Planned!U119,Reconductor!U119,CTGS!U119)</f>
        <v>0</v>
      </c>
      <c r="V119" s="558">
        <f>SUM('Defect (Total)'!V119,Planned!V119,Reconductor!V119,CTGS!V119)</f>
        <v>0</v>
      </c>
      <c r="W119" s="558">
        <f>SUM('Defect (Total)'!W119,Planned!W119,Reconductor!W119,CTGS!W119)</f>
        <v>84710.755133220606</v>
      </c>
      <c r="X119" s="558">
        <f>SUM('Defect (Total)'!X119,Planned!X119,Reconductor!X119,CTGS!X119)</f>
        <v>0</v>
      </c>
      <c r="Y119" s="558">
        <f>SUM('Defect (Total)'!Y119,Planned!Y119,Reconductor!Y119,CTGS!Y119)</f>
        <v>5327.6926400863604</v>
      </c>
      <c r="Z119" s="68">
        <f>SUM('Defect (Total)'!Z119,Planned!Z119,Reconductor!Z119,CTGS!Z119)</f>
        <v>0</v>
      </c>
      <c r="AA119" s="69">
        <f>SUM('Defect (Total)'!AA119,Planned!AA119,Reconductor!AA119,CTGS!AA119)</f>
        <v>0</v>
      </c>
      <c r="AB119" s="69">
        <f>SUM('Defect (Total)'!AB119,Planned!AB119,Reconductor!AB119,CTGS!AB119)</f>
        <v>1</v>
      </c>
      <c r="AC119" s="69">
        <f>SUM('Defect (Total)'!AC119,Planned!AC119,Reconductor!AC119,CTGS!AC119)</f>
        <v>3</v>
      </c>
      <c r="AD119" s="69">
        <f>SUM('Defect (Total)'!AD119,Planned!AD119,Reconductor!AD119,CTGS!AD119)</f>
        <v>2</v>
      </c>
      <c r="AE119" s="69">
        <f>SUM('Defect (Total)'!AE119,Planned!AE119,Reconductor!AE119,CTGS!AE119)</f>
        <v>0</v>
      </c>
      <c r="AF119" s="69">
        <f>SUM('Defect (Total)'!AF119,Planned!AF119,Reconductor!AF119,CTGS!AF119)</f>
        <v>0</v>
      </c>
      <c r="AG119" s="69">
        <f>SUM('Defect (Total)'!AG119,Planned!AG119,Reconductor!AG119,CTGS!AG119)</f>
        <v>0</v>
      </c>
      <c r="AH119" s="69">
        <f>SUM('Defect (Total)'!AH119,Planned!AH119,Reconductor!AH119,CTGS!AH119)</f>
        <v>0</v>
      </c>
      <c r="AI119" s="69">
        <f>SUM('Defect (Total)'!AI119,Planned!AI119,Reconductor!AI119,CTGS!AI119)</f>
        <v>0</v>
      </c>
      <c r="AJ119" s="69">
        <f>SUM('Defect (Total)'!AJ119,Planned!AJ119,Reconductor!AJ119,CTGS!AJ119)</f>
        <v>1</v>
      </c>
      <c r="AK119" s="70">
        <f t="shared" si="43"/>
        <v>0.4</v>
      </c>
      <c r="AL119" s="71">
        <f t="shared" si="48"/>
        <v>0</v>
      </c>
      <c r="AM119" s="72">
        <f t="shared" si="44"/>
        <v>0</v>
      </c>
      <c r="AN119" s="73" t="str">
        <f t="shared" si="49"/>
        <v/>
      </c>
      <c r="AO119" s="74" t="str">
        <f t="shared" si="50"/>
        <v/>
      </c>
      <c r="AP119" s="74">
        <f t="shared" si="51"/>
        <v>651258</v>
      </c>
      <c r="AQ119" s="74">
        <f t="shared" si="52"/>
        <v>193350.41640160023</v>
      </c>
      <c r="AR119" s="74">
        <f t="shared" si="53"/>
        <v>10179</v>
      </c>
      <c r="AS119" s="74" t="str">
        <f t="shared" si="54"/>
        <v/>
      </c>
      <c r="AT119" s="74" t="str">
        <f t="shared" si="55"/>
        <v/>
      </c>
      <c r="AU119" s="74" t="str">
        <f t="shared" si="56"/>
        <v/>
      </c>
      <c r="AV119" s="74" t="str">
        <f t="shared" si="57"/>
        <v/>
      </c>
      <c r="AW119" s="74" t="str">
        <f t="shared" ref="AW119:AX132" si="60">IFERROR(M119/AI119,"")</f>
        <v/>
      </c>
      <c r="AX119" s="74">
        <f t="shared" si="60"/>
        <v>5185.1099999999997</v>
      </c>
      <c r="AY119" s="75">
        <f t="shared" si="59"/>
        <v>47664.048853710505</v>
      </c>
      <c r="AZ119" s="76" t="str">
        <f t="shared" si="41"/>
        <v/>
      </c>
      <c r="BA119" s="77" t="str">
        <f t="shared" si="42"/>
        <v/>
      </c>
      <c r="BB119" s="696">
        <f>SUM('Defect (Total)'!BB119,Planned!CE119,Reconductor!CE119,CTGS!CE119,'Substation 2025$'!CE119*$BL$1,Comms!CA119*$BL$2)</f>
        <v>0</v>
      </c>
      <c r="BC119" s="696">
        <f>SUM('Defect (Total)'!BC119,Planned!CF119,Reconductor!CF119,CTGS!CF119,'Substation 2025$'!CF119*$BL$1,Comms!CB119*$BL$2)</f>
        <v>47</v>
      </c>
      <c r="BD119" s="144">
        <f>SUM('Defect (Total)'!BD119,Planned!CG119,Reconductor!CG119,CTGS!CG119,'Substation 2025$'!CG119*$BL$1,Comms!CC119*$BL$2)</f>
        <v>95</v>
      </c>
      <c r="BE119" s="144">
        <f>SUM('Defect (Total)'!BE119,Planned!CH119,Reconductor!CH119,CTGS!CH119,'Substation 2025$'!CH119*$BL$1,Comms!CD119*$BL$2)</f>
        <v>141</v>
      </c>
      <c r="BF119" s="144">
        <f>SUM('Defect (Total)'!BF119,Planned!CI119,Reconductor!CI119,CTGS!CI119,'Substation 2025$'!CI119*$BL$1,Comms!CE119*$BL$2)</f>
        <v>374</v>
      </c>
      <c r="BG119" s="144">
        <f>SUM('Defect (Total)'!BG119,Planned!CJ119,Reconductor!CJ119,CTGS!CJ119,'Substation 2025$'!CJ119*$BL$1,Comms!CF119*$BL$2)</f>
        <v>305</v>
      </c>
      <c r="BH119" s="144">
        <f>SUM('Defect (Total)'!BH119,Planned!CK119,Reconductor!CK119,CTGS!CK119,'Substation 2025$'!CK119*$BL$1,Comms!CG119*$BL$2)</f>
        <v>257</v>
      </c>
      <c r="BI119" s="293">
        <f>SUM('Defect (Total)'!BI119,Planned!CL119,Reconductor!CL119,CTGS!CL119,'Substation 2025$'!CL119*$BL$1,Comms!CH119*$BL$2)</f>
        <v>288</v>
      </c>
      <c r="BJ119" s="124">
        <f t="shared" si="47"/>
        <v>72922.464235237901</v>
      </c>
      <c r="BK119" s="742"/>
      <c r="BL119" s="79"/>
      <c r="BM119" s="523"/>
      <c r="BN119" s="415">
        <f>'Distribution Summary'!CI119+'Substation 2025$'!CT119</f>
        <v>18546238.319711953</v>
      </c>
      <c r="BO119" s="79">
        <f>'Distribution Summary'!CJ119+'Substation 2025$'!CU119</f>
        <v>18912459.532091904</v>
      </c>
      <c r="BP119" s="79">
        <f>'Distribution Summary'!CK119+'Substation 2025$'!CV119</f>
        <v>22290924.789106578</v>
      </c>
      <c r="BQ119" s="79">
        <f>'Distribution Summary'!CL119+'Substation 2025$'!CW119</f>
        <v>20541972.958999179</v>
      </c>
      <c r="BR119" s="80">
        <f>'Distribution Summary'!CM119+'Substation 2025$'!CX119</f>
        <v>19247568.08119012</v>
      </c>
    </row>
    <row r="120" spans="1:70" x14ac:dyDescent="0.25">
      <c r="A120" s="81" t="s">
        <v>242</v>
      </c>
      <c r="B120" s="82" t="s">
        <v>243</v>
      </c>
      <c r="C120" s="83" t="s">
        <v>244</v>
      </c>
      <c r="D120" s="84">
        <f>SUM('Defect (Total)'!D120,Planned!D120,Reconductor!D120,CTGS!D120)</f>
        <v>0</v>
      </c>
      <c r="E120" s="85">
        <f>SUM('Defect (Total)'!E120,Planned!E120,Reconductor!E120,CTGS!E120)</f>
        <v>0</v>
      </c>
      <c r="F120" s="85">
        <f>SUM('Defect (Total)'!F120,Planned!F120,Reconductor!F120,CTGS!F120)</f>
        <v>0</v>
      </c>
      <c r="G120" s="85">
        <f>SUM('Defect (Total)'!G120,Planned!G120,Reconductor!G120,CTGS!G120)</f>
        <v>0</v>
      </c>
      <c r="H120" s="85">
        <f>SUM('Defect (Total)'!H120,Planned!H120,Reconductor!H120,CTGS!H120)</f>
        <v>0</v>
      </c>
      <c r="I120" s="85">
        <f>SUM('Defect (Total)'!I120,Planned!I120,Reconductor!I120,CTGS!I120)</f>
        <v>0</v>
      </c>
      <c r="J120" s="85">
        <f>SUM('Defect (Total)'!J120,Planned!J120,Reconductor!J120,CTGS!J120)</f>
        <v>0</v>
      </c>
      <c r="K120" s="85">
        <f>SUM('Defect (Total)'!K120,Planned!K120,Reconductor!K120,CTGS!K120)</f>
        <v>0</v>
      </c>
      <c r="L120" s="85">
        <f>SUM('Defect (Total)'!L120,Planned!L120,Reconductor!L120,CTGS!L120)</f>
        <v>0</v>
      </c>
      <c r="M120" s="85">
        <f>SUM('Defect (Total)'!M120,Planned!M120,Reconductor!M120,CTGS!M120)</f>
        <v>0</v>
      </c>
      <c r="N120" s="85">
        <f>SUM('Defect (Total)'!N120,Planned!N120,Reconductor!N120,CTGS!N120)</f>
        <v>0</v>
      </c>
      <c r="O120" s="560">
        <f>SUM('Defect (Total)'!O120,Planned!O120,Reconductor!O120,CTGS!O120)</f>
        <v>0</v>
      </c>
      <c r="P120" s="561">
        <f>SUM('Defect (Total)'!P120,Planned!P120,Reconductor!P120,CTGS!P120)</f>
        <v>0</v>
      </c>
      <c r="Q120" s="561">
        <f>SUM('Defect (Total)'!Q120,Planned!Q120,Reconductor!Q120,CTGS!Q120)</f>
        <v>0</v>
      </c>
      <c r="R120" s="561">
        <f>SUM('Defect (Total)'!R120,Planned!R120,Reconductor!R120,CTGS!R120)</f>
        <v>0</v>
      </c>
      <c r="S120" s="561">
        <f>SUM('Defect (Total)'!S120,Planned!S120,Reconductor!S120,CTGS!S120)</f>
        <v>0</v>
      </c>
      <c r="T120" s="561">
        <f>SUM('Defect (Total)'!T120,Planned!T120,Reconductor!T120,CTGS!T120)</f>
        <v>0</v>
      </c>
      <c r="U120" s="561">
        <f>SUM('Defect (Total)'!U120,Planned!U120,Reconductor!U120,CTGS!U120)</f>
        <v>0</v>
      </c>
      <c r="V120" s="561">
        <f>SUM('Defect (Total)'!V120,Planned!V120,Reconductor!V120,CTGS!V120)</f>
        <v>0</v>
      </c>
      <c r="W120" s="561">
        <f>SUM('Defect (Total)'!W120,Planned!W120,Reconductor!W120,CTGS!W120)</f>
        <v>0</v>
      </c>
      <c r="X120" s="561">
        <f>SUM('Defect (Total)'!X120,Planned!X120,Reconductor!X120,CTGS!X120)</f>
        <v>0</v>
      </c>
      <c r="Y120" s="561">
        <f>SUM('Defect (Total)'!Y120,Planned!Y120,Reconductor!Y120,CTGS!Y120)</f>
        <v>0</v>
      </c>
      <c r="Z120" s="86">
        <f>SUM('Defect (Total)'!Z120,Planned!Z120,Reconductor!Z120,CTGS!Z120)</f>
        <v>0</v>
      </c>
      <c r="AA120" s="87">
        <f>SUM('Defect (Total)'!AA120,Planned!AA120,Reconductor!AA120,CTGS!AA120)</f>
        <v>0</v>
      </c>
      <c r="AB120" s="87">
        <f>SUM('Defect (Total)'!AB120,Planned!AB120,Reconductor!AB120,CTGS!AB120)</f>
        <v>0</v>
      </c>
      <c r="AC120" s="87">
        <f>SUM('Defect (Total)'!AC120,Planned!AC120,Reconductor!AC120,CTGS!AC120)</f>
        <v>0</v>
      </c>
      <c r="AD120" s="87">
        <f>SUM('Defect (Total)'!AD120,Planned!AD120,Reconductor!AD120,CTGS!AD120)</f>
        <v>0</v>
      </c>
      <c r="AE120" s="87">
        <f>SUM('Defect (Total)'!AE120,Planned!AE120,Reconductor!AE120,CTGS!AE120)</f>
        <v>0</v>
      </c>
      <c r="AF120" s="87">
        <f>SUM('Defect (Total)'!AF120,Planned!AF120,Reconductor!AF120,CTGS!AF120)</f>
        <v>0</v>
      </c>
      <c r="AG120" s="87">
        <f>SUM('Defect (Total)'!AG120,Planned!AG120,Reconductor!AG120,CTGS!AG120)</f>
        <v>0</v>
      </c>
      <c r="AH120" s="87">
        <f>SUM('Defect (Total)'!AH120,Planned!AH120,Reconductor!AH120,CTGS!AH120)</f>
        <v>0</v>
      </c>
      <c r="AI120" s="87">
        <f>SUM('Defect (Total)'!AI120,Planned!AI120,Reconductor!AI120,CTGS!AI120)</f>
        <v>0</v>
      </c>
      <c r="AJ120" s="87">
        <f>SUM('Defect (Total)'!AJ120,Planned!AJ120,Reconductor!AJ120,CTGS!AJ120)</f>
        <v>0</v>
      </c>
      <c r="AK120" s="88">
        <f t="shared" si="43"/>
        <v>0</v>
      </c>
      <c r="AL120" s="89">
        <f t="shared" si="48"/>
        <v>0</v>
      </c>
      <c r="AM120" s="90">
        <f t="shared" si="44"/>
        <v>0</v>
      </c>
      <c r="AN120" s="91" t="str">
        <f t="shared" si="49"/>
        <v/>
      </c>
      <c r="AO120" s="92" t="str">
        <f t="shared" si="50"/>
        <v/>
      </c>
      <c r="AP120" s="92" t="str">
        <f t="shared" si="51"/>
        <v/>
      </c>
      <c r="AQ120" s="92" t="str">
        <f t="shared" si="52"/>
        <v/>
      </c>
      <c r="AR120" s="92" t="str">
        <f t="shared" si="53"/>
        <v/>
      </c>
      <c r="AS120" s="92" t="str">
        <f t="shared" si="54"/>
        <v/>
      </c>
      <c r="AT120" s="92" t="str">
        <f t="shared" si="55"/>
        <v/>
      </c>
      <c r="AU120" s="92" t="str">
        <f t="shared" si="56"/>
        <v/>
      </c>
      <c r="AV120" s="92" t="str">
        <f t="shared" si="57"/>
        <v/>
      </c>
      <c r="AW120" s="92" t="str">
        <f t="shared" si="60"/>
        <v/>
      </c>
      <c r="AX120" s="92" t="str">
        <f t="shared" si="60"/>
        <v/>
      </c>
      <c r="AY120" s="93" t="str">
        <f t="shared" si="59"/>
        <v/>
      </c>
      <c r="AZ120" s="94" t="str">
        <f t="shared" si="41"/>
        <v/>
      </c>
      <c r="BA120" s="95" t="str">
        <f t="shared" si="42"/>
        <v/>
      </c>
      <c r="BB120" s="689">
        <f>SUM('Defect (Total)'!BB120,Planned!CE120,Reconductor!CE120,CTGS!CE120,'Substation 2025$'!CE120*$BL$1,Comms!CA120*$BL$2)</f>
        <v>0</v>
      </c>
      <c r="BC120" s="689">
        <f>SUM('Defect (Total)'!BC120,Planned!CF120,Reconductor!CF120,CTGS!CF120,'Substation 2025$'!CF120*$BL$1,Comms!CB120*$BL$2)</f>
        <v>0</v>
      </c>
      <c r="BD120" s="96">
        <f>SUM('Defect (Total)'!BD120,Planned!CG120,Reconductor!CG120,CTGS!CG120,'Substation 2025$'!CG120*$BL$1,Comms!CC120*$BL$2)</f>
        <v>0</v>
      </c>
      <c r="BE120" s="96">
        <f>SUM('Defect (Total)'!BE120,Planned!CH120,Reconductor!CH120,CTGS!CH120,'Substation 2025$'!CH120*$BL$1,Comms!CD120*$BL$2)</f>
        <v>0</v>
      </c>
      <c r="BF120" s="96">
        <f>SUM('Defect (Total)'!BF120,Planned!CI120,Reconductor!CI120,CTGS!CI120,'Substation 2025$'!CI120*$BL$1,Comms!CE120*$BL$2)</f>
        <v>0</v>
      </c>
      <c r="BG120" s="96">
        <f>SUM('Defect (Total)'!BG120,Planned!CJ120,Reconductor!CJ120,CTGS!CJ120,'Substation 2025$'!CJ120*$BL$1,Comms!CF120*$BL$2)</f>
        <v>0</v>
      </c>
      <c r="BH120" s="96">
        <f>SUM('Defect (Total)'!BH120,Planned!CK120,Reconductor!CK120,CTGS!CK120,'Substation 2025$'!CK120*$BL$1,Comms!CG120*$BL$2)</f>
        <v>0</v>
      </c>
      <c r="BI120" s="286">
        <f>SUM('Defect (Total)'!BI120,Planned!CL120,Reconductor!CL120,CTGS!CL120,'Substation 2025$'!CL120*$BL$1,Comms!CH120*$BL$2)</f>
        <v>0</v>
      </c>
      <c r="BJ120" s="99" t="str">
        <f t="shared" si="47"/>
        <v/>
      </c>
      <c r="BK120" s="743"/>
      <c r="BL120" s="97"/>
      <c r="BM120" s="524"/>
      <c r="BN120" s="416">
        <f>'Distribution Summary'!CI120+'Substation 2025$'!CT120</f>
        <v>0</v>
      </c>
      <c r="BO120" s="97">
        <f>'Distribution Summary'!CJ120+'Substation 2025$'!CU120</f>
        <v>0</v>
      </c>
      <c r="BP120" s="97">
        <f>'Distribution Summary'!CK120+'Substation 2025$'!CV120</f>
        <v>0</v>
      </c>
      <c r="BQ120" s="97">
        <f>'Distribution Summary'!CL120+'Substation 2025$'!CW120</f>
        <v>0</v>
      </c>
      <c r="BR120" s="98">
        <f>'Distribution Summary'!CM120+'Substation 2025$'!CX120</f>
        <v>0</v>
      </c>
    </row>
    <row r="121" spans="1:70" x14ac:dyDescent="0.25">
      <c r="A121" s="81" t="s">
        <v>242</v>
      </c>
      <c r="B121" s="82" t="s">
        <v>245</v>
      </c>
      <c r="C121" s="83" t="s">
        <v>246</v>
      </c>
      <c r="D121" s="84">
        <f>SUM('Defect (Total)'!D121,Planned!D121,Reconductor!D121,CTGS!D121)</f>
        <v>0</v>
      </c>
      <c r="E121" s="85">
        <f>SUM('Defect (Total)'!E121,Planned!E121,Reconductor!E121,CTGS!E121)</f>
        <v>0</v>
      </c>
      <c r="F121" s="85">
        <f>SUM('Defect (Total)'!F121,Planned!F121,Reconductor!F121,CTGS!F121)</f>
        <v>0</v>
      </c>
      <c r="G121" s="85">
        <f>SUM('Defect (Total)'!G121,Planned!G121,Reconductor!G121,CTGS!G121)</f>
        <v>0</v>
      </c>
      <c r="H121" s="85">
        <f>SUM('Defect (Total)'!H121,Planned!H121,Reconductor!H121,CTGS!H121)</f>
        <v>0</v>
      </c>
      <c r="I121" s="85">
        <f>SUM('Defect (Total)'!I121,Planned!I121,Reconductor!I121,CTGS!I121)</f>
        <v>0</v>
      </c>
      <c r="J121" s="85">
        <f>SUM('Defect (Total)'!J121,Planned!J121,Reconductor!J121,CTGS!J121)</f>
        <v>0</v>
      </c>
      <c r="K121" s="85">
        <f>SUM('Defect (Total)'!K121,Planned!K121,Reconductor!K121,CTGS!K121)</f>
        <v>415860.17992264399</v>
      </c>
      <c r="L121" s="85">
        <f>SUM('Defect (Total)'!L121,Planned!L121,Reconductor!L121,CTGS!L121)</f>
        <v>266866.98751652392</v>
      </c>
      <c r="M121" s="85">
        <f>SUM('Defect (Total)'!M121,Planned!M121,Reconductor!M121,CTGS!M121)</f>
        <v>0</v>
      </c>
      <c r="N121" s="85">
        <f>SUM('Defect (Total)'!N121,Planned!N121,Reconductor!N121,CTGS!N121)</f>
        <v>-284.04000000000002</v>
      </c>
      <c r="O121" s="560">
        <f>SUM('Defect (Total)'!O121,Planned!O121,Reconductor!O121,CTGS!O121)</f>
        <v>0</v>
      </c>
      <c r="P121" s="561">
        <f>SUM('Defect (Total)'!P121,Planned!P121,Reconductor!P121,CTGS!P121)</f>
        <v>0</v>
      </c>
      <c r="Q121" s="561">
        <f>SUM('Defect (Total)'!Q121,Planned!Q121,Reconductor!Q121,CTGS!Q121)</f>
        <v>0</v>
      </c>
      <c r="R121" s="561">
        <f>SUM('Defect (Total)'!R121,Planned!R121,Reconductor!R121,CTGS!R121)</f>
        <v>0</v>
      </c>
      <c r="S121" s="561">
        <f>SUM('Defect (Total)'!S121,Planned!S121,Reconductor!S121,CTGS!S121)</f>
        <v>0</v>
      </c>
      <c r="T121" s="561">
        <f>SUM('Defect (Total)'!T121,Planned!T121,Reconductor!T121,CTGS!T121)</f>
        <v>0</v>
      </c>
      <c r="U121" s="561">
        <f>SUM('Defect (Total)'!U121,Planned!U121,Reconductor!U121,CTGS!U121)</f>
        <v>0</v>
      </c>
      <c r="V121" s="561">
        <f>SUM('Defect (Total)'!V121,Planned!V121,Reconductor!V121,CTGS!V121)</f>
        <v>498765.56203309813</v>
      </c>
      <c r="W121" s="561">
        <f>SUM('Defect (Total)'!W121,Planned!W121,Reconductor!W121,CTGS!W121)</f>
        <v>301540.27704321325</v>
      </c>
      <c r="X121" s="561">
        <f>SUM('Defect (Total)'!X121,Planned!X121,Reconductor!X121,CTGS!X121)</f>
        <v>0</v>
      </c>
      <c r="Y121" s="561">
        <f>SUM('Defect (Total)'!Y121,Planned!Y121,Reconductor!Y121,CTGS!Y121)</f>
        <v>-291.85066806492631</v>
      </c>
      <c r="Z121" s="86">
        <f>SUM('Defect (Total)'!Z121,Planned!Z121,Reconductor!Z121,CTGS!Z121)</f>
        <v>0</v>
      </c>
      <c r="AA121" s="87">
        <f>SUM('Defect (Total)'!AA121,Planned!AA121,Reconductor!AA121,CTGS!AA121)</f>
        <v>0</v>
      </c>
      <c r="AB121" s="87">
        <f>SUM('Defect (Total)'!AB121,Planned!AB121,Reconductor!AB121,CTGS!AB121)</f>
        <v>0</v>
      </c>
      <c r="AC121" s="87">
        <f>SUM('Defect (Total)'!AC121,Planned!AC121,Reconductor!AC121,CTGS!AC121)</f>
        <v>0</v>
      </c>
      <c r="AD121" s="87">
        <f>SUM('Defect (Total)'!AD121,Planned!AD121,Reconductor!AD121,CTGS!AD121)</f>
        <v>0</v>
      </c>
      <c r="AE121" s="87">
        <f>SUM('Defect (Total)'!AE121,Planned!AE121,Reconductor!AE121,CTGS!AE121)</f>
        <v>0</v>
      </c>
      <c r="AF121" s="87">
        <f>SUM('Defect (Total)'!AF121,Planned!AF121,Reconductor!AF121,CTGS!AF121)</f>
        <v>0</v>
      </c>
      <c r="AG121" s="87">
        <f>SUM('Defect (Total)'!AG121,Planned!AG121,Reconductor!AG121,CTGS!AG121)</f>
        <v>0</v>
      </c>
      <c r="AH121" s="87">
        <f>SUM('Defect (Total)'!AH121,Planned!AH121,Reconductor!AH121,CTGS!AH121)</f>
        <v>0</v>
      </c>
      <c r="AI121" s="87">
        <f>SUM('Defect (Total)'!AI121,Planned!AI121,Reconductor!AI121,CTGS!AI121)</f>
        <v>0</v>
      </c>
      <c r="AJ121" s="87">
        <f>SUM('Defect (Total)'!AJ121,Planned!AJ121,Reconductor!AJ121,CTGS!AJ121)</f>
        <v>-5</v>
      </c>
      <c r="AK121" s="88">
        <f t="shared" si="43"/>
        <v>0</v>
      </c>
      <c r="AL121" s="89">
        <f t="shared" si="48"/>
        <v>0</v>
      </c>
      <c r="AM121" s="90">
        <f t="shared" si="44"/>
        <v>0</v>
      </c>
      <c r="AN121" s="91" t="str">
        <f t="shared" si="49"/>
        <v/>
      </c>
      <c r="AO121" s="92" t="str">
        <f t="shared" si="50"/>
        <v/>
      </c>
      <c r="AP121" s="92" t="str">
        <f t="shared" si="51"/>
        <v/>
      </c>
      <c r="AQ121" s="92" t="str">
        <f t="shared" si="52"/>
        <v/>
      </c>
      <c r="AR121" s="92" t="str">
        <f t="shared" si="53"/>
        <v/>
      </c>
      <c r="AS121" s="92" t="str">
        <f t="shared" si="54"/>
        <v/>
      </c>
      <c r="AT121" s="92" t="str">
        <f t="shared" si="55"/>
        <v/>
      </c>
      <c r="AU121" s="92" t="str">
        <f t="shared" si="56"/>
        <v/>
      </c>
      <c r="AV121" s="92" t="str">
        <f t="shared" si="57"/>
        <v/>
      </c>
      <c r="AW121" s="92" t="str">
        <f t="shared" si="60"/>
        <v/>
      </c>
      <c r="AX121" s="92">
        <f t="shared" si="60"/>
        <v>56.808000000000007</v>
      </c>
      <c r="AY121" s="93" t="str">
        <f t="shared" si="59"/>
        <v/>
      </c>
      <c r="AZ121" s="94" t="str">
        <f t="shared" si="41"/>
        <v/>
      </c>
      <c r="BA121" s="95" t="str">
        <f t="shared" si="42"/>
        <v/>
      </c>
      <c r="BB121" s="689">
        <f>SUM('Defect (Total)'!BB121,Planned!CE121,Reconductor!CE121,CTGS!CE121,'Substation 2025$'!CE121*$BL$1,Comms!CA121*$BL$2)</f>
        <v>0</v>
      </c>
      <c r="BC121" s="689">
        <f>SUM('Defect (Total)'!BC121,Planned!CF121,Reconductor!CF121,CTGS!CF121,'Substation 2025$'!CF121*$BL$1,Comms!CB121*$BL$2)</f>
        <v>5</v>
      </c>
      <c r="BD121" s="96">
        <f>SUM('Defect (Total)'!BD121,Planned!CG121,Reconductor!CG121,CTGS!CG121,'Substation 2025$'!CG121*$BL$1,Comms!CC121*$BL$2)</f>
        <v>7</v>
      </c>
      <c r="BE121" s="96">
        <f>SUM('Defect (Total)'!BE121,Planned!CH121,Reconductor!CH121,CTGS!CH121,'Substation 2025$'!CH121*$BL$1,Comms!CD121*$BL$2)</f>
        <v>78.8</v>
      </c>
      <c r="BF121" s="96">
        <f>SUM('Defect (Total)'!BF121,Planned!CI121,Reconductor!CI121,CTGS!CI121,'Substation 2025$'!CI121*$BL$1,Comms!CE121*$BL$2)</f>
        <v>78.8</v>
      </c>
      <c r="BG121" s="96">
        <f>SUM('Defect (Total)'!BG121,Planned!CJ121,Reconductor!CJ121,CTGS!CJ121,'Substation 2025$'!CJ121*$BL$1,Comms!CF121*$BL$2)</f>
        <v>77.599999999999994</v>
      </c>
      <c r="BH121" s="96">
        <f>SUM('Defect (Total)'!BH121,Planned!CK121,Reconductor!CK121,CTGS!CK121,'Substation 2025$'!CK121*$BL$1,Comms!CG121*$BL$2)</f>
        <v>77.8</v>
      </c>
      <c r="BI121" s="286">
        <f>SUM('Defect (Total)'!BI121,Planned!CL121,Reconductor!CL121,CTGS!CL121,'Substation 2025$'!CL121*$BL$1,Comms!CH121*$BL$2)</f>
        <v>77.599999999999994</v>
      </c>
      <c r="BJ121" s="99">
        <f t="shared" si="47"/>
        <v>147856.8902299355</v>
      </c>
      <c r="BK121" s="743"/>
      <c r="BL121" s="97"/>
      <c r="BM121" s="524"/>
      <c r="BN121" s="416">
        <f>'Distribution Summary'!CI121+'Substation 2025$'!CT121</f>
        <v>7412609.7272177413</v>
      </c>
      <c r="BO121" s="97">
        <f>'Distribution Summary'!CJ121+'Substation 2025$'!CU121</f>
        <v>7543300.4030644111</v>
      </c>
      <c r="BP121" s="97">
        <f>'Distribution Summary'!CK121+'Substation 2025$'!CV121</f>
        <v>10922277.297201702</v>
      </c>
      <c r="BQ121" s="97">
        <f>'Distribution Summary'!CL121+'Substation 2025$'!CW121</f>
        <v>15395184.005730432</v>
      </c>
      <c r="BR121" s="98">
        <f>'Distribution Summary'!CM121+'Substation 2025$'!CX121</f>
        <v>16479529.890598517</v>
      </c>
    </row>
    <row r="122" spans="1:70" x14ac:dyDescent="0.25">
      <c r="A122" s="81" t="s">
        <v>242</v>
      </c>
      <c r="B122" s="82" t="s">
        <v>247</v>
      </c>
      <c r="C122" s="83" t="s">
        <v>248</v>
      </c>
      <c r="D122" s="84">
        <f>SUM('Defect (Total)'!D122,Planned!D122,Reconductor!D122,CTGS!D122)</f>
        <v>0</v>
      </c>
      <c r="E122" s="85">
        <f>SUM('Defect (Total)'!E122,Planned!E122,Reconductor!E122,CTGS!E122)</f>
        <v>0</v>
      </c>
      <c r="F122" s="85">
        <f>SUM('Defect (Total)'!F122,Planned!F122,Reconductor!F122,CTGS!F122)</f>
        <v>0</v>
      </c>
      <c r="G122" s="85">
        <f>SUM('Defect (Total)'!G122,Planned!G122,Reconductor!G122,CTGS!G122)</f>
        <v>0</v>
      </c>
      <c r="H122" s="85">
        <f>SUM('Defect (Total)'!H122,Planned!H122,Reconductor!H122,CTGS!H122)</f>
        <v>0</v>
      </c>
      <c r="I122" s="85">
        <f>SUM('Defect (Total)'!I122,Planned!I122,Reconductor!I122,CTGS!I122)</f>
        <v>0</v>
      </c>
      <c r="J122" s="85">
        <f>SUM('Defect (Total)'!J122,Planned!J122,Reconductor!J122,CTGS!J122)</f>
        <v>0</v>
      </c>
      <c r="K122" s="85">
        <f>SUM('Defect (Total)'!K122,Planned!K122,Reconductor!K122,CTGS!K122)</f>
        <v>0</v>
      </c>
      <c r="L122" s="85">
        <f>SUM('Defect (Total)'!L122,Planned!L122,Reconductor!L122,CTGS!L122)</f>
        <v>0</v>
      </c>
      <c r="M122" s="85">
        <f>SUM('Defect (Total)'!M122,Planned!M122,Reconductor!M122,CTGS!M122)</f>
        <v>0</v>
      </c>
      <c r="N122" s="85">
        <f>SUM('Defect (Total)'!N122,Planned!N122,Reconductor!N122,CTGS!N122)</f>
        <v>0</v>
      </c>
      <c r="O122" s="560">
        <f>SUM('Defect (Total)'!O122,Planned!O122,Reconductor!O122,CTGS!O122)</f>
        <v>0</v>
      </c>
      <c r="P122" s="561">
        <f>SUM('Defect (Total)'!P122,Planned!P122,Reconductor!P122,CTGS!P122)</f>
        <v>0</v>
      </c>
      <c r="Q122" s="561">
        <f>SUM('Defect (Total)'!Q122,Planned!Q122,Reconductor!Q122,CTGS!Q122)</f>
        <v>0</v>
      </c>
      <c r="R122" s="561">
        <f>SUM('Defect (Total)'!R122,Planned!R122,Reconductor!R122,CTGS!R122)</f>
        <v>0</v>
      </c>
      <c r="S122" s="561">
        <f>SUM('Defect (Total)'!S122,Planned!S122,Reconductor!S122,CTGS!S122)</f>
        <v>0</v>
      </c>
      <c r="T122" s="561">
        <f>SUM('Defect (Total)'!T122,Planned!T122,Reconductor!T122,CTGS!T122)</f>
        <v>0</v>
      </c>
      <c r="U122" s="561">
        <f>SUM('Defect (Total)'!U122,Planned!U122,Reconductor!U122,CTGS!U122)</f>
        <v>0</v>
      </c>
      <c r="V122" s="561">
        <f>SUM('Defect (Total)'!V122,Planned!V122,Reconductor!V122,CTGS!V122)</f>
        <v>0</v>
      </c>
      <c r="W122" s="561">
        <f>SUM('Defect (Total)'!W122,Planned!W122,Reconductor!W122,CTGS!W122)</f>
        <v>0</v>
      </c>
      <c r="X122" s="561">
        <f>SUM('Defect (Total)'!X122,Planned!X122,Reconductor!X122,CTGS!X122)</f>
        <v>0</v>
      </c>
      <c r="Y122" s="561">
        <f>SUM('Defect (Total)'!Y122,Planned!Y122,Reconductor!Y122,CTGS!Y122)</f>
        <v>0</v>
      </c>
      <c r="Z122" s="86">
        <f>SUM('Defect (Total)'!Z122,Planned!Z122,Reconductor!Z122,CTGS!Z122)</f>
        <v>0</v>
      </c>
      <c r="AA122" s="87">
        <f>SUM('Defect (Total)'!AA122,Planned!AA122,Reconductor!AA122,CTGS!AA122)</f>
        <v>0</v>
      </c>
      <c r="AB122" s="87">
        <f>SUM('Defect (Total)'!AB122,Planned!AB122,Reconductor!AB122,CTGS!AB122)</f>
        <v>0</v>
      </c>
      <c r="AC122" s="87">
        <f>SUM('Defect (Total)'!AC122,Planned!AC122,Reconductor!AC122,CTGS!AC122)</f>
        <v>0</v>
      </c>
      <c r="AD122" s="87">
        <f>SUM('Defect (Total)'!AD122,Planned!AD122,Reconductor!AD122,CTGS!AD122)</f>
        <v>0</v>
      </c>
      <c r="AE122" s="87">
        <f>SUM('Defect (Total)'!AE122,Planned!AE122,Reconductor!AE122,CTGS!AE122)</f>
        <v>0</v>
      </c>
      <c r="AF122" s="87">
        <f>SUM('Defect (Total)'!AF122,Planned!AF122,Reconductor!AF122,CTGS!AF122)</f>
        <v>0</v>
      </c>
      <c r="AG122" s="87">
        <f>SUM('Defect (Total)'!AG122,Planned!AG122,Reconductor!AG122,CTGS!AG122)</f>
        <v>0</v>
      </c>
      <c r="AH122" s="87">
        <f>SUM('Defect (Total)'!AH122,Planned!AH122,Reconductor!AH122,CTGS!AH122)</f>
        <v>0</v>
      </c>
      <c r="AI122" s="87">
        <f>SUM('Defect (Total)'!AI122,Planned!AI122,Reconductor!AI122,CTGS!AI122)</f>
        <v>0</v>
      </c>
      <c r="AJ122" s="87">
        <f>SUM('Defect (Total)'!AJ122,Planned!AJ122,Reconductor!AJ122,CTGS!AJ122)</f>
        <v>0</v>
      </c>
      <c r="AK122" s="88">
        <f t="shared" si="43"/>
        <v>0</v>
      </c>
      <c r="AL122" s="89">
        <f t="shared" si="48"/>
        <v>0</v>
      </c>
      <c r="AM122" s="90">
        <f t="shared" si="44"/>
        <v>0</v>
      </c>
      <c r="AN122" s="91" t="str">
        <f t="shared" si="49"/>
        <v/>
      </c>
      <c r="AO122" s="92" t="str">
        <f t="shared" si="50"/>
        <v/>
      </c>
      <c r="AP122" s="92" t="str">
        <f t="shared" si="51"/>
        <v/>
      </c>
      <c r="AQ122" s="92" t="str">
        <f t="shared" si="52"/>
        <v/>
      </c>
      <c r="AR122" s="92" t="str">
        <f t="shared" si="53"/>
        <v/>
      </c>
      <c r="AS122" s="92" t="str">
        <f t="shared" si="54"/>
        <v/>
      </c>
      <c r="AT122" s="92" t="str">
        <f t="shared" si="55"/>
        <v/>
      </c>
      <c r="AU122" s="92" t="str">
        <f t="shared" si="56"/>
        <v/>
      </c>
      <c r="AV122" s="92" t="str">
        <f t="shared" si="57"/>
        <v/>
      </c>
      <c r="AW122" s="92" t="str">
        <f t="shared" si="60"/>
        <v/>
      </c>
      <c r="AX122" s="92" t="str">
        <f t="shared" si="60"/>
        <v/>
      </c>
      <c r="AY122" s="93" t="str">
        <f t="shared" si="59"/>
        <v/>
      </c>
      <c r="AZ122" s="94" t="str">
        <f t="shared" si="41"/>
        <v/>
      </c>
      <c r="BA122" s="95" t="str">
        <f t="shared" si="42"/>
        <v/>
      </c>
      <c r="BB122" s="689">
        <f>SUM('Defect (Total)'!BB122,Planned!CE122,Reconductor!CE122,CTGS!CE122,'Substation 2025$'!CE122*$BL$1,Comms!CA122*$BL$2)</f>
        <v>0</v>
      </c>
      <c r="BC122" s="689">
        <f>SUM('Defect (Total)'!BC122,Planned!CF122,Reconductor!CF122,CTGS!CF122,'Substation 2025$'!CF122*$BL$1,Comms!CB122*$BL$2)</f>
        <v>0</v>
      </c>
      <c r="BD122" s="96">
        <f>SUM('Defect (Total)'!BD122,Planned!CG122,Reconductor!CG122,CTGS!CG122,'Substation 2025$'!CG122*$BL$1,Comms!CC122*$BL$2)</f>
        <v>0</v>
      </c>
      <c r="BE122" s="96">
        <f>SUM('Defect (Total)'!BE122,Planned!CH122,Reconductor!CH122,CTGS!CH122,'Substation 2025$'!CH122*$BL$1,Comms!CD122*$BL$2)</f>
        <v>0</v>
      </c>
      <c r="BF122" s="96">
        <f>SUM('Defect (Total)'!BF122,Planned!CI122,Reconductor!CI122,CTGS!CI122,'Substation 2025$'!CI122*$BL$1,Comms!CE122*$BL$2)</f>
        <v>0</v>
      </c>
      <c r="BG122" s="96">
        <f>SUM('Defect (Total)'!BG122,Planned!CJ122,Reconductor!CJ122,CTGS!CJ122,'Substation 2025$'!CJ122*$BL$1,Comms!CF122*$BL$2)</f>
        <v>0</v>
      </c>
      <c r="BH122" s="96">
        <f>SUM('Defect (Total)'!BH122,Planned!CK122,Reconductor!CK122,CTGS!CK122,'Substation 2025$'!CK122*$BL$1,Comms!CG122*$BL$2)</f>
        <v>0</v>
      </c>
      <c r="BI122" s="286">
        <f>SUM('Defect (Total)'!BI122,Planned!CL122,Reconductor!CL122,CTGS!CL122,'Substation 2025$'!CL122*$BL$1,Comms!CH122*$BL$2)</f>
        <v>0</v>
      </c>
      <c r="BJ122" s="99" t="str">
        <f t="shared" si="47"/>
        <v/>
      </c>
      <c r="BK122" s="743"/>
      <c r="BL122" s="97"/>
      <c r="BM122" s="524"/>
      <c r="BN122" s="416">
        <f>'Distribution Summary'!CI122+'Substation 2025$'!CT122</f>
        <v>0</v>
      </c>
      <c r="BO122" s="97">
        <f>'Distribution Summary'!CJ122+'Substation 2025$'!CU122</f>
        <v>0</v>
      </c>
      <c r="BP122" s="97">
        <f>'Distribution Summary'!CK122+'Substation 2025$'!CV122</f>
        <v>0</v>
      </c>
      <c r="BQ122" s="97">
        <f>'Distribution Summary'!CL122+'Substation 2025$'!CW122</f>
        <v>0</v>
      </c>
      <c r="BR122" s="98">
        <f>'Distribution Summary'!CM122+'Substation 2025$'!CX122</f>
        <v>0</v>
      </c>
    </row>
    <row r="123" spans="1:70" x14ac:dyDescent="0.25">
      <c r="A123" s="81" t="s">
        <v>242</v>
      </c>
      <c r="B123" s="82" t="s">
        <v>249</v>
      </c>
      <c r="C123" s="83" t="s">
        <v>250</v>
      </c>
      <c r="D123" s="84">
        <f>SUM('Defect (Total)'!D123,Planned!D123,Reconductor!D123,CTGS!D123)</f>
        <v>0</v>
      </c>
      <c r="E123" s="85">
        <f>SUM('Defect (Total)'!E123,Planned!E123,Reconductor!E123,CTGS!E123)</f>
        <v>0</v>
      </c>
      <c r="F123" s="85">
        <f>SUM('Defect (Total)'!F123,Planned!F123,Reconductor!F123,CTGS!F123)</f>
        <v>0</v>
      </c>
      <c r="G123" s="85">
        <f>SUM('Defect (Total)'!G123,Planned!G123,Reconductor!G123,CTGS!G123)</f>
        <v>0</v>
      </c>
      <c r="H123" s="85">
        <f>SUM('Defect (Total)'!H123,Planned!H123,Reconductor!H123,CTGS!H123)</f>
        <v>0</v>
      </c>
      <c r="I123" s="85">
        <f>SUM('Defect (Total)'!I123,Planned!I123,Reconductor!I123,CTGS!I123)</f>
        <v>0</v>
      </c>
      <c r="J123" s="85">
        <f>SUM('Defect (Total)'!J123,Planned!J123,Reconductor!J123,CTGS!J123)</f>
        <v>0</v>
      </c>
      <c r="K123" s="85">
        <f>SUM('Defect (Total)'!K123,Planned!K123,Reconductor!K123,CTGS!K123)</f>
        <v>0</v>
      </c>
      <c r="L123" s="85">
        <f>SUM('Defect (Total)'!L123,Planned!L123,Reconductor!L123,CTGS!L123)</f>
        <v>0</v>
      </c>
      <c r="M123" s="85">
        <f>SUM('Defect (Total)'!M123,Planned!M123,Reconductor!M123,CTGS!M123)</f>
        <v>0</v>
      </c>
      <c r="N123" s="85">
        <f>SUM('Defect (Total)'!N123,Planned!N123,Reconductor!N123,CTGS!N123)</f>
        <v>0</v>
      </c>
      <c r="O123" s="560">
        <f>SUM('Defect (Total)'!O123,Planned!O123,Reconductor!O123,CTGS!O123)</f>
        <v>0</v>
      </c>
      <c r="P123" s="561">
        <f>SUM('Defect (Total)'!P123,Planned!P123,Reconductor!P123,CTGS!P123)</f>
        <v>0</v>
      </c>
      <c r="Q123" s="561">
        <f>SUM('Defect (Total)'!Q123,Planned!Q123,Reconductor!Q123,CTGS!Q123)</f>
        <v>0</v>
      </c>
      <c r="R123" s="561">
        <f>SUM('Defect (Total)'!R123,Planned!R123,Reconductor!R123,CTGS!R123)</f>
        <v>0</v>
      </c>
      <c r="S123" s="561">
        <f>SUM('Defect (Total)'!S123,Planned!S123,Reconductor!S123,CTGS!S123)</f>
        <v>0</v>
      </c>
      <c r="T123" s="561">
        <f>SUM('Defect (Total)'!T123,Planned!T123,Reconductor!T123,CTGS!T123)</f>
        <v>0</v>
      </c>
      <c r="U123" s="561">
        <f>SUM('Defect (Total)'!U123,Planned!U123,Reconductor!U123,CTGS!U123)</f>
        <v>0</v>
      </c>
      <c r="V123" s="561">
        <f>SUM('Defect (Total)'!V123,Planned!V123,Reconductor!V123,CTGS!V123)</f>
        <v>0</v>
      </c>
      <c r="W123" s="561">
        <f>SUM('Defect (Total)'!W123,Planned!W123,Reconductor!W123,CTGS!W123)</f>
        <v>0</v>
      </c>
      <c r="X123" s="561">
        <f>SUM('Defect (Total)'!X123,Planned!X123,Reconductor!X123,CTGS!X123)</f>
        <v>0</v>
      </c>
      <c r="Y123" s="561">
        <f>SUM('Defect (Total)'!Y123,Planned!Y123,Reconductor!Y123,CTGS!Y123)</f>
        <v>0</v>
      </c>
      <c r="Z123" s="86">
        <f>SUM('Defect (Total)'!Z123,Planned!Z123,Reconductor!Z123,CTGS!Z123)</f>
        <v>0</v>
      </c>
      <c r="AA123" s="87">
        <f>SUM('Defect (Total)'!AA123,Planned!AA123,Reconductor!AA123,CTGS!AA123)</f>
        <v>0</v>
      </c>
      <c r="AB123" s="87">
        <f>SUM('Defect (Total)'!AB123,Planned!AB123,Reconductor!AB123,CTGS!AB123)</f>
        <v>0</v>
      </c>
      <c r="AC123" s="87">
        <f>SUM('Defect (Total)'!AC123,Planned!AC123,Reconductor!AC123,CTGS!AC123)</f>
        <v>0</v>
      </c>
      <c r="AD123" s="87">
        <f>SUM('Defect (Total)'!AD123,Planned!AD123,Reconductor!AD123,CTGS!AD123)</f>
        <v>0</v>
      </c>
      <c r="AE123" s="87">
        <f>SUM('Defect (Total)'!AE123,Planned!AE123,Reconductor!AE123,CTGS!AE123)</f>
        <v>0</v>
      </c>
      <c r="AF123" s="87">
        <f>SUM('Defect (Total)'!AF123,Planned!AF123,Reconductor!AF123,CTGS!AF123)</f>
        <v>0</v>
      </c>
      <c r="AG123" s="87">
        <f>SUM('Defect (Total)'!AG123,Planned!AG123,Reconductor!AG123,CTGS!AG123)</f>
        <v>0</v>
      </c>
      <c r="AH123" s="87">
        <f>SUM('Defect (Total)'!AH123,Planned!AH123,Reconductor!AH123,CTGS!AH123)</f>
        <v>0</v>
      </c>
      <c r="AI123" s="87">
        <f>SUM('Defect (Total)'!AI123,Planned!AI123,Reconductor!AI123,CTGS!AI123)</f>
        <v>0</v>
      </c>
      <c r="AJ123" s="87">
        <f>SUM('Defect (Total)'!AJ123,Planned!AJ123,Reconductor!AJ123,CTGS!AJ123)</f>
        <v>0</v>
      </c>
      <c r="AK123" s="88">
        <f t="shared" si="43"/>
        <v>0</v>
      </c>
      <c r="AL123" s="89">
        <f t="shared" si="48"/>
        <v>0</v>
      </c>
      <c r="AM123" s="90">
        <f t="shared" si="44"/>
        <v>0</v>
      </c>
      <c r="AN123" s="91" t="str">
        <f t="shared" si="49"/>
        <v/>
      </c>
      <c r="AO123" s="92" t="str">
        <f t="shared" si="50"/>
        <v/>
      </c>
      <c r="AP123" s="92" t="str">
        <f t="shared" si="51"/>
        <v/>
      </c>
      <c r="AQ123" s="92" t="str">
        <f t="shared" si="52"/>
        <v/>
      </c>
      <c r="AR123" s="92" t="str">
        <f t="shared" si="53"/>
        <v/>
      </c>
      <c r="AS123" s="92" t="str">
        <f t="shared" si="54"/>
        <v/>
      </c>
      <c r="AT123" s="92" t="str">
        <f t="shared" si="55"/>
        <v/>
      </c>
      <c r="AU123" s="92" t="str">
        <f t="shared" si="56"/>
        <v/>
      </c>
      <c r="AV123" s="92" t="str">
        <f t="shared" si="57"/>
        <v/>
      </c>
      <c r="AW123" s="92" t="str">
        <f t="shared" si="60"/>
        <v/>
      </c>
      <c r="AX123" s="92" t="str">
        <f t="shared" si="60"/>
        <v/>
      </c>
      <c r="AY123" s="93" t="str">
        <f t="shared" si="59"/>
        <v/>
      </c>
      <c r="AZ123" s="94" t="str">
        <f t="shared" si="41"/>
        <v/>
      </c>
      <c r="BA123" s="95" t="str">
        <f t="shared" si="42"/>
        <v/>
      </c>
      <c r="BB123" s="689">
        <f>SUM('Defect (Total)'!BB123,Planned!CE123,Reconductor!CE123,CTGS!CE123,'Substation 2025$'!CE123*$BL$1,Comms!CA123*$BL$2)</f>
        <v>0</v>
      </c>
      <c r="BC123" s="689">
        <f>SUM('Defect (Total)'!BC123,Planned!CF123,Reconductor!CF123,CTGS!CF123,'Substation 2025$'!CF123*$BL$1,Comms!CB123*$BL$2)</f>
        <v>0</v>
      </c>
      <c r="BD123" s="96">
        <f>SUM('Defect (Total)'!BD123,Planned!CG123,Reconductor!CG123,CTGS!CG123,'Substation 2025$'!CG123*$BL$1,Comms!CC123*$BL$2)</f>
        <v>0</v>
      </c>
      <c r="BE123" s="96">
        <f>SUM('Defect (Total)'!BE123,Planned!CH123,Reconductor!CH123,CTGS!CH123,'Substation 2025$'!CH123*$BL$1,Comms!CD123*$BL$2)</f>
        <v>48.4</v>
      </c>
      <c r="BF123" s="96">
        <f>SUM('Defect (Total)'!BF123,Planned!CI123,Reconductor!CI123,CTGS!CI123,'Substation 2025$'!CI123*$BL$1,Comms!CE123*$BL$2)</f>
        <v>46.4</v>
      </c>
      <c r="BG123" s="96">
        <f>SUM('Defect (Total)'!BG123,Planned!CJ123,Reconductor!CJ123,CTGS!CJ123,'Substation 2025$'!CJ123*$BL$1,Comms!CF123*$BL$2)</f>
        <v>46.4</v>
      </c>
      <c r="BH123" s="96">
        <f>SUM('Defect (Total)'!BH123,Planned!CK123,Reconductor!CK123,CTGS!CK123,'Substation 2025$'!CK123*$BL$1,Comms!CG123*$BL$2)</f>
        <v>46.4</v>
      </c>
      <c r="BI123" s="286">
        <f>SUM('Defect (Total)'!BI123,Planned!CL123,Reconductor!CL123,CTGS!CL123,'Substation 2025$'!CL123*$BL$1,Comms!CH123*$BL$2)</f>
        <v>46.4</v>
      </c>
      <c r="BJ123" s="99">
        <f t="shared" si="47"/>
        <v>93608.595302714588</v>
      </c>
      <c r="BK123" s="743"/>
      <c r="BL123" s="97"/>
      <c r="BM123" s="524"/>
      <c r="BN123" s="416">
        <f>'Distribution Summary'!CI123+'Substation 2025$'!CT123</f>
        <v>3242291.6601543818</v>
      </c>
      <c r="BO123" s="97">
        <f>'Distribution Summary'!CJ123+'Substation 2025$'!CU123</f>
        <v>4040475.7847504294</v>
      </c>
      <c r="BP123" s="97">
        <f>'Distribution Summary'!CK123+'Substation 2025$'!CV123</f>
        <v>4281891.3568566572</v>
      </c>
      <c r="BQ123" s="97">
        <f>'Distribution Summary'!CL123+'Substation 2025$'!CW123</f>
        <v>4603697.3246121071</v>
      </c>
      <c r="BR123" s="98">
        <f>'Distribution Summary'!CM123+'Substation 2025$'!CX123</f>
        <v>5736055.1744616367</v>
      </c>
    </row>
    <row r="124" spans="1:70" x14ac:dyDescent="0.25">
      <c r="A124" s="81" t="s">
        <v>242</v>
      </c>
      <c r="B124" s="82" t="s">
        <v>251</v>
      </c>
      <c r="C124" s="83" t="s">
        <v>252</v>
      </c>
      <c r="D124" s="84">
        <f>SUM('Defect (Total)'!D124,Planned!D124,Reconductor!D124,CTGS!D124)</f>
        <v>5089</v>
      </c>
      <c r="E124" s="85">
        <f>SUM('Defect (Total)'!E124,Planned!E124,Reconductor!E124,CTGS!E124)</f>
        <v>0</v>
      </c>
      <c r="F124" s="85">
        <f>SUM('Defect (Total)'!F124,Planned!F124,Reconductor!F124,CTGS!F124)</f>
        <v>0</v>
      </c>
      <c r="G124" s="85">
        <f>SUM('Defect (Total)'!G124,Planned!G124,Reconductor!G124,CTGS!G124)</f>
        <v>0</v>
      </c>
      <c r="H124" s="85">
        <f>SUM('Defect (Total)'!H124,Planned!H124,Reconductor!H124,CTGS!H124)</f>
        <v>0</v>
      </c>
      <c r="I124" s="85">
        <f>SUM('Defect (Total)'!I124,Planned!I124,Reconductor!I124,CTGS!I124)</f>
        <v>112730.04323198114</v>
      </c>
      <c r="J124" s="85">
        <f>SUM('Defect (Total)'!J124,Planned!J124,Reconductor!J124,CTGS!J124)</f>
        <v>69084.392102603015</v>
      </c>
      <c r="K124" s="85">
        <f>SUM('Defect (Total)'!K124,Planned!K124,Reconductor!K124,CTGS!K124)</f>
        <v>11854.520309713</v>
      </c>
      <c r="L124" s="85">
        <f>SUM('Defect (Total)'!L124,Planned!L124,Reconductor!L124,CTGS!L124)</f>
        <v>5464712.4404555578</v>
      </c>
      <c r="M124" s="85">
        <f>SUM('Defect (Total)'!M124,Planned!M124,Reconductor!M124,CTGS!M124)</f>
        <v>1871992.2575244261</v>
      </c>
      <c r="N124" s="85">
        <f>SUM('Defect (Total)'!N124,Planned!N124,Reconductor!N124,CTGS!N124)</f>
        <v>0</v>
      </c>
      <c r="O124" s="560">
        <f>SUM('Defect (Total)'!O124,Planned!O124,Reconductor!O124,CTGS!O124)</f>
        <v>6847.0272084422686</v>
      </c>
      <c r="P124" s="561">
        <f>SUM('Defect (Total)'!P124,Planned!P124,Reconductor!P124,CTGS!P124)</f>
        <v>0</v>
      </c>
      <c r="Q124" s="561">
        <f>SUM('Defect (Total)'!Q124,Planned!Q124,Reconductor!Q124,CTGS!Q124)</f>
        <v>0</v>
      </c>
      <c r="R124" s="561">
        <f>SUM('Defect (Total)'!R124,Planned!R124,Reconductor!R124,CTGS!R124)</f>
        <v>0</v>
      </c>
      <c r="S124" s="561">
        <f>SUM('Defect (Total)'!S124,Planned!S124,Reconductor!S124,CTGS!S124)</f>
        <v>0</v>
      </c>
      <c r="T124" s="561">
        <f>SUM('Defect (Total)'!T124,Planned!T124,Reconductor!T124,CTGS!T124)</f>
        <v>139914.70089174452</v>
      </c>
      <c r="U124" s="561">
        <f>SUM('Defect (Total)'!U124,Planned!U124,Reconductor!U124,CTGS!U124)</f>
        <v>86043.779541834534</v>
      </c>
      <c r="V124" s="561">
        <f>SUM('Defect (Total)'!V124,Planned!V124,Reconductor!V124,CTGS!V124)</f>
        <v>14217.823129895762</v>
      </c>
      <c r="W124" s="561">
        <f>SUM('Defect (Total)'!W124,Planned!W124,Reconductor!W124,CTGS!W124)</f>
        <v>6174727.4123009751</v>
      </c>
      <c r="X124" s="561">
        <f>SUM('Defect (Total)'!X124,Planned!X124,Reconductor!X124,CTGS!X124)</f>
        <v>1990790.619824158</v>
      </c>
      <c r="Y124" s="561">
        <f>SUM('Defect (Total)'!Y124,Planned!Y124,Reconductor!Y124,CTGS!Y124)</f>
        <v>0</v>
      </c>
      <c r="Z124" s="86">
        <f>SUM('Defect (Total)'!Z124,Planned!Z124,Reconductor!Z124,CTGS!Z124)</f>
        <v>468</v>
      </c>
      <c r="AA124" s="87">
        <f>SUM('Defect (Total)'!AA124,Planned!AA124,Reconductor!AA124,CTGS!AA124)</f>
        <v>0</v>
      </c>
      <c r="AB124" s="87">
        <f>SUM('Defect (Total)'!AB124,Planned!AB124,Reconductor!AB124,CTGS!AB124)</f>
        <v>0</v>
      </c>
      <c r="AC124" s="87">
        <f>SUM('Defect (Total)'!AC124,Planned!AC124,Reconductor!AC124,CTGS!AC124)</f>
        <v>0</v>
      </c>
      <c r="AD124" s="87">
        <f>SUM('Defect (Total)'!AD124,Planned!AD124,Reconductor!AD124,CTGS!AD124)</f>
        <v>0</v>
      </c>
      <c r="AE124" s="87">
        <f>SUM('Defect (Total)'!AE124,Planned!AE124,Reconductor!AE124,CTGS!AE124)</f>
        <v>4000</v>
      </c>
      <c r="AF124" s="87">
        <f>SUM('Defect (Total)'!AF124,Planned!AF124,Reconductor!AF124,CTGS!AF124)</f>
        <v>11893</v>
      </c>
      <c r="AG124" s="87">
        <f>SUM('Defect (Total)'!AG124,Planned!AG124,Reconductor!AG124,CTGS!AG124)</f>
        <v>1.536</v>
      </c>
      <c r="AH124" s="87">
        <f>SUM('Defect (Total)'!AH124,Planned!AH124,Reconductor!AH124,CTGS!AH124)</f>
        <v>2932</v>
      </c>
      <c r="AI124" s="87">
        <f>SUM('Defect (Total)'!AI124,Planned!AI124,Reconductor!AI124,CTGS!AI124)</f>
        <v>534</v>
      </c>
      <c r="AJ124" s="87">
        <f>SUM('Defect (Total)'!AJ124,Planned!AJ124,Reconductor!AJ124,CTGS!AJ124)</f>
        <v>127450</v>
      </c>
      <c r="AK124" s="88">
        <f t="shared" si="43"/>
        <v>3765.3072000000002</v>
      </c>
      <c r="AL124" s="89">
        <f t="shared" si="48"/>
        <v>4942.1786666666667</v>
      </c>
      <c r="AM124" s="90">
        <f t="shared" si="44"/>
        <v>2932</v>
      </c>
      <c r="AN124" s="91">
        <f t="shared" si="49"/>
        <v>10.873931623931623</v>
      </c>
      <c r="AO124" s="92" t="str">
        <f t="shared" si="50"/>
        <v/>
      </c>
      <c r="AP124" s="92" t="str">
        <f t="shared" si="51"/>
        <v/>
      </c>
      <c r="AQ124" s="92" t="str">
        <f t="shared" si="52"/>
        <v/>
      </c>
      <c r="AR124" s="92" t="str">
        <f t="shared" si="53"/>
        <v/>
      </c>
      <c r="AS124" s="92">
        <f t="shared" si="54"/>
        <v>28.182510807995286</v>
      </c>
      <c r="AT124" s="92">
        <f t="shared" si="55"/>
        <v>5.8088280587406889</v>
      </c>
      <c r="AU124" s="92">
        <f t="shared" si="56"/>
        <v>7717.7866599694007</v>
      </c>
      <c r="AV124" s="92">
        <f t="shared" si="57"/>
        <v>1863.8173398552381</v>
      </c>
      <c r="AW124" s="92">
        <f t="shared" si="60"/>
        <v>3505.603478510161</v>
      </c>
      <c r="AX124" s="92">
        <f t="shared" si="60"/>
        <v>0</v>
      </c>
      <c r="AY124" s="93">
        <f t="shared" si="59"/>
        <v>300.55350575909745</v>
      </c>
      <c r="AZ124" s="94">
        <f t="shared" si="41"/>
        <v>374.03553688251077</v>
      </c>
      <c r="BA124" s="95">
        <f t="shared" si="42"/>
        <v>1863.8173398552381</v>
      </c>
      <c r="BB124" s="689">
        <f>SUM('Defect (Total)'!BB124,Planned!CE124,Reconductor!CE124,CTGS!CE124,'Substation 2025$'!CE124*$BL$1,Comms!CA124*$BL$2)</f>
        <v>0</v>
      </c>
      <c r="BC124" s="689">
        <f>SUM('Defect (Total)'!BC124,Planned!CF124,Reconductor!CF124,CTGS!CF124,'Substation 2025$'!CF124*$BL$1,Comms!CB124*$BL$2)</f>
        <v>0</v>
      </c>
      <c r="BD124" s="96">
        <f>SUM('Defect (Total)'!BD124,Planned!CG124,Reconductor!CG124,CTGS!CG124,'Substation 2025$'!CG124*$BL$1,Comms!CC124*$BL$2)</f>
        <v>0</v>
      </c>
      <c r="BE124" s="928">
        <f>SUM('Defect (Total)'!BE124,Planned!CH124,Reconductor!CH124,CTGS!CH124,'Substation 2025$'!CH124*$BL$1,Comms!CD124*$BL$2)</f>
        <v>4</v>
      </c>
      <c r="BF124" s="928">
        <f>SUM('Defect (Total)'!BF124,Planned!CI124,Reconductor!CI124,CTGS!CI124,'Substation 2025$'!CI124*$BL$1,Comms!CE124*$BL$2)</f>
        <v>3</v>
      </c>
      <c r="BG124" s="928">
        <f>SUM('Defect (Total)'!BG124,Planned!CJ124,Reconductor!CJ124,CTGS!CJ124,'Substation 2025$'!CJ124*$BL$1,Comms!CF124*$BL$2)</f>
        <v>3</v>
      </c>
      <c r="BH124" s="928">
        <f>SUM('Defect (Total)'!BH124,Planned!CK124,Reconductor!CK124,CTGS!CK124,'Substation 2025$'!CK124*$BL$1,Comms!CG124*$BL$2)</f>
        <v>3</v>
      </c>
      <c r="BI124" s="929">
        <f>SUM('Defect (Total)'!BI124,Planned!CL124,Reconductor!CL124,CTGS!CL124,'Substation 2025$'!CL124*$BL$1,Comms!CH124*$BL$2)</f>
        <v>3</v>
      </c>
      <c r="BJ124" s="99">
        <f t="shared" si="47"/>
        <v>506405.64198469731</v>
      </c>
      <c r="BK124" s="743"/>
      <c r="BL124" s="97"/>
      <c r="BM124" s="524"/>
      <c r="BN124" s="416">
        <f>'Distribution Summary'!CI124+'Substation 2025$'!CT124</f>
        <v>547104.07855527941</v>
      </c>
      <c r="BO124" s="97">
        <f>'Distribution Summary'!CJ124+'Substation 2025$'!CU124</f>
        <v>685601.04126881831</v>
      </c>
      <c r="BP124" s="97">
        <f>'Distribution Summary'!CK124+'Substation 2025$'!CV124</f>
        <v>1838667.5933966071</v>
      </c>
      <c r="BQ124" s="97">
        <f>'Distribution Summary'!CL124+'Substation 2025$'!CW124</f>
        <v>1853688.7803369379</v>
      </c>
      <c r="BR124" s="98">
        <f>'Distribution Summary'!CM124+'Substation 2025$'!CX124</f>
        <v>3177428.7781975139</v>
      </c>
    </row>
    <row r="125" spans="1:70" x14ac:dyDescent="0.25">
      <c r="A125" s="81" t="s">
        <v>242</v>
      </c>
      <c r="B125" s="82" t="s">
        <v>253</v>
      </c>
      <c r="C125" s="83" t="s">
        <v>254</v>
      </c>
      <c r="D125" s="84">
        <f>SUM('Defect (Total)'!D125,Planned!D125,Reconductor!D125,CTGS!D125)</f>
        <v>0</v>
      </c>
      <c r="E125" s="85">
        <f>SUM('Defect (Total)'!E125,Planned!E125,Reconductor!E125,CTGS!E125)</f>
        <v>0</v>
      </c>
      <c r="F125" s="85">
        <f>SUM('Defect (Total)'!F125,Planned!F125,Reconductor!F125,CTGS!F125)</f>
        <v>0</v>
      </c>
      <c r="G125" s="85">
        <f>SUM('Defect (Total)'!G125,Planned!G125,Reconductor!G125,CTGS!G125)</f>
        <v>36975.419945300338</v>
      </c>
      <c r="H125" s="85">
        <f>SUM('Defect (Total)'!H125,Planned!H125,Reconductor!H125,CTGS!H125)</f>
        <v>0</v>
      </c>
      <c r="I125" s="85">
        <f>SUM('Defect (Total)'!I125,Planned!I125,Reconductor!I125,CTGS!I125)</f>
        <v>0</v>
      </c>
      <c r="J125" s="85">
        <f>SUM('Defect (Total)'!J125,Planned!J125,Reconductor!J125,CTGS!J125)</f>
        <v>0</v>
      </c>
      <c r="K125" s="85">
        <f>SUM('Defect (Total)'!K125,Planned!K125,Reconductor!K125,CTGS!K125)</f>
        <v>0</v>
      </c>
      <c r="L125" s="85">
        <f>SUM('Defect (Total)'!L125,Planned!L125,Reconductor!L125,CTGS!L125)</f>
        <v>0</v>
      </c>
      <c r="M125" s="85">
        <f>SUM('Defect (Total)'!M125,Planned!M125,Reconductor!M125,CTGS!M125)</f>
        <v>0</v>
      </c>
      <c r="N125" s="85">
        <f>SUM('Defect (Total)'!N125,Planned!N125,Reconductor!N125,CTGS!N125)</f>
        <v>0</v>
      </c>
      <c r="O125" s="560">
        <f>SUM('Defect (Total)'!O125,Planned!O125,Reconductor!O125,CTGS!O125)</f>
        <v>0</v>
      </c>
      <c r="P125" s="561">
        <f>SUM('Defect (Total)'!P125,Planned!P125,Reconductor!P125,CTGS!P125)</f>
        <v>0</v>
      </c>
      <c r="Q125" s="561">
        <f>SUM('Defect (Total)'!Q125,Planned!Q125,Reconductor!Q125,CTGS!Q125)</f>
        <v>0</v>
      </c>
      <c r="R125" s="561">
        <f>SUM('Defect (Total)'!R125,Planned!R125,Reconductor!R125,CTGS!R125)</f>
        <v>47591.682342857996</v>
      </c>
      <c r="S125" s="561">
        <f>SUM('Defect (Total)'!S125,Planned!S125,Reconductor!S125,CTGS!S125)</f>
        <v>0</v>
      </c>
      <c r="T125" s="561">
        <f>SUM('Defect (Total)'!T125,Planned!T125,Reconductor!T125,CTGS!T125)</f>
        <v>0</v>
      </c>
      <c r="U125" s="561">
        <f>SUM('Defect (Total)'!U125,Planned!U125,Reconductor!U125,CTGS!U125)</f>
        <v>0</v>
      </c>
      <c r="V125" s="561">
        <f>SUM('Defect (Total)'!V125,Planned!V125,Reconductor!V125,CTGS!V125)</f>
        <v>0</v>
      </c>
      <c r="W125" s="561">
        <f>SUM('Defect (Total)'!W125,Planned!W125,Reconductor!W125,CTGS!W125)</f>
        <v>0</v>
      </c>
      <c r="X125" s="561">
        <f>SUM('Defect (Total)'!X125,Planned!X125,Reconductor!X125,CTGS!X125)</f>
        <v>0</v>
      </c>
      <c r="Y125" s="561">
        <f>SUM('Defect (Total)'!Y125,Planned!Y125,Reconductor!Y125,CTGS!Y125)</f>
        <v>0</v>
      </c>
      <c r="Z125" s="86">
        <f>SUM('Defect (Total)'!Z125,Planned!Z125,Reconductor!Z125,CTGS!Z125)</f>
        <v>0</v>
      </c>
      <c r="AA125" s="87">
        <f>SUM('Defect (Total)'!AA125,Planned!AA125,Reconductor!AA125,CTGS!AA125)</f>
        <v>0</v>
      </c>
      <c r="AB125" s="87">
        <f>SUM('Defect (Total)'!AB125,Planned!AB125,Reconductor!AB125,CTGS!AB125)</f>
        <v>0</v>
      </c>
      <c r="AC125" s="87">
        <f>SUM('Defect (Total)'!AC125,Planned!AC125,Reconductor!AC125,CTGS!AC125)</f>
        <v>3</v>
      </c>
      <c r="AD125" s="87">
        <f>SUM('Defect (Total)'!AD125,Planned!AD125,Reconductor!AD125,CTGS!AD125)</f>
        <v>0</v>
      </c>
      <c r="AE125" s="87">
        <f>SUM('Defect (Total)'!AE125,Planned!AE125,Reconductor!AE125,CTGS!AE125)</f>
        <v>0</v>
      </c>
      <c r="AF125" s="87">
        <f>SUM('Defect (Total)'!AF125,Planned!AF125,Reconductor!AF125,CTGS!AF125)</f>
        <v>0</v>
      </c>
      <c r="AG125" s="87">
        <f>SUM('Defect (Total)'!AG125,Planned!AG125,Reconductor!AG125,CTGS!AG125)</f>
        <v>0</v>
      </c>
      <c r="AH125" s="87">
        <f>SUM('Defect (Total)'!AH125,Planned!AH125,Reconductor!AH125,CTGS!AH125)</f>
        <v>0</v>
      </c>
      <c r="AI125" s="87">
        <f>SUM('Defect (Total)'!AI125,Planned!AI125,Reconductor!AI125,CTGS!AI125)</f>
        <v>0</v>
      </c>
      <c r="AJ125" s="87">
        <f>SUM('Defect (Total)'!AJ125,Planned!AJ125,Reconductor!AJ125,CTGS!AJ125)</f>
        <v>0</v>
      </c>
      <c r="AK125" s="88">
        <f t="shared" si="43"/>
        <v>0</v>
      </c>
      <c r="AL125" s="89">
        <f t="shared" si="48"/>
        <v>0</v>
      </c>
      <c r="AM125" s="90">
        <f t="shared" si="44"/>
        <v>0</v>
      </c>
      <c r="AN125" s="91" t="str">
        <f t="shared" si="49"/>
        <v/>
      </c>
      <c r="AO125" s="92" t="str">
        <f t="shared" si="50"/>
        <v/>
      </c>
      <c r="AP125" s="92" t="str">
        <f t="shared" si="51"/>
        <v/>
      </c>
      <c r="AQ125" s="92">
        <f t="shared" si="52"/>
        <v>12325.139981766779</v>
      </c>
      <c r="AR125" s="92" t="str">
        <f t="shared" si="53"/>
        <v/>
      </c>
      <c r="AS125" s="92" t="str">
        <f t="shared" si="54"/>
        <v/>
      </c>
      <c r="AT125" s="92" t="str">
        <f t="shared" si="55"/>
        <v/>
      </c>
      <c r="AU125" s="92" t="str">
        <f t="shared" si="56"/>
        <v/>
      </c>
      <c r="AV125" s="92" t="str">
        <f t="shared" si="57"/>
        <v/>
      </c>
      <c r="AW125" s="92" t="str">
        <f t="shared" si="60"/>
        <v/>
      </c>
      <c r="AX125" s="92" t="str">
        <f t="shared" si="60"/>
        <v/>
      </c>
      <c r="AY125" s="93" t="str">
        <f t="shared" si="59"/>
        <v/>
      </c>
      <c r="AZ125" s="94" t="str">
        <f t="shared" si="41"/>
        <v/>
      </c>
      <c r="BA125" s="95" t="str">
        <f t="shared" si="42"/>
        <v/>
      </c>
      <c r="BB125" s="689">
        <f>SUM('Defect (Total)'!BB125,Planned!CE125,Reconductor!CE125,CTGS!CE125,'Substation 2025$'!CE125*$BL$1,Comms!CA125*$BL$2)</f>
        <v>0</v>
      </c>
      <c r="BC125" s="689">
        <f>SUM('Defect (Total)'!BC125,Planned!CF125,Reconductor!CF125,CTGS!CF125,'Substation 2025$'!CF125*$BL$1,Comms!CB125*$BL$2)</f>
        <v>0</v>
      </c>
      <c r="BD125" s="96">
        <f>SUM('Defect (Total)'!BD125,Planned!CG125,Reconductor!CG125,CTGS!CG125,'Substation 2025$'!CG125*$BL$1,Comms!CC125*$BL$2)</f>
        <v>0</v>
      </c>
      <c r="BE125" s="96">
        <f>SUM('Defect (Total)'!BE125,Planned!CH125,Reconductor!CH125,CTGS!CH125,'Substation 2025$'!CH125*$BL$1,Comms!CD125*$BL$2)</f>
        <v>0</v>
      </c>
      <c r="BF125" s="96">
        <f>SUM('Defect (Total)'!BF125,Planned!CI125,Reconductor!CI125,CTGS!CI125,'Substation 2025$'!CI125*$BL$1,Comms!CE125*$BL$2)</f>
        <v>1</v>
      </c>
      <c r="BG125" s="96">
        <f>SUM('Defect (Total)'!BG125,Planned!CJ125,Reconductor!CJ125,CTGS!CJ125,'Substation 2025$'!CJ125*$BL$1,Comms!CF125*$BL$2)</f>
        <v>0</v>
      </c>
      <c r="BH125" s="96">
        <f>SUM('Defect (Total)'!BH125,Planned!CK125,Reconductor!CK125,CTGS!CK125,'Substation 2025$'!CK125*$BL$1,Comms!CG125*$BL$2)</f>
        <v>0</v>
      </c>
      <c r="BI125" s="286">
        <f>SUM('Defect (Total)'!BI125,Planned!CL125,Reconductor!CL125,CTGS!CL125,'Substation 2025$'!CL125*$BL$1,Comms!CH125*$BL$2)</f>
        <v>0</v>
      </c>
      <c r="BJ125" s="99">
        <f t="shared" si="47"/>
        <v>27221.734222929983</v>
      </c>
      <c r="BK125" s="743"/>
      <c r="BL125" s="97"/>
      <c r="BM125" s="524"/>
      <c r="BN125" s="416">
        <f>'Distribution Summary'!CI125+'Substation 2025$'!CT125</f>
        <v>24826.401869798097</v>
      </c>
      <c r="BO125" s="97">
        <f>'Distribution Summary'!CJ125+'Substation 2025$'!CU125</f>
        <v>2395.3323531318852</v>
      </c>
      <c r="BP125" s="97">
        <f>'Distribution Summary'!CK125+'Substation 2025$'!CV125</f>
        <v>0</v>
      </c>
      <c r="BQ125" s="97">
        <f>'Distribution Summary'!CL125+'Substation 2025$'!CW125</f>
        <v>0</v>
      </c>
      <c r="BR125" s="98">
        <f>'Distribution Summary'!CM125+'Substation 2025$'!CX125</f>
        <v>0</v>
      </c>
    </row>
    <row r="126" spans="1:70" ht="15.75" thickBot="1" x14ac:dyDescent="0.3">
      <c r="A126" s="81" t="s">
        <v>242</v>
      </c>
      <c r="B126" s="82" t="s">
        <v>399</v>
      </c>
      <c r="C126" s="102" t="s">
        <v>400</v>
      </c>
      <c r="D126" s="103">
        <f>SUM('Defect (Total)'!D126,Planned!D126,Reconductor!D126,CTGS!D126)</f>
        <v>0</v>
      </c>
      <c r="E126" s="104">
        <f>SUM('Defect (Total)'!E126,Planned!E126,Reconductor!E126,CTGS!E126)</f>
        <v>0</v>
      </c>
      <c r="F126" s="104">
        <f>SUM('Defect (Total)'!F126,Planned!F126,Reconductor!F126,CTGS!F126)</f>
        <v>0</v>
      </c>
      <c r="G126" s="104">
        <f>SUM('Defect (Total)'!G126,Planned!G126,Reconductor!G126,CTGS!G126)</f>
        <v>0</v>
      </c>
      <c r="H126" s="104">
        <f>SUM('Defect (Total)'!H126,Planned!H126,Reconductor!H126,CTGS!H126)</f>
        <v>0</v>
      </c>
      <c r="I126" s="104">
        <f>SUM('Defect (Total)'!I126,Planned!I126,Reconductor!I126,CTGS!I126)</f>
        <v>0</v>
      </c>
      <c r="J126" s="104">
        <f>SUM('Defect (Total)'!J126,Planned!J126,Reconductor!J126,CTGS!J126)</f>
        <v>0</v>
      </c>
      <c r="K126" s="104">
        <f>SUM('Defect (Total)'!K126,Planned!K126,Reconductor!K126,CTGS!K126)</f>
        <v>0</v>
      </c>
      <c r="L126" s="104">
        <f>SUM('Defect (Total)'!L126,Planned!L126,Reconductor!L126,CTGS!L126)</f>
        <v>0</v>
      </c>
      <c r="M126" s="104">
        <f>SUM('Defect (Total)'!M126,Planned!M126,Reconductor!M126,CTGS!M126)</f>
        <v>0</v>
      </c>
      <c r="N126" s="104">
        <f>SUM('Defect (Total)'!N126,Planned!N126,Reconductor!N126,CTGS!N126)</f>
        <v>0</v>
      </c>
      <c r="O126" s="563">
        <f>SUM('Defect (Total)'!O126,Planned!O126,Reconductor!O126,CTGS!O126)</f>
        <v>0</v>
      </c>
      <c r="P126" s="564">
        <f>SUM('Defect (Total)'!P126,Planned!P126,Reconductor!P126,CTGS!P126)</f>
        <v>0</v>
      </c>
      <c r="Q126" s="564">
        <f>SUM('Defect (Total)'!Q126,Planned!Q126,Reconductor!Q126,CTGS!Q126)</f>
        <v>0</v>
      </c>
      <c r="R126" s="564">
        <f>SUM('Defect (Total)'!R126,Planned!R126,Reconductor!R126,CTGS!R126)</f>
        <v>0</v>
      </c>
      <c r="S126" s="564">
        <f>SUM('Defect (Total)'!S126,Planned!S126,Reconductor!S126,CTGS!S126)</f>
        <v>0</v>
      </c>
      <c r="T126" s="564">
        <f>SUM('Defect (Total)'!T126,Planned!T126,Reconductor!T126,CTGS!T126)</f>
        <v>0</v>
      </c>
      <c r="U126" s="564">
        <f>SUM('Defect (Total)'!U126,Planned!U126,Reconductor!U126,CTGS!U126)</f>
        <v>0</v>
      </c>
      <c r="V126" s="564">
        <f>SUM('Defect (Total)'!V126,Planned!V126,Reconductor!V126,CTGS!V126)</f>
        <v>0</v>
      </c>
      <c r="W126" s="564">
        <f>SUM('Defect (Total)'!W126,Planned!W126,Reconductor!W126,CTGS!W126)</f>
        <v>0</v>
      </c>
      <c r="X126" s="564">
        <f>SUM('Defect (Total)'!X126,Planned!X126,Reconductor!X126,CTGS!X126)</f>
        <v>0</v>
      </c>
      <c r="Y126" s="564">
        <f>SUM('Defect (Total)'!Y126,Planned!Y126,Reconductor!Y126,CTGS!Y126)</f>
        <v>0</v>
      </c>
      <c r="Z126" s="105">
        <f>SUM('Defect (Total)'!Z126,Planned!Z126,Reconductor!Z126,CTGS!Z126)</f>
        <v>0</v>
      </c>
      <c r="AA126" s="106">
        <f>SUM('Defect (Total)'!AA126,Planned!AA126,Reconductor!AA126,CTGS!AA126)</f>
        <v>0</v>
      </c>
      <c r="AB126" s="106">
        <f>SUM('Defect (Total)'!AB126,Planned!AB126,Reconductor!AB126,CTGS!AB126)</f>
        <v>0</v>
      </c>
      <c r="AC126" s="106">
        <f>SUM('Defect (Total)'!AC126,Planned!AC126,Reconductor!AC126,CTGS!AC126)</f>
        <v>0</v>
      </c>
      <c r="AD126" s="106">
        <f>SUM('Defect (Total)'!AD126,Planned!AD126,Reconductor!AD126,CTGS!AD126)</f>
        <v>0</v>
      </c>
      <c r="AE126" s="106">
        <f>SUM('Defect (Total)'!AE126,Planned!AE126,Reconductor!AE126,CTGS!AE126)</f>
        <v>0</v>
      </c>
      <c r="AF126" s="106">
        <f>SUM('Defect (Total)'!AF126,Planned!AF126,Reconductor!AF126,CTGS!AF126)</f>
        <v>0</v>
      </c>
      <c r="AG126" s="106">
        <f>SUM('Defect (Total)'!AG126,Planned!AG126,Reconductor!AG126,CTGS!AG126)</f>
        <v>0</v>
      </c>
      <c r="AH126" s="106">
        <f>SUM('Defect (Total)'!AH126,Planned!AH126,Reconductor!AH126,CTGS!AH126)</f>
        <v>0</v>
      </c>
      <c r="AI126" s="106">
        <f>SUM('Defect (Total)'!AI126,Planned!AI126,Reconductor!AI126,CTGS!AI126)</f>
        <v>0</v>
      </c>
      <c r="AJ126" s="106">
        <f>SUM('Defect (Total)'!AJ126,Planned!AJ126,Reconductor!AJ126,CTGS!AJ126)</f>
        <v>0</v>
      </c>
      <c r="AK126" s="107">
        <f t="shared" si="43"/>
        <v>0</v>
      </c>
      <c r="AL126" s="108">
        <f t="shared" si="48"/>
        <v>0</v>
      </c>
      <c r="AM126" s="109">
        <f t="shared" si="44"/>
        <v>0</v>
      </c>
      <c r="AN126" s="110" t="str">
        <f t="shared" si="49"/>
        <v/>
      </c>
      <c r="AO126" s="111" t="str">
        <f t="shared" si="50"/>
        <v/>
      </c>
      <c r="AP126" s="111" t="str">
        <f t="shared" si="51"/>
        <v/>
      </c>
      <c r="AQ126" s="111" t="str">
        <f t="shared" si="52"/>
        <v/>
      </c>
      <c r="AR126" s="111" t="str">
        <f t="shared" si="53"/>
        <v/>
      </c>
      <c r="AS126" s="111" t="str">
        <f t="shared" si="54"/>
        <v/>
      </c>
      <c r="AT126" s="111" t="str">
        <f t="shared" si="55"/>
        <v/>
      </c>
      <c r="AU126" s="111" t="str">
        <f t="shared" si="56"/>
        <v/>
      </c>
      <c r="AV126" s="111" t="str">
        <f t="shared" si="57"/>
        <v/>
      </c>
      <c r="AW126" s="111" t="str">
        <f t="shared" si="60"/>
        <v/>
      </c>
      <c r="AX126" s="111" t="str">
        <f t="shared" si="60"/>
        <v/>
      </c>
      <c r="AY126" s="112" t="str">
        <f t="shared" si="59"/>
        <v/>
      </c>
      <c r="AZ126" s="113" t="str">
        <f t="shared" si="41"/>
        <v/>
      </c>
      <c r="BA126" s="114" t="str">
        <f t="shared" si="42"/>
        <v/>
      </c>
      <c r="BB126" s="690">
        <f>SUM('Defect (Total)'!BB126,Planned!CE126,Reconductor!CE126,CTGS!CE126,'Substation 2025$'!CE126*$BL$1,Comms!CA126*$BL$2)</f>
        <v>0</v>
      </c>
      <c r="BC126" s="690">
        <f>SUM('Defect (Total)'!BC126,Planned!CF126,Reconductor!CF126,CTGS!CF126,'Substation 2025$'!CF126*$BL$1,Comms!CB126*$BL$2)</f>
        <v>0</v>
      </c>
      <c r="BD126" s="115">
        <f>SUM('Defect (Total)'!BD126,Planned!CG126,Reconductor!CG126,CTGS!CG126,'Substation 2025$'!CG126*$BL$1,Comms!CC126*$BL$2)</f>
        <v>0</v>
      </c>
      <c r="BE126" s="115">
        <f>SUM('Defect (Total)'!BE126,Planned!CH126,Reconductor!CH126,CTGS!CH126,'Substation 2025$'!CH126*$BL$1,Comms!CD126*$BL$2)</f>
        <v>0</v>
      </c>
      <c r="BF126" s="115">
        <f>SUM('Defect (Total)'!BF126,Planned!CI126,Reconductor!CI126,CTGS!CI126,'Substation 2025$'!CI126*$BL$1,Comms!CE126*$BL$2)</f>
        <v>0</v>
      </c>
      <c r="BG126" s="115">
        <f>SUM('Defect (Total)'!BG126,Planned!CJ126,Reconductor!CJ126,CTGS!CJ126,'Substation 2025$'!CJ126*$BL$1,Comms!CF126*$BL$2)</f>
        <v>0</v>
      </c>
      <c r="BH126" s="115">
        <f>SUM('Defect (Total)'!BH126,Planned!CK126,Reconductor!CK126,CTGS!CK126,'Substation 2025$'!CK126*$BL$1,Comms!CG126*$BL$2)</f>
        <v>0</v>
      </c>
      <c r="BI126" s="287">
        <f>SUM('Defect (Total)'!BI126,Planned!CL126,Reconductor!CL126,CTGS!CL126,'Substation 2025$'!CL126*$BL$1,Comms!CH126*$BL$2)</f>
        <v>0</v>
      </c>
      <c r="BJ126" s="116" t="str">
        <f t="shared" si="47"/>
        <v/>
      </c>
      <c r="BK126" s="744"/>
      <c r="BL126" s="117"/>
      <c r="BM126" s="638"/>
      <c r="BN126" s="467">
        <f>'Distribution Summary'!CI126+'Substation 2025$'!CT126</f>
        <v>0</v>
      </c>
      <c r="BO126" s="117">
        <f>'Distribution Summary'!CJ126+'Substation 2025$'!CU126</f>
        <v>0</v>
      </c>
      <c r="BP126" s="117">
        <f>'Distribution Summary'!CK126+'Substation 2025$'!CV126</f>
        <v>0</v>
      </c>
      <c r="BQ126" s="117">
        <f>'Distribution Summary'!CL126+'Substation 2025$'!CW126</f>
        <v>0</v>
      </c>
      <c r="BR126" s="118">
        <f>'Distribution Summary'!CM126+'Substation 2025$'!CX126</f>
        <v>0</v>
      </c>
    </row>
    <row r="127" spans="1:70" x14ac:dyDescent="0.25">
      <c r="A127" s="81" t="s">
        <v>258</v>
      </c>
      <c r="B127" s="82" t="s">
        <v>255</v>
      </c>
      <c r="C127" s="145" t="s">
        <v>401</v>
      </c>
      <c r="D127" s="146">
        <f>SUM('Defect (Total)'!D127,Planned!D127,Reconductor!D127,CTGS!D127)</f>
        <v>0</v>
      </c>
      <c r="E127" s="147">
        <f>SUM('Defect (Total)'!E127,Planned!E127,Reconductor!E127,CTGS!E127)</f>
        <v>0</v>
      </c>
      <c r="F127" s="147">
        <f>SUM('Defect (Total)'!F127,Planned!F127,Reconductor!F127,CTGS!F127)</f>
        <v>0</v>
      </c>
      <c r="G127" s="147">
        <f>SUM('Defect (Total)'!G127,Planned!G127,Reconductor!G127,CTGS!G127)</f>
        <v>0</v>
      </c>
      <c r="H127" s="147">
        <f>SUM('Defect (Total)'!H127,Planned!H127,Reconductor!H127,CTGS!H127)</f>
        <v>0</v>
      </c>
      <c r="I127" s="147">
        <f>SUM('Defect (Total)'!I127,Planned!I127,Reconductor!I127,CTGS!I127)</f>
        <v>0</v>
      </c>
      <c r="J127" s="147">
        <f>SUM('Defect (Total)'!J127,Planned!J127,Reconductor!J127,CTGS!J127)</f>
        <v>0</v>
      </c>
      <c r="K127" s="147">
        <f>SUM('Defect (Total)'!K127,Planned!K127,Reconductor!K127,CTGS!K127)</f>
        <v>0</v>
      </c>
      <c r="L127" s="147">
        <f>SUM('Defect (Total)'!L127,Planned!L127,Reconductor!L127,CTGS!L127)</f>
        <v>0</v>
      </c>
      <c r="M127" s="147">
        <f>SUM('Defect (Total)'!M127,Planned!M127,Reconductor!M127,CTGS!M127)</f>
        <v>0</v>
      </c>
      <c r="N127" s="147">
        <f>SUM('Defect (Total)'!N127,Planned!N127,Reconductor!N127,CTGS!N127)</f>
        <v>0</v>
      </c>
      <c r="O127" s="566">
        <f>SUM('Defect (Total)'!O127,Planned!O127,Reconductor!O127,CTGS!O127)</f>
        <v>0</v>
      </c>
      <c r="P127" s="567">
        <f>SUM('Defect (Total)'!P127,Planned!P127,Reconductor!P127,CTGS!P127)</f>
        <v>0</v>
      </c>
      <c r="Q127" s="567">
        <f>SUM('Defect (Total)'!Q127,Planned!Q127,Reconductor!Q127,CTGS!Q127)</f>
        <v>0</v>
      </c>
      <c r="R127" s="567">
        <f>SUM('Defect (Total)'!R127,Planned!R127,Reconductor!R127,CTGS!R127)</f>
        <v>0</v>
      </c>
      <c r="S127" s="567">
        <f>SUM('Defect (Total)'!S127,Planned!S127,Reconductor!S127,CTGS!S127)</f>
        <v>0</v>
      </c>
      <c r="T127" s="567">
        <f>SUM('Defect (Total)'!T127,Planned!T127,Reconductor!T127,CTGS!T127)</f>
        <v>0</v>
      </c>
      <c r="U127" s="567">
        <f>SUM('Defect (Total)'!U127,Planned!U127,Reconductor!U127,CTGS!U127)</f>
        <v>0</v>
      </c>
      <c r="V127" s="567">
        <f>SUM('Defect (Total)'!V127,Planned!V127,Reconductor!V127,CTGS!V127)</f>
        <v>0</v>
      </c>
      <c r="W127" s="567">
        <f>SUM('Defect (Total)'!W127,Planned!W127,Reconductor!W127,CTGS!W127)</f>
        <v>0</v>
      </c>
      <c r="X127" s="567">
        <f>SUM('Defect (Total)'!X127,Planned!X127,Reconductor!X127,CTGS!X127)</f>
        <v>0</v>
      </c>
      <c r="Y127" s="567">
        <f>SUM('Defect (Total)'!Y127,Planned!Y127,Reconductor!Y127,CTGS!Y127)</f>
        <v>0</v>
      </c>
      <c r="Z127" s="148">
        <f>SUM('Defect (Total)'!Z127,Planned!Z127,Reconductor!Z127,CTGS!Z127)</f>
        <v>0</v>
      </c>
      <c r="AA127" s="149">
        <f>SUM('Defect (Total)'!AA127,Planned!AA127,Reconductor!AA127,CTGS!AA127)</f>
        <v>0</v>
      </c>
      <c r="AB127" s="149">
        <f>SUM('Defect (Total)'!AB127,Planned!AB127,Reconductor!AB127,CTGS!AB127)</f>
        <v>0</v>
      </c>
      <c r="AC127" s="149">
        <f>SUM('Defect (Total)'!AC127,Planned!AC127,Reconductor!AC127,CTGS!AC127)</f>
        <v>0</v>
      </c>
      <c r="AD127" s="149">
        <f>SUM('Defect (Total)'!AD127,Planned!AD127,Reconductor!AD127,CTGS!AD127)</f>
        <v>0</v>
      </c>
      <c r="AE127" s="149">
        <f>SUM('Defect (Total)'!AE127,Planned!AE127,Reconductor!AE127,CTGS!AE127)</f>
        <v>0</v>
      </c>
      <c r="AF127" s="149">
        <f>SUM('Defect (Total)'!AF127,Planned!AF127,Reconductor!AF127,CTGS!AF127)</f>
        <v>0</v>
      </c>
      <c r="AG127" s="149">
        <f>SUM('Defect (Total)'!AG127,Planned!AG127,Reconductor!AG127,CTGS!AG127)</f>
        <v>0</v>
      </c>
      <c r="AH127" s="149">
        <f>SUM('Defect (Total)'!AH127,Planned!AH127,Reconductor!AH127,CTGS!AH127)</f>
        <v>0</v>
      </c>
      <c r="AI127" s="149">
        <f>SUM('Defect (Total)'!AI127,Planned!AI127,Reconductor!AI127,CTGS!AI127)</f>
        <v>0</v>
      </c>
      <c r="AJ127" s="149">
        <f>SUM('Defect (Total)'!AJ127,Planned!AJ127,Reconductor!AJ127,CTGS!AJ127)</f>
        <v>0</v>
      </c>
      <c r="AK127" s="150">
        <f t="shared" si="43"/>
        <v>0</v>
      </c>
      <c r="AL127" s="151">
        <f t="shared" si="48"/>
        <v>0</v>
      </c>
      <c r="AM127" s="152">
        <f t="shared" si="44"/>
        <v>0</v>
      </c>
      <c r="AN127" s="153" t="str">
        <f t="shared" si="49"/>
        <v/>
      </c>
      <c r="AO127" s="154" t="str">
        <f t="shared" si="50"/>
        <v/>
      </c>
      <c r="AP127" s="154" t="str">
        <f t="shared" si="51"/>
        <v/>
      </c>
      <c r="AQ127" s="154" t="str">
        <f t="shared" si="52"/>
        <v/>
      </c>
      <c r="AR127" s="154" t="str">
        <f t="shared" si="53"/>
        <v/>
      </c>
      <c r="AS127" s="154" t="str">
        <f t="shared" si="54"/>
        <v/>
      </c>
      <c r="AT127" s="154" t="str">
        <f t="shared" si="55"/>
        <v/>
      </c>
      <c r="AU127" s="154" t="str">
        <f t="shared" si="56"/>
        <v/>
      </c>
      <c r="AV127" s="154" t="str">
        <f t="shared" si="57"/>
        <v/>
      </c>
      <c r="AW127" s="154" t="str">
        <f t="shared" si="60"/>
        <v/>
      </c>
      <c r="AX127" s="154" t="str">
        <f t="shared" si="60"/>
        <v/>
      </c>
      <c r="AY127" s="155" t="str">
        <f t="shared" si="59"/>
        <v/>
      </c>
      <c r="AZ127" s="156" t="str">
        <f t="shared" si="41"/>
        <v/>
      </c>
      <c r="BA127" s="157" t="str">
        <f t="shared" si="42"/>
        <v/>
      </c>
      <c r="BB127" s="688">
        <f>SUM('Defect (Total)'!BB127*$BL$3,Planned!CE127,Reconductor!CE127,CTGS!CE127,'Substation 2025$'!CE127*$BL$1,Comms!CA127*$BL$2)</f>
        <v>0</v>
      </c>
      <c r="BC127" s="688">
        <f>SUM('Defect (Total)'!BC127*$BL$3,Planned!CF127,Reconductor!CF127,CTGS!CF127,'Substation 2025$'!CF127*$BL$1,Comms!CB127*$BL$2)</f>
        <v>20</v>
      </c>
      <c r="BD127" s="78">
        <f>SUM('Defect (Total)'!BD127*$BL$3,Planned!CG127,Reconductor!CG127,CTGS!CG127,'Substation 2025$'!CG127*$BL$1,Comms!CC127*$BL$2)</f>
        <v>25</v>
      </c>
      <c r="BE127" s="78">
        <f>SUM('Defect (Total)'!BE127*$BL$3,Planned!CH127,Reconductor!CH127,CTGS!CH127,'Substation 2025$'!CH127*$BL$1,Comms!CD127*$BL$2)</f>
        <v>21</v>
      </c>
      <c r="BF127" s="78">
        <f>SUM('Defect (Total)'!BF127*$BL$3,Planned!CI127,Reconductor!CI127,CTGS!CI127,'Substation 2025$'!CI127*$BL$1,Comms!CE127*$BL$2)</f>
        <v>71</v>
      </c>
      <c r="BG127" s="78">
        <f>SUM('Defect (Total)'!BG127*$BL$3,Planned!CJ127,Reconductor!CJ127,CTGS!CJ127,'Substation 2025$'!CJ127*$BL$1,Comms!CF127*$BL$2)</f>
        <v>45</v>
      </c>
      <c r="BH127" s="78">
        <f>SUM('Defect (Total)'!BH127*$BL$3,Planned!CK127,Reconductor!CK127,CTGS!CK127,'Substation 2025$'!CK127*$BL$1,Comms!CG127*$BL$2)</f>
        <v>88</v>
      </c>
      <c r="BI127" s="285">
        <f>SUM('Defect (Total)'!BI127*$BL$3,Planned!CL127,Reconductor!CL127,CTGS!CL127,'Substation 2025$'!CL127*$BL$1,Comms!CH127*$BL$2)</f>
        <v>30</v>
      </c>
      <c r="BJ127" s="158">
        <f t="shared" si="47"/>
        <v>64781.808197107071</v>
      </c>
      <c r="BK127" s="742"/>
      <c r="BL127" s="79"/>
      <c r="BM127" s="523"/>
      <c r="BN127" s="415">
        <f>'Distribution Summary'!CI127+'Substation 2025$'!CT127</f>
        <v>4034969.8817345472</v>
      </c>
      <c r="BO127" s="79">
        <f>'Distribution Summary'!CJ127+'Substation 2025$'!CU127</f>
        <v>3893524.8105729441</v>
      </c>
      <c r="BP127" s="79">
        <f>'Distribution Summary'!CK127+'Substation 2025$'!CV127</f>
        <v>4445747.147595264</v>
      </c>
      <c r="BQ127" s="79">
        <f>'Distribution Summary'!CL127+'Substation 2025$'!CW127</f>
        <v>1691472.3945446126</v>
      </c>
      <c r="BR127" s="80">
        <f>'Distribution Summary'!CM127+'Substation 2025$'!CX127</f>
        <v>2453646.8558149361</v>
      </c>
    </row>
    <row r="128" spans="1:70" x14ac:dyDescent="0.25">
      <c r="A128" s="81" t="s">
        <v>258</v>
      </c>
      <c r="B128" s="82" t="s">
        <v>259</v>
      </c>
      <c r="C128" s="83" t="s">
        <v>257</v>
      </c>
      <c r="D128" s="84">
        <f>SUM('Defect (Total)'!D128,Planned!D128,Reconductor!D128,CTGS!D128)</f>
        <v>56980</v>
      </c>
      <c r="E128" s="85">
        <f>SUM('Defect (Total)'!E128,Planned!E128,Reconductor!E128,CTGS!E128)</f>
        <v>79395</v>
      </c>
      <c r="F128" s="85">
        <f>SUM('Defect (Total)'!F128,Planned!F128,Reconductor!F128,CTGS!F128)</f>
        <v>127343</v>
      </c>
      <c r="G128" s="85">
        <f>SUM('Defect (Total)'!G128,Planned!G128,Reconductor!G128,CTGS!G128)</f>
        <v>71550</v>
      </c>
      <c r="H128" s="85">
        <f>SUM('Defect (Total)'!H128,Planned!H128,Reconductor!H128,CTGS!H128)</f>
        <v>76847</v>
      </c>
      <c r="I128" s="85">
        <f>SUM('Defect (Total)'!I128,Planned!I128,Reconductor!I128,CTGS!I128)</f>
        <v>108190.57457639799</v>
      </c>
      <c r="J128" s="85">
        <f>SUM('Defect (Total)'!J128,Planned!J128,Reconductor!J128,CTGS!J128)</f>
        <v>2725826.0662792921</v>
      </c>
      <c r="K128" s="85">
        <f>SUM('Defect (Total)'!K128,Planned!K128,Reconductor!K128,CTGS!K128)</f>
        <v>175205.44439869601</v>
      </c>
      <c r="L128" s="85">
        <f>SUM('Defect (Total)'!L128,Planned!L128,Reconductor!L128,CTGS!L128)</f>
        <v>292893.14275300608</v>
      </c>
      <c r="M128" s="85">
        <f>SUM('Defect (Total)'!M128,Planned!M128,Reconductor!M128,CTGS!M128)</f>
        <v>175121.57533152096</v>
      </c>
      <c r="N128" s="85">
        <f>SUM('Defect (Total)'!N128,Planned!N128,Reconductor!N128,CTGS!N128)</f>
        <v>186642.36813700796</v>
      </c>
      <c r="O128" s="560">
        <f>SUM('Defect (Total)'!O128,Planned!O128,Reconductor!O128,CTGS!O128)</f>
        <v>76664.101068390737</v>
      </c>
      <c r="P128" s="561">
        <f>SUM('Defect (Total)'!P128,Planned!P128,Reconductor!P128,CTGS!P128)</f>
        <v>105232.58811790432</v>
      </c>
      <c r="Q128" s="561">
        <f>SUM('Defect (Total)'!Q128,Planned!Q128,Reconductor!Q128,CTGS!Q128)</f>
        <v>167074.74793376596</v>
      </c>
      <c r="R128" s="561">
        <f>SUM('Defect (Total)'!R128,Planned!R128,Reconductor!R128,CTGS!R128)</f>
        <v>92093.203448911649</v>
      </c>
      <c r="S128" s="561">
        <f>SUM('Defect (Total)'!S128,Planned!S128,Reconductor!S128,CTGS!S128)</f>
        <v>96897.826890291879</v>
      </c>
      <c r="T128" s="561">
        <f>SUM('Defect (Total)'!T128,Planned!T128,Reconductor!T128,CTGS!T128)</f>
        <v>134280.54711211415</v>
      </c>
      <c r="U128" s="561">
        <f>SUM('Defect (Total)'!U128,Planned!U128,Reconductor!U128,CTGS!U128)</f>
        <v>3394983.5842513586</v>
      </c>
      <c r="V128" s="561">
        <f>SUM('Defect (Total)'!V128,Planned!V128,Reconductor!V128,CTGS!V128)</f>
        <v>210134.18972460763</v>
      </c>
      <c r="W128" s="561">
        <f>SUM('Defect (Total)'!W128,Planned!W128,Reconductor!W128,CTGS!W128)</f>
        <v>330947.93864051951</v>
      </c>
      <c r="X128" s="561">
        <f>SUM('Defect (Total)'!X128,Planned!X128,Reconductor!X128,CTGS!X128)</f>
        <v>186234.95268076588</v>
      </c>
      <c r="Y128" s="561">
        <f>SUM('Defect (Total)'!Y128,Planned!Y128,Reconductor!Y128,CTGS!Y128)</f>
        <v>191774.74943671905</v>
      </c>
      <c r="Z128" s="86">
        <f>SUM('Defect (Total)'!Z128,Planned!Z128,Reconductor!Z128,CTGS!Z128)</f>
        <v>8</v>
      </c>
      <c r="AA128" s="87">
        <f>SUM('Defect (Total)'!AA128,Planned!AA128,Reconductor!AA128,CTGS!AA128)</f>
        <v>14</v>
      </c>
      <c r="AB128" s="87">
        <f>SUM('Defect (Total)'!AB128,Planned!AB128,Reconductor!AB128,CTGS!AB128)</f>
        <v>23</v>
      </c>
      <c r="AC128" s="87">
        <f>SUM('Defect (Total)'!AC128,Planned!AC128,Reconductor!AC128,CTGS!AC128)</f>
        <v>12</v>
      </c>
      <c r="AD128" s="87">
        <f>SUM('Defect (Total)'!AD128,Planned!AD128,Reconductor!AD128,CTGS!AD128)</f>
        <v>13</v>
      </c>
      <c r="AE128" s="87">
        <f>SUM('Defect (Total)'!AE128,Planned!AE128,Reconductor!AE128,CTGS!AE128)</f>
        <v>19</v>
      </c>
      <c r="AF128" s="87">
        <f>SUM('Defect (Total)'!AF128,Planned!AF128,Reconductor!AF128,CTGS!AF128)</f>
        <v>15</v>
      </c>
      <c r="AG128" s="87">
        <f>SUM('Defect (Total)'!AG128,Planned!AG128,Reconductor!AG128,CTGS!AG128)</f>
        <v>0</v>
      </c>
      <c r="AH128" s="87">
        <f>SUM('Defect (Total)'!AH128,Planned!AH128,Reconductor!AH128,CTGS!AH128)</f>
        <v>31</v>
      </c>
      <c r="AI128" s="87">
        <f>SUM('Defect (Total)'!AI128,Planned!AI128,Reconductor!AI128,CTGS!AI128)</f>
        <v>26</v>
      </c>
      <c r="AJ128" s="87">
        <f>SUM('Defect (Total)'!AJ128,Planned!AJ128,Reconductor!AJ128,CTGS!AJ128)</f>
        <v>26</v>
      </c>
      <c r="AK128" s="88">
        <f t="shared" si="43"/>
        <v>15.6</v>
      </c>
      <c r="AL128" s="89">
        <f t="shared" si="48"/>
        <v>15.333333333333334</v>
      </c>
      <c r="AM128" s="90">
        <f t="shared" si="44"/>
        <v>31</v>
      </c>
      <c r="AN128" s="91">
        <f t="shared" si="49"/>
        <v>7122.5</v>
      </c>
      <c r="AO128" s="92">
        <f t="shared" si="50"/>
        <v>5671.0714285714284</v>
      </c>
      <c r="AP128" s="92">
        <f t="shared" si="51"/>
        <v>5536.652173913043</v>
      </c>
      <c r="AQ128" s="92">
        <f t="shared" si="52"/>
        <v>5962.5</v>
      </c>
      <c r="AR128" s="92">
        <f t="shared" si="53"/>
        <v>5911.3076923076924</v>
      </c>
      <c r="AS128" s="92">
        <f t="shared" si="54"/>
        <v>5694.2407671788415</v>
      </c>
      <c r="AT128" s="92">
        <f t="shared" si="55"/>
        <v>181721.73775195281</v>
      </c>
      <c r="AU128" s="92" t="str">
        <f t="shared" si="56"/>
        <v/>
      </c>
      <c r="AV128" s="92">
        <f t="shared" si="57"/>
        <v>9448.1658952582602</v>
      </c>
      <c r="AW128" s="92">
        <f t="shared" si="60"/>
        <v>6735.4452050584987</v>
      </c>
      <c r="AX128" s="92">
        <f t="shared" si="60"/>
        <v>7178.5526206541526</v>
      </c>
      <c r="AY128" s="93">
        <f t="shared" si="59"/>
        <v>43320.028564197331</v>
      </c>
      <c r="AZ128" s="94">
        <f t="shared" si="41"/>
        <v>69433.144639804217</v>
      </c>
      <c r="BA128" s="95">
        <f t="shared" si="42"/>
        <v>9448.1658952582602</v>
      </c>
      <c r="BB128" s="689">
        <f>SUM('Defect (Total)'!BB128*$BL$3,Planned!CE128,Reconductor!CE128,CTGS!CE128,'Substation 2025$'!CE128*$BL$1,Comms!CA128*$BL$2)</f>
        <v>0</v>
      </c>
      <c r="BC128" s="689">
        <f>SUM('Defect (Total)'!BC128*$BL$3,Planned!CF128,Reconductor!CF128,CTGS!CF128,'Substation 2025$'!CF128*$BL$1,Comms!CB128*$BL$2)</f>
        <v>20</v>
      </c>
      <c r="BD128" s="96">
        <f>SUM('Defect (Total)'!BD128*$BL$3,Planned!CG128,Reconductor!CG128,CTGS!CG128,'Substation 2025$'!CG128*$BL$1,Comms!CC128*$BL$2)</f>
        <v>25</v>
      </c>
      <c r="BE128" s="96">
        <f>SUM('Defect (Total)'!BE128*$BL$3,Planned!CH128,Reconductor!CH128,CTGS!CH128,'Substation 2025$'!CH128*$BL$1,Comms!CD128*$BL$2)</f>
        <v>15</v>
      </c>
      <c r="BF128" s="96">
        <f>SUM('Defect (Total)'!BF128*$BL$3,Planned!CI128,Reconductor!CI128,CTGS!CI128,'Substation 2025$'!CI128*$BL$1,Comms!CE128*$BL$2)</f>
        <v>99</v>
      </c>
      <c r="BG128" s="96">
        <f>SUM('Defect (Total)'!BG128*$BL$3,Planned!CJ128,Reconductor!CJ128,CTGS!CJ128,'Substation 2025$'!CJ128*$BL$1,Comms!CF128*$BL$2)</f>
        <v>23</v>
      </c>
      <c r="BH128" s="96">
        <f>SUM('Defect (Total)'!BH128*$BL$3,Planned!CK128,Reconductor!CK128,CTGS!CK128,'Substation 2025$'!CK128*$BL$1,Comms!CG128*$BL$2)</f>
        <v>96</v>
      </c>
      <c r="BI128" s="286">
        <f>SUM('Defect (Total)'!BI128*$BL$3,Planned!CL128,Reconductor!CL128,CTGS!CL128,'Substation 2025$'!CL128*$BL$1,Comms!CH128*$BL$2)</f>
        <v>16</v>
      </c>
      <c r="BJ128" s="99">
        <f t="shared" si="47"/>
        <v>67764.167345818176</v>
      </c>
      <c r="BK128" s="743"/>
      <c r="BL128" s="97"/>
      <c r="BM128" s="524"/>
      <c r="BN128" s="416">
        <f>'Distribution Summary'!CI128+'Substation 2025$'!CT128</f>
        <v>3819438.0468998831</v>
      </c>
      <c r="BO128" s="97">
        <f>'Distribution Summary'!CJ128+'Substation 2025$'!CU128</f>
        <v>3670705.9008712503</v>
      </c>
      <c r="BP128" s="97">
        <f>'Distribution Summary'!CK128+'Substation 2025$'!CV128</f>
        <v>4192393.8388391966</v>
      </c>
      <c r="BQ128" s="97">
        <f>'Distribution Summary'!CL128+'Substation 2025$'!CW128</f>
        <v>2231117.6216962887</v>
      </c>
      <c r="BR128" s="98">
        <f>'Distribution Summary'!CM128+'Substation 2025$'!CX128</f>
        <v>2959622.2608021041</v>
      </c>
    </row>
    <row r="129" spans="1:74" x14ac:dyDescent="0.25">
      <c r="A129" s="81" t="s">
        <v>258</v>
      </c>
      <c r="B129" s="82" t="s">
        <v>261</v>
      </c>
      <c r="C129" s="83" t="s">
        <v>402</v>
      </c>
      <c r="D129" s="84">
        <f>SUM('Defect (Total)'!D129,Planned!D129,Reconductor!D129,CTGS!D129)</f>
        <v>0</v>
      </c>
      <c r="E129" s="85">
        <f>SUM('Defect (Total)'!E129,Planned!E129,Reconductor!E129,CTGS!E129)</f>
        <v>0</v>
      </c>
      <c r="F129" s="85">
        <f>SUM('Defect (Total)'!F129,Planned!F129,Reconductor!F129,CTGS!F129)</f>
        <v>0</v>
      </c>
      <c r="G129" s="85">
        <f>SUM('Defect (Total)'!G129,Planned!G129,Reconductor!G129,CTGS!G129)</f>
        <v>0</v>
      </c>
      <c r="H129" s="85">
        <f>SUM('Defect (Total)'!H129,Planned!H129,Reconductor!H129,CTGS!H129)</f>
        <v>0</v>
      </c>
      <c r="I129" s="85">
        <f>SUM('Defect (Total)'!I129,Planned!I129,Reconductor!I129,CTGS!I129)</f>
        <v>0</v>
      </c>
      <c r="J129" s="85">
        <f>SUM('Defect (Total)'!J129,Planned!J129,Reconductor!J129,CTGS!J129)</f>
        <v>0</v>
      </c>
      <c r="K129" s="85">
        <f>SUM('Defect (Total)'!K129,Planned!K129,Reconductor!K129,CTGS!K129)</f>
        <v>0</v>
      </c>
      <c r="L129" s="85">
        <f>SUM('Defect (Total)'!L129,Planned!L129,Reconductor!L129,CTGS!L129)</f>
        <v>0</v>
      </c>
      <c r="M129" s="85">
        <f>SUM('Defect (Total)'!M129,Planned!M129,Reconductor!M129,CTGS!M129)</f>
        <v>0</v>
      </c>
      <c r="N129" s="85">
        <f>SUM('Defect (Total)'!N129,Planned!N129,Reconductor!N129,CTGS!N129)</f>
        <v>0</v>
      </c>
      <c r="O129" s="560">
        <f>SUM('Defect (Total)'!O129,Planned!O129,Reconductor!O129,CTGS!O129)</f>
        <v>0</v>
      </c>
      <c r="P129" s="561">
        <f>SUM('Defect (Total)'!P129,Planned!P129,Reconductor!P129,CTGS!P129)</f>
        <v>0</v>
      </c>
      <c r="Q129" s="561">
        <f>SUM('Defect (Total)'!Q129,Planned!Q129,Reconductor!Q129,CTGS!Q129)</f>
        <v>0</v>
      </c>
      <c r="R129" s="561">
        <f>SUM('Defect (Total)'!R129,Planned!R129,Reconductor!R129,CTGS!R129)</f>
        <v>0</v>
      </c>
      <c r="S129" s="561">
        <f>SUM('Defect (Total)'!S129,Planned!S129,Reconductor!S129,CTGS!S129)</f>
        <v>0</v>
      </c>
      <c r="T129" s="561">
        <f>SUM('Defect (Total)'!T129,Planned!T129,Reconductor!T129,CTGS!T129)</f>
        <v>0</v>
      </c>
      <c r="U129" s="561">
        <f>SUM('Defect (Total)'!U129,Planned!U129,Reconductor!U129,CTGS!U129)</f>
        <v>0</v>
      </c>
      <c r="V129" s="561">
        <f>SUM('Defect (Total)'!V129,Planned!V129,Reconductor!V129,CTGS!V129)</f>
        <v>0</v>
      </c>
      <c r="W129" s="561">
        <f>SUM('Defect (Total)'!W129,Planned!W129,Reconductor!W129,CTGS!W129)</f>
        <v>0</v>
      </c>
      <c r="X129" s="561">
        <f>SUM('Defect (Total)'!X129,Planned!X129,Reconductor!X129,CTGS!X129)</f>
        <v>0</v>
      </c>
      <c r="Y129" s="561">
        <f>SUM('Defect (Total)'!Y129,Planned!Y129,Reconductor!Y129,CTGS!Y129)</f>
        <v>0</v>
      </c>
      <c r="Z129" s="86">
        <f>SUM('Defect (Total)'!Z129,Planned!Z129,Reconductor!Z129,CTGS!Z129)</f>
        <v>0</v>
      </c>
      <c r="AA129" s="87">
        <f>SUM('Defect (Total)'!AA129,Planned!AA129,Reconductor!AA129,CTGS!AA129)</f>
        <v>0</v>
      </c>
      <c r="AB129" s="87">
        <f>SUM('Defect (Total)'!AB129,Planned!AB129,Reconductor!AB129,CTGS!AB129)</f>
        <v>0</v>
      </c>
      <c r="AC129" s="87">
        <f>SUM('Defect (Total)'!AC129,Planned!AC129,Reconductor!AC129,CTGS!AC129)</f>
        <v>0</v>
      </c>
      <c r="AD129" s="87">
        <f>SUM('Defect (Total)'!AD129,Planned!AD129,Reconductor!AD129,CTGS!AD129)</f>
        <v>0</v>
      </c>
      <c r="AE129" s="87">
        <f>SUM('Defect (Total)'!AE129,Planned!AE129,Reconductor!AE129,CTGS!AE129)</f>
        <v>0</v>
      </c>
      <c r="AF129" s="87">
        <f>SUM('Defect (Total)'!AF129,Planned!AF129,Reconductor!AF129,CTGS!AF129)</f>
        <v>0</v>
      </c>
      <c r="AG129" s="87">
        <f>SUM('Defect (Total)'!AG129,Planned!AG129,Reconductor!AG129,CTGS!AG129)</f>
        <v>0</v>
      </c>
      <c r="AH129" s="87">
        <f>SUM('Defect (Total)'!AH129,Planned!AH129,Reconductor!AH129,CTGS!AH129)</f>
        <v>0</v>
      </c>
      <c r="AI129" s="87">
        <f>SUM('Defect (Total)'!AI129,Planned!AI129,Reconductor!AI129,CTGS!AI129)</f>
        <v>0</v>
      </c>
      <c r="AJ129" s="87">
        <f>SUM('Defect (Total)'!AJ129,Planned!AJ129,Reconductor!AJ129,CTGS!AJ129)</f>
        <v>0</v>
      </c>
      <c r="AK129" s="88">
        <f t="shared" si="43"/>
        <v>0</v>
      </c>
      <c r="AL129" s="89">
        <f t="shared" si="48"/>
        <v>0</v>
      </c>
      <c r="AM129" s="90">
        <f t="shared" si="44"/>
        <v>0</v>
      </c>
      <c r="AN129" s="91" t="str">
        <f t="shared" si="49"/>
        <v/>
      </c>
      <c r="AO129" s="92" t="str">
        <f t="shared" si="50"/>
        <v/>
      </c>
      <c r="AP129" s="92" t="str">
        <f t="shared" si="51"/>
        <v/>
      </c>
      <c r="AQ129" s="92" t="str">
        <f t="shared" si="52"/>
        <v/>
      </c>
      <c r="AR129" s="92" t="str">
        <f t="shared" si="53"/>
        <v/>
      </c>
      <c r="AS129" s="92" t="str">
        <f t="shared" si="54"/>
        <v/>
      </c>
      <c r="AT129" s="92" t="str">
        <f t="shared" si="55"/>
        <v/>
      </c>
      <c r="AU129" s="92" t="str">
        <f t="shared" si="56"/>
        <v/>
      </c>
      <c r="AV129" s="92" t="str">
        <f t="shared" si="57"/>
        <v/>
      </c>
      <c r="AW129" s="92" t="str">
        <f t="shared" si="60"/>
        <v/>
      </c>
      <c r="AX129" s="92" t="str">
        <f t="shared" si="60"/>
        <v/>
      </c>
      <c r="AY129" s="93" t="str">
        <f t="shared" si="59"/>
        <v/>
      </c>
      <c r="AZ129" s="94" t="str">
        <f t="shared" si="41"/>
        <v/>
      </c>
      <c r="BA129" s="95" t="str">
        <f t="shared" si="42"/>
        <v/>
      </c>
      <c r="BB129" s="689">
        <f>SUM('Defect (Total)'!BB129*$BL$3,Planned!CE129,Reconductor!CE129,CTGS!CE129,'Substation 2025$'!CE129*$BL$1,Comms!CA129*$BL$2)</f>
        <v>0</v>
      </c>
      <c r="BC129" s="689">
        <f>SUM('Defect (Total)'!BC129*$BL$3,Planned!CF129,Reconductor!CF129,CTGS!CF129,'Substation 2025$'!CF129*$BL$1,Comms!CB129*$BL$2)</f>
        <v>0</v>
      </c>
      <c r="BD129" s="96">
        <f>SUM('Defect (Total)'!BD129*$BL$3,Planned!CG129,Reconductor!CG129,CTGS!CG129,'Substation 2025$'!CG129*$BL$1,Comms!CC129*$BL$2)</f>
        <v>0</v>
      </c>
      <c r="BE129" s="96">
        <f>SUM('Defect (Total)'!BE129*$BL$3,Planned!CH129,Reconductor!CH129,CTGS!CH129,'Substation 2025$'!CH129*$BL$1,Comms!CD129*$BL$2)</f>
        <v>0</v>
      </c>
      <c r="BF129" s="96">
        <f>SUM('Defect (Total)'!BF129*$BL$3,Planned!CI129,Reconductor!CI129,CTGS!CI129,'Substation 2025$'!CI129*$BL$1,Comms!CE129*$BL$2)</f>
        <v>0</v>
      </c>
      <c r="BG129" s="96">
        <f>SUM('Defect (Total)'!BG129*$BL$3,Planned!CJ129,Reconductor!CJ129,CTGS!CJ129,'Substation 2025$'!CJ129*$BL$1,Comms!CF129*$BL$2)</f>
        <v>0</v>
      </c>
      <c r="BH129" s="96">
        <f>SUM('Defect (Total)'!BH129*$BL$3,Planned!CK129,Reconductor!CK129,CTGS!CK129,'Substation 2025$'!CK129*$BL$1,Comms!CG129*$BL$2)</f>
        <v>0</v>
      </c>
      <c r="BI129" s="286">
        <f>SUM('Defect (Total)'!BI129*$BL$3,Planned!CL129,Reconductor!CL129,CTGS!CL129,'Substation 2025$'!CL129*$BL$1,Comms!CH129*$BL$2)</f>
        <v>0</v>
      </c>
      <c r="BJ129" s="99" t="str">
        <f t="shared" si="47"/>
        <v/>
      </c>
      <c r="BK129" s="743"/>
      <c r="BL129" s="97"/>
      <c r="BM129" s="524"/>
      <c r="BN129" s="416">
        <f>'Distribution Summary'!CI129+'Substation 2025$'!CT129</f>
        <v>0</v>
      </c>
      <c r="BO129" s="97">
        <f>'Distribution Summary'!CJ129+'Substation 2025$'!CU129</f>
        <v>0</v>
      </c>
      <c r="BP129" s="97">
        <f>'Distribution Summary'!CK129+'Substation 2025$'!CV129</f>
        <v>0</v>
      </c>
      <c r="BQ129" s="97">
        <f>'Distribution Summary'!CL129+'Substation 2025$'!CW129</f>
        <v>0</v>
      </c>
      <c r="BR129" s="98">
        <f>'Distribution Summary'!CM129+'Substation 2025$'!CX129</f>
        <v>0</v>
      </c>
    </row>
    <row r="130" spans="1:74" x14ac:dyDescent="0.25">
      <c r="A130" s="81" t="s">
        <v>258</v>
      </c>
      <c r="B130" s="82" t="s">
        <v>263</v>
      </c>
      <c r="C130" s="83" t="s">
        <v>403</v>
      </c>
      <c r="D130" s="84">
        <f>SUM('Defect (Total)'!D130,Planned!D130,Reconductor!D130,CTGS!D130)</f>
        <v>0</v>
      </c>
      <c r="E130" s="85">
        <f>SUM('Defect (Total)'!E130,Planned!E130,Reconductor!E130,CTGS!E130)</f>
        <v>0</v>
      </c>
      <c r="F130" s="85">
        <f>SUM('Defect (Total)'!F130,Planned!F130,Reconductor!F130,CTGS!F130)</f>
        <v>0</v>
      </c>
      <c r="G130" s="85">
        <f>SUM('Defect (Total)'!G130,Planned!G130,Reconductor!G130,CTGS!G130)</f>
        <v>0</v>
      </c>
      <c r="H130" s="85">
        <f>SUM('Defect (Total)'!H130,Planned!H130,Reconductor!H130,CTGS!H130)</f>
        <v>0</v>
      </c>
      <c r="I130" s="85">
        <f>SUM('Defect (Total)'!I130,Planned!I130,Reconductor!I130,CTGS!I130)</f>
        <v>0</v>
      </c>
      <c r="J130" s="85">
        <f>SUM('Defect (Total)'!J130,Planned!J130,Reconductor!J130,CTGS!J130)</f>
        <v>0</v>
      </c>
      <c r="K130" s="85">
        <f>SUM('Defect (Total)'!K130,Planned!K130,Reconductor!K130,CTGS!K130)</f>
        <v>0</v>
      </c>
      <c r="L130" s="85">
        <f>SUM('Defect (Total)'!L130,Planned!L130,Reconductor!L130,CTGS!L130)</f>
        <v>0</v>
      </c>
      <c r="M130" s="85">
        <f>SUM('Defect (Total)'!M130,Planned!M130,Reconductor!M130,CTGS!M130)</f>
        <v>0</v>
      </c>
      <c r="N130" s="85">
        <f>SUM('Defect (Total)'!N130,Planned!N130,Reconductor!N130,CTGS!N130)</f>
        <v>0</v>
      </c>
      <c r="O130" s="560">
        <f>SUM('Defect (Total)'!O130,Planned!O130,Reconductor!O130,CTGS!O130)</f>
        <v>0</v>
      </c>
      <c r="P130" s="561">
        <f>SUM('Defect (Total)'!P130,Planned!P130,Reconductor!P130,CTGS!P130)</f>
        <v>0</v>
      </c>
      <c r="Q130" s="561">
        <f>SUM('Defect (Total)'!Q130,Planned!Q130,Reconductor!Q130,CTGS!Q130)</f>
        <v>0</v>
      </c>
      <c r="R130" s="561">
        <f>SUM('Defect (Total)'!R130,Planned!R130,Reconductor!R130,CTGS!R130)</f>
        <v>0</v>
      </c>
      <c r="S130" s="561">
        <f>SUM('Defect (Total)'!S130,Planned!S130,Reconductor!S130,CTGS!S130)</f>
        <v>0</v>
      </c>
      <c r="T130" s="561">
        <f>SUM('Defect (Total)'!T130,Planned!T130,Reconductor!T130,CTGS!T130)</f>
        <v>0</v>
      </c>
      <c r="U130" s="561">
        <f>SUM('Defect (Total)'!U130,Planned!U130,Reconductor!U130,CTGS!U130)</f>
        <v>0</v>
      </c>
      <c r="V130" s="561">
        <f>SUM('Defect (Total)'!V130,Planned!V130,Reconductor!V130,CTGS!V130)</f>
        <v>0</v>
      </c>
      <c r="W130" s="561">
        <f>SUM('Defect (Total)'!W130,Planned!W130,Reconductor!W130,CTGS!W130)</f>
        <v>0</v>
      </c>
      <c r="X130" s="561">
        <f>SUM('Defect (Total)'!X130,Planned!X130,Reconductor!X130,CTGS!X130)</f>
        <v>0</v>
      </c>
      <c r="Y130" s="561">
        <f>SUM('Defect (Total)'!Y130,Planned!Y130,Reconductor!Y130,CTGS!Y130)</f>
        <v>0</v>
      </c>
      <c r="Z130" s="86">
        <f>SUM('Defect (Total)'!Z130,Planned!Z130,Reconductor!Z130,CTGS!Z130)</f>
        <v>0</v>
      </c>
      <c r="AA130" s="87">
        <f>SUM('Defect (Total)'!AA130,Planned!AA130,Reconductor!AA130,CTGS!AA130)</f>
        <v>0</v>
      </c>
      <c r="AB130" s="87">
        <f>SUM('Defect (Total)'!AB130,Planned!AB130,Reconductor!AB130,CTGS!AB130)</f>
        <v>0</v>
      </c>
      <c r="AC130" s="87">
        <f>SUM('Defect (Total)'!AC130,Planned!AC130,Reconductor!AC130,CTGS!AC130)</f>
        <v>0</v>
      </c>
      <c r="AD130" s="87">
        <f>SUM('Defect (Total)'!AD130,Planned!AD130,Reconductor!AD130,CTGS!AD130)</f>
        <v>0</v>
      </c>
      <c r="AE130" s="87">
        <f>SUM('Defect (Total)'!AE130,Planned!AE130,Reconductor!AE130,CTGS!AE130)</f>
        <v>0</v>
      </c>
      <c r="AF130" s="87">
        <f>SUM('Defect (Total)'!AF130,Planned!AF130,Reconductor!AF130,CTGS!AF130)</f>
        <v>0</v>
      </c>
      <c r="AG130" s="87">
        <f>SUM('Defect (Total)'!AG130,Planned!AG130,Reconductor!AG130,CTGS!AG130)</f>
        <v>0</v>
      </c>
      <c r="AH130" s="87">
        <f>SUM('Defect (Total)'!AH130,Planned!AH130,Reconductor!AH130,CTGS!AH130)</f>
        <v>0</v>
      </c>
      <c r="AI130" s="87">
        <f>SUM('Defect (Total)'!AI130,Planned!AI130,Reconductor!AI130,CTGS!AI130)</f>
        <v>0</v>
      </c>
      <c r="AJ130" s="87">
        <f>SUM('Defect (Total)'!AJ130,Planned!AJ130,Reconductor!AJ130,CTGS!AJ130)</f>
        <v>0</v>
      </c>
      <c r="AK130" s="88">
        <f t="shared" si="43"/>
        <v>0</v>
      </c>
      <c r="AL130" s="89">
        <f t="shared" si="48"/>
        <v>0</v>
      </c>
      <c r="AM130" s="90">
        <f t="shared" si="44"/>
        <v>0</v>
      </c>
      <c r="AN130" s="91" t="str">
        <f t="shared" si="49"/>
        <v/>
      </c>
      <c r="AO130" s="92" t="str">
        <f t="shared" si="50"/>
        <v/>
      </c>
      <c r="AP130" s="92" t="str">
        <f t="shared" si="51"/>
        <v/>
      </c>
      <c r="AQ130" s="92" t="str">
        <f t="shared" si="52"/>
        <v/>
      </c>
      <c r="AR130" s="92" t="str">
        <f t="shared" si="53"/>
        <v/>
      </c>
      <c r="AS130" s="92" t="str">
        <f t="shared" si="54"/>
        <v/>
      </c>
      <c r="AT130" s="92" t="str">
        <f t="shared" si="55"/>
        <v/>
      </c>
      <c r="AU130" s="92" t="str">
        <f t="shared" si="56"/>
        <v/>
      </c>
      <c r="AV130" s="92" t="str">
        <f t="shared" si="57"/>
        <v/>
      </c>
      <c r="AW130" s="92" t="str">
        <f t="shared" si="60"/>
        <v/>
      </c>
      <c r="AX130" s="92" t="str">
        <f t="shared" si="60"/>
        <v/>
      </c>
      <c r="AY130" s="93" t="str">
        <f t="shared" si="59"/>
        <v/>
      </c>
      <c r="AZ130" s="94" t="str">
        <f t="shared" si="41"/>
        <v/>
      </c>
      <c r="BA130" s="95" t="str">
        <f t="shared" si="42"/>
        <v/>
      </c>
      <c r="BB130" s="689">
        <f>SUM('Defect (Total)'!BB130*$BL$3,Planned!CE130,Reconductor!CE130,CTGS!CE130,'Substation 2025$'!CE130*$BL$1,Comms!CA130*$BL$2)</f>
        <v>0</v>
      </c>
      <c r="BC130" s="689">
        <f>SUM('Defect (Total)'!BC130*$BL$3,Planned!CF130,Reconductor!CF130,CTGS!CF130,'Substation 2025$'!CF130*$BL$1,Comms!CB130*$BL$2)</f>
        <v>0</v>
      </c>
      <c r="BD130" s="96">
        <f>SUM('Defect (Total)'!BD130*$BL$3,Planned!CG130,Reconductor!CG130,CTGS!CG130,'Substation 2025$'!CG130*$BL$1,Comms!CC130*$BL$2)</f>
        <v>0</v>
      </c>
      <c r="BE130" s="96">
        <f>SUM('Defect (Total)'!BE130*$BL$3,Planned!CH130,Reconductor!CH130,CTGS!CH130,'Substation 2025$'!CH130*$BL$1,Comms!CD130*$BL$2)</f>
        <v>0</v>
      </c>
      <c r="BF130" s="96">
        <f>SUM('Defect (Total)'!BF130*$BL$3,Planned!CI130,Reconductor!CI130,CTGS!CI130,'Substation 2025$'!CI130*$BL$1,Comms!CE130*$BL$2)</f>
        <v>1</v>
      </c>
      <c r="BG130" s="96">
        <f>SUM('Defect (Total)'!BG130*$BL$3,Planned!CJ130,Reconductor!CJ130,CTGS!CJ130,'Substation 2025$'!CJ130*$BL$1,Comms!CF130*$BL$2)</f>
        <v>0</v>
      </c>
      <c r="BH130" s="96">
        <f>SUM('Defect (Total)'!BH130*$BL$3,Planned!CK130,Reconductor!CK130,CTGS!CK130,'Substation 2025$'!CK130*$BL$1,Comms!CG130*$BL$2)</f>
        <v>1</v>
      </c>
      <c r="BI130" s="286">
        <f>SUM('Defect (Total)'!BI130*$BL$3,Planned!CL130,Reconductor!CL130,CTGS!CL130,'Substation 2025$'!CL130*$BL$1,Comms!CH130*$BL$2)</f>
        <v>0</v>
      </c>
      <c r="BJ130" s="99">
        <f t="shared" si="47"/>
        <v>3190150.2962820306</v>
      </c>
      <c r="BK130" s="743"/>
      <c r="BL130" s="97"/>
      <c r="BM130" s="524"/>
      <c r="BN130" s="416">
        <f>'Distribution Summary'!CI130+'Substation 2025$'!CT130</f>
        <v>3171752.4288309971</v>
      </c>
      <c r="BO130" s="97">
        <f>'Distribution Summary'!CJ130+'Substation 2025$'!CU130</f>
        <v>2238832.8489571149</v>
      </c>
      <c r="BP130" s="97">
        <f>'Distribution Summary'!CK130+'Substation 2025$'!CV130</f>
        <v>675370.70670926571</v>
      </c>
      <c r="BQ130" s="97">
        <f>'Distribution Summary'!CL130+'Substation 2025$'!CW130</f>
        <v>294344.60806668404</v>
      </c>
      <c r="BR130" s="98">
        <f>'Distribution Summary'!CM130+'Substation 2025$'!CX130</f>
        <v>0</v>
      </c>
    </row>
    <row r="131" spans="1:74" x14ac:dyDescent="0.25">
      <c r="A131" s="81" t="s">
        <v>258</v>
      </c>
      <c r="B131" s="82" t="s">
        <v>404</v>
      </c>
      <c r="C131" s="83" t="s">
        <v>405</v>
      </c>
      <c r="D131" s="84">
        <f>SUM('Defect (Total)'!D131,Planned!D131,Reconductor!D131,CTGS!D131)</f>
        <v>52394</v>
      </c>
      <c r="E131" s="85">
        <f>SUM('Defect (Total)'!E131,Planned!E131,Reconductor!E131,CTGS!E131)</f>
        <v>33586</v>
      </c>
      <c r="F131" s="85">
        <f>SUM('Defect (Total)'!F131,Planned!F131,Reconductor!F131,CTGS!F131)</f>
        <v>0</v>
      </c>
      <c r="G131" s="85">
        <f>SUM('Defect (Total)'!G131,Planned!G131,Reconductor!G131,CTGS!G131)</f>
        <v>181427</v>
      </c>
      <c r="H131" s="85">
        <f>SUM('Defect (Total)'!H131,Planned!H131,Reconductor!H131,CTGS!H131)</f>
        <v>411969</v>
      </c>
      <c r="I131" s="85">
        <f>SUM('Defect (Total)'!I131,Planned!I131,Reconductor!I131,CTGS!I131)</f>
        <v>0</v>
      </c>
      <c r="J131" s="85">
        <f>SUM('Defect (Total)'!J131,Planned!J131,Reconductor!J131,CTGS!J131)</f>
        <v>3402491.1146438019</v>
      </c>
      <c r="K131" s="85">
        <f>SUM('Defect (Total)'!K131,Planned!K131,Reconductor!K131,CTGS!K131)</f>
        <v>0</v>
      </c>
      <c r="L131" s="85">
        <f>SUM('Defect (Total)'!L131,Planned!L131,Reconductor!L131,CTGS!L131)</f>
        <v>0</v>
      </c>
      <c r="M131" s="85">
        <f>SUM('Defect (Total)'!M131,Planned!M131,Reconductor!M131,CTGS!M131)</f>
        <v>11845.6</v>
      </c>
      <c r="N131" s="85">
        <f>SUM('Defect (Total)'!N131,Planned!N131,Reconductor!N131,CTGS!N131)</f>
        <v>10162872.439999998</v>
      </c>
      <c r="O131" s="560">
        <f>SUM('Defect (Total)'!O131,Planned!O131,Reconductor!O131,CTGS!O131)</f>
        <v>70493.838388509379</v>
      </c>
      <c r="P131" s="561">
        <f>SUM('Defect (Total)'!P131,Planned!P131,Reconductor!P131,CTGS!P131)</f>
        <v>44515.922974090747</v>
      </c>
      <c r="Q131" s="561">
        <f>SUM('Defect (Total)'!Q131,Planned!Q131,Reconductor!Q131,CTGS!Q131)</f>
        <v>0</v>
      </c>
      <c r="R131" s="561">
        <f>SUM('Defect (Total)'!R131,Planned!R131,Reconductor!R131,CTGS!R131)</f>
        <v>233517.73056779447</v>
      </c>
      <c r="S131" s="561">
        <f>SUM('Defect (Total)'!S131,Planned!S131,Reconductor!S131,CTGS!S131)</f>
        <v>519459.45640254859</v>
      </c>
      <c r="T131" s="561">
        <f>SUM('Defect (Total)'!T131,Planned!T131,Reconductor!T131,CTGS!T131)</f>
        <v>0</v>
      </c>
      <c r="U131" s="561">
        <f>SUM('Defect (Total)'!U131,Planned!U131,Reconductor!U131,CTGS!U131)</f>
        <v>4237761.7642875835</v>
      </c>
      <c r="V131" s="561">
        <f>SUM('Defect (Total)'!V131,Planned!V131,Reconductor!V131,CTGS!V131)</f>
        <v>0</v>
      </c>
      <c r="W131" s="561">
        <f>SUM('Defect (Total)'!W131,Planned!W131,Reconductor!W131,CTGS!W131)</f>
        <v>0</v>
      </c>
      <c r="X131" s="561">
        <f>SUM('Defect (Total)'!X131,Planned!X131,Reconductor!X131,CTGS!X131)</f>
        <v>12597.332746116523</v>
      </c>
      <c r="Y131" s="561">
        <f>SUM('Defect (Total)'!Y131,Planned!Y131,Reconductor!Y131,CTGS!Y131)</f>
        <v>10442335.977582829</v>
      </c>
      <c r="Z131" s="86">
        <f>SUM('Defect (Total)'!Z131,Planned!Z131,Reconductor!Z131,CTGS!Z131)</f>
        <v>2</v>
      </c>
      <c r="AA131" s="87">
        <f>SUM('Defect (Total)'!AA131,Planned!AA131,Reconductor!AA131,CTGS!AA131)</f>
        <v>1</v>
      </c>
      <c r="AB131" s="87">
        <f>SUM('Defect (Total)'!AB131,Planned!AB131,Reconductor!AB131,CTGS!AB131)</f>
        <v>0</v>
      </c>
      <c r="AC131" s="87">
        <f>SUM('Defect (Total)'!AC131,Planned!AC131,Reconductor!AC131,CTGS!AC131)</f>
        <v>5</v>
      </c>
      <c r="AD131" s="87">
        <f>SUM('Defect (Total)'!AD131,Planned!AD131,Reconductor!AD131,CTGS!AD131)</f>
        <v>12</v>
      </c>
      <c r="AE131" s="87">
        <f>SUM('Defect (Total)'!AE131,Planned!AE131,Reconductor!AE131,CTGS!AE131)</f>
        <v>0</v>
      </c>
      <c r="AF131" s="87">
        <f>SUM('Defect (Total)'!AF131,Planned!AF131,Reconductor!AF131,CTGS!AF131)</f>
        <v>0</v>
      </c>
      <c r="AG131" s="87">
        <f>SUM('Defect (Total)'!AG131,Planned!AG131,Reconductor!AG131,CTGS!AG131)</f>
        <v>2</v>
      </c>
      <c r="AH131" s="87">
        <f>SUM('Defect (Total)'!AH131,Planned!AH131,Reconductor!AH131,CTGS!AH131)</f>
        <v>0</v>
      </c>
      <c r="AI131" s="87">
        <f>SUM('Defect (Total)'!AI131,Planned!AI131,Reconductor!AI131,CTGS!AI131)</f>
        <v>2</v>
      </c>
      <c r="AJ131" s="87">
        <f>SUM('Defect (Total)'!AJ131,Planned!AJ131,Reconductor!AJ131,CTGS!AJ131)</f>
        <v>0</v>
      </c>
      <c r="AK131" s="88">
        <f t="shared" si="43"/>
        <v>2.8</v>
      </c>
      <c r="AL131" s="89">
        <f t="shared" si="48"/>
        <v>0.66666666666666663</v>
      </c>
      <c r="AM131" s="90">
        <f t="shared" si="44"/>
        <v>0</v>
      </c>
      <c r="AN131" s="91">
        <f t="shared" si="49"/>
        <v>26197</v>
      </c>
      <c r="AO131" s="92">
        <f t="shared" si="50"/>
        <v>33586</v>
      </c>
      <c r="AP131" s="92" t="str">
        <f t="shared" si="51"/>
        <v/>
      </c>
      <c r="AQ131" s="92">
        <f t="shared" si="52"/>
        <v>36285.4</v>
      </c>
      <c r="AR131" s="92">
        <f t="shared" si="53"/>
        <v>34330.75</v>
      </c>
      <c r="AS131" s="92" t="str">
        <f t="shared" si="54"/>
        <v/>
      </c>
      <c r="AT131" s="92" t="str">
        <f t="shared" si="55"/>
        <v/>
      </c>
      <c r="AU131" s="92">
        <f t="shared" si="56"/>
        <v>0</v>
      </c>
      <c r="AV131" s="92" t="str">
        <f t="shared" si="57"/>
        <v/>
      </c>
      <c r="AW131" s="92">
        <f t="shared" si="60"/>
        <v>5922.8</v>
      </c>
      <c r="AX131" s="92" t="str">
        <f t="shared" si="60"/>
        <v/>
      </c>
      <c r="AY131" s="93">
        <f t="shared" si="59"/>
        <v>272461.43676027155</v>
      </c>
      <c r="AZ131" s="94">
        <f t="shared" si="41"/>
        <v>1701245.557321901</v>
      </c>
      <c r="BA131" s="95" t="str">
        <f t="shared" si="42"/>
        <v/>
      </c>
      <c r="BB131" s="689">
        <f>SUM('Defect (Total)'!BB131*$BL$3,Planned!CE131,Reconductor!CE131,CTGS!CE131,'Substation 2025$'!CE131*$BL$1,Comms!CA131*$BL$2)</f>
        <v>0</v>
      </c>
      <c r="BC131" s="689">
        <f>SUM('Defect (Total)'!BC131*$BL$3,Planned!CF131,Reconductor!CF131,CTGS!CF131,'Substation 2025$'!CF131*$BL$1,Comms!CB131*$BL$2)</f>
        <v>0</v>
      </c>
      <c r="BD131" s="96">
        <f>SUM('Defect (Total)'!BD131*$BL$3,Planned!CG131,Reconductor!CG131,CTGS!CG131,'Substation 2025$'!CG131*$BL$1,Comms!CC131*$BL$2)</f>
        <v>0</v>
      </c>
      <c r="BE131" s="96">
        <f>SUM('Defect (Total)'!BE131*$BL$3,Planned!CH131,Reconductor!CH131,CTGS!CH131,'Substation 2025$'!CH131*$BL$1,Comms!CD131*$BL$2)</f>
        <v>0</v>
      </c>
      <c r="BF131" s="96">
        <f>SUM('Defect (Total)'!BF131*$BL$3,Planned!CI131,Reconductor!CI131,CTGS!CI131,'Substation 2025$'!CI131*$BL$1,Comms!CE131*$BL$2)</f>
        <v>0</v>
      </c>
      <c r="BG131" s="96">
        <f>SUM('Defect (Total)'!BG131*$BL$3,Planned!CJ131,Reconductor!CJ131,CTGS!CJ131,'Substation 2025$'!CJ131*$BL$1,Comms!CF131*$BL$2)</f>
        <v>0</v>
      </c>
      <c r="BH131" s="96">
        <f>SUM('Defect (Total)'!BH131*$BL$3,Planned!CK131,Reconductor!CK131,CTGS!CK131,'Substation 2025$'!CK131*$BL$1,Comms!CG131*$BL$2)</f>
        <v>0</v>
      </c>
      <c r="BI131" s="286">
        <f>SUM('Defect (Total)'!BI131*$BL$3,Planned!CL131,Reconductor!CL131,CTGS!CL131,'Substation 2025$'!CL131*$BL$1,Comms!CH131*$BL$2)</f>
        <v>0</v>
      </c>
      <c r="BJ131" s="99" t="str">
        <f t="shared" si="47"/>
        <v/>
      </c>
      <c r="BK131" s="743"/>
      <c r="BL131" s="97"/>
      <c r="BM131" s="524"/>
      <c r="BN131" s="416">
        <f>'Distribution Summary'!CI131+'Substation 2025$'!CT131</f>
        <v>0</v>
      </c>
      <c r="BO131" s="97">
        <f>'Distribution Summary'!CJ131+'Substation 2025$'!CU131</f>
        <v>0</v>
      </c>
      <c r="BP131" s="97">
        <f>'Distribution Summary'!CK131+'Substation 2025$'!CV131</f>
        <v>0</v>
      </c>
      <c r="BQ131" s="97">
        <f>'Distribution Summary'!CL131+'Substation 2025$'!CW131</f>
        <v>0</v>
      </c>
      <c r="BR131" s="98">
        <f>'Distribution Summary'!CM131+'Substation 2025$'!CX131</f>
        <v>0</v>
      </c>
    </row>
    <row r="132" spans="1:74" ht="15.75" thickBot="1" x14ac:dyDescent="0.3">
      <c r="A132" s="100" t="s">
        <v>258</v>
      </c>
      <c r="B132" s="101" t="s">
        <v>265</v>
      </c>
      <c r="C132" s="159" t="s">
        <v>406</v>
      </c>
      <c r="D132" s="103">
        <f>SUM('Defect (Total)'!D132,Planned!D132,Reconductor!D132,CTGS!D132)</f>
        <v>0</v>
      </c>
      <c r="E132" s="104">
        <f>SUM('Defect (Total)'!E132,Planned!E132,Reconductor!E132,CTGS!E132)</f>
        <v>0</v>
      </c>
      <c r="F132" s="104">
        <f>SUM('Defect (Total)'!F132,Planned!F132,Reconductor!F132,CTGS!F132)</f>
        <v>0</v>
      </c>
      <c r="G132" s="104">
        <f>SUM('Defect (Total)'!G132,Planned!G132,Reconductor!G132,CTGS!G132)</f>
        <v>0</v>
      </c>
      <c r="H132" s="104">
        <f>SUM('Defect (Total)'!H132,Planned!H132,Reconductor!H132,CTGS!H132)</f>
        <v>0</v>
      </c>
      <c r="I132" s="104">
        <f>SUM('Defect (Total)'!I132,Planned!I132,Reconductor!I132,CTGS!I132)</f>
        <v>52101.720000000008</v>
      </c>
      <c r="J132" s="104">
        <f>SUM('Defect (Total)'!J132,Planned!J132,Reconductor!J132,CTGS!J132)</f>
        <v>64920.800000000003</v>
      </c>
      <c r="K132" s="104">
        <f>SUM('Defect (Total)'!K132,Planned!K132,Reconductor!K132,CTGS!K132)</f>
        <v>2890023.14</v>
      </c>
      <c r="L132" s="104">
        <f>SUM('Defect (Total)'!L132,Planned!L132,Reconductor!L132,CTGS!L132)</f>
        <v>252283.24000000017</v>
      </c>
      <c r="M132" s="104">
        <f>SUM('Defect (Total)'!M132,Planned!M132,Reconductor!M132,CTGS!M132)</f>
        <v>7156709.8999999985</v>
      </c>
      <c r="N132" s="104">
        <f>SUM('Defect (Total)'!N132,Planned!N132,Reconductor!N132,CTGS!N132)</f>
        <v>104299.29999999999</v>
      </c>
      <c r="O132" s="563">
        <f>SUM('Defect (Total)'!O132,Planned!O132,Reconductor!O132,CTGS!O132)</f>
        <v>0</v>
      </c>
      <c r="P132" s="564">
        <f>SUM('Defect (Total)'!P132,Planned!P132,Reconductor!P132,CTGS!P132)</f>
        <v>0</v>
      </c>
      <c r="Q132" s="564">
        <f>SUM('Defect (Total)'!Q132,Planned!Q132,Reconductor!Q132,CTGS!Q132)</f>
        <v>0</v>
      </c>
      <c r="R132" s="564">
        <f>SUM('Defect (Total)'!R132,Planned!R132,Reconductor!R132,CTGS!R132)</f>
        <v>0</v>
      </c>
      <c r="S132" s="564">
        <f>SUM('Defect (Total)'!S132,Planned!S132,Reconductor!S132,CTGS!S132)</f>
        <v>0</v>
      </c>
      <c r="T132" s="564">
        <f>SUM('Defect (Total)'!T132,Planned!T132,Reconductor!T132,CTGS!T132)</f>
        <v>64665.960916418182</v>
      </c>
      <c r="U132" s="564">
        <f>SUM('Defect (Total)'!U132,Planned!U132,Reconductor!U132,CTGS!U132)</f>
        <v>80858.075650188097</v>
      </c>
      <c r="V132" s="564">
        <f>SUM('Defect (Total)'!V132,Planned!V132,Reconductor!V132,CTGS!V132)</f>
        <v>3466174.655094143</v>
      </c>
      <c r="W132" s="564">
        <f>SUM('Defect (Total)'!W132,Planned!W132,Reconductor!W132,CTGS!W132)</f>
        <v>285061.70355090906</v>
      </c>
      <c r="X132" s="564">
        <f>SUM('Defect (Total)'!X132,Planned!X132,Reconductor!X132,CTGS!X132)</f>
        <v>7610881.338026464</v>
      </c>
      <c r="Y132" s="564">
        <f>SUM('Defect (Total)'!Y132,Planned!Y132,Reconductor!Y132,CTGS!Y132)</f>
        <v>107167.37214372681</v>
      </c>
      <c r="Z132" s="105">
        <f>SUM('Defect (Total)'!Z132,Planned!Z132,Reconductor!Z132,CTGS!Z132)</f>
        <v>0</v>
      </c>
      <c r="AA132" s="106">
        <f>SUM('Defect (Total)'!AA132,Planned!AA132,Reconductor!AA132,CTGS!AA132)</f>
        <v>0</v>
      </c>
      <c r="AB132" s="106">
        <f>SUM('Defect (Total)'!AB132,Planned!AB132,Reconductor!AB132,CTGS!AB132)</f>
        <v>0</v>
      </c>
      <c r="AC132" s="106">
        <f>SUM('Defect (Total)'!AC132,Planned!AC132,Reconductor!AC132,CTGS!AC132)</f>
        <v>0</v>
      </c>
      <c r="AD132" s="106">
        <f>SUM('Defect (Total)'!AD132,Planned!AD132,Reconductor!AD132,CTGS!AD132)</f>
        <v>0</v>
      </c>
      <c r="AE132" s="106">
        <f>SUM('Defect (Total)'!AE132,Planned!AE132,Reconductor!AE132,CTGS!AE132)</f>
        <v>1146</v>
      </c>
      <c r="AF132" s="106">
        <f>SUM('Defect (Total)'!AF132,Planned!AF132,Reconductor!AF132,CTGS!AF132)</f>
        <v>1075</v>
      </c>
      <c r="AG132" s="106">
        <f>SUM('Defect (Total)'!AG132,Planned!AG132,Reconductor!AG132,CTGS!AG132)</f>
        <v>1262</v>
      </c>
      <c r="AH132" s="106">
        <f>SUM('Defect (Total)'!AH132,Planned!AH132,Reconductor!AH132,CTGS!AH132)</f>
        <v>1077</v>
      </c>
      <c r="AI132" s="106">
        <f>SUM('Defect (Total)'!AI132,Planned!AI132,Reconductor!AI132,CTGS!AI132)</f>
        <v>1451</v>
      </c>
      <c r="AJ132" s="106">
        <f>SUM('Defect (Total)'!AJ132,Planned!AJ132,Reconductor!AJ132,CTGS!AJ132)</f>
        <v>1057.1666666670001</v>
      </c>
      <c r="AK132" s="107">
        <f t="shared" si="43"/>
        <v>912</v>
      </c>
      <c r="AL132" s="108">
        <f t="shared" si="48"/>
        <v>1138</v>
      </c>
      <c r="AM132" s="109">
        <f t="shared" si="44"/>
        <v>1077</v>
      </c>
      <c r="AN132" s="110" t="str">
        <f t="shared" si="49"/>
        <v/>
      </c>
      <c r="AO132" s="111" t="str">
        <f t="shared" si="50"/>
        <v/>
      </c>
      <c r="AP132" s="111" t="str">
        <f t="shared" si="51"/>
        <v/>
      </c>
      <c r="AQ132" s="111" t="str">
        <f t="shared" si="52"/>
        <v/>
      </c>
      <c r="AR132" s="111" t="str">
        <f t="shared" si="53"/>
        <v/>
      </c>
      <c r="AS132" s="111">
        <f t="shared" si="54"/>
        <v>45.463979057591629</v>
      </c>
      <c r="AT132" s="111">
        <f t="shared" si="55"/>
        <v>60.391441860465122</v>
      </c>
      <c r="AU132" s="111">
        <f t="shared" si="56"/>
        <v>2290.0341838351824</v>
      </c>
      <c r="AV132" s="111">
        <f t="shared" si="57"/>
        <v>234.24627669452198</v>
      </c>
      <c r="AW132" s="111">
        <f t="shared" si="60"/>
        <v>4932.2604410751192</v>
      </c>
      <c r="AX132" s="111">
        <f t="shared" si="60"/>
        <v>98.659277944159314</v>
      </c>
      <c r="AY132" s="112">
        <f t="shared" si="59"/>
        <v>714.76510964912291</v>
      </c>
      <c r="AZ132" s="113">
        <f t="shared" si="41"/>
        <v>939.4338547158759</v>
      </c>
      <c r="BA132" s="114">
        <f t="shared" si="42"/>
        <v>234.24627669452198</v>
      </c>
      <c r="BB132" s="690">
        <f>SUM('Defect (Total)'!BB132*$BL$3,Planned!CE132,Reconductor!CE132,CTGS!CE132,'Substation 2025$'!CE132*$BL$1,Comms!CA132*$BL$2)</f>
        <v>0</v>
      </c>
      <c r="BC132" s="690">
        <f>SUM('Defect (Total)'!BC132*$BL$3,Planned!CF132,Reconductor!CF132,CTGS!CF132,'Substation 2025$'!CF132*$BL$1,Comms!CB132*$BL$2)</f>
        <v>0</v>
      </c>
      <c r="BD132" s="115">
        <f>SUM('Defect (Total)'!BD132*$BL$3,Planned!CG132,Reconductor!CG132,CTGS!CG132,'Substation 2025$'!CG132*$BL$1,Comms!CC132*$BL$2)</f>
        <v>0</v>
      </c>
      <c r="BE132" s="115">
        <f>SUM('Defect (Total)'!BE132*$BL$3,Planned!CH132,Reconductor!CH132,CTGS!CH132,'Substation 2025$'!CH132*$BL$1,Comms!CD132*$BL$2)</f>
        <v>0</v>
      </c>
      <c r="BF132" s="115">
        <f>SUM('Defect (Total)'!BF132*$BL$3,Planned!CI132,Reconductor!CI132,CTGS!CI132,'Substation 2025$'!CI132*$BL$1,Comms!CE132*$BL$2)</f>
        <v>26.085065208566085</v>
      </c>
      <c r="BG132" s="115">
        <f>SUM('Defect (Total)'!BG132*$BL$3,Planned!CJ132,Reconductor!CJ132,CTGS!CJ132,'Substation 2025$'!CJ132*$BL$1,Comms!CF132*$BL$2)</f>
        <v>45.845069305522095</v>
      </c>
      <c r="BH132" s="115">
        <f>SUM('Defect (Total)'!BH132*$BL$3,Planned!CK132,Reconductor!CK132,CTGS!CK132,'Substation 2025$'!CK132*$BL$1,Comms!CG132*$BL$2)</f>
        <v>169.8762281855621</v>
      </c>
      <c r="BI132" s="287">
        <f>SUM('Defect (Total)'!BI132*$BL$3,Planned!CL132,Reconductor!CL132,CTGS!CL132,'Substation 2025$'!CL132*$BL$1,Comms!CH132*$BL$2)</f>
        <v>412.92522796535678</v>
      </c>
      <c r="BJ132" s="116">
        <f t="shared" si="47"/>
        <v>161921.86221337243</v>
      </c>
      <c r="BK132" s="744"/>
      <c r="BL132" s="117"/>
      <c r="BM132" s="638"/>
      <c r="BN132" s="467">
        <f>'Distribution Summary'!CI132+'Substation 2025$'!CT132</f>
        <v>17061068.413156822</v>
      </c>
      <c r="BO132" s="117">
        <f>'Distribution Summary'!CJ132+'Substation 2025$'!CU132</f>
        <v>16425807.932420468</v>
      </c>
      <c r="BP132" s="117">
        <f>'Distribution Summary'!CK132+'Substation 2025$'!CV132</f>
        <v>16222074.732034843</v>
      </c>
      <c r="BQ132" s="117">
        <f>'Distribution Summary'!CL132+'Substation 2025$'!CW132</f>
        <v>26317439.250652581</v>
      </c>
      <c r="BR132" s="118">
        <f>'Distribution Summary'!CM132+'Substation 2025$'!CX132</f>
        <v>29988968.082136706</v>
      </c>
    </row>
    <row r="133" spans="1:74" ht="15.75" thickBot="1" x14ac:dyDescent="0.3">
      <c r="A133" s="19"/>
      <c r="B133" s="19"/>
      <c r="C133" s="160" t="s">
        <v>407</v>
      </c>
      <c r="D133" s="336">
        <f>SUM(D7:D132)</f>
        <v>95141198</v>
      </c>
      <c r="E133" s="337">
        <f t="shared" ref="E133:L133" si="61">SUM(E7:E132)</f>
        <v>147041615</v>
      </c>
      <c r="F133" s="337">
        <f t="shared" si="61"/>
        <v>141620382</v>
      </c>
      <c r="G133" s="337">
        <f t="shared" si="61"/>
        <v>137594919.00000003</v>
      </c>
      <c r="H133" s="337">
        <f t="shared" si="61"/>
        <v>165761807</v>
      </c>
      <c r="I133" s="337">
        <f t="shared" si="61"/>
        <v>217731522.16976932</v>
      </c>
      <c r="J133" s="337">
        <f t="shared" si="61"/>
        <v>332104725.71429402</v>
      </c>
      <c r="K133" s="337">
        <f t="shared" si="61"/>
        <v>347205605.19673896</v>
      </c>
      <c r="L133" s="337">
        <f t="shared" si="61"/>
        <v>336149388.47895175</v>
      </c>
      <c r="M133" s="337">
        <f t="shared" ref="M133:N133" si="62">SUM(M7:M132)</f>
        <v>375827657.08846831</v>
      </c>
      <c r="N133" s="337">
        <f t="shared" si="62"/>
        <v>425937968.06485796</v>
      </c>
      <c r="O133" s="572">
        <f>SUM(O7:O132)</f>
        <v>128008326.06598409</v>
      </c>
      <c r="P133" s="573">
        <f t="shared" ref="P133:W133" si="63">SUM(P7:P132)</f>
        <v>194893503.46352366</v>
      </c>
      <c r="Q133" s="573">
        <f t="shared" si="63"/>
        <v>185806755.18036827</v>
      </c>
      <c r="R133" s="573">
        <f t="shared" si="63"/>
        <v>177100724.93366203</v>
      </c>
      <c r="S133" s="573">
        <f t="shared" si="63"/>
        <v>209012178.48072103</v>
      </c>
      <c r="T133" s="573">
        <f t="shared" si="63"/>
        <v>270237107.3911289</v>
      </c>
      <c r="U133" s="573">
        <f t="shared" si="63"/>
        <v>413632441.92294824</v>
      </c>
      <c r="V133" s="573">
        <f t="shared" si="63"/>
        <v>416424094.38962471</v>
      </c>
      <c r="W133" s="573">
        <f t="shared" si="63"/>
        <v>379824348.72568721</v>
      </c>
      <c r="X133" s="573">
        <f t="shared" ref="X133:Y133" si="64">SUM(X7:X132)</f>
        <v>399678028.25832504</v>
      </c>
      <c r="Y133" s="573">
        <f t="shared" si="64"/>
        <v>439142618.19593084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07"/>
      <c r="AJ133" s="207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732">
        <f t="shared" ref="BB133:BI133" si="65">SUM(BB7:BB132)</f>
        <v>64976.702534263684</v>
      </c>
      <c r="BC133" s="1116">
        <f t="shared" si="65"/>
        <v>63411.574762519755</v>
      </c>
      <c r="BD133" s="733">
        <f t="shared" si="65"/>
        <v>63517.175762519764</v>
      </c>
      <c r="BE133" s="733">
        <f t="shared" si="65"/>
        <v>71849.301403004254</v>
      </c>
      <c r="BF133" s="733">
        <f t="shared" si="65"/>
        <v>72814.343949925809</v>
      </c>
      <c r="BG133" s="733">
        <f t="shared" si="65"/>
        <v>72972.000608498085</v>
      </c>
      <c r="BH133" s="733">
        <f t="shared" si="65"/>
        <v>73507.853421853433</v>
      </c>
      <c r="BI133" s="734">
        <f t="shared" si="65"/>
        <v>73801.214248870907</v>
      </c>
      <c r="BJ133" s="19"/>
      <c r="BK133" s="745"/>
      <c r="BL133" s="205"/>
      <c r="BM133" s="765"/>
      <c r="BN133" s="206">
        <f>SUM(BN7:BN132)</f>
        <v>431785456.25777781</v>
      </c>
      <c r="BO133" s="163">
        <f>SUM(BO7:BO132)</f>
        <v>439008608.73402256</v>
      </c>
      <c r="BP133" s="163">
        <f t="shared" ref="BP133:BR133" si="66">SUM(BP7:BP132)</f>
        <v>454249549.98489273</v>
      </c>
      <c r="BQ133" s="163">
        <f>SUM(BQ7:BQ132)</f>
        <v>471259849.16749597</v>
      </c>
      <c r="BR133" s="164">
        <f t="shared" si="66"/>
        <v>488710947.89211124</v>
      </c>
      <c r="BS133" s="933">
        <f>SUM(BN133:BR133)</f>
        <v>2285014412.0363002</v>
      </c>
    </row>
    <row r="134" spans="1:74" ht="15.75" thickBo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07"/>
      <c r="N134" s="207"/>
      <c r="O134" s="19"/>
      <c r="P134" s="19"/>
      <c r="Q134" s="19"/>
      <c r="R134" s="19"/>
      <c r="S134" s="19"/>
      <c r="T134" s="19"/>
      <c r="U134" s="19"/>
      <c r="V134" s="19"/>
      <c r="W134" s="19"/>
      <c r="X134" s="207"/>
      <c r="Y134" s="207"/>
      <c r="Z134" s="19"/>
      <c r="AA134" s="19"/>
      <c r="AB134" s="19"/>
      <c r="AC134" s="19"/>
      <c r="AD134" s="19"/>
      <c r="AE134" s="19"/>
      <c r="AF134" s="19"/>
      <c r="AG134" s="19"/>
      <c r="AH134" s="19"/>
      <c r="AI134" s="207"/>
      <c r="AJ134" s="207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 t="s">
        <v>629</v>
      </c>
      <c r="AX134" s="282"/>
      <c r="AY134" s="19"/>
      <c r="AZ134" s="19"/>
      <c r="BA134" s="19"/>
      <c r="BB134" s="685"/>
      <c r="BC134" s="685"/>
      <c r="BD134" s="19"/>
      <c r="BE134" s="19"/>
      <c r="BF134" s="19"/>
      <c r="BG134" s="19"/>
      <c r="BH134" s="19"/>
      <c r="BI134" s="282"/>
      <c r="BJ134" s="19"/>
      <c r="BK134" s="19"/>
      <c r="BL134" s="20"/>
      <c r="BM134" s="19"/>
      <c r="BN134" s="20"/>
      <c r="BO134" s="20"/>
      <c r="BP134" s="20"/>
      <c r="BQ134" s="20"/>
      <c r="BR134" s="932" t="s">
        <v>823</v>
      </c>
      <c r="BS134" s="934">
        <v>2285014412.0363002</v>
      </c>
      <c r="BU134" s="933">
        <v>164775814.70564601</v>
      </c>
      <c r="BV134" s="395">
        <f>BU134+BS134</f>
        <v>2449790226.7419462</v>
      </c>
    </row>
    <row r="135" spans="1:74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07"/>
      <c r="N135" s="207"/>
      <c r="O135" s="19"/>
      <c r="P135" s="19"/>
      <c r="Q135" s="19"/>
      <c r="R135" s="19"/>
      <c r="S135" s="19"/>
      <c r="T135" s="19"/>
      <c r="U135" s="19"/>
      <c r="V135" s="19"/>
      <c r="W135" s="19"/>
      <c r="X135" s="207"/>
      <c r="Y135" s="207"/>
      <c r="Z135" s="165">
        <v>0</v>
      </c>
      <c r="AA135" s="165">
        <v>3.7499999999999999E-2</v>
      </c>
      <c r="AB135" s="165">
        <v>0</v>
      </c>
      <c r="AC135" s="165">
        <v>0</v>
      </c>
      <c r="AD135" s="165">
        <v>0</v>
      </c>
      <c r="AE135" s="165">
        <v>0</v>
      </c>
      <c r="AF135" s="165">
        <v>0</v>
      </c>
      <c r="AG135" s="165"/>
      <c r="AH135" s="165"/>
      <c r="AI135" s="212"/>
      <c r="AJ135" s="212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282" t="s">
        <v>516</v>
      </c>
      <c r="AX135" s="282"/>
      <c r="AY135" s="19"/>
      <c r="AZ135" s="19"/>
      <c r="BA135" s="19"/>
      <c r="BB135" s="697"/>
      <c r="BC135" s="697"/>
      <c r="BD135" s="165"/>
      <c r="BE135" s="165"/>
      <c r="BF135" s="165"/>
      <c r="BG135" s="165"/>
      <c r="BH135" s="165"/>
      <c r="BI135" s="294"/>
      <c r="BJ135" s="26" t="s">
        <v>631</v>
      </c>
      <c r="BK135" s="19"/>
      <c r="BL135" s="25"/>
      <c r="BM135" s="19"/>
      <c r="BN135" s="19"/>
      <c r="BO135" s="19"/>
      <c r="BP135" s="19"/>
      <c r="BQ135" s="19"/>
      <c r="BR135" s="19"/>
      <c r="BS135" s="395"/>
    </row>
    <row r="136" spans="1:74" x14ac:dyDescent="0.25">
      <c r="A136" s="63" t="s">
        <v>296</v>
      </c>
      <c r="B136" s="166"/>
      <c r="C136" s="64" t="s">
        <v>409</v>
      </c>
      <c r="D136" s="167">
        <f>SUMIF($A$7:$A$132,$A136,D$7:D$132)</f>
        <v>6688577</v>
      </c>
      <c r="E136" s="168">
        <f t="shared" ref="E136:AF145" si="67">SUMIF($A$7:$A$132,$A136,E$7:E$132)</f>
        <v>3664797</v>
      </c>
      <c r="F136" s="168">
        <f t="shared" si="67"/>
        <v>4782199</v>
      </c>
      <c r="G136" s="168">
        <f t="shared" si="67"/>
        <v>3687764</v>
      </c>
      <c r="H136" s="168">
        <f t="shared" si="67"/>
        <v>5309061</v>
      </c>
      <c r="I136" s="168">
        <f t="shared" si="67"/>
        <v>3689144.5943493401</v>
      </c>
      <c r="J136" s="168">
        <f t="shared" si="67"/>
        <v>7934044.6888067247</v>
      </c>
      <c r="K136" s="168">
        <f t="shared" si="67"/>
        <v>7371639.3099999987</v>
      </c>
      <c r="L136" s="168">
        <f t="shared" si="67"/>
        <v>9045812.0399999991</v>
      </c>
      <c r="M136" s="168">
        <f t="shared" ref="M136:N145" si="68">SUMIF($A$7:$A$132,$A136,M$7:M$132)</f>
        <v>8954422.3600000031</v>
      </c>
      <c r="N136" s="168">
        <f t="shared" si="68"/>
        <v>9464302.1000000238</v>
      </c>
      <c r="O136" s="578">
        <f>SUMIF($A$7:$A$132,$A136,O$7:O$132)</f>
        <v>8999188.1911497675</v>
      </c>
      <c r="P136" s="575">
        <f t="shared" si="67"/>
        <v>4857435.2696861438</v>
      </c>
      <c r="Q136" s="575">
        <f t="shared" si="67"/>
        <v>6274272.5748106102</v>
      </c>
      <c r="R136" s="575">
        <f t="shared" si="67"/>
        <v>4746582.8137466423</v>
      </c>
      <c r="S136" s="575">
        <f t="shared" si="67"/>
        <v>6694294.8160370607</v>
      </c>
      <c r="T136" s="575">
        <f t="shared" si="67"/>
        <v>4578775.5212920001</v>
      </c>
      <c r="U136" s="575">
        <f t="shared" si="67"/>
        <v>9881757.2435876802</v>
      </c>
      <c r="V136" s="575">
        <f t="shared" si="67"/>
        <v>8841240.4001781363</v>
      </c>
      <c r="W136" s="575">
        <f t="shared" si="67"/>
        <v>10221109.377395511</v>
      </c>
      <c r="X136" s="575">
        <f t="shared" ref="X136:Y145" si="69">SUMIF($A$7:$A$132,$A136,X$7:X$132)</f>
        <v>9522678.2955853678</v>
      </c>
      <c r="Y136" s="575">
        <f t="shared" si="69"/>
        <v>9724556.0155375712</v>
      </c>
      <c r="Z136" s="169">
        <f t="shared" si="67"/>
        <v>2373</v>
      </c>
      <c r="AA136" s="170">
        <f t="shared" si="67"/>
        <v>1176</v>
      </c>
      <c r="AB136" s="170">
        <f t="shared" si="67"/>
        <v>1487</v>
      </c>
      <c r="AC136" s="170">
        <f t="shared" si="67"/>
        <v>1285</v>
      </c>
      <c r="AD136" s="170">
        <f t="shared" si="67"/>
        <v>1563</v>
      </c>
      <c r="AE136" s="170">
        <f t="shared" si="67"/>
        <v>1101</v>
      </c>
      <c r="AF136" s="170">
        <f t="shared" si="67"/>
        <v>5017</v>
      </c>
      <c r="AG136" s="170">
        <f t="shared" ref="AG136:AJ146" si="70">SUMIF($A$7:$A$132,$A136,AG$7:AG$132)</f>
        <v>4542</v>
      </c>
      <c r="AH136" s="170">
        <f t="shared" si="70"/>
        <v>5172</v>
      </c>
      <c r="AI136" s="170">
        <f t="shared" si="70"/>
        <v>4260</v>
      </c>
      <c r="AJ136" s="170">
        <f t="shared" si="70"/>
        <v>6395</v>
      </c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388">
        <f>BN136/BE136</f>
        <v>2057.0694636168055</v>
      </c>
      <c r="AX136" s="388"/>
      <c r="AY136" s="19"/>
      <c r="AZ136" s="19"/>
      <c r="BA136" s="19"/>
      <c r="BB136" s="698">
        <f t="shared" ref="BB136:BI146" si="71">SUMIF($A$7:$A$132,$A136,BB$7:BB$132)</f>
        <v>4658</v>
      </c>
      <c r="BC136" s="1117">
        <f t="shared" si="71"/>
        <v>4658</v>
      </c>
      <c r="BD136" s="632">
        <f t="shared" si="71"/>
        <v>4658</v>
      </c>
      <c r="BE136" s="75">
        <f t="shared" si="71"/>
        <v>4658</v>
      </c>
      <c r="BF136" s="76">
        <f t="shared" si="71"/>
        <v>4658</v>
      </c>
      <c r="BG136" s="76">
        <f t="shared" si="71"/>
        <v>4658</v>
      </c>
      <c r="BH136" s="76">
        <f t="shared" si="71"/>
        <v>4658</v>
      </c>
      <c r="BI136" s="633">
        <f t="shared" si="71"/>
        <v>4658</v>
      </c>
      <c r="BJ136" s="747">
        <f>IFERROR(SUM(BN136:BR136)/SUM(BE136:BI136),0)</f>
        <v>2077.9855565779644</v>
      </c>
      <c r="BK136" s="415">
        <f>SUMIF($A$7:$A$132,$A136,BK$7:BK$132)</f>
        <v>0</v>
      </c>
      <c r="BL136" s="79">
        <f t="shared" ref="BL136:BR146" si="72">SUMIF($A$7:$A$132,$A136,BL$7:BL$132)</f>
        <v>0</v>
      </c>
      <c r="BM136" s="523">
        <f t="shared" si="72"/>
        <v>0</v>
      </c>
      <c r="BN136" s="415">
        <f t="shared" si="72"/>
        <v>9581829.561527079</v>
      </c>
      <c r="BO136" s="79">
        <f t="shared" si="72"/>
        <v>9627125.8012696691</v>
      </c>
      <c r="BP136" s="79">
        <f t="shared" si="72"/>
        <v>9672317.5764718987</v>
      </c>
      <c r="BQ136" s="79">
        <f t="shared" si="72"/>
        <v>9726280.1703267973</v>
      </c>
      <c r="BR136" s="80">
        <f t="shared" si="72"/>
        <v>9788730.5031053461</v>
      </c>
    </row>
    <row r="137" spans="1:74" x14ac:dyDescent="0.25">
      <c r="A137" s="81" t="s">
        <v>27</v>
      </c>
      <c r="B137" s="171"/>
      <c r="C137" s="82" t="s">
        <v>410</v>
      </c>
      <c r="D137" s="172">
        <f t="shared" ref="D137:T146" si="73">SUMIF($A$7:$A$132,$A137,D$7:D$132)</f>
        <v>21623480</v>
      </c>
      <c r="E137" s="173">
        <f t="shared" si="67"/>
        <v>30377700</v>
      </c>
      <c r="F137" s="173">
        <f t="shared" si="67"/>
        <v>32020931</v>
      </c>
      <c r="G137" s="173">
        <f t="shared" si="67"/>
        <v>37358676.15651504</v>
      </c>
      <c r="H137" s="173">
        <f t="shared" si="67"/>
        <v>41735759.607460216</v>
      </c>
      <c r="I137" s="173">
        <f t="shared" si="67"/>
        <v>65826973.542401388</v>
      </c>
      <c r="J137" s="173">
        <f t="shared" si="67"/>
        <v>91942765.034401402</v>
      </c>
      <c r="K137" s="173">
        <f t="shared" si="67"/>
        <v>126919850.92777322</v>
      </c>
      <c r="L137" s="173">
        <f t="shared" si="67"/>
        <v>85471523.67120108</v>
      </c>
      <c r="M137" s="173">
        <f t="shared" si="68"/>
        <v>92632153.380781651</v>
      </c>
      <c r="N137" s="173">
        <f t="shared" si="68"/>
        <v>125387412.28100635</v>
      </c>
      <c r="O137" s="580">
        <f t="shared" si="67"/>
        <v>29093447.809237029</v>
      </c>
      <c r="P137" s="576">
        <f t="shared" si="67"/>
        <v>40263542.944382675</v>
      </c>
      <c r="Q137" s="576">
        <f t="shared" si="67"/>
        <v>42011645.51981274</v>
      </c>
      <c r="R137" s="576">
        <f t="shared" si="67"/>
        <v>48084977.831781194</v>
      </c>
      <c r="S137" s="576">
        <f t="shared" si="67"/>
        <v>52625403.848927297</v>
      </c>
      <c r="T137" s="576">
        <f t="shared" si="67"/>
        <v>81701035.941596955</v>
      </c>
      <c r="U137" s="576">
        <f t="shared" si="67"/>
        <v>114513608.12927592</v>
      </c>
      <c r="V137" s="576">
        <f t="shared" si="67"/>
        <v>152222438.78440866</v>
      </c>
      <c r="W137" s="576">
        <f t="shared" si="67"/>
        <v>96576602.325245261</v>
      </c>
      <c r="X137" s="576">
        <f t="shared" si="69"/>
        <v>98510675.620231032</v>
      </c>
      <c r="Y137" s="576">
        <f t="shared" si="69"/>
        <v>126702533.95064051</v>
      </c>
      <c r="Z137" s="174">
        <f t="shared" si="67"/>
        <v>3384</v>
      </c>
      <c r="AA137" s="175">
        <f t="shared" si="67"/>
        <v>4342</v>
      </c>
      <c r="AB137" s="175">
        <f t="shared" si="67"/>
        <v>4059</v>
      </c>
      <c r="AC137" s="175">
        <f t="shared" si="67"/>
        <v>4363</v>
      </c>
      <c r="AD137" s="175">
        <f t="shared" si="67"/>
        <v>5837</v>
      </c>
      <c r="AE137" s="175">
        <f t="shared" si="67"/>
        <v>8919</v>
      </c>
      <c r="AF137" s="175">
        <f t="shared" si="67"/>
        <v>14309</v>
      </c>
      <c r="AG137" s="175">
        <f t="shared" si="70"/>
        <v>20019</v>
      </c>
      <c r="AH137" s="175">
        <f t="shared" si="70"/>
        <v>14583</v>
      </c>
      <c r="AI137" s="175">
        <f t="shared" si="70"/>
        <v>13155</v>
      </c>
      <c r="AJ137" s="175">
        <f t="shared" si="70"/>
        <v>13845</v>
      </c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388">
        <f t="shared" ref="AW137:AW146" si="74">BN137/BE137</f>
        <v>7108.9969528370666</v>
      </c>
      <c r="AX137" s="388"/>
      <c r="AY137" s="19"/>
      <c r="AZ137" s="19"/>
      <c r="BA137" s="19"/>
      <c r="BB137" s="699">
        <f t="shared" si="71"/>
        <v>14449.733333333332</v>
      </c>
      <c r="BC137" s="1118">
        <f t="shared" si="71"/>
        <v>13980.067439449182</v>
      </c>
      <c r="BD137" s="634">
        <f t="shared" si="71"/>
        <v>13980.067439449182</v>
      </c>
      <c r="BE137" s="93">
        <f t="shared" si="71"/>
        <v>14501.628115367692</v>
      </c>
      <c r="BF137" s="94">
        <f t="shared" si="71"/>
        <v>14610.376550596677</v>
      </c>
      <c r="BG137" s="94">
        <f t="shared" si="71"/>
        <v>14682.875507415998</v>
      </c>
      <c r="BH137" s="94">
        <f t="shared" si="71"/>
        <v>14755.374464235318</v>
      </c>
      <c r="BI137" s="635">
        <f t="shared" si="71"/>
        <v>14791.623942644976</v>
      </c>
      <c r="BJ137" s="746">
        <f t="shared" ref="BJ137:BJ142" si="75">IFERROR(SUM(BN137:BR137)/SUM(BE137:BI137),0)</f>
        <v>7173.3766693756725</v>
      </c>
      <c r="BK137" s="416">
        <f t="shared" ref="BK137:BK146" si="76">SUMIF($A$7:$A$132,$A137,BK$7:BK$132)</f>
        <v>0</v>
      </c>
      <c r="BL137" s="97">
        <f t="shared" si="72"/>
        <v>0</v>
      </c>
      <c r="BM137" s="524">
        <f t="shared" si="72"/>
        <v>0</v>
      </c>
      <c r="BN137" s="416">
        <f t="shared" si="72"/>
        <v>103092030.08332525</v>
      </c>
      <c r="BO137" s="97">
        <f t="shared" si="72"/>
        <v>104299505.22480039</v>
      </c>
      <c r="BP137" s="97">
        <f t="shared" si="72"/>
        <v>105253523.54312854</v>
      </c>
      <c r="BQ137" s="97">
        <f t="shared" si="72"/>
        <v>106296060.35591087</v>
      </c>
      <c r="BR137" s="98">
        <f t="shared" si="72"/>
        <v>107167801.48866026</v>
      </c>
    </row>
    <row r="138" spans="1:74" x14ac:dyDescent="0.25">
      <c r="A138" s="81" t="s">
        <v>68</v>
      </c>
      <c r="B138" s="171"/>
      <c r="C138" s="82" t="s">
        <v>411</v>
      </c>
      <c r="D138" s="172">
        <f t="shared" si="73"/>
        <v>12185579</v>
      </c>
      <c r="E138" s="173">
        <f t="shared" si="67"/>
        <v>22225236</v>
      </c>
      <c r="F138" s="173">
        <f t="shared" si="67"/>
        <v>22283052</v>
      </c>
      <c r="G138" s="173">
        <f t="shared" si="67"/>
        <v>17805502.313259616</v>
      </c>
      <c r="H138" s="173">
        <f t="shared" si="67"/>
        <v>28666166.015586212</v>
      </c>
      <c r="I138" s="173">
        <f t="shared" si="67"/>
        <v>30099310.491715267</v>
      </c>
      <c r="J138" s="173">
        <f t="shared" si="67"/>
        <v>61118473.888565466</v>
      </c>
      <c r="K138" s="173">
        <f t="shared" si="67"/>
        <v>59325035.24911993</v>
      </c>
      <c r="L138" s="173">
        <f t="shared" si="67"/>
        <v>57613033.720209531</v>
      </c>
      <c r="M138" s="173">
        <f t="shared" si="68"/>
        <v>64511952.861215807</v>
      </c>
      <c r="N138" s="173">
        <f t="shared" si="68"/>
        <v>71339115.371101528</v>
      </c>
      <c r="O138" s="580">
        <f t="shared" si="67"/>
        <v>16395164.268740959</v>
      </c>
      <c r="P138" s="576">
        <f t="shared" si="67"/>
        <v>29458015.061543159</v>
      </c>
      <c r="Q138" s="576">
        <f t="shared" si="67"/>
        <v>29235492.301068757</v>
      </c>
      <c r="R138" s="576">
        <f t="shared" si="67"/>
        <v>22917760.266178682</v>
      </c>
      <c r="S138" s="576">
        <f t="shared" si="67"/>
        <v>36145707.603245929</v>
      </c>
      <c r="T138" s="576">
        <f t="shared" si="67"/>
        <v>37357707.881206125</v>
      </c>
      <c r="U138" s="576">
        <f t="shared" si="67"/>
        <v>76122324.205888897</v>
      </c>
      <c r="V138" s="576">
        <f t="shared" si="67"/>
        <v>71152002.46911037</v>
      </c>
      <c r="W138" s="576">
        <f t="shared" si="67"/>
        <v>65098535.832260959</v>
      </c>
      <c r="X138" s="576">
        <f t="shared" si="69"/>
        <v>68605941.133798137</v>
      </c>
      <c r="Y138" s="576">
        <f t="shared" si="69"/>
        <v>71877440.151107609</v>
      </c>
      <c r="Z138" s="174">
        <f t="shared" si="67"/>
        <v>9944</v>
      </c>
      <c r="AA138" s="175">
        <f t="shared" si="67"/>
        <v>14063</v>
      </c>
      <c r="AB138" s="175">
        <f t="shared" si="67"/>
        <v>13159</v>
      </c>
      <c r="AC138" s="175">
        <f t="shared" si="67"/>
        <v>11503</v>
      </c>
      <c r="AD138" s="175">
        <f t="shared" si="67"/>
        <v>17518</v>
      </c>
      <c r="AE138" s="175">
        <f t="shared" si="67"/>
        <v>15611</v>
      </c>
      <c r="AF138" s="175">
        <f t="shared" si="67"/>
        <v>25856</v>
      </c>
      <c r="AG138" s="175">
        <f t="shared" si="70"/>
        <v>24084</v>
      </c>
      <c r="AH138" s="175">
        <f t="shared" si="70"/>
        <v>24018</v>
      </c>
      <c r="AI138" s="175">
        <f t="shared" si="70"/>
        <v>21264</v>
      </c>
      <c r="AJ138" s="175">
        <f t="shared" si="70"/>
        <v>20385</v>
      </c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388">
        <f t="shared" si="74"/>
        <v>3209.1787929976708</v>
      </c>
      <c r="AX138" s="388"/>
      <c r="AY138" s="19"/>
      <c r="AZ138" s="19"/>
      <c r="BA138" s="19"/>
      <c r="BB138" s="699">
        <f t="shared" si="71"/>
        <v>21842.399999999998</v>
      </c>
      <c r="BC138" s="1118">
        <f t="shared" si="71"/>
        <v>20911.171175362408</v>
      </c>
      <c r="BD138" s="634">
        <f t="shared" si="71"/>
        <v>20911.171175362408</v>
      </c>
      <c r="BE138" s="93">
        <f t="shared" si="71"/>
        <v>30184.285044535602</v>
      </c>
      <c r="BF138" s="94">
        <f t="shared" si="71"/>
        <v>30402.739680878618</v>
      </c>
      <c r="BG138" s="94">
        <f t="shared" si="71"/>
        <v>30548.376105107294</v>
      </c>
      <c r="BH138" s="94">
        <f t="shared" si="71"/>
        <v>30694.012529335971</v>
      </c>
      <c r="BI138" s="635">
        <f t="shared" si="71"/>
        <v>30766.830741450311</v>
      </c>
      <c r="BJ138" s="746">
        <f t="shared" si="75"/>
        <v>3240.1811215425441</v>
      </c>
      <c r="BK138" s="416">
        <f t="shared" si="76"/>
        <v>0</v>
      </c>
      <c r="BL138" s="97">
        <f t="shared" si="72"/>
        <v>0</v>
      </c>
      <c r="BM138" s="524">
        <f t="shared" si="72"/>
        <v>0</v>
      </c>
      <c r="BN138" s="416">
        <f t="shared" si="72"/>
        <v>96866767.446720406</v>
      </c>
      <c r="BO138" s="97">
        <f t="shared" si="72"/>
        <v>98003168.205642179</v>
      </c>
      <c r="BP138" s="97">
        <f t="shared" si="72"/>
        <v>98910005.893971935</v>
      </c>
      <c r="BQ138" s="97">
        <f t="shared" si="72"/>
        <v>99905353.423389599</v>
      </c>
      <c r="BR138" s="98">
        <f t="shared" si="72"/>
        <v>100754174.3856312</v>
      </c>
    </row>
    <row r="139" spans="1:74" x14ac:dyDescent="0.25">
      <c r="A139" s="81" t="s">
        <v>81</v>
      </c>
      <c r="B139" s="171"/>
      <c r="C139" s="82" t="s">
        <v>270</v>
      </c>
      <c r="D139" s="172">
        <f t="shared" si="73"/>
        <v>6934720</v>
      </c>
      <c r="E139" s="173">
        <f t="shared" si="67"/>
        <v>9985809</v>
      </c>
      <c r="F139" s="173">
        <f t="shared" si="67"/>
        <v>10414561</v>
      </c>
      <c r="G139" s="173">
        <f t="shared" si="67"/>
        <v>8510444.5114625636</v>
      </c>
      <c r="H139" s="173">
        <f t="shared" si="67"/>
        <v>12634430.493708391</v>
      </c>
      <c r="I139" s="173">
        <f t="shared" si="67"/>
        <v>19984618.061632831</v>
      </c>
      <c r="J139" s="173">
        <f t="shared" si="67"/>
        <v>25725096.993365247</v>
      </c>
      <c r="K139" s="173">
        <f t="shared" si="67"/>
        <v>25508900.492317818</v>
      </c>
      <c r="L139" s="173">
        <f t="shared" si="67"/>
        <v>44372189.279239692</v>
      </c>
      <c r="M139" s="173">
        <f t="shared" si="68"/>
        <v>43034386.527363405</v>
      </c>
      <c r="N139" s="173">
        <f t="shared" si="68"/>
        <v>38619071.937047288</v>
      </c>
      <c r="O139" s="580">
        <f t="shared" si="67"/>
        <v>9330362.8459282331</v>
      </c>
      <c r="P139" s="576">
        <f t="shared" si="67"/>
        <v>13235500.038051035</v>
      </c>
      <c r="Q139" s="576">
        <f t="shared" si="67"/>
        <v>13663963.892132504</v>
      </c>
      <c r="R139" s="576">
        <f t="shared" si="67"/>
        <v>10953935.67903278</v>
      </c>
      <c r="S139" s="576">
        <f t="shared" si="67"/>
        <v>15930990.914892979</v>
      </c>
      <c r="T139" s="576">
        <f t="shared" si="67"/>
        <v>24803874.62262461</v>
      </c>
      <c r="U139" s="576">
        <f t="shared" si="67"/>
        <v>32040298.930357501</v>
      </c>
      <c r="V139" s="576">
        <f t="shared" si="67"/>
        <v>30594324.018385038</v>
      </c>
      <c r="W139" s="576">
        <f t="shared" si="67"/>
        <v>50137345.097611107</v>
      </c>
      <c r="X139" s="576">
        <f t="shared" si="69"/>
        <v>45765388.550195061</v>
      </c>
      <c r="Y139" s="576">
        <f t="shared" si="69"/>
        <v>39359539.798230924</v>
      </c>
      <c r="Z139" s="174">
        <f t="shared" si="67"/>
        <v>167</v>
      </c>
      <c r="AA139" s="175">
        <f t="shared" si="67"/>
        <v>312</v>
      </c>
      <c r="AB139" s="175">
        <f t="shared" si="67"/>
        <v>119</v>
      </c>
      <c r="AC139" s="175">
        <f t="shared" si="67"/>
        <v>220.89299999999997</v>
      </c>
      <c r="AD139" s="175">
        <f t="shared" si="67"/>
        <v>327.75</v>
      </c>
      <c r="AE139" s="175">
        <f t="shared" si="67"/>
        <v>480.8269733690002</v>
      </c>
      <c r="AF139" s="175">
        <f t="shared" si="67"/>
        <v>504.15833340400008</v>
      </c>
      <c r="AG139" s="175">
        <f t="shared" si="70"/>
        <v>540.75549999999896</v>
      </c>
      <c r="AH139" s="175">
        <f t="shared" si="70"/>
        <v>656.63299164000023</v>
      </c>
      <c r="AI139" s="175">
        <f t="shared" si="70"/>
        <v>476.71415849066653</v>
      </c>
      <c r="AJ139" s="175">
        <f t="shared" si="70"/>
        <v>711.30549027599989</v>
      </c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388">
        <f t="shared" si="74"/>
        <v>64107.930814522864</v>
      </c>
      <c r="AX139" s="388"/>
      <c r="AY139" s="19"/>
      <c r="AZ139" s="19"/>
      <c r="BA139" s="19">
        <f>BN139/BE139</f>
        <v>64107.930814522864</v>
      </c>
      <c r="BB139" s="699">
        <f t="shared" si="71"/>
        <v>492.34471183239975</v>
      </c>
      <c r="BC139" s="1118">
        <f t="shared" si="71"/>
        <v>553.02877600199997</v>
      </c>
      <c r="BD139" s="634">
        <f t="shared" si="71"/>
        <v>551.02877600199997</v>
      </c>
      <c r="BE139" s="93">
        <f t="shared" si="71"/>
        <v>700.02877600199997</v>
      </c>
      <c r="BF139" s="94">
        <f t="shared" si="71"/>
        <v>730.02877600199986</v>
      </c>
      <c r="BG139" s="94">
        <f t="shared" si="71"/>
        <v>750.02877600200009</v>
      </c>
      <c r="BH139" s="94">
        <f t="shared" si="71"/>
        <v>770.02877600200009</v>
      </c>
      <c r="BI139" s="635">
        <f t="shared" si="71"/>
        <v>780.02877600199997</v>
      </c>
      <c r="BJ139" s="746">
        <f t="shared" si="75"/>
        <v>64415.338836954703</v>
      </c>
      <c r="BK139" s="416">
        <f t="shared" si="76"/>
        <v>0</v>
      </c>
      <c r="BL139" s="97">
        <f t="shared" si="72"/>
        <v>0</v>
      </c>
      <c r="BM139" s="524">
        <f t="shared" si="72"/>
        <v>0</v>
      </c>
      <c r="BN139" s="416">
        <f t="shared" si="72"/>
        <v>44877396.340111338</v>
      </c>
      <c r="BO139" s="97">
        <f t="shared" si="72"/>
        <v>46902139.432677113</v>
      </c>
      <c r="BP139" s="97">
        <f t="shared" si="72"/>
        <v>48291123.7841058</v>
      </c>
      <c r="BQ139" s="97">
        <f t="shared" si="72"/>
        <v>49706389.077390768</v>
      </c>
      <c r="BR139" s="98">
        <f t="shared" si="72"/>
        <v>50501433.30715207</v>
      </c>
    </row>
    <row r="140" spans="1:74" x14ac:dyDescent="0.25">
      <c r="A140" s="81" t="s">
        <v>94</v>
      </c>
      <c r="B140" s="171"/>
      <c r="C140" s="82" t="s">
        <v>412</v>
      </c>
      <c r="D140" s="172">
        <f t="shared" si="73"/>
        <v>1412498</v>
      </c>
      <c r="E140" s="173">
        <f t="shared" si="67"/>
        <v>2669699</v>
      </c>
      <c r="F140" s="173">
        <f t="shared" si="67"/>
        <v>2843677</v>
      </c>
      <c r="G140" s="173">
        <f t="shared" si="67"/>
        <v>2108213.5397750521</v>
      </c>
      <c r="H140" s="173">
        <f t="shared" si="67"/>
        <v>5027309.1802812489</v>
      </c>
      <c r="I140" s="173">
        <f t="shared" si="67"/>
        <v>2379889.029682721</v>
      </c>
      <c r="J140" s="173">
        <f t="shared" si="67"/>
        <v>8056546.7339933189</v>
      </c>
      <c r="K140" s="173">
        <f t="shared" si="67"/>
        <v>7959369.859099973</v>
      </c>
      <c r="L140" s="173">
        <f t="shared" si="67"/>
        <v>6116749.2154848799</v>
      </c>
      <c r="M140" s="173">
        <f t="shared" si="68"/>
        <v>4904960.1741560185</v>
      </c>
      <c r="N140" s="173">
        <f t="shared" si="68"/>
        <v>10595292.31292736</v>
      </c>
      <c r="O140" s="580">
        <f t="shared" si="67"/>
        <v>1900454.3599666513</v>
      </c>
      <c r="P140" s="576">
        <f t="shared" si="67"/>
        <v>3538501.6092421571</v>
      </c>
      <c r="Q140" s="576">
        <f t="shared" si="67"/>
        <v>3730920.5687006577</v>
      </c>
      <c r="R140" s="576">
        <f t="shared" si="67"/>
        <v>2713516.9592208811</v>
      </c>
      <c r="S140" s="576">
        <f t="shared" si="67"/>
        <v>6339028.6501082359</v>
      </c>
      <c r="T140" s="576">
        <f t="shared" si="67"/>
        <v>2953795.2101941211</v>
      </c>
      <c r="U140" s="576">
        <f t="shared" si="67"/>
        <v>10034332.067634834</v>
      </c>
      <c r="V140" s="576">
        <f t="shared" si="67"/>
        <v>9546140.2001551352</v>
      </c>
      <c r="W140" s="576">
        <f t="shared" si="67"/>
        <v>6911481.5219584368</v>
      </c>
      <c r="X140" s="576">
        <f t="shared" si="69"/>
        <v>5216233.4892528029</v>
      </c>
      <c r="Y140" s="576">
        <f t="shared" si="69"/>
        <v>10886646.739441728</v>
      </c>
      <c r="Z140" s="174">
        <f t="shared" si="67"/>
        <v>5</v>
      </c>
      <c r="AA140" s="175">
        <f t="shared" si="67"/>
        <v>9</v>
      </c>
      <c r="AB140" s="175">
        <f t="shared" si="67"/>
        <v>12</v>
      </c>
      <c r="AC140" s="175">
        <f t="shared" si="67"/>
        <v>8.086666666666666</v>
      </c>
      <c r="AD140" s="175">
        <f t="shared" si="67"/>
        <v>10.993333333333332</v>
      </c>
      <c r="AE140" s="175">
        <f t="shared" si="67"/>
        <v>9.3751234820000029</v>
      </c>
      <c r="AF140" s="175">
        <f t="shared" si="67"/>
        <v>9.5686666970000047</v>
      </c>
      <c r="AG140" s="175">
        <f t="shared" si="70"/>
        <v>17.420333333333311</v>
      </c>
      <c r="AH140" s="175">
        <f t="shared" si="70"/>
        <v>17.387333358000003</v>
      </c>
      <c r="AI140" s="175">
        <f t="shared" si="70"/>
        <v>7.5116667330000002</v>
      </c>
      <c r="AJ140" s="175">
        <f t="shared" si="70"/>
        <v>18.557333327000006</v>
      </c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388">
        <f t="shared" si="74"/>
        <v>409707.19031507854</v>
      </c>
      <c r="AX140" s="388"/>
      <c r="AY140" s="19"/>
      <c r="AZ140" s="19"/>
      <c r="BA140" s="19"/>
      <c r="BB140" s="699">
        <f t="shared" si="71"/>
        <v>10.867024912488883</v>
      </c>
      <c r="BC140" s="1118">
        <f t="shared" si="71"/>
        <v>19.380691549933331</v>
      </c>
      <c r="BD140" s="634">
        <f t="shared" si="71"/>
        <v>19.981691549933334</v>
      </c>
      <c r="BE140" s="93">
        <f t="shared" si="71"/>
        <v>19.980691549933333</v>
      </c>
      <c r="BF140" s="94">
        <f t="shared" si="71"/>
        <v>25.505691549933331</v>
      </c>
      <c r="BG140" s="94">
        <f t="shared" si="71"/>
        <v>20.980691549933333</v>
      </c>
      <c r="BH140" s="94">
        <f t="shared" si="71"/>
        <v>21.980691549933333</v>
      </c>
      <c r="BI140" s="635">
        <f t="shared" si="71"/>
        <v>28.681691549933333</v>
      </c>
      <c r="BJ140" s="746">
        <f t="shared" si="75"/>
        <v>370440.63170501485</v>
      </c>
      <c r="BK140" s="416">
        <f t="shared" si="76"/>
        <v>0</v>
      </c>
      <c r="BL140" s="97">
        <f t="shared" si="72"/>
        <v>0</v>
      </c>
      <c r="BM140" s="524">
        <f t="shared" si="72"/>
        <v>0</v>
      </c>
      <c r="BN140" s="416">
        <f t="shared" si="72"/>
        <v>8186232.995475417</v>
      </c>
      <c r="BO140" s="97">
        <f t="shared" si="72"/>
        <v>8194763.2462747367</v>
      </c>
      <c r="BP140" s="97">
        <f t="shared" si="72"/>
        <v>8371294.6120736459</v>
      </c>
      <c r="BQ140" s="97">
        <f t="shared" si="72"/>
        <v>8938553.1945444737</v>
      </c>
      <c r="BR140" s="98">
        <f t="shared" si="72"/>
        <v>9698666.2716840953</v>
      </c>
    </row>
    <row r="141" spans="1:74" x14ac:dyDescent="0.25">
      <c r="A141" s="81" t="s">
        <v>106</v>
      </c>
      <c r="B141" s="171"/>
      <c r="C141" s="82" t="s">
        <v>272</v>
      </c>
      <c r="D141" s="172">
        <f t="shared" si="73"/>
        <v>4146752</v>
      </c>
      <c r="E141" s="173">
        <f t="shared" si="67"/>
        <v>8408243</v>
      </c>
      <c r="F141" s="173">
        <f t="shared" si="67"/>
        <v>6340596</v>
      </c>
      <c r="G141" s="173">
        <f t="shared" si="67"/>
        <v>5329626.9800492655</v>
      </c>
      <c r="H141" s="173">
        <f t="shared" si="67"/>
        <v>5373901.7469884073</v>
      </c>
      <c r="I141" s="173">
        <f t="shared" si="67"/>
        <v>7169379.041949396</v>
      </c>
      <c r="J141" s="173">
        <f t="shared" si="67"/>
        <v>10976147.460494608</v>
      </c>
      <c r="K141" s="173">
        <f t="shared" si="67"/>
        <v>8732459.3557683397</v>
      </c>
      <c r="L141" s="173">
        <f t="shared" si="67"/>
        <v>14365479.53456215</v>
      </c>
      <c r="M141" s="173">
        <f t="shared" si="68"/>
        <v>29008429.56946288</v>
      </c>
      <c r="N141" s="173">
        <f t="shared" si="68"/>
        <v>33589114.92281992</v>
      </c>
      <c r="O141" s="580">
        <f t="shared" si="67"/>
        <v>5579273.6825825097</v>
      </c>
      <c r="P141" s="576">
        <f t="shared" si="67"/>
        <v>11144545.278849451</v>
      </c>
      <c r="Q141" s="576">
        <f t="shared" si="67"/>
        <v>8318898.3960629534</v>
      </c>
      <c r="R141" s="576">
        <f t="shared" si="67"/>
        <v>6859852.1562611535</v>
      </c>
      <c r="S141" s="576">
        <f t="shared" si="67"/>
        <v>6776053.732808304</v>
      </c>
      <c r="T141" s="576">
        <f t="shared" si="67"/>
        <v>8898262.5702507924</v>
      </c>
      <c r="U141" s="576">
        <f t="shared" si="67"/>
        <v>13670659.660822</v>
      </c>
      <c r="V141" s="576">
        <f t="shared" si="67"/>
        <v>10473351.883128501</v>
      </c>
      <c r="W141" s="576">
        <f t="shared" si="67"/>
        <v>16231946.55518141</v>
      </c>
      <c r="X141" s="576">
        <f t="shared" si="69"/>
        <v>30849331.374418311</v>
      </c>
      <c r="Y141" s="576">
        <f t="shared" si="69"/>
        <v>34512764.504768968</v>
      </c>
      <c r="Z141" s="174">
        <f t="shared" si="67"/>
        <v>5614</v>
      </c>
      <c r="AA141" s="175">
        <f t="shared" si="67"/>
        <v>10916</v>
      </c>
      <c r="AB141" s="175">
        <f t="shared" si="67"/>
        <v>6160</v>
      </c>
      <c r="AC141" s="175">
        <f t="shared" si="67"/>
        <v>5522.46</v>
      </c>
      <c r="AD141" s="175">
        <f t="shared" si="67"/>
        <v>7067.5583333333334</v>
      </c>
      <c r="AE141" s="175">
        <f t="shared" si="67"/>
        <v>9771.449771354999</v>
      </c>
      <c r="AF141" s="175">
        <f t="shared" si="67"/>
        <v>13949.404546907994</v>
      </c>
      <c r="AG141" s="175">
        <f t="shared" si="70"/>
        <v>1242.4621907900189</v>
      </c>
      <c r="AH141" s="175">
        <f t="shared" si="70"/>
        <v>13752.624848082978</v>
      </c>
      <c r="AI141" s="175">
        <f t="shared" si="70"/>
        <v>19671.469987090994</v>
      </c>
      <c r="AJ141" s="175">
        <f t="shared" si="70"/>
        <v>14776.880084709986</v>
      </c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388">
        <f t="shared" si="74"/>
        <v>1531.4158094291736</v>
      </c>
      <c r="AX141" s="388"/>
      <c r="AY141" s="19"/>
      <c r="AZ141" s="19"/>
      <c r="BA141" s="19"/>
      <c r="BB141" s="699">
        <f t="shared" si="71"/>
        <v>17338.357464185465</v>
      </c>
      <c r="BC141" s="689">
        <f t="shared" si="71"/>
        <v>17508.467067597943</v>
      </c>
      <c r="BD141" s="521">
        <f t="shared" si="71"/>
        <v>17508.467067597943</v>
      </c>
      <c r="BE141" s="421">
        <f t="shared" si="71"/>
        <v>18073.445093230996</v>
      </c>
      <c r="BF141" s="96">
        <f t="shared" si="71"/>
        <v>18191.246298465947</v>
      </c>
      <c r="BG141" s="96">
        <f t="shared" si="71"/>
        <v>18269.780435289242</v>
      </c>
      <c r="BH141" s="96">
        <f t="shared" si="71"/>
        <v>18348.314572112544</v>
      </c>
      <c r="BI141" s="286">
        <f t="shared" si="71"/>
        <v>18387.581640524189</v>
      </c>
      <c r="BJ141" s="746">
        <f t="shared" si="75"/>
        <v>1547.0380744751837</v>
      </c>
      <c r="BK141" s="416">
        <f t="shared" si="76"/>
        <v>0</v>
      </c>
      <c r="BL141" s="97">
        <f t="shared" si="72"/>
        <v>0</v>
      </c>
      <c r="BM141" s="524">
        <f t="shared" si="72"/>
        <v>0</v>
      </c>
      <c r="BN141" s="416">
        <f t="shared" si="72"/>
        <v>27677959.546624072</v>
      </c>
      <c r="BO141" s="97">
        <f t="shared" si="72"/>
        <v>27989699.866141096</v>
      </c>
      <c r="BP141" s="97">
        <f t="shared" si="72"/>
        <v>28242406.146504272</v>
      </c>
      <c r="BQ141" s="97">
        <f t="shared" si="72"/>
        <v>28521676.428639706</v>
      </c>
      <c r="BR141" s="98">
        <f t="shared" si="72"/>
        <v>28766992.440750431</v>
      </c>
    </row>
    <row r="142" spans="1:74" x14ac:dyDescent="0.25">
      <c r="A142" s="81" t="s">
        <v>138</v>
      </c>
      <c r="B142" s="171"/>
      <c r="C142" s="82" t="s">
        <v>413</v>
      </c>
      <c r="D142" s="172">
        <f t="shared" si="73"/>
        <v>24642938</v>
      </c>
      <c r="E142" s="173">
        <f t="shared" si="67"/>
        <v>42421971</v>
      </c>
      <c r="F142" s="173">
        <f t="shared" si="67"/>
        <v>37104572</v>
      </c>
      <c r="G142" s="173">
        <f t="shared" si="67"/>
        <v>37889559.919187427</v>
      </c>
      <c r="H142" s="173">
        <f t="shared" si="67"/>
        <v>37931210</v>
      </c>
      <c r="I142" s="173">
        <f t="shared" si="67"/>
        <v>49268551.488051273</v>
      </c>
      <c r="J142" s="173">
        <f t="shared" si="67"/>
        <v>65736324.654129915</v>
      </c>
      <c r="K142" s="173">
        <f t="shared" si="67"/>
        <v>51304288.495466486</v>
      </c>
      <c r="L142" s="173">
        <f t="shared" si="67"/>
        <v>59088553.951445639</v>
      </c>
      <c r="M142" s="173">
        <f t="shared" si="68"/>
        <v>60092439.413900979</v>
      </c>
      <c r="N142" s="173">
        <f t="shared" si="68"/>
        <v>64972653.530708782</v>
      </c>
      <c r="O142" s="580">
        <f t="shared" si="67"/>
        <v>33155996.655915879</v>
      </c>
      <c r="P142" s="576">
        <f t="shared" si="67"/>
        <v>56227392.170699447</v>
      </c>
      <c r="Q142" s="576">
        <f t="shared" si="67"/>
        <v>48681411.731231943</v>
      </c>
      <c r="R142" s="576">
        <f t="shared" si="67"/>
        <v>48768287.214919046</v>
      </c>
      <c r="S142" s="576">
        <f t="shared" si="67"/>
        <v>47828175.729947925</v>
      </c>
      <c r="T142" s="576">
        <f t="shared" si="67"/>
        <v>61149578.649896011</v>
      </c>
      <c r="U142" s="576">
        <f t="shared" si="67"/>
        <v>81873801.799253255</v>
      </c>
      <c r="V142" s="576">
        <f t="shared" si="67"/>
        <v>61532249.35099446</v>
      </c>
      <c r="W142" s="576">
        <f t="shared" si="67"/>
        <v>66765766.325812548</v>
      </c>
      <c r="X142" s="576">
        <f t="shared" si="69"/>
        <v>63905961.270240247</v>
      </c>
      <c r="Y142" s="576">
        <f t="shared" si="69"/>
        <v>66759302.699930824</v>
      </c>
      <c r="Z142" s="174">
        <f t="shared" si="67"/>
        <v>1221</v>
      </c>
      <c r="AA142" s="175">
        <f t="shared" si="67"/>
        <v>1752</v>
      </c>
      <c r="AB142" s="175">
        <f t="shared" si="67"/>
        <v>1509</v>
      </c>
      <c r="AC142" s="175">
        <f t="shared" si="67"/>
        <v>1211</v>
      </c>
      <c r="AD142" s="175">
        <f t="shared" si="67"/>
        <v>1499</v>
      </c>
      <c r="AE142" s="175">
        <f t="shared" si="67"/>
        <v>1747</v>
      </c>
      <c r="AF142" s="175">
        <f t="shared" si="67"/>
        <v>2261</v>
      </c>
      <c r="AG142" s="175">
        <f t="shared" si="70"/>
        <v>2140</v>
      </c>
      <c r="AH142" s="175">
        <f t="shared" si="70"/>
        <v>2000</v>
      </c>
      <c r="AI142" s="175">
        <f t="shared" si="70"/>
        <v>1462</v>
      </c>
      <c r="AJ142" s="175">
        <f t="shared" si="70"/>
        <v>1284</v>
      </c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388">
        <f t="shared" si="74"/>
        <v>43594.758301985545</v>
      </c>
      <c r="AX142" s="388"/>
      <c r="AY142" s="19"/>
      <c r="AZ142" s="19"/>
      <c r="BA142" s="19"/>
      <c r="BB142" s="699">
        <f t="shared" si="71"/>
        <v>1757.4666666666669</v>
      </c>
      <c r="BC142" s="689">
        <f t="shared" si="71"/>
        <v>1634.9170821211947</v>
      </c>
      <c r="BD142" s="521">
        <f t="shared" si="71"/>
        <v>1636.9170821211947</v>
      </c>
      <c r="BE142" s="421">
        <f t="shared" si="71"/>
        <v>942.30424477936936</v>
      </c>
      <c r="BF142" s="96">
        <f t="shared" si="71"/>
        <v>949.55876292157745</v>
      </c>
      <c r="BG142" s="96">
        <f t="shared" si="71"/>
        <v>962.72844168304937</v>
      </c>
      <c r="BH142" s="96">
        <f t="shared" si="71"/>
        <v>958.89812044452151</v>
      </c>
      <c r="BI142" s="286">
        <f t="shared" si="71"/>
        <v>965.98295982525747</v>
      </c>
      <c r="BJ142" s="746">
        <f t="shared" si="75"/>
        <v>50501.416787367285</v>
      </c>
      <c r="BK142" s="416">
        <f t="shared" si="76"/>
        <v>0</v>
      </c>
      <c r="BL142" s="97">
        <f t="shared" si="72"/>
        <v>0</v>
      </c>
      <c r="BM142" s="524">
        <f t="shared" si="72"/>
        <v>0</v>
      </c>
      <c r="BN142" s="416">
        <f t="shared" si="72"/>
        <v>41079525.798091628</v>
      </c>
      <c r="BO142" s="97">
        <f t="shared" si="72"/>
        <v>44057374.651565582</v>
      </c>
      <c r="BP142" s="97">
        <f t="shared" si="72"/>
        <v>46414919.99906379</v>
      </c>
      <c r="BQ142" s="97">
        <f t="shared" si="72"/>
        <v>52480564.761711575</v>
      </c>
      <c r="BR142" s="98">
        <f t="shared" si="72"/>
        <v>57337749.033385389</v>
      </c>
    </row>
    <row r="143" spans="1:74" x14ac:dyDescent="0.25">
      <c r="A143" s="81" t="s">
        <v>196</v>
      </c>
      <c r="B143" s="171"/>
      <c r="C143" s="82" t="s">
        <v>274</v>
      </c>
      <c r="D143" s="172">
        <f t="shared" si="73"/>
        <v>14131679</v>
      </c>
      <c r="E143" s="173">
        <f t="shared" si="67"/>
        <v>23088912</v>
      </c>
      <c r="F143" s="173">
        <f t="shared" si="67"/>
        <v>20859738</v>
      </c>
      <c r="G143" s="173">
        <f t="shared" si="67"/>
        <v>19624573.865534991</v>
      </c>
      <c r="H143" s="173">
        <f t="shared" si="67"/>
        <v>25161373.955975525</v>
      </c>
      <c r="I143" s="173">
        <f t="shared" si="67"/>
        <v>34666067.076448224</v>
      </c>
      <c r="J143" s="173">
        <f t="shared" si="67"/>
        <v>47462259.052836105</v>
      </c>
      <c r="K143" s="173">
        <f t="shared" si="67"/>
        <v>52520605.498206444</v>
      </c>
      <c r="L143" s="173">
        <f t="shared" si="67"/>
        <v>49835298.063523948</v>
      </c>
      <c r="M143" s="173">
        <f t="shared" si="68"/>
        <v>58099662.579771347</v>
      </c>
      <c r="N143" s="173">
        <f t="shared" si="68"/>
        <v>60891343.010304548</v>
      </c>
      <c r="O143" s="580">
        <f t="shared" si="67"/>
        <v>19013556.811548881</v>
      </c>
      <c r="P143" s="576">
        <f t="shared" si="67"/>
        <v>30602757.939247288</v>
      </c>
      <c r="Q143" s="576">
        <f t="shared" si="67"/>
        <v>27368096.152237654</v>
      </c>
      <c r="R143" s="576">
        <f t="shared" si="67"/>
        <v>25259117.730215352</v>
      </c>
      <c r="S143" s="576">
        <f t="shared" si="67"/>
        <v>31726449.411271937</v>
      </c>
      <c r="T143" s="576">
        <f t="shared" si="67"/>
        <v>43025730.027560167</v>
      </c>
      <c r="U143" s="576">
        <f t="shared" si="67"/>
        <v>59113672.860208832</v>
      </c>
      <c r="V143" s="576">
        <f t="shared" si="67"/>
        <v>62991049.839165397</v>
      </c>
      <c r="W143" s="576">
        <f t="shared" si="67"/>
        <v>56310260.495130196</v>
      </c>
      <c r="X143" s="576">
        <f t="shared" si="69"/>
        <v>61786720.972721867</v>
      </c>
      <c r="Y143" s="576">
        <f t="shared" si="69"/>
        <v>62565762.346598938</v>
      </c>
      <c r="Z143" s="174">
        <f t="shared" si="67"/>
        <v>1713</v>
      </c>
      <c r="AA143" s="175">
        <f t="shared" si="67"/>
        <v>2405</v>
      </c>
      <c r="AB143" s="175">
        <f t="shared" si="67"/>
        <v>2459</v>
      </c>
      <c r="AC143" s="175">
        <f t="shared" si="67"/>
        <v>2598</v>
      </c>
      <c r="AD143" s="175">
        <f t="shared" si="67"/>
        <v>3369</v>
      </c>
      <c r="AE143" s="175">
        <f t="shared" si="67"/>
        <v>73303</v>
      </c>
      <c r="AF143" s="175">
        <f t="shared" si="67"/>
        <v>4927</v>
      </c>
      <c r="AG143" s="175">
        <f t="shared" si="70"/>
        <v>4869</v>
      </c>
      <c r="AH143" s="175">
        <f t="shared" si="70"/>
        <v>4809</v>
      </c>
      <c r="AI143" s="175">
        <f t="shared" si="70"/>
        <v>4486</v>
      </c>
      <c r="AJ143" s="175">
        <f t="shared" si="70"/>
        <v>3806.0009999989998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388">
        <f t="shared" si="74"/>
        <v>17292.153444923752</v>
      </c>
      <c r="AX143" s="388"/>
      <c r="AY143" s="19"/>
      <c r="AZ143" s="19"/>
      <c r="BA143" s="19"/>
      <c r="BB143" s="699">
        <f t="shared" si="71"/>
        <v>4427.5333333333338</v>
      </c>
      <c r="BC143" s="689">
        <f t="shared" si="71"/>
        <v>4054.5425304371051</v>
      </c>
      <c r="BD143" s="521">
        <f t="shared" si="71"/>
        <v>4099.5425304371056</v>
      </c>
      <c r="BE143" s="421">
        <f>SUMIF($A$7:$A$132,$A143,BE$7:BE$132)</f>
        <v>2461.4294375386917</v>
      </c>
      <c r="BF143" s="96">
        <f t="shared" si="71"/>
        <v>2546.60312430251</v>
      </c>
      <c r="BG143" s="96">
        <f t="shared" si="71"/>
        <v>2533.3855821450552</v>
      </c>
      <c r="BH143" s="96">
        <f t="shared" si="71"/>
        <v>2562.1680399876009</v>
      </c>
      <c r="BI143" s="286">
        <f t="shared" si="71"/>
        <v>2548.5592689088735</v>
      </c>
      <c r="BJ143" s="746">
        <f>SUM(BN97:BR101)/SUM(BE97:BI101)</f>
        <v>16760.850091852481</v>
      </c>
      <c r="BK143" s="416">
        <f t="shared" si="76"/>
        <v>0</v>
      </c>
      <c r="BL143" s="97">
        <f t="shared" si="72"/>
        <v>0</v>
      </c>
      <c r="BM143" s="524">
        <f t="shared" si="72"/>
        <v>0</v>
      </c>
      <c r="BN143" s="416">
        <f t="shared" si="72"/>
        <v>42563415.527771421</v>
      </c>
      <c r="BO143" s="97">
        <f t="shared" si="72"/>
        <v>42521728.719301529</v>
      </c>
      <c r="BP143" s="97">
        <f t="shared" si="72"/>
        <v>44224610.967832685</v>
      </c>
      <c r="BQ143" s="97">
        <f t="shared" si="72"/>
        <v>42756054.810943238</v>
      </c>
      <c r="BR143" s="98">
        <f t="shared" si="72"/>
        <v>44652581.338540815</v>
      </c>
    </row>
    <row r="144" spans="1:74" x14ac:dyDescent="0.25">
      <c r="A144" s="81" t="s">
        <v>224</v>
      </c>
      <c r="B144" s="171"/>
      <c r="C144" s="82" t="s">
        <v>414</v>
      </c>
      <c r="D144" s="172">
        <f t="shared" si="73"/>
        <v>3260512</v>
      </c>
      <c r="E144" s="173">
        <f t="shared" si="67"/>
        <v>4086266.9999999995</v>
      </c>
      <c r="F144" s="173">
        <f t="shared" si="67"/>
        <v>4192455</v>
      </c>
      <c r="G144" s="173">
        <f t="shared" si="67"/>
        <v>4410554.0450659376</v>
      </c>
      <c r="H144" s="173">
        <f t="shared" si="67"/>
        <v>3413421</v>
      </c>
      <c r="I144" s="173">
        <f t="shared" si="67"/>
        <v>4374566.5057304045</v>
      </c>
      <c r="J144" s="173">
        <f t="shared" si="67"/>
        <v>6890744.8346753484</v>
      </c>
      <c r="K144" s="173">
        <f t="shared" si="67"/>
        <v>4070512.7243555477</v>
      </c>
      <c r="L144" s="173">
        <f t="shared" si="67"/>
        <v>3889023.0948522822</v>
      </c>
      <c r="M144" s="173">
        <f t="shared" si="68"/>
        <v>5373580.8889604211</v>
      </c>
      <c r="N144" s="173">
        <f t="shared" si="68"/>
        <v>620947.42080519698</v>
      </c>
      <c r="O144" s="580">
        <f t="shared" si="67"/>
        <v>4386876.474248874</v>
      </c>
      <c r="P144" s="576">
        <f t="shared" si="67"/>
        <v>5416064.6407303307</v>
      </c>
      <c r="Q144" s="576">
        <f t="shared" si="67"/>
        <v>5500525.0571186226</v>
      </c>
      <c r="R144" s="576">
        <f t="shared" si="67"/>
        <v>5676897.9873469956</v>
      </c>
      <c r="S144" s="576">
        <f t="shared" si="67"/>
        <v>4304046.7052934654</v>
      </c>
      <c r="T144" s="576">
        <f t="shared" si="67"/>
        <v>5429485.7575879339</v>
      </c>
      <c r="U144" s="576">
        <f t="shared" si="67"/>
        <v>8582339.822188301</v>
      </c>
      <c r="V144" s="576">
        <f t="shared" si="67"/>
        <v>4882005.2141172187</v>
      </c>
      <c r="W144" s="576">
        <f t="shared" si="67"/>
        <v>4394313.108422976</v>
      </c>
      <c r="X144" s="576">
        <f t="shared" si="69"/>
        <v>5714593.3086046334</v>
      </c>
      <c r="Y144" s="576">
        <f t="shared" si="69"/>
        <v>6007758.0485386178</v>
      </c>
      <c r="Z144" s="174">
        <f t="shared" si="67"/>
        <v>2616</v>
      </c>
      <c r="AA144" s="175">
        <f t="shared" si="67"/>
        <v>3025</v>
      </c>
      <c r="AB144" s="175">
        <f t="shared" si="67"/>
        <v>2428</v>
      </c>
      <c r="AC144" s="175">
        <f t="shared" si="67"/>
        <v>2866</v>
      </c>
      <c r="AD144" s="175">
        <f t="shared" si="67"/>
        <v>2578</v>
      </c>
      <c r="AE144" s="175">
        <f t="shared" si="67"/>
        <v>2687</v>
      </c>
      <c r="AF144" s="175">
        <f t="shared" si="67"/>
        <v>5294</v>
      </c>
      <c r="AG144" s="175">
        <f t="shared" si="70"/>
        <v>3458</v>
      </c>
      <c r="AH144" s="175">
        <f t="shared" si="70"/>
        <v>2346</v>
      </c>
      <c r="AI144" s="175">
        <f t="shared" si="70"/>
        <v>2518</v>
      </c>
      <c r="AJ144" s="175">
        <f t="shared" si="70"/>
        <v>155</v>
      </c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388" t="e">
        <f t="shared" si="74"/>
        <v>#DIV/0!</v>
      </c>
      <c r="AX144" s="388"/>
      <c r="AY144" s="19"/>
      <c r="AZ144" s="19"/>
      <c r="BA144" s="19"/>
      <c r="BB144" s="699">
        <f t="shared" si="71"/>
        <v>0</v>
      </c>
      <c r="BC144" s="689">
        <f t="shared" si="71"/>
        <v>0</v>
      </c>
      <c r="BD144" s="521">
        <f t="shared" si="71"/>
        <v>0</v>
      </c>
      <c r="BE144" s="421">
        <f t="shared" si="71"/>
        <v>0</v>
      </c>
      <c r="BF144" s="96">
        <f t="shared" si="71"/>
        <v>0</v>
      </c>
      <c r="BG144" s="96">
        <f>SUMIF($A$7:$A$132,$A144,BG$7:BG$132)</f>
        <v>0</v>
      </c>
      <c r="BH144" s="96">
        <f t="shared" si="71"/>
        <v>0</v>
      </c>
      <c r="BI144" s="286">
        <f t="shared" si="71"/>
        <v>0</v>
      </c>
      <c r="BJ144" s="99">
        <f t="shared" ref="BJ144:BJ146" si="77">IFERROR(BR144/BI144,0)</f>
        <v>0</v>
      </c>
      <c r="BK144" s="416">
        <f t="shared" si="76"/>
        <v>0</v>
      </c>
      <c r="BL144" s="97">
        <f t="shared" si="72"/>
        <v>0</v>
      </c>
      <c r="BM144" s="524">
        <f t="shared" si="72"/>
        <v>0</v>
      </c>
      <c r="BN144" s="416">
        <f t="shared" si="72"/>
        <v>0</v>
      </c>
      <c r="BO144" s="97">
        <f t="shared" si="72"/>
        <v>0</v>
      </c>
      <c r="BP144" s="97">
        <f t="shared" si="72"/>
        <v>0</v>
      </c>
      <c r="BQ144" s="97">
        <f t="shared" si="72"/>
        <v>0</v>
      </c>
      <c r="BR144" s="98">
        <f t="shared" si="72"/>
        <v>0</v>
      </c>
    </row>
    <row r="145" spans="1:71" x14ac:dyDescent="0.25">
      <c r="A145" s="81" t="s">
        <v>242</v>
      </c>
      <c r="B145" s="171"/>
      <c r="C145" s="82" t="s">
        <v>415</v>
      </c>
      <c r="D145" s="172">
        <f t="shared" si="73"/>
        <v>5089</v>
      </c>
      <c r="E145" s="173">
        <f t="shared" si="67"/>
        <v>0</v>
      </c>
      <c r="F145" s="173">
        <f t="shared" si="67"/>
        <v>651258</v>
      </c>
      <c r="G145" s="173">
        <f t="shared" si="67"/>
        <v>617026.66915010102</v>
      </c>
      <c r="H145" s="173">
        <f t="shared" si="67"/>
        <v>20358</v>
      </c>
      <c r="I145" s="173">
        <f t="shared" si="67"/>
        <v>112730.04323198114</v>
      </c>
      <c r="J145" s="173">
        <f t="shared" si="67"/>
        <v>69084.392102603015</v>
      </c>
      <c r="K145" s="173">
        <f t="shared" si="67"/>
        <v>427714.70023235702</v>
      </c>
      <c r="L145" s="173">
        <f t="shared" si="67"/>
        <v>5806549.5256795026</v>
      </c>
      <c r="M145" s="173">
        <f t="shared" si="68"/>
        <v>1871992.2575244261</v>
      </c>
      <c r="N145" s="173">
        <f t="shared" si="68"/>
        <v>4901.07</v>
      </c>
      <c r="O145" s="580">
        <f t="shared" si="67"/>
        <v>6847.0272084422686</v>
      </c>
      <c r="P145" s="576">
        <f t="shared" si="67"/>
        <v>0</v>
      </c>
      <c r="Q145" s="576">
        <f t="shared" si="67"/>
        <v>854454.23925813381</v>
      </c>
      <c r="R145" s="576">
        <f t="shared" si="67"/>
        <v>794185.36094262125</v>
      </c>
      <c r="S145" s="576">
        <f t="shared" si="67"/>
        <v>25669.784895084544</v>
      </c>
      <c r="T145" s="576">
        <f t="shared" si="67"/>
        <v>139914.70089174452</v>
      </c>
      <c r="U145" s="576">
        <f t="shared" si="67"/>
        <v>86043.779541834534</v>
      </c>
      <c r="V145" s="576">
        <f t="shared" si="67"/>
        <v>512983.38516299392</v>
      </c>
      <c r="W145" s="576">
        <f t="shared" si="67"/>
        <v>6560978.4444774091</v>
      </c>
      <c r="X145" s="576">
        <f t="shared" si="69"/>
        <v>1990790.619824158</v>
      </c>
      <c r="Y145" s="576">
        <f t="shared" si="69"/>
        <v>5035.8419720214342</v>
      </c>
      <c r="Z145" s="174">
        <f t="shared" si="67"/>
        <v>468</v>
      </c>
      <c r="AA145" s="175">
        <f t="shared" si="67"/>
        <v>0</v>
      </c>
      <c r="AB145" s="175">
        <f t="shared" si="67"/>
        <v>1</v>
      </c>
      <c r="AC145" s="175">
        <f t="shared" ref="AC145:AF145" si="78">SUMIF($A$7:$A$132,$A145,AC$7:AC$132)</f>
        <v>6</v>
      </c>
      <c r="AD145" s="175">
        <f t="shared" si="78"/>
        <v>2</v>
      </c>
      <c r="AE145" s="175">
        <f t="shared" si="78"/>
        <v>4000</v>
      </c>
      <c r="AF145" s="175">
        <f t="shared" si="78"/>
        <v>11893</v>
      </c>
      <c r="AG145" s="175">
        <f t="shared" si="70"/>
        <v>1.536</v>
      </c>
      <c r="AH145" s="175">
        <f t="shared" si="70"/>
        <v>2932</v>
      </c>
      <c r="AI145" s="175">
        <f t="shared" si="70"/>
        <v>534</v>
      </c>
      <c r="AJ145" s="175">
        <f t="shared" si="70"/>
        <v>127446</v>
      </c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388">
        <f t="shared" si="74"/>
        <v>109379.39084316368</v>
      </c>
      <c r="AX145" s="388"/>
      <c r="AY145" s="19"/>
      <c r="AZ145" s="19"/>
      <c r="BA145" s="19"/>
      <c r="BB145" s="699">
        <f t="shared" si="71"/>
        <v>0</v>
      </c>
      <c r="BC145" s="689">
        <f t="shared" si="71"/>
        <v>52</v>
      </c>
      <c r="BD145" s="521">
        <f t="shared" si="71"/>
        <v>102</v>
      </c>
      <c r="BE145" s="421">
        <f t="shared" si="71"/>
        <v>272.2</v>
      </c>
      <c r="BF145" s="96">
        <f t="shared" si="71"/>
        <v>503.2</v>
      </c>
      <c r="BG145" s="96">
        <f t="shared" si="71"/>
        <v>432</v>
      </c>
      <c r="BH145" s="96">
        <f t="shared" si="71"/>
        <v>384.2</v>
      </c>
      <c r="BI145" s="286">
        <f>SUMIF($A$7:$A$132,$A145,BI$7:BI$132)</f>
        <v>415</v>
      </c>
      <c r="BJ145" s="99">
        <f t="shared" si="77"/>
        <v>107567.667287826</v>
      </c>
      <c r="BK145" s="416">
        <f t="shared" si="76"/>
        <v>0</v>
      </c>
      <c r="BL145" s="97">
        <f t="shared" si="72"/>
        <v>0</v>
      </c>
      <c r="BM145" s="524">
        <f t="shared" si="72"/>
        <v>0</v>
      </c>
      <c r="BN145" s="416">
        <f t="shared" si="72"/>
        <v>29773070.187509153</v>
      </c>
      <c r="BO145" s="97">
        <f t="shared" si="72"/>
        <v>31184232.093528695</v>
      </c>
      <c r="BP145" s="97">
        <f t="shared" si="72"/>
        <v>39333761.036561541</v>
      </c>
      <c r="BQ145" s="97">
        <f t="shared" si="72"/>
        <v>42394543.069678657</v>
      </c>
      <c r="BR145" s="98">
        <f t="shared" si="72"/>
        <v>44640581.92444779</v>
      </c>
    </row>
    <row r="146" spans="1:71" ht="15.75" thickBot="1" x14ac:dyDescent="0.3">
      <c r="A146" s="100" t="s">
        <v>258</v>
      </c>
      <c r="B146" s="176"/>
      <c r="C146" s="101" t="s">
        <v>64</v>
      </c>
      <c r="D146" s="177">
        <f t="shared" si="73"/>
        <v>109374</v>
      </c>
      <c r="E146" s="178">
        <f t="shared" si="73"/>
        <v>112981</v>
      </c>
      <c r="F146" s="178">
        <f t="shared" si="73"/>
        <v>127343</v>
      </c>
      <c r="G146" s="178">
        <f t="shared" si="73"/>
        <v>252977</v>
      </c>
      <c r="H146" s="178">
        <f t="shared" si="73"/>
        <v>488816</v>
      </c>
      <c r="I146" s="178">
        <f t="shared" si="73"/>
        <v>160292.29457639801</v>
      </c>
      <c r="J146" s="178">
        <f t="shared" si="73"/>
        <v>6193237.9809230939</v>
      </c>
      <c r="K146" s="178">
        <f t="shared" si="73"/>
        <v>3065228.5843986962</v>
      </c>
      <c r="L146" s="178">
        <f t="shared" si="73"/>
        <v>545176.38275300618</v>
      </c>
      <c r="M146" s="178">
        <f t="shared" si="73"/>
        <v>7343677.0753315194</v>
      </c>
      <c r="N146" s="178">
        <f t="shared" si="73"/>
        <v>10453814.108137006</v>
      </c>
      <c r="O146" s="582">
        <f t="shared" si="73"/>
        <v>147157.93945690012</v>
      </c>
      <c r="P146" s="577">
        <f t="shared" si="73"/>
        <v>149748.51109199505</v>
      </c>
      <c r="Q146" s="577">
        <f t="shared" si="73"/>
        <v>167074.74793376596</v>
      </c>
      <c r="R146" s="577">
        <f t="shared" si="73"/>
        <v>325610.93401670613</v>
      </c>
      <c r="S146" s="577">
        <f t="shared" si="73"/>
        <v>616357.28329284047</v>
      </c>
      <c r="T146" s="577">
        <f t="shared" si="73"/>
        <v>198946.50802853232</v>
      </c>
      <c r="U146" s="577">
        <f t="shared" ref="U146:AF146" si="79">SUMIF($A$7:$A$132,$A146,U$7:U$132)</f>
        <v>7713603.4241891308</v>
      </c>
      <c r="V146" s="577">
        <f t="shared" si="79"/>
        <v>3676308.8448187504</v>
      </c>
      <c r="W146" s="577">
        <f t="shared" si="79"/>
        <v>616009.64219142857</v>
      </c>
      <c r="X146" s="577">
        <f t="shared" si="79"/>
        <v>7809713.6234533461</v>
      </c>
      <c r="Y146" s="577">
        <f t="shared" si="79"/>
        <v>10741278.099163275</v>
      </c>
      <c r="Z146" s="179">
        <f t="shared" si="79"/>
        <v>10</v>
      </c>
      <c r="AA146" s="180">
        <f t="shared" si="79"/>
        <v>15</v>
      </c>
      <c r="AB146" s="180">
        <f t="shared" si="79"/>
        <v>23</v>
      </c>
      <c r="AC146" s="180">
        <f t="shared" si="79"/>
        <v>17</v>
      </c>
      <c r="AD146" s="180">
        <f t="shared" si="79"/>
        <v>25</v>
      </c>
      <c r="AE146" s="180">
        <f t="shared" si="79"/>
        <v>1165</v>
      </c>
      <c r="AF146" s="180">
        <f t="shared" si="79"/>
        <v>1090</v>
      </c>
      <c r="AG146" s="180">
        <f t="shared" si="70"/>
        <v>1264</v>
      </c>
      <c r="AH146" s="180">
        <f t="shared" si="70"/>
        <v>1108</v>
      </c>
      <c r="AI146" s="180">
        <f t="shared" si="70"/>
        <v>1479</v>
      </c>
      <c r="AJ146" s="180">
        <f t="shared" si="70"/>
        <v>1083.1666666670001</v>
      </c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388">
        <f t="shared" si="74"/>
        <v>780200.79918395134</v>
      </c>
      <c r="AX146" s="388"/>
      <c r="AY146" s="19"/>
      <c r="AZ146" s="19"/>
      <c r="BA146" s="19"/>
      <c r="BB146" s="700">
        <f t="shared" si="71"/>
        <v>0</v>
      </c>
      <c r="BC146" s="690">
        <f t="shared" si="71"/>
        <v>40</v>
      </c>
      <c r="BD146" s="522">
        <f t="shared" si="71"/>
        <v>50</v>
      </c>
      <c r="BE146" s="422">
        <f t="shared" si="71"/>
        <v>36</v>
      </c>
      <c r="BF146" s="115">
        <f t="shared" si="71"/>
        <v>197.08506520856608</v>
      </c>
      <c r="BG146" s="115">
        <f t="shared" si="71"/>
        <v>113.84506930552209</v>
      </c>
      <c r="BH146" s="115">
        <f t="shared" si="71"/>
        <v>354.87622818556213</v>
      </c>
      <c r="BI146" s="287">
        <f t="shared" si="71"/>
        <v>458.92522796535678</v>
      </c>
      <c r="BJ146" s="116">
        <f t="shared" si="77"/>
        <v>77141.623605460583</v>
      </c>
      <c r="BK146" s="417">
        <f t="shared" si="76"/>
        <v>0</v>
      </c>
      <c r="BL146" s="181">
        <f t="shared" si="72"/>
        <v>0</v>
      </c>
      <c r="BM146" s="525">
        <f t="shared" si="72"/>
        <v>0</v>
      </c>
      <c r="BN146" s="467">
        <f t="shared" si="72"/>
        <v>28087228.77062225</v>
      </c>
      <c r="BO146" s="117">
        <f t="shared" si="72"/>
        <v>26228871.492821775</v>
      </c>
      <c r="BP146" s="117">
        <f t="shared" si="72"/>
        <v>25535586.425178569</v>
      </c>
      <c r="BQ146" s="117">
        <f t="shared" si="72"/>
        <v>30534373.874960165</v>
      </c>
      <c r="BR146" s="118">
        <f t="shared" si="72"/>
        <v>35402237.198753744</v>
      </c>
    </row>
    <row r="147" spans="1:71" ht="15.75" thickBot="1" x14ac:dyDescent="0.3">
      <c r="D147" s="183">
        <f>SUM(D136:D146)</f>
        <v>95141198</v>
      </c>
      <c r="E147" s="184">
        <f t="shared" ref="E147:L147" si="80">SUM(E136:E146)</f>
        <v>147041615</v>
      </c>
      <c r="F147" s="184">
        <f t="shared" si="80"/>
        <v>141620382</v>
      </c>
      <c r="G147" s="184">
        <f t="shared" si="80"/>
        <v>137594919</v>
      </c>
      <c r="H147" s="184">
        <f t="shared" si="80"/>
        <v>165761807</v>
      </c>
      <c r="I147" s="184">
        <f t="shared" si="80"/>
        <v>217731522.16976923</v>
      </c>
      <c r="J147" s="184">
        <f t="shared" si="80"/>
        <v>332104725.7142939</v>
      </c>
      <c r="K147" s="184">
        <f t="shared" si="80"/>
        <v>347205605.19673884</v>
      </c>
      <c r="L147" s="184">
        <f t="shared" si="80"/>
        <v>336149388.47895175</v>
      </c>
      <c r="M147" s="184">
        <f t="shared" ref="M147:N147" si="81">SUM(M136:M146)</f>
        <v>375827657.08846843</v>
      </c>
      <c r="N147" s="184">
        <f t="shared" si="81"/>
        <v>425937968.06485802</v>
      </c>
      <c r="O147" s="183">
        <f>SUM(O136:O146)</f>
        <v>128008326.06598413</v>
      </c>
      <c r="P147" s="184">
        <f t="shared" ref="P147:W147" si="82">SUM(P136:P146)</f>
        <v>194893503.46352366</v>
      </c>
      <c r="Q147" s="184">
        <f t="shared" si="82"/>
        <v>185806755.18036836</v>
      </c>
      <c r="R147" s="184">
        <f t="shared" si="82"/>
        <v>177100724.93366206</v>
      </c>
      <c r="S147" s="184">
        <f t="shared" si="82"/>
        <v>209012178.48072106</v>
      </c>
      <c r="T147" s="184">
        <f t="shared" si="82"/>
        <v>270237107.3911289</v>
      </c>
      <c r="U147" s="184">
        <f t="shared" si="82"/>
        <v>413632441.92294818</v>
      </c>
      <c r="V147" s="184">
        <f t="shared" si="82"/>
        <v>416424094.38962471</v>
      </c>
      <c r="W147" s="184">
        <f t="shared" si="82"/>
        <v>379824348.72568727</v>
      </c>
      <c r="X147" s="184">
        <f t="shared" ref="X147:Y147" si="83">SUM(X136:X146)</f>
        <v>399678028.25832504</v>
      </c>
      <c r="Y147" s="184">
        <f t="shared" si="83"/>
        <v>439142618.19593102</v>
      </c>
      <c r="BB147" s="685"/>
      <c r="BC147" s="685"/>
      <c r="BD147" s="19"/>
      <c r="BE147" s="19"/>
      <c r="BF147" s="19"/>
      <c r="BG147" s="19"/>
      <c r="BH147" s="19"/>
      <c r="BI147" s="282"/>
      <c r="BJ147" s="19"/>
      <c r="BK147" s="183">
        <f>SUM(BK136:BK146)</f>
        <v>0</v>
      </c>
      <c r="BL147" s="184">
        <f t="shared" ref="BL147:BR147" si="84">SUM(BL136:BL146)</f>
        <v>0</v>
      </c>
      <c r="BM147" s="526">
        <f t="shared" si="84"/>
        <v>0</v>
      </c>
      <c r="BN147" s="527">
        <f t="shared" si="84"/>
        <v>431785456.25777805</v>
      </c>
      <c r="BO147" s="528">
        <f t="shared" si="84"/>
        <v>439008608.73402268</v>
      </c>
      <c r="BP147" s="528">
        <f t="shared" si="84"/>
        <v>454249549.98489273</v>
      </c>
      <c r="BQ147" s="528">
        <f t="shared" si="84"/>
        <v>471259849.16749591</v>
      </c>
      <c r="BR147" s="529">
        <f t="shared" si="84"/>
        <v>488710947.89211106</v>
      </c>
      <c r="BS147" s="164">
        <f>SUM(BN147:BR147)</f>
        <v>2285014412.0363007</v>
      </c>
    </row>
    <row r="149" spans="1:71" x14ac:dyDescent="0.25">
      <c r="AI149">
        <f>SUM(K138:M138)/SUM(AG138:AI138)</f>
        <v>2615.8351617585745</v>
      </c>
      <c r="AK149">
        <f>AI149*1.05</f>
        <v>2746.6269198465034</v>
      </c>
      <c r="BI149" s="650"/>
      <c r="BJ149" s="395"/>
    </row>
    <row r="150" spans="1:71" x14ac:dyDescent="0.25">
      <c r="BI150" s="650"/>
      <c r="BJ150" s="395"/>
    </row>
    <row r="151" spans="1:71" x14ac:dyDescent="0.25">
      <c r="BE151" s="650"/>
      <c r="BF151" s="650"/>
      <c r="BG151" s="650"/>
      <c r="BH151" s="650"/>
      <c r="BI151" s="650"/>
      <c r="BM151" s="24" t="s">
        <v>815</v>
      </c>
      <c r="BN151" s="900">
        <f>'Summary 2023$'!BN154</f>
        <v>1.1085579275450188</v>
      </c>
      <c r="BO151" s="900">
        <f>'Summary 2023$'!BO154</f>
        <v>1.1133731988911679</v>
      </c>
      <c r="BP151" s="900">
        <f>'Summary 2023$'!BP154</f>
        <v>1.1148546960637558</v>
      </c>
      <c r="BQ151" s="900">
        <f>'Summary 2023$'!BQ154</f>
        <v>1.1175849898910293</v>
      </c>
      <c r="BR151" s="900">
        <f>'Summary 2023$'!BR154</f>
        <v>1.1209363000439239</v>
      </c>
      <c r="BS151" s="899"/>
    </row>
    <row r="152" spans="1:71" x14ac:dyDescent="0.25">
      <c r="BE152" s="650"/>
      <c r="BF152" s="650"/>
      <c r="BG152" s="650"/>
      <c r="BH152" s="650"/>
      <c r="BI152" s="650"/>
      <c r="BN152" s="395"/>
      <c r="BO152" s="395"/>
      <c r="BP152" s="395"/>
      <c r="BQ152" s="395"/>
      <c r="BR152" s="395"/>
    </row>
    <row r="153" spans="1:71" x14ac:dyDescent="0.25">
      <c r="BE153" s="650"/>
      <c r="BF153" s="650"/>
      <c r="BG153" s="650"/>
      <c r="BH153" s="650"/>
      <c r="BI153" s="650"/>
      <c r="BN153" s="395"/>
      <c r="BO153" s="395"/>
      <c r="BP153" s="395"/>
      <c r="BQ153" s="395"/>
      <c r="BR153" s="395"/>
    </row>
    <row r="154" spans="1:71" x14ac:dyDescent="0.25">
      <c r="BE154" s="650"/>
      <c r="BF154" s="650"/>
      <c r="BG154" s="650"/>
      <c r="BH154" s="650"/>
      <c r="BI154" s="650"/>
      <c r="BN154" s="395"/>
      <c r="BO154" s="395"/>
      <c r="BP154" s="395"/>
      <c r="BQ154" s="395"/>
      <c r="BR154" s="395"/>
    </row>
    <row r="155" spans="1:71" x14ac:dyDescent="0.25">
      <c r="BE155" s="650"/>
      <c r="BF155" s="650"/>
      <c r="BG155" s="650"/>
      <c r="BH155" s="650"/>
      <c r="BI155" s="650"/>
      <c r="BN155" s="395"/>
      <c r="BO155" s="395"/>
      <c r="BP155" s="395"/>
      <c r="BQ155" s="395"/>
      <c r="BR155" s="395"/>
    </row>
    <row r="156" spans="1:71" x14ac:dyDescent="0.25">
      <c r="BE156" s="650"/>
      <c r="BF156" s="650"/>
      <c r="BG156" s="650"/>
      <c r="BH156" s="650"/>
      <c r="BI156" s="650"/>
      <c r="BN156" s="395"/>
      <c r="BO156" s="395"/>
      <c r="BP156" s="395"/>
      <c r="BQ156" s="395"/>
      <c r="BR156" s="395"/>
    </row>
    <row r="157" spans="1:71" x14ac:dyDescent="0.25">
      <c r="BE157" s="650"/>
      <c r="BF157" s="650"/>
      <c r="BG157" s="650"/>
      <c r="BH157" s="650"/>
      <c r="BI157" s="650"/>
      <c r="BN157" s="395"/>
      <c r="BO157" s="395"/>
      <c r="BP157" s="395"/>
      <c r="BQ157" s="395"/>
      <c r="BR157" s="395"/>
    </row>
    <row r="158" spans="1:71" x14ac:dyDescent="0.25">
      <c r="BE158" s="650"/>
      <c r="BF158" s="650"/>
      <c r="BG158" s="650"/>
      <c r="BH158" s="650"/>
      <c r="BI158" s="650"/>
      <c r="BN158" s="395"/>
      <c r="BO158" s="395"/>
      <c r="BP158" s="395"/>
      <c r="BQ158" s="395"/>
      <c r="BR158" s="395"/>
    </row>
    <row r="159" spans="1:71" x14ac:dyDescent="0.25">
      <c r="BE159" s="650"/>
      <c r="BF159" s="650"/>
      <c r="BG159" s="650"/>
      <c r="BH159" s="650"/>
      <c r="BI159" s="650"/>
      <c r="BN159" s="395"/>
      <c r="BO159" s="395"/>
      <c r="BP159" s="395"/>
      <c r="BQ159" s="395"/>
      <c r="BR159" s="395"/>
    </row>
    <row r="160" spans="1:71" x14ac:dyDescent="0.25">
      <c r="BE160" s="650"/>
      <c r="BF160" s="650"/>
      <c r="BG160" s="650"/>
      <c r="BH160" s="650"/>
      <c r="BI160" s="650"/>
      <c r="BN160" s="395"/>
      <c r="BO160" s="395"/>
      <c r="BP160" s="395"/>
      <c r="BQ160" s="395"/>
      <c r="BR160" s="395"/>
    </row>
    <row r="161" spans="57:70" x14ac:dyDescent="0.25">
      <c r="BE161" s="650"/>
      <c r="BF161" s="650"/>
      <c r="BG161" s="650"/>
      <c r="BH161" s="650"/>
      <c r="BI161" s="650"/>
      <c r="BN161" s="395"/>
      <c r="BO161" s="395"/>
      <c r="BP161" s="395"/>
      <c r="BQ161" s="395"/>
      <c r="BR161" s="395"/>
    </row>
  </sheetData>
  <autoFilter ref="A6:BT6" xr:uid="{26E82B06-5461-4E93-BA38-5F7061E93D76}"/>
  <phoneticPr fontId="17" type="noConversion"/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CC374-5954-4114-8E85-75518F6F0EA4}">
  <sheetPr codeName="Sheet20">
    <tabColor theme="9" tint="-0.249977111117893"/>
  </sheetPr>
  <dimension ref="A1:Z164"/>
  <sheetViews>
    <sheetView zoomScaleNormal="100" workbookViewId="0">
      <pane xSplit="3" ySplit="7" topLeftCell="K94" activePane="bottomRight" state="frozen"/>
      <selection activeCell="N4" sqref="N4"/>
      <selection pane="topRight" activeCell="N4" sqref="N4"/>
      <selection pane="bottomLeft" activeCell="N4" sqref="N4"/>
      <selection pane="bottomRight" activeCell="M132" sqref="M132:N132"/>
    </sheetView>
  </sheetViews>
  <sheetFormatPr defaultRowHeight="15" x14ac:dyDescent="0.25"/>
  <cols>
    <col min="1" max="1" width="5.7109375" bestFit="1" customWidth="1"/>
    <col min="2" max="2" width="0" hidden="1" customWidth="1"/>
    <col min="3" max="3" width="23.140625" customWidth="1"/>
    <col min="4" max="4" width="9.140625" style="684"/>
    <col min="11" max="11" width="9.140625" style="280" customWidth="1"/>
    <col min="12" max="19" width="13.7109375" customWidth="1"/>
    <col min="20" max="20" width="13" bestFit="1" customWidth="1"/>
    <col min="22" max="22" width="24.28515625" customWidth="1"/>
    <col min="25" max="25" width="51.7109375" customWidth="1"/>
  </cols>
  <sheetData>
    <row r="1" spans="1:21" ht="15.75" thickBot="1" x14ac:dyDescent="0.3">
      <c r="A1" t="s">
        <v>553</v>
      </c>
      <c r="K1"/>
      <c r="L1" s="418" t="s">
        <v>489</v>
      </c>
      <c r="M1" s="419">
        <v>1</v>
      </c>
    </row>
    <row r="2" spans="1:21" ht="15.75" thickBot="1" x14ac:dyDescent="0.3">
      <c r="K2"/>
      <c r="L2" s="418" t="s">
        <v>490</v>
      </c>
      <c r="M2" s="419">
        <v>0</v>
      </c>
    </row>
    <row r="3" spans="1:21" ht="15.75" thickBot="1" x14ac:dyDescent="0.3">
      <c r="C3" s="23"/>
      <c r="D3" s="685"/>
      <c r="E3" s="19"/>
      <c r="F3" s="19"/>
      <c r="G3" s="19"/>
      <c r="H3" s="19"/>
      <c r="I3" s="19"/>
      <c r="J3" s="19"/>
      <c r="K3" s="19"/>
      <c r="L3" s="418" t="s">
        <v>600</v>
      </c>
      <c r="M3" s="419">
        <v>0</v>
      </c>
      <c r="N3" s="19"/>
      <c r="O3" s="19"/>
      <c r="P3" s="19"/>
      <c r="Q3" s="19"/>
      <c r="R3" s="19"/>
      <c r="S3" s="19"/>
      <c r="T3" s="19"/>
    </row>
    <row r="4" spans="1:21" ht="15.75" thickBot="1" x14ac:dyDescent="0.3">
      <c r="D4" s="685"/>
      <c r="E4" s="19"/>
      <c r="F4" s="19"/>
      <c r="G4" s="19"/>
      <c r="H4" s="19"/>
      <c r="I4" s="19"/>
      <c r="J4" s="19"/>
      <c r="K4" s="19"/>
      <c r="L4" s="848" t="s">
        <v>781</v>
      </c>
      <c r="M4" s="849">
        <f>'Financial Escalation'!P23</f>
        <v>1.0634609260920951</v>
      </c>
      <c r="N4" s="19"/>
      <c r="O4" s="19"/>
      <c r="P4" s="19"/>
      <c r="Q4" s="19"/>
      <c r="R4" s="19"/>
      <c r="S4" s="19"/>
      <c r="T4" s="19"/>
    </row>
    <row r="5" spans="1:21" s="186" customFormat="1" ht="15.75" thickBot="1" x14ac:dyDescent="0.3">
      <c r="A5" s="27" t="s">
        <v>281</v>
      </c>
      <c r="B5" s="27" t="s">
        <v>282</v>
      </c>
      <c r="C5" s="28"/>
      <c r="D5" s="686"/>
      <c r="E5" s="189"/>
      <c r="F5" s="189"/>
      <c r="G5" s="189" t="s">
        <v>691</v>
      </c>
      <c r="H5" s="189"/>
      <c r="I5" s="189"/>
      <c r="J5" s="189"/>
      <c r="K5" s="283"/>
      <c r="L5" s="190"/>
      <c r="M5" s="191"/>
      <c r="N5" s="191"/>
      <c r="O5" s="766" t="s">
        <v>515</v>
      </c>
      <c r="P5" s="766"/>
      <c r="Q5" s="766"/>
      <c r="R5" s="766"/>
      <c r="S5" s="767"/>
    </row>
    <row r="6" spans="1:21" ht="15.75" thickBot="1" x14ac:dyDescent="0.3">
      <c r="A6" s="43" t="s">
        <v>290</v>
      </c>
      <c r="B6" s="43" t="s">
        <v>290</v>
      </c>
      <c r="C6" s="44" t="s">
        <v>291</v>
      </c>
      <c r="D6" s="687" t="s">
        <v>14</v>
      </c>
      <c r="E6" s="59" t="s">
        <v>15</v>
      </c>
      <c r="F6" s="59" t="s">
        <v>280</v>
      </c>
      <c r="G6" s="59" t="s">
        <v>422</v>
      </c>
      <c r="H6" s="59" t="s">
        <v>423</v>
      </c>
      <c r="I6" s="59" t="s">
        <v>424</v>
      </c>
      <c r="J6" s="59" t="s">
        <v>425</v>
      </c>
      <c r="K6" s="284" t="s">
        <v>426</v>
      </c>
      <c r="L6" s="741"/>
      <c r="M6" s="61" t="s">
        <v>15</v>
      </c>
      <c r="N6" s="764" t="s">
        <v>280</v>
      </c>
      <c r="O6" s="768" t="s">
        <v>422</v>
      </c>
      <c r="P6" s="769" t="s">
        <v>423</v>
      </c>
      <c r="Q6" s="769" t="s">
        <v>424</v>
      </c>
      <c r="R6" s="769" t="s">
        <v>425</v>
      </c>
      <c r="S6" s="770" t="s">
        <v>426</v>
      </c>
    </row>
    <row r="7" spans="1:21" x14ac:dyDescent="0.25">
      <c r="A7" s="63" t="s">
        <v>296</v>
      </c>
      <c r="B7" s="64" t="s">
        <v>22</v>
      </c>
      <c r="C7" s="65" t="s">
        <v>24</v>
      </c>
      <c r="D7" s="688">
        <f>SUM('Defect (Total)'!BB7,Planned!CE7,Reconductor!CE7,CTGS!CE7,'Substation 2025$'!CE7*$M$1,Comms!CA7*$M$2)</f>
        <v>4658</v>
      </c>
      <c r="E7" s="78">
        <f>SUM('Defect (Total)'!BC7,Planned!CF7,Reconductor!CF7,CTGS!CF7,'Substation 2025$'!CF7*$M$1,Comms!CB7*$M$2)</f>
        <v>4658</v>
      </c>
      <c r="F7" s="78">
        <f>SUM('Defect (Total)'!BD7,Planned!CG7,Reconductor!CG7,CTGS!CG7,'Substation 2025$'!CG7*$M$1,Comms!CC7*$M$2)</f>
        <v>4658</v>
      </c>
      <c r="G7" s="78">
        <f>SUM('Defect (Total)'!BE7,Planned!CH7,Reconductor!CH7,CTGS!CH7,'Substation 2025$'!CH7*$M$1,Comms!CD7*$M$2)</f>
        <v>4658</v>
      </c>
      <c r="H7" s="78">
        <f>SUM('Defect (Total)'!BF7,Planned!CI7,Reconductor!CI7,CTGS!CI7,'Substation 2025$'!CI7*$M$1,Comms!CE7*$M$2)</f>
        <v>4658</v>
      </c>
      <c r="I7" s="78">
        <f>SUM('Defect (Total)'!BG7,Planned!CJ7,Reconductor!CJ7,CTGS!CJ7,'Substation 2025$'!CJ7*$M$1,Comms!CF7*$M$2)</f>
        <v>4658</v>
      </c>
      <c r="J7" s="78">
        <f>SUM('Defect (Total)'!BH7,Planned!CK7,Reconductor!CK7,CTGS!CK7,'Substation 2025$'!CK7*$M$1,Comms!CG7*$M$2)</f>
        <v>4658</v>
      </c>
      <c r="K7" s="285">
        <f>SUM('Defect (Total)'!BI7,Planned!CL7,Reconductor!CL7,CTGS!CL7,'Substation 2025$'!CL7*$M$1,Comms!CH7*$M$2)</f>
        <v>4658</v>
      </c>
      <c r="L7" s="742"/>
      <c r="M7" s="79">
        <f>'Summary 2023$'!BL7*$M$4</f>
        <v>8916481.7887265626</v>
      </c>
      <c r="N7" s="523">
        <f>'Summary 2023$'!BM7*$M$4</f>
        <v>8916481.7887265626</v>
      </c>
      <c r="O7" s="415">
        <f>'Summary 2023$'!BN7*$M$4</f>
        <v>8916481.7887265626</v>
      </c>
      <c r="P7" s="79">
        <f>'Summary 2023$'!BO7*$M$4</f>
        <v>8916481.7887265626</v>
      </c>
      <c r="Q7" s="79">
        <f>'Summary 2023$'!BP7*$M$4</f>
        <v>8916481.7887265626</v>
      </c>
      <c r="R7" s="79">
        <f>'Summary 2023$'!BQ7*$M$4</f>
        <v>8916481.7887265626</v>
      </c>
      <c r="S7" s="80">
        <f>'Summary 2023$'!BR7*$M$4</f>
        <v>8916481.7887265626</v>
      </c>
      <c r="T7" s="25"/>
      <c r="U7" s="187"/>
    </row>
    <row r="8" spans="1:21" x14ac:dyDescent="0.25">
      <c r="A8" s="81" t="s">
        <v>27</v>
      </c>
      <c r="B8" s="82" t="s">
        <v>25</v>
      </c>
      <c r="C8" s="83" t="s">
        <v>297</v>
      </c>
      <c r="D8" s="689">
        <f>SUM('Defect (Total)'!BB8,Planned!CE8,Reconductor!CE8,CTGS!CE8,'Substation 2025$'!CE8*$M$1,Comms!CA8*$M$2)</f>
        <v>3592.6666666666665</v>
      </c>
      <c r="E8" s="96">
        <f>SUM('Defect (Total)'!BC8,Planned!CF8,Reconductor!CF8,CTGS!CF8,'Substation 2025$'!CF8*$M$1,Comms!CB8*$M$2)</f>
        <v>3321.3179790343656</v>
      </c>
      <c r="F8" s="96">
        <f>SUM('Defect (Total)'!BD8,Planned!CG8,Reconductor!CG8,CTGS!CG8,'Substation 2025$'!CG8*$M$1,Comms!CC8*$M$2)</f>
        <v>3321.3179790343656</v>
      </c>
      <c r="G8" s="96">
        <f>SUM('Defect (Total)'!BE8,Planned!CH8,Reconductor!CH8,CTGS!CH8,'Substation 2025$'!CH8*$M$1,Comms!CD8*$M$2)</f>
        <v>3546.0683268273033</v>
      </c>
      <c r="H8" s="96">
        <f>SUM('Defect (Total)'!BF8,Planned!CI8,Reconductor!CI8,CTGS!CI8,'Substation 2025$'!CI8*$M$1,Comms!CE8*$M$2)</f>
        <v>3592.930081879309</v>
      </c>
      <c r="I8" s="96">
        <f>SUM('Defect (Total)'!BG8,Planned!CJ8,Reconductor!CJ8,CTGS!CJ8,'Substation 2025$'!CJ8*$M$1,Comms!CF8*$M$2)</f>
        <v>3624.1712519139792</v>
      </c>
      <c r="J8" s="96">
        <f>SUM('Defect (Total)'!BH8,Planned!CK8,Reconductor!CK8,CTGS!CK8,'Substation 2025$'!CK8*$M$1,Comms!CG8*$M$2)</f>
        <v>3655.4124219486494</v>
      </c>
      <c r="K8" s="286">
        <f>SUM('Defect (Total)'!BI8,Planned!CL8,Reconductor!CL8,CTGS!CL8,'Substation 2025$'!CL8*$M$1,Comms!CH8*$M$2)</f>
        <v>3671.033006965984</v>
      </c>
      <c r="L8" s="743"/>
      <c r="M8" s="97">
        <f>'Summary 2023$'!BL8*$M$4</f>
        <v>16937955.3293056</v>
      </c>
      <c r="N8" s="524">
        <f>'Summary 2023$'!BM8*$M$4</f>
        <v>16937955.3293056</v>
      </c>
      <c r="O8" s="416">
        <f>'Summary 2023$'!BN8*$M$4</f>
        <v>18549141.53036001</v>
      </c>
      <c r="P8" s="97">
        <f>'Summary 2023$'!BO8*$M$4</f>
        <v>18885083.226728566</v>
      </c>
      <c r="Q8" s="97">
        <f>'Summary 2023$'!BP8*$M$4</f>
        <v>19109044.357640933</v>
      </c>
      <c r="R8" s="97">
        <f>'Summary 2023$'!BQ8*$M$4</f>
        <v>19333005.488553308</v>
      </c>
      <c r="S8" s="98">
        <f>'Summary 2023$'!BR8*$M$4</f>
        <v>19444986.05400949</v>
      </c>
      <c r="T8" s="25">
        <f>SUM(S8:S16)/SUM(K8:K16)</f>
        <v>6640.5844104765047</v>
      </c>
      <c r="U8" s="187">
        <f>K8/SUM($K$8:$K$11)</f>
        <v>0.24870906381661273</v>
      </c>
    </row>
    <row r="9" spans="1:21" x14ac:dyDescent="0.25">
      <c r="A9" s="81" t="s">
        <v>27</v>
      </c>
      <c r="B9" s="82" t="s">
        <v>28</v>
      </c>
      <c r="C9" s="83" t="s">
        <v>29</v>
      </c>
      <c r="D9" s="689">
        <f>SUM('Defect (Total)'!BB9,Planned!CE9,Reconductor!CE9,CTGS!CE9,'Substation 2025$'!CE9*$M$1,Comms!CA9*$M$2)</f>
        <v>10167.866666666667</v>
      </c>
      <c r="E9" s="96">
        <f>SUM('Defect (Total)'!BC9,Planned!CF9,Reconductor!CF9,CTGS!CF9,'Substation 2025$'!CF9*$M$1,Comms!CB9*$M$2)</f>
        <v>9975.5417605468101</v>
      </c>
      <c r="F9" s="96">
        <f>SUM('Defect (Total)'!BD9,Planned!CG9,Reconductor!CG9,CTGS!CG9,'Substation 2025$'!CG9*$M$1,Comms!CC9*$M$2)</f>
        <v>9975.5417605468101</v>
      </c>
      <c r="G9" s="96">
        <f>SUM('Defect (Total)'!BE9,Planned!CH9,Reconductor!CH9,CTGS!CH9,'Substation 2025$'!CH9*$M$1,Comms!CD9*$M$2)</f>
        <v>10251.097479820703</v>
      </c>
      <c r="H9" s="96">
        <f>SUM('Defect (Total)'!BF9,Planned!CI9,Reconductor!CI9,CTGS!CI9,'Substation 2025$'!CI9*$M$1,Comms!CE9*$M$2)</f>
        <v>10308.552450398498</v>
      </c>
      <c r="I9" s="96">
        <f>SUM('Defect (Total)'!BG9,Planned!CJ9,Reconductor!CJ9,CTGS!CJ9,'Substation 2025$'!CJ9*$M$1,Comms!CF9*$M$2)</f>
        <v>10346.855764117026</v>
      </c>
      <c r="J9" s="96">
        <f>SUM('Defect (Total)'!BH9,Planned!CK9,Reconductor!CK9,CTGS!CK9,'Substation 2025$'!CK9*$M$1,Comms!CG9*$M$2)</f>
        <v>10385.159077835557</v>
      </c>
      <c r="K9" s="286">
        <f>SUM('Defect (Total)'!BI9,Planned!CL9,Reconductor!CL9,CTGS!CL9,'Substation 2025$'!CL9*$M$1,Comms!CH9*$M$2)</f>
        <v>10404.31073469482</v>
      </c>
      <c r="L9" s="743"/>
      <c r="M9" s="97">
        <f>'Summary 2023$'!BL9*$M$4</f>
        <v>67187428.037184209</v>
      </c>
      <c r="N9" s="524">
        <f>'Summary 2023$'!BM9*$M$4</f>
        <v>67187428.037184209</v>
      </c>
      <c r="O9" s="416">
        <f>'Summary 2023$'!BN9*$M$4</f>
        <v>69319458.190856084</v>
      </c>
      <c r="P9" s="97">
        <f>'Summary 2023$'!BO9*$M$4</f>
        <v>69763998.881475657</v>
      </c>
      <c r="Q9" s="97">
        <f>'Summary 2023$'!BP9*$M$4</f>
        <v>70060359.341888711</v>
      </c>
      <c r="R9" s="97">
        <f>'Summary 2023$'!BQ9*$M$4</f>
        <v>70356719.80230175</v>
      </c>
      <c r="S9" s="98">
        <f>'Summary 2023$'!BR9*$M$4</f>
        <v>70504900.032508269</v>
      </c>
      <c r="U9" s="187">
        <f>K9/SUM($K$8:$K$11)</f>
        <v>0.70488235261652066</v>
      </c>
    </row>
    <row r="10" spans="1:21" x14ac:dyDescent="0.25">
      <c r="A10" s="81" t="s">
        <v>27</v>
      </c>
      <c r="B10" s="82" t="s">
        <v>30</v>
      </c>
      <c r="C10" s="83" t="s">
        <v>298</v>
      </c>
      <c r="D10" s="689">
        <f>SUM('Defect (Total)'!BB10,Planned!CE10,Reconductor!CE10,CTGS!CE10,'Substation 2025$'!CE10*$M$1,Comms!CA10*$M$2)</f>
        <v>6.8</v>
      </c>
      <c r="E10" s="96">
        <f>SUM('Defect (Total)'!BC10,Planned!CF10,Reconductor!CF10,CTGS!CF10,'Substation 2025$'!CF10*$M$1,Comms!CB10*$M$2)</f>
        <v>11.650008807836905</v>
      </c>
      <c r="F10" s="96">
        <f>SUM('Defect (Total)'!BD10,Planned!CG10,Reconductor!CG10,CTGS!CG10,'Substation 2025$'!CG10*$M$1,Comms!CC10*$M$2)</f>
        <v>11.650008807836905</v>
      </c>
      <c r="G10" s="96">
        <f>SUM('Defect (Total)'!BE10,Planned!CH10,Reconductor!CH10,CTGS!CH10,'Substation 2025$'!CH10*$M$1,Comms!CD10*$M$2)</f>
        <v>13.158400403762666</v>
      </c>
      <c r="H10" s="96">
        <f>SUM('Defect (Total)'!BF10,Planned!CI10,Reconductor!CI10,CTGS!CI10,'Substation 2025$'!CI10*$M$1,Comms!CE10*$M$2)</f>
        <v>13.472908826930485</v>
      </c>
      <c r="I10" s="96">
        <f>SUM('Defect (Total)'!BG10,Planned!CJ10,Reconductor!CJ10,CTGS!CJ10,'Substation 2025$'!CJ10*$M$1,Comms!CF10*$M$2)</f>
        <v>13.682581109042365</v>
      </c>
      <c r="J10" s="96">
        <f>SUM('Defect (Total)'!BH10,Planned!CK10,Reconductor!CK10,CTGS!CK10,'Substation 2025$'!CK10*$M$1,Comms!CG10*$M$2)</f>
        <v>13.892253391154247</v>
      </c>
      <c r="K10" s="286">
        <f>SUM('Defect (Total)'!BI10,Planned!CL10,Reconductor!CL10,CTGS!CL10,'Substation 2025$'!CL10*$M$1,Comms!CH10*$M$2)</f>
        <v>13.997089532210186</v>
      </c>
      <c r="L10" s="743"/>
      <c r="M10" s="97">
        <f>'Summary 2023$'!BL10*$M$4</f>
        <v>100927.80174861639</v>
      </c>
      <c r="N10" s="524">
        <f>'Summary 2023$'!BM10*$M$4</f>
        <v>100927.80174861639</v>
      </c>
      <c r="O10" s="416">
        <f>'Summary 2023$'!BN10*$M$4</f>
        <v>111323.22156506736</v>
      </c>
      <c r="P10" s="97">
        <f>'Summary 2023$'!BO10*$M$4</f>
        <v>113490.72707455869</v>
      </c>
      <c r="Q10" s="97">
        <f>'Summary 2023$'!BP10*$M$4</f>
        <v>114935.73074755289</v>
      </c>
      <c r="R10" s="97">
        <f>'Summary 2023$'!BQ10*$M$4</f>
        <v>116380.73442054715</v>
      </c>
      <c r="S10" s="98">
        <f>'Summary 2023$'!BR10*$M$4</f>
        <v>117103.23625704423</v>
      </c>
      <c r="U10" s="187">
        <f>K10/SUM($K$8:$K$11)</f>
        <v>9.4828976669714864E-4</v>
      </c>
    </row>
    <row r="11" spans="1:21" x14ac:dyDescent="0.25">
      <c r="A11" s="81" t="s">
        <v>27</v>
      </c>
      <c r="B11" s="82" t="s">
        <v>32</v>
      </c>
      <c r="C11" s="83" t="s">
        <v>33</v>
      </c>
      <c r="D11" s="689">
        <f>SUM('Defect (Total)'!BB11,Planned!CE11,Reconductor!CE11,CTGS!CE11,'Substation 2025$'!CE11*$M$1,Comms!CA11*$M$2)</f>
        <v>650.86666666666667</v>
      </c>
      <c r="E11" s="96">
        <f>SUM('Defect (Total)'!BC11,Planned!CF11,Reconductor!CF11,CTGS!CF11,'Substation 2025$'!CF11*$M$1,Comms!CB11*$M$2)</f>
        <v>644.7652500027823</v>
      </c>
      <c r="F11" s="96">
        <f>SUM('Defect (Total)'!BD11,Planned!CG11,Reconductor!CG11,CTGS!CG11,'Substation 2025$'!CG11*$M$1,Comms!CC11*$M$2)</f>
        <v>644.7652500027823</v>
      </c>
      <c r="G11" s="96">
        <f>SUM('Defect (Total)'!BE11,Planned!CH11,Reconductor!CH11,CTGS!CH11,'Substation 2025$'!CH11*$M$1,Comms!CD11*$M$2)</f>
        <v>661.63181057540669</v>
      </c>
      <c r="H11" s="96">
        <f>SUM('Defect (Total)'!BF11,Planned!CI11,Reconductor!CI11,CTGS!CI11,'Substation 2025$'!CI11*$M$1,Comms!CE11*$M$2)</f>
        <v>665.14858657991965</v>
      </c>
      <c r="I11" s="96">
        <f>SUM('Defect (Total)'!BG11,Planned!CJ11,Reconductor!CJ11,CTGS!CJ11,'Substation 2025$'!CJ11*$M$1,Comms!CF11*$M$2)</f>
        <v>667.49310391626159</v>
      </c>
      <c r="J11" s="96">
        <f>SUM('Defect (Total)'!BH11,Planned!CK11,Reconductor!CK11,CTGS!CK11,'Substation 2025$'!CK11*$M$1,Comms!CG11*$M$2)</f>
        <v>669.83762125260353</v>
      </c>
      <c r="K11" s="286">
        <f>SUM('Defect (Total)'!BI11,Planned!CL11,Reconductor!CL11,CTGS!CL11,'Substation 2025$'!CL11*$M$1,Comms!CH11*$M$2)</f>
        <v>671.00987992077444</v>
      </c>
      <c r="L11" s="743"/>
      <c r="M11" s="97">
        <f>'Summary 2023$'!BL11*$M$4</f>
        <v>7489783.5763998637</v>
      </c>
      <c r="N11" s="524">
        <f>'Summary 2023$'!BM11*$M$4</f>
        <v>7489783.5763998637</v>
      </c>
      <c r="O11" s="416">
        <f>'Summary 2023$'!BN11*$M$4</f>
        <v>7705245.3954115231</v>
      </c>
      <c r="P11" s="97">
        <f>'Summary 2023$'!BO11*$M$4</f>
        <v>7750170.4381744666</v>
      </c>
      <c r="Q11" s="97">
        <f>'Summary 2023$'!BP11*$M$4</f>
        <v>7780120.4666830944</v>
      </c>
      <c r="R11" s="97">
        <f>'Summary 2023$'!BQ11*$M$4</f>
        <v>7810070.4951917231</v>
      </c>
      <c r="S11" s="98">
        <f>'Summary 2023$'!BR11*$M$4</f>
        <v>7825045.509446037</v>
      </c>
      <c r="U11" s="187">
        <f>K11/SUM($K$8:$K$11)</f>
        <v>4.5460293800169554E-2</v>
      </c>
    </row>
    <row r="12" spans="1:21" x14ac:dyDescent="0.25">
      <c r="A12" s="81" t="s">
        <v>27</v>
      </c>
      <c r="B12" s="82" t="s">
        <v>34</v>
      </c>
      <c r="C12" s="83" t="s">
        <v>35</v>
      </c>
      <c r="D12" s="689">
        <f>SUM('Defect (Total)'!BB12,Planned!CE12,Reconductor!CE12,CTGS!CE12,'Substation 2025$'!CE12*$M$1,Comms!CA12*$M$2)</f>
        <v>8.8666666666666654</v>
      </c>
      <c r="E12" s="96">
        <f>SUM('Defect (Total)'!BC12,Planned!CF12,Reconductor!CF12,CTGS!CF12,'Substation 2025$'!CF12*$M$1,Comms!CB12*$M$2)</f>
        <v>8.8666666666666654</v>
      </c>
      <c r="F12" s="96">
        <f>SUM('Defect (Total)'!BD12,Planned!CG12,Reconductor!CG12,CTGS!CG12,'Substation 2025$'!CG12*$M$1,Comms!CC12*$M$2)</f>
        <v>8.8666666666666654</v>
      </c>
      <c r="G12" s="96">
        <f>SUM('Defect (Total)'!BE12,Planned!CH12,Reconductor!CH12,CTGS!CH12,'Substation 2025$'!CH12*$M$1,Comms!CD12*$M$2)</f>
        <v>8.8666666666666654</v>
      </c>
      <c r="H12" s="96">
        <f>SUM('Defect (Total)'!BF12,Planned!CI12,Reconductor!CI12,CTGS!CI12,'Substation 2025$'!CI12*$M$1,Comms!CE12*$M$2)</f>
        <v>8.8666666666666654</v>
      </c>
      <c r="I12" s="96">
        <f>SUM('Defect (Total)'!BG12,Planned!CJ12,Reconductor!CJ12,CTGS!CJ12,'Substation 2025$'!CJ12*$M$1,Comms!CF12*$M$2)</f>
        <v>8.8666666666666654</v>
      </c>
      <c r="J12" s="96">
        <f>SUM('Defect (Total)'!BH12,Planned!CK12,Reconductor!CK12,CTGS!CK12,'Substation 2025$'!CK12*$M$1,Comms!CG12*$M$2)</f>
        <v>8.8666666666666654</v>
      </c>
      <c r="K12" s="286">
        <f>SUM('Defect (Total)'!BI12,Planned!CL12,Reconductor!CL12,CTGS!CL12,'Substation 2025$'!CL12*$M$1,Comms!CH12*$M$2)</f>
        <v>8.8666666666666654</v>
      </c>
      <c r="L12" s="743"/>
      <c r="M12" s="97">
        <f>'Summary 2023$'!BL12*$M$4</f>
        <v>123248.99485602538</v>
      </c>
      <c r="N12" s="524">
        <f>'Summary 2023$'!BM12*$M$4</f>
        <v>123248.99485602538</v>
      </c>
      <c r="O12" s="416">
        <f>'Summary 2023$'!BN12*$M$4</f>
        <v>123248.99485602538</v>
      </c>
      <c r="P12" s="97">
        <f>'Summary 2023$'!BO12*$M$4</f>
        <v>123248.99485602538</v>
      </c>
      <c r="Q12" s="97">
        <f>'Summary 2023$'!BP12*$M$4</f>
        <v>123248.99485602538</v>
      </c>
      <c r="R12" s="97">
        <f>'Summary 2023$'!BQ12*$M$4</f>
        <v>123248.99485602538</v>
      </c>
      <c r="S12" s="98">
        <f>'Summary 2023$'!BR12*$M$4</f>
        <v>123248.99485602538</v>
      </c>
      <c r="U12" s="187"/>
    </row>
    <row r="13" spans="1:21" x14ac:dyDescent="0.25">
      <c r="A13" s="81" t="s">
        <v>27</v>
      </c>
      <c r="B13" s="82" t="s">
        <v>36</v>
      </c>
      <c r="C13" s="83" t="s">
        <v>37</v>
      </c>
      <c r="D13" s="689">
        <f>SUM('Defect (Total)'!BB13,Planned!CE13,Reconductor!CE13,CTGS!CE13,'Substation 2025$'!CE13*$M$1,Comms!CA13*$M$2)</f>
        <v>0</v>
      </c>
      <c r="E13" s="96">
        <f>SUM('Defect (Total)'!BC13,Planned!CF13,Reconductor!CF13,CTGS!CF13,'Substation 2025$'!CF13*$M$1,Comms!CB13*$M$2)</f>
        <v>0</v>
      </c>
      <c r="F13" s="96">
        <f>SUM('Defect (Total)'!BD13,Planned!CG13,Reconductor!CG13,CTGS!CG13,'Substation 2025$'!CG13*$M$1,Comms!CC13*$M$2)</f>
        <v>0</v>
      </c>
      <c r="G13" s="96">
        <f>SUM('Defect (Total)'!BE13,Planned!CH13,Reconductor!CH13,CTGS!CH13,'Substation 2025$'!CH13*$M$1,Comms!CD13*$M$2)</f>
        <v>0</v>
      </c>
      <c r="H13" s="96">
        <f>SUM('Defect (Total)'!BF13,Planned!CI13,Reconductor!CI13,CTGS!CI13,'Substation 2025$'!CI13*$M$1,Comms!CE13*$M$2)</f>
        <v>0</v>
      </c>
      <c r="I13" s="96">
        <f>SUM('Defect (Total)'!BG13,Planned!CJ13,Reconductor!CJ13,CTGS!CJ13,'Substation 2025$'!CJ13*$M$1,Comms!CF13*$M$2)</f>
        <v>0</v>
      </c>
      <c r="J13" s="96">
        <f>SUM('Defect (Total)'!BH13,Planned!CK13,Reconductor!CK13,CTGS!CK13,'Substation 2025$'!CK13*$M$1,Comms!CG13*$M$2)</f>
        <v>0</v>
      </c>
      <c r="K13" s="286">
        <f>SUM('Defect (Total)'!BI13,Planned!CL13,Reconductor!CL13,CTGS!CL13,'Substation 2025$'!CL13*$M$1,Comms!CH13*$M$2)</f>
        <v>0</v>
      </c>
      <c r="L13" s="743"/>
      <c r="M13" s="97">
        <f>'Summary 2023$'!BL13*$M$4</f>
        <v>0</v>
      </c>
      <c r="N13" s="524">
        <f>'Summary 2023$'!BM13*$M$4</f>
        <v>0</v>
      </c>
      <c r="O13" s="416">
        <f>'Summary 2023$'!BN13*$M$4</f>
        <v>0</v>
      </c>
      <c r="P13" s="97">
        <f>'Summary 2023$'!BO13*$M$4</f>
        <v>0</v>
      </c>
      <c r="Q13" s="97">
        <f>'Summary 2023$'!BP13*$M$4</f>
        <v>0</v>
      </c>
      <c r="R13" s="97">
        <f>'Summary 2023$'!BQ13*$M$4</f>
        <v>0</v>
      </c>
      <c r="S13" s="98">
        <f>'Summary 2023$'!BR13*$M$4</f>
        <v>0</v>
      </c>
    </row>
    <row r="14" spans="1:21" x14ac:dyDescent="0.25">
      <c r="A14" s="81" t="s">
        <v>27</v>
      </c>
      <c r="B14" s="82" t="s">
        <v>39</v>
      </c>
      <c r="C14" s="83" t="s">
        <v>299</v>
      </c>
      <c r="D14" s="689">
        <f>SUM('Defect (Total)'!BB14,Planned!CE14,Reconductor!CE14,CTGS!CE14,'Substation 2025$'!CE14*$M$1,Comms!CA14*$M$2)</f>
        <v>0</v>
      </c>
      <c r="E14" s="96">
        <f>SUM('Defect (Total)'!BC14,Planned!CF14,Reconductor!CF14,CTGS!CF14,'Substation 2025$'!CF14*$M$1,Comms!CB14*$M$2)</f>
        <v>0</v>
      </c>
      <c r="F14" s="96">
        <f>SUM('Defect (Total)'!BD14,Planned!CG14,Reconductor!CG14,CTGS!CG14,'Substation 2025$'!CG14*$M$1,Comms!CC14*$M$2)</f>
        <v>0</v>
      </c>
      <c r="G14" s="96">
        <f>SUM('Defect (Total)'!BE14,Planned!CH14,Reconductor!CH14,CTGS!CH14,'Substation 2025$'!CH14*$M$1,Comms!CD14*$M$2)</f>
        <v>0</v>
      </c>
      <c r="H14" s="96">
        <f>SUM('Defect (Total)'!BF14,Planned!CI14,Reconductor!CI14,CTGS!CI14,'Substation 2025$'!CI14*$M$1,Comms!CE14*$M$2)</f>
        <v>0</v>
      </c>
      <c r="I14" s="96">
        <f>SUM('Defect (Total)'!BG14,Planned!CJ14,Reconductor!CJ14,CTGS!CJ14,'Substation 2025$'!CJ14*$M$1,Comms!CF14*$M$2)</f>
        <v>0</v>
      </c>
      <c r="J14" s="96">
        <f>SUM('Defect (Total)'!BH14,Planned!CK14,Reconductor!CK14,CTGS!CK14,'Substation 2025$'!CK14*$M$1,Comms!CG14*$M$2)</f>
        <v>0</v>
      </c>
      <c r="K14" s="286">
        <f>SUM('Defect (Total)'!BI14,Planned!CL14,Reconductor!CL14,CTGS!CL14,'Substation 2025$'!CL14*$M$1,Comms!CH14*$M$2)</f>
        <v>0</v>
      </c>
      <c r="L14" s="743"/>
      <c r="M14" s="97">
        <f>'Summary 2023$'!BL14*$M$4</f>
        <v>0</v>
      </c>
      <c r="N14" s="524">
        <f>'Summary 2023$'!BM14*$M$4</f>
        <v>0</v>
      </c>
      <c r="O14" s="416">
        <f>'Summary 2023$'!BN14*$M$4</f>
        <v>0</v>
      </c>
      <c r="P14" s="97">
        <f>'Summary 2023$'!BO14*$M$4</f>
        <v>0</v>
      </c>
      <c r="Q14" s="97">
        <f>'Summary 2023$'!BP14*$M$4</f>
        <v>0</v>
      </c>
      <c r="R14" s="97">
        <f>'Summary 2023$'!BQ14*$M$4</f>
        <v>0</v>
      </c>
      <c r="S14" s="98">
        <f>'Summary 2023$'!BR14*$M$4</f>
        <v>0</v>
      </c>
    </row>
    <row r="15" spans="1:21" x14ac:dyDescent="0.25">
      <c r="A15" s="81" t="s">
        <v>27</v>
      </c>
      <c r="B15" s="82" t="s">
        <v>41</v>
      </c>
      <c r="C15" s="83" t="s">
        <v>42</v>
      </c>
      <c r="D15" s="689">
        <f>SUM('Defect (Total)'!BB15,Planned!CE15,Reconductor!CE15,CTGS!CE15,'Substation 2025$'!CE15*$M$1,Comms!CA15*$M$2)</f>
        <v>21.666666666666664</v>
      </c>
      <c r="E15" s="96">
        <f>SUM('Defect (Total)'!BC15,Planned!CF15,Reconductor!CF15,CTGS!CF15,'Substation 2025$'!CF15*$M$1,Comms!CB15*$M$2)</f>
        <v>17.264409553286633</v>
      </c>
      <c r="F15" s="96">
        <f>SUM('Defect (Total)'!BD15,Planned!CG15,Reconductor!CG15,CTGS!CG15,'Substation 2025$'!CG15*$M$1,Comms!CC15*$M$2)</f>
        <v>17.264409553286633</v>
      </c>
      <c r="G15" s="96">
        <f>SUM('Defect (Total)'!BE15,Planned!CH15,Reconductor!CH15,CTGS!CH15,'Substation 2025$'!CH15*$M$1,Comms!CD15*$M$2)</f>
        <v>19.938376473336845</v>
      </c>
      <c r="H15" s="96">
        <f>SUM('Defect (Total)'!BF15,Planned!CI15,Reconductor!CI15,CTGS!CI15,'Substation 2025$'!CI15*$M$1,Comms!CE15*$M$2)</f>
        <v>20.495914132588894</v>
      </c>
      <c r="I15" s="96">
        <f>SUM('Defect (Total)'!BG15,Planned!CJ15,Reconductor!CJ15,CTGS!CJ15,'Substation 2025$'!CJ15*$M$1,Comms!CF15*$M$2)</f>
        <v>20.867605905423584</v>
      </c>
      <c r="J15" s="96">
        <f>SUM('Defect (Total)'!BH15,Planned!CK15,Reconductor!CK15,CTGS!CK15,'Substation 2025$'!CK15*$M$1,Comms!CG15*$M$2)</f>
        <v>21.239297678258286</v>
      </c>
      <c r="K15" s="286">
        <f>SUM('Defect (Total)'!BI15,Planned!CL15,Reconductor!CL15,CTGS!CL15,'Substation 2025$'!CL15*$M$1,Comms!CH15*$M$2)</f>
        <v>21.425143564675633</v>
      </c>
      <c r="L15" s="743"/>
      <c r="M15" s="97">
        <f>'Summary 2023$'!BL15*$M$4</f>
        <v>150765.05349972672</v>
      </c>
      <c r="N15" s="524">
        <f>'Summary 2023$'!BM15*$M$4</f>
        <v>150765.05349972672</v>
      </c>
      <c r="O15" s="416">
        <f>'Summary 2023$'!BN15*$M$4</f>
        <v>178748.5881442799</v>
      </c>
      <c r="P15" s="97">
        <f>'Summary 2023$'!BO15*$M$4</f>
        <v>184583.31791836018</v>
      </c>
      <c r="Q15" s="97">
        <f>'Summary 2023$'!BP15*$M$4</f>
        <v>188473.13776774699</v>
      </c>
      <c r="R15" s="97">
        <f>'Summary 2023$'!BQ15*$M$4</f>
        <v>192362.95761713391</v>
      </c>
      <c r="S15" s="98">
        <f>'Summary 2023$'!BR15*$M$4</f>
        <v>194307.86754182732</v>
      </c>
    </row>
    <row r="16" spans="1:21" x14ac:dyDescent="0.25">
      <c r="A16" s="81" t="s">
        <v>27</v>
      </c>
      <c r="B16" s="82" t="s">
        <v>43</v>
      </c>
      <c r="C16" s="83" t="s">
        <v>300</v>
      </c>
      <c r="D16" s="689">
        <f>SUM('Defect (Total)'!BB16,Planned!CE16,Reconductor!CE16,CTGS!CE16,'Substation 2025$'!CE16*$M$1,Comms!CA16*$M$2)</f>
        <v>1</v>
      </c>
      <c r="E16" s="96">
        <f>SUM('Defect (Total)'!BC16,Planned!CF16,Reconductor!CF16,CTGS!CF16,'Substation 2025$'!CF16*$M$1,Comms!CB16*$M$2)</f>
        <v>0.66136483743230523</v>
      </c>
      <c r="F16" s="96">
        <f>SUM('Defect (Total)'!BD16,Planned!CG16,Reconductor!CG16,CTGS!CG16,'Substation 2025$'!CG16*$M$1,Comms!CC16*$M$2)</f>
        <v>0.66136483743230523</v>
      </c>
      <c r="G16" s="96">
        <f>SUM('Defect (Total)'!BE16,Planned!CH16,Reconductor!CH16,CTGS!CH16,'Substation 2025$'!CH16*$M$1,Comms!CD16*$M$2)</f>
        <v>0.86705460051309069</v>
      </c>
      <c r="H16" s="96">
        <f>SUM('Defect (Total)'!BF16,Planned!CI16,Reconductor!CI16,CTGS!CI16,'Substation 2025$'!CI16*$M$1,Comms!CE16*$M$2)</f>
        <v>0.9099421127632481</v>
      </c>
      <c r="I16" s="96">
        <f>SUM('Defect (Total)'!BG16,Planned!CJ16,Reconductor!CJ16,CTGS!CJ16,'Substation 2025$'!CJ16*$M$1,Comms!CF16*$M$2)</f>
        <v>0.93853378759668615</v>
      </c>
      <c r="J16" s="96">
        <f>SUM('Defect (Total)'!BH16,Planned!CK16,Reconductor!CK16,CTGS!CK16,'Substation 2025$'!CK16*$M$1,Comms!CG16*$M$2)</f>
        <v>0.96712546243012432</v>
      </c>
      <c r="K16" s="286">
        <f>SUM('Defect (Total)'!BI16,Planned!CL16,Reconductor!CL16,CTGS!CL16,'Substation 2025$'!CL16*$M$1,Comms!CH16*$M$2)</f>
        <v>0.98142129984684345</v>
      </c>
      <c r="L16" s="743"/>
      <c r="M16" s="97">
        <f>'Summary 2023$'!BL16*$M$4</f>
        <v>10401.858784904447</v>
      </c>
      <c r="N16" s="524">
        <f>'Summary 2023$'!BM16*$M$4</f>
        <v>10401.858784904447</v>
      </c>
      <c r="O16" s="416">
        <f>'Summary 2023$'!BN16*$M$4</f>
        <v>13636.920203309201</v>
      </c>
      <c r="P16" s="97">
        <f>'Summary 2023$'!BO16*$M$4</f>
        <v>14311.449329765306</v>
      </c>
      <c r="Q16" s="97">
        <f>'Summary 2023$'!BP16*$M$4</f>
        <v>14761.135414069373</v>
      </c>
      <c r="R16" s="97">
        <f>'Summary 2023$'!BQ16*$M$4</f>
        <v>15210.821498373442</v>
      </c>
      <c r="S16" s="98">
        <f>'Summary 2023$'!BR16*$M$4</f>
        <v>15435.664540525477</v>
      </c>
    </row>
    <row r="17" spans="1:19" x14ac:dyDescent="0.25">
      <c r="A17" s="81" t="s">
        <v>27</v>
      </c>
      <c r="B17" s="82" t="s">
        <v>45</v>
      </c>
      <c r="C17" s="83" t="s">
        <v>46</v>
      </c>
      <c r="D17" s="689">
        <f>SUM('Defect (Total)'!BB17,Planned!CE17,Reconductor!CE17,CTGS!CE17,'Substation 2025$'!CE17*$M$1,Comms!CA17*$M$2)</f>
        <v>0</v>
      </c>
      <c r="E17" s="96">
        <f>SUM('Defect (Total)'!BC17,Planned!CF17,Reconductor!CF17,CTGS!CF17,'Substation 2025$'!CF17*$M$1,Comms!CB17*$M$2)</f>
        <v>0</v>
      </c>
      <c r="F17" s="96">
        <f>SUM('Defect (Total)'!BD17,Planned!CG17,Reconductor!CG17,CTGS!CG17,'Substation 2025$'!CG17*$M$1,Comms!CC17*$M$2)</f>
        <v>0</v>
      </c>
      <c r="G17" s="96">
        <f>SUM('Defect (Total)'!BE17,Planned!CH17,Reconductor!CH17,CTGS!CH17,'Substation 2025$'!CH17*$M$1,Comms!CD17*$M$2)</f>
        <v>0</v>
      </c>
      <c r="H17" s="96">
        <f>SUM('Defect (Total)'!BF17,Planned!CI17,Reconductor!CI17,CTGS!CI17,'Substation 2025$'!CI17*$M$1,Comms!CE17*$M$2)</f>
        <v>0</v>
      </c>
      <c r="I17" s="96">
        <f>SUM('Defect (Total)'!BG17,Planned!CJ17,Reconductor!CJ17,CTGS!CJ17,'Substation 2025$'!CJ17*$M$1,Comms!CF17*$M$2)</f>
        <v>0</v>
      </c>
      <c r="J17" s="96">
        <f>SUM('Defect (Total)'!BH17,Planned!CK17,Reconductor!CK17,CTGS!CK17,'Substation 2025$'!CK17*$M$1,Comms!CG17*$M$2)</f>
        <v>0</v>
      </c>
      <c r="K17" s="286">
        <f>SUM('Defect (Total)'!BI17,Planned!CL17,Reconductor!CL17,CTGS!CL17,'Substation 2025$'!CL17*$M$1,Comms!CH17*$M$2)</f>
        <v>0</v>
      </c>
      <c r="L17" s="743"/>
      <c r="M17" s="97">
        <f>'Summary 2023$'!BL17*$M$4</f>
        <v>0</v>
      </c>
      <c r="N17" s="524">
        <f>'Summary 2023$'!BM17*$M$4</f>
        <v>0</v>
      </c>
      <c r="O17" s="416">
        <f>'Summary 2023$'!BN17*$M$4</f>
        <v>0</v>
      </c>
      <c r="P17" s="97">
        <f>'Summary 2023$'!BO17*$M$4</f>
        <v>0</v>
      </c>
      <c r="Q17" s="97">
        <f>'Summary 2023$'!BP17*$M$4</f>
        <v>0</v>
      </c>
      <c r="R17" s="97">
        <f>'Summary 2023$'!BQ17*$M$4</f>
        <v>0</v>
      </c>
      <c r="S17" s="98">
        <f>'Summary 2023$'!BR17*$M$4</f>
        <v>0</v>
      </c>
    </row>
    <row r="18" spans="1:19" x14ac:dyDescent="0.25">
      <c r="A18" s="81" t="s">
        <v>27</v>
      </c>
      <c r="B18" s="82" t="s">
        <v>47</v>
      </c>
      <c r="C18" s="83" t="s">
        <v>48</v>
      </c>
      <c r="D18" s="689">
        <f>SUM('Defect (Total)'!BB18,Planned!CE18,Reconductor!CE18,CTGS!CE18,'Substation 2025$'!CE18*$M$1,Comms!CA18*$M$2)</f>
        <v>0</v>
      </c>
      <c r="E18" s="96">
        <f>SUM('Defect (Total)'!BC18,Planned!CF18,Reconductor!CF18,CTGS!CF18,'Substation 2025$'!CF18*$M$1,Comms!CB18*$M$2)</f>
        <v>0</v>
      </c>
      <c r="F18" s="96">
        <f>SUM('Defect (Total)'!BD18,Planned!CG18,Reconductor!CG18,CTGS!CG18,'Substation 2025$'!CG18*$M$1,Comms!CC18*$M$2)</f>
        <v>0</v>
      </c>
      <c r="G18" s="96">
        <f>SUM('Defect (Total)'!BE18,Planned!CH18,Reconductor!CH18,CTGS!CH18,'Substation 2025$'!CH18*$M$1,Comms!CD18*$M$2)</f>
        <v>0</v>
      </c>
      <c r="H18" s="96">
        <f>SUM('Defect (Total)'!BF18,Planned!CI18,Reconductor!CI18,CTGS!CI18,'Substation 2025$'!CI18*$M$1,Comms!CE18*$M$2)</f>
        <v>0</v>
      </c>
      <c r="I18" s="96">
        <f>SUM('Defect (Total)'!BG18,Planned!CJ18,Reconductor!CJ18,CTGS!CJ18,'Substation 2025$'!CJ18*$M$1,Comms!CF18*$M$2)</f>
        <v>0</v>
      </c>
      <c r="J18" s="96">
        <f>SUM('Defect (Total)'!BH18,Planned!CK18,Reconductor!CK18,CTGS!CK18,'Substation 2025$'!CK18*$M$1,Comms!CG18*$M$2)</f>
        <v>0</v>
      </c>
      <c r="K18" s="286">
        <f>SUM('Defect (Total)'!BI18,Planned!CL18,Reconductor!CL18,CTGS!CL18,'Substation 2025$'!CL18*$M$1,Comms!CH18*$M$2)</f>
        <v>0</v>
      </c>
      <c r="L18" s="743"/>
      <c r="M18" s="97">
        <f>'Summary 2023$'!BL18*$M$4</f>
        <v>0</v>
      </c>
      <c r="N18" s="524">
        <f>'Summary 2023$'!BM18*$M$4</f>
        <v>0</v>
      </c>
      <c r="O18" s="416">
        <f>'Summary 2023$'!BN18*$M$4</f>
        <v>0</v>
      </c>
      <c r="P18" s="97">
        <f>'Summary 2023$'!BO18*$M$4</f>
        <v>0</v>
      </c>
      <c r="Q18" s="97">
        <f>'Summary 2023$'!BP18*$M$4</f>
        <v>0</v>
      </c>
      <c r="R18" s="97">
        <f>'Summary 2023$'!BQ18*$M$4</f>
        <v>0</v>
      </c>
      <c r="S18" s="98">
        <f>'Summary 2023$'!BR18*$M$4</f>
        <v>0</v>
      </c>
    </row>
    <row r="19" spans="1:19" x14ac:dyDescent="0.25">
      <c r="A19" s="81" t="s">
        <v>27</v>
      </c>
      <c r="B19" s="82" t="s">
        <v>49</v>
      </c>
      <c r="C19" s="83" t="s">
        <v>50</v>
      </c>
      <c r="D19" s="689">
        <f>SUM('Defect (Total)'!BB19,Planned!CE19,Reconductor!CE19,CTGS!CE19,'Substation 2025$'!CE19*$M$1,Comms!CA19*$M$2)</f>
        <v>0</v>
      </c>
      <c r="E19" s="96">
        <f>SUM('Defect (Total)'!BC19,Planned!CF19,Reconductor!CF19,CTGS!CF19,'Substation 2025$'!CF19*$M$1,Comms!CB19*$M$2)</f>
        <v>0</v>
      </c>
      <c r="F19" s="96">
        <f>SUM('Defect (Total)'!BD19,Planned!CG19,Reconductor!CG19,CTGS!CG19,'Substation 2025$'!CG19*$M$1,Comms!CC19*$M$2)</f>
        <v>0</v>
      </c>
      <c r="G19" s="96">
        <f>SUM('Defect (Total)'!BE19,Planned!CH19,Reconductor!CH19,CTGS!CH19,'Substation 2025$'!CH19*$M$1,Comms!CD19*$M$2)</f>
        <v>0</v>
      </c>
      <c r="H19" s="96">
        <f>SUM('Defect (Total)'!BF19,Planned!CI19,Reconductor!CI19,CTGS!CI19,'Substation 2025$'!CI19*$M$1,Comms!CE19*$M$2)</f>
        <v>0</v>
      </c>
      <c r="I19" s="96">
        <f>SUM('Defect (Total)'!BG19,Planned!CJ19,Reconductor!CJ19,CTGS!CJ19,'Substation 2025$'!CJ19*$M$1,Comms!CF19*$M$2)</f>
        <v>0</v>
      </c>
      <c r="J19" s="96">
        <f>SUM('Defect (Total)'!BH19,Planned!CK19,Reconductor!CK19,CTGS!CK19,'Substation 2025$'!CK19*$M$1,Comms!CG19*$M$2)</f>
        <v>0</v>
      </c>
      <c r="K19" s="286">
        <f>SUM('Defect (Total)'!BI19,Planned!CL19,Reconductor!CL19,CTGS!CL19,'Substation 2025$'!CL19*$M$1,Comms!CH19*$M$2)</f>
        <v>0</v>
      </c>
      <c r="L19" s="743"/>
      <c r="M19" s="97">
        <f>'Summary 2023$'!BL19*$M$4</f>
        <v>0</v>
      </c>
      <c r="N19" s="524">
        <f>'Summary 2023$'!BM19*$M$4</f>
        <v>0</v>
      </c>
      <c r="O19" s="416">
        <f>'Summary 2023$'!BN19*$M$4</f>
        <v>0</v>
      </c>
      <c r="P19" s="97">
        <f>'Summary 2023$'!BO19*$M$4</f>
        <v>0</v>
      </c>
      <c r="Q19" s="97">
        <f>'Summary 2023$'!BP19*$M$4</f>
        <v>0</v>
      </c>
      <c r="R19" s="97">
        <f>'Summary 2023$'!BQ19*$M$4</f>
        <v>0</v>
      </c>
      <c r="S19" s="98">
        <f>'Summary 2023$'!BR19*$M$4</f>
        <v>0</v>
      </c>
    </row>
    <row r="20" spans="1:19" x14ac:dyDescent="0.25">
      <c r="A20" s="81" t="s">
        <v>27</v>
      </c>
      <c r="B20" s="82" t="s">
        <v>51</v>
      </c>
      <c r="C20" s="83" t="s">
        <v>301</v>
      </c>
      <c r="D20" s="689">
        <f>SUM('Defect (Total)'!BB20,Planned!CE20,Reconductor!CE20,CTGS!CE20,'Substation 2025$'!CE20*$M$1,Comms!CA20*$M$2)</f>
        <v>0</v>
      </c>
      <c r="E20" s="96">
        <f>SUM('Defect (Total)'!BC20,Planned!CF20,Reconductor!CF20,CTGS!CF20,'Substation 2025$'!CF20*$M$1,Comms!CB20*$M$2)</f>
        <v>0</v>
      </c>
      <c r="F20" s="96">
        <f>SUM('Defect (Total)'!BD20,Planned!CG20,Reconductor!CG20,CTGS!CG20,'Substation 2025$'!CG20*$M$1,Comms!CC20*$M$2)</f>
        <v>0</v>
      </c>
      <c r="G20" s="96">
        <f>SUM('Defect (Total)'!BE20,Planned!CH20,Reconductor!CH20,CTGS!CH20,'Substation 2025$'!CH20*$M$1,Comms!CD20*$M$2)</f>
        <v>0</v>
      </c>
      <c r="H20" s="96">
        <f>SUM('Defect (Total)'!BF20,Planned!CI20,Reconductor!CI20,CTGS!CI20,'Substation 2025$'!CI20*$M$1,Comms!CE20*$M$2)</f>
        <v>0</v>
      </c>
      <c r="I20" s="96">
        <f>SUM('Defect (Total)'!BG20,Planned!CJ20,Reconductor!CJ20,CTGS!CJ20,'Substation 2025$'!CJ20*$M$1,Comms!CF20*$M$2)</f>
        <v>0</v>
      </c>
      <c r="J20" s="96">
        <f>SUM('Defect (Total)'!BH20,Planned!CK20,Reconductor!CK20,CTGS!CK20,'Substation 2025$'!CK20*$M$1,Comms!CG20*$M$2)</f>
        <v>0</v>
      </c>
      <c r="K20" s="286">
        <f>SUM('Defect (Total)'!BI20,Planned!CL20,Reconductor!CL20,CTGS!CL20,'Substation 2025$'!CL20*$M$1,Comms!CH20*$M$2)</f>
        <v>0</v>
      </c>
      <c r="L20" s="743"/>
      <c r="M20" s="97">
        <f>'Summary 2023$'!BL20*$M$4</f>
        <v>0</v>
      </c>
      <c r="N20" s="524">
        <f>'Summary 2023$'!BM20*$M$4</f>
        <v>0</v>
      </c>
      <c r="O20" s="416">
        <f>'Summary 2023$'!BN20*$M$4</f>
        <v>0</v>
      </c>
      <c r="P20" s="97">
        <f>'Summary 2023$'!BO20*$M$4</f>
        <v>0</v>
      </c>
      <c r="Q20" s="97">
        <f>'Summary 2023$'!BP20*$M$4</f>
        <v>0</v>
      </c>
      <c r="R20" s="97">
        <f>'Summary 2023$'!BQ20*$M$4</f>
        <v>0</v>
      </c>
      <c r="S20" s="98">
        <f>'Summary 2023$'!BR20*$M$4</f>
        <v>0</v>
      </c>
    </row>
    <row r="21" spans="1:19" x14ac:dyDescent="0.25">
      <c r="A21" s="81" t="s">
        <v>27</v>
      </c>
      <c r="B21" s="82" t="s">
        <v>53</v>
      </c>
      <c r="C21" s="83" t="s">
        <v>54</v>
      </c>
      <c r="D21" s="689">
        <f>SUM('Defect (Total)'!BB21,Planned!CE21,Reconductor!CE21,CTGS!CE21,'Substation 2025$'!CE21*$M$1,Comms!CA21*$M$2)</f>
        <v>0</v>
      </c>
      <c r="E21" s="96">
        <f>SUM('Defect (Total)'!BC21,Planned!CF21,Reconductor!CF21,CTGS!CF21,'Substation 2025$'!CF21*$M$1,Comms!CB21*$M$2)</f>
        <v>0</v>
      </c>
      <c r="F21" s="96">
        <f>SUM('Defect (Total)'!BD21,Planned!CG21,Reconductor!CG21,CTGS!CG21,'Substation 2025$'!CG21*$M$1,Comms!CC21*$M$2)</f>
        <v>0</v>
      </c>
      <c r="G21" s="96">
        <f>SUM('Defect (Total)'!BE21,Planned!CH21,Reconductor!CH21,CTGS!CH21,'Substation 2025$'!CH21*$M$1,Comms!CD21*$M$2)</f>
        <v>0</v>
      </c>
      <c r="H21" s="96">
        <f>SUM('Defect (Total)'!BF21,Planned!CI21,Reconductor!CI21,CTGS!CI21,'Substation 2025$'!CI21*$M$1,Comms!CE21*$M$2)</f>
        <v>0</v>
      </c>
      <c r="I21" s="96">
        <f>SUM('Defect (Total)'!BG21,Planned!CJ21,Reconductor!CJ21,CTGS!CJ21,'Substation 2025$'!CJ21*$M$1,Comms!CF21*$M$2)</f>
        <v>0</v>
      </c>
      <c r="J21" s="96">
        <f>SUM('Defect (Total)'!BH21,Planned!CK21,Reconductor!CK21,CTGS!CK21,'Substation 2025$'!CK21*$M$1,Comms!CG21*$M$2)</f>
        <v>0</v>
      </c>
      <c r="K21" s="286">
        <f>SUM('Defect (Total)'!BI21,Planned!CL21,Reconductor!CL21,CTGS!CL21,'Substation 2025$'!CL21*$M$1,Comms!CH21*$M$2)</f>
        <v>0</v>
      </c>
      <c r="L21" s="743"/>
      <c r="M21" s="97">
        <f>'Summary 2023$'!BL21*$M$4</f>
        <v>0</v>
      </c>
      <c r="N21" s="524">
        <f>'Summary 2023$'!BM21*$M$4</f>
        <v>0</v>
      </c>
      <c r="O21" s="416">
        <f>'Summary 2023$'!BN21*$M$4</f>
        <v>0</v>
      </c>
      <c r="P21" s="97">
        <f>'Summary 2023$'!BO21*$M$4</f>
        <v>0</v>
      </c>
      <c r="Q21" s="97">
        <f>'Summary 2023$'!BP21*$M$4</f>
        <v>0</v>
      </c>
      <c r="R21" s="97">
        <f>'Summary 2023$'!BQ21*$M$4</f>
        <v>0</v>
      </c>
      <c r="S21" s="98">
        <f>'Summary 2023$'!BR21*$M$4</f>
        <v>0</v>
      </c>
    </row>
    <row r="22" spans="1:19" x14ac:dyDescent="0.25">
      <c r="A22" s="81" t="s">
        <v>27</v>
      </c>
      <c r="B22" s="82" t="s">
        <v>55</v>
      </c>
      <c r="C22" s="83" t="s">
        <v>302</v>
      </c>
      <c r="D22" s="689">
        <f>SUM('Defect (Total)'!BB22,Planned!CE22,Reconductor!CE22,CTGS!CE22,'Substation 2025$'!CE22*$M$1,Comms!CA22*$M$2)</f>
        <v>0</v>
      </c>
      <c r="E22" s="96">
        <f>SUM('Defect (Total)'!BC22,Planned!CF22,Reconductor!CF22,CTGS!CF22,'Substation 2025$'!CF22*$M$1,Comms!CB22*$M$2)</f>
        <v>0</v>
      </c>
      <c r="F22" s="96">
        <f>SUM('Defect (Total)'!BD22,Planned!CG22,Reconductor!CG22,CTGS!CG22,'Substation 2025$'!CG22*$M$1,Comms!CC22*$M$2)</f>
        <v>0</v>
      </c>
      <c r="G22" s="96">
        <f>SUM('Defect (Total)'!BE22,Planned!CH22,Reconductor!CH22,CTGS!CH22,'Substation 2025$'!CH22*$M$1,Comms!CD22*$M$2)</f>
        <v>0</v>
      </c>
      <c r="H22" s="96">
        <f>SUM('Defect (Total)'!BF22,Planned!CI22,Reconductor!CI22,CTGS!CI22,'Substation 2025$'!CI22*$M$1,Comms!CE22*$M$2)</f>
        <v>0</v>
      </c>
      <c r="I22" s="96">
        <f>SUM('Defect (Total)'!BG22,Planned!CJ22,Reconductor!CJ22,CTGS!CJ22,'Substation 2025$'!CJ22*$M$1,Comms!CF22*$M$2)</f>
        <v>0</v>
      </c>
      <c r="J22" s="96">
        <f>SUM('Defect (Total)'!BH22,Planned!CK22,Reconductor!CK22,CTGS!CK22,'Substation 2025$'!CK22*$M$1,Comms!CG22*$M$2)</f>
        <v>0</v>
      </c>
      <c r="K22" s="286">
        <f>SUM('Defect (Total)'!BI22,Planned!CL22,Reconductor!CL22,CTGS!CL22,'Substation 2025$'!CL22*$M$1,Comms!CH22*$M$2)</f>
        <v>0</v>
      </c>
      <c r="L22" s="743"/>
      <c r="M22" s="97">
        <f>'Summary 2023$'!BL22*$M$4</f>
        <v>0</v>
      </c>
      <c r="N22" s="524">
        <f>'Summary 2023$'!BM22*$M$4</f>
        <v>0</v>
      </c>
      <c r="O22" s="416">
        <f>'Summary 2023$'!BN22*$M$4</f>
        <v>0</v>
      </c>
      <c r="P22" s="97">
        <f>'Summary 2023$'!BO22*$M$4</f>
        <v>0</v>
      </c>
      <c r="Q22" s="97">
        <f>'Summary 2023$'!BP22*$M$4</f>
        <v>0</v>
      </c>
      <c r="R22" s="97">
        <f>'Summary 2023$'!BQ22*$M$4</f>
        <v>0</v>
      </c>
      <c r="S22" s="98">
        <f>'Summary 2023$'!BR22*$M$4</f>
        <v>0</v>
      </c>
    </row>
    <row r="23" spans="1:19" x14ac:dyDescent="0.25">
      <c r="A23" s="81" t="s">
        <v>27</v>
      </c>
      <c r="B23" s="82" t="s">
        <v>57</v>
      </c>
      <c r="C23" s="83" t="s">
        <v>58</v>
      </c>
      <c r="D23" s="689">
        <f>SUM('Defect (Total)'!BB23,Planned!CE23,Reconductor!CE23,CTGS!CE23,'Substation 2025$'!CE23*$M$1,Comms!CA23*$M$2)</f>
        <v>0</v>
      </c>
      <c r="E23" s="96">
        <f>SUM('Defect (Total)'!BC23,Planned!CF23,Reconductor!CF23,CTGS!CF23,'Substation 2025$'!CF23*$M$1,Comms!CB23*$M$2)</f>
        <v>0</v>
      </c>
      <c r="F23" s="96">
        <f>SUM('Defect (Total)'!BD23,Planned!CG23,Reconductor!CG23,CTGS!CG23,'Substation 2025$'!CG23*$M$1,Comms!CC23*$M$2)</f>
        <v>0</v>
      </c>
      <c r="G23" s="96">
        <f>SUM('Defect (Total)'!BE23,Planned!CH23,Reconductor!CH23,CTGS!CH23,'Substation 2025$'!CH23*$M$1,Comms!CD23*$M$2)</f>
        <v>0</v>
      </c>
      <c r="H23" s="96">
        <f>SUM('Defect (Total)'!BF23,Planned!CI23,Reconductor!CI23,CTGS!CI23,'Substation 2025$'!CI23*$M$1,Comms!CE23*$M$2)</f>
        <v>0</v>
      </c>
      <c r="I23" s="96">
        <f>SUM('Defect (Total)'!BG23,Planned!CJ23,Reconductor!CJ23,CTGS!CJ23,'Substation 2025$'!CJ23*$M$1,Comms!CF23*$M$2)</f>
        <v>0</v>
      </c>
      <c r="J23" s="96">
        <f>SUM('Defect (Total)'!BH23,Planned!CK23,Reconductor!CK23,CTGS!CK23,'Substation 2025$'!CK23*$M$1,Comms!CG23*$M$2)</f>
        <v>0</v>
      </c>
      <c r="K23" s="286">
        <f>SUM('Defect (Total)'!BI23,Planned!CL23,Reconductor!CL23,CTGS!CL23,'Substation 2025$'!CL23*$M$1,Comms!CH23*$M$2)</f>
        <v>0</v>
      </c>
      <c r="L23" s="743"/>
      <c r="M23" s="97">
        <f>'Summary 2023$'!BL23*$M$4</f>
        <v>0</v>
      </c>
      <c r="N23" s="524">
        <f>'Summary 2023$'!BM23*$M$4</f>
        <v>0</v>
      </c>
      <c r="O23" s="416">
        <f>'Summary 2023$'!BN23*$M$4</f>
        <v>0</v>
      </c>
      <c r="P23" s="97">
        <f>'Summary 2023$'!BO23*$M$4</f>
        <v>0</v>
      </c>
      <c r="Q23" s="97">
        <f>'Summary 2023$'!BP23*$M$4</f>
        <v>0</v>
      </c>
      <c r="R23" s="97">
        <f>'Summary 2023$'!BQ23*$M$4</f>
        <v>0</v>
      </c>
      <c r="S23" s="98">
        <f>'Summary 2023$'!BR23*$M$4</f>
        <v>0</v>
      </c>
    </row>
    <row r="24" spans="1:19" x14ac:dyDescent="0.25">
      <c r="A24" s="81" t="s">
        <v>27</v>
      </c>
      <c r="B24" s="82" t="s">
        <v>59</v>
      </c>
      <c r="C24" s="83" t="s">
        <v>60</v>
      </c>
      <c r="D24" s="689">
        <f>SUM('Defect (Total)'!BB24,Planned!CE24,Reconductor!CE24,CTGS!CE24,'Substation 2025$'!CE24*$M$1,Comms!CA24*$M$2)</f>
        <v>0</v>
      </c>
      <c r="E24" s="96">
        <f>SUM('Defect (Total)'!BC24,Planned!CF24,Reconductor!CF24,CTGS!CF24,'Substation 2025$'!CF24*$M$1,Comms!CB24*$M$2)</f>
        <v>0</v>
      </c>
      <c r="F24" s="96">
        <f>SUM('Defect (Total)'!BD24,Planned!CG24,Reconductor!CG24,CTGS!CG24,'Substation 2025$'!CG24*$M$1,Comms!CC24*$M$2)</f>
        <v>0</v>
      </c>
      <c r="G24" s="96">
        <f>SUM('Defect (Total)'!BE24,Planned!CH24,Reconductor!CH24,CTGS!CH24,'Substation 2025$'!CH24*$M$1,Comms!CD24*$M$2)</f>
        <v>0</v>
      </c>
      <c r="H24" s="96">
        <f>SUM('Defect (Total)'!BF24,Planned!CI24,Reconductor!CI24,CTGS!CI24,'Substation 2025$'!CI24*$M$1,Comms!CE24*$M$2)</f>
        <v>0</v>
      </c>
      <c r="I24" s="96">
        <f>SUM('Defect (Total)'!BG24,Planned!CJ24,Reconductor!CJ24,CTGS!CJ24,'Substation 2025$'!CJ24*$M$1,Comms!CF24*$M$2)</f>
        <v>0</v>
      </c>
      <c r="J24" s="96">
        <f>SUM('Defect (Total)'!BH24,Planned!CK24,Reconductor!CK24,CTGS!CK24,'Substation 2025$'!CK24*$M$1,Comms!CG24*$M$2)</f>
        <v>0</v>
      </c>
      <c r="K24" s="286">
        <f>SUM('Defect (Total)'!BI24,Planned!CL24,Reconductor!CL24,CTGS!CL24,'Substation 2025$'!CL24*$M$1,Comms!CH24*$M$2)</f>
        <v>0</v>
      </c>
      <c r="L24" s="743"/>
      <c r="M24" s="97">
        <f>'Summary 2023$'!BL24*$M$4</f>
        <v>0</v>
      </c>
      <c r="N24" s="524">
        <f>'Summary 2023$'!BM24*$M$4</f>
        <v>0</v>
      </c>
      <c r="O24" s="416">
        <f>'Summary 2023$'!BN24*$M$4</f>
        <v>0</v>
      </c>
      <c r="P24" s="97">
        <f>'Summary 2023$'!BO24*$M$4</f>
        <v>0</v>
      </c>
      <c r="Q24" s="97">
        <f>'Summary 2023$'!BP24*$M$4</f>
        <v>0</v>
      </c>
      <c r="R24" s="97">
        <f>'Summary 2023$'!BQ24*$M$4</f>
        <v>0</v>
      </c>
      <c r="S24" s="98">
        <f>'Summary 2023$'!BR24*$M$4</f>
        <v>0</v>
      </c>
    </row>
    <row r="25" spans="1:19" x14ac:dyDescent="0.25">
      <c r="A25" s="81" t="s">
        <v>27</v>
      </c>
      <c r="B25" s="82" t="s">
        <v>61</v>
      </c>
      <c r="C25" s="83" t="s">
        <v>62</v>
      </c>
      <c r="D25" s="689">
        <f>SUM('Defect (Total)'!BB25,Planned!CE25,Reconductor!CE25,CTGS!CE25,'Substation 2025$'!CE25*$M$1,Comms!CA25*$M$2)</f>
        <v>0</v>
      </c>
      <c r="E25" s="96">
        <f>SUM('Defect (Total)'!BC25,Planned!CF25,Reconductor!CF25,CTGS!CF25,'Substation 2025$'!CF25*$M$1,Comms!CB25*$M$2)</f>
        <v>0</v>
      </c>
      <c r="F25" s="96">
        <f>SUM('Defect (Total)'!BD25,Planned!CG25,Reconductor!CG25,CTGS!CG25,'Substation 2025$'!CG25*$M$1,Comms!CC25*$M$2)</f>
        <v>0</v>
      </c>
      <c r="G25" s="96">
        <f>SUM('Defect (Total)'!BE25,Planned!CH25,Reconductor!CH25,CTGS!CH25,'Substation 2025$'!CH25*$M$1,Comms!CD25*$M$2)</f>
        <v>0</v>
      </c>
      <c r="H25" s="96">
        <f>SUM('Defect (Total)'!BF25,Planned!CI25,Reconductor!CI25,CTGS!CI25,'Substation 2025$'!CI25*$M$1,Comms!CE25*$M$2)</f>
        <v>0</v>
      </c>
      <c r="I25" s="96">
        <f>SUM('Defect (Total)'!BG25,Planned!CJ25,Reconductor!CJ25,CTGS!CJ25,'Substation 2025$'!CJ25*$M$1,Comms!CF25*$M$2)</f>
        <v>0</v>
      </c>
      <c r="J25" s="96">
        <f>SUM('Defect (Total)'!BH25,Planned!CK25,Reconductor!CK25,CTGS!CK25,'Substation 2025$'!CK25*$M$1,Comms!CG25*$M$2)</f>
        <v>0</v>
      </c>
      <c r="K25" s="286">
        <f>SUM('Defect (Total)'!BI25,Planned!CL25,Reconductor!CL25,CTGS!CL25,'Substation 2025$'!CL25*$M$1,Comms!CH25*$M$2)</f>
        <v>0</v>
      </c>
      <c r="L25" s="743"/>
      <c r="M25" s="97">
        <f>'Summary 2023$'!BL25*$M$4</f>
        <v>0</v>
      </c>
      <c r="N25" s="524">
        <f>'Summary 2023$'!BM25*$M$4</f>
        <v>0</v>
      </c>
      <c r="O25" s="416">
        <f>'Summary 2023$'!BN25*$M$4</f>
        <v>0</v>
      </c>
      <c r="P25" s="97">
        <f>'Summary 2023$'!BO25*$M$4</f>
        <v>0</v>
      </c>
      <c r="Q25" s="97">
        <f>'Summary 2023$'!BP25*$M$4</f>
        <v>0</v>
      </c>
      <c r="R25" s="97">
        <f>'Summary 2023$'!BQ25*$M$4</f>
        <v>0</v>
      </c>
      <c r="S25" s="98">
        <f>'Summary 2023$'!BR25*$M$4</f>
        <v>0</v>
      </c>
    </row>
    <row r="26" spans="1:19" ht="15.75" thickBot="1" x14ac:dyDescent="0.3">
      <c r="A26" s="100" t="s">
        <v>27</v>
      </c>
      <c r="B26" s="101" t="s">
        <v>303</v>
      </c>
      <c r="C26" s="102" t="s">
        <v>304</v>
      </c>
      <c r="D26" s="690">
        <f>SUM('Defect (Total)'!BB26,Planned!CE26,Reconductor!CE26,CTGS!CE26,'Substation 2025$'!CE26*$M$1,Comms!CA26*$M$2)</f>
        <v>0</v>
      </c>
      <c r="E26" s="115">
        <f>SUM('Defect (Total)'!BC26,Planned!CF26,Reconductor!CF26,CTGS!CF26,'Substation 2025$'!CF26*$M$1,Comms!CB26*$M$2)</f>
        <v>0</v>
      </c>
      <c r="F26" s="115">
        <f>SUM('Defect (Total)'!BD26,Planned!CG26,Reconductor!CG26,CTGS!CG26,'Substation 2025$'!CG26*$M$1,Comms!CC26*$M$2)</f>
        <v>0</v>
      </c>
      <c r="G26" s="115">
        <f>SUM('Defect (Total)'!BE26,Planned!CH26,Reconductor!CH26,CTGS!CH26,'Substation 2025$'!CH26*$M$1,Comms!CD26*$M$2)</f>
        <v>0</v>
      </c>
      <c r="H26" s="115">
        <f>SUM('Defect (Total)'!BF26,Planned!CI26,Reconductor!CI26,CTGS!CI26,'Substation 2025$'!CI26*$M$1,Comms!CE26*$M$2)</f>
        <v>0</v>
      </c>
      <c r="I26" s="115">
        <f>SUM('Defect (Total)'!BG26,Planned!CJ26,Reconductor!CJ26,CTGS!CJ26,'Substation 2025$'!CJ26*$M$1,Comms!CF26*$M$2)</f>
        <v>0</v>
      </c>
      <c r="J26" s="115">
        <f>SUM('Defect (Total)'!BH26,Planned!CK26,Reconductor!CK26,CTGS!CK26,'Substation 2025$'!CK26*$M$1,Comms!CG26*$M$2)</f>
        <v>0</v>
      </c>
      <c r="K26" s="287">
        <f>SUM('Defect (Total)'!BI26,Planned!CL26,Reconductor!CL26,CTGS!CL26,'Substation 2025$'!CL26*$M$1,Comms!CH26*$M$2)</f>
        <v>0</v>
      </c>
      <c r="L26" s="744"/>
      <c r="M26" s="117">
        <f>'Summary 2023$'!BL26*$M$4</f>
        <v>0</v>
      </c>
      <c r="N26" s="638">
        <f>'Summary 2023$'!BM26*$M$4</f>
        <v>0</v>
      </c>
      <c r="O26" s="467">
        <f>'Summary 2023$'!BN26*$M$4</f>
        <v>0</v>
      </c>
      <c r="P26" s="117">
        <f>'Summary 2023$'!BO26*$M$4</f>
        <v>0</v>
      </c>
      <c r="Q26" s="117">
        <f>'Summary 2023$'!BP26*$M$4</f>
        <v>0</v>
      </c>
      <c r="R26" s="117">
        <f>'Summary 2023$'!BQ26*$M$4</f>
        <v>0</v>
      </c>
      <c r="S26" s="118">
        <f>'Summary 2023$'!BR26*$M$4</f>
        <v>0</v>
      </c>
    </row>
    <row r="27" spans="1:19" x14ac:dyDescent="0.25">
      <c r="A27" s="63" t="s">
        <v>68</v>
      </c>
      <c r="B27" s="64" t="s">
        <v>65</v>
      </c>
      <c r="C27" s="65" t="s">
        <v>305</v>
      </c>
      <c r="D27" s="688">
        <f>SUM('Defect (Total)'!BB27,Planned!CE27,Reconductor!CE27,CTGS!CE27,'Substation 2025$'!CE27*$M$1,Comms!CA27*$M$2)</f>
        <v>6628.2666666666664</v>
      </c>
      <c r="E27" s="78">
        <f>SUM('Defect (Total)'!BC27,Planned!CF27,Reconductor!CF27,CTGS!CF27,'Substation 2025$'!CF27*$M$1,Comms!CB27*$M$2)</f>
        <v>6235.6550351357037</v>
      </c>
      <c r="F27" s="78">
        <f>SUM('Defect (Total)'!BD27,Planned!CG27,Reconductor!CG27,CTGS!CG27,'Substation 2025$'!CG27*$M$1,Comms!CC27*$M$2)</f>
        <v>6235.6550351357037</v>
      </c>
      <c r="G27" s="78">
        <f>SUM('Defect (Total)'!BE27,Planned!CH27,Reconductor!CH27,CTGS!CH27,'Substation 2025$'!CH27*$M$1,Comms!CD27*$M$2)</f>
        <v>9495.4960353210172</v>
      </c>
      <c r="H27" s="78">
        <f>SUM('Defect (Total)'!BF27,Planned!CI27,Reconductor!CI27,CTGS!CI27,'Substation 2025$'!CI27*$M$1,Comms!CE27*$M$2)</f>
        <v>9604.7019181582855</v>
      </c>
      <c r="I27" s="78">
        <f>SUM('Defect (Total)'!BG27,Planned!CJ27,Reconductor!CJ27,CTGS!CJ27,'Substation 2025$'!CJ27*$M$1,Comms!CF27*$M$2)</f>
        <v>9677.5058400497983</v>
      </c>
      <c r="J27" s="78">
        <f>SUM('Defect (Total)'!BH27,Planned!CK27,Reconductor!CK27,CTGS!CK27,'Substation 2025$'!CK27*$M$1,Comms!CG27*$M$2)</f>
        <v>9750.3097619413111</v>
      </c>
      <c r="K27" s="285">
        <f>SUM('Defect (Total)'!BI27,Planned!CL27,Reconductor!CL27,CTGS!CL27,'Substation 2025$'!CL27*$M$1,Comms!CH27*$M$2)</f>
        <v>9786.7117228870666</v>
      </c>
      <c r="L27" s="742"/>
      <c r="M27" s="79">
        <f>'Summary 2023$'!BL27*$M$4</f>
        <v>15259721.375175167</v>
      </c>
      <c r="N27" s="523">
        <f>'Summary 2023$'!BM27*$M$4</f>
        <v>15259721.375175167</v>
      </c>
      <c r="O27" s="415">
        <f>'Summary 2023$'!BN27*$M$4</f>
        <v>23552910.412040338</v>
      </c>
      <c r="P27" s="79">
        <f>'Summary 2023$'!BO27*$M$4</f>
        <v>23783124.023146357</v>
      </c>
      <c r="Q27" s="79">
        <f>'Summary 2023$'!BP27*$M$4</f>
        <v>23936599.763883702</v>
      </c>
      <c r="R27" s="79">
        <f>'Summary 2023$'!BQ27*$M$4</f>
        <v>24090075.504621044</v>
      </c>
      <c r="S27" s="80">
        <f>'Summary 2023$'!BR27*$M$4</f>
        <v>24166813.374989722</v>
      </c>
    </row>
    <row r="28" spans="1:19" x14ac:dyDescent="0.25">
      <c r="A28" s="81" t="s">
        <v>68</v>
      </c>
      <c r="B28" s="82" t="s">
        <v>69</v>
      </c>
      <c r="C28" s="83" t="s">
        <v>70</v>
      </c>
      <c r="D28" s="689">
        <f>SUM('Defect (Total)'!BB28,Planned!CE28,Reconductor!CE28,CTGS!CE28,'Substation 2025$'!CE28*$M$1,Comms!CA28*$M$2)</f>
        <v>8638.3333333333339</v>
      </c>
      <c r="E28" s="96">
        <f>SUM('Defect (Total)'!BC28,Planned!CF28,Reconductor!CF28,CTGS!CF28,'Substation 2025$'!CF28*$M$1,Comms!CB28*$M$2)</f>
        <v>8209.1931360623148</v>
      </c>
      <c r="F28" s="96">
        <f>SUM('Defect (Total)'!BD28,Planned!CG28,Reconductor!CG28,CTGS!CG28,'Substation 2025$'!CG28*$M$1,Comms!CC28*$M$2)</f>
        <v>8209.1931360623148</v>
      </c>
      <c r="G28" s="96">
        <f>SUM('Defect (Total)'!BE28,Planned!CH28,Reconductor!CH28,CTGS!CH28,'Substation 2025$'!CH28*$M$1,Comms!CD28*$M$2)</f>
        <v>10550.152210096836</v>
      </c>
      <c r="H28" s="96">
        <f>SUM('Defect (Total)'!BF28,Planned!CI28,Reconductor!CI28,CTGS!CI28,'Substation 2025$'!CI28*$M$1,Comms!CE28*$M$2)</f>
        <v>10638.594399167741</v>
      </c>
      <c r="I28" s="96">
        <f>SUM('Defect (Total)'!BG28,Planned!CJ28,Reconductor!CJ28,CTGS!CJ28,'Substation 2025$'!CJ28*$M$1,Comms!CF28*$M$2)</f>
        <v>10697.555858548345</v>
      </c>
      <c r="J28" s="96">
        <f>SUM('Defect (Total)'!BH28,Planned!CK28,Reconductor!CK28,CTGS!CK28,'Substation 2025$'!CK28*$M$1,Comms!CG28*$M$2)</f>
        <v>10756.517317928949</v>
      </c>
      <c r="K28" s="286">
        <f>SUM('Defect (Total)'!BI28,Planned!CL28,Reconductor!CL28,CTGS!CL28,'Substation 2025$'!CL28*$M$1,Comms!CH28*$M$2)</f>
        <v>10785.99804761925</v>
      </c>
      <c r="L28" s="743"/>
      <c r="M28" s="97">
        <f>'Summary 2023$'!BL28*$M$4</f>
        <v>23759476.752492111</v>
      </c>
      <c r="N28" s="524">
        <f>'Summary 2023$'!BM28*$M$4</f>
        <v>23759476.752492111</v>
      </c>
      <c r="O28" s="416">
        <f>'Summary 2023$'!BN28*$M$4</f>
        <v>30356503.224086322</v>
      </c>
      <c r="P28" s="97">
        <f>'Summary 2023$'!BO28*$M$4</f>
        <v>30555258.009777647</v>
      </c>
      <c r="Q28" s="97">
        <f>'Summary 2023$'!BP28*$M$4</f>
        <v>30687761.200238526</v>
      </c>
      <c r="R28" s="97">
        <f>'Summary 2023$'!BQ28*$M$4</f>
        <v>30820264.390699409</v>
      </c>
      <c r="S28" s="98">
        <f>'Summary 2023$'!BR28*$M$4</f>
        <v>30886515.98592985</v>
      </c>
    </row>
    <row r="29" spans="1:19" x14ac:dyDescent="0.25">
      <c r="A29" s="81" t="s">
        <v>68</v>
      </c>
      <c r="B29" s="82" t="s">
        <v>71</v>
      </c>
      <c r="C29" s="83" t="s">
        <v>306</v>
      </c>
      <c r="D29" s="689">
        <f>SUM('Defect (Total)'!BB29,Planned!CE29,Reconductor!CE29,CTGS!CE29,'Substation 2025$'!CE29*$M$1,Comms!CA29*$M$2)</f>
        <v>5144.4666666666672</v>
      </c>
      <c r="E29" s="96">
        <f>SUM('Defect (Total)'!BC29,Planned!CF29,Reconductor!CF29,CTGS!CF29,'Substation 2025$'!CF29*$M$1,Comms!CB29*$M$2)</f>
        <v>5047.0400862188553</v>
      </c>
      <c r="F29" s="96">
        <f>SUM('Defect (Total)'!BD29,Planned!CG29,Reconductor!CG29,CTGS!CG29,'Substation 2025$'!CG29*$M$1,Comms!CC29*$M$2)</f>
        <v>5047.0400862188553</v>
      </c>
      <c r="G29" s="96">
        <f>SUM('Defect (Total)'!BE29,Planned!CH29,Reconductor!CH29,CTGS!CH29,'Substation 2025$'!CH29*$M$1,Comms!CD29*$M$2)</f>
        <v>5941.5745180929098</v>
      </c>
      <c r="H29" s="96">
        <f>SUM('Defect (Total)'!BF29,Planned!CI29,Reconductor!CI29,CTGS!CI29,'Substation 2025$'!CI29*$M$1,Comms!CE29*$M$2)</f>
        <v>5959.4230064027433</v>
      </c>
      <c r="I29" s="96">
        <f>SUM('Defect (Total)'!BG29,Planned!CJ29,Reconductor!CJ29,CTGS!CJ29,'Substation 2025$'!CJ29*$M$1,Comms!CF29*$M$2)</f>
        <v>5971.321998609299</v>
      </c>
      <c r="J29" s="96">
        <f>SUM('Defect (Total)'!BH29,Planned!CK29,Reconductor!CK29,CTGS!CK29,'Substation 2025$'!CK29*$M$1,Comms!CG29*$M$2)</f>
        <v>5983.2209908158547</v>
      </c>
      <c r="K29" s="286">
        <f>SUM('Defect (Total)'!BI29,Planned!CL29,Reconductor!CL29,CTGS!CL29,'Substation 2025$'!CL29*$M$1,Comms!CH29*$M$2)</f>
        <v>5989.1704869191326</v>
      </c>
      <c r="L29" s="743"/>
      <c r="M29" s="97">
        <f>'Summary 2023$'!BL29*$M$4</f>
        <v>14233507.572816946</v>
      </c>
      <c r="N29" s="524">
        <f>'Summary 2023$'!BM29*$M$4</f>
        <v>14233507.572816946</v>
      </c>
      <c r="O29" s="416">
        <f>'Summary 2023$'!BN29*$M$4</f>
        <v>16769493.537971735</v>
      </c>
      <c r="P29" s="97">
        <f>'Summary 2023$'!BO29*$M$4</f>
        <v>16804559.612557612</v>
      </c>
      <c r="Q29" s="97">
        <f>'Summary 2023$'!BP29*$M$4</f>
        <v>16827936.995614864</v>
      </c>
      <c r="R29" s="97">
        <f>'Summary 2023$'!BQ29*$M$4</f>
        <v>16851314.378672119</v>
      </c>
      <c r="S29" s="98">
        <f>'Summary 2023$'!BR29*$M$4</f>
        <v>16863003.070200745</v>
      </c>
    </row>
    <row r="30" spans="1:19" x14ac:dyDescent="0.25">
      <c r="A30" s="81" t="s">
        <v>68</v>
      </c>
      <c r="B30" s="82" t="s">
        <v>73</v>
      </c>
      <c r="C30" s="83" t="s">
        <v>307</v>
      </c>
      <c r="D30" s="689">
        <f>SUM('Defect (Total)'!BB30,Planned!CE30,Reconductor!CE30,CTGS!CE30,'Substation 2025$'!CE30*$M$1,Comms!CA30*$M$2)</f>
        <v>1411.8</v>
      </c>
      <c r="E30" s="96">
        <f>SUM('Defect (Total)'!BC30,Planned!CF30,Reconductor!CF30,CTGS!CF30,'Substation 2025$'!CF30*$M$1,Comms!CB30*$M$2)</f>
        <v>1399.7495846121988</v>
      </c>
      <c r="F30" s="96">
        <f>SUM('Defect (Total)'!BD30,Planned!CG30,Reconductor!CG30,CTGS!CG30,'Substation 2025$'!CG30*$M$1,Comms!CC30*$M$2)</f>
        <v>1399.7495846121988</v>
      </c>
      <c r="G30" s="96">
        <f>SUM('Defect (Total)'!BE30,Planned!CH30,Reconductor!CH30,CTGS!CH30,'Substation 2025$'!CH30*$M$1,Comms!CD30*$M$2)</f>
        <v>4175.7842611203041</v>
      </c>
      <c r="H30" s="96">
        <f>SUM('Defect (Total)'!BF30,Planned!CI30,Reconductor!CI30,CTGS!CI30,'Substation 2025$'!CI30*$M$1,Comms!CE30*$M$2)</f>
        <v>4178.7423372453122</v>
      </c>
      <c r="I30" s="96">
        <f>SUM('Defect (Total)'!BG30,Planned!CJ30,Reconductor!CJ30,CTGS!CJ30,'Substation 2025$'!CJ30*$M$1,Comms!CF30*$M$2)</f>
        <v>4180.7143879953182</v>
      </c>
      <c r="J30" s="96">
        <f>SUM('Defect (Total)'!BH30,Planned!CK30,Reconductor!CK30,CTGS!CK30,'Substation 2025$'!CK30*$M$1,Comms!CG30*$M$2)</f>
        <v>4182.6864387453243</v>
      </c>
      <c r="K30" s="286">
        <f>SUM('Defect (Total)'!BI30,Planned!CL30,Reconductor!CL30,CTGS!CL30,'Substation 2025$'!CL30*$M$1,Comms!CH30*$M$2)</f>
        <v>4183.6724641203264</v>
      </c>
      <c r="L30" s="743"/>
      <c r="M30" s="97">
        <f>'Summary 2023$'!BL30*$M$4</f>
        <v>6625509.1298212679</v>
      </c>
      <c r="N30" s="524">
        <f>'Summary 2023$'!BM30*$M$4</f>
        <v>6625509.1298212679</v>
      </c>
      <c r="O30" s="416">
        <f>'Summary 2023$'!BN30*$M$4</f>
        <v>19644465.277707208</v>
      </c>
      <c r="P30" s="97">
        <f>'Summary 2023$'!BO30*$M$4</f>
        <v>19663006.078312173</v>
      </c>
      <c r="Q30" s="97">
        <f>'Summary 2023$'!BP30*$M$4</f>
        <v>19675366.61204882</v>
      </c>
      <c r="R30" s="97">
        <f>'Summary 2023$'!BQ30*$M$4</f>
        <v>19687727.145785462</v>
      </c>
      <c r="S30" s="98">
        <f>'Summary 2023$'!BR30*$M$4</f>
        <v>19693907.412653785</v>
      </c>
    </row>
    <row r="31" spans="1:19" x14ac:dyDescent="0.25">
      <c r="A31" s="81" t="s">
        <v>68</v>
      </c>
      <c r="B31" s="82" t="s">
        <v>75</v>
      </c>
      <c r="C31" s="83" t="s">
        <v>76</v>
      </c>
      <c r="D31" s="689">
        <f>SUM('Defect (Total)'!BB31,Planned!CE31,Reconductor!CE31,CTGS!CE31,'Substation 2025$'!CE31*$M$1,Comms!CA31*$M$2)</f>
        <v>19.533333333333331</v>
      </c>
      <c r="E31" s="96">
        <f>SUM('Defect (Total)'!BC31,Planned!CF31,Reconductor!CF31,CTGS!CF31,'Substation 2025$'!CF31*$M$1,Comms!CB31*$M$2)</f>
        <v>19.533333333333331</v>
      </c>
      <c r="F31" s="96">
        <f>SUM('Defect (Total)'!BD31,Planned!CG31,Reconductor!CG31,CTGS!CG31,'Substation 2025$'!CG31*$M$1,Comms!CC31*$M$2)</f>
        <v>19.533333333333331</v>
      </c>
      <c r="G31" s="96">
        <f>SUM('Defect (Total)'!BE31,Planned!CH31,Reconductor!CH31,CTGS!CH31,'Substation 2025$'!CH31*$M$1,Comms!CD31*$M$2)</f>
        <v>21.278019904533334</v>
      </c>
      <c r="H31" s="96">
        <f>SUM('Defect (Total)'!BF31,Planned!CI31,Reconductor!CI31,CTGS!CI31,'Substation 2025$'!CI31*$M$1,Comms!CE31*$M$2)</f>
        <v>21.278019904533334</v>
      </c>
      <c r="I31" s="96">
        <f>SUM('Defect (Total)'!BG31,Planned!CJ31,Reconductor!CJ31,CTGS!CJ31,'Substation 2025$'!CJ31*$M$1,Comms!CF31*$M$2)</f>
        <v>21.278019904533334</v>
      </c>
      <c r="J31" s="96">
        <f>SUM('Defect (Total)'!BH31,Planned!CK31,Reconductor!CK31,CTGS!CK31,'Substation 2025$'!CK31*$M$1,Comms!CG31*$M$2)</f>
        <v>21.278019904533334</v>
      </c>
      <c r="K31" s="286">
        <f>SUM('Defect (Total)'!BI31,Planned!CL31,Reconductor!CL31,CTGS!CL31,'Substation 2025$'!CL31*$M$1,Comms!CH31*$M$2)</f>
        <v>21.278019904533334</v>
      </c>
      <c r="L31" s="743"/>
      <c r="M31" s="97">
        <f>'Summary 2023$'!BL31*$M$4</f>
        <v>142914.92891005005</v>
      </c>
      <c r="N31" s="524">
        <f>'Summary 2023$'!BM31*$M$4</f>
        <v>142914.92891005005</v>
      </c>
      <c r="O31" s="416">
        <f>'Summary 2023$'!BN31*$M$4</f>
        <v>155678.97848214878</v>
      </c>
      <c r="P31" s="97">
        <f>'Summary 2023$'!BO31*$M$4</f>
        <v>155678.97848214878</v>
      </c>
      <c r="Q31" s="97">
        <f>'Summary 2023$'!BP31*$M$4</f>
        <v>155678.97848214878</v>
      </c>
      <c r="R31" s="97">
        <f>'Summary 2023$'!BQ31*$M$4</f>
        <v>155678.97848214878</v>
      </c>
      <c r="S31" s="98">
        <f>'Summary 2023$'!BR31*$M$4</f>
        <v>155678.97848214878</v>
      </c>
    </row>
    <row r="32" spans="1:19" x14ac:dyDescent="0.25">
      <c r="A32" s="81" t="s">
        <v>68</v>
      </c>
      <c r="B32" s="82" t="s">
        <v>77</v>
      </c>
      <c r="C32" s="83" t="s">
        <v>78</v>
      </c>
      <c r="D32" s="689">
        <f>SUM('Defect (Total)'!BB32,Planned!CE32,Reconductor!CE32,CTGS!CE32,'Substation 2025$'!CE32*$M$1,Comms!CA32*$M$2)</f>
        <v>0</v>
      </c>
      <c r="E32" s="96">
        <f>SUM('Defect (Total)'!BC32,Planned!CF32,Reconductor!CF32,CTGS!CF32,'Substation 2025$'!CF32*$M$1,Comms!CB32*$M$2)</f>
        <v>0</v>
      </c>
      <c r="F32" s="96">
        <f>SUM('Defect (Total)'!BD32,Planned!CG32,Reconductor!CG32,CTGS!CG32,'Substation 2025$'!CG32*$M$1,Comms!CC32*$M$2)</f>
        <v>0</v>
      </c>
      <c r="G32" s="96">
        <f>SUM('Defect (Total)'!BE32,Planned!CH32,Reconductor!CH32,CTGS!CH32,'Substation 2025$'!CH32*$M$1,Comms!CD32*$M$2)</f>
        <v>0</v>
      </c>
      <c r="H32" s="96">
        <f>SUM('Defect (Total)'!BF32,Planned!CI32,Reconductor!CI32,CTGS!CI32,'Substation 2025$'!CI32*$M$1,Comms!CE32*$M$2)</f>
        <v>0</v>
      </c>
      <c r="I32" s="96">
        <f>SUM('Defect (Total)'!BG32,Planned!CJ32,Reconductor!CJ32,CTGS!CJ32,'Substation 2025$'!CJ32*$M$1,Comms!CF32*$M$2)</f>
        <v>0</v>
      </c>
      <c r="J32" s="96">
        <f>SUM('Defect (Total)'!BH32,Planned!CK32,Reconductor!CK32,CTGS!CK32,'Substation 2025$'!CK32*$M$1,Comms!CG32*$M$2)</f>
        <v>0</v>
      </c>
      <c r="K32" s="286">
        <f>SUM('Defect (Total)'!BI32,Planned!CL32,Reconductor!CL32,CTGS!CL32,'Substation 2025$'!CL32*$M$1,Comms!CH32*$M$2)</f>
        <v>0</v>
      </c>
      <c r="L32" s="743"/>
      <c r="M32" s="97">
        <f>'Summary 2023$'!BL32*$M$4</f>
        <v>0</v>
      </c>
      <c r="N32" s="524">
        <f>'Summary 2023$'!BM32*$M$4</f>
        <v>0</v>
      </c>
      <c r="O32" s="416">
        <f>'Summary 2023$'!BN32*$M$4</f>
        <v>0</v>
      </c>
      <c r="P32" s="97">
        <f>'Summary 2023$'!BO32*$M$4</f>
        <v>0</v>
      </c>
      <c r="Q32" s="97">
        <f>'Summary 2023$'!BP32*$M$4</f>
        <v>0</v>
      </c>
      <c r="R32" s="97">
        <f>'Summary 2023$'!BQ32*$M$4</f>
        <v>0</v>
      </c>
      <c r="S32" s="98">
        <f>'Summary 2023$'!BR32*$M$4</f>
        <v>0</v>
      </c>
    </row>
    <row r="33" spans="1:19" ht="15.75" thickBot="1" x14ac:dyDescent="0.3">
      <c r="A33" s="100" t="s">
        <v>68</v>
      </c>
      <c r="B33" s="101" t="s">
        <v>308</v>
      </c>
      <c r="C33" s="102" t="s">
        <v>309</v>
      </c>
      <c r="D33" s="690">
        <f>SUM('Defect (Total)'!BB33,Planned!CE33,Reconductor!CE33,CTGS!CE33,'Substation 2025$'!CE33*$M$1,Comms!CA33*$M$2)</f>
        <v>0</v>
      </c>
      <c r="E33" s="115">
        <f>SUM('Defect (Total)'!BC33,Planned!CF33,Reconductor!CF33,CTGS!CF33,'Substation 2025$'!CF33*$M$1,Comms!CB33*$M$2)</f>
        <v>0</v>
      </c>
      <c r="F33" s="115">
        <f>SUM('Defect (Total)'!BD33,Planned!CG33,Reconductor!CG33,CTGS!CG33,'Substation 2025$'!CG33*$M$1,Comms!CC33*$M$2)</f>
        <v>0</v>
      </c>
      <c r="G33" s="115">
        <f>SUM('Defect (Total)'!BE33,Planned!CH33,Reconductor!CH33,CTGS!CH33,'Substation 2025$'!CH33*$M$1,Comms!CD33*$M$2)</f>
        <v>0</v>
      </c>
      <c r="H33" s="115">
        <f>SUM('Defect (Total)'!BF33,Planned!CI33,Reconductor!CI33,CTGS!CI33,'Substation 2025$'!CI33*$M$1,Comms!CE33*$M$2)</f>
        <v>0</v>
      </c>
      <c r="I33" s="115">
        <f>SUM('Defect (Total)'!BG33,Planned!CJ33,Reconductor!CJ33,CTGS!CJ33,'Substation 2025$'!CJ33*$M$1,Comms!CF33*$M$2)</f>
        <v>0</v>
      </c>
      <c r="J33" s="115">
        <f>SUM('Defect (Total)'!BH33,Planned!CK33,Reconductor!CK33,CTGS!CK33,'Substation 2025$'!CK33*$M$1,Comms!CG33*$M$2)</f>
        <v>0</v>
      </c>
      <c r="K33" s="287">
        <f>SUM('Defect (Total)'!BI33,Planned!CL33,Reconductor!CL33,CTGS!CL33,'Substation 2025$'!CL33*$M$1,Comms!CH33*$M$2)</f>
        <v>0</v>
      </c>
      <c r="L33" s="744"/>
      <c r="M33" s="117">
        <f>'Summary 2023$'!BL33*$M$4</f>
        <v>0</v>
      </c>
      <c r="N33" s="638">
        <f>'Summary 2023$'!BM33*$M$4</f>
        <v>0</v>
      </c>
      <c r="O33" s="467">
        <f>'Summary 2023$'!BN33*$M$4</f>
        <v>0</v>
      </c>
      <c r="P33" s="117">
        <f>'Summary 2023$'!BO33*$M$4</f>
        <v>0</v>
      </c>
      <c r="Q33" s="117">
        <f>'Summary 2023$'!BP33*$M$4</f>
        <v>0</v>
      </c>
      <c r="R33" s="117">
        <f>'Summary 2023$'!BQ33*$M$4</f>
        <v>0</v>
      </c>
      <c r="S33" s="118">
        <f>'Summary 2023$'!BR33*$M$4</f>
        <v>0</v>
      </c>
    </row>
    <row r="34" spans="1:19" x14ac:dyDescent="0.25">
      <c r="A34" s="63" t="s">
        <v>81</v>
      </c>
      <c r="B34" s="334" t="s">
        <v>79</v>
      </c>
      <c r="C34" s="65" t="s">
        <v>305</v>
      </c>
      <c r="D34" s="691">
        <f>SUM('Defect (Total)'!BB34,Planned!CE34,Reconductor!CE34,CTGS!CE34,'Substation 2025$'!CE34*$M$1,Comms!CA34*$M$2)</f>
        <v>204.07552715577756</v>
      </c>
      <c r="E34" s="360">
        <f>SUM('Defect (Total)'!BC34,Planned!CF34,Reconductor!CF34,CTGS!CF34,'Substation 2025$'!CF34*$M$1,Comms!CB34*$M$2)</f>
        <v>260.6237401538794</v>
      </c>
      <c r="F34" s="360">
        <f>SUM('Defect (Total)'!BD34,Planned!CG34,Reconductor!CG34,CTGS!CG34,'Substation 2025$'!CG34*$M$1,Comms!CC34*$M$2)</f>
        <v>260.6237401538794</v>
      </c>
      <c r="G34" s="360">
        <f>SUM('Defect (Total)'!BE34,Planned!CH34,Reconductor!CH34,CTGS!CH34,'Substation 2025$'!CH34*$M$1,Comms!CD34*$M$2)</f>
        <v>331.67759136931437</v>
      </c>
      <c r="H34" s="360">
        <f>SUM('Defect (Total)'!BF34,Planned!CI34,Reconductor!CI34,CTGS!CI34,'Substation 2025$'!CI34*$M$1,Comms!CE34*$M$2)</f>
        <v>345.60751142760466</v>
      </c>
      <c r="I34" s="360">
        <f>SUM('Defect (Total)'!BG34,Planned!CJ34,Reconductor!CJ34,CTGS!CJ34,'Substation 2025$'!CJ34*$M$1,Comms!CF34*$M$2)</f>
        <v>354.89792906116696</v>
      </c>
      <c r="J34" s="360">
        <f>SUM('Defect (Total)'!BH34,Planned!CK34,Reconductor!CK34,CTGS!CK34,'Substation 2025$'!CK34*$M$1,Comms!CG34*$M$2)</f>
        <v>364.19104122623412</v>
      </c>
      <c r="K34" s="361">
        <f>SUM('Defect (Total)'!BI34,Planned!CL34,Reconductor!CL34,CTGS!CL34,'Substation 2025$'!CL34*$M$1,Comms!CH34*$M$2)</f>
        <v>368.83852636428321</v>
      </c>
      <c r="L34" s="742"/>
      <c r="M34" s="79">
        <f>'Summary 2023$'!BL34*$M$4</f>
        <v>18063775.940071356</v>
      </c>
      <c r="N34" s="523">
        <f>'Summary 2023$'!BM34*$M$4</f>
        <v>18063775.940071356</v>
      </c>
      <c r="O34" s="415">
        <f>'Summary 2023$'!BN34*$M$4</f>
        <v>21387249.709137168</v>
      </c>
      <c r="P34" s="79">
        <f>'Summary 2023$'!BO34*$M$4</f>
        <v>22032346.706181727</v>
      </c>
      <c r="Q34" s="79">
        <f>'Summary 2023$'!BP34*$M$4</f>
        <v>22462587.546877299</v>
      </c>
      <c r="R34" s="79">
        <f>'Summary 2023$'!BQ34*$M$4</f>
        <v>22892953.171790931</v>
      </c>
      <c r="S34" s="80">
        <f>'Summary 2023$'!BR34*$M$4</f>
        <v>23108179.008968692</v>
      </c>
    </row>
    <row r="35" spans="1:19" x14ac:dyDescent="0.25">
      <c r="A35" s="81" t="s">
        <v>81</v>
      </c>
      <c r="B35" s="82" t="s">
        <v>310</v>
      </c>
      <c r="C35" s="83" t="s">
        <v>70</v>
      </c>
      <c r="D35" s="692">
        <f>SUM('Defect (Total)'!BB35,Planned!CE35,Reconductor!CE35,CTGS!CE35,'Substation 2025$'!CE35*$M$1,Comms!CA35*$M$2)</f>
        <v>185.4875267405333</v>
      </c>
      <c r="E35" s="363">
        <f>SUM('Defect (Total)'!BC35,Planned!CF35,Reconductor!CF35,CTGS!CF35,'Substation 2025$'!CF35*$M$1,Comms!CB35*$M$2)</f>
        <v>169.2715174553519</v>
      </c>
      <c r="F35" s="363">
        <f>SUM('Defect (Total)'!BD35,Planned!CG35,Reconductor!CG35,CTGS!CG35,'Substation 2025$'!CG35*$M$1,Comms!CC35*$M$2)</f>
        <v>169.2715174553519</v>
      </c>
      <c r="G35" s="363">
        <f>SUM('Defect (Total)'!BE35,Planned!CH35,Reconductor!CH35,CTGS!CH35,'Substation 2025$'!CH35*$M$1,Comms!CD35*$M$2)</f>
        <v>218.51252193526636</v>
      </c>
      <c r="H35" s="363">
        <f>SUM('Defect (Total)'!BF35,Planned!CI35,Reconductor!CI35,CTGS!CI35,'Substation 2025$'!CI35*$M$1,Comms!CE35*$M$2)</f>
        <v>226.60649780011798</v>
      </c>
      <c r="I35" s="363">
        <f>SUM('Defect (Total)'!BG35,Planned!CJ35,Reconductor!CJ35,CTGS!CJ35,'Substation 2025$'!CJ35*$M$1,Comms!CF35*$M$2)</f>
        <v>232.01243390053722</v>
      </c>
      <c r="J35" s="363">
        <f>SUM('Defect (Total)'!BH35,Planned!CK35,Reconductor!CK35,CTGS!CK35,'Substation 2025$'!CK35*$M$1,Comms!CG35*$M$2)</f>
        <v>237.4254129107772</v>
      </c>
      <c r="K35" s="364">
        <f>SUM('Defect (Total)'!BI35,Planned!CL35,Reconductor!CL35,CTGS!CL35,'Substation 2025$'!CL35*$M$1,Comms!CH35*$M$2)</f>
        <v>240.1343293382788</v>
      </c>
      <c r="L35" s="743"/>
      <c r="M35" s="97">
        <f>'Summary 2023$'!BL35*$M$4</f>
        <v>9481785.0507769249</v>
      </c>
      <c r="N35" s="524">
        <f>'Summary 2023$'!BM35*$M$4</f>
        <v>9481785.0507769249</v>
      </c>
      <c r="O35" s="416">
        <f>'Summary 2023$'!BN35*$M$4</f>
        <v>11876177.515233545</v>
      </c>
      <c r="P35" s="97">
        <f>'Summary 2023$'!BO35*$M$4</f>
        <v>12279822.439538661</v>
      </c>
      <c r="Q35" s="97">
        <f>'Summary 2023$'!BP35*$M$4</f>
        <v>12549415.369451854</v>
      </c>
      <c r="R35" s="97">
        <f>'Summary 2023$'!BQ35*$M$4</f>
        <v>12819359.527840264</v>
      </c>
      <c r="S35" s="98">
        <f>'Summary 2023$'!BR35*$M$4</f>
        <v>12954452.63715828</v>
      </c>
    </row>
    <row r="36" spans="1:19" x14ac:dyDescent="0.25">
      <c r="A36" s="81" t="s">
        <v>81</v>
      </c>
      <c r="B36" s="82" t="s">
        <v>311</v>
      </c>
      <c r="C36" s="83" t="s">
        <v>312</v>
      </c>
      <c r="D36" s="692">
        <f>SUM('Defect (Total)'!BB36,Planned!CE36,Reconductor!CE36,CTGS!CE36,'Substation 2025$'!CE36*$M$1,Comms!CA36*$M$2)</f>
        <v>54.716976388244447</v>
      </c>
      <c r="E36" s="363">
        <f>SUM('Defect (Total)'!BC36,Planned!CF36,Reconductor!CF36,CTGS!CF36,'Substation 2025$'!CF36*$M$1,Comms!CB36*$M$2)</f>
        <v>66.693465533045412</v>
      </c>
      <c r="F36" s="363">
        <f>SUM('Defect (Total)'!BD36,Planned!CG36,Reconductor!CG36,CTGS!CG36,'Substation 2025$'!CG36*$M$1,Comms!CC36*$M$2)</f>
        <v>66.693465533045412</v>
      </c>
      <c r="G36" s="363">
        <f>SUM('Defect (Total)'!BE36,Planned!CH36,Reconductor!CH36,CTGS!CH36,'Substation 2025$'!CH36*$M$1,Comms!CD36*$M$2)</f>
        <v>80.870125299563369</v>
      </c>
      <c r="H36" s="363">
        <f>SUM('Defect (Total)'!BF36,Planned!CI36,Reconductor!CI36,CTGS!CI36,'Substation 2025$'!CI36*$M$1,Comms!CE36*$M$2)</f>
        <v>86.404000485845515</v>
      </c>
      <c r="I36" s="363">
        <f>SUM('Defect (Total)'!BG36,Planned!CJ36,Reconductor!CJ36,CTGS!CJ36,'Substation 2025$'!CJ36*$M$1,Comms!CF36*$M$2)</f>
        <v>90.076548890123902</v>
      </c>
      <c r="J36" s="363">
        <f>SUM('Defect (Total)'!BH36,Planned!CK36,Reconductor!CK36,CTGS!CK36,'Substation 2025$'!CK36*$M$1,Comms!CG36*$M$2)</f>
        <v>93.737276754844714</v>
      </c>
      <c r="K36" s="364">
        <f>SUM('Defect (Total)'!BI36,Planned!CL36,Reconductor!CL36,CTGS!CL36,'Substation 2025$'!CL36*$M$1,Comms!CH36*$M$2)</f>
        <v>95.563567168604024</v>
      </c>
      <c r="L36" s="743"/>
      <c r="M36" s="97">
        <f>'Summary 2023$'!BL36*$M$4</f>
        <v>2276113.9614691618</v>
      </c>
      <c r="N36" s="524">
        <f>'Summary 2023$'!BM36*$M$4</f>
        <v>2276113.9614691618</v>
      </c>
      <c r="O36" s="416">
        <f>'Summary 2023$'!BN36*$M$4</f>
        <v>2556972.2950515756</v>
      </c>
      <c r="P36" s="97">
        <f>'Summary 2023$'!BO36*$M$4</f>
        <v>2677733.0593427797</v>
      </c>
      <c r="Q36" s="97">
        <f>'Summary 2023$'!BP36*$M$4</f>
        <v>2757875.7689753505</v>
      </c>
      <c r="R36" s="97">
        <f>'Summary 2023$'!BQ36*$M$4</f>
        <v>2837760.5296402886</v>
      </c>
      <c r="S36" s="98">
        <f>'Summary 2023$'!BR36*$M$4</f>
        <v>2877614.0172523656</v>
      </c>
    </row>
    <row r="37" spans="1:19" x14ac:dyDescent="0.25">
      <c r="A37" s="81" t="s">
        <v>81</v>
      </c>
      <c r="B37" s="82" t="s">
        <v>313</v>
      </c>
      <c r="C37" s="83" t="s">
        <v>314</v>
      </c>
      <c r="D37" s="692">
        <f>SUM('Defect (Total)'!BB37,Planned!CE37,Reconductor!CE37,CTGS!CE37,'Substation 2025$'!CE37*$M$1,Comms!CA37*$M$2)</f>
        <v>0</v>
      </c>
      <c r="E37" s="363">
        <f>SUM('Defect (Total)'!BC37,Planned!CF37,Reconductor!CF37,CTGS!CF37,'Substation 2025$'!CF37*$M$1,Comms!CB37*$M$2)</f>
        <v>0</v>
      </c>
      <c r="F37" s="363">
        <f>SUM('Defect (Total)'!BD37,Planned!CG37,Reconductor!CG37,CTGS!CG37,'Substation 2025$'!CG37*$M$1,Comms!CC37*$M$2)</f>
        <v>0</v>
      </c>
      <c r="G37" s="363">
        <f>SUM('Defect (Total)'!BE37,Planned!CH37,Reconductor!CH37,CTGS!CH37,'Substation 2025$'!CH37*$M$1,Comms!CD37*$M$2)</f>
        <v>0</v>
      </c>
      <c r="H37" s="363">
        <f>SUM('Defect (Total)'!BF37,Planned!CI37,Reconductor!CI37,CTGS!CI37,'Substation 2025$'!CI37*$M$1,Comms!CE37*$M$2)</f>
        <v>0</v>
      </c>
      <c r="I37" s="363">
        <f>SUM('Defect (Total)'!BG37,Planned!CJ37,Reconductor!CJ37,CTGS!CJ37,'Substation 2025$'!CJ37*$M$1,Comms!CF37*$M$2)</f>
        <v>0</v>
      </c>
      <c r="J37" s="363">
        <f>SUM('Defect (Total)'!BH37,Planned!CK37,Reconductor!CK37,CTGS!CK37,'Substation 2025$'!CK37*$M$1,Comms!CG37*$M$2)</f>
        <v>0</v>
      </c>
      <c r="K37" s="364">
        <f>SUM('Defect (Total)'!BI37,Planned!CL37,Reconductor!CL37,CTGS!CL37,'Substation 2025$'!CL37*$M$1,Comms!CH37*$M$2)</f>
        <v>0</v>
      </c>
      <c r="L37" s="743"/>
      <c r="M37" s="97">
        <f>'Summary 2023$'!BL37*$M$4</f>
        <v>0</v>
      </c>
      <c r="N37" s="524">
        <f>'Summary 2023$'!BM37*$M$4</f>
        <v>0</v>
      </c>
      <c r="O37" s="416">
        <f>'Summary 2023$'!BN37*$M$4</f>
        <v>0</v>
      </c>
      <c r="P37" s="97">
        <f>'Summary 2023$'!BO37*$M$4</f>
        <v>0</v>
      </c>
      <c r="Q37" s="97">
        <f>'Summary 2023$'!BP37*$M$4</f>
        <v>0</v>
      </c>
      <c r="R37" s="97">
        <f>'Summary 2023$'!BQ37*$M$4</f>
        <v>0</v>
      </c>
      <c r="S37" s="98">
        <f>'Summary 2023$'!BR37*$M$4</f>
        <v>0</v>
      </c>
    </row>
    <row r="38" spans="1:19" x14ac:dyDescent="0.25">
      <c r="A38" s="81" t="s">
        <v>81</v>
      </c>
      <c r="B38" s="82" t="s">
        <v>449</v>
      </c>
      <c r="C38" s="83" t="s">
        <v>315</v>
      </c>
      <c r="D38" s="692">
        <f>SUM('Defect (Total)'!BB38,Planned!CE38,Reconductor!CE38,CTGS!CE38,'Substation 2025$'!CE38*$M$1,Comms!CA38*$M$2)</f>
        <v>39.275997325444436</v>
      </c>
      <c r="E38" s="363">
        <f>SUM('Defect (Total)'!BC38,Planned!CF38,Reconductor!CF38,CTGS!CF38,'Substation 2025$'!CF38*$M$1,Comms!CB38*$M$2)</f>
        <v>43.240895420921568</v>
      </c>
      <c r="F38" s="363">
        <f>SUM('Defect (Total)'!BD38,Planned!CG38,Reconductor!CG38,CTGS!CG38,'Substation 2025$'!CG38*$M$1,Comms!CC38*$M$2)</f>
        <v>43.240895420921568</v>
      </c>
      <c r="G38" s="363">
        <f>SUM('Defect (Total)'!BE38,Planned!CH38,Reconductor!CH38,CTGS!CH38,'Substation 2025$'!CH38*$M$1,Comms!CD38*$M$2)</f>
        <v>56.152640392414114</v>
      </c>
      <c r="H38" s="363">
        <f>SUM('Defect (Total)'!BF38,Planned!CI38,Reconductor!CI38,CTGS!CI38,'Substation 2025$'!CI38*$M$1,Comms!CE38*$M$2)</f>
        <v>58.124349026461473</v>
      </c>
      <c r="I38" s="363">
        <f>SUM('Defect (Total)'!BG38,Planned!CJ38,Reconductor!CJ38,CTGS!CJ38,'Substation 2025$'!CJ38*$M$1,Comms!CF38*$M$2)</f>
        <v>59.441704303829283</v>
      </c>
      <c r="J38" s="363">
        <f>SUM('Defect (Total)'!BH38,Planned!CK38,Reconductor!CK38,CTGS!CK38,'Substation 2025$'!CK38*$M$1,Comms!CG38*$M$2)</f>
        <v>60.7610991841198</v>
      </c>
      <c r="K38" s="364">
        <f>SUM('Defect (Total)'!BI38,Planned!CL38,Reconductor!CL38,CTGS!CL38,'Substation 2025$'!CL38*$M$1,Comms!CH38*$M$2)</f>
        <v>61.42149933262138</v>
      </c>
      <c r="L38" s="743"/>
      <c r="M38" s="97">
        <f>'Summary 2023$'!BL38*$M$4</f>
        <v>2389324.1826796867</v>
      </c>
      <c r="N38" s="524">
        <f>'Summary 2023$'!BM38*$M$4</f>
        <v>2389324.1826796867</v>
      </c>
      <c r="O38" s="416">
        <f>'Summary 2023$'!BN38*$M$4</f>
        <v>2735813.9902979047</v>
      </c>
      <c r="P38" s="97">
        <f>'Summary 2023$'!BO38*$M$4</f>
        <v>2791903.1770951166</v>
      </c>
      <c r="Q38" s="97">
        <f>'Summary 2023$'!BP38*$M$4</f>
        <v>2829377.9768472998</v>
      </c>
      <c r="R38" s="97">
        <f>'Summary 2023$'!BQ38*$M$4</f>
        <v>2866910.7971748095</v>
      </c>
      <c r="S38" s="98">
        <f>'Summary 2023$'!BR38*$M$4</f>
        <v>2885697.1972800712</v>
      </c>
    </row>
    <row r="39" spans="1:19" x14ac:dyDescent="0.25">
      <c r="A39" s="81" t="s">
        <v>81</v>
      </c>
      <c r="B39" s="82" t="s">
        <v>316</v>
      </c>
      <c r="C39" s="83" t="s">
        <v>74</v>
      </c>
      <c r="D39" s="692">
        <f>SUM('Defect (Total)'!BB39,Planned!CE39,Reconductor!CE39,CTGS!CE39,'Substation 2025$'!CE39*$M$1,Comms!CA39*$M$2)</f>
        <v>8.7886842223999952</v>
      </c>
      <c r="E39" s="363">
        <f>SUM('Defect (Total)'!BC39,Planned!CF39,Reconductor!CF39,CTGS!CF39,'Substation 2025$'!CF39*$M$1,Comms!CB39*$M$2)</f>
        <v>13.199157438801667</v>
      </c>
      <c r="F39" s="363">
        <f>SUM('Defect (Total)'!BD39,Planned!CG39,Reconductor!CG39,CTGS!CG39,'Substation 2025$'!CG39*$M$1,Comms!CC39*$M$2)</f>
        <v>11.199157438801668</v>
      </c>
      <c r="G39" s="363">
        <f>SUM('Defect (Total)'!BE39,Planned!CH39,Reconductor!CH39,CTGS!CH39,'Substation 2025$'!CH39*$M$1,Comms!CD39*$M$2)</f>
        <v>12.815897005441695</v>
      </c>
      <c r="H39" s="363">
        <f>SUM('Defect (Total)'!BF39,Planned!CI39,Reconductor!CI39,CTGS!CI39,'Substation 2025$'!CI39*$M$1,Comms!CE39*$M$2)</f>
        <v>13.286417261970323</v>
      </c>
      <c r="I39" s="363">
        <f>SUM('Defect (Total)'!BG39,Planned!CJ39,Reconductor!CJ39,CTGS!CJ39,'Substation 2025$'!CJ39*$M$1,Comms!CF39*$M$2)</f>
        <v>13.600159846342658</v>
      </c>
      <c r="J39" s="363">
        <f>SUM('Defect (Total)'!BH39,Planned!CK39,Reconductor!CK39,CTGS!CK39,'Substation 2025$'!CK39*$M$1,Comms!CG39*$M$2)</f>
        <v>13.913945926024271</v>
      </c>
      <c r="K39" s="364">
        <f>SUM('Defect (Total)'!BI39,Planned!CL39,Reconductor!CL39,CTGS!CL39,'Substation 2025$'!CL39*$M$1,Comms!CH39*$M$2)</f>
        <v>14.070853798212644</v>
      </c>
      <c r="L39" s="743"/>
      <c r="M39" s="97">
        <f>'Summary 2023$'!BL39*$M$4</f>
        <v>9281821.0500264168</v>
      </c>
      <c r="N39" s="524">
        <f>'Summary 2023$'!BM39*$M$4</f>
        <v>5385160.7731195055</v>
      </c>
      <c r="O39" s="416">
        <f>'Summary 2023$'!BN39*$M$4</f>
        <v>4390781.1199469296</v>
      </c>
      <c r="P39" s="97">
        <f>'Summary 2023$'!BO39*$M$4</f>
        <v>4603196.0715000099</v>
      </c>
      <c r="Q39" s="97">
        <f>'Summary 2023$'!BP39*$M$4</f>
        <v>4744834.2155222604</v>
      </c>
      <c r="R39" s="97">
        <f>'Summary 2023$'!BQ39*$M$4</f>
        <v>4886491.9953707783</v>
      </c>
      <c r="S39" s="98">
        <f>'Summary 2023$'!BR39*$M$4</f>
        <v>4957327.5813136389</v>
      </c>
    </row>
    <row r="40" spans="1:19" x14ac:dyDescent="0.25">
      <c r="A40" s="81" t="s">
        <v>81</v>
      </c>
      <c r="B40" s="82" t="s">
        <v>317</v>
      </c>
      <c r="C40" s="83" t="s">
        <v>76</v>
      </c>
      <c r="D40" s="692">
        <f>SUM('Defect (Total)'!BB40,Planned!CE40,Reconductor!CE40,CTGS!CE40,'Substation 2025$'!CE40*$M$1,Comms!CA40*$M$2)</f>
        <v>0</v>
      </c>
      <c r="E40" s="363">
        <f>SUM('Defect (Total)'!BC40,Planned!CF40,Reconductor!CF40,CTGS!CF40,'Substation 2025$'!CF40*$M$1,Comms!CB40*$M$2)</f>
        <v>0</v>
      </c>
      <c r="F40" s="363">
        <f>SUM('Defect (Total)'!BD40,Planned!CG40,Reconductor!CG40,CTGS!CG40,'Substation 2025$'!CG40*$M$1,Comms!CC40*$M$2)</f>
        <v>0</v>
      </c>
      <c r="G40" s="363">
        <f>SUM('Defect (Total)'!BE40,Planned!CH40,Reconductor!CH40,CTGS!CH40,'Substation 2025$'!CH40*$M$1,Comms!CD40*$M$2)</f>
        <v>0</v>
      </c>
      <c r="H40" s="363">
        <f>SUM('Defect (Total)'!BF40,Planned!CI40,Reconductor!CI40,CTGS!CI40,'Substation 2025$'!CI40*$M$1,Comms!CE40*$M$2)</f>
        <v>0</v>
      </c>
      <c r="I40" s="363">
        <f>SUM('Defect (Total)'!BG40,Planned!CJ40,Reconductor!CJ40,CTGS!CJ40,'Substation 2025$'!CJ40*$M$1,Comms!CF40*$M$2)</f>
        <v>0</v>
      </c>
      <c r="J40" s="363">
        <f>SUM('Defect (Total)'!BH40,Planned!CK40,Reconductor!CK40,CTGS!CK40,'Substation 2025$'!CK40*$M$1,Comms!CG40*$M$2)</f>
        <v>0</v>
      </c>
      <c r="K40" s="364">
        <f>SUM('Defect (Total)'!BI40,Planned!CL40,Reconductor!CL40,CTGS!CL40,'Substation 2025$'!CL40*$M$1,Comms!CH40*$M$2)</f>
        <v>0</v>
      </c>
      <c r="L40" s="743"/>
      <c r="M40" s="97">
        <f>'Summary 2023$'!BL40*$M$4</f>
        <v>0</v>
      </c>
      <c r="N40" s="524">
        <f>'Summary 2023$'!BM40*$M$4</f>
        <v>0</v>
      </c>
      <c r="O40" s="416">
        <f>'Summary 2023$'!BN40*$M$4</f>
        <v>0</v>
      </c>
      <c r="P40" s="97">
        <f>'Summary 2023$'!BO40*$M$4</f>
        <v>0</v>
      </c>
      <c r="Q40" s="97">
        <f>'Summary 2023$'!BP40*$M$4</f>
        <v>0</v>
      </c>
      <c r="R40" s="97">
        <f>'Summary 2023$'!BQ40*$M$4</f>
        <v>0</v>
      </c>
      <c r="S40" s="98">
        <f>'Summary 2023$'!BR40*$M$4</f>
        <v>0</v>
      </c>
    </row>
    <row r="41" spans="1:19" x14ac:dyDescent="0.25">
      <c r="A41" s="81" t="s">
        <v>81</v>
      </c>
      <c r="B41" s="82" t="s">
        <v>318</v>
      </c>
      <c r="C41" s="83" t="s">
        <v>78</v>
      </c>
      <c r="D41" s="692">
        <f>SUM('Defect (Total)'!BB41,Planned!CE41,Reconductor!CE41,CTGS!CE41,'Substation 2025$'!CE41*$M$1,Comms!CA41*$M$2)</f>
        <v>0</v>
      </c>
      <c r="E41" s="363">
        <f>SUM('Defect (Total)'!BC41,Planned!CF41,Reconductor!CF41,CTGS!CF41,'Substation 2025$'!CF41*$M$1,Comms!CB41*$M$2)</f>
        <v>0</v>
      </c>
      <c r="F41" s="363">
        <f>SUM('Defect (Total)'!BD41,Planned!CG41,Reconductor!CG41,CTGS!CG41,'Substation 2025$'!CG41*$M$1,Comms!CC41*$M$2)</f>
        <v>0</v>
      </c>
      <c r="G41" s="363">
        <f>SUM('Defect (Total)'!BE41,Planned!CH41,Reconductor!CH41,CTGS!CH41,'Substation 2025$'!CH41*$M$1,Comms!CD41*$M$2)</f>
        <v>0</v>
      </c>
      <c r="H41" s="363">
        <f>SUM('Defect (Total)'!BF41,Planned!CI41,Reconductor!CI41,CTGS!CI41,'Substation 2025$'!CI41*$M$1,Comms!CE41*$M$2)</f>
        <v>0</v>
      </c>
      <c r="I41" s="363">
        <f>SUM('Defect (Total)'!BG41,Planned!CJ41,Reconductor!CJ41,CTGS!CJ41,'Substation 2025$'!CJ41*$M$1,Comms!CF41*$M$2)</f>
        <v>0</v>
      </c>
      <c r="J41" s="363">
        <f>SUM('Defect (Total)'!BH41,Planned!CK41,Reconductor!CK41,CTGS!CK41,'Substation 2025$'!CK41*$M$1,Comms!CG41*$M$2)</f>
        <v>0</v>
      </c>
      <c r="K41" s="364">
        <f>SUM('Defect (Total)'!BI41,Planned!CL41,Reconductor!CL41,CTGS!CL41,'Substation 2025$'!CL41*$M$1,Comms!CH41*$M$2)</f>
        <v>0</v>
      </c>
      <c r="L41" s="743"/>
      <c r="M41" s="97">
        <f>'Summary 2023$'!BL41*$M$4</f>
        <v>0</v>
      </c>
      <c r="N41" s="524">
        <f>'Summary 2023$'!BM41*$M$4</f>
        <v>0</v>
      </c>
      <c r="O41" s="416">
        <f>'Summary 2023$'!BN41*$M$4</f>
        <v>0</v>
      </c>
      <c r="P41" s="97">
        <f>'Summary 2023$'!BO41*$M$4</f>
        <v>0</v>
      </c>
      <c r="Q41" s="97">
        <f>'Summary 2023$'!BP41*$M$4</f>
        <v>0</v>
      </c>
      <c r="R41" s="97">
        <f>'Summary 2023$'!BQ41*$M$4</f>
        <v>0</v>
      </c>
      <c r="S41" s="98">
        <f>'Summary 2023$'!BR41*$M$4</f>
        <v>0</v>
      </c>
    </row>
    <row r="42" spans="1:19" ht="15.75" thickBot="1" x14ac:dyDescent="0.3">
      <c r="A42" s="100" t="s">
        <v>81</v>
      </c>
      <c r="B42" s="101" t="s">
        <v>319</v>
      </c>
      <c r="C42" s="102" t="s">
        <v>320</v>
      </c>
      <c r="D42" s="693">
        <f>SUM('Defect (Total)'!BB42,Planned!CE42,Reconductor!CE42,CTGS!CE42,'Substation 2025$'!CE42*$M$1,Comms!CA42*$M$2)</f>
        <v>0</v>
      </c>
      <c r="E42" s="366">
        <f>SUM('Defect (Total)'!BC42,Planned!CF42,Reconductor!CF42,CTGS!CF42,'Substation 2025$'!CF42*$M$1,Comms!CB42*$M$2)</f>
        <v>0</v>
      </c>
      <c r="F42" s="366">
        <f>SUM('Defect (Total)'!BD42,Planned!CG42,Reconductor!CG42,CTGS!CG42,'Substation 2025$'!CG42*$M$1,Comms!CC42*$M$2)</f>
        <v>0</v>
      </c>
      <c r="G42" s="366">
        <f>SUM('Defect (Total)'!BE42,Planned!CH42,Reconductor!CH42,CTGS!CH42,'Substation 2025$'!CH42*$M$1,Comms!CD42*$M$2)</f>
        <v>0</v>
      </c>
      <c r="H42" s="366">
        <f>SUM('Defect (Total)'!BF42,Planned!CI42,Reconductor!CI42,CTGS!CI42,'Substation 2025$'!CI42*$M$1,Comms!CE42*$M$2)</f>
        <v>0</v>
      </c>
      <c r="I42" s="366">
        <f>SUM('Defect (Total)'!BG42,Planned!CJ42,Reconductor!CJ42,CTGS!CJ42,'Substation 2025$'!CJ42*$M$1,Comms!CF42*$M$2)</f>
        <v>0</v>
      </c>
      <c r="J42" s="366">
        <f>SUM('Defect (Total)'!BH42,Planned!CK42,Reconductor!CK42,CTGS!CK42,'Substation 2025$'!CK42*$M$1,Comms!CG42*$M$2)</f>
        <v>0</v>
      </c>
      <c r="K42" s="367">
        <f>SUM('Defect (Total)'!BI42,Planned!CL42,Reconductor!CL42,CTGS!CL42,'Substation 2025$'!CL42*$M$1,Comms!CH42*$M$2)</f>
        <v>0</v>
      </c>
      <c r="L42" s="744"/>
      <c r="M42" s="117">
        <f>'Summary 2023$'!BL42*$M$4</f>
        <v>0</v>
      </c>
      <c r="N42" s="638">
        <f>'Summary 2023$'!BM42*$M$4</f>
        <v>0</v>
      </c>
      <c r="O42" s="467">
        <f>'Summary 2023$'!BN42*$M$4</f>
        <v>0</v>
      </c>
      <c r="P42" s="117">
        <f>'Summary 2023$'!BO42*$M$4</f>
        <v>0</v>
      </c>
      <c r="Q42" s="117">
        <f>'Summary 2023$'!BP42*$M$4</f>
        <v>0</v>
      </c>
      <c r="R42" s="117">
        <f>'Summary 2023$'!BQ42*$M$4</f>
        <v>0</v>
      </c>
      <c r="S42" s="118">
        <f>'Summary 2023$'!BR42*$M$4</f>
        <v>0</v>
      </c>
    </row>
    <row r="43" spans="1:19" x14ac:dyDescent="0.25">
      <c r="A43" s="63" t="s">
        <v>94</v>
      </c>
      <c r="B43" s="334" t="s">
        <v>92</v>
      </c>
      <c r="C43" s="65" t="s">
        <v>305</v>
      </c>
      <c r="D43" s="691">
        <f>SUM('Defect (Total)'!BB43,Planned!CE43,Reconductor!CE43,CTGS!CE43,'Substation 2025$'!CE43*$M$1,Comms!CA43*$M$2)</f>
        <v>9.693136002422218</v>
      </c>
      <c r="E43" s="360">
        <f>SUM('Defect (Total)'!BC43,Planned!CF43,Reconductor!CF43,CTGS!CF43,'Substation 2025$'!CF43*$M$1,Comms!CB43*$M$2)</f>
        <v>16.710135995866665</v>
      </c>
      <c r="F43" s="360">
        <f>SUM('Defect (Total)'!BD43,Planned!CG43,Reconductor!CG43,CTGS!CG43,'Substation 2025$'!CG43*$M$1,Comms!CC43*$M$2)</f>
        <v>17.710135995866665</v>
      </c>
      <c r="G43" s="360">
        <f>SUM('Defect (Total)'!BE43,Planned!CH43,Reconductor!CH43,CTGS!CH43,'Substation 2025$'!CH43*$M$1,Comms!CD43*$M$2)</f>
        <v>17.710135995866665</v>
      </c>
      <c r="H43" s="360">
        <f>SUM('Defect (Total)'!BF43,Planned!CI43,Reconductor!CI43,CTGS!CI43,'Substation 2025$'!CI43*$M$1,Comms!CE43*$M$2)</f>
        <v>18.710135995866665</v>
      </c>
      <c r="I43" s="360">
        <f>SUM('Defect (Total)'!BG43,Planned!CJ43,Reconductor!CJ43,CTGS!CJ43,'Substation 2025$'!CJ43*$M$1,Comms!CF43*$M$2)</f>
        <v>18.710135995866665</v>
      </c>
      <c r="J43" s="360">
        <f>SUM('Defect (Total)'!BH43,Planned!CK43,Reconductor!CK43,CTGS!CK43,'Substation 2025$'!CK43*$M$1,Comms!CG43*$M$2)</f>
        <v>19.710135995866665</v>
      </c>
      <c r="K43" s="361">
        <f>SUM('Defect (Total)'!BI43,Planned!CL43,Reconductor!CL43,CTGS!CL43,'Substation 2025$'!CL43*$M$1,Comms!CH43*$M$2)</f>
        <v>19.710135995866665</v>
      </c>
      <c r="L43" s="742"/>
      <c r="M43" s="79">
        <f>'Summary 2023$'!BL43*$M$4</f>
        <v>5218738.1847742246</v>
      </c>
      <c r="N43" s="523">
        <f>'Summary 2023$'!BM43*$M$4</f>
        <v>5537776.4626018535</v>
      </c>
      <c r="O43" s="415">
        <f>'Summary 2023$'!BN43*$M$4</f>
        <v>5537776.4626018535</v>
      </c>
      <c r="P43" s="79">
        <f>'Summary 2023$'!BO43*$M$4</f>
        <v>5856814.7404294824</v>
      </c>
      <c r="Q43" s="79">
        <f>'Summary 2023$'!BP43*$M$4</f>
        <v>5856814.7404294824</v>
      </c>
      <c r="R43" s="79">
        <f>'Summary 2023$'!BQ43*$M$4</f>
        <v>6175853.0182571104</v>
      </c>
      <c r="S43" s="80">
        <f>'Summary 2023$'!BR43*$M$4</f>
        <v>6175853.0182571104</v>
      </c>
    </row>
    <row r="44" spans="1:19" x14ac:dyDescent="0.25">
      <c r="A44" s="81" t="s">
        <v>94</v>
      </c>
      <c r="B44" s="82" t="s">
        <v>450</v>
      </c>
      <c r="C44" s="83" t="s">
        <v>70</v>
      </c>
      <c r="D44" s="692">
        <f>SUM('Defect (Total)'!BB44,Planned!CE44,Reconductor!CE44,CTGS!CE44,'Substation 2025$'!CE44*$M$1,Comms!CA44*$M$2)</f>
        <v>0.57253335757777757</v>
      </c>
      <c r="E44" s="363">
        <f>SUM('Defect (Total)'!BC44,Planned!CF44,Reconductor!CF44,CTGS!CF44,'Substation 2025$'!CF44*$M$1,Comms!CB44*$M$2)</f>
        <v>2.0692000015777778</v>
      </c>
      <c r="F44" s="363">
        <f>SUM('Defect (Total)'!BD44,Planned!CG44,Reconductor!CG44,CTGS!CG44,'Substation 2025$'!CG44*$M$1,Comms!CC44*$M$2)</f>
        <v>1.6702000015777778</v>
      </c>
      <c r="G44" s="363">
        <f>SUM('Defect (Total)'!BE44,Planned!CH44,Reconductor!CH44,CTGS!CH44,'Substation 2025$'!CH44*$M$1,Comms!CD44*$M$2)</f>
        <v>1.6692000015777779</v>
      </c>
      <c r="H44" s="363">
        <f>SUM('Defect (Total)'!BF44,Planned!CI44,Reconductor!CI44,CTGS!CI44,'Substation 2025$'!CI44*$M$1,Comms!CE44*$M$2)</f>
        <v>6.1942000015777783</v>
      </c>
      <c r="I44" s="363">
        <f>SUM('Defect (Total)'!BG44,Planned!CJ44,Reconductor!CJ44,CTGS!CJ44,'Substation 2025$'!CJ44*$M$1,Comms!CF44*$M$2)</f>
        <v>1.6692000015777779</v>
      </c>
      <c r="J44" s="363">
        <f>SUM('Defect (Total)'!BH44,Planned!CK44,Reconductor!CK44,CTGS!CK44,'Substation 2025$'!CK44*$M$1,Comms!CG44*$M$2)</f>
        <v>1.6692000015777779</v>
      </c>
      <c r="K44" s="364">
        <f>SUM('Defect (Total)'!BI44,Planned!CL44,Reconductor!CL44,CTGS!CL44,'Substation 2025$'!CL44*$M$1,Comms!CH44*$M$2)</f>
        <v>8.1702000015777791</v>
      </c>
      <c r="L44" s="743"/>
      <c r="M44" s="97">
        <f>'Summary 2023$'!BL44*$M$4</f>
        <v>4413059.8683785852</v>
      </c>
      <c r="N44" s="524">
        <f>'Summary 2023$'!BM44*$M$4</f>
        <v>3420700.5909077213</v>
      </c>
      <c r="O44" s="416">
        <f>'Summary 2023$'!BN44*$M$4</f>
        <v>1795459.1025733643</v>
      </c>
      <c r="P44" s="97">
        <f>'Summary 2023$'!BO44*$M$4</f>
        <v>1425129.9923271877</v>
      </c>
      <c r="Q44" s="97">
        <f>'Summary 2023$'!BP44*$M$4</f>
        <v>1588697.771192862</v>
      </c>
      <c r="R44" s="97">
        <f>'Summary 2023$'!BQ44*$M$4</f>
        <v>1797171.152252554</v>
      </c>
      <c r="S44" s="98">
        <f>'Summary 2023$'!BR44*$M$4</f>
        <v>2519254.6531229028</v>
      </c>
    </row>
    <row r="45" spans="1:19" x14ac:dyDescent="0.25">
      <c r="A45" s="81" t="s">
        <v>94</v>
      </c>
      <c r="B45" s="82" t="s">
        <v>451</v>
      </c>
      <c r="C45" s="83" t="s">
        <v>72</v>
      </c>
      <c r="D45" s="692">
        <f>SUM('Defect (Total)'!BB45,Planned!CE45,Reconductor!CE45,CTGS!CE45,'Substation 2025$'!CE45*$M$1,Comms!CA45*$M$2)</f>
        <v>0.60135555248888872</v>
      </c>
      <c r="E45" s="363">
        <f>SUM('Defect (Total)'!BC45,Planned!CF45,Reconductor!CF45,CTGS!CF45,'Substation 2025$'!CF45*$M$1,Comms!CB45*$M$2)</f>
        <v>0.60135555248888872</v>
      </c>
      <c r="F45" s="363">
        <f>SUM('Defect (Total)'!BD45,Planned!CG45,Reconductor!CG45,CTGS!CG45,'Substation 2025$'!CG45*$M$1,Comms!CC45*$M$2)</f>
        <v>0.60135555248888872</v>
      </c>
      <c r="G45" s="363">
        <f>SUM('Defect (Total)'!BE45,Planned!CH45,Reconductor!CH45,CTGS!CH45,'Substation 2025$'!CH45*$M$1,Comms!CD45*$M$2)</f>
        <v>0.60135555248888872</v>
      </c>
      <c r="H45" s="363">
        <f>SUM('Defect (Total)'!BF45,Planned!CI45,Reconductor!CI45,CTGS!CI45,'Substation 2025$'!CI45*$M$1,Comms!CE45*$M$2)</f>
        <v>0.60135555248888872</v>
      </c>
      <c r="I45" s="363">
        <f>SUM('Defect (Total)'!BG45,Planned!CJ45,Reconductor!CJ45,CTGS!CJ45,'Substation 2025$'!CJ45*$M$1,Comms!CF45*$M$2)</f>
        <v>0.60135555248888872</v>
      </c>
      <c r="J45" s="363">
        <f>SUM('Defect (Total)'!BH45,Planned!CK45,Reconductor!CK45,CTGS!CK45,'Substation 2025$'!CK45*$M$1,Comms!CG45*$M$2)</f>
        <v>0.60135555248888872</v>
      </c>
      <c r="K45" s="364">
        <f>SUM('Defect (Total)'!BI45,Planned!CL45,Reconductor!CL45,CTGS!CL45,'Substation 2025$'!CL45*$M$1,Comms!CH45*$M$2)</f>
        <v>0.60135555248888872</v>
      </c>
      <c r="L45" s="743"/>
      <c r="M45" s="97">
        <f>'Summary 2023$'!BL45*$M$4</f>
        <v>491513.20583466336</v>
      </c>
      <c r="N45" s="524">
        <f>'Summary 2023$'!BM45*$M$4</f>
        <v>491513.20583466336</v>
      </c>
      <c r="O45" s="416">
        <f>'Summary 2023$'!BN45*$M$4</f>
        <v>491513.20583466336</v>
      </c>
      <c r="P45" s="97">
        <f>'Summary 2023$'!BO45*$M$4</f>
        <v>491513.20583466336</v>
      </c>
      <c r="Q45" s="97">
        <f>'Summary 2023$'!BP45*$M$4</f>
        <v>491513.20583466336</v>
      </c>
      <c r="R45" s="97">
        <f>'Summary 2023$'!BQ45*$M$4</f>
        <v>491513.20583466336</v>
      </c>
      <c r="S45" s="98">
        <f>'Summary 2023$'!BR45*$M$4</f>
        <v>491513.20583466336</v>
      </c>
    </row>
    <row r="46" spans="1:19" x14ac:dyDescent="0.25">
      <c r="A46" s="81" t="s">
        <v>94</v>
      </c>
      <c r="B46" s="82" t="s">
        <v>452</v>
      </c>
      <c r="C46" s="83" t="s">
        <v>98</v>
      </c>
      <c r="D46" s="692">
        <f>SUM('Defect (Total)'!BB46,Planned!CE46,Reconductor!CE46,CTGS!CE46,'Substation 2025$'!CE46*$M$1,Comms!CA46*$M$2)</f>
        <v>0</v>
      </c>
      <c r="E46" s="363">
        <f>SUM('Defect (Total)'!BC46,Planned!CF46,Reconductor!CF46,CTGS!CF46,'Substation 2025$'!CF46*$M$1,Comms!CB46*$M$2)</f>
        <v>0</v>
      </c>
      <c r="F46" s="363">
        <f>SUM('Defect (Total)'!BD46,Planned!CG46,Reconductor!CG46,CTGS!CG46,'Substation 2025$'!CG46*$M$1,Comms!CC46*$M$2)</f>
        <v>0</v>
      </c>
      <c r="G46" s="363">
        <f>SUM('Defect (Total)'!BE46,Planned!CH46,Reconductor!CH46,CTGS!CH46,'Substation 2025$'!CH46*$M$1,Comms!CD46*$M$2)</f>
        <v>0</v>
      </c>
      <c r="H46" s="363">
        <f>SUM('Defect (Total)'!BF46,Planned!CI46,Reconductor!CI46,CTGS!CI46,'Substation 2025$'!CI46*$M$1,Comms!CE46*$M$2)</f>
        <v>0</v>
      </c>
      <c r="I46" s="363">
        <f>SUM('Defect (Total)'!BG46,Planned!CJ46,Reconductor!CJ46,CTGS!CJ46,'Substation 2025$'!CJ46*$M$1,Comms!CF46*$M$2)</f>
        <v>0</v>
      </c>
      <c r="J46" s="363">
        <f>SUM('Defect (Total)'!BH46,Planned!CK46,Reconductor!CK46,CTGS!CK46,'Substation 2025$'!CK46*$M$1,Comms!CG46*$M$2)</f>
        <v>0</v>
      </c>
      <c r="K46" s="364">
        <f>SUM('Defect (Total)'!BI46,Planned!CL46,Reconductor!CL46,CTGS!CL46,'Substation 2025$'!CL46*$M$1,Comms!CH46*$M$2)</f>
        <v>0.2</v>
      </c>
      <c r="L46" s="743"/>
      <c r="M46" s="97">
        <f>'Summary 2023$'!BL46*$M$4</f>
        <v>0</v>
      </c>
      <c r="N46" s="524">
        <f>'Summary 2023$'!BM46*$M$4</f>
        <v>0</v>
      </c>
      <c r="O46" s="416">
        <f>'Summary 2023$'!BN46*$M$4</f>
        <v>0</v>
      </c>
      <c r="P46" s="97">
        <f>'Summary 2023$'!BO46*$M$4</f>
        <v>0</v>
      </c>
      <c r="Q46" s="97">
        <f>'Summary 2023$'!BP46*$M$4</f>
        <v>4663.4092404670628</v>
      </c>
      <c r="R46" s="97">
        <f>'Summary 2023$'!BQ46*$M$4</f>
        <v>13546.435533081149</v>
      </c>
      <c r="S46" s="98">
        <f>'Summary 2023$'!BR46*$M$4</f>
        <v>71669.040680116668</v>
      </c>
    </row>
    <row r="47" spans="1:19" x14ac:dyDescent="0.25">
      <c r="A47" s="81" t="s">
        <v>94</v>
      </c>
      <c r="B47" s="82" t="s">
        <v>453</v>
      </c>
      <c r="C47" s="83" t="s">
        <v>100</v>
      </c>
      <c r="D47" s="692">
        <f>SUM('Defect (Total)'!BB47,Planned!CE47,Reconductor!CE47,CTGS!CE47,'Substation 2025$'!CE47*$M$1,Comms!CA47*$M$2)</f>
        <v>0</v>
      </c>
      <c r="E47" s="363">
        <f>SUM('Defect (Total)'!BC47,Planned!CF47,Reconductor!CF47,CTGS!CF47,'Substation 2025$'!CF47*$M$1,Comms!CB47*$M$2)</f>
        <v>0</v>
      </c>
      <c r="F47" s="363">
        <f>SUM('Defect (Total)'!BD47,Planned!CG47,Reconductor!CG47,CTGS!CG47,'Substation 2025$'!CG47*$M$1,Comms!CC47*$M$2)</f>
        <v>0</v>
      </c>
      <c r="G47" s="363">
        <f>SUM('Defect (Total)'!BE47,Planned!CH47,Reconductor!CH47,CTGS!CH47,'Substation 2025$'!CH47*$M$1,Comms!CD47*$M$2)</f>
        <v>0</v>
      </c>
      <c r="H47" s="363">
        <f>SUM('Defect (Total)'!BF47,Planned!CI47,Reconductor!CI47,CTGS!CI47,'Substation 2025$'!CI47*$M$1,Comms!CE47*$M$2)</f>
        <v>0</v>
      </c>
      <c r="I47" s="363">
        <f>SUM('Defect (Total)'!BG47,Planned!CJ47,Reconductor!CJ47,CTGS!CJ47,'Substation 2025$'!CJ47*$M$1,Comms!CF47*$M$2)</f>
        <v>0</v>
      </c>
      <c r="J47" s="363">
        <f>SUM('Defect (Total)'!BH47,Planned!CK47,Reconductor!CK47,CTGS!CK47,'Substation 2025$'!CK47*$M$1,Comms!CG47*$M$2)</f>
        <v>0</v>
      </c>
      <c r="K47" s="364">
        <f>SUM('Defect (Total)'!BI47,Planned!CL47,Reconductor!CL47,CTGS!CL47,'Substation 2025$'!CL47*$M$1,Comms!CH47*$M$2)</f>
        <v>0</v>
      </c>
      <c r="L47" s="743"/>
      <c r="M47" s="97">
        <f>'Summary 2023$'!BL47*$M$4</f>
        <v>0</v>
      </c>
      <c r="N47" s="524">
        <f>'Summary 2023$'!BM47*$M$4</f>
        <v>0</v>
      </c>
      <c r="O47" s="416">
        <f>'Summary 2023$'!BN47*$M$4</f>
        <v>0</v>
      </c>
      <c r="P47" s="97">
        <f>'Summary 2023$'!BO47*$M$4</f>
        <v>0</v>
      </c>
      <c r="Q47" s="97">
        <f>'Summary 2023$'!BP47*$M$4</f>
        <v>0</v>
      </c>
      <c r="R47" s="97">
        <f>'Summary 2023$'!BQ47*$M$4</f>
        <v>0</v>
      </c>
      <c r="S47" s="98">
        <f>'Summary 2023$'!BR47*$M$4</f>
        <v>0</v>
      </c>
    </row>
    <row r="48" spans="1:19" x14ac:dyDescent="0.25">
      <c r="A48" s="81" t="s">
        <v>94</v>
      </c>
      <c r="B48" s="82" t="s">
        <v>321</v>
      </c>
      <c r="C48" s="83" t="s">
        <v>76</v>
      </c>
      <c r="D48" s="692">
        <f>SUM('Defect (Total)'!BB48,Planned!CE48,Reconductor!CE48,CTGS!CE48,'Substation 2025$'!CE48*$M$1,Comms!CA48*$M$2)</f>
        <v>0</v>
      </c>
      <c r="E48" s="363">
        <f>SUM('Defect (Total)'!BC48,Planned!CF48,Reconductor!CF48,CTGS!CF48,'Substation 2025$'!CF48*$M$1,Comms!CB48*$M$2)</f>
        <v>0</v>
      </c>
      <c r="F48" s="363">
        <f>SUM('Defect (Total)'!BD48,Planned!CG48,Reconductor!CG48,CTGS!CG48,'Substation 2025$'!CG48*$M$1,Comms!CC48*$M$2)</f>
        <v>0</v>
      </c>
      <c r="G48" s="363">
        <f>SUM('Defect (Total)'!BE48,Planned!CH48,Reconductor!CH48,CTGS!CH48,'Substation 2025$'!CH48*$M$1,Comms!CD48*$M$2)</f>
        <v>0</v>
      </c>
      <c r="H48" s="363">
        <f>SUM('Defect (Total)'!BF48,Planned!CI48,Reconductor!CI48,CTGS!CI48,'Substation 2025$'!CI48*$M$1,Comms!CE48*$M$2)</f>
        <v>0</v>
      </c>
      <c r="I48" s="363">
        <f>SUM('Defect (Total)'!BG48,Planned!CJ48,Reconductor!CJ48,CTGS!CJ48,'Substation 2025$'!CJ48*$M$1,Comms!CF48*$M$2)</f>
        <v>0</v>
      </c>
      <c r="J48" s="363">
        <f>SUM('Defect (Total)'!BH48,Planned!CK48,Reconductor!CK48,CTGS!CK48,'Substation 2025$'!CK48*$M$1,Comms!CG48*$M$2)</f>
        <v>0</v>
      </c>
      <c r="K48" s="364">
        <f>SUM('Defect (Total)'!BI48,Planned!CL48,Reconductor!CL48,CTGS!CL48,'Substation 2025$'!CL48*$M$1,Comms!CH48*$M$2)</f>
        <v>0</v>
      </c>
      <c r="L48" s="743"/>
      <c r="M48" s="97">
        <f>'Summary 2023$'!BL48*$M$4</f>
        <v>0</v>
      </c>
      <c r="N48" s="524">
        <f>'Summary 2023$'!BM48*$M$4</f>
        <v>0</v>
      </c>
      <c r="O48" s="416">
        <f>'Summary 2023$'!BN48*$M$4</f>
        <v>0</v>
      </c>
      <c r="P48" s="97">
        <f>'Summary 2023$'!BO48*$M$4</f>
        <v>0</v>
      </c>
      <c r="Q48" s="97">
        <f>'Summary 2023$'!BP48*$M$4</f>
        <v>0</v>
      </c>
      <c r="R48" s="97">
        <f>'Summary 2023$'!BQ48*$M$4</f>
        <v>0</v>
      </c>
      <c r="S48" s="98">
        <f>'Summary 2023$'!BR48*$M$4</f>
        <v>0</v>
      </c>
    </row>
    <row r="49" spans="1:19" x14ac:dyDescent="0.25">
      <c r="A49" s="81" t="s">
        <v>94</v>
      </c>
      <c r="B49" s="82" t="s">
        <v>322</v>
      </c>
      <c r="C49" s="83" t="s">
        <v>323</v>
      </c>
      <c r="D49" s="692">
        <f>SUM('Defect (Total)'!BB49,Planned!CE49,Reconductor!CE49,CTGS!CE49,'Substation 2025$'!CE49*$M$1,Comms!CA49*$M$2)</f>
        <v>0</v>
      </c>
      <c r="E49" s="363">
        <f>SUM('Defect (Total)'!BC49,Planned!CF49,Reconductor!CF49,CTGS!CF49,'Substation 2025$'!CF49*$M$1,Comms!CB49*$M$2)</f>
        <v>0</v>
      </c>
      <c r="F49" s="363">
        <f>SUM('Defect (Total)'!BD49,Planned!CG49,Reconductor!CG49,CTGS!CG49,'Substation 2025$'!CG49*$M$1,Comms!CC49*$M$2)</f>
        <v>0</v>
      </c>
      <c r="G49" s="363">
        <f>SUM('Defect (Total)'!BE49,Planned!CH49,Reconductor!CH49,CTGS!CH49,'Substation 2025$'!CH49*$M$1,Comms!CD49*$M$2)</f>
        <v>0</v>
      </c>
      <c r="H49" s="363">
        <f>SUM('Defect (Total)'!BF49,Planned!CI49,Reconductor!CI49,CTGS!CI49,'Substation 2025$'!CI49*$M$1,Comms!CE49*$M$2)</f>
        <v>0</v>
      </c>
      <c r="I49" s="363">
        <f>SUM('Defect (Total)'!BG49,Planned!CJ49,Reconductor!CJ49,CTGS!CJ49,'Substation 2025$'!CJ49*$M$1,Comms!CF49*$M$2)</f>
        <v>0</v>
      </c>
      <c r="J49" s="363">
        <f>SUM('Defect (Total)'!BH49,Planned!CK49,Reconductor!CK49,CTGS!CK49,'Substation 2025$'!CK49*$M$1,Comms!CG49*$M$2)</f>
        <v>0</v>
      </c>
      <c r="K49" s="364">
        <f>SUM('Defect (Total)'!BI49,Planned!CL49,Reconductor!CL49,CTGS!CL49,'Substation 2025$'!CL49*$M$1,Comms!CH49*$M$2)</f>
        <v>0</v>
      </c>
      <c r="L49" s="743"/>
      <c r="M49" s="97">
        <f>'Summary 2023$'!BL49*$M$4</f>
        <v>0</v>
      </c>
      <c r="N49" s="524">
        <f>'Summary 2023$'!BM49*$M$4</f>
        <v>0</v>
      </c>
      <c r="O49" s="416">
        <f>'Summary 2023$'!BN49*$M$4</f>
        <v>0</v>
      </c>
      <c r="P49" s="97">
        <f>'Summary 2023$'!BO49*$M$4</f>
        <v>0</v>
      </c>
      <c r="Q49" s="97">
        <f>'Summary 2023$'!BP49*$M$4</f>
        <v>0</v>
      </c>
      <c r="R49" s="97">
        <f>'Summary 2023$'!BQ49*$M$4</f>
        <v>0</v>
      </c>
      <c r="S49" s="98">
        <f>'Summary 2023$'!BR49*$M$4</f>
        <v>0</v>
      </c>
    </row>
    <row r="50" spans="1:19" ht="15.75" thickBot="1" x14ac:dyDescent="0.3">
      <c r="A50" s="138" t="s">
        <v>94</v>
      </c>
      <c r="B50" s="139" t="s">
        <v>324</v>
      </c>
      <c r="C50" s="102" t="s">
        <v>325</v>
      </c>
      <c r="D50" s="693">
        <f>SUM('Defect (Total)'!BB50,Planned!CE50,Reconductor!CE50,CTGS!CE50,'Substation 2025$'!CE50*$M$1,Comms!CA50*$M$2)</f>
        <v>0</v>
      </c>
      <c r="E50" s="366">
        <f>SUM('Defect (Total)'!BC50,Planned!CF50,Reconductor!CF50,CTGS!CF50,'Substation 2025$'!CF50*$M$1,Comms!CB50*$M$2)</f>
        <v>0</v>
      </c>
      <c r="F50" s="366">
        <f>SUM('Defect (Total)'!BD50,Planned!CG50,Reconductor!CG50,CTGS!CG50,'Substation 2025$'!CG50*$M$1,Comms!CC50*$M$2)</f>
        <v>0</v>
      </c>
      <c r="G50" s="366">
        <f>SUM('Defect (Total)'!BE50,Planned!CH50,Reconductor!CH50,CTGS!CH50,'Substation 2025$'!CH50*$M$1,Comms!CD50*$M$2)</f>
        <v>0</v>
      </c>
      <c r="H50" s="366">
        <f>SUM('Defect (Total)'!BF50,Planned!CI50,Reconductor!CI50,CTGS!CI50,'Substation 2025$'!CI50*$M$1,Comms!CE50*$M$2)</f>
        <v>0</v>
      </c>
      <c r="I50" s="366">
        <f>SUM('Defect (Total)'!BG50,Planned!CJ50,Reconductor!CJ50,CTGS!CJ50,'Substation 2025$'!CJ50*$M$1,Comms!CF50*$M$2)</f>
        <v>0</v>
      </c>
      <c r="J50" s="366">
        <f>SUM('Defect (Total)'!BH50,Planned!CK50,Reconductor!CK50,CTGS!CK50,'Substation 2025$'!CK50*$M$1,Comms!CG50*$M$2)</f>
        <v>0</v>
      </c>
      <c r="K50" s="367">
        <f>SUM('Defect (Total)'!BI50,Planned!CL50,Reconductor!CL50,CTGS!CL50,'Substation 2025$'!CL50*$M$1,Comms!CH50*$M$2)</f>
        <v>0</v>
      </c>
      <c r="L50" s="744"/>
      <c r="M50" s="117">
        <f>'Summary 2023$'!BL50*$M$4</f>
        <v>0</v>
      </c>
      <c r="N50" s="638">
        <f>'Summary 2023$'!BM50*$M$4</f>
        <v>0</v>
      </c>
      <c r="O50" s="467">
        <f>'Summary 2023$'!BN50*$M$4</f>
        <v>0</v>
      </c>
      <c r="P50" s="117">
        <f>'Summary 2023$'!BO50*$M$4</f>
        <v>0</v>
      </c>
      <c r="Q50" s="117">
        <f>'Summary 2023$'!BP50*$M$4</f>
        <v>0</v>
      </c>
      <c r="R50" s="117">
        <f>'Summary 2023$'!BQ50*$M$4</f>
        <v>0</v>
      </c>
      <c r="S50" s="118">
        <f>'Summary 2023$'!BR50*$M$4</f>
        <v>0</v>
      </c>
    </row>
    <row r="51" spans="1:19" x14ac:dyDescent="0.25">
      <c r="A51" s="63" t="s">
        <v>106</v>
      </c>
      <c r="B51" s="64" t="s">
        <v>103</v>
      </c>
      <c r="C51" s="65" t="s">
        <v>326</v>
      </c>
      <c r="D51" s="688">
        <f>SUM('Defect (Total)'!BB51,Planned!CE51,Reconductor!CE51,CTGS!CE51,'Substation 2025$'!CE51*$M$1,Comms!CA51*$M$2)</f>
        <v>16597.402785238595</v>
      </c>
      <c r="E51" s="78">
        <f>SUM('Defect (Total)'!BC51,Planned!CF51,Reconductor!CF51,CTGS!CF51,'Substation 2025$'!CF51*$M$1,Comms!CB51*$M$2)</f>
        <v>16774.926364352144</v>
      </c>
      <c r="F51" s="78">
        <f>SUM('Defect (Total)'!BD51,Planned!CG51,Reconductor!CG51,CTGS!CG51,'Substation 2025$'!CG51*$M$1,Comms!CC51*$M$2)</f>
        <v>16774.926364352144</v>
      </c>
      <c r="G51" s="78">
        <f>SUM('Defect (Total)'!BE51,Planned!CH51,Reconductor!CH51,CTGS!CH51,'Substation 2025$'!CH51*$M$1,Comms!CD51*$M$2)</f>
        <v>17315.770586805509</v>
      </c>
      <c r="H51" s="78">
        <f>SUM('Defect (Total)'!BF51,Planned!CI51,Reconductor!CI51,CTGS!CI51,'Substation 2025$'!CI51*$M$1,Comms!CE51*$M$2)</f>
        <v>17428.539753673507</v>
      </c>
      <c r="I51" s="78">
        <f>SUM('Defect (Total)'!BG51,Planned!CJ51,Reconductor!CJ51,CTGS!CJ51,'Substation 2025$'!CJ51*$M$1,Comms!CF51*$M$2)</f>
        <v>17503.719198252169</v>
      </c>
      <c r="J51" s="78">
        <f>SUM('Defect (Total)'!BH51,Planned!CK51,Reconductor!CK51,CTGS!CK51,'Substation 2025$'!CK51*$M$1,Comms!CG51*$M$2)</f>
        <v>17578.898642830834</v>
      </c>
      <c r="K51" s="285">
        <f>SUM('Defect (Total)'!BI51,Planned!CL51,Reconductor!CL51,CTGS!CL51,'Substation 2025$'!CL51*$M$1,Comms!CH51*$M$2)</f>
        <v>17616.488365120164</v>
      </c>
      <c r="L51" s="742"/>
      <c r="M51" s="79">
        <f>'Summary 2023$'!BL51*$M$4</f>
        <v>18664495.028491095</v>
      </c>
      <c r="N51" s="523">
        <f>'Summary 2023$'!BM51*$M$4</f>
        <v>18664495.028491095</v>
      </c>
      <c r="O51" s="415">
        <f>'Summary 2023$'!BN51*$M$4</f>
        <v>19394464.879426409</v>
      </c>
      <c r="P51" s="79">
        <f>'Summary 2023$'!BO51*$M$4</f>
        <v>19546667.840115014</v>
      </c>
      <c r="Q51" s="79">
        <f>'Summary 2023$'!BP51*$M$4</f>
        <v>19648136.480574086</v>
      </c>
      <c r="R51" s="79">
        <f>'Summary 2023$'!BQ51*$M$4</f>
        <v>19749605.121033158</v>
      </c>
      <c r="S51" s="80">
        <f>'Summary 2023$'!BR51*$M$4</f>
        <v>19800339.441262692</v>
      </c>
    </row>
    <row r="52" spans="1:19" x14ac:dyDescent="0.25">
      <c r="A52" s="81" t="s">
        <v>106</v>
      </c>
      <c r="B52" s="82" t="s">
        <v>327</v>
      </c>
      <c r="C52" s="83" t="s">
        <v>328</v>
      </c>
      <c r="D52" s="689">
        <f>SUM('Defect (Total)'!BB52,Planned!CE52,Reconductor!CE52,CTGS!CE52,'Substation 2025$'!CE52*$M$1,Comms!CA52*$M$2)</f>
        <v>740.95467894686794</v>
      </c>
      <c r="E52" s="96">
        <f>SUM('Defect (Total)'!BC52,Planned!CF52,Reconductor!CF52,CTGS!CF52,'Substation 2025$'!CF52*$M$1,Comms!CB52*$M$2)</f>
        <v>733.54070324579834</v>
      </c>
      <c r="F52" s="96">
        <f>SUM('Defect (Total)'!BD52,Planned!CG52,Reconductor!CG52,CTGS!CG52,'Substation 2025$'!CG52*$M$1,Comms!CC52*$M$2)</f>
        <v>733.54070324579834</v>
      </c>
      <c r="G52" s="96">
        <f>SUM('Defect (Total)'!BE52,Planned!CH52,Reconductor!CH52,CTGS!CH52,'Substation 2025$'!CH52*$M$1,Comms!CD52*$M$2)</f>
        <v>757.6745064254867</v>
      </c>
      <c r="H52" s="96">
        <f>SUM('Defect (Total)'!BF52,Planned!CI52,Reconductor!CI52,CTGS!CI52,'Substation 2025$'!CI52*$M$1,Comms!CE52*$M$2)</f>
        <v>762.70654479243865</v>
      </c>
      <c r="I52" s="96">
        <f>SUM('Defect (Total)'!BG52,Planned!CJ52,Reconductor!CJ52,CTGS!CJ52,'Substation 2025$'!CJ52*$M$1,Comms!CF52*$M$2)</f>
        <v>766.06123703707328</v>
      </c>
      <c r="J52" s="96">
        <f>SUM('Defect (Total)'!BH52,Planned!CK52,Reconductor!CK52,CTGS!CK52,'Substation 2025$'!CK52*$M$1,Comms!CG52*$M$2)</f>
        <v>769.41592928170792</v>
      </c>
      <c r="K52" s="286">
        <f>SUM('Defect (Total)'!BI52,Planned!CL52,Reconductor!CL52,CTGS!CL52,'Substation 2025$'!CL52*$M$1,Comms!CH52*$M$2)</f>
        <v>771.09327540402523</v>
      </c>
      <c r="L52" s="743"/>
      <c r="M52" s="97">
        <f>'Summary 2023$'!BL52*$M$4</f>
        <v>6104662.0228850842</v>
      </c>
      <c r="N52" s="524">
        <f>'Summary 2023$'!BM52*$M$4</f>
        <v>6104662.0228850842</v>
      </c>
      <c r="O52" s="416">
        <f>'Summary 2023$'!BN52*$M$4</f>
        <v>6306222.2031272706</v>
      </c>
      <c r="P52" s="97">
        <f>'Summary 2023$'!BO52*$M$4</f>
        <v>6348248.6733307755</v>
      </c>
      <c r="Q52" s="97">
        <f>'Summary 2023$'!BP52*$M$4</f>
        <v>6376266.3201331124</v>
      </c>
      <c r="R52" s="97">
        <f>'Summary 2023$'!BQ52*$M$4</f>
        <v>6404283.9669354493</v>
      </c>
      <c r="S52" s="98">
        <f>'Summary 2023$'!BR52*$M$4</f>
        <v>6418292.7903366173</v>
      </c>
    </row>
    <row r="53" spans="1:19" x14ac:dyDescent="0.25">
      <c r="A53" s="81" t="s">
        <v>106</v>
      </c>
      <c r="B53" s="82" t="s">
        <v>454</v>
      </c>
      <c r="C53" s="83" t="s">
        <v>329</v>
      </c>
      <c r="D53" s="689">
        <f>SUM('Defect (Total)'!BB53,Planned!CE53,Reconductor!CE53,CTGS!CE53,'Substation 2025$'!CE53*$M$1,Comms!CA53*$M$2)</f>
        <v>0</v>
      </c>
      <c r="E53" s="96">
        <f>SUM('Defect (Total)'!BC53,Planned!CF53,Reconductor!CF53,CTGS!CF53,'Substation 2025$'!CF53*$M$1,Comms!CB53*$M$2)</f>
        <v>0</v>
      </c>
      <c r="F53" s="96">
        <f>SUM('Defect (Total)'!BD53,Planned!CG53,Reconductor!CG53,CTGS!CG53,'Substation 2025$'!CG53*$M$1,Comms!CC53*$M$2)</f>
        <v>0</v>
      </c>
      <c r="G53" s="96">
        <f>SUM('Defect (Total)'!BE53,Planned!CH53,Reconductor!CH53,CTGS!CH53,'Substation 2025$'!CH53*$M$1,Comms!CD53*$M$2)</f>
        <v>0</v>
      </c>
      <c r="H53" s="96">
        <f>SUM('Defect (Total)'!BF53,Planned!CI53,Reconductor!CI53,CTGS!CI53,'Substation 2025$'!CI53*$M$1,Comms!CE53*$M$2)</f>
        <v>0</v>
      </c>
      <c r="I53" s="96">
        <f>SUM('Defect (Total)'!BG53,Planned!CJ53,Reconductor!CJ53,CTGS!CJ53,'Substation 2025$'!CJ53*$M$1,Comms!CF53*$M$2)</f>
        <v>0</v>
      </c>
      <c r="J53" s="96">
        <f>SUM('Defect (Total)'!BH53,Planned!CK53,Reconductor!CK53,CTGS!CK53,'Substation 2025$'!CK53*$M$1,Comms!CG53*$M$2)</f>
        <v>0</v>
      </c>
      <c r="K53" s="286">
        <f>SUM('Defect (Total)'!BI53,Planned!CL53,Reconductor!CL53,CTGS!CL53,'Substation 2025$'!CL53*$M$1,Comms!CH53*$M$2)</f>
        <v>0</v>
      </c>
      <c r="L53" s="743"/>
      <c r="M53" s="97">
        <f>'Summary 2023$'!BL53*$M$4</f>
        <v>0</v>
      </c>
      <c r="N53" s="524">
        <f>'Summary 2023$'!BM53*$M$4</f>
        <v>0</v>
      </c>
      <c r="O53" s="416">
        <f>'Summary 2023$'!BN53*$M$4</f>
        <v>0</v>
      </c>
      <c r="P53" s="97">
        <f>'Summary 2023$'!BO53*$M$4</f>
        <v>0</v>
      </c>
      <c r="Q53" s="97">
        <f>'Summary 2023$'!BP53*$M$4</f>
        <v>0</v>
      </c>
      <c r="R53" s="97">
        <f>'Summary 2023$'!BQ53*$M$4</f>
        <v>0</v>
      </c>
      <c r="S53" s="98">
        <f>'Summary 2023$'!BR53*$M$4</f>
        <v>0</v>
      </c>
    </row>
    <row r="54" spans="1:19" x14ac:dyDescent="0.25">
      <c r="A54" s="81" t="s">
        <v>106</v>
      </c>
      <c r="B54" s="82" t="s">
        <v>330</v>
      </c>
      <c r="C54" s="83" t="s">
        <v>331</v>
      </c>
      <c r="D54" s="689">
        <f>SUM('Defect (Total)'!BB54,Planned!CE54,Reconductor!CE54,CTGS!CE54,'Substation 2025$'!CE54*$M$1,Comms!CA54*$M$2)</f>
        <v>0</v>
      </c>
      <c r="E54" s="96">
        <f>SUM('Defect (Total)'!BC54,Planned!CF54,Reconductor!CF54,CTGS!CF54,'Substation 2025$'!CF54*$M$1,Comms!CB54*$M$2)</f>
        <v>0</v>
      </c>
      <c r="F54" s="96">
        <f>SUM('Defect (Total)'!BD54,Planned!CG54,Reconductor!CG54,CTGS!CG54,'Substation 2025$'!CG54*$M$1,Comms!CC54*$M$2)</f>
        <v>0</v>
      </c>
      <c r="G54" s="96">
        <f>SUM('Defect (Total)'!BE54,Planned!CH54,Reconductor!CH54,CTGS!CH54,'Substation 2025$'!CH54*$M$1,Comms!CD54*$M$2)</f>
        <v>0</v>
      </c>
      <c r="H54" s="96">
        <f>SUM('Defect (Total)'!BF54,Planned!CI54,Reconductor!CI54,CTGS!CI54,'Substation 2025$'!CI54*$M$1,Comms!CE54*$M$2)</f>
        <v>0</v>
      </c>
      <c r="I54" s="96">
        <f>SUM('Defect (Total)'!BG54,Planned!CJ54,Reconductor!CJ54,CTGS!CJ54,'Substation 2025$'!CJ54*$M$1,Comms!CF54*$M$2)</f>
        <v>0</v>
      </c>
      <c r="J54" s="96">
        <f>SUM('Defect (Total)'!BH54,Planned!CK54,Reconductor!CK54,CTGS!CK54,'Substation 2025$'!CK54*$M$1,Comms!CG54*$M$2)</f>
        <v>0</v>
      </c>
      <c r="K54" s="286">
        <f>SUM('Defect (Total)'!BI54,Planned!CL54,Reconductor!CL54,CTGS!CL54,'Substation 2025$'!CL54*$M$1,Comms!CH54*$M$2)</f>
        <v>0</v>
      </c>
      <c r="L54" s="743"/>
      <c r="M54" s="97">
        <f>'Summary 2023$'!BL54*$M$4</f>
        <v>0</v>
      </c>
      <c r="N54" s="524">
        <f>'Summary 2023$'!BM54*$M$4</f>
        <v>0</v>
      </c>
      <c r="O54" s="416">
        <f>'Summary 2023$'!BN54*$M$4</f>
        <v>0</v>
      </c>
      <c r="P54" s="97">
        <f>'Summary 2023$'!BO54*$M$4</f>
        <v>0</v>
      </c>
      <c r="Q54" s="97">
        <f>'Summary 2023$'!BP54*$M$4</f>
        <v>0</v>
      </c>
      <c r="R54" s="97">
        <f>'Summary 2023$'!BQ54*$M$4</f>
        <v>0</v>
      </c>
      <c r="S54" s="98">
        <f>'Summary 2023$'!BR54*$M$4</f>
        <v>0</v>
      </c>
    </row>
    <row r="55" spans="1:19" x14ac:dyDescent="0.25">
      <c r="A55" s="81" t="s">
        <v>106</v>
      </c>
      <c r="B55" s="82" t="s">
        <v>332</v>
      </c>
      <c r="C55" s="83" t="s">
        <v>333</v>
      </c>
      <c r="D55" s="689">
        <f>SUM('Defect (Total)'!BB55,Planned!CE55,Reconductor!CE55,CTGS!CE55,'Substation 2025$'!CE55*$M$1,Comms!CA55*$M$2)</f>
        <v>0</v>
      </c>
      <c r="E55" s="96">
        <f>SUM('Defect (Total)'!BC55,Planned!CF55,Reconductor!CF55,CTGS!CF55,'Substation 2025$'!CF55*$M$1,Comms!CB55*$M$2)</f>
        <v>0</v>
      </c>
      <c r="F55" s="96">
        <f>SUM('Defect (Total)'!BD55,Planned!CG55,Reconductor!CG55,CTGS!CG55,'Substation 2025$'!CG55*$M$1,Comms!CC55*$M$2)</f>
        <v>0</v>
      </c>
      <c r="G55" s="96">
        <f>SUM('Defect (Total)'!BE55,Planned!CH55,Reconductor!CH55,CTGS!CH55,'Substation 2025$'!CH55*$M$1,Comms!CD55*$M$2)</f>
        <v>0</v>
      </c>
      <c r="H55" s="96">
        <f>SUM('Defect (Total)'!BF55,Planned!CI55,Reconductor!CI55,CTGS!CI55,'Substation 2025$'!CI55*$M$1,Comms!CE55*$M$2)</f>
        <v>0</v>
      </c>
      <c r="I55" s="96">
        <f>SUM('Defect (Total)'!BG55,Planned!CJ55,Reconductor!CJ55,CTGS!CJ55,'Substation 2025$'!CJ55*$M$1,Comms!CF55*$M$2)</f>
        <v>0</v>
      </c>
      <c r="J55" s="96">
        <f>SUM('Defect (Total)'!BH55,Planned!CK55,Reconductor!CK55,CTGS!CK55,'Substation 2025$'!CK55*$M$1,Comms!CG55*$M$2)</f>
        <v>0</v>
      </c>
      <c r="K55" s="286">
        <f>SUM('Defect (Total)'!BI55,Planned!CL55,Reconductor!CL55,CTGS!CL55,'Substation 2025$'!CL55*$M$1,Comms!CH55*$M$2)</f>
        <v>0</v>
      </c>
      <c r="L55" s="743"/>
      <c r="M55" s="97">
        <f>'Summary 2023$'!BL55*$M$4</f>
        <v>0</v>
      </c>
      <c r="N55" s="524">
        <f>'Summary 2023$'!BM55*$M$4</f>
        <v>0</v>
      </c>
      <c r="O55" s="416">
        <f>'Summary 2023$'!BN55*$M$4</f>
        <v>0</v>
      </c>
      <c r="P55" s="97">
        <f>'Summary 2023$'!BO55*$M$4</f>
        <v>0</v>
      </c>
      <c r="Q55" s="97">
        <f>'Summary 2023$'!BP55*$M$4</f>
        <v>0</v>
      </c>
      <c r="R55" s="97">
        <f>'Summary 2023$'!BQ55*$M$4</f>
        <v>0</v>
      </c>
      <c r="S55" s="98">
        <f>'Summary 2023$'!BR55*$M$4</f>
        <v>0</v>
      </c>
    </row>
    <row r="56" spans="1:19" x14ac:dyDescent="0.25">
      <c r="A56" s="81" t="s">
        <v>106</v>
      </c>
      <c r="B56" s="82" t="s">
        <v>334</v>
      </c>
      <c r="C56" s="83" t="s">
        <v>335</v>
      </c>
      <c r="D56" s="694">
        <f>SUM('Defect (Total)'!BB56,Planned!CE56,Reconductor!CE56,CTGS!CE56,'Substation 2025$'!CE56*$M$1,Comms!CA56*$M$2)</f>
        <v>0</v>
      </c>
      <c r="E56" s="140">
        <f>SUM('Defect (Total)'!BC56,Planned!CF56,Reconductor!CF56,CTGS!CF56,'Substation 2025$'!CF56*$M$1,Comms!CB56*$M$2)</f>
        <v>0</v>
      </c>
      <c r="F56" s="140">
        <f>SUM('Defect (Total)'!BD56,Planned!CG56,Reconductor!CG56,CTGS!CG56,'Substation 2025$'!CG56*$M$1,Comms!CC56*$M$2)</f>
        <v>0</v>
      </c>
      <c r="G56" s="140">
        <f>SUM('Defect (Total)'!BE56,Planned!CH56,Reconductor!CH56,CTGS!CH56,'Substation 2025$'!CH56*$M$1,Comms!CD56*$M$2)</f>
        <v>0</v>
      </c>
      <c r="H56" s="140">
        <f>SUM('Defect (Total)'!BF56,Planned!CI56,Reconductor!CI56,CTGS!CI56,'Substation 2025$'!CI56*$M$1,Comms!CE56*$M$2)</f>
        <v>0</v>
      </c>
      <c r="I56" s="140">
        <f>SUM('Defect (Total)'!BG56,Planned!CJ56,Reconductor!CJ56,CTGS!CJ56,'Substation 2025$'!CJ56*$M$1,Comms!CF56*$M$2)</f>
        <v>0</v>
      </c>
      <c r="J56" s="140">
        <f>SUM('Defect (Total)'!BH56,Planned!CK56,Reconductor!CK56,CTGS!CK56,'Substation 2025$'!CK56*$M$1,Comms!CG56*$M$2)</f>
        <v>0</v>
      </c>
      <c r="K56" s="291">
        <f>SUM('Defect (Total)'!BI56,Planned!CL56,Reconductor!CL56,CTGS!CL56,'Substation 2025$'!CL56*$M$1,Comms!CH56*$M$2)</f>
        <v>0</v>
      </c>
      <c r="L56" s="743"/>
      <c r="M56" s="97">
        <f>'Summary 2023$'!BL56*$M$4</f>
        <v>0</v>
      </c>
      <c r="N56" s="524">
        <f>'Summary 2023$'!BM56*$M$4</f>
        <v>0</v>
      </c>
      <c r="O56" s="416">
        <f>'Summary 2023$'!BN56*$M$4</f>
        <v>0</v>
      </c>
      <c r="P56" s="97">
        <f>'Summary 2023$'!BO56*$M$4</f>
        <v>0</v>
      </c>
      <c r="Q56" s="97">
        <f>'Summary 2023$'!BP56*$M$4</f>
        <v>0</v>
      </c>
      <c r="R56" s="97">
        <f>'Summary 2023$'!BQ56*$M$4</f>
        <v>0</v>
      </c>
      <c r="S56" s="98">
        <f>'Summary 2023$'!BR56*$M$4</f>
        <v>0</v>
      </c>
    </row>
    <row r="57" spans="1:19" x14ac:dyDescent="0.25">
      <c r="A57" s="81" t="s">
        <v>106</v>
      </c>
      <c r="B57" s="82" t="s">
        <v>336</v>
      </c>
      <c r="C57" s="83" t="s">
        <v>337</v>
      </c>
      <c r="D57" s="694">
        <f>SUM('Defect (Total)'!BB57,Planned!CE57,Reconductor!CE57,CTGS!CE57,'Substation 2025$'!CE57*$M$1,Comms!CA57*$M$2)</f>
        <v>0</v>
      </c>
      <c r="E57" s="140">
        <f>SUM('Defect (Total)'!BC57,Planned!CF57,Reconductor!CF57,CTGS!CF57,'Substation 2025$'!CF57*$M$1,Comms!CB57*$M$2)</f>
        <v>0</v>
      </c>
      <c r="F57" s="140">
        <f>SUM('Defect (Total)'!BD57,Planned!CG57,Reconductor!CG57,CTGS!CG57,'Substation 2025$'!CG57*$M$1,Comms!CC57*$M$2)</f>
        <v>0</v>
      </c>
      <c r="G57" s="140">
        <f>SUM('Defect (Total)'!BE57,Planned!CH57,Reconductor!CH57,CTGS!CH57,'Substation 2025$'!CH57*$M$1,Comms!CD57*$M$2)</f>
        <v>0</v>
      </c>
      <c r="H57" s="140">
        <f>SUM('Defect (Total)'!BF57,Planned!CI57,Reconductor!CI57,CTGS!CI57,'Substation 2025$'!CI57*$M$1,Comms!CE57*$M$2)</f>
        <v>0</v>
      </c>
      <c r="I57" s="140">
        <f>SUM('Defect (Total)'!BG57,Planned!CJ57,Reconductor!CJ57,CTGS!CJ57,'Substation 2025$'!CJ57*$M$1,Comms!CF57*$M$2)</f>
        <v>0</v>
      </c>
      <c r="J57" s="140">
        <f>SUM('Defect (Total)'!BH57,Planned!CK57,Reconductor!CK57,CTGS!CK57,'Substation 2025$'!CK57*$M$1,Comms!CG57*$M$2)</f>
        <v>0</v>
      </c>
      <c r="K57" s="291">
        <f>SUM('Defect (Total)'!BI57,Planned!CL57,Reconductor!CL57,CTGS!CL57,'Substation 2025$'!CL57*$M$1,Comms!CH57*$M$2)</f>
        <v>0</v>
      </c>
      <c r="L57" s="743"/>
      <c r="M57" s="97">
        <f>'Summary 2023$'!BL57*$M$4</f>
        <v>0</v>
      </c>
      <c r="N57" s="524">
        <f>'Summary 2023$'!BM57*$M$4</f>
        <v>0</v>
      </c>
      <c r="O57" s="416">
        <f>'Summary 2023$'!BN57*$M$4</f>
        <v>0</v>
      </c>
      <c r="P57" s="97">
        <f>'Summary 2023$'!BO57*$M$4</f>
        <v>0</v>
      </c>
      <c r="Q57" s="97">
        <f>'Summary 2023$'!BP57*$M$4</f>
        <v>0</v>
      </c>
      <c r="R57" s="97">
        <f>'Summary 2023$'!BQ57*$M$4</f>
        <v>0</v>
      </c>
      <c r="S57" s="98">
        <f>'Summary 2023$'!BR57*$M$4</f>
        <v>0</v>
      </c>
    </row>
    <row r="58" spans="1:19" x14ac:dyDescent="0.25">
      <c r="A58" s="81" t="s">
        <v>106</v>
      </c>
      <c r="B58" s="82" t="s">
        <v>338</v>
      </c>
      <c r="C58" s="83" t="s">
        <v>339</v>
      </c>
      <c r="D58" s="694">
        <f>SUM('Defect (Total)'!BB58,Planned!CE58,Reconductor!CE58,CTGS!CE58,'Substation 2025$'!CE58*$M$1,Comms!CA58*$M$2)</f>
        <v>0</v>
      </c>
      <c r="E58" s="140">
        <f>SUM('Defect (Total)'!BC58,Planned!CF58,Reconductor!CF58,CTGS!CF58,'Substation 2025$'!CF58*$M$1,Comms!CB58*$M$2)</f>
        <v>0</v>
      </c>
      <c r="F58" s="140">
        <f>SUM('Defect (Total)'!BD58,Planned!CG58,Reconductor!CG58,CTGS!CG58,'Substation 2025$'!CG58*$M$1,Comms!CC58*$M$2)</f>
        <v>0</v>
      </c>
      <c r="G58" s="140">
        <f>SUM('Defect (Total)'!BE58,Planned!CH58,Reconductor!CH58,CTGS!CH58,'Substation 2025$'!CH58*$M$1,Comms!CD58*$M$2)</f>
        <v>0</v>
      </c>
      <c r="H58" s="140">
        <f>SUM('Defect (Total)'!BF58,Planned!CI58,Reconductor!CI58,CTGS!CI58,'Substation 2025$'!CI58*$M$1,Comms!CE58*$M$2)</f>
        <v>0</v>
      </c>
      <c r="I58" s="140">
        <f>SUM('Defect (Total)'!BG58,Planned!CJ58,Reconductor!CJ58,CTGS!CJ58,'Substation 2025$'!CJ58*$M$1,Comms!CF58*$M$2)</f>
        <v>0</v>
      </c>
      <c r="J58" s="140">
        <f>SUM('Defect (Total)'!BH58,Planned!CK58,Reconductor!CK58,CTGS!CK58,'Substation 2025$'!CK58*$M$1,Comms!CG58*$M$2)</f>
        <v>0</v>
      </c>
      <c r="K58" s="291">
        <f>SUM('Defect (Total)'!BI58,Planned!CL58,Reconductor!CL58,CTGS!CL58,'Substation 2025$'!CL58*$M$1,Comms!CH58*$M$2)</f>
        <v>0</v>
      </c>
      <c r="L58" s="743"/>
      <c r="M58" s="97">
        <f>'Summary 2023$'!BL58*$M$4</f>
        <v>0</v>
      </c>
      <c r="N58" s="524">
        <f>'Summary 2023$'!BM58*$M$4</f>
        <v>0</v>
      </c>
      <c r="O58" s="416">
        <f>'Summary 2023$'!BN58*$M$4</f>
        <v>0</v>
      </c>
      <c r="P58" s="97">
        <f>'Summary 2023$'!BO58*$M$4</f>
        <v>0</v>
      </c>
      <c r="Q58" s="97">
        <f>'Summary 2023$'!BP58*$M$4</f>
        <v>0</v>
      </c>
      <c r="R58" s="97">
        <f>'Summary 2023$'!BQ58*$M$4</f>
        <v>0</v>
      </c>
      <c r="S58" s="98">
        <f>'Summary 2023$'!BR58*$M$4</f>
        <v>0</v>
      </c>
    </row>
    <row r="59" spans="1:19" x14ac:dyDescent="0.25">
      <c r="A59" s="81" t="s">
        <v>106</v>
      </c>
      <c r="B59" s="82" t="s">
        <v>340</v>
      </c>
      <c r="C59" s="83" t="s">
        <v>341</v>
      </c>
      <c r="D59" s="694">
        <f>SUM('Defect (Total)'!BB59,Planned!CE59,Reconductor!CE59,CTGS!CE59,'Substation 2025$'!CE59*$M$1,Comms!CA59*$M$2)</f>
        <v>0</v>
      </c>
      <c r="E59" s="140">
        <f>SUM('Defect (Total)'!BC59,Planned!CF59,Reconductor!CF59,CTGS!CF59,'Substation 2025$'!CF59*$M$1,Comms!CB59*$M$2)</f>
        <v>0</v>
      </c>
      <c r="F59" s="140">
        <f>SUM('Defect (Total)'!BD59,Planned!CG59,Reconductor!CG59,CTGS!CG59,'Substation 2025$'!CG59*$M$1,Comms!CC59*$M$2)</f>
        <v>0</v>
      </c>
      <c r="G59" s="140">
        <f>SUM('Defect (Total)'!BE59,Planned!CH59,Reconductor!CH59,CTGS!CH59,'Substation 2025$'!CH59*$M$1,Comms!CD59*$M$2)</f>
        <v>0</v>
      </c>
      <c r="H59" s="140">
        <f>SUM('Defect (Total)'!BF59,Planned!CI59,Reconductor!CI59,CTGS!CI59,'Substation 2025$'!CI59*$M$1,Comms!CE59*$M$2)</f>
        <v>0</v>
      </c>
      <c r="I59" s="140">
        <f>SUM('Defect (Total)'!BG59,Planned!CJ59,Reconductor!CJ59,CTGS!CJ59,'Substation 2025$'!CJ59*$M$1,Comms!CF59*$M$2)</f>
        <v>0</v>
      </c>
      <c r="J59" s="140">
        <f>SUM('Defect (Total)'!BH59,Planned!CK59,Reconductor!CK59,CTGS!CK59,'Substation 2025$'!CK59*$M$1,Comms!CG59*$M$2)</f>
        <v>0</v>
      </c>
      <c r="K59" s="291">
        <f>SUM('Defect (Total)'!BI59,Planned!CL59,Reconductor!CL59,CTGS!CL59,'Substation 2025$'!CL59*$M$1,Comms!CH59*$M$2)</f>
        <v>0</v>
      </c>
      <c r="L59" s="743"/>
      <c r="M59" s="97">
        <f>'Summary 2023$'!BL59*$M$4</f>
        <v>0</v>
      </c>
      <c r="N59" s="524">
        <f>'Summary 2023$'!BM59*$M$4</f>
        <v>0</v>
      </c>
      <c r="O59" s="416">
        <f>'Summary 2023$'!BN59*$M$4</f>
        <v>0</v>
      </c>
      <c r="P59" s="97">
        <f>'Summary 2023$'!BO59*$M$4</f>
        <v>0</v>
      </c>
      <c r="Q59" s="97">
        <f>'Summary 2023$'!BP59*$M$4</f>
        <v>0</v>
      </c>
      <c r="R59" s="97">
        <f>'Summary 2023$'!BQ59*$M$4</f>
        <v>0</v>
      </c>
      <c r="S59" s="98">
        <f>'Summary 2023$'!BR59*$M$4</f>
        <v>0</v>
      </c>
    </row>
    <row r="60" spans="1:19" x14ac:dyDescent="0.25">
      <c r="A60" s="81" t="s">
        <v>106</v>
      </c>
      <c r="B60" s="82" t="s">
        <v>342</v>
      </c>
      <c r="C60" s="83" t="s">
        <v>343</v>
      </c>
      <c r="D60" s="694">
        <f>SUM('Defect (Total)'!BB60,Planned!CE60,Reconductor!CE60,CTGS!CE60,'Substation 2025$'!CE60*$M$1,Comms!CA60*$M$2)</f>
        <v>0</v>
      </c>
      <c r="E60" s="140">
        <f>SUM('Defect (Total)'!BC60,Planned!CF60,Reconductor!CF60,CTGS!CF60,'Substation 2025$'!CF60*$M$1,Comms!CB60*$M$2)</f>
        <v>0</v>
      </c>
      <c r="F60" s="140">
        <f>SUM('Defect (Total)'!BD60,Planned!CG60,Reconductor!CG60,CTGS!CG60,'Substation 2025$'!CG60*$M$1,Comms!CC60*$M$2)</f>
        <v>0</v>
      </c>
      <c r="G60" s="140">
        <f>SUM('Defect (Total)'!BE60,Planned!CH60,Reconductor!CH60,CTGS!CH60,'Substation 2025$'!CH60*$M$1,Comms!CD60*$M$2)</f>
        <v>0</v>
      </c>
      <c r="H60" s="140">
        <f>SUM('Defect (Total)'!BF60,Planned!CI60,Reconductor!CI60,CTGS!CI60,'Substation 2025$'!CI60*$M$1,Comms!CE60*$M$2)</f>
        <v>0</v>
      </c>
      <c r="I60" s="140">
        <f>SUM('Defect (Total)'!BG60,Planned!CJ60,Reconductor!CJ60,CTGS!CJ60,'Substation 2025$'!CJ60*$M$1,Comms!CF60*$M$2)</f>
        <v>0</v>
      </c>
      <c r="J60" s="140">
        <f>SUM('Defect (Total)'!BH60,Planned!CK60,Reconductor!CK60,CTGS!CK60,'Substation 2025$'!CK60*$M$1,Comms!CG60*$M$2)</f>
        <v>0</v>
      </c>
      <c r="K60" s="291">
        <f>SUM('Defect (Total)'!BI60,Planned!CL60,Reconductor!CL60,CTGS!CL60,'Substation 2025$'!CL60*$M$1,Comms!CH60*$M$2)</f>
        <v>0</v>
      </c>
      <c r="L60" s="743"/>
      <c r="M60" s="97">
        <f>'Summary 2023$'!BL60*$M$4</f>
        <v>0</v>
      </c>
      <c r="N60" s="524">
        <f>'Summary 2023$'!BM60*$M$4</f>
        <v>0</v>
      </c>
      <c r="O60" s="416">
        <f>'Summary 2023$'!BN60*$M$4</f>
        <v>0</v>
      </c>
      <c r="P60" s="97">
        <f>'Summary 2023$'!BO60*$M$4</f>
        <v>0</v>
      </c>
      <c r="Q60" s="97">
        <f>'Summary 2023$'!BP60*$M$4</f>
        <v>0</v>
      </c>
      <c r="R60" s="97">
        <f>'Summary 2023$'!BQ60*$M$4</f>
        <v>0</v>
      </c>
      <c r="S60" s="98">
        <f>'Summary 2023$'!BR60*$M$4</f>
        <v>0</v>
      </c>
    </row>
    <row r="61" spans="1:19" x14ac:dyDescent="0.25">
      <c r="A61" s="81" t="s">
        <v>106</v>
      </c>
      <c r="B61" s="82" t="s">
        <v>344</v>
      </c>
      <c r="C61" s="83" t="s">
        <v>345</v>
      </c>
      <c r="D61" s="694">
        <f>SUM('Defect (Total)'!BB61,Planned!CE61,Reconductor!CE61,CTGS!CE61,'Substation 2025$'!CE61*$M$1,Comms!CA61*$M$2)</f>
        <v>0</v>
      </c>
      <c r="E61" s="140">
        <f>SUM('Defect (Total)'!BC61,Planned!CF61,Reconductor!CF61,CTGS!CF61,'Substation 2025$'!CF61*$M$1,Comms!CB61*$M$2)</f>
        <v>0</v>
      </c>
      <c r="F61" s="140">
        <f>SUM('Defect (Total)'!BD61,Planned!CG61,Reconductor!CG61,CTGS!CG61,'Substation 2025$'!CG61*$M$1,Comms!CC61*$M$2)</f>
        <v>0</v>
      </c>
      <c r="G61" s="140">
        <f>SUM('Defect (Total)'!BE61,Planned!CH61,Reconductor!CH61,CTGS!CH61,'Substation 2025$'!CH61*$M$1,Comms!CD61*$M$2)</f>
        <v>0</v>
      </c>
      <c r="H61" s="140">
        <f>SUM('Defect (Total)'!BF61,Planned!CI61,Reconductor!CI61,CTGS!CI61,'Substation 2025$'!CI61*$M$1,Comms!CE61*$M$2)</f>
        <v>0</v>
      </c>
      <c r="I61" s="140">
        <f>SUM('Defect (Total)'!BG61,Planned!CJ61,Reconductor!CJ61,CTGS!CJ61,'Substation 2025$'!CJ61*$M$1,Comms!CF61*$M$2)</f>
        <v>0</v>
      </c>
      <c r="J61" s="140">
        <f>SUM('Defect (Total)'!BH61,Planned!CK61,Reconductor!CK61,CTGS!CK61,'Substation 2025$'!CK61*$M$1,Comms!CG61*$M$2)</f>
        <v>0</v>
      </c>
      <c r="K61" s="291">
        <f>SUM('Defect (Total)'!BI61,Planned!CL61,Reconductor!CL61,CTGS!CL61,'Substation 2025$'!CL61*$M$1,Comms!CH61*$M$2)</f>
        <v>0</v>
      </c>
      <c r="L61" s="743"/>
      <c r="M61" s="97">
        <f>'Summary 2023$'!BL61*$M$4</f>
        <v>0</v>
      </c>
      <c r="N61" s="524">
        <f>'Summary 2023$'!BM61*$M$4</f>
        <v>0</v>
      </c>
      <c r="O61" s="416">
        <f>'Summary 2023$'!BN61*$M$4</f>
        <v>0</v>
      </c>
      <c r="P61" s="97">
        <f>'Summary 2023$'!BO61*$M$4</f>
        <v>0</v>
      </c>
      <c r="Q61" s="97">
        <f>'Summary 2023$'!BP61*$M$4</f>
        <v>0</v>
      </c>
      <c r="R61" s="97">
        <f>'Summary 2023$'!BQ61*$M$4</f>
        <v>0</v>
      </c>
      <c r="S61" s="98">
        <f>'Summary 2023$'!BR61*$M$4</f>
        <v>0</v>
      </c>
    </row>
    <row r="62" spans="1:19" x14ac:dyDescent="0.25">
      <c r="A62" s="81" t="s">
        <v>106</v>
      </c>
      <c r="B62" s="82" t="s">
        <v>346</v>
      </c>
      <c r="C62" s="83" t="s">
        <v>347</v>
      </c>
      <c r="D62" s="694">
        <f>SUM('Defect (Total)'!BB62,Planned!CE62,Reconductor!CE62,CTGS!CE62,'Substation 2025$'!CE62*$M$1,Comms!CA62*$M$2)</f>
        <v>0</v>
      </c>
      <c r="E62" s="140">
        <f>SUM('Defect (Total)'!BC62,Planned!CF62,Reconductor!CF62,CTGS!CF62,'Substation 2025$'!CF62*$M$1,Comms!CB62*$M$2)</f>
        <v>0</v>
      </c>
      <c r="F62" s="140">
        <f>SUM('Defect (Total)'!BD62,Planned!CG62,Reconductor!CG62,CTGS!CG62,'Substation 2025$'!CG62*$M$1,Comms!CC62*$M$2)</f>
        <v>0</v>
      </c>
      <c r="G62" s="140">
        <f>SUM('Defect (Total)'!BE62,Planned!CH62,Reconductor!CH62,CTGS!CH62,'Substation 2025$'!CH62*$M$1,Comms!CD62*$M$2)</f>
        <v>0</v>
      </c>
      <c r="H62" s="140">
        <f>SUM('Defect (Total)'!BF62,Planned!CI62,Reconductor!CI62,CTGS!CI62,'Substation 2025$'!CI62*$M$1,Comms!CE62*$M$2)</f>
        <v>0</v>
      </c>
      <c r="I62" s="140">
        <f>SUM('Defect (Total)'!BG62,Planned!CJ62,Reconductor!CJ62,CTGS!CJ62,'Substation 2025$'!CJ62*$M$1,Comms!CF62*$M$2)</f>
        <v>0</v>
      </c>
      <c r="J62" s="140">
        <f>SUM('Defect (Total)'!BH62,Planned!CK62,Reconductor!CK62,CTGS!CK62,'Substation 2025$'!CK62*$M$1,Comms!CG62*$M$2)</f>
        <v>0</v>
      </c>
      <c r="K62" s="291">
        <f>SUM('Defect (Total)'!BI62,Planned!CL62,Reconductor!CL62,CTGS!CL62,'Substation 2025$'!CL62*$M$1,Comms!CH62*$M$2)</f>
        <v>0</v>
      </c>
      <c r="L62" s="743"/>
      <c r="M62" s="97">
        <f>'Summary 2023$'!BL62*$M$4</f>
        <v>0</v>
      </c>
      <c r="N62" s="524">
        <f>'Summary 2023$'!BM62*$M$4</f>
        <v>0</v>
      </c>
      <c r="O62" s="416">
        <f>'Summary 2023$'!BN62*$M$4</f>
        <v>0</v>
      </c>
      <c r="P62" s="97">
        <f>'Summary 2023$'!BO62*$M$4</f>
        <v>0</v>
      </c>
      <c r="Q62" s="97">
        <f>'Summary 2023$'!BP62*$M$4</f>
        <v>0</v>
      </c>
      <c r="R62" s="97">
        <f>'Summary 2023$'!BQ62*$M$4</f>
        <v>0</v>
      </c>
      <c r="S62" s="98">
        <f>'Summary 2023$'!BR62*$M$4</f>
        <v>0</v>
      </c>
    </row>
    <row r="63" spans="1:19" x14ac:dyDescent="0.25">
      <c r="A63" s="81" t="s">
        <v>106</v>
      </c>
      <c r="B63" s="82" t="s">
        <v>348</v>
      </c>
      <c r="C63" s="83" t="s">
        <v>349</v>
      </c>
      <c r="D63" s="694">
        <f>SUM('Defect (Total)'!BB63,Planned!CE63,Reconductor!CE63,CTGS!CE63,'Substation 2025$'!CE63*$M$1,Comms!CA63*$M$2)</f>
        <v>0</v>
      </c>
      <c r="E63" s="140">
        <f>SUM('Defect (Total)'!BC63,Planned!CF63,Reconductor!CF63,CTGS!CF63,'Substation 2025$'!CF63*$M$1,Comms!CB63*$M$2)</f>
        <v>0</v>
      </c>
      <c r="F63" s="140">
        <f>SUM('Defect (Total)'!BD63,Planned!CG63,Reconductor!CG63,CTGS!CG63,'Substation 2025$'!CG63*$M$1,Comms!CC63*$M$2)</f>
        <v>0</v>
      </c>
      <c r="G63" s="140">
        <f>SUM('Defect (Total)'!BE63,Planned!CH63,Reconductor!CH63,CTGS!CH63,'Substation 2025$'!CH63*$M$1,Comms!CD63*$M$2)</f>
        <v>0</v>
      </c>
      <c r="H63" s="140">
        <f>SUM('Defect (Total)'!BF63,Planned!CI63,Reconductor!CI63,CTGS!CI63,'Substation 2025$'!CI63*$M$1,Comms!CE63*$M$2)</f>
        <v>0</v>
      </c>
      <c r="I63" s="140">
        <f>SUM('Defect (Total)'!BG63,Planned!CJ63,Reconductor!CJ63,CTGS!CJ63,'Substation 2025$'!CJ63*$M$1,Comms!CF63*$M$2)</f>
        <v>0</v>
      </c>
      <c r="J63" s="140">
        <f>SUM('Defect (Total)'!BH63,Planned!CK63,Reconductor!CK63,CTGS!CK63,'Substation 2025$'!CK63*$M$1,Comms!CG63*$M$2)</f>
        <v>0</v>
      </c>
      <c r="K63" s="291">
        <f>SUM('Defect (Total)'!BI63,Planned!CL63,Reconductor!CL63,CTGS!CL63,'Substation 2025$'!CL63*$M$1,Comms!CH63*$M$2)</f>
        <v>0</v>
      </c>
      <c r="L63" s="743"/>
      <c r="M63" s="97">
        <f>'Summary 2023$'!BL63*$M$4</f>
        <v>0</v>
      </c>
      <c r="N63" s="524">
        <f>'Summary 2023$'!BM63*$M$4</f>
        <v>0</v>
      </c>
      <c r="O63" s="416">
        <f>'Summary 2023$'!BN63*$M$4</f>
        <v>0</v>
      </c>
      <c r="P63" s="97">
        <f>'Summary 2023$'!BO63*$M$4</f>
        <v>0</v>
      </c>
      <c r="Q63" s="97">
        <f>'Summary 2023$'!BP63*$M$4</f>
        <v>0</v>
      </c>
      <c r="R63" s="97">
        <f>'Summary 2023$'!BQ63*$M$4</f>
        <v>0</v>
      </c>
      <c r="S63" s="98">
        <f>'Summary 2023$'!BR63*$M$4</f>
        <v>0</v>
      </c>
    </row>
    <row r="64" spans="1:19" x14ac:dyDescent="0.25">
      <c r="A64" s="81" t="s">
        <v>106</v>
      </c>
      <c r="B64" s="82" t="s">
        <v>350</v>
      </c>
      <c r="C64" s="83" t="s">
        <v>351</v>
      </c>
      <c r="D64" s="694">
        <f>SUM('Defect (Total)'!BB64,Planned!CE64,Reconductor!CE64,CTGS!CE64,'Substation 2025$'!CE64*$M$1,Comms!CA64*$M$2)</f>
        <v>0</v>
      </c>
      <c r="E64" s="140">
        <f>SUM('Defect (Total)'!BC64,Planned!CF64,Reconductor!CF64,CTGS!CF64,'Substation 2025$'!CF64*$M$1,Comms!CB64*$M$2)</f>
        <v>0</v>
      </c>
      <c r="F64" s="140">
        <f>SUM('Defect (Total)'!BD64,Planned!CG64,Reconductor!CG64,CTGS!CG64,'Substation 2025$'!CG64*$M$1,Comms!CC64*$M$2)</f>
        <v>0</v>
      </c>
      <c r="G64" s="140">
        <f>SUM('Defect (Total)'!BE64,Planned!CH64,Reconductor!CH64,CTGS!CH64,'Substation 2025$'!CH64*$M$1,Comms!CD64*$M$2)</f>
        <v>0</v>
      </c>
      <c r="H64" s="140">
        <f>SUM('Defect (Total)'!BF64,Planned!CI64,Reconductor!CI64,CTGS!CI64,'Substation 2025$'!CI64*$M$1,Comms!CE64*$M$2)</f>
        <v>0</v>
      </c>
      <c r="I64" s="140">
        <f>SUM('Defect (Total)'!BG64,Planned!CJ64,Reconductor!CJ64,CTGS!CJ64,'Substation 2025$'!CJ64*$M$1,Comms!CF64*$M$2)</f>
        <v>0</v>
      </c>
      <c r="J64" s="140">
        <f>SUM('Defect (Total)'!BH64,Planned!CK64,Reconductor!CK64,CTGS!CK64,'Substation 2025$'!CK64*$M$1,Comms!CG64*$M$2)</f>
        <v>0</v>
      </c>
      <c r="K64" s="291">
        <f>SUM('Defect (Total)'!BI64,Planned!CL64,Reconductor!CL64,CTGS!CL64,'Substation 2025$'!CL64*$M$1,Comms!CH64*$M$2)</f>
        <v>0</v>
      </c>
      <c r="L64" s="743"/>
      <c r="M64" s="97">
        <f>'Summary 2023$'!BL64*$M$4</f>
        <v>0</v>
      </c>
      <c r="N64" s="524">
        <f>'Summary 2023$'!BM64*$M$4</f>
        <v>0</v>
      </c>
      <c r="O64" s="416">
        <f>'Summary 2023$'!BN64*$M$4</f>
        <v>0</v>
      </c>
      <c r="P64" s="97">
        <f>'Summary 2023$'!BO64*$M$4</f>
        <v>0</v>
      </c>
      <c r="Q64" s="97">
        <f>'Summary 2023$'!BP64*$M$4</f>
        <v>0</v>
      </c>
      <c r="R64" s="97">
        <f>'Summary 2023$'!BQ64*$M$4</f>
        <v>0</v>
      </c>
      <c r="S64" s="98">
        <f>'Summary 2023$'!BR64*$M$4</f>
        <v>0</v>
      </c>
    </row>
    <row r="65" spans="1:22" x14ac:dyDescent="0.25">
      <c r="A65" s="81" t="s">
        <v>106</v>
      </c>
      <c r="B65" s="82" t="s">
        <v>352</v>
      </c>
      <c r="C65" s="83" t="s">
        <v>353</v>
      </c>
      <c r="D65" s="694">
        <f>SUM('Defect (Total)'!BB65,Planned!CE65,Reconductor!CE65,CTGS!CE65,'Substation 2025$'!CE65*$M$1,Comms!CA65*$M$2)</f>
        <v>0</v>
      </c>
      <c r="E65" s="140">
        <f>SUM('Defect (Total)'!BC65,Planned!CF65,Reconductor!CF65,CTGS!CF65,'Substation 2025$'!CF65*$M$1,Comms!CB65*$M$2)</f>
        <v>0</v>
      </c>
      <c r="F65" s="140">
        <f>SUM('Defect (Total)'!BD65,Planned!CG65,Reconductor!CG65,CTGS!CG65,'Substation 2025$'!CG65*$M$1,Comms!CC65*$M$2)</f>
        <v>0</v>
      </c>
      <c r="G65" s="140">
        <f>SUM('Defect (Total)'!BE65,Planned!CH65,Reconductor!CH65,CTGS!CH65,'Substation 2025$'!CH65*$M$1,Comms!CD65*$M$2)</f>
        <v>0</v>
      </c>
      <c r="H65" s="140">
        <f>SUM('Defect (Total)'!BF65,Planned!CI65,Reconductor!CI65,CTGS!CI65,'Substation 2025$'!CI65*$M$1,Comms!CE65*$M$2)</f>
        <v>0</v>
      </c>
      <c r="I65" s="140">
        <f>SUM('Defect (Total)'!BG65,Planned!CJ65,Reconductor!CJ65,CTGS!CJ65,'Substation 2025$'!CJ65*$M$1,Comms!CF65*$M$2)</f>
        <v>0</v>
      </c>
      <c r="J65" s="140">
        <f>SUM('Defect (Total)'!BH65,Planned!CK65,Reconductor!CK65,CTGS!CK65,'Substation 2025$'!CK65*$M$1,Comms!CG65*$M$2)</f>
        <v>0</v>
      </c>
      <c r="K65" s="291">
        <f>SUM('Defect (Total)'!BI65,Planned!CL65,Reconductor!CL65,CTGS!CL65,'Substation 2025$'!CL65*$M$1,Comms!CH65*$M$2)</f>
        <v>0</v>
      </c>
      <c r="L65" s="743"/>
      <c r="M65" s="97">
        <f>'Summary 2023$'!BL65*$M$4</f>
        <v>0</v>
      </c>
      <c r="N65" s="524">
        <f>'Summary 2023$'!BM65*$M$4</f>
        <v>0</v>
      </c>
      <c r="O65" s="416">
        <f>'Summary 2023$'!BN65*$M$4</f>
        <v>0</v>
      </c>
      <c r="P65" s="97">
        <f>'Summary 2023$'!BO65*$M$4</f>
        <v>0</v>
      </c>
      <c r="Q65" s="97">
        <f>'Summary 2023$'!BP65*$M$4</f>
        <v>0</v>
      </c>
      <c r="R65" s="97">
        <f>'Summary 2023$'!BQ65*$M$4</f>
        <v>0</v>
      </c>
      <c r="S65" s="98">
        <f>'Summary 2023$'!BR65*$M$4</f>
        <v>0</v>
      </c>
    </row>
    <row r="66" spans="1:22" ht="15.75" thickBot="1" x14ac:dyDescent="0.3">
      <c r="A66" s="100" t="s">
        <v>106</v>
      </c>
      <c r="B66" s="101" t="s">
        <v>354</v>
      </c>
      <c r="C66" s="102" t="s">
        <v>355</v>
      </c>
      <c r="D66" s="695">
        <f>SUM('Defect (Total)'!BB66,Planned!CE66,Reconductor!CE66,CTGS!CE66,'Substation 2025$'!CE66*$M$1,Comms!CA66*$M$2)</f>
        <v>0</v>
      </c>
      <c r="E66" s="141">
        <f>SUM('Defect (Total)'!BC66,Planned!CF66,Reconductor!CF66,CTGS!CF66,'Substation 2025$'!CF66*$M$1,Comms!CB66*$M$2)</f>
        <v>0</v>
      </c>
      <c r="F66" s="141">
        <f>SUM('Defect (Total)'!BD66,Planned!CG66,Reconductor!CG66,CTGS!CG66,'Substation 2025$'!CG66*$M$1,Comms!CC66*$M$2)</f>
        <v>0</v>
      </c>
      <c r="G66" s="141">
        <f>SUM('Defect (Total)'!BE66,Planned!CH66,Reconductor!CH66,CTGS!CH66,'Substation 2025$'!CH66*$M$1,Comms!CD66*$M$2)</f>
        <v>0</v>
      </c>
      <c r="H66" s="141">
        <f>SUM('Defect (Total)'!BF66,Planned!CI66,Reconductor!CI66,CTGS!CI66,'Substation 2025$'!CI66*$M$1,Comms!CE66*$M$2)</f>
        <v>0</v>
      </c>
      <c r="I66" s="141">
        <f>SUM('Defect (Total)'!BG66,Planned!CJ66,Reconductor!CJ66,CTGS!CJ66,'Substation 2025$'!CJ66*$M$1,Comms!CF66*$M$2)</f>
        <v>0</v>
      </c>
      <c r="J66" s="141">
        <f>SUM('Defect (Total)'!BH66,Planned!CK66,Reconductor!CK66,CTGS!CK66,'Substation 2025$'!CK66*$M$1,Comms!CG66*$M$2)</f>
        <v>0</v>
      </c>
      <c r="K66" s="292">
        <f>SUM('Defect (Total)'!BI66,Planned!CL66,Reconductor!CL66,CTGS!CL66,'Substation 2025$'!CL66*$M$1,Comms!CH66*$M$2)</f>
        <v>0</v>
      </c>
      <c r="L66" s="744"/>
      <c r="M66" s="117">
        <f>'Summary 2023$'!BL66*$M$4</f>
        <v>0</v>
      </c>
      <c r="N66" s="638">
        <f>'Summary 2023$'!BM66*$M$4</f>
        <v>0</v>
      </c>
      <c r="O66" s="467">
        <f>'Summary 2023$'!BN66*$M$4</f>
        <v>0</v>
      </c>
      <c r="P66" s="117">
        <f>'Summary 2023$'!BO66*$M$4</f>
        <v>0</v>
      </c>
      <c r="Q66" s="117">
        <f>'Summary 2023$'!BP66*$M$4</f>
        <v>0</v>
      </c>
      <c r="R66" s="117">
        <f>'Summary 2023$'!BQ66*$M$4</f>
        <v>0</v>
      </c>
      <c r="S66" s="118">
        <f>'Summary 2023$'!BR66*$M$4</f>
        <v>0</v>
      </c>
    </row>
    <row r="67" spans="1:22" x14ac:dyDescent="0.25">
      <c r="A67" s="142" t="s">
        <v>138</v>
      </c>
      <c r="B67" s="143" t="s">
        <v>135</v>
      </c>
      <c r="C67" s="65" t="s">
        <v>356</v>
      </c>
      <c r="D67" s="688">
        <f>SUM('Defect (Total)'!BB67,Planned!CE67,Reconductor!CE67,CTGS!CE67,'Substation 2025$'!CE67*$M$1,Comms!CA67*$M$2)</f>
        <v>743.8</v>
      </c>
      <c r="E67" s="78">
        <f>SUM('Defect (Total)'!BC67,Planned!CF67,Reconductor!CF67,CTGS!CF67,'Substation 2025$'!CF67*$M$1,Comms!CB67*$M$2)</f>
        <v>699.11463294818657</v>
      </c>
      <c r="F67" s="78">
        <f>SUM('Defect (Total)'!BD67,Planned!CG67,Reconductor!CG67,CTGS!CG67,'Substation 2025$'!CG67*$M$1,Comms!CC67*$M$2)</f>
        <v>699.11463294818657</v>
      </c>
      <c r="G67" s="78">
        <f>SUM('Defect (Total)'!BE67,Planned!CH67,Reconductor!CH67,CTGS!CH67,'Substation 2025$'!CH67*$M$1,Comms!CD67*$M$2)</f>
        <v>380.83841145478141</v>
      </c>
      <c r="H67" s="78">
        <f>SUM('Defect (Total)'!BF67,Planned!CI67,Reconductor!CI67,CTGS!CI67,'Substation 2025$'!CI67*$M$1,Comms!CE67*$M$2)</f>
        <v>383.45269364301907</v>
      </c>
      <c r="I67" s="78">
        <f>SUM('Defect (Total)'!BG67,Planned!CJ67,Reconductor!CJ67,CTGS!CJ67,'Substation 2025$'!CJ67*$M$1,Comms!CF67*$M$2)</f>
        <v>385.19554843517744</v>
      </c>
      <c r="J67" s="78">
        <f>SUM('Defect (Total)'!BH67,Planned!CK67,Reconductor!CK67,CTGS!CK67,'Substation 2025$'!CK67*$M$1,Comms!CG67*$M$2)</f>
        <v>386.93840322733587</v>
      </c>
      <c r="K67" s="285">
        <f>SUM('Defect (Total)'!BI67,Planned!CL67,Reconductor!CL67,CTGS!CL67,'Substation 2025$'!CL67*$M$1,Comms!CH67*$M$2)</f>
        <v>387.80983062341511</v>
      </c>
      <c r="L67" s="742"/>
      <c r="M67" s="79">
        <f>'Summary 2023$'!BL67*$M$4</f>
        <v>9930517.3208189514</v>
      </c>
      <c r="N67" s="523">
        <f>'Summary 2023$'!BM67*$M$4</f>
        <v>9930517.3208189514</v>
      </c>
      <c r="O67" s="415">
        <f>'Summary 2023$'!BN67*$M$4</f>
        <v>4801122.0228901571</v>
      </c>
      <c r="P67" s="79">
        <f>'Summary 2023$'!BO67*$M$4</f>
        <v>4850637.6008655727</v>
      </c>
      <c r="Q67" s="79">
        <f>'Summary 2023$'!BP67*$M$4</f>
        <v>4883647.9861825146</v>
      </c>
      <c r="R67" s="79">
        <f>'Summary 2023$'!BQ67*$M$4</f>
        <v>4916658.3714994574</v>
      </c>
      <c r="S67" s="80">
        <f>'Summary 2023$'!BR67*$M$4</f>
        <v>4933163.5641579293</v>
      </c>
      <c r="T67" s="395"/>
    </row>
    <row r="68" spans="1:22" x14ac:dyDescent="0.25">
      <c r="A68" s="81" t="s">
        <v>138</v>
      </c>
      <c r="B68" s="82" t="s">
        <v>139</v>
      </c>
      <c r="C68" s="83" t="s">
        <v>357</v>
      </c>
      <c r="D68" s="689">
        <f>SUM('Defect (Total)'!BB68,Planned!CE68,Reconductor!CE68,CTGS!CE68,'Substation 2025$'!CE68*$M$1,Comms!CA68*$M$2)</f>
        <v>22.333333333333336</v>
      </c>
      <c r="E68" s="96">
        <f>SUM('Defect (Total)'!BC68,Planned!CF68,Reconductor!CF68,CTGS!CF68,'Substation 2025$'!CF68*$M$1,Comms!CB68*$M$2)</f>
        <v>21.901054067528218</v>
      </c>
      <c r="F68" s="96">
        <f>SUM('Defect (Total)'!BD68,Planned!CG68,Reconductor!CG68,CTGS!CG68,'Substation 2025$'!CG68*$M$1,Comms!CC68*$M$2)</f>
        <v>21.901054067528218</v>
      </c>
      <c r="G68" s="96">
        <f>SUM('Defect (Total)'!BE68,Planned!CH68,Reconductor!CH68,CTGS!CH68,'Substation 2025$'!CH68*$M$1,Comms!CD68*$M$2)</f>
        <v>17.28033810332235</v>
      </c>
      <c r="H68" s="96">
        <f>SUM('Defect (Total)'!BF68,Planned!CI68,Reconductor!CI68,CTGS!CI68,'Substation 2025$'!CI68*$M$1,Comms!CE68*$M$2)</f>
        <v>17.295537418370245</v>
      </c>
      <c r="I68" s="96">
        <f>SUM('Defect (Total)'!BG68,Planned!CJ68,Reconductor!CJ68,CTGS!CJ68,'Substation 2025$'!CJ68*$M$1,Comms!CF68*$M$2)</f>
        <v>17.30567029506884</v>
      </c>
      <c r="J68" s="96">
        <f>SUM('Defect (Total)'!BH68,Planned!CK68,Reconductor!CK68,CTGS!CK68,'Substation 2025$'!CK68*$M$1,Comms!CG68*$M$2)</f>
        <v>17.315803171767435</v>
      </c>
      <c r="K68" s="286">
        <f>SUM('Defect (Total)'!BI68,Planned!CL68,Reconductor!CL68,CTGS!CL68,'Substation 2025$'!CL68*$M$1,Comms!CH68*$M$2)</f>
        <v>17.320869610116734</v>
      </c>
      <c r="L68" s="743"/>
      <c r="M68" s="97">
        <f>'Summary 2023$'!BL68*$M$4</f>
        <v>1231897.4199824973</v>
      </c>
      <c r="N68" s="524">
        <f>'Summary 2023$'!BM68*$M$4</f>
        <v>1231897.4199824973</v>
      </c>
      <c r="O68" s="416">
        <f>'Summary 2023$'!BN68*$M$4</f>
        <v>762064.8677777776</v>
      </c>
      <c r="P68" s="97">
        <f>'Summary 2023$'!BO68*$M$4</f>
        <v>762521.95066207217</v>
      </c>
      <c r="Q68" s="97">
        <f>'Summary 2023$'!BP68*$M$4</f>
        <v>762826.67258493509</v>
      </c>
      <c r="R68" s="97">
        <f>'Summary 2023$'!BQ68*$M$4</f>
        <v>763131.39450779813</v>
      </c>
      <c r="S68" s="98">
        <f>'Summary 2023$'!BR68*$M$4</f>
        <v>763283.75546922954</v>
      </c>
      <c r="T68" s="395" t="s">
        <v>652</v>
      </c>
      <c r="V68" s="748">
        <f>SUM(O67:S72)/SUM(G67:K72)</f>
        <v>24948.710448091442</v>
      </c>
    </row>
    <row r="69" spans="1:22" x14ac:dyDescent="0.25">
      <c r="A69" s="81" t="s">
        <v>138</v>
      </c>
      <c r="B69" s="82" t="s">
        <v>141</v>
      </c>
      <c r="C69" s="83" t="s">
        <v>358</v>
      </c>
      <c r="D69" s="689">
        <f>SUM('Defect (Total)'!BB69,Planned!CE69,Reconductor!CE69,CTGS!CE69,'Substation 2025$'!CE69*$M$1,Comms!CA69*$M$2)</f>
        <v>0</v>
      </c>
      <c r="E69" s="96">
        <f>SUM('Defect (Total)'!BC69,Planned!CF69,Reconductor!CF69,CTGS!CF69,'Substation 2025$'!CF69*$M$1,Comms!CB69*$M$2)</f>
        <v>0</v>
      </c>
      <c r="F69" s="96">
        <f>SUM('Defect (Total)'!BD69,Planned!CG69,Reconductor!CG69,CTGS!CG69,'Substation 2025$'!CG69*$M$1,Comms!CC69*$M$2)</f>
        <v>0</v>
      </c>
      <c r="G69" s="96">
        <f>SUM('Defect (Total)'!BE69,Planned!CH69,Reconductor!CH69,CTGS!CH69,'Substation 2025$'!CH69*$M$1,Comms!CD69*$M$2)</f>
        <v>0</v>
      </c>
      <c r="H69" s="96">
        <f>SUM('Defect (Total)'!BF69,Planned!CI69,Reconductor!CI69,CTGS!CI69,'Substation 2025$'!CI69*$M$1,Comms!CE69*$M$2)</f>
        <v>0</v>
      </c>
      <c r="I69" s="96">
        <f>SUM('Defect (Total)'!BG69,Planned!CJ69,Reconductor!CJ69,CTGS!CJ69,'Substation 2025$'!CJ69*$M$1,Comms!CF69*$M$2)</f>
        <v>0</v>
      </c>
      <c r="J69" s="96">
        <f>SUM('Defect (Total)'!BH69,Planned!CK69,Reconductor!CK69,CTGS!CK69,'Substation 2025$'!CK69*$M$1,Comms!CG69*$M$2)</f>
        <v>0</v>
      </c>
      <c r="K69" s="286">
        <f>SUM('Defect (Total)'!BI69,Planned!CL69,Reconductor!CL69,CTGS!CL69,'Substation 2025$'!CL69*$M$1,Comms!CH69*$M$2)</f>
        <v>0</v>
      </c>
      <c r="L69" s="743"/>
      <c r="M69" s="97">
        <f>'Summary 2023$'!BL69*$M$4</f>
        <v>0</v>
      </c>
      <c r="N69" s="524">
        <f>'Summary 2023$'!BM69*$M$4</f>
        <v>0</v>
      </c>
      <c r="O69" s="416">
        <f>'Summary 2023$'!BN69*$M$4</f>
        <v>0</v>
      </c>
      <c r="P69" s="97">
        <f>'Summary 2023$'!BO69*$M$4</f>
        <v>0</v>
      </c>
      <c r="Q69" s="97">
        <f>'Summary 2023$'!BP69*$M$4</f>
        <v>0</v>
      </c>
      <c r="R69" s="97">
        <f>'Summary 2023$'!BQ69*$M$4</f>
        <v>0</v>
      </c>
      <c r="S69" s="98">
        <f>'Summary 2023$'!BR69*$M$4</f>
        <v>0</v>
      </c>
    </row>
    <row r="70" spans="1:22" x14ac:dyDescent="0.25">
      <c r="A70" s="81" t="s">
        <v>138</v>
      </c>
      <c r="B70" s="82" t="s">
        <v>143</v>
      </c>
      <c r="C70" s="83" t="s">
        <v>359</v>
      </c>
      <c r="D70" s="689">
        <f>SUM('Defect (Total)'!BB70,Planned!CE70,Reconductor!CE70,CTGS!CE70,'Substation 2025$'!CE70*$M$1,Comms!CA70*$M$2)</f>
        <v>254.86666666666665</v>
      </c>
      <c r="E70" s="96">
        <f>SUM('Defect (Total)'!BC70,Planned!CF70,Reconductor!CF70,CTGS!CF70,'Substation 2025$'!CF70*$M$1,Comms!CB70*$M$2)</f>
        <v>224.89137525497554</v>
      </c>
      <c r="F70" s="96">
        <f>SUM('Defect (Total)'!BD70,Planned!CG70,Reconductor!CG70,CTGS!CG70,'Substation 2025$'!CG70*$M$1,Comms!CC70*$M$2)</f>
        <v>224.89137525497554</v>
      </c>
      <c r="G70" s="96">
        <f>SUM('Defect (Total)'!BE70,Planned!CH70,Reconductor!CH70,CTGS!CH70,'Substation 2025$'!CH70*$M$1,Comms!CD70*$M$2)</f>
        <v>127.82310309867987</v>
      </c>
      <c r="H70" s="96">
        <f>SUM('Defect (Total)'!BF70,Planned!CI70,Reconductor!CI70,CTGS!CI70,'Substation 2025$'!CI70*$M$1,Comms!CE70*$M$2)</f>
        <v>129.38103289108892</v>
      </c>
      <c r="I70" s="96">
        <f>SUM('Defect (Total)'!BG70,Planned!CJ70,Reconductor!CJ70,CTGS!CJ70,'Substation 2025$'!CJ70*$M$1,Comms!CF70*$M$2)</f>
        <v>130.41965275269496</v>
      </c>
      <c r="J70" s="96">
        <f>SUM('Defect (Total)'!BH70,Planned!CK70,Reconductor!CK70,CTGS!CK70,'Substation 2025$'!CK70*$M$1,Comms!CG70*$M$2)</f>
        <v>131.45827261430099</v>
      </c>
      <c r="K70" s="286">
        <f>SUM('Defect (Total)'!BI70,Planned!CL70,Reconductor!CL70,CTGS!CL70,'Substation 2025$'!CL70*$M$1,Comms!CH70*$M$2)</f>
        <v>131.97758254510401</v>
      </c>
      <c r="L70" s="743"/>
      <c r="M70" s="97">
        <f>'Summary 2023$'!BL70*$M$4</f>
        <v>5072126.3677768987</v>
      </c>
      <c r="N70" s="524">
        <f>'Summary 2023$'!BM70*$M$4</f>
        <v>5072126.3677768987</v>
      </c>
      <c r="O70" s="416">
        <f>'Summary 2023$'!BN70*$M$4</f>
        <v>2553019.3449652214</v>
      </c>
      <c r="P70" s="97">
        <f>'Summary 2023$'!BO70*$M$4</f>
        <v>2591005.2393790684</v>
      </c>
      <c r="Q70" s="97">
        <f>'Summary 2023$'!BP70*$M$4</f>
        <v>2616329.1689882991</v>
      </c>
      <c r="R70" s="97">
        <f>'Summary 2023$'!BQ70*$M$4</f>
        <v>2641653.0985975303</v>
      </c>
      <c r="S70" s="98">
        <f>'Summary 2023$'!BR70*$M$4</f>
        <v>2654315.0634021456</v>
      </c>
    </row>
    <row r="71" spans="1:22" x14ac:dyDescent="0.25">
      <c r="A71" s="81" t="s">
        <v>138</v>
      </c>
      <c r="B71" s="82" t="s">
        <v>145</v>
      </c>
      <c r="C71" s="83" t="s">
        <v>360</v>
      </c>
      <c r="D71" s="689">
        <f>SUM('Defect (Total)'!BB71,Planned!CE71,Reconductor!CE71,CTGS!CE71,'Substation 2025$'!CE71*$M$1,Comms!CA71*$M$2)</f>
        <v>589.93333333333339</v>
      </c>
      <c r="E71" s="96">
        <f>SUM('Defect (Total)'!BC71,Planned!CF71,Reconductor!CF71,CTGS!CF71,'Substation 2025$'!CF71*$M$1,Comms!CB71*$M$2)</f>
        <v>541.47668651717083</v>
      </c>
      <c r="F71" s="96">
        <f>SUM('Defect (Total)'!BD71,Planned!CG71,Reconductor!CG71,CTGS!CG71,'Substation 2025$'!CG71*$M$1,Comms!CC71*$M$2)</f>
        <v>541.47668651717083</v>
      </c>
      <c r="G71" s="96">
        <f>SUM('Defect (Total)'!BE71,Planned!CH71,Reconductor!CH71,CTGS!CH71,'Substation 2025$'!CH71*$M$1,Comms!CD71*$M$2)</f>
        <v>285.78159134793799</v>
      </c>
      <c r="H71" s="96">
        <f>SUM('Defect (Total)'!BF71,Planned!CI71,Reconductor!CI71,CTGS!CI71,'Substation 2025$'!CI71*$M$1,Comms!CE71*$M$2)</f>
        <v>287.84869819445146</v>
      </c>
      <c r="I71" s="96">
        <f>SUM('Defect (Total)'!BG71,Planned!CJ71,Reconductor!CJ71,CTGS!CJ71,'Substation 2025$'!CJ71*$M$1,Comms!CF71*$M$2)</f>
        <v>289.22676942546042</v>
      </c>
      <c r="J71" s="96">
        <f>SUM('Defect (Total)'!BH71,Planned!CK71,Reconductor!CK71,CTGS!CK71,'Substation 2025$'!CK71*$M$1,Comms!CG71*$M$2)</f>
        <v>290.60484065646943</v>
      </c>
      <c r="K71" s="286">
        <f>SUM('Defect (Total)'!BI71,Planned!CL71,Reconductor!CL71,CTGS!CL71,'Substation 2025$'!CL71*$M$1,Comms!CH71*$M$2)</f>
        <v>291.29387627197389</v>
      </c>
      <c r="L71" s="743"/>
      <c r="M71" s="97">
        <f>'Summary 2023$'!BL71*$M$4</f>
        <v>22914868.700952645</v>
      </c>
      <c r="N71" s="524">
        <f>'Summary 2023$'!BM71*$M$4</f>
        <v>22914868.700952645</v>
      </c>
      <c r="O71" s="416">
        <f>'Summary 2023$'!BN71*$M$4</f>
        <v>10374477.160045464</v>
      </c>
      <c r="P71" s="97">
        <f>'Summary 2023$'!BO71*$M$4</f>
        <v>10460788.070792427</v>
      </c>
      <c r="Q71" s="97">
        <f>'Summary 2023$'!BP71*$M$4</f>
        <v>10518328.677957067</v>
      </c>
      <c r="R71" s="97">
        <f>'Summary 2023$'!BQ71*$M$4</f>
        <v>10575869.285121711</v>
      </c>
      <c r="S71" s="98">
        <f>'Summary 2023$'!BR71*$M$4</f>
        <v>10604639.588704031</v>
      </c>
    </row>
    <row r="72" spans="1:22" x14ac:dyDescent="0.25">
      <c r="A72" s="81" t="s">
        <v>138</v>
      </c>
      <c r="B72" s="82" t="s">
        <v>147</v>
      </c>
      <c r="C72" s="83" t="s">
        <v>362</v>
      </c>
      <c r="D72" s="689">
        <f>SUM('Defect (Total)'!BB72,Planned!CE72,Reconductor!CE72,CTGS!CE72,'Substation 2025$'!CE72*$M$1,Comms!CA72*$M$2)</f>
        <v>66</v>
      </c>
      <c r="E72" s="96">
        <f>SUM('Defect (Total)'!BC72,Planned!CF72,Reconductor!CF72,CTGS!CF72,'Substation 2025$'!CF72*$M$1,Comms!CB72*$M$2)</f>
        <v>66</v>
      </c>
      <c r="F72" s="96">
        <f>SUM('Defect (Total)'!BD72,Planned!CG72,Reconductor!CG72,CTGS!CG72,'Substation 2025$'!CG72*$M$1,Comms!CC72*$M$2)</f>
        <v>66</v>
      </c>
      <c r="G72" s="96">
        <f>SUM('Defect (Total)'!BE72,Planned!CH72,Reconductor!CH72,CTGS!CH72,'Substation 2025$'!CH72*$M$1,Comms!CD72*$M$2)</f>
        <v>57.792420821261011</v>
      </c>
      <c r="H72" s="96">
        <f>SUM('Defect (Total)'!BF72,Planned!CI72,Reconductor!CI72,CTGS!CI72,'Substation 2025$'!CI72*$M$1,Comms!CE72*$M$2)</f>
        <v>57.792420821261011</v>
      </c>
      <c r="I72" s="96">
        <f>SUM('Defect (Total)'!BG72,Planned!CJ72,Reconductor!CJ72,CTGS!CJ72,'Substation 2025$'!CJ72*$M$1,Comms!CF72*$M$2)</f>
        <v>57.792420821261011</v>
      </c>
      <c r="J72" s="96">
        <f>SUM('Defect (Total)'!BH72,Planned!CK72,Reconductor!CK72,CTGS!CK72,'Substation 2025$'!CK72*$M$1,Comms!CG72*$M$2)</f>
        <v>57.792420821261011</v>
      </c>
      <c r="K72" s="286">
        <f>SUM('Defect (Total)'!BI72,Planned!CL72,Reconductor!CL72,CTGS!CL72,'Substation 2025$'!CL72*$M$1,Comms!CH72*$M$2)</f>
        <v>57.792420821261011</v>
      </c>
      <c r="L72" s="743"/>
      <c r="M72" s="97">
        <f>'Summary 2023$'!BL72*$M$4</f>
        <v>4192175.8224186031</v>
      </c>
      <c r="N72" s="524">
        <f>'Summary 2023$'!BM72*$M$4</f>
        <v>4192175.8224186031</v>
      </c>
      <c r="O72" s="416">
        <f>'Summary 2023$'!BN72*$M$4</f>
        <v>3174667.6132426644</v>
      </c>
      <c r="P72" s="97">
        <f>'Summary 2023$'!BO72*$M$4</f>
        <v>3174667.6132426644</v>
      </c>
      <c r="Q72" s="97">
        <f>'Summary 2023$'!BP72*$M$4</f>
        <v>3174667.6132426644</v>
      </c>
      <c r="R72" s="97">
        <f>'Summary 2023$'!BQ72*$M$4</f>
        <v>3174667.6132426644</v>
      </c>
      <c r="S72" s="98">
        <f>'Summary 2023$'!BR72*$M$4</f>
        <v>3174667.6132426644</v>
      </c>
    </row>
    <row r="73" spans="1:22" x14ac:dyDescent="0.25">
      <c r="A73" s="81" t="s">
        <v>138</v>
      </c>
      <c r="B73" s="82" t="s">
        <v>149</v>
      </c>
      <c r="C73" s="83" t="s">
        <v>363</v>
      </c>
      <c r="D73" s="689">
        <f>SUM('Defect (Total)'!BB73,Planned!CE73,Reconductor!CE73,CTGS!CE73,'Substation 2025$'!CE73*$M$1,Comms!CA73*$M$2)</f>
        <v>0</v>
      </c>
      <c r="E73" s="96">
        <f>SUM('Defect (Total)'!BC73,Planned!CF73,Reconductor!CF73,CTGS!CF73,'Substation 2025$'!CF73*$M$1,Comms!CB73*$M$2)</f>
        <v>0</v>
      </c>
      <c r="F73" s="96">
        <f>SUM('Defect (Total)'!BD73,Planned!CG73,Reconductor!CG73,CTGS!CG73,'Substation 2025$'!CG73*$M$1,Comms!CC73*$M$2)</f>
        <v>0</v>
      </c>
      <c r="G73" s="96">
        <f>SUM('Defect (Total)'!BE73,Planned!CH73,Reconductor!CH73,CTGS!CH73,'Substation 2025$'!CH73*$M$1,Comms!CD73*$M$2)</f>
        <v>0</v>
      </c>
      <c r="H73" s="96">
        <f>SUM('Defect (Total)'!BF73,Planned!CI73,Reconductor!CI73,CTGS!CI73,'Substation 2025$'!CI73*$M$1,Comms!CE73*$M$2)</f>
        <v>0</v>
      </c>
      <c r="I73" s="96">
        <f>SUM('Defect (Total)'!BG73,Planned!CJ73,Reconductor!CJ73,CTGS!CJ73,'Substation 2025$'!CJ73*$M$1,Comms!CF73*$M$2)</f>
        <v>0</v>
      </c>
      <c r="J73" s="96">
        <f>SUM('Defect (Total)'!BH73,Planned!CK73,Reconductor!CK73,CTGS!CK73,'Substation 2025$'!CK73*$M$1,Comms!CG73*$M$2)</f>
        <v>0</v>
      </c>
      <c r="K73" s="286">
        <f>SUM('Defect (Total)'!BI73,Planned!CL73,Reconductor!CL73,CTGS!CL73,'Substation 2025$'!CL73*$M$1,Comms!CH73*$M$2)</f>
        <v>0</v>
      </c>
      <c r="L73" s="743"/>
      <c r="M73" s="97">
        <f>'Summary 2023$'!BL73*$M$4</f>
        <v>0</v>
      </c>
      <c r="N73" s="524">
        <f>'Summary 2023$'!BM73*$M$4</f>
        <v>0</v>
      </c>
      <c r="O73" s="416">
        <f>'Summary 2023$'!BN73*$M$4</f>
        <v>0</v>
      </c>
      <c r="P73" s="97">
        <f>'Summary 2023$'!BO73*$M$4</f>
        <v>0</v>
      </c>
      <c r="Q73" s="97">
        <f>'Summary 2023$'!BP73*$M$4</f>
        <v>0</v>
      </c>
      <c r="R73" s="97">
        <f>'Summary 2023$'!BQ73*$M$4</f>
        <v>0</v>
      </c>
      <c r="S73" s="98">
        <f>'Summary 2023$'!BR73*$M$4</f>
        <v>0</v>
      </c>
      <c r="T73" s="395" t="s">
        <v>651</v>
      </c>
      <c r="V73" s="748">
        <f>SUM(O73:S85)/SUM(G73:K85)</f>
        <v>180271.93849367384</v>
      </c>
    </row>
    <row r="74" spans="1:22" x14ac:dyDescent="0.25">
      <c r="A74" s="81" t="s">
        <v>138</v>
      </c>
      <c r="B74" s="82" t="s">
        <v>151</v>
      </c>
      <c r="C74" s="83" t="s">
        <v>364</v>
      </c>
      <c r="D74" s="689">
        <f>SUM('Defect (Total)'!BB74,Planned!CE74,Reconductor!CE74,CTGS!CE74,'Substation 2025$'!CE74*$M$1,Comms!CA74*$M$2)</f>
        <v>0</v>
      </c>
      <c r="E74" s="96">
        <f>SUM('Defect (Total)'!BC74,Planned!CF74,Reconductor!CF74,CTGS!CF74,'Substation 2025$'!CF74*$M$1,Comms!CB74*$M$2)</f>
        <v>0</v>
      </c>
      <c r="F74" s="96">
        <f>SUM('Defect (Total)'!BD74,Planned!CG74,Reconductor!CG74,CTGS!CG74,'Substation 2025$'!CG74*$M$1,Comms!CC74*$M$2)</f>
        <v>0</v>
      </c>
      <c r="G74" s="96">
        <f>SUM('Defect (Total)'!BE74,Planned!CH74,Reconductor!CH74,CTGS!CH74,'Substation 2025$'!CH74*$M$1,Comms!CD74*$M$2)</f>
        <v>0</v>
      </c>
      <c r="H74" s="96">
        <f>SUM('Defect (Total)'!BF74,Planned!CI74,Reconductor!CI74,CTGS!CI74,'Substation 2025$'!CI74*$M$1,Comms!CE74*$M$2)</f>
        <v>0</v>
      </c>
      <c r="I74" s="96">
        <f>SUM('Defect (Total)'!BG74,Planned!CJ74,Reconductor!CJ74,CTGS!CJ74,'Substation 2025$'!CJ74*$M$1,Comms!CF74*$M$2)</f>
        <v>0</v>
      </c>
      <c r="J74" s="96">
        <f>SUM('Defect (Total)'!BH74,Planned!CK74,Reconductor!CK74,CTGS!CK74,'Substation 2025$'!CK74*$M$1,Comms!CG74*$M$2)</f>
        <v>0</v>
      </c>
      <c r="K74" s="286">
        <f>SUM('Defect (Total)'!BI74,Planned!CL74,Reconductor!CL74,CTGS!CL74,'Substation 2025$'!CL74*$M$1,Comms!CH74*$M$2)</f>
        <v>0</v>
      </c>
      <c r="L74" s="743"/>
      <c r="M74" s="97">
        <f>'Summary 2023$'!BL74*$M$4</f>
        <v>0</v>
      </c>
      <c r="N74" s="524">
        <f>'Summary 2023$'!BM74*$M$4</f>
        <v>0</v>
      </c>
      <c r="O74" s="416">
        <f>'Summary 2023$'!BN74*$M$4</f>
        <v>0</v>
      </c>
      <c r="P74" s="97">
        <f>'Summary 2023$'!BO74*$M$4</f>
        <v>0</v>
      </c>
      <c r="Q74" s="97">
        <f>'Summary 2023$'!BP74*$M$4</f>
        <v>0</v>
      </c>
      <c r="R74" s="97">
        <f>'Summary 2023$'!BQ74*$M$4</f>
        <v>0</v>
      </c>
      <c r="S74" s="98">
        <f>'Summary 2023$'!BR74*$M$4</f>
        <v>0</v>
      </c>
    </row>
    <row r="75" spans="1:22" x14ac:dyDescent="0.25">
      <c r="A75" s="81" t="s">
        <v>138</v>
      </c>
      <c r="B75" s="82" t="s">
        <v>153</v>
      </c>
      <c r="C75" s="83" t="s">
        <v>365</v>
      </c>
      <c r="D75" s="689">
        <f>SUM('Defect (Total)'!BB75,Planned!CE75,Reconductor!CE75,CTGS!CE75,'Substation 2025$'!CE75*$M$1,Comms!CA75*$M$2)</f>
        <v>0</v>
      </c>
      <c r="E75" s="96">
        <f>SUM('Defect (Total)'!BC75,Planned!CF75,Reconductor!CF75,CTGS!CF75,'Substation 2025$'!CF75*$M$1,Comms!CB75*$M$2)</f>
        <v>0</v>
      </c>
      <c r="F75" s="96">
        <f>SUM('Defect (Total)'!BD75,Planned!CG75,Reconductor!CG75,CTGS!CG75,'Substation 2025$'!CG75*$M$1,Comms!CC75*$M$2)</f>
        <v>0</v>
      </c>
      <c r="G75" s="96">
        <f>SUM('Defect (Total)'!BE75,Planned!CH75,Reconductor!CH75,CTGS!CH75,'Substation 2025$'!CH75*$M$1,Comms!CD75*$M$2)</f>
        <v>0</v>
      </c>
      <c r="H75" s="96">
        <f>SUM('Defect (Total)'!BF75,Planned!CI75,Reconductor!CI75,CTGS!CI75,'Substation 2025$'!CI75*$M$1,Comms!CE75*$M$2)</f>
        <v>0</v>
      </c>
      <c r="I75" s="96">
        <f>SUM('Defect (Total)'!BG75,Planned!CJ75,Reconductor!CJ75,CTGS!CJ75,'Substation 2025$'!CJ75*$M$1,Comms!CF75*$M$2)</f>
        <v>0</v>
      </c>
      <c r="J75" s="96">
        <f>SUM('Defect (Total)'!BH75,Planned!CK75,Reconductor!CK75,CTGS!CK75,'Substation 2025$'!CK75*$M$1,Comms!CG75*$M$2)</f>
        <v>0</v>
      </c>
      <c r="K75" s="286">
        <f>SUM('Defect (Total)'!BI75,Planned!CL75,Reconductor!CL75,CTGS!CL75,'Substation 2025$'!CL75*$M$1,Comms!CH75*$M$2)</f>
        <v>0</v>
      </c>
      <c r="L75" s="743"/>
      <c r="M75" s="97">
        <f>'Summary 2023$'!BL75*$M$4</f>
        <v>0</v>
      </c>
      <c r="N75" s="524">
        <f>'Summary 2023$'!BM75*$M$4</f>
        <v>0</v>
      </c>
      <c r="O75" s="416">
        <f>'Summary 2023$'!BN75*$M$4</f>
        <v>0</v>
      </c>
      <c r="P75" s="97">
        <f>'Summary 2023$'!BO75*$M$4</f>
        <v>0</v>
      </c>
      <c r="Q75" s="97">
        <f>'Summary 2023$'!BP75*$M$4</f>
        <v>0</v>
      </c>
      <c r="R75" s="97">
        <f>'Summary 2023$'!BQ75*$M$4</f>
        <v>0</v>
      </c>
      <c r="S75" s="98">
        <f>'Summary 2023$'!BR75*$M$4</f>
        <v>0</v>
      </c>
    </row>
    <row r="76" spans="1:22" x14ac:dyDescent="0.25">
      <c r="A76" s="81" t="s">
        <v>138</v>
      </c>
      <c r="B76" s="82" t="s">
        <v>155</v>
      </c>
      <c r="C76" s="83" t="s">
        <v>366</v>
      </c>
      <c r="D76" s="689">
        <f>SUM('Defect (Total)'!BB76,Planned!CE76,Reconductor!CE76,CTGS!CE76,'Substation 2025$'!CE76*$M$1,Comms!CA76*$M$2)</f>
        <v>0</v>
      </c>
      <c r="E76" s="96">
        <f>SUM('Defect (Total)'!BC76,Planned!CF76,Reconductor!CF76,CTGS!CF76,'Substation 2025$'!CF76*$M$1,Comms!CB76*$M$2)</f>
        <v>0</v>
      </c>
      <c r="F76" s="96">
        <f>SUM('Defect (Total)'!BD76,Planned!CG76,Reconductor!CG76,CTGS!CG76,'Substation 2025$'!CG76*$M$1,Comms!CC76*$M$2)</f>
        <v>0</v>
      </c>
      <c r="G76" s="96">
        <f>SUM('Defect (Total)'!BE76,Planned!CH76,Reconductor!CH76,CTGS!CH76,'Substation 2025$'!CH76*$M$1,Comms!CD76*$M$2)</f>
        <v>0</v>
      </c>
      <c r="H76" s="96">
        <f>SUM('Defect (Total)'!BF76,Planned!CI76,Reconductor!CI76,CTGS!CI76,'Substation 2025$'!CI76*$M$1,Comms!CE76*$M$2)</f>
        <v>0</v>
      </c>
      <c r="I76" s="96">
        <f>SUM('Defect (Total)'!BG76,Planned!CJ76,Reconductor!CJ76,CTGS!CJ76,'Substation 2025$'!CJ76*$M$1,Comms!CF76*$M$2)</f>
        <v>0</v>
      </c>
      <c r="J76" s="96">
        <f>SUM('Defect (Total)'!BH76,Planned!CK76,Reconductor!CK76,CTGS!CK76,'Substation 2025$'!CK76*$M$1,Comms!CG76*$M$2)</f>
        <v>0</v>
      </c>
      <c r="K76" s="286">
        <f>SUM('Defect (Total)'!BI76,Planned!CL76,Reconductor!CL76,CTGS!CL76,'Substation 2025$'!CL76*$M$1,Comms!CH76*$M$2)</f>
        <v>0</v>
      </c>
      <c r="L76" s="743"/>
      <c r="M76" s="97">
        <f>'Summary 2023$'!BL76*$M$4</f>
        <v>0</v>
      </c>
      <c r="N76" s="524">
        <f>'Summary 2023$'!BM76*$M$4</f>
        <v>0</v>
      </c>
      <c r="O76" s="416">
        <f>'Summary 2023$'!BN76*$M$4</f>
        <v>0</v>
      </c>
      <c r="P76" s="97">
        <f>'Summary 2023$'!BO76*$M$4</f>
        <v>0</v>
      </c>
      <c r="Q76" s="97">
        <f>'Summary 2023$'!BP76*$M$4</f>
        <v>0</v>
      </c>
      <c r="R76" s="97">
        <f>'Summary 2023$'!BQ76*$M$4</f>
        <v>0</v>
      </c>
      <c r="S76" s="98">
        <f>'Summary 2023$'!BR76*$M$4</f>
        <v>0</v>
      </c>
    </row>
    <row r="77" spans="1:22" x14ac:dyDescent="0.25">
      <c r="A77" s="81" t="s">
        <v>138</v>
      </c>
      <c r="B77" s="82" t="s">
        <v>157</v>
      </c>
      <c r="C77" s="83" t="s">
        <v>367</v>
      </c>
      <c r="D77" s="689">
        <f>SUM('Defect (Total)'!BB77,Planned!CE77,Reconductor!CE77,CTGS!CE77,'Substation 2025$'!CE77*$M$1,Comms!CA77*$M$2)</f>
        <v>63.2</v>
      </c>
      <c r="E77" s="96">
        <f>SUM('Defect (Total)'!BC77,Planned!CF77,Reconductor!CF77,CTGS!CF77,'Substation 2025$'!CF77*$M$1,Comms!CB77*$M$2)</f>
        <v>64.2</v>
      </c>
      <c r="F77" s="96">
        <f>SUM('Defect (Total)'!BD77,Planned!CG77,Reconductor!CG77,CTGS!CG77,'Substation 2025$'!CG77*$M$1,Comms!CC77*$M$2)</f>
        <v>63.2</v>
      </c>
      <c r="G77" s="96">
        <f>SUM('Defect (Total)'!BE77,Planned!CH77,Reconductor!CH77,CTGS!CH77,'Substation 2025$'!CH77*$M$1,Comms!CD77*$M$2)</f>
        <v>54.318426573432006</v>
      </c>
      <c r="H77" s="96">
        <f>SUM('Defect (Total)'!BF77,Planned!CI77,Reconductor!CI77,CTGS!CI77,'Substation 2025$'!CI77*$M$1,Comms!CE77*$M$2)</f>
        <v>54.318426573432006</v>
      </c>
      <c r="I77" s="96">
        <f>SUM('Defect (Total)'!BG77,Planned!CJ77,Reconductor!CJ77,CTGS!CJ77,'Substation 2025$'!CJ77*$M$1,Comms!CF77*$M$2)</f>
        <v>54.318426573432006</v>
      </c>
      <c r="J77" s="96">
        <f>SUM('Defect (Total)'!BH77,Planned!CK77,Reconductor!CK77,CTGS!CK77,'Substation 2025$'!CK77*$M$1,Comms!CG77*$M$2)</f>
        <v>54.318426573432006</v>
      </c>
      <c r="K77" s="286">
        <f>SUM('Defect (Total)'!BI77,Planned!CL77,Reconductor!CL77,CTGS!CL77,'Substation 2025$'!CL77*$M$1,Comms!CH77*$M$2)</f>
        <v>54.318426573432006</v>
      </c>
      <c r="L77" s="743"/>
      <c r="M77" s="97">
        <f>'Summary 2023$'!BL77*$M$4</f>
        <v>6759062.2521858169</v>
      </c>
      <c r="N77" s="524">
        <f>'Summary 2023$'!BM77*$M$4</f>
        <v>6661720.2839514054</v>
      </c>
      <c r="O77" s="416">
        <f>'Summary 2023$'!BN77*$M$4</f>
        <v>5436248.1175991446</v>
      </c>
      <c r="P77" s="97">
        <f>'Summary 2023$'!BO77*$M$4</f>
        <v>5436248.1175991446</v>
      </c>
      <c r="Q77" s="97">
        <f>'Summary 2023$'!BP77*$M$4</f>
        <v>5436248.1175991446</v>
      </c>
      <c r="R77" s="97">
        <f>'Summary 2023$'!BQ77*$M$4</f>
        <v>5436248.1175991446</v>
      </c>
      <c r="S77" s="98">
        <f>'Summary 2023$'!BR77*$M$4</f>
        <v>5436248.1175991446</v>
      </c>
    </row>
    <row r="78" spans="1:22" x14ac:dyDescent="0.25">
      <c r="A78" s="81" t="s">
        <v>138</v>
      </c>
      <c r="B78" s="82" t="s">
        <v>159</v>
      </c>
      <c r="C78" s="83" t="s">
        <v>368</v>
      </c>
      <c r="D78" s="689">
        <f>SUM('Defect (Total)'!BB78,Planned!CE78,Reconductor!CE78,CTGS!CE78,'Substation 2025$'!CE78*$M$1,Comms!CA78*$M$2)</f>
        <v>12</v>
      </c>
      <c r="E78" s="96">
        <f>SUM('Defect (Total)'!BC78,Planned!CF78,Reconductor!CF78,CTGS!CF78,'Substation 2025$'!CF78*$M$1,Comms!CB78*$M$2)</f>
        <v>12</v>
      </c>
      <c r="F78" s="96">
        <f>SUM('Defect (Total)'!BD78,Planned!CG78,Reconductor!CG78,CTGS!CG78,'Substation 2025$'!CG78*$M$1,Comms!CC78*$M$2)</f>
        <v>12</v>
      </c>
      <c r="G78" s="96">
        <f>SUM('Defect (Total)'!BE78,Planned!CH78,Reconductor!CH78,CTGS!CH78,'Substation 2025$'!CH78*$M$1,Comms!CD78*$M$2)</f>
        <v>10.213006993007999</v>
      </c>
      <c r="H78" s="96">
        <f>SUM('Defect (Total)'!BF78,Planned!CI78,Reconductor!CI78,CTGS!CI78,'Substation 2025$'!CI78*$M$1,Comms!CE78*$M$2)</f>
        <v>10.213006993007999</v>
      </c>
      <c r="I78" s="96">
        <f>SUM('Defect (Total)'!BG78,Planned!CJ78,Reconductor!CJ78,CTGS!CJ78,'Substation 2025$'!CJ78*$M$1,Comms!CF78*$M$2)</f>
        <v>10.213006993007999</v>
      </c>
      <c r="J78" s="96">
        <f>SUM('Defect (Total)'!BH78,Planned!CK78,Reconductor!CK78,CTGS!CK78,'Substation 2025$'!CK78*$M$1,Comms!CG78*$M$2)</f>
        <v>10.213006993007999</v>
      </c>
      <c r="K78" s="286">
        <f>SUM('Defect (Total)'!BI78,Planned!CL78,Reconductor!CL78,CTGS!CL78,'Substation 2025$'!CL78*$M$1,Comms!CH78*$M$2)</f>
        <v>10.213006993007999</v>
      </c>
      <c r="L78" s="743"/>
      <c r="M78" s="97">
        <f>'Summary 2023$'!BL78*$M$4</f>
        <v>1431307.9380248254</v>
      </c>
      <c r="N78" s="524">
        <f>'Summary 2023$'!BM78*$M$4</f>
        <v>1431307.9380248254</v>
      </c>
      <c r="O78" s="416">
        <f>'Summary 2023$'!BN78*$M$4</f>
        <v>1199825.4347274126</v>
      </c>
      <c r="P78" s="97">
        <f>'Summary 2023$'!BO78*$M$4</f>
        <v>1199825.4347274126</v>
      </c>
      <c r="Q78" s="97">
        <f>'Summary 2023$'!BP78*$M$4</f>
        <v>1199825.4347274126</v>
      </c>
      <c r="R78" s="97">
        <f>'Summary 2023$'!BQ78*$M$4</f>
        <v>1199825.4347274126</v>
      </c>
      <c r="S78" s="98">
        <f>'Summary 2023$'!BR78*$M$4</f>
        <v>1199825.4347274126</v>
      </c>
    </row>
    <row r="79" spans="1:22" x14ac:dyDescent="0.25">
      <c r="A79" s="81" t="s">
        <v>138</v>
      </c>
      <c r="B79" s="82" t="s">
        <v>161</v>
      </c>
      <c r="C79" s="83" t="s">
        <v>369</v>
      </c>
      <c r="D79" s="689">
        <f>SUM('Defect (Total)'!BB79,Planned!CE79,Reconductor!CE79,CTGS!CE79,'Substation 2025$'!CE79*$M$1,Comms!CA79*$M$2)</f>
        <v>0</v>
      </c>
      <c r="E79" s="96">
        <f>SUM('Defect (Total)'!BC79,Planned!CF79,Reconductor!CF79,CTGS!CF79,'Substation 2025$'!CF79*$M$1,Comms!CB79*$M$2)</f>
        <v>0</v>
      </c>
      <c r="F79" s="96">
        <f>SUM('Defect (Total)'!BD79,Planned!CG79,Reconductor!CG79,CTGS!CG79,'Substation 2025$'!CG79*$M$1,Comms!CC79*$M$2)</f>
        <v>0</v>
      </c>
      <c r="G79" s="96">
        <f>SUM('Defect (Total)'!BE79,Planned!CH79,Reconductor!CH79,CTGS!CH79,'Substation 2025$'!CH79*$M$1,Comms!CD79*$M$2)</f>
        <v>0</v>
      </c>
      <c r="H79" s="96">
        <f>SUM('Defect (Total)'!BF79,Planned!CI79,Reconductor!CI79,CTGS!CI79,'Substation 2025$'!CI79*$M$1,Comms!CE79*$M$2)</f>
        <v>0</v>
      </c>
      <c r="I79" s="96">
        <f>SUM('Defect (Total)'!BG79,Planned!CJ79,Reconductor!CJ79,CTGS!CJ79,'Substation 2025$'!CJ79*$M$1,Comms!CF79*$M$2)</f>
        <v>0</v>
      </c>
      <c r="J79" s="96">
        <f>SUM('Defect (Total)'!BH79,Planned!CK79,Reconductor!CK79,CTGS!CK79,'Substation 2025$'!CK79*$M$1,Comms!CG79*$M$2)</f>
        <v>0</v>
      </c>
      <c r="K79" s="286">
        <f>SUM('Defect (Total)'!BI79,Planned!CL79,Reconductor!CL79,CTGS!CL79,'Substation 2025$'!CL79*$M$1,Comms!CH79*$M$2)</f>
        <v>0</v>
      </c>
      <c r="L79" s="743"/>
      <c r="M79" s="97">
        <f>'Summary 2023$'!BL79*$M$4</f>
        <v>0</v>
      </c>
      <c r="N79" s="524">
        <f>'Summary 2023$'!BM79*$M$4</f>
        <v>0</v>
      </c>
      <c r="O79" s="416">
        <f>'Summary 2023$'!BN79*$M$4</f>
        <v>0</v>
      </c>
      <c r="P79" s="97">
        <f>'Summary 2023$'!BO79*$M$4</f>
        <v>0</v>
      </c>
      <c r="Q79" s="97">
        <f>'Summary 2023$'!BP79*$M$4</f>
        <v>0</v>
      </c>
      <c r="R79" s="97">
        <f>'Summary 2023$'!BQ79*$M$4</f>
        <v>0</v>
      </c>
      <c r="S79" s="98">
        <f>'Summary 2023$'!BR79*$M$4</f>
        <v>0</v>
      </c>
    </row>
    <row r="80" spans="1:22" x14ac:dyDescent="0.25">
      <c r="A80" s="81" t="s">
        <v>138</v>
      </c>
      <c r="B80" s="82" t="s">
        <v>163</v>
      </c>
      <c r="C80" s="83" t="s">
        <v>370</v>
      </c>
      <c r="D80" s="689">
        <f>SUM('Defect (Total)'!BB80,Planned!CE80,Reconductor!CE80,CTGS!CE80,'Substation 2025$'!CE80*$M$1,Comms!CA80*$M$2)</f>
        <v>0</v>
      </c>
      <c r="E80" s="96">
        <f>SUM('Defect (Total)'!BC80,Planned!CF80,Reconductor!CF80,CTGS!CF80,'Substation 2025$'!CF80*$M$1,Comms!CB80*$M$2)</f>
        <v>0</v>
      </c>
      <c r="F80" s="96">
        <f>SUM('Defect (Total)'!BD80,Planned!CG80,Reconductor!CG80,CTGS!CG80,'Substation 2025$'!CG80*$M$1,Comms!CC80*$M$2)</f>
        <v>0</v>
      </c>
      <c r="G80" s="96">
        <f>SUM('Defect (Total)'!BE80,Planned!CH80,Reconductor!CH80,CTGS!CH80,'Substation 2025$'!CH80*$M$1,Comms!CD80*$M$2)</f>
        <v>0</v>
      </c>
      <c r="H80" s="96">
        <f>SUM('Defect (Total)'!BF80,Planned!CI80,Reconductor!CI80,CTGS!CI80,'Substation 2025$'!CI80*$M$1,Comms!CE80*$M$2)</f>
        <v>0</v>
      </c>
      <c r="I80" s="96">
        <f>SUM('Defect (Total)'!BG80,Planned!CJ80,Reconductor!CJ80,CTGS!CJ80,'Substation 2025$'!CJ80*$M$1,Comms!CF80*$M$2)</f>
        <v>0</v>
      </c>
      <c r="J80" s="96">
        <f>SUM('Defect (Total)'!BH80,Planned!CK80,Reconductor!CK80,CTGS!CK80,'Substation 2025$'!CK80*$M$1,Comms!CG80*$M$2)</f>
        <v>0</v>
      </c>
      <c r="K80" s="286">
        <f>SUM('Defect (Total)'!BI80,Planned!CL80,Reconductor!CL80,CTGS!CL80,'Substation 2025$'!CL80*$M$1,Comms!CH80*$M$2)</f>
        <v>0</v>
      </c>
      <c r="L80" s="743"/>
      <c r="M80" s="97">
        <f>'Summary 2023$'!BL80*$M$4</f>
        <v>0</v>
      </c>
      <c r="N80" s="524">
        <f>'Summary 2023$'!BM80*$M$4</f>
        <v>0</v>
      </c>
      <c r="O80" s="416">
        <f>'Summary 2023$'!BN80*$M$4</f>
        <v>0</v>
      </c>
      <c r="P80" s="97">
        <f>'Summary 2023$'!BO80*$M$4</f>
        <v>0</v>
      </c>
      <c r="Q80" s="97">
        <f>'Summary 2023$'!BP80*$M$4</f>
        <v>0</v>
      </c>
      <c r="R80" s="97">
        <f>'Summary 2023$'!BQ80*$M$4</f>
        <v>0</v>
      </c>
      <c r="S80" s="98">
        <f>'Summary 2023$'!BR80*$M$4</f>
        <v>0</v>
      </c>
    </row>
    <row r="81" spans="1:20" x14ac:dyDescent="0.25">
      <c r="A81" s="81" t="s">
        <v>138</v>
      </c>
      <c r="B81" s="82" t="s">
        <v>165</v>
      </c>
      <c r="C81" s="83" t="s">
        <v>371</v>
      </c>
      <c r="D81" s="689">
        <f>SUM('Defect (Total)'!BB81,Planned!CE81,Reconductor!CE81,CTGS!CE81,'Substation 2025$'!CE81*$M$1,Comms!CA81*$M$2)</f>
        <v>0</v>
      </c>
      <c r="E81" s="96">
        <f>SUM('Defect (Total)'!BC81,Planned!CF81,Reconductor!CF81,CTGS!CF81,'Substation 2025$'!CF81*$M$1,Comms!CB81*$M$2)</f>
        <v>0</v>
      </c>
      <c r="F81" s="96">
        <f>SUM('Defect (Total)'!BD81,Planned!CG81,Reconductor!CG81,CTGS!CG81,'Substation 2025$'!CG81*$M$1,Comms!CC81*$M$2)</f>
        <v>0</v>
      </c>
      <c r="G81" s="96">
        <f>SUM('Defect (Total)'!BE81,Planned!CH81,Reconductor!CH81,CTGS!CH81,'Substation 2025$'!CH81*$M$1,Comms!CD81*$M$2)</f>
        <v>0</v>
      </c>
      <c r="H81" s="96">
        <f>SUM('Defect (Total)'!BF81,Planned!CI81,Reconductor!CI81,CTGS!CI81,'Substation 2025$'!CI81*$M$1,Comms!CE81*$M$2)</f>
        <v>0</v>
      </c>
      <c r="I81" s="96">
        <f>SUM('Defect (Total)'!BG81,Planned!CJ81,Reconductor!CJ81,CTGS!CJ81,'Substation 2025$'!CJ81*$M$1,Comms!CF81*$M$2)</f>
        <v>0</v>
      </c>
      <c r="J81" s="96">
        <f>SUM('Defect (Total)'!BH81,Planned!CK81,Reconductor!CK81,CTGS!CK81,'Substation 2025$'!CK81*$M$1,Comms!CG81*$M$2)</f>
        <v>0</v>
      </c>
      <c r="K81" s="286">
        <f>SUM('Defect (Total)'!BI81,Planned!CL81,Reconductor!CL81,CTGS!CL81,'Substation 2025$'!CL81*$M$1,Comms!CH81*$M$2)</f>
        <v>0</v>
      </c>
      <c r="L81" s="743"/>
      <c r="M81" s="97">
        <f>'Summary 2023$'!BL81*$M$4</f>
        <v>0</v>
      </c>
      <c r="N81" s="524">
        <f>'Summary 2023$'!BM81*$M$4</f>
        <v>0</v>
      </c>
      <c r="O81" s="416">
        <f>'Summary 2023$'!BN81*$M$4</f>
        <v>0</v>
      </c>
      <c r="P81" s="97">
        <f>'Summary 2023$'!BO81*$M$4</f>
        <v>0</v>
      </c>
      <c r="Q81" s="97">
        <f>'Summary 2023$'!BP81*$M$4</f>
        <v>0</v>
      </c>
      <c r="R81" s="97">
        <f>'Summary 2023$'!BQ81*$M$4</f>
        <v>0</v>
      </c>
      <c r="S81" s="98">
        <f>'Summary 2023$'!BR81*$M$4</f>
        <v>0</v>
      </c>
    </row>
    <row r="82" spans="1:20" x14ac:dyDescent="0.25">
      <c r="A82" s="81" t="s">
        <v>138</v>
      </c>
      <c r="B82" s="82" t="s">
        <v>167</v>
      </c>
      <c r="C82" s="83" t="s">
        <v>372</v>
      </c>
      <c r="D82" s="689">
        <f>SUM('Defect (Total)'!BB82,Planned!CE82,Reconductor!CE82,CTGS!CE82,'Substation 2025$'!CE82*$M$1,Comms!CA82*$M$2)</f>
        <v>0</v>
      </c>
      <c r="E82" s="96">
        <f>SUM('Defect (Total)'!BC82,Planned!CF82,Reconductor!CF82,CTGS!CF82,'Substation 2025$'!CF82*$M$1,Comms!CB82*$M$2)</f>
        <v>0</v>
      </c>
      <c r="F82" s="96">
        <f>SUM('Defect (Total)'!BD82,Planned!CG82,Reconductor!CG82,CTGS!CG82,'Substation 2025$'!CG82*$M$1,Comms!CC82*$M$2)</f>
        <v>0</v>
      </c>
      <c r="G82" s="96">
        <f>SUM('Defect (Total)'!BE82,Planned!CH82,Reconductor!CH82,CTGS!CH82,'Substation 2025$'!CH82*$M$1,Comms!CD82*$M$2)</f>
        <v>0</v>
      </c>
      <c r="H82" s="96">
        <f>SUM('Defect (Total)'!BF82,Planned!CI82,Reconductor!CI82,CTGS!CI82,'Substation 2025$'!CI82*$M$1,Comms!CE82*$M$2)</f>
        <v>0</v>
      </c>
      <c r="I82" s="96">
        <f>SUM('Defect (Total)'!BG82,Planned!CJ82,Reconductor!CJ82,CTGS!CJ82,'Substation 2025$'!CJ82*$M$1,Comms!CF82*$M$2)</f>
        <v>0</v>
      </c>
      <c r="J82" s="96">
        <f>SUM('Defect (Total)'!BH82,Planned!CK82,Reconductor!CK82,CTGS!CK82,'Substation 2025$'!CK82*$M$1,Comms!CG82*$M$2)</f>
        <v>0</v>
      </c>
      <c r="K82" s="286">
        <f>SUM('Defect (Total)'!BI82,Planned!CL82,Reconductor!CL82,CTGS!CL82,'Substation 2025$'!CL82*$M$1,Comms!CH82*$M$2)</f>
        <v>0</v>
      </c>
      <c r="L82" s="743"/>
      <c r="M82" s="97">
        <f>'Summary 2023$'!BL82*$M$4</f>
        <v>0</v>
      </c>
      <c r="N82" s="524">
        <f>'Summary 2023$'!BM82*$M$4</f>
        <v>0</v>
      </c>
      <c r="O82" s="416">
        <f>'Summary 2023$'!BN82*$M$4</f>
        <v>0</v>
      </c>
      <c r="P82" s="97">
        <f>'Summary 2023$'!BO82*$M$4</f>
        <v>0</v>
      </c>
      <c r="Q82" s="97">
        <f>'Summary 2023$'!BP82*$M$4</f>
        <v>0</v>
      </c>
      <c r="R82" s="97">
        <f>'Summary 2023$'!BQ82*$M$4</f>
        <v>0</v>
      </c>
      <c r="S82" s="98">
        <f>'Summary 2023$'!BR82*$M$4</f>
        <v>0</v>
      </c>
    </row>
    <row r="83" spans="1:20" x14ac:dyDescent="0.25">
      <c r="A83" s="81" t="s">
        <v>138</v>
      </c>
      <c r="B83" s="82" t="s">
        <v>169</v>
      </c>
      <c r="C83" s="83" t="s">
        <v>373</v>
      </c>
      <c r="D83" s="689">
        <f>SUM('Defect (Total)'!BB83,Planned!CE83,Reconductor!CE83,CTGS!CE83,'Substation 2025$'!CE83*$M$1,Comms!CA83*$M$2)</f>
        <v>2</v>
      </c>
      <c r="E83" s="96">
        <f>SUM('Defect (Total)'!BC83,Planned!CF83,Reconductor!CF83,CTGS!CF83,'Substation 2025$'!CF83*$M$1,Comms!CB83*$M$2)</f>
        <v>2</v>
      </c>
      <c r="F83" s="96">
        <f>SUM('Defect (Total)'!BD83,Planned!CG83,Reconductor!CG83,CTGS!CG83,'Substation 2025$'!CG83*$M$1,Comms!CC83*$M$2)</f>
        <v>2</v>
      </c>
      <c r="G83" s="96">
        <f>SUM('Defect (Total)'!BE83,Planned!CH83,Reconductor!CH83,CTGS!CH83,'Substation 2025$'!CH83*$M$1,Comms!CD83*$M$2)</f>
        <v>1.6081118881119998</v>
      </c>
      <c r="H83" s="96">
        <f>SUM('Defect (Total)'!BF83,Planned!CI83,Reconductor!CI83,CTGS!CI83,'Substation 2025$'!CI83*$M$1,Comms!CE83*$M$2)</f>
        <v>1.6081118881119998</v>
      </c>
      <c r="I83" s="96">
        <f>SUM('Defect (Total)'!BG83,Planned!CJ83,Reconductor!CJ83,CTGS!CJ83,'Substation 2025$'!CJ83*$M$1,Comms!CF83*$M$2)</f>
        <v>1.6081118881119998</v>
      </c>
      <c r="J83" s="96">
        <f>SUM('Defect (Total)'!BH83,Planned!CK83,Reconductor!CK83,CTGS!CK83,'Substation 2025$'!CK83*$M$1,Comms!CG83*$M$2)</f>
        <v>1.6081118881119998</v>
      </c>
      <c r="K83" s="286">
        <f>SUM('Defect (Total)'!BI83,Planned!CL83,Reconductor!CL83,CTGS!CL83,'Substation 2025$'!CL83*$M$1,Comms!CH83*$M$2)</f>
        <v>1.6081118881119998</v>
      </c>
      <c r="L83" s="743"/>
      <c r="M83" s="97">
        <f>'Summary 2023$'!BL83*$M$4</f>
        <v>69655.449954618452</v>
      </c>
      <c r="N83" s="524">
        <f>'Summary 2023$'!BM83*$M$4</f>
        <v>69655.449954618452</v>
      </c>
      <c r="O83" s="416">
        <f>'Summary 2023$'!BN83*$M$4</f>
        <v>53342.436051545206</v>
      </c>
      <c r="P83" s="97">
        <f>'Summary 2023$'!BO83*$M$4</f>
        <v>53342.436051545206</v>
      </c>
      <c r="Q83" s="97">
        <f>'Summary 2023$'!BP83*$M$4</f>
        <v>53342.436051545206</v>
      </c>
      <c r="R83" s="97">
        <f>'Summary 2023$'!BQ83*$M$4</f>
        <v>53342.436051545206</v>
      </c>
      <c r="S83" s="98">
        <f>'Summary 2023$'!BR83*$M$4</f>
        <v>53342.436051545206</v>
      </c>
    </row>
    <row r="84" spans="1:20" x14ac:dyDescent="0.25">
      <c r="A84" s="81" t="s">
        <v>138</v>
      </c>
      <c r="B84" s="82" t="s">
        <v>171</v>
      </c>
      <c r="C84" s="83" t="s">
        <v>374</v>
      </c>
      <c r="D84" s="689">
        <f>SUM('Defect (Total)'!BB84,Planned!CE84,Reconductor!CE84,CTGS!CE84,'Substation 2025$'!CE84*$M$1,Comms!CA84*$M$2)</f>
        <v>2</v>
      </c>
      <c r="E84" s="96">
        <f>SUM('Defect (Total)'!BC84,Planned!CF84,Reconductor!CF84,CTGS!CF84,'Substation 2025$'!CF84*$M$1,Comms!CB84*$M$2)</f>
        <v>2</v>
      </c>
      <c r="F84" s="96">
        <f>SUM('Defect (Total)'!BD84,Planned!CG84,Reconductor!CG84,CTGS!CG84,'Substation 2025$'!CG84*$M$1,Comms!CC84*$M$2)</f>
        <v>2</v>
      </c>
      <c r="G84" s="96">
        <f>SUM('Defect (Total)'!BE84,Planned!CH84,Reconductor!CH84,CTGS!CH84,'Substation 2025$'!CH84*$M$1,Comms!CD84*$M$2)</f>
        <v>1.6081118881119998</v>
      </c>
      <c r="H84" s="96">
        <f>SUM('Defect (Total)'!BF84,Planned!CI84,Reconductor!CI84,CTGS!CI84,'Substation 2025$'!CI84*$M$1,Comms!CE84*$M$2)</f>
        <v>1.6081118881119998</v>
      </c>
      <c r="I84" s="96">
        <f>SUM('Defect (Total)'!BG84,Planned!CJ84,Reconductor!CJ84,CTGS!CJ84,'Substation 2025$'!CJ84*$M$1,Comms!CF84*$M$2)</f>
        <v>1.6081118881119998</v>
      </c>
      <c r="J84" s="96">
        <f>SUM('Defect (Total)'!BH84,Planned!CK84,Reconductor!CK84,CTGS!CK84,'Substation 2025$'!CK84*$M$1,Comms!CG84*$M$2)</f>
        <v>1.6081118881119998</v>
      </c>
      <c r="K84" s="286">
        <f>SUM('Defect (Total)'!BI84,Planned!CL84,Reconductor!CL84,CTGS!CL84,'Substation 2025$'!CL84*$M$1,Comms!CH84*$M$2)</f>
        <v>1.6081118881119998</v>
      </c>
      <c r="L84" s="743"/>
      <c r="M84" s="97">
        <f>'Summary 2023$'!BL84*$M$4</f>
        <v>85956.2293994395</v>
      </c>
      <c r="N84" s="524">
        <f>'Summary 2023$'!BM84*$M$4</f>
        <v>85956.2293994395</v>
      </c>
      <c r="O84" s="416">
        <f>'Summary 2023$'!BN84*$M$4</f>
        <v>70886.608485208068</v>
      </c>
      <c r="P84" s="97">
        <f>'Summary 2023$'!BO84*$M$4</f>
        <v>70886.608485208068</v>
      </c>
      <c r="Q84" s="97">
        <f>'Summary 2023$'!BP84*$M$4</f>
        <v>70886.608485208068</v>
      </c>
      <c r="R84" s="97">
        <f>'Summary 2023$'!BQ84*$M$4</f>
        <v>70886.608485208068</v>
      </c>
      <c r="S84" s="98">
        <f>'Summary 2023$'!BR84*$M$4</f>
        <v>70886.608485208068</v>
      </c>
    </row>
    <row r="85" spans="1:20" x14ac:dyDescent="0.25">
      <c r="A85" s="81" t="s">
        <v>138</v>
      </c>
      <c r="B85" s="82" t="s">
        <v>173</v>
      </c>
      <c r="C85" s="83" t="s">
        <v>375</v>
      </c>
      <c r="D85" s="689">
        <f>SUM('Defect (Total)'!BB85,Planned!CE85,Reconductor!CE85,CTGS!CE85,'Substation 2025$'!CE85*$M$1,Comms!CA85*$M$2)</f>
        <v>0.66666666666666663</v>
      </c>
      <c r="E85" s="96">
        <f>SUM('Defect (Total)'!BC85,Planned!CF85,Reconductor!CF85,CTGS!CF85,'Substation 2025$'!CF85*$M$1,Comms!CB85*$M$2)</f>
        <v>0.66666666666666663</v>
      </c>
      <c r="F85" s="96">
        <f>SUM('Defect (Total)'!BD85,Planned!CG85,Reconductor!CG85,CTGS!CG85,'Substation 2025$'!CG85*$M$1,Comms!CC85*$M$2)</f>
        <v>0.66666666666666663</v>
      </c>
      <c r="G85" s="96">
        <f>SUM('Defect (Total)'!BE85,Planned!CH85,Reconductor!CH85,CTGS!CH85,'Substation 2025$'!CH85*$M$1,Comms!CD85*$M$2)</f>
        <v>0.5673892773893332</v>
      </c>
      <c r="H85" s="96">
        <f>SUM('Defect (Total)'!BF85,Planned!CI85,Reconductor!CI85,CTGS!CI85,'Substation 2025$'!CI85*$M$1,Comms!CE85*$M$2)</f>
        <v>0.5673892773893332</v>
      </c>
      <c r="I85" s="96">
        <f>SUM('Defect (Total)'!BG85,Planned!CJ85,Reconductor!CJ85,CTGS!CJ85,'Substation 2025$'!CJ85*$M$1,Comms!CF85*$M$2)</f>
        <v>5.5673892773893332</v>
      </c>
      <c r="J85" s="96">
        <f>SUM('Defect (Total)'!BH85,Planned!CK85,Reconductor!CK85,CTGS!CK85,'Substation 2025$'!CK85*$M$1,Comms!CG85*$M$2)</f>
        <v>4.5673892773893332</v>
      </c>
      <c r="K85" s="286">
        <f>SUM('Defect (Total)'!BI85,Planned!CL85,Reconductor!CL85,CTGS!CL85,'Substation 2025$'!CL85*$M$1,Comms!CH85*$M$2)</f>
        <v>1.5673892773893332</v>
      </c>
      <c r="L85" s="743"/>
      <c r="M85" s="97">
        <f>'Summary 2023$'!BL85*$M$4</f>
        <v>451958.06495019194</v>
      </c>
      <c r="N85" s="524">
        <f>'Summary 2023$'!BM85*$M$4</f>
        <v>1608249.5012062378</v>
      </c>
      <c r="O85" s="416">
        <f>'Summary 2023$'!BN85*$M$4</f>
        <v>3915997.1954571381</v>
      </c>
      <c r="P85" s="97">
        <f>'Summary 2023$'!BO85*$M$4</f>
        <v>4862761.1743845036</v>
      </c>
      <c r="Q85" s="97">
        <f>'Summary 2023$'!BP85*$M$4</f>
        <v>6147872.4334015632</v>
      </c>
      <c r="R85" s="97">
        <f>'Summary 2023$'!BQ85*$M$4</f>
        <v>4822026.4341683527</v>
      </c>
      <c r="S85" s="98">
        <f>'Summary 2023$'!BR85*$M$4</f>
        <v>9828978.5756221693</v>
      </c>
      <c r="T85" t="s">
        <v>632</v>
      </c>
    </row>
    <row r="86" spans="1:20" x14ac:dyDescent="0.25">
      <c r="A86" s="81" t="s">
        <v>138</v>
      </c>
      <c r="B86" s="82" t="s">
        <v>175</v>
      </c>
      <c r="C86" s="83" t="s">
        <v>376</v>
      </c>
      <c r="D86" s="689">
        <f>SUM('Defect (Total)'!BB86,Planned!CE86,Reconductor!CE86,CTGS!CE86,'Substation 2025$'!CE86*$M$1,Comms!CA86*$M$2)</f>
        <v>0</v>
      </c>
      <c r="E86" s="96">
        <f>SUM('Defect (Total)'!BC86,Planned!CF86,Reconductor!CF86,CTGS!CF86,'Substation 2025$'!CF86*$M$1,Comms!CB86*$M$2)</f>
        <v>0</v>
      </c>
      <c r="F86" s="96">
        <f>SUM('Defect (Total)'!BD86,Planned!CG86,Reconductor!CG86,CTGS!CG86,'Substation 2025$'!CG86*$M$1,Comms!CC86*$M$2)</f>
        <v>0</v>
      </c>
      <c r="G86" s="96">
        <f>SUM('Defect (Total)'!BE86,Planned!CH86,Reconductor!CH86,CTGS!CH86,'Substation 2025$'!CH86*$M$1,Comms!CD86*$M$2)</f>
        <v>0</v>
      </c>
      <c r="H86" s="96">
        <f>SUM('Defect (Total)'!BF86,Planned!CI86,Reconductor!CI86,CTGS!CI86,'Substation 2025$'!CI86*$M$1,Comms!CE86*$M$2)</f>
        <v>0</v>
      </c>
      <c r="I86" s="96">
        <f>SUM('Defect (Total)'!BG86,Planned!CJ86,Reconductor!CJ86,CTGS!CJ86,'Substation 2025$'!CJ86*$M$1,Comms!CF86*$M$2)</f>
        <v>0</v>
      </c>
      <c r="J86" s="96">
        <f>SUM('Defect (Total)'!BH86,Planned!CK86,Reconductor!CK86,CTGS!CK86,'Substation 2025$'!CK86*$M$1,Comms!CG86*$M$2)</f>
        <v>0</v>
      </c>
      <c r="K86" s="286">
        <f>SUM('Defect (Total)'!BI86,Planned!CL86,Reconductor!CL86,CTGS!CL86,'Substation 2025$'!CL86*$M$1,Comms!CH86*$M$2)</f>
        <v>0</v>
      </c>
      <c r="L86" s="743"/>
      <c r="M86" s="97">
        <f>'Summary 2023$'!BL86*$M$4</f>
        <v>990801.57608642161</v>
      </c>
      <c r="N86" s="524">
        <f>'Summary 2023$'!BM86*$M$4</f>
        <v>0</v>
      </c>
      <c r="O86" s="416">
        <f>'Summary 2023$'!BN86*$M$4</f>
        <v>0</v>
      </c>
      <c r="P86" s="97">
        <f>'Summary 2023$'!BO86*$M$4</f>
        <v>0</v>
      </c>
      <c r="Q86" s="97">
        <f>'Summary 2023$'!BP86*$M$4</f>
        <v>0</v>
      </c>
      <c r="R86" s="97">
        <f>'Summary 2023$'!BQ86*$M$4</f>
        <v>0</v>
      </c>
      <c r="S86" s="98">
        <f>'Summary 2023$'!BR86*$M$4</f>
        <v>0</v>
      </c>
    </row>
    <row r="87" spans="1:20" x14ac:dyDescent="0.25">
      <c r="A87" s="81" t="s">
        <v>138</v>
      </c>
      <c r="B87" s="82" t="s">
        <v>177</v>
      </c>
      <c r="C87" s="83" t="s">
        <v>377</v>
      </c>
      <c r="D87" s="689">
        <f>SUM('Defect (Total)'!BB87,Planned!CE87,Reconductor!CE87,CTGS!CE87,'Substation 2025$'!CE87*$M$1,Comms!CA87*$M$2)</f>
        <v>0</v>
      </c>
      <c r="E87" s="96">
        <f>SUM('Defect (Total)'!BC87,Planned!CF87,Reconductor!CF87,CTGS!CF87,'Substation 2025$'!CF87*$M$1,Comms!CB87*$M$2)</f>
        <v>0</v>
      </c>
      <c r="F87" s="96">
        <f>SUM('Defect (Total)'!BD87,Planned!CG87,Reconductor!CG87,CTGS!CG87,'Substation 2025$'!CG87*$M$1,Comms!CC87*$M$2)</f>
        <v>0</v>
      </c>
      <c r="G87" s="96">
        <f>SUM('Defect (Total)'!BE87,Planned!CH87,Reconductor!CH87,CTGS!CH87,'Substation 2025$'!CH87*$M$1,Comms!CD87*$M$2)</f>
        <v>0</v>
      </c>
      <c r="H87" s="96">
        <f>SUM('Defect (Total)'!BF87,Planned!CI87,Reconductor!CI87,CTGS!CI87,'Substation 2025$'!CI87*$M$1,Comms!CE87*$M$2)</f>
        <v>0</v>
      </c>
      <c r="I87" s="96">
        <f>SUM('Defect (Total)'!BG87,Planned!CJ87,Reconductor!CJ87,CTGS!CJ87,'Substation 2025$'!CJ87*$M$1,Comms!CF87*$M$2)</f>
        <v>0</v>
      </c>
      <c r="J87" s="96">
        <f>SUM('Defect (Total)'!BH87,Planned!CK87,Reconductor!CK87,CTGS!CK87,'Substation 2025$'!CK87*$M$1,Comms!CG87*$M$2)</f>
        <v>0</v>
      </c>
      <c r="K87" s="286">
        <f>SUM('Defect (Total)'!BI87,Planned!CL87,Reconductor!CL87,CTGS!CL87,'Substation 2025$'!CL87*$M$1,Comms!CH87*$M$2)</f>
        <v>0</v>
      </c>
      <c r="L87" s="743"/>
      <c r="M87" s="97">
        <f>'Summary 2023$'!BL87*$M$4</f>
        <v>0</v>
      </c>
      <c r="N87" s="524">
        <f>'Summary 2023$'!BM87*$M$4</f>
        <v>0</v>
      </c>
      <c r="O87" s="416">
        <f>'Summary 2023$'!BN87*$M$4</f>
        <v>0</v>
      </c>
      <c r="P87" s="97">
        <f>'Summary 2023$'!BO87*$M$4</f>
        <v>0</v>
      </c>
      <c r="Q87" s="97">
        <f>'Summary 2023$'!BP87*$M$4</f>
        <v>0</v>
      </c>
      <c r="R87" s="97">
        <f>'Summary 2023$'!BQ87*$M$4</f>
        <v>0</v>
      </c>
      <c r="S87" s="98">
        <f>'Summary 2023$'!BR87*$M$4</f>
        <v>0</v>
      </c>
    </row>
    <row r="88" spans="1:20" x14ac:dyDescent="0.25">
      <c r="A88" s="81" t="s">
        <v>138</v>
      </c>
      <c r="B88" s="82" t="s">
        <v>179</v>
      </c>
      <c r="C88" s="83" t="s">
        <v>378</v>
      </c>
      <c r="D88" s="689">
        <f>SUM('Defect (Total)'!BB88,Planned!CE88,Reconductor!CE88,CTGS!CE88,'Substation 2025$'!CE88*$M$1,Comms!CA88*$M$2)</f>
        <v>0</v>
      </c>
      <c r="E88" s="96">
        <f>SUM('Defect (Total)'!BC88,Planned!CF88,Reconductor!CF88,CTGS!CF88,'Substation 2025$'!CF88*$M$1,Comms!CB88*$M$2)</f>
        <v>0</v>
      </c>
      <c r="F88" s="96">
        <f>SUM('Defect (Total)'!BD88,Planned!CG88,Reconductor!CG88,CTGS!CG88,'Substation 2025$'!CG88*$M$1,Comms!CC88*$M$2)</f>
        <v>1</v>
      </c>
      <c r="G88" s="96">
        <f>SUM('Defect (Total)'!BE88,Planned!CH88,Reconductor!CH88,CTGS!CH88,'Substation 2025$'!CH88*$M$1,Comms!CD88*$M$2)</f>
        <v>0</v>
      </c>
      <c r="H88" s="96">
        <f>SUM('Defect (Total)'!BF88,Planned!CI88,Reconductor!CI88,CTGS!CI88,'Substation 2025$'!CI88*$M$1,Comms!CE88*$M$2)</f>
        <v>4</v>
      </c>
      <c r="I88" s="96">
        <f>SUM('Defect (Total)'!BG88,Planned!CJ88,Reconductor!CJ88,CTGS!CJ88,'Substation 2025$'!CJ88*$M$1,Comms!CF88*$M$2)</f>
        <v>6</v>
      </c>
      <c r="J88" s="96">
        <f>SUM('Defect (Total)'!BH88,Planned!CK88,Reconductor!CK88,CTGS!CK88,'Substation 2025$'!CK88*$M$1,Comms!CG88*$M$2)</f>
        <v>1</v>
      </c>
      <c r="K88" s="286">
        <f>SUM('Defect (Total)'!BI88,Planned!CL88,Reconductor!CL88,CTGS!CL88,'Substation 2025$'!CL88*$M$1,Comms!CH88*$M$2)</f>
        <v>8</v>
      </c>
      <c r="L88" s="743"/>
      <c r="M88" s="97">
        <f>'Summary 2023$'!BL88*$M$4</f>
        <v>13398.36618801338</v>
      </c>
      <c r="N88" s="524">
        <f>'Summary 2023$'!BM88*$M$4</f>
        <v>203275.69103266936</v>
      </c>
      <c r="O88" s="416">
        <f>'Summary 2023$'!BN88*$M$4</f>
        <v>5371484.8568051597</v>
      </c>
      <c r="P88" s="97">
        <f>'Summary 2023$'!BO88*$M$4</f>
        <v>6947107.1771376235</v>
      </c>
      <c r="Q88" s="97">
        <f>'Summary 2023$'!BP88*$M$4</f>
        <v>7688318.7530611223</v>
      </c>
      <c r="R88" s="97">
        <f>'Summary 2023$'!BQ88*$M$4</f>
        <v>12388064.102219941</v>
      </c>
      <c r="S88" s="98">
        <f>'Summary 2023$'!BR88*$M$4</f>
        <v>11837313.153501015</v>
      </c>
    </row>
    <row r="89" spans="1:20" x14ac:dyDescent="0.25">
      <c r="A89" s="81" t="s">
        <v>138</v>
      </c>
      <c r="B89" s="82" t="s">
        <v>181</v>
      </c>
      <c r="C89" s="83" t="s">
        <v>379</v>
      </c>
      <c r="D89" s="689">
        <f>SUM('Defect (Total)'!BB89,Planned!CE89,Reconductor!CE89,CTGS!CE89,'Substation 2025$'!CE89*$M$1,Comms!CA89*$M$2)</f>
        <v>0</v>
      </c>
      <c r="E89" s="96">
        <f>SUM('Defect (Total)'!BC89,Planned!CF89,Reconductor!CF89,CTGS!CF89,'Substation 2025$'!CF89*$M$1,Comms!CB89*$M$2)</f>
        <v>0</v>
      </c>
      <c r="F89" s="96">
        <f>SUM('Defect (Total)'!BD89,Planned!CG89,Reconductor!CG89,CTGS!CG89,'Substation 2025$'!CG89*$M$1,Comms!CC89*$M$2)</f>
        <v>0</v>
      </c>
      <c r="G89" s="96">
        <f>SUM('Defect (Total)'!BE89,Planned!CH89,Reconductor!CH89,CTGS!CH89,'Substation 2025$'!CH89*$M$1,Comms!CD89*$M$2)</f>
        <v>3</v>
      </c>
      <c r="H89" s="96">
        <f>SUM('Defect (Total)'!BF89,Planned!CI89,Reconductor!CI89,CTGS!CI89,'Substation 2025$'!CI89*$M$1,Comms!CE89*$M$2)</f>
        <v>1</v>
      </c>
      <c r="I89" s="96">
        <f>SUM('Defect (Total)'!BG89,Planned!CJ89,Reconductor!CJ89,CTGS!CJ89,'Substation 2025$'!CJ89*$M$1,Comms!CF89*$M$2)</f>
        <v>3</v>
      </c>
      <c r="J89" s="96">
        <f>SUM('Defect (Total)'!BH89,Planned!CK89,Reconductor!CK89,CTGS!CK89,'Substation 2025$'!CK89*$M$1,Comms!CG89*$M$2)</f>
        <v>1</v>
      </c>
      <c r="K89" s="286">
        <f>SUM('Defect (Total)'!BI89,Planned!CL89,Reconductor!CL89,CTGS!CL89,'Substation 2025$'!CL89*$M$1,Comms!CH89*$M$2)</f>
        <v>0</v>
      </c>
      <c r="L89" s="743"/>
      <c r="M89" s="97">
        <f>'Summary 2023$'!BL89*$M$4</f>
        <v>9944202.6556111518</v>
      </c>
      <c r="N89" s="524">
        <f>'Summary 2023$'!BM89*$M$4</f>
        <v>5754354.6977325622</v>
      </c>
      <c r="O89" s="416">
        <f>'Summary 2023$'!BN89*$M$4</f>
        <v>1990269.2292625958</v>
      </c>
      <c r="P89" s="97">
        <f>'Summary 2023$'!BO89*$M$4</f>
        <v>2274462.8848609682</v>
      </c>
      <c r="Q89" s="97">
        <f>'Summary 2023$'!BP89*$M$4</f>
        <v>1864218.7456005483</v>
      </c>
      <c r="R89" s="97">
        <f>'Summary 2023$'!BQ89*$M$4</f>
        <v>3091423.0188352517</v>
      </c>
      <c r="S89" s="98">
        <f>'Summary 2023$'!BR89*$M$4</f>
        <v>910134.43067685072</v>
      </c>
    </row>
    <row r="90" spans="1:20" x14ac:dyDescent="0.25">
      <c r="A90" s="81" t="s">
        <v>138</v>
      </c>
      <c r="B90" s="82" t="s">
        <v>183</v>
      </c>
      <c r="C90" s="83" t="s">
        <v>380</v>
      </c>
      <c r="D90" s="689">
        <f>SUM('Defect (Total)'!BB90,Planned!CE90,Reconductor!CE90,CTGS!CE90,'Substation 2025$'!CE90*$M$1,Comms!CA90*$M$2)</f>
        <v>0</v>
      </c>
      <c r="E90" s="96">
        <f>SUM('Defect (Total)'!BC90,Planned!CF90,Reconductor!CF90,CTGS!CF90,'Substation 2025$'!CF90*$M$1,Comms!CB90*$M$2)</f>
        <v>0</v>
      </c>
      <c r="F90" s="96">
        <f>SUM('Defect (Total)'!BD90,Planned!CG90,Reconductor!CG90,CTGS!CG90,'Substation 2025$'!CG90*$M$1,Comms!CC90*$M$2)</f>
        <v>0</v>
      </c>
      <c r="G90" s="96">
        <f>SUM('Defect (Total)'!BE90,Planned!CH90,Reconductor!CH90,CTGS!CH90,'Substation 2025$'!CH90*$M$1,Comms!CD90*$M$2)</f>
        <v>0</v>
      </c>
      <c r="H90" s="96">
        <f>SUM('Defect (Total)'!BF90,Planned!CI90,Reconductor!CI90,CTGS!CI90,'Substation 2025$'!CI90*$M$1,Comms!CE90*$M$2)</f>
        <v>0</v>
      </c>
      <c r="I90" s="96">
        <f>SUM('Defect (Total)'!BG90,Planned!CJ90,Reconductor!CJ90,CTGS!CJ90,'Substation 2025$'!CJ90*$M$1,Comms!CF90*$M$2)</f>
        <v>0</v>
      </c>
      <c r="J90" s="96">
        <f>SUM('Defect (Total)'!BH90,Planned!CK90,Reconductor!CK90,CTGS!CK90,'Substation 2025$'!CK90*$M$1,Comms!CG90*$M$2)</f>
        <v>0</v>
      </c>
      <c r="K90" s="286">
        <f>SUM('Defect (Total)'!BI90,Planned!CL90,Reconductor!CL90,CTGS!CL90,'Substation 2025$'!CL90*$M$1,Comms!CH90*$M$2)</f>
        <v>0</v>
      </c>
      <c r="L90" s="743"/>
      <c r="M90" s="97">
        <f>'Summary 2023$'!BL90*$M$4</f>
        <v>0</v>
      </c>
      <c r="N90" s="524">
        <f>'Summary 2023$'!BM90*$M$4</f>
        <v>0</v>
      </c>
      <c r="O90" s="416">
        <f>'Summary 2023$'!BN90*$M$4</f>
        <v>0</v>
      </c>
      <c r="P90" s="97">
        <f>'Summary 2023$'!BO90*$M$4</f>
        <v>0</v>
      </c>
      <c r="Q90" s="97">
        <f>'Summary 2023$'!BP90*$M$4</f>
        <v>0</v>
      </c>
      <c r="R90" s="97">
        <f>'Summary 2023$'!BQ90*$M$4</f>
        <v>0</v>
      </c>
      <c r="S90" s="98">
        <f>'Summary 2023$'!BR90*$M$4</f>
        <v>0</v>
      </c>
    </row>
    <row r="91" spans="1:20" x14ac:dyDescent="0.25">
      <c r="A91" s="81" t="s">
        <v>138</v>
      </c>
      <c r="B91" s="82" t="s">
        <v>185</v>
      </c>
      <c r="C91" s="83" t="s">
        <v>381</v>
      </c>
      <c r="D91" s="689">
        <f>SUM('Defect (Total)'!BB91,Planned!CE91,Reconductor!CE91,CTGS!CE91,'Substation 2025$'!CE91*$M$1,Comms!CA91*$M$2)</f>
        <v>0</v>
      </c>
      <c r="E91" s="96">
        <f>SUM('Defect (Total)'!BC91,Planned!CF91,Reconductor!CF91,CTGS!CF91,'Substation 2025$'!CF91*$M$1,Comms!CB91*$M$2)</f>
        <v>0</v>
      </c>
      <c r="F91" s="96">
        <f>SUM('Defect (Total)'!BD91,Planned!CG91,Reconductor!CG91,CTGS!CG91,'Substation 2025$'!CG91*$M$1,Comms!CC91*$M$2)</f>
        <v>2</v>
      </c>
      <c r="G91" s="96">
        <f>SUM('Defect (Total)'!BE91,Planned!CH91,Reconductor!CH91,CTGS!CH91,'Substation 2025$'!CH91*$M$1,Comms!CD91*$M$2)</f>
        <v>1</v>
      </c>
      <c r="H91" s="96">
        <f>SUM('Defect (Total)'!BF91,Planned!CI91,Reconductor!CI91,CTGS!CI91,'Substation 2025$'!CI91*$M$1,Comms!CE91*$M$2)</f>
        <v>0</v>
      </c>
      <c r="I91" s="96">
        <f>SUM('Defect (Total)'!BG91,Planned!CJ91,Reconductor!CJ91,CTGS!CJ91,'Substation 2025$'!CJ91*$M$1,Comms!CF91*$M$2)</f>
        <v>0</v>
      </c>
      <c r="J91" s="96">
        <f>SUM('Defect (Total)'!BH91,Planned!CK91,Reconductor!CK91,CTGS!CK91,'Substation 2025$'!CK91*$M$1,Comms!CG91*$M$2)</f>
        <v>0</v>
      </c>
      <c r="K91" s="286">
        <f>SUM('Defect (Total)'!BI91,Planned!CL91,Reconductor!CL91,CTGS!CL91,'Substation 2025$'!CL91*$M$1,Comms!CH91*$M$2)</f>
        <v>2</v>
      </c>
      <c r="L91" s="743"/>
      <c r="M91" s="97">
        <f>'Summary 2023$'!BL91*$M$4</f>
        <v>3722660.057479152</v>
      </c>
      <c r="N91" s="524">
        <f>'Summary 2023$'!BM91*$M$4</f>
        <v>1661105.0500963409</v>
      </c>
      <c r="O91" s="416">
        <f>'Summary 2023$'!BN91*$M$4</f>
        <v>11532.0867226272</v>
      </c>
      <c r="P91" s="97">
        <f>'Summary 2023$'!BO91*$M$4</f>
        <v>16986.212656463304</v>
      </c>
      <c r="Q91" s="97">
        <f>'Summary 2023$'!BP91*$M$4</f>
        <v>624227.35220292886</v>
      </c>
      <c r="R91" s="97">
        <f>'Summary 2023$'!BQ91*$M$4</f>
        <v>2161813.5863883542</v>
      </c>
      <c r="S91" s="98">
        <f>'Summary 2023$'!BR91*$M$4</f>
        <v>4785051.4837843394</v>
      </c>
    </row>
    <row r="92" spans="1:20" x14ac:dyDescent="0.25">
      <c r="A92" s="81" t="s">
        <v>138</v>
      </c>
      <c r="B92" s="82" t="s">
        <v>187</v>
      </c>
      <c r="C92" s="83" t="s">
        <v>382</v>
      </c>
      <c r="D92" s="689">
        <f>SUM('Defect (Total)'!BB92,Planned!CE92,Reconductor!CE92,CTGS!CE92,'Substation 2025$'!CE92*$M$1,Comms!CA92*$M$2)</f>
        <v>0</v>
      </c>
      <c r="E92" s="96">
        <f>SUM('Defect (Total)'!BC92,Planned!CF92,Reconductor!CF92,CTGS!CF92,'Substation 2025$'!CF92*$M$1,Comms!CB92*$M$2)</f>
        <v>0</v>
      </c>
      <c r="F92" s="96">
        <f>SUM('Defect (Total)'!BD92,Planned!CG92,Reconductor!CG92,CTGS!CG92,'Substation 2025$'!CG92*$M$1,Comms!CC92*$M$2)</f>
        <v>0</v>
      </c>
      <c r="G92" s="96">
        <f>SUM('Defect (Total)'!BE92,Planned!CH92,Reconductor!CH92,CTGS!CH92,'Substation 2025$'!CH92*$M$1,Comms!CD92*$M$2)</f>
        <v>0</v>
      </c>
      <c r="H92" s="96">
        <f>SUM('Defect (Total)'!BF92,Planned!CI92,Reconductor!CI92,CTGS!CI92,'Substation 2025$'!CI92*$M$1,Comms!CE92*$M$2)</f>
        <v>0</v>
      </c>
      <c r="I92" s="96">
        <f>SUM('Defect (Total)'!BG92,Planned!CJ92,Reconductor!CJ92,CTGS!CJ92,'Substation 2025$'!CJ92*$M$1,Comms!CF92*$M$2)</f>
        <v>0</v>
      </c>
      <c r="J92" s="96">
        <f>SUM('Defect (Total)'!BH92,Planned!CK92,Reconductor!CK92,CTGS!CK92,'Substation 2025$'!CK92*$M$1,Comms!CG92*$M$2)</f>
        <v>0</v>
      </c>
      <c r="K92" s="286">
        <f>SUM('Defect (Total)'!BI92,Planned!CL92,Reconductor!CL92,CTGS!CL92,'Substation 2025$'!CL92*$M$1,Comms!CH92*$M$2)</f>
        <v>0</v>
      </c>
      <c r="L92" s="743"/>
      <c r="M92" s="97">
        <f>'Summary 2023$'!BL92*$M$4</f>
        <v>0</v>
      </c>
      <c r="N92" s="524">
        <f>'Summary 2023$'!BM92*$M$4</f>
        <v>0</v>
      </c>
      <c r="O92" s="416">
        <f>'Summary 2023$'!BN92*$M$4</f>
        <v>0</v>
      </c>
      <c r="P92" s="97">
        <f>'Summary 2023$'!BO92*$M$4</f>
        <v>0</v>
      </c>
      <c r="Q92" s="97">
        <f>'Summary 2023$'!BP92*$M$4</f>
        <v>0</v>
      </c>
      <c r="R92" s="97">
        <f>'Summary 2023$'!BQ92*$M$4</f>
        <v>0</v>
      </c>
      <c r="S92" s="98">
        <f>'Summary 2023$'!BR92*$M$4</f>
        <v>0</v>
      </c>
    </row>
    <row r="93" spans="1:20" x14ac:dyDescent="0.25">
      <c r="A93" s="81" t="s">
        <v>138</v>
      </c>
      <c r="B93" s="82" t="s">
        <v>189</v>
      </c>
      <c r="C93" s="83" t="s">
        <v>383</v>
      </c>
      <c r="D93" s="689">
        <f>SUM('Defect (Total)'!BB93,Planned!CE93,Reconductor!CE93,CTGS!CE93,'Substation 2025$'!CE93*$M$1,Comms!CA93*$M$2)</f>
        <v>0</v>
      </c>
      <c r="E93" s="96">
        <f>SUM('Defect (Total)'!BC93,Planned!CF93,Reconductor!CF93,CTGS!CF93,'Substation 2025$'!CF93*$M$1,Comms!CB93*$M$2)</f>
        <v>0</v>
      </c>
      <c r="F93" s="96">
        <f>SUM('Defect (Total)'!BD93,Planned!CG93,Reconductor!CG93,CTGS!CG93,'Substation 2025$'!CG93*$M$1,Comms!CC93*$M$2)</f>
        <v>0</v>
      </c>
      <c r="G93" s="96">
        <f>SUM('Defect (Total)'!BE93,Planned!CH93,Reconductor!CH93,CTGS!CH93,'Substation 2025$'!CH93*$M$1,Comms!CD93*$M$2)</f>
        <v>0</v>
      </c>
      <c r="H93" s="96">
        <f>SUM('Defect (Total)'!BF93,Planned!CI93,Reconductor!CI93,CTGS!CI93,'Substation 2025$'!CI93*$M$1,Comms!CE93*$M$2)</f>
        <v>0</v>
      </c>
      <c r="I93" s="96">
        <f>SUM('Defect (Total)'!BG93,Planned!CJ93,Reconductor!CJ93,CTGS!CJ93,'Substation 2025$'!CJ93*$M$1,Comms!CF93*$M$2)</f>
        <v>0</v>
      </c>
      <c r="J93" s="96">
        <f>SUM('Defect (Total)'!BH93,Planned!CK93,Reconductor!CK93,CTGS!CK93,'Substation 2025$'!CK93*$M$1,Comms!CG93*$M$2)</f>
        <v>0</v>
      </c>
      <c r="K93" s="286">
        <f>SUM('Defect (Total)'!BI93,Planned!CL93,Reconductor!CL93,CTGS!CL93,'Substation 2025$'!CL93*$M$1,Comms!CH93*$M$2)</f>
        <v>0</v>
      </c>
      <c r="L93" s="743"/>
      <c r="M93" s="97">
        <f>'Summary 2023$'!BL93*$M$4</f>
        <v>0</v>
      </c>
      <c r="N93" s="524">
        <f>'Summary 2023$'!BM93*$M$4</f>
        <v>0</v>
      </c>
      <c r="O93" s="416">
        <f>'Summary 2023$'!BN93*$M$4</f>
        <v>0</v>
      </c>
      <c r="P93" s="97">
        <f>'Summary 2023$'!BO93*$M$4</f>
        <v>0</v>
      </c>
      <c r="Q93" s="97">
        <f>'Summary 2023$'!BP93*$M$4</f>
        <v>0</v>
      </c>
      <c r="R93" s="97">
        <f>'Summary 2023$'!BQ93*$M$4</f>
        <v>0</v>
      </c>
      <c r="S93" s="98">
        <f>'Summary 2023$'!BR93*$M$4</f>
        <v>0</v>
      </c>
    </row>
    <row r="94" spans="1:20" x14ac:dyDescent="0.25">
      <c r="A94" s="81" t="s">
        <v>138</v>
      </c>
      <c r="B94" s="82" t="s">
        <v>191</v>
      </c>
      <c r="C94" s="83" t="s">
        <v>384</v>
      </c>
      <c r="D94" s="689">
        <f>SUM('Defect (Total)'!BB94,Planned!CE94,Reconductor!CE94,CTGS!CE94,'Substation 2025$'!CE94*$M$1,Comms!CA94*$M$2)</f>
        <v>0</v>
      </c>
      <c r="E94" s="96">
        <f>SUM('Defect (Total)'!BC94,Planned!CF94,Reconductor!CF94,CTGS!CF94,'Substation 2025$'!CF94*$M$1,Comms!CB94*$M$2)</f>
        <v>0</v>
      </c>
      <c r="F94" s="96">
        <f>SUM('Defect (Total)'!BD94,Planned!CG94,Reconductor!CG94,CTGS!CG94,'Substation 2025$'!CG94*$M$1,Comms!CC94*$M$2)</f>
        <v>0</v>
      </c>
      <c r="G94" s="96">
        <f>SUM('Defect (Total)'!BE94,Planned!CH94,Reconductor!CH94,CTGS!CH94,'Substation 2025$'!CH94*$M$1,Comms!CD94*$M$2)</f>
        <v>0</v>
      </c>
      <c r="H94" s="96">
        <f>SUM('Defect (Total)'!BF94,Planned!CI94,Reconductor!CI94,CTGS!CI94,'Substation 2025$'!CI94*$M$1,Comms!CE94*$M$2)</f>
        <v>0</v>
      </c>
      <c r="I94" s="96">
        <f>SUM('Defect (Total)'!BG94,Planned!CJ94,Reconductor!CJ94,CTGS!CJ94,'Substation 2025$'!CJ94*$M$1,Comms!CF94*$M$2)</f>
        <v>0</v>
      </c>
      <c r="J94" s="96">
        <f>SUM('Defect (Total)'!BH94,Planned!CK94,Reconductor!CK94,CTGS!CK94,'Substation 2025$'!CK94*$M$1,Comms!CG94*$M$2)</f>
        <v>0</v>
      </c>
      <c r="K94" s="286">
        <f>SUM('Defect (Total)'!BI94,Planned!CL94,Reconductor!CL94,CTGS!CL94,'Substation 2025$'!CL94*$M$1,Comms!CH94*$M$2)</f>
        <v>0</v>
      </c>
      <c r="L94" s="743"/>
      <c r="M94" s="97">
        <f>'Summary 2023$'!BL94*$M$4</f>
        <v>0</v>
      </c>
      <c r="N94" s="524">
        <f>'Summary 2023$'!BM94*$M$4</f>
        <v>0</v>
      </c>
      <c r="O94" s="416">
        <f>'Summary 2023$'!BN94*$M$4</f>
        <v>0</v>
      </c>
      <c r="P94" s="97">
        <f>'Summary 2023$'!BO94*$M$4</f>
        <v>0</v>
      </c>
      <c r="Q94" s="97">
        <f>'Summary 2023$'!BP94*$M$4</f>
        <v>0</v>
      </c>
      <c r="R94" s="97">
        <f>'Summary 2023$'!BQ94*$M$4</f>
        <v>0</v>
      </c>
      <c r="S94" s="98">
        <f>'Summary 2023$'!BR94*$M$4</f>
        <v>0</v>
      </c>
    </row>
    <row r="95" spans="1:20" ht="15.75" thickBot="1" x14ac:dyDescent="0.3">
      <c r="A95" s="100" t="s">
        <v>138</v>
      </c>
      <c r="B95" s="101" t="s">
        <v>385</v>
      </c>
      <c r="C95" s="102" t="s">
        <v>386</v>
      </c>
      <c r="D95" s="695">
        <f>SUM('Defect (Total)'!BB95,Planned!CE95,Reconductor!CE95,CTGS!CE95,'Substation 2025$'!CE95*$M$1,Comms!CA95*$M$2)</f>
        <v>0.66666666666666663</v>
      </c>
      <c r="E95" s="141">
        <f>SUM('Defect (Total)'!BC95,Planned!CF95,Reconductor!CF95,CTGS!CF95,'Substation 2025$'!CF95*$M$1,Comms!CB95*$M$2)</f>
        <v>0.66666666666666663</v>
      </c>
      <c r="F95" s="141">
        <f>SUM('Defect (Total)'!BD95,Planned!CG95,Reconductor!CG95,CTGS!CG95,'Substation 2025$'!CG95*$M$1,Comms!CC95*$M$2)</f>
        <v>0.66666666666666663</v>
      </c>
      <c r="G95" s="141">
        <f>SUM('Defect (Total)'!BE95,Planned!CH95,Reconductor!CH95,CTGS!CH95,'Substation 2025$'!CH95*$M$1,Comms!CD95*$M$2)</f>
        <v>0.47333333333333327</v>
      </c>
      <c r="H95" s="141">
        <f>SUM('Defect (Total)'!BF95,Planned!CI95,Reconductor!CI95,CTGS!CI95,'Substation 2025$'!CI95*$M$1,Comms!CE95*$M$2)</f>
        <v>0.47333333333333327</v>
      </c>
      <c r="I95" s="141">
        <f>SUM('Defect (Total)'!BG95,Planned!CJ95,Reconductor!CJ95,CTGS!CJ95,'Substation 2025$'!CJ95*$M$1,Comms!CF95*$M$2)</f>
        <v>0.47333333333333327</v>
      </c>
      <c r="J95" s="141">
        <f>SUM('Defect (Total)'!BH95,Planned!CK95,Reconductor!CK95,CTGS!CK95,'Substation 2025$'!CK95*$M$1,Comms!CG95*$M$2)</f>
        <v>0.47333333333333327</v>
      </c>
      <c r="K95" s="292">
        <f>SUM('Defect (Total)'!BI95,Planned!CL95,Reconductor!CL95,CTGS!CL95,'Substation 2025$'!CL95*$M$1,Comms!CH95*$M$2)</f>
        <v>0.47333333333333327</v>
      </c>
      <c r="L95" s="744"/>
      <c r="M95" s="117">
        <f>'Summary 2023$'!BL95*$M$4</f>
        <v>4082.185313100691</v>
      </c>
      <c r="N95" s="638">
        <f>'Summary 2023$'!BM95*$M$4</f>
        <v>4082.185313100691</v>
      </c>
      <c r="O95" s="467">
        <f>'Summary 2023$'!BN95*$M$4</f>
        <v>2898.3515723014907</v>
      </c>
      <c r="P95" s="117">
        <f>'Summary 2023$'!BO95*$M$4</f>
        <v>2898.3515723014907</v>
      </c>
      <c r="Q95" s="117">
        <f>'Summary 2023$'!BP95*$M$4</f>
        <v>2898.3515723014907</v>
      </c>
      <c r="R95" s="117">
        <f>'Summary 2023$'!BQ95*$M$4</f>
        <v>2898.3515723014907</v>
      </c>
      <c r="S95" s="118">
        <f>'Summary 2023$'!BR95*$M$4</f>
        <v>2898.3515723014907</v>
      </c>
    </row>
    <row r="96" spans="1:20" x14ac:dyDescent="0.25">
      <c r="A96" s="63" t="s">
        <v>196</v>
      </c>
      <c r="B96" s="64" t="s">
        <v>193</v>
      </c>
      <c r="C96" s="65" t="s">
        <v>387</v>
      </c>
      <c r="D96" s="688">
        <f>SUM('Defect (Total)'!BB96,Planned!CE96,Reconductor!CE96,CTGS!CE96,'Substation 2025$'!CE96*$M$1,Comms!CA96*$M$2)</f>
        <v>2666</v>
      </c>
      <c r="E96" s="78">
        <f>SUM('Defect (Total)'!BC96,Planned!CF96,Reconductor!CF96,CTGS!CF96,'Substation 2025$'!CF96*$M$1,Comms!CB96*$M$2)</f>
        <v>2382.5674975757224</v>
      </c>
      <c r="F96" s="78">
        <f>SUM('Defect (Total)'!BD96,Planned!CG96,Reconductor!CG96,CTGS!CG96,'Substation 2025$'!CG96*$M$1,Comms!CC96*$M$2)</f>
        <v>2382.5674975757224</v>
      </c>
      <c r="G96" s="78">
        <f>SUM('Defect (Total)'!BE96,Planned!CH96,Reconductor!CH96,CTGS!CH96,'Substation 2025$'!CH96*$M$1,Comms!CD96*$M$2)</f>
        <v>1522.3022671353715</v>
      </c>
      <c r="H96" s="78">
        <f>SUM('Defect (Total)'!BF96,Planned!CI96,Reconductor!CI96,CTGS!CI96,'Substation 2025$'!CI96*$M$1,Comms!CE96*$M$2)</f>
        <v>1534.8113034197877</v>
      </c>
      <c r="I96" s="78">
        <f>SUM('Defect (Total)'!BG96,Planned!CJ96,Reconductor!CJ96,CTGS!CJ96,'Substation 2025$'!CJ96*$M$1,Comms!CF96*$M$2)</f>
        <v>1543.1506609427315</v>
      </c>
      <c r="J96" s="78">
        <f>SUM('Defect (Total)'!BH96,Planned!CK96,Reconductor!CK96,CTGS!CK96,'Substation 2025$'!CK96*$M$1,Comms!CG96*$M$2)</f>
        <v>1551.4900184656756</v>
      </c>
      <c r="K96" s="285">
        <f>SUM('Defect (Total)'!BI96,Planned!CL96,Reconductor!CL96,CTGS!CL96,'Substation 2025$'!CL96*$M$1,Comms!CH96*$M$2)</f>
        <v>1555.6596972271477</v>
      </c>
      <c r="L96" s="742"/>
      <c r="M96" s="79">
        <f>'Summary 2023$'!BL96*$M$4</f>
        <v>31968935.698662065</v>
      </c>
      <c r="N96" s="523">
        <f>'Summary 2023$'!BM96*$M$4</f>
        <v>31968935.698662065</v>
      </c>
      <c r="O96" s="415">
        <f>'Summary 2023$'!BN96*$M$4</f>
        <v>20443880.46399923</v>
      </c>
      <c r="P96" s="79">
        <f>'Summary 2023$'!BO96*$M$4</f>
        <v>20611724.849115554</v>
      </c>
      <c r="Q96" s="79">
        <f>'Summary 2023$'!BP96*$M$4</f>
        <v>20723621.105859768</v>
      </c>
      <c r="R96" s="79">
        <f>'Summary 2023$'!BQ96*$M$4</f>
        <v>20835517.362603981</v>
      </c>
      <c r="S96" s="80">
        <f>'Summary 2023$'!BR96*$M$4</f>
        <v>20891465.490976088</v>
      </c>
      <c r="T96" s="395">
        <f>SUM(O96:S96)*0.8/SUM(G96:K96)</f>
        <v>10743.54744475939</v>
      </c>
    </row>
    <row r="97" spans="1:22" x14ac:dyDescent="0.25">
      <c r="A97" s="81" t="s">
        <v>196</v>
      </c>
      <c r="B97" s="82" t="s">
        <v>197</v>
      </c>
      <c r="C97" s="83" t="s">
        <v>388</v>
      </c>
      <c r="D97" s="689">
        <f>SUM('Defect (Total)'!BB97,Planned!CE97,Reconductor!CE97,CTGS!CE97,'Substation 2025$'!CE97*$M$1,Comms!CA97*$M$2)</f>
        <v>310.26666666666671</v>
      </c>
      <c r="E97" s="96">
        <f>SUM('Defect (Total)'!BC97,Planned!CF97,Reconductor!CF97,CTGS!CF97,'Substation 2025$'!CF97*$M$1,Comms!CB97*$M$2)</f>
        <v>295.72589182716797</v>
      </c>
      <c r="F97" s="96">
        <f>SUM('Defect (Total)'!BD97,Planned!CG97,Reconductor!CG97,CTGS!CG97,'Substation 2025$'!CG97*$M$1,Comms!CC97*$M$2)</f>
        <v>298.72589182716797</v>
      </c>
      <c r="G97" s="96">
        <f>SUM('Defect (Total)'!BE97,Planned!CH97,Reconductor!CH97,CTGS!CH97,'Substation 2025$'!CH97*$M$1,Comms!CD97*$M$2)</f>
        <v>198.38707472484677</v>
      </c>
      <c r="H97" s="96">
        <f>SUM('Defect (Total)'!BF97,Planned!CI97,Reconductor!CI97,CTGS!CI97,'Substation 2025$'!CI97*$M$1,Comms!CE97*$M$2)</f>
        <v>201.3679431265459</v>
      </c>
      <c r="I97" s="96">
        <f>SUM('Defect (Total)'!BG97,Planned!CJ97,Reconductor!CJ97,CTGS!CJ97,'Substation 2025$'!CJ97*$M$1,Comms!CF97*$M$2)</f>
        <v>218.02185539434529</v>
      </c>
      <c r="J97" s="96">
        <f>SUM('Defect (Total)'!BH97,Planned!CK97,Reconductor!CK97,CTGS!CK97,'Substation 2025$'!CK97*$M$1,Comms!CG97*$M$2)</f>
        <v>217.67576766214472</v>
      </c>
      <c r="K97" s="286">
        <f>SUM('Defect (Total)'!BI97,Planned!CL97,Reconductor!CL97,CTGS!CL97,'Substation 2025$'!CL97*$M$1,Comms!CH97*$M$2)</f>
        <v>201.00272379604442</v>
      </c>
      <c r="L97" s="743"/>
      <c r="M97" s="97">
        <f>'Summary 2023$'!BL97*$M$4</f>
        <v>7562588.1487627486</v>
      </c>
      <c r="N97" s="524">
        <f>'Summary 2023$'!BM97*$M$4</f>
        <v>7716282.0248277886</v>
      </c>
      <c r="O97" s="416">
        <f>'Summary 2023$'!BN97*$M$4</f>
        <v>4906124.8569239443</v>
      </c>
      <c r="P97" s="97">
        <f>'Summary 2023$'!BO97*$M$4</f>
        <v>4943961.9123737086</v>
      </c>
      <c r="Q97" s="97">
        <f>'Summary 2023$'!BP97*$M$4</f>
        <v>4862007.0933375312</v>
      </c>
      <c r="R97" s="97">
        <f>'Summary 2023$'!BQ97*$M$4</f>
        <v>4831818.061822474</v>
      </c>
      <c r="S97" s="98">
        <f>'Summary 2023$'!BR97*$M$4</f>
        <v>4814753.6191894449</v>
      </c>
      <c r="T97" s="395" t="s">
        <v>653</v>
      </c>
      <c r="V97" s="748">
        <f>SUM(O97:S97,O99:S99)/SUM(G97:K97,G99:K99)</f>
        <v>9804.4987901014101</v>
      </c>
    </row>
    <row r="98" spans="1:22" x14ac:dyDescent="0.25">
      <c r="A98" s="81" t="s">
        <v>196</v>
      </c>
      <c r="B98" s="82" t="s">
        <v>199</v>
      </c>
      <c r="C98" s="83" t="s">
        <v>389</v>
      </c>
      <c r="D98" s="689">
        <f>SUM('Defect (Total)'!BB98,Planned!CE98,Reconductor!CE98,CTGS!CE98,'Substation 2025$'!CE98*$M$1,Comms!CA98*$M$2)</f>
        <v>0.33333333333333331</v>
      </c>
      <c r="E98" s="96">
        <f>SUM('Defect (Total)'!BC98,Planned!CF98,Reconductor!CF98,CTGS!CF98,'Substation 2025$'!CF98*$M$1,Comms!CB98*$M$2)</f>
        <v>1.3333333333333333</v>
      </c>
      <c r="F98" s="96">
        <f>SUM('Defect (Total)'!BD98,Planned!CG98,Reconductor!CG98,CTGS!CG98,'Substation 2025$'!CG98*$M$1,Comms!CC98*$M$2)</f>
        <v>4.333333333333333</v>
      </c>
      <c r="G98" s="96">
        <f>SUM('Defect (Total)'!BE98,Planned!CH98,Reconductor!CH98,CTGS!CH98,'Substation 2025$'!CH98*$M$1,Comms!CD98*$M$2)</f>
        <v>0.26783333333333331</v>
      </c>
      <c r="H98" s="96">
        <f>SUM('Defect (Total)'!BF98,Planned!CI98,Reconductor!CI98,CTGS!CI98,'Substation 2025$'!CI98*$M$1,Comms!CE98*$M$2)</f>
        <v>51.267833333333336</v>
      </c>
      <c r="I98" s="96">
        <f>SUM('Defect (Total)'!BG98,Planned!CJ98,Reconductor!CJ98,CTGS!CJ98,'Substation 2025$'!CJ98*$M$1,Comms!CF98*$M$2)</f>
        <v>26.267833333333332</v>
      </c>
      <c r="J98" s="96">
        <f>SUM('Defect (Total)'!BH98,Planned!CK98,Reconductor!CK98,CTGS!CK98,'Substation 2025$'!CK98*$M$1,Comms!CG98*$M$2)</f>
        <v>15.267833333333334</v>
      </c>
      <c r="K98" s="286">
        <f>SUM('Defect (Total)'!BI98,Planned!CL98,Reconductor!CL98,CTGS!CL98,'Substation 2025$'!CL98*$M$1,Comms!CH98*$M$2)</f>
        <v>45.267833333333336</v>
      </c>
      <c r="L98" s="743"/>
      <c r="M98" s="97">
        <f>'Summary 2023$'!BL98*$M$4</f>
        <v>6577658.513792065</v>
      </c>
      <c r="N98" s="524">
        <f>'Summary 2023$'!BM98*$M$4</f>
        <v>6760348.1675328854</v>
      </c>
      <c r="O98" s="416">
        <f>'Summary 2023$'!BN98*$M$4</f>
        <v>5208577.4411814213</v>
      </c>
      <c r="P98" s="97">
        <f>'Summary 2023$'!BO98*$M$4</f>
        <v>4830835.3232087363</v>
      </c>
      <c r="Q98" s="97">
        <f>'Summary 2023$'!BP98*$M$4</f>
        <v>5936616.3467946947</v>
      </c>
      <c r="R98" s="97">
        <f>'Summary 2023$'!BQ98*$M$4</f>
        <v>5625165.3994419323</v>
      </c>
      <c r="S98" s="98">
        <f>'Summary 2023$'!BR98*$M$4</f>
        <v>7765209.0170815438</v>
      </c>
      <c r="T98" t="s">
        <v>632</v>
      </c>
    </row>
    <row r="99" spans="1:22" x14ac:dyDescent="0.25">
      <c r="A99" s="81" t="s">
        <v>196</v>
      </c>
      <c r="B99" s="82" t="s">
        <v>201</v>
      </c>
      <c r="C99" s="83" t="s">
        <v>390</v>
      </c>
      <c r="D99" s="689">
        <f>SUM('Defect (Total)'!BB99,Planned!CE99,Reconductor!CE99,CTGS!CE99,'Substation 2025$'!CE99*$M$1,Comms!CA99*$M$2)</f>
        <v>1372.2</v>
      </c>
      <c r="E99" s="96">
        <f>SUM('Defect (Total)'!BC99,Planned!CF99,Reconductor!CF99,CTGS!CF99,'Substation 2025$'!CF99*$M$1,Comms!CB99*$M$2)</f>
        <v>1288.5158077008812</v>
      </c>
      <c r="F99" s="96">
        <f>SUM('Defect (Total)'!BD99,Planned!CG99,Reconductor!CG99,CTGS!CG99,'Substation 2025$'!CG99*$M$1,Comms!CC99*$M$2)</f>
        <v>1288.5158077008812</v>
      </c>
      <c r="G99" s="96">
        <f>SUM('Defect (Total)'!BE99,Planned!CH99,Reconductor!CH99,CTGS!CH99,'Substation 2025$'!CH99*$M$1,Comms!CD99*$M$2)</f>
        <v>650.47326195690448</v>
      </c>
      <c r="H99" s="96">
        <f>SUM('Defect (Total)'!BF99,Planned!CI99,Reconductor!CI99,CTGS!CI99,'Substation 2025$'!CI99*$M$1,Comms!CE99*$M$2)</f>
        <v>643.15704403460745</v>
      </c>
      <c r="I99" s="96">
        <f>SUM('Defect (Total)'!BG99,Planned!CJ99,Reconductor!CJ99,CTGS!CJ99,'Substation 2025$'!CJ99*$M$1,Comms!CF99*$M$2)</f>
        <v>653.94623208640928</v>
      </c>
      <c r="J99" s="96">
        <f>SUM('Defect (Total)'!BH99,Planned!CK99,Reconductor!CK99,CTGS!CK99,'Substation 2025$'!CK99*$M$1,Comms!CG99*$M$2)</f>
        <v>651.73542013821134</v>
      </c>
      <c r="K99" s="286">
        <f>SUM('Defect (Total)'!BI99,Planned!CL99,Reconductor!CL99,CTGS!CL99,'Substation 2025$'!CL99*$M$1,Comms!CH99*$M$2)</f>
        <v>672.63001416411225</v>
      </c>
      <c r="L99" s="743"/>
      <c r="M99" s="97">
        <f>'Summary 2023$'!BL99*$M$4</f>
        <v>7149937.4482126348</v>
      </c>
      <c r="N99" s="524">
        <f>'Summary 2023$'!BM99*$M$4</f>
        <v>7067320.2857701983</v>
      </c>
      <c r="O99" s="416">
        <f>'Summary 2023$'!BN99*$M$4</f>
        <v>3475708.5902741617</v>
      </c>
      <c r="P99" s="97">
        <f>'Summary 2023$'!BO99*$M$4</f>
        <v>3505408.8833629964</v>
      </c>
      <c r="Q99" s="97">
        <f>'Summary 2023$'!BP99*$M$4</f>
        <v>3591708.4407259743</v>
      </c>
      <c r="R99" s="97">
        <f>'Summary 2023$'!BQ99*$M$4</f>
        <v>3657282.777149085</v>
      </c>
      <c r="S99" s="98">
        <f>'Summary 2023$'!BR99*$M$4</f>
        <v>3652902.2435585754</v>
      </c>
    </row>
    <row r="100" spans="1:22" x14ac:dyDescent="0.25">
      <c r="A100" s="81" t="s">
        <v>196</v>
      </c>
      <c r="B100" s="82" t="s">
        <v>203</v>
      </c>
      <c r="C100" s="83" t="s">
        <v>391</v>
      </c>
      <c r="D100" s="689">
        <f>SUM('Defect (Total)'!BB100,Planned!CE100,Reconductor!CE100,CTGS!CE100,'Substation 2025$'!CE100*$M$1,Comms!CA100*$M$2)</f>
        <v>47.199999999999996</v>
      </c>
      <c r="E100" s="96">
        <f>SUM('Defect (Total)'!BC100,Planned!CF100,Reconductor!CF100,CTGS!CF100,'Substation 2025$'!CF100*$M$1,Comms!CB100*$M$2)</f>
        <v>45.86666666666666</v>
      </c>
      <c r="F100" s="96">
        <f>SUM('Defect (Total)'!BD100,Planned!CG100,Reconductor!CG100,CTGS!CG100,'Substation 2025$'!CG100*$M$1,Comms!CC100*$M$2)</f>
        <v>45.86666666666666</v>
      </c>
      <c r="G100" s="96">
        <f>SUM('Defect (Total)'!BE100,Planned!CH100,Reconductor!CH100,CTGS!CH100,'Substation 2025$'!CH100*$M$1,Comms!CD100*$M$2)</f>
        <v>45.617309523806668</v>
      </c>
      <c r="H100" s="96">
        <f>SUM('Defect (Total)'!BF100,Planned!CI100,Reconductor!CI100,CTGS!CI100,'Substation 2025$'!CI100*$M$1,Comms!CE100*$M$2)</f>
        <v>38.617309523806668</v>
      </c>
      <c r="I100" s="96">
        <f>SUM('Defect (Total)'!BG100,Planned!CJ100,Reconductor!CJ100,CTGS!CJ100,'Substation 2025$'!CJ100*$M$1,Comms!CF100*$M$2)</f>
        <v>38.617309523806668</v>
      </c>
      <c r="J100" s="96">
        <f>SUM('Defect (Total)'!BH100,Planned!CK100,Reconductor!CK100,CTGS!CK100,'Substation 2025$'!CK100*$M$1,Comms!CG100*$M$2)</f>
        <v>41.617309523806668</v>
      </c>
      <c r="K100" s="286">
        <f>SUM('Defect (Total)'!BI100,Planned!CL100,Reconductor!CL100,CTGS!CL100,'Substation 2025$'!CL100*$M$1,Comms!CH100*$M$2)</f>
        <v>38.617309523806668</v>
      </c>
      <c r="L100" s="743"/>
      <c r="M100" s="97">
        <f>'Summary 2023$'!BL100*$M$4</f>
        <v>2359827.1141990004</v>
      </c>
      <c r="N100" s="524">
        <f>'Summary 2023$'!BM100*$M$4</f>
        <v>1347879.5170234037</v>
      </c>
      <c r="O100" s="416">
        <f>'Summary 2023$'!BN100*$M$4</f>
        <v>893733.05206123099</v>
      </c>
      <c r="P100" s="97">
        <f>'Summary 2023$'!BO100*$M$4</f>
        <v>940564.10037126415</v>
      </c>
      <c r="Q100" s="97">
        <f>'Summary 2023$'!BP100*$M$4</f>
        <v>1223320.9799953355</v>
      </c>
      <c r="R100" s="97">
        <f>'Summary 2023$'!BQ100*$M$4</f>
        <v>1069612.368254801</v>
      </c>
      <c r="S100" s="98">
        <f>'Summary 2023$'!BR100*$M$4</f>
        <v>892235.25926345133</v>
      </c>
    </row>
    <row r="101" spans="1:22" x14ac:dyDescent="0.25">
      <c r="A101" s="81" t="s">
        <v>196</v>
      </c>
      <c r="B101" s="82" t="s">
        <v>205</v>
      </c>
      <c r="C101" s="83" t="s">
        <v>206</v>
      </c>
      <c r="D101" s="689">
        <f>SUM('Defect (Total)'!BB101,Planned!CE101,Reconductor!CE101,CTGS!CE101,'Substation 2025$'!CE101*$M$1,Comms!CA101*$M$2)</f>
        <v>31.533333333333331</v>
      </c>
      <c r="E101" s="96">
        <f>SUM('Defect (Total)'!BC101,Planned!CF101,Reconductor!CF101,CTGS!CF101,'Substation 2025$'!CF101*$M$1,Comms!CB101*$M$2)</f>
        <v>31.533333333333331</v>
      </c>
      <c r="F101" s="96">
        <f>SUM('Defect (Total)'!BD101,Planned!CG101,Reconductor!CG101,CTGS!CG101,'Substation 2025$'!CG101*$M$1,Comms!CC101*$M$2)</f>
        <v>31.533333333333331</v>
      </c>
      <c r="G101" s="96">
        <f>SUM('Defect (Total)'!BE101,Planned!CH101,Reconductor!CH101,CTGS!CH101,'Substation 2025$'!CH101*$M$1,Comms!CD101*$M$2)</f>
        <v>13.381690864428883</v>
      </c>
      <c r="H101" s="96">
        <f>SUM('Defect (Total)'!BF101,Planned!CI101,Reconductor!CI101,CTGS!CI101,'Substation 2025$'!CI101*$M$1,Comms!CE101*$M$2)</f>
        <v>13.381690864428883</v>
      </c>
      <c r="I101" s="96">
        <f>SUM('Defect (Total)'!BG101,Planned!CJ101,Reconductor!CJ101,CTGS!CJ101,'Substation 2025$'!CJ101*$M$1,Comms!CF101*$M$2)</f>
        <v>19.381690864428883</v>
      </c>
      <c r="J101" s="96">
        <f>SUM('Defect (Total)'!BH101,Planned!CK101,Reconductor!CK101,CTGS!CK101,'Substation 2025$'!CK101*$M$1,Comms!CG101*$M$2)</f>
        <v>23.381690864428883</v>
      </c>
      <c r="K101" s="286">
        <f>SUM('Defect (Total)'!BI101,Planned!CL101,Reconductor!CL101,CTGS!CL101,'Substation 2025$'!CL101*$M$1,Comms!CH101*$M$2)</f>
        <v>17.381690864428883</v>
      </c>
      <c r="L101" s="743"/>
      <c r="M101" s="97">
        <f>'Summary 2023$'!BL101*$M$4</f>
        <v>292708.10831453063</v>
      </c>
      <c r="N101" s="524">
        <f>'Summary 2023$'!BM101*$M$4</f>
        <v>380232.28107370058</v>
      </c>
      <c r="O101" s="416">
        <f>'Summary 2023$'!BN101*$M$4</f>
        <v>187923.1136099608</v>
      </c>
      <c r="P101" s="97">
        <f>'Summary 2023$'!BO101*$M$4</f>
        <v>180479.57212687825</v>
      </c>
      <c r="Q101" s="97">
        <f>'Summary 2023$'!BP101*$M$4</f>
        <v>185703.11660732739</v>
      </c>
      <c r="R101" s="97">
        <f>'Summary 2023$'!BQ101*$M$4</f>
        <v>110409.91513441641</v>
      </c>
      <c r="S101" s="98">
        <f>'Summary 2023$'!BR101*$M$4</f>
        <v>195908.37000713759</v>
      </c>
    </row>
    <row r="102" spans="1:22" x14ac:dyDescent="0.25">
      <c r="A102" s="81" t="s">
        <v>196</v>
      </c>
      <c r="B102" s="82" t="s">
        <v>207</v>
      </c>
      <c r="C102" s="83" t="s">
        <v>208</v>
      </c>
      <c r="D102" s="689">
        <f>SUM('Defect (Total)'!BB102,Planned!CE102,Reconductor!CE102,CTGS!CE102,'Substation 2025$'!CE102*$M$1,Comms!CA102*$M$2)</f>
        <v>0</v>
      </c>
      <c r="E102" s="96">
        <f>SUM('Defect (Total)'!BC102,Planned!CF102,Reconductor!CF102,CTGS!CF102,'Substation 2025$'!CF102*$M$1,Comms!CB102*$M$2)</f>
        <v>0</v>
      </c>
      <c r="F102" s="96">
        <f>SUM('Defect (Total)'!BD102,Planned!CG102,Reconductor!CG102,CTGS!CG102,'Substation 2025$'!CG102*$M$1,Comms!CC102*$M$2)</f>
        <v>0</v>
      </c>
      <c r="G102" s="96">
        <f>SUM('Defect (Total)'!BE102,Planned!CH102,Reconductor!CH102,CTGS!CH102,'Substation 2025$'!CH102*$M$1,Comms!CD102*$M$2)</f>
        <v>0</v>
      </c>
      <c r="H102" s="96">
        <f>SUM('Defect (Total)'!BF102,Planned!CI102,Reconductor!CI102,CTGS!CI102,'Substation 2025$'!CI102*$M$1,Comms!CE102*$M$2)</f>
        <v>0</v>
      </c>
      <c r="I102" s="96">
        <f>SUM('Defect (Total)'!BG102,Planned!CJ102,Reconductor!CJ102,CTGS!CJ102,'Substation 2025$'!CJ102*$M$1,Comms!CF102*$M$2)</f>
        <v>7</v>
      </c>
      <c r="J102" s="96">
        <f>SUM('Defect (Total)'!BH102,Planned!CK102,Reconductor!CK102,CTGS!CK102,'Substation 2025$'!CK102*$M$1,Comms!CG102*$M$2)</f>
        <v>4</v>
      </c>
      <c r="K102" s="286">
        <f>SUM('Defect (Total)'!BI102,Planned!CL102,Reconductor!CL102,CTGS!CL102,'Substation 2025$'!CL102*$M$1,Comms!CH102*$M$2)</f>
        <v>2</v>
      </c>
      <c r="L102" s="743"/>
      <c r="M102" s="97">
        <f>'Summary 2023$'!BL102*$M$4</f>
        <v>457348.83938609331</v>
      </c>
      <c r="N102" s="524">
        <f>'Summary 2023$'!BM102*$M$4</f>
        <v>2745212.3741771081</v>
      </c>
      <c r="O102" s="416">
        <f>'Summary 2023$'!BN102*$M$4</f>
        <v>2562099.2838534717</v>
      </c>
      <c r="P102" s="97">
        <f>'Summary 2023$'!BO102*$M$4</f>
        <v>2299842.560001818</v>
      </c>
      <c r="Q102" s="97">
        <f>'Summary 2023$'!BP102*$M$4</f>
        <v>1094418.194894688</v>
      </c>
      <c r="R102" s="97">
        <f>'Summary 2023$'!BQ102*$M$4</f>
        <v>1823708.9984470345</v>
      </c>
      <c r="S102" s="98">
        <f>'Summary 2023$'!BR102*$M$4</f>
        <v>2807446.420202204</v>
      </c>
    </row>
    <row r="103" spans="1:22" x14ac:dyDescent="0.25">
      <c r="A103" s="81" t="s">
        <v>196</v>
      </c>
      <c r="B103" s="82" t="s">
        <v>209</v>
      </c>
      <c r="C103" s="83" t="s">
        <v>210</v>
      </c>
      <c r="D103" s="689">
        <f>SUM('Defect (Total)'!BB103,Planned!CE103,Reconductor!CE103,CTGS!CE103,'Substation 2025$'!CE103*$M$1,Comms!CA103*$M$2)</f>
        <v>0</v>
      </c>
      <c r="E103" s="96">
        <f>SUM('Defect (Total)'!BC103,Planned!CF103,Reconductor!CF103,CTGS!CF103,'Substation 2025$'!CF103*$M$1,Comms!CB103*$M$2)</f>
        <v>0</v>
      </c>
      <c r="F103" s="96">
        <f>SUM('Defect (Total)'!BD103,Planned!CG103,Reconductor!CG103,CTGS!CG103,'Substation 2025$'!CG103*$M$1,Comms!CC103*$M$2)</f>
        <v>16</v>
      </c>
      <c r="G103" s="96">
        <f>SUM('Defect (Total)'!BE103,Planned!CH103,Reconductor!CH103,CTGS!CH103,'Substation 2025$'!CH103*$M$1,Comms!CD103*$M$2)</f>
        <v>26</v>
      </c>
      <c r="H103" s="96">
        <f>SUM('Defect (Total)'!BF103,Planned!CI103,Reconductor!CI103,CTGS!CI103,'Substation 2025$'!CI103*$M$1,Comms!CE103*$M$2)</f>
        <v>43</v>
      </c>
      <c r="I103" s="96">
        <f>SUM('Defect (Total)'!BG103,Planned!CJ103,Reconductor!CJ103,CTGS!CJ103,'Substation 2025$'!CJ103*$M$1,Comms!CF103*$M$2)</f>
        <v>10</v>
      </c>
      <c r="J103" s="96">
        <f>SUM('Defect (Total)'!BH103,Planned!CK103,Reconductor!CK103,CTGS!CK103,'Substation 2025$'!CK103*$M$1,Comms!CG103*$M$2)</f>
        <v>34</v>
      </c>
      <c r="K103" s="286">
        <f>SUM('Defect (Total)'!BI103,Planned!CL103,Reconductor!CL103,CTGS!CL103,'Substation 2025$'!CL103*$M$1,Comms!CH103*$M$2)</f>
        <v>7</v>
      </c>
      <c r="L103" s="743"/>
      <c r="M103" s="97">
        <f>'Summary 2023$'!BL103*$M$4</f>
        <v>5829177.4845214672</v>
      </c>
      <c r="N103" s="524">
        <f>'Summary 2023$'!BM103*$M$4</f>
        <v>2928119.3163611414</v>
      </c>
      <c r="O103" s="416">
        <f>'Summary 2023$'!BN103*$M$4</f>
        <v>1529106.6018784309</v>
      </c>
      <c r="P103" s="97">
        <f>'Summary 2023$'!BO103*$M$4</f>
        <v>1492974.4461270589</v>
      </c>
      <c r="Q103" s="97">
        <f>'Summary 2023$'!BP103*$M$4</f>
        <v>2224101.4690187839</v>
      </c>
      <c r="R103" s="97">
        <f>'Summary 2023$'!BQ103*$M$4</f>
        <v>1086019.2012421212</v>
      </c>
      <c r="S103" s="98">
        <f>'Summary 2023$'!BR103*$M$4</f>
        <v>73649.874149553216</v>
      </c>
      <c r="T103" t="s">
        <v>632</v>
      </c>
    </row>
    <row r="104" spans="1:22" x14ac:dyDescent="0.25">
      <c r="A104" s="81" t="s">
        <v>196</v>
      </c>
      <c r="B104" s="82" t="s">
        <v>211</v>
      </c>
      <c r="C104" s="83" t="s">
        <v>212</v>
      </c>
      <c r="D104" s="689">
        <f>SUM('Defect (Total)'!BB104,Planned!CE104,Reconductor!CE104,CTGS!CE104,'Substation 2025$'!CE104*$M$1,Comms!CA104*$M$2)</f>
        <v>0</v>
      </c>
      <c r="E104" s="96">
        <f>SUM('Defect (Total)'!BC104,Planned!CF104,Reconductor!CF104,CTGS!CF104,'Substation 2025$'!CF104*$M$1,Comms!CB104*$M$2)</f>
        <v>8</v>
      </c>
      <c r="F104" s="96">
        <f>SUM('Defect (Total)'!BD104,Planned!CG104,Reconductor!CG104,CTGS!CG104,'Substation 2025$'!CG104*$M$1,Comms!CC104*$M$2)</f>
        <v>10</v>
      </c>
      <c r="G104" s="96">
        <f>SUM('Defect (Total)'!BE104,Planned!CH104,Reconductor!CH104,CTGS!CH104,'Substation 2025$'!CH104*$M$1,Comms!CD104*$M$2)</f>
        <v>4</v>
      </c>
      <c r="H104" s="96">
        <f>SUM('Defect (Total)'!BF104,Planned!CI104,Reconductor!CI104,CTGS!CI104,'Substation 2025$'!CI104*$M$1,Comms!CE104*$M$2)</f>
        <v>21</v>
      </c>
      <c r="I104" s="96">
        <f>SUM('Defect (Total)'!BG104,Planned!CJ104,Reconductor!CJ104,CTGS!CJ104,'Substation 2025$'!CJ104*$M$1,Comms!CF104*$M$2)</f>
        <v>14</v>
      </c>
      <c r="J104" s="96">
        <f>SUM('Defect (Total)'!BH104,Planned!CK104,Reconductor!CK104,CTGS!CK104,'Substation 2025$'!CK104*$M$1,Comms!CG104*$M$2)</f>
        <v>23</v>
      </c>
      <c r="K104" s="286">
        <f>SUM('Defect (Total)'!BI104,Planned!CL104,Reconductor!CL104,CTGS!CL104,'Substation 2025$'!CL104*$M$1,Comms!CH104*$M$2)</f>
        <v>9</v>
      </c>
      <c r="L104" s="743"/>
      <c r="M104" s="97">
        <f>'Summary 2023$'!BL104*$M$4</f>
        <v>3278335.065047781</v>
      </c>
      <c r="N104" s="524">
        <f>'Summary 2023$'!BM104*$M$4</f>
        <v>2166792.5872129085</v>
      </c>
      <c r="O104" s="416">
        <f>'Summary 2023$'!BN104*$M$4</f>
        <v>1781232.3657857389</v>
      </c>
      <c r="P104" s="97">
        <f>'Summary 2023$'!BO104*$M$4</f>
        <v>1987244.9344994046</v>
      </c>
      <c r="Q104" s="97">
        <f>'Summary 2023$'!BP104*$M$4</f>
        <v>2675019.7589996094</v>
      </c>
      <c r="R104" s="97">
        <f>'Summary 2023$'!BQ104*$M$4</f>
        <v>1749845.0846741525</v>
      </c>
      <c r="S104" s="98">
        <f>'Summary 2023$'!BR104*$M$4</f>
        <v>1501720.6202283055</v>
      </c>
    </row>
    <row r="105" spans="1:22" x14ac:dyDescent="0.25">
      <c r="A105" s="81" t="s">
        <v>196</v>
      </c>
      <c r="B105" s="82" t="s">
        <v>213</v>
      </c>
      <c r="C105" s="83" t="s">
        <v>214</v>
      </c>
      <c r="D105" s="689">
        <f>SUM('Defect (Total)'!BB105,Planned!CE105,Reconductor!CE105,CTGS!CE105,'Substation 2025$'!CE105*$M$1,Comms!CA105*$M$2)</f>
        <v>0</v>
      </c>
      <c r="E105" s="96">
        <f>SUM('Defect (Total)'!BC105,Planned!CF105,Reconductor!CF105,CTGS!CF105,'Substation 2025$'!CF105*$M$1,Comms!CB105*$M$2)</f>
        <v>0</v>
      </c>
      <c r="F105" s="96">
        <f>SUM('Defect (Total)'!BD105,Planned!CG105,Reconductor!CG105,CTGS!CG105,'Substation 2025$'!CG105*$M$1,Comms!CC105*$M$2)</f>
        <v>20</v>
      </c>
      <c r="G105" s="96">
        <f>SUM('Defect (Total)'!BE105,Planned!CH105,Reconductor!CH105,CTGS!CH105,'Substation 2025$'!CH105*$M$1,Comms!CD105*$M$2)</f>
        <v>0</v>
      </c>
      <c r="H105" s="96">
        <f>SUM('Defect (Total)'!BF105,Planned!CI105,Reconductor!CI105,CTGS!CI105,'Substation 2025$'!CI105*$M$1,Comms!CE105*$M$2)</f>
        <v>0</v>
      </c>
      <c r="I105" s="96">
        <f>SUM('Defect (Total)'!BG105,Planned!CJ105,Reconductor!CJ105,CTGS!CJ105,'Substation 2025$'!CJ105*$M$1,Comms!CF105*$M$2)</f>
        <v>0</v>
      </c>
      <c r="J105" s="96">
        <f>SUM('Defect (Total)'!BH105,Planned!CK105,Reconductor!CK105,CTGS!CK105,'Substation 2025$'!CK105*$M$1,Comms!CG105*$M$2)</f>
        <v>0</v>
      </c>
      <c r="K105" s="286">
        <f>SUM('Defect (Total)'!BI105,Planned!CL105,Reconductor!CL105,CTGS!CL105,'Substation 2025$'!CL105*$M$1,Comms!CH105*$M$2)</f>
        <v>0</v>
      </c>
      <c r="L105" s="743"/>
      <c r="M105" s="97">
        <f>'Summary 2023$'!BL105*$M$4</f>
        <v>2129677.7683784422</v>
      </c>
      <c r="N105" s="524">
        <f>'Summary 2023$'!BM105*$M$4</f>
        <v>965453.45722215751</v>
      </c>
      <c r="O105" s="416">
        <f>'Summary 2023$'!BN105*$M$4</f>
        <v>0</v>
      </c>
      <c r="P105" s="97">
        <f>'Summary 2023$'!BO105*$M$4</f>
        <v>0</v>
      </c>
      <c r="Q105" s="97">
        <f>'Summary 2023$'!BP105*$M$4</f>
        <v>0</v>
      </c>
      <c r="R105" s="97">
        <f>'Summary 2023$'!BQ105*$M$4</f>
        <v>0</v>
      </c>
      <c r="S105" s="98">
        <f>'Summary 2023$'!BR105*$M$4</f>
        <v>0</v>
      </c>
    </row>
    <row r="106" spans="1:22" x14ac:dyDescent="0.25">
      <c r="A106" s="81" t="s">
        <v>196</v>
      </c>
      <c r="B106" s="82" t="s">
        <v>215</v>
      </c>
      <c r="C106" s="83" t="s">
        <v>392</v>
      </c>
      <c r="D106" s="689">
        <f>SUM('Defect (Total)'!BB106,Planned!CE106,Reconductor!CE106,CTGS!CE106,'Substation 2025$'!CE106*$M$1,Comms!CA106*$M$2)</f>
        <v>0</v>
      </c>
      <c r="E106" s="96">
        <f>SUM('Defect (Total)'!BC106,Planned!CF106,Reconductor!CF106,CTGS!CF106,'Substation 2025$'!CF106*$M$1,Comms!CB106*$M$2)</f>
        <v>1</v>
      </c>
      <c r="F106" s="96">
        <f>SUM('Defect (Total)'!BD106,Planned!CG106,Reconductor!CG106,CTGS!CG106,'Substation 2025$'!CG106*$M$1,Comms!CC106*$M$2)</f>
        <v>2</v>
      </c>
      <c r="G106" s="96">
        <f>SUM('Defect (Total)'!BE106,Planned!CH106,Reconductor!CH106,CTGS!CH106,'Substation 2025$'!CH106*$M$1,Comms!CD106*$M$2)</f>
        <v>1</v>
      </c>
      <c r="H106" s="96">
        <f>SUM('Defect (Total)'!BF106,Planned!CI106,Reconductor!CI106,CTGS!CI106,'Substation 2025$'!CI106*$M$1,Comms!CE106*$M$2)</f>
        <v>0</v>
      </c>
      <c r="I106" s="96">
        <f>SUM('Defect (Total)'!BG106,Planned!CJ106,Reconductor!CJ106,CTGS!CJ106,'Substation 2025$'!CJ106*$M$1,Comms!CF106*$M$2)</f>
        <v>3</v>
      </c>
      <c r="J106" s="96">
        <f>SUM('Defect (Total)'!BH106,Planned!CK106,Reconductor!CK106,CTGS!CK106,'Substation 2025$'!CK106*$M$1,Comms!CG106*$M$2)</f>
        <v>0</v>
      </c>
      <c r="K106" s="286">
        <f>SUM('Defect (Total)'!BI106,Planned!CL106,Reconductor!CL106,CTGS!CL106,'Substation 2025$'!CL106*$M$1,Comms!CH106*$M$2)</f>
        <v>0</v>
      </c>
      <c r="L106" s="743"/>
      <c r="M106" s="97">
        <f>'Summary 2023$'!BL106*$M$4</f>
        <v>563189.66974229529</v>
      </c>
      <c r="N106" s="524">
        <f>'Summary 2023$'!BM106*$M$4</f>
        <v>297757.26985019806</v>
      </c>
      <c r="O106" s="416">
        <f>'Summary 2023$'!BN106*$M$4</f>
        <v>112932.24067281214</v>
      </c>
      <c r="P106" s="97">
        <f>'Summary 2023$'!BO106*$M$4</f>
        <v>101778.7015996121</v>
      </c>
      <c r="Q106" s="97">
        <f>'Summary 2023$'!BP106*$M$4</f>
        <v>27093.315256889939</v>
      </c>
      <c r="R106" s="97">
        <f>'Summary 2023$'!BQ106*$M$4</f>
        <v>0</v>
      </c>
      <c r="S106" s="98">
        <f>'Summary 2023$'!BR106*$M$4</f>
        <v>0</v>
      </c>
    </row>
    <row r="107" spans="1:22" x14ac:dyDescent="0.25">
      <c r="A107" s="81" t="s">
        <v>196</v>
      </c>
      <c r="B107" s="82" t="s">
        <v>217</v>
      </c>
      <c r="C107" s="83" t="s">
        <v>218</v>
      </c>
      <c r="D107" s="689">
        <f>SUM('Defect (Total)'!BB107,Planned!CE107,Reconductor!CE107,CTGS!CE107,'Substation 2025$'!CE107*$M$1,Comms!CA107*$M$2)</f>
        <v>0</v>
      </c>
      <c r="E107" s="96">
        <f>SUM('Defect (Total)'!BC107,Planned!CF107,Reconductor!CF107,CTGS!CF107,'Substation 2025$'!CF107*$M$1,Comms!CB107*$M$2)</f>
        <v>0</v>
      </c>
      <c r="F107" s="96">
        <f>SUM('Defect (Total)'!BD107,Planned!CG107,Reconductor!CG107,CTGS!CG107,'Substation 2025$'!CG107*$M$1,Comms!CC107*$M$2)</f>
        <v>0</v>
      </c>
      <c r="G107" s="96">
        <f>SUM('Defect (Total)'!BE107,Planned!CH107,Reconductor!CH107,CTGS!CH107,'Substation 2025$'!CH107*$M$1,Comms!CD107*$M$2)</f>
        <v>0</v>
      </c>
      <c r="H107" s="96">
        <f>SUM('Defect (Total)'!BF107,Planned!CI107,Reconductor!CI107,CTGS!CI107,'Substation 2025$'!CI107*$M$1,Comms!CE107*$M$2)</f>
        <v>0</v>
      </c>
      <c r="I107" s="96">
        <f>SUM('Defect (Total)'!BG107,Planned!CJ107,Reconductor!CJ107,CTGS!CJ107,'Substation 2025$'!CJ107*$M$1,Comms!CF107*$M$2)</f>
        <v>0</v>
      </c>
      <c r="J107" s="96">
        <f>SUM('Defect (Total)'!BH107,Planned!CK107,Reconductor!CK107,CTGS!CK107,'Substation 2025$'!CK107*$M$1,Comms!CG107*$M$2)</f>
        <v>0</v>
      </c>
      <c r="K107" s="286">
        <f>SUM('Defect (Total)'!BI107,Planned!CL107,Reconductor!CL107,CTGS!CL107,'Substation 2025$'!CL107*$M$1,Comms!CH107*$M$2)</f>
        <v>0</v>
      </c>
      <c r="L107" s="743"/>
      <c r="M107" s="97">
        <f>'Summary 2023$'!BL107*$M$4</f>
        <v>0</v>
      </c>
      <c r="N107" s="524">
        <f>'Summary 2023$'!BM107*$M$4</f>
        <v>0</v>
      </c>
      <c r="O107" s="416">
        <f>'Summary 2023$'!BN107*$M$4</f>
        <v>0</v>
      </c>
      <c r="P107" s="97">
        <f>'Summary 2023$'!BO107*$M$4</f>
        <v>0</v>
      </c>
      <c r="Q107" s="97">
        <f>'Summary 2023$'!BP107*$M$4</f>
        <v>0</v>
      </c>
      <c r="R107" s="97">
        <f>'Summary 2023$'!BQ107*$M$4</f>
        <v>0</v>
      </c>
      <c r="S107" s="98">
        <f>'Summary 2023$'!BR107*$M$4</f>
        <v>0</v>
      </c>
    </row>
    <row r="108" spans="1:22" x14ac:dyDescent="0.25">
      <c r="A108" s="81" t="s">
        <v>196</v>
      </c>
      <c r="B108" s="82" t="s">
        <v>219</v>
      </c>
      <c r="C108" s="83" t="s">
        <v>220</v>
      </c>
      <c r="D108" s="689">
        <f>SUM('Defect (Total)'!BB108,Planned!CE108,Reconductor!CE108,CTGS!CE108,'Substation 2025$'!CE108*$M$1,Comms!CA108*$M$2)</f>
        <v>0</v>
      </c>
      <c r="E108" s="96">
        <f>SUM('Defect (Total)'!BC108,Planned!CF108,Reconductor!CF108,CTGS!CF108,'Substation 2025$'!CF108*$M$1,Comms!CB108*$M$2)</f>
        <v>0</v>
      </c>
      <c r="F108" s="96">
        <f>SUM('Defect (Total)'!BD108,Planned!CG108,Reconductor!CG108,CTGS!CG108,'Substation 2025$'!CG108*$M$1,Comms!CC108*$M$2)</f>
        <v>0</v>
      </c>
      <c r="G108" s="96">
        <f>SUM('Defect (Total)'!BE108,Planned!CH108,Reconductor!CH108,CTGS!CH108,'Substation 2025$'!CH108*$M$1,Comms!CD108*$M$2)</f>
        <v>0</v>
      </c>
      <c r="H108" s="96">
        <f>SUM('Defect (Total)'!BF108,Planned!CI108,Reconductor!CI108,CTGS!CI108,'Substation 2025$'!CI108*$M$1,Comms!CE108*$M$2)</f>
        <v>0</v>
      </c>
      <c r="I108" s="96">
        <f>SUM('Defect (Total)'!BG108,Planned!CJ108,Reconductor!CJ108,CTGS!CJ108,'Substation 2025$'!CJ108*$M$1,Comms!CF108*$M$2)</f>
        <v>0</v>
      </c>
      <c r="J108" s="96">
        <f>SUM('Defect (Total)'!BH108,Planned!CK108,Reconductor!CK108,CTGS!CK108,'Substation 2025$'!CK108*$M$1,Comms!CG108*$M$2)</f>
        <v>0</v>
      </c>
      <c r="K108" s="286">
        <f>SUM('Defect (Total)'!BI108,Planned!CL108,Reconductor!CL108,CTGS!CL108,'Substation 2025$'!CL108*$M$1,Comms!CH108*$M$2)</f>
        <v>0</v>
      </c>
      <c r="L108" s="743"/>
      <c r="M108" s="97">
        <f>'Summary 2023$'!BL108*$M$4</f>
        <v>0</v>
      </c>
      <c r="N108" s="524">
        <f>'Summary 2023$'!BM108*$M$4</f>
        <v>0</v>
      </c>
      <c r="O108" s="416">
        <f>'Summary 2023$'!BN108*$M$4</f>
        <v>0</v>
      </c>
      <c r="P108" s="97">
        <f>'Summary 2023$'!BO108*$M$4</f>
        <v>0</v>
      </c>
      <c r="Q108" s="97">
        <f>'Summary 2023$'!BP108*$M$4</f>
        <v>0</v>
      </c>
      <c r="R108" s="97">
        <f>'Summary 2023$'!BQ108*$M$4</f>
        <v>0</v>
      </c>
      <c r="S108" s="98">
        <f>'Summary 2023$'!BR108*$M$4</f>
        <v>0</v>
      </c>
    </row>
    <row r="109" spans="1:22" ht="15.75" thickBot="1" x14ac:dyDescent="0.3">
      <c r="A109" s="100" t="s">
        <v>196</v>
      </c>
      <c r="B109" s="101" t="s">
        <v>393</v>
      </c>
      <c r="C109" s="102" t="s">
        <v>394</v>
      </c>
      <c r="D109" s="690">
        <f>SUM('Defect (Total)'!BB109,Planned!CE109,Reconductor!CE109,CTGS!CE109,'Substation 2025$'!CE109*$M$1,Comms!CA109*$M$2)</f>
        <v>0</v>
      </c>
      <c r="E109" s="115">
        <f>SUM('Defect (Total)'!BC109,Planned!CF109,Reconductor!CF109,CTGS!CF109,'Substation 2025$'!CF109*$M$1,Comms!CB109*$M$2)</f>
        <v>0</v>
      </c>
      <c r="F109" s="115">
        <f>SUM('Defect (Total)'!BD109,Planned!CG109,Reconductor!CG109,CTGS!CG109,'Substation 2025$'!CG109*$M$1,Comms!CC109*$M$2)</f>
        <v>0</v>
      </c>
      <c r="G109" s="115">
        <f>SUM('Defect (Total)'!BE109,Planned!CH109,Reconductor!CH109,CTGS!CH109,'Substation 2025$'!CH109*$M$1,Comms!CD109*$M$2)</f>
        <v>0</v>
      </c>
      <c r="H109" s="115">
        <f>SUM('Defect (Total)'!BF109,Planned!CI109,Reconductor!CI109,CTGS!CI109,'Substation 2025$'!CI109*$M$1,Comms!CE109*$M$2)</f>
        <v>0</v>
      </c>
      <c r="I109" s="115">
        <f>SUM('Defect (Total)'!BG109,Planned!CJ109,Reconductor!CJ109,CTGS!CJ109,'Substation 2025$'!CJ109*$M$1,Comms!CF109*$M$2)</f>
        <v>0</v>
      </c>
      <c r="J109" s="115">
        <f>SUM('Defect (Total)'!BH109,Planned!CK109,Reconductor!CK109,CTGS!CK109,'Substation 2025$'!CK109*$M$1,Comms!CG109*$M$2)</f>
        <v>0</v>
      </c>
      <c r="K109" s="287">
        <f>SUM('Defect (Total)'!BI109,Planned!CL109,Reconductor!CL109,CTGS!CL109,'Substation 2025$'!CL109*$M$1,Comms!CH109*$M$2)</f>
        <v>0</v>
      </c>
      <c r="L109" s="744"/>
      <c r="M109" s="117">
        <f>'Summary 2023$'!BL109*$M$4</f>
        <v>0</v>
      </c>
      <c r="N109" s="638">
        <f>'Summary 2023$'!BM109*$M$4</f>
        <v>0</v>
      </c>
      <c r="O109" s="467">
        <f>'Summary 2023$'!BN109*$M$4</f>
        <v>0</v>
      </c>
      <c r="P109" s="117">
        <f>'Summary 2023$'!BO109*$M$4</f>
        <v>0</v>
      </c>
      <c r="Q109" s="117">
        <f>'Summary 2023$'!BP109*$M$4</f>
        <v>0</v>
      </c>
      <c r="R109" s="117">
        <f>'Summary 2023$'!BQ109*$M$4</f>
        <v>0</v>
      </c>
      <c r="S109" s="118">
        <f>'Summary 2023$'!BR109*$M$4</f>
        <v>0</v>
      </c>
    </row>
    <row r="110" spans="1:22" x14ac:dyDescent="0.25">
      <c r="A110" s="63" t="s">
        <v>224</v>
      </c>
      <c r="B110" s="64" t="s">
        <v>221</v>
      </c>
      <c r="C110" s="65" t="s">
        <v>395</v>
      </c>
      <c r="D110" s="688">
        <f>SUM('Defect (Total)'!BB110,Planned!CE110,Reconductor!CE110,CTGS!CE110,'Substation 2025$'!CE110*$M$1,Comms!CA110*$M$2)</f>
        <v>0</v>
      </c>
      <c r="E110" s="78">
        <f>SUM('Defect (Total)'!BC110,Planned!CF110,Reconductor!CF110,CTGS!CF110,'Substation 2025$'!CF110*$M$1,Comms!CB110*$M$2)</f>
        <v>0</v>
      </c>
      <c r="F110" s="78">
        <f>SUM('Defect (Total)'!BD110,Planned!CG110,Reconductor!CG110,CTGS!CG110,'Substation 2025$'!CG110*$M$1,Comms!CC110*$M$2)</f>
        <v>0</v>
      </c>
      <c r="G110" s="78">
        <f>SUM('Defect (Total)'!BE110,Planned!CH110,Reconductor!CH110,CTGS!CH110,'Substation 2025$'!CH110*$M$1,Comms!CD110*$M$2)</f>
        <v>0</v>
      </c>
      <c r="H110" s="78">
        <f>SUM('Defect (Total)'!BF110,Planned!CI110,Reconductor!CI110,CTGS!CI110,'Substation 2025$'!CI110*$M$1,Comms!CE110*$M$2)</f>
        <v>0</v>
      </c>
      <c r="I110" s="78">
        <f>SUM('Defect (Total)'!BG110,Planned!CJ110,Reconductor!CJ110,CTGS!CJ110,'Substation 2025$'!CJ110*$M$1,Comms!CF110*$M$2)</f>
        <v>0</v>
      </c>
      <c r="J110" s="78">
        <f>SUM('Defect (Total)'!BH110,Planned!CK110,Reconductor!CK110,CTGS!CK110,'Substation 2025$'!CK110*$M$1,Comms!CG110*$M$2)</f>
        <v>0</v>
      </c>
      <c r="K110" s="285">
        <f>SUM('Defect (Total)'!BI110,Planned!CL110,Reconductor!CL110,CTGS!CL110,'Substation 2025$'!CL110*$M$1,Comms!CH110*$M$2)</f>
        <v>0</v>
      </c>
      <c r="L110" s="742"/>
      <c r="M110" s="79">
        <f>'Summary 2023$'!BL110*$M$4</f>
        <v>0</v>
      </c>
      <c r="N110" s="523">
        <f>'Summary 2023$'!BM110*$M$4</f>
        <v>0</v>
      </c>
      <c r="O110" s="415">
        <f>'Summary 2023$'!BN110*$M$4</f>
        <v>0</v>
      </c>
      <c r="P110" s="79">
        <f>'Summary 2023$'!BO110*$M$4</f>
        <v>0</v>
      </c>
      <c r="Q110" s="79">
        <f>'Summary 2023$'!BP110*$M$4</f>
        <v>0</v>
      </c>
      <c r="R110" s="79">
        <f>'Summary 2023$'!BQ110*$M$4</f>
        <v>0</v>
      </c>
      <c r="S110" s="80">
        <f>'Summary 2023$'!BR110*$M$4</f>
        <v>0</v>
      </c>
    </row>
    <row r="111" spans="1:22" x14ac:dyDescent="0.25">
      <c r="A111" s="81" t="s">
        <v>224</v>
      </c>
      <c r="B111" s="82" t="s">
        <v>225</v>
      </c>
      <c r="C111" s="83" t="s">
        <v>396</v>
      </c>
      <c r="D111" s="689">
        <f>SUM('Defect (Total)'!BB111,Planned!CE111,Reconductor!CE111,CTGS!CE111,'Substation 2025$'!CE111*$M$1,Comms!CA111*$M$2)</f>
        <v>0</v>
      </c>
      <c r="E111" s="96">
        <f>SUM('Defect (Total)'!BC111,Planned!CF111,Reconductor!CF111,CTGS!CF111,'Substation 2025$'!CF111*$M$1,Comms!CB111*$M$2)</f>
        <v>0</v>
      </c>
      <c r="F111" s="96">
        <f>SUM('Defect (Total)'!BD111,Planned!CG111,Reconductor!CG111,CTGS!CG111,'Substation 2025$'!CG111*$M$1,Comms!CC111*$M$2)</f>
        <v>0</v>
      </c>
      <c r="G111" s="96">
        <f>SUM('Defect (Total)'!BE111,Planned!CH111,Reconductor!CH111,CTGS!CH111,'Substation 2025$'!CH111*$M$1,Comms!CD111*$M$2)</f>
        <v>0</v>
      </c>
      <c r="H111" s="96">
        <f>SUM('Defect (Total)'!BF111,Planned!CI111,Reconductor!CI111,CTGS!CI111,'Substation 2025$'!CI111*$M$1,Comms!CE111*$M$2)</f>
        <v>0</v>
      </c>
      <c r="I111" s="96">
        <f>SUM('Defect (Total)'!BG111,Planned!CJ111,Reconductor!CJ111,CTGS!CJ111,'Substation 2025$'!CJ111*$M$1,Comms!CF111*$M$2)</f>
        <v>0</v>
      </c>
      <c r="J111" s="96">
        <f>SUM('Defect (Total)'!BH111,Planned!CK111,Reconductor!CK111,CTGS!CK111,'Substation 2025$'!CK111*$M$1,Comms!CG111*$M$2)</f>
        <v>0</v>
      </c>
      <c r="K111" s="286">
        <f>SUM('Defect (Total)'!BI111,Planned!CL111,Reconductor!CL111,CTGS!CL111,'Substation 2025$'!CL111*$M$1,Comms!CH111*$M$2)</f>
        <v>0</v>
      </c>
      <c r="L111" s="743"/>
      <c r="M111" s="97">
        <f>'Summary 2023$'!BL111*$M$4</f>
        <v>0</v>
      </c>
      <c r="N111" s="524">
        <f>'Summary 2023$'!BM111*$M$4</f>
        <v>0</v>
      </c>
      <c r="O111" s="416">
        <f>'Summary 2023$'!BN111*$M$4</f>
        <v>0</v>
      </c>
      <c r="P111" s="97">
        <f>'Summary 2023$'!BO111*$M$4</f>
        <v>0</v>
      </c>
      <c r="Q111" s="97">
        <f>'Summary 2023$'!BP111*$M$4</f>
        <v>0</v>
      </c>
      <c r="R111" s="97">
        <f>'Summary 2023$'!BQ111*$M$4</f>
        <v>0</v>
      </c>
      <c r="S111" s="98">
        <f>'Summary 2023$'!BR111*$M$4</f>
        <v>0</v>
      </c>
    </row>
    <row r="112" spans="1:22" x14ac:dyDescent="0.25">
      <c r="A112" s="81" t="s">
        <v>224</v>
      </c>
      <c r="B112" s="82" t="s">
        <v>227</v>
      </c>
      <c r="C112" s="83" t="s">
        <v>228</v>
      </c>
      <c r="D112" s="689">
        <f>SUM('Defect (Total)'!BB112,Planned!CE112,Reconductor!CE112,CTGS!CE112,'Substation 2025$'!CE112*$M$1,Comms!CA112*$M$2)</f>
        <v>0</v>
      </c>
      <c r="E112" s="96">
        <f>SUM('Defect (Total)'!BC112,Planned!CF112,Reconductor!CF112,CTGS!CF112,'Substation 2025$'!CF112*$M$1,Comms!CB112*$M$2)</f>
        <v>0</v>
      </c>
      <c r="F112" s="96">
        <f>SUM('Defect (Total)'!BD112,Planned!CG112,Reconductor!CG112,CTGS!CG112,'Substation 2025$'!CG112*$M$1,Comms!CC112*$M$2)</f>
        <v>0</v>
      </c>
      <c r="G112" s="96">
        <f>SUM('Defect (Total)'!BE112,Planned!CH112,Reconductor!CH112,CTGS!CH112,'Substation 2025$'!CH112*$M$1,Comms!CD112*$M$2)</f>
        <v>0</v>
      </c>
      <c r="H112" s="96">
        <f>SUM('Defect (Total)'!BF112,Planned!CI112,Reconductor!CI112,CTGS!CI112,'Substation 2025$'!CI112*$M$1,Comms!CE112*$M$2)</f>
        <v>0</v>
      </c>
      <c r="I112" s="96">
        <f>SUM('Defect (Total)'!BG112,Planned!CJ112,Reconductor!CJ112,CTGS!CJ112,'Substation 2025$'!CJ112*$M$1,Comms!CF112*$M$2)</f>
        <v>0</v>
      </c>
      <c r="J112" s="96">
        <f>SUM('Defect (Total)'!BH112,Planned!CK112,Reconductor!CK112,CTGS!CK112,'Substation 2025$'!CK112*$M$1,Comms!CG112*$M$2)</f>
        <v>0</v>
      </c>
      <c r="K112" s="286">
        <f>SUM('Defect (Total)'!BI112,Planned!CL112,Reconductor!CL112,CTGS!CL112,'Substation 2025$'!CL112*$M$1,Comms!CH112*$M$2)</f>
        <v>0</v>
      </c>
      <c r="L112" s="743"/>
      <c r="M112" s="97">
        <f>'Summary 2023$'!BL112*$M$4</f>
        <v>0</v>
      </c>
      <c r="N112" s="524">
        <f>'Summary 2023$'!BM112*$M$4</f>
        <v>0</v>
      </c>
      <c r="O112" s="416">
        <f>'Summary 2023$'!BN112*$M$4</f>
        <v>0</v>
      </c>
      <c r="P112" s="97">
        <f>'Summary 2023$'!BO112*$M$4</f>
        <v>0</v>
      </c>
      <c r="Q112" s="97">
        <f>'Summary 2023$'!BP112*$M$4</f>
        <v>0</v>
      </c>
      <c r="R112" s="97">
        <f>'Summary 2023$'!BQ112*$M$4</f>
        <v>0</v>
      </c>
      <c r="S112" s="98">
        <f>'Summary 2023$'!BR112*$M$4</f>
        <v>0</v>
      </c>
    </row>
    <row r="113" spans="1:19" x14ac:dyDescent="0.25">
      <c r="A113" s="81" t="s">
        <v>224</v>
      </c>
      <c r="B113" s="82" t="s">
        <v>229</v>
      </c>
      <c r="C113" s="83" t="s">
        <v>230</v>
      </c>
      <c r="D113" s="689">
        <f>SUM('Defect (Total)'!BB113,Planned!CE113,Reconductor!CE113,CTGS!CE113,'Substation 2025$'!CE113*$M$1,Comms!CA113*$M$2)</f>
        <v>0</v>
      </c>
      <c r="E113" s="96">
        <f>SUM('Defect (Total)'!BC113,Planned!CF113,Reconductor!CF113,CTGS!CF113,'Substation 2025$'!CF113*$M$1,Comms!CB113*$M$2)</f>
        <v>0</v>
      </c>
      <c r="F113" s="96">
        <f>SUM('Defect (Total)'!BD113,Planned!CG113,Reconductor!CG113,CTGS!CG113,'Substation 2025$'!CG113*$M$1,Comms!CC113*$M$2)</f>
        <v>0</v>
      </c>
      <c r="G113" s="96">
        <f>SUM('Defect (Total)'!BE113,Planned!CH113,Reconductor!CH113,CTGS!CH113,'Substation 2025$'!CH113*$M$1,Comms!CD113*$M$2)</f>
        <v>0</v>
      </c>
      <c r="H113" s="96">
        <f>SUM('Defect (Total)'!BF113,Planned!CI113,Reconductor!CI113,CTGS!CI113,'Substation 2025$'!CI113*$M$1,Comms!CE113*$M$2)</f>
        <v>0</v>
      </c>
      <c r="I113" s="96">
        <f>SUM('Defect (Total)'!BG113,Planned!CJ113,Reconductor!CJ113,CTGS!CJ113,'Substation 2025$'!CJ113*$M$1,Comms!CF113*$M$2)</f>
        <v>0</v>
      </c>
      <c r="J113" s="96">
        <f>SUM('Defect (Total)'!BH113,Planned!CK113,Reconductor!CK113,CTGS!CK113,'Substation 2025$'!CK113*$M$1,Comms!CG113*$M$2)</f>
        <v>0</v>
      </c>
      <c r="K113" s="286">
        <f>SUM('Defect (Total)'!BI113,Planned!CL113,Reconductor!CL113,CTGS!CL113,'Substation 2025$'!CL113*$M$1,Comms!CH113*$M$2)</f>
        <v>0</v>
      </c>
      <c r="L113" s="743"/>
      <c r="M113" s="97">
        <f>'Summary 2023$'!BL113*$M$4</f>
        <v>0</v>
      </c>
      <c r="N113" s="524">
        <f>'Summary 2023$'!BM113*$M$4</f>
        <v>0</v>
      </c>
      <c r="O113" s="416">
        <f>'Summary 2023$'!BN113*$M$4</f>
        <v>0</v>
      </c>
      <c r="P113" s="97">
        <f>'Summary 2023$'!BO113*$M$4</f>
        <v>0</v>
      </c>
      <c r="Q113" s="97">
        <f>'Summary 2023$'!BP113*$M$4</f>
        <v>0</v>
      </c>
      <c r="R113" s="97">
        <f>'Summary 2023$'!BQ113*$M$4</f>
        <v>0</v>
      </c>
      <c r="S113" s="98">
        <f>'Summary 2023$'!BR113*$M$4</f>
        <v>0</v>
      </c>
    </row>
    <row r="114" spans="1:19" x14ac:dyDescent="0.25">
      <c r="A114" s="81" t="s">
        <v>224</v>
      </c>
      <c r="B114" s="82" t="s">
        <v>231</v>
      </c>
      <c r="C114" s="83" t="s">
        <v>232</v>
      </c>
      <c r="D114" s="689">
        <f>SUM('Defect (Total)'!BB114,Planned!CE114,Reconductor!CE114,CTGS!CE114,'Substation 2025$'!CE114*$M$1,Comms!CA114*$M$2)</f>
        <v>0</v>
      </c>
      <c r="E114" s="96">
        <f>SUM('Defect (Total)'!BC114,Planned!CF114,Reconductor!CF114,CTGS!CF114,'Substation 2025$'!CF114*$M$1,Comms!CB114*$M$2)</f>
        <v>0</v>
      </c>
      <c r="F114" s="96">
        <f>SUM('Defect (Total)'!BD114,Planned!CG114,Reconductor!CG114,CTGS!CG114,'Substation 2025$'!CG114*$M$1,Comms!CC114*$M$2)</f>
        <v>0</v>
      </c>
      <c r="G114" s="96">
        <f>SUM('Defect (Total)'!BE114,Planned!CH114,Reconductor!CH114,CTGS!CH114,'Substation 2025$'!CH114*$M$1,Comms!CD114*$M$2)</f>
        <v>0</v>
      </c>
      <c r="H114" s="96">
        <f>SUM('Defect (Total)'!BF114,Planned!CI114,Reconductor!CI114,CTGS!CI114,'Substation 2025$'!CI114*$M$1,Comms!CE114*$M$2)</f>
        <v>0</v>
      </c>
      <c r="I114" s="96">
        <f>SUM('Defect (Total)'!BG114,Planned!CJ114,Reconductor!CJ114,CTGS!CJ114,'Substation 2025$'!CJ114*$M$1,Comms!CF114*$M$2)</f>
        <v>0</v>
      </c>
      <c r="J114" s="96">
        <f>SUM('Defect (Total)'!BH114,Planned!CK114,Reconductor!CK114,CTGS!CK114,'Substation 2025$'!CK114*$M$1,Comms!CG114*$M$2)</f>
        <v>0</v>
      </c>
      <c r="K114" s="286">
        <f>SUM('Defect (Total)'!BI114,Planned!CL114,Reconductor!CL114,CTGS!CL114,'Substation 2025$'!CL114*$M$1,Comms!CH114*$M$2)</f>
        <v>0</v>
      </c>
      <c r="L114" s="743"/>
      <c r="M114" s="97">
        <f>'Summary 2023$'!BL114*$M$4</f>
        <v>0</v>
      </c>
      <c r="N114" s="524">
        <f>'Summary 2023$'!BM114*$M$4</f>
        <v>0</v>
      </c>
      <c r="O114" s="416">
        <f>'Summary 2023$'!BN114*$M$4</f>
        <v>0</v>
      </c>
      <c r="P114" s="97">
        <f>'Summary 2023$'!BO114*$M$4</f>
        <v>0</v>
      </c>
      <c r="Q114" s="97">
        <f>'Summary 2023$'!BP114*$M$4</f>
        <v>0</v>
      </c>
      <c r="R114" s="97">
        <f>'Summary 2023$'!BQ114*$M$4</f>
        <v>0</v>
      </c>
      <c r="S114" s="98">
        <f>'Summary 2023$'!BR114*$M$4</f>
        <v>0</v>
      </c>
    </row>
    <row r="115" spans="1:19" x14ac:dyDescent="0.25">
      <c r="A115" s="81" t="s">
        <v>224</v>
      </c>
      <c r="B115" s="82" t="s">
        <v>233</v>
      </c>
      <c r="C115" s="83" t="s">
        <v>234</v>
      </c>
      <c r="D115" s="689">
        <f>SUM('Defect (Total)'!BB115,Planned!CE115,Reconductor!CE115,CTGS!CE115,'Substation 2025$'!CE115*$M$1,Comms!CA115*$M$2)</f>
        <v>0</v>
      </c>
      <c r="E115" s="96">
        <f>SUM('Defect (Total)'!BC115,Planned!CF115,Reconductor!CF115,CTGS!CF115,'Substation 2025$'!CF115*$M$1,Comms!CB115*$M$2)</f>
        <v>0</v>
      </c>
      <c r="F115" s="96">
        <f>SUM('Defect (Total)'!BD115,Planned!CG115,Reconductor!CG115,CTGS!CG115,'Substation 2025$'!CG115*$M$1,Comms!CC115*$M$2)</f>
        <v>0</v>
      </c>
      <c r="G115" s="96">
        <f>SUM('Defect (Total)'!BE115,Planned!CH115,Reconductor!CH115,CTGS!CH115,'Substation 2025$'!CH115*$M$1,Comms!CD115*$M$2)</f>
        <v>0</v>
      </c>
      <c r="H115" s="96">
        <f>SUM('Defect (Total)'!BF115,Planned!CI115,Reconductor!CI115,CTGS!CI115,'Substation 2025$'!CI115*$M$1,Comms!CE115*$M$2)</f>
        <v>0</v>
      </c>
      <c r="I115" s="96">
        <f>SUM('Defect (Total)'!BG115,Planned!CJ115,Reconductor!CJ115,CTGS!CJ115,'Substation 2025$'!CJ115*$M$1,Comms!CF115*$M$2)</f>
        <v>0</v>
      </c>
      <c r="J115" s="96">
        <f>SUM('Defect (Total)'!BH115,Planned!CK115,Reconductor!CK115,CTGS!CK115,'Substation 2025$'!CK115*$M$1,Comms!CG115*$M$2)</f>
        <v>0</v>
      </c>
      <c r="K115" s="286">
        <f>SUM('Defect (Total)'!BI115,Planned!CL115,Reconductor!CL115,CTGS!CL115,'Substation 2025$'!CL115*$M$1,Comms!CH115*$M$2)</f>
        <v>0</v>
      </c>
      <c r="L115" s="743"/>
      <c r="M115" s="97">
        <f>'Summary 2023$'!BL115*$M$4</f>
        <v>0</v>
      </c>
      <c r="N115" s="524">
        <f>'Summary 2023$'!BM115*$M$4</f>
        <v>0</v>
      </c>
      <c r="O115" s="416">
        <f>'Summary 2023$'!BN115*$M$4</f>
        <v>0</v>
      </c>
      <c r="P115" s="97">
        <f>'Summary 2023$'!BO115*$M$4</f>
        <v>0</v>
      </c>
      <c r="Q115" s="97">
        <f>'Summary 2023$'!BP115*$M$4</f>
        <v>0</v>
      </c>
      <c r="R115" s="97">
        <f>'Summary 2023$'!BQ115*$M$4</f>
        <v>0</v>
      </c>
      <c r="S115" s="98">
        <f>'Summary 2023$'!BR115*$M$4</f>
        <v>0</v>
      </c>
    </row>
    <row r="116" spans="1:19" x14ac:dyDescent="0.25">
      <c r="A116" s="81" t="s">
        <v>224</v>
      </c>
      <c r="B116" s="82" t="s">
        <v>235</v>
      </c>
      <c r="C116" s="83" t="s">
        <v>236</v>
      </c>
      <c r="D116" s="689">
        <f>SUM('Defect (Total)'!BB116,Planned!CE116,Reconductor!CE116,CTGS!CE116,'Substation 2025$'!CE116*$M$1,Comms!CA116*$M$2)</f>
        <v>0</v>
      </c>
      <c r="E116" s="96">
        <f>SUM('Defect (Total)'!BC116,Planned!CF116,Reconductor!CF116,CTGS!CF116,'Substation 2025$'!CF116*$M$1,Comms!CB116*$M$2)</f>
        <v>0</v>
      </c>
      <c r="F116" s="96">
        <f>SUM('Defect (Total)'!BD116,Planned!CG116,Reconductor!CG116,CTGS!CG116,'Substation 2025$'!CG116*$M$1,Comms!CC116*$M$2)</f>
        <v>0</v>
      </c>
      <c r="G116" s="96">
        <f>SUM('Defect (Total)'!BE116,Planned!CH116,Reconductor!CH116,CTGS!CH116,'Substation 2025$'!CH116*$M$1,Comms!CD116*$M$2)</f>
        <v>0</v>
      </c>
      <c r="H116" s="96">
        <f>SUM('Defect (Total)'!BF116,Planned!CI116,Reconductor!CI116,CTGS!CI116,'Substation 2025$'!CI116*$M$1,Comms!CE116*$M$2)</f>
        <v>0</v>
      </c>
      <c r="I116" s="96">
        <f>SUM('Defect (Total)'!BG116,Planned!CJ116,Reconductor!CJ116,CTGS!CJ116,'Substation 2025$'!CJ116*$M$1,Comms!CF116*$M$2)</f>
        <v>0</v>
      </c>
      <c r="J116" s="96">
        <f>SUM('Defect (Total)'!BH116,Planned!CK116,Reconductor!CK116,CTGS!CK116,'Substation 2025$'!CK116*$M$1,Comms!CG116*$M$2)</f>
        <v>0</v>
      </c>
      <c r="K116" s="286">
        <f>SUM('Defect (Total)'!BI116,Planned!CL116,Reconductor!CL116,CTGS!CL116,'Substation 2025$'!CL116*$M$1,Comms!CH116*$M$2)</f>
        <v>0</v>
      </c>
      <c r="L116" s="743"/>
      <c r="M116" s="97">
        <f>'Summary 2023$'!BL116*$M$4</f>
        <v>0</v>
      </c>
      <c r="N116" s="524">
        <f>'Summary 2023$'!BM116*$M$4</f>
        <v>0</v>
      </c>
      <c r="O116" s="416">
        <f>'Summary 2023$'!BN116*$M$4</f>
        <v>0</v>
      </c>
      <c r="P116" s="97">
        <f>'Summary 2023$'!BO116*$M$4</f>
        <v>0</v>
      </c>
      <c r="Q116" s="97">
        <f>'Summary 2023$'!BP116*$M$4</f>
        <v>0</v>
      </c>
      <c r="R116" s="97">
        <f>'Summary 2023$'!BQ116*$M$4</f>
        <v>0</v>
      </c>
      <c r="S116" s="98">
        <f>'Summary 2023$'!BR116*$M$4</f>
        <v>0</v>
      </c>
    </row>
    <row r="117" spans="1:19" x14ac:dyDescent="0.25">
      <c r="A117" s="81" t="s">
        <v>224</v>
      </c>
      <c r="B117" s="82" t="s">
        <v>237</v>
      </c>
      <c r="C117" s="83" t="s">
        <v>238</v>
      </c>
      <c r="D117" s="689">
        <f>SUM('Defect (Total)'!BB117,Planned!CE117,Reconductor!CE117,CTGS!CE117,'Substation 2025$'!CE117*$M$1,Comms!CA117*$M$2)</f>
        <v>0</v>
      </c>
      <c r="E117" s="96">
        <f>SUM('Defect (Total)'!BC117,Planned!CF117,Reconductor!CF117,CTGS!CF117,'Substation 2025$'!CF117*$M$1,Comms!CB117*$M$2)</f>
        <v>0</v>
      </c>
      <c r="F117" s="96">
        <f>SUM('Defect (Total)'!BD117,Planned!CG117,Reconductor!CG117,CTGS!CG117,'Substation 2025$'!CG117*$M$1,Comms!CC117*$M$2)</f>
        <v>0</v>
      </c>
      <c r="G117" s="96">
        <f>SUM('Defect (Total)'!BE117,Planned!CH117,Reconductor!CH117,CTGS!CH117,'Substation 2025$'!CH117*$M$1,Comms!CD117*$M$2)</f>
        <v>0</v>
      </c>
      <c r="H117" s="96">
        <f>SUM('Defect (Total)'!BF117,Planned!CI117,Reconductor!CI117,CTGS!CI117,'Substation 2025$'!CI117*$M$1,Comms!CE117*$M$2)</f>
        <v>0</v>
      </c>
      <c r="I117" s="96">
        <f>SUM('Defect (Total)'!BG117,Planned!CJ117,Reconductor!CJ117,CTGS!CJ117,'Substation 2025$'!CJ117*$M$1,Comms!CF117*$M$2)</f>
        <v>0</v>
      </c>
      <c r="J117" s="96">
        <f>SUM('Defect (Total)'!BH117,Planned!CK117,Reconductor!CK117,CTGS!CK117,'Substation 2025$'!CK117*$M$1,Comms!CG117*$M$2)</f>
        <v>0</v>
      </c>
      <c r="K117" s="286">
        <f>SUM('Defect (Total)'!BI117,Planned!CL117,Reconductor!CL117,CTGS!CL117,'Substation 2025$'!CL117*$M$1,Comms!CH117*$M$2)</f>
        <v>0</v>
      </c>
      <c r="L117" s="743"/>
      <c r="M117" s="97">
        <f>'Summary 2023$'!BL117*$M$4</f>
        <v>0</v>
      </c>
      <c r="N117" s="524">
        <f>'Summary 2023$'!BM117*$M$4</f>
        <v>0</v>
      </c>
      <c r="O117" s="416">
        <f>'Summary 2023$'!BN117*$M$4</f>
        <v>0</v>
      </c>
      <c r="P117" s="97">
        <f>'Summary 2023$'!BO117*$M$4</f>
        <v>0</v>
      </c>
      <c r="Q117" s="97">
        <f>'Summary 2023$'!BP117*$M$4</f>
        <v>0</v>
      </c>
      <c r="R117" s="97">
        <f>'Summary 2023$'!BQ117*$M$4</f>
        <v>0</v>
      </c>
      <c r="S117" s="98">
        <f>'Summary 2023$'!BR117*$M$4</f>
        <v>0</v>
      </c>
    </row>
    <row r="118" spans="1:19" ht="15.75" thickBot="1" x14ac:dyDescent="0.3">
      <c r="A118" s="100" t="s">
        <v>224</v>
      </c>
      <c r="B118" s="101" t="s">
        <v>397</v>
      </c>
      <c r="C118" s="102" t="s">
        <v>398</v>
      </c>
      <c r="D118" s="690">
        <f>SUM('Defect (Total)'!BB118,Planned!CE118,Reconductor!CE118,CTGS!CE118,'Substation 2025$'!CE118*$M$1,Comms!CA118*$M$2)</f>
        <v>0</v>
      </c>
      <c r="E118" s="115">
        <f>SUM('Defect (Total)'!BC118,Planned!CF118,Reconductor!CF118,CTGS!CF118,'Substation 2025$'!CF118*$M$1,Comms!CB118*$M$2)</f>
        <v>0</v>
      </c>
      <c r="F118" s="115">
        <f>SUM('Defect (Total)'!BD118,Planned!CG118,Reconductor!CG118,CTGS!CG118,'Substation 2025$'!CG118*$M$1,Comms!CC118*$M$2)</f>
        <v>0</v>
      </c>
      <c r="G118" s="115">
        <f>SUM('Defect (Total)'!BE118,Planned!CH118,Reconductor!CH118,CTGS!CH118,'Substation 2025$'!CH118*$M$1,Comms!CD118*$M$2)</f>
        <v>0</v>
      </c>
      <c r="H118" s="115">
        <f>SUM('Defect (Total)'!BF118,Planned!CI118,Reconductor!CI118,CTGS!CI118,'Substation 2025$'!CI118*$M$1,Comms!CE118*$M$2)</f>
        <v>0</v>
      </c>
      <c r="I118" s="115">
        <f>SUM('Defect (Total)'!BG118,Planned!CJ118,Reconductor!CJ118,CTGS!CJ118,'Substation 2025$'!CJ118*$M$1,Comms!CF118*$M$2)</f>
        <v>0</v>
      </c>
      <c r="J118" s="115">
        <f>SUM('Defect (Total)'!BH118,Planned!CK118,Reconductor!CK118,CTGS!CK118,'Substation 2025$'!CK118*$M$1,Comms!CG118*$M$2)</f>
        <v>0</v>
      </c>
      <c r="K118" s="287">
        <f>SUM('Defect (Total)'!BI118,Planned!CL118,Reconductor!CL118,CTGS!CL118,'Substation 2025$'!CL118*$M$1,Comms!CH118*$M$2)</f>
        <v>0</v>
      </c>
      <c r="L118" s="744"/>
      <c r="M118" s="117">
        <f>'Summary 2023$'!BL118*$M$4</f>
        <v>0</v>
      </c>
      <c r="N118" s="638">
        <f>'Summary 2023$'!BM118*$M$4</f>
        <v>0</v>
      </c>
      <c r="O118" s="467">
        <f>'Summary 2023$'!BN118*$M$4</f>
        <v>0</v>
      </c>
      <c r="P118" s="117">
        <f>'Summary 2023$'!BO118*$M$4</f>
        <v>0</v>
      </c>
      <c r="Q118" s="117">
        <f>'Summary 2023$'!BP118*$M$4</f>
        <v>0</v>
      </c>
      <c r="R118" s="117">
        <f>'Summary 2023$'!BQ118*$M$4</f>
        <v>0</v>
      </c>
      <c r="S118" s="118">
        <f>'Summary 2023$'!BR118*$M$4</f>
        <v>0</v>
      </c>
    </row>
    <row r="119" spans="1:19" x14ac:dyDescent="0.25">
      <c r="A119" s="63" t="s">
        <v>242</v>
      </c>
      <c r="B119" s="64" t="s">
        <v>239</v>
      </c>
      <c r="C119" s="65" t="s">
        <v>241</v>
      </c>
      <c r="D119" s="696">
        <f>SUM('Defect (Total)'!BB119,Planned!CE119,Reconductor!CE119,CTGS!CE119,'Substation 2025$'!CE119*$M$1,Comms!CA119*$M$2)</f>
        <v>0</v>
      </c>
      <c r="E119" s="144">
        <f>SUM('Defect (Total)'!BC119,Planned!CF119,Reconductor!CF119,CTGS!CF119,'Substation 2025$'!CF119*$M$1,Comms!CB119*$M$2)</f>
        <v>47</v>
      </c>
      <c r="F119" s="144">
        <f>SUM('Defect (Total)'!BD119,Planned!CG119,Reconductor!CG119,CTGS!CG119,'Substation 2025$'!CG119*$M$1,Comms!CC119*$M$2)</f>
        <v>95</v>
      </c>
      <c r="G119" s="144">
        <f>SUM('Defect (Total)'!BE119,Planned!CH119,Reconductor!CH119,CTGS!CH119,'Substation 2025$'!CH119*$M$1,Comms!CD119*$M$2)</f>
        <v>141</v>
      </c>
      <c r="H119" s="144">
        <f>SUM('Defect (Total)'!BF119,Planned!CI119,Reconductor!CI119,CTGS!CI119,'Substation 2025$'!CI119*$M$1,Comms!CE119*$M$2)</f>
        <v>374</v>
      </c>
      <c r="I119" s="144">
        <f>SUM('Defect (Total)'!BG119,Planned!CJ119,Reconductor!CJ119,CTGS!CJ119,'Substation 2025$'!CJ119*$M$1,Comms!CF119*$M$2)</f>
        <v>305</v>
      </c>
      <c r="J119" s="144">
        <f>SUM('Defect (Total)'!BH119,Planned!CK119,Reconductor!CK119,CTGS!CK119,'Substation 2025$'!CK119*$M$1,Comms!CG119*$M$2)</f>
        <v>257</v>
      </c>
      <c r="K119" s="293">
        <f>SUM('Defect (Total)'!BI119,Planned!CL119,Reconductor!CL119,CTGS!CL119,'Substation 2025$'!CL119*$M$1,Comms!CH119*$M$2)</f>
        <v>288</v>
      </c>
      <c r="L119" s="742"/>
      <c r="M119" s="79">
        <f>'Summary 2023$'!BL119*$M$4</f>
        <v>23198577.754420541</v>
      </c>
      <c r="N119" s="523">
        <f>'Summary 2023$'!BM119*$M$4</f>
        <v>23967679.577150427</v>
      </c>
      <c r="O119" s="415">
        <f>'Summary 2023$'!BN119*$M$4</f>
        <v>19723199.779005576</v>
      </c>
      <c r="P119" s="79">
        <f>'Summary 2023$'!BO119*$M$4</f>
        <v>20112661.728677727</v>
      </c>
      <c r="Q119" s="79">
        <f>'Summary 2023$'!BP119*$M$4</f>
        <v>23705527.51967252</v>
      </c>
      <c r="R119" s="79">
        <f>'Summary 2023$'!BQ119*$M$4</f>
        <v>21845585.586736042</v>
      </c>
      <c r="S119" s="80">
        <f>'Summary 2023$'!BR119*$M$4</f>
        <v>20469036.576643094</v>
      </c>
    </row>
    <row r="120" spans="1:19" x14ac:dyDescent="0.25">
      <c r="A120" s="81" t="s">
        <v>242</v>
      </c>
      <c r="B120" s="82" t="s">
        <v>243</v>
      </c>
      <c r="C120" s="83" t="s">
        <v>244</v>
      </c>
      <c r="D120" s="689">
        <f>SUM('Defect (Total)'!BB120,Planned!CE120,Reconductor!CE120,CTGS!CE120,'Substation 2025$'!CE120*$M$1,Comms!CA120*$M$2)</f>
        <v>0</v>
      </c>
      <c r="E120" s="96">
        <f>SUM('Defect (Total)'!BC120,Planned!CF120,Reconductor!CF120,CTGS!CF120,'Substation 2025$'!CF120*$M$1,Comms!CB120*$M$2)</f>
        <v>0</v>
      </c>
      <c r="F120" s="96">
        <f>SUM('Defect (Total)'!BD120,Planned!CG120,Reconductor!CG120,CTGS!CG120,'Substation 2025$'!CG120*$M$1,Comms!CC120*$M$2)</f>
        <v>0</v>
      </c>
      <c r="G120" s="96">
        <f>SUM('Defect (Total)'!BE120,Planned!CH120,Reconductor!CH120,CTGS!CH120,'Substation 2025$'!CH120*$M$1,Comms!CD120*$M$2)</f>
        <v>0</v>
      </c>
      <c r="H120" s="96">
        <f>SUM('Defect (Total)'!BF120,Planned!CI120,Reconductor!CI120,CTGS!CI120,'Substation 2025$'!CI120*$M$1,Comms!CE120*$M$2)</f>
        <v>0</v>
      </c>
      <c r="I120" s="96">
        <f>SUM('Defect (Total)'!BG120,Planned!CJ120,Reconductor!CJ120,CTGS!CJ120,'Substation 2025$'!CJ120*$M$1,Comms!CF120*$M$2)</f>
        <v>0</v>
      </c>
      <c r="J120" s="96">
        <f>SUM('Defect (Total)'!BH120,Planned!CK120,Reconductor!CK120,CTGS!CK120,'Substation 2025$'!CK120*$M$1,Comms!CG120*$M$2)</f>
        <v>0</v>
      </c>
      <c r="K120" s="286">
        <f>SUM('Defect (Total)'!BI120,Planned!CL120,Reconductor!CL120,CTGS!CL120,'Substation 2025$'!CL120*$M$1,Comms!CH120*$M$2)</f>
        <v>0</v>
      </c>
      <c r="L120" s="743"/>
      <c r="M120" s="97">
        <f>'Summary 2023$'!BL120*$M$4</f>
        <v>0</v>
      </c>
      <c r="N120" s="524">
        <f>'Summary 2023$'!BM120*$M$4</f>
        <v>0</v>
      </c>
      <c r="O120" s="416">
        <f>'Summary 2023$'!BN120*$M$4</f>
        <v>0</v>
      </c>
      <c r="P120" s="97">
        <f>'Summary 2023$'!BO120*$M$4</f>
        <v>0</v>
      </c>
      <c r="Q120" s="97">
        <f>'Summary 2023$'!BP120*$M$4</f>
        <v>0</v>
      </c>
      <c r="R120" s="97">
        <f>'Summary 2023$'!BQ120*$M$4</f>
        <v>0</v>
      </c>
      <c r="S120" s="98">
        <f>'Summary 2023$'!BR120*$M$4</f>
        <v>0</v>
      </c>
    </row>
    <row r="121" spans="1:19" x14ac:dyDescent="0.25">
      <c r="A121" s="81" t="s">
        <v>242</v>
      </c>
      <c r="B121" s="82" t="s">
        <v>245</v>
      </c>
      <c r="C121" s="83" t="s">
        <v>246</v>
      </c>
      <c r="D121" s="689">
        <f>SUM('Defect (Total)'!BB121,Planned!CE121,Reconductor!CE121,CTGS!CE121,'Substation 2025$'!CE121*$M$1,Comms!CA121*$M$2)</f>
        <v>0</v>
      </c>
      <c r="E121" s="96">
        <f>SUM('Defect (Total)'!BC121,Planned!CF121,Reconductor!CF121,CTGS!CF121,'Substation 2025$'!CF121*$M$1,Comms!CB121*$M$2)</f>
        <v>5</v>
      </c>
      <c r="F121" s="96">
        <f>SUM('Defect (Total)'!BD121,Planned!CG121,Reconductor!CG121,CTGS!CG121,'Substation 2025$'!CG121*$M$1,Comms!CC121*$M$2)</f>
        <v>7</v>
      </c>
      <c r="G121" s="96">
        <f>SUM('Defect (Total)'!BE121,Planned!CH121,Reconductor!CH121,CTGS!CH121,'Substation 2025$'!CH121*$M$1,Comms!CD121*$M$2)</f>
        <v>78.8</v>
      </c>
      <c r="H121" s="96">
        <f>SUM('Defect (Total)'!BF121,Planned!CI121,Reconductor!CI121,CTGS!CI121,'Substation 2025$'!CI121*$M$1,Comms!CE121*$M$2)</f>
        <v>78.8</v>
      </c>
      <c r="I121" s="96">
        <f>SUM('Defect (Total)'!BG121,Planned!CJ121,Reconductor!CJ121,CTGS!CJ121,'Substation 2025$'!CJ121*$M$1,Comms!CF121*$M$2)</f>
        <v>77.599999999999994</v>
      </c>
      <c r="J121" s="96">
        <f>SUM('Defect (Total)'!BH121,Planned!CK121,Reconductor!CK121,CTGS!CK121,'Substation 2025$'!CK121*$M$1,Comms!CG121*$M$2)</f>
        <v>77.8</v>
      </c>
      <c r="K121" s="286">
        <f>SUM('Defect (Total)'!BI121,Planned!CL121,Reconductor!CL121,CTGS!CL121,'Substation 2025$'!CL121*$M$1,Comms!CH121*$M$2)</f>
        <v>77.599999999999994</v>
      </c>
      <c r="L121" s="743"/>
      <c r="M121" s="97">
        <f>'Summary 2023$'!BL121*$M$4</f>
        <v>3411596.523357451</v>
      </c>
      <c r="N121" s="524">
        <f>'Summary 2023$'!BM121*$M$4</f>
        <v>7152820.5340503501</v>
      </c>
      <c r="O121" s="416">
        <f>'Summary 2023$'!BN121*$M$4</f>
        <v>7883020.8052662518</v>
      </c>
      <c r="P121" s="97">
        <f>'Summary 2023$'!BO121*$M$4</f>
        <v>8022005.2324337531</v>
      </c>
      <c r="Q121" s="97">
        <f>'Summary 2023$'!BP121*$M$4</f>
        <v>11615415.129516788</v>
      </c>
      <c r="R121" s="97">
        <f>'Summary 2023$'!BQ121*$M$4</f>
        <v>16372176.640092295</v>
      </c>
      <c r="S121" s="98">
        <f>'Summary 2023$'!BR121*$M$4</f>
        <v>17525336.11901826</v>
      </c>
    </row>
    <row r="122" spans="1:19" x14ac:dyDescent="0.25">
      <c r="A122" s="81" t="s">
        <v>242</v>
      </c>
      <c r="B122" s="82" t="s">
        <v>247</v>
      </c>
      <c r="C122" s="83" t="s">
        <v>248</v>
      </c>
      <c r="D122" s="689">
        <f>SUM('Defect (Total)'!BB122,Planned!CE122,Reconductor!CE122,CTGS!CE122,'Substation 2025$'!CE122*$M$1,Comms!CA122*$M$2)</f>
        <v>0</v>
      </c>
      <c r="E122" s="96">
        <f>SUM('Defect (Total)'!BC122,Planned!CF122,Reconductor!CF122,CTGS!CF122,'Substation 2025$'!CF122*$M$1,Comms!CB122*$M$2)</f>
        <v>0</v>
      </c>
      <c r="F122" s="96">
        <f>SUM('Defect (Total)'!BD122,Planned!CG122,Reconductor!CG122,CTGS!CG122,'Substation 2025$'!CG122*$M$1,Comms!CC122*$M$2)</f>
        <v>0</v>
      </c>
      <c r="G122" s="96">
        <f>SUM('Defect (Total)'!BE122,Planned!CH122,Reconductor!CH122,CTGS!CH122,'Substation 2025$'!CH122*$M$1,Comms!CD122*$M$2)</f>
        <v>0</v>
      </c>
      <c r="H122" s="96">
        <f>SUM('Defect (Total)'!BF122,Planned!CI122,Reconductor!CI122,CTGS!CI122,'Substation 2025$'!CI122*$M$1,Comms!CE122*$M$2)</f>
        <v>0</v>
      </c>
      <c r="I122" s="96">
        <f>SUM('Defect (Total)'!BG122,Planned!CJ122,Reconductor!CJ122,CTGS!CJ122,'Substation 2025$'!CJ122*$M$1,Comms!CF122*$M$2)</f>
        <v>0</v>
      </c>
      <c r="J122" s="96">
        <f>SUM('Defect (Total)'!BH122,Planned!CK122,Reconductor!CK122,CTGS!CK122,'Substation 2025$'!CK122*$M$1,Comms!CG122*$M$2)</f>
        <v>0</v>
      </c>
      <c r="K122" s="286">
        <f>SUM('Defect (Total)'!BI122,Planned!CL122,Reconductor!CL122,CTGS!CL122,'Substation 2025$'!CL122*$M$1,Comms!CH122*$M$2)</f>
        <v>0</v>
      </c>
      <c r="L122" s="743"/>
      <c r="M122" s="97">
        <f>'Summary 2023$'!BL122*$M$4</f>
        <v>0</v>
      </c>
      <c r="N122" s="524">
        <f>'Summary 2023$'!BM122*$M$4</f>
        <v>0</v>
      </c>
      <c r="O122" s="416">
        <f>'Summary 2023$'!BN122*$M$4</f>
        <v>0</v>
      </c>
      <c r="P122" s="97">
        <f>'Summary 2023$'!BO122*$M$4</f>
        <v>0</v>
      </c>
      <c r="Q122" s="97">
        <f>'Summary 2023$'!BP122*$M$4</f>
        <v>0</v>
      </c>
      <c r="R122" s="97">
        <f>'Summary 2023$'!BQ122*$M$4</f>
        <v>0</v>
      </c>
      <c r="S122" s="98">
        <f>'Summary 2023$'!BR122*$M$4</f>
        <v>0</v>
      </c>
    </row>
    <row r="123" spans="1:19" x14ac:dyDescent="0.25">
      <c r="A123" s="81" t="s">
        <v>242</v>
      </c>
      <c r="B123" s="82" t="s">
        <v>249</v>
      </c>
      <c r="C123" s="83" t="s">
        <v>250</v>
      </c>
      <c r="D123" s="689">
        <f>SUM('Defect (Total)'!BB123,Planned!CE123,Reconductor!CE123,CTGS!CE123,'Substation 2025$'!CE123*$M$1,Comms!CA123*$M$2)</f>
        <v>0</v>
      </c>
      <c r="E123" s="96">
        <f>SUM('Defect (Total)'!BC123,Planned!CF123,Reconductor!CF123,CTGS!CF123,'Substation 2025$'!CF123*$M$1,Comms!CB123*$M$2)</f>
        <v>0</v>
      </c>
      <c r="F123" s="96">
        <f>SUM('Defect (Total)'!BD123,Planned!CG123,Reconductor!CG123,CTGS!CG123,'Substation 2025$'!CG123*$M$1,Comms!CC123*$M$2)</f>
        <v>0</v>
      </c>
      <c r="G123" s="96">
        <f>SUM('Defect (Total)'!BE123,Planned!CH123,Reconductor!CH123,CTGS!CH123,'Substation 2025$'!CH123*$M$1,Comms!CD123*$M$2)</f>
        <v>48.4</v>
      </c>
      <c r="H123" s="96">
        <f>SUM('Defect (Total)'!BF123,Planned!CI123,Reconductor!CI123,CTGS!CI123,'Substation 2025$'!CI123*$M$1,Comms!CE123*$M$2)</f>
        <v>46.4</v>
      </c>
      <c r="I123" s="96">
        <f>SUM('Defect (Total)'!BG123,Planned!CJ123,Reconductor!CJ123,CTGS!CJ123,'Substation 2025$'!CJ123*$M$1,Comms!CF123*$M$2)</f>
        <v>46.4</v>
      </c>
      <c r="J123" s="96">
        <f>SUM('Defect (Total)'!BH123,Planned!CK123,Reconductor!CK123,CTGS!CK123,'Substation 2025$'!CK123*$M$1,Comms!CG123*$M$2)</f>
        <v>46.4</v>
      </c>
      <c r="K123" s="286">
        <f>SUM('Defect (Total)'!BI123,Planned!CL123,Reconductor!CL123,CTGS!CL123,'Substation 2025$'!CL123*$M$1,Comms!CH123*$M$2)</f>
        <v>46.4</v>
      </c>
      <c r="L123" s="743"/>
      <c r="M123" s="97">
        <f>'Summary 2023$'!BL123*$M$4</f>
        <v>0</v>
      </c>
      <c r="N123" s="524">
        <f>'Summary 2023$'!BM123*$M$4</f>
        <v>0</v>
      </c>
      <c r="O123" s="416">
        <f>'Summary 2023$'!BN123*$M$4</f>
        <v>3448050.4915684555</v>
      </c>
      <c r="P123" s="97">
        <f>'Summary 2023$'!BO123*$M$4</f>
        <v>4296888.1199033763</v>
      </c>
      <c r="Q123" s="97">
        <f>'Summary 2023$'!BP123*$M$4</f>
        <v>4553624.1477885181</v>
      </c>
      <c r="R123" s="97">
        <f>'Summary 2023$'!BQ123*$M$4</f>
        <v>4895852.2202796917</v>
      </c>
      <c r="S123" s="98">
        <f>'Summary 2023$'!BR123*$M$4</f>
        <v>6100070.547948326</v>
      </c>
    </row>
    <row r="124" spans="1:19" x14ac:dyDescent="0.25">
      <c r="A124" s="81" t="s">
        <v>242</v>
      </c>
      <c r="B124" s="82" t="s">
        <v>251</v>
      </c>
      <c r="C124" s="83" t="s">
        <v>252</v>
      </c>
      <c r="D124" s="689">
        <f>SUM('Defect (Total)'!BB124,Planned!CE124,Reconductor!CE124,CTGS!CE124,'Substation 2025$'!CE124*$M$1,Comms!CA124*$M$2)</f>
        <v>0</v>
      </c>
      <c r="E124" s="96">
        <f>SUM('Defect (Total)'!BC124,Planned!CF124,Reconductor!CF124,CTGS!CF124,'Substation 2025$'!CF124*$M$1,Comms!CB124*$M$2)</f>
        <v>0</v>
      </c>
      <c r="F124" s="96">
        <f>SUM('Defect (Total)'!BD124,Planned!CG124,Reconductor!CG124,CTGS!CG124,'Substation 2025$'!CG124*$M$1,Comms!CC124*$M$2)</f>
        <v>0</v>
      </c>
      <c r="G124" s="96">
        <f>SUM('Defect (Total)'!BE124,Planned!CH124,Reconductor!CH124,CTGS!CH124,'Substation 2025$'!CH124*$M$1,Comms!CD124*$M$2)</f>
        <v>4</v>
      </c>
      <c r="H124" s="96">
        <f>SUM('Defect (Total)'!BF124,Planned!CI124,Reconductor!CI124,CTGS!CI124,'Substation 2025$'!CI124*$M$1,Comms!CE124*$M$2)</f>
        <v>3</v>
      </c>
      <c r="I124" s="96">
        <f>SUM('Defect (Total)'!BG124,Planned!CJ124,Reconductor!CJ124,CTGS!CJ124,'Substation 2025$'!CJ124*$M$1,Comms!CF124*$M$2)</f>
        <v>3</v>
      </c>
      <c r="J124" s="96">
        <f>SUM('Defect (Total)'!BH124,Planned!CK124,Reconductor!CK124,CTGS!CK124,'Substation 2025$'!CK124*$M$1,Comms!CG124*$M$2)</f>
        <v>3</v>
      </c>
      <c r="K124" s="286">
        <f>SUM('Defect (Total)'!BI124,Planned!CL124,Reconductor!CL124,CTGS!CL124,'Substation 2025$'!CL124*$M$1,Comms!CH124*$M$2)</f>
        <v>3</v>
      </c>
      <c r="L124" s="743"/>
      <c r="M124" s="97">
        <f>'Summary 2023$'!BL124*$M$4</f>
        <v>10831828.690284226</v>
      </c>
      <c r="N124" s="524">
        <f>'Summary 2023$'!BM124*$M$4</f>
        <v>4544020.4482140411</v>
      </c>
      <c r="O124" s="416">
        <f>'Summary 2023$'!BN124*$M$4</f>
        <v>581823.8100491598</v>
      </c>
      <c r="P124" s="97">
        <f>'Summary 2023$'!BO124*$M$4</f>
        <v>729109.91827744222</v>
      </c>
      <c r="Q124" s="97">
        <f>'Summary 2023$'!BP124*$M$4</f>
        <v>1955351.1416490795</v>
      </c>
      <c r="R124" s="97">
        <f>'Summary 2023$'!BQ124*$M$4</f>
        <v>1971325.5870236461</v>
      </c>
      <c r="S124" s="98">
        <f>'Summary 2023$'!BR124*$M$4</f>
        <v>3379071.3510536025</v>
      </c>
    </row>
    <row r="125" spans="1:19" x14ac:dyDescent="0.25">
      <c r="A125" s="81" t="s">
        <v>242</v>
      </c>
      <c r="B125" s="82" t="s">
        <v>253</v>
      </c>
      <c r="C125" s="83" t="s">
        <v>254</v>
      </c>
      <c r="D125" s="689">
        <f>SUM('Defect (Total)'!BB125,Planned!CE125,Reconductor!CE125,CTGS!CE125,'Substation 2025$'!CE125*$M$1,Comms!CA125*$M$2)</f>
        <v>0</v>
      </c>
      <c r="E125" s="96">
        <f>SUM('Defect (Total)'!BC125,Planned!CF125,Reconductor!CF125,CTGS!CF125,'Substation 2025$'!CF125*$M$1,Comms!CB125*$M$2)</f>
        <v>0</v>
      </c>
      <c r="F125" s="96">
        <f>SUM('Defect (Total)'!BD125,Planned!CG125,Reconductor!CG125,CTGS!CG125,'Substation 2025$'!CG125*$M$1,Comms!CC125*$M$2)</f>
        <v>0</v>
      </c>
      <c r="G125" s="96">
        <f>SUM('Defect (Total)'!BE125,Planned!CH125,Reconductor!CH125,CTGS!CH125,'Substation 2025$'!CH125*$M$1,Comms!CD125*$M$2)</f>
        <v>0</v>
      </c>
      <c r="H125" s="96">
        <f>SUM('Defect (Total)'!BF125,Planned!CI125,Reconductor!CI125,CTGS!CI125,'Substation 2025$'!CI125*$M$1,Comms!CE125*$M$2)</f>
        <v>1</v>
      </c>
      <c r="I125" s="96">
        <f>SUM('Defect (Total)'!BG125,Planned!CJ125,Reconductor!CJ125,CTGS!CJ125,'Substation 2025$'!CJ125*$M$1,Comms!CF125*$M$2)</f>
        <v>0</v>
      </c>
      <c r="J125" s="96">
        <f>SUM('Defect (Total)'!BH125,Planned!CK125,Reconductor!CK125,CTGS!CK125,'Substation 2025$'!CK125*$M$1,Comms!CG125*$M$2)</f>
        <v>0</v>
      </c>
      <c r="K125" s="286">
        <f>SUM('Defect (Total)'!BI125,Planned!CL125,Reconductor!CL125,CTGS!CL125,'Substation 2025$'!CL125*$M$1,Comms!CH125*$M$2)</f>
        <v>0</v>
      </c>
      <c r="L125" s="743"/>
      <c r="M125" s="97">
        <f>'Summary 2023$'!BL125*$M$4</f>
        <v>110078.64483715799</v>
      </c>
      <c r="N125" s="524">
        <f>'Summary 2023$'!BM125*$M$4</f>
        <v>52465.930708894201</v>
      </c>
      <c r="O125" s="416">
        <f>'Summary 2023$'!BN125*$M$4</f>
        <v>26401.908323990006</v>
      </c>
      <c r="P125" s="97">
        <f>'Summary 2023$'!BO125*$M$4</f>
        <v>2547.3423625599921</v>
      </c>
      <c r="Q125" s="97">
        <f>'Summary 2023$'!BP125*$M$4</f>
        <v>0</v>
      </c>
      <c r="R125" s="97">
        <f>'Summary 2023$'!BQ125*$M$4</f>
        <v>0</v>
      </c>
      <c r="S125" s="98">
        <f>'Summary 2023$'!BR125*$M$4</f>
        <v>0</v>
      </c>
    </row>
    <row r="126" spans="1:19" ht="15.75" thickBot="1" x14ac:dyDescent="0.3">
      <c r="A126" s="81" t="s">
        <v>242</v>
      </c>
      <c r="B126" s="82" t="s">
        <v>399</v>
      </c>
      <c r="C126" s="102" t="s">
        <v>400</v>
      </c>
      <c r="D126" s="690">
        <f>SUM('Defect (Total)'!BB126,Planned!CE126,Reconductor!CE126,CTGS!CE126,'Substation 2025$'!CE126*$M$1,Comms!CA126*$M$2)</f>
        <v>0</v>
      </c>
      <c r="E126" s="115">
        <f>SUM('Defect (Total)'!BC126,Planned!CF126,Reconductor!CF126,CTGS!CF126,'Substation 2025$'!CF126*$M$1,Comms!CB126*$M$2)</f>
        <v>0</v>
      </c>
      <c r="F126" s="115">
        <f>SUM('Defect (Total)'!BD126,Planned!CG126,Reconductor!CG126,CTGS!CG126,'Substation 2025$'!CG126*$M$1,Comms!CC126*$M$2)</f>
        <v>0</v>
      </c>
      <c r="G126" s="115">
        <f>SUM('Defect (Total)'!BE126,Planned!CH126,Reconductor!CH126,CTGS!CH126,'Substation 2025$'!CH126*$M$1,Comms!CD126*$M$2)</f>
        <v>0</v>
      </c>
      <c r="H126" s="115">
        <f>SUM('Defect (Total)'!BF126,Planned!CI126,Reconductor!CI126,CTGS!CI126,'Substation 2025$'!CI126*$M$1,Comms!CE126*$M$2)</f>
        <v>0</v>
      </c>
      <c r="I126" s="115">
        <f>SUM('Defect (Total)'!BG126,Planned!CJ126,Reconductor!CJ126,CTGS!CJ126,'Substation 2025$'!CJ126*$M$1,Comms!CF126*$M$2)</f>
        <v>0</v>
      </c>
      <c r="J126" s="115">
        <f>SUM('Defect (Total)'!BH126,Planned!CK126,Reconductor!CK126,CTGS!CK126,'Substation 2025$'!CK126*$M$1,Comms!CG126*$M$2)</f>
        <v>0</v>
      </c>
      <c r="K126" s="287">
        <f>SUM('Defect (Total)'!BI126,Planned!CL126,Reconductor!CL126,CTGS!CL126,'Substation 2025$'!CL126*$M$1,Comms!CH126*$M$2)</f>
        <v>0</v>
      </c>
      <c r="L126" s="744"/>
      <c r="M126" s="117">
        <f>'Summary 2023$'!BL126*$M$4</f>
        <v>0</v>
      </c>
      <c r="N126" s="638">
        <f>'Summary 2023$'!BM126*$M$4</f>
        <v>0</v>
      </c>
      <c r="O126" s="467">
        <f>'Summary 2023$'!BN126*$M$4</f>
        <v>0</v>
      </c>
      <c r="P126" s="117">
        <f>'Summary 2023$'!BO126*$M$4</f>
        <v>0</v>
      </c>
      <c r="Q126" s="117">
        <f>'Summary 2023$'!BP126*$M$4</f>
        <v>0</v>
      </c>
      <c r="R126" s="117">
        <f>'Summary 2023$'!BQ126*$M$4</f>
        <v>0</v>
      </c>
      <c r="S126" s="118">
        <f>'Summary 2023$'!BR126*$M$4</f>
        <v>0</v>
      </c>
    </row>
    <row r="127" spans="1:19" x14ac:dyDescent="0.25">
      <c r="A127" s="81" t="s">
        <v>258</v>
      </c>
      <c r="B127" s="82" t="s">
        <v>255</v>
      </c>
      <c r="C127" s="145" t="s">
        <v>401</v>
      </c>
      <c r="D127" s="688">
        <f>SUM('Defect (Total)'!BB127*$M$3,Planned!CE127,Reconductor!CE127,CTGS!CE127,'Substation 2025$'!CE127*$M$1,Comms!CA127*$M$2)</f>
        <v>0</v>
      </c>
      <c r="E127" s="78">
        <f>SUM('Defect (Total)'!BC127*$M$3,Planned!CF127,Reconductor!CF127,CTGS!CF127,'Substation 2025$'!CF127*$M$1,Comms!CB127*$M$2)</f>
        <v>20</v>
      </c>
      <c r="F127" s="78">
        <f>SUM('Defect (Total)'!BD127*$M$3,Planned!CG127,Reconductor!CG127,CTGS!CG127,'Substation 2025$'!CG127*$M$1,Comms!CC127*$M$2)</f>
        <v>25</v>
      </c>
      <c r="G127" s="78">
        <f>SUM('Defect (Total)'!BE127*$M$3,Planned!CH127,Reconductor!CH127,CTGS!CH127,'Substation 2025$'!CH127*$M$1,Comms!CD127*$M$2)</f>
        <v>21</v>
      </c>
      <c r="H127" s="78">
        <f>SUM('Defect (Total)'!BF127*$M$3,Planned!CI127,Reconductor!CI127,CTGS!CI127,'Substation 2025$'!CI127*$M$1,Comms!CE127*$M$2)</f>
        <v>71</v>
      </c>
      <c r="I127" s="78">
        <f>SUM('Defect (Total)'!BG127*$M$3,Planned!CJ127,Reconductor!CJ127,CTGS!CJ127,'Substation 2025$'!CJ127*$M$1,Comms!CF127*$M$2)</f>
        <v>45</v>
      </c>
      <c r="J127" s="78">
        <f>SUM('Defect (Total)'!BH127*$M$3,Planned!CK127,Reconductor!CK127,CTGS!CK127,'Substation 2025$'!CK127*$M$1,Comms!CG127*$M$2)</f>
        <v>88</v>
      </c>
      <c r="K127" s="285">
        <f>SUM('Defect (Total)'!BI127*$M$3,Planned!CL127,Reconductor!CL127,CTGS!CL127,'Substation 2025$'!CL127*$M$1,Comms!CH127*$M$2)</f>
        <v>30</v>
      </c>
      <c r="L127" s="742"/>
      <c r="M127" s="79">
        <f>'Summary 2023$'!BL127*$M$4</f>
        <v>6188626.1356692081</v>
      </c>
      <c r="N127" s="523">
        <f>'Summary 2023$'!BM127*$M$4</f>
        <v>5079080.1529417541</v>
      </c>
      <c r="O127" s="415">
        <f>'Summary 2023$'!BN127*$M$4</f>
        <v>4291032.8071831325</v>
      </c>
      <c r="P127" s="79">
        <f>'Summary 2023$'!BO127*$M$4</f>
        <v>4140611.5008144523</v>
      </c>
      <c r="Q127" s="79">
        <f>'Summary 2023$'!BP127*$M$4</f>
        <v>4727878.3787529496</v>
      </c>
      <c r="R127" s="79">
        <f>'Summary 2023$'!BQ127*$M$4</f>
        <v>1798814.7991616274</v>
      </c>
      <c r="S127" s="80">
        <f>'Summary 2023$'!BR127*$M$4</f>
        <v>2609357.557587909</v>
      </c>
    </row>
    <row r="128" spans="1:19" x14ac:dyDescent="0.25">
      <c r="A128" s="81" t="s">
        <v>258</v>
      </c>
      <c r="B128" s="82" t="s">
        <v>259</v>
      </c>
      <c r="C128" s="83" t="s">
        <v>257</v>
      </c>
      <c r="D128" s="689">
        <f>SUM('Defect (Total)'!BB128*$M$3,Planned!CE128,Reconductor!CE128,CTGS!CE128,'Substation 2025$'!CE128*$M$1,Comms!CA128*$M$2)</f>
        <v>0</v>
      </c>
      <c r="E128" s="96">
        <f>SUM('Defect (Total)'!BC128*$M$3,Planned!CF128,Reconductor!CF128,CTGS!CF128,'Substation 2025$'!CF128*$M$1,Comms!CB128*$M$2)</f>
        <v>20</v>
      </c>
      <c r="F128" s="96">
        <f>SUM('Defect (Total)'!BD128*$M$3,Planned!CG128,Reconductor!CG128,CTGS!CG128,'Substation 2025$'!CG128*$M$1,Comms!CC128*$M$2)</f>
        <v>25</v>
      </c>
      <c r="G128" s="96">
        <f>SUM('Defect (Total)'!BE128*$M$3,Planned!CH128,Reconductor!CH128,CTGS!CH128,'Substation 2025$'!CH128*$M$1,Comms!CD128*$M$2)</f>
        <v>15</v>
      </c>
      <c r="H128" s="96">
        <f>SUM('Defect (Total)'!BF128*$M$3,Planned!CI128,Reconductor!CI128,CTGS!CI128,'Substation 2025$'!CI128*$M$1,Comms!CE128*$M$2)</f>
        <v>99</v>
      </c>
      <c r="I128" s="96">
        <f>SUM('Defect (Total)'!BG128*$M$3,Planned!CJ128,Reconductor!CJ128,CTGS!CJ128,'Substation 2025$'!CJ128*$M$1,Comms!CF128*$M$2)</f>
        <v>23</v>
      </c>
      <c r="J128" s="96">
        <f>SUM('Defect (Total)'!BH128*$M$3,Planned!CK128,Reconductor!CK128,CTGS!CK128,'Substation 2025$'!CK128*$M$1,Comms!CG128*$M$2)</f>
        <v>96</v>
      </c>
      <c r="K128" s="286">
        <f>SUM('Defect (Total)'!BI128*$M$3,Planned!CL128,Reconductor!CL128,CTGS!CL128,'Substation 2025$'!CL128*$M$1,Comms!CH128*$M$2)</f>
        <v>16</v>
      </c>
      <c r="L128" s="743"/>
      <c r="M128" s="97">
        <f>'Summary 2023$'!BL128*$M$4</f>
        <v>5699067.5068686763</v>
      </c>
      <c r="N128" s="524">
        <f>'Summary 2023$'!BM128*$M$4</f>
        <v>5570387.4064547336</v>
      </c>
      <c r="O128" s="416">
        <f>'Summary 2023$'!BN128*$M$4</f>
        <v>4061823.1225075326</v>
      </c>
      <c r="P128" s="97">
        <f>'Summary 2023$'!BO128*$M$4</f>
        <v>3903652.2967522582</v>
      </c>
      <c r="Q128" s="97">
        <f>'Summary 2023$'!BP128*$M$4</f>
        <v>4458447.0343947252</v>
      </c>
      <c r="R128" s="97">
        <f>'Summary 2023$'!BQ128*$M$4</f>
        <v>2372706.4121895279</v>
      </c>
      <c r="S128" s="98">
        <f>'Summary 2023$'!BR128*$M$4</f>
        <v>3147442.6303553856</v>
      </c>
    </row>
    <row r="129" spans="1:26" x14ac:dyDescent="0.25">
      <c r="A129" s="81" t="s">
        <v>258</v>
      </c>
      <c r="B129" s="82" t="s">
        <v>261</v>
      </c>
      <c r="C129" s="83" t="s">
        <v>402</v>
      </c>
      <c r="D129" s="689">
        <f>SUM('Defect (Total)'!BB129*$M$3,Planned!CE129,Reconductor!CE129,CTGS!CE129,'Substation 2025$'!CE129*$M$1,Comms!CA129*$M$2)</f>
        <v>0</v>
      </c>
      <c r="E129" s="96">
        <f>SUM('Defect (Total)'!BC129*$M$3,Planned!CF129,Reconductor!CF129,CTGS!CF129,'Substation 2025$'!CF129*$M$1,Comms!CB129*$M$2)</f>
        <v>0</v>
      </c>
      <c r="F129" s="96">
        <f>SUM('Defect (Total)'!BD129*$M$3,Planned!CG129,Reconductor!CG129,CTGS!CG129,'Substation 2025$'!CG129*$M$1,Comms!CC129*$M$2)</f>
        <v>0</v>
      </c>
      <c r="G129" s="96">
        <f>SUM('Defect (Total)'!BE129*$M$3,Planned!CH129,Reconductor!CH129,CTGS!CH129,'Substation 2025$'!CH129*$M$1,Comms!CD129*$M$2)</f>
        <v>0</v>
      </c>
      <c r="H129" s="96">
        <f>SUM('Defect (Total)'!BF129*$M$3,Planned!CI129,Reconductor!CI129,CTGS!CI129,'Substation 2025$'!CI129*$M$1,Comms!CE129*$M$2)</f>
        <v>0</v>
      </c>
      <c r="I129" s="96">
        <f>SUM('Defect (Total)'!BG129*$M$3,Planned!CJ129,Reconductor!CJ129,CTGS!CJ129,'Substation 2025$'!CJ129*$M$1,Comms!CF129*$M$2)</f>
        <v>0</v>
      </c>
      <c r="J129" s="96">
        <f>SUM('Defect (Total)'!BH129*$M$3,Planned!CK129,Reconductor!CK129,CTGS!CK129,'Substation 2025$'!CK129*$M$1,Comms!CG129*$M$2)</f>
        <v>0</v>
      </c>
      <c r="K129" s="286">
        <f>SUM('Defect (Total)'!BI129*$M$3,Planned!CL129,Reconductor!CL129,CTGS!CL129,'Substation 2025$'!CL129*$M$1,Comms!CH129*$M$2)</f>
        <v>0</v>
      </c>
      <c r="L129" s="743"/>
      <c r="M129" s="97">
        <f>'Summary 2023$'!BL129*$M$4</f>
        <v>0</v>
      </c>
      <c r="N129" s="524">
        <f>'Summary 2023$'!BM129*$M$4</f>
        <v>0</v>
      </c>
      <c r="O129" s="416">
        <f>'Summary 2023$'!BN129*$M$4</f>
        <v>0</v>
      </c>
      <c r="P129" s="97">
        <f>'Summary 2023$'!BO129*$M$4</f>
        <v>0</v>
      </c>
      <c r="Q129" s="97">
        <f>'Summary 2023$'!BP129*$M$4</f>
        <v>0</v>
      </c>
      <c r="R129" s="97">
        <f>'Summary 2023$'!BQ129*$M$4</f>
        <v>0</v>
      </c>
      <c r="S129" s="98">
        <f>'Summary 2023$'!BR129*$M$4</f>
        <v>0</v>
      </c>
      <c r="U129" s="815">
        <f>O132/1000000</f>
        <v>18.143779614776346</v>
      </c>
      <c r="V129" s="815">
        <f t="shared" ref="V129:Z129" si="0">P132/1000000</f>
        <v>17.374237495070719</v>
      </c>
      <c r="W129" s="815">
        <f t="shared" si="0"/>
        <v>17.086392832789034</v>
      </c>
      <c r="X129" s="815">
        <f t="shared" si="0"/>
        <v>27.375615430344695</v>
      </c>
      <c r="Y129" s="815">
        <f t="shared" si="0"/>
        <v>30.404596380443845</v>
      </c>
      <c r="Z129" s="815">
        <f t="shared" si="0"/>
        <v>0</v>
      </c>
    </row>
    <row r="130" spans="1:26" x14ac:dyDescent="0.25">
      <c r="A130" s="81" t="s">
        <v>258</v>
      </c>
      <c r="B130" s="82" t="s">
        <v>263</v>
      </c>
      <c r="C130" s="83" t="s">
        <v>403</v>
      </c>
      <c r="D130" s="689">
        <f>SUM('Defect (Total)'!BB130*$M$3,Planned!CE130,Reconductor!CE130,CTGS!CE130,'Substation 2025$'!CE130*$M$1,Comms!CA130*$M$2)</f>
        <v>0</v>
      </c>
      <c r="E130" s="96">
        <f>SUM('Defect (Total)'!BC130*$M$3,Planned!CF130,Reconductor!CF130,CTGS!CF130,'Substation 2025$'!CF130*$M$1,Comms!CB130*$M$2)</f>
        <v>0</v>
      </c>
      <c r="F130" s="96">
        <f>SUM('Defect (Total)'!BD130*$M$3,Planned!CG130,Reconductor!CG130,CTGS!CG130,'Substation 2025$'!CG130*$M$1,Comms!CC130*$M$2)</f>
        <v>0</v>
      </c>
      <c r="G130" s="96">
        <f>SUM('Defect (Total)'!BE130*$M$3,Planned!CH130,Reconductor!CH130,CTGS!CH130,'Substation 2025$'!CH130*$M$1,Comms!CD130*$M$2)</f>
        <v>0</v>
      </c>
      <c r="H130" s="96">
        <f>SUM('Defect (Total)'!BF130*$M$3,Planned!CI130,Reconductor!CI130,CTGS!CI130,'Substation 2025$'!CI130*$M$1,Comms!CE130*$M$2)</f>
        <v>1</v>
      </c>
      <c r="I130" s="96">
        <f>SUM('Defect (Total)'!BG130*$M$3,Planned!CJ130,Reconductor!CJ130,CTGS!CJ130,'Substation 2025$'!CJ130*$M$1,Comms!CF130*$M$2)</f>
        <v>0</v>
      </c>
      <c r="J130" s="96">
        <f>SUM('Defect (Total)'!BH130*$M$3,Planned!CK130,Reconductor!CK130,CTGS!CK130,'Substation 2025$'!CK130*$M$1,Comms!CG130*$M$2)</f>
        <v>1</v>
      </c>
      <c r="K130" s="286">
        <f>SUM('Defect (Total)'!BI130*$M$3,Planned!CL130,Reconductor!CL130,CTGS!CL130,'Substation 2025$'!CL130*$M$1,Comms!CH130*$M$2)</f>
        <v>0</v>
      </c>
      <c r="L130" s="743"/>
      <c r="M130" s="97">
        <f>'Summary 2023$'!BL130*$M$4</f>
        <v>952.87547872658934</v>
      </c>
      <c r="N130" s="524">
        <f>'Summary 2023$'!BM130*$M$4</f>
        <v>139738.99643044741</v>
      </c>
      <c r="O130" s="416">
        <f>'Summary 2023$'!BN130*$M$4</f>
        <v>3373034.7752994639</v>
      </c>
      <c r="P130" s="97">
        <f>'Summary 2023$'!BO130*$M$4</f>
        <v>2380911.2549173371</v>
      </c>
      <c r="Q130" s="97">
        <f>'Summary 2023$'!BP130*$M$4</f>
        <v>718230.35721250845</v>
      </c>
      <c r="R130" s="97">
        <f>'Summary 2023$'!BQ130*$M$4</f>
        <v>313023.98948481056</v>
      </c>
      <c r="S130" s="98">
        <f>'Summary 2023$'!BR130*$M$4</f>
        <v>0</v>
      </c>
    </row>
    <row r="131" spans="1:26" x14ac:dyDescent="0.25">
      <c r="A131" s="81" t="s">
        <v>258</v>
      </c>
      <c r="B131" s="82" t="s">
        <v>404</v>
      </c>
      <c r="C131" s="83" t="s">
        <v>405</v>
      </c>
      <c r="D131" s="689">
        <f>SUM('Defect (Total)'!BB131*$M$3,Planned!CE131,Reconductor!CE131,CTGS!CE131,'Substation 2025$'!CE131*$M$1,Comms!CA131*$M$2)</f>
        <v>0</v>
      </c>
      <c r="E131" s="96">
        <f>SUM('Defect (Total)'!BC131*$M$3,Planned!CF131,Reconductor!CF131,CTGS!CF131,'Substation 2025$'!CF131*$M$1,Comms!CB131*$M$2)</f>
        <v>0</v>
      </c>
      <c r="F131" s="96">
        <f>SUM('Defect (Total)'!BD131*$M$3,Planned!CG131,Reconductor!CG131,CTGS!CG131,'Substation 2025$'!CG131*$M$1,Comms!CC131*$M$2)</f>
        <v>0</v>
      </c>
      <c r="G131" s="96">
        <f>SUM('Defect (Total)'!BE131*$M$3,Planned!CH131,Reconductor!CH131,CTGS!CH131,'Substation 2025$'!CH131*$M$1,Comms!CD131*$M$2)</f>
        <v>0</v>
      </c>
      <c r="H131" s="96">
        <f>SUM('Defect (Total)'!BF131*$M$3,Planned!CI131,Reconductor!CI131,CTGS!CI131,'Substation 2025$'!CI131*$M$1,Comms!CE131*$M$2)</f>
        <v>0</v>
      </c>
      <c r="I131" s="96">
        <f>SUM('Defect (Total)'!BG131*$M$3,Planned!CJ131,Reconductor!CJ131,CTGS!CJ131,'Substation 2025$'!CJ131*$M$1,Comms!CF131*$M$2)</f>
        <v>0</v>
      </c>
      <c r="J131" s="96">
        <f>SUM('Defect (Total)'!BH131*$M$3,Planned!CK131,Reconductor!CK131,CTGS!CK131,'Substation 2025$'!CK131*$M$1,Comms!CG131*$M$2)</f>
        <v>0</v>
      </c>
      <c r="K131" s="286">
        <f>SUM('Defect (Total)'!BI131*$M$3,Planned!CL131,Reconductor!CL131,CTGS!CL131,'Substation 2025$'!CL131*$M$1,Comms!CH131*$M$2)</f>
        <v>0</v>
      </c>
      <c r="L131" s="743"/>
      <c r="M131" s="97">
        <f>'Summary 2023$'!BL131*$M$4</f>
        <v>0</v>
      </c>
      <c r="N131" s="524">
        <f>'Summary 2023$'!BM131*$M$4</f>
        <v>0</v>
      </c>
      <c r="O131" s="416">
        <f>'Summary 2023$'!BN131*$M$4</f>
        <v>0</v>
      </c>
      <c r="P131" s="97">
        <f>'Summary 2023$'!BO131*$M$4</f>
        <v>0</v>
      </c>
      <c r="Q131" s="97">
        <f>'Summary 2023$'!BP131*$M$4</f>
        <v>0</v>
      </c>
      <c r="R131" s="97">
        <f>'Summary 2023$'!BQ131*$M$4</f>
        <v>0</v>
      </c>
      <c r="S131" s="98">
        <f>'Summary 2023$'!BR131*$M$4</f>
        <v>0</v>
      </c>
    </row>
    <row r="132" spans="1:26" ht="15.75" thickBot="1" x14ac:dyDescent="0.3">
      <c r="A132" s="100" t="s">
        <v>258</v>
      </c>
      <c r="B132" s="101" t="s">
        <v>265</v>
      </c>
      <c r="C132" s="159" t="s">
        <v>406</v>
      </c>
      <c r="D132" s="690">
        <f>SUM('Defect (Total)'!BB132*$M$3,Planned!CE132,Reconductor!CE132,CTGS!CE132,'Substation 2025$'!CE132*$M$1,Comms!CA132*$M$2)</f>
        <v>0</v>
      </c>
      <c r="E132" s="115">
        <f>SUM('Defect (Total)'!BC132*$M$3,Planned!CF132,Reconductor!CF132,CTGS!CF132,'Substation 2025$'!CF132*$M$1,Comms!CB132*$M$2)</f>
        <v>0</v>
      </c>
      <c r="F132" s="115">
        <f>SUM('Defect (Total)'!BD132*$M$3,Planned!CG132,Reconductor!CG132,CTGS!CG132,'Substation 2025$'!CG132*$M$1,Comms!CC132*$M$2)</f>
        <v>0</v>
      </c>
      <c r="G132" s="115">
        <f>SUM('Defect (Total)'!BE132*$M$3,Planned!CH132,Reconductor!CH132,CTGS!CH132,'Substation 2025$'!CH132*$M$1,Comms!CD132*$M$2)</f>
        <v>0</v>
      </c>
      <c r="H132" s="115">
        <f>SUM('Defect (Total)'!BF132*$M$3,Planned!CI132,Reconductor!CI132,CTGS!CI132,'Substation 2025$'!CI132*$M$1,Comms!CE132*$M$2)</f>
        <v>26.085065208566085</v>
      </c>
      <c r="I132" s="115">
        <f>SUM('Defect (Total)'!BG132*$M$3,Planned!CJ132,Reconductor!CJ132,CTGS!CJ132,'Substation 2025$'!CJ132*$M$1,Comms!CF132*$M$2)</f>
        <v>45.845069305522095</v>
      </c>
      <c r="J132" s="115">
        <f>SUM('Defect (Total)'!BH132*$M$3,Planned!CK132,Reconductor!CK132,CTGS!CK132,'Substation 2025$'!CK132*$M$1,Comms!CG132*$M$2)</f>
        <v>169.8762281855621</v>
      </c>
      <c r="K132" s="287">
        <f>SUM('Defect (Total)'!BI132*$M$3,Planned!CL132,Reconductor!CL132,CTGS!CL132,'Substation 2025$'!CL132*$M$1,Comms!CH132*$M$2)</f>
        <v>412.92522796535678</v>
      </c>
      <c r="L132" s="744"/>
      <c r="M132" s="117">
        <f>'Summary 2023$'!BL132*$M$4</f>
        <v>24617649.832859442</v>
      </c>
      <c r="N132" s="638">
        <f>'Summary 2023$'!BM132*$M$4</f>
        <v>26297302.041446149</v>
      </c>
      <c r="O132" s="467">
        <f>'Summary 2023$'!BN132*$M$4</f>
        <v>18143779.614776347</v>
      </c>
      <c r="P132" s="117">
        <f>'Summary 2023$'!BO132*$M$4</f>
        <v>17374237.495070718</v>
      </c>
      <c r="Q132" s="117">
        <f>'Summary 2023$'!BP132*$M$4</f>
        <v>17086392.832789034</v>
      </c>
      <c r="R132" s="117">
        <f>'Summary 2023$'!BQ132*$M$4</f>
        <v>27375615.430344693</v>
      </c>
      <c r="S132" s="118">
        <f>'Summary 2023$'!BR132*$M$4</f>
        <v>30404596.380443845</v>
      </c>
      <c r="V132" t="s">
        <v>595</v>
      </c>
      <c r="X132">
        <v>120</v>
      </c>
    </row>
    <row r="133" spans="1:26" ht="15.75" thickBot="1" x14ac:dyDescent="0.3">
      <c r="A133" s="19"/>
      <c r="B133" s="19"/>
      <c r="C133" s="160" t="s">
        <v>407</v>
      </c>
      <c r="D133" s="732">
        <f t="shared" ref="D133:K133" si="1">SUM(D7:D132)</f>
        <v>64976.702534263684</v>
      </c>
      <c r="E133" s="733">
        <f t="shared" si="1"/>
        <v>63411.574762519755</v>
      </c>
      <c r="F133" s="733">
        <f t="shared" si="1"/>
        <v>63517.175762519764</v>
      </c>
      <c r="G133" s="733">
        <f t="shared" si="1"/>
        <v>71849.301403004254</v>
      </c>
      <c r="H133" s="733">
        <f t="shared" si="1"/>
        <v>72814.343949925809</v>
      </c>
      <c r="I133" s="733">
        <f t="shared" si="1"/>
        <v>72972.000608498085</v>
      </c>
      <c r="J133" s="733">
        <f t="shared" si="1"/>
        <v>73507.853421853433</v>
      </c>
      <c r="K133" s="734">
        <f t="shared" si="1"/>
        <v>73801.214248870907</v>
      </c>
      <c r="L133" s="745"/>
      <c r="M133" s="205">
        <f t="shared" ref="M133:S133" si="2">SUM(M7:M132)</f>
        <v>446365842.92504501</v>
      </c>
      <c r="N133" s="765">
        <f t="shared" si="2"/>
        <v>430722550.14432907</v>
      </c>
      <c r="O133" s="206">
        <f>SUM(O7:O132)</f>
        <v>414220086.99346608</v>
      </c>
      <c r="P133" s="163">
        <f>SUM(P7:P132)</f>
        <v>419327950.47666883</v>
      </c>
      <c r="Q133" s="163">
        <f t="shared" si="2"/>
        <v>433309066.02399528</v>
      </c>
      <c r="R133" s="163">
        <f t="shared" si="2"/>
        <v>448436978.09018785</v>
      </c>
      <c r="S133" s="164">
        <f t="shared" si="2"/>
        <v>463652570.81631184</v>
      </c>
      <c r="T133" s="395"/>
      <c r="V133" t="s">
        <v>594</v>
      </c>
      <c r="X133" s="395">
        <f>-(SUM(O133:S133)-SUM(O134:S134))/1000000</f>
        <v>-183.90656181545543</v>
      </c>
    </row>
    <row r="134" spans="1:26" x14ac:dyDescent="0.25">
      <c r="A134" s="19"/>
      <c r="B134" s="19"/>
      <c r="C134" s="19"/>
      <c r="D134" s="685"/>
      <c r="E134" s="19"/>
      <c r="F134" s="19"/>
      <c r="G134" s="19"/>
      <c r="H134" s="19"/>
      <c r="I134" s="19"/>
      <c r="J134" s="19"/>
      <c r="K134" s="282"/>
      <c r="L134" s="19"/>
      <c r="M134" s="19"/>
      <c r="N134" s="19"/>
      <c r="O134" s="20">
        <v>399008018.11703491</v>
      </c>
      <c r="P134" s="20">
        <v>399008018.11703491</v>
      </c>
      <c r="Q134" s="20">
        <v>399008018.11703491</v>
      </c>
      <c r="R134" s="20">
        <v>399008018.11703491</v>
      </c>
      <c r="S134" s="20">
        <v>399008018.11703491</v>
      </c>
      <c r="V134" t="s">
        <v>596</v>
      </c>
    </row>
    <row r="135" spans="1:26" ht="15.75" thickBot="1" x14ac:dyDescent="0.3">
      <c r="A135" s="19"/>
      <c r="B135" s="19"/>
      <c r="C135" s="24" t="s">
        <v>408</v>
      </c>
      <c r="D135" s="697"/>
      <c r="E135" s="165"/>
      <c r="F135" s="165"/>
      <c r="G135" s="165"/>
      <c r="H135" s="165"/>
      <c r="I135" s="165"/>
      <c r="J135" s="165"/>
      <c r="K135" s="294"/>
      <c r="L135" s="19"/>
      <c r="M135" s="19"/>
      <c r="N135" s="19"/>
      <c r="O135" s="19"/>
      <c r="P135" s="19"/>
      <c r="Q135" s="19"/>
      <c r="R135" s="19"/>
      <c r="S135" s="19"/>
      <c r="T135" s="395"/>
      <c r="V135" t="s">
        <v>601</v>
      </c>
    </row>
    <row r="136" spans="1:26" x14ac:dyDescent="0.25">
      <c r="A136" s="63" t="s">
        <v>296</v>
      </c>
      <c r="B136" s="166"/>
      <c r="C136" s="64" t="s">
        <v>409</v>
      </c>
      <c r="D136" s="698">
        <f t="shared" ref="D136:K146" si="3">SUMIF($A$7:$A$132,$A136,D$7:D$132)</f>
        <v>4658</v>
      </c>
      <c r="E136" s="76">
        <f t="shared" si="3"/>
        <v>4658</v>
      </c>
      <c r="F136" s="632">
        <f t="shared" si="3"/>
        <v>4658</v>
      </c>
      <c r="G136" s="75">
        <f t="shared" si="3"/>
        <v>4658</v>
      </c>
      <c r="H136" s="76">
        <f t="shared" si="3"/>
        <v>4658</v>
      </c>
      <c r="I136" s="76">
        <f t="shared" si="3"/>
        <v>4658</v>
      </c>
      <c r="J136" s="76">
        <f t="shared" si="3"/>
        <v>4658</v>
      </c>
      <c r="K136" s="633">
        <f t="shared" si="3"/>
        <v>4658</v>
      </c>
      <c r="L136" s="415">
        <f>SUMIF($A$7:$A$132,$A136,L$7:L$132)</f>
        <v>0</v>
      </c>
      <c r="M136" s="79">
        <f t="shared" ref="M136:S146" si="4">SUMIF($A$7:$A$132,$A136,M$7:M$132)</f>
        <v>8916481.7887265626</v>
      </c>
      <c r="N136" s="523">
        <f t="shared" si="4"/>
        <v>8916481.7887265626</v>
      </c>
      <c r="O136" s="415">
        <f t="shared" si="4"/>
        <v>8916481.7887265626</v>
      </c>
      <c r="P136" s="79">
        <f t="shared" si="4"/>
        <v>8916481.7887265626</v>
      </c>
      <c r="Q136" s="79">
        <f t="shared" si="4"/>
        <v>8916481.7887265626</v>
      </c>
      <c r="R136" s="79">
        <f t="shared" si="4"/>
        <v>8916481.7887265626</v>
      </c>
      <c r="S136" s="80">
        <f t="shared" si="4"/>
        <v>8916481.7887265626</v>
      </c>
      <c r="V136" t="s">
        <v>597</v>
      </c>
    </row>
    <row r="137" spans="1:26" x14ac:dyDescent="0.25">
      <c r="A137" s="81" t="s">
        <v>27</v>
      </c>
      <c r="B137" s="171"/>
      <c r="C137" s="82" t="s">
        <v>410</v>
      </c>
      <c r="D137" s="699">
        <f t="shared" si="3"/>
        <v>14449.733333333332</v>
      </c>
      <c r="E137" s="94">
        <f t="shared" si="3"/>
        <v>13980.067439449182</v>
      </c>
      <c r="F137" s="634">
        <f t="shared" si="3"/>
        <v>13980.067439449182</v>
      </c>
      <c r="G137" s="93">
        <f t="shared" si="3"/>
        <v>14501.628115367692</v>
      </c>
      <c r="H137" s="94">
        <f t="shared" si="3"/>
        <v>14610.376550596677</v>
      </c>
      <c r="I137" s="94">
        <f t="shared" si="3"/>
        <v>14682.875507415998</v>
      </c>
      <c r="J137" s="94">
        <f t="shared" si="3"/>
        <v>14755.374464235318</v>
      </c>
      <c r="K137" s="635">
        <f t="shared" si="3"/>
        <v>14791.623942644976</v>
      </c>
      <c r="L137" s="416">
        <f t="shared" ref="L137:L146" si="5">SUMIF($A$7:$A$132,$A137,L$7:L$132)</f>
        <v>0</v>
      </c>
      <c r="M137" s="97">
        <f t="shared" si="4"/>
        <v>92000510.651778951</v>
      </c>
      <c r="N137" s="524">
        <f t="shared" si="4"/>
        <v>92000510.651778951</v>
      </c>
      <c r="O137" s="416">
        <f t="shared" si="4"/>
        <v>96000802.841396302</v>
      </c>
      <c r="P137" s="97">
        <f t="shared" si="4"/>
        <v>96834887.035557404</v>
      </c>
      <c r="Q137" s="97">
        <f t="shared" si="4"/>
        <v>97390943.164998129</v>
      </c>
      <c r="R137" s="97">
        <f t="shared" si="4"/>
        <v>97946999.294438869</v>
      </c>
      <c r="S137" s="98">
        <f t="shared" si="4"/>
        <v>98225027.359159231</v>
      </c>
      <c r="V137" t="s">
        <v>598</v>
      </c>
    </row>
    <row r="138" spans="1:26" x14ac:dyDescent="0.25">
      <c r="A138" s="81" t="s">
        <v>68</v>
      </c>
      <c r="B138" s="171"/>
      <c r="C138" s="82" t="s">
        <v>411</v>
      </c>
      <c r="D138" s="699">
        <f t="shared" si="3"/>
        <v>21842.399999999998</v>
      </c>
      <c r="E138" s="94">
        <f t="shared" si="3"/>
        <v>20911.171175362408</v>
      </c>
      <c r="F138" s="634">
        <f t="shared" si="3"/>
        <v>20911.171175362408</v>
      </c>
      <c r="G138" s="93">
        <f t="shared" si="3"/>
        <v>30184.285044535602</v>
      </c>
      <c r="H138" s="94">
        <f t="shared" si="3"/>
        <v>30402.739680878618</v>
      </c>
      <c r="I138" s="94">
        <f t="shared" si="3"/>
        <v>30548.376105107294</v>
      </c>
      <c r="J138" s="94">
        <f t="shared" si="3"/>
        <v>30694.012529335971</v>
      </c>
      <c r="K138" s="635">
        <f t="shared" si="3"/>
        <v>30766.830741450311</v>
      </c>
      <c r="L138" s="416">
        <f t="shared" si="5"/>
        <v>0</v>
      </c>
      <c r="M138" s="97">
        <f t="shared" si="4"/>
        <v>60021129.759215541</v>
      </c>
      <c r="N138" s="524">
        <f t="shared" si="4"/>
        <v>60021129.759215541</v>
      </c>
      <c r="O138" s="416">
        <f t="shared" si="4"/>
        <v>90479051.430287749</v>
      </c>
      <c r="P138" s="97">
        <f t="shared" si="4"/>
        <v>90961626.702275932</v>
      </c>
      <c r="Q138" s="97">
        <f t="shared" si="4"/>
        <v>91283343.550268054</v>
      </c>
      <c r="R138" s="97">
        <f t="shared" si="4"/>
        <v>91605060.398260176</v>
      </c>
      <c r="S138" s="98">
        <f t="shared" si="4"/>
        <v>91765918.822256252</v>
      </c>
      <c r="V138" t="s">
        <v>599</v>
      </c>
    </row>
    <row r="139" spans="1:26" x14ac:dyDescent="0.25">
      <c r="A139" s="81" t="s">
        <v>81</v>
      </c>
      <c r="B139" s="171"/>
      <c r="C139" s="82" t="s">
        <v>270</v>
      </c>
      <c r="D139" s="699">
        <f t="shared" si="3"/>
        <v>492.34471183239975</v>
      </c>
      <c r="E139" s="94">
        <f t="shared" si="3"/>
        <v>553.02877600199997</v>
      </c>
      <c r="F139" s="634">
        <f t="shared" si="3"/>
        <v>551.02877600199997</v>
      </c>
      <c r="G139" s="93">
        <f t="shared" si="3"/>
        <v>700.02877600199997</v>
      </c>
      <c r="H139" s="94">
        <f t="shared" si="3"/>
        <v>730.02877600199986</v>
      </c>
      <c r="I139" s="94">
        <f t="shared" si="3"/>
        <v>750.02877600200009</v>
      </c>
      <c r="J139" s="94">
        <f t="shared" si="3"/>
        <v>770.02877600200009</v>
      </c>
      <c r="K139" s="635">
        <f t="shared" si="3"/>
        <v>780.02877600199997</v>
      </c>
      <c r="L139" s="416">
        <f t="shared" si="5"/>
        <v>0</v>
      </c>
      <c r="M139" s="97">
        <f t="shared" si="4"/>
        <v>41492820.185023546</v>
      </c>
      <c r="N139" s="524">
        <f t="shared" si="4"/>
        <v>37596159.908116639</v>
      </c>
      <c r="O139" s="416">
        <f t="shared" si="4"/>
        <v>42946994.629667118</v>
      </c>
      <c r="P139" s="97">
        <f t="shared" si="4"/>
        <v>44385001.453658298</v>
      </c>
      <c r="Q139" s="97">
        <f t="shared" si="4"/>
        <v>45344090.877674058</v>
      </c>
      <c r="R139" s="97">
        <f t="shared" si="4"/>
        <v>46303476.021817073</v>
      </c>
      <c r="S139" s="98">
        <f t="shared" si="4"/>
        <v>46783270.441973045</v>
      </c>
      <c r="V139" t="s">
        <v>602</v>
      </c>
    </row>
    <row r="140" spans="1:26" x14ac:dyDescent="0.25">
      <c r="A140" s="81" t="s">
        <v>94</v>
      </c>
      <c r="B140" s="171"/>
      <c r="C140" s="82" t="s">
        <v>412</v>
      </c>
      <c r="D140" s="699">
        <f t="shared" si="3"/>
        <v>10.867024912488883</v>
      </c>
      <c r="E140" s="94">
        <f t="shared" si="3"/>
        <v>19.380691549933331</v>
      </c>
      <c r="F140" s="634">
        <f t="shared" si="3"/>
        <v>19.981691549933334</v>
      </c>
      <c r="G140" s="93">
        <f t="shared" si="3"/>
        <v>19.980691549933333</v>
      </c>
      <c r="H140" s="94">
        <f t="shared" si="3"/>
        <v>25.505691549933331</v>
      </c>
      <c r="I140" s="94">
        <f t="shared" si="3"/>
        <v>20.980691549933333</v>
      </c>
      <c r="J140" s="94">
        <f t="shared" si="3"/>
        <v>21.980691549933333</v>
      </c>
      <c r="K140" s="635">
        <f t="shared" si="3"/>
        <v>28.681691549933333</v>
      </c>
      <c r="L140" s="416">
        <f t="shared" si="5"/>
        <v>0</v>
      </c>
      <c r="M140" s="97">
        <f t="shared" si="4"/>
        <v>10123311.258987473</v>
      </c>
      <c r="N140" s="524">
        <f t="shared" si="4"/>
        <v>9449990.2593442369</v>
      </c>
      <c r="O140" s="416">
        <f t="shared" si="4"/>
        <v>7824748.771009881</v>
      </c>
      <c r="P140" s="97">
        <f t="shared" si="4"/>
        <v>7773457.938591334</v>
      </c>
      <c r="Q140" s="97">
        <f t="shared" si="4"/>
        <v>7941689.1266974751</v>
      </c>
      <c r="R140" s="97">
        <f t="shared" si="4"/>
        <v>8478083.8118774071</v>
      </c>
      <c r="S140" s="98">
        <f t="shared" si="4"/>
        <v>9258289.9178947918</v>
      </c>
    </row>
    <row r="141" spans="1:26" x14ac:dyDescent="0.25">
      <c r="A141" s="81" t="s">
        <v>106</v>
      </c>
      <c r="B141" s="171"/>
      <c r="C141" s="82" t="s">
        <v>272</v>
      </c>
      <c r="D141" s="699">
        <f t="shared" si="3"/>
        <v>17338.357464185465</v>
      </c>
      <c r="E141" s="96">
        <f t="shared" si="3"/>
        <v>17508.467067597943</v>
      </c>
      <c r="F141" s="521">
        <f t="shared" si="3"/>
        <v>17508.467067597943</v>
      </c>
      <c r="G141" s="421">
        <f t="shared" si="3"/>
        <v>18073.445093230996</v>
      </c>
      <c r="H141" s="96">
        <f t="shared" si="3"/>
        <v>18191.246298465947</v>
      </c>
      <c r="I141" s="96">
        <f t="shared" si="3"/>
        <v>18269.780435289242</v>
      </c>
      <c r="J141" s="96">
        <f t="shared" si="3"/>
        <v>18348.314572112544</v>
      </c>
      <c r="K141" s="286">
        <f t="shared" si="3"/>
        <v>18387.581640524189</v>
      </c>
      <c r="L141" s="416">
        <f t="shared" si="5"/>
        <v>0</v>
      </c>
      <c r="M141" s="97">
        <f t="shared" si="4"/>
        <v>24769157.051376179</v>
      </c>
      <c r="N141" s="524">
        <f t="shared" si="4"/>
        <v>24769157.051376179</v>
      </c>
      <c r="O141" s="416">
        <f t="shared" si="4"/>
        <v>25700687.082553677</v>
      </c>
      <c r="P141" s="97">
        <f t="shared" si="4"/>
        <v>25894916.513445791</v>
      </c>
      <c r="Q141" s="97">
        <f t="shared" si="4"/>
        <v>26024402.800707199</v>
      </c>
      <c r="R141" s="97">
        <f t="shared" si="4"/>
        <v>26153889.087968607</v>
      </c>
      <c r="S141" s="98">
        <f t="shared" si="4"/>
        <v>26218632.231599309</v>
      </c>
    </row>
    <row r="142" spans="1:26" x14ac:dyDescent="0.25">
      <c r="A142" s="81" t="s">
        <v>138</v>
      </c>
      <c r="B142" s="171"/>
      <c r="C142" s="82" t="s">
        <v>413</v>
      </c>
      <c r="D142" s="699">
        <f t="shared" si="3"/>
        <v>1757.4666666666669</v>
      </c>
      <c r="E142" s="96">
        <f t="shared" si="3"/>
        <v>1634.9170821211947</v>
      </c>
      <c r="F142" s="521">
        <f t="shared" si="3"/>
        <v>1636.9170821211947</v>
      </c>
      <c r="G142" s="421">
        <f t="shared" si="3"/>
        <v>942.30424477936936</v>
      </c>
      <c r="H142" s="96">
        <f t="shared" si="3"/>
        <v>949.55876292157745</v>
      </c>
      <c r="I142" s="96">
        <f t="shared" si="3"/>
        <v>962.72844168304937</v>
      </c>
      <c r="J142" s="96">
        <f t="shared" si="3"/>
        <v>958.89812044452151</v>
      </c>
      <c r="K142" s="286">
        <f t="shared" si="3"/>
        <v>965.98295982525747</v>
      </c>
      <c r="L142" s="416">
        <f t="shared" si="5"/>
        <v>0</v>
      </c>
      <c r="M142" s="97">
        <f t="shared" si="4"/>
        <v>66814670.407142319</v>
      </c>
      <c r="N142" s="524">
        <f t="shared" si="4"/>
        <v>60821292.658660784</v>
      </c>
      <c r="O142" s="416">
        <f t="shared" si="4"/>
        <v>39717835.325604416</v>
      </c>
      <c r="P142" s="97">
        <f t="shared" si="4"/>
        <v>42704138.872416973</v>
      </c>
      <c r="Q142" s="97">
        <f t="shared" si="4"/>
        <v>45043638.351657256</v>
      </c>
      <c r="R142" s="97">
        <f t="shared" si="4"/>
        <v>51298507.853016675</v>
      </c>
      <c r="S142" s="98">
        <f t="shared" si="4"/>
        <v>56254748.176995985</v>
      </c>
    </row>
    <row r="143" spans="1:26" x14ac:dyDescent="0.25">
      <c r="A143" s="81" t="s">
        <v>196</v>
      </c>
      <c r="B143" s="171"/>
      <c r="C143" s="82" t="s">
        <v>274</v>
      </c>
      <c r="D143" s="699">
        <f t="shared" si="3"/>
        <v>4427.5333333333338</v>
      </c>
      <c r="E143" s="96">
        <f t="shared" si="3"/>
        <v>4054.5425304371051</v>
      </c>
      <c r="F143" s="521">
        <f t="shared" si="3"/>
        <v>4099.5425304371056</v>
      </c>
      <c r="G143" s="421">
        <f>SUMIF($A$7:$A$132,$A143,G$7:G$132)</f>
        <v>2461.4294375386917</v>
      </c>
      <c r="H143" s="96">
        <f t="shared" si="3"/>
        <v>2546.60312430251</v>
      </c>
      <c r="I143" s="96">
        <f t="shared" si="3"/>
        <v>2533.3855821450552</v>
      </c>
      <c r="J143" s="96">
        <f t="shared" si="3"/>
        <v>2562.1680399876009</v>
      </c>
      <c r="K143" s="286">
        <f t="shared" si="3"/>
        <v>2548.5592689088735</v>
      </c>
      <c r="L143" s="416">
        <f t="shared" si="5"/>
        <v>0</v>
      </c>
      <c r="M143" s="97">
        <f t="shared" si="4"/>
        <v>68169383.859019116</v>
      </c>
      <c r="N143" s="524">
        <f t="shared" si="4"/>
        <v>64344332.979713544</v>
      </c>
      <c r="O143" s="416">
        <f t="shared" si="4"/>
        <v>41101318.010240406</v>
      </c>
      <c r="P143" s="97">
        <f t="shared" si="4"/>
        <v>40894815.282787032</v>
      </c>
      <c r="Q143" s="97">
        <f t="shared" si="4"/>
        <v>42543609.821490608</v>
      </c>
      <c r="R143" s="97">
        <f t="shared" si="4"/>
        <v>40789379.16877</v>
      </c>
      <c r="S143" s="98">
        <f t="shared" si="4"/>
        <v>42595290.914656296</v>
      </c>
    </row>
    <row r="144" spans="1:26" x14ac:dyDescent="0.25">
      <c r="A144" s="81" t="s">
        <v>224</v>
      </c>
      <c r="B144" s="171"/>
      <c r="C144" s="82" t="s">
        <v>414</v>
      </c>
      <c r="D144" s="699">
        <f t="shared" si="3"/>
        <v>0</v>
      </c>
      <c r="E144" s="96">
        <f t="shared" si="3"/>
        <v>0</v>
      </c>
      <c r="F144" s="521">
        <f t="shared" si="3"/>
        <v>0</v>
      </c>
      <c r="G144" s="421">
        <f t="shared" si="3"/>
        <v>0</v>
      </c>
      <c r="H144" s="96">
        <f t="shared" si="3"/>
        <v>0</v>
      </c>
      <c r="I144" s="96">
        <f>SUMIF($A$7:$A$132,$A144,I$7:I$132)</f>
        <v>0</v>
      </c>
      <c r="J144" s="96">
        <f t="shared" si="3"/>
        <v>0</v>
      </c>
      <c r="K144" s="286">
        <f t="shared" si="3"/>
        <v>0</v>
      </c>
      <c r="L144" s="416">
        <f t="shared" si="5"/>
        <v>0</v>
      </c>
      <c r="M144" s="97">
        <f t="shared" si="4"/>
        <v>0</v>
      </c>
      <c r="N144" s="524">
        <f t="shared" si="4"/>
        <v>0</v>
      </c>
      <c r="O144" s="416">
        <f t="shared" si="4"/>
        <v>0</v>
      </c>
      <c r="P144" s="97">
        <f t="shared" si="4"/>
        <v>0</v>
      </c>
      <c r="Q144" s="97">
        <f t="shared" si="4"/>
        <v>0</v>
      </c>
      <c r="R144" s="97">
        <f t="shared" si="4"/>
        <v>0</v>
      </c>
      <c r="S144" s="98">
        <f t="shared" si="4"/>
        <v>0</v>
      </c>
    </row>
    <row r="145" spans="1:25" x14ac:dyDescent="0.25">
      <c r="A145" s="81" t="s">
        <v>242</v>
      </c>
      <c r="B145" s="171"/>
      <c r="C145" s="82" t="s">
        <v>415</v>
      </c>
      <c r="D145" s="699">
        <f t="shared" si="3"/>
        <v>0</v>
      </c>
      <c r="E145" s="96">
        <f t="shared" si="3"/>
        <v>52</v>
      </c>
      <c r="F145" s="521">
        <f t="shared" si="3"/>
        <v>102</v>
      </c>
      <c r="G145" s="421">
        <f t="shared" si="3"/>
        <v>272.2</v>
      </c>
      <c r="H145" s="96">
        <f t="shared" si="3"/>
        <v>503.2</v>
      </c>
      <c r="I145" s="96">
        <f t="shared" si="3"/>
        <v>432</v>
      </c>
      <c r="J145" s="96">
        <f t="shared" si="3"/>
        <v>384.2</v>
      </c>
      <c r="K145" s="286">
        <f>SUMIF($A$7:$A$132,$A145,K$7:K$132)</f>
        <v>415</v>
      </c>
      <c r="L145" s="416">
        <f t="shared" si="5"/>
        <v>0</v>
      </c>
      <c r="M145" s="97">
        <f t="shared" si="4"/>
        <v>37552081.612899378</v>
      </c>
      <c r="N145" s="524">
        <f t="shared" si="4"/>
        <v>35716986.490123712</v>
      </c>
      <c r="O145" s="416">
        <f t="shared" si="4"/>
        <v>31662496.794213429</v>
      </c>
      <c r="P145" s="97">
        <f t="shared" si="4"/>
        <v>33163212.341654859</v>
      </c>
      <c r="Q145" s="97">
        <f t="shared" si="4"/>
        <v>41829917.938626908</v>
      </c>
      <c r="R145" s="97">
        <f t="shared" si="4"/>
        <v>45084940.034131676</v>
      </c>
      <c r="S145" s="98">
        <f t="shared" si="4"/>
        <v>47473514.594663277</v>
      </c>
    </row>
    <row r="146" spans="1:25" ht="15.75" thickBot="1" x14ac:dyDescent="0.3">
      <c r="A146" s="100" t="s">
        <v>258</v>
      </c>
      <c r="B146" s="176"/>
      <c r="C146" s="101" t="s">
        <v>64</v>
      </c>
      <c r="D146" s="700">
        <f t="shared" si="3"/>
        <v>0</v>
      </c>
      <c r="E146" s="115">
        <f t="shared" si="3"/>
        <v>40</v>
      </c>
      <c r="F146" s="522">
        <f t="shared" si="3"/>
        <v>50</v>
      </c>
      <c r="G146" s="422">
        <f t="shared" si="3"/>
        <v>36</v>
      </c>
      <c r="H146" s="115">
        <f t="shared" si="3"/>
        <v>197.08506520856608</v>
      </c>
      <c r="I146" s="115">
        <f t="shared" si="3"/>
        <v>113.84506930552209</v>
      </c>
      <c r="J146" s="115">
        <f t="shared" si="3"/>
        <v>354.87622818556213</v>
      </c>
      <c r="K146" s="287">
        <f t="shared" si="3"/>
        <v>458.92522796535678</v>
      </c>
      <c r="L146" s="417">
        <f t="shared" si="5"/>
        <v>0</v>
      </c>
      <c r="M146" s="181">
        <f t="shared" si="4"/>
        <v>36506296.350876048</v>
      </c>
      <c r="N146" s="525">
        <f t="shared" si="4"/>
        <v>37086508.597273082</v>
      </c>
      <c r="O146" s="467">
        <f t="shared" si="4"/>
        <v>29869670.319766477</v>
      </c>
      <c r="P146" s="117">
        <f t="shared" si="4"/>
        <v>27799412.547554765</v>
      </c>
      <c r="Q146" s="117">
        <f t="shared" si="4"/>
        <v>26990948.603149217</v>
      </c>
      <c r="R146" s="117">
        <f t="shared" si="4"/>
        <v>31860160.631180659</v>
      </c>
      <c r="S146" s="118">
        <f t="shared" si="4"/>
        <v>36161396.568387136</v>
      </c>
    </row>
    <row r="147" spans="1:25" ht="15.75" thickBot="1" x14ac:dyDescent="0.3">
      <c r="D147" s="685"/>
      <c r="E147" s="19"/>
      <c r="F147" s="19"/>
      <c r="G147" s="19"/>
      <c r="H147" s="19"/>
      <c r="I147" s="19"/>
      <c r="J147" s="19"/>
      <c r="K147" s="282"/>
      <c r="L147" s="183">
        <f>SUM(L136:L146)</f>
        <v>0</v>
      </c>
      <c r="M147" s="184">
        <f t="shared" ref="M147:S147" si="6">SUM(M136:M146)</f>
        <v>446365842.92504513</v>
      </c>
      <c r="N147" s="526">
        <f t="shared" si="6"/>
        <v>430722550.14432919</v>
      </c>
      <c r="O147" s="527">
        <f t="shared" si="6"/>
        <v>414220086.99346596</v>
      </c>
      <c r="P147" s="528">
        <f t="shared" si="6"/>
        <v>419327950.47666889</v>
      </c>
      <c r="Q147" s="528">
        <f t="shared" si="6"/>
        <v>433309066.02399546</v>
      </c>
      <c r="R147" s="528">
        <f t="shared" si="6"/>
        <v>448436978.09018767</v>
      </c>
      <c r="S147" s="529">
        <f t="shared" si="6"/>
        <v>463652570.8163119</v>
      </c>
      <c r="T147" s="627">
        <f>SUM(O147:S147)</f>
        <v>2178946652.40063</v>
      </c>
    </row>
    <row r="148" spans="1:25" ht="15.75" thickBot="1" x14ac:dyDescent="0.3">
      <c r="S148" s="628" t="s">
        <v>617</v>
      </c>
      <c r="T148" s="625">
        <v>1869884979.0138216</v>
      </c>
    </row>
    <row r="149" spans="1:25" ht="15.75" thickBot="1" x14ac:dyDescent="0.3">
      <c r="K149" s="650"/>
      <c r="S149" s="629" t="s">
        <v>618</v>
      </c>
      <c r="T149" s="626">
        <f>T147-T148</f>
        <v>309061673.3868084</v>
      </c>
      <c r="V149" s="622"/>
      <c r="W149" s="622" t="s">
        <v>606</v>
      </c>
      <c r="X149" s="622" t="s">
        <v>608</v>
      </c>
      <c r="Y149" s="622"/>
    </row>
    <row r="150" spans="1:25" ht="15.75" thickBot="1" x14ac:dyDescent="0.3">
      <c r="K150" s="650"/>
      <c r="V150" s="411" t="s">
        <v>614</v>
      </c>
      <c r="W150" s="411" t="s">
        <v>607</v>
      </c>
      <c r="X150" s="411" t="s">
        <v>607</v>
      </c>
      <c r="Y150" s="411" t="s">
        <v>609</v>
      </c>
    </row>
    <row r="151" spans="1:25" ht="15.75" thickBot="1" x14ac:dyDescent="0.3">
      <c r="K151" s="650"/>
      <c r="T151" s="627">
        <v>1613131096.2603467</v>
      </c>
      <c r="V151" s="405" t="s">
        <v>486</v>
      </c>
      <c r="W151" s="405">
        <v>212</v>
      </c>
      <c r="X151" s="405">
        <v>192</v>
      </c>
      <c r="Y151" s="406" t="s">
        <v>610</v>
      </c>
    </row>
    <row r="152" spans="1:25" ht="45" x14ac:dyDescent="0.25">
      <c r="K152" s="650"/>
      <c r="O152" s="395"/>
      <c r="P152" s="395"/>
      <c r="Q152" s="395"/>
      <c r="R152" s="395"/>
      <c r="S152" s="395"/>
      <c r="T152" s="395"/>
      <c r="V152" s="405" t="s">
        <v>421</v>
      </c>
      <c r="W152" s="405">
        <v>70</v>
      </c>
      <c r="X152" s="405">
        <v>95</v>
      </c>
      <c r="Y152" s="406" t="s">
        <v>599</v>
      </c>
    </row>
    <row r="153" spans="1:25" ht="30" x14ac:dyDescent="0.25">
      <c r="K153" s="650"/>
      <c r="V153" s="405" t="s">
        <v>421</v>
      </c>
      <c r="W153" s="405">
        <v>95</v>
      </c>
      <c r="X153" s="405">
        <v>73</v>
      </c>
      <c r="Y153" s="406" t="s">
        <v>612</v>
      </c>
    </row>
    <row r="154" spans="1:25" x14ac:dyDescent="0.25">
      <c r="G154" s="650"/>
      <c r="H154" s="650"/>
      <c r="I154" s="650"/>
      <c r="J154" s="650"/>
      <c r="K154" s="650"/>
      <c r="O154" s="395"/>
      <c r="P154" s="395"/>
      <c r="Q154" s="395"/>
      <c r="R154" s="395"/>
      <c r="S154" s="395"/>
      <c r="V154" s="405" t="s">
        <v>420</v>
      </c>
      <c r="W154" s="405">
        <v>24</v>
      </c>
      <c r="X154" s="405">
        <v>36</v>
      </c>
      <c r="Y154" s="406" t="s">
        <v>615</v>
      </c>
    </row>
    <row r="155" spans="1:25" x14ac:dyDescent="0.25">
      <c r="G155" s="650"/>
      <c r="H155" s="650"/>
      <c r="I155" s="650"/>
      <c r="J155" s="650"/>
      <c r="K155" s="650"/>
      <c r="O155" s="395"/>
      <c r="P155" s="395"/>
      <c r="Q155" s="395"/>
      <c r="R155" s="395"/>
      <c r="S155" s="395"/>
      <c r="V155" s="405" t="s">
        <v>486</v>
      </c>
      <c r="W155" s="405">
        <v>179</v>
      </c>
      <c r="X155" s="405">
        <v>189</v>
      </c>
      <c r="Y155" s="406" t="s">
        <v>611</v>
      </c>
    </row>
    <row r="156" spans="1:25" x14ac:dyDescent="0.25">
      <c r="G156" s="650"/>
      <c r="H156" s="650"/>
      <c r="I156" s="650"/>
      <c r="J156" s="650"/>
      <c r="K156" s="650"/>
      <c r="O156" s="395"/>
      <c r="P156" s="395"/>
      <c r="Q156" s="395"/>
      <c r="R156" s="395"/>
      <c r="S156" s="395"/>
      <c r="V156" s="405" t="s">
        <v>486</v>
      </c>
      <c r="W156" s="405">
        <v>189</v>
      </c>
      <c r="X156" s="405">
        <v>192</v>
      </c>
      <c r="Y156" s="406" t="s">
        <v>622</v>
      </c>
    </row>
    <row r="157" spans="1:25" x14ac:dyDescent="0.25">
      <c r="G157" s="650"/>
      <c r="H157" s="650"/>
      <c r="I157" s="650"/>
      <c r="J157" s="650"/>
      <c r="K157" s="650"/>
      <c r="O157" s="395"/>
      <c r="P157" s="395"/>
      <c r="Q157" s="395"/>
      <c r="R157" s="395"/>
      <c r="S157" s="395"/>
      <c r="V157" s="405" t="s">
        <v>616</v>
      </c>
      <c r="W157" s="623">
        <f>SUM(O134:S134)/1000000</f>
        <v>1995.0400905851745</v>
      </c>
      <c r="X157" s="623">
        <f>SUM(O133:S133)/1000000</f>
        <v>2178.9466524006298</v>
      </c>
      <c r="Y157" s="406" t="s">
        <v>613</v>
      </c>
    </row>
    <row r="158" spans="1:25" x14ac:dyDescent="0.25">
      <c r="G158" s="650"/>
      <c r="H158" s="650"/>
      <c r="I158" s="650"/>
      <c r="J158" s="650"/>
      <c r="K158" s="650"/>
      <c r="O158" s="395"/>
      <c r="P158" s="395"/>
      <c r="Q158" s="395"/>
      <c r="R158" s="395"/>
      <c r="S158" s="395"/>
    </row>
    <row r="159" spans="1:25" x14ac:dyDescent="0.25">
      <c r="G159" s="650"/>
      <c r="H159" s="650"/>
      <c r="I159" s="650"/>
      <c r="J159" s="650"/>
      <c r="K159" s="650"/>
      <c r="O159" s="395"/>
      <c r="P159" s="395"/>
      <c r="Q159" s="395"/>
      <c r="R159" s="395"/>
      <c r="S159" s="395"/>
    </row>
    <row r="160" spans="1:25" x14ac:dyDescent="0.25">
      <c r="G160" s="650"/>
      <c r="H160" s="650"/>
      <c r="I160" s="650"/>
      <c r="J160" s="650"/>
      <c r="K160" s="650"/>
      <c r="O160" s="395"/>
      <c r="P160" s="395"/>
      <c r="Q160" s="395"/>
      <c r="R160" s="395"/>
      <c r="S160" s="395"/>
    </row>
    <row r="161" spans="7:19" x14ac:dyDescent="0.25">
      <c r="G161" s="650"/>
      <c r="H161" s="650"/>
      <c r="I161" s="650"/>
      <c r="J161" s="650"/>
      <c r="K161" s="650"/>
      <c r="O161" s="395"/>
      <c r="P161" s="395"/>
      <c r="Q161" s="395"/>
      <c r="R161" s="395"/>
      <c r="S161" s="395"/>
    </row>
    <row r="162" spans="7:19" x14ac:dyDescent="0.25">
      <c r="G162" s="650"/>
      <c r="H162" s="650"/>
      <c r="I162" s="650"/>
      <c r="J162" s="650"/>
      <c r="K162" s="650"/>
      <c r="O162" s="395"/>
      <c r="P162" s="395"/>
      <c r="Q162" s="395"/>
      <c r="R162" s="395"/>
      <c r="S162" s="395"/>
    </row>
    <row r="163" spans="7:19" x14ac:dyDescent="0.25">
      <c r="G163" s="650"/>
      <c r="H163" s="650"/>
      <c r="I163" s="650"/>
      <c r="J163" s="650"/>
      <c r="K163" s="650"/>
      <c r="O163" s="395"/>
      <c r="P163" s="395"/>
      <c r="Q163" s="395"/>
      <c r="R163" s="395"/>
      <c r="S163" s="395"/>
    </row>
    <row r="164" spans="7:19" x14ac:dyDescent="0.25">
      <c r="G164" s="650"/>
      <c r="H164" s="650"/>
      <c r="I164" s="650"/>
      <c r="J164" s="650"/>
      <c r="K164" s="650"/>
      <c r="O164" s="395"/>
      <c r="P164" s="395"/>
      <c r="Q164" s="395"/>
      <c r="R164" s="395"/>
      <c r="S164" s="395"/>
    </row>
  </sheetData>
  <autoFilter ref="A6:U6" xr:uid="{26E82B06-5461-4E93-BA38-5F7061E93D76}"/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6B4A9-0560-4277-9DFB-07F12F731AC3}">
  <sheetPr codeName="Sheet18"/>
  <dimension ref="A1:BZ222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A72" sqref="AA72"/>
    </sheetView>
  </sheetViews>
  <sheetFormatPr defaultRowHeight="15" x14ac:dyDescent="0.25"/>
  <cols>
    <col min="1" max="1" width="5.7109375" bestFit="1" customWidth="1"/>
    <col min="3" max="3" width="11.140625" bestFit="1" customWidth="1"/>
    <col min="4" max="4" width="33.85546875" customWidth="1"/>
    <col min="5" max="6" width="9.5703125" customWidth="1"/>
    <col min="7" max="7" width="9.28515625" customWidth="1"/>
    <col min="8" max="8" width="9.5703125" customWidth="1"/>
    <col min="9" max="10" width="9.28515625" style="280" customWidth="1"/>
    <col min="11" max="14" width="9.140625" customWidth="1"/>
    <col min="15" max="16" width="9.140625" style="280" customWidth="1"/>
    <col min="17" max="24" width="9.140625" customWidth="1"/>
    <col min="25" max="29" width="13.7109375" customWidth="1"/>
    <col min="30" max="30" width="13.85546875" bestFit="1" customWidth="1"/>
    <col min="31" max="31" width="15.85546875" bestFit="1" customWidth="1"/>
    <col min="32" max="32" width="28.140625" customWidth="1"/>
    <col min="33" max="38" width="9.5703125" customWidth="1"/>
  </cols>
  <sheetData>
    <row r="1" spans="1:38" x14ac:dyDescent="0.25">
      <c r="A1" s="874" t="s">
        <v>553</v>
      </c>
      <c r="B1" s="874"/>
      <c r="C1" s="874"/>
      <c r="D1" s="875" t="s">
        <v>796</v>
      </c>
      <c r="F1" s="22"/>
      <c r="S1" s="874"/>
      <c r="T1" s="874"/>
      <c r="U1" s="874"/>
      <c r="V1" s="874"/>
      <c r="W1" s="874"/>
      <c r="X1" s="874"/>
      <c r="Y1" s="874"/>
      <c r="Z1" s="874"/>
      <c r="AA1" s="874"/>
      <c r="AB1" s="874"/>
      <c r="AC1" s="874"/>
      <c r="AD1" t="s">
        <v>638</v>
      </c>
    </row>
    <row r="2" spans="1:38" x14ac:dyDescent="0.25">
      <c r="AC2" t="s">
        <v>432</v>
      </c>
      <c r="AD2">
        <v>0.41259731068648264</v>
      </c>
    </row>
    <row r="3" spans="1:38" x14ac:dyDescent="0.25">
      <c r="D3" s="23"/>
      <c r="E3" s="25"/>
      <c r="F3" s="25"/>
      <c r="G3" s="25"/>
      <c r="H3" s="25"/>
      <c r="I3" s="388"/>
      <c r="J3" s="388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 t="s">
        <v>791</v>
      </c>
      <c r="AD3" s="19">
        <f>AC13*AD2</f>
        <v>2820584.0993102584</v>
      </c>
    </row>
    <row r="4" spans="1:38" ht="15.75" thickBot="1" x14ac:dyDescent="0.3">
      <c r="E4" t="s">
        <v>645</v>
      </c>
      <c r="F4" t="s">
        <v>646</v>
      </c>
      <c r="Q4" s="19"/>
      <c r="R4" s="19"/>
      <c r="S4" s="19"/>
      <c r="T4" s="19"/>
      <c r="U4" s="19"/>
      <c r="V4" s="19"/>
      <c r="W4" s="25">
        <f>SUM(W7:W8)</f>
        <v>16630.703195473609</v>
      </c>
      <c r="X4" s="19"/>
      <c r="Y4" s="19"/>
      <c r="Z4" s="19"/>
      <c r="AA4" s="19"/>
      <c r="AB4" s="19"/>
      <c r="AC4" s="19"/>
      <c r="AD4" s="19"/>
    </row>
    <row r="5" spans="1:38" s="186" customFormat="1" x14ac:dyDescent="0.25">
      <c r="A5" s="27" t="s">
        <v>281</v>
      </c>
      <c r="B5" s="703"/>
      <c r="C5" s="703"/>
      <c r="D5" s="28"/>
      <c r="E5" s="29"/>
      <c r="F5" s="30"/>
      <c r="G5" s="30"/>
      <c r="H5" s="30"/>
      <c r="I5" s="714"/>
      <c r="J5" s="1125"/>
      <c r="K5" s="32"/>
      <c r="L5" s="32"/>
      <c r="M5" s="32"/>
      <c r="N5" s="32"/>
      <c r="O5" s="672"/>
      <c r="P5" s="662"/>
      <c r="Q5" s="189" t="s">
        <v>441</v>
      </c>
      <c r="R5" s="189"/>
      <c r="S5" s="189"/>
      <c r="T5" s="189"/>
      <c r="U5" s="889" t="s">
        <v>510</v>
      </c>
      <c r="V5" s="189"/>
      <c r="W5" s="283"/>
      <c r="X5" s="705" t="s">
        <v>289</v>
      </c>
      <c r="Y5" s="191"/>
      <c r="Z5" s="191"/>
      <c r="AA5" s="890" t="s">
        <v>685</v>
      </c>
      <c r="AB5" s="191"/>
      <c r="AC5" s="192"/>
    </row>
    <row r="6" spans="1:38" ht="15.75" thickBot="1" x14ac:dyDescent="0.3">
      <c r="A6" s="43" t="s">
        <v>290</v>
      </c>
      <c r="B6" s="704" t="s">
        <v>635</v>
      </c>
      <c r="C6" s="704" t="s">
        <v>642</v>
      </c>
      <c r="D6" s="44" t="s">
        <v>291</v>
      </c>
      <c r="E6" s="45" t="s">
        <v>10</v>
      </c>
      <c r="F6" s="46" t="s">
        <v>11</v>
      </c>
      <c r="G6" s="46" t="s">
        <v>12</v>
      </c>
      <c r="H6" s="46" t="s">
        <v>13</v>
      </c>
      <c r="I6" s="715" t="s">
        <v>14</v>
      </c>
      <c r="J6" s="1126" t="s">
        <v>15</v>
      </c>
      <c r="K6" s="710" t="s">
        <v>10</v>
      </c>
      <c r="L6" s="48" t="s">
        <v>11</v>
      </c>
      <c r="M6" s="48" t="s">
        <v>12</v>
      </c>
      <c r="N6" s="48" t="s">
        <v>13</v>
      </c>
      <c r="O6" s="663" t="s">
        <v>14</v>
      </c>
      <c r="P6" s="1123"/>
      <c r="Q6" s="687" t="s">
        <v>15</v>
      </c>
      <c r="R6" s="59" t="s">
        <v>280</v>
      </c>
      <c r="S6" s="59" t="s">
        <v>422</v>
      </c>
      <c r="T6" s="59" t="s">
        <v>423</v>
      </c>
      <c r="U6" s="59" t="s">
        <v>424</v>
      </c>
      <c r="V6" s="59" t="s">
        <v>425</v>
      </c>
      <c r="W6" s="284" t="s">
        <v>426</v>
      </c>
      <c r="X6" s="706" t="s">
        <v>446</v>
      </c>
      <c r="Y6" s="61" t="s">
        <v>422</v>
      </c>
      <c r="Z6" s="61" t="s">
        <v>423</v>
      </c>
      <c r="AA6" s="61" t="s">
        <v>424</v>
      </c>
      <c r="AB6" s="61" t="s">
        <v>425</v>
      </c>
      <c r="AC6" s="62" t="s">
        <v>426</v>
      </c>
      <c r="AD6" s="62" t="s">
        <v>640</v>
      </c>
      <c r="AE6" s="754" t="s">
        <v>635</v>
      </c>
      <c r="AG6" s="61" t="s">
        <v>422</v>
      </c>
      <c r="AH6" s="61" t="s">
        <v>423</v>
      </c>
      <c r="AI6" s="61" t="s">
        <v>424</v>
      </c>
      <c r="AJ6" s="61" t="s">
        <v>425</v>
      </c>
      <c r="AK6" s="62" t="s">
        <v>426</v>
      </c>
    </row>
    <row r="7" spans="1:38" x14ac:dyDescent="0.25">
      <c r="A7" s="63" t="s">
        <v>296</v>
      </c>
      <c r="B7" s="64" t="s">
        <v>268</v>
      </c>
      <c r="C7" s="707" t="s">
        <v>643</v>
      </c>
      <c r="D7" s="707" t="s">
        <v>409</v>
      </c>
      <c r="E7" s="716">
        <v>3689144.5943493401</v>
      </c>
      <c r="F7" s="168">
        <v>7934044.6888067247</v>
      </c>
      <c r="G7" s="168">
        <v>7371639.3099999987</v>
      </c>
      <c r="H7" s="168">
        <v>9045812.0399999991</v>
      </c>
      <c r="I7" s="717">
        <v>8954422.3600000031</v>
      </c>
      <c r="J7" s="1127">
        <f>'Defect (Total)'!N151+Planned!N136</f>
        <v>9464302.1000000238</v>
      </c>
      <c r="K7" s="711">
        <v>1101</v>
      </c>
      <c r="L7" s="170">
        <v>4997</v>
      </c>
      <c r="M7" s="170">
        <v>4542</v>
      </c>
      <c r="N7" s="170">
        <v>5172</v>
      </c>
      <c r="O7" s="613">
        <v>4260</v>
      </c>
      <c r="P7" s="1081"/>
      <c r="Q7" s="698">
        <f>'Defect (Total)'!BC181</f>
        <v>4658</v>
      </c>
      <c r="R7" s="726">
        <f>'Defect (Total)'!BD181</f>
        <v>4658</v>
      </c>
      <c r="S7" s="241">
        <f>'Defect (Total)'!BE181</f>
        <v>4658</v>
      </c>
      <c r="T7" s="144">
        <f>'Defect (Total)'!BF181</f>
        <v>4658</v>
      </c>
      <c r="U7" s="144">
        <f>'Defect (Total)'!BG181</f>
        <v>4658</v>
      </c>
      <c r="V7" s="729">
        <f>'Defect (Total)'!BH181</f>
        <v>4658</v>
      </c>
      <c r="W7" s="293">
        <f>'Defect (Total)'!BI181</f>
        <v>4658</v>
      </c>
      <c r="X7" s="124">
        <f>VLOOKUP(A7,'Distribution Summary'!$A$136:$BJ$146,62,0)</f>
        <v>1800</v>
      </c>
      <c r="Y7" s="415">
        <f t="shared" ref="Y7:Y38" si="0">S7*$X7</f>
        <v>8384400</v>
      </c>
      <c r="Z7" s="79">
        <f t="shared" ref="Z7:Z38" si="1">T7*$X7</f>
        <v>8384400</v>
      </c>
      <c r="AA7" s="79">
        <f t="shared" ref="AA7:AA38" si="2">U7*$X7</f>
        <v>8384400</v>
      </c>
      <c r="AB7" s="79">
        <f t="shared" ref="AB7:AB38" si="3">V7*$X7</f>
        <v>8384400</v>
      </c>
      <c r="AC7" s="80">
        <f t="shared" ref="AC7:AC38" si="4">W7*$X7</f>
        <v>8384400</v>
      </c>
      <c r="AD7" s="756" t="s">
        <v>641</v>
      </c>
      <c r="AE7" s="1" t="s">
        <v>268</v>
      </c>
      <c r="AF7" s="1" t="s">
        <v>784</v>
      </c>
      <c r="AG7" s="750">
        <f>ROUND(SUM(Y7:Y8)/1000000,1)</f>
        <v>83</v>
      </c>
      <c r="AH7" s="750">
        <f t="shared" ref="AH7:AJ7" si="5">ROUND(SUM(Z7:Z8)/1000000,1)</f>
        <v>83</v>
      </c>
      <c r="AI7" s="750">
        <f t="shared" si="5"/>
        <v>83</v>
      </c>
      <c r="AJ7" s="750">
        <f t="shared" si="5"/>
        <v>83</v>
      </c>
      <c r="AK7" s="750">
        <f>ROUND(SUM(AC7:AC8)/1000000,1)</f>
        <v>83</v>
      </c>
      <c r="AL7" s="749">
        <f t="shared" ref="AL7:AL11" si="6">SUM(AG7:AK7)</f>
        <v>415</v>
      </c>
    </row>
    <row r="8" spans="1:38" x14ac:dyDescent="0.25">
      <c r="A8" s="81" t="s">
        <v>27</v>
      </c>
      <c r="B8" s="82" t="s">
        <v>268</v>
      </c>
      <c r="C8" s="708" t="s">
        <v>643</v>
      </c>
      <c r="D8" s="708" t="s">
        <v>410</v>
      </c>
      <c r="E8" s="718">
        <v>40699929.462575555</v>
      </c>
      <c r="F8" s="173">
        <v>64168990.822516896</v>
      </c>
      <c r="G8" s="173">
        <v>65008047.052676938</v>
      </c>
      <c r="H8" s="173">
        <v>68085653.330602914</v>
      </c>
      <c r="I8" s="719">
        <v>82524583.373820037</v>
      </c>
      <c r="J8" s="1128">
        <f>'Defect (Total)'!N152+Planned!N137</f>
        <v>91753641.268208846</v>
      </c>
      <c r="K8" s="712">
        <v>5593</v>
      </c>
      <c r="L8" s="175">
        <v>10285</v>
      </c>
      <c r="M8" s="175">
        <v>10580</v>
      </c>
      <c r="N8" s="175">
        <v>10910</v>
      </c>
      <c r="O8" s="614">
        <v>10610</v>
      </c>
      <c r="P8" s="1082"/>
      <c r="Q8" s="699">
        <f>'Defect (Total)'!BC182</f>
        <v>11994.319184020836</v>
      </c>
      <c r="R8" s="727">
        <f>'Defect (Total)'!BD182</f>
        <v>11994.319184020836</v>
      </c>
      <c r="S8" s="234">
        <f>'Defect (Total)'!BE182</f>
        <v>11972.70319547361</v>
      </c>
      <c r="T8" s="96">
        <f>'Defect (Total)'!BF182</f>
        <v>11972.70319547361</v>
      </c>
      <c r="U8" s="96">
        <f>'Defect (Total)'!BG182</f>
        <v>11972.70319547361</v>
      </c>
      <c r="V8" s="730">
        <f>'Defect (Total)'!BH182</f>
        <v>11972.70319547361</v>
      </c>
      <c r="W8" s="286">
        <f>'Defect (Total)'!BI182</f>
        <v>11972.70319547361</v>
      </c>
      <c r="X8" s="99">
        <f>VLOOKUP(A8,'Distribution Summary'!$A$136:$BJ$146,62,0)</f>
        <v>6236.1822982950935</v>
      </c>
      <c r="Y8" s="416">
        <f t="shared" si="0"/>
        <v>74663959.730353624</v>
      </c>
      <c r="Z8" s="97">
        <f t="shared" si="1"/>
        <v>74663959.730353624</v>
      </c>
      <c r="AA8" s="97">
        <f t="shared" si="2"/>
        <v>74663959.730353624</v>
      </c>
      <c r="AB8" s="97">
        <f t="shared" si="3"/>
        <v>74663959.730353624</v>
      </c>
      <c r="AC8" s="98">
        <f t="shared" si="4"/>
        <v>74663959.730353624</v>
      </c>
      <c r="AD8" s="757" t="s">
        <v>641</v>
      </c>
      <c r="AF8" s="753" t="s">
        <v>659</v>
      </c>
      <c r="AG8" s="749">
        <f>ROUND(Y9/1000000,1)</f>
        <v>27</v>
      </c>
      <c r="AH8" s="749">
        <f>ROUND(Z9/1000000,1)</f>
        <v>27</v>
      </c>
      <c r="AI8" s="749">
        <f>ROUND(AA9/1000000,1)</f>
        <v>27</v>
      </c>
      <c r="AJ8" s="749">
        <f>ROUND(AB9/1000000,1)</f>
        <v>27</v>
      </c>
      <c r="AK8" s="749">
        <f>ROUND(AC9/1000000,1)</f>
        <v>27</v>
      </c>
      <c r="AL8" s="749">
        <f t="shared" si="6"/>
        <v>135</v>
      </c>
    </row>
    <row r="9" spans="1:38" x14ac:dyDescent="0.25">
      <c r="A9" s="81" t="s">
        <v>68</v>
      </c>
      <c r="B9" s="82" t="s">
        <v>268</v>
      </c>
      <c r="C9" s="708" t="s">
        <v>643</v>
      </c>
      <c r="D9" s="708" t="s">
        <v>411</v>
      </c>
      <c r="E9" s="718">
        <v>14391002.509629328</v>
      </c>
      <c r="F9" s="173">
        <v>19853888.540153123</v>
      </c>
      <c r="G9" s="173">
        <v>21315296.836999163</v>
      </c>
      <c r="H9" s="173">
        <v>23993299.873427231</v>
      </c>
      <c r="I9" s="719">
        <v>28122140.43382106</v>
      </c>
      <c r="J9" s="1128">
        <f>'Defect (Total)'!N153</f>
        <v>29485544.556061432</v>
      </c>
      <c r="K9" s="712">
        <v>6690</v>
      </c>
      <c r="L9" s="175">
        <v>9714</v>
      </c>
      <c r="M9" s="175">
        <v>7719</v>
      </c>
      <c r="N9" s="175">
        <v>8619</v>
      </c>
      <c r="O9" s="614">
        <v>8445</v>
      </c>
      <c r="P9" s="1082"/>
      <c r="Q9" s="699">
        <f>'Defect (Total)'!BC153</f>
        <v>9593.6977282738626</v>
      </c>
      <c r="R9" s="727">
        <f>'Defect (Total)'!BD153</f>
        <v>9593.6977282738626</v>
      </c>
      <c r="S9" s="234">
        <f>'Defect (Total)'!BE153</f>
        <v>9593.6977282738626</v>
      </c>
      <c r="T9" s="96">
        <f>'Defect (Total)'!BF153</f>
        <v>9593.6977282738626</v>
      </c>
      <c r="U9" s="96">
        <f>'Defect (Total)'!BG153</f>
        <v>9593.6977282738626</v>
      </c>
      <c r="V9" s="730">
        <f>'Defect (Total)'!BH153</f>
        <v>9593.6977282738626</v>
      </c>
      <c r="W9" s="286">
        <f>'Defect (Total)'!BI153</f>
        <v>9593.6977282738626</v>
      </c>
      <c r="X9" s="99">
        <f>VLOOKUP(A9,'Distribution Summary'!$A$136:$BJ$146,62,0)</f>
        <v>2810.5410327755412</v>
      </c>
      <c r="Y9" s="416">
        <f t="shared" si="0"/>
        <v>26963481.121359184</v>
      </c>
      <c r="Z9" s="97">
        <f t="shared" si="1"/>
        <v>26963481.121359184</v>
      </c>
      <c r="AA9" s="97">
        <f t="shared" si="2"/>
        <v>26963481.121359184</v>
      </c>
      <c r="AB9" s="97">
        <f t="shared" si="3"/>
        <v>26963481.121359184</v>
      </c>
      <c r="AC9" s="98">
        <f t="shared" si="4"/>
        <v>26963481.121359184</v>
      </c>
      <c r="AD9" s="757" t="s">
        <v>641</v>
      </c>
      <c r="AF9" s="753" t="s">
        <v>660</v>
      </c>
      <c r="AG9" s="749">
        <f t="shared" ref="AG9:AK10" si="7">ROUND(Y12/1000000,1)</f>
        <v>5.4</v>
      </c>
      <c r="AH9" s="749">
        <f t="shared" si="7"/>
        <v>5.4</v>
      </c>
      <c r="AI9" s="749">
        <f t="shared" si="7"/>
        <v>5.4</v>
      </c>
      <c r="AJ9" s="749">
        <f t="shared" si="7"/>
        <v>5.4</v>
      </c>
      <c r="AK9" s="749">
        <f t="shared" si="7"/>
        <v>5.4</v>
      </c>
      <c r="AL9" s="749">
        <f t="shared" si="6"/>
        <v>27</v>
      </c>
    </row>
    <row r="10" spans="1:38" x14ac:dyDescent="0.25">
      <c r="A10" s="81" t="s">
        <v>81</v>
      </c>
      <c r="B10" s="82" t="s">
        <v>268</v>
      </c>
      <c r="C10" s="708" t="s">
        <v>643</v>
      </c>
      <c r="D10" s="708" t="s">
        <v>270</v>
      </c>
      <c r="E10" s="718"/>
      <c r="F10" s="173"/>
      <c r="G10" s="173"/>
      <c r="H10" s="173"/>
      <c r="I10" s="719"/>
      <c r="J10" s="1128">
        <f>'Defect (Total)'!N154</f>
        <v>0</v>
      </c>
      <c r="K10" s="725"/>
      <c r="L10" s="631"/>
      <c r="M10" s="631"/>
      <c r="N10" s="631"/>
      <c r="O10" s="671"/>
      <c r="P10" s="1124"/>
      <c r="Q10" s="699">
        <f>'Defect (Total)'!BC154</f>
        <v>0</v>
      </c>
      <c r="R10" s="727">
        <f>'Defect (Total)'!BD154</f>
        <v>0</v>
      </c>
      <c r="S10" s="234">
        <f>'Defect (Total)'!BE154</f>
        <v>0</v>
      </c>
      <c r="T10" s="96">
        <f>'Defect (Total)'!BF154</f>
        <v>0</v>
      </c>
      <c r="U10" s="96">
        <f>'Defect (Total)'!BG154</f>
        <v>0</v>
      </c>
      <c r="V10" s="730">
        <f>'Defect (Total)'!BH154</f>
        <v>0</v>
      </c>
      <c r="W10" s="286">
        <f>'Defect (Total)'!BI154</f>
        <v>0</v>
      </c>
      <c r="X10" s="99">
        <f>VLOOKUP(A10,'Distribution Summary'!$A$136:$BJ$146,62,0)</f>
        <v>56912.19365276918</v>
      </c>
      <c r="Y10" s="416">
        <f t="shared" si="0"/>
        <v>0</v>
      </c>
      <c r="Z10" s="97">
        <f t="shared" si="1"/>
        <v>0</v>
      </c>
      <c r="AA10" s="97">
        <f t="shared" si="2"/>
        <v>0</v>
      </c>
      <c r="AB10" s="97">
        <f t="shared" si="3"/>
        <v>0</v>
      </c>
      <c r="AC10" s="98">
        <f t="shared" si="4"/>
        <v>0</v>
      </c>
      <c r="AD10" s="757" t="s">
        <v>641</v>
      </c>
      <c r="AF10" s="753" t="s">
        <v>661</v>
      </c>
      <c r="AG10" s="749">
        <f t="shared" si="7"/>
        <v>6.8</v>
      </c>
      <c r="AH10" s="749">
        <f t="shared" si="7"/>
        <v>6.8</v>
      </c>
      <c r="AI10" s="749">
        <f t="shared" si="7"/>
        <v>6.8</v>
      </c>
      <c r="AJ10" s="749">
        <f t="shared" si="7"/>
        <v>6.8</v>
      </c>
      <c r="AK10" s="749">
        <f t="shared" si="7"/>
        <v>6.8</v>
      </c>
      <c r="AL10" s="749">
        <f t="shared" si="6"/>
        <v>34</v>
      </c>
    </row>
    <row r="11" spans="1:38" x14ac:dyDescent="0.25">
      <c r="A11" s="81" t="s">
        <v>94</v>
      </c>
      <c r="B11" s="82" t="s">
        <v>268</v>
      </c>
      <c r="C11" s="708" t="s">
        <v>643</v>
      </c>
      <c r="D11" s="708" t="s">
        <v>412</v>
      </c>
      <c r="E11" s="718"/>
      <c r="F11" s="173"/>
      <c r="G11" s="173"/>
      <c r="H11" s="173"/>
      <c r="I11" s="719"/>
      <c r="J11" s="1128">
        <f>'Defect (Total)'!N155</f>
        <v>0</v>
      </c>
      <c r="K11" s="712"/>
      <c r="L11" s="175"/>
      <c r="M11" s="175"/>
      <c r="N11" s="175"/>
      <c r="O11" s="614"/>
      <c r="P11" s="1082"/>
      <c r="Q11" s="699">
        <f>'Defect (Total)'!BC155</f>
        <v>0</v>
      </c>
      <c r="R11" s="727">
        <f>'Defect (Total)'!BD155</f>
        <v>0</v>
      </c>
      <c r="S11" s="234">
        <f>'Defect (Total)'!BE155</f>
        <v>0</v>
      </c>
      <c r="T11" s="96">
        <f>'Defect (Total)'!BF155</f>
        <v>0</v>
      </c>
      <c r="U11" s="96">
        <f>'Defect (Total)'!BG155</f>
        <v>0</v>
      </c>
      <c r="V11" s="730">
        <f>'Defect (Total)'!BH155</f>
        <v>0</v>
      </c>
      <c r="W11" s="286">
        <f>'Defect (Total)'!BI155</f>
        <v>0</v>
      </c>
      <c r="X11" s="99">
        <f>VLOOKUP(A11,'Distribution Summary'!$A$136:$BJ$146,62,0)</f>
        <v>322727.75622787437</v>
      </c>
      <c r="Y11" s="416">
        <f t="shared" si="0"/>
        <v>0</v>
      </c>
      <c r="Z11" s="97">
        <f t="shared" si="1"/>
        <v>0</v>
      </c>
      <c r="AA11" s="97">
        <f t="shared" si="2"/>
        <v>0</v>
      </c>
      <c r="AB11" s="97">
        <f t="shared" si="3"/>
        <v>0</v>
      </c>
      <c r="AC11" s="98">
        <f t="shared" si="4"/>
        <v>0</v>
      </c>
      <c r="AD11" s="757" t="s">
        <v>641</v>
      </c>
      <c r="AF11" s="753" t="s">
        <v>782</v>
      </c>
      <c r="AG11" s="749">
        <f>ROUND(Y106/1000000,1)</f>
        <v>4.8</v>
      </c>
      <c r="AH11" s="749">
        <f t="shared" ref="AH11:AK11" si="8">ROUND(Z106/1000000,1)</f>
        <v>4.8</v>
      </c>
      <c r="AI11" s="749">
        <f t="shared" si="8"/>
        <v>4.8</v>
      </c>
      <c r="AJ11" s="749">
        <f t="shared" si="8"/>
        <v>4.8</v>
      </c>
      <c r="AK11" s="749">
        <f t="shared" si="8"/>
        <v>4.8</v>
      </c>
      <c r="AL11" s="749">
        <f t="shared" si="6"/>
        <v>24</v>
      </c>
    </row>
    <row r="12" spans="1:38" x14ac:dyDescent="0.25">
      <c r="A12" s="81" t="s">
        <v>106</v>
      </c>
      <c r="B12" s="82" t="s">
        <v>268</v>
      </c>
      <c r="C12" s="708" t="s">
        <v>643</v>
      </c>
      <c r="D12" s="708" t="s">
        <v>272</v>
      </c>
      <c r="E12" s="718">
        <v>1877744.6290509345</v>
      </c>
      <c r="F12" s="173">
        <v>5630800.9749862691</v>
      </c>
      <c r="G12" s="173">
        <v>4368378.6611024803</v>
      </c>
      <c r="H12" s="173">
        <v>5002536.6117703663</v>
      </c>
      <c r="I12" s="719">
        <v>6417495.8190407623</v>
      </c>
      <c r="J12" s="1128">
        <f>'Defect (Total)'!N156</f>
        <v>8733992.3601978533</v>
      </c>
      <c r="K12" s="712">
        <v>2426.8499508109944</v>
      </c>
      <c r="L12" s="175">
        <v>4861.0182201540711</v>
      </c>
      <c r="M12" s="175">
        <v>2904.4412400861111</v>
      </c>
      <c r="N12" s="175">
        <v>3181.1184412600755</v>
      </c>
      <c r="O12" s="614">
        <v>4366.1405373900316</v>
      </c>
      <c r="P12" s="1082"/>
      <c r="Q12" s="699">
        <f>'Defect (Total)'!BC156</f>
        <v>4045.9368375535291</v>
      </c>
      <c r="R12" s="727">
        <f>'Defect (Total)'!BD156</f>
        <v>4045.9368375535291</v>
      </c>
      <c r="S12" s="234">
        <f>'Defect (Total)'!BE156</f>
        <v>4045.9368375535291</v>
      </c>
      <c r="T12" s="96">
        <f>'Defect (Total)'!BF156</f>
        <v>4045.9368375535291</v>
      </c>
      <c r="U12" s="96">
        <f>'Defect (Total)'!BG156</f>
        <v>4045.9368375535291</v>
      </c>
      <c r="V12" s="730">
        <f>'Defect (Total)'!BH156</f>
        <v>4045.9368375535291</v>
      </c>
      <c r="W12" s="286">
        <f>'Defect (Total)'!BI156</f>
        <v>4045.9368375535291</v>
      </c>
      <c r="X12" s="99">
        <f>VLOOKUP(A12,'Distribution Summary'!$A$136:$BJ$146,62,0)</f>
        <v>1339.2666347282993</v>
      </c>
      <c r="Y12" s="416">
        <f t="shared" si="0"/>
        <v>5418588.2127535725</v>
      </c>
      <c r="Z12" s="97">
        <f t="shared" si="1"/>
        <v>5418588.2127535725</v>
      </c>
      <c r="AA12" s="97">
        <f t="shared" si="2"/>
        <v>5418588.2127535725</v>
      </c>
      <c r="AB12" s="97">
        <f t="shared" si="3"/>
        <v>5418588.2127535725</v>
      </c>
      <c r="AC12" s="98">
        <f t="shared" si="4"/>
        <v>5418588.2127535725</v>
      </c>
      <c r="AD12" s="757" t="s">
        <v>641</v>
      </c>
      <c r="AE12" s="395"/>
      <c r="AF12" s="753" t="s">
        <v>662</v>
      </c>
      <c r="AG12" s="749">
        <f>ROUND(Y14/1000000,1)</f>
        <v>1.9</v>
      </c>
      <c r="AH12" s="749">
        <f>ROUND(Z14/1000000,1)</f>
        <v>1.9</v>
      </c>
      <c r="AI12" s="749">
        <f>ROUND(AA14/1000000,1)</f>
        <v>1.9</v>
      </c>
      <c r="AJ12" s="749">
        <f>ROUND(AB14/1000000,1)</f>
        <v>1.9</v>
      </c>
      <c r="AK12" s="749">
        <f>ROUND(AC14/1000000,1)</f>
        <v>1.9</v>
      </c>
      <c r="AL12" s="749">
        <f>SUM(AG12:AK12)</f>
        <v>9.5</v>
      </c>
    </row>
    <row r="13" spans="1:38" x14ac:dyDescent="0.25">
      <c r="A13" s="81" t="s">
        <v>138</v>
      </c>
      <c r="B13" s="82" t="s">
        <v>268</v>
      </c>
      <c r="C13" s="708" t="s">
        <v>643</v>
      </c>
      <c r="D13" s="708" t="s">
        <v>413</v>
      </c>
      <c r="E13" s="718">
        <v>7757288.7396960016</v>
      </c>
      <c r="F13" s="173">
        <v>17470640.081898559</v>
      </c>
      <c r="G13" s="173">
        <v>10375327.967926884</v>
      </c>
      <c r="H13" s="173">
        <v>14093783.698897297</v>
      </c>
      <c r="I13" s="719">
        <v>10971090.293190919</v>
      </c>
      <c r="J13" s="1128">
        <f>'Defect (Total)'!N157</f>
        <v>10019994.398003343</v>
      </c>
      <c r="K13" s="712">
        <v>266</v>
      </c>
      <c r="L13" s="175">
        <v>608</v>
      </c>
      <c r="M13" s="175">
        <v>431</v>
      </c>
      <c r="N13" s="175">
        <v>473</v>
      </c>
      <c r="O13" s="614">
        <v>264</v>
      </c>
      <c r="P13" s="1082"/>
      <c r="Q13" s="699">
        <f>'Defect (Total)'!BC157</f>
        <v>239.63534042330036</v>
      </c>
      <c r="R13" s="727">
        <f>'Defect (Total)'!BD157</f>
        <v>239.63534042330036</v>
      </c>
      <c r="S13" s="234">
        <f>'Defect (Total)'!BE157</f>
        <v>239.63534042330036</v>
      </c>
      <c r="T13" s="96">
        <f>'Defect (Total)'!BF157</f>
        <v>239.63534042330036</v>
      </c>
      <c r="U13" s="96">
        <f>'Defect (Total)'!BG157</f>
        <v>239.63534042330036</v>
      </c>
      <c r="V13" s="730">
        <f>'Defect (Total)'!BH157</f>
        <v>239.63534042330036</v>
      </c>
      <c r="W13" s="286">
        <f>'Defect (Total)'!BI157</f>
        <v>239.63534042330036</v>
      </c>
      <c r="X13" s="99">
        <f>VLOOKUP(A13,'Distribution Summary'!$A$136:$BJ$146,62,0)</f>
        <v>28527.37387874335</v>
      </c>
      <c r="Y13" s="416">
        <f t="shared" si="0"/>
        <v>6836166.950815429</v>
      </c>
      <c r="Z13" s="97">
        <f t="shared" si="1"/>
        <v>6836166.950815429</v>
      </c>
      <c r="AA13" s="97">
        <f t="shared" si="2"/>
        <v>6836166.950815429</v>
      </c>
      <c r="AB13" s="97">
        <f t="shared" si="3"/>
        <v>6836166.950815429</v>
      </c>
      <c r="AC13" s="98">
        <f t="shared" si="4"/>
        <v>6836166.950815429</v>
      </c>
      <c r="AD13" s="757" t="s">
        <v>641</v>
      </c>
      <c r="AE13" s="395"/>
      <c r="AF13" s="754" t="s">
        <v>654</v>
      </c>
      <c r="AG13" s="1">
        <f>ROUND(SUM(Y9:Y17,Y106)/1000000,1)</f>
        <v>45.9</v>
      </c>
      <c r="AH13" s="1">
        <f t="shared" ref="AH13:AK13" si="9">ROUND(SUM(Z9:Z17,Z106)/1000000,1)</f>
        <v>45.9</v>
      </c>
      <c r="AI13" s="1">
        <f t="shared" si="9"/>
        <v>45.9</v>
      </c>
      <c r="AJ13" s="1">
        <f t="shared" si="9"/>
        <v>45.9</v>
      </c>
      <c r="AK13" s="1">
        <f t="shared" si="9"/>
        <v>45.9</v>
      </c>
      <c r="AL13" s="750">
        <f>SUM(AG13:AK13)</f>
        <v>229.5</v>
      </c>
    </row>
    <row r="14" spans="1:38" x14ac:dyDescent="0.25">
      <c r="A14" s="81" t="s">
        <v>196</v>
      </c>
      <c r="B14" s="82" t="s">
        <v>268</v>
      </c>
      <c r="C14" s="708" t="s">
        <v>643</v>
      </c>
      <c r="D14" s="708" t="s">
        <v>274</v>
      </c>
      <c r="E14" s="718">
        <v>3749404.264981905</v>
      </c>
      <c r="F14" s="173">
        <v>3220806.8837579619</v>
      </c>
      <c r="G14" s="173">
        <v>3034314.857578638</v>
      </c>
      <c r="H14" s="173">
        <v>2661188.9161355747</v>
      </c>
      <c r="I14" s="719">
        <v>1775573.5091833717</v>
      </c>
      <c r="J14" s="1128">
        <f>'Defect (Total)'!N158</f>
        <v>2826637.990965819</v>
      </c>
      <c r="K14" s="712">
        <v>395</v>
      </c>
      <c r="L14" s="175">
        <v>309</v>
      </c>
      <c r="M14" s="175">
        <v>310</v>
      </c>
      <c r="N14" s="175">
        <v>296</v>
      </c>
      <c r="O14" s="614">
        <v>371</v>
      </c>
      <c r="P14" s="1082"/>
      <c r="Q14" s="699">
        <f>'Defect (Total)'!BC158</f>
        <v>192.93725509592431</v>
      </c>
      <c r="R14" s="727">
        <f>'Defect (Total)'!BD158</f>
        <v>192.93725509592431</v>
      </c>
      <c r="S14" s="234">
        <f>'Defect (Total)'!BE158</f>
        <v>192.93725509592431</v>
      </c>
      <c r="T14" s="96">
        <f>'Defect (Total)'!BF158</f>
        <v>192.93725509592431</v>
      </c>
      <c r="U14" s="96">
        <f>'Defect (Total)'!BG158</f>
        <v>192.93725509592431</v>
      </c>
      <c r="V14" s="730">
        <f>'Defect (Total)'!BH158</f>
        <v>192.93725509592431</v>
      </c>
      <c r="W14" s="286">
        <f>'Defect (Total)'!BI158</f>
        <v>192.93725509592431</v>
      </c>
      <c r="X14" s="99">
        <f>VLOOKUP(A14,'Distribution Summary'!$A$136:$BJ$146,62,0)</f>
        <v>9639.239384840419</v>
      </c>
      <c r="Y14" s="416">
        <f t="shared" si="0"/>
        <v>1859768.3881236366</v>
      </c>
      <c r="Z14" s="97">
        <f t="shared" si="1"/>
        <v>1859768.3881236366</v>
      </c>
      <c r="AA14" s="97">
        <f t="shared" si="2"/>
        <v>1859768.3881236366</v>
      </c>
      <c r="AB14" s="97">
        <f t="shared" si="3"/>
        <v>1859768.3881236366</v>
      </c>
      <c r="AC14" s="98">
        <f t="shared" si="4"/>
        <v>1859768.3881236366</v>
      </c>
      <c r="AD14" s="757"/>
      <c r="AE14" s="395"/>
      <c r="AF14" s="186" t="s">
        <v>666</v>
      </c>
      <c r="AG14" s="751">
        <f>ROUND((Y41+Y52)/1000000,1)</f>
        <v>15.8</v>
      </c>
      <c r="AH14" s="751">
        <f>ROUND((Z41+Z52)/1000000,1)</f>
        <v>16.399999999999999</v>
      </c>
      <c r="AI14" s="751">
        <f>ROUND((AA41+AA52)/1000000,1)</f>
        <v>16.899999999999999</v>
      </c>
      <c r="AJ14" s="751">
        <f>ROUND((AB41+AB52)/1000000,1)</f>
        <v>17.399999999999999</v>
      </c>
      <c r="AK14" s="751">
        <f>ROUND((AC41+AC52)/1000000,1)</f>
        <v>17.600000000000001</v>
      </c>
      <c r="AL14" s="749">
        <f>SUM(AG14:AK14)</f>
        <v>84.1</v>
      </c>
    </row>
    <row r="15" spans="1:38" x14ac:dyDescent="0.25">
      <c r="A15" s="81" t="s">
        <v>224</v>
      </c>
      <c r="B15" s="82" t="s">
        <v>268</v>
      </c>
      <c r="C15" s="708" t="s">
        <v>643</v>
      </c>
      <c r="D15" s="708" t="s">
        <v>414</v>
      </c>
      <c r="E15" s="718"/>
      <c r="F15" s="173"/>
      <c r="G15" s="173"/>
      <c r="H15" s="173"/>
      <c r="I15" s="719"/>
      <c r="J15" s="1128">
        <f>'Defect (Total)'!N159</f>
        <v>0</v>
      </c>
      <c r="K15" s="712"/>
      <c r="L15" s="175"/>
      <c r="M15" s="175"/>
      <c r="N15" s="175"/>
      <c r="O15" s="614"/>
      <c r="P15" s="1082"/>
      <c r="Q15" s="699"/>
      <c r="R15" s="727"/>
      <c r="S15" s="234"/>
      <c r="T15" s="96"/>
      <c r="U15" s="96"/>
      <c r="V15" s="730"/>
      <c r="W15" s="286"/>
      <c r="X15" s="99">
        <f>VLOOKUP(A15,'Distribution Summary'!$A$136:$BJ$146,62,0)</f>
        <v>0</v>
      </c>
      <c r="Y15" s="416">
        <f t="shared" si="0"/>
        <v>0</v>
      </c>
      <c r="Z15" s="97">
        <f t="shared" si="1"/>
        <v>0</v>
      </c>
      <c r="AA15" s="97">
        <f t="shared" si="2"/>
        <v>0</v>
      </c>
      <c r="AB15" s="97">
        <f t="shared" si="3"/>
        <v>0</v>
      </c>
      <c r="AC15" s="98">
        <f t="shared" si="4"/>
        <v>0</v>
      </c>
      <c r="AD15" s="757" t="s">
        <v>641</v>
      </c>
      <c r="AE15" s="395"/>
      <c r="AF15" s="1" t="s">
        <v>663</v>
      </c>
      <c r="AG15" s="750">
        <f>SUM(AG8:AG12,AG7)</f>
        <v>128.89999999999998</v>
      </c>
      <c r="AH15" s="750">
        <f>SUM(AH8:AH12,AH7)</f>
        <v>128.89999999999998</v>
      </c>
      <c r="AI15" s="750">
        <f>SUM(AI8:AI12,AI7)</f>
        <v>128.89999999999998</v>
      </c>
      <c r="AJ15" s="750">
        <f>SUM(AJ8:AJ12,AJ7)</f>
        <v>128.89999999999998</v>
      </c>
      <c r="AK15" s="750">
        <f>SUM(AK8:AK12,AK7)</f>
        <v>128.89999999999998</v>
      </c>
      <c r="AL15" s="749">
        <f>SUM(AG15:AK15)</f>
        <v>644.49999999999989</v>
      </c>
    </row>
    <row r="16" spans="1:38" x14ac:dyDescent="0.25">
      <c r="A16" s="81" t="s">
        <v>242</v>
      </c>
      <c r="B16" s="82" t="s">
        <v>268</v>
      </c>
      <c r="C16" s="708" t="s">
        <v>643</v>
      </c>
      <c r="D16" s="708" t="s">
        <v>415</v>
      </c>
      <c r="E16" s="718"/>
      <c r="F16" s="173"/>
      <c r="G16" s="173"/>
      <c r="H16" s="173"/>
      <c r="I16" s="719"/>
      <c r="J16" s="1128">
        <f>'Defect (Total)'!N160</f>
        <v>0</v>
      </c>
      <c r="K16" s="712"/>
      <c r="L16" s="175"/>
      <c r="M16" s="175"/>
      <c r="N16" s="175"/>
      <c r="O16" s="614"/>
      <c r="P16" s="1082"/>
      <c r="Q16" s="699"/>
      <c r="R16" s="727"/>
      <c r="S16" s="234"/>
      <c r="T16" s="96"/>
      <c r="U16" s="96"/>
      <c r="V16" s="730"/>
      <c r="W16" s="286"/>
      <c r="X16" s="99">
        <f>VLOOKUP(A16,'Distribution Summary'!$A$136:$BJ$146,62,0)</f>
        <v>0</v>
      </c>
      <c r="Y16" s="416">
        <f t="shared" si="0"/>
        <v>0</v>
      </c>
      <c r="Z16" s="97">
        <f t="shared" si="1"/>
        <v>0</v>
      </c>
      <c r="AA16" s="97">
        <f t="shared" si="2"/>
        <v>0</v>
      </c>
      <c r="AB16" s="97">
        <f t="shared" si="3"/>
        <v>0</v>
      </c>
      <c r="AC16" s="98">
        <f t="shared" si="4"/>
        <v>0</v>
      </c>
      <c r="AD16" s="757" t="s">
        <v>641</v>
      </c>
      <c r="AE16" s="395"/>
      <c r="AL16" s="749"/>
    </row>
    <row r="17" spans="1:38" ht="15.75" thickBot="1" x14ac:dyDescent="0.3">
      <c r="A17" s="100" t="s">
        <v>258</v>
      </c>
      <c r="B17" s="101" t="s">
        <v>268</v>
      </c>
      <c r="C17" s="709" t="s">
        <v>643</v>
      </c>
      <c r="D17" s="709" t="s">
        <v>64</v>
      </c>
      <c r="E17" s="720"/>
      <c r="F17" s="178"/>
      <c r="G17" s="178"/>
      <c r="H17" s="178"/>
      <c r="I17" s="721"/>
      <c r="J17" s="1129">
        <f>'Defect (Total)'!N161</f>
        <v>0</v>
      </c>
      <c r="K17" s="713"/>
      <c r="L17" s="180"/>
      <c r="M17" s="180"/>
      <c r="N17" s="180"/>
      <c r="O17" s="615"/>
      <c r="P17" s="1083"/>
      <c r="Q17" s="700"/>
      <c r="R17" s="728"/>
      <c r="S17" s="235"/>
      <c r="T17" s="115"/>
      <c r="U17" s="115"/>
      <c r="V17" s="731"/>
      <c r="W17" s="287"/>
      <c r="X17" s="116">
        <f>VLOOKUP(A17,'Distribution Summary'!$A$136:$BJ$146,62,0)</f>
        <v>30000</v>
      </c>
      <c r="Y17" s="467">
        <f t="shared" si="0"/>
        <v>0</v>
      </c>
      <c r="Z17" s="117">
        <f t="shared" si="1"/>
        <v>0</v>
      </c>
      <c r="AA17" s="117">
        <f t="shared" si="2"/>
        <v>0</v>
      </c>
      <c r="AB17" s="117">
        <f t="shared" si="3"/>
        <v>0</v>
      </c>
      <c r="AC17" s="118">
        <f t="shared" si="4"/>
        <v>0</v>
      </c>
      <c r="AD17" s="758" t="s">
        <v>641</v>
      </c>
      <c r="AE17" s="395"/>
      <c r="AL17" s="749"/>
    </row>
    <row r="18" spans="1:38" x14ac:dyDescent="0.25">
      <c r="A18" s="63" t="s">
        <v>296</v>
      </c>
      <c r="B18" s="64" t="s">
        <v>637</v>
      </c>
      <c r="C18" s="707" t="s">
        <v>643</v>
      </c>
      <c r="D18" s="707" t="s">
        <v>409</v>
      </c>
      <c r="E18" s="716"/>
      <c r="F18" s="168"/>
      <c r="G18" s="168"/>
      <c r="H18" s="168"/>
      <c r="I18" s="717"/>
      <c r="J18" s="1127"/>
      <c r="K18" s="711"/>
      <c r="L18" s="170"/>
      <c r="M18" s="170"/>
      <c r="N18" s="170"/>
      <c r="O18" s="613"/>
      <c r="P18" s="1081"/>
      <c r="Q18" s="698"/>
      <c r="R18" s="726"/>
      <c r="S18" s="241"/>
      <c r="T18" s="144"/>
      <c r="U18" s="144"/>
      <c r="V18" s="729"/>
      <c r="W18" s="293"/>
      <c r="X18" s="124">
        <f>VLOOKUP(A18,'Distribution Summary'!$A$136:$BJ$146,62,0)</f>
        <v>1800</v>
      </c>
      <c r="Y18" s="415">
        <f t="shared" si="0"/>
        <v>0</v>
      </c>
      <c r="Z18" s="79">
        <f t="shared" si="1"/>
        <v>0</v>
      </c>
      <c r="AA18" s="79">
        <f t="shared" si="2"/>
        <v>0</v>
      </c>
      <c r="AB18" s="79">
        <f t="shared" si="3"/>
        <v>0</v>
      </c>
      <c r="AC18" s="80">
        <f t="shared" si="4"/>
        <v>0</v>
      </c>
      <c r="AD18" s="756" t="s">
        <v>641</v>
      </c>
      <c r="AE18" s="1" t="s">
        <v>655</v>
      </c>
      <c r="AF18" t="s">
        <v>643</v>
      </c>
      <c r="AG18">
        <f>ROUND(Y20/1000000,1)</f>
        <v>23.9</v>
      </c>
      <c r="AH18">
        <f t="shared" ref="AH18:AK18" si="10">ROUND(Z20/1000000,1)</f>
        <v>23.9</v>
      </c>
      <c r="AI18">
        <f t="shared" si="10"/>
        <v>23.9</v>
      </c>
      <c r="AJ18">
        <f t="shared" si="10"/>
        <v>23.9</v>
      </c>
      <c r="AK18">
        <f t="shared" si="10"/>
        <v>23.9</v>
      </c>
      <c r="AL18" s="749">
        <f t="shared" ref="AL18:AL49" si="11">SUM(AG18:AK18)</f>
        <v>119.5</v>
      </c>
    </row>
    <row r="19" spans="1:38" x14ac:dyDescent="0.25">
      <c r="A19" s="81" t="s">
        <v>27</v>
      </c>
      <c r="B19" s="82" t="s">
        <v>637</v>
      </c>
      <c r="C19" s="708" t="s">
        <v>643</v>
      </c>
      <c r="D19" s="708" t="s">
        <v>410</v>
      </c>
      <c r="E19" s="718"/>
      <c r="F19" s="173"/>
      <c r="G19" s="173"/>
      <c r="H19" s="173"/>
      <c r="I19" s="719"/>
      <c r="J19" s="1128"/>
      <c r="K19" s="712"/>
      <c r="L19" s="175"/>
      <c r="M19" s="175"/>
      <c r="N19" s="175"/>
      <c r="O19" s="614"/>
      <c r="P19" s="1082"/>
      <c r="Q19" s="699"/>
      <c r="R19" s="727"/>
      <c r="S19" s="234"/>
      <c r="T19" s="96"/>
      <c r="U19" s="96"/>
      <c r="V19" s="730"/>
      <c r="W19" s="286"/>
      <c r="X19" s="99">
        <f>VLOOKUP(A19,'Distribution Summary'!$A$136:$BJ$146,62,0)</f>
        <v>6236.1822982950935</v>
      </c>
      <c r="Y19" s="416">
        <f t="shared" si="0"/>
        <v>0</v>
      </c>
      <c r="Z19" s="97">
        <f t="shared" si="1"/>
        <v>0</v>
      </c>
      <c r="AA19" s="97">
        <f t="shared" si="2"/>
        <v>0</v>
      </c>
      <c r="AB19" s="97">
        <f t="shared" si="3"/>
        <v>0</v>
      </c>
      <c r="AC19" s="98">
        <f t="shared" si="4"/>
        <v>0</v>
      </c>
      <c r="AD19" s="757" t="s">
        <v>641</v>
      </c>
      <c r="AF19" t="s">
        <v>656</v>
      </c>
      <c r="AG19">
        <f>ROUND(Y31/1000000,1)</f>
        <v>19.7</v>
      </c>
      <c r="AH19">
        <f t="shared" ref="AH19:AK19" si="12">ROUND(Z31/1000000,1)</f>
        <v>19.7</v>
      </c>
      <c r="AI19">
        <f t="shared" si="12"/>
        <v>19.7</v>
      </c>
      <c r="AJ19">
        <f t="shared" si="12"/>
        <v>19.7</v>
      </c>
      <c r="AK19">
        <f t="shared" si="12"/>
        <v>19.7</v>
      </c>
      <c r="AL19" s="749">
        <f t="shared" si="11"/>
        <v>98.5</v>
      </c>
    </row>
    <row r="20" spans="1:38" x14ac:dyDescent="0.25">
      <c r="A20" s="81" t="s">
        <v>68</v>
      </c>
      <c r="B20" s="82" t="s">
        <v>637</v>
      </c>
      <c r="C20" s="708" t="s">
        <v>643</v>
      </c>
      <c r="D20" s="708" t="s">
        <v>411</v>
      </c>
      <c r="E20" s="718">
        <v>17830149.273628589</v>
      </c>
      <c r="F20" s="173">
        <v>21655646.732708521</v>
      </c>
      <c r="G20" s="173">
        <v>19870329.2958837</v>
      </c>
      <c r="H20" s="173">
        <v>20638504.943689484</v>
      </c>
      <c r="I20" s="719">
        <v>25587207.773002151</v>
      </c>
      <c r="J20" s="1128">
        <f>'Defect (Total)'!N183</f>
        <v>28707801.503923193</v>
      </c>
      <c r="K20" s="712">
        <v>8498</v>
      </c>
      <c r="L20" s="175">
        <v>9237</v>
      </c>
      <c r="M20" s="175">
        <v>8062</v>
      </c>
      <c r="N20" s="175">
        <v>8620</v>
      </c>
      <c r="O20" s="614">
        <v>8251</v>
      </c>
      <c r="P20" s="1082"/>
      <c r="Q20" s="699">
        <f>'Defect (Total)'!BC183</f>
        <v>7007.8693207320666</v>
      </c>
      <c r="R20" s="727">
        <f>'Defect (Total)'!BD183</f>
        <v>7007.8693207320666</v>
      </c>
      <c r="S20" s="234">
        <f>'Defect (Total)'!BE183</f>
        <v>8504.0959591849423</v>
      </c>
      <c r="T20" s="96">
        <f>'Defect (Total)'!BF183</f>
        <v>8504.0959591849423</v>
      </c>
      <c r="U20" s="96">
        <f>'Defect (Total)'!BG183</f>
        <v>8504.0959591849423</v>
      </c>
      <c r="V20" s="730">
        <f>'Defect (Total)'!BH183</f>
        <v>8504.0959591849423</v>
      </c>
      <c r="W20" s="286">
        <f>'Defect (Total)'!BI183</f>
        <v>8504.0959591849423</v>
      </c>
      <c r="X20" s="99">
        <f>VLOOKUP(A20,'Distribution Summary'!$A$136:$BJ$146,62,0)</f>
        <v>2810.5410327755412</v>
      </c>
      <c r="Y20" s="416">
        <f t="shared" si="0"/>
        <v>23901110.639949955</v>
      </c>
      <c r="Z20" s="97">
        <f t="shared" si="1"/>
        <v>23901110.639949955</v>
      </c>
      <c r="AA20" s="97">
        <f t="shared" si="2"/>
        <v>23901110.639949955</v>
      </c>
      <c r="AB20" s="97">
        <f t="shared" si="3"/>
        <v>23901110.639949955</v>
      </c>
      <c r="AC20" s="98">
        <f t="shared" si="4"/>
        <v>23901110.639949955</v>
      </c>
      <c r="AD20" s="757" t="s">
        <v>641</v>
      </c>
      <c r="AF20" t="s">
        <v>654</v>
      </c>
      <c r="AG20" s="751">
        <f>ROUND(SUM(Y9,Y42,Y53)/1000000,1)</f>
        <v>41.3</v>
      </c>
      <c r="AH20" s="751">
        <f t="shared" ref="AH20:AK20" si="13">ROUND(SUM(Z9,Z42,Z53)/1000000,1)</f>
        <v>41.9</v>
      </c>
      <c r="AI20" s="751">
        <f t="shared" si="13"/>
        <v>42.3</v>
      </c>
      <c r="AJ20" s="751">
        <f t="shared" si="13"/>
        <v>42.7</v>
      </c>
      <c r="AK20" s="751">
        <f t="shared" si="13"/>
        <v>42.9</v>
      </c>
      <c r="AL20" s="749">
        <f t="shared" si="11"/>
        <v>211.1</v>
      </c>
    </row>
    <row r="21" spans="1:38" x14ac:dyDescent="0.25">
      <c r="A21" s="81" t="s">
        <v>81</v>
      </c>
      <c r="B21" s="82" t="s">
        <v>637</v>
      </c>
      <c r="C21" s="708" t="s">
        <v>643</v>
      </c>
      <c r="D21" s="708" t="s">
        <v>270</v>
      </c>
      <c r="E21" s="718"/>
      <c r="F21" s="173"/>
      <c r="G21" s="173"/>
      <c r="H21" s="173"/>
      <c r="I21" s="719"/>
      <c r="J21" s="1128"/>
      <c r="K21" s="725"/>
      <c r="L21" s="631"/>
      <c r="M21" s="631"/>
      <c r="N21" s="631"/>
      <c r="O21" s="671"/>
      <c r="P21" s="1124"/>
      <c r="Q21" s="699"/>
      <c r="R21" s="727"/>
      <c r="S21" s="234"/>
      <c r="T21" s="96"/>
      <c r="U21" s="96"/>
      <c r="V21" s="730"/>
      <c r="W21" s="286"/>
      <c r="X21" s="99">
        <f>VLOOKUP(A21,'Distribution Summary'!$A$136:$BJ$146,62,0)</f>
        <v>56912.19365276918</v>
      </c>
      <c r="Y21" s="416">
        <f t="shared" si="0"/>
        <v>0</v>
      </c>
      <c r="Z21" s="97">
        <f t="shared" si="1"/>
        <v>0</v>
      </c>
      <c r="AA21" s="97">
        <f t="shared" si="2"/>
        <v>0</v>
      </c>
      <c r="AB21" s="97">
        <f t="shared" si="3"/>
        <v>0</v>
      </c>
      <c r="AC21" s="98">
        <f t="shared" si="4"/>
        <v>0</v>
      </c>
      <c r="AD21" s="757" t="s">
        <v>641</v>
      </c>
      <c r="AF21" s="1" t="s">
        <v>663</v>
      </c>
      <c r="AG21">
        <f>SUM(AG18:AG19)</f>
        <v>43.599999999999994</v>
      </c>
      <c r="AH21">
        <f t="shared" ref="AH21:AK21" si="14">SUM(AH18:AH19)</f>
        <v>43.599999999999994</v>
      </c>
      <c r="AI21">
        <f t="shared" si="14"/>
        <v>43.599999999999994</v>
      </c>
      <c r="AJ21">
        <f t="shared" si="14"/>
        <v>43.599999999999994</v>
      </c>
      <c r="AK21">
        <f t="shared" si="14"/>
        <v>43.599999999999994</v>
      </c>
      <c r="AL21" s="749">
        <f t="shared" si="11"/>
        <v>217.99999999999997</v>
      </c>
    </row>
    <row r="22" spans="1:38" x14ac:dyDescent="0.25">
      <c r="A22" s="81" t="s">
        <v>94</v>
      </c>
      <c r="B22" s="82" t="s">
        <v>637</v>
      </c>
      <c r="C22" s="708" t="s">
        <v>643</v>
      </c>
      <c r="D22" s="708" t="s">
        <v>412</v>
      </c>
      <c r="E22" s="718"/>
      <c r="F22" s="173"/>
      <c r="G22" s="173"/>
      <c r="H22" s="173"/>
      <c r="I22" s="719"/>
      <c r="J22" s="1128"/>
      <c r="K22" s="712"/>
      <c r="L22" s="175"/>
      <c r="M22" s="175"/>
      <c r="N22" s="175"/>
      <c r="O22" s="614"/>
      <c r="P22" s="1082"/>
      <c r="Q22" s="699"/>
      <c r="R22" s="727"/>
      <c r="S22" s="234"/>
      <c r="T22" s="96"/>
      <c r="U22" s="96"/>
      <c r="V22" s="730"/>
      <c r="W22" s="286"/>
      <c r="X22" s="99">
        <f>VLOOKUP(A22,'Distribution Summary'!$A$136:$BJ$146,62,0)</f>
        <v>322727.75622787437</v>
      </c>
      <c r="Y22" s="416">
        <f t="shared" si="0"/>
        <v>0</v>
      </c>
      <c r="Z22" s="97">
        <f t="shared" si="1"/>
        <v>0</v>
      </c>
      <c r="AA22" s="97">
        <f t="shared" si="2"/>
        <v>0</v>
      </c>
      <c r="AB22" s="97">
        <f t="shared" si="3"/>
        <v>0</v>
      </c>
      <c r="AC22" s="98">
        <f t="shared" si="4"/>
        <v>0</v>
      </c>
      <c r="AD22" s="757" t="s">
        <v>641</v>
      </c>
      <c r="AL22" s="749"/>
    </row>
    <row r="23" spans="1:38" x14ac:dyDescent="0.25">
      <c r="A23" s="81" t="s">
        <v>106</v>
      </c>
      <c r="B23" s="82" t="s">
        <v>637</v>
      </c>
      <c r="C23" s="708" t="s">
        <v>643</v>
      </c>
      <c r="D23" s="708" t="s">
        <v>272</v>
      </c>
      <c r="E23" s="718"/>
      <c r="F23" s="173"/>
      <c r="G23" s="173"/>
      <c r="H23" s="173"/>
      <c r="I23" s="719"/>
      <c r="J23" s="1128"/>
      <c r="K23" s="712"/>
      <c r="L23" s="175"/>
      <c r="M23" s="175"/>
      <c r="N23" s="175"/>
      <c r="O23" s="614"/>
      <c r="P23" s="1082"/>
      <c r="Q23" s="699"/>
      <c r="R23" s="727"/>
      <c r="S23" s="234"/>
      <c r="T23" s="96"/>
      <c r="U23" s="96"/>
      <c r="V23" s="730"/>
      <c r="W23" s="286"/>
      <c r="X23" s="99">
        <f>VLOOKUP(A23,'Distribution Summary'!$A$136:$BJ$146,62,0)</f>
        <v>1339.2666347282993</v>
      </c>
      <c r="Y23" s="416">
        <f t="shared" si="0"/>
        <v>0</v>
      </c>
      <c r="Z23" s="97">
        <f t="shared" si="1"/>
        <v>0</v>
      </c>
      <c r="AA23" s="97">
        <f t="shared" si="2"/>
        <v>0</v>
      </c>
      <c r="AB23" s="97">
        <f t="shared" si="3"/>
        <v>0</v>
      </c>
      <c r="AC23" s="98">
        <f t="shared" si="4"/>
        <v>0</v>
      </c>
      <c r="AD23" s="757" t="s">
        <v>641</v>
      </c>
      <c r="AL23" s="749"/>
    </row>
    <row r="24" spans="1:38" x14ac:dyDescent="0.25">
      <c r="A24" s="81" t="s">
        <v>138</v>
      </c>
      <c r="B24" s="82" t="s">
        <v>637</v>
      </c>
      <c r="C24" s="708" t="s">
        <v>643</v>
      </c>
      <c r="D24" s="708" t="s">
        <v>413</v>
      </c>
      <c r="E24" s="718"/>
      <c r="F24" s="173"/>
      <c r="G24" s="173"/>
      <c r="H24" s="173"/>
      <c r="I24" s="719"/>
      <c r="J24" s="1128"/>
      <c r="K24" s="712"/>
      <c r="L24" s="175"/>
      <c r="M24" s="175"/>
      <c r="N24" s="175"/>
      <c r="O24" s="614"/>
      <c r="P24" s="1082"/>
      <c r="Q24" s="699"/>
      <c r="R24" s="727"/>
      <c r="S24" s="234"/>
      <c r="T24" s="96"/>
      <c r="U24" s="96"/>
      <c r="V24" s="730"/>
      <c r="W24" s="286"/>
      <c r="X24" s="99">
        <f>VLOOKUP(A24,'Distribution Summary'!$A$136:$BJ$146,62,0)</f>
        <v>28527.37387874335</v>
      </c>
      <c r="Y24" s="416">
        <f t="shared" si="0"/>
        <v>0</v>
      </c>
      <c r="Z24" s="97">
        <f t="shared" si="1"/>
        <v>0</v>
      </c>
      <c r="AA24" s="97">
        <f t="shared" si="2"/>
        <v>0</v>
      </c>
      <c r="AB24" s="97">
        <f t="shared" si="3"/>
        <v>0</v>
      </c>
      <c r="AC24" s="98">
        <f t="shared" si="4"/>
        <v>0</v>
      </c>
      <c r="AD24" s="757" t="s">
        <v>641</v>
      </c>
      <c r="AL24" s="749"/>
    </row>
    <row r="25" spans="1:38" x14ac:dyDescent="0.25">
      <c r="A25" s="81" t="s">
        <v>196</v>
      </c>
      <c r="B25" s="82" t="s">
        <v>637</v>
      </c>
      <c r="C25" s="708" t="s">
        <v>643</v>
      </c>
      <c r="D25" s="708" t="s">
        <v>274</v>
      </c>
      <c r="E25" s="718"/>
      <c r="F25" s="173"/>
      <c r="G25" s="173"/>
      <c r="H25" s="173"/>
      <c r="I25" s="719"/>
      <c r="J25" s="1128"/>
      <c r="K25" s="712"/>
      <c r="L25" s="175"/>
      <c r="M25" s="175"/>
      <c r="N25" s="175"/>
      <c r="O25" s="614"/>
      <c r="P25" s="1082"/>
      <c r="Q25" s="699"/>
      <c r="R25" s="727"/>
      <c r="S25" s="234"/>
      <c r="T25" s="96"/>
      <c r="U25" s="96"/>
      <c r="V25" s="730"/>
      <c r="W25" s="286"/>
      <c r="X25" s="99">
        <f>VLOOKUP(A25,'Distribution Summary'!$A$136:$BJ$146,62,0)</f>
        <v>9639.239384840419</v>
      </c>
      <c r="Y25" s="416">
        <f t="shared" si="0"/>
        <v>0</v>
      </c>
      <c r="Z25" s="97">
        <f t="shared" si="1"/>
        <v>0</v>
      </c>
      <c r="AA25" s="97">
        <f t="shared" si="2"/>
        <v>0</v>
      </c>
      <c r="AB25" s="97">
        <f t="shared" si="3"/>
        <v>0</v>
      </c>
      <c r="AC25" s="98">
        <f t="shared" si="4"/>
        <v>0</v>
      </c>
      <c r="AD25" s="757"/>
      <c r="AG25" s="395"/>
      <c r="AH25" s="395"/>
      <c r="AI25" s="395"/>
      <c r="AJ25" s="395"/>
      <c r="AK25" s="395"/>
      <c r="AL25" s="395"/>
    </row>
    <row r="26" spans="1:38" x14ac:dyDescent="0.25">
      <c r="A26" s="81" t="s">
        <v>224</v>
      </c>
      <c r="B26" s="82" t="s">
        <v>637</v>
      </c>
      <c r="C26" s="708" t="s">
        <v>643</v>
      </c>
      <c r="D26" s="708" t="s">
        <v>414</v>
      </c>
      <c r="E26" s="718"/>
      <c r="F26" s="173"/>
      <c r="G26" s="173"/>
      <c r="H26" s="173"/>
      <c r="I26" s="719"/>
      <c r="J26" s="1128"/>
      <c r="K26" s="712"/>
      <c r="L26" s="175"/>
      <c r="M26" s="175"/>
      <c r="N26" s="175"/>
      <c r="O26" s="614"/>
      <c r="P26" s="1082"/>
      <c r="Q26" s="699"/>
      <c r="R26" s="727"/>
      <c r="S26" s="234"/>
      <c r="T26" s="96"/>
      <c r="U26" s="96"/>
      <c r="V26" s="730"/>
      <c r="W26" s="286"/>
      <c r="X26" s="99">
        <f>VLOOKUP(A26,'Distribution Summary'!$A$136:$BJ$146,62,0)</f>
        <v>0</v>
      </c>
      <c r="Y26" s="416">
        <f t="shared" si="0"/>
        <v>0</v>
      </c>
      <c r="Z26" s="97">
        <f t="shared" si="1"/>
        <v>0</v>
      </c>
      <c r="AA26" s="97">
        <f t="shared" si="2"/>
        <v>0</v>
      </c>
      <c r="AB26" s="97">
        <f t="shared" si="3"/>
        <v>0</v>
      </c>
      <c r="AC26" s="98">
        <f t="shared" si="4"/>
        <v>0</v>
      </c>
      <c r="AD26" s="757" t="s">
        <v>641</v>
      </c>
      <c r="AG26" s="395"/>
      <c r="AH26" s="395"/>
      <c r="AI26" s="395"/>
      <c r="AJ26" s="395"/>
      <c r="AK26" s="395"/>
      <c r="AL26" s="395"/>
    </row>
    <row r="27" spans="1:38" x14ac:dyDescent="0.25">
      <c r="A27" s="81" t="s">
        <v>242</v>
      </c>
      <c r="B27" s="82" t="s">
        <v>637</v>
      </c>
      <c r="C27" s="708" t="s">
        <v>643</v>
      </c>
      <c r="D27" s="708" t="s">
        <v>415</v>
      </c>
      <c r="E27" s="718"/>
      <c r="F27" s="173"/>
      <c r="G27" s="173"/>
      <c r="H27" s="173"/>
      <c r="I27" s="719"/>
      <c r="J27" s="1128"/>
      <c r="K27" s="712"/>
      <c r="L27" s="175"/>
      <c r="M27" s="175"/>
      <c r="N27" s="175"/>
      <c r="O27" s="614"/>
      <c r="P27" s="1082"/>
      <c r="Q27" s="699"/>
      <c r="R27" s="727"/>
      <c r="S27" s="234"/>
      <c r="T27" s="96"/>
      <c r="U27" s="96"/>
      <c r="V27" s="730"/>
      <c r="W27" s="286"/>
      <c r="X27" s="99">
        <f>VLOOKUP(A27,'Distribution Summary'!$A$136:$BJ$146,62,0)</f>
        <v>0</v>
      </c>
      <c r="Y27" s="416">
        <f t="shared" si="0"/>
        <v>0</v>
      </c>
      <c r="Z27" s="97">
        <f t="shared" si="1"/>
        <v>0</v>
      </c>
      <c r="AA27" s="97">
        <f t="shared" si="2"/>
        <v>0</v>
      </c>
      <c r="AB27" s="97">
        <f t="shared" si="3"/>
        <v>0</v>
      </c>
      <c r="AC27" s="98">
        <f t="shared" si="4"/>
        <v>0</v>
      </c>
      <c r="AD27" s="757" t="s">
        <v>641</v>
      </c>
      <c r="AG27" s="395"/>
      <c r="AH27" s="395"/>
      <c r="AI27" s="395"/>
      <c r="AJ27" s="395"/>
      <c r="AK27" s="395"/>
      <c r="AL27" s="395"/>
    </row>
    <row r="28" spans="1:38" ht="15.75" thickBot="1" x14ac:dyDescent="0.3">
      <c r="A28" s="100" t="s">
        <v>258</v>
      </c>
      <c r="B28" s="101" t="s">
        <v>637</v>
      </c>
      <c r="C28" s="709" t="s">
        <v>643</v>
      </c>
      <c r="D28" s="709" t="s">
        <v>64</v>
      </c>
      <c r="E28" s="720"/>
      <c r="F28" s="178"/>
      <c r="G28" s="178"/>
      <c r="H28" s="178"/>
      <c r="I28" s="721"/>
      <c r="J28" s="1129"/>
      <c r="K28" s="713"/>
      <c r="L28" s="180"/>
      <c r="M28" s="180"/>
      <c r="N28" s="180"/>
      <c r="O28" s="615"/>
      <c r="P28" s="1083"/>
      <c r="Q28" s="700"/>
      <c r="R28" s="728"/>
      <c r="S28" s="235"/>
      <c r="T28" s="115"/>
      <c r="U28" s="115"/>
      <c r="V28" s="731"/>
      <c r="W28" s="287"/>
      <c r="X28" s="116">
        <f>VLOOKUP(A28,'Distribution Summary'!$A$136:$BJ$146,62,0)</f>
        <v>30000</v>
      </c>
      <c r="Y28" s="467">
        <f t="shared" si="0"/>
        <v>0</v>
      </c>
      <c r="Z28" s="117">
        <f t="shared" si="1"/>
        <v>0</v>
      </c>
      <c r="AA28" s="117">
        <f t="shared" si="2"/>
        <v>0</v>
      </c>
      <c r="AB28" s="117">
        <f t="shared" si="3"/>
        <v>0</v>
      </c>
      <c r="AC28" s="118">
        <f t="shared" si="4"/>
        <v>0</v>
      </c>
      <c r="AD28" s="758" t="s">
        <v>641</v>
      </c>
      <c r="AF28" s="1"/>
      <c r="AG28" s="395"/>
      <c r="AH28" s="395"/>
      <c r="AI28" s="395"/>
      <c r="AJ28" s="395"/>
      <c r="AK28" s="395"/>
      <c r="AL28" s="395"/>
    </row>
    <row r="29" spans="1:38" x14ac:dyDescent="0.25">
      <c r="A29" s="63" t="s">
        <v>296</v>
      </c>
      <c r="B29" s="64" t="s">
        <v>637</v>
      </c>
      <c r="C29" s="707" t="s">
        <v>644</v>
      </c>
      <c r="D29" s="707" t="s">
        <v>409</v>
      </c>
      <c r="E29" s="716"/>
      <c r="F29" s="168"/>
      <c r="G29" s="168"/>
      <c r="H29" s="168"/>
      <c r="I29" s="717"/>
      <c r="J29" s="1127"/>
      <c r="K29" s="711"/>
      <c r="L29" s="170"/>
      <c r="M29" s="170"/>
      <c r="N29" s="170"/>
      <c r="O29" s="613"/>
      <c r="P29" s="1081"/>
      <c r="Q29" s="698"/>
      <c r="R29" s="726"/>
      <c r="S29" s="241"/>
      <c r="T29" s="144"/>
      <c r="U29" s="144"/>
      <c r="V29" s="729"/>
      <c r="W29" s="293"/>
      <c r="X29" s="124">
        <f>VLOOKUP(A29,'Distribution Summary'!$A$136:$BJ$146,62,0)</f>
        <v>1800</v>
      </c>
      <c r="Y29" s="415">
        <f t="shared" si="0"/>
        <v>0</v>
      </c>
      <c r="Z29" s="79">
        <f t="shared" si="1"/>
        <v>0</v>
      </c>
      <c r="AA29" s="79">
        <f t="shared" si="2"/>
        <v>0</v>
      </c>
      <c r="AB29" s="79">
        <f t="shared" si="3"/>
        <v>0</v>
      </c>
      <c r="AC29" s="80">
        <f t="shared" si="4"/>
        <v>0</v>
      </c>
      <c r="AD29" s="756"/>
      <c r="AL29" s="749"/>
    </row>
    <row r="30" spans="1:38" x14ac:dyDescent="0.25">
      <c r="A30" s="81" t="s">
        <v>27</v>
      </c>
      <c r="B30" s="82" t="s">
        <v>637</v>
      </c>
      <c r="C30" s="708" t="s">
        <v>644</v>
      </c>
      <c r="D30" s="708" t="s">
        <v>410</v>
      </c>
      <c r="E30" s="718"/>
      <c r="F30" s="173"/>
      <c r="G30" s="173"/>
      <c r="H30" s="173"/>
      <c r="I30" s="719"/>
      <c r="J30" s="1128"/>
      <c r="K30" s="712"/>
      <c r="L30" s="175"/>
      <c r="M30" s="175"/>
      <c r="N30" s="175"/>
      <c r="O30" s="614"/>
      <c r="P30" s="1082"/>
      <c r="Q30" s="699"/>
      <c r="R30" s="727"/>
      <c r="S30" s="234"/>
      <c r="T30" s="96"/>
      <c r="U30" s="96"/>
      <c r="V30" s="730"/>
      <c r="W30" s="286"/>
      <c r="X30" s="99">
        <f>VLOOKUP(A30,'Distribution Summary'!$A$136:$BJ$146,62,0)</f>
        <v>6236.1822982950935</v>
      </c>
      <c r="Y30" s="416">
        <f t="shared" si="0"/>
        <v>0</v>
      </c>
      <c r="Z30" s="97">
        <f t="shared" si="1"/>
        <v>0</v>
      </c>
      <c r="AA30" s="97">
        <f t="shared" si="2"/>
        <v>0</v>
      </c>
      <c r="AB30" s="97">
        <f t="shared" si="3"/>
        <v>0</v>
      </c>
      <c r="AC30" s="98">
        <f t="shared" si="4"/>
        <v>0</v>
      </c>
      <c r="AD30" s="757"/>
      <c r="AL30" s="749"/>
    </row>
    <row r="31" spans="1:38" x14ac:dyDescent="0.25">
      <c r="A31" s="81" t="s">
        <v>68</v>
      </c>
      <c r="B31" s="82" t="s">
        <v>637</v>
      </c>
      <c r="C31" s="708" t="s">
        <v>644</v>
      </c>
      <c r="D31" s="708" t="s">
        <v>411</v>
      </c>
      <c r="E31" s="718"/>
      <c r="F31" s="173"/>
      <c r="G31" s="173"/>
      <c r="H31" s="173"/>
      <c r="I31" s="719"/>
      <c r="J31" s="1128"/>
      <c r="K31" s="712"/>
      <c r="L31" s="175"/>
      <c r="M31" s="175"/>
      <c r="N31" s="175"/>
      <c r="O31" s="614"/>
      <c r="P31" s="1082"/>
      <c r="Q31" s="699">
        <f>Planned!CF138</f>
        <v>314.66666666666669</v>
      </c>
      <c r="R31" s="727">
        <f>Planned!CG138</f>
        <v>314.66666666666669</v>
      </c>
      <c r="S31" s="234">
        <f>Planned!CH138</f>
        <v>7000</v>
      </c>
      <c r="T31" s="96">
        <f>Planned!CI138</f>
        <v>7000</v>
      </c>
      <c r="U31" s="96">
        <f>Planned!CJ138</f>
        <v>7000</v>
      </c>
      <c r="V31" s="730">
        <f>Planned!CK138</f>
        <v>7000</v>
      </c>
      <c r="W31" s="286">
        <f>Planned!CL138</f>
        <v>7000</v>
      </c>
      <c r="X31" s="99">
        <f>VLOOKUP(A31,'Distribution Summary'!$A$136:$BJ$146,62,0)</f>
        <v>2810.5410327755412</v>
      </c>
      <c r="Y31" s="416">
        <f t="shared" si="0"/>
        <v>19673787.229428787</v>
      </c>
      <c r="Z31" s="97">
        <f t="shared" si="1"/>
        <v>19673787.229428787</v>
      </c>
      <c r="AA31" s="97">
        <f t="shared" si="2"/>
        <v>19673787.229428787</v>
      </c>
      <c r="AB31" s="97">
        <f t="shared" si="3"/>
        <v>19673787.229428787</v>
      </c>
      <c r="AC31" s="98">
        <f t="shared" si="4"/>
        <v>19673787.229428787</v>
      </c>
      <c r="AD31" s="757"/>
      <c r="AL31" s="749"/>
    </row>
    <row r="32" spans="1:38" x14ac:dyDescent="0.25">
      <c r="A32" s="81" t="s">
        <v>81</v>
      </c>
      <c r="B32" s="82" t="s">
        <v>637</v>
      </c>
      <c r="C32" s="708" t="s">
        <v>644</v>
      </c>
      <c r="D32" s="708" t="s">
        <v>270</v>
      </c>
      <c r="E32" s="718"/>
      <c r="F32" s="173"/>
      <c r="G32" s="173"/>
      <c r="H32" s="173"/>
      <c r="I32" s="719"/>
      <c r="J32" s="1128"/>
      <c r="K32" s="725"/>
      <c r="L32" s="631"/>
      <c r="M32" s="631"/>
      <c r="N32" s="631"/>
      <c r="O32" s="671"/>
      <c r="P32" s="1124"/>
      <c r="Q32" s="699"/>
      <c r="R32" s="727"/>
      <c r="S32" s="234"/>
      <c r="T32" s="96"/>
      <c r="U32" s="96"/>
      <c r="V32" s="730"/>
      <c r="W32" s="286"/>
      <c r="X32" s="99">
        <f>VLOOKUP(A32,'Distribution Summary'!$A$136:$BJ$146,62,0)</f>
        <v>56912.19365276918</v>
      </c>
      <c r="Y32" s="416">
        <f t="shared" si="0"/>
        <v>0</v>
      </c>
      <c r="Z32" s="97">
        <f t="shared" si="1"/>
        <v>0</v>
      </c>
      <c r="AA32" s="97">
        <f t="shared" si="2"/>
        <v>0</v>
      </c>
      <c r="AB32" s="97">
        <f t="shared" si="3"/>
        <v>0</v>
      </c>
      <c r="AC32" s="98">
        <f t="shared" si="4"/>
        <v>0</v>
      </c>
      <c r="AD32" s="757"/>
      <c r="AL32" s="749"/>
    </row>
    <row r="33" spans="1:78" x14ac:dyDescent="0.25">
      <c r="A33" s="81" t="s">
        <v>94</v>
      </c>
      <c r="B33" s="82" t="s">
        <v>637</v>
      </c>
      <c r="C33" s="708" t="s">
        <v>644</v>
      </c>
      <c r="D33" s="708" t="s">
        <v>412</v>
      </c>
      <c r="E33" s="718"/>
      <c r="F33" s="173"/>
      <c r="G33" s="173"/>
      <c r="H33" s="173"/>
      <c r="I33" s="719"/>
      <c r="J33" s="1128"/>
      <c r="K33" s="712"/>
      <c r="L33" s="175"/>
      <c r="M33" s="175"/>
      <c r="N33" s="175"/>
      <c r="O33" s="614"/>
      <c r="P33" s="1082"/>
      <c r="Q33" s="699"/>
      <c r="R33" s="727"/>
      <c r="S33" s="234"/>
      <c r="T33" s="96"/>
      <c r="U33" s="96"/>
      <c r="V33" s="730"/>
      <c r="W33" s="286"/>
      <c r="X33" s="99">
        <f>VLOOKUP(A33,'Distribution Summary'!$A$136:$BJ$146,62,0)</f>
        <v>322727.75622787437</v>
      </c>
      <c r="Y33" s="416">
        <f t="shared" si="0"/>
        <v>0</v>
      </c>
      <c r="Z33" s="97">
        <f t="shared" si="1"/>
        <v>0</v>
      </c>
      <c r="AA33" s="97">
        <f t="shared" si="2"/>
        <v>0</v>
      </c>
      <c r="AB33" s="97">
        <f t="shared" si="3"/>
        <v>0</v>
      </c>
      <c r="AC33" s="98">
        <f t="shared" si="4"/>
        <v>0</v>
      </c>
      <c r="AD33" s="757"/>
      <c r="AL33" s="749"/>
    </row>
    <row r="34" spans="1:78" x14ac:dyDescent="0.25">
      <c r="A34" s="81" t="s">
        <v>106</v>
      </c>
      <c r="B34" s="82" t="s">
        <v>637</v>
      </c>
      <c r="C34" s="708" t="s">
        <v>644</v>
      </c>
      <c r="D34" s="708" t="s">
        <v>272</v>
      </c>
      <c r="E34" s="718"/>
      <c r="F34" s="173"/>
      <c r="G34" s="173"/>
      <c r="H34" s="173"/>
      <c r="I34" s="719"/>
      <c r="J34" s="1128"/>
      <c r="K34" s="712"/>
      <c r="L34" s="175"/>
      <c r="M34" s="175"/>
      <c r="N34" s="175"/>
      <c r="O34" s="614"/>
      <c r="P34" s="1082"/>
      <c r="Q34" s="699"/>
      <c r="R34" s="727"/>
      <c r="S34" s="234"/>
      <c r="T34" s="96"/>
      <c r="U34" s="96"/>
      <c r="V34" s="730"/>
      <c r="W34" s="286"/>
      <c r="X34" s="99">
        <f>VLOOKUP(A34,'Distribution Summary'!$A$136:$BJ$146,62,0)</f>
        <v>1339.2666347282993</v>
      </c>
      <c r="Y34" s="416">
        <f t="shared" si="0"/>
        <v>0</v>
      </c>
      <c r="Z34" s="97">
        <f t="shared" si="1"/>
        <v>0</v>
      </c>
      <c r="AA34" s="97">
        <f t="shared" si="2"/>
        <v>0</v>
      </c>
      <c r="AB34" s="97">
        <f t="shared" si="3"/>
        <v>0</v>
      </c>
      <c r="AC34" s="98">
        <f t="shared" si="4"/>
        <v>0</v>
      </c>
      <c r="AD34" s="757"/>
      <c r="AL34" s="749"/>
    </row>
    <row r="35" spans="1:78" x14ac:dyDescent="0.25">
      <c r="A35" s="81" t="s">
        <v>138</v>
      </c>
      <c r="B35" s="82" t="s">
        <v>637</v>
      </c>
      <c r="C35" s="708" t="s">
        <v>644</v>
      </c>
      <c r="D35" s="708" t="s">
        <v>413</v>
      </c>
      <c r="E35" s="718"/>
      <c r="F35" s="173"/>
      <c r="G35" s="173"/>
      <c r="H35" s="173"/>
      <c r="I35" s="719"/>
      <c r="J35" s="1128"/>
      <c r="K35" s="712"/>
      <c r="L35" s="175"/>
      <c r="M35" s="175"/>
      <c r="N35" s="175"/>
      <c r="O35" s="614"/>
      <c r="P35" s="1082"/>
      <c r="Q35" s="699"/>
      <c r="R35" s="727"/>
      <c r="S35" s="234"/>
      <c r="T35" s="96"/>
      <c r="U35" s="96"/>
      <c r="V35" s="730"/>
      <c r="W35" s="286"/>
      <c r="X35" s="99">
        <f>VLOOKUP(A35,'Distribution Summary'!$A$136:$BJ$146,62,0)</f>
        <v>28527.37387874335</v>
      </c>
      <c r="Y35" s="416">
        <f t="shared" si="0"/>
        <v>0</v>
      </c>
      <c r="Z35" s="97">
        <f t="shared" si="1"/>
        <v>0</v>
      </c>
      <c r="AA35" s="97">
        <f t="shared" si="2"/>
        <v>0</v>
      </c>
      <c r="AB35" s="97">
        <f t="shared" si="3"/>
        <v>0</v>
      </c>
      <c r="AC35" s="98">
        <f t="shared" si="4"/>
        <v>0</v>
      </c>
      <c r="AD35" s="757"/>
      <c r="AL35" s="749"/>
    </row>
    <row r="36" spans="1:78" x14ac:dyDescent="0.25">
      <c r="A36" s="81" t="s">
        <v>196</v>
      </c>
      <c r="B36" s="82" t="s">
        <v>637</v>
      </c>
      <c r="C36" s="708" t="s">
        <v>644</v>
      </c>
      <c r="D36" s="708" t="s">
        <v>274</v>
      </c>
      <c r="E36" s="718"/>
      <c r="F36" s="173"/>
      <c r="G36" s="173"/>
      <c r="H36" s="173"/>
      <c r="I36" s="719"/>
      <c r="J36" s="1128"/>
      <c r="K36" s="712"/>
      <c r="L36" s="175"/>
      <c r="M36" s="175"/>
      <c r="N36" s="175"/>
      <c r="O36" s="614"/>
      <c r="P36" s="1082"/>
      <c r="Q36" s="699"/>
      <c r="R36" s="727"/>
      <c r="S36" s="234"/>
      <c r="T36" s="96"/>
      <c r="U36" s="96"/>
      <c r="V36" s="730"/>
      <c r="W36" s="286"/>
      <c r="X36" s="99">
        <f>VLOOKUP(A36,'Distribution Summary'!$A$136:$BJ$146,62,0)</f>
        <v>9639.239384840419</v>
      </c>
      <c r="Y36" s="416">
        <f t="shared" si="0"/>
        <v>0</v>
      </c>
      <c r="Z36" s="97">
        <f t="shared" si="1"/>
        <v>0</v>
      </c>
      <c r="AA36" s="97">
        <f t="shared" si="2"/>
        <v>0</v>
      </c>
      <c r="AB36" s="97">
        <f t="shared" si="3"/>
        <v>0</v>
      </c>
      <c r="AC36" s="98">
        <f t="shared" si="4"/>
        <v>0</v>
      </c>
      <c r="AD36" s="757"/>
      <c r="AL36" s="749"/>
    </row>
    <row r="37" spans="1:78" x14ac:dyDescent="0.25">
      <c r="A37" s="81" t="s">
        <v>224</v>
      </c>
      <c r="B37" s="82" t="s">
        <v>637</v>
      </c>
      <c r="C37" s="708" t="s">
        <v>644</v>
      </c>
      <c r="D37" s="708" t="s">
        <v>414</v>
      </c>
      <c r="E37" s="718"/>
      <c r="F37" s="173"/>
      <c r="G37" s="173"/>
      <c r="H37" s="173"/>
      <c r="I37" s="719"/>
      <c r="J37" s="1128"/>
      <c r="K37" s="712"/>
      <c r="L37" s="175"/>
      <c r="M37" s="175"/>
      <c r="N37" s="175"/>
      <c r="O37" s="614"/>
      <c r="P37" s="1082"/>
      <c r="Q37" s="699"/>
      <c r="R37" s="727"/>
      <c r="S37" s="234"/>
      <c r="T37" s="96"/>
      <c r="U37" s="96"/>
      <c r="V37" s="730"/>
      <c r="W37" s="286"/>
      <c r="X37" s="99">
        <f>VLOOKUP(A37,'Distribution Summary'!$A$136:$BJ$146,62,0)</f>
        <v>0</v>
      </c>
      <c r="Y37" s="416">
        <f t="shared" si="0"/>
        <v>0</v>
      </c>
      <c r="Z37" s="97">
        <f t="shared" si="1"/>
        <v>0</v>
      </c>
      <c r="AA37" s="97">
        <f t="shared" si="2"/>
        <v>0</v>
      </c>
      <c r="AB37" s="97">
        <f t="shared" si="3"/>
        <v>0</v>
      </c>
      <c r="AC37" s="98">
        <f t="shared" si="4"/>
        <v>0</v>
      </c>
      <c r="AD37" s="757"/>
      <c r="AL37" s="749"/>
    </row>
    <row r="38" spans="1:78" ht="15.75" thickBot="1" x14ac:dyDescent="0.3">
      <c r="A38" s="81" t="s">
        <v>242</v>
      </c>
      <c r="B38" s="82" t="s">
        <v>637</v>
      </c>
      <c r="C38" s="708" t="s">
        <v>644</v>
      </c>
      <c r="D38" s="708" t="s">
        <v>415</v>
      </c>
      <c r="E38" s="718"/>
      <c r="F38" s="173"/>
      <c r="G38" s="173"/>
      <c r="H38" s="173"/>
      <c r="I38" s="719"/>
      <c r="J38" s="1128"/>
      <c r="K38" s="712"/>
      <c r="L38" s="175"/>
      <c r="M38" s="175"/>
      <c r="N38" s="175"/>
      <c r="O38" s="614"/>
      <c r="P38" s="1082"/>
      <c r="Q38" s="699"/>
      <c r="R38" s="727"/>
      <c r="S38" s="234"/>
      <c r="T38" s="96"/>
      <c r="U38" s="96"/>
      <c r="V38" s="730"/>
      <c r="W38" s="286"/>
      <c r="X38" s="99">
        <f>VLOOKUP(A38,'Distribution Summary'!$A$136:$BJ$146,62,0)</f>
        <v>0</v>
      </c>
      <c r="Y38" s="416">
        <f t="shared" si="0"/>
        <v>0</v>
      </c>
      <c r="Z38" s="97">
        <f t="shared" si="1"/>
        <v>0</v>
      </c>
      <c r="AA38" s="97">
        <f t="shared" si="2"/>
        <v>0</v>
      </c>
      <c r="AB38" s="97">
        <f t="shared" si="3"/>
        <v>0</v>
      </c>
      <c r="AC38" s="98">
        <f t="shared" si="4"/>
        <v>0</v>
      </c>
      <c r="AD38" s="757"/>
      <c r="AL38" s="749"/>
      <c r="BV38" s="61" t="s">
        <v>422</v>
      </c>
      <c r="BW38" s="61" t="s">
        <v>423</v>
      </c>
      <c r="BX38" s="61" t="s">
        <v>424</v>
      </c>
      <c r="BY38" s="61" t="s">
        <v>425</v>
      </c>
      <c r="BZ38" s="62" t="s">
        <v>426</v>
      </c>
    </row>
    <row r="39" spans="1:78" ht="15.75" thickBot="1" x14ac:dyDescent="0.3">
      <c r="A39" s="100" t="s">
        <v>258</v>
      </c>
      <c r="B39" s="101" t="s">
        <v>637</v>
      </c>
      <c r="C39" s="709" t="s">
        <v>644</v>
      </c>
      <c r="D39" s="709" t="s">
        <v>64</v>
      </c>
      <c r="E39" s="720"/>
      <c r="F39" s="178"/>
      <c r="G39" s="178"/>
      <c r="H39" s="178"/>
      <c r="I39" s="721"/>
      <c r="J39" s="1129"/>
      <c r="K39" s="713"/>
      <c r="L39" s="180"/>
      <c r="M39" s="180"/>
      <c r="N39" s="180"/>
      <c r="O39" s="615"/>
      <c r="P39" s="1083"/>
      <c r="Q39" s="700"/>
      <c r="R39" s="728"/>
      <c r="S39" s="235"/>
      <c r="T39" s="115"/>
      <c r="U39" s="115"/>
      <c r="V39" s="731"/>
      <c r="W39" s="287"/>
      <c r="X39" s="116">
        <f>VLOOKUP(A39,'Distribution Summary'!$A$136:$BJ$146,62,0)</f>
        <v>30000</v>
      </c>
      <c r="Y39" s="467">
        <f t="shared" ref="Y39:Y70" si="15">S39*$X39</f>
        <v>0</v>
      </c>
      <c r="Z39" s="117">
        <f t="shared" ref="Z39:Z70" si="16">T39*$X39</f>
        <v>0</v>
      </c>
      <c r="AA39" s="117">
        <f t="shared" ref="AA39:AA70" si="17">U39*$X39</f>
        <v>0</v>
      </c>
      <c r="AB39" s="117">
        <f t="shared" ref="AB39:AB70" si="18">V39*$X39</f>
        <v>0</v>
      </c>
      <c r="AC39" s="118">
        <f t="shared" ref="AC39:AC70" si="19">W39*$X39</f>
        <v>0</v>
      </c>
      <c r="AD39" s="758"/>
      <c r="BU39" t="s">
        <v>656</v>
      </c>
      <c r="BV39" s="395">
        <f>S54</f>
        <v>606.50843685384075</v>
      </c>
      <c r="BW39" s="395">
        <f t="shared" ref="BW39:BZ39" si="20">T54</f>
        <v>636.50843685384098</v>
      </c>
      <c r="BX39" s="395">
        <f t="shared" si="20"/>
        <v>656.50843685384086</v>
      </c>
      <c r="BY39" s="395">
        <f t="shared" si="20"/>
        <v>676.50843685384109</v>
      </c>
      <c r="BZ39" s="395">
        <f t="shared" si="20"/>
        <v>686.50843685384109</v>
      </c>
    </row>
    <row r="40" spans="1:78" x14ac:dyDescent="0.25">
      <c r="A40" s="63" t="s">
        <v>296</v>
      </c>
      <c r="B40" s="64" t="s">
        <v>636</v>
      </c>
      <c r="C40" s="707" t="s">
        <v>643</v>
      </c>
      <c r="D40" s="707" t="s">
        <v>409</v>
      </c>
      <c r="E40" s="716"/>
      <c r="F40" s="168"/>
      <c r="G40" s="168"/>
      <c r="H40" s="168"/>
      <c r="I40" s="717"/>
      <c r="J40" s="1127"/>
      <c r="K40" s="711"/>
      <c r="L40" s="170"/>
      <c r="M40" s="170"/>
      <c r="N40" s="170"/>
      <c r="O40" s="613"/>
      <c r="P40" s="1081"/>
      <c r="Q40" s="698"/>
      <c r="R40" s="726"/>
      <c r="S40" s="241"/>
      <c r="T40" s="144"/>
      <c r="U40" s="144"/>
      <c r="V40" s="729"/>
      <c r="W40" s="293"/>
      <c r="X40" s="124">
        <f>VLOOKUP(A40,'Distribution Summary'!$A$136:$BJ$146,62,0)</f>
        <v>1800</v>
      </c>
      <c r="Y40" s="415">
        <f t="shared" si="15"/>
        <v>0</v>
      </c>
      <c r="Z40" s="79">
        <f t="shared" si="16"/>
        <v>0</v>
      </c>
      <c r="AA40" s="79">
        <f t="shared" si="17"/>
        <v>0</v>
      </c>
      <c r="AB40" s="79">
        <f t="shared" si="18"/>
        <v>0</v>
      </c>
      <c r="AC40" s="80">
        <f t="shared" si="19"/>
        <v>0</v>
      </c>
      <c r="AD40" s="756"/>
      <c r="AE40" s="1" t="s">
        <v>270</v>
      </c>
      <c r="AF40" t="s">
        <v>656</v>
      </c>
      <c r="AG40">
        <f>ROUND(Y54/1000000,1)</f>
        <v>34.5</v>
      </c>
      <c r="AH40">
        <f>ROUND(Z54/1000000,1)</f>
        <v>36.200000000000003</v>
      </c>
      <c r="AI40">
        <f>ROUND(AA54/1000000,1)</f>
        <v>37.4</v>
      </c>
      <c r="AJ40">
        <f>ROUND(AB54/1000000,1)</f>
        <v>38.5</v>
      </c>
      <c r="AK40">
        <f>ROUND(AC54/1000000,1)</f>
        <v>39.1</v>
      </c>
      <c r="AL40" s="749">
        <f>SUM(AG40:AK40)</f>
        <v>185.7</v>
      </c>
      <c r="BU40" t="s">
        <v>643</v>
      </c>
      <c r="BV40" s="395">
        <f>S43</f>
        <v>93.52033914815901</v>
      </c>
      <c r="BW40" s="395">
        <f t="shared" ref="BW40:BZ40" si="21">T43</f>
        <v>93.52033914815901</v>
      </c>
      <c r="BX40" s="395">
        <f t="shared" si="21"/>
        <v>93.52033914815901</v>
      </c>
      <c r="BY40" s="395">
        <f t="shared" si="21"/>
        <v>93.52033914815901</v>
      </c>
      <c r="BZ40" s="395">
        <f t="shared" si="21"/>
        <v>93.52033914815901</v>
      </c>
    </row>
    <row r="41" spans="1:78" x14ac:dyDescent="0.25">
      <c r="A41" s="81" t="s">
        <v>27</v>
      </c>
      <c r="B41" s="82" t="s">
        <v>636</v>
      </c>
      <c r="C41" s="708" t="s">
        <v>643</v>
      </c>
      <c r="D41" s="708" t="s">
        <v>410</v>
      </c>
      <c r="E41" s="718"/>
      <c r="F41" s="173"/>
      <c r="G41" s="173"/>
      <c r="H41" s="173"/>
      <c r="I41" s="719"/>
      <c r="J41" s="1128">
        <f>'Defect (Total)'!N168</f>
        <v>2981867.6432254892</v>
      </c>
      <c r="K41" s="712"/>
      <c r="L41" s="175"/>
      <c r="M41" s="175"/>
      <c r="N41" s="175"/>
      <c r="O41" s="614"/>
      <c r="P41" s="1082"/>
      <c r="Q41" s="699">
        <f>'Defect (Total)'!BC168</f>
        <v>308.74748264582712</v>
      </c>
      <c r="R41" s="727">
        <f>'Defect (Total)'!BD168</f>
        <v>308.74748264582712</v>
      </c>
      <c r="S41" s="234">
        <f>'Defect (Total)'!BE168</f>
        <v>330.36347119305276</v>
      </c>
      <c r="T41" s="96">
        <f>'Defect (Total)'!BF168</f>
        <v>330.36347119305276</v>
      </c>
      <c r="U41" s="96">
        <f>'Defect (Total)'!BG168</f>
        <v>330.36347119305276</v>
      </c>
      <c r="V41" s="730">
        <f>'Defect (Total)'!BH168</f>
        <v>330.36347119305276</v>
      </c>
      <c r="W41" s="286">
        <f>'Defect (Total)'!BI168</f>
        <v>330.36347119305276</v>
      </c>
      <c r="X41" s="99">
        <f>VLOOKUP(A41,'Distribution Summary'!$A$136:$BJ$146,62,0)</f>
        <v>6236.1822982950935</v>
      </c>
      <c r="Y41" s="416">
        <f t="shared" si="15"/>
        <v>2060206.8310574368</v>
      </c>
      <c r="Z41" s="97">
        <f t="shared" si="16"/>
        <v>2060206.8310574368</v>
      </c>
      <c r="AA41" s="97">
        <f t="shared" si="17"/>
        <v>2060206.8310574368</v>
      </c>
      <c r="AB41" s="97">
        <f t="shared" si="18"/>
        <v>2060206.8310574368</v>
      </c>
      <c r="AC41" s="98">
        <f t="shared" si="19"/>
        <v>2060206.8310574368</v>
      </c>
      <c r="AD41" s="757"/>
      <c r="AF41" t="s">
        <v>643</v>
      </c>
      <c r="AG41">
        <f>ROUND(Y43/1000000,1)</f>
        <v>5.3</v>
      </c>
      <c r="AH41">
        <f>ROUND(Z43/1000000,1)</f>
        <v>5.3</v>
      </c>
      <c r="AI41">
        <f>ROUND(AA43/1000000,1)</f>
        <v>5.3</v>
      </c>
      <c r="AJ41">
        <f>ROUND(AB43/1000000,1)</f>
        <v>5.3</v>
      </c>
      <c r="AK41">
        <f>ROUND(AC43/1000000,1)</f>
        <v>5.3</v>
      </c>
      <c r="AL41" s="749">
        <f>SUM(AG41:AK41)</f>
        <v>26.5</v>
      </c>
      <c r="BU41" s="1" t="str">
        <f>BT39&amp;" Reset RIN Total"</f>
        <v xml:space="preserve"> Reset RIN Total</v>
      </c>
    </row>
    <row r="42" spans="1:78" x14ac:dyDescent="0.25">
      <c r="A42" s="81" t="s">
        <v>68</v>
      </c>
      <c r="B42" s="82" t="s">
        <v>636</v>
      </c>
      <c r="C42" s="708" t="s">
        <v>643</v>
      </c>
      <c r="D42" s="708" t="s">
        <v>411</v>
      </c>
      <c r="E42" s="718"/>
      <c r="F42" s="173"/>
      <c r="G42" s="173"/>
      <c r="H42" s="173"/>
      <c r="I42" s="719"/>
      <c r="J42" s="1128">
        <f>'Defect (Total)'!N169</f>
        <v>2888833.6699855179</v>
      </c>
      <c r="K42" s="712"/>
      <c r="L42" s="175"/>
      <c r="M42" s="175"/>
      <c r="N42" s="175"/>
      <c r="O42" s="614"/>
      <c r="P42" s="1082"/>
      <c r="Q42" s="699">
        <f>'Defect (Total)'!BC169</f>
        <v>626.16628432740117</v>
      </c>
      <c r="R42" s="727">
        <f>'Defect (Total)'!BD169</f>
        <v>626.16628432740117</v>
      </c>
      <c r="S42" s="234">
        <f>'Defect (Total)'!BE169</f>
        <v>670.0053566809288</v>
      </c>
      <c r="T42" s="96">
        <f>'Defect (Total)'!BF169</f>
        <v>670.0053566809288</v>
      </c>
      <c r="U42" s="96">
        <f>'Defect (Total)'!BG169</f>
        <v>670.0053566809288</v>
      </c>
      <c r="V42" s="730">
        <f>'Defect (Total)'!BH169</f>
        <v>670.0053566809288</v>
      </c>
      <c r="W42" s="286">
        <f>'Defect (Total)'!BI169</f>
        <v>670.0053566809288</v>
      </c>
      <c r="X42" s="99">
        <f>VLOOKUP(A42,'Distribution Summary'!$A$136:$BJ$146,62,0)</f>
        <v>2810.5410327755412</v>
      </c>
      <c r="Y42" s="416">
        <f t="shared" si="15"/>
        <v>1883077.5471311626</v>
      </c>
      <c r="Z42" s="97">
        <f t="shared" si="16"/>
        <v>1883077.5471311626</v>
      </c>
      <c r="AA42" s="97">
        <f t="shared" si="17"/>
        <v>1883077.5471311626</v>
      </c>
      <c r="AB42" s="97">
        <f t="shared" si="18"/>
        <v>1883077.5471311626</v>
      </c>
      <c r="AC42" s="98">
        <f t="shared" si="19"/>
        <v>1883077.5471311626</v>
      </c>
      <c r="AD42" s="757"/>
      <c r="AF42" s="1" t="str">
        <f>AE40&amp;" Reset RIN Total"</f>
        <v>Conductor Reset RIN Total</v>
      </c>
      <c r="AG42" s="1">
        <f>SUM(AG40:AG41)</f>
        <v>39.799999999999997</v>
      </c>
      <c r="AH42" s="1">
        <f t="shared" ref="AH42:AK42" si="22">SUM(AH40:AH41)</f>
        <v>41.5</v>
      </c>
      <c r="AI42" s="1">
        <f t="shared" si="22"/>
        <v>42.699999999999996</v>
      </c>
      <c r="AJ42" s="1">
        <f t="shared" si="22"/>
        <v>43.8</v>
      </c>
      <c r="AK42" s="1">
        <f t="shared" si="22"/>
        <v>44.4</v>
      </c>
      <c r="AL42" s="750">
        <f t="shared" si="11"/>
        <v>212.20000000000002</v>
      </c>
      <c r="BU42" s="752" t="s">
        <v>785</v>
      </c>
      <c r="BV42" s="395">
        <f>S41+S52</f>
        <v>2528.9249198940793</v>
      </c>
      <c r="BW42" s="395">
        <f t="shared" ref="BW42:BZ42" si="23">T41+T52</f>
        <v>2637.6733551230623</v>
      </c>
      <c r="BX42" s="395">
        <f t="shared" si="23"/>
        <v>2710.1723119423827</v>
      </c>
      <c r="BY42" s="395">
        <f t="shared" si="23"/>
        <v>2782.6712687617051</v>
      </c>
      <c r="BZ42" s="395">
        <f t="shared" si="23"/>
        <v>2818.9207471713657</v>
      </c>
    </row>
    <row r="43" spans="1:78" x14ac:dyDescent="0.25">
      <c r="A43" s="81" t="s">
        <v>81</v>
      </c>
      <c r="B43" s="82" t="s">
        <v>636</v>
      </c>
      <c r="C43" s="708" t="s">
        <v>643</v>
      </c>
      <c r="D43" s="708" t="s">
        <v>270</v>
      </c>
      <c r="E43" s="718">
        <v>13846643.9976683</v>
      </c>
      <c r="F43" s="173">
        <v>14034096.728620561</v>
      </c>
      <c r="G43" s="173">
        <v>16417968.3274235</v>
      </c>
      <c r="H43" s="173">
        <v>31802464.788866416</v>
      </c>
      <c r="I43" s="719">
        <v>18421962.029777169</v>
      </c>
      <c r="J43" s="1128">
        <f>'Defect (Total)'!N170</f>
        <v>13824885.442502294</v>
      </c>
      <c r="K43" s="725">
        <v>271.08421142399999</v>
      </c>
      <c r="L43" s="631">
        <v>206.77800007299984</v>
      </c>
      <c r="M43" s="631">
        <v>247.71416666666539</v>
      </c>
      <c r="N43" s="631">
        <v>107.82883256300045</v>
      </c>
      <c r="O43" s="671">
        <v>137.72733175266598</v>
      </c>
      <c r="P43" s="1124"/>
      <c r="Q43" s="699">
        <f>'Defect (Total)'!BC184</f>
        <v>87.401216556733189</v>
      </c>
      <c r="R43" s="727">
        <f>'Defect (Total)'!BD184</f>
        <v>87.401216556733189</v>
      </c>
      <c r="S43" s="234">
        <f>'Defect (Total)'!BE184</f>
        <v>93.52033914815901</v>
      </c>
      <c r="T43" s="96">
        <f>'Defect (Total)'!BF184</f>
        <v>93.52033914815901</v>
      </c>
      <c r="U43" s="96">
        <f>'Defect (Total)'!BG184</f>
        <v>93.52033914815901</v>
      </c>
      <c r="V43" s="96">
        <f>'Defect (Total)'!BH184</f>
        <v>93.52033914815901</v>
      </c>
      <c r="W43" s="727">
        <f>'Defect (Total)'!BI184</f>
        <v>93.52033914815901</v>
      </c>
      <c r="X43" s="99">
        <f>VLOOKUP(A43,'Distribution Summary'!$A$136:$BJ$146,62,0)</f>
        <v>56912.19365276918</v>
      </c>
      <c r="Y43" s="416">
        <f t="shared" si="15"/>
        <v>5322447.6520726765</v>
      </c>
      <c r="Z43" s="97">
        <f t="shared" si="16"/>
        <v>5322447.6520726765</v>
      </c>
      <c r="AA43" s="97">
        <f t="shared" si="17"/>
        <v>5322447.6520726765</v>
      </c>
      <c r="AB43" s="97">
        <f t="shared" si="18"/>
        <v>5322447.6520726765</v>
      </c>
      <c r="AC43" s="98">
        <f t="shared" si="19"/>
        <v>5322447.6520726765</v>
      </c>
      <c r="AD43" s="757"/>
      <c r="AF43" s="752" t="s">
        <v>785</v>
      </c>
      <c r="AG43">
        <f t="shared" ref="AG43:AK44" si="24">ROUND(SUM(Y41,Y52)/1000000,1)</f>
        <v>15.8</v>
      </c>
      <c r="AH43">
        <f t="shared" si="24"/>
        <v>16.399999999999999</v>
      </c>
      <c r="AI43">
        <f t="shared" si="24"/>
        <v>16.899999999999999</v>
      </c>
      <c r="AJ43">
        <f t="shared" si="24"/>
        <v>17.399999999999999</v>
      </c>
      <c r="AK43">
        <f t="shared" si="24"/>
        <v>17.600000000000001</v>
      </c>
      <c r="AL43" s="749">
        <f t="shared" ref="AL43:AL48" si="25">SUM(AG43:AK43)</f>
        <v>84.1</v>
      </c>
      <c r="BU43" s="752" t="s">
        <v>659</v>
      </c>
      <c r="BV43" s="395">
        <f>S42+S53</f>
        <v>5086.4913570767967</v>
      </c>
      <c r="BW43" s="395">
        <f t="shared" ref="BW43:BZ43" si="26">T42+T53</f>
        <v>5304.9459934198112</v>
      </c>
      <c r="BX43" s="395">
        <f t="shared" si="26"/>
        <v>5450.5824176484894</v>
      </c>
      <c r="BY43" s="395">
        <f t="shared" si="26"/>
        <v>5596.2188418771657</v>
      </c>
      <c r="BZ43" s="395">
        <f t="shared" si="26"/>
        <v>5669.0370539915057</v>
      </c>
    </row>
    <row r="44" spans="1:78" x14ac:dyDescent="0.25">
      <c r="A44" s="81" t="s">
        <v>94</v>
      </c>
      <c r="B44" s="82" t="s">
        <v>636</v>
      </c>
      <c r="C44" s="708" t="s">
        <v>643</v>
      </c>
      <c r="D44" s="708" t="s">
        <v>412</v>
      </c>
      <c r="E44" s="718"/>
      <c r="F44" s="173"/>
      <c r="G44" s="173"/>
      <c r="H44" s="173"/>
      <c r="I44" s="719"/>
      <c r="J44" s="1128"/>
      <c r="K44" s="712"/>
      <c r="L44" s="175"/>
      <c r="M44" s="175"/>
      <c r="N44" s="175"/>
      <c r="O44" s="614"/>
      <c r="P44" s="1082"/>
      <c r="Q44" s="699">
        <f>'Defect (Total)'!BC171</f>
        <v>0</v>
      </c>
      <c r="R44" s="727">
        <f>'Defect (Total)'!BD171</f>
        <v>0</v>
      </c>
      <c r="S44" s="234">
        <f>'Defect (Total)'!BE171</f>
        <v>0</v>
      </c>
      <c r="T44" s="96">
        <f>'Defect (Total)'!BF171</f>
        <v>0</v>
      </c>
      <c r="U44" s="96">
        <f>'Defect (Total)'!BG171</f>
        <v>0</v>
      </c>
      <c r="V44" s="730">
        <f>'Defect (Total)'!BH171</f>
        <v>0</v>
      </c>
      <c r="W44" s="286">
        <f>'Defect (Total)'!BI171</f>
        <v>0</v>
      </c>
      <c r="X44" s="99">
        <f>VLOOKUP(A44,'Distribution Summary'!$A$136:$BJ$146,62,0)</f>
        <v>322727.75622787437</v>
      </c>
      <c r="Y44" s="416">
        <f t="shared" si="15"/>
        <v>0</v>
      </c>
      <c r="Z44" s="97">
        <f t="shared" si="16"/>
        <v>0</v>
      </c>
      <c r="AA44" s="97">
        <f t="shared" si="17"/>
        <v>0</v>
      </c>
      <c r="AB44" s="97">
        <f t="shared" si="18"/>
        <v>0</v>
      </c>
      <c r="AC44" s="98">
        <f t="shared" si="19"/>
        <v>0</v>
      </c>
      <c r="AD44" s="757"/>
      <c r="AF44" s="752" t="s">
        <v>659</v>
      </c>
      <c r="AG44">
        <f t="shared" si="24"/>
        <v>14.3</v>
      </c>
      <c r="AH44">
        <f t="shared" si="24"/>
        <v>14.9</v>
      </c>
      <c r="AI44">
        <f t="shared" si="24"/>
        <v>15.3</v>
      </c>
      <c r="AJ44">
        <f t="shared" si="24"/>
        <v>15.7</v>
      </c>
      <c r="AK44">
        <f t="shared" si="24"/>
        <v>15.9</v>
      </c>
      <c r="AL44" s="749">
        <f t="shared" si="25"/>
        <v>76.100000000000009</v>
      </c>
      <c r="BU44" s="752" t="s">
        <v>660</v>
      </c>
      <c r="BV44" s="395">
        <f>S45+S56</f>
        <v>2739.0819050750902</v>
      </c>
      <c r="BW44" s="395">
        <f t="shared" ref="BW44:BZ44" si="27">T45+T56</f>
        <v>2856.8831103100379</v>
      </c>
      <c r="BX44" s="395">
        <f t="shared" si="27"/>
        <v>2935.417247133335</v>
      </c>
      <c r="BY44" s="395">
        <f t="shared" si="27"/>
        <v>3013.9513839566334</v>
      </c>
      <c r="BZ44" s="395">
        <f t="shared" si="27"/>
        <v>3053.2184523682822</v>
      </c>
    </row>
    <row r="45" spans="1:78" x14ac:dyDescent="0.25">
      <c r="A45" s="81" t="s">
        <v>106</v>
      </c>
      <c r="B45" s="82" t="s">
        <v>636</v>
      </c>
      <c r="C45" s="708" t="s">
        <v>643</v>
      </c>
      <c r="D45" s="708" t="s">
        <v>272</v>
      </c>
      <c r="E45" s="718"/>
      <c r="F45" s="173"/>
      <c r="G45" s="173"/>
      <c r="H45" s="173"/>
      <c r="I45" s="719"/>
      <c r="J45" s="1128">
        <f>'Defect (Total)'!N172</f>
        <v>462725.4344404852</v>
      </c>
      <c r="K45" s="712"/>
      <c r="L45" s="175"/>
      <c r="M45" s="175"/>
      <c r="N45" s="175"/>
      <c r="O45" s="614"/>
      <c r="P45" s="1082"/>
      <c r="Q45" s="699">
        <f>'Defect (Total)'!BC172</f>
        <v>334.10944958329259</v>
      </c>
      <c r="R45" s="727">
        <f>'Defect (Total)'!BD172</f>
        <v>334.10944958329259</v>
      </c>
      <c r="S45" s="234">
        <f>'Defect (Total)'!BE172</f>
        <v>357.5010768568888</v>
      </c>
      <c r="T45" s="96">
        <f>'Defect (Total)'!BF172</f>
        <v>357.5010768568888</v>
      </c>
      <c r="U45" s="96">
        <f>'Defect (Total)'!BG172</f>
        <v>357.5010768568888</v>
      </c>
      <c r="V45" s="730">
        <f>'Defect (Total)'!BH172</f>
        <v>357.5010768568888</v>
      </c>
      <c r="W45" s="286">
        <f>'Defect (Total)'!BI172</f>
        <v>357.5010768568888</v>
      </c>
      <c r="X45" s="99">
        <f>VLOOKUP(A45,'Distribution Summary'!$A$136:$BJ$146,62,0)</f>
        <v>1339.2666347282993</v>
      </c>
      <c r="Y45" s="416">
        <f t="shared" si="15"/>
        <v>478789.26411386853</v>
      </c>
      <c r="Z45" s="97">
        <f t="shared" si="16"/>
        <v>478789.26411386853</v>
      </c>
      <c r="AA45" s="97">
        <f t="shared" si="17"/>
        <v>478789.26411386853</v>
      </c>
      <c r="AB45" s="97">
        <f t="shared" si="18"/>
        <v>478789.26411386853</v>
      </c>
      <c r="AC45" s="98">
        <f t="shared" si="19"/>
        <v>478789.26411386853</v>
      </c>
      <c r="AD45" s="757"/>
      <c r="AF45" s="752" t="s">
        <v>660</v>
      </c>
      <c r="AG45">
        <f t="shared" ref="AG45:AK47" si="28">ROUND(SUM(Y45,Y56)/1000000,1)</f>
        <v>3.7</v>
      </c>
      <c r="AH45">
        <f t="shared" si="28"/>
        <v>3.8</v>
      </c>
      <c r="AI45">
        <f t="shared" si="28"/>
        <v>3.9</v>
      </c>
      <c r="AJ45">
        <f t="shared" si="28"/>
        <v>4</v>
      </c>
      <c r="AK45">
        <f t="shared" si="28"/>
        <v>4.0999999999999996</v>
      </c>
      <c r="AL45" s="749">
        <f t="shared" si="25"/>
        <v>19.5</v>
      </c>
      <c r="BU45" s="752" t="s">
        <v>786</v>
      </c>
      <c r="BV45" s="395">
        <f>S46+S57</f>
        <v>146.99139049929855</v>
      </c>
      <c r="BW45" s="395">
        <f t="shared" ref="BW45:BZ45" si="29">T46+T57</f>
        <v>153.24590864150665</v>
      </c>
      <c r="BX45" s="395">
        <f t="shared" si="29"/>
        <v>157.41558740297862</v>
      </c>
      <c r="BY45" s="395">
        <f t="shared" si="29"/>
        <v>161.58526616445067</v>
      </c>
      <c r="BZ45" s="395">
        <f t="shared" si="29"/>
        <v>163.67010554518669</v>
      </c>
    </row>
    <row r="46" spans="1:78" x14ac:dyDescent="0.25">
      <c r="A46" s="81" t="s">
        <v>138</v>
      </c>
      <c r="B46" s="82" t="s">
        <v>636</v>
      </c>
      <c r="C46" s="708" t="s">
        <v>643</v>
      </c>
      <c r="D46" s="708" t="s">
        <v>413</v>
      </c>
      <c r="E46" s="718"/>
      <c r="F46" s="173"/>
      <c r="G46" s="173"/>
      <c r="H46" s="173"/>
      <c r="I46" s="719"/>
      <c r="J46" s="1128">
        <f>'Defect (Total)'!N173</f>
        <v>1803949.5662007648</v>
      </c>
      <c r="K46" s="712"/>
      <c r="L46" s="175"/>
      <c r="M46" s="175"/>
      <c r="N46" s="175"/>
      <c r="O46" s="614"/>
      <c r="P46" s="1082"/>
      <c r="Q46" s="699">
        <f>'Defect (Total)'!BC173</f>
        <v>18.265332994224533</v>
      </c>
      <c r="R46" s="727">
        <f>'Defect (Total)'!BD173</f>
        <v>18.265332994224533</v>
      </c>
      <c r="S46" s="234">
        <f>'Defect (Total)'!BE173</f>
        <v>19.54412310914616</v>
      </c>
      <c r="T46" s="96">
        <f>'Defect (Total)'!BF173</f>
        <v>19.54412310914616</v>
      </c>
      <c r="U46" s="96">
        <f>'Defect (Total)'!BG173</f>
        <v>19.54412310914616</v>
      </c>
      <c r="V46" s="730">
        <f>'Defect (Total)'!BH173</f>
        <v>19.54412310914616</v>
      </c>
      <c r="W46" s="286">
        <f>'Defect (Total)'!BI173</f>
        <v>19.54412310914616</v>
      </c>
      <c r="X46" s="99">
        <f>VLOOKUP(A46,'Distribution Summary'!$A$136:$BJ$146,62,0)</f>
        <v>28527.37387874335</v>
      </c>
      <c r="Y46" s="416">
        <f t="shared" si="15"/>
        <v>557542.50706680038</v>
      </c>
      <c r="Z46" s="97">
        <f t="shared" si="16"/>
        <v>557542.50706680038</v>
      </c>
      <c r="AA46" s="97">
        <f t="shared" si="17"/>
        <v>557542.50706680038</v>
      </c>
      <c r="AB46" s="97">
        <f t="shared" si="18"/>
        <v>557542.50706680038</v>
      </c>
      <c r="AC46" s="98">
        <f t="shared" si="19"/>
        <v>557542.50706680038</v>
      </c>
      <c r="AD46" s="757"/>
      <c r="AF46" s="752" t="s">
        <v>786</v>
      </c>
      <c r="AG46">
        <f t="shared" si="28"/>
        <v>4.2</v>
      </c>
      <c r="AH46">
        <f t="shared" si="28"/>
        <v>4.4000000000000004</v>
      </c>
      <c r="AI46">
        <f t="shared" si="28"/>
        <v>4.5</v>
      </c>
      <c r="AJ46">
        <f t="shared" si="28"/>
        <v>4.5999999999999996</v>
      </c>
      <c r="AK46">
        <f t="shared" si="28"/>
        <v>4.7</v>
      </c>
      <c r="AL46" s="749">
        <f t="shared" si="25"/>
        <v>22.400000000000002</v>
      </c>
      <c r="BU46" s="752" t="s">
        <v>787</v>
      </c>
      <c r="BV46" s="395">
        <f>S47+S58</f>
        <v>154.99144902322803</v>
      </c>
      <c r="BW46" s="395">
        <f t="shared" ref="BW46:BZ46" si="30">T47+T58</f>
        <v>161.65609950263007</v>
      </c>
      <c r="BX46" s="395">
        <f t="shared" si="30"/>
        <v>166.09919982223136</v>
      </c>
      <c r="BY46" s="395">
        <f t="shared" si="30"/>
        <v>170.5423001418327</v>
      </c>
      <c r="BZ46" s="395">
        <f t="shared" si="30"/>
        <v>172.7638503016334</v>
      </c>
    </row>
    <row r="47" spans="1:78" x14ac:dyDescent="0.25">
      <c r="A47" s="81" t="s">
        <v>196</v>
      </c>
      <c r="B47" s="82" t="s">
        <v>636</v>
      </c>
      <c r="C47" s="708" t="s">
        <v>643</v>
      </c>
      <c r="D47" s="708" t="s">
        <v>274</v>
      </c>
      <c r="E47" s="718"/>
      <c r="F47" s="173"/>
      <c r="G47" s="173"/>
      <c r="H47" s="173"/>
      <c r="I47" s="719"/>
      <c r="J47" s="1128">
        <f>'Defect (Total)'!N174</f>
        <v>469633.33947109769</v>
      </c>
      <c r="K47" s="712"/>
      <c r="L47" s="175"/>
      <c r="M47" s="175"/>
      <c r="N47" s="175"/>
      <c r="O47" s="614"/>
      <c r="P47" s="1082"/>
      <c r="Q47" s="699">
        <f>'Defect (Total)'!BC174</f>
        <v>18.927413904526322</v>
      </c>
      <c r="R47" s="727">
        <f>'Defect (Total)'!BD174</f>
        <v>18.927413904526322</v>
      </c>
      <c r="S47" s="234">
        <f>'Defect (Total)'!BE174</f>
        <v>20.25255754191808</v>
      </c>
      <c r="T47" s="96">
        <f>'Defect (Total)'!BF174</f>
        <v>20.25255754191808</v>
      </c>
      <c r="U47" s="96">
        <f>'Defect (Total)'!BG174</f>
        <v>20.25255754191808</v>
      </c>
      <c r="V47" s="730">
        <f>'Defect (Total)'!BH174</f>
        <v>20.25255754191808</v>
      </c>
      <c r="W47" s="286">
        <f>'Defect (Total)'!BI174</f>
        <v>20.25255754191808</v>
      </c>
      <c r="X47" s="99">
        <f>VLOOKUP(A47,'Distribution Summary'!$A$136:$BJ$146,62,0)</f>
        <v>9639.239384840419</v>
      </c>
      <c r="Y47" s="416">
        <f t="shared" si="15"/>
        <v>195219.25030180361</v>
      </c>
      <c r="Z47" s="97">
        <f t="shared" si="16"/>
        <v>195219.25030180361</v>
      </c>
      <c r="AA47" s="97">
        <f t="shared" si="17"/>
        <v>195219.25030180361</v>
      </c>
      <c r="AB47" s="97">
        <f t="shared" si="18"/>
        <v>195219.25030180361</v>
      </c>
      <c r="AC47" s="98">
        <f t="shared" si="19"/>
        <v>195219.25030180361</v>
      </c>
      <c r="AD47" s="757"/>
      <c r="AF47" s="752" t="s">
        <v>787</v>
      </c>
      <c r="AG47">
        <f t="shared" si="28"/>
        <v>1.5</v>
      </c>
      <c r="AH47">
        <f t="shared" si="28"/>
        <v>1.6</v>
      </c>
      <c r="AI47">
        <f t="shared" si="28"/>
        <v>1.6</v>
      </c>
      <c r="AJ47">
        <f t="shared" si="28"/>
        <v>1.6</v>
      </c>
      <c r="AK47">
        <f t="shared" si="28"/>
        <v>1.7</v>
      </c>
      <c r="AL47" s="749">
        <f t="shared" si="25"/>
        <v>8</v>
      </c>
    </row>
    <row r="48" spans="1:78" x14ac:dyDescent="0.25">
      <c r="A48" s="81" t="s">
        <v>224</v>
      </c>
      <c r="B48" s="82" t="s">
        <v>636</v>
      </c>
      <c r="C48" s="708" t="s">
        <v>643</v>
      </c>
      <c r="D48" s="708" t="s">
        <v>414</v>
      </c>
      <c r="E48" s="718"/>
      <c r="F48" s="173"/>
      <c r="G48" s="173"/>
      <c r="H48" s="173"/>
      <c r="I48" s="719"/>
      <c r="J48" s="1128"/>
      <c r="K48" s="712"/>
      <c r="L48" s="175"/>
      <c r="M48" s="175"/>
      <c r="N48" s="175"/>
      <c r="O48" s="614"/>
      <c r="P48" s="1082"/>
      <c r="Q48" s="699"/>
      <c r="R48" s="727"/>
      <c r="S48" s="234"/>
      <c r="T48" s="96"/>
      <c r="U48" s="96"/>
      <c r="V48" s="730"/>
      <c r="W48" s="286"/>
      <c r="X48" s="99">
        <f>VLOOKUP(A48,'Distribution Summary'!$A$136:$BJ$146,62,0)</f>
        <v>0</v>
      </c>
      <c r="Y48" s="416">
        <f t="shared" si="15"/>
        <v>0</v>
      </c>
      <c r="Z48" s="97">
        <f t="shared" si="16"/>
        <v>0</v>
      </c>
      <c r="AA48" s="97">
        <f t="shared" si="17"/>
        <v>0</v>
      </c>
      <c r="AB48" s="97">
        <f t="shared" si="18"/>
        <v>0</v>
      </c>
      <c r="AC48" s="98">
        <f t="shared" si="19"/>
        <v>0</v>
      </c>
      <c r="AD48" s="757"/>
      <c r="AF48" s="1" t="s">
        <v>657</v>
      </c>
      <c r="AG48" s="1">
        <f>SUM(AG43:AG47)</f>
        <v>39.500000000000007</v>
      </c>
      <c r="AH48" s="1">
        <f>SUM(AH43:AH47)</f>
        <v>41.099999999999994</v>
      </c>
      <c r="AI48" s="1">
        <f>SUM(AI43:AI47)</f>
        <v>42.2</v>
      </c>
      <c r="AJ48" s="1">
        <f>SUM(AJ43:AJ47)</f>
        <v>43.3</v>
      </c>
      <c r="AK48" s="1">
        <f>SUM(AK43:AK47)</f>
        <v>44.000000000000007</v>
      </c>
      <c r="AL48" s="750">
        <f t="shared" si="25"/>
        <v>210.1</v>
      </c>
    </row>
    <row r="49" spans="1:38" x14ac:dyDescent="0.25">
      <c r="A49" s="81" t="s">
        <v>242</v>
      </c>
      <c r="B49" s="82" t="s">
        <v>636</v>
      </c>
      <c r="C49" s="708" t="s">
        <v>643</v>
      </c>
      <c r="D49" s="708" t="s">
        <v>415</v>
      </c>
      <c r="E49" s="718"/>
      <c r="F49" s="173"/>
      <c r="G49" s="173"/>
      <c r="H49" s="173"/>
      <c r="I49" s="719"/>
      <c r="J49" s="1128"/>
      <c r="K49" s="712"/>
      <c r="L49" s="175"/>
      <c r="M49" s="175"/>
      <c r="N49" s="175"/>
      <c r="O49" s="614"/>
      <c r="P49" s="1082"/>
      <c r="Q49" s="699"/>
      <c r="R49" s="727"/>
      <c r="S49" s="234"/>
      <c r="T49" s="96"/>
      <c r="U49" s="96"/>
      <c r="V49" s="730"/>
      <c r="W49" s="286"/>
      <c r="X49" s="99">
        <f>VLOOKUP(A49,'Distribution Summary'!$A$136:$BJ$146,62,0)</f>
        <v>0</v>
      </c>
      <c r="Y49" s="416">
        <f t="shared" si="15"/>
        <v>0</v>
      </c>
      <c r="Z49" s="97">
        <f t="shared" si="16"/>
        <v>0</v>
      </c>
      <c r="AA49" s="97">
        <f t="shared" si="17"/>
        <v>0</v>
      </c>
      <c r="AB49" s="97">
        <f t="shared" si="18"/>
        <v>0</v>
      </c>
      <c r="AC49" s="98">
        <f t="shared" si="19"/>
        <v>0</v>
      </c>
      <c r="AD49" s="757"/>
      <c r="AF49" t="s">
        <v>658</v>
      </c>
      <c r="AG49">
        <f>SUM(AG42,AG48)</f>
        <v>79.300000000000011</v>
      </c>
      <c r="AH49">
        <f t="shared" ref="AH49:AK49" si="31">SUM(AH42,AH48)</f>
        <v>82.6</v>
      </c>
      <c r="AI49">
        <f t="shared" si="31"/>
        <v>84.9</v>
      </c>
      <c r="AJ49">
        <f t="shared" si="31"/>
        <v>87.1</v>
      </c>
      <c r="AK49">
        <f t="shared" si="31"/>
        <v>88.4</v>
      </c>
      <c r="AL49" s="749">
        <f t="shared" si="11"/>
        <v>422.29999999999995</v>
      </c>
    </row>
    <row r="50" spans="1:38" ht="15.75" thickBot="1" x14ac:dyDescent="0.3">
      <c r="A50" s="100" t="s">
        <v>258</v>
      </c>
      <c r="B50" s="101" t="s">
        <v>636</v>
      </c>
      <c r="C50" s="709" t="s">
        <v>643</v>
      </c>
      <c r="D50" s="709" t="s">
        <v>64</v>
      </c>
      <c r="E50" s="720"/>
      <c r="F50" s="178"/>
      <c r="G50" s="178"/>
      <c r="H50" s="178"/>
      <c r="I50" s="721"/>
      <c r="J50" s="1129"/>
      <c r="K50" s="713"/>
      <c r="L50" s="180"/>
      <c r="M50" s="180"/>
      <c r="N50" s="180"/>
      <c r="O50" s="615"/>
      <c r="P50" s="1083"/>
      <c r="Q50" s="700"/>
      <c r="R50" s="728"/>
      <c r="S50" s="235"/>
      <c r="T50" s="115"/>
      <c r="U50" s="115"/>
      <c r="V50" s="731"/>
      <c r="W50" s="287"/>
      <c r="X50" s="116">
        <f>VLOOKUP(A50,'Distribution Summary'!$A$136:$BJ$146,62,0)</f>
        <v>30000</v>
      </c>
      <c r="Y50" s="467">
        <f t="shared" si="15"/>
        <v>0</v>
      </c>
      <c r="Z50" s="117">
        <f t="shared" si="16"/>
        <v>0</v>
      </c>
      <c r="AA50" s="117">
        <f t="shared" si="17"/>
        <v>0</v>
      </c>
      <c r="AB50" s="117">
        <f t="shared" si="18"/>
        <v>0</v>
      </c>
      <c r="AC50" s="118">
        <f t="shared" si="19"/>
        <v>0</v>
      </c>
      <c r="AD50" s="758"/>
      <c r="AL50" s="749"/>
    </row>
    <row r="51" spans="1:38" x14ac:dyDescent="0.25">
      <c r="A51" s="63" t="s">
        <v>296</v>
      </c>
      <c r="B51" s="64" t="s">
        <v>636</v>
      </c>
      <c r="C51" s="707" t="s">
        <v>644</v>
      </c>
      <c r="D51" s="707" t="s">
        <v>409</v>
      </c>
      <c r="E51" s="716"/>
      <c r="F51" s="168"/>
      <c r="G51" s="168"/>
      <c r="H51" s="168"/>
      <c r="I51" s="717"/>
      <c r="J51" s="1127"/>
      <c r="K51" s="711"/>
      <c r="L51" s="170"/>
      <c r="M51" s="170"/>
      <c r="N51" s="170"/>
      <c r="O51" s="613"/>
      <c r="P51" s="1081"/>
      <c r="Q51" s="698">
        <f>Reconductor!CF136</f>
        <v>0</v>
      </c>
      <c r="R51" s="726">
        <f>Reconductor!CG136</f>
        <v>0</v>
      </c>
      <c r="S51" s="241">
        <f>Reconductor!CH136</f>
        <v>0</v>
      </c>
      <c r="T51" s="144">
        <f>Reconductor!CI136</f>
        <v>0</v>
      </c>
      <c r="U51" s="144">
        <f>Reconductor!CJ136</f>
        <v>0</v>
      </c>
      <c r="V51" s="729">
        <f>Reconductor!CK136</f>
        <v>0</v>
      </c>
      <c r="W51" s="293">
        <f>Reconductor!CL136</f>
        <v>0</v>
      </c>
      <c r="X51" s="124">
        <f>VLOOKUP(A51,'Distribution Summary'!$A$136:$BJ$146,62,0)</f>
        <v>1800</v>
      </c>
      <c r="Y51" s="415">
        <f t="shared" si="15"/>
        <v>0</v>
      </c>
      <c r="Z51" s="79">
        <f t="shared" si="16"/>
        <v>0</v>
      </c>
      <c r="AA51" s="79">
        <f t="shared" si="17"/>
        <v>0</v>
      </c>
      <c r="AB51" s="79">
        <f t="shared" si="18"/>
        <v>0</v>
      </c>
      <c r="AC51" s="80">
        <f t="shared" si="19"/>
        <v>0</v>
      </c>
      <c r="AD51" s="756"/>
      <c r="AL51" s="749"/>
    </row>
    <row r="52" spans="1:38" x14ac:dyDescent="0.25">
      <c r="A52" s="81" t="s">
        <v>27</v>
      </c>
      <c r="B52" s="82" t="s">
        <v>636</v>
      </c>
      <c r="C52" s="708" t="s">
        <v>644</v>
      </c>
      <c r="D52" s="708" t="s">
        <v>410</v>
      </c>
      <c r="E52" s="718">
        <v>2754565.1404657611</v>
      </c>
      <c r="F52" s="173">
        <v>4939061.8193981051</v>
      </c>
      <c r="G52" s="173">
        <v>8525710.1055341866</v>
      </c>
      <c r="H52" s="173">
        <v>19093147.770139851</v>
      </c>
      <c r="I52" s="719">
        <v>18847441.448918767</v>
      </c>
      <c r="J52" s="1128">
        <f>Reconductor!N137</f>
        <v>31632770.289025139</v>
      </c>
      <c r="K52" s="712">
        <v>423</v>
      </c>
      <c r="L52" s="175">
        <v>744</v>
      </c>
      <c r="M52" s="175">
        <v>1279</v>
      </c>
      <c r="N52" s="175">
        <v>2835</v>
      </c>
      <c r="O52" s="614">
        <v>2358</v>
      </c>
      <c r="P52" s="1082"/>
      <c r="Q52" s="699">
        <f>Reconductor!CF137</f>
        <v>1677.0007727825152</v>
      </c>
      <c r="R52" s="727">
        <f>Reconductor!CG137</f>
        <v>1677.0007727825152</v>
      </c>
      <c r="S52" s="234">
        <f>Reconductor!CH137</f>
        <v>2198.5614487010266</v>
      </c>
      <c r="T52" s="96">
        <f>Reconductor!CI137</f>
        <v>2307.3098839300096</v>
      </c>
      <c r="U52" s="96">
        <f>Reconductor!CJ137</f>
        <v>2379.8088407493301</v>
      </c>
      <c r="V52" s="730">
        <f>Reconductor!CK137</f>
        <v>2452.3077975686524</v>
      </c>
      <c r="W52" s="286">
        <f>Reconductor!CL137</f>
        <v>2488.5572759783131</v>
      </c>
      <c r="X52" s="99">
        <f>VLOOKUP(A52,'Distribution Summary'!$A$136:$BJ$146,62,0)</f>
        <v>6236.1822982950935</v>
      </c>
      <c r="Y52" s="416">
        <f t="shared" si="15"/>
        <v>13710629.988103358</v>
      </c>
      <c r="Z52" s="97">
        <f t="shared" si="16"/>
        <v>14388805.054845633</v>
      </c>
      <c r="AA52" s="97">
        <f t="shared" si="17"/>
        <v>14840921.76600714</v>
      </c>
      <c r="AB52" s="97">
        <f t="shared" si="18"/>
        <v>15293038.477168657</v>
      </c>
      <c r="AC52" s="98">
        <f t="shared" si="19"/>
        <v>15519096.832749413</v>
      </c>
      <c r="AD52" s="757"/>
      <c r="AL52" s="749"/>
    </row>
    <row r="53" spans="1:38" x14ac:dyDescent="0.25">
      <c r="A53" s="81" t="s">
        <v>68</v>
      </c>
      <c r="B53" s="82" t="s">
        <v>636</v>
      </c>
      <c r="C53" s="708" t="s">
        <v>644</v>
      </c>
      <c r="D53" s="708" t="s">
        <v>411</v>
      </c>
      <c r="E53" s="718">
        <v>1312259.5821068084</v>
      </c>
      <c r="F53" s="173">
        <v>3855364.4728336898</v>
      </c>
      <c r="G53" s="173">
        <v>6213375.0125917224</v>
      </c>
      <c r="H53" s="173">
        <v>8500664.1868386604</v>
      </c>
      <c r="I53" s="719">
        <v>12087358.979426103</v>
      </c>
      <c r="J53" s="1128">
        <f>Reconductor!N138</f>
        <v>9775629.0304777473</v>
      </c>
      <c r="K53" s="712">
        <v>1033</v>
      </c>
      <c r="L53" s="175">
        <v>1645</v>
      </c>
      <c r="M53" s="175">
        <v>3197</v>
      </c>
      <c r="N53" s="175">
        <v>5373</v>
      </c>
      <c r="O53" s="614">
        <v>4431</v>
      </c>
      <c r="P53" s="1082"/>
      <c r="Q53" s="699">
        <f>Reconductor!CF138</f>
        <v>3368.7711753624044</v>
      </c>
      <c r="R53" s="727">
        <f>Reconductor!CG138</f>
        <v>3368.7711753624044</v>
      </c>
      <c r="S53" s="234">
        <f>Reconductor!CH138</f>
        <v>4416.4860003958684</v>
      </c>
      <c r="T53" s="96">
        <f>Reconductor!CI138</f>
        <v>4634.9406367388829</v>
      </c>
      <c r="U53" s="96">
        <f>Reconductor!CJ138</f>
        <v>4780.5770609675601</v>
      </c>
      <c r="V53" s="730">
        <f>Reconductor!CK138</f>
        <v>4926.2134851962373</v>
      </c>
      <c r="W53" s="286">
        <f>Reconductor!CL138</f>
        <v>4999.0316973105764</v>
      </c>
      <c r="X53" s="99">
        <f>VLOOKUP(A53,'Distribution Summary'!$A$136:$BJ$146,62,0)</f>
        <v>2810.5410327755412</v>
      </c>
      <c r="Y53" s="416">
        <f t="shared" si="15"/>
        <v>12412715.124791324</v>
      </c>
      <c r="Z53" s="97">
        <f t="shared" si="16"/>
        <v>13026690.844033424</v>
      </c>
      <c r="AA53" s="97">
        <f t="shared" si="17"/>
        <v>13436007.990194827</v>
      </c>
      <c r="AB53" s="97">
        <f t="shared" si="18"/>
        <v>13845325.136356231</v>
      </c>
      <c r="AC53" s="98">
        <f t="shared" si="19"/>
        <v>14049983.709436934</v>
      </c>
      <c r="AD53" s="757"/>
      <c r="AL53" s="749"/>
    </row>
    <row r="54" spans="1:38" x14ac:dyDescent="0.25">
      <c r="A54" s="81" t="s">
        <v>81</v>
      </c>
      <c r="B54" s="82" t="s">
        <v>636</v>
      </c>
      <c r="C54" s="708" t="s">
        <v>644</v>
      </c>
      <c r="D54" s="708" t="s">
        <v>270</v>
      </c>
      <c r="E54" s="718">
        <v>2877285.0023317002</v>
      </c>
      <c r="F54" s="173">
        <v>5544241.2713794392</v>
      </c>
      <c r="G54" s="173">
        <v>9725373.6725765001</v>
      </c>
      <c r="H54" s="173">
        <v>18019382.211133584</v>
      </c>
      <c r="I54" s="719">
        <v>35101298.313690238</v>
      </c>
      <c r="J54" s="1128">
        <f>Reconductor!N139</f>
        <v>24445188.899566997</v>
      </c>
      <c r="K54" s="725">
        <v>109.91578857600003</v>
      </c>
      <c r="L54" s="631">
        <v>148.91150000100001</v>
      </c>
      <c r="M54" s="631">
        <v>303.47983333333298</v>
      </c>
      <c r="N54" s="631">
        <v>550.8228257830001</v>
      </c>
      <c r="O54" s="671">
        <v>439.67782668599995</v>
      </c>
      <c r="P54" s="1124"/>
      <c r="Q54" s="699">
        <f>Reconductor!CF139</f>
        <v>462.6275594452668</v>
      </c>
      <c r="R54" s="727">
        <f>Reconductor!CG139</f>
        <v>462.6275594452668</v>
      </c>
      <c r="S54" s="234">
        <f>Reconductor!CH139</f>
        <v>606.50843685384075</v>
      </c>
      <c r="T54" s="96">
        <f>Reconductor!CI139</f>
        <v>636.50843685384098</v>
      </c>
      <c r="U54" s="96">
        <f>Reconductor!CJ139</f>
        <v>656.50843685384086</v>
      </c>
      <c r="V54" s="730">
        <f>Reconductor!CK139</f>
        <v>676.50843685384109</v>
      </c>
      <c r="W54" s="286">
        <f>Reconductor!CL139</f>
        <v>686.50843685384109</v>
      </c>
      <c r="X54" s="99">
        <f>VLOOKUP(A54,'Distribution Summary'!$A$136:$BJ$146,62,0)</f>
        <v>56912.19365276918</v>
      </c>
      <c r="Y54" s="416">
        <f t="shared" si="15"/>
        <v>34517725.610264115</v>
      </c>
      <c r="Z54" s="97">
        <f t="shared" si="16"/>
        <v>36225091.419847198</v>
      </c>
      <c r="AA54" s="97">
        <f t="shared" si="17"/>
        <v>37363335.292902581</v>
      </c>
      <c r="AB54" s="97">
        <f t="shared" si="18"/>
        <v>38501579.165957972</v>
      </c>
      <c r="AC54" s="98">
        <f t="shared" si="19"/>
        <v>39070701.102485664</v>
      </c>
      <c r="AD54" s="757"/>
      <c r="AL54" s="749"/>
    </row>
    <row r="55" spans="1:38" x14ac:dyDescent="0.25">
      <c r="A55" s="81" t="s">
        <v>94</v>
      </c>
      <c r="B55" s="82" t="s">
        <v>636</v>
      </c>
      <c r="C55" s="708" t="s">
        <v>644</v>
      </c>
      <c r="D55" s="708" t="s">
        <v>412</v>
      </c>
      <c r="E55" s="718"/>
      <c r="F55" s="173"/>
      <c r="G55" s="173"/>
      <c r="H55" s="173"/>
      <c r="I55" s="719"/>
      <c r="J55" s="1128"/>
      <c r="K55" s="712"/>
      <c r="L55" s="175"/>
      <c r="M55" s="175"/>
      <c r="N55" s="175"/>
      <c r="O55" s="614"/>
      <c r="P55" s="1082"/>
      <c r="Q55" s="699">
        <f>Reconductor!CF140</f>
        <v>0</v>
      </c>
      <c r="R55" s="727">
        <f>Reconductor!CG140</f>
        <v>0</v>
      </c>
      <c r="S55" s="234">
        <f>Reconductor!CH140</f>
        <v>0</v>
      </c>
      <c r="T55" s="96">
        <f>Reconductor!CI140</f>
        <v>0</v>
      </c>
      <c r="U55" s="96">
        <f>Reconductor!CJ140</f>
        <v>0</v>
      </c>
      <c r="V55" s="730">
        <f>Reconductor!CK140</f>
        <v>0</v>
      </c>
      <c r="W55" s="286">
        <f>Reconductor!CL140</f>
        <v>0</v>
      </c>
      <c r="X55" s="99">
        <f>VLOOKUP(A55,'Distribution Summary'!$A$136:$BJ$146,62,0)</f>
        <v>322727.75622787437</v>
      </c>
      <c r="Y55" s="416">
        <f t="shared" si="15"/>
        <v>0</v>
      </c>
      <c r="Z55" s="97">
        <f t="shared" si="16"/>
        <v>0</v>
      </c>
      <c r="AA55" s="97">
        <f t="shared" si="17"/>
        <v>0</v>
      </c>
      <c r="AB55" s="97">
        <f t="shared" si="18"/>
        <v>0</v>
      </c>
      <c r="AC55" s="98">
        <f t="shared" si="19"/>
        <v>0</v>
      </c>
      <c r="AD55" s="757"/>
      <c r="AL55" s="749"/>
    </row>
    <row r="56" spans="1:38" x14ac:dyDescent="0.25">
      <c r="A56" s="81" t="s">
        <v>106</v>
      </c>
      <c r="B56" s="82" t="s">
        <v>636</v>
      </c>
      <c r="C56" s="708" t="s">
        <v>644</v>
      </c>
      <c r="D56" s="708" t="s">
        <v>272</v>
      </c>
      <c r="E56" s="718">
        <v>614604.50143314467</v>
      </c>
      <c r="F56" s="173">
        <v>1319405.4364133342</v>
      </c>
      <c r="G56" s="173">
        <v>2477749.4995301845</v>
      </c>
      <c r="H56" s="173">
        <v>5272426.0888522612</v>
      </c>
      <c r="I56" s="719">
        <v>2505267.9156525051</v>
      </c>
      <c r="J56" s="1128">
        <f>Reconductor!N141</f>
        <v>1967098.4941356112</v>
      </c>
      <c r="K56" s="712">
        <v>387.5999917530001</v>
      </c>
      <c r="L56" s="175">
        <v>884.70788420800045</v>
      </c>
      <c r="M56" s="175">
        <v>2011.6187955999999</v>
      </c>
      <c r="N56" s="175">
        <v>3151.4253835440022</v>
      </c>
      <c r="O56" s="614">
        <v>1847.7178486060016</v>
      </c>
      <c r="P56" s="1082"/>
      <c r="Q56" s="699">
        <f>Reconductor!CF141</f>
        <v>1816.6028025851467</v>
      </c>
      <c r="R56" s="727">
        <f>Reconductor!CG141</f>
        <v>1816.6028025851467</v>
      </c>
      <c r="S56" s="234">
        <f>Reconductor!CH141</f>
        <v>2381.5808282182015</v>
      </c>
      <c r="T56" s="96">
        <f>Reconductor!CI141</f>
        <v>2499.3820334531492</v>
      </c>
      <c r="U56" s="96">
        <f>Reconductor!CJ141</f>
        <v>2577.9161702764463</v>
      </c>
      <c r="V56" s="730">
        <f>Reconductor!CK141</f>
        <v>2656.4503070997448</v>
      </c>
      <c r="W56" s="286">
        <f>Reconductor!CL141</f>
        <v>2695.7173755113936</v>
      </c>
      <c r="X56" s="99">
        <f>VLOOKUP(A56,'Distribution Summary'!$A$136:$BJ$146,62,0)</f>
        <v>1339.2666347282993</v>
      </c>
      <c r="Y56" s="416">
        <f t="shared" si="15"/>
        <v>3189571.7411412266</v>
      </c>
      <c r="Z56" s="97">
        <f t="shared" si="16"/>
        <v>3347338.964843173</v>
      </c>
      <c r="AA56" s="97">
        <f t="shared" si="17"/>
        <v>3452517.1139778015</v>
      </c>
      <c r="AB56" s="97">
        <f t="shared" si="18"/>
        <v>3557695.2631124323</v>
      </c>
      <c r="AC56" s="98">
        <f t="shared" si="19"/>
        <v>3610284.337679747</v>
      </c>
      <c r="AD56" s="757"/>
      <c r="AL56" s="749"/>
    </row>
    <row r="57" spans="1:38" x14ac:dyDescent="0.25">
      <c r="A57" s="81" t="s">
        <v>138</v>
      </c>
      <c r="B57" s="82" t="s">
        <v>636</v>
      </c>
      <c r="C57" s="708" t="s">
        <v>644</v>
      </c>
      <c r="D57" s="708" t="s">
        <v>413</v>
      </c>
      <c r="E57" s="718">
        <v>1056926.825205371</v>
      </c>
      <c r="F57" s="173">
        <v>3354413.9576859195</v>
      </c>
      <c r="G57" s="173">
        <v>5302159.3140927255</v>
      </c>
      <c r="H57" s="173">
        <v>6005694.5820932332</v>
      </c>
      <c r="I57" s="719">
        <v>8146804.7323812265</v>
      </c>
      <c r="J57" s="1128">
        <f>Reconductor!N142</f>
        <v>7153402.3051423095</v>
      </c>
      <c r="K57" s="712">
        <v>38</v>
      </c>
      <c r="L57" s="175">
        <v>127</v>
      </c>
      <c r="M57" s="175">
        <v>202</v>
      </c>
      <c r="N57" s="175">
        <v>249</v>
      </c>
      <c r="O57" s="614">
        <v>220</v>
      </c>
      <c r="P57" s="1082"/>
      <c r="Q57" s="699">
        <f>Reconductor!CF142</f>
        <v>97.450415454527956</v>
      </c>
      <c r="R57" s="727">
        <f>Reconductor!CG142</f>
        <v>97.450415454527956</v>
      </c>
      <c r="S57" s="234">
        <f>Reconductor!CH142</f>
        <v>127.44726739015239</v>
      </c>
      <c r="T57" s="96">
        <f>Reconductor!CI142</f>
        <v>133.70178553236047</v>
      </c>
      <c r="U57" s="96">
        <f>Reconductor!CJ142</f>
        <v>137.87146429383245</v>
      </c>
      <c r="V57" s="730">
        <f>Reconductor!CK142</f>
        <v>142.0411430553045</v>
      </c>
      <c r="W57" s="286">
        <f>Reconductor!CL142</f>
        <v>144.12598243604052</v>
      </c>
      <c r="X57" s="99">
        <f>VLOOKUP(A57,'Distribution Summary'!$A$136:$BJ$146,62,0)</f>
        <v>28527.37387874335</v>
      </c>
      <c r="Y57" s="416">
        <f t="shared" si="15"/>
        <v>3635735.8466630527</v>
      </c>
      <c r="Z57" s="97">
        <f t="shared" si="16"/>
        <v>3814160.8241372057</v>
      </c>
      <c r="AA57" s="97">
        <f t="shared" si="17"/>
        <v>3933110.8091199724</v>
      </c>
      <c r="AB57" s="97">
        <f t="shared" si="18"/>
        <v>4052060.7941027409</v>
      </c>
      <c r="AC57" s="98">
        <f t="shared" si="19"/>
        <v>4111535.786594125</v>
      </c>
      <c r="AD57" s="757"/>
      <c r="AL57" s="749"/>
    </row>
    <row r="58" spans="1:38" x14ac:dyDescent="0.25">
      <c r="A58" s="81" t="s">
        <v>196</v>
      </c>
      <c r="B58" s="82" t="s">
        <v>636</v>
      </c>
      <c r="C58" s="708" t="s">
        <v>644</v>
      </c>
      <c r="D58" s="708" t="s">
        <v>274</v>
      </c>
      <c r="E58" s="718">
        <v>451931.56591411796</v>
      </c>
      <c r="F58" s="173">
        <v>1983053.0656935081</v>
      </c>
      <c r="G58" s="173">
        <v>3378342.4673129283</v>
      </c>
      <c r="H58" s="173">
        <v>5183693.5158729646</v>
      </c>
      <c r="I58" s="719">
        <v>4239628.7926968616</v>
      </c>
      <c r="J58" s="1128">
        <f>Reconductor!N143</f>
        <v>1843803.7027672501</v>
      </c>
      <c r="K58" s="712">
        <v>93</v>
      </c>
      <c r="L58" s="175">
        <v>87</v>
      </c>
      <c r="M58" s="175">
        <v>157</v>
      </c>
      <c r="N58" s="175">
        <v>314</v>
      </c>
      <c r="O58" s="614">
        <v>244</v>
      </c>
      <c r="P58" s="1082"/>
      <c r="Q58" s="699">
        <f>SUM(Reconductor!CF97:CF109)</f>
        <v>102.77503286138227</v>
      </c>
      <c r="R58" s="727">
        <f>SUM(Reconductor!CG97:CG109)</f>
        <v>102.77503286138227</v>
      </c>
      <c r="S58" s="234">
        <f>SUM(Reconductor!CH97:CH109)</f>
        <v>134.73889148130993</v>
      </c>
      <c r="T58" s="96">
        <f>SUM(Reconductor!CI97:CI109)</f>
        <v>141.403541960712</v>
      </c>
      <c r="U58" s="96">
        <f>SUM(Reconductor!CJ97:CJ109)</f>
        <v>145.84664228031329</v>
      </c>
      <c r="V58" s="730">
        <f>SUM(Reconductor!CK97:CK109)</f>
        <v>150.28974259991463</v>
      </c>
      <c r="W58" s="286">
        <f>SUM(Reconductor!CL97:CL109)</f>
        <v>152.51129275971533</v>
      </c>
      <c r="X58" s="99">
        <f>VLOOKUP(A58,'Distribution Summary'!$A$136:$BJ$146,62,0)</f>
        <v>9639.239384840419</v>
      </c>
      <c r="Y58" s="416">
        <f t="shared" si="15"/>
        <v>1298780.4294363819</v>
      </c>
      <c r="Z58" s="97">
        <f t="shared" si="16"/>
        <v>1363022.5908236299</v>
      </c>
      <c r="AA58" s="97">
        <f t="shared" si="17"/>
        <v>1405850.6984151278</v>
      </c>
      <c r="AB58" s="97">
        <f t="shared" si="18"/>
        <v>1448678.806006626</v>
      </c>
      <c r="AC58" s="98">
        <f t="shared" si="19"/>
        <v>1470092.8598023755</v>
      </c>
      <c r="AD58" s="757"/>
      <c r="AL58" s="749"/>
    </row>
    <row r="59" spans="1:38" x14ac:dyDescent="0.25">
      <c r="A59" s="81" t="s">
        <v>224</v>
      </c>
      <c r="B59" s="82" t="s">
        <v>636</v>
      </c>
      <c r="C59" s="708" t="s">
        <v>644</v>
      </c>
      <c r="D59" s="708" t="s">
        <v>414</v>
      </c>
      <c r="E59" s="718"/>
      <c r="F59" s="173"/>
      <c r="G59" s="173"/>
      <c r="H59" s="173"/>
      <c r="I59" s="719"/>
      <c r="J59" s="1128"/>
      <c r="K59" s="712"/>
      <c r="L59" s="175"/>
      <c r="M59" s="175"/>
      <c r="N59" s="175"/>
      <c r="O59" s="614"/>
      <c r="P59" s="1082"/>
      <c r="Q59" s="699"/>
      <c r="R59" s="727"/>
      <c r="S59" s="234"/>
      <c r="T59" s="96"/>
      <c r="U59" s="96"/>
      <c r="V59" s="730"/>
      <c r="W59" s="286"/>
      <c r="X59" s="99">
        <f>VLOOKUP(A59,'Distribution Summary'!$A$136:$BJ$146,62,0)</f>
        <v>0</v>
      </c>
      <c r="Y59" s="416">
        <f t="shared" si="15"/>
        <v>0</v>
      </c>
      <c r="Z59" s="97">
        <f t="shared" si="16"/>
        <v>0</v>
      </c>
      <c r="AA59" s="97">
        <f t="shared" si="17"/>
        <v>0</v>
      </c>
      <c r="AB59" s="97">
        <f t="shared" si="18"/>
        <v>0</v>
      </c>
      <c r="AC59" s="98">
        <f t="shared" si="19"/>
        <v>0</v>
      </c>
      <c r="AD59" s="757"/>
      <c r="AL59" s="749"/>
    </row>
    <row r="60" spans="1:38" x14ac:dyDescent="0.25">
      <c r="A60" s="81" t="s">
        <v>242</v>
      </c>
      <c r="B60" s="82" t="s">
        <v>636</v>
      </c>
      <c r="C60" s="708" t="s">
        <v>644</v>
      </c>
      <c r="D60" s="708" t="s">
        <v>415</v>
      </c>
      <c r="E60" s="718"/>
      <c r="F60" s="173"/>
      <c r="G60" s="173"/>
      <c r="H60" s="173"/>
      <c r="I60" s="719"/>
      <c r="J60" s="1128"/>
      <c r="K60" s="712"/>
      <c r="L60" s="175"/>
      <c r="M60" s="175"/>
      <c r="N60" s="175"/>
      <c r="O60" s="614"/>
      <c r="P60" s="1082"/>
      <c r="Q60" s="699"/>
      <c r="R60" s="727"/>
      <c r="S60" s="234"/>
      <c r="T60" s="96"/>
      <c r="U60" s="96"/>
      <c r="V60" s="730"/>
      <c r="W60" s="286"/>
      <c r="X60" s="99">
        <f>VLOOKUP(A60,'Distribution Summary'!$A$136:$BJ$146,62,0)</f>
        <v>0</v>
      </c>
      <c r="Y60" s="416">
        <f t="shared" si="15"/>
        <v>0</v>
      </c>
      <c r="Z60" s="97">
        <f t="shared" si="16"/>
        <v>0</v>
      </c>
      <c r="AA60" s="97">
        <f t="shared" si="17"/>
        <v>0</v>
      </c>
      <c r="AB60" s="97">
        <f t="shared" si="18"/>
        <v>0</v>
      </c>
      <c r="AC60" s="98">
        <f t="shared" si="19"/>
        <v>0</v>
      </c>
      <c r="AD60" s="757"/>
      <c r="AL60" s="749"/>
    </row>
    <row r="61" spans="1:38" ht="15.75" thickBot="1" x14ac:dyDescent="0.3">
      <c r="A61" s="100" t="s">
        <v>258</v>
      </c>
      <c r="B61" s="101" t="s">
        <v>636</v>
      </c>
      <c r="C61" s="709" t="s">
        <v>644</v>
      </c>
      <c r="D61" s="709" t="s">
        <v>64</v>
      </c>
      <c r="E61" s="720"/>
      <c r="F61" s="178"/>
      <c r="G61" s="178"/>
      <c r="H61" s="178"/>
      <c r="I61" s="721"/>
      <c r="J61" s="1129"/>
      <c r="K61" s="713"/>
      <c r="L61" s="180"/>
      <c r="M61" s="180"/>
      <c r="N61" s="180"/>
      <c r="O61" s="615"/>
      <c r="P61" s="1083"/>
      <c r="Q61" s="700"/>
      <c r="R61" s="728"/>
      <c r="S61" s="235"/>
      <c r="T61" s="115"/>
      <c r="U61" s="115"/>
      <c r="V61" s="731"/>
      <c r="W61" s="287"/>
      <c r="X61" s="116">
        <f>VLOOKUP(A61,'Distribution Summary'!$A$136:$BJ$146,62,0)</f>
        <v>30000</v>
      </c>
      <c r="Y61" s="467">
        <f t="shared" si="15"/>
        <v>0</v>
      </c>
      <c r="Z61" s="117">
        <f t="shared" si="16"/>
        <v>0</v>
      </c>
      <c r="AA61" s="117">
        <f t="shared" si="17"/>
        <v>0</v>
      </c>
      <c r="AB61" s="117">
        <f t="shared" si="18"/>
        <v>0</v>
      </c>
      <c r="AC61" s="118">
        <f t="shared" si="19"/>
        <v>0</v>
      </c>
      <c r="AD61" s="758" t="s">
        <v>667</v>
      </c>
    </row>
    <row r="62" spans="1:38" x14ac:dyDescent="0.25">
      <c r="A62" s="63" t="s">
        <v>296</v>
      </c>
      <c r="B62" s="64" t="s">
        <v>272</v>
      </c>
      <c r="C62" s="707" t="s">
        <v>643</v>
      </c>
      <c r="D62" s="707" t="s">
        <v>409</v>
      </c>
      <c r="E62" s="716"/>
      <c r="F62" s="168"/>
      <c r="G62" s="168"/>
      <c r="H62" s="168"/>
      <c r="I62" s="717"/>
      <c r="J62" s="1127"/>
      <c r="K62" s="711"/>
      <c r="L62" s="170"/>
      <c r="M62" s="170"/>
      <c r="N62" s="170"/>
      <c r="O62" s="613"/>
      <c r="P62" s="1081"/>
      <c r="Q62" s="698"/>
      <c r="R62" s="726"/>
      <c r="S62" s="241"/>
      <c r="T62" s="144"/>
      <c r="U62" s="144"/>
      <c r="V62" s="729"/>
      <c r="W62" s="293"/>
      <c r="X62" s="124">
        <f>VLOOKUP(A62,'Distribution Summary'!$A$136:$BJ$146,62,0)</f>
        <v>1800</v>
      </c>
      <c r="Y62" s="415">
        <f t="shared" si="15"/>
        <v>0</v>
      </c>
      <c r="Z62" s="79">
        <f t="shared" si="16"/>
        <v>0</v>
      </c>
      <c r="AA62" s="79">
        <f t="shared" si="17"/>
        <v>0</v>
      </c>
      <c r="AB62" s="79">
        <f t="shared" si="18"/>
        <v>0</v>
      </c>
      <c r="AC62" s="80">
        <f t="shared" si="19"/>
        <v>0</v>
      </c>
      <c r="AD62" s="756"/>
      <c r="AE62" s="1" t="s">
        <v>272</v>
      </c>
      <c r="AF62" t="s">
        <v>656</v>
      </c>
      <c r="AG62" s="751">
        <f>ROUND(Y78/1000000,1)</f>
        <v>11.4</v>
      </c>
      <c r="AH62" s="751">
        <f>ROUND(Z78/1000000,1)</f>
        <v>11.4</v>
      </c>
      <c r="AI62" s="751">
        <f>ROUND(AA78/1000000,1)</f>
        <v>11.4</v>
      </c>
      <c r="AJ62" s="751">
        <f>ROUND(AB78/1000000,1)</f>
        <v>11.4</v>
      </c>
      <c r="AK62" s="751">
        <f>ROUND(AC78/1000000,1)</f>
        <v>11.4</v>
      </c>
      <c r="AL62" s="749">
        <f>SUM(AG62:AK62)</f>
        <v>57</v>
      </c>
    </row>
    <row r="63" spans="1:38" x14ac:dyDescent="0.25">
      <c r="A63" s="81" t="s">
        <v>27</v>
      </c>
      <c r="B63" s="82" t="s">
        <v>272</v>
      </c>
      <c r="C63" s="708" t="s">
        <v>643</v>
      </c>
      <c r="D63" s="708" t="s">
        <v>410</v>
      </c>
      <c r="E63" s="718"/>
      <c r="F63" s="173"/>
      <c r="G63" s="173"/>
      <c r="H63" s="173"/>
      <c r="I63" s="719"/>
      <c r="J63" s="1128"/>
      <c r="K63" s="712"/>
      <c r="L63" s="175"/>
      <c r="M63" s="175"/>
      <c r="N63" s="175"/>
      <c r="O63" s="614"/>
      <c r="P63" s="1082"/>
      <c r="Q63" s="699"/>
      <c r="R63" s="727"/>
      <c r="S63" s="234"/>
      <c r="T63" s="96"/>
      <c r="U63" s="96"/>
      <c r="V63" s="730"/>
      <c r="W63" s="286"/>
      <c r="X63" s="99">
        <f>VLOOKUP(A63,'Distribution Summary'!$A$136:$BJ$146,62,0)</f>
        <v>6236.1822982950935</v>
      </c>
      <c r="Y63" s="416">
        <f t="shared" si="15"/>
        <v>0</v>
      </c>
      <c r="Z63" s="97">
        <f t="shared" si="16"/>
        <v>0</v>
      </c>
      <c r="AA63" s="97">
        <f t="shared" si="17"/>
        <v>0</v>
      </c>
      <c r="AB63" s="97">
        <f t="shared" si="18"/>
        <v>0</v>
      </c>
      <c r="AC63" s="98">
        <f t="shared" si="19"/>
        <v>0</v>
      </c>
      <c r="AD63" s="757"/>
      <c r="AF63" t="s">
        <v>643</v>
      </c>
      <c r="AG63" s="751">
        <f>ROUND(Y67/1000000,1)</f>
        <v>3.7</v>
      </c>
      <c r="AH63" s="751">
        <f>ROUND(Z67/1000000,1)</f>
        <v>3.7</v>
      </c>
      <c r="AI63" s="751">
        <f>ROUND(AA67/1000000,1)</f>
        <v>3.7</v>
      </c>
      <c r="AJ63" s="751">
        <f>ROUND(AB67/1000000,1)</f>
        <v>3.7</v>
      </c>
      <c r="AK63" s="751">
        <f>ROUND(AC67/1000000,1)</f>
        <v>3.7</v>
      </c>
      <c r="AL63" s="749">
        <f>SUM(AG63:AK63)</f>
        <v>18.5</v>
      </c>
    </row>
    <row r="64" spans="1:38" x14ac:dyDescent="0.25">
      <c r="A64" s="81" t="s">
        <v>68</v>
      </c>
      <c r="B64" s="82" t="s">
        <v>272</v>
      </c>
      <c r="C64" s="708" t="s">
        <v>643</v>
      </c>
      <c r="D64" s="708" t="s">
        <v>411</v>
      </c>
      <c r="E64" s="718"/>
      <c r="F64" s="173"/>
      <c r="G64" s="173"/>
      <c r="H64" s="173"/>
      <c r="I64" s="719"/>
      <c r="J64" s="1128"/>
      <c r="K64" s="712"/>
      <c r="L64" s="175"/>
      <c r="M64" s="175"/>
      <c r="N64" s="175"/>
      <c r="O64" s="614"/>
      <c r="P64" s="1082"/>
      <c r="Q64" s="699"/>
      <c r="R64" s="727"/>
      <c r="S64" s="234"/>
      <c r="T64" s="96"/>
      <c r="U64" s="96"/>
      <c r="V64" s="730"/>
      <c r="W64" s="286"/>
      <c r="X64" s="99">
        <f>VLOOKUP(A64,'Distribution Summary'!$A$136:$BJ$146,62,0)</f>
        <v>2810.5410327755412</v>
      </c>
      <c r="Y64" s="416">
        <f t="shared" si="15"/>
        <v>0</v>
      </c>
      <c r="Z64" s="97">
        <f t="shared" si="16"/>
        <v>0</v>
      </c>
      <c r="AA64" s="97">
        <f t="shared" si="17"/>
        <v>0</v>
      </c>
      <c r="AB64" s="97">
        <f t="shared" si="18"/>
        <v>0</v>
      </c>
      <c r="AC64" s="98">
        <f t="shared" si="19"/>
        <v>0</v>
      </c>
      <c r="AD64" s="757"/>
      <c r="AF64" t="s">
        <v>654</v>
      </c>
      <c r="AG64" s="751">
        <f>ROUND(SUM(Y12,Y45,Y56)/1000000,1)</f>
        <v>9.1</v>
      </c>
      <c r="AH64" s="751">
        <f t="shared" ref="AH64:AK64" si="32">ROUND(SUM(Z12,Z45,Z56)/1000000,1)</f>
        <v>9.1999999999999993</v>
      </c>
      <c r="AI64" s="751">
        <f t="shared" si="32"/>
        <v>9.3000000000000007</v>
      </c>
      <c r="AJ64" s="751">
        <f t="shared" si="32"/>
        <v>9.5</v>
      </c>
      <c r="AK64" s="751">
        <f t="shared" si="32"/>
        <v>9.5</v>
      </c>
      <c r="AL64" s="749">
        <f t="shared" ref="AL64" si="33">SUM(AG64:AK64)</f>
        <v>46.599999999999994</v>
      </c>
    </row>
    <row r="65" spans="1:38" x14ac:dyDescent="0.25">
      <c r="A65" s="81" t="s">
        <v>81</v>
      </c>
      <c r="B65" s="82" t="s">
        <v>272</v>
      </c>
      <c r="C65" s="708" t="s">
        <v>643</v>
      </c>
      <c r="D65" s="708" t="s">
        <v>270</v>
      </c>
      <c r="E65" s="718"/>
      <c r="F65" s="173"/>
      <c r="G65" s="173"/>
      <c r="H65" s="173"/>
      <c r="I65" s="719"/>
      <c r="J65" s="1128"/>
      <c r="K65" s="725"/>
      <c r="L65" s="631"/>
      <c r="M65" s="631"/>
      <c r="N65" s="631"/>
      <c r="O65" s="671"/>
      <c r="P65" s="1124"/>
      <c r="Q65" s="699"/>
      <c r="R65" s="727"/>
      <c r="S65" s="234"/>
      <c r="T65" s="96"/>
      <c r="U65" s="96"/>
      <c r="V65" s="730"/>
      <c r="W65" s="286"/>
      <c r="X65" s="99">
        <f>VLOOKUP(A65,'Distribution Summary'!$A$136:$BJ$146,62,0)</f>
        <v>56912.19365276918</v>
      </c>
      <c r="Y65" s="416">
        <f t="shared" si="15"/>
        <v>0</v>
      </c>
      <c r="Z65" s="97">
        <f t="shared" si="16"/>
        <v>0</v>
      </c>
      <c r="AA65" s="97">
        <f t="shared" si="17"/>
        <v>0</v>
      </c>
      <c r="AB65" s="97">
        <f t="shared" si="18"/>
        <v>0</v>
      </c>
      <c r="AC65" s="98">
        <f t="shared" si="19"/>
        <v>0</v>
      </c>
      <c r="AD65" s="757"/>
      <c r="AF65" s="1" t="s">
        <v>663</v>
      </c>
      <c r="AG65" s="751">
        <f>SUM(AG62:AG63)</f>
        <v>15.100000000000001</v>
      </c>
      <c r="AH65" s="751">
        <f t="shared" ref="AH65:AL65" si="34">SUM(AH62:AH63)</f>
        <v>15.100000000000001</v>
      </c>
      <c r="AI65" s="751">
        <f t="shared" si="34"/>
        <v>15.100000000000001</v>
      </c>
      <c r="AJ65" s="751">
        <f t="shared" si="34"/>
        <v>15.100000000000001</v>
      </c>
      <c r="AK65" s="751">
        <f t="shared" si="34"/>
        <v>15.100000000000001</v>
      </c>
      <c r="AL65" s="751">
        <f t="shared" si="34"/>
        <v>75.5</v>
      </c>
    </row>
    <row r="66" spans="1:38" x14ac:dyDescent="0.25">
      <c r="A66" s="81" t="s">
        <v>94</v>
      </c>
      <c r="B66" s="82" t="s">
        <v>272</v>
      </c>
      <c r="C66" s="708" t="s">
        <v>643</v>
      </c>
      <c r="D66" s="708" t="s">
        <v>412</v>
      </c>
      <c r="E66" s="718"/>
      <c r="F66" s="173"/>
      <c r="G66" s="173"/>
      <c r="H66" s="173"/>
      <c r="I66" s="719"/>
      <c r="J66" s="1128"/>
      <c r="K66" s="712"/>
      <c r="L66" s="175"/>
      <c r="M66" s="175"/>
      <c r="N66" s="175"/>
      <c r="O66" s="614"/>
      <c r="P66" s="1082"/>
      <c r="Q66" s="699"/>
      <c r="R66" s="727"/>
      <c r="S66" s="234"/>
      <c r="T66" s="96"/>
      <c r="U66" s="96"/>
      <c r="V66" s="730"/>
      <c r="W66" s="286"/>
      <c r="X66" s="99">
        <f>VLOOKUP(A66,'Distribution Summary'!$A$136:$BJ$146,62,0)</f>
        <v>322727.75622787437</v>
      </c>
      <c r="Y66" s="416">
        <f t="shared" si="15"/>
        <v>0</v>
      </c>
      <c r="Z66" s="97">
        <f t="shared" si="16"/>
        <v>0</v>
      </c>
      <c r="AA66" s="97">
        <f t="shared" si="17"/>
        <v>0</v>
      </c>
      <c r="AB66" s="97">
        <f t="shared" si="18"/>
        <v>0</v>
      </c>
      <c r="AC66" s="98">
        <f t="shared" si="19"/>
        <v>0</v>
      </c>
      <c r="AD66" s="757"/>
      <c r="AL66" s="749"/>
    </row>
    <row r="67" spans="1:38" x14ac:dyDescent="0.25">
      <c r="A67" s="81" t="s">
        <v>106</v>
      </c>
      <c r="B67" s="82" t="s">
        <v>272</v>
      </c>
      <c r="C67" s="708" t="s">
        <v>643</v>
      </c>
      <c r="D67" s="708" t="s">
        <v>272</v>
      </c>
      <c r="E67" s="718">
        <v>3350134.4473760724</v>
      </c>
      <c r="F67" s="173">
        <v>-2781208.7665794566</v>
      </c>
      <c r="G67" s="173">
        <v>-595823.32091956213</v>
      </c>
      <c r="H67" s="173">
        <v>439158.65751628019</v>
      </c>
      <c r="I67" s="719">
        <v>6548453.0634000208</v>
      </c>
      <c r="J67" s="1128">
        <f>'Defect (Total)'!N186</f>
        <v>13327026.490372501</v>
      </c>
      <c r="K67" s="712">
        <v>5581.8600768140059</v>
      </c>
      <c r="L67" s="175">
        <v>-1382.0624091080481</v>
      </c>
      <c r="M67" s="175">
        <v>-977.01876611607531</v>
      </c>
      <c r="N67" s="175">
        <v>99.815620337896689</v>
      </c>
      <c r="O67" s="614">
        <v>4261.1391771889666</v>
      </c>
      <c r="P67" s="1082"/>
      <c r="Q67" s="699">
        <f>'Defect (Total)'!BC186</f>
        <v>2811.817977875975</v>
      </c>
      <c r="R67" s="727">
        <f>'Defect (Total)'!BD186</f>
        <v>2811.817977875975</v>
      </c>
      <c r="S67" s="234">
        <f>'Defect (Total)'!BE186</f>
        <v>2788.426350602379</v>
      </c>
      <c r="T67" s="96">
        <f>'Defect (Total)'!BF186</f>
        <v>2788.426350602379</v>
      </c>
      <c r="U67" s="96">
        <f>'Defect (Total)'!BG186</f>
        <v>2788.426350602379</v>
      </c>
      <c r="V67" s="730">
        <f>'Defect (Total)'!BH186</f>
        <v>2788.426350602379</v>
      </c>
      <c r="W67" s="286">
        <f>'Defect (Total)'!BI186</f>
        <v>2788.426350602379</v>
      </c>
      <c r="X67" s="99">
        <f>VLOOKUP(A67,'Distribution Summary'!$A$136:$BJ$146,62,0)</f>
        <v>1339.2666347282993</v>
      </c>
      <c r="Y67" s="416">
        <f t="shared" si="15"/>
        <v>3734446.3747589611</v>
      </c>
      <c r="Z67" s="97">
        <f t="shared" si="16"/>
        <v>3734446.3747589611</v>
      </c>
      <c r="AA67" s="97">
        <f t="shared" si="17"/>
        <v>3734446.3747589611</v>
      </c>
      <c r="AB67" s="97">
        <f t="shared" si="18"/>
        <v>3734446.3747589611</v>
      </c>
      <c r="AC67" s="98">
        <f t="shared" si="19"/>
        <v>3734446.3747589611</v>
      </c>
      <c r="AD67" s="757"/>
      <c r="AL67" s="749"/>
    </row>
    <row r="68" spans="1:38" x14ac:dyDescent="0.25">
      <c r="A68" s="81" t="s">
        <v>138</v>
      </c>
      <c r="B68" s="82" t="s">
        <v>272</v>
      </c>
      <c r="C68" s="708" t="s">
        <v>643</v>
      </c>
      <c r="D68" s="708" t="s">
        <v>413</v>
      </c>
      <c r="E68" s="718"/>
      <c r="F68" s="173"/>
      <c r="G68" s="173"/>
      <c r="H68" s="173"/>
      <c r="I68" s="719"/>
      <c r="J68" s="1128"/>
      <c r="K68" s="712"/>
      <c r="L68" s="175"/>
      <c r="M68" s="175"/>
      <c r="N68" s="175"/>
      <c r="O68" s="614"/>
      <c r="P68" s="1082"/>
      <c r="Q68" s="699"/>
      <c r="R68" s="727"/>
      <c r="S68" s="234"/>
      <c r="T68" s="96"/>
      <c r="U68" s="96"/>
      <c r="V68" s="730"/>
      <c r="W68" s="286"/>
      <c r="X68" s="99">
        <f>VLOOKUP(A68,'Distribution Summary'!$A$136:$BJ$146,62,0)</f>
        <v>28527.37387874335</v>
      </c>
      <c r="Y68" s="416">
        <f t="shared" si="15"/>
        <v>0</v>
      </c>
      <c r="Z68" s="97">
        <f t="shared" si="16"/>
        <v>0</v>
      </c>
      <c r="AA68" s="97">
        <f t="shared" si="17"/>
        <v>0</v>
      </c>
      <c r="AB68" s="97">
        <f t="shared" si="18"/>
        <v>0</v>
      </c>
      <c r="AC68" s="98">
        <f t="shared" si="19"/>
        <v>0</v>
      </c>
      <c r="AD68" s="757"/>
      <c r="AL68" s="749"/>
    </row>
    <row r="69" spans="1:38" x14ac:dyDescent="0.25">
      <c r="A69" s="81" t="s">
        <v>196</v>
      </c>
      <c r="B69" s="82" t="s">
        <v>272</v>
      </c>
      <c r="C69" s="708" t="s">
        <v>643</v>
      </c>
      <c r="D69" s="708" t="s">
        <v>274</v>
      </c>
      <c r="E69" s="718"/>
      <c r="F69" s="173"/>
      <c r="G69" s="173"/>
      <c r="H69" s="173"/>
      <c r="I69" s="719"/>
      <c r="J69" s="1128"/>
      <c r="K69" s="712"/>
      <c r="L69" s="175"/>
      <c r="M69" s="175"/>
      <c r="N69" s="175"/>
      <c r="O69" s="614"/>
      <c r="P69" s="1082"/>
      <c r="Q69" s="699"/>
      <c r="R69" s="727"/>
      <c r="S69" s="234"/>
      <c r="T69" s="96"/>
      <c r="U69" s="96"/>
      <c r="V69" s="730"/>
      <c r="W69" s="286"/>
      <c r="X69" s="99">
        <f>VLOOKUP(A69,'Distribution Summary'!$A$136:$BJ$146,62,0)</f>
        <v>9639.239384840419</v>
      </c>
      <c r="Y69" s="416">
        <f t="shared" si="15"/>
        <v>0</v>
      </c>
      <c r="Z69" s="97">
        <f t="shared" si="16"/>
        <v>0</v>
      </c>
      <c r="AA69" s="97">
        <f t="shared" si="17"/>
        <v>0</v>
      </c>
      <c r="AB69" s="97">
        <f t="shared" si="18"/>
        <v>0</v>
      </c>
      <c r="AC69" s="98">
        <f t="shared" si="19"/>
        <v>0</v>
      </c>
      <c r="AD69" s="757"/>
      <c r="AL69" s="749"/>
    </row>
    <row r="70" spans="1:38" x14ac:dyDescent="0.25">
      <c r="A70" s="81" t="s">
        <v>224</v>
      </c>
      <c r="B70" s="82" t="s">
        <v>272</v>
      </c>
      <c r="C70" s="708" t="s">
        <v>643</v>
      </c>
      <c r="D70" s="708" t="s">
        <v>414</v>
      </c>
      <c r="E70" s="718"/>
      <c r="F70" s="173"/>
      <c r="G70" s="173"/>
      <c r="H70" s="173"/>
      <c r="I70" s="719"/>
      <c r="J70" s="1128"/>
      <c r="K70" s="712"/>
      <c r="L70" s="175"/>
      <c r="M70" s="175"/>
      <c r="N70" s="175"/>
      <c r="O70" s="614"/>
      <c r="P70" s="1082"/>
      <c r="Q70" s="699"/>
      <c r="R70" s="727"/>
      <c r="S70" s="234"/>
      <c r="T70" s="96"/>
      <c r="U70" s="96"/>
      <c r="V70" s="730"/>
      <c r="W70" s="286"/>
      <c r="X70" s="99">
        <f>VLOOKUP(A70,'Distribution Summary'!$A$136:$BJ$146,62,0)</f>
        <v>0</v>
      </c>
      <c r="Y70" s="416">
        <f t="shared" si="15"/>
        <v>0</v>
      </c>
      <c r="Z70" s="97">
        <f t="shared" si="16"/>
        <v>0</v>
      </c>
      <c r="AA70" s="97">
        <f t="shared" si="17"/>
        <v>0</v>
      </c>
      <c r="AB70" s="97">
        <f t="shared" si="18"/>
        <v>0</v>
      </c>
      <c r="AC70" s="98">
        <f t="shared" si="19"/>
        <v>0</v>
      </c>
      <c r="AD70" s="757"/>
      <c r="AL70" s="749"/>
    </row>
    <row r="71" spans="1:38" x14ac:dyDescent="0.25">
      <c r="A71" s="81" t="s">
        <v>242</v>
      </c>
      <c r="B71" s="82" t="s">
        <v>272</v>
      </c>
      <c r="C71" s="708" t="s">
        <v>643</v>
      </c>
      <c r="D71" s="708" t="s">
        <v>415</v>
      </c>
      <c r="E71" s="718"/>
      <c r="F71" s="173"/>
      <c r="G71" s="173"/>
      <c r="H71" s="173"/>
      <c r="I71" s="719"/>
      <c r="J71" s="1128"/>
      <c r="K71" s="712"/>
      <c r="L71" s="175"/>
      <c r="M71" s="175"/>
      <c r="N71" s="175"/>
      <c r="O71" s="614"/>
      <c r="P71" s="1082"/>
      <c r="Q71" s="699"/>
      <c r="R71" s="727"/>
      <c r="S71" s="234"/>
      <c r="T71" s="96"/>
      <c r="U71" s="96"/>
      <c r="V71" s="730"/>
      <c r="W71" s="286"/>
      <c r="X71" s="99">
        <f>VLOOKUP(A71,'Distribution Summary'!$A$136:$BJ$146,62,0)</f>
        <v>0</v>
      </c>
      <c r="Y71" s="416">
        <f t="shared" ref="Y71:Y102" si="35">S71*$X71</f>
        <v>0</v>
      </c>
      <c r="Z71" s="97">
        <f t="shared" ref="Z71:Z102" si="36">T71*$X71</f>
        <v>0</v>
      </c>
      <c r="AA71" s="97">
        <f t="shared" ref="AA71:AA102" si="37">U71*$X71</f>
        <v>0</v>
      </c>
      <c r="AB71" s="97">
        <f t="shared" ref="AB71:AB102" si="38">V71*$X71</f>
        <v>0</v>
      </c>
      <c r="AC71" s="98">
        <f t="shared" ref="AC71:AC102" si="39">W71*$X71</f>
        <v>0</v>
      </c>
      <c r="AD71" s="757"/>
      <c r="AL71" s="749"/>
    </row>
    <row r="72" spans="1:38" ht="15.75" thickBot="1" x14ac:dyDescent="0.3">
      <c r="A72" s="100" t="s">
        <v>258</v>
      </c>
      <c r="B72" s="101" t="s">
        <v>272</v>
      </c>
      <c r="C72" s="709" t="s">
        <v>643</v>
      </c>
      <c r="D72" s="709" t="s">
        <v>64</v>
      </c>
      <c r="E72" s="720"/>
      <c r="F72" s="178"/>
      <c r="G72" s="178"/>
      <c r="H72" s="178"/>
      <c r="I72" s="721"/>
      <c r="J72" s="1129"/>
      <c r="K72" s="713"/>
      <c r="L72" s="180"/>
      <c r="M72" s="180"/>
      <c r="N72" s="180"/>
      <c r="O72" s="615"/>
      <c r="P72" s="1083"/>
      <c r="Q72" s="700"/>
      <c r="R72" s="728"/>
      <c r="S72" s="235"/>
      <c r="T72" s="115"/>
      <c r="U72" s="115"/>
      <c r="V72" s="731"/>
      <c r="W72" s="287"/>
      <c r="X72" s="116">
        <f>VLOOKUP(A72,'Distribution Summary'!$A$136:$BJ$146,62,0)</f>
        <v>30000</v>
      </c>
      <c r="Y72" s="467">
        <f t="shared" si="35"/>
        <v>0</v>
      </c>
      <c r="Z72" s="117">
        <f t="shared" si="36"/>
        <v>0</v>
      </c>
      <c r="AA72" s="117">
        <f t="shared" si="37"/>
        <v>0</v>
      </c>
      <c r="AB72" s="117">
        <f t="shared" si="38"/>
        <v>0</v>
      </c>
      <c r="AC72" s="118">
        <f t="shared" si="39"/>
        <v>0</v>
      </c>
      <c r="AD72" s="758"/>
      <c r="AL72" s="749"/>
    </row>
    <row r="73" spans="1:38" x14ac:dyDescent="0.25">
      <c r="A73" s="63" t="s">
        <v>296</v>
      </c>
      <c r="B73" s="64" t="s">
        <v>272</v>
      </c>
      <c r="C73" s="707" t="s">
        <v>644</v>
      </c>
      <c r="D73" s="707" t="s">
        <v>409</v>
      </c>
      <c r="E73" s="716"/>
      <c r="F73" s="168"/>
      <c r="G73" s="168"/>
      <c r="H73" s="168"/>
      <c r="I73" s="717"/>
      <c r="J73" s="1127"/>
      <c r="K73" s="711"/>
      <c r="L73" s="170"/>
      <c r="M73" s="170"/>
      <c r="N73" s="170"/>
      <c r="O73" s="613"/>
      <c r="P73" s="1081"/>
      <c r="Q73" s="698"/>
      <c r="R73" s="726"/>
      <c r="S73" s="241"/>
      <c r="T73" s="144"/>
      <c r="U73" s="144"/>
      <c r="V73" s="729"/>
      <c r="W73" s="293"/>
      <c r="X73" s="124">
        <f>VLOOKUP(A73,'Distribution Summary'!$A$136:$BJ$146,62,0)</f>
        <v>1800</v>
      </c>
      <c r="Y73" s="415">
        <f t="shared" si="35"/>
        <v>0</v>
      </c>
      <c r="Z73" s="79">
        <f t="shared" si="36"/>
        <v>0</v>
      </c>
      <c r="AA73" s="79">
        <f t="shared" si="37"/>
        <v>0</v>
      </c>
      <c r="AB73" s="79">
        <f t="shared" si="38"/>
        <v>0</v>
      </c>
      <c r="AC73" s="80">
        <f t="shared" si="39"/>
        <v>0</v>
      </c>
      <c r="AD73" s="756"/>
      <c r="AL73" s="749"/>
    </row>
    <row r="74" spans="1:38" x14ac:dyDescent="0.25">
      <c r="A74" s="81" t="s">
        <v>27</v>
      </c>
      <c r="B74" s="82" t="s">
        <v>272</v>
      </c>
      <c r="C74" s="708" t="s">
        <v>644</v>
      </c>
      <c r="D74" s="708" t="s">
        <v>410</v>
      </c>
      <c r="E74" s="718"/>
      <c r="F74" s="173"/>
      <c r="G74" s="173"/>
      <c r="H74" s="173"/>
      <c r="I74" s="719"/>
      <c r="J74" s="1128"/>
      <c r="K74" s="712"/>
      <c r="L74" s="175"/>
      <c r="M74" s="175"/>
      <c r="N74" s="175"/>
      <c r="O74" s="614"/>
      <c r="P74" s="1082"/>
      <c r="Q74" s="699"/>
      <c r="R74" s="727"/>
      <c r="S74" s="234"/>
      <c r="T74" s="96"/>
      <c r="U74" s="96"/>
      <c r="V74" s="730"/>
      <c r="W74" s="286"/>
      <c r="X74" s="99">
        <f>VLOOKUP(A74,'Distribution Summary'!$A$136:$BJ$146,62,0)</f>
        <v>6236.1822982950935</v>
      </c>
      <c r="Y74" s="416">
        <f t="shared" si="35"/>
        <v>0</v>
      </c>
      <c r="Z74" s="97">
        <f t="shared" si="36"/>
        <v>0</v>
      </c>
      <c r="AA74" s="97">
        <f t="shared" si="37"/>
        <v>0</v>
      </c>
      <c r="AB74" s="97">
        <f t="shared" si="38"/>
        <v>0</v>
      </c>
      <c r="AC74" s="98">
        <f t="shared" si="39"/>
        <v>0</v>
      </c>
      <c r="AD74" s="757"/>
      <c r="AL74" s="749"/>
    </row>
    <row r="75" spans="1:38" x14ac:dyDescent="0.25">
      <c r="A75" s="81" t="s">
        <v>68</v>
      </c>
      <c r="B75" s="82" t="s">
        <v>272</v>
      </c>
      <c r="C75" s="708" t="s">
        <v>644</v>
      </c>
      <c r="D75" s="708" t="s">
        <v>411</v>
      </c>
      <c r="E75" s="718"/>
      <c r="F75" s="173"/>
      <c r="G75" s="173"/>
      <c r="H75" s="173"/>
      <c r="I75" s="719"/>
      <c r="J75" s="1128"/>
      <c r="K75" s="712"/>
      <c r="L75" s="175"/>
      <c r="M75" s="175"/>
      <c r="N75" s="175"/>
      <c r="O75" s="614"/>
      <c r="P75" s="1082"/>
      <c r="Q75" s="699"/>
      <c r="R75" s="727"/>
      <c r="S75" s="234"/>
      <c r="T75" s="96"/>
      <c r="U75" s="96"/>
      <c r="V75" s="730"/>
      <c r="W75" s="286"/>
      <c r="X75" s="99">
        <f>VLOOKUP(A75,'Distribution Summary'!$A$136:$BJ$146,62,0)</f>
        <v>2810.5410327755412</v>
      </c>
      <c r="Y75" s="416">
        <f t="shared" si="35"/>
        <v>0</v>
      </c>
      <c r="Z75" s="97">
        <f t="shared" si="36"/>
        <v>0</v>
      </c>
      <c r="AA75" s="97">
        <f t="shared" si="37"/>
        <v>0</v>
      </c>
      <c r="AB75" s="97">
        <f t="shared" si="38"/>
        <v>0</v>
      </c>
      <c r="AC75" s="98">
        <f t="shared" si="39"/>
        <v>0</v>
      </c>
      <c r="AD75" s="757"/>
      <c r="AL75" s="749"/>
    </row>
    <row r="76" spans="1:38" x14ac:dyDescent="0.25">
      <c r="A76" s="81" t="s">
        <v>81</v>
      </c>
      <c r="B76" s="82" t="s">
        <v>272</v>
      </c>
      <c r="C76" s="708" t="s">
        <v>644</v>
      </c>
      <c r="D76" s="708" t="s">
        <v>270</v>
      </c>
      <c r="E76" s="718"/>
      <c r="F76" s="173"/>
      <c r="G76" s="173"/>
      <c r="H76" s="173"/>
      <c r="I76" s="719"/>
      <c r="J76" s="1128"/>
      <c r="K76" s="725"/>
      <c r="L76" s="631"/>
      <c r="M76" s="631"/>
      <c r="N76" s="631"/>
      <c r="O76" s="671"/>
      <c r="P76" s="1124"/>
      <c r="Q76" s="699"/>
      <c r="R76" s="727"/>
      <c r="S76" s="234"/>
      <c r="T76" s="96"/>
      <c r="U76" s="96"/>
      <c r="V76" s="730"/>
      <c r="W76" s="286"/>
      <c r="X76" s="99">
        <f>VLOOKUP(A76,'Distribution Summary'!$A$136:$BJ$146,62,0)</f>
        <v>56912.19365276918</v>
      </c>
      <c r="Y76" s="416">
        <f t="shared" si="35"/>
        <v>0</v>
      </c>
      <c r="Z76" s="97">
        <f t="shared" si="36"/>
        <v>0</v>
      </c>
      <c r="AA76" s="97">
        <f t="shared" si="37"/>
        <v>0</v>
      </c>
      <c r="AB76" s="97">
        <f t="shared" si="38"/>
        <v>0</v>
      </c>
      <c r="AC76" s="98">
        <f t="shared" si="39"/>
        <v>0</v>
      </c>
      <c r="AD76" s="757"/>
      <c r="AL76" s="749"/>
    </row>
    <row r="77" spans="1:38" x14ac:dyDescent="0.25">
      <c r="A77" s="81" t="s">
        <v>94</v>
      </c>
      <c r="B77" s="82" t="s">
        <v>272</v>
      </c>
      <c r="C77" s="708" t="s">
        <v>644</v>
      </c>
      <c r="D77" s="708" t="s">
        <v>412</v>
      </c>
      <c r="E77" s="718"/>
      <c r="F77" s="173"/>
      <c r="G77" s="173"/>
      <c r="H77" s="173"/>
      <c r="I77" s="719"/>
      <c r="J77" s="1128"/>
      <c r="K77" s="712"/>
      <c r="L77" s="175"/>
      <c r="M77" s="175"/>
      <c r="N77" s="175"/>
      <c r="O77" s="614"/>
      <c r="P77" s="1082"/>
      <c r="Q77" s="699"/>
      <c r="R77" s="727"/>
      <c r="S77" s="234"/>
      <c r="T77" s="96"/>
      <c r="U77" s="96"/>
      <c r="V77" s="730"/>
      <c r="W77" s="286"/>
      <c r="X77" s="99">
        <f>VLOOKUP(A77,'Distribution Summary'!$A$136:$BJ$146,62,0)</f>
        <v>322727.75622787437</v>
      </c>
      <c r="Y77" s="416">
        <f t="shared" si="35"/>
        <v>0</v>
      </c>
      <c r="Z77" s="97">
        <f t="shared" si="36"/>
        <v>0</v>
      </c>
      <c r="AA77" s="97">
        <f t="shared" si="37"/>
        <v>0</v>
      </c>
      <c r="AB77" s="97">
        <f t="shared" si="38"/>
        <v>0</v>
      </c>
      <c r="AC77" s="98">
        <f t="shared" si="39"/>
        <v>0</v>
      </c>
      <c r="AD77" s="757"/>
      <c r="AL77" s="749"/>
    </row>
    <row r="78" spans="1:38" x14ac:dyDescent="0.25">
      <c r="A78" s="81" t="s">
        <v>106</v>
      </c>
      <c r="B78" s="82" t="s">
        <v>272</v>
      </c>
      <c r="C78" s="708" t="s">
        <v>644</v>
      </c>
      <c r="D78" s="708" t="s">
        <v>272</v>
      </c>
      <c r="E78" s="718">
        <v>3064000.198511166</v>
      </c>
      <c r="F78" s="173">
        <v>9745268.677692391</v>
      </c>
      <c r="G78" s="173">
        <v>13682198.190682307</v>
      </c>
      <c r="H78" s="173">
        <v>13230045.12153695</v>
      </c>
      <c r="I78" s="719">
        <v>13537158.501246268</v>
      </c>
      <c r="J78" s="1128">
        <f>Planned!N141</f>
        <v>9024448.8506104778</v>
      </c>
      <c r="K78" s="712">
        <v>3960</v>
      </c>
      <c r="L78" s="175">
        <v>8413</v>
      </c>
      <c r="M78" s="175">
        <v>9097</v>
      </c>
      <c r="N78" s="175">
        <v>8413</v>
      </c>
      <c r="O78" s="614">
        <v>9210</v>
      </c>
      <c r="P78" s="1082"/>
      <c r="Q78" s="699">
        <f>Planned!CF141</f>
        <v>8500</v>
      </c>
      <c r="R78" s="727">
        <f>Planned!CG141</f>
        <v>8500</v>
      </c>
      <c r="S78" s="234">
        <f>Planned!CH141</f>
        <v>8500</v>
      </c>
      <c r="T78" s="96">
        <f>Planned!CI141</f>
        <v>8500</v>
      </c>
      <c r="U78" s="96">
        <f>Planned!CJ141</f>
        <v>8500</v>
      </c>
      <c r="V78" s="730">
        <f>Planned!CK141</f>
        <v>8500</v>
      </c>
      <c r="W78" s="286">
        <f>Planned!CL141</f>
        <v>8500</v>
      </c>
      <c r="X78" s="99">
        <f>VLOOKUP(A78,'Distribution Summary'!$A$136:$BJ$146,62,0)</f>
        <v>1339.2666347282993</v>
      </c>
      <c r="Y78" s="416">
        <f t="shared" si="35"/>
        <v>11383766.395190544</v>
      </c>
      <c r="Z78" s="97">
        <f t="shared" si="36"/>
        <v>11383766.395190544</v>
      </c>
      <c r="AA78" s="97">
        <f t="shared" si="37"/>
        <v>11383766.395190544</v>
      </c>
      <c r="AB78" s="97">
        <f t="shared" si="38"/>
        <v>11383766.395190544</v>
      </c>
      <c r="AC78" s="98">
        <f t="shared" si="39"/>
        <v>11383766.395190544</v>
      </c>
      <c r="AD78" s="757"/>
      <c r="AL78" s="749"/>
    </row>
    <row r="79" spans="1:38" x14ac:dyDescent="0.25">
      <c r="A79" s="81" t="s">
        <v>138</v>
      </c>
      <c r="B79" s="82" t="s">
        <v>272</v>
      </c>
      <c r="C79" s="708" t="s">
        <v>644</v>
      </c>
      <c r="D79" s="708" t="s">
        <v>413</v>
      </c>
      <c r="E79" s="718"/>
      <c r="F79" s="173"/>
      <c r="G79" s="173"/>
      <c r="H79" s="173"/>
      <c r="I79" s="719"/>
      <c r="J79" s="1128"/>
      <c r="K79" s="712"/>
      <c r="L79" s="175"/>
      <c r="M79" s="175"/>
      <c r="N79" s="175"/>
      <c r="O79" s="614"/>
      <c r="P79" s="1082"/>
      <c r="Q79" s="699"/>
      <c r="R79" s="727"/>
      <c r="S79" s="234"/>
      <c r="T79" s="96"/>
      <c r="U79" s="96"/>
      <c r="V79" s="730"/>
      <c r="W79" s="286"/>
      <c r="X79" s="99">
        <f>VLOOKUP(A79,'Distribution Summary'!$A$136:$BJ$146,62,0)</f>
        <v>28527.37387874335</v>
      </c>
      <c r="Y79" s="416">
        <f t="shared" si="35"/>
        <v>0</v>
      </c>
      <c r="Z79" s="97">
        <f t="shared" si="36"/>
        <v>0</v>
      </c>
      <c r="AA79" s="97">
        <f t="shared" si="37"/>
        <v>0</v>
      </c>
      <c r="AB79" s="97">
        <f t="shared" si="38"/>
        <v>0</v>
      </c>
      <c r="AC79" s="98">
        <f t="shared" si="39"/>
        <v>0</v>
      </c>
      <c r="AD79" s="757"/>
      <c r="AL79" s="749"/>
    </row>
    <row r="80" spans="1:38" x14ac:dyDescent="0.25">
      <c r="A80" s="81" t="s">
        <v>196</v>
      </c>
      <c r="B80" s="82" t="s">
        <v>272</v>
      </c>
      <c r="C80" s="708" t="s">
        <v>644</v>
      </c>
      <c r="D80" s="708" t="s">
        <v>274</v>
      </c>
      <c r="E80" s="718"/>
      <c r="F80" s="173"/>
      <c r="G80" s="173"/>
      <c r="H80" s="173"/>
      <c r="I80" s="719"/>
      <c r="J80" s="1128"/>
      <c r="K80" s="712"/>
      <c r="L80" s="175"/>
      <c r="M80" s="175"/>
      <c r="N80" s="175"/>
      <c r="O80" s="614"/>
      <c r="P80" s="1082"/>
      <c r="Q80" s="699"/>
      <c r="R80" s="727"/>
      <c r="S80" s="234"/>
      <c r="T80" s="96"/>
      <c r="U80" s="96"/>
      <c r="V80" s="730"/>
      <c r="W80" s="286"/>
      <c r="X80" s="99">
        <f>VLOOKUP(A80,'Distribution Summary'!$A$136:$BJ$146,62,0)</f>
        <v>9639.239384840419</v>
      </c>
      <c r="Y80" s="416">
        <f t="shared" si="35"/>
        <v>0</v>
      </c>
      <c r="Z80" s="97">
        <f t="shared" si="36"/>
        <v>0</v>
      </c>
      <c r="AA80" s="97">
        <f t="shared" si="37"/>
        <v>0</v>
      </c>
      <c r="AB80" s="97">
        <f t="shared" si="38"/>
        <v>0</v>
      </c>
      <c r="AC80" s="98">
        <f t="shared" si="39"/>
        <v>0</v>
      </c>
      <c r="AD80" s="757"/>
      <c r="AL80" s="749"/>
    </row>
    <row r="81" spans="1:38" x14ac:dyDescent="0.25">
      <c r="A81" s="81" t="s">
        <v>224</v>
      </c>
      <c r="B81" s="82" t="s">
        <v>272</v>
      </c>
      <c r="C81" s="708" t="s">
        <v>644</v>
      </c>
      <c r="D81" s="708" t="s">
        <v>414</v>
      </c>
      <c r="E81" s="718"/>
      <c r="F81" s="173"/>
      <c r="G81" s="173"/>
      <c r="H81" s="173"/>
      <c r="I81" s="719"/>
      <c r="J81" s="1128"/>
      <c r="K81" s="712"/>
      <c r="L81" s="175"/>
      <c r="M81" s="175"/>
      <c r="N81" s="175"/>
      <c r="O81" s="614"/>
      <c r="P81" s="1082"/>
      <c r="Q81" s="699"/>
      <c r="R81" s="727"/>
      <c r="S81" s="234"/>
      <c r="T81" s="96"/>
      <c r="U81" s="96"/>
      <c r="V81" s="730"/>
      <c r="W81" s="286"/>
      <c r="X81" s="99">
        <f>VLOOKUP(A81,'Distribution Summary'!$A$136:$BJ$146,62,0)</f>
        <v>0</v>
      </c>
      <c r="Y81" s="416">
        <f t="shared" si="35"/>
        <v>0</v>
      </c>
      <c r="Z81" s="97">
        <f t="shared" si="36"/>
        <v>0</v>
      </c>
      <c r="AA81" s="97">
        <f t="shared" si="37"/>
        <v>0</v>
      </c>
      <c r="AB81" s="97">
        <f t="shared" si="38"/>
        <v>0</v>
      </c>
      <c r="AC81" s="98">
        <f t="shared" si="39"/>
        <v>0</v>
      </c>
      <c r="AD81" s="757"/>
      <c r="AL81" s="749"/>
    </row>
    <row r="82" spans="1:38" x14ac:dyDescent="0.25">
      <c r="A82" s="81" t="s">
        <v>242</v>
      </c>
      <c r="B82" s="82" t="s">
        <v>272</v>
      </c>
      <c r="C82" s="708" t="s">
        <v>644</v>
      </c>
      <c r="D82" s="708" t="s">
        <v>415</v>
      </c>
      <c r="E82" s="718"/>
      <c r="F82" s="173"/>
      <c r="G82" s="173"/>
      <c r="H82" s="173"/>
      <c r="I82" s="719"/>
      <c r="J82" s="1128"/>
      <c r="K82" s="712"/>
      <c r="L82" s="175"/>
      <c r="M82" s="175"/>
      <c r="N82" s="175"/>
      <c r="O82" s="614"/>
      <c r="P82" s="1082"/>
      <c r="Q82" s="699"/>
      <c r="R82" s="727"/>
      <c r="S82" s="234"/>
      <c r="T82" s="96"/>
      <c r="U82" s="96"/>
      <c r="V82" s="730"/>
      <c r="W82" s="286"/>
      <c r="X82" s="99">
        <f>VLOOKUP(A82,'Distribution Summary'!$A$136:$BJ$146,62,0)</f>
        <v>0</v>
      </c>
      <c r="Y82" s="416">
        <f t="shared" si="35"/>
        <v>0</v>
      </c>
      <c r="Z82" s="97">
        <f t="shared" si="36"/>
        <v>0</v>
      </c>
      <c r="AA82" s="97">
        <f t="shared" si="37"/>
        <v>0</v>
      </c>
      <c r="AB82" s="97">
        <f t="shared" si="38"/>
        <v>0</v>
      </c>
      <c r="AC82" s="98">
        <f t="shared" si="39"/>
        <v>0</v>
      </c>
      <c r="AD82" s="757"/>
      <c r="AL82" s="749"/>
    </row>
    <row r="83" spans="1:38" ht="15.75" thickBot="1" x14ac:dyDescent="0.3">
      <c r="A83" s="100" t="s">
        <v>258</v>
      </c>
      <c r="B83" s="101" t="s">
        <v>272</v>
      </c>
      <c r="C83" s="709" t="s">
        <v>644</v>
      </c>
      <c r="D83" s="709" t="s">
        <v>64</v>
      </c>
      <c r="E83" s="720"/>
      <c r="F83" s="178"/>
      <c r="G83" s="178"/>
      <c r="H83" s="178"/>
      <c r="I83" s="721"/>
      <c r="J83" s="1129"/>
      <c r="K83" s="713"/>
      <c r="L83" s="180"/>
      <c r="M83" s="180"/>
      <c r="N83" s="180"/>
      <c r="O83" s="615"/>
      <c r="P83" s="1083"/>
      <c r="Q83" s="700"/>
      <c r="R83" s="728"/>
      <c r="S83" s="235"/>
      <c r="T83" s="115"/>
      <c r="U83" s="115"/>
      <c r="V83" s="731"/>
      <c r="W83" s="287"/>
      <c r="X83" s="116">
        <f>VLOOKUP(A83,'Distribution Summary'!$A$136:$BJ$146,62,0)</f>
        <v>30000</v>
      </c>
      <c r="Y83" s="467">
        <f t="shared" si="35"/>
        <v>0</v>
      </c>
      <c r="Z83" s="117">
        <f t="shared" si="36"/>
        <v>0</v>
      </c>
      <c r="AA83" s="117">
        <f t="shared" si="37"/>
        <v>0</v>
      </c>
      <c r="AB83" s="117">
        <f t="shared" si="38"/>
        <v>0</v>
      </c>
      <c r="AC83" s="118">
        <f t="shared" si="39"/>
        <v>0</v>
      </c>
      <c r="AD83" s="758"/>
      <c r="AL83" s="749"/>
    </row>
    <row r="84" spans="1:38" x14ac:dyDescent="0.25">
      <c r="A84" s="63" t="s">
        <v>296</v>
      </c>
      <c r="B84" s="64" t="s">
        <v>638</v>
      </c>
      <c r="C84" s="707" t="s">
        <v>643</v>
      </c>
      <c r="D84" s="707" t="s">
        <v>409</v>
      </c>
      <c r="E84" s="716"/>
      <c r="F84" s="168"/>
      <c r="G84" s="168"/>
      <c r="H84" s="168"/>
      <c r="I84" s="717"/>
      <c r="J84" s="1127"/>
      <c r="K84" s="711"/>
      <c r="L84" s="170"/>
      <c r="M84" s="170"/>
      <c r="N84" s="170"/>
      <c r="O84" s="613"/>
      <c r="P84" s="1081"/>
      <c r="Q84" s="698"/>
      <c r="R84" s="726"/>
      <c r="S84" s="241"/>
      <c r="T84" s="144"/>
      <c r="U84" s="144"/>
      <c r="V84" s="729"/>
      <c r="W84" s="293"/>
      <c r="X84" s="124">
        <f>VLOOKUP(A84,'Distribution Summary'!$A$136:$BJ$146,62,0)</f>
        <v>1800</v>
      </c>
      <c r="Y84" s="415">
        <f t="shared" si="35"/>
        <v>0</v>
      </c>
      <c r="Z84" s="79">
        <f t="shared" si="36"/>
        <v>0</v>
      </c>
      <c r="AA84" s="79">
        <f t="shared" si="37"/>
        <v>0</v>
      </c>
      <c r="AB84" s="79">
        <f t="shared" si="38"/>
        <v>0</v>
      </c>
      <c r="AC84" s="80">
        <f t="shared" si="39"/>
        <v>0</v>
      </c>
      <c r="AD84" s="756"/>
      <c r="AE84" s="1" t="s">
        <v>664</v>
      </c>
      <c r="AF84" s="1" t="s">
        <v>643</v>
      </c>
      <c r="AG84" s="755">
        <f>ROUND(Y90/1000000,1)</f>
        <v>15.7</v>
      </c>
      <c r="AH84" s="755">
        <f t="shared" ref="AH84:AK84" si="40">ROUND(Z90/1000000,1)</f>
        <v>15.7</v>
      </c>
      <c r="AI84" s="755">
        <f t="shared" si="40"/>
        <v>15.7</v>
      </c>
      <c r="AJ84" s="755">
        <f t="shared" si="40"/>
        <v>15.7</v>
      </c>
      <c r="AK84" s="755">
        <f t="shared" si="40"/>
        <v>15.7</v>
      </c>
      <c r="AL84" s="750">
        <f>SUM(AG84:AK84)</f>
        <v>78.5</v>
      </c>
    </row>
    <row r="85" spans="1:38" x14ac:dyDescent="0.25">
      <c r="A85" s="81" t="s">
        <v>27</v>
      </c>
      <c r="B85" s="82" t="s">
        <v>638</v>
      </c>
      <c r="C85" s="708" t="s">
        <v>643</v>
      </c>
      <c r="D85" s="708" t="s">
        <v>410</v>
      </c>
      <c r="E85" s="718"/>
      <c r="F85" s="173"/>
      <c r="G85" s="173"/>
      <c r="H85" s="173"/>
      <c r="I85" s="719"/>
      <c r="J85" s="1128"/>
      <c r="K85" s="712"/>
      <c r="L85" s="175"/>
      <c r="M85" s="175"/>
      <c r="N85" s="175"/>
      <c r="O85" s="614"/>
      <c r="P85" s="1082"/>
      <c r="Q85" s="699"/>
      <c r="R85" s="727"/>
      <c r="S85" s="234"/>
      <c r="T85" s="96"/>
      <c r="U85" s="96"/>
      <c r="V85" s="730"/>
      <c r="W85" s="286"/>
      <c r="X85" s="99">
        <f>VLOOKUP(A85,'Distribution Summary'!$A$136:$BJ$146,62,0)</f>
        <v>6236.1822982950935</v>
      </c>
      <c r="Y85" s="416">
        <f t="shared" si="35"/>
        <v>0</v>
      </c>
      <c r="Z85" s="97">
        <f t="shared" si="36"/>
        <v>0</v>
      </c>
      <c r="AA85" s="97">
        <f t="shared" si="37"/>
        <v>0</v>
      </c>
      <c r="AB85" s="97">
        <f t="shared" si="38"/>
        <v>0</v>
      </c>
      <c r="AC85" s="98">
        <f t="shared" si="39"/>
        <v>0</v>
      </c>
      <c r="AD85" s="757"/>
      <c r="AF85" t="s">
        <v>654</v>
      </c>
      <c r="AG85" s="751">
        <f>ROUND(SUM(Y13,Y46,Y57)/1000000,1)</f>
        <v>11</v>
      </c>
      <c r="AH85" s="751">
        <f t="shared" ref="AH85:AK85" si="41">ROUND(SUM(Z13,Z46,Z57)/1000000,1)</f>
        <v>11.2</v>
      </c>
      <c r="AI85" s="751">
        <f t="shared" si="41"/>
        <v>11.3</v>
      </c>
      <c r="AJ85" s="751">
        <f t="shared" si="41"/>
        <v>11.4</v>
      </c>
      <c r="AK85" s="751">
        <f t="shared" si="41"/>
        <v>11.5</v>
      </c>
      <c r="AL85" s="749">
        <f t="shared" ref="AL85" si="42">SUM(AG85:AK85)</f>
        <v>56.4</v>
      </c>
    </row>
    <row r="86" spans="1:38" x14ac:dyDescent="0.25">
      <c r="A86" s="81" t="s">
        <v>68</v>
      </c>
      <c r="B86" s="82" t="s">
        <v>638</v>
      </c>
      <c r="C86" s="708" t="s">
        <v>643</v>
      </c>
      <c r="D86" s="708" t="s">
        <v>411</v>
      </c>
      <c r="E86" s="718"/>
      <c r="F86" s="173"/>
      <c r="G86" s="173"/>
      <c r="H86" s="173"/>
      <c r="I86" s="719"/>
      <c r="J86" s="1128"/>
      <c r="K86" s="712"/>
      <c r="L86" s="175"/>
      <c r="M86" s="175"/>
      <c r="N86" s="175"/>
      <c r="O86" s="614"/>
      <c r="P86" s="1082"/>
      <c r="Q86" s="699"/>
      <c r="R86" s="727"/>
      <c r="S86" s="234"/>
      <c r="T86" s="96"/>
      <c r="U86" s="96"/>
      <c r="V86" s="730"/>
      <c r="W86" s="286"/>
      <c r="X86" s="99">
        <f>VLOOKUP(A86,'Distribution Summary'!$A$136:$BJ$146,62,0)</f>
        <v>2810.5410327755412</v>
      </c>
      <c r="Y86" s="416">
        <f t="shared" si="35"/>
        <v>0</v>
      </c>
      <c r="Z86" s="97">
        <f t="shared" si="36"/>
        <v>0</v>
      </c>
      <c r="AA86" s="97">
        <f t="shared" si="37"/>
        <v>0</v>
      </c>
      <c r="AB86" s="97">
        <f t="shared" si="38"/>
        <v>0</v>
      </c>
      <c r="AC86" s="98">
        <f t="shared" si="39"/>
        <v>0</v>
      </c>
      <c r="AD86" s="757"/>
      <c r="AF86" s="1" t="s">
        <v>663</v>
      </c>
      <c r="AG86" s="755">
        <f>AG84</f>
        <v>15.7</v>
      </c>
      <c r="AH86" s="755">
        <f t="shared" ref="AH86:AL86" si="43">AH84</f>
        <v>15.7</v>
      </c>
      <c r="AI86" s="755">
        <f t="shared" si="43"/>
        <v>15.7</v>
      </c>
      <c r="AJ86" s="755">
        <f t="shared" si="43"/>
        <v>15.7</v>
      </c>
      <c r="AK86" s="755">
        <f t="shared" si="43"/>
        <v>15.7</v>
      </c>
      <c r="AL86" s="755">
        <f t="shared" si="43"/>
        <v>78.5</v>
      </c>
    </row>
    <row r="87" spans="1:38" x14ac:dyDescent="0.25">
      <c r="A87" s="81" t="s">
        <v>81</v>
      </c>
      <c r="B87" s="82" t="s">
        <v>638</v>
      </c>
      <c r="C87" s="708" t="s">
        <v>643</v>
      </c>
      <c r="D87" s="708" t="s">
        <v>270</v>
      </c>
      <c r="E87" s="718"/>
      <c r="F87" s="173"/>
      <c r="G87" s="173"/>
      <c r="H87" s="173"/>
      <c r="I87" s="719"/>
      <c r="J87" s="1128"/>
      <c r="K87" s="725"/>
      <c r="L87" s="631"/>
      <c r="M87" s="631"/>
      <c r="N87" s="631"/>
      <c r="O87" s="671"/>
      <c r="P87" s="1124"/>
      <c r="Q87" s="699"/>
      <c r="R87" s="727"/>
      <c r="S87" s="234"/>
      <c r="T87" s="96"/>
      <c r="U87" s="96"/>
      <c r="V87" s="730"/>
      <c r="W87" s="286"/>
      <c r="X87" s="99">
        <f>VLOOKUP(A87,'Distribution Summary'!$A$136:$BJ$146,62,0)</f>
        <v>56912.19365276918</v>
      </c>
      <c r="Y87" s="416">
        <f t="shared" si="35"/>
        <v>0</v>
      </c>
      <c r="Z87" s="97">
        <f t="shared" si="36"/>
        <v>0</v>
      </c>
      <c r="AA87" s="97">
        <f t="shared" si="37"/>
        <v>0</v>
      </c>
      <c r="AB87" s="97">
        <f t="shared" si="38"/>
        <v>0</v>
      </c>
      <c r="AC87" s="98">
        <f t="shared" si="39"/>
        <v>0</v>
      </c>
      <c r="AD87" s="757"/>
      <c r="AL87" s="749"/>
    </row>
    <row r="88" spans="1:38" x14ac:dyDescent="0.25">
      <c r="A88" s="81" t="s">
        <v>94</v>
      </c>
      <c r="B88" s="82" t="s">
        <v>638</v>
      </c>
      <c r="C88" s="708" t="s">
        <v>643</v>
      </c>
      <c r="D88" s="708" t="s">
        <v>412</v>
      </c>
      <c r="E88" s="718"/>
      <c r="F88" s="173"/>
      <c r="G88" s="173"/>
      <c r="H88" s="173"/>
      <c r="I88" s="719"/>
      <c r="J88" s="1128"/>
      <c r="K88" s="712"/>
      <c r="L88" s="175"/>
      <c r="M88" s="175"/>
      <c r="N88" s="175"/>
      <c r="O88" s="614"/>
      <c r="P88" s="1082"/>
      <c r="Q88" s="699"/>
      <c r="R88" s="727"/>
      <c r="S88" s="234"/>
      <c r="T88" s="96"/>
      <c r="U88" s="96"/>
      <c r="V88" s="730"/>
      <c r="W88" s="286"/>
      <c r="X88" s="99">
        <f>VLOOKUP(A88,'Distribution Summary'!$A$136:$BJ$146,62,0)</f>
        <v>322727.75622787437</v>
      </c>
      <c r="Y88" s="416">
        <f t="shared" si="35"/>
        <v>0</v>
      </c>
      <c r="Z88" s="97">
        <f t="shared" si="36"/>
        <v>0</v>
      </c>
      <c r="AA88" s="97">
        <f t="shared" si="37"/>
        <v>0</v>
      </c>
      <c r="AB88" s="97">
        <f t="shared" si="38"/>
        <v>0</v>
      </c>
      <c r="AC88" s="98">
        <f t="shared" si="39"/>
        <v>0</v>
      </c>
      <c r="AD88" s="757"/>
      <c r="AL88" s="749"/>
    </row>
    <row r="89" spans="1:38" x14ac:dyDescent="0.25">
      <c r="A89" s="81" t="s">
        <v>106</v>
      </c>
      <c r="B89" s="82" t="s">
        <v>638</v>
      </c>
      <c r="C89" s="708" t="s">
        <v>643</v>
      </c>
      <c r="D89" s="708" t="s">
        <v>272</v>
      </c>
      <c r="E89" s="718"/>
      <c r="F89" s="173"/>
      <c r="G89" s="173"/>
      <c r="H89" s="173"/>
      <c r="I89" s="719"/>
      <c r="J89" s="1128"/>
      <c r="K89" s="712"/>
      <c r="L89" s="175"/>
      <c r="M89" s="175"/>
      <c r="N89" s="175"/>
      <c r="O89" s="614"/>
      <c r="P89" s="1082"/>
      <c r="Q89" s="699"/>
      <c r="R89" s="727"/>
      <c r="S89" s="234"/>
      <c r="T89" s="96"/>
      <c r="U89" s="96"/>
      <c r="V89" s="730"/>
      <c r="W89" s="286"/>
      <c r="X89" s="99">
        <f>VLOOKUP(A89,'Distribution Summary'!$A$136:$BJ$146,62,0)</f>
        <v>1339.2666347282993</v>
      </c>
      <c r="Y89" s="416">
        <f t="shared" si="35"/>
        <v>0</v>
      </c>
      <c r="Z89" s="97">
        <f t="shared" si="36"/>
        <v>0</v>
      </c>
      <c r="AA89" s="97">
        <f t="shared" si="37"/>
        <v>0</v>
      </c>
      <c r="AB89" s="97">
        <f t="shared" si="38"/>
        <v>0</v>
      </c>
      <c r="AC89" s="98">
        <f t="shared" si="39"/>
        <v>0</v>
      </c>
      <c r="AD89" s="757"/>
      <c r="AL89" s="749"/>
    </row>
    <row r="90" spans="1:38" x14ac:dyDescent="0.25">
      <c r="A90" s="81" t="s">
        <v>138</v>
      </c>
      <c r="B90" s="82" t="s">
        <v>638</v>
      </c>
      <c r="C90" s="708" t="s">
        <v>643</v>
      </c>
      <c r="D90" s="708" t="s">
        <v>413</v>
      </c>
      <c r="E90" s="718">
        <v>50364051.328778177</v>
      </c>
      <c r="F90" s="173">
        <v>61750667.000000007</v>
      </c>
      <c r="G90" s="173">
        <v>51587767.599228106</v>
      </c>
      <c r="H90" s="173">
        <v>60010317.906087011</v>
      </c>
      <c r="I90" s="719">
        <v>60881239.6951693</v>
      </c>
      <c r="J90" s="1128">
        <f>'Defect (Total)'!N187</f>
        <v>43417176.983950451</v>
      </c>
      <c r="K90" s="712">
        <v>1328</v>
      </c>
      <c r="L90" s="175">
        <v>1225</v>
      </c>
      <c r="M90" s="175">
        <v>1198</v>
      </c>
      <c r="N90" s="175">
        <v>1265</v>
      </c>
      <c r="O90" s="614">
        <v>979</v>
      </c>
      <c r="P90" s="1082"/>
      <c r="Q90" s="699">
        <f>'Defect (Total)'!BC187</f>
        <v>1278.5659932491421</v>
      </c>
      <c r="R90" s="727">
        <f>'Defect (Total)'!BD187</f>
        <v>1278.5659932491421</v>
      </c>
      <c r="S90" s="234">
        <f>'Defect (Total)'!BE187</f>
        <v>551.67751385677047</v>
      </c>
      <c r="T90" s="96">
        <f>'Defect (Total)'!BF187</f>
        <v>551.67751385677047</v>
      </c>
      <c r="U90" s="96">
        <f>'Defect (Total)'!BG187</f>
        <v>551.67751385677047</v>
      </c>
      <c r="V90" s="730">
        <f>'Defect (Total)'!BH187</f>
        <v>551.67751385677047</v>
      </c>
      <c r="W90" s="286">
        <f>'Defect (Total)'!BI187</f>
        <v>551.67751385677047</v>
      </c>
      <c r="X90" s="99">
        <f>VLOOKUP(A90,'Distribution Summary'!$A$136:$BJ$146,62,0)</f>
        <v>28527.37387874335</v>
      </c>
      <c r="Y90" s="416">
        <f t="shared" si="35"/>
        <v>15737910.698287707</v>
      </c>
      <c r="Z90" s="97">
        <f t="shared" si="36"/>
        <v>15737910.698287707</v>
      </c>
      <c r="AA90" s="97">
        <f t="shared" si="37"/>
        <v>15737910.698287707</v>
      </c>
      <c r="AB90" s="97">
        <f t="shared" si="38"/>
        <v>15737910.698287707</v>
      </c>
      <c r="AC90" s="98">
        <f t="shared" si="39"/>
        <v>15737910.698287707</v>
      </c>
      <c r="AD90" s="757"/>
      <c r="AL90" s="749"/>
    </row>
    <row r="91" spans="1:38" x14ac:dyDescent="0.25">
      <c r="A91" s="81" t="s">
        <v>196</v>
      </c>
      <c r="B91" s="82" t="s">
        <v>638</v>
      </c>
      <c r="C91" s="708" t="s">
        <v>643</v>
      </c>
      <c r="D91" s="708" t="s">
        <v>274</v>
      </c>
      <c r="E91" s="718"/>
      <c r="F91" s="173"/>
      <c r="G91" s="173"/>
      <c r="H91" s="173"/>
      <c r="I91" s="719"/>
      <c r="J91" s="1128"/>
      <c r="K91" s="712"/>
      <c r="L91" s="175"/>
      <c r="M91" s="175"/>
      <c r="N91" s="175"/>
      <c r="O91" s="614"/>
      <c r="P91" s="1082"/>
      <c r="Q91" s="699"/>
      <c r="R91" s="727"/>
      <c r="S91" s="234"/>
      <c r="T91" s="96"/>
      <c r="U91" s="96"/>
      <c r="V91" s="730"/>
      <c r="W91" s="286"/>
      <c r="X91" s="99">
        <f>VLOOKUP(A91,'Distribution Summary'!$A$136:$BJ$146,62,0)</f>
        <v>9639.239384840419</v>
      </c>
      <c r="Y91" s="416">
        <f t="shared" si="35"/>
        <v>0</v>
      </c>
      <c r="Z91" s="97">
        <f t="shared" si="36"/>
        <v>0</v>
      </c>
      <c r="AA91" s="97">
        <f t="shared" si="37"/>
        <v>0</v>
      </c>
      <c r="AB91" s="97">
        <f t="shared" si="38"/>
        <v>0</v>
      </c>
      <c r="AC91" s="98">
        <f t="shared" si="39"/>
        <v>0</v>
      </c>
      <c r="AD91" s="757"/>
      <c r="AL91" s="749"/>
    </row>
    <row r="92" spans="1:38" x14ac:dyDescent="0.25">
      <c r="A92" s="81" t="s">
        <v>224</v>
      </c>
      <c r="B92" s="82" t="s">
        <v>638</v>
      </c>
      <c r="C92" s="708" t="s">
        <v>643</v>
      </c>
      <c r="D92" s="708" t="s">
        <v>414</v>
      </c>
      <c r="E92" s="718"/>
      <c r="F92" s="173"/>
      <c r="G92" s="173"/>
      <c r="H92" s="173"/>
      <c r="I92" s="719"/>
      <c r="J92" s="1128"/>
      <c r="K92" s="712"/>
      <c r="L92" s="175"/>
      <c r="M92" s="175"/>
      <c r="N92" s="175"/>
      <c r="O92" s="614"/>
      <c r="P92" s="1082"/>
      <c r="Q92" s="699"/>
      <c r="R92" s="727"/>
      <c r="S92" s="234"/>
      <c r="T92" s="96"/>
      <c r="U92" s="96"/>
      <c r="V92" s="730"/>
      <c r="W92" s="286"/>
      <c r="X92" s="99">
        <f>VLOOKUP(A92,'Distribution Summary'!$A$136:$BJ$146,62,0)</f>
        <v>0</v>
      </c>
      <c r="Y92" s="416">
        <f t="shared" si="35"/>
        <v>0</v>
      </c>
      <c r="Z92" s="97">
        <f t="shared" si="36"/>
        <v>0</v>
      </c>
      <c r="AA92" s="97">
        <f t="shared" si="37"/>
        <v>0</v>
      </c>
      <c r="AB92" s="97">
        <f t="shared" si="38"/>
        <v>0</v>
      </c>
      <c r="AC92" s="98">
        <f t="shared" si="39"/>
        <v>0</v>
      </c>
      <c r="AD92" s="757"/>
      <c r="AL92" s="749"/>
    </row>
    <row r="93" spans="1:38" x14ac:dyDescent="0.25">
      <c r="A93" s="81" t="s">
        <v>242</v>
      </c>
      <c r="B93" s="82" t="s">
        <v>638</v>
      </c>
      <c r="C93" s="708" t="s">
        <v>643</v>
      </c>
      <c r="D93" s="708" t="s">
        <v>415</v>
      </c>
      <c r="E93" s="718"/>
      <c r="F93" s="173"/>
      <c r="G93" s="173"/>
      <c r="H93" s="173"/>
      <c r="I93" s="719"/>
      <c r="J93" s="1128"/>
      <c r="K93" s="712"/>
      <c r="L93" s="175"/>
      <c r="M93" s="175"/>
      <c r="N93" s="175"/>
      <c r="O93" s="614"/>
      <c r="P93" s="1082"/>
      <c r="Q93" s="699"/>
      <c r="R93" s="727"/>
      <c r="S93" s="234"/>
      <c r="T93" s="96"/>
      <c r="U93" s="96"/>
      <c r="V93" s="730"/>
      <c r="W93" s="286"/>
      <c r="X93" s="99">
        <f>VLOOKUP(A93,'Distribution Summary'!$A$136:$BJ$146,62,0)</f>
        <v>0</v>
      </c>
      <c r="Y93" s="416">
        <f t="shared" si="35"/>
        <v>0</v>
      </c>
      <c r="Z93" s="97">
        <f t="shared" si="36"/>
        <v>0</v>
      </c>
      <c r="AA93" s="97">
        <f t="shared" si="37"/>
        <v>0</v>
      </c>
      <c r="AB93" s="97">
        <f t="shared" si="38"/>
        <v>0</v>
      </c>
      <c r="AC93" s="98">
        <f t="shared" si="39"/>
        <v>0</v>
      </c>
      <c r="AD93" s="757"/>
      <c r="AL93" s="749"/>
    </row>
    <row r="94" spans="1:38" ht="15.75" thickBot="1" x14ac:dyDescent="0.3">
      <c r="A94" s="100" t="s">
        <v>258</v>
      </c>
      <c r="B94" s="101" t="s">
        <v>638</v>
      </c>
      <c r="C94" s="709" t="s">
        <v>643</v>
      </c>
      <c r="D94" s="709" t="s">
        <v>64</v>
      </c>
      <c r="E94" s="720"/>
      <c r="F94" s="178"/>
      <c r="G94" s="178"/>
      <c r="H94" s="178"/>
      <c r="I94" s="721"/>
      <c r="J94" s="1129"/>
      <c r="K94" s="713"/>
      <c r="L94" s="180"/>
      <c r="M94" s="180"/>
      <c r="N94" s="180"/>
      <c r="O94" s="615"/>
      <c r="P94" s="1083"/>
      <c r="Q94" s="700"/>
      <c r="R94" s="728"/>
      <c r="S94" s="235"/>
      <c r="T94" s="115"/>
      <c r="U94" s="115"/>
      <c r="V94" s="731"/>
      <c r="W94" s="287"/>
      <c r="X94" s="116">
        <f>VLOOKUP(A94,'Distribution Summary'!$A$136:$BJ$146,62,0)</f>
        <v>30000</v>
      </c>
      <c r="Y94" s="467">
        <f t="shared" si="35"/>
        <v>0</v>
      </c>
      <c r="Z94" s="117">
        <f t="shared" si="36"/>
        <v>0</v>
      </c>
      <c r="AA94" s="117">
        <f t="shared" si="37"/>
        <v>0</v>
      </c>
      <c r="AB94" s="117">
        <f t="shared" si="38"/>
        <v>0</v>
      </c>
      <c r="AC94" s="118">
        <f t="shared" si="39"/>
        <v>0</v>
      </c>
      <c r="AD94" s="758"/>
      <c r="AL94" s="749"/>
    </row>
    <row r="95" spans="1:38" x14ac:dyDescent="0.25">
      <c r="A95" s="63" t="s">
        <v>296</v>
      </c>
      <c r="B95" s="64" t="s">
        <v>639</v>
      </c>
      <c r="C95" s="707" t="s">
        <v>643</v>
      </c>
      <c r="D95" s="707" t="s">
        <v>409</v>
      </c>
      <c r="E95" s="716"/>
      <c r="F95" s="168"/>
      <c r="G95" s="168"/>
      <c r="H95" s="168"/>
      <c r="I95" s="717"/>
      <c r="J95" s="1127"/>
      <c r="K95" s="711"/>
      <c r="L95" s="170"/>
      <c r="M95" s="170"/>
      <c r="N95" s="170"/>
      <c r="O95" s="613"/>
      <c r="P95" s="1081"/>
      <c r="Q95" s="698"/>
      <c r="R95" s="726"/>
      <c r="S95" s="241"/>
      <c r="T95" s="144"/>
      <c r="U95" s="144"/>
      <c r="V95" s="729"/>
      <c r="W95" s="293"/>
      <c r="X95" s="124">
        <f>VLOOKUP(A95,'Distribution Summary'!$A$136:$BJ$146,62,0)</f>
        <v>1800</v>
      </c>
      <c r="Y95" s="415">
        <f t="shared" si="35"/>
        <v>0</v>
      </c>
      <c r="Z95" s="79">
        <f t="shared" si="36"/>
        <v>0</v>
      </c>
      <c r="AA95" s="79">
        <f t="shared" si="37"/>
        <v>0</v>
      </c>
      <c r="AB95" s="79">
        <f t="shared" si="38"/>
        <v>0</v>
      </c>
      <c r="AC95" s="80">
        <f t="shared" si="39"/>
        <v>0</v>
      </c>
      <c r="AD95" s="756"/>
      <c r="AE95" s="1" t="s">
        <v>665</v>
      </c>
      <c r="AF95" s="1" t="s">
        <v>643</v>
      </c>
      <c r="AG95" s="755">
        <f>ROUND(Y102/1000000,1)</f>
        <v>5.2</v>
      </c>
      <c r="AH95" s="755">
        <f t="shared" ref="AH95:AK95" si="44">ROUND(Z102/1000000,1)</f>
        <v>5.2</v>
      </c>
      <c r="AI95" s="755">
        <f t="shared" si="44"/>
        <v>5.2</v>
      </c>
      <c r="AJ95" s="755">
        <f t="shared" si="44"/>
        <v>5.2</v>
      </c>
      <c r="AK95" s="755">
        <f t="shared" si="44"/>
        <v>5.2</v>
      </c>
      <c r="AL95" s="750">
        <f>SUM(AG95:AK95)</f>
        <v>26</v>
      </c>
    </row>
    <row r="96" spans="1:38" x14ac:dyDescent="0.25">
      <c r="A96" s="81" t="s">
        <v>27</v>
      </c>
      <c r="B96" s="82" t="s">
        <v>639</v>
      </c>
      <c r="C96" s="708" t="s">
        <v>643</v>
      </c>
      <c r="D96" s="708" t="s">
        <v>410</v>
      </c>
      <c r="E96" s="718"/>
      <c r="F96" s="173"/>
      <c r="G96" s="173"/>
      <c r="H96" s="173"/>
      <c r="I96" s="719"/>
      <c r="J96" s="1128"/>
      <c r="K96" s="712"/>
      <c r="L96" s="175"/>
      <c r="M96" s="175"/>
      <c r="N96" s="175"/>
      <c r="O96" s="614"/>
      <c r="P96" s="1082"/>
      <c r="Q96" s="699"/>
      <c r="R96" s="727"/>
      <c r="S96" s="234"/>
      <c r="T96" s="96"/>
      <c r="U96" s="96"/>
      <c r="V96" s="730"/>
      <c r="W96" s="286"/>
      <c r="X96" s="99">
        <f>VLOOKUP(A96,'Distribution Summary'!$A$136:$BJ$146,62,0)</f>
        <v>6236.1822982950935</v>
      </c>
      <c r="Y96" s="416">
        <f t="shared" si="35"/>
        <v>0</v>
      </c>
      <c r="Z96" s="97">
        <f t="shared" si="36"/>
        <v>0</v>
      </c>
      <c r="AA96" s="97">
        <f t="shared" si="37"/>
        <v>0</v>
      </c>
      <c r="AB96" s="97">
        <f t="shared" si="38"/>
        <v>0</v>
      </c>
      <c r="AC96" s="98">
        <f t="shared" si="39"/>
        <v>0</v>
      </c>
      <c r="AD96" s="757"/>
      <c r="AF96" t="s">
        <v>654</v>
      </c>
      <c r="AG96" s="751">
        <f>ROUND(SUM(Y14,Y47,Y58)/1000000,1)</f>
        <v>3.4</v>
      </c>
      <c r="AH96" s="751">
        <f t="shared" ref="AH96:AK96" si="45">ROUND(SUM(Z14,Z47,Z58)/1000000,1)</f>
        <v>3.4</v>
      </c>
      <c r="AI96" s="751">
        <f t="shared" si="45"/>
        <v>3.5</v>
      </c>
      <c r="AJ96" s="751">
        <f t="shared" si="45"/>
        <v>3.5</v>
      </c>
      <c r="AK96" s="751">
        <f t="shared" si="45"/>
        <v>3.5</v>
      </c>
      <c r="AL96" s="749">
        <f t="shared" ref="AL96" si="46">SUM(AG96:AK96)</f>
        <v>17.3</v>
      </c>
    </row>
    <row r="97" spans="1:38" x14ac:dyDescent="0.25">
      <c r="A97" s="81" t="s">
        <v>68</v>
      </c>
      <c r="B97" s="82" t="s">
        <v>639</v>
      </c>
      <c r="C97" s="708" t="s">
        <v>643</v>
      </c>
      <c r="D97" s="708" t="s">
        <v>411</v>
      </c>
      <c r="E97" s="718"/>
      <c r="F97" s="173"/>
      <c r="G97" s="173"/>
      <c r="H97" s="173"/>
      <c r="I97" s="719"/>
      <c r="J97" s="1128"/>
      <c r="K97" s="712"/>
      <c r="L97" s="175"/>
      <c r="M97" s="175"/>
      <c r="N97" s="175"/>
      <c r="O97" s="614"/>
      <c r="P97" s="1082"/>
      <c r="Q97" s="699"/>
      <c r="R97" s="727"/>
      <c r="S97" s="234"/>
      <c r="T97" s="96"/>
      <c r="U97" s="96"/>
      <c r="V97" s="730"/>
      <c r="W97" s="286"/>
      <c r="X97" s="99">
        <f>VLOOKUP(A97,'Distribution Summary'!$A$136:$BJ$146,62,0)</f>
        <v>2810.5410327755412</v>
      </c>
      <c r="Y97" s="416">
        <f t="shared" si="35"/>
        <v>0</v>
      </c>
      <c r="Z97" s="97">
        <f t="shared" si="36"/>
        <v>0</v>
      </c>
      <c r="AA97" s="97">
        <f t="shared" si="37"/>
        <v>0</v>
      </c>
      <c r="AB97" s="97">
        <f t="shared" si="38"/>
        <v>0</v>
      </c>
      <c r="AC97" s="98">
        <f t="shared" si="39"/>
        <v>0</v>
      </c>
      <c r="AD97" s="757"/>
      <c r="AF97" s="1" t="s">
        <v>663</v>
      </c>
      <c r="AG97" s="755">
        <f>AG95</f>
        <v>5.2</v>
      </c>
      <c r="AH97" s="755">
        <f t="shared" ref="AH97:AL97" si="47">AH95</f>
        <v>5.2</v>
      </c>
      <c r="AI97" s="755">
        <f t="shared" si="47"/>
        <v>5.2</v>
      </c>
      <c r="AJ97" s="755">
        <f t="shared" si="47"/>
        <v>5.2</v>
      </c>
      <c r="AK97" s="755">
        <f t="shared" si="47"/>
        <v>5.2</v>
      </c>
      <c r="AL97" s="755">
        <f t="shared" si="47"/>
        <v>26</v>
      </c>
    </row>
    <row r="98" spans="1:38" x14ac:dyDescent="0.25">
      <c r="A98" s="81" t="s">
        <v>81</v>
      </c>
      <c r="B98" s="82" t="s">
        <v>639</v>
      </c>
      <c r="C98" s="708" t="s">
        <v>643</v>
      </c>
      <c r="D98" s="708" t="s">
        <v>270</v>
      </c>
      <c r="E98" s="718"/>
      <c r="F98" s="173"/>
      <c r="G98" s="173"/>
      <c r="H98" s="173"/>
      <c r="I98" s="719"/>
      <c r="J98" s="1128"/>
      <c r="K98" s="725"/>
      <c r="L98" s="631"/>
      <c r="M98" s="631"/>
      <c r="N98" s="631"/>
      <c r="O98" s="671"/>
      <c r="P98" s="1124"/>
      <c r="Q98" s="699"/>
      <c r="R98" s="727"/>
      <c r="S98" s="234"/>
      <c r="T98" s="96"/>
      <c r="U98" s="96"/>
      <c r="V98" s="730"/>
      <c r="W98" s="286"/>
      <c r="X98" s="99">
        <f>VLOOKUP(A98,'Distribution Summary'!$A$136:$BJ$146,62,0)</f>
        <v>56912.19365276918</v>
      </c>
      <c r="Y98" s="416">
        <f t="shared" si="35"/>
        <v>0</v>
      </c>
      <c r="Z98" s="97">
        <f t="shared" si="36"/>
        <v>0</v>
      </c>
      <c r="AA98" s="97">
        <f t="shared" si="37"/>
        <v>0</v>
      </c>
      <c r="AB98" s="97">
        <f t="shared" si="38"/>
        <v>0</v>
      </c>
      <c r="AC98" s="98">
        <f t="shared" si="39"/>
        <v>0</v>
      </c>
      <c r="AD98" s="757"/>
      <c r="AL98" s="749"/>
    </row>
    <row r="99" spans="1:38" x14ac:dyDescent="0.25">
      <c r="A99" s="81" t="s">
        <v>94</v>
      </c>
      <c r="B99" s="82" t="s">
        <v>639</v>
      </c>
      <c r="C99" s="708" t="s">
        <v>643</v>
      </c>
      <c r="D99" s="708" t="s">
        <v>412</v>
      </c>
      <c r="E99" s="718"/>
      <c r="F99" s="173"/>
      <c r="G99" s="173"/>
      <c r="H99" s="173"/>
      <c r="I99" s="719"/>
      <c r="J99" s="1128"/>
      <c r="K99" s="712"/>
      <c r="L99" s="175"/>
      <c r="M99" s="175"/>
      <c r="N99" s="175"/>
      <c r="O99" s="614"/>
      <c r="P99" s="1082"/>
      <c r="Q99" s="699"/>
      <c r="R99" s="727"/>
      <c r="S99" s="234"/>
      <c r="T99" s="96"/>
      <c r="U99" s="96"/>
      <c r="V99" s="730"/>
      <c r="W99" s="286"/>
      <c r="X99" s="99">
        <f>VLOOKUP(A99,'Distribution Summary'!$A$136:$BJ$146,62,0)</f>
        <v>322727.75622787437</v>
      </c>
      <c r="Y99" s="416">
        <f t="shared" si="35"/>
        <v>0</v>
      </c>
      <c r="Z99" s="97">
        <f t="shared" si="36"/>
        <v>0</v>
      </c>
      <c r="AA99" s="97">
        <f t="shared" si="37"/>
        <v>0</v>
      </c>
      <c r="AB99" s="97">
        <f t="shared" si="38"/>
        <v>0</v>
      </c>
      <c r="AC99" s="98">
        <f t="shared" si="39"/>
        <v>0</v>
      </c>
      <c r="AD99" s="757"/>
      <c r="AF99" s="1" t="s">
        <v>668</v>
      </c>
      <c r="AG99" s="395">
        <f>SUM(S102,S14,S47,S58)</f>
        <v>888.12717040332018</v>
      </c>
      <c r="AH99" s="395">
        <f>SUM(T102,T14,T47,T58)</f>
        <v>894.79182088272228</v>
      </c>
      <c r="AI99" s="395">
        <f>SUM(U102,U14,U47,U58)</f>
        <v>899.23492120232356</v>
      </c>
      <c r="AJ99" s="395">
        <f>SUM(V102,V14,V47,V58)</f>
        <v>903.67802152192485</v>
      </c>
      <c r="AK99" s="395">
        <f>SUM(W102,W14,W47,W58)</f>
        <v>905.89957168172555</v>
      </c>
      <c r="AL99" s="755">
        <f>SUM(AG99:AK99)</f>
        <v>4491.7315056920161</v>
      </c>
    </row>
    <row r="100" spans="1:38" x14ac:dyDescent="0.25">
      <c r="A100" s="81" t="s">
        <v>106</v>
      </c>
      <c r="B100" s="82" t="s">
        <v>639</v>
      </c>
      <c r="C100" s="708" t="s">
        <v>643</v>
      </c>
      <c r="D100" s="708" t="s">
        <v>272</v>
      </c>
      <c r="E100" s="718"/>
      <c r="F100" s="173"/>
      <c r="G100" s="173"/>
      <c r="H100" s="173"/>
      <c r="I100" s="719"/>
      <c r="J100" s="1128"/>
      <c r="K100" s="712"/>
      <c r="L100" s="175"/>
      <c r="M100" s="175"/>
      <c r="N100" s="175"/>
      <c r="O100" s="614"/>
      <c r="P100" s="1082"/>
      <c r="Q100" s="699"/>
      <c r="R100" s="727"/>
      <c r="S100" s="234"/>
      <c r="T100" s="96"/>
      <c r="U100" s="96"/>
      <c r="V100" s="730"/>
      <c r="W100" s="286"/>
      <c r="X100" s="99">
        <f>VLOOKUP(A100,'Distribution Summary'!$A$136:$BJ$146,62,0)</f>
        <v>1339.2666347282993</v>
      </c>
      <c r="Y100" s="416">
        <f t="shared" si="35"/>
        <v>0</v>
      </c>
      <c r="Z100" s="97">
        <f t="shared" si="36"/>
        <v>0</v>
      </c>
      <c r="AA100" s="97">
        <f t="shared" si="37"/>
        <v>0</v>
      </c>
      <c r="AB100" s="97">
        <f t="shared" si="38"/>
        <v>0</v>
      </c>
      <c r="AC100" s="98">
        <f t="shared" si="39"/>
        <v>0</v>
      </c>
      <c r="AD100" s="757"/>
      <c r="AL100" s="749"/>
    </row>
    <row r="101" spans="1:38" x14ac:dyDescent="0.25">
      <c r="A101" s="81" t="s">
        <v>138</v>
      </c>
      <c r="B101" s="82" t="s">
        <v>639</v>
      </c>
      <c r="C101" s="708" t="s">
        <v>643</v>
      </c>
      <c r="D101" s="708" t="s">
        <v>413</v>
      </c>
      <c r="E101" s="718"/>
      <c r="F101" s="173"/>
      <c r="G101" s="173"/>
      <c r="H101" s="173"/>
      <c r="I101" s="719"/>
      <c r="J101" s="1128"/>
      <c r="K101" s="712"/>
      <c r="L101" s="175"/>
      <c r="M101" s="175"/>
      <c r="N101" s="175"/>
      <c r="O101" s="614"/>
      <c r="P101" s="1082"/>
      <c r="Q101" s="699"/>
      <c r="R101" s="727"/>
      <c r="S101" s="234"/>
      <c r="T101" s="96"/>
      <c r="U101" s="96"/>
      <c r="V101" s="730"/>
      <c r="W101" s="286"/>
      <c r="X101" s="99">
        <f>VLOOKUP(A101,'Distribution Summary'!$A$136:$BJ$146,62,0)</f>
        <v>28527.37387874335</v>
      </c>
      <c r="Y101" s="416">
        <f t="shared" si="35"/>
        <v>0</v>
      </c>
      <c r="Z101" s="97">
        <f t="shared" si="36"/>
        <v>0</v>
      </c>
      <c r="AA101" s="97">
        <f t="shared" si="37"/>
        <v>0</v>
      </c>
      <c r="AB101" s="97">
        <f t="shared" si="38"/>
        <v>0</v>
      </c>
      <c r="AC101" s="98">
        <f t="shared" si="39"/>
        <v>0</v>
      </c>
      <c r="AD101" s="757"/>
      <c r="AL101" s="749"/>
    </row>
    <row r="102" spans="1:38" x14ac:dyDescent="0.25">
      <c r="A102" s="81" t="s">
        <v>196</v>
      </c>
      <c r="B102" s="82" t="s">
        <v>639</v>
      </c>
      <c r="C102" s="708" t="s">
        <v>643</v>
      </c>
      <c r="D102" s="708" t="s">
        <v>274</v>
      </c>
      <c r="E102" s="718">
        <v>8594099.4835232366</v>
      </c>
      <c r="F102" s="173">
        <v>7887834.0505485302</v>
      </c>
      <c r="G102" s="173">
        <v>8377180.5776933432</v>
      </c>
      <c r="H102" s="173">
        <v>7133295.7243491206</v>
      </c>
      <c r="I102" s="719">
        <v>12060440.102773685</v>
      </c>
      <c r="J102" s="1128">
        <f>SUM('Defect (Total)'!N97:N101)</f>
        <v>17225461.717994221</v>
      </c>
      <c r="K102" s="712">
        <v>860</v>
      </c>
      <c r="L102" s="175">
        <v>860</v>
      </c>
      <c r="M102" s="175">
        <v>1044</v>
      </c>
      <c r="N102" s="175">
        <v>1056</v>
      </c>
      <c r="O102" s="614">
        <v>1286</v>
      </c>
      <c r="P102" s="1082"/>
      <c r="Q102" s="699">
        <f>'Defect (Total)'!BC188-'Defect (Total)'!BC96</f>
        <v>1347.3353309995496</v>
      </c>
      <c r="R102" s="727">
        <f>'Defect (Total)'!BD188-'Defect (Total)'!BD96</f>
        <v>1347.3353309995496</v>
      </c>
      <c r="S102" s="234">
        <f>'Defect (Total)'!BE188-'Defect (Total)'!BE96</f>
        <v>540.19846628416781</v>
      </c>
      <c r="T102" s="96">
        <f>'Defect (Total)'!BF188-'Defect (Total)'!BF96</f>
        <v>540.19846628416781</v>
      </c>
      <c r="U102" s="96">
        <f>'Defect (Total)'!BG188-'Defect (Total)'!BG96</f>
        <v>540.19846628416781</v>
      </c>
      <c r="V102" s="730">
        <f>'Defect (Total)'!BH188-'Defect (Total)'!BH96</f>
        <v>540.19846628416781</v>
      </c>
      <c r="W102" s="286">
        <f>'Defect (Total)'!BI188-'Defect (Total)'!BI96</f>
        <v>540.19846628416781</v>
      </c>
      <c r="X102" s="99">
        <f>VLOOKUP(A102,'Distribution Summary'!$A$136:$BJ$146,62,0)</f>
        <v>9639.239384840419</v>
      </c>
      <c r="Y102" s="416">
        <f t="shared" si="35"/>
        <v>5207102.3318367396</v>
      </c>
      <c r="Z102" s="97">
        <f t="shared" si="36"/>
        <v>5207102.3318367396</v>
      </c>
      <c r="AA102" s="97">
        <f t="shared" si="37"/>
        <v>5207102.3318367396</v>
      </c>
      <c r="AB102" s="97">
        <f t="shared" si="38"/>
        <v>5207102.3318367396</v>
      </c>
      <c r="AC102" s="98">
        <f t="shared" si="39"/>
        <v>5207102.3318367396</v>
      </c>
      <c r="AD102" s="757"/>
      <c r="AL102" s="749"/>
    </row>
    <row r="103" spans="1:38" x14ac:dyDescent="0.25">
      <c r="A103" s="81" t="s">
        <v>224</v>
      </c>
      <c r="B103" s="82" t="s">
        <v>639</v>
      </c>
      <c r="C103" s="708" t="s">
        <v>643</v>
      </c>
      <c r="D103" s="708" t="s">
        <v>414</v>
      </c>
      <c r="E103" s="718"/>
      <c r="F103" s="173"/>
      <c r="G103" s="173"/>
      <c r="H103" s="173"/>
      <c r="I103" s="719"/>
      <c r="J103" s="1128"/>
      <c r="K103" s="712"/>
      <c r="L103" s="175"/>
      <c r="M103" s="175"/>
      <c r="N103" s="175"/>
      <c r="O103" s="614"/>
      <c r="P103" s="1082"/>
      <c r="Q103" s="699"/>
      <c r="R103" s="727"/>
      <c r="S103" s="234"/>
      <c r="T103" s="96"/>
      <c r="U103" s="96"/>
      <c r="V103" s="730"/>
      <c r="W103" s="286"/>
      <c r="X103" s="99">
        <f>VLOOKUP(A103,'Distribution Summary'!$A$136:$BJ$146,62,0)</f>
        <v>0</v>
      </c>
      <c r="Y103" s="416">
        <f t="shared" ref="Y103:Y109" si="48">S103*$X103</f>
        <v>0</v>
      </c>
      <c r="Z103" s="97">
        <f t="shared" ref="Z103:Z109" si="49">T103*$X103</f>
        <v>0</v>
      </c>
      <c r="AA103" s="97">
        <f t="shared" ref="AA103:AA109" si="50">U103*$X103</f>
        <v>0</v>
      </c>
      <c r="AB103" s="97">
        <f t="shared" ref="AB103:AB109" si="51">V103*$X103</f>
        <v>0</v>
      </c>
      <c r="AC103" s="98">
        <f t="shared" ref="AC103:AC109" si="52">W103*$X103</f>
        <v>0</v>
      </c>
      <c r="AD103" s="757"/>
      <c r="AL103" s="749"/>
    </row>
    <row r="104" spans="1:38" x14ac:dyDescent="0.25">
      <c r="A104" s="81" t="s">
        <v>242</v>
      </c>
      <c r="B104" s="82" t="s">
        <v>639</v>
      </c>
      <c r="C104" s="708" t="s">
        <v>643</v>
      </c>
      <c r="D104" s="708" t="s">
        <v>415</v>
      </c>
      <c r="E104" s="718"/>
      <c r="F104" s="173"/>
      <c r="G104" s="173"/>
      <c r="H104" s="173"/>
      <c r="I104" s="719"/>
      <c r="J104" s="1128"/>
      <c r="K104" s="712"/>
      <c r="L104" s="175"/>
      <c r="M104" s="175"/>
      <c r="N104" s="175"/>
      <c r="O104" s="614"/>
      <c r="P104" s="1082"/>
      <c r="Q104" s="699"/>
      <c r="R104" s="727"/>
      <c r="S104" s="234"/>
      <c r="T104" s="96"/>
      <c r="U104" s="96"/>
      <c r="V104" s="730"/>
      <c r="W104" s="286"/>
      <c r="X104" s="99">
        <f>VLOOKUP(A104,'Distribution Summary'!$A$136:$BJ$146,62,0)</f>
        <v>0</v>
      </c>
      <c r="Y104" s="416">
        <f t="shared" si="48"/>
        <v>0</v>
      </c>
      <c r="Z104" s="97">
        <f t="shared" si="49"/>
        <v>0</v>
      </c>
      <c r="AA104" s="97">
        <f t="shared" si="50"/>
        <v>0</v>
      </c>
      <c r="AB104" s="97">
        <f t="shared" si="51"/>
        <v>0</v>
      </c>
      <c r="AC104" s="98">
        <f t="shared" si="52"/>
        <v>0</v>
      </c>
      <c r="AD104" s="757"/>
      <c r="AL104" s="749"/>
    </row>
    <row r="105" spans="1:38" ht="15.75" thickBot="1" x14ac:dyDescent="0.3">
      <c r="A105" s="100" t="s">
        <v>258</v>
      </c>
      <c r="B105" s="101" t="s">
        <v>639</v>
      </c>
      <c r="C105" s="709" t="s">
        <v>643</v>
      </c>
      <c r="D105" s="709" t="s">
        <v>64</v>
      </c>
      <c r="E105" s="720"/>
      <c r="F105" s="178"/>
      <c r="G105" s="178"/>
      <c r="H105" s="178"/>
      <c r="I105" s="721"/>
      <c r="J105" s="1129"/>
      <c r="K105" s="713"/>
      <c r="L105" s="180"/>
      <c r="M105" s="180"/>
      <c r="N105" s="180"/>
      <c r="O105" s="615"/>
      <c r="P105" s="1083"/>
      <c r="Q105" s="700"/>
      <c r="R105" s="728"/>
      <c r="S105" s="235"/>
      <c r="T105" s="115"/>
      <c r="U105" s="115"/>
      <c r="V105" s="731"/>
      <c r="W105" s="287"/>
      <c r="X105" s="116">
        <f>VLOOKUP(A105,'Distribution Summary'!$A$136:$BJ$146,62,0)</f>
        <v>30000</v>
      </c>
      <c r="Y105" s="467">
        <f t="shared" si="48"/>
        <v>0</v>
      </c>
      <c r="Z105" s="117">
        <f t="shared" si="49"/>
        <v>0</v>
      </c>
      <c r="AA105" s="117">
        <f t="shared" si="50"/>
        <v>0</v>
      </c>
      <c r="AB105" s="117">
        <f t="shared" si="51"/>
        <v>0</v>
      </c>
      <c r="AC105" s="118">
        <f t="shared" si="52"/>
        <v>0</v>
      </c>
      <c r="AD105" s="758"/>
      <c r="AL105" s="749"/>
    </row>
    <row r="106" spans="1:38" x14ac:dyDescent="0.25">
      <c r="A106" s="63" t="s">
        <v>196</v>
      </c>
      <c r="B106" s="64" t="s">
        <v>268</v>
      </c>
      <c r="C106" s="707" t="s">
        <v>643</v>
      </c>
      <c r="D106" s="707" t="s">
        <v>667</v>
      </c>
      <c r="E106" s="716"/>
      <c r="F106" s="168"/>
      <c r="G106" s="168"/>
      <c r="H106" s="168"/>
      <c r="I106" s="717"/>
      <c r="J106" s="1127">
        <f>'Defect (Total)'!N162</f>
        <v>7820124.2557231961</v>
      </c>
      <c r="K106" s="711"/>
      <c r="L106" s="170"/>
      <c r="M106" s="170"/>
      <c r="N106" s="170"/>
      <c r="O106" s="613"/>
      <c r="P106" s="1081"/>
      <c r="Q106" s="698">
        <v>904.28430348415225</v>
      </c>
      <c r="R106" s="726">
        <f t="shared" ref="R106" si="53">R13*2</f>
        <v>479.27068084660073</v>
      </c>
      <c r="S106" s="241">
        <f>S13*2</f>
        <v>479.27068084660073</v>
      </c>
      <c r="T106" s="144">
        <f t="shared" ref="T106:U106" si="54">T13*2</f>
        <v>479.27068084660073</v>
      </c>
      <c r="U106" s="144">
        <f t="shared" si="54"/>
        <v>479.27068084660073</v>
      </c>
      <c r="V106" s="729">
        <f>V13*2</f>
        <v>479.27068084660073</v>
      </c>
      <c r="W106" s="293">
        <f>W13*2</f>
        <v>479.27068084660073</v>
      </c>
      <c r="X106" s="124">
        <f>'Distribution Summary'!$BJ$96*0.8</f>
        <v>10102.437410877668</v>
      </c>
      <c r="Y106" s="415">
        <f t="shared" si="48"/>
        <v>4841802.0561215105</v>
      </c>
      <c r="Z106" s="79">
        <f t="shared" si="49"/>
        <v>4841802.0561215105</v>
      </c>
      <c r="AA106" s="79">
        <f t="shared" si="50"/>
        <v>4841802.0561215105</v>
      </c>
      <c r="AB106" s="79">
        <f t="shared" si="51"/>
        <v>4841802.0561215105</v>
      </c>
      <c r="AC106" s="80">
        <f t="shared" si="52"/>
        <v>4841802.0561215105</v>
      </c>
      <c r="AD106" s="756" t="s">
        <v>669</v>
      </c>
      <c r="AE106" s="395">
        <f>SUM(Y106:AC106)*1.15</f>
        <v>27840361.822698683</v>
      </c>
      <c r="AL106" s="749"/>
    </row>
    <row r="107" spans="1:38" x14ac:dyDescent="0.25">
      <c r="A107" s="81" t="s">
        <v>196</v>
      </c>
      <c r="B107" s="82" t="s">
        <v>636</v>
      </c>
      <c r="C107" s="708" t="s">
        <v>643</v>
      </c>
      <c r="D107" s="708" t="s">
        <v>667</v>
      </c>
      <c r="E107" s="718"/>
      <c r="F107" s="173"/>
      <c r="G107" s="173"/>
      <c r="H107" s="173"/>
      <c r="I107" s="719"/>
      <c r="J107" s="1128">
        <f>'Defect (Total)'!N178</f>
        <v>1407895.9726323821</v>
      </c>
      <c r="K107" s="712"/>
      <c r="L107" s="175"/>
      <c r="M107" s="175"/>
      <c r="N107" s="175"/>
      <c r="O107" s="614"/>
      <c r="P107" s="1082"/>
      <c r="Q107" s="699">
        <v>65.695140665079322</v>
      </c>
      <c r="R107" s="727">
        <f t="shared" ref="R107" si="55">R46*2</f>
        <v>36.530665988449066</v>
      </c>
      <c r="S107" s="234">
        <f>S46*2</f>
        <v>39.088246218292319</v>
      </c>
      <c r="T107" s="96">
        <f t="shared" ref="T107:W107" si="56">T46*2</f>
        <v>39.088246218292319</v>
      </c>
      <c r="U107" s="96">
        <f t="shared" si="56"/>
        <v>39.088246218292319</v>
      </c>
      <c r="V107" s="730">
        <f t="shared" si="56"/>
        <v>39.088246218292319</v>
      </c>
      <c r="W107" s="286">
        <f t="shared" si="56"/>
        <v>39.088246218292319</v>
      </c>
      <c r="X107" s="99">
        <f>'Distribution Summary'!$BJ$96*0.8</f>
        <v>10102.437410877668</v>
      </c>
      <c r="Y107" s="416">
        <f t="shared" si="48"/>
        <v>394886.56092127389</v>
      </c>
      <c r="Z107" s="97">
        <f t="shared" si="49"/>
        <v>394886.56092127389</v>
      </c>
      <c r="AA107" s="97">
        <f t="shared" si="50"/>
        <v>394886.56092127389</v>
      </c>
      <c r="AB107" s="97">
        <f t="shared" si="51"/>
        <v>394886.56092127389</v>
      </c>
      <c r="AC107" s="98">
        <f t="shared" si="52"/>
        <v>394886.56092127389</v>
      </c>
      <c r="AD107" s="757" t="s">
        <v>669</v>
      </c>
      <c r="AL107" s="749"/>
    </row>
    <row r="108" spans="1:38" x14ac:dyDescent="0.25">
      <c r="A108" s="81" t="s">
        <v>196</v>
      </c>
      <c r="B108" s="82" t="s">
        <v>636</v>
      </c>
      <c r="C108" s="708" t="s">
        <v>644</v>
      </c>
      <c r="D108" s="708" t="s">
        <v>667</v>
      </c>
      <c r="E108" s="718"/>
      <c r="F108" s="173"/>
      <c r="G108" s="173"/>
      <c r="H108" s="173"/>
      <c r="I108" s="719"/>
      <c r="J108" s="1128">
        <f>Reconductor!N96</f>
        <v>2717142.755597766</v>
      </c>
      <c r="K108" s="712"/>
      <c r="L108" s="175"/>
      <c r="M108" s="175"/>
      <c r="N108" s="175"/>
      <c r="O108" s="614"/>
      <c r="P108" s="1082"/>
      <c r="Q108" s="699">
        <f>Reconductor!CE96</f>
        <v>476.33333333333331</v>
      </c>
      <c r="R108" s="760">
        <f>Reconductor!CF96</f>
        <v>192.90083090905591</v>
      </c>
      <c r="S108" s="761">
        <f>Reconductor!CG96</f>
        <v>192.90083090905591</v>
      </c>
      <c r="T108" s="762">
        <f>Reconductor!CH96</f>
        <v>252.89453478030478</v>
      </c>
      <c r="U108" s="762">
        <f>Reconductor!CI96</f>
        <v>265.40357106472095</v>
      </c>
      <c r="V108" s="762">
        <f>Reconductor!CJ96</f>
        <v>273.74292858766489</v>
      </c>
      <c r="W108" s="760">
        <f>Reconductor!CK96</f>
        <v>282.082286110609</v>
      </c>
      <c r="X108" s="763">
        <f>'Distribution Summary'!$BJ$96*0.8</f>
        <v>10102.437410877668</v>
      </c>
      <c r="Y108" s="774">
        <f t="shared" si="48"/>
        <v>1948768.5707650336</v>
      </c>
      <c r="Z108" s="776">
        <f t="shared" si="49"/>
        <v>2554851.2091710549</v>
      </c>
      <c r="AA108" s="776">
        <f t="shared" si="50"/>
        <v>2681222.9653047668</v>
      </c>
      <c r="AB108" s="776">
        <f t="shared" si="51"/>
        <v>2765470.8027272397</v>
      </c>
      <c r="AC108" s="775">
        <f t="shared" si="52"/>
        <v>2849718.6401497144</v>
      </c>
      <c r="AD108" s="757" t="s">
        <v>669</v>
      </c>
      <c r="AL108" s="749"/>
    </row>
    <row r="109" spans="1:38" x14ac:dyDescent="0.25">
      <c r="A109" s="81" t="s">
        <v>196</v>
      </c>
      <c r="B109" s="82" t="s">
        <v>638</v>
      </c>
      <c r="C109" s="708" t="s">
        <v>643</v>
      </c>
      <c r="D109" s="708" t="s">
        <v>667</v>
      </c>
      <c r="E109" s="718"/>
      <c r="F109" s="173"/>
      <c r="G109" s="173"/>
      <c r="H109" s="173"/>
      <c r="I109" s="719"/>
      <c r="J109" s="1128">
        <f>'Defect (Total)'!AU187*'Defect (Total)'!N96/'Defect (Total)'!AJ96</f>
        <v>16942510.412724108</v>
      </c>
      <c r="K109" s="725"/>
      <c r="L109" s="631"/>
      <c r="M109" s="631"/>
      <c r="N109" s="631"/>
      <c r="O109" s="671"/>
      <c r="P109" s="1124"/>
      <c r="Q109" s="699">
        <v>1074.6205558507684</v>
      </c>
      <c r="R109" s="727">
        <f t="shared" ref="R109" si="57">R90*2</f>
        <v>2557.1319864982843</v>
      </c>
      <c r="S109" s="234">
        <f t="shared" ref="S109:V109" si="58">(S90*2)*0.428961181</f>
        <v>473.29647575028827</v>
      </c>
      <c r="T109" s="96">
        <f t="shared" si="58"/>
        <v>473.29647575028827</v>
      </c>
      <c r="U109" s="96">
        <f t="shared" si="58"/>
        <v>473.29647575028827</v>
      </c>
      <c r="V109" s="730">
        <f t="shared" si="58"/>
        <v>473.29647575028827</v>
      </c>
      <c r="W109" s="286">
        <f>(W90*2)*0.428961181</f>
        <v>473.29647575028827</v>
      </c>
      <c r="X109" s="99">
        <f>'Distribution Summary'!$BJ$96*0.8</f>
        <v>10102.437410877668</v>
      </c>
      <c r="Y109" s="416">
        <f t="shared" si="48"/>
        <v>4781448.0230562678</v>
      </c>
      <c r="Z109" s="97">
        <f t="shared" si="49"/>
        <v>4781448.0230562678</v>
      </c>
      <c r="AA109" s="97">
        <f t="shared" si="50"/>
        <v>4781448.0230562678</v>
      </c>
      <c r="AB109" s="97">
        <f t="shared" si="51"/>
        <v>4781448.0230562678</v>
      </c>
      <c r="AC109" s="98">
        <f t="shared" si="52"/>
        <v>4781448.0230562678</v>
      </c>
      <c r="AD109" s="757" t="s">
        <v>669</v>
      </c>
      <c r="AG109">
        <f>ROUND(SUM(Y106:Y109)/1000000,1)</f>
        <v>12</v>
      </c>
      <c r="AH109">
        <f t="shared" ref="AH109:AK109" si="59">ROUND(SUM(Z106:Z109)/1000000,1)</f>
        <v>12.6</v>
      </c>
      <c r="AI109">
        <f t="shared" si="59"/>
        <v>12.7</v>
      </c>
      <c r="AJ109">
        <f t="shared" si="59"/>
        <v>12.8</v>
      </c>
      <c r="AK109">
        <f t="shared" si="59"/>
        <v>12.9</v>
      </c>
      <c r="AL109" s="749">
        <f>SUM(AG109:AK109)</f>
        <v>62.999999999999993</v>
      </c>
    </row>
    <row r="110" spans="1:38" x14ac:dyDescent="0.25">
      <c r="A110" s="81" t="s">
        <v>196</v>
      </c>
      <c r="B110" s="82" t="s">
        <v>639</v>
      </c>
      <c r="C110" s="708" t="s">
        <v>643</v>
      </c>
      <c r="D110" s="708" t="s">
        <v>667</v>
      </c>
      <c r="E110" s="718"/>
      <c r="F110" s="173"/>
      <c r="G110" s="173"/>
      <c r="H110" s="173"/>
      <c r="I110" s="719"/>
      <c r="J110" s="1128">
        <f>'Defect (Total)'!N96+Planned!N96-SUM(J106:J109)</f>
        <v>9342743.1829546951</v>
      </c>
      <c r="K110" s="712"/>
      <c r="L110" s="175"/>
      <c r="M110" s="175"/>
      <c r="N110" s="175"/>
      <c r="O110" s="614"/>
      <c r="P110" s="1082"/>
      <c r="Q110" s="699">
        <f>'Defect (Total)'!BC96-SUM('Business Case Split'!Q106:Q107,Q109)</f>
        <v>145.06666666666661</v>
      </c>
      <c r="R110" s="727">
        <f>'Defect (Total)'!BD96-SUM('Business Case Split'!R106:R107,R109)</f>
        <v>-883.26666666666779</v>
      </c>
      <c r="S110" s="234">
        <f>'Defect (Total)'!BE96-SUM('Business Case Split'!S106:S107,S109)</f>
        <v>277.7523295398853</v>
      </c>
      <c r="T110" s="96">
        <f>'Defect (Total)'!BF96-SUM('Business Case Split'!T106:T107,T109)</f>
        <v>277.7523295398853</v>
      </c>
      <c r="U110" s="96">
        <f>'Defect (Total)'!BG96-SUM('Business Case Split'!U106:U107,U109)</f>
        <v>277.7523295398853</v>
      </c>
      <c r="V110" s="730">
        <f>'Defect (Total)'!BH96-SUM('Business Case Split'!V106:V107,V109)</f>
        <v>277.7523295398853</v>
      </c>
      <c r="W110" s="286">
        <f>'Defect (Total)'!BI96-SUM('Business Case Split'!W106:W107,W109)</f>
        <v>277.7523295398853</v>
      </c>
      <c r="X110" s="99"/>
      <c r="Y110" s="416">
        <f>'Distribution Summary'!BN96-SUM('Business Case Split'!Y106:Y109)</f>
        <v>7257007.9225732237</v>
      </c>
      <c r="Z110" s="97">
        <f>'Distribution Summary'!BO96-SUM('Business Case Split'!Z106:Z109)</f>
        <v>6808753.7299504448</v>
      </c>
      <c r="AA110" s="97">
        <f>'Distribution Summary'!BP96-SUM('Business Case Split'!AA106:AA109)</f>
        <v>6787600.9376722276</v>
      </c>
      <c r="AB110" s="97">
        <f>'Distribution Summary'!BQ96-SUM('Business Case Split'!AB106:AB109)</f>
        <v>6808572.0641052462</v>
      </c>
      <c r="AC110" s="98">
        <f>'Distribution Summary'!BR96-SUM('Business Case Split'!AC106:AC109)</f>
        <v>6776933.7086105179</v>
      </c>
      <c r="AD110" s="757"/>
      <c r="AG110">
        <f>ROUND(Y110/1000000,1)</f>
        <v>7.3</v>
      </c>
      <c r="AH110">
        <f t="shared" ref="AH110:AK110" si="60">ROUND(Z110/1000000,1)</f>
        <v>6.8</v>
      </c>
      <c r="AI110">
        <f t="shared" si="60"/>
        <v>6.8</v>
      </c>
      <c r="AJ110">
        <f t="shared" si="60"/>
        <v>6.8</v>
      </c>
      <c r="AK110">
        <f t="shared" si="60"/>
        <v>6.8</v>
      </c>
      <c r="AL110" s="749">
        <f>SUM(AG110:AK110)</f>
        <v>34.5</v>
      </c>
    </row>
    <row r="111" spans="1:38" x14ac:dyDescent="0.25">
      <c r="A111" s="81" t="s">
        <v>196</v>
      </c>
      <c r="B111" s="82"/>
      <c r="C111" s="708"/>
      <c r="D111" s="708"/>
      <c r="E111" s="718"/>
      <c r="F111" s="173"/>
      <c r="G111" s="173"/>
      <c r="H111" s="173"/>
      <c r="I111" s="719"/>
      <c r="J111" s="1128"/>
      <c r="K111" s="712"/>
      <c r="L111" s="175"/>
      <c r="M111" s="175"/>
      <c r="N111" s="175"/>
      <c r="O111" s="614"/>
      <c r="P111" s="1082"/>
      <c r="Q111" s="699"/>
      <c r="R111" s="727"/>
      <c r="S111" s="234"/>
      <c r="T111" s="96"/>
      <c r="U111" s="96"/>
      <c r="V111" s="730"/>
      <c r="W111" s="286"/>
      <c r="X111" s="99"/>
      <c r="Y111" s="416"/>
      <c r="Z111" s="97"/>
      <c r="AA111" s="97"/>
      <c r="AB111" s="97"/>
      <c r="AC111" s="98"/>
      <c r="AD111" s="757"/>
      <c r="AL111" s="749"/>
    </row>
    <row r="112" spans="1:38" x14ac:dyDescent="0.25">
      <c r="A112" s="81" t="s">
        <v>196</v>
      </c>
      <c r="B112" s="82"/>
      <c r="C112" s="708"/>
      <c r="D112" s="708"/>
      <c r="E112" s="718"/>
      <c r="F112" s="173"/>
      <c r="G112" s="173"/>
      <c r="H112" s="173"/>
      <c r="I112" s="719"/>
      <c r="J112" s="1128"/>
      <c r="K112" s="712"/>
      <c r="L112" s="175"/>
      <c r="M112" s="175"/>
      <c r="N112" s="175"/>
      <c r="O112" s="614"/>
      <c r="P112" s="1082"/>
      <c r="Q112" s="699"/>
      <c r="R112" s="727"/>
      <c r="S112" s="234"/>
      <c r="T112" s="96"/>
      <c r="U112" s="96"/>
      <c r="V112" s="730"/>
      <c r="W112" s="286"/>
      <c r="X112" s="99"/>
      <c r="Y112" s="416"/>
      <c r="Z112" s="97"/>
      <c r="AA112" s="97"/>
      <c r="AB112" s="97"/>
      <c r="AC112" s="98"/>
      <c r="AD112" s="757"/>
      <c r="AL112" s="749"/>
    </row>
    <row r="113" spans="1:38" x14ac:dyDescent="0.25">
      <c r="A113" s="81" t="s">
        <v>196</v>
      </c>
      <c r="B113" s="82"/>
      <c r="C113" s="708"/>
      <c r="D113" s="708"/>
      <c r="E113" s="718"/>
      <c r="F113" s="173"/>
      <c r="G113" s="173"/>
      <c r="H113" s="173"/>
      <c r="I113" s="719"/>
      <c r="J113" s="1128"/>
      <c r="K113" s="712"/>
      <c r="L113" s="175"/>
      <c r="M113" s="175"/>
      <c r="N113" s="175"/>
      <c r="O113" s="614"/>
      <c r="P113" s="1082"/>
      <c r="Q113" s="699"/>
      <c r="R113" s="727"/>
      <c r="S113" s="234"/>
      <c r="T113" s="96"/>
      <c r="U113" s="96"/>
      <c r="V113" s="730"/>
      <c r="W113" s="286"/>
      <c r="X113" s="99"/>
      <c r="Y113" s="416"/>
      <c r="Z113" s="97"/>
      <c r="AA113" s="97"/>
      <c r="AB113" s="97"/>
      <c r="AC113" s="98"/>
      <c r="AD113" s="757"/>
      <c r="AL113" s="749"/>
    </row>
    <row r="114" spans="1:38" x14ac:dyDescent="0.25">
      <c r="A114" s="81" t="s">
        <v>196</v>
      </c>
      <c r="B114" s="82"/>
      <c r="C114" s="708"/>
      <c r="D114" s="708"/>
      <c r="E114" s="718"/>
      <c r="F114" s="173"/>
      <c r="G114" s="173"/>
      <c r="H114" s="173"/>
      <c r="I114" s="719"/>
      <c r="J114" s="1128"/>
      <c r="K114" s="712"/>
      <c r="L114" s="175"/>
      <c r="M114" s="175"/>
      <c r="N114" s="175"/>
      <c r="O114" s="614"/>
      <c r="P114" s="1082"/>
      <c r="Q114" s="699"/>
      <c r="R114" s="727"/>
      <c r="S114" s="234"/>
      <c r="T114" s="96"/>
      <c r="U114" s="96"/>
      <c r="V114" s="730"/>
      <c r="W114" s="286"/>
      <c r="X114" s="99"/>
      <c r="Y114" s="416"/>
      <c r="Z114" s="97"/>
      <c r="AA114" s="97"/>
      <c r="AB114" s="97"/>
      <c r="AC114" s="98"/>
      <c r="AD114" s="757"/>
      <c r="AL114" s="749"/>
    </row>
    <row r="115" spans="1:38" x14ac:dyDescent="0.25">
      <c r="A115" s="81" t="s">
        <v>196</v>
      </c>
      <c r="B115" s="82"/>
      <c r="C115" s="708"/>
      <c r="D115" s="708"/>
      <c r="E115" s="718"/>
      <c r="F115" s="173"/>
      <c r="G115" s="173"/>
      <c r="H115" s="173"/>
      <c r="I115" s="719"/>
      <c r="J115" s="1128"/>
      <c r="K115" s="712"/>
      <c r="L115" s="175"/>
      <c r="M115" s="175"/>
      <c r="N115" s="175"/>
      <c r="O115" s="614"/>
      <c r="P115" s="1082"/>
      <c r="Q115" s="699"/>
      <c r="R115" s="727"/>
      <c r="S115" s="234"/>
      <c r="T115" s="96"/>
      <c r="U115" s="96"/>
      <c r="V115" s="730"/>
      <c r="W115" s="286"/>
      <c r="X115" s="99"/>
      <c r="Y115" s="416"/>
      <c r="Z115" s="97"/>
      <c r="AA115" s="97"/>
      <c r="AB115" s="97"/>
      <c r="AC115" s="98"/>
      <c r="AD115" s="757"/>
      <c r="AL115" s="749"/>
    </row>
    <row r="116" spans="1:38" ht="15.75" thickBot="1" x14ac:dyDescent="0.3">
      <c r="A116" s="100" t="s">
        <v>196</v>
      </c>
      <c r="B116" s="101"/>
      <c r="C116" s="709"/>
      <c r="D116" s="709"/>
      <c r="E116" s="720"/>
      <c r="F116" s="178"/>
      <c r="G116" s="178"/>
      <c r="H116" s="178"/>
      <c r="I116" s="721"/>
      <c r="J116" s="1129"/>
      <c r="K116" s="713"/>
      <c r="L116" s="180"/>
      <c r="M116" s="180"/>
      <c r="N116" s="180"/>
      <c r="O116" s="615"/>
      <c r="P116" s="1083"/>
      <c r="Q116" s="700"/>
      <c r="R116" s="728"/>
      <c r="S116" s="235"/>
      <c r="T116" s="115"/>
      <c r="U116" s="115"/>
      <c r="V116" s="731"/>
      <c r="W116" s="287"/>
      <c r="X116" s="116"/>
      <c r="Y116" s="467"/>
      <c r="Z116" s="117"/>
      <c r="AA116" s="117"/>
      <c r="AB116" s="117"/>
      <c r="AC116" s="118"/>
      <c r="AD116" s="758"/>
      <c r="AL116" s="749"/>
    </row>
    <row r="117" spans="1:38" x14ac:dyDescent="0.25">
      <c r="A117" s="63" t="s">
        <v>296</v>
      </c>
      <c r="B117" s="64" t="s">
        <v>647</v>
      </c>
      <c r="C117" s="707" t="s">
        <v>643</v>
      </c>
      <c r="D117" s="707" t="s">
        <v>409</v>
      </c>
      <c r="E117" s="716"/>
      <c r="F117" s="168"/>
      <c r="G117" s="168"/>
      <c r="H117" s="168"/>
      <c r="I117" s="717"/>
      <c r="J117" s="1127"/>
      <c r="K117" s="711"/>
      <c r="L117" s="170"/>
      <c r="M117" s="170"/>
      <c r="N117" s="170"/>
      <c r="O117" s="613"/>
      <c r="P117" s="1081"/>
      <c r="Q117" s="698"/>
      <c r="R117" s="726"/>
      <c r="S117" s="241"/>
      <c r="T117" s="144"/>
      <c r="U117" s="144"/>
      <c r="V117" s="729"/>
      <c r="W117" s="293"/>
      <c r="X117" s="124"/>
      <c r="Y117" s="415"/>
      <c r="Z117" s="79"/>
      <c r="AA117" s="79"/>
      <c r="AB117" s="79"/>
      <c r="AC117" s="80"/>
      <c r="AD117" s="756"/>
      <c r="AE117" t="s">
        <v>667</v>
      </c>
      <c r="AF117" t="s">
        <v>643</v>
      </c>
      <c r="AG117" s="751">
        <f>ROUND(Y124/1000000,1)</f>
        <v>0</v>
      </c>
      <c r="AH117" s="751">
        <f t="shared" ref="AH117:AK117" si="61">ROUND(Z124/1000000,1)</f>
        <v>0</v>
      </c>
      <c r="AI117" s="751">
        <f t="shared" si="61"/>
        <v>0</v>
      </c>
      <c r="AJ117" s="751">
        <f t="shared" si="61"/>
        <v>0</v>
      </c>
      <c r="AK117" s="751">
        <f t="shared" si="61"/>
        <v>0</v>
      </c>
      <c r="AL117" s="749">
        <f t="shared" ref="AL117" si="62">SUM(AG117:AK117)</f>
        <v>0</v>
      </c>
    </row>
    <row r="118" spans="1:38" x14ac:dyDescent="0.25">
      <c r="A118" s="81" t="s">
        <v>27</v>
      </c>
      <c r="B118" s="82" t="s">
        <v>647</v>
      </c>
      <c r="C118" s="708" t="s">
        <v>643</v>
      </c>
      <c r="D118" s="708" t="s">
        <v>410</v>
      </c>
      <c r="E118" s="718"/>
      <c r="F118" s="173"/>
      <c r="G118" s="173"/>
      <c r="H118" s="173"/>
      <c r="I118" s="719"/>
      <c r="J118" s="1128"/>
      <c r="K118" s="712"/>
      <c r="L118" s="175"/>
      <c r="M118" s="175"/>
      <c r="N118" s="175"/>
      <c r="O118" s="614"/>
      <c r="P118" s="1082"/>
      <c r="Q118" s="699"/>
      <c r="R118" s="727"/>
      <c r="S118" s="234"/>
      <c r="T118" s="96"/>
      <c r="U118" s="96"/>
      <c r="V118" s="730"/>
      <c r="W118" s="286"/>
      <c r="X118" s="99"/>
      <c r="Y118" s="416"/>
      <c r="Z118" s="97"/>
      <c r="AA118" s="97"/>
      <c r="AB118" s="97"/>
      <c r="AC118" s="98"/>
      <c r="AD118" s="757"/>
      <c r="AL118" s="749"/>
    </row>
    <row r="119" spans="1:38" x14ac:dyDescent="0.25">
      <c r="A119" s="81" t="s">
        <v>68</v>
      </c>
      <c r="B119" s="82" t="s">
        <v>647</v>
      </c>
      <c r="C119" s="708" t="s">
        <v>643</v>
      </c>
      <c r="D119" s="708" t="s">
        <v>411</v>
      </c>
      <c r="E119" s="718"/>
      <c r="F119" s="173"/>
      <c r="G119" s="173"/>
      <c r="H119" s="173"/>
      <c r="I119" s="719"/>
      <c r="J119" s="1128"/>
      <c r="K119" s="712"/>
      <c r="L119" s="175"/>
      <c r="M119" s="175"/>
      <c r="N119" s="175"/>
      <c r="O119" s="614"/>
      <c r="P119" s="1082"/>
      <c r="Q119" s="699"/>
      <c r="R119" s="727"/>
      <c r="S119" s="234"/>
      <c r="T119" s="96"/>
      <c r="U119" s="96"/>
      <c r="V119" s="730"/>
      <c r="W119" s="286"/>
      <c r="X119" s="99"/>
      <c r="Y119" s="416"/>
      <c r="Z119" s="97"/>
      <c r="AA119" s="97"/>
      <c r="AB119" s="97"/>
      <c r="AC119" s="98"/>
      <c r="AD119" s="757"/>
      <c r="AL119" s="749"/>
    </row>
    <row r="120" spans="1:38" x14ac:dyDescent="0.25">
      <c r="A120" s="81" t="s">
        <v>81</v>
      </c>
      <c r="B120" s="82" t="s">
        <v>647</v>
      </c>
      <c r="C120" s="708" t="s">
        <v>643</v>
      </c>
      <c r="D120" s="708" t="s">
        <v>270</v>
      </c>
      <c r="E120" s="718"/>
      <c r="F120" s="173"/>
      <c r="G120" s="173"/>
      <c r="H120" s="173"/>
      <c r="I120" s="719"/>
      <c r="J120" s="1128"/>
      <c r="K120" s="725"/>
      <c r="L120" s="631"/>
      <c r="M120" s="631"/>
      <c r="N120" s="631"/>
      <c r="O120" s="671"/>
      <c r="P120" s="1124"/>
      <c r="Q120" s="699"/>
      <c r="R120" s="727"/>
      <c r="S120" s="234"/>
      <c r="T120" s="96"/>
      <c r="U120" s="96"/>
      <c r="V120" s="730"/>
      <c r="W120" s="286"/>
      <c r="X120" s="99"/>
      <c r="Y120" s="416"/>
      <c r="Z120" s="97"/>
      <c r="AA120" s="97"/>
      <c r="AB120" s="97"/>
      <c r="AC120" s="98"/>
      <c r="AD120" s="757"/>
      <c r="AL120" s="749"/>
    </row>
    <row r="121" spans="1:38" x14ac:dyDescent="0.25">
      <c r="A121" s="81" t="s">
        <v>94</v>
      </c>
      <c r="B121" s="82" t="s">
        <v>647</v>
      </c>
      <c r="C121" s="708" t="s">
        <v>643</v>
      </c>
      <c r="D121" s="708" t="s">
        <v>412</v>
      </c>
      <c r="E121" s="718"/>
      <c r="F121" s="173"/>
      <c r="G121" s="173"/>
      <c r="H121" s="173"/>
      <c r="I121" s="719"/>
      <c r="J121" s="1128">
        <f>'Defect (Total)'!N140+Planned!N140</f>
        <v>10331622.973959638</v>
      </c>
      <c r="K121" s="712"/>
      <c r="L121" s="175"/>
      <c r="M121" s="175"/>
      <c r="N121" s="175"/>
      <c r="O121" s="614"/>
      <c r="P121" s="1082"/>
      <c r="Q121" s="699">
        <f>'Defect (Total)'!BC185</f>
        <v>18.980691549933333</v>
      </c>
      <c r="R121" s="727">
        <f>'Defect (Total)'!BD185</f>
        <v>19.980691549933333</v>
      </c>
      <c r="S121" s="234">
        <f>'Defect (Total)'!BE185</f>
        <v>19.980691549933333</v>
      </c>
      <c r="T121" s="96">
        <f>'Defect (Total)'!BF185</f>
        <v>20.980691549933333</v>
      </c>
      <c r="U121" s="96">
        <f>'Defect (Total)'!BG185</f>
        <v>20.980691549933333</v>
      </c>
      <c r="V121" s="730">
        <f>'Defect (Total)'!BH185</f>
        <v>21.980691549933333</v>
      </c>
      <c r="W121" s="286">
        <f>'Defect (Total)'!BI185</f>
        <v>21.980691549933333</v>
      </c>
      <c r="X121" s="99"/>
      <c r="Y121" s="416">
        <f>'Defect (Total)'!BN185</f>
        <v>6475597.0592646832</v>
      </c>
      <c r="Z121" s="97">
        <f>'Defect (Total)'!BO185</f>
        <v>6775597.0592646832</v>
      </c>
      <c r="AA121" s="97">
        <f>'Defect (Total)'!BP185</f>
        <v>6775597.0592646832</v>
      </c>
      <c r="AB121" s="97">
        <f>'Defect (Total)'!BQ185</f>
        <v>7075597.0592646832</v>
      </c>
      <c r="AC121" s="98">
        <f>'Defect (Total)'!BR185</f>
        <v>7075597.0592646832</v>
      </c>
      <c r="AD121" s="757"/>
      <c r="AL121" s="749"/>
    </row>
    <row r="122" spans="1:38" x14ac:dyDescent="0.25">
      <c r="A122" s="81" t="s">
        <v>106</v>
      </c>
      <c r="B122" s="82" t="s">
        <v>647</v>
      </c>
      <c r="C122" s="708" t="s">
        <v>643</v>
      </c>
      <c r="D122" s="708" t="s">
        <v>272</v>
      </c>
      <c r="E122" s="718"/>
      <c r="F122" s="173"/>
      <c r="G122" s="173"/>
      <c r="H122" s="173"/>
      <c r="I122" s="719"/>
      <c r="J122" s="1128"/>
      <c r="K122" s="712"/>
      <c r="L122" s="175"/>
      <c r="M122" s="175"/>
      <c r="N122" s="175"/>
      <c r="O122" s="614"/>
      <c r="P122" s="1082"/>
      <c r="Q122" s="699"/>
      <c r="R122" s="727"/>
      <c r="S122" s="234"/>
      <c r="T122" s="96"/>
      <c r="U122" s="96"/>
      <c r="V122" s="730"/>
      <c r="W122" s="286"/>
      <c r="X122" s="99"/>
      <c r="Y122" s="416"/>
      <c r="Z122" s="97"/>
      <c r="AA122" s="97"/>
      <c r="AB122" s="97"/>
      <c r="AC122" s="98"/>
      <c r="AD122" s="757"/>
      <c r="AL122" s="749"/>
    </row>
    <row r="123" spans="1:38" x14ac:dyDescent="0.25">
      <c r="A123" s="81" t="s">
        <v>138</v>
      </c>
      <c r="B123" s="82" t="s">
        <v>647</v>
      </c>
      <c r="C123" s="708" t="s">
        <v>643</v>
      </c>
      <c r="D123" s="708" t="s">
        <v>413</v>
      </c>
      <c r="E123" s="718"/>
      <c r="F123" s="173"/>
      <c r="G123" s="173"/>
      <c r="H123" s="173"/>
      <c r="I123" s="719"/>
      <c r="J123" s="1128"/>
      <c r="K123" s="712"/>
      <c r="L123" s="175"/>
      <c r="M123" s="175"/>
      <c r="N123" s="175"/>
      <c r="O123" s="614"/>
      <c r="P123" s="1082"/>
      <c r="Q123" s="699"/>
      <c r="R123" s="727"/>
      <c r="S123" s="234"/>
      <c r="T123" s="96"/>
      <c r="U123" s="96"/>
      <c r="V123" s="730"/>
      <c r="W123" s="286"/>
      <c r="X123" s="99"/>
      <c r="Y123" s="416"/>
      <c r="Z123" s="97"/>
      <c r="AA123" s="97"/>
      <c r="AB123" s="97"/>
      <c r="AC123" s="98"/>
      <c r="AD123" s="757"/>
      <c r="AL123" s="749"/>
    </row>
    <row r="124" spans="1:38" x14ac:dyDescent="0.25">
      <c r="A124" s="81" t="s">
        <v>196</v>
      </c>
      <c r="B124" s="82" t="s">
        <v>647</v>
      </c>
      <c r="C124" s="708" t="s">
        <v>643</v>
      </c>
      <c r="D124" s="708" t="s">
        <v>274</v>
      </c>
      <c r="E124" s="718"/>
      <c r="F124" s="173"/>
      <c r="G124" s="173"/>
      <c r="H124" s="173"/>
      <c r="I124" s="719"/>
      <c r="J124" s="1128"/>
      <c r="K124" s="712"/>
      <c r="L124" s="175"/>
      <c r="M124" s="175"/>
      <c r="N124" s="175"/>
      <c r="O124" s="614"/>
      <c r="P124" s="1082"/>
      <c r="Q124" s="699"/>
      <c r="R124" s="727"/>
      <c r="S124" s="234"/>
      <c r="T124" s="96"/>
      <c r="U124" s="96"/>
      <c r="V124" s="730"/>
      <c r="W124" s="286"/>
      <c r="X124" s="99"/>
      <c r="Y124" s="416"/>
      <c r="Z124" s="97"/>
      <c r="AA124" s="97"/>
      <c r="AB124" s="97"/>
      <c r="AC124" s="98"/>
      <c r="AD124" s="757"/>
      <c r="AL124" s="749"/>
    </row>
    <row r="125" spans="1:38" x14ac:dyDescent="0.25">
      <c r="A125" s="81" t="s">
        <v>224</v>
      </c>
      <c r="B125" s="82" t="s">
        <v>647</v>
      </c>
      <c r="C125" s="708" t="s">
        <v>643</v>
      </c>
      <c r="D125" s="708" t="s">
        <v>414</v>
      </c>
      <c r="E125" s="718"/>
      <c r="F125" s="173"/>
      <c r="G125" s="173"/>
      <c r="H125" s="173"/>
      <c r="I125" s="719"/>
      <c r="J125" s="1128"/>
      <c r="K125" s="712"/>
      <c r="L125" s="175"/>
      <c r="M125" s="175"/>
      <c r="N125" s="175"/>
      <c r="O125" s="614"/>
      <c r="P125" s="1082"/>
      <c r="Q125" s="699"/>
      <c r="R125" s="727"/>
      <c r="S125" s="234"/>
      <c r="T125" s="96"/>
      <c r="U125" s="96"/>
      <c r="V125" s="730"/>
      <c r="W125" s="286"/>
      <c r="X125" s="99"/>
      <c r="Y125" s="416"/>
      <c r="Z125" s="97"/>
      <c r="AA125" s="97"/>
      <c r="AB125" s="97"/>
      <c r="AC125" s="98"/>
      <c r="AD125" s="757"/>
      <c r="AL125" s="749"/>
    </row>
    <row r="126" spans="1:38" x14ac:dyDescent="0.25">
      <c r="A126" s="81" t="s">
        <v>242</v>
      </c>
      <c r="B126" s="82" t="s">
        <v>647</v>
      </c>
      <c r="C126" s="708" t="s">
        <v>643</v>
      </c>
      <c r="D126" s="708" t="s">
        <v>415</v>
      </c>
      <c r="E126" s="718"/>
      <c r="F126" s="173"/>
      <c r="G126" s="173"/>
      <c r="H126" s="173"/>
      <c r="I126" s="719"/>
      <c r="J126" s="1128"/>
      <c r="K126" s="712"/>
      <c r="L126" s="175"/>
      <c r="M126" s="175"/>
      <c r="N126" s="175"/>
      <c r="O126" s="614"/>
      <c r="P126" s="1082"/>
      <c r="Q126" s="699"/>
      <c r="R126" s="727"/>
      <c r="S126" s="234"/>
      <c r="T126" s="96"/>
      <c r="U126" s="96"/>
      <c r="V126" s="730"/>
      <c r="W126" s="286"/>
      <c r="X126" s="99"/>
      <c r="Y126" s="416"/>
      <c r="Z126" s="97"/>
      <c r="AA126" s="97"/>
      <c r="AB126" s="97"/>
      <c r="AC126" s="98"/>
      <c r="AD126" s="757"/>
      <c r="AL126" s="749"/>
    </row>
    <row r="127" spans="1:38" ht="15.75" thickBot="1" x14ac:dyDescent="0.3">
      <c r="A127" s="100" t="s">
        <v>258</v>
      </c>
      <c r="B127" s="101" t="s">
        <v>647</v>
      </c>
      <c r="C127" s="709" t="s">
        <v>643</v>
      </c>
      <c r="D127" s="709" t="s">
        <v>64</v>
      </c>
      <c r="E127" s="720"/>
      <c r="F127" s="178"/>
      <c r="G127" s="178"/>
      <c r="H127" s="178"/>
      <c r="I127" s="721"/>
      <c r="J127" s="1129"/>
      <c r="K127" s="713"/>
      <c r="L127" s="180"/>
      <c r="M127" s="180"/>
      <c r="N127" s="180"/>
      <c r="O127" s="615"/>
      <c r="P127" s="1083"/>
      <c r="Q127" s="700"/>
      <c r="R127" s="728"/>
      <c r="S127" s="235"/>
      <c r="T127" s="115"/>
      <c r="U127" s="115"/>
      <c r="V127" s="731"/>
      <c r="W127" s="287"/>
      <c r="X127" s="116"/>
      <c r="Y127" s="467"/>
      <c r="Z127" s="117"/>
      <c r="AA127" s="117"/>
      <c r="AB127" s="117"/>
      <c r="AC127" s="118"/>
      <c r="AD127" s="758"/>
      <c r="AL127" s="749"/>
    </row>
    <row r="128" spans="1:38" x14ac:dyDescent="0.25">
      <c r="A128" s="63" t="s">
        <v>296</v>
      </c>
      <c r="B128" s="64" t="s">
        <v>688</v>
      </c>
      <c r="C128" s="707" t="s">
        <v>644</v>
      </c>
      <c r="D128" s="707" t="s">
        <v>409</v>
      </c>
      <c r="E128" s="716"/>
      <c r="F128" s="168"/>
      <c r="G128" s="168"/>
      <c r="H128" s="168"/>
      <c r="I128" s="717"/>
      <c r="J128" s="1127"/>
      <c r="K128" s="711"/>
      <c r="L128" s="170"/>
      <c r="M128" s="170"/>
      <c r="N128" s="170"/>
      <c r="O128" s="613"/>
      <c r="P128" s="1081"/>
      <c r="Q128" s="698"/>
      <c r="R128" s="726"/>
      <c r="S128" s="241"/>
      <c r="T128" s="144"/>
      <c r="U128" s="144"/>
      <c r="V128" s="729"/>
      <c r="W128" s="293"/>
      <c r="X128" s="124"/>
      <c r="Y128" s="415"/>
      <c r="Z128" s="79"/>
      <c r="AA128" s="79"/>
      <c r="AB128" s="79"/>
      <c r="AC128" s="80"/>
      <c r="AD128" s="756"/>
      <c r="AE128" t="s">
        <v>667</v>
      </c>
      <c r="AF128" t="s">
        <v>643</v>
      </c>
      <c r="AG128" s="751">
        <f>ROUND(Y135/1000000,1)</f>
        <v>0</v>
      </c>
      <c r="AH128" s="751">
        <f t="shared" ref="AH128" si="63">ROUND(Z135/1000000,1)</f>
        <v>0</v>
      </c>
      <c r="AI128" s="751">
        <f t="shared" ref="AI128" si="64">ROUND(AA135/1000000,1)</f>
        <v>0</v>
      </c>
      <c r="AJ128" s="751">
        <f t="shared" ref="AJ128" si="65">ROUND(AB135/1000000,1)</f>
        <v>0</v>
      </c>
      <c r="AK128" s="751">
        <f t="shared" ref="AK128" si="66">ROUND(AC135/1000000,1)</f>
        <v>0</v>
      </c>
      <c r="AL128" s="749">
        <f t="shared" ref="AL128" si="67">SUM(AG128:AK128)</f>
        <v>0</v>
      </c>
    </row>
    <row r="129" spans="1:38" x14ac:dyDescent="0.25">
      <c r="A129" s="81" t="s">
        <v>27</v>
      </c>
      <c r="B129" s="82" t="s">
        <v>688</v>
      </c>
      <c r="C129" s="708" t="s">
        <v>644</v>
      </c>
      <c r="D129" s="708" t="s">
        <v>410</v>
      </c>
      <c r="E129" s="718"/>
      <c r="F129" s="173"/>
      <c r="G129" s="173"/>
      <c r="H129" s="173"/>
      <c r="I129" s="719"/>
      <c r="J129" s="1128"/>
      <c r="K129" s="712"/>
      <c r="L129" s="175"/>
      <c r="M129" s="175"/>
      <c r="N129" s="175"/>
      <c r="O129" s="614"/>
      <c r="P129" s="1082"/>
      <c r="Q129" s="699"/>
      <c r="R129" s="727"/>
      <c r="S129" s="234"/>
      <c r="T129" s="96"/>
      <c r="U129" s="96"/>
      <c r="V129" s="730"/>
      <c r="W129" s="286"/>
      <c r="X129" s="99"/>
      <c r="Y129" s="416"/>
      <c r="Z129" s="97"/>
      <c r="AA129" s="97"/>
      <c r="AB129" s="97"/>
      <c r="AC129" s="98"/>
      <c r="AD129" s="757"/>
      <c r="AL129" s="749"/>
    </row>
    <row r="130" spans="1:38" x14ac:dyDescent="0.25">
      <c r="A130" s="81" t="s">
        <v>68</v>
      </c>
      <c r="B130" s="82" t="s">
        <v>688</v>
      </c>
      <c r="C130" s="708" t="s">
        <v>644</v>
      </c>
      <c r="D130" s="708" t="s">
        <v>411</v>
      </c>
      <c r="E130" s="718"/>
      <c r="F130" s="173"/>
      <c r="G130" s="173"/>
      <c r="H130" s="173"/>
      <c r="I130" s="719"/>
      <c r="J130" s="1128"/>
      <c r="K130" s="712"/>
      <c r="L130" s="175"/>
      <c r="M130" s="175"/>
      <c r="N130" s="175"/>
      <c r="O130" s="614"/>
      <c r="P130" s="1082"/>
      <c r="Q130" s="699"/>
      <c r="R130" s="727"/>
      <c r="S130" s="234"/>
      <c r="T130" s="96"/>
      <c r="U130" s="96"/>
      <c r="V130" s="730"/>
      <c r="W130" s="286"/>
      <c r="X130" s="99"/>
      <c r="Y130" s="416"/>
      <c r="Z130" s="97"/>
      <c r="AA130" s="97"/>
      <c r="AB130" s="97"/>
      <c r="AC130" s="98"/>
      <c r="AD130" s="757"/>
      <c r="AL130" s="749"/>
    </row>
    <row r="131" spans="1:38" x14ac:dyDescent="0.25">
      <c r="A131" s="81" t="s">
        <v>81</v>
      </c>
      <c r="B131" s="82" t="s">
        <v>688</v>
      </c>
      <c r="C131" s="708" t="s">
        <v>644</v>
      </c>
      <c r="D131" s="708" t="s">
        <v>270</v>
      </c>
      <c r="E131" s="718"/>
      <c r="F131" s="173"/>
      <c r="G131" s="173"/>
      <c r="H131" s="173"/>
      <c r="I131" s="719"/>
      <c r="J131" s="1128"/>
      <c r="K131" s="725"/>
      <c r="L131" s="631"/>
      <c r="M131" s="631"/>
      <c r="N131" s="631"/>
      <c r="O131" s="671"/>
      <c r="P131" s="1124"/>
      <c r="Q131" s="699"/>
      <c r="R131" s="727"/>
      <c r="S131" s="234"/>
      <c r="T131" s="96"/>
      <c r="U131" s="96"/>
      <c r="V131" s="730"/>
      <c r="W131" s="286"/>
      <c r="X131" s="99"/>
      <c r="Y131" s="416"/>
      <c r="Z131" s="97"/>
      <c r="AA131" s="97"/>
      <c r="AB131" s="97"/>
      <c r="AC131" s="98"/>
      <c r="AD131" s="757"/>
      <c r="AL131" s="749"/>
    </row>
    <row r="132" spans="1:38" x14ac:dyDescent="0.25">
      <c r="A132" s="81" t="s">
        <v>94</v>
      </c>
      <c r="B132" s="82" t="s">
        <v>688</v>
      </c>
      <c r="C132" s="708" t="s">
        <v>644</v>
      </c>
      <c r="D132" s="708" t="s">
        <v>412</v>
      </c>
      <c r="E132" s="718"/>
      <c r="F132" s="173"/>
      <c r="G132" s="173"/>
      <c r="H132" s="173"/>
      <c r="I132" s="719"/>
      <c r="J132" s="1128"/>
      <c r="K132" s="712"/>
      <c r="L132" s="175"/>
      <c r="M132" s="175"/>
      <c r="N132" s="175"/>
      <c r="O132" s="614"/>
      <c r="P132" s="1082"/>
      <c r="Q132" s="699"/>
      <c r="R132" s="727"/>
      <c r="S132" s="234"/>
      <c r="T132" s="96"/>
      <c r="U132" s="96"/>
      <c r="V132" s="730"/>
      <c r="W132" s="286"/>
      <c r="X132" s="99"/>
      <c r="Y132" s="416"/>
      <c r="Z132" s="97"/>
      <c r="AA132" s="97"/>
      <c r="AB132" s="97"/>
      <c r="AC132" s="98"/>
      <c r="AD132" s="757"/>
      <c r="AL132" s="749"/>
    </row>
    <row r="133" spans="1:38" x14ac:dyDescent="0.25">
      <c r="A133" s="81" t="s">
        <v>106</v>
      </c>
      <c r="B133" s="82" t="s">
        <v>688</v>
      </c>
      <c r="C133" s="708" t="s">
        <v>644</v>
      </c>
      <c r="D133" s="708" t="s">
        <v>272</v>
      </c>
      <c r="E133" s="718"/>
      <c r="F133" s="173"/>
      <c r="G133" s="173"/>
      <c r="H133" s="173"/>
      <c r="I133" s="719"/>
      <c r="J133" s="1128"/>
      <c r="K133" s="712"/>
      <c r="L133" s="175"/>
      <c r="M133" s="175"/>
      <c r="N133" s="175"/>
      <c r="O133" s="614"/>
      <c r="P133" s="1082"/>
      <c r="Q133" s="699"/>
      <c r="R133" s="727"/>
      <c r="S133" s="234"/>
      <c r="T133" s="96"/>
      <c r="U133" s="96"/>
      <c r="V133" s="730"/>
      <c r="W133" s="286"/>
      <c r="X133" s="99"/>
      <c r="Y133" s="416"/>
      <c r="Z133" s="97"/>
      <c r="AA133" s="97"/>
      <c r="AB133" s="97"/>
      <c r="AC133" s="98"/>
      <c r="AD133" s="757"/>
      <c r="AL133" s="749"/>
    </row>
    <row r="134" spans="1:38" x14ac:dyDescent="0.25">
      <c r="A134" s="81" t="s">
        <v>138</v>
      </c>
      <c r="B134" s="82" t="s">
        <v>688</v>
      </c>
      <c r="C134" s="708" t="s">
        <v>644</v>
      </c>
      <c r="D134" s="708" t="s">
        <v>413</v>
      </c>
      <c r="E134" s="718"/>
      <c r="F134" s="173"/>
      <c r="G134" s="173"/>
      <c r="H134" s="173"/>
      <c r="I134" s="719"/>
      <c r="J134" s="1128"/>
      <c r="K134" s="712"/>
      <c r="L134" s="175"/>
      <c r="M134" s="175"/>
      <c r="N134" s="175"/>
      <c r="O134" s="614"/>
      <c r="P134" s="1082"/>
      <c r="Q134" s="699"/>
      <c r="R134" s="727"/>
      <c r="S134" s="234"/>
      <c r="T134" s="96"/>
      <c r="U134" s="96"/>
      <c r="V134" s="730"/>
      <c r="W134" s="286"/>
      <c r="X134" s="99"/>
      <c r="Y134" s="416"/>
      <c r="Z134" s="97"/>
      <c r="AA134" s="97"/>
      <c r="AB134" s="97"/>
      <c r="AC134" s="98"/>
      <c r="AD134" s="757"/>
      <c r="AL134" s="749"/>
    </row>
    <row r="135" spans="1:38" x14ac:dyDescent="0.25">
      <c r="A135" s="81" t="s">
        <v>196</v>
      </c>
      <c r="B135" s="82" t="s">
        <v>688</v>
      </c>
      <c r="C135" s="708" t="s">
        <v>644</v>
      </c>
      <c r="D135" s="708" t="s">
        <v>274</v>
      </c>
      <c r="E135" s="718"/>
      <c r="F135" s="173"/>
      <c r="G135" s="173"/>
      <c r="H135" s="173"/>
      <c r="I135" s="719"/>
      <c r="J135" s="1128"/>
      <c r="K135" s="712"/>
      <c r="L135" s="175"/>
      <c r="M135" s="175"/>
      <c r="N135" s="175"/>
      <c r="O135" s="614"/>
      <c r="P135" s="1082"/>
      <c r="Q135" s="699"/>
      <c r="R135" s="727"/>
      <c r="S135" s="234"/>
      <c r="T135" s="96"/>
      <c r="U135" s="96"/>
      <c r="V135" s="730"/>
      <c r="W135" s="286"/>
      <c r="X135" s="99"/>
      <c r="Y135" s="416"/>
      <c r="Z135" s="97"/>
      <c r="AA135" s="97"/>
      <c r="AB135" s="97"/>
      <c r="AC135" s="98"/>
      <c r="AD135" s="757"/>
      <c r="AL135" s="749"/>
    </row>
    <row r="136" spans="1:38" x14ac:dyDescent="0.25">
      <c r="A136" s="81" t="s">
        <v>224</v>
      </c>
      <c r="B136" s="82" t="s">
        <v>688</v>
      </c>
      <c r="C136" s="708" t="s">
        <v>644</v>
      </c>
      <c r="D136" s="708" t="s">
        <v>414</v>
      </c>
      <c r="E136" s="718"/>
      <c r="F136" s="173"/>
      <c r="G136" s="173"/>
      <c r="H136" s="173"/>
      <c r="I136" s="719"/>
      <c r="J136" s="1128"/>
      <c r="K136" s="712"/>
      <c r="L136" s="175"/>
      <c r="M136" s="175"/>
      <c r="N136" s="175"/>
      <c r="O136" s="614"/>
      <c r="P136" s="1082"/>
      <c r="Q136" s="699"/>
      <c r="R136" s="727"/>
      <c r="S136" s="234"/>
      <c r="T136" s="96"/>
      <c r="U136" s="96"/>
      <c r="V136" s="730"/>
      <c r="W136" s="286"/>
      <c r="X136" s="99"/>
      <c r="Y136" s="416"/>
      <c r="Z136" s="97"/>
      <c r="AA136" s="97"/>
      <c r="AB136" s="97"/>
      <c r="AC136" s="98"/>
      <c r="AD136" s="757"/>
      <c r="AL136" s="749"/>
    </row>
    <row r="137" spans="1:38" x14ac:dyDescent="0.25">
      <c r="A137" s="81" t="s">
        <v>242</v>
      </c>
      <c r="B137" s="82" t="s">
        <v>688</v>
      </c>
      <c r="C137" s="708" t="s">
        <v>644</v>
      </c>
      <c r="D137" s="708" t="s">
        <v>415</v>
      </c>
      <c r="E137" s="718"/>
      <c r="F137" s="173"/>
      <c r="G137" s="173"/>
      <c r="H137" s="173"/>
      <c r="I137" s="719"/>
      <c r="J137" s="1128"/>
      <c r="K137" s="712"/>
      <c r="L137" s="175"/>
      <c r="M137" s="175"/>
      <c r="N137" s="175"/>
      <c r="O137" s="614"/>
      <c r="P137" s="1082"/>
      <c r="Q137" s="699"/>
      <c r="R137" s="727"/>
      <c r="S137" s="234"/>
      <c r="T137" s="96"/>
      <c r="U137" s="96"/>
      <c r="V137" s="730"/>
      <c r="W137" s="286"/>
      <c r="X137" s="99"/>
      <c r="Y137" s="416"/>
      <c r="Z137" s="97"/>
      <c r="AA137" s="97"/>
      <c r="AB137" s="97"/>
      <c r="AC137" s="98"/>
      <c r="AD137" s="757"/>
      <c r="AL137" s="749"/>
    </row>
    <row r="138" spans="1:38" ht="15.75" thickBot="1" x14ac:dyDescent="0.3">
      <c r="A138" s="100" t="s">
        <v>258</v>
      </c>
      <c r="B138" s="101" t="s">
        <v>688</v>
      </c>
      <c r="C138" s="709" t="s">
        <v>644</v>
      </c>
      <c r="D138" s="709" t="s">
        <v>64</v>
      </c>
      <c r="E138" s="720"/>
      <c r="F138" s="178"/>
      <c r="G138" s="178"/>
      <c r="H138" s="178"/>
      <c r="I138" s="721"/>
      <c r="J138" s="1129"/>
      <c r="K138" s="713"/>
      <c r="L138" s="180"/>
      <c r="M138" s="180"/>
      <c r="N138" s="180"/>
      <c r="O138" s="615"/>
      <c r="P138" s="1083"/>
      <c r="Q138" s="700">
        <f>Planned!CF132</f>
        <v>0</v>
      </c>
      <c r="R138" s="728">
        <f>Planned!CG132</f>
        <v>0</v>
      </c>
      <c r="S138" s="235">
        <f>Planned!CH132</f>
        <v>0</v>
      </c>
      <c r="T138" s="115">
        <f>Planned!CI132</f>
        <v>26.085065208566085</v>
      </c>
      <c r="U138" s="115">
        <f>Planned!CJ132</f>
        <v>45.845069305522095</v>
      </c>
      <c r="V138" s="731">
        <f>Planned!CK132</f>
        <v>169.8762281855621</v>
      </c>
      <c r="W138" s="287">
        <f>Planned!CL132</f>
        <v>412.92522796535678</v>
      </c>
      <c r="X138" s="116">
        <f>Planned!CP132</f>
        <v>30000</v>
      </c>
      <c r="Y138" s="467">
        <f>Planned!CT132</f>
        <v>0</v>
      </c>
      <c r="Z138" s="117">
        <f>Planned!CU132</f>
        <v>782551.95625698252</v>
      </c>
      <c r="AA138" s="117">
        <f>Planned!CV132</f>
        <v>1375352.0791656629</v>
      </c>
      <c r="AB138" s="117">
        <f>Planned!CW132</f>
        <v>5096286.8455668632</v>
      </c>
      <c r="AC138" s="118">
        <f>Planned!CX132</f>
        <v>12387756.838960703</v>
      </c>
      <c r="AD138" s="758"/>
      <c r="AL138" s="749"/>
    </row>
    <row r="139" spans="1:38" ht="15.75" thickBot="1" x14ac:dyDescent="0.3">
      <c r="J139" s="1129">
        <f>SUM(J7:J138)</f>
        <v>411797855.59082061</v>
      </c>
      <c r="X139" t="s">
        <v>635</v>
      </c>
      <c r="Y139" s="395">
        <f t="shared" ref="Y139:AC139" si="68">SUM(Y7:Y138)</f>
        <v>308726440.05770332</v>
      </c>
      <c r="Z139" s="395">
        <f t="shared" si="68"/>
        <v>313366771.41787434</v>
      </c>
      <c r="AA139" s="395">
        <f t="shared" si="68"/>
        <v>316331424.47672564</v>
      </c>
      <c r="AB139" s="395">
        <f t="shared" si="68"/>
        <v>322724212.17906964</v>
      </c>
      <c r="AC139" s="395">
        <f t="shared" si="68"/>
        <v>331201608.6404348</v>
      </c>
      <c r="AD139" s="637">
        <f>SUM(Y139:AC139)</f>
        <v>1592350456.7718077</v>
      </c>
      <c r="AL139" s="749"/>
    </row>
    <row r="140" spans="1:38" x14ac:dyDescent="0.25">
      <c r="X140" t="s">
        <v>649</v>
      </c>
      <c r="Y140" s="395">
        <f>'Distribution Summary'!BN147</f>
        <v>309328002.02926081</v>
      </c>
      <c r="Z140" s="395">
        <f>'Distribution Summary'!BO147</f>
        <v>313575625.08113527</v>
      </c>
      <c r="AA140" s="395">
        <f>'Distribution Summary'!BP147</f>
        <v>316278865.85301459</v>
      </c>
      <c r="AB140" s="395">
        <f>'Distribution Summary'!BQ147</f>
        <v>322410519.34172231</v>
      </c>
      <c r="AC140" s="395">
        <f>'Distribution Summary'!BR147</f>
        <v>330757444.46667522</v>
      </c>
      <c r="AD140" s="637">
        <f>SUM(Y140:AC140)</f>
        <v>1592350456.7718084</v>
      </c>
      <c r="AL140" s="749"/>
    </row>
    <row r="141" spans="1:38" x14ac:dyDescent="0.25">
      <c r="D141" s="773"/>
      <c r="X141" t="s">
        <v>692</v>
      </c>
      <c r="Y141" s="821">
        <f>SUBTOTAL(9,Y7:Y138)</f>
        <v>308726440.05770332</v>
      </c>
      <c r="Z141" s="821">
        <f t="shared" ref="Z141:AC141" si="69">SUBTOTAL(9,Z7:Z138)</f>
        <v>313366771.41787434</v>
      </c>
      <c r="AA141" s="821">
        <f t="shared" si="69"/>
        <v>316331424.47672564</v>
      </c>
      <c r="AB141" s="821">
        <f t="shared" si="69"/>
        <v>322724212.17906964</v>
      </c>
      <c r="AC141" s="821">
        <f t="shared" si="69"/>
        <v>331201608.6404348</v>
      </c>
      <c r="AD141" s="395">
        <f>SUM(Y141:AC141)</f>
        <v>1592350456.7718077</v>
      </c>
    </row>
    <row r="142" spans="1:38" ht="15.75" thickBot="1" x14ac:dyDescent="0.3">
      <c r="D142" s="773"/>
      <c r="Y142" s="395"/>
      <c r="Z142" s="395"/>
      <c r="AA142" s="395"/>
      <c r="AB142" s="395"/>
      <c r="AC142" s="395"/>
    </row>
    <row r="143" spans="1:38" x14ac:dyDescent="0.25">
      <c r="A143" s="63" t="s">
        <v>296</v>
      </c>
      <c r="B143" s="64"/>
      <c r="C143" s="707" t="s">
        <v>591</v>
      </c>
      <c r="D143" s="707" t="s">
        <v>409</v>
      </c>
      <c r="J143" s="415">
        <f t="shared" ref="J143:J153" si="70">SUMIF($A$7:$A$138,$A143,J$7:J$138)</f>
        <v>9464302.1000000238</v>
      </c>
      <c r="Q143" s="420">
        <f t="shared" ref="Q143:W153" si="71">SUMIF($A$7:$A$138,$A143,Q$7:Q$138)</f>
        <v>4658</v>
      </c>
      <c r="R143" s="726">
        <f t="shared" si="71"/>
        <v>4658</v>
      </c>
      <c r="S143" s="241">
        <f t="shared" si="71"/>
        <v>4658</v>
      </c>
      <c r="T143" s="144">
        <f t="shared" si="71"/>
        <v>4658</v>
      </c>
      <c r="U143" s="144">
        <f t="shared" si="71"/>
        <v>4658</v>
      </c>
      <c r="V143" s="729">
        <f t="shared" si="71"/>
        <v>4658</v>
      </c>
      <c r="W143" s="293">
        <f>SUMIF($A$7:$A$138,$A143,W$7:W$138)</f>
        <v>4658</v>
      </c>
      <c r="X143" s="124"/>
      <c r="Y143" s="415">
        <f t="shared" ref="Y143:AC153" si="72">SUMIF($A$7:$A$138,$A143,Y$7:Y$138)</f>
        <v>8384400</v>
      </c>
      <c r="Z143" s="79">
        <f t="shared" si="72"/>
        <v>8384400</v>
      </c>
      <c r="AA143" s="79">
        <f t="shared" si="72"/>
        <v>8384400</v>
      </c>
      <c r="AB143" s="79">
        <f t="shared" si="72"/>
        <v>8384400</v>
      </c>
      <c r="AC143" s="80">
        <f>SUMIF($A$7:$A$138,$A143,AC$7:AC$138)</f>
        <v>8384400</v>
      </c>
      <c r="AD143" s="722"/>
    </row>
    <row r="144" spans="1:38" x14ac:dyDescent="0.25">
      <c r="A144" s="81" t="s">
        <v>27</v>
      </c>
      <c r="B144" s="82"/>
      <c r="C144" s="708" t="s">
        <v>591</v>
      </c>
      <c r="D144" s="708" t="s">
        <v>410</v>
      </c>
      <c r="J144" s="416">
        <f t="shared" si="70"/>
        <v>126368279.20045948</v>
      </c>
      <c r="Q144" s="421">
        <f t="shared" si="71"/>
        <v>13980.06743944918</v>
      </c>
      <c r="R144" s="727">
        <f t="shared" si="71"/>
        <v>13980.06743944918</v>
      </c>
      <c r="S144" s="234">
        <f t="shared" si="71"/>
        <v>14501.62811536769</v>
      </c>
      <c r="T144" s="96">
        <f t="shared" si="71"/>
        <v>14610.376550596673</v>
      </c>
      <c r="U144" s="96">
        <f t="shared" si="71"/>
        <v>14682.875507415994</v>
      </c>
      <c r="V144" s="730">
        <f t="shared" si="71"/>
        <v>14755.374464235316</v>
      </c>
      <c r="W144" s="286">
        <f t="shared" si="71"/>
        <v>14791.623942644977</v>
      </c>
      <c r="X144" s="99"/>
      <c r="Y144" s="416">
        <f t="shared" si="72"/>
        <v>90434796.549514413</v>
      </c>
      <c r="Z144" s="97">
        <f t="shared" si="72"/>
        <v>91112971.616256684</v>
      </c>
      <c r="AA144" s="97">
        <f t="shared" si="72"/>
        <v>91565088.327418193</v>
      </c>
      <c r="AB144" s="97">
        <f t="shared" si="72"/>
        <v>92017205.038579702</v>
      </c>
      <c r="AC144" s="98">
        <f t="shared" si="72"/>
        <v>92243263.394160464</v>
      </c>
      <c r="AD144" s="723"/>
    </row>
    <row r="145" spans="1:38" x14ac:dyDescent="0.25">
      <c r="A145" s="81" t="s">
        <v>68</v>
      </c>
      <c r="B145" s="82"/>
      <c r="C145" s="708" t="s">
        <v>591</v>
      </c>
      <c r="D145" s="708" t="s">
        <v>411</v>
      </c>
      <c r="J145" s="416">
        <f t="shared" si="70"/>
        <v>70857808.76044789</v>
      </c>
      <c r="Q145" s="421">
        <f t="shared" si="71"/>
        <v>20911.171175362404</v>
      </c>
      <c r="R145" s="727">
        <f t="shared" si="71"/>
        <v>20911.171175362404</v>
      </c>
      <c r="S145" s="234">
        <f t="shared" si="71"/>
        <v>30184.285044535602</v>
      </c>
      <c r="T145" s="96">
        <f t="shared" si="71"/>
        <v>30402.739680878618</v>
      </c>
      <c r="U145" s="96">
        <f t="shared" si="71"/>
        <v>30548.376105107294</v>
      </c>
      <c r="V145" s="730">
        <f t="shared" si="71"/>
        <v>30694.012529335971</v>
      </c>
      <c r="W145" s="286">
        <f t="shared" si="71"/>
        <v>30766.830741450311</v>
      </c>
      <c r="X145" s="99"/>
      <c r="Y145" s="416">
        <f t="shared" si="72"/>
        <v>84834171.66266042</v>
      </c>
      <c r="Z145" s="97">
        <f t="shared" si="72"/>
        <v>85448147.381902516</v>
      </c>
      <c r="AA145" s="97">
        <f t="shared" si="72"/>
        <v>85857464.528063923</v>
      </c>
      <c r="AB145" s="97">
        <f t="shared" si="72"/>
        <v>86266781.67422533</v>
      </c>
      <c r="AC145" s="98">
        <f t="shared" si="72"/>
        <v>86471440.247306034</v>
      </c>
      <c r="AD145" s="723"/>
    </row>
    <row r="146" spans="1:38" x14ac:dyDescent="0.25">
      <c r="A146" s="81" t="s">
        <v>81</v>
      </c>
      <c r="B146" s="82"/>
      <c r="C146" s="708" t="s">
        <v>591</v>
      </c>
      <c r="D146" s="708" t="s">
        <v>270</v>
      </c>
      <c r="J146" s="416">
        <f t="shared" si="70"/>
        <v>38270074.342069291</v>
      </c>
      <c r="Q146" s="421">
        <f t="shared" si="71"/>
        <v>550.02877600199997</v>
      </c>
      <c r="R146" s="727">
        <f t="shared" si="71"/>
        <v>550.02877600199997</v>
      </c>
      <c r="S146" s="234">
        <f t="shared" si="71"/>
        <v>700.02877600199974</v>
      </c>
      <c r="T146" s="96">
        <f t="shared" si="71"/>
        <v>730.02877600199997</v>
      </c>
      <c r="U146" s="96">
        <f t="shared" si="71"/>
        <v>750.02877600199986</v>
      </c>
      <c r="V146" s="730">
        <f t="shared" si="71"/>
        <v>770.02877600200009</v>
      </c>
      <c r="W146" s="286">
        <f t="shared" si="71"/>
        <v>780.02877600200009</v>
      </c>
      <c r="X146" s="99"/>
      <c r="Y146" s="416">
        <f t="shared" si="72"/>
        <v>39840173.262336791</v>
      </c>
      <c r="Z146" s="97">
        <f t="shared" si="72"/>
        <v>41547539.071919873</v>
      </c>
      <c r="AA146" s="97">
        <f t="shared" si="72"/>
        <v>42685782.944975257</v>
      </c>
      <c r="AB146" s="97">
        <f t="shared" si="72"/>
        <v>43824026.818030648</v>
      </c>
      <c r="AC146" s="98">
        <f t="shared" si="72"/>
        <v>44393148.75455834</v>
      </c>
      <c r="AD146" s="723"/>
    </row>
    <row r="147" spans="1:38" x14ac:dyDescent="0.25">
      <c r="A147" s="81" t="s">
        <v>94</v>
      </c>
      <c r="B147" s="82"/>
      <c r="C147" s="708" t="s">
        <v>591</v>
      </c>
      <c r="D147" s="708" t="s">
        <v>412</v>
      </c>
      <c r="J147" s="416">
        <f t="shared" si="70"/>
        <v>10331622.973959638</v>
      </c>
      <c r="Q147" s="421">
        <f t="shared" si="71"/>
        <v>18.980691549933333</v>
      </c>
      <c r="R147" s="727">
        <f t="shared" si="71"/>
        <v>19.980691549933333</v>
      </c>
      <c r="S147" s="234">
        <f t="shared" si="71"/>
        <v>19.980691549933333</v>
      </c>
      <c r="T147" s="96">
        <f t="shared" si="71"/>
        <v>20.980691549933333</v>
      </c>
      <c r="U147" s="96">
        <f t="shared" si="71"/>
        <v>20.980691549933333</v>
      </c>
      <c r="V147" s="730">
        <f t="shared" si="71"/>
        <v>21.980691549933333</v>
      </c>
      <c r="W147" s="286">
        <f t="shared" si="71"/>
        <v>21.980691549933333</v>
      </c>
      <c r="X147" s="99"/>
      <c r="Y147" s="416">
        <f t="shared" si="72"/>
        <v>6475597.0592646832</v>
      </c>
      <c r="Z147" s="97">
        <f t="shared" si="72"/>
        <v>6775597.0592646832</v>
      </c>
      <c r="AA147" s="97">
        <f t="shared" si="72"/>
        <v>6775597.0592646832</v>
      </c>
      <c r="AB147" s="97">
        <f t="shared" si="72"/>
        <v>7075597.0592646832</v>
      </c>
      <c r="AC147" s="98">
        <f t="shared" si="72"/>
        <v>7075597.0592646832</v>
      </c>
      <c r="AD147" s="723"/>
    </row>
    <row r="148" spans="1:38" x14ac:dyDescent="0.25">
      <c r="A148" s="81" t="s">
        <v>106</v>
      </c>
      <c r="B148" s="82"/>
      <c r="C148" s="708" t="s">
        <v>591</v>
      </c>
      <c r="D148" s="708" t="s">
        <v>272</v>
      </c>
      <c r="J148" s="416">
        <f t="shared" si="70"/>
        <v>33515291.629756927</v>
      </c>
      <c r="Q148" s="421">
        <f t="shared" si="71"/>
        <v>17508.467067597943</v>
      </c>
      <c r="R148" s="727">
        <f t="shared" si="71"/>
        <v>17508.467067597943</v>
      </c>
      <c r="S148" s="234">
        <f t="shared" si="71"/>
        <v>18073.445093230999</v>
      </c>
      <c r="T148" s="96">
        <f t="shared" si="71"/>
        <v>18191.246298465947</v>
      </c>
      <c r="U148" s="96">
        <f t="shared" si="71"/>
        <v>18269.780435289242</v>
      </c>
      <c r="V148" s="730">
        <f t="shared" si="71"/>
        <v>18348.31457211254</v>
      </c>
      <c r="W148" s="286">
        <f t="shared" si="71"/>
        <v>18387.581640524189</v>
      </c>
      <c r="X148" s="99"/>
      <c r="Y148" s="416">
        <f t="shared" si="72"/>
        <v>24205161.98795817</v>
      </c>
      <c r="Z148" s="97">
        <f t="shared" si="72"/>
        <v>24362929.211660117</v>
      </c>
      <c r="AA148" s="97">
        <f t="shared" si="72"/>
        <v>24468107.360794745</v>
      </c>
      <c r="AB148" s="97">
        <f t="shared" si="72"/>
        <v>24573285.509929381</v>
      </c>
      <c r="AC148" s="98">
        <f t="shared" si="72"/>
        <v>24625874.584496692</v>
      </c>
      <c r="AD148" s="723"/>
    </row>
    <row r="149" spans="1:38" x14ac:dyDescent="0.25">
      <c r="A149" s="81" t="s">
        <v>138</v>
      </c>
      <c r="B149" s="82"/>
      <c r="C149" s="708" t="s">
        <v>591</v>
      </c>
      <c r="D149" s="708" t="s">
        <v>413</v>
      </c>
      <c r="J149" s="416">
        <f t="shared" si="70"/>
        <v>62394523.253296867</v>
      </c>
      <c r="Q149" s="421">
        <f t="shared" si="71"/>
        <v>1633.9170821211951</v>
      </c>
      <c r="R149" s="727">
        <f t="shared" si="71"/>
        <v>1633.9170821211951</v>
      </c>
      <c r="S149" s="234">
        <f t="shared" si="71"/>
        <v>938.30424477936936</v>
      </c>
      <c r="T149" s="96">
        <f t="shared" si="71"/>
        <v>944.55876292157745</v>
      </c>
      <c r="U149" s="96">
        <f t="shared" si="71"/>
        <v>948.72844168304937</v>
      </c>
      <c r="V149" s="730">
        <f t="shared" si="71"/>
        <v>952.89812044452151</v>
      </c>
      <c r="W149" s="286">
        <f t="shared" si="71"/>
        <v>954.98295982525747</v>
      </c>
      <c r="X149" s="99"/>
      <c r="Y149" s="416">
        <f t="shared" si="72"/>
        <v>26767356.002832986</v>
      </c>
      <c r="Z149" s="97">
        <f t="shared" si="72"/>
        <v>26945780.980307139</v>
      </c>
      <c r="AA149" s="97">
        <f t="shared" si="72"/>
        <v>27064730.965289909</v>
      </c>
      <c r="AB149" s="97">
        <f t="shared" si="72"/>
        <v>27183680.950272679</v>
      </c>
      <c r="AC149" s="98">
        <f t="shared" si="72"/>
        <v>27243155.942764059</v>
      </c>
      <c r="AD149" s="723"/>
    </row>
    <row r="150" spans="1:38" x14ac:dyDescent="0.25">
      <c r="A150" s="81" t="s">
        <v>196</v>
      </c>
      <c r="B150" s="82"/>
      <c r="C150" s="708" t="s">
        <v>591</v>
      </c>
      <c r="D150" s="708" t="s">
        <v>274</v>
      </c>
      <c r="J150" s="416">
        <f t="shared" si="70"/>
        <v>60595953.330830529</v>
      </c>
      <c r="Q150" s="421">
        <f t="shared" si="71"/>
        <v>4327.9750328613827</v>
      </c>
      <c r="R150" s="727">
        <f t="shared" si="71"/>
        <v>4044.5425304371042</v>
      </c>
      <c r="S150" s="234">
        <f t="shared" si="71"/>
        <v>2350.4357336674429</v>
      </c>
      <c r="T150" s="96">
        <f t="shared" si="71"/>
        <v>2417.0940880180942</v>
      </c>
      <c r="U150" s="96">
        <f t="shared" si="71"/>
        <v>2434.0462246221114</v>
      </c>
      <c r="V150" s="730">
        <f t="shared" si="71"/>
        <v>2446.8286824646566</v>
      </c>
      <c r="W150" s="286">
        <f t="shared" si="71"/>
        <v>2457.3895901474016</v>
      </c>
      <c r="X150" s="99"/>
      <c r="Y150" s="416">
        <f t="shared" si="72"/>
        <v>27784783.533135872</v>
      </c>
      <c r="Z150" s="97">
        <f t="shared" si="72"/>
        <v>28006854.140306361</v>
      </c>
      <c r="AA150" s="97">
        <f t="shared" si="72"/>
        <v>28154901.211753353</v>
      </c>
      <c r="AB150" s="97">
        <f t="shared" si="72"/>
        <v>28302948.283200342</v>
      </c>
      <c r="AC150" s="98">
        <f t="shared" si="72"/>
        <v>28376971.818923846</v>
      </c>
      <c r="AD150" s="723"/>
    </row>
    <row r="151" spans="1:38" x14ac:dyDescent="0.25">
      <c r="A151" s="81" t="s">
        <v>224</v>
      </c>
      <c r="B151" s="82"/>
      <c r="C151" s="708" t="s">
        <v>591</v>
      </c>
      <c r="D151" s="708" t="s">
        <v>414</v>
      </c>
      <c r="J151" s="416">
        <f t="shared" si="70"/>
        <v>0</v>
      </c>
      <c r="Q151" s="421">
        <f t="shared" si="71"/>
        <v>0</v>
      </c>
      <c r="R151" s="727">
        <f t="shared" si="71"/>
        <v>0</v>
      </c>
      <c r="S151" s="234">
        <f t="shared" si="71"/>
        <v>0</v>
      </c>
      <c r="T151" s="96">
        <f t="shared" si="71"/>
        <v>0</v>
      </c>
      <c r="U151" s="96">
        <f t="shared" si="71"/>
        <v>0</v>
      </c>
      <c r="V151" s="730">
        <f t="shared" si="71"/>
        <v>0</v>
      </c>
      <c r="W151" s="286">
        <f t="shared" si="71"/>
        <v>0</v>
      </c>
      <c r="X151" s="99"/>
      <c r="Y151" s="416">
        <f t="shared" si="72"/>
        <v>0</v>
      </c>
      <c r="Z151" s="97">
        <f t="shared" si="72"/>
        <v>0</v>
      </c>
      <c r="AA151" s="97">
        <f t="shared" si="72"/>
        <v>0</v>
      </c>
      <c r="AB151" s="97">
        <f t="shared" si="72"/>
        <v>0</v>
      </c>
      <c r="AC151" s="98">
        <f t="shared" si="72"/>
        <v>0</v>
      </c>
      <c r="AD151" s="723"/>
    </row>
    <row r="152" spans="1:38" x14ac:dyDescent="0.25">
      <c r="A152" s="81" t="s">
        <v>242</v>
      </c>
      <c r="B152" s="82"/>
      <c r="C152" s="708" t="s">
        <v>591</v>
      </c>
      <c r="D152" s="708" t="s">
        <v>415</v>
      </c>
      <c r="J152" s="416">
        <f t="shared" si="70"/>
        <v>0</v>
      </c>
      <c r="Q152" s="421">
        <f t="shared" si="71"/>
        <v>0</v>
      </c>
      <c r="R152" s="727">
        <f t="shared" si="71"/>
        <v>0</v>
      </c>
      <c r="S152" s="234">
        <f t="shared" si="71"/>
        <v>0</v>
      </c>
      <c r="T152" s="96">
        <f t="shared" si="71"/>
        <v>0</v>
      </c>
      <c r="U152" s="96">
        <f t="shared" si="71"/>
        <v>0</v>
      </c>
      <c r="V152" s="730">
        <f t="shared" si="71"/>
        <v>0</v>
      </c>
      <c r="W152" s="286">
        <f t="shared" si="71"/>
        <v>0</v>
      </c>
      <c r="X152" s="99"/>
      <c r="Y152" s="416">
        <f t="shared" si="72"/>
        <v>0</v>
      </c>
      <c r="Z152" s="97">
        <f t="shared" si="72"/>
        <v>0</v>
      </c>
      <c r="AA152" s="97">
        <f t="shared" si="72"/>
        <v>0</v>
      </c>
      <c r="AB152" s="97">
        <f t="shared" si="72"/>
        <v>0</v>
      </c>
      <c r="AC152" s="98">
        <f t="shared" si="72"/>
        <v>0</v>
      </c>
      <c r="AD152" s="723"/>
    </row>
    <row r="153" spans="1:38" ht="15.75" thickBot="1" x14ac:dyDescent="0.3">
      <c r="A153" s="100" t="s">
        <v>258</v>
      </c>
      <c r="B153" s="101"/>
      <c r="C153" s="709" t="s">
        <v>591</v>
      </c>
      <c r="D153" s="709" t="s">
        <v>64</v>
      </c>
      <c r="J153" s="467">
        <f t="shared" si="70"/>
        <v>0</v>
      </c>
      <c r="Q153" s="422">
        <f t="shared" si="71"/>
        <v>0</v>
      </c>
      <c r="R153" s="728">
        <f t="shared" si="71"/>
        <v>0</v>
      </c>
      <c r="S153" s="235">
        <f t="shared" si="71"/>
        <v>0</v>
      </c>
      <c r="T153" s="115">
        <f t="shared" si="71"/>
        <v>26.085065208566085</v>
      </c>
      <c r="U153" s="115">
        <f t="shared" si="71"/>
        <v>45.845069305522095</v>
      </c>
      <c r="V153" s="731">
        <f t="shared" si="71"/>
        <v>169.8762281855621</v>
      </c>
      <c r="W153" s="287">
        <f t="shared" si="71"/>
        <v>412.92522796535678</v>
      </c>
      <c r="X153" s="116"/>
      <c r="Y153" s="467">
        <f t="shared" si="72"/>
        <v>0</v>
      </c>
      <c r="Z153" s="117">
        <f t="shared" si="72"/>
        <v>782551.95625698252</v>
      </c>
      <c r="AA153" s="117">
        <f t="shared" si="72"/>
        <v>1375352.0791656629</v>
      </c>
      <c r="AB153" s="117">
        <f t="shared" si="72"/>
        <v>5096286.8455668632</v>
      </c>
      <c r="AC153" s="118">
        <f t="shared" si="72"/>
        <v>12387756.838960703</v>
      </c>
      <c r="AD153" s="724"/>
    </row>
    <row r="157" spans="1:38" ht="15.75" thickBot="1" x14ac:dyDescent="0.3">
      <c r="D157" t="s">
        <v>648</v>
      </c>
    </row>
    <row r="158" spans="1:38" x14ac:dyDescent="0.25">
      <c r="D158" s="707" t="s">
        <v>409</v>
      </c>
      <c r="Q158" s="420">
        <f>'Distribution Summary'!BC136-Q143</f>
        <v>0</v>
      </c>
      <c r="R158" s="726">
        <f>'Distribution Summary'!BD136-R143</f>
        <v>0</v>
      </c>
      <c r="S158" s="241">
        <f>'Distribution Summary'!BE136-S143</f>
        <v>0</v>
      </c>
      <c r="T158" s="144">
        <f>'Distribution Summary'!BF136-T143</f>
        <v>0</v>
      </c>
      <c r="U158" s="144">
        <f>'Distribution Summary'!BG136-U143</f>
        <v>0</v>
      </c>
      <c r="V158" s="729">
        <f>'Distribution Summary'!BH136-V143</f>
        <v>0</v>
      </c>
      <c r="W158" s="293">
        <f>'Distribution Summary'!BI136-W143</f>
        <v>0</v>
      </c>
      <c r="X158" s="124"/>
      <c r="Y158" s="415">
        <f>Y143-'Distribution Summary'!BN136</f>
        <v>0</v>
      </c>
      <c r="Z158" s="79">
        <f>Z143-'Distribution Summary'!BO136</f>
        <v>0</v>
      </c>
      <c r="AA158" s="79">
        <f>AA143-'Distribution Summary'!BP136</f>
        <v>0</v>
      </c>
      <c r="AB158" s="79">
        <f>AB143-'Distribution Summary'!BQ136</f>
        <v>0</v>
      </c>
      <c r="AC158" s="80">
        <f>AC143-'Distribution Summary'!BR136</f>
        <v>0</v>
      </c>
      <c r="AD158" s="722"/>
      <c r="AF158" s="735" t="str">
        <f>D158</f>
        <v>Nails</v>
      </c>
      <c r="AG158" s="736"/>
      <c r="AH158" s="735">
        <f>Y158/'Distribution Summary'!BN136</f>
        <v>0</v>
      </c>
      <c r="AI158" s="737">
        <f>Z158/'Distribution Summary'!BO136</f>
        <v>0</v>
      </c>
      <c r="AJ158" s="737">
        <f>AA158/'Distribution Summary'!BP136</f>
        <v>0</v>
      </c>
      <c r="AK158" s="737">
        <f>AB158/'Distribution Summary'!BQ136</f>
        <v>0</v>
      </c>
      <c r="AL158" s="736">
        <f>AC158/'Distribution Summary'!BR136</f>
        <v>0</v>
      </c>
    </row>
    <row r="159" spans="1:38" x14ac:dyDescent="0.25">
      <c r="D159" s="708" t="s">
        <v>410</v>
      </c>
      <c r="Q159" s="421">
        <f>'Distribution Summary'!BC137-Q144</f>
        <v>0</v>
      </c>
      <c r="R159" s="727">
        <f>'Distribution Summary'!BD137-R144</f>
        <v>0</v>
      </c>
      <c r="S159" s="234">
        <f>'Distribution Summary'!BE137-S144</f>
        <v>0</v>
      </c>
      <c r="T159" s="96">
        <f>'Distribution Summary'!BF137-T144</f>
        <v>0</v>
      </c>
      <c r="U159" s="96">
        <f>'Distribution Summary'!BG137-U144</f>
        <v>0</v>
      </c>
      <c r="V159" s="730">
        <f>'Distribution Summary'!BH137-V144</f>
        <v>0</v>
      </c>
      <c r="W159" s="286">
        <f>'Distribution Summary'!BI137-W144</f>
        <v>0</v>
      </c>
      <c r="X159" s="99"/>
      <c r="Y159" s="416">
        <f>Y144-'Distribution Summary'!BN137</f>
        <v>162741.89662660658</v>
      </c>
      <c r="Z159" s="97">
        <f>Z144-'Distribution Summary'!BO137</f>
        <v>56605.877087473869</v>
      </c>
      <c r="AA159" s="97">
        <f>AA144-'Distribution Summary'!BP137</f>
        <v>-14151.469271928072</v>
      </c>
      <c r="AB159" s="97">
        <f>AB144-'Distribution Summary'!BQ137</f>
        <v>-84908.815631344914</v>
      </c>
      <c r="AC159" s="98">
        <f>AC144-'Distribution Summary'!BR137</f>
        <v>-120287.48881106079</v>
      </c>
      <c r="AD159" s="723"/>
      <c r="AF159" s="738" t="str">
        <f t="shared" ref="AF159:AF168" si="73">D159</f>
        <v>Poles</v>
      </c>
      <c r="AG159" s="739"/>
      <c r="AH159" s="738">
        <f>Y159/'Distribution Summary'!BN137</f>
        <v>1.8027937577401807E-3</v>
      </c>
      <c r="AI159" s="740">
        <f>Z159/'Distribution Summary'!BO137</f>
        <v>6.2165754835440395E-4</v>
      </c>
      <c r="AJ159" s="740">
        <f>AA159/'Distribution Summary'!BP137</f>
        <v>-1.5452704459378508E-4</v>
      </c>
      <c r="AK159" s="740">
        <f>AB159/'Distribution Summary'!BQ137</f>
        <v>-9.2189866310503528E-4</v>
      </c>
      <c r="AL159" s="739">
        <f>AC159/'Distribution Summary'!BR137</f>
        <v>-1.3023263794120481E-3</v>
      </c>
    </row>
    <row r="160" spans="1:38" x14ac:dyDescent="0.25">
      <c r="D160" s="708" t="s">
        <v>411</v>
      </c>
      <c r="Q160" s="421">
        <f>'Distribution Summary'!BC138-Q145</f>
        <v>0</v>
      </c>
      <c r="R160" s="727">
        <f>'Distribution Summary'!BD138-R145</f>
        <v>0</v>
      </c>
      <c r="S160" s="234">
        <f>'Distribution Summary'!BE138-S145</f>
        <v>0</v>
      </c>
      <c r="T160" s="96">
        <f>'Distribution Summary'!BF138-T145</f>
        <v>0</v>
      </c>
      <c r="U160" s="96">
        <f>'Distribution Summary'!BG138-U145</f>
        <v>0</v>
      </c>
      <c r="V160" s="730">
        <f>'Distribution Summary'!BH138-V145</f>
        <v>0</v>
      </c>
      <c r="W160" s="286">
        <f>'Distribution Summary'!BI138-W145</f>
        <v>0</v>
      </c>
      <c r="X160" s="99"/>
      <c r="Y160" s="416">
        <f>Y145-'Distribution Summary'!BN138</f>
        <v>-245636.35884493589</v>
      </c>
      <c r="Z160" s="97">
        <f>Z145-'Distribution Summary'!BO138</f>
        <v>-85438.733511283994</v>
      </c>
      <c r="AA160" s="97">
        <f>AA145-'Distribution Summary'!BP138</f>
        <v>21359.683377817273</v>
      </c>
      <c r="AB160" s="97">
        <f>AB145-'Distribution Summary'!BQ138</f>
        <v>128158.10026691854</v>
      </c>
      <c r="AC160" s="98">
        <f>AC145-'Distribution Summary'!BR138</f>
        <v>181557.30871146917</v>
      </c>
      <c r="AD160" s="723"/>
      <c r="AF160" s="738" t="str">
        <f t="shared" si="73"/>
        <v>Pole Tops</v>
      </c>
      <c r="AG160" s="739"/>
      <c r="AH160" s="738">
        <f>Y160/'Distribution Summary'!BN138</f>
        <v>-2.8871287389699699E-3</v>
      </c>
      <c r="AI160" s="740">
        <f>Z160/'Distribution Summary'!BO138</f>
        <v>-9.9889104843561903E-4</v>
      </c>
      <c r="AJ160" s="740">
        <f>AA160/'Distribution Summary'!BP138</f>
        <v>2.488426451371016E-4</v>
      </c>
      <c r="AK160" s="740">
        <f>AB160/'Distribution Summary'!BQ138</f>
        <v>1.4878122606275721E-3</v>
      </c>
      <c r="AL160" s="739">
        <f>AC160/'Distribution Summary'!BR138</f>
        <v>2.1040393442261201E-3</v>
      </c>
    </row>
    <row r="161" spans="2:38" x14ac:dyDescent="0.25">
      <c r="D161" s="708" t="s">
        <v>270</v>
      </c>
      <c r="Q161" s="421">
        <f>'Distribution Summary'!BC139-Q146</f>
        <v>0</v>
      </c>
      <c r="R161" s="727">
        <f>'Distribution Summary'!BD139-R146</f>
        <v>0</v>
      </c>
      <c r="S161" s="234">
        <f>'Distribution Summary'!BE139-S146</f>
        <v>0</v>
      </c>
      <c r="T161" s="96">
        <f>'Distribution Summary'!BF139-T146</f>
        <v>0</v>
      </c>
      <c r="U161" s="96">
        <f>'Distribution Summary'!BG139-U146</f>
        <v>0</v>
      </c>
      <c r="V161" s="730">
        <f>'Distribution Summary'!BH139-V146</f>
        <v>0</v>
      </c>
      <c r="W161" s="286">
        <f>'Distribution Summary'!BI139-W146</f>
        <v>0</v>
      </c>
      <c r="X161" s="99"/>
      <c r="Y161" s="416">
        <f>Y146-'Distribution Summary'!BN139</f>
        <v>-544004.07409308851</v>
      </c>
      <c r="Z161" s="97">
        <f>Z146-'Distribution Summary'!BO139</f>
        <v>-188833.52501235902</v>
      </c>
      <c r="AA161" s="97">
        <f>AA146-'Distribution Summary'!BP139</f>
        <v>47553.589149072766</v>
      </c>
      <c r="AB161" s="97">
        <f>AB146-'Distribution Summary'!BQ139</f>
        <v>283662.62997470051</v>
      </c>
      <c r="AC161" s="98">
        <f>AC146-'Distribution Summary'!BR139</f>
        <v>401621.37998167425</v>
      </c>
      <c r="AD161" s="723"/>
      <c r="AF161" s="738" t="str">
        <f t="shared" si="73"/>
        <v>Conductor</v>
      </c>
      <c r="AG161" s="739"/>
      <c r="AH161" s="738">
        <f>Y161/'Distribution Summary'!BN139</f>
        <v>-1.3470723188468958E-2</v>
      </c>
      <c r="AI161" s="740">
        <f>Z161/'Distribution Summary'!BO139</f>
        <v>-4.5244354806780436E-3</v>
      </c>
      <c r="AJ161" s="740">
        <f>AA161/'Distribution Summary'!BP139</f>
        <v>1.1152805795997468E-3</v>
      </c>
      <c r="AK161" s="740">
        <f>AB161/'Distribution Summary'!BQ139</f>
        <v>6.5149347109162495E-3</v>
      </c>
      <c r="AL161" s="739">
        <f>AC161/'Distribution Summary'!BR139</f>
        <v>9.1295166126415736E-3</v>
      </c>
    </row>
    <row r="162" spans="2:38" x14ac:dyDescent="0.25">
      <c r="D162" s="708" t="s">
        <v>412</v>
      </c>
      <c r="Q162" s="421">
        <f>'Distribution Summary'!BC140-Q147</f>
        <v>0</v>
      </c>
      <c r="R162" s="727">
        <f>'Distribution Summary'!BD140-R147</f>
        <v>0</v>
      </c>
      <c r="S162" s="234">
        <f>'Distribution Summary'!BE140-S147</f>
        <v>0</v>
      </c>
      <c r="T162" s="96">
        <f>'Distribution Summary'!BF140-T147</f>
        <v>0</v>
      </c>
      <c r="U162" s="96">
        <f>'Distribution Summary'!BG140-U147</f>
        <v>0</v>
      </c>
      <c r="V162" s="730">
        <f>'Distribution Summary'!BH140-V147</f>
        <v>0</v>
      </c>
      <c r="W162" s="286">
        <f>'Distribution Summary'!BI140-W147</f>
        <v>0</v>
      </c>
      <c r="X162" s="99"/>
      <c r="Y162" s="416">
        <f>Y147-'Distribution Summary'!BN140</f>
        <v>0</v>
      </c>
      <c r="Z162" s="97">
        <f>Z147-'Distribution Summary'!BO140</f>
        <v>0</v>
      </c>
      <c r="AA162" s="97">
        <f>AA147-'Distribution Summary'!BP140</f>
        <v>0</v>
      </c>
      <c r="AB162" s="97">
        <f>AB147-'Distribution Summary'!BQ140</f>
        <v>0</v>
      </c>
      <c r="AC162" s="98">
        <f>AC147-'Distribution Summary'!BR140</f>
        <v>0</v>
      </c>
      <c r="AD162" s="723"/>
      <c r="AF162" s="738" t="str">
        <f t="shared" si="73"/>
        <v>Underground Cables</v>
      </c>
      <c r="AG162" s="739"/>
      <c r="AH162" s="738">
        <f>Y162/'Distribution Summary'!BN140</f>
        <v>0</v>
      </c>
      <c r="AI162" s="740">
        <f>Z162/'Distribution Summary'!BO140</f>
        <v>0</v>
      </c>
      <c r="AJ162" s="740">
        <f>AA162/'Distribution Summary'!BP140</f>
        <v>0</v>
      </c>
      <c r="AK162" s="740">
        <f>AB162/'Distribution Summary'!BQ140</f>
        <v>0</v>
      </c>
      <c r="AL162" s="739">
        <f>AC162/'Distribution Summary'!BR140</f>
        <v>0</v>
      </c>
    </row>
    <row r="163" spans="2:38" x14ac:dyDescent="0.25">
      <c r="D163" s="708" t="s">
        <v>272</v>
      </c>
      <c r="Q163" s="421">
        <f>'Distribution Summary'!BC141-Q148</f>
        <v>0</v>
      </c>
      <c r="R163" s="727">
        <f>'Distribution Summary'!BD141-R148</f>
        <v>0</v>
      </c>
      <c r="S163" s="234">
        <f>'Distribution Summary'!BE141-S148</f>
        <v>0</v>
      </c>
      <c r="T163" s="96">
        <f>'Distribution Summary'!BF141-T148</f>
        <v>0</v>
      </c>
      <c r="U163" s="96">
        <f>'Distribution Summary'!BG141-U148</f>
        <v>0</v>
      </c>
      <c r="V163" s="730">
        <f>'Distribution Summary'!BH141-V148</f>
        <v>0</v>
      </c>
      <c r="W163" s="286">
        <f>'Distribution Summary'!BI141-W148</f>
        <v>0</v>
      </c>
      <c r="X163" s="99"/>
      <c r="Y163" s="416">
        <f>Y148-'Distribution Summary'!BN141</f>
        <v>38136.710408844054</v>
      </c>
      <c r="Z163" s="97">
        <f>Z148-'Distribution Summary'!BO141</f>
        <v>13264.942750900984</v>
      </c>
      <c r="AA163" s="97">
        <f>AA148-'Distribution Summary'!BP141</f>
        <v>-3316.235687725246</v>
      </c>
      <c r="AB163" s="97">
        <f>AB148-'Distribution Summary'!BQ141</f>
        <v>-19897.414126351476</v>
      </c>
      <c r="AC163" s="98">
        <f>AC148-'Distribution Summary'!BR141</f>
        <v>-28188.003345668316</v>
      </c>
      <c r="AD163" s="723"/>
      <c r="AF163" s="738" t="str">
        <f t="shared" si="73"/>
        <v>Services</v>
      </c>
      <c r="AG163" s="739"/>
      <c r="AH163" s="738">
        <f>Y163/'Distribution Summary'!BN141</f>
        <v>1.5780473587815658E-3</v>
      </c>
      <c r="AI163" s="740">
        <f>Z163/'Distribution Summary'!BO141</f>
        <v>5.4476902040239957E-4</v>
      </c>
      <c r="AJ163" s="740">
        <f>AA163/'Distribution Summary'!BP141</f>
        <v>-1.3551462074327063E-4</v>
      </c>
      <c r="AK163" s="740">
        <f>AB163/'Distribution Summary'!BQ141</f>
        <v>-8.0906217742514699E-4</v>
      </c>
      <c r="AL163" s="739">
        <f>AC163/'Distribution Summary'!BR141</f>
        <v>-1.1433411124529491E-3</v>
      </c>
    </row>
    <row r="164" spans="2:38" x14ac:dyDescent="0.25">
      <c r="D164" s="708" t="s">
        <v>413</v>
      </c>
      <c r="Q164" s="421">
        <f>'Distribution Summary'!BC142-Q149</f>
        <v>0</v>
      </c>
      <c r="R164" s="727">
        <f>'Distribution Summary'!BD142-R149</f>
        <v>0</v>
      </c>
      <c r="S164" s="234">
        <f>'Distribution Summary'!BE142-S149</f>
        <v>0</v>
      </c>
      <c r="T164" s="96">
        <f>'Distribution Summary'!BF142-T149</f>
        <v>0</v>
      </c>
      <c r="U164" s="96">
        <f>'Distribution Summary'!BG142-U149</f>
        <v>0</v>
      </c>
      <c r="V164" s="730">
        <f>'Distribution Summary'!BH142-V149</f>
        <v>0</v>
      </c>
      <c r="W164" s="286">
        <f>'Distribution Summary'!BI142-W149</f>
        <v>0</v>
      </c>
      <c r="X164" s="99"/>
      <c r="Y164" s="416">
        <f>Y149-'Distribution Summary'!BN142</f>
        <v>-22317.453250594437</v>
      </c>
      <c r="Z164" s="97">
        <f>Z149-'Distribution Summary'!BO142</f>
        <v>-7762.5924349874258</v>
      </c>
      <c r="AA164" s="97">
        <f>AA149-'Distribution Summary'!BP142</f>
        <v>1940.6481087468565</v>
      </c>
      <c r="AB164" s="97">
        <f>AB149-'Distribution Summary'!BQ142</f>
        <v>11643.888652488589</v>
      </c>
      <c r="AC164" s="98">
        <f>AC149-'Distribution Summary'!BR142</f>
        <v>16495.508924350142</v>
      </c>
      <c r="AD164" s="723"/>
      <c r="AF164" s="738" t="str">
        <f t="shared" si="73"/>
        <v>Transformers</v>
      </c>
      <c r="AG164" s="739"/>
      <c r="AH164" s="738">
        <f>Y164/'Distribution Summary'!BN142</f>
        <v>-8.3306178730321325E-4</v>
      </c>
      <c r="AI164" s="740">
        <f>Z164/'Distribution Summary'!BO142</f>
        <v>-2.8799895694745181E-4</v>
      </c>
      <c r="AJ164" s="740">
        <f>AA164/'Distribution Summary'!BP142</f>
        <v>7.1709091560851024E-5</v>
      </c>
      <c r="AK164" s="740">
        <f>AB164/'Distribution Summary'!BQ142</f>
        <v>4.2852468609853639E-4</v>
      </c>
      <c r="AL164" s="739">
        <f>AC164/'Distribution Summary'!BR142</f>
        <v>6.0585869370332549E-4</v>
      </c>
    </row>
    <row r="165" spans="2:38" x14ac:dyDescent="0.25">
      <c r="D165" s="708" t="s">
        <v>274</v>
      </c>
      <c r="Q165" s="421">
        <f>'Distribution Summary'!BC143-Q150</f>
        <v>-283.43250242427757</v>
      </c>
      <c r="R165" s="727">
        <f>'Distribution Summary'!BD143-R150</f>
        <v>0</v>
      </c>
      <c r="S165" s="234">
        <f>'Distribution Summary'!BE143-S150</f>
        <v>59.993703871248727</v>
      </c>
      <c r="T165" s="96">
        <f>'Distribution Summary'!BF143-T150</f>
        <v>12.509036284415743</v>
      </c>
      <c r="U165" s="96">
        <f>'Distribution Summary'!BG143-U150</f>
        <v>8.3393575229438284</v>
      </c>
      <c r="V165" s="730">
        <f>'Distribution Summary'!BH143-V150</f>
        <v>8.3393575229442831</v>
      </c>
      <c r="W165" s="286">
        <f>'Distribution Summary'!BI143-W150</f>
        <v>4.1696787614719142</v>
      </c>
      <c r="X165" s="99"/>
      <c r="Y165" s="416">
        <f>Y150-'Distribution Summary'!BN143</f>
        <v>9517.307595718652</v>
      </c>
      <c r="Z165" s="97">
        <f>Z150-'Distribution Summary'!BO143</f>
        <v>3310.3678593821824</v>
      </c>
      <c r="AA165" s="97">
        <f>AA150-'Distribution Summary'!BP143</f>
        <v>-827.59196484088898</v>
      </c>
      <c r="AB165" s="97">
        <f>AB150-'Distribution Summary'!BQ143</f>
        <v>-4965.5517890714109</v>
      </c>
      <c r="AC165" s="98">
        <f>AC150-'Distribution Summary'!BR143</f>
        <v>-7034.5317011736333</v>
      </c>
      <c r="AD165" s="723"/>
      <c r="AF165" s="738" t="str">
        <f t="shared" si="73"/>
        <v>Switchgear</v>
      </c>
      <c r="AG165" s="739"/>
      <c r="AH165" s="738">
        <f>Y165/'Distribution Summary'!BN143</f>
        <v>3.4265405481396301E-4</v>
      </c>
      <c r="AI165" s="740">
        <f>Z165/'Distribution Summary'!BO143</f>
        <v>1.1821246218984945E-4</v>
      </c>
      <c r="AJ165" s="740">
        <f>AA165/'Distribution Summary'!BP143</f>
        <v>-2.9393377476046675E-5</v>
      </c>
      <c r="AK165" s="740">
        <f>AB165/'Distribution Summary'!BQ143</f>
        <v>-1.7541214156635741E-4</v>
      </c>
      <c r="AL165" s="739">
        <f>AC165/'Distribution Summary'!BR143</f>
        <v>-2.4783434777588161E-4</v>
      </c>
    </row>
    <row r="166" spans="2:38" x14ac:dyDescent="0.25">
      <c r="D166" s="708" t="s">
        <v>414</v>
      </c>
      <c r="Q166" s="421">
        <f>'Distribution Summary'!BC144-Q151</f>
        <v>0</v>
      </c>
      <c r="R166" s="727">
        <f>'Distribution Summary'!BD144-R151</f>
        <v>0</v>
      </c>
      <c r="S166" s="234">
        <f>'Distribution Summary'!BE144-S151</f>
        <v>0</v>
      </c>
      <c r="T166" s="96">
        <f>'Distribution Summary'!BF144-T151</f>
        <v>0</v>
      </c>
      <c r="U166" s="96">
        <f>'Distribution Summary'!BG144-U151</f>
        <v>0</v>
      </c>
      <c r="V166" s="730">
        <f>'Distribution Summary'!BH144-V151</f>
        <v>0</v>
      </c>
      <c r="W166" s="286">
        <f>'Distribution Summary'!BI144-W151</f>
        <v>0</v>
      </c>
      <c r="X166" s="99"/>
      <c r="Y166" s="416">
        <f>Y151-'Distribution Summary'!BN144</f>
        <v>0</v>
      </c>
      <c r="Z166" s="97">
        <f>Z151-'Distribution Summary'!BO144</f>
        <v>0</v>
      </c>
      <c r="AA166" s="97">
        <f>AA151-'Distribution Summary'!BP144</f>
        <v>0</v>
      </c>
      <c r="AB166" s="97">
        <f>AB151-'Distribution Summary'!BQ144</f>
        <v>0</v>
      </c>
      <c r="AC166" s="98">
        <f>AC151-'Distribution Summary'!BR144</f>
        <v>0</v>
      </c>
      <c r="AD166" s="723"/>
      <c r="AF166" s="416" t="str">
        <f t="shared" si="73"/>
        <v>Public Lighting</v>
      </c>
      <c r="AG166" s="98"/>
      <c r="AH166" s="416">
        <f>AH151-'Distribution Summary'!CJ144</f>
        <v>0</v>
      </c>
      <c r="AI166" s="97">
        <f>AI151-'Distribution Summary'!CK144</f>
        <v>0</v>
      </c>
      <c r="AJ166" s="97">
        <f>AJ151-'Distribution Summary'!CL144</f>
        <v>0</v>
      </c>
      <c r="AK166" s="97">
        <f>AK151-'Distribution Summary'!CM144</f>
        <v>0</v>
      </c>
      <c r="AL166" s="98">
        <f>AL151-'Distribution Summary'!CN144</f>
        <v>0</v>
      </c>
    </row>
    <row r="167" spans="2:38" x14ac:dyDescent="0.25">
      <c r="D167" s="708" t="s">
        <v>415</v>
      </c>
      <c r="Q167" s="421">
        <f>'Distribution Summary'!BC145-Q152</f>
        <v>0</v>
      </c>
      <c r="R167" s="727">
        <f>'Distribution Summary'!BD145-R152</f>
        <v>0</v>
      </c>
      <c r="S167" s="234">
        <f>'Distribution Summary'!BE145-S152</f>
        <v>0</v>
      </c>
      <c r="T167" s="96">
        <f>'Distribution Summary'!BF145-T152</f>
        <v>0</v>
      </c>
      <c r="U167" s="96">
        <f>'Distribution Summary'!BG145-U152</f>
        <v>0</v>
      </c>
      <c r="V167" s="730">
        <f>'Distribution Summary'!BH145-V152</f>
        <v>0</v>
      </c>
      <c r="W167" s="286">
        <f>'Distribution Summary'!BI145-W152</f>
        <v>0</v>
      </c>
      <c r="X167" s="99"/>
      <c r="Y167" s="416">
        <f>Y152-'Distribution Summary'!BN145</f>
        <v>0</v>
      </c>
      <c r="Z167" s="97">
        <f>Z152-'Distribution Summary'!BO145</f>
        <v>0</v>
      </c>
      <c r="AA167" s="97">
        <f>AA152-'Distribution Summary'!BP145</f>
        <v>0</v>
      </c>
      <c r="AB167" s="97">
        <f>AB152-'Distribution Summary'!BQ145</f>
        <v>0</v>
      </c>
      <c r="AC167" s="98">
        <f>AC152-'Distribution Summary'!BR145</f>
        <v>0</v>
      </c>
      <c r="AD167" s="723"/>
      <c r="AF167" s="416" t="str">
        <f t="shared" si="73"/>
        <v>SCADA, Protection &amp; Control</v>
      </c>
      <c r="AG167" s="98"/>
      <c r="AH167" s="416">
        <f>AH152-'Distribution Summary'!CJ145</f>
        <v>0</v>
      </c>
      <c r="AI167" s="97">
        <f>AI152-'Distribution Summary'!CK145</f>
        <v>0</v>
      </c>
      <c r="AJ167" s="97">
        <f>AJ152-'Distribution Summary'!CL145</f>
        <v>0</v>
      </c>
      <c r="AK167" s="97">
        <f>AK152-'Distribution Summary'!CM145</f>
        <v>0</v>
      </c>
      <c r="AL167" s="98">
        <f>AL152-'Distribution Summary'!CN145</f>
        <v>0</v>
      </c>
    </row>
    <row r="168" spans="2:38" ht="15.75" thickBot="1" x14ac:dyDescent="0.3">
      <c r="D168" s="709" t="s">
        <v>64</v>
      </c>
      <c r="Q168" s="422">
        <f>'Distribution Summary'!BC146-Q153</f>
        <v>0</v>
      </c>
      <c r="R168" s="728">
        <f>'Distribution Summary'!BD146-R153</f>
        <v>0</v>
      </c>
      <c r="S168" s="235">
        <f>'Distribution Summary'!BE146-S153</f>
        <v>0</v>
      </c>
      <c r="T168" s="115">
        <f>'Distribution Summary'!BF146-T153</f>
        <v>0</v>
      </c>
      <c r="U168" s="115">
        <f>'Distribution Summary'!BG146-U153</f>
        <v>0</v>
      </c>
      <c r="V168" s="731">
        <f>'Distribution Summary'!BH146-V153</f>
        <v>0</v>
      </c>
      <c r="W168" s="287">
        <f>'Distribution Summary'!BI146-W153</f>
        <v>0</v>
      </c>
      <c r="X168" s="116"/>
      <c r="Y168" s="467">
        <f>Y153-'Distribution Summary'!BN146</f>
        <v>0</v>
      </c>
      <c r="Z168" s="117">
        <f>Z153-'Distribution Summary'!BO146</f>
        <v>0</v>
      </c>
      <c r="AA168" s="117">
        <f>AA153-'Distribution Summary'!BP146</f>
        <v>0</v>
      </c>
      <c r="AB168" s="117">
        <f>AB153-'Distribution Summary'!BQ146</f>
        <v>0</v>
      </c>
      <c r="AC168" s="118">
        <f>AC153-'Distribution Summary'!BR146</f>
        <v>0</v>
      </c>
      <c r="AD168" s="724"/>
      <c r="AF168" s="467" t="str">
        <f t="shared" si="73"/>
        <v>Other</v>
      </c>
      <c r="AG168" s="118"/>
      <c r="AH168" s="467">
        <f>AH153-'Distribution Summary'!CJ146</f>
        <v>-870911.96859644388</v>
      </c>
      <c r="AI168" s="117">
        <f>AI153-'Distribution Summary'!CK146</f>
        <v>-1530646.7221788238</v>
      </c>
      <c r="AJ168" s="117">
        <f>AJ153-'Distribution Summary'!CL146</f>
        <v>-5671722.080197908</v>
      </c>
      <c r="AK168" s="117">
        <f>AK153-'Distribution Summary'!CM146</f>
        <v>-13786491.24681305</v>
      </c>
      <c r="AL168" s="118">
        <f>AL153-'Distribution Summary'!CN146</f>
        <v>-21859772.017786227</v>
      </c>
    </row>
    <row r="170" spans="2:38" ht="15.75" thickBot="1" x14ac:dyDescent="0.3"/>
    <row r="171" spans="2:38" ht="25.5" thickBot="1" x14ac:dyDescent="0.3">
      <c r="B171" t="s">
        <v>650</v>
      </c>
      <c r="X171" s="879" t="str">
        <f>B171</f>
        <v>BC Summary</v>
      </c>
      <c r="Y171" s="880" t="s">
        <v>422</v>
      </c>
      <c r="Z171" s="880" t="s">
        <v>423</v>
      </c>
      <c r="AA171" s="880" t="s">
        <v>424</v>
      </c>
      <c r="AB171" s="880" t="s">
        <v>425</v>
      </c>
      <c r="AC171" s="881" t="s">
        <v>426</v>
      </c>
      <c r="AD171" s="881"/>
      <c r="AE171" s="888" t="s">
        <v>797</v>
      </c>
      <c r="AF171" s="888" t="s">
        <v>798</v>
      </c>
    </row>
    <row r="172" spans="2:38" x14ac:dyDescent="0.25">
      <c r="B172" t="s">
        <v>268</v>
      </c>
      <c r="C172" s="395">
        <f>J172</f>
        <v>160104236.92916051</v>
      </c>
      <c r="J172" s="415">
        <f t="shared" ref="J172:J179" si="74">SUMIF($B$7:$B$138,$B172,J$7:J$138)</f>
        <v>160104236.92916051</v>
      </c>
      <c r="W172" t="s">
        <v>809</v>
      </c>
      <c r="X172" s="124" t="str">
        <f t="shared" ref="X172:X177" si="75">B172</f>
        <v>Pole</v>
      </c>
      <c r="Y172" s="415">
        <f t="shared" ref="Y172:AC179" si="76">SUMIF($B$7:$B$138,$B172,Y$7:Y$138)</f>
        <v>128968166.45952696</v>
      </c>
      <c r="Z172" s="79">
        <f t="shared" si="76"/>
        <v>128968166.45952696</v>
      </c>
      <c r="AA172" s="79">
        <f t="shared" si="76"/>
        <v>128968166.45952696</v>
      </c>
      <c r="AB172" s="79">
        <f t="shared" si="76"/>
        <v>128968166.45952696</v>
      </c>
      <c r="AC172" s="80">
        <f>SUMIF($B$7:$B$138,$B172,AC$7:AC$138)</f>
        <v>128968166.45952696</v>
      </c>
      <c r="AD172" s="876">
        <f>SUM(Y172:AC172)</f>
        <v>644840832.29763484</v>
      </c>
      <c r="AE172" s="886">
        <f>AD172/1000</f>
        <v>644840.8322976348</v>
      </c>
      <c r="AF172" s="887">
        <f>(AE172-AD172/1000)/AE172</f>
        <v>0</v>
      </c>
    </row>
    <row r="173" spans="2:38" x14ac:dyDescent="0.25">
      <c r="B173" t="s">
        <v>637</v>
      </c>
      <c r="C173" s="395">
        <f t="shared" ref="C173:C179" si="77">J173</f>
        <v>28707801.503923193</v>
      </c>
      <c r="J173" s="416">
        <f t="shared" si="74"/>
        <v>28707801.503923193</v>
      </c>
      <c r="X173" s="99" t="str">
        <f t="shared" si="75"/>
        <v>PT</v>
      </c>
      <c r="Y173" s="416">
        <f t="shared" si="76"/>
        <v>43574897.869378746</v>
      </c>
      <c r="Z173" s="97">
        <f t="shared" si="76"/>
        <v>43574897.869378746</v>
      </c>
      <c r="AA173" s="97">
        <f t="shared" si="76"/>
        <v>43574897.869378746</v>
      </c>
      <c r="AB173" s="97">
        <f t="shared" si="76"/>
        <v>43574897.869378746</v>
      </c>
      <c r="AC173" s="98">
        <f t="shared" si="76"/>
        <v>43574897.869378746</v>
      </c>
      <c r="AD173" s="877">
        <f t="shared" ref="AD173:AD179" si="78">SUM(Y173:AC173)</f>
        <v>217874489.34689373</v>
      </c>
      <c r="AE173" s="882">
        <f t="shared" ref="AE173:AE179" si="79">AD173/1000</f>
        <v>217874.48934689374</v>
      </c>
      <c r="AF173" s="883">
        <f t="shared" ref="AF173:AF179" si="80">(AE173-AD173/1000)/AE173</f>
        <v>0</v>
      </c>
    </row>
    <row r="174" spans="2:38" x14ac:dyDescent="0.25">
      <c r="B174" t="s">
        <v>636</v>
      </c>
      <c r="C174" s="395">
        <f t="shared" si="77"/>
        <v>103374826.54517086</v>
      </c>
      <c r="J174" s="416">
        <f t="shared" si="74"/>
        <v>103374826.54517086</v>
      </c>
      <c r="X174" s="99" t="str">
        <f t="shared" si="75"/>
        <v>Cond</v>
      </c>
      <c r="Y174" s="416">
        <f t="shared" si="76"/>
        <v>81606096.923829526</v>
      </c>
      <c r="Z174" s="97">
        <f t="shared" si="76"/>
        <v>85612130.520366356</v>
      </c>
      <c r="AA174" s="97">
        <f t="shared" si="76"/>
        <v>88005136.248587221</v>
      </c>
      <c r="AB174" s="97">
        <f t="shared" si="76"/>
        <v>90356018.058096915</v>
      </c>
      <c r="AC174" s="98">
        <f t="shared" si="76"/>
        <v>91573582.881562978</v>
      </c>
      <c r="AD174" s="877">
        <f t="shared" si="78"/>
        <v>437152964.63244295</v>
      </c>
      <c r="AE174" s="882">
        <f t="shared" si="79"/>
        <v>437152.96463244298</v>
      </c>
      <c r="AF174" s="883">
        <f t="shared" si="80"/>
        <v>0</v>
      </c>
    </row>
    <row r="175" spans="2:38" x14ac:dyDescent="0.25">
      <c r="B175" t="s">
        <v>272</v>
      </c>
      <c r="C175" s="395">
        <f t="shared" si="77"/>
        <v>22351475.340982981</v>
      </c>
      <c r="J175" s="416">
        <f t="shared" si="74"/>
        <v>22351475.340982981</v>
      </c>
      <c r="X175" s="99" t="str">
        <f t="shared" si="75"/>
        <v>Services</v>
      </c>
      <c r="Y175" s="416">
        <f t="shared" si="76"/>
        <v>15118212.769949505</v>
      </c>
      <c r="Z175" s="97">
        <f t="shared" si="76"/>
        <v>15118212.769949505</v>
      </c>
      <c r="AA175" s="97">
        <f t="shared" si="76"/>
        <v>15118212.769949505</v>
      </c>
      <c r="AB175" s="97">
        <f t="shared" si="76"/>
        <v>15118212.769949505</v>
      </c>
      <c r="AC175" s="98">
        <f t="shared" si="76"/>
        <v>15118212.769949505</v>
      </c>
      <c r="AD175" s="877">
        <f t="shared" si="78"/>
        <v>75591063.849747524</v>
      </c>
      <c r="AE175" s="882">
        <f t="shared" si="79"/>
        <v>75591.06384974753</v>
      </c>
      <c r="AF175" s="883">
        <f t="shared" si="80"/>
        <v>0</v>
      </c>
    </row>
    <row r="176" spans="2:38" x14ac:dyDescent="0.25">
      <c r="B176" t="s">
        <v>638</v>
      </c>
      <c r="C176" s="395">
        <f t="shared" si="77"/>
        <v>60359687.396674559</v>
      </c>
      <c r="J176" s="416">
        <f t="shared" si="74"/>
        <v>60359687.396674559</v>
      </c>
      <c r="X176" s="99" t="str">
        <f t="shared" si="75"/>
        <v>TD</v>
      </c>
      <c r="Y176" s="416">
        <f t="shared" si="76"/>
        <v>20519358.721343976</v>
      </c>
      <c r="Z176" s="97">
        <f t="shared" si="76"/>
        <v>20519358.721343976</v>
      </c>
      <c r="AA176" s="97">
        <f t="shared" si="76"/>
        <v>20519358.721343976</v>
      </c>
      <c r="AB176" s="97">
        <f t="shared" si="76"/>
        <v>20519358.721343976</v>
      </c>
      <c r="AC176" s="98">
        <f t="shared" si="76"/>
        <v>20519358.721343976</v>
      </c>
      <c r="AD176" s="877">
        <f t="shared" si="78"/>
        <v>102596793.60671988</v>
      </c>
      <c r="AE176" s="882">
        <f t="shared" si="79"/>
        <v>102596.79360671988</v>
      </c>
      <c r="AF176" s="883">
        <f t="shared" si="80"/>
        <v>0</v>
      </c>
    </row>
    <row r="177" spans="2:32" x14ac:dyDescent="0.25">
      <c r="B177" t="s">
        <v>639</v>
      </c>
      <c r="C177" s="395">
        <f t="shared" si="77"/>
        <v>26568204.900948916</v>
      </c>
      <c r="J177" s="416">
        <f t="shared" si="74"/>
        <v>26568204.900948916</v>
      </c>
      <c r="X177" s="99" t="str">
        <f t="shared" si="75"/>
        <v>Switches</v>
      </c>
      <c r="Y177" s="416">
        <f t="shared" si="76"/>
        <v>12464110.254409963</v>
      </c>
      <c r="Z177" s="97">
        <f t="shared" si="76"/>
        <v>12015856.061787184</v>
      </c>
      <c r="AA177" s="97">
        <f t="shared" si="76"/>
        <v>11994703.269508967</v>
      </c>
      <c r="AB177" s="97">
        <f t="shared" si="76"/>
        <v>12015674.395941986</v>
      </c>
      <c r="AC177" s="98">
        <f t="shared" si="76"/>
        <v>11984036.040447257</v>
      </c>
      <c r="AD177" s="877">
        <f t="shared" si="78"/>
        <v>60474380.02209536</v>
      </c>
      <c r="AE177" s="882">
        <f t="shared" si="79"/>
        <v>60474.380022095356</v>
      </c>
      <c r="AF177" s="883">
        <f t="shared" si="80"/>
        <v>0</v>
      </c>
    </row>
    <row r="178" spans="2:32" x14ac:dyDescent="0.25">
      <c r="B178" t="s">
        <v>647</v>
      </c>
      <c r="C178" s="395">
        <f t="shared" si="77"/>
        <v>10331622.973959638</v>
      </c>
      <c r="J178" s="416">
        <f t="shared" si="74"/>
        <v>10331622.973959638</v>
      </c>
      <c r="X178" s="99" t="s">
        <v>675</v>
      </c>
      <c r="Y178" s="416">
        <f t="shared" si="76"/>
        <v>6475597.0592646832</v>
      </c>
      <c r="Z178" s="97">
        <f t="shared" si="76"/>
        <v>6775597.0592646832</v>
      </c>
      <c r="AA178" s="97">
        <f t="shared" si="76"/>
        <v>6775597.0592646832</v>
      </c>
      <c r="AB178" s="97">
        <f t="shared" si="76"/>
        <v>7075597.0592646832</v>
      </c>
      <c r="AC178" s="98">
        <f t="shared" si="76"/>
        <v>7075597.0592646832</v>
      </c>
      <c r="AD178" s="877">
        <f t="shared" si="78"/>
        <v>34177985.296323419</v>
      </c>
      <c r="AE178" s="882">
        <f t="shared" si="79"/>
        <v>34177.985296323415</v>
      </c>
      <c r="AF178" s="883">
        <f t="shared" si="80"/>
        <v>0</v>
      </c>
    </row>
    <row r="179" spans="2:32" ht="15.75" thickBot="1" x14ac:dyDescent="0.3">
      <c r="B179" t="s">
        <v>688</v>
      </c>
      <c r="C179" s="395">
        <f t="shared" si="77"/>
        <v>0</v>
      </c>
      <c r="J179" s="467">
        <f t="shared" si="74"/>
        <v>0</v>
      </c>
      <c r="X179" s="116" t="s">
        <v>688</v>
      </c>
      <c r="Y179" s="467">
        <f t="shared" si="76"/>
        <v>0</v>
      </c>
      <c r="Z179" s="117">
        <f t="shared" si="76"/>
        <v>782551.95625698252</v>
      </c>
      <c r="AA179" s="117">
        <f t="shared" si="76"/>
        <v>1375352.0791656629</v>
      </c>
      <c r="AB179" s="117">
        <f t="shared" si="76"/>
        <v>5096286.8455668632</v>
      </c>
      <c r="AC179" s="118">
        <f t="shared" si="76"/>
        <v>12387756.838960703</v>
      </c>
      <c r="AD179" s="878">
        <f t="shared" si="78"/>
        <v>19641947.719950214</v>
      </c>
      <c r="AE179" s="884">
        <f t="shared" si="79"/>
        <v>19641.947719950214</v>
      </c>
      <c r="AF179" s="885">
        <f t="shared" si="80"/>
        <v>0</v>
      </c>
    </row>
    <row r="182" spans="2:32" ht="15.75" hidden="1" thickBot="1" x14ac:dyDescent="0.3">
      <c r="W182" t="s">
        <v>689</v>
      </c>
      <c r="Y182" s="817">
        <v>1.0018303470052587</v>
      </c>
      <c r="Z182" s="817">
        <v>1.0006277514675097</v>
      </c>
      <c r="AA182" s="817">
        <v>0.99984323929986285</v>
      </c>
      <c r="AB182" s="817">
        <v>0.99907199663278401</v>
      </c>
      <c r="AC182" s="817">
        <v>0.99869086492703452</v>
      </c>
    </row>
    <row r="183" spans="2:32" hidden="1" x14ac:dyDescent="0.25">
      <c r="W183" t="s">
        <v>268</v>
      </c>
      <c r="Y183" s="415">
        <f>Y172*Y$182</f>
        <v>129204222.95677987</v>
      </c>
      <c r="Z183" s="79">
        <f t="shared" ref="Z183:AC183" si="81">Z172*Z$182</f>
        <v>129049126.41528396</v>
      </c>
      <c r="AA183" s="79">
        <f t="shared" si="81"/>
        <v>128947949.31945735</v>
      </c>
      <c r="AB183" s="79">
        <f t="shared" si="81"/>
        <v>128848483.56678884</v>
      </c>
      <c r="AC183" s="80">
        <f t="shared" si="81"/>
        <v>128799329.70951875</v>
      </c>
    </row>
    <row r="184" spans="2:32" hidden="1" x14ac:dyDescent="0.25">
      <c r="W184" t="s">
        <v>637</v>
      </c>
      <c r="Y184" s="416">
        <f t="shared" ref="Y184:AC184" si="82">Y173*Y$182</f>
        <v>43654655.05319842</v>
      </c>
      <c r="Z184" s="97">
        <f t="shared" si="82"/>
        <v>43602252.075462833</v>
      </c>
      <c r="AA184" s="97">
        <f t="shared" si="82"/>
        <v>43568067.037880339</v>
      </c>
      <c r="AB184" s="97">
        <f t="shared" si="82"/>
        <v>43534460.217429869</v>
      </c>
      <c r="AC184" s="98">
        <f t="shared" si="82"/>
        <v>43517852.442277052</v>
      </c>
    </row>
    <row r="185" spans="2:32" hidden="1" x14ac:dyDescent="0.25">
      <c r="W185" t="s">
        <v>636</v>
      </c>
      <c r="Y185" s="416">
        <f t="shared" ref="Y185:AC185" si="83">Y174*Y$182</f>
        <v>81755464.398944914</v>
      </c>
      <c r="Z185" s="97">
        <f t="shared" si="83"/>
        <v>85665873.660937145</v>
      </c>
      <c r="AA185" s="97">
        <f t="shared" si="83"/>
        <v>87991340.501813233</v>
      </c>
      <c r="AB185" s="97">
        <f t="shared" si="83"/>
        <v>90272167.369090766</v>
      </c>
      <c r="AC185" s="98">
        <f t="shared" si="83"/>
        <v>91453700.69245562</v>
      </c>
    </row>
    <row r="186" spans="2:32" hidden="1" x14ac:dyDescent="0.25">
      <c r="W186" t="s">
        <v>272</v>
      </c>
      <c r="Y186" s="416">
        <f t="shared" ref="Y186:AC186" si="84">Y175*Y$182</f>
        <v>15145884.345417846</v>
      </c>
      <c r="Z186" s="97">
        <f t="shared" si="84"/>
        <v>15127703.250201965</v>
      </c>
      <c r="AA186" s="97">
        <f t="shared" si="84"/>
        <v>15115842.828330865</v>
      </c>
      <c r="AB186" s="97">
        <f t="shared" si="84"/>
        <v>15104183.017592704</v>
      </c>
      <c r="AC186" s="98">
        <f t="shared" si="84"/>
        <v>15098420.98737181</v>
      </c>
    </row>
    <row r="187" spans="2:32" hidden="1" x14ac:dyDescent="0.25">
      <c r="W187" t="s">
        <v>638</v>
      </c>
      <c r="Y187" s="416">
        <f t="shared" ref="Y187:AC187" si="85">Y176*Y$182</f>
        <v>20556916.268129416</v>
      </c>
      <c r="Z187" s="97">
        <f t="shared" si="85"/>
        <v>20532239.778893657</v>
      </c>
      <c r="AA187" s="97">
        <f t="shared" si="85"/>
        <v>20516142.092304453</v>
      </c>
      <c r="AB187" s="97">
        <f t="shared" si="85"/>
        <v>20500316.687357455</v>
      </c>
      <c r="AC187" s="98">
        <f t="shared" si="85"/>
        <v>20492496.109167103</v>
      </c>
    </row>
    <row r="188" spans="2:32" hidden="1" x14ac:dyDescent="0.25">
      <c r="W188" t="s">
        <v>639</v>
      </c>
      <c r="Y188" s="416">
        <f t="shared" ref="Y188:AC188" si="86">Y177*Y$182</f>
        <v>12486923.901287338</v>
      </c>
      <c r="Z188" s="97">
        <f t="shared" si="86"/>
        <v>12023399.033063356</v>
      </c>
      <c r="AA188" s="97">
        <f t="shared" si="86"/>
        <v>11992822.971426502</v>
      </c>
      <c r="AB188" s="97">
        <f t="shared" si="86"/>
        <v>12004523.809643181</v>
      </c>
      <c r="AC188" s="98">
        <f t="shared" si="86"/>
        <v>11968347.318551026</v>
      </c>
    </row>
    <row r="189" spans="2:32" ht="15.75" hidden="1" thickBot="1" x14ac:dyDescent="0.3">
      <c r="W189" t="s">
        <v>647</v>
      </c>
      <c r="Y189" s="467">
        <f t="shared" ref="Y189:AC189" si="87">Y178*Y$182</f>
        <v>6487449.6489493707</v>
      </c>
      <c r="Z189" s="117">
        <f t="shared" si="87"/>
        <v>6779850.4502618909</v>
      </c>
      <c r="AA189" s="117">
        <f t="shared" si="87"/>
        <v>6774534.9119258253</v>
      </c>
      <c r="AB189" s="117">
        <f t="shared" si="87"/>
        <v>7069030.8813686222</v>
      </c>
      <c r="AC189" s="118">
        <f t="shared" si="87"/>
        <v>7066334.146992228</v>
      </c>
    </row>
    <row r="190" spans="2:32" ht="15.75" hidden="1" thickBot="1" x14ac:dyDescent="0.3">
      <c r="W190" s="1" t="s">
        <v>690</v>
      </c>
      <c r="Y190" s="818">
        <f>SUM(Y183:Y189)</f>
        <v>309291516.57270718</v>
      </c>
      <c r="Z190" s="820">
        <f t="shared" ref="Z190" si="88">SUM(Z183:Z189)</f>
        <v>312780444.66410476</v>
      </c>
      <c r="AA190" s="820">
        <f t="shared" ref="AA190" si="89">SUM(AA183:AA189)</f>
        <v>314906699.66313857</v>
      </c>
      <c r="AB190" s="820">
        <f t="shared" ref="AB190" si="90">SUM(AB183:AB189)</f>
        <v>317333165.54927152</v>
      </c>
      <c r="AC190" s="819">
        <f t="shared" ref="AC190" si="91">SUM(AC183:AC189)</f>
        <v>318396481.40633357</v>
      </c>
    </row>
    <row r="191" spans="2:32" ht="15.75" thickBot="1" x14ac:dyDescent="0.3">
      <c r="Y191" t="s">
        <v>800</v>
      </c>
    </row>
    <row r="192" spans="2:32" ht="25.5" thickBot="1" x14ac:dyDescent="0.3">
      <c r="X192" s="879" t="s">
        <v>650</v>
      </c>
      <c r="Y192" s="880" t="s">
        <v>422</v>
      </c>
      <c r="Z192" s="880" t="s">
        <v>423</v>
      </c>
      <c r="AA192" s="880" t="s">
        <v>424</v>
      </c>
      <c r="AB192" s="880" t="s">
        <v>425</v>
      </c>
      <c r="AC192" s="881" t="s">
        <v>426</v>
      </c>
      <c r="AD192" s="881"/>
      <c r="AE192" s="888" t="s">
        <v>797</v>
      </c>
    </row>
    <row r="193" spans="24:31" x14ac:dyDescent="0.25">
      <c r="X193" s="124" t="s">
        <v>268</v>
      </c>
      <c r="Y193" s="415">
        <v>126024857.62507224</v>
      </c>
      <c r="Z193" s="79">
        <v>126024857.62507224</v>
      </c>
      <c r="AA193" s="79">
        <v>126024857.62507224</v>
      </c>
      <c r="AB193" s="79">
        <v>126024857.62507224</v>
      </c>
      <c r="AC193" s="80">
        <v>126024857.62507224</v>
      </c>
      <c r="AD193" s="876">
        <v>630124288.1253612</v>
      </c>
      <c r="AE193" s="886">
        <v>630669.04049327329</v>
      </c>
    </row>
    <row r="194" spans="24:31" x14ac:dyDescent="0.25">
      <c r="X194" s="99" t="s">
        <v>637</v>
      </c>
      <c r="Y194" s="416">
        <v>43574897.869378746</v>
      </c>
      <c r="Z194" s="97">
        <v>43574897.869378746</v>
      </c>
      <c r="AA194" s="97">
        <v>43574897.869378746</v>
      </c>
      <c r="AB194" s="97">
        <v>43574897.869378746</v>
      </c>
      <c r="AC194" s="98">
        <v>43574897.869378746</v>
      </c>
      <c r="AD194" s="877">
        <v>217874489.34689373</v>
      </c>
      <c r="AE194" s="882">
        <v>217721.64129585467</v>
      </c>
    </row>
    <row r="195" spans="24:31" x14ac:dyDescent="0.25">
      <c r="X195" s="99" t="s">
        <v>636</v>
      </c>
      <c r="Y195" s="416">
        <v>81606258.660027161</v>
      </c>
      <c r="Z195" s="97">
        <v>85612007.845110834</v>
      </c>
      <c r="AA195" s="97">
        <v>88005063.476071894</v>
      </c>
      <c r="AB195" s="97">
        <v>90356031.521490753</v>
      </c>
      <c r="AC195" s="98">
        <v>91573603.129742384</v>
      </c>
      <c r="AD195" s="877">
        <v>437152964.63244301</v>
      </c>
      <c r="AE195" s="882">
        <v>438860.19938754657</v>
      </c>
    </row>
    <row r="196" spans="24:31" x14ac:dyDescent="0.25">
      <c r="X196" s="99" t="s">
        <v>272</v>
      </c>
      <c r="Y196" s="416">
        <v>15118212.769949505</v>
      </c>
      <c r="Z196" s="97">
        <v>15118212.769949505</v>
      </c>
      <c r="AA196" s="97">
        <v>15118212.769949505</v>
      </c>
      <c r="AB196" s="97">
        <v>15118212.769949505</v>
      </c>
      <c r="AC196" s="98">
        <v>15118212.769949505</v>
      </c>
      <c r="AD196" s="877">
        <v>75591063.849747524</v>
      </c>
      <c r="AE196" s="882">
        <v>75526.905868741684</v>
      </c>
    </row>
    <row r="197" spans="24:31" x14ac:dyDescent="0.25">
      <c r="X197" s="99" t="s">
        <v>638</v>
      </c>
      <c r="Y197" s="416">
        <v>20521834.496587507</v>
      </c>
      <c r="Z197" s="97">
        <v>20521834.496587507</v>
      </c>
      <c r="AA197" s="97">
        <v>20521834.496587507</v>
      </c>
      <c r="AB197" s="97">
        <v>20521834.496587507</v>
      </c>
      <c r="AC197" s="98">
        <v>20521834.496587507</v>
      </c>
      <c r="AD197" s="877">
        <v>102609172.48293754</v>
      </c>
      <c r="AE197" s="882">
        <v>102611.15240224433</v>
      </c>
    </row>
    <row r="198" spans="24:31" x14ac:dyDescent="0.25">
      <c r="X198" s="99" t="s">
        <v>639</v>
      </c>
      <c r="Y198" s="416">
        <v>12464351.031179957</v>
      </c>
      <c r="Z198" s="97">
        <v>12016619.60338122</v>
      </c>
      <c r="AA198" s="97">
        <v>11995575.810610119</v>
      </c>
      <c r="AB198" s="97">
        <v>12016619.60338122</v>
      </c>
      <c r="AC198" s="98">
        <v>11985053.914224572</v>
      </c>
      <c r="AD198" s="877">
        <v>60478219.962777086</v>
      </c>
      <c r="AE198" s="882">
        <v>61344.433589027263</v>
      </c>
    </row>
    <row r="199" spans="24:31" x14ac:dyDescent="0.25">
      <c r="X199" s="99" t="s">
        <v>675</v>
      </c>
      <c r="Y199" s="416">
        <v>6475597.0592646832</v>
      </c>
      <c r="Z199" s="97">
        <v>6775597.0592646832</v>
      </c>
      <c r="AA199" s="97">
        <v>6775597.0592646832</v>
      </c>
      <c r="AB199" s="97">
        <v>7075597.0592646832</v>
      </c>
      <c r="AC199" s="98">
        <v>7075597.0592646832</v>
      </c>
      <c r="AD199" s="877">
        <v>34177985.296323419</v>
      </c>
      <c r="AE199" s="882">
        <v>34177.20003949794</v>
      </c>
    </row>
    <row r="200" spans="24:31" ht="15.75" thickBot="1" x14ac:dyDescent="0.3">
      <c r="X200" s="116" t="s">
        <v>688</v>
      </c>
      <c r="Y200" s="467">
        <v>0</v>
      </c>
      <c r="Z200" s="117">
        <v>782551.95625698252</v>
      </c>
      <c r="AA200" s="117">
        <v>1375352.0791656629</v>
      </c>
      <c r="AB200" s="117">
        <v>5096286.8455668632</v>
      </c>
      <c r="AC200" s="118">
        <v>12387756.838960703</v>
      </c>
      <c r="AD200" s="878">
        <v>19641947.719950214</v>
      </c>
      <c r="AE200" s="884">
        <v>19641.947719950207</v>
      </c>
    </row>
    <row r="202" spans="24:31" ht="15.75" thickBot="1" x14ac:dyDescent="0.3">
      <c r="Y202" t="s">
        <v>801</v>
      </c>
    </row>
    <row r="203" spans="24:31" ht="25.5" thickBot="1" x14ac:dyDescent="0.3">
      <c r="X203" s="879" t="s">
        <v>650</v>
      </c>
      <c r="Y203" s="880" t="s">
        <v>422</v>
      </c>
      <c r="Z203" s="880" t="s">
        <v>423</v>
      </c>
      <c r="AA203" s="880" t="s">
        <v>424</v>
      </c>
      <c r="AB203" s="880" t="s">
        <v>425</v>
      </c>
      <c r="AC203" s="881" t="s">
        <v>426</v>
      </c>
      <c r="AD203" s="881"/>
    </row>
    <row r="204" spans="24:31" x14ac:dyDescent="0.25">
      <c r="X204" s="124" t="s">
        <v>268</v>
      </c>
      <c r="Y204" s="415">
        <f>Y172-Y193</f>
        <v>2943308.8344547153</v>
      </c>
      <c r="Z204" s="79">
        <f t="shared" ref="Z204:AC204" si="92">Z172-Z193</f>
        <v>2943308.8344547153</v>
      </c>
      <c r="AA204" s="79">
        <f t="shared" si="92"/>
        <v>2943308.8344547153</v>
      </c>
      <c r="AB204" s="79">
        <f t="shared" si="92"/>
        <v>2943308.8344547153</v>
      </c>
      <c r="AC204" s="80">
        <f t="shared" si="92"/>
        <v>2943308.8344547153</v>
      </c>
      <c r="AD204" s="876">
        <f>SUM(Y204:AC204)</f>
        <v>14716544.172273576</v>
      </c>
    </row>
    <row r="205" spans="24:31" x14ac:dyDescent="0.25">
      <c r="X205" s="99" t="s">
        <v>637</v>
      </c>
      <c r="Y205" s="416">
        <f t="shared" ref="Y205:AC205" si="93">Y173-Y194</f>
        <v>0</v>
      </c>
      <c r="Z205" s="97">
        <f t="shared" si="93"/>
        <v>0</v>
      </c>
      <c r="AA205" s="97">
        <f t="shared" si="93"/>
        <v>0</v>
      </c>
      <c r="AB205" s="97">
        <f t="shared" si="93"/>
        <v>0</v>
      </c>
      <c r="AC205" s="98">
        <f t="shared" si="93"/>
        <v>0</v>
      </c>
      <c r="AD205" s="877">
        <f t="shared" ref="AD205:AD211" si="94">SUM(Y205:AC205)</f>
        <v>0</v>
      </c>
    </row>
    <row r="206" spans="24:31" x14ac:dyDescent="0.25">
      <c r="X206" s="99" t="s">
        <v>636</v>
      </c>
      <c r="Y206" s="416">
        <f t="shared" ref="Y206:AC206" si="95">Y174-Y195</f>
        <v>-161.73619763553143</v>
      </c>
      <c r="Z206" s="97">
        <f t="shared" si="95"/>
        <v>122.67525552213192</v>
      </c>
      <c r="AA206" s="97">
        <f t="shared" si="95"/>
        <v>72.772515326738358</v>
      </c>
      <c r="AB206" s="97">
        <f t="shared" si="95"/>
        <v>-13.463393837213516</v>
      </c>
      <c r="AC206" s="98">
        <f t="shared" si="95"/>
        <v>-20.248179405927658</v>
      </c>
      <c r="AD206" s="877">
        <f t="shared" si="94"/>
        <v>-2.9802322387695313E-8</v>
      </c>
    </row>
    <row r="207" spans="24:31" x14ac:dyDescent="0.25">
      <c r="X207" s="99" t="s">
        <v>272</v>
      </c>
      <c r="Y207" s="416">
        <f t="shared" ref="Y207:AC207" si="96">Y175-Y196</f>
        <v>0</v>
      </c>
      <c r="Z207" s="97">
        <f t="shared" si="96"/>
        <v>0</v>
      </c>
      <c r="AA207" s="97">
        <f t="shared" si="96"/>
        <v>0</v>
      </c>
      <c r="AB207" s="97">
        <f t="shared" si="96"/>
        <v>0</v>
      </c>
      <c r="AC207" s="98">
        <f t="shared" si="96"/>
        <v>0</v>
      </c>
      <c r="AD207" s="877">
        <f t="shared" si="94"/>
        <v>0</v>
      </c>
    </row>
    <row r="208" spans="24:31" x14ac:dyDescent="0.25">
      <c r="X208" s="99" t="s">
        <v>638</v>
      </c>
      <c r="Y208" s="416">
        <f t="shared" ref="Y208:AC208" si="97">Y176-Y197</f>
        <v>-2475.7752435319126</v>
      </c>
      <c r="Z208" s="97">
        <f t="shared" si="97"/>
        <v>-2475.7752435319126</v>
      </c>
      <c r="AA208" s="97">
        <f t="shared" si="97"/>
        <v>-2475.7752435319126</v>
      </c>
      <c r="AB208" s="97">
        <f t="shared" si="97"/>
        <v>-2475.7752435319126</v>
      </c>
      <c r="AC208" s="98">
        <f t="shared" si="97"/>
        <v>-2475.7752435319126</v>
      </c>
      <c r="AD208" s="877">
        <f t="shared" si="94"/>
        <v>-12378.876217659563</v>
      </c>
    </row>
    <row r="209" spans="4:31" x14ac:dyDescent="0.25">
      <c r="X209" s="99" t="s">
        <v>639</v>
      </c>
      <c r="Y209" s="416">
        <f t="shared" ref="Y209:AC209" si="98">Y177-Y198</f>
        <v>-240.77676999382675</v>
      </c>
      <c r="Z209" s="97">
        <f t="shared" si="98"/>
        <v>-763.54159403592348</v>
      </c>
      <c r="AA209" s="97">
        <f t="shared" si="98"/>
        <v>-872.54110115207732</v>
      </c>
      <c r="AB209" s="97">
        <f t="shared" si="98"/>
        <v>-945.20743923448026</v>
      </c>
      <c r="AC209" s="98">
        <f t="shared" si="98"/>
        <v>-1017.8737773150206</v>
      </c>
      <c r="AD209" s="877">
        <f t="shared" si="94"/>
        <v>-3839.9406817313284</v>
      </c>
    </row>
    <row r="210" spans="4:31" x14ac:dyDescent="0.25">
      <c r="X210" s="99" t="s">
        <v>675</v>
      </c>
      <c r="Y210" s="416">
        <f t="shared" ref="Y210:AC210" si="99">Y178-Y199</f>
        <v>0</v>
      </c>
      <c r="Z210" s="97">
        <f t="shared" si="99"/>
        <v>0</v>
      </c>
      <c r="AA210" s="97">
        <f t="shared" si="99"/>
        <v>0</v>
      </c>
      <c r="AB210" s="97">
        <f t="shared" si="99"/>
        <v>0</v>
      </c>
      <c r="AC210" s="98">
        <f t="shared" si="99"/>
        <v>0</v>
      </c>
      <c r="AD210" s="877">
        <f t="shared" si="94"/>
        <v>0</v>
      </c>
    </row>
    <row r="211" spans="4:31" ht="15.75" thickBot="1" x14ac:dyDescent="0.3">
      <c r="X211" s="116" t="s">
        <v>688</v>
      </c>
      <c r="Y211" s="467">
        <f t="shared" ref="Y211:AC211" si="100">Y179-Y200</f>
        <v>0</v>
      </c>
      <c r="Z211" s="117">
        <f t="shared" si="100"/>
        <v>0</v>
      </c>
      <c r="AA211" s="117">
        <f t="shared" si="100"/>
        <v>0</v>
      </c>
      <c r="AB211" s="117">
        <f t="shared" si="100"/>
        <v>0</v>
      </c>
      <c r="AC211" s="118">
        <f t="shared" si="100"/>
        <v>0</v>
      </c>
      <c r="AD211" s="878">
        <f t="shared" si="94"/>
        <v>0</v>
      </c>
    </row>
    <row r="213" spans="4:31" x14ac:dyDescent="0.25">
      <c r="D213" t="s">
        <v>802</v>
      </c>
      <c r="W213" t="b">
        <f>ROUND(AE213,0)=ROUND(SUMIF($X$172:$X$179,X213,$AE$172:$AE$179),0)</f>
        <v>1</v>
      </c>
      <c r="X213" s="99" t="s">
        <v>638</v>
      </c>
      <c r="Y213">
        <v>20519.359</v>
      </c>
      <c r="Z213">
        <v>20519.359</v>
      </c>
      <c r="AA213">
        <v>20519.359</v>
      </c>
      <c r="AB213">
        <v>20519.359</v>
      </c>
      <c r="AC213">
        <v>20519.359</v>
      </c>
      <c r="AE213" s="886">
        <f>SUM(Y213:AC213)</f>
        <v>102596.795</v>
      </c>
    </row>
    <row r="214" spans="4:31" x14ac:dyDescent="0.25">
      <c r="D214" t="s">
        <v>803</v>
      </c>
      <c r="W214" t="b">
        <f t="shared" ref="W214:W220" si="101">ROUND(AE214,0)=ROUND(SUMIF($X$172:$X$179,X214,$AE$172:$AE$179),0)</f>
        <v>1</v>
      </c>
      <c r="X214" s="99" t="s">
        <v>675</v>
      </c>
      <c r="Y214">
        <v>6475.5969999999998</v>
      </c>
      <c r="Z214">
        <v>6775.5969999999998</v>
      </c>
      <c r="AA214">
        <v>6775.5969999999998</v>
      </c>
      <c r="AB214">
        <v>7075.5969999999998</v>
      </c>
      <c r="AC214">
        <v>7075.5969999999998</v>
      </c>
      <c r="AE214" s="882">
        <f t="shared" ref="AE214:AE220" si="102">SUM(Y214:AC214)</f>
        <v>34177.985000000001</v>
      </c>
    </row>
    <row r="215" spans="4:31" x14ac:dyDescent="0.25">
      <c r="D215" t="s">
        <v>804</v>
      </c>
      <c r="W215" t="b">
        <f t="shared" si="101"/>
        <v>1</v>
      </c>
      <c r="X215" s="99" t="s">
        <v>636</v>
      </c>
      <c r="Y215">
        <v>81606.096999999994</v>
      </c>
      <c r="Z215">
        <v>85612.130999999994</v>
      </c>
      <c r="AA215">
        <v>88005.135999999999</v>
      </c>
      <c r="AB215">
        <v>90356.017999999996</v>
      </c>
      <c r="AC215">
        <v>91573.582999999999</v>
      </c>
      <c r="AE215" s="882">
        <f t="shared" si="102"/>
        <v>437152.96499999997</v>
      </c>
    </row>
    <row r="216" spans="4:31" ht="15.75" thickBot="1" x14ac:dyDescent="0.3">
      <c r="D216" t="s">
        <v>805</v>
      </c>
      <c r="W216" t="b">
        <f t="shared" si="101"/>
        <v>1</v>
      </c>
      <c r="X216" s="99" t="s">
        <v>639</v>
      </c>
      <c r="Y216">
        <v>12464.11</v>
      </c>
      <c r="Z216">
        <v>12015.856</v>
      </c>
      <c r="AA216">
        <v>11994.703</v>
      </c>
      <c r="AB216">
        <v>12015.674000000001</v>
      </c>
      <c r="AC216">
        <v>11984.036</v>
      </c>
      <c r="AE216" s="882">
        <f t="shared" si="102"/>
        <v>60474.379000000001</v>
      </c>
    </row>
    <row r="217" spans="4:31" x14ac:dyDescent="0.25">
      <c r="D217" t="s">
        <v>806</v>
      </c>
      <c r="W217" t="b">
        <f t="shared" si="101"/>
        <v>1</v>
      </c>
      <c r="X217" s="124" t="s">
        <v>268</v>
      </c>
      <c r="Y217">
        <v>128968.166</v>
      </c>
      <c r="Z217">
        <v>128968.166</v>
      </c>
      <c r="AA217">
        <v>128968.166</v>
      </c>
      <c r="AB217">
        <v>128968.166</v>
      </c>
      <c r="AC217">
        <v>128968.166</v>
      </c>
      <c r="AE217" s="882">
        <f t="shared" si="102"/>
        <v>644840.82999999996</v>
      </c>
    </row>
    <row r="218" spans="4:31" x14ac:dyDescent="0.25">
      <c r="D218" t="s">
        <v>807</v>
      </c>
      <c r="W218" t="b">
        <f t="shared" si="101"/>
        <v>1</v>
      </c>
      <c r="X218" s="99" t="s">
        <v>637</v>
      </c>
      <c r="Y218">
        <v>43574.898000000001</v>
      </c>
      <c r="Z218">
        <v>43574.898000000001</v>
      </c>
      <c r="AA218">
        <v>43574.898000000001</v>
      </c>
      <c r="AB218">
        <v>43574.898000000001</v>
      </c>
      <c r="AC218">
        <v>43574.898000000001</v>
      </c>
      <c r="AE218" s="882">
        <f t="shared" si="102"/>
        <v>217874.49</v>
      </c>
    </row>
    <row r="219" spans="4:31" x14ac:dyDescent="0.25">
      <c r="D219" t="s">
        <v>808</v>
      </c>
      <c r="W219" t="b">
        <f t="shared" si="101"/>
        <v>1</v>
      </c>
      <c r="X219" s="99" t="s">
        <v>272</v>
      </c>
      <c r="Y219">
        <v>15118.213</v>
      </c>
      <c r="Z219">
        <v>15118.213</v>
      </c>
      <c r="AA219">
        <v>15118.213</v>
      </c>
      <c r="AB219">
        <v>15118.213</v>
      </c>
      <c r="AC219">
        <v>15118.213</v>
      </c>
      <c r="AE219" s="882">
        <f t="shared" si="102"/>
        <v>75591.065000000002</v>
      </c>
    </row>
    <row r="220" spans="4:31" ht="15.75" thickBot="1" x14ac:dyDescent="0.3">
      <c r="D220" t="s">
        <v>810</v>
      </c>
      <c r="W220" t="b">
        <f t="shared" si="101"/>
        <v>1</v>
      </c>
      <c r="X220" s="116" t="s">
        <v>688</v>
      </c>
      <c r="Y220">
        <v>0</v>
      </c>
      <c r="Z220">
        <v>782.55195625698298</v>
      </c>
      <c r="AA220">
        <v>1375.3520791656601</v>
      </c>
      <c r="AB220">
        <v>5096.2868455668631</v>
      </c>
      <c r="AC220">
        <v>12387.7568389607</v>
      </c>
      <c r="AE220" s="884">
        <f t="shared" si="102"/>
        <v>19641.947719950207</v>
      </c>
    </row>
    <row r="221" spans="4:31" x14ac:dyDescent="0.25">
      <c r="AE221" s="897">
        <f>SUM(AE213:AE220)</f>
        <v>1592350.4567199501</v>
      </c>
    </row>
    <row r="222" spans="4:31" x14ac:dyDescent="0.25">
      <c r="AE222" s="897">
        <v>1592350456.7718084</v>
      </c>
    </row>
  </sheetData>
  <autoFilter ref="A6:AD140" xr:uid="{8E46B4A9-0560-4277-9DFB-07F12F731AC3}"/>
  <pageMargins left="0.7" right="0.7" top="0.75" bottom="0.75" header="0.3" footer="0.3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6EC8E-C4AA-4695-A67D-8FE3D85F6238}">
  <sheetPr codeName="Sheet2"/>
  <dimension ref="A1:BP140"/>
  <sheetViews>
    <sheetView zoomScaleNormal="100" workbookViewId="0">
      <pane xSplit="3" ySplit="2" topLeftCell="D84" activePane="bottomRight" state="frozen"/>
      <selection pane="topRight" activeCell="D1" sqref="D1"/>
      <selection pane="bottomLeft" activeCell="A3" sqref="A3"/>
      <selection pane="bottomRight" activeCell="S92" sqref="S92"/>
    </sheetView>
  </sheetViews>
  <sheetFormatPr defaultRowHeight="15" x14ac:dyDescent="0.25"/>
  <cols>
    <col min="2" max="2" width="13.7109375" customWidth="1"/>
    <col min="3" max="3" width="31.140625" customWidth="1"/>
    <col min="4" max="7" width="8.85546875" customWidth="1"/>
    <col min="8" max="17" width="10.42578125" customWidth="1"/>
    <col min="18" max="18" width="8.85546875" customWidth="1"/>
    <col min="19" max="19" width="9.5703125" bestFit="1" customWidth="1"/>
  </cols>
  <sheetData>
    <row r="1" spans="1:68" x14ac:dyDescent="0.25">
      <c r="A1" s="1"/>
      <c r="B1" s="1"/>
      <c r="C1" s="1"/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3" t="s">
        <v>0</v>
      </c>
      <c r="U1" s="3" t="s">
        <v>1</v>
      </c>
      <c r="V1" s="3" t="s">
        <v>2</v>
      </c>
      <c r="W1" s="3" t="s">
        <v>3</v>
      </c>
      <c r="X1" s="3" t="s">
        <v>4</v>
      </c>
      <c r="Y1" s="3" t="s">
        <v>5</v>
      </c>
      <c r="Z1" s="3" t="s">
        <v>6</v>
      </c>
      <c r="AA1" s="3" t="s">
        <v>7</v>
      </c>
      <c r="AB1" s="3" t="s">
        <v>8</v>
      </c>
      <c r="AC1" s="3" t="s">
        <v>9</v>
      </c>
      <c r="AD1" s="3" t="s">
        <v>10</v>
      </c>
      <c r="AE1" s="3" t="s">
        <v>11</v>
      </c>
      <c r="AF1" s="3" t="s">
        <v>12</v>
      </c>
      <c r="AG1" s="3" t="s">
        <v>13</v>
      </c>
      <c r="AH1" s="3" t="s">
        <v>14</v>
      </c>
      <c r="AI1" s="3" t="s">
        <v>15</v>
      </c>
      <c r="AJ1" s="4" t="s">
        <v>0</v>
      </c>
      <c r="AK1" s="4" t="s">
        <v>1</v>
      </c>
      <c r="AL1" s="4" t="s">
        <v>2</v>
      </c>
      <c r="AM1" s="4" t="s">
        <v>3</v>
      </c>
      <c r="AN1" s="4" t="s">
        <v>4</v>
      </c>
      <c r="AO1" s="4" t="s">
        <v>5</v>
      </c>
      <c r="AP1" s="4" t="s">
        <v>6</v>
      </c>
      <c r="AQ1" s="4" t="s">
        <v>7</v>
      </c>
      <c r="AR1" s="4" t="s">
        <v>8</v>
      </c>
      <c r="AS1" s="4" t="s">
        <v>9</v>
      </c>
      <c r="AT1" s="4" t="s">
        <v>10</v>
      </c>
      <c r="AU1" s="4" t="s">
        <v>11</v>
      </c>
      <c r="AV1" s="4" t="s">
        <v>12</v>
      </c>
      <c r="AW1" s="4" t="s">
        <v>13</v>
      </c>
      <c r="AX1" s="4" t="s">
        <v>14</v>
      </c>
      <c r="AY1" s="4" t="s">
        <v>15</v>
      </c>
      <c r="AZ1" s="327" t="s">
        <v>0</v>
      </c>
      <c r="BA1" s="327" t="s">
        <v>1</v>
      </c>
      <c r="BB1" s="327" t="s">
        <v>2</v>
      </c>
      <c r="BC1" s="327" t="s">
        <v>3</v>
      </c>
      <c r="BD1" s="327" t="s">
        <v>4</v>
      </c>
      <c r="BE1" s="327" t="s">
        <v>5</v>
      </c>
      <c r="BF1" s="327" t="s">
        <v>6</v>
      </c>
      <c r="BG1" s="327" t="s">
        <v>7</v>
      </c>
      <c r="BH1" s="327" t="s">
        <v>8</v>
      </c>
      <c r="BI1" s="327" t="s">
        <v>9</v>
      </c>
      <c r="BJ1" s="327" t="s">
        <v>10</v>
      </c>
      <c r="BK1" s="327" t="s">
        <v>11</v>
      </c>
      <c r="BL1" s="327" t="s">
        <v>12</v>
      </c>
      <c r="BM1" s="327" t="s">
        <v>13</v>
      </c>
      <c r="BN1" s="327" t="s">
        <v>14</v>
      </c>
      <c r="BO1" s="327" t="s">
        <v>15</v>
      </c>
      <c r="BP1" s="1"/>
    </row>
    <row r="2" spans="1:68" ht="26.25" x14ac:dyDescent="0.25">
      <c r="A2" s="5" t="s">
        <v>16</v>
      </c>
      <c r="B2" s="5" t="s">
        <v>17</v>
      </c>
      <c r="C2" s="5" t="s">
        <v>18</v>
      </c>
      <c r="D2" s="6" t="s">
        <v>19</v>
      </c>
      <c r="E2" s="6" t="s">
        <v>19</v>
      </c>
      <c r="F2" s="6" t="s">
        <v>19</v>
      </c>
      <c r="G2" s="6" t="s">
        <v>19</v>
      </c>
      <c r="H2" s="6" t="s">
        <v>19</v>
      </c>
      <c r="I2" s="6" t="s">
        <v>19</v>
      </c>
      <c r="J2" s="6" t="s">
        <v>19</v>
      </c>
      <c r="K2" s="6" t="s">
        <v>19</v>
      </c>
      <c r="L2" s="6" t="s">
        <v>19</v>
      </c>
      <c r="M2" s="6" t="s">
        <v>19</v>
      </c>
      <c r="N2" s="6" t="s">
        <v>19</v>
      </c>
      <c r="O2" s="6" t="s">
        <v>19</v>
      </c>
      <c r="P2" s="6" t="s">
        <v>19</v>
      </c>
      <c r="Q2" s="6" t="s">
        <v>19</v>
      </c>
      <c r="R2" s="6" t="s">
        <v>19</v>
      </c>
      <c r="S2" s="6" t="s">
        <v>19</v>
      </c>
      <c r="T2" s="7" t="s">
        <v>20</v>
      </c>
      <c r="U2" s="7" t="s">
        <v>20</v>
      </c>
      <c r="V2" s="7" t="s">
        <v>20</v>
      </c>
      <c r="W2" s="7" t="s">
        <v>20</v>
      </c>
      <c r="X2" s="7" t="s">
        <v>20</v>
      </c>
      <c r="Y2" s="7" t="s">
        <v>20</v>
      </c>
      <c r="Z2" s="7" t="s">
        <v>20</v>
      </c>
      <c r="AA2" s="7" t="s">
        <v>20</v>
      </c>
      <c r="AB2" s="7" t="s">
        <v>20</v>
      </c>
      <c r="AC2" s="7" t="s">
        <v>20</v>
      </c>
      <c r="AD2" s="7" t="s">
        <v>20</v>
      </c>
      <c r="AE2" s="7" t="s">
        <v>20</v>
      </c>
      <c r="AF2" s="7" t="s">
        <v>20</v>
      </c>
      <c r="AG2" s="7" t="s">
        <v>20</v>
      </c>
      <c r="AH2" s="7" t="s">
        <v>20</v>
      </c>
      <c r="AI2" s="7" t="s">
        <v>20</v>
      </c>
      <c r="AJ2" s="8" t="s">
        <v>21</v>
      </c>
      <c r="AK2" s="8" t="s">
        <v>21</v>
      </c>
      <c r="AL2" s="8" t="s">
        <v>21</v>
      </c>
      <c r="AM2" s="8" t="s">
        <v>21</v>
      </c>
      <c r="AN2" s="8" t="s">
        <v>21</v>
      </c>
      <c r="AO2" s="8" t="s">
        <v>21</v>
      </c>
      <c r="AP2" s="8" t="s">
        <v>21</v>
      </c>
      <c r="AQ2" s="8" t="s">
        <v>21</v>
      </c>
      <c r="AR2" s="8" t="s">
        <v>21</v>
      </c>
      <c r="AS2" s="8" t="s">
        <v>21</v>
      </c>
      <c r="AT2" s="8" t="s">
        <v>21</v>
      </c>
      <c r="AU2" s="8" t="s">
        <v>21</v>
      </c>
      <c r="AV2" s="8" t="s">
        <v>21</v>
      </c>
      <c r="AW2" s="8" t="s">
        <v>21</v>
      </c>
      <c r="AX2" s="8" t="s">
        <v>21</v>
      </c>
      <c r="AY2" s="8" t="s">
        <v>21</v>
      </c>
      <c r="AZ2" s="328" t="s">
        <v>516</v>
      </c>
      <c r="BA2" s="328" t="s">
        <v>516</v>
      </c>
      <c r="BB2" s="328" t="s">
        <v>516</v>
      </c>
      <c r="BC2" s="328" t="s">
        <v>516</v>
      </c>
      <c r="BD2" s="328" t="s">
        <v>516</v>
      </c>
      <c r="BE2" s="328" t="s">
        <v>516</v>
      </c>
      <c r="BF2" s="328" t="s">
        <v>516</v>
      </c>
      <c r="BG2" s="328" t="s">
        <v>516</v>
      </c>
      <c r="BH2" s="328" t="s">
        <v>516</v>
      </c>
      <c r="BI2" s="328" t="s">
        <v>516</v>
      </c>
      <c r="BJ2" s="328" t="s">
        <v>516</v>
      </c>
      <c r="BK2" s="328" t="s">
        <v>516</v>
      </c>
      <c r="BL2" s="328" t="s">
        <v>516</v>
      </c>
      <c r="BM2" s="328" t="s">
        <v>516</v>
      </c>
      <c r="BN2" s="328" t="s">
        <v>516</v>
      </c>
      <c r="BO2" s="328" t="s">
        <v>516</v>
      </c>
      <c r="BP2" s="9"/>
    </row>
    <row r="3" spans="1:68" x14ac:dyDescent="0.25">
      <c r="A3" s="10" t="s">
        <v>22</v>
      </c>
      <c r="B3" s="10" t="s">
        <v>23</v>
      </c>
      <c r="C3" s="10" t="s">
        <v>24</v>
      </c>
      <c r="D3" s="11">
        <v>2874388.5220000003</v>
      </c>
      <c r="E3" s="11">
        <v>2814378.0079999999</v>
      </c>
      <c r="F3" s="11">
        <v>4646341.4270000001</v>
      </c>
      <c r="G3" s="11">
        <v>3604769.3850000002</v>
      </c>
      <c r="H3" s="11">
        <v>6764679.0460000001</v>
      </c>
      <c r="I3" s="11">
        <v>3825000</v>
      </c>
      <c r="J3" s="11">
        <v>2138245.9109999998</v>
      </c>
      <c r="K3" s="11">
        <v>2649086</v>
      </c>
      <c r="L3" s="11">
        <v>2307540</v>
      </c>
      <c r="M3" s="11">
        <v>5297943.3136</v>
      </c>
      <c r="N3" s="11">
        <v>3694372</v>
      </c>
      <c r="O3" s="11">
        <v>7932323</v>
      </c>
      <c r="P3" s="11">
        <v>7371639</v>
      </c>
      <c r="Q3" s="11">
        <v>9045812</v>
      </c>
      <c r="R3" s="11">
        <v>8954422.3600000069</v>
      </c>
      <c r="S3" s="11">
        <v>9464302.1000000183</v>
      </c>
      <c r="T3" s="12">
        <v>2774</v>
      </c>
      <c r="U3" s="12">
        <v>2794</v>
      </c>
      <c r="V3" s="12">
        <v>2699</v>
      </c>
      <c r="W3" s="12">
        <v>2958</v>
      </c>
      <c r="X3" s="12">
        <v>4061</v>
      </c>
      <c r="Y3" s="12">
        <v>2271</v>
      </c>
      <c r="Z3" s="12">
        <v>1349</v>
      </c>
      <c r="AA3" s="12">
        <v>1873</v>
      </c>
      <c r="AB3" s="12">
        <v>1461</v>
      </c>
      <c r="AC3" s="12">
        <v>1563</v>
      </c>
      <c r="AD3" s="12">
        <v>1101</v>
      </c>
      <c r="AE3" s="12">
        <v>4997</v>
      </c>
      <c r="AF3" s="12">
        <v>4542</v>
      </c>
      <c r="AG3" s="12">
        <v>5172</v>
      </c>
      <c r="AH3" s="12">
        <v>4260</v>
      </c>
      <c r="AI3" s="12">
        <v>6395</v>
      </c>
      <c r="AJ3" s="13">
        <v>66</v>
      </c>
      <c r="AK3" s="13">
        <v>115</v>
      </c>
      <c r="AL3" s="13">
        <v>139</v>
      </c>
      <c r="AM3" s="13">
        <v>187</v>
      </c>
      <c r="AN3" s="13">
        <v>259</v>
      </c>
      <c r="AO3" s="13">
        <v>137</v>
      </c>
      <c r="AP3" s="13">
        <v>85</v>
      </c>
      <c r="AQ3" s="13">
        <v>117</v>
      </c>
      <c r="AR3" s="13">
        <v>90</v>
      </c>
      <c r="AS3" s="13">
        <v>0</v>
      </c>
      <c r="AT3" s="13">
        <v>0</v>
      </c>
      <c r="AU3" s="13">
        <v>0</v>
      </c>
      <c r="AV3" s="13">
        <v>0</v>
      </c>
      <c r="AW3" s="13">
        <v>0</v>
      </c>
      <c r="AX3" s="13">
        <v>0</v>
      </c>
      <c r="AY3" s="13"/>
      <c r="AZ3" s="329">
        <f t="shared" ref="AZ3:AZ34" si="0">IFERROR(D3/T3,"")</f>
        <v>1036.1890850757031</v>
      </c>
      <c r="BA3" s="329">
        <f t="shared" ref="BA3:BA34" si="1">IFERROR(E3/U3,"")</f>
        <v>1007.2934889047959</v>
      </c>
      <c r="BB3" s="329">
        <f t="shared" ref="BB3:BB34" si="2">IFERROR(F3/V3,"")</f>
        <v>1721.5047895516859</v>
      </c>
      <c r="BC3" s="329">
        <f t="shared" ref="BC3:BC34" si="3">IFERROR(G3/W3,"")</f>
        <v>1218.6509077079108</v>
      </c>
      <c r="BD3" s="329">
        <f t="shared" ref="BD3:BD34" si="4">IFERROR(H3/X3,"")</f>
        <v>1665.7668175326276</v>
      </c>
      <c r="BE3" s="329">
        <f t="shared" ref="BE3:BE34" si="5">IFERROR(I3/Y3,"")</f>
        <v>1684.2800528401585</v>
      </c>
      <c r="BF3" s="329">
        <f t="shared" ref="BF3:BF34" si="6">IFERROR(J3/Z3,"")</f>
        <v>1585.0599785025945</v>
      </c>
      <c r="BG3" s="329">
        <f t="shared" ref="BG3:BG34" si="7">IFERROR(K3/AA3,"")</f>
        <v>1414.3545114789108</v>
      </c>
      <c r="BH3" s="329">
        <f t="shared" ref="BH3:BH34" si="8">IFERROR(L3/AB3,"")</f>
        <v>1579.4250513347022</v>
      </c>
      <c r="BI3" s="329">
        <f t="shared" ref="BI3:BI34" si="9">IFERROR(M3/AC3,"")</f>
        <v>3389.5990490083173</v>
      </c>
      <c r="BJ3" s="329">
        <f t="shared" ref="BJ3:BJ34" si="10">IFERROR(N3/AD3,"")</f>
        <v>3355.4695731153497</v>
      </c>
      <c r="BK3" s="329">
        <f t="shared" ref="BK3:BK34" si="11">IFERROR(O3/AE3,"")</f>
        <v>1587.4170502301381</v>
      </c>
      <c r="BL3" s="329">
        <f t="shared" ref="BL3:BL34" si="12">IFERROR(P3/AF3,"")</f>
        <v>1622.9940554821665</v>
      </c>
      <c r="BM3" s="329">
        <f t="shared" ref="BM3:BM34" si="13">IFERROR(Q3/AG3,"")</f>
        <v>1748.9969064191803</v>
      </c>
      <c r="BN3" s="329">
        <f t="shared" ref="BN3:BN66" si="14">IFERROR(R3/AH3,"")</f>
        <v>2101.9770798122081</v>
      </c>
      <c r="BO3" s="329">
        <f t="shared" ref="BO3:BO66" si="15">IFERROR(S3/AI3,"")</f>
        <v>1479.9534167318245</v>
      </c>
      <c r="BP3" t="s">
        <v>22</v>
      </c>
    </row>
    <row r="4" spans="1:68" x14ac:dyDescent="0.25">
      <c r="A4" s="10" t="s">
        <v>25</v>
      </c>
      <c r="B4" s="10"/>
      <c r="C4" s="10" t="s">
        <v>26</v>
      </c>
      <c r="D4" s="11">
        <v>816794.63009999995</v>
      </c>
      <c r="E4" s="11">
        <v>1128184.5829999999</v>
      </c>
      <c r="F4" s="11">
        <v>2472283.2010000004</v>
      </c>
      <c r="G4" s="11">
        <v>2721425.1410000003</v>
      </c>
      <c r="H4" s="11">
        <v>3529755.5860000001</v>
      </c>
      <c r="I4" s="11">
        <v>3488000</v>
      </c>
      <c r="J4" s="11">
        <v>4551605.409</v>
      </c>
      <c r="K4" s="11">
        <v>4778141</v>
      </c>
      <c r="L4" s="11">
        <v>8572772</v>
      </c>
      <c r="M4" s="11">
        <v>12016645.509</v>
      </c>
      <c r="N4" s="11">
        <v>15981217</v>
      </c>
      <c r="O4" s="11">
        <v>29700802.109999999</v>
      </c>
      <c r="P4" s="11">
        <v>31189088</v>
      </c>
      <c r="Q4" s="11">
        <v>33585766</v>
      </c>
      <c r="R4" s="11">
        <v>33333818</v>
      </c>
      <c r="S4" s="11">
        <v>34387558</v>
      </c>
      <c r="T4" s="12">
        <v>507</v>
      </c>
      <c r="U4" s="12">
        <v>637</v>
      </c>
      <c r="V4" s="12">
        <v>722</v>
      </c>
      <c r="W4" s="12">
        <v>1028</v>
      </c>
      <c r="X4" s="12">
        <v>899</v>
      </c>
      <c r="Y4" s="12">
        <v>808</v>
      </c>
      <c r="Z4" s="12">
        <v>1012</v>
      </c>
      <c r="AA4" s="12">
        <v>974</v>
      </c>
      <c r="AB4" s="12">
        <v>1573</v>
      </c>
      <c r="AC4" s="12">
        <v>2258</v>
      </c>
      <c r="AD4" s="12">
        <v>2957</v>
      </c>
      <c r="AE4" s="12">
        <v>5945</v>
      </c>
      <c r="AF4" s="12">
        <v>6319</v>
      </c>
      <c r="AG4" s="12">
        <v>6325</v>
      </c>
      <c r="AH4" s="12">
        <v>5163</v>
      </c>
      <c r="AI4" s="12">
        <v>4676</v>
      </c>
      <c r="AJ4" s="13">
        <v>63</v>
      </c>
      <c r="AK4" s="13">
        <v>78</v>
      </c>
      <c r="AL4" s="13">
        <v>70</v>
      </c>
      <c r="AM4" s="13">
        <v>133</v>
      </c>
      <c r="AN4" s="13">
        <v>109</v>
      </c>
      <c r="AO4" s="13">
        <v>73</v>
      </c>
      <c r="AP4" s="13">
        <v>20</v>
      </c>
      <c r="AQ4" s="13">
        <v>42</v>
      </c>
      <c r="AR4" s="13">
        <v>114</v>
      </c>
      <c r="AS4" s="13">
        <v>6</v>
      </c>
      <c r="AT4" s="13">
        <v>5</v>
      </c>
      <c r="AU4" s="13">
        <v>17</v>
      </c>
      <c r="AV4" s="13">
        <v>12</v>
      </c>
      <c r="AW4" s="13">
        <v>11</v>
      </c>
      <c r="AX4" s="13">
        <v>5</v>
      </c>
      <c r="AY4" s="13"/>
      <c r="AZ4" s="329">
        <f t="shared" si="0"/>
        <v>1611.034773372781</v>
      </c>
      <c r="BA4" s="329">
        <f t="shared" si="1"/>
        <v>1771.0903971742541</v>
      </c>
      <c r="BB4" s="329">
        <f t="shared" si="2"/>
        <v>3424.2149598337955</v>
      </c>
      <c r="BC4" s="329">
        <f t="shared" si="3"/>
        <v>2647.3007208171207</v>
      </c>
      <c r="BD4" s="329">
        <f t="shared" si="4"/>
        <v>3926.3132213570634</v>
      </c>
      <c r="BE4" s="329">
        <f t="shared" si="5"/>
        <v>4316.8316831683169</v>
      </c>
      <c r="BF4" s="329">
        <f t="shared" si="6"/>
        <v>4497.633803359684</v>
      </c>
      <c r="BG4" s="329">
        <f t="shared" si="7"/>
        <v>4905.688911704312</v>
      </c>
      <c r="BH4" s="329">
        <f t="shared" si="8"/>
        <v>5449.9504132231405</v>
      </c>
      <c r="BI4" s="329">
        <f t="shared" si="9"/>
        <v>5321.8093485385298</v>
      </c>
      <c r="BJ4" s="329">
        <f t="shared" si="10"/>
        <v>5404.5373689550224</v>
      </c>
      <c r="BK4" s="329">
        <f t="shared" si="11"/>
        <v>4995.9297073170728</v>
      </c>
      <c r="BL4" s="329">
        <f t="shared" si="12"/>
        <v>4935.7632536793799</v>
      </c>
      <c r="BM4" s="329">
        <f t="shared" si="13"/>
        <v>5310.0025296442691</v>
      </c>
      <c r="BN4" s="329">
        <f t="shared" si="14"/>
        <v>6456.2885919039318</v>
      </c>
      <c r="BO4" s="329">
        <f t="shared" si="15"/>
        <v>7354.0543199315653</v>
      </c>
      <c r="BP4" t="s">
        <v>27</v>
      </c>
    </row>
    <row r="5" spans="1:68" x14ac:dyDescent="0.25">
      <c r="A5" s="10" t="s">
        <v>28</v>
      </c>
      <c r="B5" s="10"/>
      <c r="C5" s="10" t="s">
        <v>29</v>
      </c>
      <c r="D5" s="11">
        <v>765782.02780000004</v>
      </c>
      <c r="E5" s="11">
        <v>1057723.8560000001</v>
      </c>
      <c r="F5" s="11">
        <v>2317884.571</v>
      </c>
      <c r="G5" s="11">
        <v>2551463.5750000002</v>
      </c>
      <c r="H5" s="11">
        <v>3309307.4169999999</v>
      </c>
      <c r="I5" s="11">
        <v>3270000</v>
      </c>
      <c r="J5" s="11">
        <v>4574736.0970000001</v>
      </c>
      <c r="K5" s="11">
        <v>4800567</v>
      </c>
      <c r="L5" s="11">
        <v>2483620</v>
      </c>
      <c r="M5" s="11">
        <v>12514760.5506</v>
      </c>
      <c r="N5" s="11">
        <v>15163178</v>
      </c>
      <c r="O5" s="11">
        <v>22880398.48</v>
      </c>
      <c r="P5" s="11">
        <v>26216795</v>
      </c>
      <c r="Q5" s="11">
        <v>21888782</v>
      </c>
      <c r="R5" s="11">
        <v>26139662</v>
      </c>
      <c r="S5" s="11">
        <v>33035416</v>
      </c>
      <c r="T5" s="12">
        <v>357</v>
      </c>
      <c r="U5" s="12">
        <v>448</v>
      </c>
      <c r="V5" s="12">
        <v>508</v>
      </c>
      <c r="W5" s="12">
        <v>723</v>
      </c>
      <c r="X5" s="12">
        <v>632</v>
      </c>
      <c r="Y5" s="12">
        <v>568</v>
      </c>
      <c r="Z5" s="12">
        <v>712</v>
      </c>
      <c r="AA5" s="12">
        <v>685</v>
      </c>
      <c r="AB5" s="12">
        <v>319</v>
      </c>
      <c r="AC5" s="12">
        <v>1634</v>
      </c>
      <c r="AD5" s="12">
        <v>1971</v>
      </c>
      <c r="AE5" s="12">
        <v>3484</v>
      </c>
      <c r="AF5" s="12">
        <v>4318</v>
      </c>
      <c r="AG5" s="12">
        <v>3703</v>
      </c>
      <c r="AH5" s="12">
        <v>3695</v>
      </c>
      <c r="AI5" s="12">
        <v>3963</v>
      </c>
      <c r="AJ5" s="13">
        <v>27</v>
      </c>
      <c r="AK5" s="13">
        <v>33</v>
      </c>
      <c r="AL5" s="13">
        <v>38</v>
      </c>
      <c r="AM5" s="13">
        <v>50</v>
      </c>
      <c r="AN5" s="13">
        <v>46</v>
      </c>
      <c r="AO5" s="13">
        <v>36</v>
      </c>
      <c r="AP5" s="13">
        <v>27</v>
      </c>
      <c r="AQ5" s="13">
        <v>88</v>
      </c>
      <c r="AR5" s="13">
        <v>63</v>
      </c>
      <c r="AS5" s="13">
        <v>14</v>
      </c>
      <c r="AT5" s="13">
        <v>19</v>
      </c>
      <c r="AU5" s="13">
        <v>25</v>
      </c>
      <c r="AV5" s="13">
        <v>9</v>
      </c>
      <c r="AW5" s="13">
        <v>17</v>
      </c>
      <c r="AX5" s="13">
        <v>19</v>
      </c>
      <c r="AY5" s="13"/>
      <c r="AZ5" s="329">
        <f t="shared" si="0"/>
        <v>2145.0476969187675</v>
      </c>
      <c r="BA5" s="329">
        <f t="shared" si="1"/>
        <v>2360.9907500000004</v>
      </c>
      <c r="BB5" s="329">
        <f t="shared" si="2"/>
        <v>4562.7649035433069</v>
      </c>
      <c r="BC5" s="329">
        <f t="shared" si="3"/>
        <v>3528.9952627939147</v>
      </c>
      <c r="BD5" s="329">
        <f t="shared" si="4"/>
        <v>5236.2459129746831</v>
      </c>
      <c r="BE5" s="329">
        <f t="shared" si="5"/>
        <v>5757.0422535211264</v>
      </c>
      <c r="BF5" s="329">
        <f t="shared" si="6"/>
        <v>6425.19114747191</v>
      </c>
      <c r="BG5" s="329">
        <f t="shared" si="7"/>
        <v>7008.1270072992702</v>
      </c>
      <c r="BH5" s="329">
        <f t="shared" si="8"/>
        <v>7785.6426332288402</v>
      </c>
      <c r="BI5" s="329">
        <f t="shared" si="9"/>
        <v>7658.9721851897184</v>
      </c>
      <c r="BJ5" s="329">
        <f t="shared" si="10"/>
        <v>7693.1395230847284</v>
      </c>
      <c r="BK5" s="329">
        <f t="shared" si="11"/>
        <v>6567.2785533869119</v>
      </c>
      <c r="BL5" s="329">
        <f t="shared" si="12"/>
        <v>6071.5134321445112</v>
      </c>
      <c r="BM5" s="329">
        <f t="shared" si="13"/>
        <v>5911.0942479071027</v>
      </c>
      <c r="BN5" s="329">
        <f t="shared" si="14"/>
        <v>7074.3334235453312</v>
      </c>
      <c r="BO5" s="329">
        <f t="shared" si="15"/>
        <v>8335.961645218269</v>
      </c>
      <c r="BP5" t="s">
        <v>27</v>
      </c>
    </row>
    <row r="6" spans="1:68" x14ac:dyDescent="0.25">
      <c r="A6" s="10" t="s">
        <v>30</v>
      </c>
      <c r="B6" s="10"/>
      <c r="C6" s="10" t="s">
        <v>31</v>
      </c>
      <c r="D6" s="11">
        <v>2425184.2220000001</v>
      </c>
      <c r="E6" s="11">
        <v>3349749.571</v>
      </c>
      <c r="F6" s="11">
        <v>7340588.1109999996</v>
      </c>
      <c r="G6" s="11">
        <v>8080319.1519999998</v>
      </c>
      <c r="H6" s="11">
        <v>10480365.67</v>
      </c>
      <c r="I6" s="11">
        <v>10357000</v>
      </c>
      <c r="J6" s="11">
        <v>15199753.437999999</v>
      </c>
      <c r="K6" s="11">
        <v>15953302</v>
      </c>
      <c r="L6" s="11">
        <v>18246434</v>
      </c>
      <c r="M6" s="11">
        <v>12514760.5506</v>
      </c>
      <c r="N6" s="11">
        <v>15163178</v>
      </c>
      <c r="O6" s="11">
        <v>22880398.48</v>
      </c>
      <c r="P6" s="11">
        <v>26216795</v>
      </c>
      <c r="Q6" s="11">
        <v>21888782</v>
      </c>
      <c r="R6" s="11">
        <v>26139662</v>
      </c>
      <c r="S6" s="11">
        <v>33035416</v>
      </c>
      <c r="T6" s="12">
        <v>1129</v>
      </c>
      <c r="U6" s="12">
        <v>1418</v>
      </c>
      <c r="V6" s="12">
        <v>1608</v>
      </c>
      <c r="W6" s="12">
        <v>2289</v>
      </c>
      <c r="X6" s="12">
        <v>2002</v>
      </c>
      <c r="Y6" s="12">
        <v>1800</v>
      </c>
      <c r="Z6" s="12">
        <v>2253</v>
      </c>
      <c r="AA6" s="12">
        <v>2168</v>
      </c>
      <c r="AB6" s="12">
        <v>2232</v>
      </c>
      <c r="AC6" s="12">
        <v>1634</v>
      </c>
      <c r="AD6" s="12">
        <v>1971</v>
      </c>
      <c r="AE6" s="12">
        <v>3484</v>
      </c>
      <c r="AF6" s="12">
        <v>4318</v>
      </c>
      <c r="AG6" s="12">
        <v>3703</v>
      </c>
      <c r="AH6" s="12">
        <v>3695</v>
      </c>
      <c r="AI6" s="12">
        <v>3963</v>
      </c>
      <c r="AJ6" s="13">
        <v>124</v>
      </c>
      <c r="AK6" s="13">
        <v>156</v>
      </c>
      <c r="AL6" s="13">
        <v>142</v>
      </c>
      <c r="AM6" s="13">
        <v>285</v>
      </c>
      <c r="AN6" s="13">
        <v>227</v>
      </c>
      <c r="AO6" s="13">
        <v>145</v>
      </c>
      <c r="AP6" s="13">
        <v>7</v>
      </c>
      <c r="AQ6" s="13">
        <v>13</v>
      </c>
      <c r="AR6" s="13">
        <v>224</v>
      </c>
      <c r="AS6" s="13">
        <v>31</v>
      </c>
      <c r="AT6" s="13">
        <v>70</v>
      </c>
      <c r="AU6" s="13">
        <v>63</v>
      </c>
      <c r="AV6" s="13">
        <v>68</v>
      </c>
      <c r="AW6" s="13">
        <v>72</v>
      </c>
      <c r="AX6" s="13">
        <v>59</v>
      </c>
      <c r="AY6" s="13"/>
      <c r="AZ6" s="329">
        <f t="shared" si="0"/>
        <v>2148.0816846767052</v>
      </c>
      <c r="BA6" s="329">
        <f t="shared" si="1"/>
        <v>2362.3057623413256</v>
      </c>
      <c r="BB6" s="329">
        <f t="shared" si="2"/>
        <v>4565.0423575870645</v>
      </c>
      <c r="BC6" s="329">
        <f t="shared" si="3"/>
        <v>3530.0651603320225</v>
      </c>
      <c r="BD6" s="329">
        <f t="shared" si="4"/>
        <v>5234.9478871128867</v>
      </c>
      <c r="BE6" s="329">
        <f t="shared" si="5"/>
        <v>5753.8888888888887</v>
      </c>
      <c r="BF6" s="329">
        <f t="shared" si="6"/>
        <v>6746.4507048379937</v>
      </c>
      <c r="BG6" s="329">
        <f t="shared" si="7"/>
        <v>7358.5341328413288</v>
      </c>
      <c r="BH6" s="329">
        <f t="shared" si="8"/>
        <v>8174.9256272401435</v>
      </c>
      <c r="BI6" s="329">
        <f t="shared" si="9"/>
        <v>7658.9721851897184</v>
      </c>
      <c r="BJ6" s="329">
        <f t="shared" si="10"/>
        <v>7693.1395230847284</v>
      </c>
      <c r="BK6" s="329">
        <f t="shared" si="11"/>
        <v>6567.2785533869119</v>
      </c>
      <c r="BL6" s="329">
        <f t="shared" si="12"/>
        <v>6071.5134321445112</v>
      </c>
      <c r="BM6" s="329">
        <f t="shared" si="13"/>
        <v>5911.0942479071027</v>
      </c>
      <c r="BN6" s="329">
        <f t="shared" si="14"/>
        <v>7074.3334235453312</v>
      </c>
      <c r="BO6" s="329">
        <f t="shared" si="15"/>
        <v>8335.961645218269</v>
      </c>
      <c r="BP6" t="s">
        <v>27</v>
      </c>
    </row>
    <row r="7" spans="1:68" x14ac:dyDescent="0.25">
      <c r="A7" s="10" t="s">
        <v>32</v>
      </c>
      <c r="B7" s="10"/>
      <c r="C7" s="10" t="s">
        <v>33</v>
      </c>
      <c r="D7" s="11">
        <v>1435065.6580000001</v>
      </c>
      <c r="E7" s="11">
        <v>1433420.7660000001</v>
      </c>
      <c r="F7" s="11">
        <v>2669083.2990000001</v>
      </c>
      <c r="G7" s="11">
        <v>3412789.0550000002</v>
      </c>
      <c r="H7" s="11">
        <v>5614111.3090000004</v>
      </c>
      <c r="I7" s="11">
        <v>4814000</v>
      </c>
      <c r="J7" s="11">
        <v>7409111.5700000003</v>
      </c>
      <c r="K7" s="11">
        <v>4446818</v>
      </c>
      <c r="L7" s="11">
        <v>5082090</v>
      </c>
      <c r="M7" s="11">
        <v>4531095.5367999999</v>
      </c>
      <c r="N7" s="11">
        <v>6486921</v>
      </c>
      <c r="O7" s="11">
        <v>10367822</v>
      </c>
      <c r="P7" s="11">
        <v>10330814</v>
      </c>
      <c r="Q7" s="11">
        <v>7534581</v>
      </c>
      <c r="R7" s="11">
        <v>9230787</v>
      </c>
      <c r="S7" s="11">
        <v>12727991</v>
      </c>
      <c r="T7" s="12">
        <v>171</v>
      </c>
      <c r="U7" s="12">
        <v>161</v>
      </c>
      <c r="V7" s="12">
        <v>191</v>
      </c>
      <c r="W7" s="12">
        <v>331</v>
      </c>
      <c r="X7" s="12">
        <v>310</v>
      </c>
      <c r="Y7" s="12">
        <v>248</v>
      </c>
      <c r="Z7" s="12">
        <v>341</v>
      </c>
      <c r="AA7" s="12">
        <v>241</v>
      </c>
      <c r="AB7" s="12">
        <v>232</v>
      </c>
      <c r="AC7" s="12">
        <v>307</v>
      </c>
      <c r="AD7" s="12">
        <v>539</v>
      </c>
      <c r="AE7" s="12">
        <v>758</v>
      </c>
      <c r="AF7" s="12">
        <v>1132</v>
      </c>
      <c r="AG7" s="12">
        <v>780</v>
      </c>
      <c r="AH7" s="12">
        <v>599</v>
      </c>
      <c r="AI7" s="12">
        <v>758</v>
      </c>
      <c r="AJ7" s="13">
        <v>16</v>
      </c>
      <c r="AK7" s="13">
        <v>18</v>
      </c>
      <c r="AL7" s="13">
        <v>7</v>
      </c>
      <c r="AM7" s="13">
        <v>21</v>
      </c>
      <c r="AN7" s="13">
        <v>18</v>
      </c>
      <c r="AO7" s="13">
        <v>14</v>
      </c>
      <c r="AP7" s="13">
        <v>20</v>
      </c>
      <c r="AQ7" s="13">
        <v>10</v>
      </c>
      <c r="AR7" s="13">
        <v>18</v>
      </c>
      <c r="AS7" s="13">
        <v>3</v>
      </c>
      <c r="AT7" s="13">
        <v>13</v>
      </c>
      <c r="AU7" s="13">
        <v>10</v>
      </c>
      <c r="AV7" s="13">
        <v>9</v>
      </c>
      <c r="AW7" s="13">
        <v>14</v>
      </c>
      <c r="AX7" s="13">
        <v>8</v>
      </c>
      <c r="AY7" s="13"/>
      <c r="AZ7" s="329">
        <f t="shared" si="0"/>
        <v>8392.1968304093571</v>
      </c>
      <c r="BA7" s="329">
        <f t="shared" si="1"/>
        <v>8903.2345714285711</v>
      </c>
      <c r="BB7" s="329">
        <f t="shared" si="2"/>
        <v>13974.258109947645</v>
      </c>
      <c r="BC7" s="329">
        <f t="shared" si="3"/>
        <v>10310.540951661633</v>
      </c>
      <c r="BD7" s="329">
        <f t="shared" si="4"/>
        <v>18110.036480645162</v>
      </c>
      <c r="BE7" s="329">
        <f t="shared" si="5"/>
        <v>19411.290322580644</v>
      </c>
      <c r="BF7" s="329">
        <f t="shared" si="6"/>
        <v>21727.599912023463</v>
      </c>
      <c r="BG7" s="329">
        <f t="shared" si="7"/>
        <v>18451.526970954357</v>
      </c>
      <c r="BH7" s="329">
        <f t="shared" si="8"/>
        <v>21905.560344827587</v>
      </c>
      <c r="BI7" s="329">
        <f t="shared" si="9"/>
        <v>14759.2688495114</v>
      </c>
      <c r="BJ7" s="329">
        <f t="shared" si="10"/>
        <v>12035.103896103896</v>
      </c>
      <c r="BK7" s="329">
        <f t="shared" si="11"/>
        <v>13677.8654353562</v>
      </c>
      <c r="BL7" s="329">
        <f t="shared" si="12"/>
        <v>9126.1607773851592</v>
      </c>
      <c r="BM7" s="329">
        <f t="shared" si="13"/>
        <v>9659.7192307692312</v>
      </c>
      <c r="BN7" s="329">
        <f t="shared" si="14"/>
        <v>15410.328881469115</v>
      </c>
      <c r="BO7" s="329">
        <f t="shared" si="15"/>
        <v>16791.544854881267</v>
      </c>
      <c r="BP7" t="s">
        <v>27</v>
      </c>
    </row>
    <row r="8" spans="1:68" x14ac:dyDescent="0.25">
      <c r="A8" s="10" t="s">
        <v>34</v>
      </c>
      <c r="B8" s="10"/>
      <c r="C8" s="10" t="s">
        <v>35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76769.899099999995</v>
      </c>
      <c r="N8" s="11">
        <v>157459</v>
      </c>
      <c r="O8" s="11">
        <v>503127</v>
      </c>
      <c r="P8" s="11">
        <v>385307</v>
      </c>
      <c r="Q8" s="11">
        <v>121625</v>
      </c>
      <c r="R8" s="11">
        <v>148661</v>
      </c>
      <c r="S8" s="11">
        <v>377704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3</v>
      </c>
      <c r="AD8" s="12">
        <v>7</v>
      </c>
      <c r="AE8" s="12">
        <v>27</v>
      </c>
      <c r="AF8" s="12">
        <v>34</v>
      </c>
      <c r="AG8" s="12">
        <v>16</v>
      </c>
      <c r="AH8" s="12">
        <v>5</v>
      </c>
      <c r="AI8" s="12">
        <v>20</v>
      </c>
      <c r="AJ8" s="13">
        <v>2</v>
      </c>
      <c r="AK8" s="13">
        <v>0</v>
      </c>
      <c r="AL8" s="13">
        <v>1</v>
      </c>
      <c r="AM8" s="13">
        <v>0</v>
      </c>
      <c r="AN8" s="13">
        <v>1</v>
      </c>
      <c r="AO8" s="13">
        <v>0</v>
      </c>
      <c r="AP8" s="13">
        <v>0</v>
      </c>
      <c r="AQ8" s="13">
        <v>1</v>
      </c>
      <c r="AR8" s="13">
        <v>0</v>
      </c>
      <c r="AS8" s="13">
        <v>1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/>
      <c r="AZ8" s="329" t="str">
        <f t="shared" si="0"/>
        <v/>
      </c>
      <c r="BA8" s="329" t="str">
        <f t="shared" si="1"/>
        <v/>
      </c>
      <c r="BB8" s="329" t="str">
        <f t="shared" si="2"/>
        <v/>
      </c>
      <c r="BC8" s="329" t="str">
        <f t="shared" si="3"/>
        <v/>
      </c>
      <c r="BD8" s="329" t="str">
        <f t="shared" si="4"/>
        <v/>
      </c>
      <c r="BE8" s="329" t="str">
        <f t="shared" si="5"/>
        <v/>
      </c>
      <c r="BF8" s="329" t="str">
        <f t="shared" si="6"/>
        <v/>
      </c>
      <c r="BG8" s="329" t="str">
        <f t="shared" si="7"/>
        <v/>
      </c>
      <c r="BH8" s="329" t="str">
        <f t="shared" si="8"/>
        <v/>
      </c>
      <c r="BI8" s="329">
        <f t="shared" si="9"/>
        <v>25589.966366666664</v>
      </c>
      <c r="BJ8" s="329">
        <f t="shared" si="10"/>
        <v>22494.142857142859</v>
      </c>
      <c r="BK8" s="329">
        <f t="shared" si="11"/>
        <v>18634.333333333332</v>
      </c>
      <c r="BL8" s="329">
        <f t="shared" si="12"/>
        <v>11332.558823529413</v>
      </c>
      <c r="BM8" s="329">
        <f t="shared" si="13"/>
        <v>7601.5625</v>
      </c>
      <c r="BN8" s="329">
        <f t="shared" si="14"/>
        <v>29732.2</v>
      </c>
      <c r="BO8" s="329">
        <f t="shared" si="15"/>
        <v>18885.2</v>
      </c>
      <c r="BP8" t="s">
        <v>27</v>
      </c>
    </row>
    <row r="9" spans="1:68" x14ac:dyDescent="0.25">
      <c r="A9" s="10" t="s">
        <v>36</v>
      </c>
      <c r="B9" s="10"/>
      <c r="C9" s="10" t="s">
        <v>37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 t="s">
        <v>38</v>
      </c>
      <c r="P9" s="11">
        <v>0</v>
      </c>
      <c r="Q9" s="11" t="s">
        <v>38</v>
      </c>
      <c r="R9" s="11" t="s">
        <v>38</v>
      </c>
      <c r="S9" s="11" t="s">
        <v>38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 t="s">
        <v>38</v>
      </c>
      <c r="AI9" s="12" t="s">
        <v>38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/>
      <c r="AZ9" s="329" t="str">
        <f t="shared" si="0"/>
        <v/>
      </c>
      <c r="BA9" s="329" t="str">
        <f t="shared" si="1"/>
        <v/>
      </c>
      <c r="BB9" s="329" t="str">
        <f t="shared" si="2"/>
        <v/>
      </c>
      <c r="BC9" s="329" t="str">
        <f t="shared" si="3"/>
        <v/>
      </c>
      <c r="BD9" s="329" t="str">
        <f t="shared" si="4"/>
        <v/>
      </c>
      <c r="BE9" s="329" t="str">
        <f t="shared" si="5"/>
        <v/>
      </c>
      <c r="BF9" s="329" t="str">
        <f t="shared" si="6"/>
        <v/>
      </c>
      <c r="BG9" s="329" t="str">
        <f t="shared" si="7"/>
        <v/>
      </c>
      <c r="BH9" s="329" t="str">
        <f t="shared" si="8"/>
        <v/>
      </c>
      <c r="BI9" s="329" t="str">
        <f t="shared" si="9"/>
        <v/>
      </c>
      <c r="BJ9" s="329" t="str">
        <f t="shared" si="10"/>
        <v/>
      </c>
      <c r="BK9" s="329" t="str">
        <f t="shared" si="11"/>
        <v/>
      </c>
      <c r="BL9" s="329" t="str">
        <f t="shared" si="12"/>
        <v/>
      </c>
      <c r="BM9" s="329" t="str">
        <f t="shared" si="13"/>
        <v/>
      </c>
      <c r="BN9" s="329" t="str">
        <f t="shared" si="14"/>
        <v/>
      </c>
      <c r="BO9" s="329" t="str">
        <f t="shared" si="15"/>
        <v/>
      </c>
      <c r="BP9" t="s">
        <v>27</v>
      </c>
    </row>
    <row r="10" spans="1:68" x14ac:dyDescent="0.25">
      <c r="A10" s="10" t="s">
        <v>39</v>
      </c>
      <c r="B10" s="10"/>
      <c r="C10" s="10" t="s">
        <v>40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 t="s">
        <v>38</v>
      </c>
      <c r="P10" s="11">
        <v>0</v>
      </c>
      <c r="Q10" s="11" t="s">
        <v>38</v>
      </c>
      <c r="R10" s="11" t="s">
        <v>38</v>
      </c>
      <c r="S10" s="11" t="s">
        <v>38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 t="s">
        <v>38</v>
      </c>
      <c r="AI10" s="12" t="s">
        <v>38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/>
      <c r="AZ10" s="329" t="str">
        <f t="shared" si="0"/>
        <v/>
      </c>
      <c r="BA10" s="329" t="str">
        <f t="shared" si="1"/>
        <v/>
      </c>
      <c r="BB10" s="329" t="str">
        <f t="shared" si="2"/>
        <v/>
      </c>
      <c r="BC10" s="329" t="str">
        <f t="shared" si="3"/>
        <v/>
      </c>
      <c r="BD10" s="329" t="str">
        <f t="shared" si="4"/>
        <v/>
      </c>
      <c r="BE10" s="329" t="str">
        <f t="shared" si="5"/>
        <v/>
      </c>
      <c r="BF10" s="329" t="str">
        <f t="shared" si="6"/>
        <v/>
      </c>
      <c r="BG10" s="329" t="str">
        <f t="shared" si="7"/>
        <v/>
      </c>
      <c r="BH10" s="329" t="str">
        <f t="shared" si="8"/>
        <v/>
      </c>
      <c r="BI10" s="329" t="str">
        <f t="shared" si="9"/>
        <v/>
      </c>
      <c r="BJ10" s="329" t="str">
        <f t="shared" si="10"/>
        <v/>
      </c>
      <c r="BK10" s="329" t="str">
        <f t="shared" si="11"/>
        <v/>
      </c>
      <c r="BL10" s="329" t="str">
        <f t="shared" si="12"/>
        <v/>
      </c>
      <c r="BM10" s="329" t="str">
        <f t="shared" si="13"/>
        <v/>
      </c>
      <c r="BN10" s="329" t="str">
        <f t="shared" si="14"/>
        <v/>
      </c>
      <c r="BO10" s="329" t="str">
        <f t="shared" si="15"/>
        <v/>
      </c>
      <c r="BP10" t="s">
        <v>27</v>
      </c>
    </row>
    <row r="11" spans="1:68" x14ac:dyDescent="0.25">
      <c r="A11" s="10" t="s">
        <v>41</v>
      </c>
      <c r="B11" s="10"/>
      <c r="C11" s="10" t="s">
        <v>42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 t="s">
        <v>38</v>
      </c>
      <c r="P11" s="11">
        <v>169452</v>
      </c>
      <c r="Q11" s="11">
        <v>409726</v>
      </c>
      <c r="R11" s="11" t="s">
        <v>38</v>
      </c>
      <c r="S11" s="11" t="s">
        <v>38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16</v>
      </c>
      <c r="AG11" s="12">
        <v>53</v>
      </c>
      <c r="AH11" s="12" t="s">
        <v>38</v>
      </c>
      <c r="AI11" s="12" t="s">
        <v>38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1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/>
      <c r="AZ11" s="329" t="str">
        <f t="shared" si="0"/>
        <v/>
      </c>
      <c r="BA11" s="329" t="str">
        <f t="shared" si="1"/>
        <v/>
      </c>
      <c r="BB11" s="329" t="str">
        <f t="shared" si="2"/>
        <v/>
      </c>
      <c r="BC11" s="329" t="str">
        <f t="shared" si="3"/>
        <v/>
      </c>
      <c r="BD11" s="329" t="str">
        <f t="shared" si="4"/>
        <v/>
      </c>
      <c r="BE11" s="329" t="str">
        <f t="shared" si="5"/>
        <v/>
      </c>
      <c r="BF11" s="329" t="str">
        <f t="shared" si="6"/>
        <v/>
      </c>
      <c r="BG11" s="329" t="str">
        <f t="shared" si="7"/>
        <v/>
      </c>
      <c r="BH11" s="329" t="str">
        <f t="shared" si="8"/>
        <v/>
      </c>
      <c r="BI11" s="329" t="str">
        <f t="shared" si="9"/>
        <v/>
      </c>
      <c r="BJ11" s="329" t="str">
        <f t="shared" si="10"/>
        <v/>
      </c>
      <c r="BK11" s="329" t="str">
        <f t="shared" si="11"/>
        <v/>
      </c>
      <c r="BL11" s="329">
        <f t="shared" si="12"/>
        <v>10590.75</v>
      </c>
      <c r="BM11" s="329">
        <f t="shared" si="13"/>
        <v>7730.6792452830186</v>
      </c>
      <c r="BN11" s="329" t="str">
        <f t="shared" si="14"/>
        <v/>
      </c>
      <c r="BO11" s="329" t="str">
        <f t="shared" si="15"/>
        <v/>
      </c>
      <c r="BP11" t="s">
        <v>27</v>
      </c>
    </row>
    <row r="12" spans="1:68" x14ac:dyDescent="0.25">
      <c r="A12" s="10" t="s">
        <v>43</v>
      </c>
      <c r="B12" s="10"/>
      <c r="C12" s="10" t="s">
        <v>44</v>
      </c>
      <c r="D12" s="11">
        <v>0</v>
      </c>
      <c r="E12" s="11">
        <v>6410.9029870000004</v>
      </c>
      <c r="F12" s="11">
        <v>0</v>
      </c>
      <c r="G12" s="11">
        <v>0</v>
      </c>
      <c r="H12" s="11">
        <v>18039.620920000001</v>
      </c>
      <c r="I12" s="11">
        <v>0</v>
      </c>
      <c r="J12" s="11">
        <v>8040.9660000000003</v>
      </c>
      <c r="K12" s="11">
        <v>0</v>
      </c>
      <c r="L12" s="11">
        <v>0</v>
      </c>
      <c r="M12" s="11">
        <v>0</v>
      </c>
      <c r="N12" s="11">
        <v>0</v>
      </c>
      <c r="O12" s="11" t="s">
        <v>38</v>
      </c>
      <c r="P12" s="11">
        <v>13076</v>
      </c>
      <c r="Q12" s="11">
        <v>51313</v>
      </c>
      <c r="R12" s="11">
        <v>39</v>
      </c>
      <c r="S12" s="11" t="s">
        <v>38</v>
      </c>
      <c r="T12" s="12">
        <v>0</v>
      </c>
      <c r="U12" s="12">
        <v>1</v>
      </c>
      <c r="V12" s="12">
        <v>0</v>
      </c>
      <c r="W12" s="12">
        <v>0</v>
      </c>
      <c r="X12" s="12">
        <v>2</v>
      </c>
      <c r="Y12" s="12">
        <v>0</v>
      </c>
      <c r="Z12" s="12">
        <v>1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1</v>
      </c>
      <c r="AG12" s="12">
        <v>2</v>
      </c>
      <c r="AH12" s="12" t="s">
        <v>38</v>
      </c>
      <c r="AI12" s="12" t="s">
        <v>38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/>
      <c r="AZ12" s="329" t="str">
        <f t="shared" si="0"/>
        <v/>
      </c>
      <c r="BA12" s="329">
        <f t="shared" si="1"/>
        <v>6410.9029870000004</v>
      </c>
      <c r="BB12" s="329" t="str">
        <f t="shared" si="2"/>
        <v/>
      </c>
      <c r="BC12" s="329" t="str">
        <f t="shared" si="3"/>
        <v/>
      </c>
      <c r="BD12" s="329">
        <f t="shared" si="4"/>
        <v>9019.8104600000006</v>
      </c>
      <c r="BE12" s="329" t="str">
        <f t="shared" si="5"/>
        <v/>
      </c>
      <c r="BF12" s="329">
        <f t="shared" si="6"/>
        <v>8040.9660000000003</v>
      </c>
      <c r="BG12" s="329" t="str">
        <f t="shared" si="7"/>
        <v/>
      </c>
      <c r="BH12" s="329" t="str">
        <f t="shared" si="8"/>
        <v/>
      </c>
      <c r="BI12" s="329" t="str">
        <f t="shared" si="9"/>
        <v/>
      </c>
      <c r="BJ12" s="329" t="str">
        <f t="shared" si="10"/>
        <v/>
      </c>
      <c r="BK12" s="329" t="str">
        <f t="shared" si="11"/>
        <v/>
      </c>
      <c r="BL12" s="329">
        <f t="shared" si="12"/>
        <v>13076</v>
      </c>
      <c r="BM12" s="329">
        <f t="shared" si="13"/>
        <v>25656.5</v>
      </c>
      <c r="BN12" s="329" t="str">
        <f t="shared" si="14"/>
        <v/>
      </c>
      <c r="BO12" s="329" t="str">
        <f t="shared" si="15"/>
        <v/>
      </c>
      <c r="BP12" t="s">
        <v>27</v>
      </c>
    </row>
    <row r="13" spans="1:68" x14ac:dyDescent="0.25">
      <c r="A13" s="10" t="s">
        <v>45</v>
      </c>
      <c r="B13" s="10"/>
      <c r="C13" s="10" t="s">
        <v>46</v>
      </c>
      <c r="D13" s="11">
        <v>0</v>
      </c>
      <c r="E13" s="11">
        <v>0</v>
      </c>
      <c r="F13" s="11">
        <v>0</v>
      </c>
      <c r="G13" s="11">
        <v>25409.533729999999</v>
      </c>
      <c r="H13" s="11">
        <v>2486442.1470000003</v>
      </c>
      <c r="I13" s="11">
        <v>196000</v>
      </c>
      <c r="J13" s="11">
        <v>1747511.8330000001</v>
      </c>
      <c r="K13" s="11">
        <v>77978</v>
      </c>
      <c r="L13" s="11">
        <v>0</v>
      </c>
      <c r="M13" s="11">
        <v>0</v>
      </c>
      <c r="N13" s="11">
        <v>0</v>
      </c>
      <c r="O13" s="11">
        <v>292151</v>
      </c>
      <c r="P13" s="11">
        <v>0</v>
      </c>
      <c r="Q13" s="11" t="s">
        <v>38</v>
      </c>
      <c r="R13" s="11" t="s">
        <v>38</v>
      </c>
      <c r="S13" s="11">
        <v>9680356</v>
      </c>
      <c r="T13" s="12">
        <v>0</v>
      </c>
      <c r="U13" s="12">
        <v>0</v>
      </c>
      <c r="V13" s="12">
        <v>0</v>
      </c>
      <c r="W13" s="12">
        <v>1</v>
      </c>
      <c r="X13" s="12">
        <v>33</v>
      </c>
      <c r="Y13" s="12">
        <v>4</v>
      </c>
      <c r="Z13" s="12">
        <v>25</v>
      </c>
      <c r="AA13" s="12">
        <v>1</v>
      </c>
      <c r="AB13" s="12">
        <v>0</v>
      </c>
      <c r="AC13" s="12">
        <v>0</v>
      </c>
      <c r="AD13" s="12">
        <v>0</v>
      </c>
      <c r="AE13" s="12">
        <v>4</v>
      </c>
      <c r="AF13" s="12">
        <v>0</v>
      </c>
      <c r="AG13" s="12">
        <v>0</v>
      </c>
      <c r="AH13" s="12" t="s">
        <v>38</v>
      </c>
      <c r="AI13" s="12">
        <v>464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/>
      <c r="AZ13" s="329" t="str">
        <f t="shared" si="0"/>
        <v/>
      </c>
      <c r="BA13" s="329" t="str">
        <f t="shared" si="1"/>
        <v/>
      </c>
      <c r="BB13" s="329" t="str">
        <f t="shared" si="2"/>
        <v/>
      </c>
      <c r="BC13" s="329">
        <f t="shared" si="3"/>
        <v>25409.533729999999</v>
      </c>
      <c r="BD13" s="329">
        <f t="shared" si="4"/>
        <v>75346.731727272738</v>
      </c>
      <c r="BE13" s="329">
        <f t="shared" si="5"/>
        <v>49000</v>
      </c>
      <c r="BF13" s="329">
        <f t="shared" si="6"/>
        <v>69900.473320000005</v>
      </c>
      <c r="BG13" s="329">
        <f t="shared" si="7"/>
        <v>77978</v>
      </c>
      <c r="BH13" s="329" t="str">
        <f t="shared" si="8"/>
        <v/>
      </c>
      <c r="BI13" s="329" t="str">
        <f t="shared" si="9"/>
        <v/>
      </c>
      <c r="BJ13" s="329" t="str">
        <f t="shared" si="10"/>
        <v/>
      </c>
      <c r="BK13" s="329">
        <f t="shared" si="11"/>
        <v>73037.75</v>
      </c>
      <c r="BL13" s="329" t="str">
        <f t="shared" si="12"/>
        <v/>
      </c>
      <c r="BM13" s="329" t="str">
        <f t="shared" si="13"/>
        <v/>
      </c>
      <c r="BN13" s="329" t="str">
        <f t="shared" si="14"/>
        <v/>
      </c>
      <c r="BO13" s="329">
        <f t="shared" si="15"/>
        <v>20862.836206896551</v>
      </c>
      <c r="BP13" t="s">
        <v>27</v>
      </c>
    </row>
    <row r="14" spans="1:68" x14ac:dyDescent="0.25">
      <c r="A14" s="10" t="s">
        <v>47</v>
      </c>
      <c r="B14" s="10"/>
      <c r="C14" s="10" t="s">
        <v>48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 t="s">
        <v>38</v>
      </c>
      <c r="P14" s="11">
        <v>48110</v>
      </c>
      <c r="Q14" s="11">
        <v>143352</v>
      </c>
      <c r="R14" s="11">
        <v>625</v>
      </c>
      <c r="S14" s="11">
        <v>2205606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 t="s">
        <v>38</v>
      </c>
      <c r="AI14" s="12" t="s">
        <v>38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/>
      <c r="AZ14" s="329" t="str">
        <f t="shared" si="0"/>
        <v/>
      </c>
      <c r="BA14" s="329" t="str">
        <f t="shared" si="1"/>
        <v/>
      </c>
      <c r="BB14" s="329" t="str">
        <f t="shared" si="2"/>
        <v/>
      </c>
      <c r="BC14" s="329" t="str">
        <f t="shared" si="3"/>
        <v/>
      </c>
      <c r="BD14" s="329" t="str">
        <f t="shared" si="4"/>
        <v/>
      </c>
      <c r="BE14" s="329" t="str">
        <f t="shared" si="5"/>
        <v/>
      </c>
      <c r="BF14" s="329" t="str">
        <f t="shared" si="6"/>
        <v/>
      </c>
      <c r="BG14" s="329" t="str">
        <f t="shared" si="7"/>
        <v/>
      </c>
      <c r="BH14" s="329" t="str">
        <f t="shared" si="8"/>
        <v/>
      </c>
      <c r="BI14" s="329" t="str">
        <f t="shared" si="9"/>
        <v/>
      </c>
      <c r="BJ14" s="329" t="str">
        <f t="shared" si="10"/>
        <v/>
      </c>
      <c r="BK14" s="329" t="str">
        <f t="shared" si="11"/>
        <v/>
      </c>
      <c r="BL14" s="329" t="str">
        <f t="shared" si="12"/>
        <v/>
      </c>
      <c r="BM14" s="329" t="str">
        <f t="shared" si="13"/>
        <v/>
      </c>
      <c r="BN14" s="329" t="str">
        <f t="shared" si="14"/>
        <v/>
      </c>
      <c r="BO14" s="329" t="str">
        <f t="shared" si="15"/>
        <v/>
      </c>
      <c r="BP14" t="s">
        <v>27</v>
      </c>
    </row>
    <row r="15" spans="1:68" x14ac:dyDescent="0.25">
      <c r="A15" s="10" t="s">
        <v>49</v>
      </c>
      <c r="B15" s="10"/>
      <c r="C15" s="10" t="s">
        <v>50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 t="s">
        <v>38</v>
      </c>
      <c r="P15" s="11">
        <v>40533</v>
      </c>
      <c r="Q15" s="11">
        <v>193360</v>
      </c>
      <c r="R15" s="11">
        <v>656005</v>
      </c>
      <c r="S15" s="11" t="s">
        <v>38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 t="s">
        <v>38</v>
      </c>
      <c r="AI15" s="12" t="s">
        <v>38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/>
      <c r="AZ15" s="329" t="str">
        <f t="shared" si="0"/>
        <v/>
      </c>
      <c r="BA15" s="329" t="str">
        <f t="shared" si="1"/>
        <v/>
      </c>
      <c r="BB15" s="329" t="str">
        <f t="shared" si="2"/>
        <v/>
      </c>
      <c r="BC15" s="329" t="str">
        <f t="shared" si="3"/>
        <v/>
      </c>
      <c r="BD15" s="329" t="str">
        <f t="shared" si="4"/>
        <v/>
      </c>
      <c r="BE15" s="329" t="str">
        <f t="shared" si="5"/>
        <v/>
      </c>
      <c r="BF15" s="329" t="str">
        <f t="shared" si="6"/>
        <v/>
      </c>
      <c r="BG15" s="329" t="str">
        <f t="shared" si="7"/>
        <v/>
      </c>
      <c r="BH15" s="329" t="str">
        <f t="shared" si="8"/>
        <v/>
      </c>
      <c r="BI15" s="329" t="str">
        <f t="shared" si="9"/>
        <v/>
      </c>
      <c r="BJ15" s="329" t="str">
        <f t="shared" si="10"/>
        <v/>
      </c>
      <c r="BK15" s="329" t="str">
        <f t="shared" si="11"/>
        <v/>
      </c>
      <c r="BL15" s="329" t="str">
        <f t="shared" si="12"/>
        <v/>
      </c>
      <c r="BM15" s="329" t="str">
        <f t="shared" si="13"/>
        <v/>
      </c>
      <c r="BN15" s="329" t="str">
        <f t="shared" si="14"/>
        <v/>
      </c>
      <c r="BO15" s="329" t="str">
        <f t="shared" si="15"/>
        <v/>
      </c>
      <c r="BP15" t="s">
        <v>27</v>
      </c>
    </row>
    <row r="16" spans="1:68" x14ac:dyDescent="0.25">
      <c r="A16" s="10" t="s">
        <v>51</v>
      </c>
      <c r="B16" s="10"/>
      <c r="C16" s="10" t="s">
        <v>52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 t="s">
        <v>38</v>
      </c>
      <c r="P16" s="11">
        <v>0</v>
      </c>
      <c r="Q16" s="11" t="s">
        <v>38</v>
      </c>
      <c r="R16" s="11" t="s">
        <v>38</v>
      </c>
      <c r="S16" s="11" t="s">
        <v>38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 t="s">
        <v>38</v>
      </c>
      <c r="AI16" s="12" t="s">
        <v>38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1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/>
      <c r="AZ16" s="329" t="str">
        <f t="shared" si="0"/>
        <v/>
      </c>
      <c r="BA16" s="329" t="str">
        <f t="shared" si="1"/>
        <v/>
      </c>
      <c r="BB16" s="329" t="str">
        <f t="shared" si="2"/>
        <v/>
      </c>
      <c r="BC16" s="329" t="str">
        <f t="shared" si="3"/>
        <v/>
      </c>
      <c r="BD16" s="329" t="str">
        <f t="shared" si="4"/>
        <v/>
      </c>
      <c r="BE16" s="329" t="str">
        <f t="shared" si="5"/>
        <v/>
      </c>
      <c r="BF16" s="329" t="str">
        <f t="shared" si="6"/>
        <v/>
      </c>
      <c r="BG16" s="329" t="str">
        <f t="shared" si="7"/>
        <v/>
      </c>
      <c r="BH16" s="329" t="str">
        <f t="shared" si="8"/>
        <v/>
      </c>
      <c r="BI16" s="329" t="str">
        <f t="shared" si="9"/>
        <v/>
      </c>
      <c r="BJ16" s="329" t="str">
        <f t="shared" si="10"/>
        <v/>
      </c>
      <c r="BK16" s="329" t="str">
        <f t="shared" si="11"/>
        <v/>
      </c>
      <c r="BL16" s="329" t="str">
        <f t="shared" si="12"/>
        <v/>
      </c>
      <c r="BM16" s="329" t="str">
        <f t="shared" si="13"/>
        <v/>
      </c>
      <c r="BN16" s="329" t="str">
        <f t="shared" si="14"/>
        <v/>
      </c>
      <c r="BO16" s="329" t="str">
        <f t="shared" si="15"/>
        <v/>
      </c>
      <c r="BP16" t="s">
        <v>27</v>
      </c>
    </row>
    <row r="17" spans="1:68" x14ac:dyDescent="0.25">
      <c r="A17" s="10" t="s">
        <v>53</v>
      </c>
      <c r="B17" s="10"/>
      <c r="C17" s="10" t="s">
        <v>54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 t="s">
        <v>38</v>
      </c>
      <c r="P17" s="11">
        <v>0</v>
      </c>
      <c r="Q17" s="11">
        <v>11943</v>
      </c>
      <c r="R17" s="11" t="s">
        <v>38</v>
      </c>
      <c r="S17" s="11" t="s">
        <v>38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 t="s">
        <v>38</v>
      </c>
      <c r="AI17" s="12" t="s">
        <v>38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/>
      <c r="AZ17" s="329" t="str">
        <f t="shared" si="0"/>
        <v/>
      </c>
      <c r="BA17" s="329" t="str">
        <f t="shared" si="1"/>
        <v/>
      </c>
      <c r="BB17" s="329" t="str">
        <f t="shared" si="2"/>
        <v/>
      </c>
      <c r="BC17" s="329" t="str">
        <f t="shared" si="3"/>
        <v/>
      </c>
      <c r="BD17" s="329" t="str">
        <f t="shared" si="4"/>
        <v/>
      </c>
      <c r="BE17" s="329" t="str">
        <f t="shared" si="5"/>
        <v/>
      </c>
      <c r="BF17" s="329" t="str">
        <f t="shared" si="6"/>
        <v/>
      </c>
      <c r="BG17" s="329" t="str">
        <f t="shared" si="7"/>
        <v/>
      </c>
      <c r="BH17" s="329" t="str">
        <f t="shared" si="8"/>
        <v/>
      </c>
      <c r="BI17" s="329" t="str">
        <f t="shared" si="9"/>
        <v/>
      </c>
      <c r="BJ17" s="329" t="str">
        <f t="shared" si="10"/>
        <v/>
      </c>
      <c r="BK17" s="329" t="str">
        <f t="shared" si="11"/>
        <v/>
      </c>
      <c r="BL17" s="329" t="str">
        <f t="shared" si="12"/>
        <v/>
      </c>
      <c r="BM17" s="329" t="str">
        <f t="shared" si="13"/>
        <v/>
      </c>
      <c r="BN17" s="329" t="str">
        <f t="shared" si="14"/>
        <v/>
      </c>
      <c r="BO17" s="329" t="str">
        <f t="shared" si="15"/>
        <v/>
      </c>
      <c r="BP17" t="s">
        <v>27</v>
      </c>
    </row>
    <row r="18" spans="1:68" x14ac:dyDescent="0.25">
      <c r="A18" s="10" t="s">
        <v>55</v>
      </c>
      <c r="B18" s="10"/>
      <c r="C18" s="10" t="s">
        <v>56</v>
      </c>
      <c r="D18" s="11">
        <v>0</v>
      </c>
      <c r="E18" s="11">
        <v>0</v>
      </c>
      <c r="F18" s="11">
        <v>7245.8043029999999</v>
      </c>
      <c r="G18" s="11">
        <v>0</v>
      </c>
      <c r="H18" s="11">
        <v>23521.713830000001</v>
      </c>
      <c r="I18" s="11">
        <v>15000</v>
      </c>
      <c r="J18" s="11">
        <v>0</v>
      </c>
      <c r="K18" s="11">
        <v>139691</v>
      </c>
      <c r="L18" s="11">
        <v>0</v>
      </c>
      <c r="M18" s="11">
        <v>0</v>
      </c>
      <c r="N18" s="11">
        <v>0</v>
      </c>
      <c r="O18" s="11">
        <v>15668</v>
      </c>
      <c r="P18" s="11">
        <v>0</v>
      </c>
      <c r="Q18" s="11" t="s">
        <v>38</v>
      </c>
      <c r="R18" s="11" t="s">
        <v>38</v>
      </c>
      <c r="S18" s="11" t="s">
        <v>38</v>
      </c>
      <c r="T18" s="12">
        <v>0</v>
      </c>
      <c r="U18" s="12">
        <v>0</v>
      </c>
      <c r="V18" s="12">
        <v>1</v>
      </c>
      <c r="W18" s="12">
        <v>0</v>
      </c>
      <c r="X18" s="12">
        <v>3</v>
      </c>
      <c r="Y18" s="12">
        <v>2</v>
      </c>
      <c r="Z18" s="12">
        <v>0</v>
      </c>
      <c r="AA18" s="12">
        <v>15</v>
      </c>
      <c r="AB18" s="12">
        <v>0</v>
      </c>
      <c r="AC18" s="12">
        <v>0</v>
      </c>
      <c r="AD18" s="12">
        <v>0</v>
      </c>
      <c r="AE18" s="12">
        <v>1</v>
      </c>
      <c r="AF18" s="12">
        <v>0</v>
      </c>
      <c r="AG18" s="12">
        <v>0</v>
      </c>
      <c r="AH18" s="12" t="s">
        <v>38</v>
      </c>
      <c r="AI18" s="12" t="s">
        <v>38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/>
      <c r="AZ18" s="329" t="str">
        <f t="shared" si="0"/>
        <v/>
      </c>
      <c r="BA18" s="329" t="str">
        <f t="shared" si="1"/>
        <v/>
      </c>
      <c r="BB18" s="329">
        <f t="shared" si="2"/>
        <v>7245.8043029999999</v>
      </c>
      <c r="BC18" s="329" t="str">
        <f t="shared" si="3"/>
        <v/>
      </c>
      <c r="BD18" s="329">
        <f t="shared" si="4"/>
        <v>7840.5712766666666</v>
      </c>
      <c r="BE18" s="329">
        <f t="shared" si="5"/>
        <v>7500</v>
      </c>
      <c r="BF18" s="329" t="str">
        <f t="shared" si="6"/>
        <v/>
      </c>
      <c r="BG18" s="329">
        <f t="shared" si="7"/>
        <v>9312.7333333333336</v>
      </c>
      <c r="BH18" s="329" t="str">
        <f t="shared" si="8"/>
        <v/>
      </c>
      <c r="BI18" s="329" t="str">
        <f t="shared" si="9"/>
        <v/>
      </c>
      <c r="BJ18" s="329" t="str">
        <f t="shared" si="10"/>
        <v/>
      </c>
      <c r="BK18" s="329">
        <f t="shared" si="11"/>
        <v>15668</v>
      </c>
      <c r="BL18" s="329" t="str">
        <f t="shared" si="12"/>
        <v/>
      </c>
      <c r="BM18" s="329" t="str">
        <f t="shared" si="13"/>
        <v/>
      </c>
      <c r="BN18" s="329" t="str">
        <f t="shared" si="14"/>
        <v/>
      </c>
      <c r="BO18" s="329" t="str">
        <f t="shared" si="15"/>
        <v/>
      </c>
      <c r="BP18" t="s">
        <v>27</v>
      </c>
    </row>
    <row r="19" spans="1:68" x14ac:dyDescent="0.25">
      <c r="A19" s="10" t="s">
        <v>57</v>
      </c>
      <c r="B19" s="10"/>
      <c r="C19" s="10" t="s">
        <v>58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 t="s">
        <v>38</v>
      </c>
      <c r="P19" s="11">
        <v>0</v>
      </c>
      <c r="Q19" s="11" t="s">
        <v>38</v>
      </c>
      <c r="R19" s="11" t="s">
        <v>38</v>
      </c>
      <c r="S19" s="11" t="s">
        <v>38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 t="s">
        <v>38</v>
      </c>
      <c r="AI19" s="12" t="s">
        <v>38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/>
      <c r="AZ19" s="329" t="str">
        <f t="shared" si="0"/>
        <v/>
      </c>
      <c r="BA19" s="329" t="str">
        <f t="shared" si="1"/>
        <v/>
      </c>
      <c r="BB19" s="329" t="str">
        <f t="shared" si="2"/>
        <v/>
      </c>
      <c r="BC19" s="329" t="str">
        <f t="shared" si="3"/>
        <v/>
      </c>
      <c r="BD19" s="329" t="str">
        <f t="shared" si="4"/>
        <v/>
      </c>
      <c r="BE19" s="329" t="str">
        <f t="shared" si="5"/>
        <v/>
      </c>
      <c r="BF19" s="329" t="str">
        <f t="shared" si="6"/>
        <v/>
      </c>
      <c r="BG19" s="329" t="str">
        <f t="shared" si="7"/>
        <v/>
      </c>
      <c r="BH19" s="329" t="str">
        <f t="shared" si="8"/>
        <v/>
      </c>
      <c r="BI19" s="329" t="str">
        <f t="shared" si="9"/>
        <v/>
      </c>
      <c r="BJ19" s="329" t="str">
        <f t="shared" si="10"/>
        <v/>
      </c>
      <c r="BK19" s="329" t="str">
        <f t="shared" si="11"/>
        <v/>
      </c>
      <c r="BL19" s="329" t="str">
        <f t="shared" si="12"/>
        <v/>
      </c>
      <c r="BM19" s="329" t="str">
        <f t="shared" si="13"/>
        <v/>
      </c>
      <c r="BN19" s="329" t="str">
        <f t="shared" si="14"/>
        <v/>
      </c>
      <c r="BO19" s="329" t="str">
        <f t="shared" si="15"/>
        <v/>
      </c>
      <c r="BP19" t="s">
        <v>27</v>
      </c>
    </row>
    <row r="20" spans="1:68" x14ac:dyDescent="0.25">
      <c r="A20" s="10" t="s">
        <v>59</v>
      </c>
      <c r="B20" s="10"/>
      <c r="C20" s="10" t="s">
        <v>60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 t="s">
        <v>38</v>
      </c>
      <c r="P20" s="11">
        <v>0</v>
      </c>
      <c r="Q20" s="11" t="s">
        <v>38</v>
      </c>
      <c r="R20" s="11" t="s">
        <v>38</v>
      </c>
      <c r="S20" s="11" t="s">
        <v>38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 t="s">
        <v>38</v>
      </c>
      <c r="AI20" s="12" t="s">
        <v>38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/>
      <c r="AZ20" s="329" t="str">
        <f t="shared" si="0"/>
        <v/>
      </c>
      <c r="BA20" s="329" t="str">
        <f t="shared" si="1"/>
        <v/>
      </c>
      <c r="BB20" s="329" t="str">
        <f t="shared" si="2"/>
        <v/>
      </c>
      <c r="BC20" s="329" t="str">
        <f t="shared" si="3"/>
        <v/>
      </c>
      <c r="BD20" s="329" t="str">
        <f t="shared" si="4"/>
        <v/>
      </c>
      <c r="BE20" s="329" t="str">
        <f t="shared" si="5"/>
        <v/>
      </c>
      <c r="BF20" s="329" t="str">
        <f t="shared" si="6"/>
        <v/>
      </c>
      <c r="BG20" s="329" t="str">
        <f t="shared" si="7"/>
        <v/>
      </c>
      <c r="BH20" s="329" t="str">
        <f t="shared" si="8"/>
        <v/>
      </c>
      <c r="BI20" s="329" t="str">
        <f t="shared" si="9"/>
        <v/>
      </c>
      <c r="BJ20" s="329" t="str">
        <f t="shared" si="10"/>
        <v/>
      </c>
      <c r="BK20" s="329" t="str">
        <f t="shared" si="11"/>
        <v/>
      </c>
      <c r="BL20" s="329" t="str">
        <f t="shared" si="12"/>
        <v/>
      </c>
      <c r="BM20" s="329" t="str">
        <f t="shared" si="13"/>
        <v/>
      </c>
      <c r="BN20" s="329" t="str">
        <f t="shared" si="14"/>
        <v/>
      </c>
      <c r="BO20" s="329" t="str">
        <f t="shared" si="15"/>
        <v/>
      </c>
      <c r="BP20" t="s">
        <v>27</v>
      </c>
    </row>
    <row r="21" spans="1:68" x14ac:dyDescent="0.25">
      <c r="A21" s="10" t="s">
        <v>61</v>
      </c>
      <c r="B21" s="10"/>
      <c r="C21" s="10" t="s">
        <v>62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 t="s">
        <v>38</v>
      </c>
      <c r="P21" s="11">
        <v>0</v>
      </c>
      <c r="Q21" s="11" t="s">
        <v>38</v>
      </c>
      <c r="R21" s="11" t="s">
        <v>38</v>
      </c>
      <c r="S21" s="11" t="s">
        <v>38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 t="s">
        <v>38</v>
      </c>
      <c r="AI21" s="12" t="s">
        <v>38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/>
      <c r="AZ21" s="329" t="str">
        <f t="shared" si="0"/>
        <v/>
      </c>
      <c r="BA21" s="329" t="str">
        <f t="shared" si="1"/>
        <v/>
      </c>
      <c r="BB21" s="329" t="str">
        <f t="shared" si="2"/>
        <v/>
      </c>
      <c r="BC21" s="329" t="str">
        <f t="shared" si="3"/>
        <v/>
      </c>
      <c r="BD21" s="329" t="str">
        <f t="shared" si="4"/>
        <v/>
      </c>
      <c r="BE21" s="329" t="str">
        <f t="shared" si="5"/>
        <v/>
      </c>
      <c r="BF21" s="329" t="str">
        <f t="shared" si="6"/>
        <v/>
      </c>
      <c r="BG21" s="329" t="str">
        <f t="shared" si="7"/>
        <v/>
      </c>
      <c r="BH21" s="329" t="str">
        <f t="shared" si="8"/>
        <v/>
      </c>
      <c r="BI21" s="329" t="str">
        <f t="shared" si="9"/>
        <v/>
      </c>
      <c r="BJ21" s="329" t="str">
        <f t="shared" si="10"/>
        <v/>
      </c>
      <c r="BK21" s="329" t="str">
        <f t="shared" si="11"/>
        <v/>
      </c>
      <c r="BL21" s="329" t="str">
        <f t="shared" si="12"/>
        <v/>
      </c>
      <c r="BM21" s="329" t="str">
        <f t="shared" si="13"/>
        <v/>
      </c>
      <c r="BN21" s="329" t="str">
        <f t="shared" si="14"/>
        <v/>
      </c>
      <c r="BO21" s="329" t="str">
        <f t="shared" si="15"/>
        <v/>
      </c>
      <c r="BP21" t="s">
        <v>27</v>
      </c>
    </row>
    <row r="22" spans="1:68" x14ac:dyDescent="0.25">
      <c r="A22" s="10" t="s">
        <v>63</v>
      </c>
      <c r="B22" s="10"/>
      <c r="C22" s="10" t="s">
        <v>64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 t="s">
        <v>38</v>
      </c>
      <c r="P22" s="11">
        <v>0</v>
      </c>
      <c r="Q22" s="11" t="s">
        <v>38</v>
      </c>
      <c r="R22" s="11" t="s">
        <v>38</v>
      </c>
      <c r="S22" s="11" t="s">
        <v>38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 t="s">
        <v>38</v>
      </c>
      <c r="AI22" s="12"/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/>
      <c r="AZ22" s="329" t="str">
        <f t="shared" si="0"/>
        <v/>
      </c>
      <c r="BA22" s="329" t="str">
        <f t="shared" si="1"/>
        <v/>
      </c>
      <c r="BB22" s="329" t="str">
        <f t="shared" si="2"/>
        <v/>
      </c>
      <c r="BC22" s="329" t="str">
        <f t="shared" si="3"/>
        <v/>
      </c>
      <c r="BD22" s="329" t="str">
        <f t="shared" si="4"/>
        <v/>
      </c>
      <c r="BE22" s="329" t="str">
        <f t="shared" si="5"/>
        <v/>
      </c>
      <c r="BF22" s="329" t="str">
        <f t="shared" si="6"/>
        <v/>
      </c>
      <c r="BG22" s="329" t="str">
        <f t="shared" si="7"/>
        <v/>
      </c>
      <c r="BH22" s="329" t="str">
        <f t="shared" si="8"/>
        <v/>
      </c>
      <c r="BI22" s="329" t="str">
        <f t="shared" si="9"/>
        <v/>
      </c>
      <c r="BJ22" s="329" t="str">
        <f t="shared" si="10"/>
        <v/>
      </c>
      <c r="BK22" s="329" t="str">
        <f t="shared" si="11"/>
        <v/>
      </c>
      <c r="BL22" s="329" t="str">
        <f t="shared" si="12"/>
        <v/>
      </c>
      <c r="BM22" s="329" t="str">
        <f t="shared" si="13"/>
        <v/>
      </c>
      <c r="BN22" s="329" t="str">
        <f t="shared" si="14"/>
        <v/>
      </c>
      <c r="BO22" s="329" t="str">
        <f t="shared" si="15"/>
        <v/>
      </c>
      <c r="BP22" t="s">
        <v>63</v>
      </c>
    </row>
    <row r="23" spans="1:68" x14ac:dyDescent="0.25">
      <c r="A23" s="10" t="s">
        <v>65</v>
      </c>
      <c r="B23" s="10" t="s">
        <v>66</v>
      </c>
      <c r="C23" s="10" t="s">
        <v>67</v>
      </c>
      <c r="D23" s="11">
        <v>404758.54560000001</v>
      </c>
      <c r="E23" s="11">
        <v>566317.91769999999</v>
      </c>
      <c r="F23" s="11">
        <v>1241139.4609999999</v>
      </c>
      <c r="G23" s="11">
        <v>1313271.865</v>
      </c>
      <c r="H23" s="11">
        <v>1428983.496</v>
      </c>
      <c r="I23" s="11">
        <v>1196000</v>
      </c>
      <c r="J23" s="11">
        <v>2485513.8539999998</v>
      </c>
      <c r="K23" s="11">
        <v>2504131</v>
      </c>
      <c r="L23" s="11">
        <v>3590746</v>
      </c>
      <c r="M23" s="11">
        <v>6633430.2763</v>
      </c>
      <c r="N23" s="11">
        <v>9539953</v>
      </c>
      <c r="O23" s="11">
        <v>18317091</v>
      </c>
      <c r="P23" s="11">
        <v>17559589</v>
      </c>
      <c r="Q23" s="11">
        <v>18130027</v>
      </c>
      <c r="R23" s="11">
        <v>15306271</v>
      </c>
      <c r="S23" s="11">
        <v>16349199</v>
      </c>
      <c r="T23" s="12">
        <v>1200</v>
      </c>
      <c r="U23" s="12">
        <v>1586</v>
      </c>
      <c r="V23" s="12">
        <v>1821</v>
      </c>
      <c r="W23" s="12">
        <v>2555</v>
      </c>
      <c r="X23" s="12">
        <v>1945</v>
      </c>
      <c r="Y23" s="12">
        <v>1532</v>
      </c>
      <c r="Z23" s="12">
        <v>3216</v>
      </c>
      <c r="AA23" s="12">
        <v>2955</v>
      </c>
      <c r="AB23" s="12">
        <v>2544</v>
      </c>
      <c r="AC23" s="12">
        <v>5368</v>
      </c>
      <c r="AD23" s="12">
        <v>5407</v>
      </c>
      <c r="AE23" s="12">
        <v>8211</v>
      </c>
      <c r="AF23" s="12">
        <v>7876</v>
      </c>
      <c r="AG23" s="12">
        <v>7544</v>
      </c>
      <c r="AH23" s="12">
        <v>6079</v>
      </c>
      <c r="AI23" s="12">
        <v>4477</v>
      </c>
      <c r="AJ23" s="13">
        <v>60</v>
      </c>
      <c r="AK23" s="13">
        <v>70</v>
      </c>
      <c r="AL23" s="13">
        <v>66</v>
      </c>
      <c r="AM23" s="13">
        <v>56</v>
      </c>
      <c r="AN23" s="13">
        <v>58</v>
      </c>
      <c r="AO23" s="13">
        <v>84</v>
      </c>
      <c r="AP23" s="13">
        <v>49</v>
      </c>
      <c r="AQ23" s="13">
        <v>58</v>
      </c>
      <c r="AR23" s="13">
        <v>71</v>
      </c>
      <c r="AS23" s="13">
        <v>50</v>
      </c>
      <c r="AT23" s="13">
        <v>41</v>
      </c>
      <c r="AU23" s="13">
        <v>53</v>
      </c>
      <c r="AV23" s="13">
        <v>90</v>
      </c>
      <c r="AW23" s="13">
        <v>58</v>
      </c>
      <c r="AX23" s="13">
        <v>84</v>
      </c>
      <c r="AY23" s="13"/>
      <c r="AZ23" s="329">
        <f t="shared" si="0"/>
        <v>337.298788</v>
      </c>
      <c r="BA23" s="329">
        <f t="shared" si="1"/>
        <v>357.07308808322824</v>
      </c>
      <c r="BB23" s="329">
        <f t="shared" si="2"/>
        <v>681.57026963207022</v>
      </c>
      <c r="BC23" s="329">
        <f t="shared" si="3"/>
        <v>514.00072994129164</v>
      </c>
      <c r="BD23" s="329">
        <f t="shared" si="4"/>
        <v>734.69588483290488</v>
      </c>
      <c r="BE23" s="329">
        <f t="shared" si="5"/>
        <v>780.67885117493472</v>
      </c>
      <c r="BF23" s="329">
        <f t="shared" si="6"/>
        <v>772.85878544776119</v>
      </c>
      <c r="BG23" s="329">
        <f t="shared" si="7"/>
        <v>847.42165820642981</v>
      </c>
      <c r="BH23" s="329">
        <f t="shared" si="8"/>
        <v>1411.4567610062893</v>
      </c>
      <c r="BI23" s="329">
        <f t="shared" si="9"/>
        <v>1235.7358934985098</v>
      </c>
      <c r="BJ23" s="329">
        <f t="shared" si="10"/>
        <v>1764.3708156093953</v>
      </c>
      <c r="BK23" s="329">
        <f t="shared" si="11"/>
        <v>2230.7990500548044</v>
      </c>
      <c r="BL23" s="329">
        <f t="shared" si="12"/>
        <v>2229.5059674961908</v>
      </c>
      <c r="BM23" s="329">
        <f t="shared" si="13"/>
        <v>2403.237937433722</v>
      </c>
      <c r="BN23" s="329">
        <f t="shared" si="14"/>
        <v>2517.8929100180949</v>
      </c>
      <c r="BO23" s="329">
        <f t="shared" si="15"/>
        <v>3651.8201920929196</v>
      </c>
      <c r="BP23" t="s">
        <v>68</v>
      </c>
    </row>
    <row r="24" spans="1:68" x14ac:dyDescent="0.25">
      <c r="A24" s="10" t="s">
        <v>69</v>
      </c>
      <c r="B24" s="10"/>
      <c r="C24" s="10" t="s">
        <v>70</v>
      </c>
      <c r="D24" s="11">
        <v>2081356.9739999997</v>
      </c>
      <c r="E24" s="11">
        <v>2912131.4619999998</v>
      </c>
      <c r="F24" s="11">
        <v>6382211.4250000007</v>
      </c>
      <c r="G24" s="11">
        <v>6753112.9410000006</v>
      </c>
      <c r="H24" s="11">
        <v>7348122.9270000001</v>
      </c>
      <c r="I24" s="11">
        <v>6149000</v>
      </c>
      <c r="J24" s="11">
        <v>6701544.4019999998</v>
      </c>
      <c r="K24" s="11">
        <v>6786907</v>
      </c>
      <c r="L24" s="11">
        <v>11824871</v>
      </c>
      <c r="M24" s="11">
        <v>10030570.640900001</v>
      </c>
      <c r="N24" s="11">
        <v>13034615</v>
      </c>
      <c r="O24" s="11">
        <v>20833141</v>
      </c>
      <c r="P24" s="11">
        <v>24001076</v>
      </c>
      <c r="Q24" s="11">
        <v>21300029</v>
      </c>
      <c r="R24" s="11">
        <v>26413864</v>
      </c>
      <c r="S24" s="11">
        <v>22910886</v>
      </c>
      <c r="T24" s="12">
        <v>2778</v>
      </c>
      <c r="U24" s="12">
        <v>3634</v>
      </c>
      <c r="V24" s="12">
        <v>4163</v>
      </c>
      <c r="W24" s="12">
        <v>5858</v>
      </c>
      <c r="X24" s="12">
        <v>4591</v>
      </c>
      <c r="Y24" s="12">
        <v>3730</v>
      </c>
      <c r="Z24" s="12">
        <v>3902</v>
      </c>
      <c r="AA24" s="12">
        <v>3604</v>
      </c>
      <c r="AB24" s="12">
        <v>3770</v>
      </c>
      <c r="AC24" s="12">
        <v>6452</v>
      </c>
      <c r="AD24" s="12">
        <v>6555</v>
      </c>
      <c r="AE24" s="12">
        <v>8883</v>
      </c>
      <c r="AF24" s="12">
        <v>10021</v>
      </c>
      <c r="AG24" s="12">
        <v>9462</v>
      </c>
      <c r="AH24" s="12">
        <v>8548</v>
      </c>
      <c r="AI24" s="12">
        <v>7832</v>
      </c>
      <c r="AJ24" s="13">
        <v>84</v>
      </c>
      <c r="AK24" s="13">
        <v>73</v>
      </c>
      <c r="AL24" s="13">
        <v>99</v>
      </c>
      <c r="AM24" s="13">
        <v>78</v>
      </c>
      <c r="AN24" s="13">
        <v>61</v>
      </c>
      <c r="AO24" s="13">
        <v>106</v>
      </c>
      <c r="AP24" s="13">
        <v>0</v>
      </c>
      <c r="AQ24" s="13">
        <v>68</v>
      </c>
      <c r="AR24" s="13">
        <v>89</v>
      </c>
      <c r="AS24" s="13">
        <v>100</v>
      </c>
      <c r="AT24" s="13">
        <v>89</v>
      </c>
      <c r="AU24" s="13">
        <v>121</v>
      </c>
      <c r="AV24" s="13">
        <v>127</v>
      </c>
      <c r="AW24" s="13">
        <v>147</v>
      </c>
      <c r="AX24" s="13">
        <v>153</v>
      </c>
      <c r="AY24" s="13"/>
      <c r="AZ24" s="329">
        <f t="shared" si="0"/>
        <v>749.22857235421156</v>
      </c>
      <c r="BA24" s="329">
        <f t="shared" si="1"/>
        <v>801.35703412217936</v>
      </c>
      <c r="BB24" s="329">
        <f t="shared" si="2"/>
        <v>1533.0798522699977</v>
      </c>
      <c r="BC24" s="329">
        <f t="shared" si="3"/>
        <v>1152.8017994195973</v>
      </c>
      <c r="BD24" s="329">
        <f t="shared" si="4"/>
        <v>1600.5495375735134</v>
      </c>
      <c r="BE24" s="329">
        <f t="shared" si="5"/>
        <v>1648.5254691689008</v>
      </c>
      <c r="BF24" s="329">
        <f t="shared" si="6"/>
        <v>1717.4639677088671</v>
      </c>
      <c r="BG24" s="329">
        <f t="shared" si="7"/>
        <v>1883.1595449500555</v>
      </c>
      <c r="BH24" s="329">
        <f t="shared" si="8"/>
        <v>3136.5705570291775</v>
      </c>
      <c r="BI24" s="329">
        <f t="shared" si="9"/>
        <v>1554.6451706292623</v>
      </c>
      <c r="BJ24" s="329">
        <f t="shared" si="10"/>
        <v>1988.4996186117467</v>
      </c>
      <c r="BK24" s="329">
        <f t="shared" si="11"/>
        <v>2345.2821118991333</v>
      </c>
      <c r="BL24" s="329">
        <f t="shared" si="12"/>
        <v>2395.0779363336992</v>
      </c>
      <c r="BM24" s="329">
        <f t="shared" si="13"/>
        <v>2251.1127668569011</v>
      </c>
      <c r="BN24" s="329">
        <f t="shared" si="14"/>
        <v>3090.0636406176882</v>
      </c>
      <c r="BO24" s="329">
        <f t="shared" si="15"/>
        <v>2925.2918794688458</v>
      </c>
      <c r="BP24" t="s">
        <v>68</v>
      </c>
    </row>
    <row r="25" spans="1:68" x14ac:dyDescent="0.25">
      <c r="A25" s="10" t="s">
        <v>71</v>
      </c>
      <c r="B25" s="10"/>
      <c r="C25" s="10" t="s">
        <v>72</v>
      </c>
      <c r="D25" s="11">
        <v>507537.80310000002</v>
      </c>
      <c r="E25" s="11">
        <v>710122.20179999992</v>
      </c>
      <c r="F25" s="11">
        <v>1556298.3370000001</v>
      </c>
      <c r="G25" s="11">
        <v>1646744.4270000001</v>
      </c>
      <c r="H25" s="11">
        <v>1791836.3959999999</v>
      </c>
      <c r="I25" s="11">
        <v>1499000</v>
      </c>
      <c r="J25" s="11">
        <v>3402897.233</v>
      </c>
      <c r="K25" s="11">
        <v>3335735</v>
      </c>
      <c r="L25" s="11">
        <v>1040714</v>
      </c>
      <c r="M25" s="11">
        <v>9464621.9984000009</v>
      </c>
      <c r="N25" s="11">
        <v>12413913</v>
      </c>
      <c r="O25" s="11">
        <v>14705845</v>
      </c>
      <c r="P25" s="11">
        <v>14676075</v>
      </c>
      <c r="Q25" s="11">
        <v>12906682</v>
      </c>
      <c r="R25" s="11">
        <v>17372181</v>
      </c>
      <c r="S25" s="11">
        <v>23251071</v>
      </c>
      <c r="T25" s="12">
        <v>655</v>
      </c>
      <c r="U25" s="12">
        <v>905</v>
      </c>
      <c r="V25" s="12">
        <v>1050</v>
      </c>
      <c r="W25" s="12">
        <v>1455</v>
      </c>
      <c r="X25" s="12">
        <v>970</v>
      </c>
      <c r="Y25" s="12">
        <v>645</v>
      </c>
      <c r="Z25" s="12">
        <v>1887</v>
      </c>
      <c r="AA25" s="12">
        <v>1687</v>
      </c>
      <c r="AB25" s="12">
        <v>316</v>
      </c>
      <c r="AC25" s="12">
        <v>4291</v>
      </c>
      <c r="AD25" s="12">
        <v>5201</v>
      </c>
      <c r="AE25" s="12">
        <v>6050</v>
      </c>
      <c r="AF25" s="12">
        <v>5843</v>
      </c>
      <c r="AG25" s="12">
        <v>5352</v>
      </c>
      <c r="AH25" s="12">
        <v>5332</v>
      </c>
      <c r="AI25" s="12">
        <v>6715</v>
      </c>
      <c r="AJ25" s="13">
        <v>44</v>
      </c>
      <c r="AK25" s="13">
        <v>65</v>
      </c>
      <c r="AL25" s="13">
        <v>52</v>
      </c>
      <c r="AM25" s="13">
        <v>43</v>
      </c>
      <c r="AN25" s="13">
        <v>46</v>
      </c>
      <c r="AO25" s="13">
        <v>51</v>
      </c>
      <c r="AP25" s="13">
        <v>0</v>
      </c>
      <c r="AQ25" s="13">
        <v>61</v>
      </c>
      <c r="AR25" s="13">
        <v>70</v>
      </c>
      <c r="AS25" s="13">
        <v>42</v>
      </c>
      <c r="AT25" s="13">
        <v>41</v>
      </c>
      <c r="AU25" s="13">
        <v>45</v>
      </c>
      <c r="AV25" s="13">
        <v>54</v>
      </c>
      <c r="AW25" s="13">
        <v>48</v>
      </c>
      <c r="AX25" s="13">
        <v>51</v>
      </c>
      <c r="AY25" s="13"/>
      <c r="AZ25" s="329">
        <f t="shared" si="0"/>
        <v>774.86687496183208</v>
      </c>
      <c r="BA25" s="329">
        <f t="shared" si="1"/>
        <v>784.66541635359113</v>
      </c>
      <c r="BB25" s="329">
        <f t="shared" si="2"/>
        <v>1482.1888923809524</v>
      </c>
      <c r="BC25" s="329">
        <f t="shared" si="3"/>
        <v>1131.7831113402062</v>
      </c>
      <c r="BD25" s="329">
        <f t="shared" si="4"/>
        <v>1847.2540164948452</v>
      </c>
      <c r="BE25" s="329">
        <f t="shared" si="5"/>
        <v>2324.031007751938</v>
      </c>
      <c r="BF25" s="329">
        <f t="shared" si="6"/>
        <v>1803.3371664016959</v>
      </c>
      <c r="BG25" s="329">
        <f t="shared" si="7"/>
        <v>1977.3177237700058</v>
      </c>
      <c r="BH25" s="329">
        <f t="shared" si="8"/>
        <v>3293.3987341772154</v>
      </c>
      <c r="BI25" s="329">
        <f t="shared" si="9"/>
        <v>2205.6914468422283</v>
      </c>
      <c r="BJ25" s="329">
        <f t="shared" si="10"/>
        <v>2386.8319553931938</v>
      </c>
      <c r="BK25" s="329">
        <f t="shared" si="11"/>
        <v>2430.7181818181816</v>
      </c>
      <c r="BL25" s="329">
        <f t="shared" si="12"/>
        <v>2511.7362656169776</v>
      </c>
      <c r="BM25" s="329">
        <f t="shared" si="13"/>
        <v>2411.5624065769807</v>
      </c>
      <c r="BN25" s="329">
        <f t="shared" si="14"/>
        <v>3258.0984621155289</v>
      </c>
      <c r="BO25" s="329">
        <f t="shared" si="15"/>
        <v>3462.5571109456441</v>
      </c>
      <c r="BP25" t="s">
        <v>68</v>
      </c>
    </row>
    <row r="26" spans="1:68" x14ac:dyDescent="0.25">
      <c r="A26" s="10" t="s">
        <v>73</v>
      </c>
      <c r="B26" s="10"/>
      <c r="C26" s="10" t="s">
        <v>74</v>
      </c>
      <c r="D26" s="11">
        <v>535031.72889999999</v>
      </c>
      <c r="E26" s="11">
        <v>748585.48470000003</v>
      </c>
      <c r="F26" s="11">
        <v>1640597.807</v>
      </c>
      <c r="G26" s="11">
        <v>1735937.7520000001</v>
      </c>
      <c r="H26" s="11">
        <v>1888881.798</v>
      </c>
      <c r="I26" s="11">
        <v>1581000</v>
      </c>
      <c r="J26" s="11">
        <v>1728112.2439999999</v>
      </c>
      <c r="K26" s="11">
        <v>2020254</v>
      </c>
      <c r="L26" s="11">
        <v>2828559</v>
      </c>
      <c r="M26" s="11">
        <v>2470063.5937999999</v>
      </c>
      <c r="N26" s="11">
        <v>3394120</v>
      </c>
      <c r="O26" s="11">
        <v>3400447</v>
      </c>
      <c r="P26" s="11">
        <v>6067191</v>
      </c>
      <c r="Q26" s="11">
        <v>5276295</v>
      </c>
      <c r="R26" s="11">
        <v>6764320</v>
      </c>
      <c r="S26" s="11">
        <v>8850011</v>
      </c>
      <c r="T26" s="12">
        <v>456</v>
      </c>
      <c r="U26" s="12">
        <v>655</v>
      </c>
      <c r="V26" s="12">
        <v>743</v>
      </c>
      <c r="W26" s="12">
        <v>985</v>
      </c>
      <c r="X26" s="12">
        <v>734</v>
      </c>
      <c r="Y26" s="12">
        <v>611</v>
      </c>
      <c r="Z26" s="12">
        <v>559</v>
      </c>
      <c r="AA26" s="12">
        <v>596</v>
      </c>
      <c r="AB26" s="12">
        <v>501</v>
      </c>
      <c r="AC26" s="12">
        <v>1406</v>
      </c>
      <c r="AD26" s="12">
        <v>1163</v>
      </c>
      <c r="AE26" s="12">
        <v>1276</v>
      </c>
      <c r="AF26" s="12">
        <v>1565</v>
      </c>
      <c r="AG26" s="12">
        <v>1705</v>
      </c>
      <c r="AH26" s="12">
        <v>1333</v>
      </c>
      <c r="AI26" s="12">
        <v>1282</v>
      </c>
      <c r="AJ26" s="13">
        <v>29</v>
      </c>
      <c r="AK26" s="13">
        <v>46</v>
      </c>
      <c r="AL26" s="13">
        <v>23</v>
      </c>
      <c r="AM26" s="13">
        <v>28</v>
      </c>
      <c r="AN26" s="13">
        <v>41</v>
      </c>
      <c r="AO26" s="13">
        <v>62</v>
      </c>
      <c r="AP26" s="13">
        <v>0</v>
      </c>
      <c r="AQ26" s="13">
        <v>25</v>
      </c>
      <c r="AR26" s="13">
        <v>28</v>
      </c>
      <c r="AS26" s="13">
        <v>25</v>
      </c>
      <c r="AT26" s="13">
        <v>27</v>
      </c>
      <c r="AU26" s="13">
        <v>32</v>
      </c>
      <c r="AV26" s="13">
        <v>41</v>
      </c>
      <c r="AW26" s="13">
        <v>20</v>
      </c>
      <c r="AX26" s="13">
        <v>29</v>
      </c>
      <c r="AY26" s="13"/>
      <c r="AZ26" s="329">
        <f t="shared" si="0"/>
        <v>1173.3151949561404</v>
      </c>
      <c r="BA26" s="329">
        <f t="shared" si="1"/>
        <v>1142.8786025954198</v>
      </c>
      <c r="BB26" s="329">
        <f t="shared" si="2"/>
        <v>2208.0724185733511</v>
      </c>
      <c r="BC26" s="329">
        <f t="shared" si="3"/>
        <v>1762.373352284264</v>
      </c>
      <c r="BD26" s="329">
        <f t="shared" si="4"/>
        <v>2573.4084441416894</v>
      </c>
      <c r="BE26" s="329">
        <f t="shared" si="5"/>
        <v>2587.5613747954171</v>
      </c>
      <c r="BF26" s="329">
        <f t="shared" si="6"/>
        <v>3091.4351413237923</v>
      </c>
      <c r="BG26" s="329">
        <f t="shared" si="7"/>
        <v>3389.6879194630874</v>
      </c>
      <c r="BH26" s="329">
        <f t="shared" si="8"/>
        <v>5645.8263473053894</v>
      </c>
      <c r="BI26" s="329">
        <f t="shared" si="9"/>
        <v>1756.8019870554765</v>
      </c>
      <c r="BJ26" s="329">
        <f t="shared" si="10"/>
        <v>2918.4178847807393</v>
      </c>
      <c r="BK26" s="329">
        <f t="shared" si="11"/>
        <v>2664.9271159874606</v>
      </c>
      <c r="BL26" s="329">
        <f t="shared" si="12"/>
        <v>3876.7993610223643</v>
      </c>
      <c r="BM26" s="329">
        <f t="shared" si="13"/>
        <v>3094.6011730205278</v>
      </c>
      <c r="BN26" s="329">
        <f t="shared" si="14"/>
        <v>5074.5086271567889</v>
      </c>
      <c r="BO26" s="329">
        <f t="shared" si="15"/>
        <v>6903.2847113884554</v>
      </c>
      <c r="BP26" t="s">
        <v>68</v>
      </c>
    </row>
    <row r="27" spans="1:68" x14ac:dyDescent="0.25">
      <c r="A27" s="10" t="s">
        <v>75</v>
      </c>
      <c r="B27" s="10"/>
      <c r="C27" s="10" t="s">
        <v>76</v>
      </c>
      <c r="D27" s="11">
        <v>123372.95240000001</v>
      </c>
      <c r="E27" s="11">
        <v>172611.7831</v>
      </c>
      <c r="F27" s="11">
        <v>378261.3823</v>
      </c>
      <c r="G27" s="11">
        <v>400279.13679999998</v>
      </c>
      <c r="H27" s="11">
        <v>435531.02999999997</v>
      </c>
      <c r="I27" s="11">
        <v>364000</v>
      </c>
      <c r="J27" s="11">
        <v>1879592.5660000001</v>
      </c>
      <c r="K27" s="11">
        <v>1910654</v>
      </c>
      <c r="L27" s="11">
        <v>23838</v>
      </c>
      <c r="M27" s="11">
        <v>8276.6316000000006</v>
      </c>
      <c r="N27" s="11">
        <v>133291</v>
      </c>
      <c r="O27" s="11">
        <v>27667</v>
      </c>
      <c r="P27" s="11">
        <v>87227</v>
      </c>
      <c r="Q27" s="11" t="s">
        <v>38</v>
      </c>
      <c r="R27" s="11">
        <v>324021</v>
      </c>
      <c r="S27" s="11">
        <v>668258</v>
      </c>
      <c r="T27" s="12">
        <v>48</v>
      </c>
      <c r="U27" s="12">
        <v>63</v>
      </c>
      <c r="V27" s="12">
        <v>72</v>
      </c>
      <c r="W27" s="12">
        <v>101</v>
      </c>
      <c r="X27" s="12">
        <v>80</v>
      </c>
      <c r="Y27" s="12">
        <v>66</v>
      </c>
      <c r="Z27" s="12">
        <v>288</v>
      </c>
      <c r="AA27" s="12">
        <v>267</v>
      </c>
      <c r="AB27" s="12">
        <v>2</v>
      </c>
      <c r="AC27" s="12">
        <v>1</v>
      </c>
      <c r="AD27" s="12">
        <v>31</v>
      </c>
      <c r="AE27" s="12">
        <v>14</v>
      </c>
      <c r="AF27" s="12">
        <v>9</v>
      </c>
      <c r="AG27" s="12">
        <v>0</v>
      </c>
      <c r="AH27" s="12">
        <v>49</v>
      </c>
      <c r="AI27" s="12">
        <v>79</v>
      </c>
      <c r="AJ27" s="13">
        <v>3</v>
      </c>
      <c r="AK27" s="13">
        <v>2</v>
      </c>
      <c r="AL27" s="13">
        <v>1</v>
      </c>
      <c r="AM27" s="13">
        <v>0</v>
      </c>
      <c r="AN27" s="13">
        <v>6</v>
      </c>
      <c r="AO27" s="13">
        <v>5</v>
      </c>
      <c r="AP27" s="13">
        <v>0</v>
      </c>
      <c r="AQ27" s="13">
        <v>1</v>
      </c>
      <c r="AR27" s="13">
        <v>3</v>
      </c>
      <c r="AS27" s="13">
        <v>0</v>
      </c>
      <c r="AT27" s="13">
        <v>0</v>
      </c>
      <c r="AU27" s="13">
        <v>1</v>
      </c>
      <c r="AV27" s="13">
        <v>1</v>
      </c>
      <c r="AW27" s="13">
        <v>1</v>
      </c>
      <c r="AX27" s="13">
        <v>1</v>
      </c>
      <c r="AY27" s="13"/>
      <c r="AZ27" s="329">
        <f t="shared" si="0"/>
        <v>2570.2698416666667</v>
      </c>
      <c r="BA27" s="329">
        <f t="shared" si="1"/>
        <v>2739.8695730158729</v>
      </c>
      <c r="BB27" s="329">
        <f t="shared" si="2"/>
        <v>5253.6303097222226</v>
      </c>
      <c r="BC27" s="329">
        <f t="shared" si="3"/>
        <v>3963.1597702970294</v>
      </c>
      <c r="BD27" s="329">
        <f t="shared" si="4"/>
        <v>5444.1378749999994</v>
      </c>
      <c r="BE27" s="329">
        <f t="shared" si="5"/>
        <v>5515.151515151515</v>
      </c>
      <c r="BF27" s="329">
        <f t="shared" si="6"/>
        <v>6526.3630763888896</v>
      </c>
      <c r="BG27" s="329">
        <f t="shared" si="7"/>
        <v>7156.0074906367045</v>
      </c>
      <c r="BH27" s="329">
        <f t="shared" si="8"/>
        <v>11919</v>
      </c>
      <c r="BI27" s="329">
        <f t="shared" si="9"/>
        <v>8276.6316000000006</v>
      </c>
      <c r="BJ27" s="329">
        <f t="shared" si="10"/>
        <v>4299.7096774193551</v>
      </c>
      <c r="BK27" s="329">
        <f t="shared" si="11"/>
        <v>1976.2142857142858</v>
      </c>
      <c r="BL27" s="329">
        <f t="shared" si="12"/>
        <v>9691.8888888888887</v>
      </c>
      <c r="BM27" s="329" t="str">
        <f t="shared" si="13"/>
        <v/>
      </c>
      <c r="BN27" s="329">
        <f t="shared" si="14"/>
        <v>6612.6734693877552</v>
      </c>
      <c r="BO27" s="329">
        <f t="shared" si="15"/>
        <v>8458.9620253164558</v>
      </c>
      <c r="BP27" t="s">
        <v>68</v>
      </c>
    </row>
    <row r="28" spans="1:68" x14ac:dyDescent="0.25">
      <c r="A28" s="10" t="s">
        <v>77</v>
      </c>
      <c r="B28" s="10"/>
      <c r="C28" s="10" t="s">
        <v>78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 t="s">
        <v>38</v>
      </c>
      <c r="P28" s="11">
        <v>0</v>
      </c>
      <c r="Q28" s="11" t="s">
        <v>38</v>
      </c>
      <c r="R28" s="11" t="s">
        <v>38</v>
      </c>
      <c r="S28" s="11" t="s">
        <v>38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 t="s">
        <v>38</v>
      </c>
      <c r="AI28" s="12" t="s">
        <v>38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/>
      <c r="AZ28" s="329" t="str">
        <f t="shared" si="0"/>
        <v/>
      </c>
      <c r="BA28" s="329" t="str">
        <f t="shared" si="1"/>
        <v/>
      </c>
      <c r="BB28" s="329" t="str">
        <f t="shared" si="2"/>
        <v/>
      </c>
      <c r="BC28" s="329" t="str">
        <f t="shared" si="3"/>
        <v/>
      </c>
      <c r="BD28" s="329" t="str">
        <f t="shared" si="4"/>
        <v/>
      </c>
      <c r="BE28" s="329" t="str">
        <f t="shared" si="5"/>
        <v/>
      </c>
      <c r="BF28" s="329" t="str">
        <f t="shared" si="6"/>
        <v/>
      </c>
      <c r="BG28" s="329" t="str">
        <f t="shared" si="7"/>
        <v/>
      </c>
      <c r="BH28" s="329" t="str">
        <f t="shared" si="8"/>
        <v/>
      </c>
      <c r="BI28" s="329" t="str">
        <f t="shared" si="9"/>
        <v/>
      </c>
      <c r="BJ28" s="329" t="str">
        <f t="shared" si="10"/>
        <v/>
      </c>
      <c r="BK28" s="329" t="str">
        <f t="shared" si="11"/>
        <v/>
      </c>
      <c r="BL28" s="329" t="str">
        <f t="shared" si="12"/>
        <v/>
      </c>
      <c r="BM28" s="329" t="str">
        <f t="shared" si="13"/>
        <v/>
      </c>
      <c r="BN28" s="329" t="str">
        <f t="shared" si="14"/>
        <v/>
      </c>
      <c r="BO28" s="329" t="str">
        <f t="shared" si="15"/>
        <v/>
      </c>
      <c r="BP28" t="s">
        <v>68</v>
      </c>
    </row>
    <row r="29" spans="1:68" x14ac:dyDescent="0.25">
      <c r="A29" s="10" t="s">
        <v>63</v>
      </c>
      <c r="B29" s="10"/>
      <c r="C29" s="10" t="s">
        <v>64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 t="s">
        <v>38</v>
      </c>
      <c r="P29" s="11">
        <v>0</v>
      </c>
      <c r="Q29" s="11" t="s">
        <v>38</v>
      </c>
      <c r="R29" s="11" t="s">
        <v>38</v>
      </c>
      <c r="S29" s="11" t="s">
        <v>38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 t="s">
        <v>38</v>
      </c>
      <c r="AI29" s="12" t="s">
        <v>38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3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/>
      <c r="AZ29" s="329" t="str">
        <f t="shared" si="0"/>
        <v/>
      </c>
      <c r="BA29" s="329" t="str">
        <f t="shared" si="1"/>
        <v/>
      </c>
      <c r="BB29" s="329" t="str">
        <f t="shared" si="2"/>
        <v/>
      </c>
      <c r="BC29" s="329" t="str">
        <f t="shared" si="3"/>
        <v/>
      </c>
      <c r="BD29" s="329" t="str">
        <f t="shared" si="4"/>
        <v/>
      </c>
      <c r="BE29" s="329" t="str">
        <f t="shared" si="5"/>
        <v/>
      </c>
      <c r="BF29" s="329" t="str">
        <f t="shared" si="6"/>
        <v/>
      </c>
      <c r="BG29" s="329" t="str">
        <f t="shared" si="7"/>
        <v/>
      </c>
      <c r="BH29" s="329" t="str">
        <f t="shared" si="8"/>
        <v/>
      </c>
      <c r="BI29" s="329" t="str">
        <f t="shared" si="9"/>
        <v/>
      </c>
      <c r="BJ29" s="329" t="str">
        <f t="shared" si="10"/>
        <v/>
      </c>
      <c r="BK29" s="329" t="str">
        <f t="shared" si="11"/>
        <v/>
      </c>
      <c r="BL29" s="329" t="str">
        <f t="shared" si="12"/>
        <v/>
      </c>
      <c r="BM29" s="329" t="str">
        <f t="shared" si="13"/>
        <v/>
      </c>
      <c r="BN29" s="329" t="str">
        <f t="shared" si="14"/>
        <v/>
      </c>
      <c r="BO29" s="329" t="str">
        <f t="shared" si="15"/>
        <v/>
      </c>
      <c r="BP29" t="s">
        <v>63</v>
      </c>
    </row>
    <row r="30" spans="1:68" x14ac:dyDescent="0.25">
      <c r="A30" s="10" t="s">
        <v>79</v>
      </c>
      <c r="B30" s="10" t="s">
        <v>80</v>
      </c>
      <c r="C30" s="10" t="s">
        <v>67</v>
      </c>
      <c r="D30" s="11">
        <v>947965.97759999998</v>
      </c>
      <c r="E30" s="11">
        <v>569871.05350000004</v>
      </c>
      <c r="F30" s="11">
        <v>1700287.5009999999</v>
      </c>
      <c r="G30" s="11">
        <v>3081235.1269999999</v>
      </c>
      <c r="H30" s="11">
        <v>1560373.335</v>
      </c>
      <c r="I30" s="11">
        <v>1058000</v>
      </c>
      <c r="J30" s="11">
        <v>4745976.2379999999</v>
      </c>
      <c r="K30" s="11">
        <v>17718343</v>
      </c>
      <c r="L30" s="11">
        <v>10980478</v>
      </c>
      <c r="M30" s="11">
        <v>8697093.8705000002</v>
      </c>
      <c r="N30" s="11">
        <v>11270653</v>
      </c>
      <c r="O30" s="11">
        <v>14612561</v>
      </c>
      <c r="P30" s="11">
        <v>16524543</v>
      </c>
      <c r="Q30" s="11">
        <v>23942040</v>
      </c>
      <c r="R30" s="11">
        <v>19477768</v>
      </c>
      <c r="S30" s="11">
        <v>13867245</v>
      </c>
      <c r="T30" s="14">
        <v>15.179</v>
      </c>
      <c r="U30" s="14">
        <v>10.355</v>
      </c>
      <c r="V30" s="14">
        <v>20.181000000000001</v>
      </c>
      <c r="W30" s="14">
        <v>50.084000000000003</v>
      </c>
      <c r="X30" s="14">
        <v>19.88</v>
      </c>
      <c r="Y30" s="14">
        <v>13.068</v>
      </c>
      <c r="Z30" s="14">
        <v>52.781999999999996</v>
      </c>
      <c r="AA30" s="14">
        <v>74</v>
      </c>
      <c r="AB30" s="14">
        <v>114</v>
      </c>
      <c r="AC30" s="14">
        <v>136</v>
      </c>
      <c r="AD30" s="14">
        <v>129</v>
      </c>
      <c r="AE30" s="14">
        <v>181.94</v>
      </c>
      <c r="AF30" s="14">
        <v>311.99299999999999</v>
      </c>
      <c r="AG30" s="14">
        <v>238.55099999999999</v>
      </c>
      <c r="AH30" s="14">
        <v>120.42</v>
      </c>
      <c r="AI30" s="14">
        <v>132.86699999999999</v>
      </c>
      <c r="AJ30" s="15">
        <v>67</v>
      </c>
      <c r="AK30" s="15">
        <v>52</v>
      </c>
      <c r="AL30" s="15">
        <v>55</v>
      </c>
      <c r="AM30" s="15">
        <v>60</v>
      </c>
      <c r="AN30" s="15">
        <v>42</v>
      </c>
      <c r="AO30" s="15">
        <v>95</v>
      </c>
      <c r="AP30" s="15">
        <v>26</v>
      </c>
      <c r="AQ30" s="15">
        <v>22</v>
      </c>
      <c r="AR30" s="15">
        <v>90</v>
      </c>
      <c r="AS30" s="15">
        <v>153</v>
      </c>
      <c r="AT30" s="15">
        <v>156</v>
      </c>
      <c r="AU30" s="15">
        <v>509</v>
      </c>
      <c r="AV30" s="15">
        <v>460</v>
      </c>
      <c r="AW30" s="15">
        <v>464</v>
      </c>
      <c r="AX30" s="15">
        <v>160</v>
      </c>
      <c r="AY30" s="15"/>
      <c r="AZ30" s="329">
        <f t="shared" si="0"/>
        <v>62452.465748731796</v>
      </c>
      <c r="BA30" s="329">
        <f t="shared" si="1"/>
        <v>55033.418976339934</v>
      </c>
      <c r="BB30" s="329">
        <f t="shared" si="2"/>
        <v>84251.895396660213</v>
      </c>
      <c r="BC30" s="329">
        <f t="shared" si="3"/>
        <v>61521.346677581656</v>
      </c>
      <c r="BD30" s="329">
        <f t="shared" si="4"/>
        <v>78489.604376257543</v>
      </c>
      <c r="BE30" s="329">
        <f t="shared" si="5"/>
        <v>80961.126415671868</v>
      </c>
      <c r="BF30" s="329">
        <f t="shared" si="6"/>
        <v>89916.566973589492</v>
      </c>
      <c r="BG30" s="329">
        <f t="shared" si="7"/>
        <v>239437.06756756757</v>
      </c>
      <c r="BH30" s="329">
        <f t="shared" si="8"/>
        <v>96319.982456140351</v>
      </c>
      <c r="BI30" s="329">
        <f t="shared" si="9"/>
        <v>63949.219636029411</v>
      </c>
      <c r="BJ30" s="329">
        <f t="shared" si="10"/>
        <v>87369.403100775191</v>
      </c>
      <c r="BK30" s="329">
        <f t="shared" si="11"/>
        <v>80315.274266241613</v>
      </c>
      <c r="BL30" s="329">
        <f t="shared" si="12"/>
        <v>52964.467151506607</v>
      </c>
      <c r="BM30" s="329">
        <f t="shared" si="13"/>
        <v>100364.45036910346</v>
      </c>
      <c r="BN30" s="329">
        <f t="shared" si="14"/>
        <v>161748.61318717821</v>
      </c>
      <c r="BO30" s="329">
        <f t="shared" si="15"/>
        <v>104369.36936936938</v>
      </c>
      <c r="BP30" t="s">
        <v>81</v>
      </c>
    </row>
    <row r="31" spans="1:68" x14ac:dyDescent="0.25">
      <c r="A31" s="10" t="s">
        <v>82</v>
      </c>
      <c r="B31" s="10"/>
      <c r="C31" s="10" t="s">
        <v>70</v>
      </c>
      <c r="D31" s="11">
        <v>6769001.6119999997</v>
      </c>
      <c r="E31" s="11">
        <v>10114592.84</v>
      </c>
      <c r="F31" s="11">
        <v>16686274.399999999</v>
      </c>
      <c r="G31" s="11">
        <v>21144822.510000002</v>
      </c>
      <c r="H31" s="11">
        <v>17562696.870000001</v>
      </c>
      <c r="I31" s="11">
        <v>10984000</v>
      </c>
      <c r="J31" s="11">
        <v>16368891.755999999</v>
      </c>
      <c r="K31" s="11">
        <v>6147143</v>
      </c>
      <c r="L31" s="11">
        <v>7634425</v>
      </c>
      <c r="M31" s="11">
        <v>3060806.5051000002</v>
      </c>
      <c r="N31" s="11">
        <v>1943548</v>
      </c>
      <c r="O31" s="11">
        <v>2804061</v>
      </c>
      <c r="P31" s="11">
        <v>5453201</v>
      </c>
      <c r="Q31" s="11">
        <v>11673971</v>
      </c>
      <c r="R31" s="11">
        <v>19259419</v>
      </c>
      <c r="S31" s="11">
        <v>10622663</v>
      </c>
      <c r="T31" s="14">
        <v>61.061307169999999</v>
      </c>
      <c r="U31" s="14">
        <v>147.05269809999999</v>
      </c>
      <c r="V31" s="14">
        <v>143.8855791</v>
      </c>
      <c r="W31" s="14">
        <v>244.72017310000001</v>
      </c>
      <c r="X31" s="14">
        <v>148.9489485</v>
      </c>
      <c r="Y31" s="14">
        <v>81.926000000000002</v>
      </c>
      <c r="Z31" s="14">
        <v>142.488</v>
      </c>
      <c r="AA31" s="14">
        <v>49</v>
      </c>
      <c r="AB31" s="14">
        <v>50</v>
      </c>
      <c r="AC31" s="14">
        <v>87</v>
      </c>
      <c r="AD31" s="14">
        <v>66</v>
      </c>
      <c r="AE31" s="14">
        <v>82.384</v>
      </c>
      <c r="AF31" s="14">
        <v>130.44399999999999</v>
      </c>
      <c r="AG31" s="14">
        <v>297.53399999999999</v>
      </c>
      <c r="AH31" s="14">
        <v>189.91200000000001</v>
      </c>
      <c r="AI31" s="14">
        <v>289.25299999999999</v>
      </c>
      <c r="AJ31" s="15">
        <v>218</v>
      </c>
      <c r="AK31" s="15">
        <v>169</v>
      </c>
      <c r="AL31" s="15">
        <v>204</v>
      </c>
      <c r="AM31" s="15">
        <v>194</v>
      </c>
      <c r="AN31" s="15">
        <v>143</v>
      </c>
      <c r="AO31" s="15">
        <v>353</v>
      </c>
      <c r="AP31" s="15">
        <v>0</v>
      </c>
      <c r="AQ31" s="15">
        <v>95</v>
      </c>
      <c r="AR31" s="15">
        <v>300</v>
      </c>
      <c r="AS31" s="15">
        <v>214</v>
      </c>
      <c r="AT31" s="15">
        <v>214</v>
      </c>
      <c r="AU31" s="15">
        <v>288</v>
      </c>
      <c r="AV31" s="15">
        <v>249</v>
      </c>
      <c r="AW31" s="15">
        <v>234</v>
      </c>
      <c r="AX31" s="15">
        <v>285</v>
      </c>
      <c r="AY31" s="15"/>
      <c r="AZ31" s="329">
        <f t="shared" si="0"/>
        <v>110855.82549280365</v>
      </c>
      <c r="BA31" s="329">
        <f t="shared" si="1"/>
        <v>68782.096287154083</v>
      </c>
      <c r="BB31" s="329">
        <f t="shared" si="2"/>
        <v>115969.05335734232</v>
      </c>
      <c r="BC31" s="329">
        <f t="shared" si="3"/>
        <v>86404.084477986995</v>
      </c>
      <c r="BD31" s="329">
        <f t="shared" si="4"/>
        <v>117910.84829309823</v>
      </c>
      <c r="BE31" s="329">
        <f t="shared" si="5"/>
        <v>134072.21150794619</v>
      </c>
      <c r="BF31" s="329">
        <f t="shared" si="6"/>
        <v>114879.08986019874</v>
      </c>
      <c r="BG31" s="329">
        <f t="shared" si="7"/>
        <v>125451.89795918367</v>
      </c>
      <c r="BH31" s="329">
        <f t="shared" si="8"/>
        <v>152688.5</v>
      </c>
      <c r="BI31" s="329">
        <f t="shared" si="9"/>
        <v>35181.683966666671</v>
      </c>
      <c r="BJ31" s="329">
        <f t="shared" si="10"/>
        <v>29447.696969696968</v>
      </c>
      <c r="BK31" s="329">
        <f t="shared" si="11"/>
        <v>34036.475529228977</v>
      </c>
      <c r="BL31" s="329">
        <f t="shared" si="12"/>
        <v>41804.920118978262</v>
      </c>
      <c r="BM31" s="329">
        <f t="shared" si="13"/>
        <v>39235.754569225704</v>
      </c>
      <c r="BN31" s="329">
        <f t="shared" si="14"/>
        <v>101412.33308058469</v>
      </c>
      <c r="BO31" s="329">
        <f t="shared" si="15"/>
        <v>36724.469581992234</v>
      </c>
      <c r="BP31" t="s">
        <v>81</v>
      </c>
    </row>
    <row r="32" spans="1:68" x14ac:dyDescent="0.25">
      <c r="A32" s="10" t="s">
        <v>83</v>
      </c>
      <c r="B32" s="10"/>
      <c r="C32" s="10" t="s">
        <v>84</v>
      </c>
      <c r="D32" s="11">
        <v>1096290.321</v>
      </c>
      <c r="E32" s="11">
        <v>1638133.7840000002</v>
      </c>
      <c r="F32" s="11">
        <v>2702466.6489999997</v>
      </c>
      <c r="G32" s="11">
        <v>3424561.7860000003</v>
      </c>
      <c r="H32" s="11">
        <v>2844409.8090000004</v>
      </c>
      <c r="I32" s="11">
        <v>1779000</v>
      </c>
      <c r="J32" s="11">
        <v>2916170.5789999999</v>
      </c>
      <c r="K32" s="11">
        <v>1095133</v>
      </c>
      <c r="L32" s="11">
        <v>1360097</v>
      </c>
      <c r="M32" s="11">
        <v>1090743.3548999999</v>
      </c>
      <c r="N32" s="11">
        <v>2697369</v>
      </c>
      <c r="O32" s="11">
        <v>1598942</v>
      </c>
      <c r="P32" s="11">
        <v>1825867</v>
      </c>
      <c r="Q32" s="11">
        <v>2539932</v>
      </c>
      <c r="R32" s="11">
        <v>2111571</v>
      </c>
      <c r="S32" s="11">
        <v>4682127</v>
      </c>
      <c r="T32" s="14">
        <v>19.77866865</v>
      </c>
      <c r="U32" s="14">
        <v>47.632563509999997</v>
      </c>
      <c r="V32" s="14">
        <v>46.60668639</v>
      </c>
      <c r="W32" s="14">
        <v>79.268516199999993</v>
      </c>
      <c r="X32" s="14">
        <v>48.24678729</v>
      </c>
      <c r="Y32" s="14">
        <v>26.536999999999999</v>
      </c>
      <c r="Z32" s="14">
        <v>46.154000000000003</v>
      </c>
      <c r="AA32" s="14">
        <v>16</v>
      </c>
      <c r="AB32" s="14">
        <v>16</v>
      </c>
      <c r="AC32" s="14">
        <v>79</v>
      </c>
      <c r="AD32" s="14">
        <v>148</v>
      </c>
      <c r="AE32" s="14">
        <v>65.058000000000007</v>
      </c>
      <c r="AF32" s="14">
        <v>63.74</v>
      </c>
      <c r="AG32" s="14">
        <v>66.191999999999993</v>
      </c>
      <c r="AH32" s="14">
        <v>59.720999999999997</v>
      </c>
      <c r="AI32" s="14">
        <v>104.761</v>
      </c>
      <c r="AJ32" s="15">
        <v>111</v>
      </c>
      <c r="AK32" s="15">
        <v>84</v>
      </c>
      <c r="AL32" s="15">
        <v>60</v>
      </c>
      <c r="AM32" s="15">
        <v>92</v>
      </c>
      <c r="AN32" s="15">
        <v>51</v>
      </c>
      <c r="AO32" s="15">
        <v>79</v>
      </c>
      <c r="AP32" s="15">
        <v>0</v>
      </c>
      <c r="AQ32" s="15">
        <v>11</v>
      </c>
      <c r="AR32" s="15">
        <v>103</v>
      </c>
      <c r="AS32" s="15">
        <v>108</v>
      </c>
      <c r="AT32" s="15">
        <v>80</v>
      </c>
      <c r="AU32" s="15">
        <v>81</v>
      </c>
      <c r="AV32" s="15">
        <v>144</v>
      </c>
      <c r="AW32" s="15">
        <v>84</v>
      </c>
      <c r="AX32" s="15">
        <v>100</v>
      </c>
      <c r="AY32" s="15"/>
      <c r="AZ32" s="329">
        <f t="shared" si="0"/>
        <v>55427.912788255337</v>
      </c>
      <c r="BA32" s="329">
        <f t="shared" si="1"/>
        <v>34391.048125219837</v>
      </c>
      <c r="BB32" s="329">
        <f t="shared" si="2"/>
        <v>57984.526648945481</v>
      </c>
      <c r="BC32" s="329">
        <f t="shared" si="3"/>
        <v>43202.042250413673</v>
      </c>
      <c r="BD32" s="329">
        <f t="shared" si="4"/>
        <v>58955.424159186543</v>
      </c>
      <c r="BE32" s="329">
        <f t="shared" si="5"/>
        <v>67038.474582658178</v>
      </c>
      <c r="BF32" s="329">
        <f t="shared" si="6"/>
        <v>63183.485266715768</v>
      </c>
      <c r="BG32" s="329">
        <f t="shared" si="7"/>
        <v>68445.8125</v>
      </c>
      <c r="BH32" s="329">
        <f t="shared" si="8"/>
        <v>85006.0625</v>
      </c>
      <c r="BI32" s="329">
        <f t="shared" si="9"/>
        <v>13806.877910126581</v>
      </c>
      <c r="BJ32" s="329">
        <f t="shared" si="10"/>
        <v>18225.466216216217</v>
      </c>
      <c r="BK32" s="329">
        <f t="shared" si="11"/>
        <v>24577.177287958435</v>
      </c>
      <c r="BL32" s="329">
        <f t="shared" si="12"/>
        <v>28645.544399121431</v>
      </c>
      <c r="BM32" s="329">
        <f t="shared" si="13"/>
        <v>38372.189992748376</v>
      </c>
      <c r="BN32" s="329">
        <f t="shared" si="14"/>
        <v>35357.261264881701</v>
      </c>
      <c r="BO32" s="329">
        <f t="shared" si="15"/>
        <v>44693.416443142014</v>
      </c>
      <c r="BP32" t="s">
        <v>81</v>
      </c>
    </row>
    <row r="33" spans="1:68" x14ac:dyDescent="0.25">
      <c r="A33" s="10" t="s">
        <v>85</v>
      </c>
      <c r="B33" s="10"/>
      <c r="C33" s="10" t="s">
        <v>86</v>
      </c>
      <c r="D33" s="11">
        <v>690772.68130000005</v>
      </c>
      <c r="E33" s="11">
        <v>1032188.3219999999</v>
      </c>
      <c r="F33" s="11">
        <v>1702824.6059999999</v>
      </c>
      <c r="G33" s="11">
        <v>2157816.8510000003</v>
      </c>
      <c r="H33" s="11">
        <v>1792263.0109999999</v>
      </c>
      <c r="I33" s="11">
        <v>1121000</v>
      </c>
      <c r="J33" s="11">
        <v>1909069.591</v>
      </c>
      <c r="K33" s="11">
        <v>716928</v>
      </c>
      <c r="L33" s="11">
        <v>890387</v>
      </c>
      <c r="M33" s="11">
        <v>0</v>
      </c>
      <c r="N33" s="11">
        <v>0</v>
      </c>
      <c r="O33" s="11" t="s">
        <v>38</v>
      </c>
      <c r="P33" s="11">
        <v>0</v>
      </c>
      <c r="Q33" s="11" t="s">
        <v>38</v>
      </c>
      <c r="R33" s="11" t="s">
        <v>38</v>
      </c>
      <c r="S33" s="11" t="s">
        <v>38</v>
      </c>
      <c r="T33" s="14">
        <v>8.9018155940000003</v>
      </c>
      <c r="U33" s="14">
        <v>21.438060570000001</v>
      </c>
      <c r="V33" s="14">
        <v>20.97634249</v>
      </c>
      <c r="W33" s="14">
        <v>35.67650209</v>
      </c>
      <c r="X33" s="14">
        <v>21.714505209999999</v>
      </c>
      <c r="Y33" s="14">
        <v>11.944000000000001</v>
      </c>
      <c r="Z33" s="14">
        <v>20.773</v>
      </c>
      <c r="AA33" s="14">
        <v>7</v>
      </c>
      <c r="AB33" s="14">
        <v>7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 t="s">
        <v>38</v>
      </c>
      <c r="AI33" s="14" t="s">
        <v>38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/>
      <c r="AZ33" s="329">
        <f t="shared" si="0"/>
        <v>77599.077851668204</v>
      </c>
      <c r="BA33" s="329">
        <f t="shared" si="1"/>
        <v>48147.46738072118</v>
      </c>
      <c r="BB33" s="329">
        <f t="shared" si="2"/>
        <v>81178.33730126133</v>
      </c>
      <c r="BC33" s="329">
        <f t="shared" si="3"/>
        <v>60482.859153527519</v>
      </c>
      <c r="BD33" s="329">
        <f t="shared" si="4"/>
        <v>82537.593818837006</v>
      </c>
      <c r="BE33" s="329">
        <f t="shared" si="5"/>
        <v>93854.655056932344</v>
      </c>
      <c r="BF33" s="329">
        <f t="shared" si="6"/>
        <v>91901.487074567951</v>
      </c>
      <c r="BG33" s="329">
        <f t="shared" si="7"/>
        <v>102418.28571428571</v>
      </c>
      <c r="BH33" s="329">
        <f t="shared" si="8"/>
        <v>127198.14285714286</v>
      </c>
      <c r="BI33" s="329" t="str">
        <f t="shared" si="9"/>
        <v/>
      </c>
      <c r="BJ33" s="329" t="str">
        <f t="shared" si="10"/>
        <v/>
      </c>
      <c r="BK33" s="329" t="str">
        <f t="shared" si="11"/>
        <v/>
      </c>
      <c r="BL33" s="329" t="str">
        <f t="shared" si="12"/>
        <v/>
      </c>
      <c r="BM33" s="329" t="str">
        <f t="shared" si="13"/>
        <v/>
      </c>
      <c r="BN33" s="329" t="str">
        <f t="shared" si="14"/>
        <v/>
      </c>
      <c r="BO33" s="329" t="str">
        <f t="shared" si="15"/>
        <v/>
      </c>
      <c r="BP33" t="s">
        <v>81</v>
      </c>
    </row>
    <row r="34" spans="1:68" x14ac:dyDescent="0.25">
      <c r="A34" s="10" t="s">
        <v>87</v>
      </c>
      <c r="B34" s="10"/>
      <c r="C34" s="10" t="s">
        <v>88</v>
      </c>
      <c r="D34" s="11">
        <v>2308334.7540000002</v>
      </c>
      <c r="E34" s="11">
        <v>3449233.3589999997</v>
      </c>
      <c r="F34" s="11">
        <v>5690278.9079999998</v>
      </c>
      <c r="G34" s="11">
        <v>7210713.1099999994</v>
      </c>
      <c r="H34" s="11">
        <v>5989152.5940000005</v>
      </c>
      <c r="I34" s="11">
        <v>3746000</v>
      </c>
      <c r="J34" s="11">
        <v>5582046.4950000001</v>
      </c>
      <c r="K34" s="11">
        <v>2096271</v>
      </c>
      <c r="L34" s="11">
        <v>2603458</v>
      </c>
      <c r="M34" s="11">
        <v>440726.14020000002</v>
      </c>
      <c r="N34" s="11">
        <v>711221</v>
      </c>
      <c r="O34" s="11">
        <v>330916</v>
      </c>
      <c r="P34" s="11">
        <v>893619</v>
      </c>
      <c r="Q34" s="11">
        <v>2091510</v>
      </c>
      <c r="R34" s="11">
        <v>4173731</v>
      </c>
      <c r="S34" s="11">
        <v>2189011</v>
      </c>
      <c r="T34" s="14">
        <v>20.822854759999998</v>
      </c>
      <c r="U34" s="14">
        <v>50.147255569999999</v>
      </c>
      <c r="V34" s="14">
        <v>49.067218750000002</v>
      </c>
      <c r="W34" s="14">
        <v>83.453382469999994</v>
      </c>
      <c r="X34" s="14">
        <v>50.793906409999998</v>
      </c>
      <c r="Y34" s="14">
        <v>27.937999999999999</v>
      </c>
      <c r="Z34" s="14">
        <v>48.591000000000001</v>
      </c>
      <c r="AA34" s="14">
        <v>17</v>
      </c>
      <c r="AB34" s="14">
        <v>17</v>
      </c>
      <c r="AC34" s="14">
        <v>25</v>
      </c>
      <c r="AD34" s="14">
        <v>34</v>
      </c>
      <c r="AE34" s="14">
        <v>23.914000000000001</v>
      </c>
      <c r="AF34" s="14">
        <v>22.507000000000001</v>
      </c>
      <c r="AG34" s="14">
        <v>48.784999999999997</v>
      </c>
      <c r="AH34" s="14">
        <v>62.122</v>
      </c>
      <c r="AI34" s="14">
        <v>59.524999999999999</v>
      </c>
      <c r="AJ34" s="15">
        <v>31</v>
      </c>
      <c r="AK34" s="15">
        <v>37</v>
      </c>
      <c r="AL34" s="15">
        <v>36</v>
      </c>
      <c r="AM34" s="15">
        <v>39</v>
      </c>
      <c r="AN34" s="15">
        <v>39</v>
      </c>
      <c r="AO34" s="15">
        <v>100</v>
      </c>
      <c r="AP34" s="15">
        <v>0</v>
      </c>
      <c r="AQ34" s="15">
        <v>17</v>
      </c>
      <c r="AR34" s="15">
        <v>99</v>
      </c>
      <c r="AS34" s="15">
        <v>60</v>
      </c>
      <c r="AT34" s="15">
        <v>54</v>
      </c>
      <c r="AU34" s="15">
        <v>62</v>
      </c>
      <c r="AV34" s="15">
        <v>22</v>
      </c>
      <c r="AW34" s="15">
        <v>69</v>
      </c>
      <c r="AX34" s="15">
        <v>70</v>
      </c>
      <c r="AY34" s="15"/>
      <c r="AZ34" s="329">
        <f t="shared" si="0"/>
        <v>110855.82551506018</v>
      </c>
      <c r="BA34" s="329">
        <f t="shared" si="1"/>
        <v>68782.096244235203</v>
      </c>
      <c r="BB34" s="329">
        <f t="shared" si="2"/>
        <v>115969.05333053954</v>
      </c>
      <c r="BC34" s="329">
        <f t="shared" si="3"/>
        <v>86404.084491028538</v>
      </c>
      <c r="BD34" s="329">
        <f t="shared" si="4"/>
        <v>117910.84831429488</v>
      </c>
      <c r="BE34" s="329">
        <f t="shared" si="5"/>
        <v>134082.61149688598</v>
      </c>
      <c r="BF34" s="329">
        <f t="shared" si="6"/>
        <v>114878.19750571094</v>
      </c>
      <c r="BG34" s="329">
        <f t="shared" si="7"/>
        <v>123310.05882352941</v>
      </c>
      <c r="BH34" s="329">
        <f t="shared" si="8"/>
        <v>153144.58823529413</v>
      </c>
      <c r="BI34" s="329">
        <f t="shared" si="9"/>
        <v>17629.045608</v>
      </c>
      <c r="BJ34" s="329">
        <f t="shared" si="10"/>
        <v>20918.264705882353</v>
      </c>
      <c r="BK34" s="329">
        <f t="shared" si="11"/>
        <v>13837.751944467675</v>
      </c>
      <c r="BL34" s="329">
        <f t="shared" si="12"/>
        <v>39704.047629626337</v>
      </c>
      <c r="BM34" s="329">
        <f t="shared" si="13"/>
        <v>42871.989340985965</v>
      </c>
      <c r="BN34" s="329">
        <f t="shared" si="14"/>
        <v>67186.03715269953</v>
      </c>
      <c r="BO34" s="329">
        <f t="shared" si="15"/>
        <v>36774.64930701386</v>
      </c>
      <c r="BP34" t="s">
        <v>81</v>
      </c>
    </row>
    <row r="35" spans="1:68" x14ac:dyDescent="0.25">
      <c r="A35" s="10" t="s">
        <v>89</v>
      </c>
      <c r="B35" s="10"/>
      <c r="C35" s="10" t="s">
        <v>74</v>
      </c>
      <c r="D35" s="11">
        <v>2129577.0210000002</v>
      </c>
      <c r="E35" s="11">
        <v>3182124.2949999999</v>
      </c>
      <c r="F35" s="11">
        <v>5249622.9950000001</v>
      </c>
      <c r="G35" s="11">
        <v>6652314.5820000004</v>
      </c>
      <c r="H35" s="11">
        <v>5525351.8649999993</v>
      </c>
      <c r="I35" s="11">
        <v>3456000</v>
      </c>
      <c r="J35" s="11">
        <v>6222641.3049999997</v>
      </c>
      <c r="K35" s="11">
        <v>2336839</v>
      </c>
      <c r="L35" s="11">
        <v>2902230</v>
      </c>
      <c r="M35" s="11">
        <v>37923.1486</v>
      </c>
      <c r="N35" s="11">
        <v>108093</v>
      </c>
      <c r="O35" s="11">
        <v>231858</v>
      </c>
      <c r="P35" s="11">
        <v>1363940</v>
      </c>
      <c r="Q35" s="11">
        <v>9195882</v>
      </c>
      <c r="R35" s="11">
        <v>7216614</v>
      </c>
      <c r="S35" s="11">
        <v>2862138</v>
      </c>
      <c r="T35" s="14">
        <v>4.0021521409999998</v>
      </c>
      <c r="U35" s="14">
        <v>9.6383012089999998</v>
      </c>
      <c r="V35" s="14">
        <v>9.4307181619999998</v>
      </c>
      <c r="W35" s="14">
        <v>16.039737930000001</v>
      </c>
      <c r="X35" s="14">
        <v>9.7625874840000009</v>
      </c>
      <c r="Y35" s="14">
        <v>5.37</v>
      </c>
      <c r="Z35" s="14">
        <v>9.3390000000000004</v>
      </c>
      <c r="AA35" s="14">
        <v>3</v>
      </c>
      <c r="AB35" s="14">
        <v>3</v>
      </c>
      <c r="AC35" s="14">
        <v>1</v>
      </c>
      <c r="AD35" s="14">
        <v>4</v>
      </c>
      <c r="AE35" s="14">
        <v>1.3260000000000001</v>
      </c>
      <c r="AF35" s="14">
        <v>20.713999999999999</v>
      </c>
      <c r="AG35" s="14">
        <v>6.6120000000000001</v>
      </c>
      <c r="AH35" s="14">
        <v>3.5369999999999999</v>
      </c>
      <c r="AI35" s="14">
        <v>124.76600000000001</v>
      </c>
      <c r="AJ35" s="15">
        <v>38</v>
      </c>
      <c r="AK35" s="15">
        <v>20</v>
      </c>
      <c r="AL35" s="15">
        <v>24</v>
      </c>
      <c r="AM35" s="15">
        <v>32</v>
      </c>
      <c r="AN35" s="15">
        <v>18</v>
      </c>
      <c r="AO35" s="15">
        <v>35</v>
      </c>
      <c r="AP35" s="15">
        <v>0</v>
      </c>
      <c r="AQ35" s="15">
        <v>9</v>
      </c>
      <c r="AR35" s="15">
        <v>36</v>
      </c>
      <c r="AS35" s="15">
        <v>11</v>
      </c>
      <c r="AT35" s="15">
        <v>14</v>
      </c>
      <c r="AU35" s="15">
        <v>12</v>
      </c>
      <c r="AV35" s="15">
        <v>0</v>
      </c>
      <c r="AW35" s="15">
        <v>14</v>
      </c>
      <c r="AX35" s="15">
        <v>13</v>
      </c>
      <c r="AY35" s="15"/>
      <c r="AZ35" s="329">
        <f t="shared" ref="AZ35:AZ66" si="16">IFERROR(D35/T35,"")</f>
        <v>532107.96240941808</v>
      </c>
      <c r="BA35" s="329">
        <f t="shared" ref="BA35:BA66" si="17">IFERROR(E35/U35,"")</f>
        <v>330154.06200717337</v>
      </c>
      <c r="BB35" s="329">
        <f t="shared" ref="BB35:BB66" si="18">IFERROR(F35/V35,"")</f>
        <v>556651.45589365135</v>
      </c>
      <c r="BC35" s="329">
        <f t="shared" ref="BC35:BC66" si="19">IFERROR(G35/W35,"")</f>
        <v>414739.60553668474</v>
      </c>
      <c r="BD35" s="329">
        <f t="shared" ref="BD35:BD66" si="20">IFERROR(H35/X35,"")</f>
        <v>565972.07185651874</v>
      </c>
      <c r="BE35" s="329">
        <f t="shared" ref="BE35:BE66" si="21">IFERROR(I35/Y35,"")</f>
        <v>643575.41899441334</v>
      </c>
      <c r="BF35" s="329">
        <f t="shared" ref="BF35:BF66" si="22">IFERROR(J35/Z35,"")</f>
        <v>666307.02484206017</v>
      </c>
      <c r="BG35" s="329">
        <f t="shared" ref="BG35:BG66" si="23">IFERROR(K35/AA35,"")</f>
        <v>778946.33333333337</v>
      </c>
      <c r="BH35" s="329">
        <f t="shared" ref="BH35:BH66" si="24">IFERROR(L35/AB35,"")</f>
        <v>967410</v>
      </c>
      <c r="BI35" s="329">
        <f t="shared" ref="BI35:BI66" si="25">IFERROR(M35/AC35,"")</f>
        <v>37923.1486</v>
      </c>
      <c r="BJ35" s="329">
        <f t="shared" ref="BJ35:BJ66" si="26">IFERROR(N35/AD35,"")</f>
        <v>27023.25</v>
      </c>
      <c r="BK35" s="329">
        <f t="shared" ref="BK35:BK66" si="27">IFERROR(O35/AE35,"")</f>
        <v>174855.2036199095</v>
      </c>
      <c r="BL35" s="329">
        <f t="shared" ref="BL35:BL66" si="28">IFERROR(P35/AF35,"")</f>
        <v>65846.287535000491</v>
      </c>
      <c r="BM35" s="329">
        <f t="shared" ref="BM35:BM66" si="29">IFERROR(Q35/AG35,"")</f>
        <v>1390786.7513611615</v>
      </c>
      <c r="BN35" s="329">
        <f t="shared" si="14"/>
        <v>2040320.610687023</v>
      </c>
      <c r="BO35" s="329">
        <f t="shared" si="15"/>
        <v>22940.04776942436</v>
      </c>
      <c r="BP35" t="s">
        <v>81</v>
      </c>
    </row>
    <row r="36" spans="1:68" x14ac:dyDescent="0.25">
      <c r="A36" s="10" t="s">
        <v>90</v>
      </c>
      <c r="B36" s="10"/>
      <c r="C36" s="10" t="s">
        <v>76</v>
      </c>
      <c r="D36" s="11">
        <v>537557.82239999995</v>
      </c>
      <c r="E36" s="11">
        <v>803246.74309999996</v>
      </c>
      <c r="F36" s="11">
        <v>1325134.4650000001</v>
      </c>
      <c r="G36" s="11">
        <v>1679208.456</v>
      </c>
      <c r="H36" s="11">
        <v>1394735.2390000001</v>
      </c>
      <c r="I36" s="11">
        <v>872000</v>
      </c>
      <c r="J36" s="11">
        <v>1466934.486</v>
      </c>
      <c r="K36" s="11">
        <v>550890</v>
      </c>
      <c r="L36" s="11">
        <v>684176</v>
      </c>
      <c r="M36" s="11">
        <v>0</v>
      </c>
      <c r="N36" s="11">
        <v>-6955</v>
      </c>
      <c r="O36" s="11" t="s">
        <v>38</v>
      </c>
      <c r="P36" s="11">
        <v>82172</v>
      </c>
      <c r="Q36" s="11">
        <v>378512</v>
      </c>
      <c r="R36" s="11">
        <v>1284158</v>
      </c>
      <c r="S36" s="11">
        <v>4406300</v>
      </c>
      <c r="T36" s="14">
        <v>0.84186834899999996</v>
      </c>
      <c r="U36" s="14">
        <v>2.0274543399999998</v>
      </c>
      <c r="V36" s="14">
        <v>1.9837884349999999</v>
      </c>
      <c r="W36" s="14">
        <v>3.374021581</v>
      </c>
      <c r="X36" s="14">
        <v>2.0535984439999999</v>
      </c>
      <c r="Y36" s="14">
        <v>1.1299999999999999</v>
      </c>
      <c r="Z36" s="14">
        <v>1.9650000000000001</v>
      </c>
      <c r="AA36" s="14">
        <v>1</v>
      </c>
      <c r="AB36" s="14">
        <v>1</v>
      </c>
      <c r="AC36" s="14">
        <v>0</v>
      </c>
      <c r="AD36" s="14">
        <v>0</v>
      </c>
      <c r="AE36" s="14">
        <v>1.0680000000000001</v>
      </c>
      <c r="AF36" s="14">
        <v>1.7949999999999999</v>
      </c>
      <c r="AG36" s="14">
        <v>3.5000000000000003E-2</v>
      </c>
      <c r="AH36" s="14">
        <v>0.58299999999999996</v>
      </c>
      <c r="AI36" s="14">
        <v>0.13300000000000001</v>
      </c>
      <c r="AJ36" s="15">
        <v>0</v>
      </c>
      <c r="AK36" s="15">
        <v>1</v>
      </c>
      <c r="AL36" s="15">
        <v>1</v>
      </c>
      <c r="AM36" s="15">
        <v>0</v>
      </c>
      <c r="AN36" s="15">
        <v>1</v>
      </c>
      <c r="AO36" s="15">
        <v>1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3</v>
      </c>
      <c r="AV36" s="15">
        <v>0</v>
      </c>
      <c r="AW36" s="15">
        <v>1</v>
      </c>
      <c r="AX36" s="15">
        <v>0</v>
      </c>
      <c r="AY36" s="15"/>
      <c r="AZ36" s="329">
        <f t="shared" si="16"/>
        <v>638529.55517157703</v>
      </c>
      <c r="BA36" s="329">
        <f t="shared" si="17"/>
        <v>396184.87442730769</v>
      </c>
      <c r="BB36" s="329">
        <f t="shared" si="18"/>
        <v>667981.74725723721</v>
      </c>
      <c r="BC36" s="329">
        <f t="shared" si="19"/>
        <v>497687.52679474931</v>
      </c>
      <c r="BD36" s="329">
        <f t="shared" si="20"/>
        <v>679166.48606498458</v>
      </c>
      <c r="BE36" s="329">
        <f t="shared" si="21"/>
        <v>771681.41592920362</v>
      </c>
      <c r="BF36" s="329">
        <f t="shared" si="22"/>
        <v>746531.54503816797</v>
      </c>
      <c r="BG36" s="329">
        <f t="shared" si="23"/>
        <v>550890</v>
      </c>
      <c r="BH36" s="329">
        <f t="shared" si="24"/>
        <v>684176</v>
      </c>
      <c r="BI36" s="329" t="str">
        <f t="shared" si="25"/>
        <v/>
      </c>
      <c r="BJ36" s="329" t="str">
        <f t="shared" si="26"/>
        <v/>
      </c>
      <c r="BK36" s="329" t="str">
        <f t="shared" si="27"/>
        <v/>
      </c>
      <c r="BL36" s="329">
        <f t="shared" si="28"/>
        <v>45778.272980501395</v>
      </c>
      <c r="BM36" s="329">
        <f t="shared" si="29"/>
        <v>10814628.571428571</v>
      </c>
      <c r="BN36" s="329">
        <f t="shared" si="14"/>
        <v>2202672.3842195543</v>
      </c>
      <c r="BO36" s="329">
        <f t="shared" si="15"/>
        <v>33130075.187969923</v>
      </c>
      <c r="BP36" t="s">
        <v>81</v>
      </c>
    </row>
    <row r="37" spans="1:68" x14ac:dyDescent="0.25">
      <c r="A37" s="10" t="s">
        <v>91</v>
      </c>
      <c r="B37" s="10"/>
      <c r="C37" s="10" t="s">
        <v>78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 t="s">
        <v>38</v>
      </c>
      <c r="P37" s="11">
        <v>0</v>
      </c>
      <c r="Q37" s="11" t="s">
        <v>38</v>
      </c>
      <c r="R37" s="11" t="s">
        <v>38</v>
      </c>
      <c r="S37" s="11" t="s">
        <v>38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 t="s">
        <v>38</v>
      </c>
      <c r="AI37" s="14" t="s">
        <v>38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1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/>
      <c r="AZ37" s="329" t="str">
        <f t="shared" si="16"/>
        <v/>
      </c>
      <c r="BA37" s="329" t="str">
        <f t="shared" si="17"/>
        <v/>
      </c>
      <c r="BB37" s="329" t="str">
        <f t="shared" si="18"/>
        <v/>
      </c>
      <c r="BC37" s="329" t="str">
        <f t="shared" si="19"/>
        <v/>
      </c>
      <c r="BD37" s="329" t="str">
        <f t="shared" si="20"/>
        <v/>
      </c>
      <c r="BE37" s="329" t="str">
        <f t="shared" si="21"/>
        <v/>
      </c>
      <c r="BF37" s="329" t="str">
        <f t="shared" si="22"/>
        <v/>
      </c>
      <c r="BG37" s="329" t="str">
        <f t="shared" si="23"/>
        <v/>
      </c>
      <c r="BH37" s="329" t="str">
        <f t="shared" si="24"/>
        <v/>
      </c>
      <c r="BI37" s="329" t="str">
        <f t="shared" si="25"/>
        <v/>
      </c>
      <c r="BJ37" s="329" t="str">
        <f t="shared" si="26"/>
        <v/>
      </c>
      <c r="BK37" s="329" t="str">
        <f t="shared" si="27"/>
        <v/>
      </c>
      <c r="BL37" s="329" t="str">
        <f t="shared" si="28"/>
        <v/>
      </c>
      <c r="BM37" s="329" t="str">
        <f t="shared" si="29"/>
        <v/>
      </c>
      <c r="BN37" s="329" t="str">
        <f t="shared" si="14"/>
        <v/>
      </c>
      <c r="BO37" s="329" t="str">
        <f t="shared" si="15"/>
        <v/>
      </c>
      <c r="BP37" t="s">
        <v>81</v>
      </c>
    </row>
    <row r="38" spans="1:68" x14ac:dyDescent="0.25">
      <c r="A38" s="10" t="s">
        <v>63</v>
      </c>
      <c r="B38" s="10"/>
      <c r="C38" s="10" t="s">
        <v>64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 t="s">
        <v>38</v>
      </c>
      <c r="P38" s="11">
        <v>0</v>
      </c>
      <c r="Q38" s="11" t="s">
        <v>38</v>
      </c>
      <c r="R38" s="11" t="s">
        <v>38</v>
      </c>
      <c r="S38" s="11" t="s">
        <v>38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 t="s">
        <v>38</v>
      </c>
      <c r="AI38" s="14" t="s">
        <v>38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1</v>
      </c>
      <c r="AT38" s="15">
        <v>0</v>
      </c>
      <c r="AU38" s="15">
        <v>0</v>
      </c>
      <c r="AV38" s="15">
        <v>0</v>
      </c>
      <c r="AW38" s="15" t="s">
        <v>38</v>
      </c>
      <c r="AX38" s="15">
        <v>0</v>
      </c>
      <c r="AY38" s="15"/>
      <c r="AZ38" s="329" t="str">
        <f t="shared" si="16"/>
        <v/>
      </c>
      <c r="BA38" s="329" t="str">
        <f t="shared" si="17"/>
        <v/>
      </c>
      <c r="BB38" s="329" t="str">
        <f t="shared" si="18"/>
        <v/>
      </c>
      <c r="BC38" s="329" t="str">
        <f t="shared" si="19"/>
        <v/>
      </c>
      <c r="BD38" s="329" t="str">
        <f t="shared" si="20"/>
        <v/>
      </c>
      <c r="BE38" s="329" t="str">
        <f t="shared" si="21"/>
        <v/>
      </c>
      <c r="BF38" s="329" t="str">
        <f t="shared" si="22"/>
        <v/>
      </c>
      <c r="BG38" s="329" t="str">
        <f t="shared" si="23"/>
        <v/>
      </c>
      <c r="BH38" s="329" t="str">
        <f t="shared" si="24"/>
        <v/>
      </c>
      <c r="BI38" s="329" t="str">
        <f t="shared" si="25"/>
        <v/>
      </c>
      <c r="BJ38" s="329" t="str">
        <f t="shared" si="26"/>
        <v/>
      </c>
      <c r="BK38" s="329" t="str">
        <f t="shared" si="27"/>
        <v/>
      </c>
      <c r="BL38" s="329" t="str">
        <f t="shared" si="28"/>
        <v/>
      </c>
      <c r="BM38" s="329" t="str">
        <f t="shared" si="29"/>
        <v/>
      </c>
      <c r="BN38" s="329" t="str">
        <f t="shared" si="14"/>
        <v/>
      </c>
      <c r="BO38" s="329" t="str">
        <f t="shared" si="15"/>
        <v/>
      </c>
      <c r="BP38" t="s">
        <v>63</v>
      </c>
    </row>
    <row r="39" spans="1:68" x14ac:dyDescent="0.25">
      <c r="A39" s="10" t="s">
        <v>92</v>
      </c>
      <c r="B39" s="10" t="s">
        <v>93</v>
      </c>
      <c r="C39" s="10" t="s">
        <v>67</v>
      </c>
      <c r="D39" s="11">
        <v>68058.391439999992</v>
      </c>
      <c r="E39" s="11">
        <v>104671.0416</v>
      </c>
      <c r="F39" s="11">
        <v>115206.8897</v>
      </c>
      <c r="G39" s="11">
        <v>133536.65359999999</v>
      </c>
      <c r="H39" s="11">
        <v>217882.48079999999</v>
      </c>
      <c r="I39" s="11">
        <v>120000</v>
      </c>
      <c r="J39" s="11">
        <v>557283.88899999997</v>
      </c>
      <c r="K39" s="11">
        <v>629634</v>
      </c>
      <c r="L39" s="11">
        <v>329124</v>
      </c>
      <c r="M39" s="11">
        <v>1607180.7634000001</v>
      </c>
      <c r="N39" s="11">
        <v>1562292</v>
      </c>
      <c r="O39" s="11">
        <v>3159111</v>
      </c>
      <c r="P39" s="11">
        <v>4374136</v>
      </c>
      <c r="Q39" s="11">
        <v>4439821</v>
      </c>
      <c r="R39" s="11">
        <v>4788396</v>
      </c>
      <c r="S39" s="11">
        <v>4286240</v>
      </c>
      <c r="T39" s="14">
        <v>1.181</v>
      </c>
      <c r="U39" s="14">
        <v>1.708</v>
      </c>
      <c r="V39" s="14">
        <v>1.9855</v>
      </c>
      <c r="W39" s="14">
        <v>2.5165000000000002</v>
      </c>
      <c r="X39" s="14">
        <v>3.0354999999999999</v>
      </c>
      <c r="Y39" s="14">
        <v>1.6220000000000001</v>
      </c>
      <c r="Z39" s="14">
        <v>2.5129999999999999</v>
      </c>
      <c r="AA39" s="14">
        <v>6</v>
      </c>
      <c r="AB39" s="14">
        <v>2</v>
      </c>
      <c r="AC39" s="14">
        <v>7</v>
      </c>
      <c r="AD39" s="14">
        <v>8</v>
      </c>
      <c r="AE39" s="14">
        <v>7.8280000000000003</v>
      </c>
      <c r="AF39" s="14">
        <v>15.044</v>
      </c>
      <c r="AG39" s="14">
        <v>16.981999999999999</v>
      </c>
      <c r="AH39" s="14">
        <v>17.318000000000001</v>
      </c>
      <c r="AI39" s="14">
        <v>10.148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8</v>
      </c>
      <c r="AS39" s="15">
        <v>128</v>
      </c>
      <c r="AT39" s="15">
        <v>52</v>
      </c>
      <c r="AU39" s="15">
        <v>141</v>
      </c>
      <c r="AV39" s="15">
        <v>144</v>
      </c>
      <c r="AW39" s="15">
        <v>7</v>
      </c>
      <c r="AX39" s="15">
        <v>372</v>
      </c>
      <c r="AY39" s="15"/>
      <c r="AZ39" s="329">
        <f t="shared" si="16"/>
        <v>57627.765825571543</v>
      </c>
      <c r="BA39" s="329">
        <f t="shared" si="17"/>
        <v>61282.811241217802</v>
      </c>
      <c r="BB39" s="329">
        <f t="shared" si="18"/>
        <v>58024.119717955175</v>
      </c>
      <c r="BC39" s="329">
        <f t="shared" si="19"/>
        <v>53064.436161335179</v>
      </c>
      <c r="BD39" s="329">
        <f t="shared" si="20"/>
        <v>71778.119189589852</v>
      </c>
      <c r="BE39" s="329">
        <f t="shared" si="21"/>
        <v>73982.737361282358</v>
      </c>
      <c r="BF39" s="329">
        <f t="shared" si="22"/>
        <v>221760.40151213689</v>
      </c>
      <c r="BG39" s="329">
        <f t="shared" si="23"/>
        <v>104939</v>
      </c>
      <c r="BH39" s="329">
        <f t="shared" si="24"/>
        <v>164562</v>
      </c>
      <c r="BI39" s="329">
        <f t="shared" si="25"/>
        <v>229597.25191428573</v>
      </c>
      <c r="BJ39" s="329">
        <f t="shared" si="26"/>
        <v>195286.5</v>
      </c>
      <c r="BK39" s="329">
        <f t="shared" si="27"/>
        <v>403565.53398058249</v>
      </c>
      <c r="BL39" s="329">
        <f t="shared" si="28"/>
        <v>290756.18186652486</v>
      </c>
      <c r="BM39" s="329">
        <f t="shared" si="29"/>
        <v>261442.76292545049</v>
      </c>
      <c r="BN39" s="329">
        <f t="shared" si="14"/>
        <v>276498.20995496016</v>
      </c>
      <c r="BO39" s="329">
        <f t="shared" si="15"/>
        <v>422372.88135593222</v>
      </c>
      <c r="BP39" t="s">
        <v>94</v>
      </c>
    </row>
    <row r="40" spans="1:68" x14ac:dyDescent="0.25">
      <c r="A40" s="10" t="s">
        <v>95</v>
      </c>
      <c r="B40" s="10"/>
      <c r="C40" s="10" t="s">
        <v>70</v>
      </c>
      <c r="D40" s="11">
        <v>1485606.6760000002</v>
      </c>
      <c r="E40" s="11">
        <v>284066.15249999997</v>
      </c>
      <c r="F40" s="11">
        <v>1111712.24</v>
      </c>
      <c r="G40" s="11">
        <v>987792.52759999991</v>
      </c>
      <c r="H40" s="11">
        <v>1003460.7829999999</v>
      </c>
      <c r="I40" s="11">
        <v>678000</v>
      </c>
      <c r="J40" s="11">
        <v>1287306.43</v>
      </c>
      <c r="K40" s="11">
        <v>2065675</v>
      </c>
      <c r="L40" s="11">
        <v>1517845</v>
      </c>
      <c r="M40" s="11">
        <v>774558.84519999998</v>
      </c>
      <c r="N40" s="11">
        <v>514350</v>
      </c>
      <c r="O40" s="11">
        <v>249746</v>
      </c>
      <c r="P40" s="11">
        <v>2367508</v>
      </c>
      <c r="Q40" s="11">
        <v>917274</v>
      </c>
      <c r="R40" s="11">
        <v>344990</v>
      </c>
      <c r="S40" s="11">
        <v>3543943</v>
      </c>
      <c r="T40" s="14">
        <v>4.8496666670000002</v>
      </c>
      <c r="U40" s="14">
        <v>0.76466666699999997</v>
      </c>
      <c r="V40" s="14">
        <v>3.6760000000000002</v>
      </c>
      <c r="W40" s="14">
        <v>2.8553333329999999</v>
      </c>
      <c r="X40" s="14">
        <v>3.7966666670000002</v>
      </c>
      <c r="Y40" s="14">
        <v>2.1070000000000002</v>
      </c>
      <c r="Z40" s="14">
        <v>4.5620000000000003</v>
      </c>
      <c r="AA40" s="14">
        <v>3</v>
      </c>
      <c r="AB40" s="14">
        <v>2</v>
      </c>
      <c r="AC40" s="14">
        <v>3</v>
      </c>
      <c r="AD40" s="14">
        <v>0</v>
      </c>
      <c r="AE40" s="14">
        <v>-0.52600000000000002</v>
      </c>
      <c r="AF40" s="14">
        <v>3.2970000000000002</v>
      </c>
      <c r="AG40" s="14">
        <v>3.0070000000000001</v>
      </c>
      <c r="AH40" s="14">
        <v>-0.20100000000000001</v>
      </c>
      <c r="AI40" s="14">
        <v>1.363</v>
      </c>
      <c r="AJ40" s="15">
        <v>32</v>
      </c>
      <c r="AK40" s="15">
        <v>50</v>
      </c>
      <c r="AL40" s="15">
        <v>46</v>
      </c>
      <c r="AM40" s="15">
        <v>38</v>
      </c>
      <c r="AN40" s="15">
        <v>40</v>
      </c>
      <c r="AO40" s="15">
        <v>51</v>
      </c>
      <c r="AP40" s="15">
        <v>10</v>
      </c>
      <c r="AQ40" s="15">
        <v>14</v>
      </c>
      <c r="AR40" s="15">
        <v>6</v>
      </c>
      <c r="AS40" s="15">
        <v>17</v>
      </c>
      <c r="AT40" s="15">
        <v>0</v>
      </c>
      <c r="AU40" s="15">
        <v>36</v>
      </c>
      <c r="AV40" s="15">
        <v>40</v>
      </c>
      <c r="AW40" s="15">
        <v>11</v>
      </c>
      <c r="AX40" s="15">
        <v>59</v>
      </c>
      <c r="AY40" s="15"/>
      <c r="AZ40" s="329">
        <f t="shared" si="16"/>
        <v>306331.70854998066</v>
      </c>
      <c r="BA40" s="329">
        <f t="shared" si="17"/>
        <v>371490.17311617685</v>
      </c>
      <c r="BB40" s="329">
        <f t="shared" si="18"/>
        <v>302424.43960826984</v>
      </c>
      <c r="BC40" s="329">
        <f t="shared" si="19"/>
        <v>345946.48414031591</v>
      </c>
      <c r="BD40" s="329">
        <f t="shared" si="20"/>
        <v>264300.46959927119</v>
      </c>
      <c r="BE40" s="329">
        <f t="shared" si="21"/>
        <v>321784.52776459418</v>
      </c>
      <c r="BF40" s="329">
        <f t="shared" si="22"/>
        <v>282180.27838667249</v>
      </c>
      <c r="BG40" s="329">
        <f t="shared" si="23"/>
        <v>688558.33333333337</v>
      </c>
      <c r="BH40" s="329">
        <f t="shared" si="24"/>
        <v>758922.5</v>
      </c>
      <c r="BI40" s="329">
        <f t="shared" si="25"/>
        <v>258186.28173333334</v>
      </c>
      <c r="BJ40" s="329" t="str">
        <f t="shared" si="26"/>
        <v/>
      </c>
      <c r="BK40" s="329">
        <f t="shared" si="27"/>
        <v>-474802.28136882128</v>
      </c>
      <c r="BL40" s="329">
        <f t="shared" si="28"/>
        <v>718079.46618137695</v>
      </c>
      <c r="BM40" s="329">
        <f t="shared" si="29"/>
        <v>305046.22547389421</v>
      </c>
      <c r="BN40" s="329">
        <f t="shared" si="14"/>
        <v>-1716368.1592039799</v>
      </c>
      <c r="BO40" s="329">
        <f t="shared" si="15"/>
        <v>2600104.9156272928</v>
      </c>
      <c r="BP40" t="s">
        <v>94</v>
      </c>
    </row>
    <row r="41" spans="1:68" x14ac:dyDescent="0.25">
      <c r="A41" s="10" t="s">
        <v>96</v>
      </c>
      <c r="B41" s="10"/>
      <c r="C41" s="10" t="s">
        <v>72</v>
      </c>
      <c r="D41" s="11">
        <v>45525.896639999999</v>
      </c>
      <c r="E41" s="11">
        <v>173405.71100000001</v>
      </c>
      <c r="F41" s="11">
        <v>109260.9151</v>
      </c>
      <c r="G41" s="11">
        <v>354105.57980000001</v>
      </c>
      <c r="H41" s="11">
        <v>159302.53160000002</v>
      </c>
      <c r="I41" s="11">
        <v>0</v>
      </c>
      <c r="J41" s="11">
        <v>605841.05700000003</v>
      </c>
      <c r="K41" s="11">
        <v>502966</v>
      </c>
      <c r="L41" s="11">
        <v>468694</v>
      </c>
      <c r="M41" s="11">
        <v>3014308.0142999999</v>
      </c>
      <c r="N41" s="11">
        <v>128631</v>
      </c>
      <c r="O41" s="11">
        <v>976875</v>
      </c>
      <c r="P41" s="11">
        <v>1612271</v>
      </c>
      <c r="Q41" s="11">
        <v>994656</v>
      </c>
      <c r="R41" s="11">
        <v>968507</v>
      </c>
      <c r="S41" s="11">
        <v>2473996</v>
      </c>
      <c r="T41" s="14">
        <v>0.216</v>
      </c>
      <c r="U41" s="14">
        <v>1.102666667</v>
      </c>
      <c r="V41" s="14">
        <v>0.50633333300000005</v>
      </c>
      <c r="W41" s="14">
        <v>2.1583333329999999</v>
      </c>
      <c r="X41" s="14">
        <v>1.8720000000000001</v>
      </c>
      <c r="Y41" s="14">
        <v>0</v>
      </c>
      <c r="Z41" s="14">
        <v>2.1469999999999998</v>
      </c>
      <c r="AA41" s="14">
        <v>1</v>
      </c>
      <c r="AB41" s="14">
        <v>1</v>
      </c>
      <c r="AC41" s="14">
        <v>1</v>
      </c>
      <c r="AD41" s="14">
        <v>0</v>
      </c>
      <c r="AE41" s="14">
        <v>1.4730000000000001</v>
      </c>
      <c r="AF41" s="14">
        <v>2.004</v>
      </c>
      <c r="AG41" s="14">
        <v>1.395</v>
      </c>
      <c r="AH41" s="14">
        <v>1.081</v>
      </c>
      <c r="AI41" s="14">
        <v>7.444</v>
      </c>
      <c r="AJ41" s="15">
        <v>11</v>
      </c>
      <c r="AK41" s="15">
        <v>12</v>
      </c>
      <c r="AL41" s="15">
        <v>14</v>
      </c>
      <c r="AM41" s="15">
        <v>10</v>
      </c>
      <c r="AN41" s="15">
        <v>9</v>
      </c>
      <c r="AO41" s="15">
        <v>17</v>
      </c>
      <c r="AP41" s="15">
        <v>1</v>
      </c>
      <c r="AQ41" s="15">
        <v>14</v>
      </c>
      <c r="AR41" s="15">
        <v>5</v>
      </c>
      <c r="AS41" s="15">
        <v>10</v>
      </c>
      <c r="AT41" s="15">
        <v>1</v>
      </c>
      <c r="AU41" s="15">
        <v>5</v>
      </c>
      <c r="AV41" s="15">
        <v>17</v>
      </c>
      <c r="AW41" s="15">
        <v>5</v>
      </c>
      <c r="AX41" s="15">
        <v>28</v>
      </c>
      <c r="AY41" s="15"/>
      <c r="AZ41" s="329">
        <f t="shared" si="16"/>
        <v>210768.04</v>
      </c>
      <c r="BA41" s="329">
        <f t="shared" si="17"/>
        <v>157260.31827168673</v>
      </c>
      <c r="BB41" s="329">
        <f t="shared" si="18"/>
        <v>215788.50922698385</v>
      </c>
      <c r="BC41" s="329">
        <f t="shared" si="19"/>
        <v>164064.36132263544</v>
      </c>
      <c r="BD41" s="329">
        <f t="shared" si="20"/>
        <v>85097.506196581206</v>
      </c>
      <c r="BE41" s="329" t="str">
        <f t="shared" si="21"/>
        <v/>
      </c>
      <c r="BF41" s="329">
        <f t="shared" si="22"/>
        <v>282180.27806241269</v>
      </c>
      <c r="BG41" s="329">
        <f t="shared" si="23"/>
        <v>502966</v>
      </c>
      <c r="BH41" s="329">
        <f t="shared" si="24"/>
        <v>468694</v>
      </c>
      <c r="BI41" s="329">
        <f t="shared" si="25"/>
        <v>3014308.0142999999</v>
      </c>
      <c r="BJ41" s="329" t="str">
        <f t="shared" si="26"/>
        <v/>
      </c>
      <c r="BK41" s="329">
        <f t="shared" si="27"/>
        <v>663187.37270875764</v>
      </c>
      <c r="BL41" s="329">
        <f t="shared" si="28"/>
        <v>804526.44710578839</v>
      </c>
      <c r="BM41" s="329">
        <f t="shared" si="29"/>
        <v>713015.05376344081</v>
      </c>
      <c r="BN41" s="329">
        <f t="shared" si="14"/>
        <v>895936.17021276604</v>
      </c>
      <c r="BO41" s="329">
        <f t="shared" si="15"/>
        <v>332347.66254701774</v>
      </c>
      <c r="BP41" t="s">
        <v>94</v>
      </c>
    </row>
    <row r="42" spans="1:68" x14ac:dyDescent="0.25">
      <c r="A42" s="10" t="s">
        <v>97</v>
      </c>
      <c r="B42" s="10"/>
      <c r="C42" s="10" t="s">
        <v>98</v>
      </c>
      <c r="D42" s="11">
        <v>0</v>
      </c>
      <c r="E42" s="11">
        <v>0</v>
      </c>
      <c r="F42" s="11">
        <v>0</v>
      </c>
      <c r="G42" s="11">
        <v>13884.77197</v>
      </c>
      <c r="H42" s="11">
        <v>14637.79011</v>
      </c>
      <c r="I42" s="11">
        <v>242000</v>
      </c>
      <c r="J42" s="11">
        <v>743078.08900000004</v>
      </c>
      <c r="K42" s="11">
        <v>154759</v>
      </c>
      <c r="L42" s="11">
        <v>83043</v>
      </c>
      <c r="M42" s="11">
        <v>14476.6209</v>
      </c>
      <c r="N42" s="11">
        <v>5376</v>
      </c>
      <c r="O42" s="11">
        <v>392918</v>
      </c>
      <c r="P42" s="11">
        <v>1767333</v>
      </c>
      <c r="Q42" s="11">
        <v>791911</v>
      </c>
      <c r="R42" s="11">
        <v>333469</v>
      </c>
      <c r="S42" s="11">
        <v>292900</v>
      </c>
      <c r="T42" s="14">
        <v>0</v>
      </c>
      <c r="U42" s="14">
        <v>0</v>
      </c>
      <c r="V42" s="14">
        <v>0</v>
      </c>
      <c r="W42" s="14">
        <v>9.4333333000000005E-2</v>
      </c>
      <c r="X42" s="14">
        <v>2.7E-2</v>
      </c>
      <c r="Y42" s="14">
        <v>0.16700000000000001</v>
      </c>
      <c r="Z42" s="14">
        <v>0.66100000000000003</v>
      </c>
      <c r="AA42" s="14">
        <v>0</v>
      </c>
      <c r="AB42" s="14">
        <v>0</v>
      </c>
      <c r="AC42" s="14">
        <v>0</v>
      </c>
      <c r="AD42" s="14">
        <v>0</v>
      </c>
      <c r="AE42" s="14">
        <v>0.32700000000000001</v>
      </c>
      <c r="AF42" s="14">
        <v>0.66700000000000004</v>
      </c>
      <c r="AG42" s="14">
        <v>-0.11700000000000001</v>
      </c>
      <c r="AH42" s="14">
        <v>1.7000000000000001E-2</v>
      </c>
      <c r="AI42" s="14">
        <v>0.20699999999999999</v>
      </c>
      <c r="AJ42" s="15">
        <v>2</v>
      </c>
      <c r="AK42" s="15">
        <v>1</v>
      </c>
      <c r="AL42" s="15">
        <v>2</v>
      </c>
      <c r="AM42" s="15">
        <v>0</v>
      </c>
      <c r="AN42" s="15">
        <v>1</v>
      </c>
      <c r="AO42" s="15">
        <v>6</v>
      </c>
      <c r="AP42" s="15">
        <v>0</v>
      </c>
      <c r="AQ42" s="15">
        <v>3</v>
      </c>
      <c r="AR42" s="15">
        <v>0</v>
      </c>
      <c r="AS42" s="15">
        <v>3</v>
      </c>
      <c r="AT42" s="15">
        <v>0</v>
      </c>
      <c r="AU42" s="15">
        <v>1</v>
      </c>
      <c r="AV42" s="15">
        <v>0</v>
      </c>
      <c r="AW42" s="15">
        <v>1</v>
      </c>
      <c r="AX42" s="15">
        <v>3</v>
      </c>
      <c r="AY42" s="15"/>
      <c r="AZ42" s="329" t="str">
        <f t="shared" si="16"/>
        <v/>
      </c>
      <c r="BA42" s="329" t="str">
        <f t="shared" si="17"/>
        <v/>
      </c>
      <c r="BB42" s="329" t="str">
        <f t="shared" si="18"/>
        <v/>
      </c>
      <c r="BC42" s="329">
        <f t="shared" si="19"/>
        <v>147188.39596179643</v>
      </c>
      <c r="BD42" s="329">
        <f t="shared" si="20"/>
        <v>542140.37444444443</v>
      </c>
      <c r="BE42" s="329">
        <f t="shared" si="21"/>
        <v>1449101.7964071855</v>
      </c>
      <c r="BF42" s="329">
        <f t="shared" si="22"/>
        <v>1124172.6006051437</v>
      </c>
      <c r="BG42" s="329" t="str">
        <f t="shared" si="23"/>
        <v/>
      </c>
      <c r="BH42" s="329" t="str">
        <f t="shared" si="24"/>
        <v/>
      </c>
      <c r="BI42" s="329" t="str">
        <f t="shared" si="25"/>
        <v/>
      </c>
      <c r="BJ42" s="329" t="str">
        <f t="shared" si="26"/>
        <v/>
      </c>
      <c r="BK42" s="329">
        <f t="shared" si="27"/>
        <v>1201584.0978593272</v>
      </c>
      <c r="BL42" s="329">
        <f t="shared" si="28"/>
        <v>2649674.6626686654</v>
      </c>
      <c r="BM42" s="329">
        <f t="shared" si="29"/>
        <v>-6768470.085470085</v>
      </c>
      <c r="BN42" s="329">
        <f t="shared" si="14"/>
        <v>19615823.529411763</v>
      </c>
      <c r="BO42" s="329">
        <f t="shared" si="15"/>
        <v>1414975.845410628</v>
      </c>
      <c r="BP42" t="s">
        <v>94</v>
      </c>
    </row>
    <row r="43" spans="1:68" x14ac:dyDescent="0.25">
      <c r="A43" s="10" t="s">
        <v>99</v>
      </c>
      <c r="B43" s="10"/>
      <c r="C43" s="10" t="s">
        <v>100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 t="s">
        <v>38</v>
      </c>
      <c r="P43" s="11">
        <v>0</v>
      </c>
      <c r="Q43" s="11" t="s">
        <v>38</v>
      </c>
      <c r="R43" s="11" t="s">
        <v>38</v>
      </c>
      <c r="S43" s="11" t="s">
        <v>38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 t="s">
        <v>38</v>
      </c>
      <c r="AI43" s="14">
        <v>0.16700000000000001</v>
      </c>
      <c r="AJ43" s="15">
        <v>0</v>
      </c>
      <c r="AK43" s="15">
        <v>1</v>
      </c>
      <c r="AL43" s="15">
        <v>2</v>
      </c>
      <c r="AM43" s="15">
        <v>0</v>
      </c>
      <c r="AN43" s="15">
        <v>1</v>
      </c>
      <c r="AO43" s="15">
        <v>4</v>
      </c>
      <c r="AP43" s="15">
        <v>0</v>
      </c>
      <c r="AQ43" s="15">
        <v>0</v>
      </c>
      <c r="AR43" s="15">
        <v>1</v>
      </c>
      <c r="AS43" s="15">
        <v>0</v>
      </c>
      <c r="AT43" s="15">
        <v>1</v>
      </c>
      <c r="AU43" s="15">
        <v>0</v>
      </c>
      <c r="AV43" s="15">
        <v>0</v>
      </c>
      <c r="AW43" s="15">
        <v>0</v>
      </c>
      <c r="AX43" s="15">
        <v>1</v>
      </c>
      <c r="AY43" s="15"/>
      <c r="AZ43" s="329" t="str">
        <f t="shared" si="16"/>
        <v/>
      </c>
      <c r="BA43" s="329" t="str">
        <f t="shared" si="17"/>
        <v/>
      </c>
      <c r="BB43" s="329" t="str">
        <f t="shared" si="18"/>
        <v/>
      </c>
      <c r="BC43" s="329" t="str">
        <f t="shared" si="19"/>
        <v/>
      </c>
      <c r="BD43" s="329" t="str">
        <f t="shared" si="20"/>
        <v/>
      </c>
      <c r="BE43" s="329" t="str">
        <f t="shared" si="21"/>
        <v/>
      </c>
      <c r="BF43" s="329" t="str">
        <f t="shared" si="22"/>
        <v/>
      </c>
      <c r="BG43" s="329" t="str">
        <f t="shared" si="23"/>
        <v/>
      </c>
      <c r="BH43" s="329" t="str">
        <f t="shared" si="24"/>
        <v/>
      </c>
      <c r="BI43" s="329" t="str">
        <f t="shared" si="25"/>
        <v/>
      </c>
      <c r="BJ43" s="329" t="str">
        <f t="shared" si="26"/>
        <v/>
      </c>
      <c r="BK43" s="329" t="str">
        <f t="shared" si="27"/>
        <v/>
      </c>
      <c r="BL43" s="329" t="str">
        <f t="shared" si="28"/>
        <v/>
      </c>
      <c r="BM43" s="329" t="str">
        <f t="shared" si="29"/>
        <v/>
      </c>
      <c r="BN43" s="329" t="str">
        <f t="shared" si="14"/>
        <v/>
      </c>
      <c r="BO43" s="329" t="str">
        <f t="shared" si="15"/>
        <v/>
      </c>
      <c r="BP43" t="s">
        <v>94</v>
      </c>
    </row>
    <row r="44" spans="1:68" x14ac:dyDescent="0.25">
      <c r="A44" s="10" t="s">
        <v>101</v>
      </c>
      <c r="B44" s="10"/>
      <c r="C44" s="10" t="s">
        <v>76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 t="s">
        <v>38</v>
      </c>
      <c r="P44" s="11">
        <v>0</v>
      </c>
      <c r="Q44" s="11" t="s">
        <v>38</v>
      </c>
      <c r="R44" s="11" t="s">
        <v>38</v>
      </c>
      <c r="S44" s="11" t="s">
        <v>38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 t="s">
        <v>38</v>
      </c>
      <c r="AI44" s="14" t="s">
        <v>38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2</v>
      </c>
      <c r="AP44" s="15">
        <v>2</v>
      </c>
      <c r="AQ44" s="15">
        <v>0</v>
      </c>
      <c r="AR44" s="15">
        <v>0</v>
      </c>
      <c r="AS44" s="15">
        <v>0</v>
      </c>
      <c r="AT44" s="15">
        <v>0</v>
      </c>
      <c r="AU44" s="15">
        <v>1</v>
      </c>
      <c r="AV44" s="15">
        <v>0</v>
      </c>
      <c r="AW44" s="15">
        <v>0</v>
      </c>
      <c r="AX44" s="15">
        <v>0</v>
      </c>
      <c r="AY44" s="15"/>
      <c r="AZ44" s="329" t="str">
        <f t="shared" si="16"/>
        <v/>
      </c>
      <c r="BA44" s="329" t="str">
        <f t="shared" si="17"/>
        <v/>
      </c>
      <c r="BB44" s="329" t="str">
        <f t="shared" si="18"/>
        <v/>
      </c>
      <c r="BC44" s="329" t="str">
        <f t="shared" si="19"/>
        <v/>
      </c>
      <c r="BD44" s="329" t="str">
        <f t="shared" si="20"/>
        <v/>
      </c>
      <c r="BE44" s="329" t="str">
        <f t="shared" si="21"/>
        <v/>
      </c>
      <c r="BF44" s="329" t="str">
        <f t="shared" si="22"/>
        <v/>
      </c>
      <c r="BG44" s="329" t="str">
        <f t="shared" si="23"/>
        <v/>
      </c>
      <c r="BH44" s="329" t="str">
        <f t="shared" si="24"/>
        <v/>
      </c>
      <c r="BI44" s="329" t="str">
        <f t="shared" si="25"/>
        <v/>
      </c>
      <c r="BJ44" s="329" t="str">
        <f t="shared" si="26"/>
        <v/>
      </c>
      <c r="BK44" s="329" t="str">
        <f t="shared" si="27"/>
        <v/>
      </c>
      <c r="BL44" s="329" t="str">
        <f t="shared" si="28"/>
        <v/>
      </c>
      <c r="BM44" s="329" t="str">
        <f t="shared" si="29"/>
        <v/>
      </c>
      <c r="BN44" s="329" t="str">
        <f t="shared" si="14"/>
        <v/>
      </c>
      <c r="BO44" s="329" t="str">
        <f t="shared" si="15"/>
        <v/>
      </c>
      <c r="BP44" t="s">
        <v>94</v>
      </c>
    </row>
    <row r="45" spans="1:68" x14ac:dyDescent="0.25">
      <c r="A45" s="10" t="s">
        <v>102</v>
      </c>
      <c r="B45" s="10"/>
      <c r="C45" s="10" t="s">
        <v>78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 t="s">
        <v>38</v>
      </c>
      <c r="P45" s="11">
        <v>0</v>
      </c>
      <c r="Q45" s="11" t="s">
        <v>38</v>
      </c>
      <c r="R45" s="11" t="s">
        <v>38</v>
      </c>
      <c r="S45" s="11" t="s">
        <v>38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 t="s">
        <v>38</v>
      </c>
      <c r="AI45" s="14" t="s">
        <v>38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/>
      <c r="AZ45" s="329" t="str">
        <f t="shared" si="16"/>
        <v/>
      </c>
      <c r="BA45" s="329" t="str">
        <f t="shared" si="17"/>
        <v/>
      </c>
      <c r="BB45" s="329" t="str">
        <f t="shared" si="18"/>
        <v/>
      </c>
      <c r="BC45" s="329" t="str">
        <f t="shared" si="19"/>
        <v/>
      </c>
      <c r="BD45" s="329" t="str">
        <f t="shared" si="20"/>
        <v/>
      </c>
      <c r="BE45" s="329" t="str">
        <f t="shared" si="21"/>
        <v/>
      </c>
      <c r="BF45" s="329" t="str">
        <f t="shared" si="22"/>
        <v/>
      </c>
      <c r="BG45" s="329" t="str">
        <f t="shared" si="23"/>
        <v/>
      </c>
      <c r="BH45" s="329" t="str">
        <f t="shared" si="24"/>
        <v/>
      </c>
      <c r="BI45" s="329" t="str">
        <f t="shared" si="25"/>
        <v/>
      </c>
      <c r="BJ45" s="329" t="str">
        <f t="shared" si="26"/>
        <v/>
      </c>
      <c r="BK45" s="329" t="str">
        <f t="shared" si="27"/>
        <v/>
      </c>
      <c r="BL45" s="329" t="str">
        <f t="shared" si="28"/>
        <v/>
      </c>
      <c r="BM45" s="329" t="str">
        <f t="shared" si="29"/>
        <v/>
      </c>
      <c r="BN45" s="329" t="str">
        <f t="shared" si="14"/>
        <v/>
      </c>
      <c r="BO45" s="329" t="str">
        <f t="shared" si="15"/>
        <v/>
      </c>
      <c r="BP45" t="s">
        <v>94</v>
      </c>
    </row>
    <row r="46" spans="1:68" x14ac:dyDescent="0.25">
      <c r="A46" s="10" t="s">
        <v>63</v>
      </c>
      <c r="B46" s="10"/>
      <c r="C46" s="10" t="s">
        <v>64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 t="s">
        <v>38</v>
      </c>
      <c r="P46" s="11">
        <v>0</v>
      </c>
      <c r="Q46" s="11" t="s">
        <v>38</v>
      </c>
      <c r="R46" s="11" t="s">
        <v>38</v>
      </c>
      <c r="S46" s="11" t="s">
        <v>38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 t="s">
        <v>38</v>
      </c>
      <c r="AI46" s="14" t="s">
        <v>38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/>
      <c r="AZ46" s="329" t="str">
        <f t="shared" si="16"/>
        <v/>
      </c>
      <c r="BA46" s="329" t="str">
        <f t="shared" si="17"/>
        <v/>
      </c>
      <c r="BB46" s="329" t="str">
        <f t="shared" si="18"/>
        <v/>
      </c>
      <c r="BC46" s="329" t="str">
        <f t="shared" si="19"/>
        <v/>
      </c>
      <c r="BD46" s="329" t="str">
        <f t="shared" si="20"/>
        <v/>
      </c>
      <c r="BE46" s="329" t="str">
        <f t="shared" si="21"/>
        <v/>
      </c>
      <c r="BF46" s="329" t="str">
        <f t="shared" si="22"/>
        <v/>
      </c>
      <c r="BG46" s="329" t="str">
        <f t="shared" si="23"/>
        <v/>
      </c>
      <c r="BH46" s="329" t="str">
        <f t="shared" si="24"/>
        <v/>
      </c>
      <c r="BI46" s="329" t="str">
        <f t="shared" si="25"/>
        <v/>
      </c>
      <c r="BJ46" s="329" t="str">
        <f t="shared" si="26"/>
        <v/>
      </c>
      <c r="BK46" s="329" t="str">
        <f t="shared" si="27"/>
        <v/>
      </c>
      <c r="BL46" s="329" t="str">
        <f t="shared" si="28"/>
        <v/>
      </c>
      <c r="BM46" s="329" t="str">
        <f t="shared" si="29"/>
        <v/>
      </c>
      <c r="BN46" s="329" t="str">
        <f t="shared" si="14"/>
        <v/>
      </c>
      <c r="BO46" s="329" t="str">
        <f t="shared" si="15"/>
        <v/>
      </c>
      <c r="BP46" t="s">
        <v>63</v>
      </c>
    </row>
    <row r="47" spans="1:68" x14ac:dyDescent="0.25">
      <c r="A47" s="10" t="s">
        <v>103</v>
      </c>
      <c r="B47" s="10" t="s">
        <v>104</v>
      </c>
      <c r="C47" s="10" t="s">
        <v>105</v>
      </c>
      <c r="D47" s="11">
        <v>2074592.855</v>
      </c>
      <c r="E47" s="11">
        <v>2313003.7510000002</v>
      </c>
      <c r="F47" s="11">
        <v>5150898.3879999993</v>
      </c>
      <c r="G47" s="11">
        <v>11238019.800000001</v>
      </c>
      <c r="H47" s="11">
        <v>6968360.2769999998</v>
      </c>
      <c r="I47" s="11">
        <v>6353000</v>
      </c>
      <c r="J47" s="11">
        <v>14826174.409</v>
      </c>
      <c r="K47" s="11">
        <v>7678349</v>
      </c>
      <c r="L47" s="11">
        <v>8262243</v>
      </c>
      <c r="M47" s="11">
        <v>3498969.4585000002</v>
      </c>
      <c r="N47" s="11">
        <v>7115676</v>
      </c>
      <c r="O47" s="11">
        <v>10123200</v>
      </c>
      <c r="P47" s="11">
        <v>15053747</v>
      </c>
      <c r="Q47" s="11">
        <v>14560518</v>
      </c>
      <c r="R47" s="11">
        <v>18439551</v>
      </c>
      <c r="S47" s="11">
        <v>21967071</v>
      </c>
      <c r="T47" s="12">
        <v>2087.090909</v>
      </c>
      <c r="U47" s="12">
        <v>2514.5151519999999</v>
      </c>
      <c r="V47" s="12">
        <v>3337</v>
      </c>
      <c r="W47" s="12">
        <v>9070.7272730000004</v>
      </c>
      <c r="X47" s="12">
        <v>4459.636364</v>
      </c>
      <c r="Y47" s="12">
        <v>4412.8789999999999</v>
      </c>
      <c r="Z47" s="12">
        <v>9071.4240000000009</v>
      </c>
      <c r="AA47" s="12">
        <v>4578</v>
      </c>
      <c r="AB47" s="12">
        <v>4046</v>
      </c>
      <c r="AC47" s="12">
        <v>5247</v>
      </c>
      <c r="AD47" s="12">
        <v>10987</v>
      </c>
      <c r="AE47" s="12">
        <v>13274</v>
      </c>
      <c r="AF47" s="12">
        <v>14576</v>
      </c>
      <c r="AG47" s="12">
        <v>13766</v>
      </c>
      <c r="AH47" s="12">
        <v>18549</v>
      </c>
      <c r="AI47" s="12">
        <v>13439</v>
      </c>
      <c r="AJ47" s="13">
        <v>4019.878788</v>
      </c>
      <c r="AK47" s="13">
        <v>6045.3939389999996</v>
      </c>
      <c r="AL47" s="13">
        <v>7748.181818</v>
      </c>
      <c r="AM47" s="13">
        <v>11155.06061</v>
      </c>
      <c r="AN47" s="13">
        <v>7140.4848480000001</v>
      </c>
      <c r="AO47" s="13">
        <v>6989.6790000000001</v>
      </c>
      <c r="AP47" s="13">
        <v>13538</v>
      </c>
      <c r="AQ47" s="13">
        <v>5831</v>
      </c>
      <c r="AR47" s="13">
        <v>6719</v>
      </c>
      <c r="AS47" s="13">
        <v>1780</v>
      </c>
      <c r="AT47" s="13">
        <v>2305</v>
      </c>
      <c r="AU47" s="13">
        <v>1303</v>
      </c>
      <c r="AV47" s="13">
        <v>1076</v>
      </c>
      <c r="AW47" s="13">
        <v>1129</v>
      </c>
      <c r="AX47" s="13">
        <v>1623</v>
      </c>
      <c r="AY47" s="13"/>
      <c r="AZ47" s="329">
        <f t="shared" si="16"/>
        <v>994.01173473272979</v>
      </c>
      <c r="BA47" s="329">
        <f t="shared" si="17"/>
        <v>919.86073305634238</v>
      </c>
      <c r="BB47" s="329">
        <f t="shared" si="18"/>
        <v>1543.5715876535808</v>
      </c>
      <c r="BC47" s="329">
        <f t="shared" si="19"/>
        <v>1238.9326083533765</v>
      </c>
      <c r="BD47" s="329">
        <f t="shared" si="20"/>
        <v>1562.5400163231784</v>
      </c>
      <c r="BE47" s="329">
        <f t="shared" si="21"/>
        <v>1439.6497162056789</v>
      </c>
      <c r="BF47" s="329">
        <f t="shared" si="22"/>
        <v>1634.3822545390888</v>
      </c>
      <c r="BG47" s="329">
        <f t="shared" si="23"/>
        <v>1677.2278287461775</v>
      </c>
      <c r="BH47" s="329">
        <f t="shared" si="24"/>
        <v>2042.0768660405338</v>
      </c>
      <c r="BI47" s="329">
        <f t="shared" si="25"/>
        <v>666.85143100819516</v>
      </c>
      <c r="BJ47" s="329">
        <f t="shared" si="26"/>
        <v>647.6450350414126</v>
      </c>
      <c r="BK47" s="329">
        <f t="shared" si="27"/>
        <v>762.63372005424139</v>
      </c>
      <c r="BL47" s="329">
        <f t="shared" si="28"/>
        <v>1032.7762760702524</v>
      </c>
      <c r="BM47" s="329">
        <f t="shared" si="29"/>
        <v>1057.7159668749091</v>
      </c>
      <c r="BN47" s="329">
        <f t="shared" si="14"/>
        <v>994.09946627850559</v>
      </c>
      <c r="BO47" s="329">
        <f t="shared" si="15"/>
        <v>1634.576307760994</v>
      </c>
      <c r="BP47" t="s">
        <v>106</v>
      </c>
    </row>
    <row r="48" spans="1:68" x14ac:dyDescent="0.25">
      <c r="A48" s="10" t="s">
        <v>107</v>
      </c>
      <c r="B48" s="10"/>
      <c r="C48" s="10" t="s">
        <v>108</v>
      </c>
      <c r="D48" s="11">
        <v>560794.43050000002</v>
      </c>
      <c r="E48" s="11">
        <v>559895.0257</v>
      </c>
      <c r="F48" s="11">
        <v>717731.22699999996</v>
      </c>
      <c r="G48" s="11">
        <v>645497.56260000006</v>
      </c>
      <c r="H48" s="11">
        <v>924320.60850000009</v>
      </c>
      <c r="I48" s="11">
        <v>781000</v>
      </c>
      <c r="J48" s="11">
        <v>1718896.4539999999</v>
      </c>
      <c r="K48" s="11">
        <v>1065365</v>
      </c>
      <c r="L48" s="11">
        <v>1197881</v>
      </c>
      <c r="M48" s="11">
        <v>2079843.3001000001</v>
      </c>
      <c r="N48" s="11">
        <v>3174258</v>
      </c>
      <c r="O48" s="11">
        <v>6653527</v>
      </c>
      <c r="P48" s="11">
        <v>8732459</v>
      </c>
      <c r="Q48" s="11">
        <v>9284156</v>
      </c>
      <c r="R48" s="11">
        <v>10589460</v>
      </c>
      <c r="S48" s="11">
        <v>11622044</v>
      </c>
      <c r="T48" s="12">
        <v>362.78787879999999</v>
      </c>
      <c r="U48" s="12">
        <v>440.72727270000001</v>
      </c>
      <c r="V48" s="12">
        <v>316.05303029999999</v>
      </c>
      <c r="W48" s="12">
        <v>381.65151520000001</v>
      </c>
      <c r="X48" s="12">
        <v>415.80303029999999</v>
      </c>
      <c r="Y48" s="12">
        <v>345.68200000000002</v>
      </c>
      <c r="Z48" s="12">
        <v>518.02300000000002</v>
      </c>
      <c r="AA48" s="12">
        <v>407</v>
      </c>
      <c r="AB48" s="12">
        <v>340</v>
      </c>
      <c r="AC48" s="12">
        <v>1790</v>
      </c>
      <c r="AD48" s="12">
        <v>2312</v>
      </c>
      <c r="AE48" s="12">
        <v>1227</v>
      </c>
      <c r="AF48" s="12">
        <v>1250</v>
      </c>
      <c r="AG48" s="12">
        <v>1324</v>
      </c>
      <c r="AH48" s="12">
        <v>1201</v>
      </c>
      <c r="AI48" s="12">
        <v>1344</v>
      </c>
      <c r="AJ48" s="13">
        <v>426.09848479999999</v>
      </c>
      <c r="AK48" s="13">
        <v>493.030303</v>
      </c>
      <c r="AL48" s="13">
        <v>387.80303029999999</v>
      </c>
      <c r="AM48" s="13">
        <v>456.10606059999998</v>
      </c>
      <c r="AN48" s="13">
        <v>542.41666669999995</v>
      </c>
      <c r="AO48" s="13">
        <v>507.59199999999998</v>
      </c>
      <c r="AP48" s="13">
        <v>627</v>
      </c>
      <c r="AQ48" s="13">
        <v>514</v>
      </c>
      <c r="AR48" s="13">
        <v>450</v>
      </c>
      <c r="AS48" s="13"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/>
      <c r="AZ48" s="329">
        <f t="shared" si="16"/>
        <v>1545.7915307285068</v>
      </c>
      <c r="BA48" s="329">
        <f t="shared" si="17"/>
        <v>1270.3888785233326</v>
      </c>
      <c r="BB48" s="329">
        <f t="shared" si="18"/>
        <v>2270.9202513221403</v>
      </c>
      <c r="BC48" s="329">
        <f t="shared" si="19"/>
        <v>1691.3271319301186</v>
      </c>
      <c r="BD48" s="329">
        <f t="shared" si="20"/>
        <v>2222.9770856482382</v>
      </c>
      <c r="BE48" s="329">
        <f t="shared" si="21"/>
        <v>2259.3019017478491</v>
      </c>
      <c r="BF48" s="329">
        <f t="shared" si="22"/>
        <v>3318.185590215106</v>
      </c>
      <c r="BG48" s="329">
        <f t="shared" si="23"/>
        <v>2617.6044226044228</v>
      </c>
      <c r="BH48" s="329">
        <f t="shared" si="24"/>
        <v>3523.1794117647059</v>
      </c>
      <c r="BI48" s="329">
        <f t="shared" si="25"/>
        <v>1161.9236313407821</v>
      </c>
      <c r="BJ48" s="329">
        <f t="shared" si="26"/>
        <v>1372.9489619377164</v>
      </c>
      <c r="BK48" s="329">
        <f t="shared" si="27"/>
        <v>5422.59739201304</v>
      </c>
      <c r="BL48" s="329">
        <f t="shared" si="28"/>
        <v>6985.9672</v>
      </c>
      <c r="BM48" s="329">
        <f t="shared" si="29"/>
        <v>7012.2024169184288</v>
      </c>
      <c r="BN48" s="329">
        <f t="shared" si="14"/>
        <v>8817.2023313905083</v>
      </c>
      <c r="BO48" s="329">
        <f t="shared" si="15"/>
        <v>8647.3541666666661</v>
      </c>
      <c r="BP48" t="s">
        <v>106</v>
      </c>
    </row>
    <row r="49" spans="1:68" x14ac:dyDescent="0.25">
      <c r="A49" s="10" t="s">
        <v>109</v>
      </c>
      <c r="B49" s="10"/>
      <c r="C49" s="10" t="s">
        <v>110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34313.992400000003</v>
      </c>
      <c r="N49" s="11">
        <v>0</v>
      </c>
      <c r="O49" s="11">
        <v>76278</v>
      </c>
      <c r="P49" s="11">
        <v>26800</v>
      </c>
      <c r="Q49" s="11" t="s">
        <v>38</v>
      </c>
      <c r="R49" s="11" t="s">
        <v>38</v>
      </c>
      <c r="S49" s="11" t="s">
        <v>38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31</v>
      </c>
      <c r="AD49" s="12">
        <v>0</v>
      </c>
      <c r="AE49" s="12">
        <v>48</v>
      </c>
      <c r="AF49" s="12">
        <v>7</v>
      </c>
      <c r="AG49" s="12">
        <v>73</v>
      </c>
      <c r="AH49" s="12">
        <v>0</v>
      </c>
      <c r="AI49" s="12" t="s">
        <v>38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/>
      <c r="AZ49" s="329" t="str">
        <f t="shared" si="16"/>
        <v/>
      </c>
      <c r="BA49" s="329" t="str">
        <f t="shared" si="17"/>
        <v/>
      </c>
      <c r="BB49" s="329" t="str">
        <f t="shared" si="18"/>
        <v/>
      </c>
      <c r="BC49" s="329" t="str">
        <f t="shared" si="19"/>
        <v/>
      </c>
      <c r="BD49" s="329" t="str">
        <f t="shared" si="20"/>
        <v/>
      </c>
      <c r="BE49" s="329" t="str">
        <f t="shared" si="21"/>
        <v/>
      </c>
      <c r="BF49" s="329" t="str">
        <f t="shared" si="22"/>
        <v/>
      </c>
      <c r="BG49" s="329" t="str">
        <f t="shared" si="23"/>
        <v/>
      </c>
      <c r="BH49" s="329" t="str">
        <f t="shared" si="24"/>
        <v/>
      </c>
      <c r="BI49" s="329">
        <f t="shared" si="25"/>
        <v>1106.9029806451613</v>
      </c>
      <c r="BJ49" s="329" t="str">
        <f t="shared" si="26"/>
        <v/>
      </c>
      <c r="BK49" s="329">
        <f t="shared" si="27"/>
        <v>1589.125</v>
      </c>
      <c r="BL49" s="329">
        <f t="shared" si="28"/>
        <v>3828.5714285714284</v>
      </c>
      <c r="BM49" s="329" t="str">
        <f t="shared" si="29"/>
        <v/>
      </c>
      <c r="BN49" s="329" t="str">
        <f t="shared" si="14"/>
        <v/>
      </c>
      <c r="BO49" s="329" t="str">
        <f t="shared" si="15"/>
        <v/>
      </c>
      <c r="BP49" t="s">
        <v>106</v>
      </c>
    </row>
    <row r="50" spans="1:68" x14ac:dyDescent="0.25">
      <c r="A50" s="10" t="s">
        <v>111</v>
      </c>
      <c r="B50" s="10"/>
      <c r="C50" s="10" t="s">
        <v>112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 t="s">
        <v>38</v>
      </c>
      <c r="P50" s="11">
        <v>0</v>
      </c>
      <c r="Q50" s="11" t="s">
        <v>38</v>
      </c>
      <c r="R50" s="11" t="s">
        <v>38</v>
      </c>
      <c r="S50" s="11" t="s">
        <v>38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 t="s">
        <v>38</v>
      </c>
      <c r="AH50" s="12" t="s">
        <v>38</v>
      </c>
      <c r="AI50" s="12" t="s">
        <v>38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/>
      <c r="AZ50" s="329" t="str">
        <f t="shared" si="16"/>
        <v/>
      </c>
      <c r="BA50" s="329" t="str">
        <f t="shared" si="17"/>
        <v/>
      </c>
      <c r="BB50" s="329" t="str">
        <f t="shared" si="18"/>
        <v/>
      </c>
      <c r="BC50" s="329" t="str">
        <f t="shared" si="19"/>
        <v/>
      </c>
      <c r="BD50" s="329" t="str">
        <f t="shared" si="20"/>
        <v/>
      </c>
      <c r="BE50" s="329" t="str">
        <f t="shared" si="21"/>
        <v/>
      </c>
      <c r="BF50" s="329" t="str">
        <f t="shared" si="22"/>
        <v/>
      </c>
      <c r="BG50" s="329" t="str">
        <f t="shared" si="23"/>
        <v/>
      </c>
      <c r="BH50" s="329" t="str">
        <f t="shared" si="24"/>
        <v/>
      </c>
      <c r="BI50" s="329" t="str">
        <f t="shared" si="25"/>
        <v/>
      </c>
      <c r="BJ50" s="329" t="str">
        <f t="shared" si="26"/>
        <v/>
      </c>
      <c r="BK50" s="329" t="str">
        <f t="shared" si="27"/>
        <v/>
      </c>
      <c r="BL50" s="329" t="str">
        <f t="shared" si="28"/>
        <v/>
      </c>
      <c r="BM50" s="329" t="str">
        <f t="shared" si="29"/>
        <v/>
      </c>
      <c r="BN50" s="329" t="str">
        <f t="shared" si="14"/>
        <v/>
      </c>
      <c r="BO50" s="329" t="str">
        <f t="shared" si="15"/>
        <v/>
      </c>
      <c r="BP50" t="s">
        <v>106</v>
      </c>
    </row>
    <row r="51" spans="1:68" x14ac:dyDescent="0.25">
      <c r="A51" s="10" t="s">
        <v>113</v>
      </c>
      <c r="B51" s="10"/>
      <c r="C51" s="10" t="s">
        <v>114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 t="s">
        <v>38</v>
      </c>
      <c r="P51" s="11">
        <v>0</v>
      </c>
      <c r="Q51" s="11" t="s">
        <v>38</v>
      </c>
      <c r="R51" s="11" t="s">
        <v>38</v>
      </c>
      <c r="S51" s="11" t="s">
        <v>38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 t="s">
        <v>38</v>
      </c>
      <c r="AH51" s="12" t="s">
        <v>38</v>
      </c>
      <c r="AI51" s="12" t="s">
        <v>38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/>
      <c r="AZ51" s="329" t="str">
        <f t="shared" si="16"/>
        <v/>
      </c>
      <c r="BA51" s="329" t="str">
        <f t="shared" si="17"/>
        <v/>
      </c>
      <c r="BB51" s="329" t="str">
        <f t="shared" si="18"/>
        <v/>
      </c>
      <c r="BC51" s="329" t="str">
        <f t="shared" si="19"/>
        <v/>
      </c>
      <c r="BD51" s="329" t="str">
        <f t="shared" si="20"/>
        <v/>
      </c>
      <c r="BE51" s="329" t="str">
        <f t="shared" si="21"/>
        <v/>
      </c>
      <c r="BF51" s="329" t="str">
        <f t="shared" si="22"/>
        <v/>
      </c>
      <c r="BG51" s="329" t="str">
        <f t="shared" si="23"/>
        <v/>
      </c>
      <c r="BH51" s="329" t="str">
        <f t="shared" si="24"/>
        <v/>
      </c>
      <c r="BI51" s="329" t="str">
        <f t="shared" si="25"/>
        <v/>
      </c>
      <c r="BJ51" s="329" t="str">
        <f t="shared" si="26"/>
        <v/>
      </c>
      <c r="BK51" s="329" t="str">
        <f t="shared" si="27"/>
        <v/>
      </c>
      <c r="BL51" s="329" t="str">
        <f t="shared" si="28"/>
        <v/>
      </c>
      <c r="BM51" s="329" t="str">
        <f t="shared" si="29"/>
        <v/>
      </c>
      <c r="BN51" s="329" t="str">
        <f t="shared" si="14"/>
        <v/>
      </c>
      <c r="BO51" s="329" t="str">
        <f t="shared" si="15"/>
        <v/>
      </c>
      <c r="BP51" t="s">
        <v>106</v>
      </c>
    </row>
    <row r="52" spans="1:68" x14ac:dyDescent="0.25">
      <c r="A52" s="10" t="s">
        <v>115</v>
      </c>
      <c r="B52" s="10"/>
      <c r="C52" s="10" t="s">
        <v>116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 t="s">
        <v>38</v>
      </c>
      <c r="P52" s="11">
        <v>0</v>
      </c>
      <c r="Q52" s="11" t="s">
        <v>38</v>
      </c>
      <c r="R52" s="11" t="s">
        <v>38</v>
      </c>
      <c r="S52" s="11" t="s">
        <v>38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 t="s">
        <v>38</v>
      </c>
      <c r="AH52" s="12" t="s">
        <v>38</v>
      </c>
      <c r="AI52" s="12" t="s">
        <v>38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/>
      <c r="AZ52" s="329" t="str">
        <f t="shared" si="16"/>
        <v/>
      </c>
      <c r="BA52" s="329" t="str">
        <f t="shared" si="17"/>
        <v/>
      </c>
      <c r="BB52" s="329" t="str">
        <f t="shared" si="18"/>
        <v/>
      </c>
      <c r="BC52" s="329" t="str">
        <f t="shared" si="19"/>
        <v/>
      </c>
      <c r="BD52" s="329" t="str">
        <f t="shared" si="20"/>
        <v/>
      </c>
      <c r="BE52" s="329" t="str">
        <f t="shared" si="21"/>
        <v/>
      </c>
      <c r="BF52" s="329" t="str">
        <f t="shared" si="22"/>
        <v/>
      </c>
      <c r="BG52" s="329" t="str">
        <f t="shared" si="23"/>
        <v/>
      </c>
      <c r="BH52" s="329" t="str">
        <f t="shared" si="24"/>
        <v/>
      </c>
      <c r="BI52" s="329" t="str">
        <f t="shared" si="25"/>
        <v/>
      </c>
      <c r="BJ52" s="329" t="str">
        <f t="shared" si="26"/>
        <v/>
      </c>
      <c r="BK52" s="329" t="str">
        <f t="shared" si="27"/>
        <v/>
      </c>
      <c r="BL52" s="329" t="str">
        <f t="shared" si="28"/>
        <v/>
      </c>
      <c r="BM52" s="329" t="str">
        <f t="shared" si="29"/>
        <v/>
      </c>
      <c r="BN52" s="329" t="str">
        <f t="shared" si="14"/>
        <v/>
      </c>
      <c r="BO52" s="329" t="str">
        <f t="shared" si="15"/>
        <v/>
      </c>
      <c r="BP52" t="s">
        <v>106</v>
      </c>
    </row>
    <row r="53" spans="1:68" x14ac:dyDescent="0.25">
      <c r="A53" s="10" t="s">
        <v>117</v>
      </c>
      <c r="B53" s="10"/>
      <c r="C53" s="10" t="s">
        <v>118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 t="s">
        <v>38</v>
      </c>
      <c r="P53" s="11">
        <v>0</v>
      </c>
      <c r="Q53" s="11" t="s">
        <v>38</v>
      </c>
      <c r="R53" s="11" t="s">
        <v>38</v>
      </c>
      <c r="S53" s="11" t="s">
        <v>38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 t="s">
        <v>38</v>
      </c>
      <c r="AH53" s="12" t="s">
        <v>38</v>
      </c>
      <c r="AI53" s="12" t="s">
        <v>38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/>
      <c r="AZ53" s="329" t="str">
        <f t="shared" si="16"/>
        <v/>
      </c>
      <c r="BA53" s="329" t="str">
        <f t="shared" si="17"/>
        <v/>
      </c>
      <c r="BB53" s="329" t="str">
        <f t="shared" si="18"/>
        <v/>
      </c>
      <c r="BC53" s="329" t="str">
        <f t="shared" si="19"/>
        <v/>
      </c>
      <c r="BD53" s="329" t="str">
        <f t="shared" si="20"/>
        <v/>
      </c>
      <c r="BE53" s="329" t="str">
        <f t="shared" si="21"/>
        <v/>
      </c>
      <c r="BF53" s="329" t="str">
        <f t="shared" si="22"/>
        <v/>
      </c>
      <c r="BG53" s="329" t="str">
        <f t="shared" si="23"/>
        <v/>
      </c>
      <c r="BH53" s="329" t="str">
        <f t="shared" si="24"/>
        <v/>
      </c>
      <c r="BI53" s="329" t="str">
        <f t="shared" si="25"/>
        <v/>
      </c>
      <c r="BJ53" s="329" t="str">
        <f t="shared" si="26"/>
        <v/>
      </c>
      <c r="BK53" s="329" t="str">
        <f t="shared" si="27"/>
        <v/>
      </c>
      <c r="BL53" s="329" t="str">
        <f t="shared" si="28"/>
        <v/>
      </c>
      <c r="BM53" s="329" t="str">
        <f t="shared" si="29"/>
        <v/>
      </c>
      <c r="BN53" s="329" t="str">
        <f t="shared" si="14"/>
        <v/>
      </c>
      <c r="BO53" s="329" t="str">
        <f t="shared" si="15"/>
        <v/>
      </c>
      <c r="BP53" t="s">
        <v>106</v>
      </c>
    </row>
    <row r="54" spans="1:68" x14ac:dyDescent="0.25">
      <c r="A54" s="10" t="s">
        <v>119</v>
      </c>
      <c r="B54" s="10"/>
      <c r="C54" s="10" t="s">
        <v>120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 t="s">
        <v>38</v>
      </c>
      <c r="P54" s="11">
        <v>0</v>
      </c>
      <c r="Q54" s="11" t="s">
        <v>38</v>
      </c>
      <c r="R54" s="11" t="s">
        <v>38</v>
      </c>
      <c r="S54" s="11" t="s">
        <v>38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 t="s">
        <v>38</v>
      </c>
      <c r="AH54" s="12" t="s">
        <v>38</v>
      </c>
      <c r="AI54" s="12" t="s">
        <v>38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/>
      <c r="AZ54" s="329" t="str">
        <f t="shared" si="16"/>
        <v/>
      </c>
      <c r="BA54" s="329" t="str">
        <f t="shared" si="17"/>
        <v/>
      </c>
      <c r="BB54" s="329" t="str">
        <f t="shared" si="18"/>
        <v/>
      </c>
      <c r="BC54" s="329" t="str">
        <f t="shared" si="19"/>
        <v/>
      </c>
      <c r="BD54" s="329" t="str">
        <f t="shared" si="20"/>
        <v/>
      </c>
      <c r="BE54" s="329" t="str">
        <f t="shared" si="21"/>
        <v/>
      </c>
      <c r="BF54" s="329" t="str">
        <f t="shared" si="22"/>
        <v/>
      </c>
      <c r="BG54" s="329" t="str">
        <f t="shared" si="23"/>
        <v/>
      </c>
      <c r="BH54" s="329" t="str">
        <f t="shared" si="24"/>
        <v/>
      </c>
      <c r="BI54" s="329" t="str">
        <f t="shared" si="25"/>
        <v/>
      </c>
      <c r="BJ54" s="329" t="str">
        <f t="shared" si="26"/>
        <v/>
      </c>
      <c r="BK54" s="329" t="str">
        <f t="shared" si="27"/>
        <v/>
      </c>
      <c r="BL54" s="329" t="str">
        <f t="shared" si="28"/>
        <v/>
      </c>
      <c r="BM54" s="329" t="str">
        <f t="shared" si="29"/>
        <v/>
      </c>
      <c r="BN54" s="329" t="str">
        <f t="shared" si="14"/>
        <v/>
      </c>
      <c r="BO54" s="329" t="str">
        <f t="shared" si="15"/>
        <v/>
      </c>
      <c r="BP54" t="s">
        <v>106</v>
      </c>
    </row>
    <row r="55" spans="1:68" x14ac:dyDescent="0.25">
      <c r="A55" s="10" t="s">
        <v>121</v>
      </c>
      <c r="B55" s="10"/>
      <c r="C55" s="10" t="s">
        <v>122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 t="s">
        <v>38</v>
      </c>
      <c r="P55" s="11">
        <v>0</v>
      </c>
      <c r="Q55" s="11" t="s">
        <v>38</v>
      </c>
      <c r="R55" s="11" t="s">
        <v>38</v>
      </c>
      <c r="S55" s="11" t="s">
        <v>38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 t="s">
        <v>38</v>
      </c>
      <c r="AH55" s="12" t="s">
        <v>38</v>
      </c>
      <c r="AI55" s="12" t="s">
        <v>38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/>
      <c r="AZ55" s="329" t="str">
        <f t="shared" si="16"/>
        <v/>
      </c>
      <c r="BA55" s="329" t="str">
        <f t="shared" si="17"/>
        <v/>
      </c>
      <c r="BB55" s="329" t="str">
        <f t="shared" si="18"/>
        <v/>
      </c>
      <c r="BC55" s="329" t="str">
        <f t="shared" si="19"/>
        <v/>
      </c>
      <c r="BD55" s="329" t="str">
        <f t="shared" si="20"/>
        <v/>
      </c>
      <c r="BE55" s="329" t="str">
        <f t="shared" si="21"/>
        <v/>
      </c>
      <c r="BF55" s="329" t="str">
        <f t="shared" si="22"/>
        <v/>
      </c>
      <c r="BG55" s="329" t="str">
        <f t="shared" si="23"/>
        <v/>
      </c>
      <c r="BH55" s="329" t="str">
        <f t="shared" si="24"/>
        <v/>
      </c>
      <c r="BI55" s="329" t="str">
        <f t="shared" si="25"/>
        <v/>
      </c>
      <c r="BJ55" s="329" t="str">
        <f t="shared" si="26"/>
        <v/>
      </c>
      <c r="BK55" s="329" t="str">
        <f t="shared" si="27"/>
        <v/>
      </c>
      <c r="BL55" s="329" t="str">
        <f t="shared" si="28"/>
        <v/>
      </c>
      <c r="BM55" s="329" t="str">
        <f t="shared" si="29"/>
        <v/>
      </c>
      <c r="BN55" s="329" t="str">
        <f t="shared" si="14"/>
        <v/>
      </c>
      <c r="BO55" s="329" t="str">
        <f t="shared" si="15"/>
        <v/>
      </c>
      <c r="BP55" t="s">
        <v>106</v>
      </c>
    </row>
    <row r="56" spans="1:68" x14ac:dyDescent="0.25">
      <c r="A56" s="10" t="s">
        <v>123</v>
      </c>
      <c r="B56" s="10"/>
      <c r="C56" s="10" t="s">
        <v>124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 t="s">
        <v>38</v>
      </c>
      <c r="P56" s="11">
        <v>0</v>
      </c>
      <c r="Q56" s="11" t="s">
        <v>38</v>
      </c>
      <c r="R56" s="11" t="s">
        <v>38</v>
      </c>
      <c r="S56" s="11" t="s">
        <v>38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 t="s">
        <v>38</v>
      </c>
      <c r="AH56" s="12" t="s">
        <v>38</v>
      </c>
      <c r="AI56" s="12" t="s">
        <v>38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/>
      <c r="AZ56" s="329" t="str">
        <f t="shared" si="16"/>
        <v/>
      </c>
      <c r="BA56" s="329" t="str">
        <f t="shared" si="17"/>
        <v/>
      </c>
      <c r="BB56" s="329" t="str">
        <f t="shared" si="18"/>
        <v/>
      </c>
      <c r="BC56" s="329" t="str">
        <f t="shared" si="19"/>
        <v/>
      </c>
      <c r="BD56" s="329" t="str">
        <f t="shared" si="20"/>
        <v/>
      </c>
      <c r="BE56" s="329" t="str">
        <f t="shared" si="21"/>
        <v/>
      </c>
      <c r="BF56" s="329" t="str">
        <f t="shared" si="22"/>
        <v/>
      </c>
      <c r="BG56" s="329" t="str">
        <f t="shared" si="23"/>
        <v/>
      </c>
      <c r="BH56" s="329" t="str">
        <f t="shared" si="24"/>
        <v/>
      </c>
      <c r="BI56" s="329" t="str">
        <f t="shared" si="25"/>
        <v/>
      </c>
      <c r="BJ56" s="329" t="str">
        <f t="shared" si="26"/>
        <v/>
      </c>
      <c r="BK56" s="329" t="str">
        <f t="shared" si="27"/>
        <v/>
      </c>
      <c r="BL56" s="329" t="str">
        <f t="shared" si="28"/>
        <v/>
      </c>
      <c r="BM56" s="329" t="str">
        <f t="shared" si="29"/>
        <v/>
      </c>
      <c r="BN56" s="329" t="str">
        <f t="shared" si="14"/>
        <v/>
      </c>
      <c r="BO56" s="329" t="str">
        <f t="shared" si="15"/>
        <v/>
      </c>
      <c r="BP56" t="s">
        <v>106</v>
      </c>
    </row>
    <row r="57" spans="1:68" x14ac:dyDescent="0.25">
      <c r="A57" s="10" t="s">
        <v>125</v>
      </c>
      <c r="B57" s="10"/>
      <c r="C57" s="10" t="s">
        <v>126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 t="s">
        <v>38</v>
      </c>
      <c r="P57" s="11">
        <v>0</v>
      </c>
      <c r="Q57" s="11" t="s">
        <v>38</v>
      </c>
      <c r="R57" s="11" t="s">
        <v>38</v>
      </c>
      <c r="S57" s="11" t="s">
        <v>38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 t="s">
        <v>38</v>
      </c>
      <c r="AH57" s="12" t="s">
        <v>38</v>
      </c>
      <c r="AI57" s="12" t="s">
        <v>38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/>
      <c r="AZ57" s="329" t="str">
        <f t="shared" si="16"/>
        <v/>
      </c>
      <c r="BA57" s="329" t="str">
        <f t="shared" si="17"/>
        <v/>
      </c>
      <c r="BB57" s="329" t="str">
        <f t="shared" si="18"/>
        <v/>
      </c>
      <c r="BC57" s="329" t="str">
        <f t="shared" si="19"/>
        <v/>
      </c>
      <c r="BD57" s="329" t="str">
        <f t="shared" si="20"/>
        <v/>
      </c>
      <c r="BE57" s="329" t="str">
        <f t="shared" si="21"/>
        <v/>
      </c>
      <c r="BF57" s="329" t="str">
        <f t="shared" si="22"/>
        <v/>
      </c>
      <c r="BG57" s="329" t="str">
        <f t="shared" si="23"/>
        <v/>
      </c>
      <c r="BH57" s="329" t="str">
        <f t="shared" si="24"/>
        <v/>
      </c>
      <c r="BI57" s="329" t="str">
        <f t="shared" si="25"/>
        <v/>
      </c>
      <c r="BJ57" s="329" t="str">
        <f t="shared" si="26"/>
        <v/>
      </c>
      <c r="BK57" s="329" t="str">
        <f t="shared" si="27"/>
        <v/>
      </c>
      <c r="BL57" s="329" t="str">
        <f t="shared" si="28"/>
        <v/>
      </c>
      <c r="BM57" s="329" t="str">
        <f t="shared" si="29"/>
        <v/>
      </c>
      <c r="BN57" s="329" t="str">
        <f t="shared" si="14"/>
        <v/>
      </c>
      <c r="BO57" s="329" t="str">
        <f t="shared" si="15"/>
        <v/>
      </c>
      <c r="BP57" t="s">
        <v>106</v>
      </c>
    </row>
    <row r="58" spans="1:68" x14ac:dyDescent="0.25">
      <c r="A58" s="10" t="s">
        <v>127</v>
      </c>
      <c r="B58" s="10"/>
      <c r="C58" s="10" t="s">
        <v>128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 t="s">
        <v>38</v>
      </c>
      <c r="P58" s="11">
        <v>0</v>
      </c>
      <c r="Q58" s="11" t="s">
        <v>38</v>
      </c>
      <c r="R58" s="11" t="s">
        <v>38</v>
      </c>
      <c r="S58" s="11" t="s">
        <v>38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 t="s">
        <v>38</v>
      </c>
      <c r="AH58" s="12" t="s">
        <v>38</v>
      </c>
      <c r="AI58" s="12" t="s">
        <v>38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/>
      <c r="AZ58" s="329" t="str">
        <f t="shared" si="16"/>
        <v/>
      </c>
      <c r="BA58" s="329" t="str">
        <f t="shared" si="17"/>
        <v/>
      </c>
      <c r="BB58" s="329" t="str">
        <f t="shared" si="18"/>
        <v/>
      </c>
      <c r="BC58" s="329" t="str">
        <f t="shared" si="19"/>
        <v/>
      </c>
      <c r="BD58" s="329" t="str">
        <f t="shared" si="20"/>
        <v/>
      </c>
      <c r="BE58" s="329" t="str">
        <f t="shared" si="21"/>
        <v/>
      </c>
      <c r="BF58" s="329" t="str">
        <f t="shared" si="22"/>
        <v/>
      </c>
      <c r="BG58" s="329" t="str">
        <f t="shared" si="23"/>
        <v/>
      </c>
      <c r="BH58" s="329" t="str">
        <f t="shared" si="24"/>
        <v/>
      </c>
      <c r="BI58" s="329" t="str">
        <f t="shared" si="25"/>
        <v/>
      </c>
      <c r="BJ58" s="329" t="str">
        <f t="shared" si="26"/>
        <v/>
      </c>
      <c r="BK58" s="329" t="str">
        <f t="shared" si="27"/>
        <v/>
      </c>
      <c r="BL58" s="329" t="str">
        <f t="shared" si="28"/>
        <v/>
      </c>
      <c r="BM58" s="329" t="str">
        <f t="shared" si="29"/>
        <v/>
      </c>
      <c r="BN58" s="329" t="str">
        <f t="shared" si="14"/>
        <v/>
      </c>
      <c r="BO58" s="329" t="str">
        <f t="shared" si="15"/>
        <v/>
      </c>
      <c r="BP58" t="s">
        <v>106</v>
      </c>
    </row>
    <row r="59" spans="1:68" x14ac:dyDescent="0.25">
      <c r="A59" s="10" t="s">
        <v>129</v>
      </c>
      <c r="B59" s="10"/>
      <c r="C59" s="10" t="s">
        <v>130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 t="s">
        <v>38</v>
      </c>
      <c r="P59" s="11">
        <v>0</v>
      </c>
      <c r="Q59" s="11" t="s">
        <v>38</v>
      </c>
      <c r="R59" s="11" t="s">
        <v>38</v>
      </c>
      <c r="S59" s="11" t="s">
        <v>38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 t="s">
        <v>38</v>
      </c>
      <c r="AH59" s="12" t="s">
        <v>38</v>
      </c>
      <c r="AI59" s="12" t="s">
        <v>38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/>
      <c r="AZ59" s="329" t="str">
        <f t="shared" si="16"/>
        <v/>
      </c>
      <c r="BA59" s="329" t="str">
        <f t="shared" si="17"/>
        <v/>
      </c>
      <c r="BB59" s="329" t="str">
        <f t="shared" si="18"/>
        <v/>
      </c>
      <c r="BC59" s="329" t="str">
        <f t="shared" si="19"/>
        <v/>
      </c>
      <c r="BD59" s="329" t="str">
        <f t="shared" si="20"/>
        <v/>
      </c>
      <c r="BE59" s="329" t="str">
        <f t="shared" si="21"/>
        <v/>
      </c>
      <c r="BF59" s="329" t="str">
        <f t="shared" si="22"/>
        <v/>
      </c>
      <c r="BG59" s="329" t="str">
        <f t="shared" si="23"/>
        <v/>
      </c>
      <c r="BH59" s="329" t="str">
        <f t="shared" si="24"/>
        <v/>
      </c>
      <c r="BI59" s="329" t="str">
        <f t="shared" si="25"/>
        <v/>
      </c>
      <c r="BJ59" s="329" t="str">
        <f t="shared" si="26"/>
        <v/>
      </c>
      <c r="BK59" s="329" t="str">
        <f t="shared" si="27"/>
        <v/>
      </c>
      <c r="BL59" s="329" t="str">
        <f t="shared" si="28"/>
        <v/>
      </c>
      <c r="BM59" s="329" t="str">
        <f t="shared" si="29"/>
        <v/>
      </c>
      <c r="BN59" s="329" t="str">
        <f t="shared" si="14"/>
        <v/>
      </c>
      <c r="BO59" s="329" t="str">
        <f t="shared" si="15"/>
        <v/>
      </c>
      <c r="BP59" t="s">
        <v>106</v>
      </c>
    </row>
    <row r="60" spans="1:68" x14ac:dyDescent="0.25">
      <c r="A60" s="10" t="s">
        <v>131</v>
      </c>
      <c r="B60" s="10"/>
      <c r="C60" s="10" t="s">
        <v>132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 t="s">
        <v>38</v>
      </c>
      <c r="P60" s="11">
        <v>0</v>
      </c>
      <c r="Q60" s="11" t="s">
        <v>38</v>
      </c>
      <c r="R60" s="11" t="s">
        <v>38</v>
      </c>
      <c r="S60" s="11" t="s">
        <v>38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 t="s">
        <v>38</v>
      </c>
      <c r="AH60" s="12" t="s">
        <v>38</v>
      </c>
      <c r="AI60" s="12" t="s">
        <v>38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/>
      <c r="AZ60" s="329" t="str">
        <f t="shared" si="16"/>
        <v/>
      </c>
      <c r="BA60" s="329" t="str">
        <f t="shared" si="17"/>
        <v/>
      </c>
      <c r="BB60" s="329" t="str">
        <f t="shared" si="18"/>
        <v/>
      </c>
      <c r="BC60" s="329" t="str">
        <f t="shared" si="19"/>
        <v/>
      </c>
      <c r="BD60" s="329" t="str">
        <f t="shared" si="20"/>
        <v/>
      </c>
      <c r="BE60" s="329" t="str">
        <f t="shared" si="21"/>
        <v/>
      </c>
      <c r="BF60" s="329" t="str">
        <f t="shared" si="22"/>
        <v/>
      </c>
      <c r="BG60" s="329" t="str">
        <f t="shared" si="23"/>
        <v/>
      </c>
      <c r="BH60" s="329" t="str">
        <f t="shared" si="24"/>
        <v/>
      </c>
      <c r="BI60" s="329" t="str">
        <f t="shared" si="25"/>
        <v/>
      </c>
      <c r="BJ60" s="329" t="str">
        <f t="shared" si="26"/>
        <v/>
      </c>
      <c r="BK60" s="329" t="str">
        <f t="shared" si="27"/>
        <v/>
      </c>
      <c r="BL60" s="329" t="str">
        <f t="shared" si="28"/>
        <v/>
      </c>
      <c r="BM60" s="329" t="str">
        <f t="shared" si="29"/>
        <v/>
      </c>
      <c r="BN60" s="329" t="str">
        <f t="shared" si="14"/>
        <v/>
      </c>
      <c r="BO60" s="329" t="str">
        <f t="shared" si="15"/>
        <v/>
      </c>
      <c r="BP60" t="s">
        <v>106</v>
      </c>
    </row>
    <row r="61" spans="1:68" x14ac:dyDescent="0.25">
      <c r="A61" s="10" t="s">
        <v>133</v>
      </c>
      <c r="B61" s="10"/>
      <c r="C61" s="10" t="s">
        <v>134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 t="s">
        <v>38</v>
      </c>
      <c r="P61" s="11">
        <v>0</v>
      </c>
      <c r="Q61" s="11" t="s">
        <v>38</v>
      </c>
      <c r="R61" s="11" t="s">
        <v>38</v>
      </c>
      <c r="S61" s="11" t="s">
        <v>38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 t="s">
        <v>38</v>
      </c>
      <c r="AH61" s="12" t="s">
        <v>38</v>
      </c>
      <c r="AI61" s="12" t="s">
        <v>38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/>
      <c r="AZ61" s="329" t="str">
        <f t="shared" si="16"/>
        <v/>
      </c>
      <c r="BA61" s="329" t="str">
        <f t="shared" si="17"/>
        <v/>
      </c>
      <c r="BB61" s="329" t="str">
        <f t="shared" si="18"/>
        <v/>
      </c>
      <c r="BC61" s="329" t="str">
        <f t="shared" si="19"/>
        <v/>
      </c>
      <c r="BD61" s="329" t="str">
        <f t="shared" si="20"/>
        <v/>
      </c>
      <c r="BE61" s="329" t="str">
        <f t="shared" si="21"/>
        <v/>
      </c>
      <c r="BF61" s="329" t="str">
        <f t="shared" si="22"/>
        <v/>
      </c>
      <c r="BG61" s="329" t="str">
        <f t="shared" si="23"/>
        <v/>
      </c>
      <c r="BH61" s="329" t="str">
        <f t="shared" si="24"/>
        <v/>
      </c>
      <c r="BI61" s="329" t="str">
        <f t="shared" si="25"/>
        <v/>
      </c>
      <c r="BJ61" s="329" t="str">
        <f t="shared" si="26"/>
        <v/>
      </c>
      <c r="BK61" s="329" t="str">
        <f t="shared" si="27"/>
        <v/>
      </c>
      <c r="BL61" s="329" t="str">
        <f t="shared" si="28"/>
        <v/>
      </c>
      <c r="BM61" s="329" t="str">
        <f t="shared" si="29"/>
        <v/>
      </c>
      <c r="BN61" s="329" t="str">
        <f t="shared" si="14"/>
        <v/>
      </c>
      <c r="BO61" s="329" t="str">
        <f t="shared" si="15"/>
        <v/>
      </c>
      <c r="BP61" t="s">
        <v>106</v>
      </c>
    </row>
    <row r="62" spans="1:68" x14ac:dyDescent="0.25">
      <c r="A62" s="10" t="s">
        <v>63</v>
      </c>
      <c r="B62" s="10"/>
      <c r="C62" s="10" t="s">
        <v>64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 t="s">
        <v>38</v>
      </c>
      <c r="P62" s="11">
        <v>0</v>
      </c>
      <c r="Q62" s="11" t="s">
        <v>38</v>
      </c>
      <c r="R62" s="11" t="s">
        <v>38</v>
      </c>
      <c r="S62" s="11" t="s">
        <v>38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 t="s">
        <v>38</v>
      </c>
      <c r="AH62" s="12" t="s">
        <v>38</v>
      </c>
      <c r="AI62" s="12" t="s">
        <v>38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4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/>
      <c r="AZ62" s="329" t="str">
        <f t="shared" si="16"/>
        <v/>
      </c>
      <c r="BA62" s="329" t="str">
        <f t="shared" si="17"/>
        <v/>
      </c>
      <c r="BB62" s="329" t="str">
        <f t="shared" si="18"/>
        <v/>
      </c>
      <c r="BC62" s="329" t="str">
        <f t="shared" si="19"/>
        <v/>
      </c>
      <c r="BD62" s="329" t="str">
        <f t="shared" si="20"/>
        <v/>
      </c>
      <c r="BE62" s="329" t="str">
        <f t="shared" si="21"/>
        <v/>
      </c>
      <c r="BF62" s="329" t="str">
        <f t="shared" si="22"/>
        <v/>
      </c>
      <c r="BG62" s="329" t="str">
        <f t="shared" si="23"/>
        <v/>
      </c>
      <c r="BH62" s="329" t="str">
        <f t="shared" si="24"/>
        <v/>
      </c>
      <c r="BI62" s="329" t="str">
        <f t="shared" si="25"/>
        <v/>
      </c>
      <c r="BJ62" s="329" t="str">
        <f t="shared" si="26"/>
        <v/>
      </c>
      <c r="BK62" s="329" t="str">
        <f t="shared" si="27"/>
        <v/>
      </c>
      <c r="BL62" s="329" t="str">
        <f t="shared" si="28"/>
        <v/>
      </c>
      <c r="BM62" s="329" t="str">
        <f t="shared" si="29"/>
        <v/>
      </c>
      <c r="BN62" s="329" t="str">
        <f t="shared" si="14"/>
        <v/>
      </c>
      <c r="BO62" s="329" t="str">
        <f t="shared" si="15"/>
        <v/>
      </c>
      <c r="BP62" t="s">
        <v>63</v>
      </c>
    </row>
    <row r="63" spans="1:68" x14ac:dyDescent="0.25">
      <c r="A63" s="10" t="s">
        <v>135</v>
      </c>
      <c r="B63" s="10" t="s">
        <v>136</v>
      </c>
      <c r="C63" s="10" t="s">
        <v>137</v>
      </c>
      <c r="D63" s="11">
        <v>3129903.824</v>
      </c>
      <c r="E63" s="11">
        <v>3251434.7969999998</v>
      </c>
      <c r="F63" s="11">
        <v>5667940.8439999996</v>
      </c>
      <c r="G63" s="11">
        <v>4705662.3530000001</v>
      </c>
      <c r="H63" s="11">
        <v>5755534.966</v>
      </c>
      <c r="I63" s="11">
        <v>5177110</v>
      </c>
      <c r="J63" s="11">
        <v>6155252.3909999998</v>
      </c>
      <c r="K63" s="11">
        <v>6889211</v>
      </c>
      <c r="L63" s="11">
        <v>6833682</v>
      </c>
      <c r="M63" s="11">
        <v>7977147.0288000004</v>
      </c>
      <c r="N63" s="11">
        <v>10921631</v>
      </c>
      <c r="O63" s="11">
        <v>13418092</v>
      </c>
      <c r="P63" s="11">
        <v>9931850</v>
      </c>
      <c r="Q63" s="11">
        <v>11920492</v>
      </c>
      <c r="R63" s="11">
        <v>11840265</v>
      </c>
      <c r="S63" s="11">
        <v>11997007</v>
      </c>
      <c r="T63" s="12">
        <v>607</v>
      </c>
      <c r="U63" s="12">
        <v>637</v>
      </c>
      <c r="V63" s="12">
        <v>639</v>
      </c>
      <c r="W63" s="12">
        <v>747</v>
      </c>
      <c r="X63" s="12">
        <v>664</v>
      </c>
      <c r="Y63" s="12">
        <v>596</v>
      </c>
      <c r="Z63" s="12">
        <v>819</v>
      </c>
      <c r="AA63" s="12">
        <v>758</v>
      </c>
      <c r="AB63" s="12">
        <v>601</v>
      </c>
      <c r="AC63" s="12">
        <v>724</v>
      </c>
      <c r="AD63" s="12">
        <v>875</v>
      </c>
      <c r="AE63" s="12">
        <v>968</v>
      </c>
      <c r="AF63" s="12">
        <v>916</v>
      </c>
      <c r="AG63" s="12">
        <v>876</v>
      </c>
      <c r="AH63" s="12">
        <v>573</v>
      </c>
      <c r="AI63" s="12">
        <v>573</v>
      </c>
      <c r="AJ63" s="13">
        <v>607</v>
      </c>
      <c r="AK63" s="13">
        <v>637</v>
      </c>
      <c r="AL63" s="13">
        <v>639</v>
      </c>
      <c r="AM63" s="13">
        <v>747</v>
      </c>
      <c r="AN63" s="13">
        <v>664</v>
      </c>
      <c r="AO63" s="13">
        <v>596</v>
      </c>
      <c r="AP63" s="13">
        <v>819</v>
      </c>
      <c r="AQ63" s="13">
        <v>758</v>
      </c>
      <c r="AR63" s="13">
        <v>601</v>
      </c>
      <c r="AS63" s="13">
        <v>349</v>
      </c>
      <c r="AT63" s="13">
        <v>8</v>
      </c>
      <c r="AU63" s="13">
        <v>93</v>
      </c>
      <c r="AV63" s="13">
        <v>37</v>
      </c>
      <c r="AW63" s="13">
        <v>92</v>
      </c>
      <c r="AX63" s="13">
        <v>87</v>
      </c>
      <c r="AY63" s="13"/>
      <c r="AZ63" s="329">
        <f t="shared" si="16"/>
        <v>5156.3489686985176</v>
      </c>
      <c r="BA63" s="329">
        <f t="shared" si="17"/>
        <v>5104.2932448979591</v>
      </c>
      <c r="BB63" s="329">
        <f t="shared" si="18"/>
        <v>8870.0169702660405</v>
      </c>
      <c r="BC63" s="329">
        <f t="shared" si="19"/>
        <v>6299.4141271753679</v>
      </c>
      <c r="BD63" s="329">
        <f t="shared" si="20"/>
        <v>8667.974346385543</v>
      </c>
      <c r="BE63" s="329">
        <f t="shared" si="21"/>
        <v>8686.4261744966443</v>
      </c>
      <c r="BF63" s="329">
        <f t="shared" si="22"/>
        <v>7515.5706849816852</v>
      </c>
      <c r="BG63" s="329">
        <f t="shared" si="23"/>
        <v>9088.6688654353566</v>
      </c>
      <c r="BH63" s="329">
        <f t="shared" si="24"/>
        <v>11370.519134775375</v>
      </c>
      <c r="BI63" s="329">
        <f t="shared" si="25"/>
        <v>11018.158879558012</v>
      </c>
      <c r="BJ63" s="329">
        <f t="shared" si="26"/>
        <v>12481.864</v>
      </c>
      <c r="BK63" s="329">
        <f t="shared" si="27"/>
        <v>13861.665289256198</v>
      </c>
      <c r="BL63" s="329">
        <f t="shared" si="28"/>
        <v>10842.631004366813</v>
      </c>
      <c r="BM63" s="329">
        <f t="shared" si="29"/>
        <v>13607.867579908676</v>
      </c>
      <c r="BN63" s="329">
        <f t="shared" si="14"/>
        <v>20663.638743455496</v>
      </c>
      <c r="BO63" s="329">
        <f t="shared" si="15"/>
        <v>20937.184991273996</v>
      </c>
      <c r="BP63" t="s">
        <v>138</v>
      </c>
    </row>
    <row r="64" spans="1:68" x14ac:dyDescent="0.25">
      <c r="A64" s="10" t="s">
        <v>139</v>
      </c>
      <c r="B64" s="10"/>
      <c r="C64" s="10" t="s">
        <v>140</v>
      </c>
      <c r="D64" s="11">
        <v>735133.30040000007</v>
      </c>
      <c r="E64" s="11">
        <v>779480.0793000001</v>
      </c>
      <c r="F64" s="11">
        <v>672982.95540000009</v>
      </c>
      <c r="G64" s="11">
        <v>936439.83669999999</v>
      </c>
      <c r="H64" s="11">
        <v>1090741.577</v>
      </c>
      <c r="I64" s="11">
        <v>1065571</v>
      </c>
      <c r="J64" s="11">
        <v>780753.22900000005</v>
      </c>
      <c r="K64" s="11">
        <v>700157</v>
      </c>
      <c r="L64" s="11">
        <v>517733</v>
      </c>
      <c r="M64" s="11">
        <v>722891.01969999995</v>
      </c>
      <c r="N64" s="11">
        <v>872244</v>
      </c>
      <c r="O64" s="11">
        <v>1354604</v>
      </c>
      <c r="P64" s="11">
        <v>1303604</v>
      </c>
      <c r="Q64" s="11">
        <v>1130191</v>
      </c>
      <c r="R64" s="11">
        <v>1119365</v>
      </c>
      <c r="S64" s="11">
        <v>1027325</v>
      </c>
      <c r="T64" s="12">
        <v>22</v>
      </c>
      <c r="U64" s="12">
        <v>25</v>
      </c>
      <c r="V64" s="12">
        <v>12</v>
      </c>
      <c r="W64" s="12">
        <v>24</v>
      </c>
      <c r="X64" s="12">
        <v>21</v>
      </c>
      <c r="Y64" s="12">
        <v>19</v>
      </c>
      <c r="Z64" s="12">
        <v>36</v>
      </c>
      <c r="AA64" s="12">
        <v>26</v>
      </c>
      <c r="AB64" s="12">
        <v>15</v>
      </c>
      <c r="AC64" s="12">
        <v>15</v>
      </c>
      <c r="AD64" s="12">
        <v>22</v>
      </c>
      <c r="AE64" s="12">
        <v>21</v>
      </c>
      <c r="AF64" s="12">
        <v>24</v>
      </c>
      <c r="AG64" s="12">
        <v>23</v>
      </c>
      <c r="AH64" s="12">
        <v>20</v>
      </c>
      <c r="AI64" s="12">
        <v>13</v>
      </c>
      <c r="AJ64" s="13">
        <v>22</v>
      </c>
      <c r="AK64" s="13">
        <v>25</v>
      </c>
      <c r="AL64" s="13">
        <v>12</v>
      </c>
      <c r="AM64" s="13">
        <v>24</v>
      </c>
      <c r="AN64" s="13">
        <v>21</v>
      </c>
      <c r="AO64" s="13">
        <v>19</v>
      </c>
      <c r="AP64" s="13">
        <v>36</v>
      </c>
      <c r="AQ64" s="13">
        <v>26</v>
      </c>
      <c r="AR64" s="13">
        <v>15</v>
      </c>
      <c r="AS64" s="13">
        <v>4</v>
      </c>
      <c r="AT64" s="13">
        <v>0</v>
      </c>
      <c r="AU64" s="13">
        <v>4</v>
      </c>
      <c r="AV64" s="13">
        <v>2</v>
      </c>
      <c r="AW64" s="13">
        <v>1</v>
      </c>
      <c r="AX64" s="13">
        <v>0</v>
      </c>
      <c r="AY64" s="13"/>
      <c r="AZ64" s="329">
        <f t="shared" si="16"/>
        <v>33415.150018181819</v>
      </c>
      <c r="BA64" s="329">
        <f t="shared" si="17"/>
        <v>31179.203172000005</v>
      </c>
      <c r="BB64" s="329">
        <f t="shared" si="18"/>
        <v>56081.912950000005</v>
      </c>
      <c r="BC64" s="329">
        <f t="shared" si="19"/>
        <v>39018.326529166668</v>
      </c>
      <c r="BD64" s="329">
        <f t="shared" si="20"/>
        <v>51940.075095238099</v>
      </c>
      <c r="BE64" s="329">
        <f t="shared" si="21"/>
        <v>56082.684210526313</v>
      </c>
      <c r="BF64" s="329">
        <f t="shared" si="22"/>
        <v>21687.589694444447</v>
      </c>
      <c r="BG64" s="329">
        <f t="shared" si="23"/>
        <v>26929.115384615383</v>
      </c>
      <c r="BH64" s="329">
        <f t="shared" si="24"/>
        <v>34515.533333333333</v>
      </c>
      <c r="BI64" s="329">
        <f t="shared" si="25"/>
        <v>48192.734646666664</v>
      </c>
      <c r="BJ64" s="329">
        <f t="shared" si="26"/>
        <v>39647.454545454544</v>
      </c>
      <c r="BK64" s="329">
        <f t="shared" si="27"/>
        <v>64504.952380952382</v>
      </c>
      <c r="BL64" s="329">
        <f t="shared" si="28"/>
        <v>54316.833333333336</v>
      </c>
      <c r="BM64" s="329">
        <f t="shared" si="29"/>
        <v>49138.739130434784</v>
      </c>
      <c r="BN64" s="329">
        <f t="shared" si="14"/>
        <v>55968.25</v>
      </c>
      <c r="BO64" s="329">
        <f t="shared" si="15"/>
        <v>79025</v>
      </c>
      <c r="BP64" t="s">
        <v>138</v>
      </c>
    </row>
    <row r="65" spans="1:68" x14ac:dyDescent="0.25">
      <c r="A65" s="10" t="s">
        <v>141</v>
      </c>
      <c r="B65" s="10"/>
      <c r="C65" s="10" t="s">
        <v>142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60548.180200000003</v>
      </c>
      <c r="N65" s="11">
        <v>0</v>
      </c>
      <c r="O65" s="11" t="s">
        <v>38</v>
      </c>
      <c r="P65" s="11">
        <v>0</v>
      </c>
      <c r="Q65" s="11" t="s">
        <v>38</v>
      </c>
      <c r="R65" s="11" t="s">
        <v>38</v>
      </c>
      <c r="S65" s="11" t="s">
        <v>38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 t="s">
        <v>38</v>
      </c>
      <c r="AH65" s="12" t="s">
        <v>38</v>
      </c>
      <c r="AI65" s="12" t="s">
        <v>38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/>
      <c r="AZ65" s="329" t="str">
        <f t="shared" si="16"/>
        <v/>
      </c>
      <c r="BA65" s="329" t="str">
        <f t="shared" si="17"/>
        <v/>
      </c>
      <c r="BB65" s="329" t="str">
        <f t="shared" si="18"/>
        <v/>
      </c>
      <c r="BC65" s="329" t="str">
        <f t="shared" si="19"/>
        <v/>
      </c>
      <c r="BD65" s="329" t="str">
        <f t="shared" si="20"/>
        <v/>
      </c>
      <c r="BE65" s="329" t="str">
        <f t="shared" si="21"/>
        <v/>
      </c>
      <c r="BF65" s="329" t="str">
        <f t="shared" si="22"/>
        <v/>
      </c>
      <c r="BG65" s="329" t="str">
        <f t="shared" si="23"/>
        <v/>
      </c>
      <c r="BH65" s="329" t="str">
        <f t="shared" si="24"/>
        <v/>
      </c>
      <c r="BI65" s="329" t="str">
        <f t="shared" si="25"/>
        <v/>
      </c>
      <c r="BJ65" s="329" t="str">
        <f t="shared" si="26"/>
        <v/>
      </c>
      <c r="BK65" s="329" t="str">
        <f t="shared" si="27"/>
        <v/>
      </c>
      <c r="BL65" s="329" t="str">
        <f t="shared" si="28"/>
        <v/>
      </c>
      <c r="BM65" s="329" t="str">
        <f t="shared" si="29"/>
        <v/>
      </c>
      <c r="BN65" s="329" t="str">
        <f t="shared" si="14"/>
        <v/>
      </c>
      <c r="BO65" s="329" t="str">
        <f t="shared" si="15"/>
        <v/>
      </c>
      <c r="BP65" t="s">
        <v>138</v>
      </c>
    </row>
    <row r="66" spans="1:68" x14ac:dyDescent="0.25">
      <c r="A66" s="10" t="s">
        <v>143</v>
      </c>
      <c r="B66" s="10"/>
      <c r="C66" s="10" t="s">
        <v>144</v>
      </c>
      <c r="D66" s="11">
        <v>1539011.89</v>
      </c>
      <c r="E66" s="11">
        <v>1364061.7609999999</v>
      </c>
      <c r="F66" s="11">
        <v>2626309.8369999998</v>
      </c>
      <c r="G66" s="11">
        <v>1797550.2249999999</v>
      </c>
      <c r="H66" s="11">
        <v>2080839.5599999998</v>
      </c>
      <c r="I66" s="11">
        <v>1808913</v>
      </c>
      <c r="J66" s="11">
        <v>2156968.787</v>
      </c>
      <c r="K66" s="11">
        <v>1799556</v>
      </c>
      <c r="L66" s="11">
        <v>1921618</v>
      </c>
      <c r="M66" s="11">
        <v>3428733.7031999999</v>
      </c>
      <c r="N66" s="11">
        <v>4684782</v>
      </c>
      <c r="O66" s="11">
        <v>7160292</v>
      </c>
      <c r="P66" s="11">
        <v>5212287</v>
      </c>
      <c r="Q66" s="11">
        <v>5677914</v>
      </c>
      <c r="R66" s="11">
        <v>6931647</v>
      </c>
      <c r="S66" s="11">
        <v>9894472</v>
      </c>
      <c r="T66" s="12">
        <v>184</v>
      </c>
      <c r="U66" s="12">
        <v>164</v>
      </c>
      <c r="V66" s="12">
        <v>182</v>
      </c>
      <c r="W66" s="12">
        <v>197</v>
      </c>
      <c r="X66" s="12">
        <v>186</v>
      </c>
      <c r="Y66" s="12">
        <v>155</v>
      </c>
      <c r="Z66" s="12">
        <v>287</v>
      </c>
      <c r="AA66" s="12">
        <v>198</v>
      </c>
      <c r="AB66" s="12">
        <v>169</v>
      </c>
      <c r="AC66" s="12">
        <v>193</v>
      </c>
      <c r="AD66" s="12">
        <v>254</v>
      </c>
      <c r="AE66" s="12">
        <v>322</v>
      </c>
      <c r="AF66" s="12">
        <v>331</v>
      </c>
      <c r="AG66" s="12">
        <v>257</v>
      </c>
      <c r="AH66" s="12">
        <v>223</v>
      </c>
      <c r="AI66" s="12">
        <v>191</v>
      </c>
      <c r="AJ66" s="13">
        <v>184</v>
      </c>
      <c r="AK66" s="13">
        <v>164</v>
      </c>
      <c r="AL66" s="13">
        <v>182</v>
      </c>
      <c r="AM66" s="13">
        <v>197</v>
      </c>
      <c r="AN66" s="13">
        <v>186</v>
      </c>
      <c r="AO66" s="13">
        <v>155</v>
      </c>
      <c r="AP66" s="13">
        <v>287</v>
      </c>
      <c r="AQ66" s="13">
        <v>198</v>
      </c>
      <c r="AR66" s="13">
        <v>169</v>
      </c>
      <c r="AS66" s="13">
        <v>153</v>
      </c>
      <c r="AT66" s="13">
        <v>11</v>
      </c>
      <c r="AU66" s="13">
        <v>28</v>
      </c>
      <c r="AV66" s="13">
        <v>0</v>
      </c>
      <c r="AW66" s="13">
        <v>89</v>
      </c>
      <c r="AX66" s="13">
        <v>62</v>
      </c>
      <c r="AY66" s="13"/>
      <c r="AZ66" s="329">
        <f t="shared" si="16"/>
        <v>8364.1950543478251</v>
      </c>
      <c r="BA66" s="329">
        <f t="shared" si="17"/>
        <v>8317.4497621951214</v>
      </c>
      <c r="BB66" s="329">
        <f t="shared" si="18"/>
        <v>14430.273829670328</v>
      </c>
      <c r="BC66" s="329">
        <f t="shared" si="19"/>
        <v>9124.6204314720799</v>
      </c>
      <c r="BD66" s="329">
        <f t="shared" si="20"/>
        <v>11187.309462365591</v>
      </c>
      <c r="BE66" s="329">
        <f t="shared" si="21"/>
        <v>11670.406451612904</v>
      </c>
      <c r="BF66" s="329">
        <f t="shared" si="22"/>
        <v>7515.5706864111498</v>
      </c>
      <c r="BG66" s="329">
        <f t="shared" si="23"/>
        <v>9088.6666666666661</v>
      </c>
      <c r="BH66" s="329">
        <f t="shared" si="24"/>
        <v>11370.520710059172</v>
      </c>
      <c r="BI66" s="329">
        <f t="shared" si="25"/>
        <v>17765.459602072537</v>
      </c>
      <c r="BJ66" s="329">
        <f t="shared" si="26"/>
        <v>18444.023622047243</v>
      </c>
      <c r="BK66" s="329">
        <f t="shared" si="27"/>
        <v>22236.931677018634</v>
      </c>
      <c r="BL66" s="329">
        <f t="shared" si="28"/>
        <v>15747.090634441087</v>
      </c>
      <c r="BM66" s="329">
        <f t="shared" si="29"/>
        <v>22093.050583657587</v>
      </c>
      <c r="BN66" s="329">
        <f t="shared" si="14"/>
        <v>31083.618834080717</v>
      </c>
      <c r="BO66" s="329">
        <f t="shared" si="15"/>
        <v>51803.518324607328</v>
      </c>
      <c r="BP66" t="s">
        <v>138</v>
      </c>
    </row>
    <row r="67" spans="1:68" x14ac:dyDescent="0.25">
      <c r="A67" s="10" t="s">
        <v>145</v>
      </c>
      <c r="B67" s="10"/>
      <c r="C67" s="10" t="s">
        <v>146</v>
      </c>
      <c r="D67" s="11">
        <v>9368505.7510000002</v>
      </c>
      <c r="E67" s="11">
        <v>8130170.4289999995</v>
      </c>
      <c r="F67" s="11">
        <v>13758849.439999999</v>
      </c>
      <c r="G67" s="11">
        <v>9751168.9239999987</v>
      </c>
      <c r="H67" s="11">
        <v>11561122.24</v>
      </c>
      <c r="I67" s="11">
        <v>11048888</v>
      </c>
      <c r="J67" s="11">
        <v>11516110.123</v>
      </c>
      <c r="K67" s="11">
        <v>13249133</v>
      </c>
      <c r="L67" s="11">
        <v>13426534</v>
      </c>
      <c r="M67" s="11">
        <v>17443689.744100001</v>
      </c>
      <c r="N67" s="11">
        <v>21432169</v>
      </c>
      <c r="O67" s="11">
        <v>29430703</v>
      </c>
      <c r="P67" s="11">
        <v>21487113</v>
      </c>
      <c r="Q67" s="11">
        <v>26724049</v>
      </c>
      <c r="R67" s="11">
        <v>27124342</v>
      </c>
      <c r="S67" s="11">
        <v>26818490</v>
      </c>
      <c r="T67" s="12">
        <v>482</v>
      </c>
      <c r="U67" s="12">
        <v>431</v>
      </c>
      <c r="V67" s="12">
        <v>444</v>
      </c>
      <c r="W67" s="12">
        <v>480</v>
      </c>
      <c r="X67" s="12">
        <v>483</v>
      </c>
      <c r="Y67" s="12">
        <v>422</v>
      </c>
      <c r="Z67" s="12">
        <v>531</v>
      </c>
      <c r="AA67" s="12">
        <v>492</v>
      </c>
      <c r="AB67" s="12">
        <v>389</v>
      </c>
      <c r="AC67" s="12">
        <v>494</v>
      </c>
      <c r="AD67" s="12">
        <v>557</v>
      </c>
      <c r="AE67" s="12">
        <v>763</v>
      </c>
      <c r="AF67" s="12">
        <v>719</v>
      </c>
      <c r="AG67" s="12">
        <v>661</v>
      </c>
      <c r="AH67" s="12">
        <v>471</v>
      </c>
      <c r="AI67" s="12">
        <v>344</v>
      </c>
      <c r="AJ67" s="13">
        <v>482</v>
      </c>
      <c r="AK67" s="13">
        <v>431</v>
      </c>
      <c r="AL67" s="13">
        <v>444</v>
      </c>
      <c r="AM67" s="13">
        <v>480</v>
      </c>
      <c r="AN67" s="13">
        <v>483</v>
      </c>
      <c r="AO67" s="13">
        <v>422</v>
      </c>
      <c r="AP67" s="13">
        <v>531</v>
      </c>
      <c r="AQ67" s="13">
        <v>492</v>
      </c>
      <c r="AR67" s="13">
        <v>389</v>
      </c>
      <c r="AS67" s="13">
        <v>103</v>
      </c>
      <c r="AT67" s="13">
        <v>14</v>
      </c>
      <c r="AU67" s="13">
        <v>41</v>
      </c>
      <c r="AV67" s="13">
        <v>58</v>
      </c>
      <c r="AW67" s="13">
        <v>57</v>
      </c>
      <c r="AX67" s="13">
        <v>39</v>
      </c>
      <c r="AY67" s="13"/>
      <c r="AZ67" s="329">
        <f t="shared" ref="AZ67:AZ98" si="30">IFERROR(D67/T67,"")</f>
        <v>19436.733923236516</v>
      </c>
      <c r="BA67" s="329">
        <f t="shared" ref="BA67:BA98" si="31">IFERROR(E67/U67,"")</f>
        <v>18863.504475638048</v>
      </c>
      <c r="BB67" s="329">
        <f t="shared" ref="BB67:BB98" si="32">IFERROR(F67/V67,"")</f>
        <v>30988.39963963964</v>
      </c>
      <c r="BC67" s="329">
        <f t="shared" ref="BC67:BC98" si="33">IFERROR(G67/W67,"")</f>
        <v>20314.935258333331</v>
      </c>
      <c r="BD67" s="329">
        <f t="shared" ref="BD67:BD98" si="34">IFERROR(H67/X67,"")</f>
        <v>23936.070890269151</v>
      </c>
      <c r="BE67" s="329">
        <f t="shared" ref="BE67:BE98" si="35">IFERROR(I67/Y67,"")</f>
        <v>26182.199052132702</v>
      </c>
      <c r="BF67" s="329">
        <f t="shared" ref="BF67:BF98" si="36">IFERROR(J67/Z67,"")</f>
        <v>21687.589685499057</v>
      </c>
      <c r="BG67" s="329">
        <f t="shared" ref="BG67:BG98" si="37">IFERROR(K67/AA67,"")</f>
        <v>26929.132113821139</v>
      </c>
      <c r="BH67" s="329">
        <f t="shared" ref="BH67:BH98" si="38">IFERROR(L67/AB67,"")</f>
        <v>34515.511568123395</v>
      </c>
      <c r="BI67" s="329">
        <f t="shared" ref="BI67:BI98" si="39">IFERROR(M67/AC67,"")</f>
        <v>35311.112842307695</v>
      </c>
      <c r="BJ67" s="329">
        <f t="shared" ref="BJ67:BJ98" si="40">IFERROR(N67/AD67,"")</f>
        <v>38477.86175942549</v>
      </c>
      <c r="BK67" s="329">
        <f t="shared" ref="BK67:BK98" si="41">IFERROR(O67/AE67,"")</f>
        <v>38572.349934469203</v>
      </c>
      <c r="BL67" s="329">
        <f t="shared" ref="BL67:BL98" si="42">IFERROR(P67/AF67,"")</f>
        <v>29884.719054242003</v>
      </c>
      <c r="BM67" s="329">
        <f t="shared" ref="BM67:BM98" si="43">IFERROR(Q67/AG67,"")</f>
        <v>40429.726172465962</v>
      </c>
      <c r="BN67" s="329">
        <f t="shared" ref="BN67:BN127" si="44">IFERROR(R67/AH67,"")</f>
        <v>57588.836518046708</v>
      </c>
      <c r="BO67" s="329">
        <f t="shared" ref="BO67:BO127" si="45">IFERROR(S67/AI67,"")</f>
        <v>77960.726744186046</v>
      </c>
      <c r="BP67" t="s">
        <v>138</v>
      </c>
    </row>
    <row r="68" spans="1:68" x14ac:dyDescent="0.25">
      <c r="A68" s="10" t="s">
        <v>147</v>
      </c>
      <c r="B68" s="10"/>
      <c r="C68" s="10" t="s">
        <v>148</v>
      </c>
      <c r="D68" s="11">
        <v>1987090.798</v>
      </c>
      <c r="E68" s="11">
        <v>2695469.1469999999</v>
      </c>
      <c r="F68" s="11">
        <v>3361401.0360000003</v>
      </c>
      <c r="G68" s="11">
        <v>3776296.2550000004</v>
      </c>
      <c r="H68" s="11">
        <v>3457845.5189999999</v>
      </c>
      <c r="I68" s="11">
        <v>2685779</v>
      </c>
      <c r="J68" s="11">
        <v>5077750.1119999997</v>
      </c>
      <c r="K68" s="11">
        <v>4036507</v>
      </c>
      <c r="L68" s="11">
        <v>4115540</v>
      </c>
      <c r="M68" s="11">
        <v>2901063.6540000001</v>
      </c>
      <c r="N68" s="11">
        <v>3838640</v>
      </c>
      <c r="O68" s="11">
        <v>4843581</v>
      </c>
      <c r="P68" s="11">
        <v>4173283</v>
      </c>
      <c r="Q68" s="11">
        <v>4450715</v>
      </c>
      <c r="R68" s="11">
        <v>3359576</v>
      </c>
      <c r="S68" s="11">
        <v>3080721</v>
      </c>
      <c r="T68" s="12">
        <v>49</v>
      </c>
      <c r="U68" s="12">
        <v>71</v>
      </c>
      <c r="V68" s="12">
        <v>45</v>
      </c>
      <c r="W68" s="12">
        <v>78</v>
      </c>
      <c r="X68" s="12">
        <v>54</v>
      </c>
      <c r="Y68" s="12">
        <v>39</v>
      </c>
      <c r="Z68" s="12">
        <v>83</v>
      </c>
      <c r="AA68" s="12">
        <v>62</v>
      </c>
      <c r="AB68" s="12">
        <v>44</v>
      </c>
      <c r="AC68" s="12">
        <v>39</v>
      </c>
      <c r="AD68" s="12">
        <v>42</v>
      </c>
      <c r="AE68" s="12">
        <v>42</v>
      </c>
      <c r="AF68" s="12">
        <v>65</v>
      </c>
      <c r="AG68" s="12">
        <v>80</v>
      </c>
      <c r="AH68" s="12">
        <v>59</v>
      </c>
      <c r="AI68" s="12">
        <v>69</v>
      </c>
      <c r="AJ68" s="13">
        <v>49</v>
      </c>
      <c r="AK68" s="13">
        <v>71</v>
      </c>
      <c r="AL68" s="13">
        <v>45</v>
      </c>
      <c r="AM68" s="13">
        <v>78</v>
      </c>
      <c r="AN68" s="13">
        <v>54</v>
      </c>
      <c r="AO68" s="13">
        <v>39</v>
      </c>
      <c r="AP68" s="13">
        <v>83</v>
      </c>
      <c r="AQ68" s="13">
        <v>62</v>
      </c>
      <c r="AR68" s="13">
        <v>44</v>
      </c>
      <c r="AS68" s="13">
        <v>0</v>
      </c>
      <c r="AT68" s="13">
        <v>0</v>
      </c>
      <c r="AU68" s="13">
        <v>0</v>
      </c>
      <c r="AV68" s="13">
        <v>38</v>
      </c>
      <c r="AW68" s="13">
        <v>0</v>
      </c>
      <c r="AX68" s="13">
        <v>0</v>
      </c>
      <c r="AY68" s="13"/>
      <c r="AZ68" s="329">
        <f t="shared" si="30"/>
        <v>40552.873428571431</v>
      </c>
      <c r="BA68" s="329">
        <f t="shared" si="31"/>
        <v>37964.354183098592</v>
      </c>
      <c r="BB68" s="329">
        <f t="shared" si="32"/>
        <v>74697.800800000012</v>
      </c>
      <c r="BC68" s="329">
        <f t="shared" si="33"/>
        <v>48414.054551282054</v>
      </c>
      <c r="BD68" s="329">
        <f t="shared" si="34"/>
        <v>64034.176277777777</v>
      </c>
      <c r="BE68" s="329">
        <f t="shared" si="35"/>
        <v>68866.128205128203</v>
      </c>
      <c r="BF68" s="329">
        <f t="shared" si="36"/>
        <v>61177.712192771083</v>
      </c>
      <c r="BG68" s="329">
        <f t="shared" si="37"/>
        <v>65104.951612903227</v>
      </c>
      <c r="BH68" s="329">
        <f t="shared" si="38"/>
        <v>93535</v>
      </c>
      <c r="BI68" s="329">
        <f t="shared" si="39"/>
        <v>74386.247538461539</v>
      </c>
      <c r="BJ68" s="329">
        <f t="shared" si="40"/>
        <v>91396.190476190473</v>
      </c>
      <c r="BK68" s="329">
        <f t="shared" si="41"/>
        <v>115323.35714285714</v>
      </c>
      <c r="BL68" s="329">
        <f t="shared" si="42"/>
        <v>64204.353846153848</v>
      </c>
      <c r="BM68" s="329">
        <f t="shared" si="43"/>
        <v>55633.9375</v>
      </c>
      <c r="BN68" s="329">
        <f t="shared" si="44"/>
        <v>56941.966101694918</v>
      </c>
      <c r="BO68" s="329">
        <f t="shared" si="45"/>
        <v>44648.130434782608</v>
      </c>
      <c r="BP68" t="s">
        <v>138</v>
      </c>
    </row>
    <row r="69" spans="1:68" x14ac:dyDescent="0.25">
      <c r="A69" s="10" t="s">
        <v>149</v>
      </c>
      <c r="B69" s="10"/>
      <c r="C69" s="10" t="s">
        <v>150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 t="s">
        <v>38</v>
      </c>
      <c r="P69" s="11">
        <v>0</v>
      </c>
      <c r="Q69" s="11" t="s">
        <v>38</v>
      </c>
      <c r="R69" s="11" t="s">
        <v>38</v>
      </c>
      <c r="S69" s="11" t="s">
        <v>38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 t="s">
        <v>38</v>
      </c>
      <c r="AH69" s="12" t="s">
        <v>38</v>
      </c>
      <c r="AI69" s="12" t="s">
        <v>38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/>
      <c r="AZ69" s="329" t="str">
        <f t="shared" si="30"/>
        <v/>
      </c>
      <c r="BA69" s="329" t="str">
        <f t="shared" si="31"/>
        <v/>
      </c>
      <c r="BB69" s="329" t="str">
        <f t="shared" si="32"/>
        <v/>
      </c>
      <c r="BC69" s="329" t="str">
        <f t="shared" si="33"/>
        <v/>
      </c>
      <c r="BD69" s="329" t="str">
        <f t="shared" si="34"/>
        <v/>
      </c>
      <c r="BE69" s="329" t="str">
        <f t="shared" si="35"/>
        <v/>
      </c>
      <c r="BF69" s="329" t="str">
        <f t="shared" si="36"/>
        <v/>
      </c>
      <c r="BG69" s="329" t="str">
        <f t="shared" si="37"/>
        <v/>
      </c>
      <c r="BH69" s="329" t="str">
        <f t="shared" si="38"/>
        <v/>
      </c>
      <c r="BI69" s="329" t="str">
        <f t="shared" si="39"/>
        <v/>
      </c>
      <c r="BJ69" s="329" t="str">
        <f t="shared" si="40"/>
        <v/>
      </c>
      <c r="BK69" s="329" t="str">
        <f t="shared" si="41"/>
        <v/>
      </c>
      <c r="BL69" s="329" t="str">
        <f t="shared" si="42"/>
        <v/>
      </c>
      <c r="BM69" s="329" t="str">
        <f t="shared" si="43"/>
        <v/>
      </c>
      <c r="BN69" s="329" t="str">
        <f t="shared" si="44"/>
        <v/>
      </c>
      <c r="BO69" s="329" t="str">
        <f t="shared" si="45"/>
        <v/>
      </c>
      <c r="BP69" t="s">
        <v>138</v>
      </c>
    </row>
    <row r="70" spans="1:68" x14ac:dyDescent="0.25">
      <c r="A70" s="10" t="s">
        <v>151</v>
      </c>
      <c r="B70" s="10"/>
      <c r="C70" s="10" t="s">
        <v>152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 t="s">
        <v>38</v>
      </c>
      <c r="P70" s="11">
        <v>12999</v>
      </c>
      <c r="Q70" s="11">
        <v>85571</v>
      </c>
      <c r="R70" s="11">
        <v>174858</v>
      </c>
      <c r="S70" s="11" t="s">
        <v>38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 t="s">
        <v>38</v>
      </c>
      <c r="AH70" s="12" t="s">
        <v>38</v>
      </c>
      <c r="AI70" s="12" t="s">
        <v>38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/>
      <c r="AZ70" s="329" t="str">
        <f t="shared" si="30"/>
        <v/>
      </c>
      <c r="BA70" s="329" t="str">
        <f t="shared" si="31"/>
        <v/>
      </c>
      <c r="BB70" s="329" t="str">
        <f t="shared" si="32"/>
        <v/>
      </c>
      <c r="BC70" s="329" t="str">
        <f t="shared" si="33"/>
        <v/>
      </c>
      <c r="BD70" s="329" t="str">
        <f t="shared" si="34"/>
        <v/>
      </c>
      <c r="BE70" s="329" t="str">
        <f t="shared" si="35"/>
        <v/>
      </c>
      <c r="BF70" s="329" t="str">
        <f t="shared" si="36"/>
        <v/>
      </c>
      <c r="BG70" s="329" t="str">
        <f t="shared" si="37"/>
        <v/>
      </c>
      <c r="BH70" s="329" t="str">
        <f t="shared" si="38"/>
        <v/>
      </c>
      <c r="BI70" s="329" t="str">
        <f t="shared" si="39"/>
        <v/>
      </c>
      <c r="BJ70" s="329" t="str">
        <f t="shared" si="40"/>
        <v/>
      </c>
      <c r="BK70" s="329" t="str">
        <f t="shared" si="41"/>
        <v/>
      </c>
      <c r="BL70" s="329" t="str">
        <f t="shared" si="42"/>
        <v/>
      </c>
      <c r="BM70" s="329" t="str">
        <f t="shared" si="43"/>
        <v/>
      </c>
      <c r="BN70" s="329" t="str">
        <f t="shared" si="44"/>
        <v/>
      </c>
      <c r="BO70" s="329" t="str">
        <f t="shared" si="45"/>
        <v/>
      </c>
      <c r="BP70" t="s">
        <v>138</v>
      </c>
    </row>
    <row r="71" spans="1:68" x14ac:dyDescent="0.25">
      <c r="A71" s="10" t="s">
        <v>153</v>
      </c>
      <c r="B71" s="10"/>
      <c r="C71" s="10" t="s">
        <v>154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 t="s">
        <v>38</v>
      </c>
      <c r="P71" s="11">
        <v>0</v>
      </c>
      <c r="Q71" s="11" t="s">
        <v>38</v>
      </c>
      <c r="R71" s="11" t="s">
        <v>38</v>
      </c>
      <c r="S71" s="11" t="s">
        <v>38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 t="s">
        <v>38</v>
      </c>
      <c r="AH71" s="12" t="s">
        <v>38</v>
      </c>
      <c r="AI71" s="12" t="s">
        <v>38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/>
      <c r="AZ71" s="329" t="str">
        <f t="shared" si="30"/>
        <v/>
      </c>
      <c r="BA71" s="329" t="str">
        <f t="shared" si="31"/>
        <v/>
      </c>
      <c r="BB71" s="329" t="str">
        <f t="shared" si="32"/>
        <v/>
      </c>
      <c r="BC71" s="329" t="str">
        <f t="shared" si="33"/>
        <v/>
      </c>
      <c r="BD71" s="329" t="str">
        <f t="shared" si="34"/>
        <v/>
      </c>
      <c r="BE71" s="329" t="str">
        <f t="shared" si="35"/>
        <v/>
      </c>
      <c r="BF71" s="329" t="str">
        <f t="shared" si="36"/>
        <v/>
      </c>
      <c r="BG71" s="329" t="str">
        <f t="shared" si="37"/>
        <v/>
      </c>
      <c r="BH71" s="329" t="str">
        <f t="shared" si="38"/>
        <v/>
      </c>
      <c r="BI71" s="329" t="str">
        <f t="shared" si="39"/>
        <v/>
      </c>
      <c r="BJ71" s="329" t="str">
        <f t="shared" si="40"/>
        <v/>
      </c>
      <c r="BK71" s="329" t="str">
        <f t="shared" si="41"/>
        <v/>
      </c>
      <c r="BL71" s="329" t="str">
        <f t="shared" si="42"/>
        <v/>
      </c>
      <c r="BM71" s="329" t="str">
        <f t="shared" si="43"/>
        <v/>
      </c>
      <c r="BN71" s="329" t="str">
        <f t="shared" si="44"/>
        <v/>
      </c>
      <c r="BO71" s="329" t="str">
        <f t="shared" si="45"/>
        <v/>
      </c>
      <c r="BP71" t="s">
        <v>138</v>
      </c>
    </row>
    <row r="72" spans="1:68" x14ac:dyDescent="0.25">
      <c r="A72" s="10" t="s">
        <v>155</v>
      </c>
      <c r="B72" s="10"/>
      <c r="C72" s="10" t="s">
        <v>156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 t="s">
        <v>38</v>
      </c>
      <c r="P72" s="11">
        <v>0</v>
      </c>
      <c r="Q72" s="11" t="s">
        <v>38</v>
      </c>
      <c r="R72" s="11" t="s">
        <v>38</v>
      </c>
      <c r="S72" s="11" t="s">
        <v>38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 t="s">
        <v>38</v>
      </c>
      <c r="AH72" s="12" t="s">
        <v>38</v>
      </c>
      <c r="AI72" s="12" t="s">
        <v>38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/>
      <c r="AZ72" s="329" t="str">
        <f t="shared" si="30"/>
        <v/>
      </c>
      <c r="BA72" s="329" t="str">
        <f t="shared" si="31"/>
        <v/>
      </c>
      <c r="BB72" s="329" t="str">
        <f t="shared" si="32"/>
        <v/>
      </c>
      <c r="BC72" s="329" t="str">
        <f t="shared" si="33"/>
        <v/>
      </c>
      <c r="BD72" s="329" t="str">
        <f t="shared" si="34"/>
        <v/>
      </c>
      <c r="BE72" s="329" t="str">
        <f t="shared" si="35"/>
        <v/>
      </c>
      <c r="BF72" s="329" t="str">
        <f t="shared" si="36"/>
        <v/>
      </c>
      <c r="BG72" s="329" t="str">
        <f t="shared" si="37"/>
        <v/>
      </c>
      <c r="BH72" s="329" t="str">
        <f t="shared" si="38"/>
        <v/>
      </c>
      <c r="BI72" s="329" t="str">
        <f t="shared" si="39"/>
        <v/>
      </c>
      <c r="BJ72" s="329" t="str">
        <f t="shared" si="40"/>
        <v/>
      </c>
      <c r="BK72" s="329" t="str">
        <f t="shared" si="41"/>
        <v/>
      </c>
      <c r="BL72" s="329" t="str">
        <f t="shared" si="42"/>
        <v/>
      </c>
      <c r="BM72" s="329" t="str">
        <f t="shared" si="43"/>
        <v/>
      </c>
      <c r="BN72" s="329" t="str">
        <f t="shared" si="44"/>
        <v/>
      </c>
      <c r="BO72" s="329" t="str">
        <f t="shared" si="45"/>
        <v/>
      </c>
      <c r="BP72" t="s">
        <v>138</v>
      </c>
    </row>
    <row r="73" spans="1:68" x14ac:dyDescent="0.25">
      <c r="A73" s="10" t="s">
        <v>157</v>
      </c>
      <c r="B73" s="10"/>
      <c r="C73" s="10" t="s">
        <v>158</v>
      </c>
      <c r="D73" s="11">
        <v>2925961.7079999996</v>
      </c>
      <c r="E73" s="11">
        <v>1479074.3399999999</v>
      </c>
      <c r="F73" s="11">
        <v>2640515.4790000003</v>
      </c>
      <c r="G73" s="11">
        <v>2876705.64</v>
      </c>
      <c r="H73" s="11">
        <v>3783899.321</v>
      </c>
      <c r="I73" s="11">
        <v>2501000</v>
      </c>
      <c r="J73" s="11">
        <v>3023582.4350000001</v>
      </c>
      <c r="K73" s="11">
        <v>3370478</v>
      </c>
      <c r="L73" s="11">
        <v>2359824</v>
      </c>
      <c r="M73" s="11">
        <v>4068182.5554999998</v>
      </c>
      <c r="N73" s="11">
        <v>6184663</v>
      </c>
      <c r="O73" s="11">
        <v>3715364</v>
      </c>
      <c r="P73" s="11">
        <v>7947848</v>
      </c>
      <c r="Q73" s="11">
        <v>8666352</v>
      </c>
      <c r="R73" s="11">
        <v>8069279</v>
      </c>
      <c r="S73" s="11">
        <v>10225596</v>
      </c>
      <c r="T73" s="12">
        <v>33</v>
      </c>
      <c r="U73" s="12">
        <v>15</v>
      </c>
      <c r="V73" s="12">
        <v>16</v>
      </c>
      <c r="W73" s="12">
        <v>23</v>
      </c>
      <c r="X73" s="12">
        <v>25</v>
      </c>
      <c r="Y73" s="12">
        <v>16</v>
      </c>
      <c r="Z73" s="12">
        <v>22</v>
      </c>
      <c r="AA73" s="12">
        <v>22</v>
      </c>
      <c r="AB73" s="12">
        <v>10</v>
      </c>
      <c r="AC73" s="12">
        <v>21</v>
      </c>
      <c r="AD73" s="12">
        <v>36</v>
      </c>
      <c r="AE73" s="12">
        <v>28</v>
      </c>
      <c r="AF73" s="12">
        <v>67</v>
      </c>
      <c r="AG73" s="12">
        <v>104</v>
      </c>
      <c r="AH73" s="12">
        <v>97</v>
      </c>
      <c r="AI73" s="12">
        <v>90</v>
      </c>
      <c r="AJ73" s="13">
        <v>33</v>
      </c>
      <c r="AK73" s="13">
        <v>15</v>
      </c>
      <c r="AL73" s="13">
        <v>16</v>
      </c>
      <c r="AM73" s="13">
        <v>23</v>
      </c>
      <c r="AN73" s="13">
        <v>25</v>
      </c>
      <c r="AO73" s="13">
        <v>16</v>
      </c>
      <c r="AP73" s="13">
        <v>22</v>
      </c>
      <c r="AQ73" s="13">
        <v>22</v>
      </c>
      <c r="AR73" s="13">
        <v>10</v>
      </c>
      <c r="AS73" s="13">
        <v>10</v>
      </c>
      <c r="AT73" s="13">
        <v>1</v>
      </c>
      <c r="AU73" s="13">
        <v>0</v>
      </c>
      <c r="AV73" s="13">
        <v>0</v>
      </c>
      <c r="AW73" s="13">
        <v>0</v>
      </c>
      <c r="AX73" s="13">
        <v>0</v>
      </c>
      <c r="AY73" s="13"/>
      <c r="AZ73" s="329">
        <f t="shared" si="30"/>
        <v>88665.506303030299</v>
      </c>
      <c r="BA73" s="329">
        <f t="shared" si="31"/>
        <v>98604.955999999991</v>
      </c>
      <c r="BB73" s="329">
        <f t="shared" si="32"/>
        <v>165032.21743750002</v>
      </c>
      <c r="BC73" s="329">
        <f t="shared" si="33"/>
        <v>125074.15826086958</v>
      </c>
      <c r="BD73" s="329">
        <f t="shared" si="34"/>
        <v>151355.97284</v>
      </c>
      <c r="BE73" s="329">
        <f t="shared" si="35"/>
        <v>156312.5</v>
      </c>
      <c r="BF73" s="329">
        <f t="shared" si="36"/>
        <v>137435.56522727272</v>
      </c>
      <c r="BG73" s="329">
        <f t="shared" si="37"/>
        <v>153203.54545454544</v>
      </c>
      <c r="BH73" s="329">
        <f t="shared" si="38"/>
        <v>235982.4</v>
      </c>
      <c r="BI73" s="329">
        <f t="shared" si="39"/>
        <v>193722.97883333333</v>
      </c>
      <c r="BJ73" s="329">
        <f t="shared" si="40"/>
        <v>171796.19444444444</v>
      </c>
      <c r="BK73" s="329">
        <f t="shared" si="41"/>
        <v>132691.57142857142</v>
      </c>
      <c r="BL73" s="329">
        <f t="shared" si="42"/>
        <v>118624.59701492537</v>
      </c>
      <c r="BM73" s="329">
        <f t="shared" si="43"/>
        <v>83330.307692307688</v>
      </c>
      <c r="BN73" s="329">
        <f t="shared" si="44"/>
        <v>83188.443298969069</v>
      </c>
      <c r="BO73" s="329">
        <f t="shared" si="45"/>
        <v>113617.73333333334</v>
      </c>
      <c r="BP73" t="s">
        <v>138</v>
      </c>
    </row>
    <row r="74" spans="1:68" x14ac:dyDescent="0.25">
      <c r="A74" s="10" t="s">
        <v>159</v>
      </c>
      <c r="B74" s="10"/>
      <c r="C74" s="10" t="s">
        <v>160</v>
      </c>
      <c r="D74" s="11">
        <v>552277.12520000001</v>
      </c>
      <c r="E74" s="11">
        <v>1186491.2200000002</v>
      </c>
      <c r="F74" s="11">
        <v>1373907.1969999999</v>
      </c>
      <c r="G74" s="11">
        <v>930854.57420000003</v>
      </c>
      <c r="H74" s="11">
        <v>1209974.2240000002</v>
      </c>
      <c r="I74" s="11">
        <v>1240000</v>
      </c>
      <c r="J74" s="11">
        <v>1178021.558</v>
      </c>
      <c r="K74" s="11">
        <v>913698</v>
      </c>
      <c r="L74" s="11">
        <v>1714137</v>
      </c>
      <c r="M74" s="11">
        <v>1604726.6654999999</v>
      </c>
      <c r="N74" s="11">
        <v>1781535</v>
      </c>
      <c r="O74" s="11">
        <v>991411</v>
      </c>
      <c r="P74" s="11">
        <v>1377203</v>
      </c>
      <c r="Q74" s="11">
        <v>1186637</v>
      </c>
      <c r="R74" s="11">
        <v>2029710</v>
      </c>
      <c r="S74" s="11">
        <v>3237539</v>
      </c>
      <c r="T74" s="12">
        <v>5</v>
      </c>
      <c r="U74" s="12">
        <v>9</v>
      </c>
      <c r="V74" s="12">
        <v>8</v>
      </c>
      <c r="W74" s="12">
        <v>6</v>
      </c>
      <c r="X74" s="12">
        <v>7</v>
      </c>
      <c r="Y74" s="12">
        <v>6</v>
      </c>
      <c r="Z74" s="12">
        <v>7</v>
      </c>
      <c r="AA74" s="12">
        <v>5</v>
      </c>
      <c r="AB74" s="12">
        <v>6</v>
      </c>
      <c r="AC74" s="12">
        <v>10</v>
      </c>
      <c r="AD74" s="12">
        <v>10</v>
      </c>
      <c r="AE74" s="12">
        <v>7</v>
      </c>
      <c r="AF74" s="12">
        <v>16</v>
      </c>
      <c r="AG74" s="12">
        <v>9</v>
      </c>
      <c r="AH74" s="12">
        <v>16</v>
      </c>
      <c r="AI74" s="12">
        <v>9</v>
      </c>
      <c r="AJ74" s="13">
        <v>5</v>
      </c>
      <c r="AK74" s="13">
        <v>9</v>
      </c>
      <c r="AL74" s="13">
        <v>8</v>
      </c>
      <c r="AM74" s="13">
        <v>6</v>
      </c>
      <c r="AN74" s="13">
        <v>7</v>
      </c>
      <c r="AO74" s="13">
        <v>6</v>
      </c>
      <c r="AP74" s="13">
        <v>7</v>
      </c>
      <c r="AQ74" s="13">
        <v>5</v>
      </c>
      <c r="AR74" s="13">
        <v>6</v>
      </c>
      <c r="AS74" s="13">
        <v>7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/>
      <c r="AZ74" s="329">
        <f t="shared" si="30"/>
        <v>110455.42504</v>
      </c>
      <c r="BA74" s="329">
        <f t="shared" si="31"/>
        <v>131832.3577777778</v>
      </c>
      <c r="BB74" s="329">
        <f t="shared" si="32"/>
        <v>171738.39962499999</v>
      </c>
      <c r="BC74" s="329">
        <f t="shared" si="33"/>
        <v>155142.42903333335</v>
      </c>
      <c r="BD74" s="329">
        <f t="shared" si="34"/>
        <v>172853.46057142859</v>
      </c>
      <c r="BE74" s="329">
        <f t="shared" si="35"/>
        <v>206666.66666666666</v>
      </c>
      <c r="BF74" s="329">
        <f t="shared" si="36"/>
        <v>168288.79399999999</v>
      </c>
      <c r="BG74" s="329">
        <f t="shared" si="37"/>
        <v>182739.6</v>
      </c>
      <c r="BH74" s="329">
        <f t="shared" si="38"/>
        <v>285689.5</v>
      </c>
      <c r="BI74" s="329">
        <f t="shared" si="39"/>
        <v>160472.66654999999</v>
      </c>
      <c r="BJ74" s="329">
        <f t="shared" si="40"/>
        <v>178153.5</v>
      </c>
      <c r="BK74" s="329">
        <f t="shared" si="41"/>
        <v>141630.14285714287</v>
      </c>
      <c r="BL74" s="329">
        <f t="shared" si="42"/>
        <v>86075.1875</v>
      </c>
      <c r="BM74" s="329">
        <f t="shared" si="43"/>
        <v>131848.55555555556</v>
      </c>
      <c r="BN74" s="329">
        <f t="shared" si="44"/>
        <v>126856.875</v>
      </c>
      <c r="BO74" s="329">
        <f t="shared" si="45"/>
        <v>359726.55555555556</v>
      </c>
      <c r="BP74" t="s">
        <v>138</v>
      </c>
    </row>
    <row r="75" spans="1:68" x14ac:dyDescent="0.25">
      <c r="A75" s="10" t="s">
        <v>161</v>
      </c>
      <c r="B75" s="10"/>
      <c r="C75" s="10" t="s">
        <v>162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 t="s">
        <v>38</v>
      </c>
      <c r="P75" s="11">
        <v>0</v>
      </c>
      <c r="Q75" s="11" t="s">
        <v>38</v>
      </c>
      <c r="R75" s="11" t="s">
        <v>38</v>
      </c>
      <c r="S75" s="11" t="s">
        <v>38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 t="s">
        <v>38</v>
      </c>
      <c r="AH75" s="12" t="s">
        <v>38</v>
      </c>
      <c r="AI75" s="12" t="s">
        <v>38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/>
      <c r="AZ75" s="329" t="str">
        <f t="shared" si="30"/>
        <v/>
      </c>
      <c r="BA75" s="329" t="str">
        <f t="shared" si="31"/>
        <v/>
      </c>
      <c r="BB75" s="329" t="str">
        <f t="shared" si="32"/>
        <v/>
      </c>
      <c r="BC75" s="329" t="str">
        <f t="shared" si="33"/>
        <v/>
      </c>
      <c r="BD75" s="329" t="str">
        <f t="shared" si="34"/>
        <v/>
      </c>
      <c r="BE75" s="329" t="str">
        <f t="shared" si="35"/>
        <v/>
      </c>
      <c r="BF75" s="329" t="str">
        <f t="shared" si="36"/>
        <v/>
      </c>
      <c r="BG75" s="329" t="str">
        <f t="shared" si="37"/>
        <v/>
      </c>
      <c r="BH75" s="329" t="str">
        <f t="shared" si="38"/>
        <v/>
      </c>
      <c r="BI75" s="329" t="str">
        <f t="shared" si="39"/>
        <v/>
      </c>
      <c r="BJ75" s="329" t="str">
        <f t="shared" si="40"/>
        <v/>
      </c>
      <c r="BK75" s="329" t="str">
        <f t="shared" si="41"/>
        <v/>
      </c>
      <c r="BL75" s="329" t="str">
        <f t="shared" si="42"/>
        <v/>
      </c>
      <c r="BM75" s="329" t="str">
        <f t="shared" si="43"/>
        <v/>
      </c>
      <c r="BN75" s="329" t="str">
        <f t="shared" si="44"/>
        <v/>
      </c>
      <c r="BO75" s="329" t="str">
        <f t="shared" si="45"/>
        <v/>
      </c>
      <c r="BP75" t="s">
        <v>138</v>
      </c>
    </row>
    <row r="76" spans="1:68" x14ac:dyDescent="0.25">
      <c r="A76" s="10" t="s">
        <v>163</v>
      </c>
      <c r="B76" s="10"/>
      <c r="C76" s="10" t="s">
        <v>164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3797</v>
      </c>
      <c r="O76" s="11" t="s">
        <v>38</v>
      </c>
      <c r="P76" s="11">
        <v>0</v>
      </c>
      <c r="Q76" s="11" t="s">
        <v>38</v>
      </c>
      <c r="R76" s="11" t="s">
        <v>38</v>
      </c>
      <c r="S76" s="11" t="s">
        <v>38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 t="s">
        <v>38</v>
      </c>
      <c r="AH76" s="12" t="s">
        <v>38</v>
      </c>
      <c r="AI76" s="12" t="s">
        <v>38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/>
      <c r="AZ76" s="329" t="str">
        <f t="shared" si="30"/>
        <v/>
      </c>
      <c r="BA76" s="329" t="str">
        <f t="shared" si="31"/>
        <v/>
      </c>
      <c r="BB76" s="329" t="str">
        <f t="shared" si="32"/>
        <v/>
      </c>
      <c r="BC76" s="329" t="str">
        <f t="shared" si="33"/>
        <v/>
      </c>
      <c r="BD76" s="329" t="str">
        <f t="shared" si="34"/>
        <v/>
      </c>
      <c r="BE76" s="329" t="str">
        <f t="shared" si="35"/>
        <v/>
      </c>
      <c r="BF76" s="329" t="str">
        <f t="shared" si="36"/>
        <v/>
      </c>
      <c r="BG76" s="329" t="str">
        <f t="shared" si="37"/>
        <v/>
      </c>
      <c r="BH76" s="329" t="str">
        <f t="shared" si="38"/>
        <v/>
      </c>
      <c r="BI76" s="329" t="str">
        <f t="shared" si="39"/>
        <v/>
      </c>
      <c r="BJ76" s="329" t="str">
        <f t="shared" si="40"/>
        <v/>
      </c>
      <c r="BK76" s="329" t="str">
        <f t="shared" si="41"/>
        <v/>
      </c>
      <c r="BL76" s="329" t="str">
        <f t="shared" si="42"/>
        <v/>
      </c>
      <c r="BM76" s="329" t="str">
        <f t="shared" si="43"/>
        <v/>
      </c>
      <c r="BN76" s="329" t="str">
        <f t="shared" si="44"/>
        <v/>
      </c>
      <c r="BO76" s="329" t="str">
        <f t="shared" si="45"/>
        <v/>
      </c>
      <c r="BP76" t="s">
        <v>138</v>
      </c>
    </row>
    <row r="77" spans="1:68" x14ac:dyDescent="0.25">
      <c r="A77" s="10" t="s">
        <v>165</v>
      </c>
      <c r="B77" s="10"/>
      <c r="C77" s="10" t="s">
        <v>166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 t="s">
        <v>38</v>
      </c>
      <c r="P77" s="11">
        <v>0</v>
      </c>
      <c r="Q77" s="11" t="s">
        <v>38</v>
      </c>
      <c r="R77" s="11" t="s">
        <v>38</v>
      </c>
      <c r="S77" s="11" t="s">
        <v>38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 t="s">
        <v>38</v>
      </c>
      <c r="AH77" s="12" t="s">
        <v>38</v>
      </c>
      <c r="AI77" s="12" t="s">
        <v>38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2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/>
      <c r="AZ77" s="329" t="str">
        <f t="shared" si="30"/>
        <v/>
      </c>
      <c r="BA77" s="329" t="str">
        <f t="shared" si="31"/>
        <v/>
      </c>
      <c r="BB77" s="329" t="str">
        <f t="shared" si="32"/>
        <v/>
      </c>
      <c r="BC77" s="329" t="str">
        <f t="shared" si="33"/>
        <v/>
      </c>
      <c r="BD77" s="329" t="str">
        <f t="shared" si="34"/>
        <v/>
      </c>
      <c r="BE77" s="329" t="str">
        <f t="shared" si="35"/>
        <v/>
      </c>
      <c r="BF77" s="329" t="str">
        <f t="shared" si="36"/>
        <v/>
      </c>
      <c r="BG77" s="329" t="str">
        <f t="shared" si="37"/>
        <v/>
      </c>
      <c r="BH77" s="329" t="str">
        <f t="shared" si="38"/>
        <v/>
      </c>
      <c r="BI77" s="329" t="str">
        <f t="shared" si="39"/>
        <v/>
      </c>
      <c r="BJ77" s="329" t="str">
        <f t="shared" si="40"/>
        <v/>
      </c>
      <c r="BK77" s="329" t="str">
        <f t="shared" si="41"/>
        <v/>
      </c>
      <c r="BL77" s="329" t="str">
        <f t="shared" si="42"/>
        <v/>
      </c>
      <c r="BM77" s="329" t="str">
        <f t="shared" si="43"/>
        <v/>
      </c>
      <c r="BN77" s="329" t="str">
        <f t="shared" si="44"/>
        <v/>
      </c>
      <c r="BO77" s="329" t="str">
        <f t="shared" si="45"/>
        <v/>
      </c>
      <c r="BP77" t="s">
        <v>138</v>
      </c>
    </row>
    <row r="78" spans="1:68" x14ac:dyDescent="0.25">
      <c r="A78" s="10" t="s">
        <v>167</v>
      </c>
      <c r="B78" s="10"/>
      <c r="C78" s="10" t="s">
        <v>168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 t="s">
        <v>38</v>
      </c>
      <c r="P78" s="11">
        <v>0</v>
      </c>
      <c r="Q78" s="11" t="s">
        <v>38</v>
      </c>
      <c r="R78" s="11" t="s">
        <v>38</v>
      </c>
      <c r="S78" s="11" t="s">
        <v>38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 t="s">
        <v>38</v>
      </c>
      <c r="AH78" s="12" t="s">
        <v>38</v>
      </c>
      <c r="AI78" s="12" t="s">
        <v>38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/>
      <c r="AZ78" s="329" t="str">
        <f t="shared" si="30"/>
        <v/>
      </c>
      <c r="BA78" s="329" t="str">
        <f t="shared" si="31"/>
        <v/>
      </c>
      <c r="BB78" s="329" t="str">
        <f t="shared" si="32"/>
        <v/>
      </c>
      <c r="BC78" s="329" t="str">
        <f t="shared" si="33"/>
        <v/>
      </c>
      <c r="BD78" s="329" t="str">
        <f t="shared" si="34"/>
        <v/>
      </c>
      <c r="BE78" s="329" t="str">
        <f t="shared" si="35"/>
        <v/>
      </c>
      <c r="BF78" s="329" t="str">
        <f t="shared" si="36"/>
        <v/>
      </c>
      <c r="BG78" s="329" t="str">
        <f t="shared" si="37"/>
        <v/>
      </c>
      <c r="BH78" s="329" t="str">
        <f t="shared" si="38"/>
        <v/>
      </c>
      <c r="BI78" s="329" t="str">
        <f t="shared" si="39"/>
        <v/>
      </c>
      <c r="BJ78" s="329" t="str">
        <f t="shared" si="40"/>
        <v/>
      </c>
      <c r="BK78" s="329" t="str">
        <f t="shared" si="41"/>
        <v/>
      </c>
      <c r="BL78" s="329" t="str">
        <f t="shared" si="42"/>
        <v/>
      </c>
      <c r="BM78" s="329" t="str">
        <f t="shared" si="43"/>
        <v/>
      </c>
      <c r="BN78" s="329" t="str">
        <f t="shared" si="44"/>
        <v/>
      </c>
      <c r="BO78" s="329" t="str">
        <f t="shared" si="45"/>
        <v/>
      </c>
      <c r="BP78" t="s">
        <v>138</v>
      </c>
    </row>
    <row r="79" spans="1:68" x14ac:dyDescent="0.25">
      <c r="A79" s="10" t="s">
        <v>169</v>
      </c>
      <c r="B79" s="10"/>
      <c r="C79" s="10" t="s">
        <v>170</v>
      </c>
      <c r="D79" s="11">
        <v>115844.56</v>
      </c>
      <c r="E79" s="11">
        <v>0</v>
      </c>
      <c r="F79" s="11">
        <v>190944.63320000001</v>
      </c>
      <c r="G79" s="11">
        <v>0</v>
      </c>
      <c r="H79" s="11">
        <v>182207.73059999998</v>
      </c>
      <c r="I79" s="11">
        <v>0</v>
      </c>
      <c r="J79" s="11">
        <v>0</v>
      </c>
      <c r="K79" s="11">
        <v>272447</v>
      </c>
      <c r="L79" s="11">
        <v>126687</v>
      </c>
      <c r="M79" s="11">
        <v>136402.7101</v>
      </c>
      <c r="N79" s="11">
        <v>214218</v>
      </c>
      <c r="O79" s="11">
        <v>198749</v>
      </c>
      <c r="P79" s="11">
        <v>107753</v>
      </c>
      <c r="Q79" s="11">
        <v>52430</v>
      </c>
      <c r="R79" s="11">
        <v>95340</v>
      </c>
      <c r="S79" s="11">
        <v>1005</v>
      </c>
      <c r="T79" s="12">
        <v>2</v>
      </c>
      <c r="U79" s="12">
        <v>0</v>
      </c>
      <c r="V79" s="12">
        <v>2</v>
      </c>
      <c r="W79" s="12">
        <v>0</v>
      </c>
      <c r="X79" s="12">
        <v>2</v>
      </c>
      <c r="Y79" s="12">
        <v>0</v>
      </c>
      <c r="Z79" s="12">
        <v>0</v>
      </c>
      <c r="AA79" s="12">
        <v>3</v>
      </c>
      <c r="AB79" s="12">
        <v>1</v>
      </c>
      <c r="AC79" s="12">
        <v>1</v>
      </c>
      <c r="AD79" s="12">
        <v>0</v>
      </c>
      <c r="AE79" s="12">
        <v>0</v>
      </c>
      <c r="AF79" s="12">
        <v>2</v>
      </c>
      <c r="AG79" s="12">
        <v>1</v>
      </c>
      <c r="AH79" s="12">
        <v>3</v>
      </c>
      <c r="AI79" s="12">
        <v>1</v>
      </c>
      <c r="AJ79" s="13">
        <v>2</v>
      </c>
      <c r="AK79" s="13">
        <v>0</v>
      </c>
      <c r="AL79" s="13">
        <v>2</v>
      </c>
      <c r="AM79" s="13">
        <v>0</v>
      </c>
      <c r="AN79" s="13">
        <v>2</v>
      </c>
      <c r="AO79" s="13">
        <v>0</v>
      </c>
      <c r="AP79" s="13">
        <v>0</v>
      </c>
      <c r="AQ79" s="13">
        <v>3</v>
      </c>
      <c r="AR79" s="13">
        <v>1</v>
      </c>
      <c r="AS79" s="13"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3</v>
      </c>
      <c r="AY79" s="13"/>
      <c r="AZ79" s="329">
        <f t="shared" si="30"/>
        <v>57922.28</v>
      </c>
      <c r="BA79" s="329" t="str">
        <f t="shared" si="31"/>
        <v/>
      </c>
      <c r="BB79" s="329">
        <f t="shared" si="32"/>
        <v>95472.316600000006</v>
      </c>
      <c r="BC79" s="329" t="str">
        <f t="shared" si="33"/>
        <v/>
      </c>
      <c r="BD79" s="329">
        <f t="shared" si="34"/>
        <v>91103.86529999999</v>
      </c>
      <c r="BE79" s="329" t="str">
        <f t="shared" si="35"/>
        <v/>
      </c>
      <c r="BF79" s="329" t="str">
        <f t="shared" si="36"/>
        <v/>
      </c>
      <c r="BG79" s="329">
        <f t="shared" si="37"/>
        <v>90815.666666666672</v>
      </c>
      <c r="BH79" s="329">
        <f t="shared" si="38"/>
        <v>126687</v>
      </c>
      <c r="BI79" s="329">
        <f t="shared" si="39"/>
        <v>136402.7101</v>
      </c>
      <c r="BJ79" s="329" t="str">
        <f t="shared" si="40"/>
        <v/>
      </c>
      <c r="BK79" s="329" t="str">
        <f t="shared" si="41"/>
        <v/>
      </c>
      <c r="BL79" s="329">
        <f t="shared" si="42"/>
        <v>53876.5</v>
      </c>
      <c r="BM79" s="329">
        <f t="shared" si="43"/>
        <v>52430</v>
      </c>
      <c r="BN79" s="329">
        <f t="shared" si="44"/>
        <v>31780</v>
      </c>
      <c r="BO79" s="329">
        <f t="shared" si="45"/>
        <v>1005</v>
      </c>
      <c r="BP79" t="s">
        <v>138</v>
      </c>
    </row>
    <row r="80" spans="1:68" x14ac:dyDescent="0.25">
      <c r="A80" s="10" t="s">
        <v>171</v>
      </c>
      <c r="B80" s="10"/>
      <c r="C80" s="10" t="s">
        <v>172</v>
      </c>
      <c r="D80" s="11">
        <v>786329.54470000009</v>
      </c>
      <c r="E80" s="11">
        <v>0</v>
      </c>
      <c r="F80" s="11">
        <v>224909.78240000003</v>
      </c>
      <c r="G80" s="11">
        <v>60724.811760000004</v>
      </c>
      <c r="H80" s="11">
        <v>1908528.9210000001</v>
      </c>
      <c r="I80" s="11">
        <v>0</v>
      </c>
      <c r="J80" s="11">
        <v>176508.09</v>
      </c>
      <c r="K80" s="11">
        <v>112256</v>
      </c>
      <c r="L80" s="11">
        <v>127084</v>
      </c>
      <c r="M80" s="11">
        <v>395576.95529999997</v>
      </c>
      <c r="N80" s="11">
        <v>430373</v>
      </c>
      <c r="O80" s="11">
        <v>637871</v>
      </c>
      <c r="P80" s="11">
        <v>33827</v>
      </c>
      <c r="Q80" s="11">
        <v>115967</v>
      </c>
      <c r="R80" s="11">
        <v>136859</v>
      </c>
      <c r="S80" s="11">
        <v>129122</v>
      </c>
      <c r="T80" s="12">
        <v>9</v>
      </c>
      <c r="U80" s="12">
        <v>0</v>
      </c>
      <c r="V80" s="12">
        <v>2</v>
      </c>
      <c r="W80" s="12">
        <v>1</v>
      </c>
      <c r="X80" s="12">
        <v>4</v>
      </c>
      <c r="Y80" s="12">
        <v>0</v>
      </c>
      <c r="Z80" s="12">
        <v>2</v>
      </c>
      <c r="AA80" s="12">
        <v>1</v>
      </c>
      <c r="AB80" s="12">
        <v>1</v>
      </c>
      <c r="AC80" s="12">
        <v>2</v>
      </c>
      <c r="AD80" s="12">
        <v>3</v>
      </c>
      <c r="AE80" s="12">
        <v>2</v>
      </c>
      <c r="AF80" s="12">
        <v>1</v>
      </c>
      <c r="AG80" s="12">
        <v>3</v>
      </c>
      <c r="AH80" s="12">
        <v>3</v>
      </c>
      <c r="AI80" s="12">
        <v>1</v>
      </c>
      <c r="AJ80" s="13">
        <v>10</v>
      </c>
      <c r="AK80" s="13">
        <v>0</v>
      </c>
      <c r="AL80" s="13">
        <v>2</v>
      </c>
      <c r="AM80" s="13">
        <v>1</v>
      </c>
      <c r="AN80" s="13">
        <v>2</v>
      </c>
      <c r="AO80" s="13">
        <v>0</v>
      </c>
      <c r="AP80" s="13">
        <v>9</v>
      </c>
      <c r="AQ80" s="13">
        <v>4</v>
      </c>
      <c r="AR80" s="13">
        <v>1</v>
      </c>
      <c r="AS80" s="13">
        <v>2</v>
      </c>
      <c r="AT80" s="13">
        <v>0</v>
      </c>
      <c r="AU80" s="13">
        <v>0</v>
      </c>
      <c r="AV80" s="13">
        <v>0</v>
      </c>
      <c r="AW80" s="13">
        <v>1</v>
      </c>
      <c r="AX80" s="13">
        <v>0</v>
      </c>
      <c r="AY80" s="13"/>
      <c r="AZ80" s="329">
        <f t="shared" si="30"/>
        <v>87369.949411111127</v>
      </c>
      <c r="BA80" s="329" t="str">
        <f t="shared" si="31"/>
        <v/>
      </c>
      <c r="BB80" s="329">
        <f t="shared" si="32"/>
        <v>112454.89120000001</v>
      </c>
      <c r="BC80" s="329">
        <f t="shared" si="33"/>
        <v>60724.811760000004</v>
      </c>
      <c r="BD80" s="329">
        <f t="shared" si="34"/>
        <v>477132.23025000002</v>
      </c>
      <c r="BE80" s="329" t="str">
        <f t="shared" si="35"/>
        <v/>
      </c>
      <c r="BF80" s="329">
        <f t="shared" si="36"/>
        <v>88254.044999999998</v>
      </c>
      <c r="BG80" s="329">
        <f t="shared" si="37"/>
        <v>112256</v>
      </c>
      <c r="BH80" s="329">
        <f t="shared" si="38"/>
        <v>127084</v>
      </c>
      <c r="BI80" s="329">
        <f t="shared" si="39"/>
        <v>197788.47764999999</v>
      </c>
      <c r="BJ80" s="329">
        <f t="shared" si="40"/>
        <v>143457.66666666666</v>
      </c>
      <c r="BK80" s="329">
        <f t="shared" si="41"/>
        <v>318935.5</v>
      </c>
      <c r="BL80" s="329">
        <f t="shared" si="42"/>
        <v>33827</v>
      </c>
      <c r="BM80" s="329">
        <f t="shared" si="43"/>
        <v>38655.666666666664</v>
      </c>
      <c r="BN80" s="329">
        <f t="shared" si="44"/>
        <v>45619.666666666664</v>
      </c>
      <c r="BO80" s="329">
        <f t="shared" si="45"/>
        <v>129122</v>
      </c>
      <c r="BP80" t="s">
        <v>138</v>
      </c>
    </row>
    <row r="81" spans="1:68" x14ac:dyDescent="0.25">
      <c r="A81" s="10" t="s">
        <v>173</v>
      </c>
      <c r="B81" s="10"/>
      <c r="C81" s="10" t="s">
        <v>174</v>
      </c>
      <c r="D81" s="11">
        <v>1433619.2799999998</v>
      </c>
      <c r="E81" s="11">
        <v>197257.9829</v>
      </c>
      <c r="F81" s="11">
        <v>733879.76699999999</v>
      </c>
      <c r="G81" s="11">
        <v>1876235.469</v>
      </c>
      <c r="H81" s="11">
        <v>3073772.4960000003</v>
      </c>
      <c r="I81" s="11">
        <v>2611000</v>
      </c>
      <c r="J81" s="11">
        <v>974322.12699999998</v>
      </c>
      <c r="K81" s="11">
        <v>224512</v>
      </c>
      <c r="L81" s="11">
        <v>896925</v>
      </c>
      <c r="M81" s="11">
        <v>560441.46860000002</v>
      </c>
      <c r="N81" s="11">
        <v>792234</v>
      </c>
      <c r="O81" s="11">
        <v>668791</v>
      </c>
      <c r="P81" s="11">
        <v>372348</v>
      </c>
      <c r="Q81" s="11">
        <v>82579</v>
      </c>
      <c r="R81" s="11">
        <v>1279128</v>
      </c>
      <c r="S81" s="11">
        <v>785694</v>
      </c>
      <c r="T81" s="12">
        <v>5</v>
      </c>
      <c r="U81" s="12">
        <v>3</v>
      </c>
      <c r="V81" s="12">
        <v>2</v>
      </c>
      <c r="W81" s="12">
        <v>3</v>
      </c>
      <c r="X81" s="12">
        <v>6</v>
      </c>
      <c r="Y81" s="12">
        <v>2</v>
      </c>
      <c r="Z81" s="12">
        <v>2</v>
      </c>
      <c r="AA81" s="12">
        <v>2</v>
      </c>
      <c r="AB81" s="12">
        <v>1</v>
      </c>
      <c r="AC81" s="12">
        <v>0</v>
      </c>
      <c r="AD81" s="12">
        <v>1</v>
      </c>
      <c r="AE81" s="12">
        <v>0</v>
      </c>
      <c r="AF81" s="12">
        <v>3</v>
      </c>
      <c r="AG81" s="12" t="s">
        <v>38</v>
      </c>
      <c r="AH81" s="12" t="s">
        <v>38</v>
      </c>
      <c r="AI81" s="12">
        <v>1</v>
      </c>
      <c r="AJ81" s="13">
        <v>8</v>
      </c>
      <c r="AK81" s="13">
        <v>5</v>
      </c>
      <c r="AL81" s="13">
        <v>12</v>
      </c>
      <c r="AM81" s="13">
        <v>11</v>
      </c>
      <c r="AN81" s="13">
        <v>13</v>
      </c>
      <c r="AO81" s="13">
        <v>22</v>
      </c>
      <c r="AP81" s="13">
        <v>34</v>
      </c>
      <c r="AQ81" s="13">
        <v>13</v>
      </c>
      <c r="AR81" s="13">
        <v>1</v>
      </c>
      <c r="AS81" s="13">
        <v>0</v>
      </c>
      <c r="AT81" s="13">
        <v>0</v>
      </c>
      <c r="AU81" s="13">
        <v>1</v>
      </c>
      <c r="AV81" s="13">
        <v>1</v>
      </c>
      <c r="AW81" s="13">
        <v>1</v>
      </c>
      <c r="AX81" s="13">
        <v>1</v>
      </c>
      <c r="AY81" s="13"/>
      <c r="AZ81" s="329">
        <f t="shared" si="30"/>
        <v>286723.85599999997</v>
      </c>
      <c r="BA81" s="329">
        <f t="shared" si="31"/>
        <v>65752.660966666663</v>
      </c>
      <c r="BB81" s="329">
        <f t="shared" si="32"/>
        <v>366939.8835</v>
      </c>
      <c r="BC81" s="329">
        <f t="shared" si="33"/>
        <v>625411.82299999997</v>
      </c>
      <c r="BD81" s="329">
        <f t="shared" si="34"/>
        <v>512295.41600000003</v>
      </c>
      <c r="BE81" s="329">
        <f t="shared" si="35"/>
        <v>1305500</v>
      </c>
      <c r="BF81" s="329">
        <f t="shared" si="36"/>
        <v>487161.06349999999</v>
      </c>
      <c r="BG81" s="329">
        <f t="shared" si="37"/>
        <v>112256</v>
      </c>
      <c r="BH81" s="329">
        <f t="shared" si="38"/>
        <v>896925</v>
      </c>
      <c r="BI81" s="329" t="str">
        <f t="shared" si="39"/>
        <v/>
      </c>
      <c r="BJ81" s="329">
        <f t="shared" si="40"/>
        <v>792234</v>
      </c>
      <c r="BK81" s="329" t="str">
        <f t="shared" si="41"/>
        <v/>
      </c>
      <c r="BL81" s="329">
        <f t="shared" si="42"/>
        <v>124116</v>
      </c>
      <c r="BM81" s="329" t="str">
        <f t="shared" si="43"/>
        <v/>
      </c>
      <c r="BN81" s="329" t="str">
        <f t="shared" si="44"/>
        <v/>
      </c>
      <c r="BO81" s="329">
        <f t="shared" si="45"/>
        <v>785694</v>
      </c>
      <c r="BP81" t="s">
        <v>138</v>
      </c>
    </row>
    <row r="82" spans="1:68" x14ac:dyDescent="0.25">
      <c r="A82" s="10" t="s">
        <v>175</v>
      </c>
      <c r="B82" s="10"/>
      <c r="C82" s="10" t="s">
        <v>176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1123656</v>
      </c>
      <c r="L82" s="11">
        <v>1339204</v>
      </c>
      <c r="M82" s="11">
        <v>3319395.9076</v>
      </c>
      <c r="N82" s="11">
        <v>1619648</v>
      </c>
      <c r="O82" s="11">
        <v>1610665</v>
      </c>
      <c r="P82" s="11">
        <v>646190</v>
      </c>
      <c r="Q82" s="11">
        <v>687364</v>
      </c>
      <c r="R82" s="11">
        <v>809356</v>
      </c>
      <c r="S82" s="11">
        <v>1851757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1</v>
      </c>
      <c r="AB82" s="12">
        <v>1</v>
      </c>
      <c r="AC82" s="12">
        <v>0</v>
      </c>
      <c r="AD82" s="12">
        <v>0</v>
      </c>
      <c r="AE82" s="12">
        <v>0</v>
      </c>
      <c r="AF82" s="12">
        <v>0</v>
      </c>
      <c r="AG82" s="12">
        <v>2</v>
      </c>
      <c r="AH82" s="12" t="s">
        <v>38</v>
      </c>
      <c r="AI82" s="12" t="s">
        <v>38</v>
      </c>
      <c r="AJ82" s="13">
        <v>1</v>
      </c>
      <c r="AK82" s="13">
        <v>0</v>
      </c>
      <c r="AL82" s="13">
        <v>1</v>
      </c>
      <c r="AM82" s="13">
        <v>1</v>
      </c>
      <c r="AN82" s="13">
        <v>1</v>
      </c>
      <c r="AO82" s="13">
        <v>3</v>
      </c>
      <c r="AP82" s="13">
        <v>5</v>
      </c>
      <c r="AQ82" s="13">
        <v>2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/>
      <c r="AZ82" s="329" t="str">
        <f t="shared" si="30"/>
        <v/>
      </c>
      <c r="BA82" s="329" t="str">
        <f t="shared" si="31"/>
        <v/>
      </c>
      <c r="BB82" s="329" t="str">
        <f t="shared" si="32"/>
        <v/>
      </c>
      <c r="BC82" s="329" t="str">
        <f t="shared" si="33"/>
        <v/>
      </c>
      <c r="BD82" s="329" t="str">
        <f t="shared" si="34"/>
        <v/>
      </c>
      <c r="BE82" s="329" t="str">
        <f t="shared" si="35"/>
        <v/>
      </c>
      <c r="BF82" s="329" t="str">
        <f t="shared" si="36"/>
        <v/>
      </c>
      <c r="BG82" s="329">
        <f t="shared" si="37"/>
        <v>1123656</v>
      </c>
      <c r="BH82" s="329">
        <f t="shared" si="38"/>
        <v>1339204</v>
      </c>
      <c r="BI82" s="329" t="str">
        <f t="shared" si="39"/>
        <v/>
      </c>
      <c r="BJ82" s="329" t="str">
        <f t="shared" si="40"/>
        <v/>
      </c>
      <c r="BK82" s="329" t="str">
        <f t="shared" si="41"/>
        <v/>
      </c>
      <c r="BL82" s="329" t="str">
        <f t="shared" si="42"/>
        <v/>
      </c>
      <c r="BM82" s="329">
        <f t="shared" si="43"/>
        <v>343682</v>
      </c>
      <c r="BN82" s="329" t="str">
        <f t="shared" si="44"/>
        <v/>
      </c>
      <c r="BO82" s="329" t="str">
        <f t="shared" si="45"/>
        <v/>
      </c>
      <c r="BP82" t="s">
        <v>138</v>
      </c>
    </row>
    <row r="83" spans="1:68" x14ac:dyDescent="0.25">
      <c r="A83" s="10" t="s">
        <v>177</v>
      </c>
      <c r="B83" s="10"/>
      <c r="C83" s="10" t="s">
        <v>178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 t="s">
        <v>38</v>
      </c>
      <c r="P83" s="11">
        <v>0</v>
      </c>
      <c r="Q83" s="11" t="s">
        <v>38</v>
      </c>
      <c r="R83" s="11" t="s">
        <v>38</v>
      </c>
      <c r="S83" s="11">
        <v>37728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 t="s">
        <v>38</v>
      </c>
      <c r="AH83" s="12" t="s">
        <v>38</v>
      </c>
      <c r="AI83" s="12" t="s">
        <v>38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/>
      <c r="AZ83" s="329" t="str">
        <f t="shared" si="30"/>
        <v/>
      </c>
      <c r="BA83" s="329" t="str">
        <f t="shared" si="31"/>
        <v/>
      </c>
      <c r="BB83" s="329" t="str">
        <f t="shared" si="32"/>
        <v/>
      </c>
      <c r="BC83" s="329" t="str">
        <f t="shared" si="33"/>
        <v/>
      </c>
      <c r="BD83" s="329" t="str">
        <f t="shared" si="34"/>
        <v/>
      </c>
      <c r="BE83" s="329" t="str">
        <f t="shared" si="35"/>
        <v/>
      </c>
      <c r="BF83" s="329" t="str">
        <f t="shared" si="36"/>
        <v/>
      </c>
      <c r="BG83" s="329" t="str">
        <f t="shared" si="37"/>
        <v/>
      </c>
      <c r="BH83" s="329" t="str">
        <f t="shared" si="38"/>
        <v/>
      </c>
      <c r="BI83" s="329" t="str">
        <f t="shared" si="39"/>
        <v/>
      </c>
      <c r="BJ83" s="329" t="str">
        <f t="shared" si="40"/>
        <v/>
      </c>
      <c r="BK83" s="329" t="str">
        <f t="shared" si="41"/>
        <v/>
      </c>
      <c r="BL83" s="329" t="str">
        <f t="shared" si="42"/>
        <v/>
      </c>
      <c r="BM83" s="329" t="str">
        <f t="shared" si="43"/>
        <v/>
      </c>
      <c r="BN83" s="329" t="str">
        <f t="shared" si="44"/>
        <v/>
      </c>
      <c r="BO83" s="329" t="str">
        <f t="shared" si="45"/>
        <v/>
      </c>
      <c r="BP83" t="s">
        <v>138</v>
      </c>
    </row>
    <row r="84" spans="1:68" x14ac:dyDescent="0.25">
      <c r="A84" s="10" t="s">
        <v>179</v>
      </c>
      <c r="B84" s="10"/>
      <c r="C84" s="10" t="s">
        <v>180</v>
      </c>
      <c r="D84" s="11">
        <v>0</v>
      </c>
      <c r="E84" s="11">
        <v>2570787.2059999998</v>
      </c>
      <c r="F84" s="11">
        <v>729463.40480000002</v>
      </c>
      <c r="G84" s="11">
        <v>0</v>
      </c>
      <c r="H84" s="11">
        <v>877510.25589999999</v>
      </c>
      <c r="I84" s="11">
        <v>3211000</v>
      </c>
      <c r="J84" s="11">
        <v>886068.08200000005</v>
      </c>
      <c r="K84" s="11">
        <v>887240</v>
      </c>
      <c r="L84" s="11">
        <v>0</v>
      </c>
      <c r="M84" s="11">
        <v>479023.01449999999</v>
      </c>
      <c r="N84" s="11">
        <v>2107961</v>
      </c>
      <c r="O84" s="11">
        <v>5901761</v>
      </c>
      <c r="P84" s="11">
        <v>1976173</v>
      </c>
      <c r="Q84" s="11">
        <v>1176869</v>
      </c>
      <c r="R84" s="11">
        <v>781049</v>
      </c>
      <c r="S84" s="11">
        <v>1916676</v>
      </c>
      <c r="T84" s="12">
        <v>0</v>
      </c>
      <c r="U84" s="12">
        <v>2</v>
      </c>
      <c r="V84" s="12">
        <v>1</v>
      </c>
      <c r="W84" s="12">
        <v>0</v>
      </c>
      <c r="X84" s="12">
        <v>1</v>
      </c>
      <c r="Y84" s="12">
        <v>2</v>
      </c>
      <c r="Z84" s="12">
        <v>1</v>
      </c>
      <c r="AA84" s="12">
        <v>1</v>
      </c>
      <c r="AB84" s="12">
        <v>0</v>
      </c>
      <c r="AC84" s="12">
        <v>0</v>
      </c>
      <c r="AD84" s="12">
        <v>0</v>
      </c>
      <c r="AE84" s="12">
        <v>0</v>
      </c>
      <c r="AF84" s="12">
        <v>1</v>
      </c>
      <c r="AG84" s="12">
        <v>3</v>
      </c>
      <c r="AH84" s="12">
        <v>3</v>
      </c>
      <c r="AI84" s="12" t="s">
        <v>38</v>
      </c>
      <c r="AJ84" s="13">
        <v>10</v>
      </c>
      <c r="AK84" s="13">
        <v>16</v>
      </c>
      <c r="AL84" s="13">
        <v>18</v>
      </c>
      <c r="AM84" s="13">
        <v>15</v>
      </c>
      <c r="AN84" s="13">
        <v>26</v>
      </c>
      <c r="AO84" s="13">
        <v>50</v>
      </c>
      <c r="AP84" s="13">
        <v>33</v>
      </c>
      <c r="AQ84" s="13">
        <v>28</v>
      </c>
      <c r="AR84" s="13">
        <v>45</v>
      </c>
      <c r="AS84" s="13">
        <v>0</v>
      </c>
      <c r="AT84" s="13">
        <v>0</v>
      </c>
      <c r="AU84" s="13">
        <v>0</v>
      </c>
      <c r="AV84" s="13">
        <v>0</v>
      </c>
      <c r="AW84" s="13">
        <v>1</v>
      </c>
      <c r="AX84" s="13">
        <v>3</v>
      </c>
      <c r="AY84" s="13"/>
      <c r="AZ84" s="329" t="str">
        <f t="shared" si="30"/>
        <v/>
      </c>
      <c r="BA84" s="329">
        <f t="shared" si="31"/>
        <v>1285393.6029999999</v>
      </c>
      <c r="BB84" s="329">
        <f t="shared" si="32"/>
        <v>729463.40480000002</v>
      </c>
      <c r="BC84" s="329" t="str">
        <f t="shared" si="33"/>
        <v/>
      </c>
      <c r="BD84" s="329">
        <f t="shared" si="34"/>
        <v>877510.25589999999</v>
      </c>
      <c r="BE84" s="329">
        <f t="shared" si="35"/>
        <v>1605500</v>
      </c>
      <c r="BF84" s="329">
        <f t="shared" si="36"/>
        <v>886068.08200000005</v>
      </c>
      <c r="BG84" s="329">
        <f t="shared" si="37"/>
        <v>887240</v>
      </c>
      <c r="BH84" s="329" t="str">
        <f t="shared" si="38"/>
        <v/>
      </c>
      <c r="BI84" s="329" t="str">
        <f t="shared" si="39"/>
        <v/>
      </c>
      <c r="BJ84" s="329" t="str">
        <f t="shared" si="40"/>
        <v/>
      </c>
      <c r="BK84" s="329" t="str">
        <f t="shared" si="41"/>
        <v/>
      </c>
      <c r="BL84" s="329">
        <f t="shared" si="42"/>
        <v>1976173</v>
      </c>
      <c r="BM84" s="329">
        <f t="shared" si="43"/>
        <v>392289.66666666669</v>
      </c>
      <c r="BN84" s="329">
        <f t="shared" si="44"/>
        <v>260349.66666666666</v>
      </c>
      <c r="BO84" s="329" t="str">
        <f t="shared" si="45"/>
        <v/>
      </c>
      <c r="BP84" t="s">
        <v>138</v>
      </c>
    </row>
    <row r="85" spans="1:68" x14ac:dyDescent="0.25">
      <c r="A85" s="10" t="s">
        <v>181</v>
      </c>
      <c r="B85" s="10"/>
      <c r="C85" s="10" t="s">
        <v>182</v>
      </c>
      <c r="D85" s="11">
        <v>2064204.7919999999</v>
      </c>
      <c r="E85" s="11">
        <v>3643319.6809999999</v>
      </c>
      <c r="F85" s="11">
        <v>0</v>
      </c>
      <c r="G85" s="11">
        <v>0</v>
      </c>
      <c r="H85" s="11">
        <v>0</v>
      </c>
      <c r="I85" s="11">
        <v>0</v>
      </c>
      <c r="J85" s="11">
        <v>3519755.8539999998</v>
      </c>
      <c r="K85" s="11">
        <v>0</v>
      </c>
      <c r="L85" s="11">
        <v>1339204</v>
      </c>
      <c r="M85" s="11">
        <v>7510.4195</v>
      </c>
      <c r="N85" s="11">
        <v>237285</v>
      </c>
      <c r="O85" s="11">
        <v>359311</v>
      </c>
      <c r="P85" s="11">
        <v>1730260</v>
      </c>
      <c r="Q85" s="11">
        <v>2005192</v>
      </c>
      <c r="R85" s="11">
        <v>4118838</v>
      </c>
      <c r="S85" s="11">
        <v>4559251</v>
      </c>
      <c r="T85" s="12">
        <v>1</v>
      </c>
      <c r="U85" s="12">
        <v>2</v>
      </c>
      <c r="V85" s="12">
        <v>0</v>
      </c>
      <c r="W85" s="12">
        <v>0</v>
      </c>
      <c r="X85" s="12">
        <v>0</v>
      </c>
      <c r="Y85" s="12">
        <v>0</v>
      </c>
      <c r="Z85" s="12">
        <v>3</v>
      </c>
      <c r="AA85" s="12">
        <v>0</v>
      </c>
      <c r="AB85" s="12">
        <v>1</v>
      </c>
      <c r="AC85" s="12">
        <v>0</v>
      </c>
      <c r="AD85" s="12">
        <v>0</v>
      </c>
      <c r="AE85" s="12">
        <v>0</v>
      </c>
      <c r="AF85" s="12">
        <v>0</v>
      </c>
      <c r="AG85" s="12">
        <v>2</v>
      </c>
      <c r="AH85" s="12">
        <v>1</v>
      </c>
      <c r="AI85" s="12" t="s">
        <v>38</v>
      </c>
      <c r="AJ85" s="13">
        <v>6</v>
      </c>
      <c r="AK85" s="13">
        <v>4</v>
      </c>
      <c r="AL85" s="13">
        <v>12</v>
      </c>
      <c r="AM85" s="13">
        <v>13</v>
      </c>
      <c r="AN85" s="13">
        <v>6</v>
      </c>
      <c r="AO85" s="13">
        <v>19</v>
      </c>
      <c r="AP85" s="13">
        <v>12</v>
      </c>
      <c r="AQ85" s="13">
        <v>5</v>
      </c>
      <c r="AR85" s="13">
        <v>12</v>
      </c>
      <c r="AS85" s="13">
        <v>0</v>
      </c>
      <c r="AT85" s="13">
        <v>0</v>
      </c>
      <c r="AU85" s="13">
        <v>0</v>
      </c>
      <c r="AV85" s="13">
        <v>0</v>
      </c>
      <c r="AW85" s="13">
        <v>1</v>
      </c>
      <c r="AX85" s="13">
        <v>1</v>
      </c>
      <c r="AY85" s="13"/>
      <c r="AZ85" s="329">
        <f t="shared" si="30"/>
        <v>2064204.7919999999</v>
      </c>
      <c r="BA85" s="329">
        <f t="shared" si="31"/>
        <v>1821659.8404999999</v>
      </c>
      <c r="BB85" s="329" t="str">
        <f t="shared" si="32"/>
        <v/>
      </c>
      <c r="BC85" s="329" t="str">
        <f t="shared" si="33"/>
        <v/>
      </c>
      <c r="BD85" s="329" t="str">
        <f t="shared" si="34"/>
        <v/>
      </c>
      <c r="BE85" s="329" t="str">
        <f t="shared" si="35"/>
        <v/>
      </c>
      <c r="BF85" s="329">
        <f t="shared" si="36"/>
        <v>1173251.9513333333</v>
      </c>
      <c r="BG85" s="329" t="str">
        <f t="shared" si="37"/>
        <v/>
      </c>
      <c r="BH85" s="329">
        <f t="shared" si="38"/>
        <v>1339204</v>
      </c>
      <c r="BI85" s="329" t="str">
        <f t="shared" si="39"/>
        <v/>
      </c>
      <c r="BJ85" s="329" t="str">
        <f t="shared" si="40"/>
        <v/>
      </c>
      <c r="BK85" s="329" t="str">
        <f t="shared" si="41"/>
        <v/>
      </c>
      <c r="BL85" s="329" t="str">
        <f t="shared" si="42"/>
        <v/>
      </c>
      <c r="BM85" s="329">
        <f t="shared" si="43"/>
        <v>1002596</v>
      </c>
      <c r="BN85" s="329">
        <f t="shared" si="44"/>
        <v>4118838</v>
      </c>
      <c r="BO85" s="329" t="str">
        <f t="shared" si="45"/>
        <v/>
      </c>
      <c r="BP85" t="s">
        <v>138</v>
      </c>
    </row>
    <row r="86" spans="1:68" x14ac:dyDescent="0.25">
      <c r="A86" s="10" t="s">
        <v>183</v>
      </c>
      <c r="B86" s="10"/>
      <c r="C86" s="10" t="s">
        <v>184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 t="s">
        <v>38</v>
      </c>
      <c r="P86" s="11">
        <v>0</v>
      </c>
      <c r="Q86" s="11" t="s">
        <v>38</v>
      </c>
      <c r="R86" s="11" t="s">
        <v>38</v>
      </c>
      <c r="S86" s="11">
        <v>57760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 t="s">
        <v>38</v>
      </c>
      <c r="AH86" s="12" t="s">
        <v>38</v>
      </c>
      <c r="AI86" s="12" t="s">
        <v>38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/>
      <c r="AZ86" s="329" t="str">
        <f t="shared" si="30"/>
        <v/>
      </c>
      <c r="BA86" s="329" t="str">
        <f t="shared" si="31"/>
        <v/>
      </c>
      <c r="BB86" s="329" t="str">
        <f t="shared" si="32"/>
        <v/>
      </c>
      <c r="BC86" s="329" t="str">
        <f t="shared" si="33"/>
        <v/>
      </c>
      <c r="BD86" s="329" t="str">
        <f t="shared" si="34"/>
        <v/>
      </c>
      <c r="BE86" s="329" t="str">
        <f t="shared" si="35"/>
        <v/>
      </c>
      <c r="BF86" s="329" t="str">
        <f t="shared" si="36"/>
        <v/>
      </c>
      <c r="BG86" s="329" t="str">
        <f t="shared" si="37"/>
        <v/>
      </c>
      <c r="BH86" s="329" t="str">
        <f t="shared" si="38"/>
        <v/>
      </c>
      <c r="BI86" s="329" t="str">
        <f t="shared" si="39"/>
        <v/>
      </c>
      <c r="BJ86" s="329" t="str">
        <f t="shared" si="40"/>
        <v/>
      </c>
      <c r="BK86" s="329" t="str">
        <f t="shared" si="41"/>
        <v/>
      </c>
      <c r="BL86" s="329" t="str">
        <f t="shared" si="42"/>
        <v/>
      </c>
      <c r="BM86" s="329" t="str">
        <f t="shared" si="43"/>
        <v/>
      </c>
      <c r="BN86" s="329" t="str">
        <f t="shared" si="44"/>
        <v/>
      </c>
      <c r="BO86" s="329" t="str">
        <f t="shared" si="45"/>
        <v/>
      </c>
      <c r="BP86" t="s">
        <v>138</v>
      </c>
    </row>
    <row r="87" spans="1:68" x14ac:dyDescent="0.25">
      <c r="A87" s="10" t="s">
        <v>185</v>
      </c>
      <c r="B87" s="10"/>
      <c r="C87" s="10" t="s">
        <v>186</v>
      </c>
      <c r="D87" s="11">
        <v>4519980.97</v>
      </c>
      <c r="E87" s="11">
        <v>0</v>
      </c>
      <c r="F87" s="11">
        <v>2263697.9820000003</v>
      </c>
      <c r="G87" s="11">
        <v>0</v>
      </c>
      <c r="H87" s="11">
        <v>8169367.4389999993</v>
      </c>
      <c r="I87" s="11">
        <v>0</v>
      </c>
      <c r="J87" s="11">
        <v>0</v>
      </c>
      <c r="K87" s="11">
        <v>0</v>
      </c>
      <c r="L87" s="11">
        <v>0</v>
      </c>
      <c r="M87" s="11">
        <v>15791.5216</v>
      </c>
      <c r="N87" s="11">
        <v>111634</v>
      </c>
      <c r="O87" s="11">
        <v>490130</v>
      </c>
      <c r="P87" s="11">
        <v>1461687</v>
      </c>
      <c r="Q87" s="11">
        <v>351253</v>
      </c>
      <c r="R87" s="11">
        <v>1528084</v>
      </c>
      <c r="S87" s="11">
        <v>1935535</v>
      </c>
      <c r="T87" s="12">
        <v>1</v>
      </c>
      <c r="U87" s="12">
        <v>0</v>
      </c>
      <c r="V87" s="12">
        <v>1</v>
      </c>
      <c r="W87" s="12">
        <v>0</v>
      </c>
      <c r="X87" s="12">
        <v>3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2</v>
      </c>
      <c r="AH87" s="12" t="s">
        <v>38</v>
      </c>
      <c r="AI87" s="12" t="s">
        <v>38</v>
      </c>
      <c r="AJ87" s="13">
        <v>1</v>
      </c>
      <c r="AK87" s="13">
        <v>0</v>
      </c>
      <c r="AL87" s="13">
        <v>1</v>
      </c>
      <c r="AM87" s="13">
        <v>3</v>
      </c>
      <c r="AN87" s="13">
        <v>0</v>
      </c>
      <c r="AO87" s="13">
        <v>33</v>
      </c>
      <c r="AP87" s="13">
        <v>19</v>
      </c>
      <c r="AQ87" s="13">
        <v>6</v>
      </c>
      <c r="AR87" s="13">
        <v>18</v>
      </c>
      <c r="AS87" s="13"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/>
      <c r="AZ87" s="329">
        <f t="shared" si="30"/>
        <v>4519980.97</v>
      </c>
      <c r="BA87" s="329" t="str">
        <f t="shared" si="31"/>
        <v/>
      </c>
      <c r="BB87" s="329">
        <f t="shared" si="32"/>
        <v>2263697.9820000003</v>
      </c>
      <c r="BC87" s="329" t="str">
        <f t="shared" si="33"/>
        <v/>
      </c>
      <c r="BD87" s="329">
        <f t="shared" si="34"/>
        <v>2723122.4796666666</v>
      </c>
      <c r="BE87" s="329" t="str">
        <f t="shared" si="35"/>
        <v/>
      </c>
      <c r="BF87" s="329" t="str">
        <f t="shared" si="36"/>
        <v/>
      </c>
      <c r="BG87" s="329" t="str">
        <f t="shared" si="37"/>
        <v/>
      </c>
      <c r="BH87" s="329" t="str">
        <f t="shared" si="38"/>
        <v/>
      </c>
      <c r="BI87" s="329" t="str">
        <f t="shared" si="39"/>
        <v/>
      </c>
      <c r="BJ87" s="329" t="str">
        <f t="shared" si="40"/>
        <v/>
      </c>
      <c r="BK87" s="329" t="str">
        <f t="shared" si="41"/>
        <v/>
      </c>
      <c r="BL87" s="329" t="str">
        <f t="shared" si="42"/>
        <v/>
      </c>
      <c r="BM87" s="329">
        <f t="shared" si="43"/>
        <v>175626.5</v>
      </c>
      <c r="BN87" s="329" t="str">
        <f t="shared" si="44"/>
        <v/>
      </c>
      <c r="BO87" s="329" t="str">
        <f t="shared" si="45"/>
        <v/>
      </c>
      <c r="BP87" t="s">
        <v>138</v>
      </c>
    </row>
    <row r="88" spans="1:68" x14ac:dyDescent="0.25">
      <c r="A88" s="10" t="s">
        <v>187</v>
      </c>
      <c r="B88" s="10"/>
      <c r="C88" s="10" t="s">
        <v>188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 t="s">
        <v>38</v>
      </c>
      <c r="P88" s="11">
        <v>0</v>
      </c>
      <c r="Q88" s="11" t="s">
        <v>38</v>
      </c>
      <c r="R88" s="11" t="s">
        <v>38</v>
      </c>
      <c r="S88" s="11" t="s">
        <v>38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 t="s">
        <v>38</v>
      </c>
      <c r="AH88" s="12" t="s">
        <v>38</v>
      </c>
      <c r="AI88" s="12" t="s">
        <v>38</v>
      </c>
      <c r="AJ88" s="13">
        <v>0</v>
      </c>
      <c r="AK88" s="13">
        <v>0</v>
      </c>
      <c r="AL88" s="13">
        <v>0</v>
      </c>
      <c r="AM88" s="13">
        <v>0</v>
      </c>
      <c r="AN88" s="13">
        <v>1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/>
      <c r="AZ88" s="329" t="str">
        <f t="shared" si="30"/>
        <v/>
      </c>
      <c r="BA88" s="329" t="str">
        <f t="shared" si="31"/>
        <v/>
      </c>
      <c r="BB88" s="329" t="str">
        <f t="shared" si="32"/>
        <v/>
      </c>
      <c r="BC88" s="329" t="str">
        <f t="shared" si="33"/>
        <v/>
      </c>
      <c r="BD88" s="329" t="str">
        <f t="shared" si="34"/>
        <v/>
      </c>
      <c r="BE88" s="329" t="str">
        <f t="shared" si="35"/>
        <v/>
      </c>
      <c r="BF88" s="329" t="str">
        <f t="shared" si="36"/>
        <v/>
      </c>
      <c r="BG88" s="329" t="str">
        <f t="shared" si="37"/>
        <v/>
      </c>
      <c r="BH88" s="329" t="str">
        <f t="shared" si="38"/>
        <v/>
      </c>
      <c r="BI88" s="329" t="str">
        <f t="shared" si="39"/>
        <v/>
      </c>
      <c r="BJ88" s="329" t="str">
        <f t="shared" si="40"/>
        <v/>
      </c>
      <c r="BK88" s="329" t="str">
        <f t="shared" si="41"/>
        <v/>
      </c>
      <c r="BL88" s="329" t="str">
        <f t="shared" si="42"/>
        <v/>
      </c>
      <c r="BM88" s="329" t="str">
        <f t="shared" si="43"/>
        <v/>
      </c>
      <c r="BN88" s="329" t="str">
        <f t="shared" si="44"/>
        <v/>
      </c>
      <c r="BO88" s="329" t="str">
        <f t="shared" si="45"/>
        <v/>
      </c>
      <c r="BP88" t="s">
        <v>138</v>
      </c>
    </row>
    <row r="89" spans="1:68" x14ac:dyDescent="0.25">
      <c r="A89" s="10" t="s">
        <v>189</v>
      </c>
      <c r="B89" s="10"/>
      <c r="C89" s="10" t="s">
        <v>190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 t="s">
        <v>38</v>
      </c>
      <c r="P89" s="11">
        <v>0</v>
      </c>
      <c r="Q89" s="11" t="s">
        <v>38</v>
      </c>
      <c r="R89" s="11" t="s">
        <v>38</v>
      </c>
      <c r="S89" s="11" t="s">
        <v>38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 t="s">
        <v>38</v>
      </c>
      <c r="AH89" s="12" t="s">
        <v>38</v>
      </c>
      <c r="AI89" s="12" t="s">
        <v>38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1</v>
      </c>
      <c r="AQ89" s="13">
        <v>1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/>
      <c r="AZ89" s="329" t="str">
        <f t="shared" si="30"/>
        <v/>
      </c>
      <c r="BA89" s="329" t="str">
        <f t="shared" si="31"/>
        <v/>
      </c>
      <c r="BB89" s="329" t="str">
        <f t="shared" si="32"/>
        <v/>
      </c>
      <c r="BC89" s="329" t="str">
        <f t="shared" si="33"/>
        <v/>
      </c>
      <c r="BD89" s="329" t="str">
        <f t="shared" si="34"/>
        <v/>
      </c>
      <c r="BE89" s="329" t="str">
        <f t="shared" si="35"/>
        <v/>
      </c>
      <c r="BF89" s="329" t="str">
        <f t="shared" si="36"/>
        <v/>
      </c>
      <c r="BG89" s="329" t="str">
        <f t="shared" si="37"/>
        <v/>
      </c>
      <c r="BH89" s="329" t="str">
        <f t="shared" si="38"/>
        <v/>
      </c>
      <c r="BI89" s="329" t="str">
        <f t="shared" si="39"/>
        <v/>
      </c>
      <c r="BJ89" s="329" t="str">
        <f t="shared" si="40"/>
        <v/>
      </c>
      <c r="BK89" s="329" t="str">
        <f t="shared" si="41"/>
        <v/>
      </c>
      <c r="BL89" s="329" t="str">
        <f t="shared" si="42"/>
        <v/>
      </c>
      <c r="BM89" s="329" t="str">
        <f t="shared" si="43"/>
        <v/>
      </c>
      <c r="BN89" s="329" t="str">
        <f t="shared" si="44"/>
        <v/>
      </c>
      <c r="BO89" s="329" t="str">
        <f t="shared" si="45"/>
        <v/>
      </c>
      <c r="BP89" t="s">
        <v>138</v>
      </c>
    </row>
    <row r="90" spans="1:68" x14ac:dyDescent="0.25">
      <c r="A90" s="10" t="s">
        <v>191</v>
      </c>
      <c r="B90" s="10"/>
      <c r="C90" s="10" t="s">
        <v>192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 t="s">
        <v>38</v>
      </c>
      <c r="P90" s="11">
        <v>0</v>
      </c>
      <c r="Q90" s="11" t="s">
        <v>38</v>
      </c>
      <c r="R90" s="11" t="s">
        <v>38</v>
      </c>
      <c r="S90" s="11" t="s">
        <v>38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 t="s">
        <v>38</v>
      </c>
      <c r="AH90" s="12" t="s">
        <v>38</v>
      </c>
      <c r="AI90" s="12" t="s">
        <v>38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/>
      <c r="AZ90" s="329" t="str">
        <f t="shared" si="30"/>
        <v/>
      </c>
      <c r="BA90" s="329" t="str">
        <f t="shared" si="31"/>
        <v/>
      </c>
      <c r="BB90" s="329" t="str">
        <f t="shared" si="32"/>
        <v/>
      </c>
      <c r="BC90" s="329" t="str">
        <f t="shared" si="33"/>
        <v/>
      </c>
      <c r="BD90" s="329" t="str">
        <f t="shared" si="34"/>
        <v/>
      </c>
      <c r="BE90" s="329" t="str">
        <f t="shared" si="35"/>
        <v/>
      </c>
      <c r="BF90" s="329" t="str">
        <f t="shared" si="36"/>
        <v/>
      </c>
      <c r="BG90" s="329" t="str">
        <f t="shared" si="37"/>
        <v/>
      </c>
      <c r="BH90" s="329" t="str">
        <f t="shared" si="38"/>
        <v/>
      </c>
      <c r="BI90" s="329" t="str">
        <f t="shared" si="39"/>
        <v/>
      </c>
      <c r="BJ90" s="329" t="str">
        <f t="shared" si="40"/>
        <v/>
      </c>
      <c r="BK90" s="329" t="str">
        <f t="shared" si="41"/>
        <v/>
      </c>
      <c r="BL90" s="329" t="str">
        <f t="shared" si="42"/>
        <v/>
      </c>
      <c r="BM90" s="329" t="str">
        <f t="shared" si="43"/>
        <v/>
      </c>
      <c r="BN90" s="329" t="str">
        <f t="shared" si="44"/>
        <v/>
      </c>
      <c r="BO90" s="329" t="str">
        <f t="shared" si="45"/>
        <v/>
      </c>
      <c r="BP90" t="s">
        <v>138</v>
      </c>
    </row>
    <row r="91" spans="1:68" x14ac:dyDescent="0.25">
      <c r="A91" s="10" t="s">
        <v>63</v>
      </c>
      <c r="B91" s="10"/>
      <c r="C91" s="10" t="s">
        <v>64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59089</v>
      </c>
      <c r="O91" s="11">
        <v>14753</v>
      </c>
      <c r="P91" s="11">
        <v>46275</v>
      </c>
      <c r="Q91" s="11" t="s">
        <v>38</v>
      </c>
      <c r="R91" s="11" t="s">
        <v>38</v>
      </c>
      <c r="S91" s="11" t="s">
        <v>38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2</v>
      </c>
      <c r="AE91" s="12">
        <v>0</v>
      </c>
      <c r="AF91" s="12">
        <v>3</v>
      </c>
      <c r="AG91" s="12" t="s">
        <v>38</v>
      </c>
      <c r="AH91" s="12" t="s">
        <v>38</v>
      </c>
      <c r="AI91" s="12" t="s">
        <v>38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17</v>
      </c>
      <c r="AT91" s="13">
        <v>0</v>
      </c>
      <c r="AU91" s="13">
        <v>17</v>
      </c>
      <c r="AV91" s="13">
        <v>45</v>
      </c>
      <c r="AW91" s="13">
        <v>0</v>
      </c>
      <c r="AX91" s="13">
        <v>0</v>
      </c>
      <c r="AY91" s="13"/>
      <c r="AZ91" s="329" t="str">
        <f t="shared" si="30"/>
        <v/>
      </c>
      <c r="BA91" s="329" t="str">
        <f t="shared" si="31"/>
        <v/>
      </c>
      <c r="BB91" s="329" t="str">
        <f t="shared" si="32"/>
        <v/>
      </c>
      <c r="BC91" s="329" t="str">
        <f t="shared" si="33"/>
        <v/>
      </c>
      <c r="BD91" s="329" t="str">
        <f t="shared" si="34"/>
        <v/>
      </c>
      <c r="BE91" s="329" t="str">
        <f t="shared" si="35"/>
        <v/>
      </c>
      <c r="BF91" s="329" t="str">
        <f t="shared" si="36"/>
        <v/>
      </c>
      <c r="BG91" s="329" t="str">
        <f t="shared" si="37"/>
        <v/>
      </c>
      <c r="BH91" s="329" t="str">
        <f t="shared" si="38"/>
        <v/>
      </c>
      <c r="BI91" s="329" t="str">
        <f t="shared" si="39"/>
        <v/>
      </c>
      <c r="BJ91" s="329">
        <f t="shared" si="40"/>
        <v>29544.5</v>
      </c>
      <c r="BK91" s="329" t="str">
        <f t="shared" si="41"/>
        <v/>
      </c>
      <c r="BL91" s="329">
        <f t="shared" si="42"/>
        <v>15425</v>
      </c>
      <c r="BM91" s="329" t="str">
        <f t="shared" si="43"/>
        <v/>
      </c>
      <c r="BN91" s="329" t="str">
        <f t="shared" si="44"/>
        <v/>
      </c>
      <c r="BO91" s="329" t="str">
        <f t="shared" si="45"/>
        <v/>
      </c>
      <c r="BP91" t="s">
        <v>63</v>
      </c>
    </row>
    <row r="92" spans="1:68" x14ac:dyDescent="0.25">
      <c r="A92" s="10" t="s">
        <v>193</v>
      </c>
      <c r="B92" s="10" t="s">
        <v>194</v>
      </c>
      <c r="C92" s="10" t="s">
        <v>195</v>
      </c>
      <c r="D92" s="11">
        <v>885453.19469999999</v>
      </c>
      <c r="E92" s="11">
        <v>1215318.344</v>
      </c>
      <c r="F92" s="11">
        <v>2203044.2029999997</v>
      </c>
      <c r="G92" s="11">
        <v>2834740.7340000002</v>
      </c>
      <c r="H92" s="11">
        <v>2933531.0189999999</v>
      </c>
      <c r="I92" s="11">
        <v>2599000</v>
      </c>
      <c r="J92" s="11">
        <v>1440405.6569999999</v>
      </c>
      <c r="K92" s="11">
        <v>4047622</v>
      </c>
      <c r="L92" s="11">
        <v>5542918</v>
      </c>
      <c r="M92" s="11">
        <v>14822668.0744</v>
      </c>
      <c r="N92" s="11">
        <v>19270351</v>
      </c>
      <c r="O92" s="11">
        <v>29309340</v>
      </c>
      <c r="P92" s="11">
        <v>36015837</v>
      </c>
      <c r="Q92" s="11">
        <v>32390082</v>
      </c>
      <c r="R92" s="11">
        <v>38953148.318141155</v>
      </c>
      <c r="S92" s="11">
        <v>41033547</v>
      </c>
      <c r="T92" s="12">
        <v>9243</v>
      </c>
      <c r="U92" s="12">
        <v>11983</v>
      </c>
      <c r="V92" s="12">
        <v>11787</v>
      </c>
      <c r="W92" s="12">
        <v>14900</v>
      </c>
      <c r="X92" s="12">
        <v>15739</v>
      </c>
      <c r="Y92" s="12">
        <v>14135</v>
      </c>
      <c r="Z92" s="12">
        <v>23832</v>
      </c>
      <c r="AA92" s="12">
        <v>17706</v>
      </c>
      <c r="AB92" s="12">
        <v>19792</v>
      </c>
      <c r="AC92" s="12">
        <v>2227</v>
      </c>
      <c r="AD92" s="12">
        <v>2746</v>
      </c>
      <c r="AE92" s="12">
        <v>3423</v>
      </c>
      <c r="AF92" s="12">
        <v>3347</v>
      </c>
      <c r="AG92" s="12">
        <v>3045</v>
      </c>
      <c r="AH92" s="12">
        <v>2499</v>
      </c>
      <c r="AI92" s="12">
        <v>1995</v>
      </c>
      <c r="AJ92" s="13">
        <v>11887</v>
      </c>
      <c r="AK92" s="13">
        <v>16186</v>
      </c>
      <c r="AL92" s="13">
        <v>18643</v>
      </c>
      <c r="AM92" s="13">
        <v>17872</v>
      </c>
      <c r="AN92" s="13">
        <v>19928</v>
      </c>
      <c r="AO92" s="13">
        <v>17519</v>
      </c>
      <c r="AP92" s="13">
        <v>10487</v>
      </c>
      <c r="AQ92" s="13">
        <v>21619</v>
      </c>
      <c r="AR92" s="13">
        <v>21611</v>
      </c>
      <c r="AS92" s="13">
        <v>80</v>
      </c>
      <c r="AT92" s="13">
        <v>230</v>
      </c>
      <c r="AU92" s="13">
        <v>0</v>
      </c>
      <c r="AV92" s="13">
        <v>0</v>
      </c>
      <c r="AW92" s="13">
        <v>0</v>
      </c>
      <c r="AX92" s="13">
        <v>0</v>
      </c>
      <c r="AY92" s="13"/>
      <c r="AZ92" s="329">
        <f t="shared" si="30"/>
        <v>95.797164849074974</v>
      </c>
      <c r="BA92" s="329">
        <f t="shared" si="31"/>
        <v>101.42020729366602</v>
      </c>
      <c r="BB92" s="329">
        <f t="shared" si="32"/>
        <v>186.90457308899633</v>
      </c>
      <c r="BC92" s="329">
        <f t="shared" si="33"/>
        <v>190.25105597315437</v>
      </c>
      <c r="BD92" s="329">
        <f t="shared" si="34"/>
        <v>186.38611214181333</v>
      </c>
      <c r="BE92" s="329">
        <f t="shared" si="35"/>
        <v>183.86982667138309</v>
      </c>
      <c r="BF92" s="329">
        <f t="shared" si="36"/>
        <v>60.439982250755286</v>
      </c>
      <c r="BG92" s="329">
        <f t="shared" si="37"/>
        <v>228.60171693211342</v>
      </c>
      <c r="BH92" s="329">
        <f t="shared" si="38"/>
        <v>280.05850848827811</v>
      </c>
      <c r="BI92" s="329">
        <f t="shared" si="39"/>
        <v>6655.890468971711</v>
      </c>
      <c r="BJ92" s="329">
        <f t="shared" si="40"/>
        <v>7017.6077931536784</v>
      </c>
      <c r="BK92" s="329">
        <f t="shared" si="41"/>
        <v>8562.4715162138473</v>
      </c>
      <c r="BL92" s="329">
        <f t="shared" si="42"/>
        <v>10760.632506722439</v>
      </c>
      <c r="BM92" s="329">
        <f t="shared" si="43"/>
        <v>10637.136945812808</v>
      </c>
      <c r="BN92" s="329">
        <f t="shared" si="44"/>
        <v>15587.494324986457</v>
      </c>
      <c r="BO92" s="329">
        <f t="shared" si="45"/>
        <v>20568.193984962407</v>
      </c>
      <c r="BP92" t="s">
        <v>196</v>
      </c>
    </row>
    <row r="93" spans="1:68" x14ac:dyDescent="0.25">
      <c r="A93" s="10" t="s">
        <v>197</v>
      </c>
      <c r="B93" s="10"/>
      <c r="C93" s="10" t="s">
        <v>198</v>
      </c>
      <c r="D93" s="11">
        <v>4328771.3959999997</v>
      </c>
      <c r="E93" s="11">
        <v>3690478.852</v>
      </c>
      <c r="F93" s="11">
        <v>7625323.8880000003</v>
      </c>
      <c r="G93" s="11">
        <v>12148404.479999999</v>
      </c>
      <c r="H93" s="11">
        <v>19099189.379999999</v>
      </c>
      <c r="I93" s="11">
        <v>1825000</v>
      </c>
      <c r="J93" s="11">
        <v>6585825.1100000003</v>
      </c>
      <c r="K93" s="11">
        <v>1652590</v>
      </c>
      <c r="L93" s="11">
        <v>1370317</v>
      </c>
      <c r="M93" s="11">
        <v>5432077.8435000004</v>
      </c>
      <c r="N93" s="11">
        <v>7820789</v>
      </c>
      <c r="O93" s="11">
        <v>6184651</v>
      </c>
      <c r="P93" s="11">
        <v>8511788</v>
      </c>
      <c r="Q93" s="11">
        <v>8268099</v>
      </c>
      <c r="R93" s="11">
        <v>8717166.0275229812</v>
      </c>
      <c r="S93" s="11">
        <v>9184199</v>
      </c>
      <c r="T93" s="12">
        <v>326</v>
      </c>
      <c r="U93" s="12">
        <v>332</v>
      </c>
      <c r="V93" s="12">
        <v>418</v>
      </c>
      <c r="W93" s="12">
        <v>833</v>
      </c>
      <c r="X93" s="12">
        <v>1049</v>
      </c>
      <c r="Y93" s="12">
        <v>98</v>
      </c>
      <c r="Z93" s="12">
        <v>10444</v>
      </c>
      <c r="AA93" s="12">
        <v>125</v>
      </c>
      <c r="AB93" s="12">
        <v>47</v>
      </c>
      <c r="AC93" s="12">
        <v>228</v>
      </c>
      <c r="AD93" s="12">
        <v>279</v>
      </c>
      <c r="AE93" s="12">
        <v>195</v>
      </c>
      <c r="AF93" s="12">
        <v>328</v>
      </c>
      <c r="AG93" s="12">
        <v>328</v>
      </c>
      <c r="AH93" s="12">
        <v>324</v>
      </c>
      <c r="AI93" s="12">
        <v>281</v>
      </c>
      <c r="AJ93" s="13">
        <v>30</v>
      </c>
      <c r="AK93" s="13">
        <v>11</v>
      </c>
      <c r="AL93" s="13">
        <v>57</v>
      </c>
      <c r="AM93" s="13">
        <v>41</v>
      </c>
      <c r="AN93" s="13">
        <v>45</v>
      </c>
      <c r="AO93" s="13">
        <v>14</v>
      </c>
      <c r="AP93" s="13">
        <v>17016</v>
      </c>
      <c r="AQ93" s="13">
        <v>9</v>
      </c>
      <c r="AR93" s="13">
        <v>12</v>
      </c>
      <c r="AS93" s="13">
        <v>212</v>
      </c>
      <c r="AT93" s="13">
        <v>25</v>
      </c>
      <c r="AU93" s="13">
        <v>27</v>
      </c>
      <c r="AV93" s="13">
        <v>3</v>
      </c>
      <c r="AW93" s="13">
        <v>10</v>
      </c>
      <c r="AX93" s="13">
        <v>12</v>
      </c>
      <c r="AY93" s="13"/>
      <c r="AZ93" s="329">
        <f t="shared" si="30"/>
        <v>13278.439865030674</v>
      </c>
      <c r="BA93" s="329">
        <f t="shared" si="31"/>
        <v>11115.900156626505</v>
      </c>
      <c r="BB93" s="329">
        <f t="shared" si="32"/>
        <v>18242.401645933016</v>
      </c>
      <c r="BC93" s="329">
        <f t="shared" si="33"/>
        <v>14583.91894357743</v>
      </c>
      <c r="BD93" s="329">
        <f t="shared" si="34"/>
        <v>18207.044213536701</v>
      </c>
      <c r="BE93" s="329">
        <f t="shared" si="35"/>
        <v>18622.448979591838</v>
      </c>
      <c r="BF93" s="329">
        <f t="shared" si="36"/>
        <v>630.58455668326314</v>
      </c>
      <c r="BG93" s="329">
        <f t="shared" si="37"/>
        <v>13220.72</v>
      </c>
      <c r="BH93" s="329">
        <f t="shared" si="38"/>
        <v>29155.680851063829</v>
      </c>
      <c r="BI93" s="329">
        <f t="shared" si="39"/>
        <v>23824.902822368422</v>
      </c>
      <c r="BJ93" s="329">
        <f t="shared" si="40"/>
        <v>28031.501792114694</v>
      </c>
      <c r="BK93" s="329">
        <f t="shared" si="41"/>
        <v>31716.158974358976</v>
      </c>
      <c r="BL93" s="329">
        <f t="shared" si="42"/>
        <v>25950.573170731706</v>
      </c>
      <c r="BM93" s="329">
        <f t="shared" si="43"/>
        <v>25207.618902439026</v>
      </c>
      <c r="BN93" s="329">
        <f t="shared" si="44"/>
        <v>26904.833418280807</v>
      </c>
      <c r="BO93" s="329">
        <f t="shared" si="45"/>
        <v>32683.982206405693</v>
      </c>
      <c r="BP93" t="s">
        <v>196</v>
      </c>
    </row>
    <row r="94" spans="1:68" x14ac:dyDescent="0.25">
      <c r="A94" s="10" t="s">
        <v>199</v>
      </c>
      <c r="B94" s="10"/>
      <c r="C94" s="10" t="s">
        <v>200</v>
      </c>
      <c r="D94" s="11">
        <v>668738.30429999996</v>
      </c>
      <c r="E94" s="11">
        <v>1425946.223</v>
      </c>
      <c r="F94" s="11">
        <v>1248871.1909999999</v>
      </c>
      <c r="G94" s="11">
        <v>1443289.693</v>
      </c>
      <c r="H94" s="11">
        <v>1769200.412</v>
      </c>
      <c r="I94" s="11">
        <v>1208000</v>
      </c>
      <c r="J94" s="11">
        <v>2366564.9070000001</v>
      </c>
      <c r="K94" s="11">
        <v>1400532</v>
      </c>
      <c r="L94" s="11">
        <v>3049546</v>
      </c>
      <c r="M94" s="11">
        <v>2149448.0924999998</v>
      </c>
      <c r="N94" s="11">
        <v>3256442</v>
      </c>
      <c r="O94" s="11">
        <v>2919777</v>
      </c>
      <c r="P94" s="11">
        <v>3653060</v>
      </c>
      <c r="Q94" s="11">
        <v>3387980</v>
      </c>
      <c r="R94" s="11">
        <v>3575481.5313329515</v>
      </c>
      <c r="S94" s="11">
        <v>8457287</v>
      </c>
      <c r="T94" s="12">
        <v>13</v>
      </c>
      <c r="U94" s="12">
        <v>19</v>
      </c>
      <c r="V94" s="12">
        <v>17</v>
      </c>
      <c r="W94" s="12">
        <v>15</v>
      </c>
      <c r="X94" s="12">
        <v>22</v>
      </c>
      <c r="Y94" s="12">
        <v>14</v>
      </c>
      <c r="Z94" s="12">
        <v>20</v>
      </c>
      <c r="AA94" s="12">
        <v>13</v>
      </c>
      <c r="AB94" s="12">
        <v>26</v>
      </c>
      <c r="AC94" s="12">
        <v>9</v>
      </c>
      <c r="AD94" s="12">
        <v>23</v>
      </c>
      <c r="AE94" s="12">
        <v>2</v>
      </c>
      <c r="AF94" s="12">
        <v>11</v>
      </c>
      <c r="AG94" s="12">
        <v>28</v>
      </c>
      <c r="AH94" s="12">
        <v>3</v>
      </c>
      <c r="AI94" s="12">
        <v>3</v>
      </c>
      <c r="AJ94" s="13">
        <v>16</v>
      </c>
      <c r="AK94" s="13">
        <v>22</v>
      </c>
      <c r="AL94" s="13">
        <v>23</v>
      </c>
      <c r="AM94" s="13">
        <v>26</v>
      </c>
      <c r="AN94" s="13">
        <v>28</v>
      </c>
      <c r="AO94" s="13">
        <v>21</v>
      </c>
      <c r="AP94" s="13">
        <v>26</v>
      </c>
      <c r="AQ94" s="13">
        <v>32</v>
      </c>
      <c r="AR94" s="13">
        <v>40</v>
      </c>
      <c r="AS94" s="13">
        <v>7</v>
      </c>
      <c r="AT94" s="13">
        <v>22</v>
      </c>
      <c r="AU94" s="13">
        <v>3</v>
      </c>
      <c r="AV94" s="13">
        <v>2</v>
      </c>
      <c r="AW94" s="13">
        <v>3</v>
      </c>
      <c r="AX94" s="13">
        <v>23</v>
      </c>
      <c r="AY94" s="13"/>
      <c r="AZ94" s="329">
        <f t="shared" si="30"/>
        <v>51441.408023076918</v>
      </c>
      <c r="BA94" s="329">
        <f t="shared" si="31"/>
        <v>75049.801210526319</v>
      </c>
      <c r="BB94" s="329">
        <f t="shared" si="32"/>
        <v>73463.011235294107</v>
      </c>
      <c r="BC94" s="329">
        <f t="shared" si="33"/>
        <v>96219.31286666666</v>
      </c>
      <c r="BD94" s="329">
        <f t="shared" si="34"/>
        <v>80418.200545454543</v>
      </c>
      <c r="BE94" s="329">
        <f t="shared" si="35"/>
        <v>86285.71428571429</v>
      </c>
      <c r="BF94" s="329">
        <f t="shared" si="36"/>
        <v>118328.24535000001</v>
      </c>
      <c r="BG94" s="329">
        <f t="shared" si="37"/>
        <v>107733.23076923077</v>
      </c>
      <c r="BH94" s="329">
        <f t="shared" si="38"/>
        <v>117290.23076923077</v>
      </c>
      <c r="BI94" s="329">
        <f t="shared" si="39"/>
        <v>238827.5658333333</v>
      </c>
      <c r="BJ94" s="329">
        <f t="shared" si="40"/>
        <v>141584.4347826087</v>
      </c>
      <c r="BK94" s="329">
        <f t="shared" si="41"/>
        <v>1459888.5</v>
      </c>
      <c r="BL94" s="329">
        <f t="shared" si="42"/>
        <v>332096.36363636365</v>
      </c>
      <c r="BM94" s="329">
        <f t="shared" si="43"/>
        <v>120999.28571428571</v>
      </c>
      <c r="BN94" s="329">
        <f t="shared" si="44"/>
        <v>1191827.1771109838</v>
      </c>
      <c r="BO94" s="329">
        <f t="shared" si="45"/>
        <v>2819095.6666666665</v>
      </c>
      <c r="BP94" t="s">
        <v>196</v>
      </c>
    </row>
    <row r="95" spans="1:68" x14ac:dyDescent="0.25">
      <c r="A95" s="10" t="s">
        <v>201</v>
      </c>
      <c r="B95" s="10"/>
      <c r="C95" s="10" t="s">
        <v>202</v>
      </c>
      <c r="D95" s="11">
        <v>418940.59529999999</v>
      </c>
      <c r="E95" s="11">
        <v>2355025.014</v>
      </c>
      <c r="F95" s="11">
        <v>4491622.2390000001</v>
      </c>
      <c r="G95" s="11">
        <v>3537815.7430000002</v>
      </c>
      <c r="H95" s="11">
        <v>5920009.8279999997</v>
      </c>
      <c r="I95" s="11">
        <v>1901000</v>
      </c>
      <c r="J95" s="11">
        <v>3477553.7919999999</v>
      </c>
      <c r="K95" s="11">
        <v>4314238</v>
      </c>
      <c r="L95" s="11">
        <v>3419676</v>
      </c>
      <c r="M95" s="11">
        <v>4259026.4373000003</v>
      </c>
      <c r="N95" s="11">
        <v>4974646</v>
      </c>
      <c r="O95" s="11">
        <v>6907043</v>
      </c>
      <c r="P95" s="11">
        <v>6278050</v>
      </c>
      <c r="Q95" s="11">
        <v>6710080</v>
      </c>
      <c r="R95" s="11">
        <v>9358476.3771309368</v>
      </c>
      <c r="S95" s="11">
        <v>10773131</v>
      </c>
      <c r="T95" s="12">
        <v>431</v>
      </c>
      <c r="U95" s="12">
        <v>580</v>
      </c>
      <c r="V95" s="12">
        <v>579</v>
      </c>
      <c r="W95" s="12">
        <v>893</v>
      </c>
      <c r="X95" s="12">
        <v>802</v>
      </c>
      <c r="Y95" s="12">
        <v>562</v>
      </c>
      <c r="Z95" s="12">
        <v>610</v>
      </c>
      <c r="AA95" s="12">
        <v>570</v>
      </c>
      <c r="AB95" s="12">
        <v>601</v>
      </c>
      <c r="AC95" s="12">
        <v>854</v>
      </c>
      <c r="AD95" s="12">
        <v>1069</v>
      </c>
      <c r="AE95" s="12">
        <v>1068</v>
      </c>
      <c r="AF95" s="12">
        <v>1213</v>
      </c>
      <c r="AG95" s="12">
        <v>1338</v>
      </c>
      <c r="AH95" s="12">
        <v>1577</v>
      </c>
      <c r="AI95" s="12">
        <v>1460</v>
      </c>
      <c r="AJ95" s="13">
        <v>172</v>
      </c>
      <c r="AK95" s="13">
        <v>207</v>
      </c>
      <c r="AL95" s="13">
        <v>206</v>
      </c>
      <c r="AM95" s="13">
        <v>178</v>
      </c>
      <c r="AN95" s="13">
        <v>280</v>
      </c>
      <c r="AO95" s="13">
        <v>211</v>
      </c>
      <c r="AP95" s="13">
        <v>230</v>
      </c>
      <c r="AQ95" s="13">
        <v>136</v>
      </c>
      <c r="AR95" s="13">
        <v>186</v>
      </c>
      <c r="AS95" s="13">
        <v>133</v>
      </c>
      <c r="AT95" s="13">
        <v>7</v>
      </c>
      <c r="AU95" s="13">
        <v>28</v>
      </c>
      <c r="AV95" s="13">
        <v>11</v>
      </c>
      <c r="AW95" s="13">
        <v>5</v>
      </c>
      <c r="AX95" s="13">
        <v>13</v>
      </c>
      <c r="AY95" s="13"/>
      <c r="AZ95" s="329">
        <f t="shared" si="30"/>
        <v>972.01994269141528</v>
      </c>
      <c r="BA95" s="329">
        <f t="shared" si="31"/>
        <v>4060.3879551724135</v>
      </c>
      <c r="BB95" s="329">
        <f t="shared" si="32"/>
        <v>7757.5513626943002</v>
      </c>
      <c r="BC95" s="329">
        <f t="shared" si="33"/>
        <v>3961.7197569988803</v>
      </c>
      <c r="BD95" s="329">
        <f t="shared" si="34"/>
        <v>7381.5583890274311</v>
      </c>
      <c r="BE95" s="329">
        <f t="shared" si="35"/>
        <v>3382.5622775800712</v>
      </c>
      <c r="BF95" s="329">
        <f t="shared" si="36"/>
        <v>5700.9078557377052</v>
      </c>
      <c r="BG95" s="329">
        <f t="shared" si="37"/>
        <v>7568.8385964912277</v>
      </c>
      <c r="BH95" s="329">
        <f t="shared" si="38"/>
        <v>5689.9767054908489</v>
      </c>
      <c r="BI95" s="329">
        <f t="shared" si="39"/>
        <v>4987.1503949648713</v>
      </c>
      <c r="BJ95" s="329">
        <f t="shared" si="40"/>
        <v>4653.5509822263793</v>
      </c>
      <c r="BK95" s="329">
        <f t="shared" si="41"/>
        <v>6467.2687265917602</v>
      </c>
      <c r="BL95" s="329">
        <f t="shared" si="42"/>
        <v>5175.638911788953</v>
      </c>
      <c r="BM95" s="329">
        <f t="shared" si="43"/>
        <v>5015.0074738415542</v>
      </c>
      <c r="BN95" s="329">
        <f t="shared" si="44"/>
        <v>5934.354075542763</v>
      </c>
      <c r="BO95" s="329">
        <f t="shared" si="45"/>
        <v>7378.8568493150688</v>
      </c>
      <c r="BP95" t="s">
        <v>196</v>
      </c>
    </row>
    <row r="96" spans="1:68" x14ac:dyDescent="0.25">
      <c r="A96" s="10" t="s">
        <v>203</v>
      </c>
      <c r="B96" s="10"/>
      <c r="C96" s="10" t="s">
        <v>204</v>
      </c>
      <c r="D96" s="11">
        <v>1918553.338</v>
      </c>
      <c r="E96" s="11">
        <v>805986.04950000008</v>
      </c>
      <c r="F96" s="11">
        <v>1157843.75</v>
      </c>
      <c r="G96" s="11">
        <v>1374440.855</v>
      </c>
      <c r="H96" s="11">
        <v>2246622.5829999996</v>
      </c>
      <c r="I96" s="11">
        <v>1113000</v>
      </c>
      <c r="J96" s="11">
        <v>1847831.89</v>
      </c>
      <c r="K96" s="11">
        <v>2773986</v>
      </c>
      <c r="L96" s="11">
        <v>844128</v>
      </c>
      <c r="M96" s="11">
        <v>984068.10190000001</v>
      </c>
      <c r="N96" s="11">
        <v>895264</v>
      </c>
      <c r="O96" s="11">
        <v>1855196</v>
      </c>
      <c r="P96" s="11">
        <v>1850222</v>
      </c>
      <c r="Q96" s="11">
        <v>2043614</v>
      </c>
      <c r="R96" s="11">
        <v>1948559.1311652476</v>
      </c>
      <c r="S96" s="11">
        <v>1658940</v>
      </c>
      <c r="T96" s="12">
        <v>85</v>
      </c>
      <c r="U96" s="12">
        <v>51</v>
      </c>
      <c r="V96" s="12">
        <v>40</v>
      </c>
      <c r="W96" s="12">
        <v>54</v>
      </c>
      <c r="X96" s="12">
        <v>62</v>
      </c>
      <c r="Y96" s="12">
        <v>29</v>
      </c>
      <c r="Z96" s="12">
        <v>53</v>
      </c>
      <c r="AA96" s="12">
        <v>57</v>
      </c>
      <c r="AB96" s="12">
        <v>32</v>
      </c>
      <c r="AC96" s="12">
        <v>44</v>
      </c>
      <c r="AD96" s="12">
        <v>38</v>
      </c>
      <c r="AE96" s="12">
        <v>24</v>
      </c>
      <c r="AF96" s="12">
        <v>61</v>
      </c>
      <c r="AG96" s="12">
        <v>55</v>
      </c>
      <c r="AH96" s="12">
        <v>52</v>
      </c>
      <c r="AI96" s="12">
        <v>22</v>
      </c>
      <c r="AJ96" s="13">
        <v>85</v>
      </c>
      <c r="AK96" s="13">
        <v>53</v>
      </c>
      <c r="AL96" s="13">
        <v>43</v>
      </c>
      <c r="AM96" s="13">
        <v>55</v>
      </c>
      <c r="AN96" s="13">
        <v>63</v>
      </c>
      <c r="AO96" s="13">
        <v>36</v>
      </c>
      <c r="AP96" s="13">
        <v>59</v>
      </c>
      <c r="AQ96" s="13">
        <v>59</v>
      </c>
      <c r="AR96" s="13">
        <v>46</v>
      </c>
      <c r="AS96" s="13">
        <v>1</v>
      </c>
      <c r="AT96" s="13">
        <v>21</v>
      </c>
      <c r="AU96" s="13">
        <v>3</v>
      </c>
      <c r="AV96" s="13">
        <v>1</v>
      </c>
      <c r="AW96" s="13">
        <v>3</v>
      </c>
      <c r="AX96" s="13">
        <v>8</v>
      </c>
      <c r="AY96" s="13"/>
      <c r="AZ96" s="329">
        <f t="shared" si="30"/>
        <v>22571.215741176471</v>
      </c>
      <c r="BA96" s="329">
        <f t="shared" si="31"/>
        <v>15803.648029411766</v>
      </c>
      <c r="BB96" s="329">
        <f t="shared" si="32"/>
        <v>28946.09375</v>
      </c>
      <c r="BC96" s="329">
        <f t="shared" si="33"/>
        <v>25452.608425925926</v>
      </c>
      <c r="BD96" s="329">
        <f t="shared" si="34"/>
        <v>36235.848112903222</v>
      </c>
      <c r="BE96" s="329">
        <f t="shared" si="35"/>
        <v>38379.310344827587</v>
      </c>
      <c r="BF96" s="329">
        <f t="shared" si="36"/>
        <v>34864.752641509433</v>
      </c>
      <c r="BG96" s="329">
        <f t="shared" si="37"/>
        <v>48666.42105263158</v>
      </c>
      <c r="BH96" s="329">
        <f t="shared" si="38"/>
        <v>26379</v>
      </c>
      <c r="BI96" s="329">
        <f t="shared" si="39"/>
        <v>22365.184134090909</v>
      </c>
      <c r="BJ96" s="329">
        <f t="shared" si="40"/>
        <v>23559.57894736842</v>
      </c>
      <c r="BK96" s="329">
        <f t="shared" si="41"/>
        <v>77299.833333333328</v>
      </c>
      <c r="BL96" s="329">
        <f t="shared" si="42"/>
        <v>30331.508196721312</v>
      </c>
      <c r="BM96" s="329">
        <f t="shared" si="43"/>
        <v>37156.618181818179</v>
      </c>
      <c r="BN96" s="329">
        <f t="shared" si="44"/>
        <v>37472.290983947067</v>
      </c>
      <c r="BO96" s="329">
        <f t="shared" si="45"/>
        <v>75406.363636363632</v>
      </c>
      <c r="BP96" t="s">
        <v>196</v>
      </c>
    </row>
    <row r="97" spans="1:68" x14ac:dyDescent="0.25">
      <c r="A97" s="10" t="s">
        <v>205</v>
      </c>
      <c r="B97" s="10"/>
      <c r="C97" s="10" t="s">
        <v>206</v>
      </c>
      <c r="D97" s="11">
        <v>95217.153969999999</v>
      </c>
      <c r="E97" s="11">
        <v>252087.2922</v>
      </c>
      <c r="F97" s="11">
        <v>476866.78499999997</v>
      </c>
      <c r="G97" s="11">
        <v>3574387.42</v>
      </c>
      <c r="H97" s="11">
        <v>1032567.0689999999</v>
      </c>
      <c r="I97" s="11">
        <v>735000</v>
      </c>
      <c r="J97" s="11">
        <v>334915.712</v>
      </c>
      <c r="K97" s="11">
        <v>186662</v>
      </c>
      <c r="L97" s="11">
        <v>0</v>
      </c>
      <c r="M97" s="11">
        <v>273307.92580000003</v>
      </c>
      <c r="N97" s="11">
        <v>605668</v>
      </c>
      <c r="O97" s="11">
        <v>826942</v>
      </c>
      <c r="P97" s="11">
        <v>460247</v>
      </c>
      <c r="Q97" s="11">
        <v>1624437</v>
      </c>
      <c r="R97" s="11">
        <v>589960.84949128586</v>
      </c>
      <c r="S97" s="11">
        <v>478177</v>
      </c>
      <c r="T97" s="12">
        <v>1</v>
      </c>
      <c r="U97" s="12">
        <v>3</v>
      </c>
      <c r="V97" s="12">
        <v>10</v>
      </c>
      <c r="W97" s="12">
        <v>26</v>
      </c>
      <c r="X97" s="12">
        <v>18</v>
      </c>
      <c r="Y97" s="12">
        <v>7</v>
      </c>
      <c r="Z97" s="12">
        <v>4</v>
      </c>
      <c r="AA97" s="12">
        <v>2</v>
      </c>
      <c r="AB97" s="12">
        <v>0</v>
      </c>
      <c r="AC97" s="12">
        <v>20</v>
      </c>
      <c r="AD97" s="12">
        <v>24</v>
      </c>
      <c r="AE97" s="12">
        <v>34</v>
      </c>
      <c r="AF97" s="12">
        <v>24</v>
      </c>
      <c r="AG97" s="12">
        <v>62</v>
      </c>
      <c r="AH97" s="12">
        <v>39</v>
      </c>
      <c r="AI97" s="12">
        <v>44</v>
      </c>
      <c r="AJ97" s="13">
        <v>3</v>
      </c>
      <c r="AK97" s="13">
        <v>0</v>
      </c>
      <c r="AL97" s="13">
        <v>0</v>
      </c>
      <c r="AM97" s="13">
        <v>1</v>
      </c>
      <c r="AN97" s="13">
        <v>1</v>
      </c>
      <c r="AO97" s="13">
        <v>0</v>
      </c>
      <c r="AP97" s="13">
        <v>7</v>
      </c>
      <c r="AQ97" s="13">
        <v>0</v>
      </c>
      <c r="AR97" s="13">
        <v>4</v>
      </c>
      <c r="AS97" s="13">
        <v>46</v>
      </c>
      <c r="AT97" s="13">
        <v>0</v>
      </c>
      <c r="AU97" s="13">
        <v>2</v>
      </c>
      <c r="AV97" s="13">
        <v>12</v>
      </c>
      <c r="AW97" s="13">
        <v>8</v>
      </c>
      <c r="AX97" s="13">
        <v>2</v>
      </c>
      <c r="AY97" s="13"/>
      <c r="AZ97" s="329">
        <f t="shared" si="30"/>
        <v>95217.153969999999</v>
      </c>
      <c r="BA97" s="329">
        <f t="shared" si="31"/>
        <v>84029.097399999999</v>
      </c>
      <c r="BB97" s="329">
        <f t="shared" si="32"/>
        <v>47686.678499999995</v>
      </c>
      <c r="BC97" s="329">
        <f t="shared" si="33"/>
        <v>137476.43923076923</v>
      </c>
      <c r="BD97" s="329">
        <f t="shared" si="34"/>
        <v>57364.837166666664</v>
      </c>
      <c r="BE97" s="329">
        <f t="shared" si="35"/>
        <v>105000</v>
      </c>
      <c r="BF97" s="329">
        <f t="shared" si="36"/>
        <v>83728.928</v>
      </c>
      <c r="BG97" s="329">
        <f t="shared" si="37"/>
        <v>93331</v>
      </c>
      <c r="BH97" s="329" t="str">
        <f t="shared" si="38"/>
        <v/>
      </c>
      <c r="BI97" s="329">
        <f t="shared" si="39"/>
        <v>13665.396290000001</v>
      </c>
      <c r="BJ97" s="329">
        <f t="shared" si="40"/>
        <v>25236.166666666668</v>
      </c>
      <c r="BK97" s="329">
        <f t="shared" si="41"/>
        <v>24321.823529411766</v>
      </c>
      <c r="BL97" s="329">
        <f t="shared" si="42"/>
        <v>19176.958333333332</v>
      </c>
      <c r="BM97" s="329">
        <f t="shared" si="43"/>
        <v>26200.596774193549</v>
      </c>
      <c r="BN97" s="329">
        <f t="shared" si="44"/>
        <v>15127.20126900733</v>
      </c>
      <c r="BO97" s="329">
        <f t="shared" si="45"/>
        <v>10867.65909090909</v>
      </c>
      <c r="BP97" t="s">
        <v>196</v>
      </c>
    </row>
    <row r="98" spans="1:68" x14ac:dyDescent="0.25">
      <c r="A98" s="10" t="s">
        <v>207</v>
      </c>
      <c r="B98" s="10"/>
      <c r="C98" s="10" t="s">
        <v>208</v>
      </c>
      <c r="D98" s="11">
        <v>204036.7585</v>
      </c>
      <c r="E98" s="11">
        <v>1620561.1639999999</v>
      </c>
      <c r="F98" s="11">
        <v>0</v>
      </c>
      <c r="G98" s="11">
        <v>294592.36979999999</v>
      </c>
      <c r="H98" s="11">
        <v>1229246.5109999999</v>
      </c>
      <c r="I98" s="11">
        <v>1349000</v>
      </c>
      <c r="J98" s="11">
        <v>2907199.2480000001</v>
      </c>
      <c r="K98" s="11">
        <v>670845</v>
      </c>
      <c r="L98" s="11">
        <v>384975</v>
      </c>
      <c r="M98" s="11">
        <v>817688.79740000004</v>
      </c>
      <c r="N98" s="11">
        <v>492994</v>
      </c>
      <c r="O98" s="11">
        <v>1977127</v>
      </c>
      <c r="P98" s="11">
        <v>742970</v>
      </c>
      <c r="Q98" s="11">
        <v>503319</v>
      </c>
      <c r="R98" s="11">
        <v>315428.19080284104</v>
      </c>
      <c r="S98" s="11">
        <v>155582</v>
      </c>
      <c r="T98" s="12">
        <v>1</v>
      </c>
      <c r="U98" s="12">
        <v>9</v>
      </c>
      <c r="V98" s="12">
        <v>0</v>
      </c>
      <c r="W98" s="12">
        <v>1</v>
      </c>
      <c r="X98" s="12">
        <v>10</v>
      </c>
      <c r="Y98" s="12">
        <v>6</v>
      </c>
      <c r="Z98" s="12">
        <v>13</v>
      </c>
      <c r="AA98" s="12">
        <v>3</v>
      </c>
      <c r="AB98" s="12">
        <v>2</v>
      </c>
      <c r="AC98" s="12">
        <v>16</v>
      </c>
      <c r="AD98" s="12">
        <v>1</v>
      </c>
      <c r="AE98" s="12">
        <v>12</v>
      </c>
      <c r="AF98" s="12">
        <v>15</v>
      </c>
      <c r="AG98" s="12">
        <v>12</v>
      </c>
      <c r="AH98" s="12">
        <v>2</v>
      </c>
      <c r="AI98" s="12">
        <v>2</v>
      </c>
      <c r="AJ98" s="13">
        <v>3</v>
      </c>
      <c r="AK98" s="13">
        <v>15</v>
      </c>
      <c r="AL98" s="13">
        <v>3</v>
      </c>
      <c r="AM98" s="13">
        <v>6</v>
      </c>
      <c r="AN98" s="13">
        <v>10</v>
      </c>
      <c r="AO98" s="13">
        <v>25</v>
      </c>
      <c r="AP98" s="13">
        <v>14</v>
      </c>
      <c r="AQ98" s="13">
        <v>6</v>
      </c>
      <c r="AR98" s="13">
        <v>14</v>
      </c>
      <c r="AS98" s="13">
        <v>0</v>
      </c>
      <c r="AT98" s="13">
        <v>3</v>
      </c>
      <c r="AU98" s="13">
        <v>2</v>
      </c>
      <c r="AV98" s="13">
        <v>1</v>
      </c>
      <c r="AW98" s="13">
        <v>0</v>
      </c>
      <c r="AX98" s="13">
        <v>9</v>
      </c>
      <c r="AY98" s="13"/>
      <c r="AZ98" s="329">
        <f t="shared" si="30"/>
        <v>204036.7585</v>
      </c>
      <c r="BA98" s="329">
        <f t="shared" si="31"/>
        <v>180062.35155555554</v>
      </c>
      <c r="BB98" s="329" t="str">
        <f t="shared" si="32"/>
        <v/>
      </c>
      <c r="BC98" s="329">
        <f t="shared" si="33"/>
        <v>294592.36979999999</v>
      </c>
      <c r="BD98" s="329">
        <f t="shared" si="34"/>
        <v>122924.65109999999</v>
      </c>
      <c r="BE98" s="329">
        <f t="shared" si="35"/>
        <v>224833.33333333334</v>
      </c>
      <c r="BF98" s="329">
        <f t="shared" si="36"/>
        <v>223630.7113846154</v>
      </c>
      <c r="BG98" s="329">
        <f t="shared" si="37"/>
        <v>223615</v>
      </c>
      <c r="BH98" s="329">
        <f t="shared" si="38"/>
        <v>192487.5</v>
      </c>
      <c r="BI98" s="329">
        <f t="shared" si="39"/>
        <v>51105.549837500002</v>
      </c>
      <c r="BJ98" s="329">
        <f t="shared" si="40"/>
        <v>492994</v>
      </c>
      <c r="BK98" s="329">
        <f t="shared" si="41"/>
        <v>164760.58333333334</v>
      </c>
      <c r="BL98" s="329">
        <f t="shared" si="42"/>
        <v>49531.333333333336</v>
      </c>
      <c r="BM98" s="329">
        <f t="shared" si="43"/>
        <v>41943.25</v>
      </c>
      <c r="BN98" s="329">
        <f t="shared" si="44"/>
        <v>157714.09540142052</v>
      </c>
      <c r="BO98" s="329">
        <f t="shared" si="45"/>
        <v>77791</v>
      </c>
      <c r="BP98" t="s">
        <v>196</v>
      </c>
    </row>
    <row r="99" spans="1:68" x14ac:dyDescent="0.25">
      <c r="A99" s="10" t="s">
        <v>209</v>
      </c>
      <c r="B99" s="10"/>
      <c r="C99" s="10" t="s">
        <v>210</v>
      </c>
      <c r="D99" s="11">
        <v>680258.55290000001</v>
      </c>
      <c r="E99" s="11">
        <v>1200655.76</v>
      </c>
      <c r="F99" s="11">
        <v>340687.25599999999</v>
      </c>
      <c r="G99" s="11">
        <v>327390.32029999996</v>
      </c>
      <c r="H99" s="11">
        <v>68305.131139999998</v>
      </c>
      <c r="I99" s="11">
        <v>125000</v>
      </c>
      <c r="J99" s="11">
        <v>609891.36100000003</v>
      </c>
      <c r="K99" s="11">
        <v>1050015</v>
      </c>
      <c r="L99" s="11">
        <v>1204401</v>
      </c>
      <c r="M99" s="11">
        <v>549863.6361</v>
      </c>
      <c r="N99" s="11">
        <v>2694370</v>
      </c>
      <c r="O99" s="11">
        <v>3737167</v>
      </c>
      <c r="P99" s="11">
        <v>1605795</v>
      </c>
      <c r="Q99" s="11">
        <v>2674765</v>
      </c>
      <c r="R99" s="11">
        <v>1872879.6485829882</v>
      </c>
      <c r="S99" s="11">
        <v>2091932</v>
      </c>
      <c r="T99" s="12">
        <v>6</v>
      </c>
      <c r="U99" s="12">
        <v>12</v>
      </c>
      <c r="V99" s="12">
        <v>6</v>
      </c>
      <c r="W99" s="12">
        <v>2</v>
      </c>
      <c r="X99" s="12">
        <v>1</v>
      </c>
      <c r="Y99" s="12">
        <v>1</v>
      </c>
      <c r="Z99" s="12">
        <v>6</v>
      </c>
      <c r="AA99" s="12">
        <v>9</v>
      </c>
      <c r="AB99" s="12">
        <v>10</v>
      </c>
      <c r="AC99" s="12">
        <v>4</v>
      </c>
      <c r="AD99" s="12">
        <v>28</v>
      </c>
      <c r="AE99" s="12">
        <v>10</v>
      </c>
      <c r="AF99" s="12">
        <v>23</v>
      </c>
      <c r="AG99" s="12">
        <v>22</v>
      </c>
      <c r="AH99" s="12">
        <v>28</v>
      </c>
      <c r="AI99" s="12">
        <v>6</v>
      </c>
      <c r="AJ99" s="13">
        <v>1</v>
      </c>
      <c r="AK99" s="13">
        <v>0</v>
      </c>
      <c r="AL99" s="13">
        <v>1</v>
      </c>
      <c r="AM99" s="13">
        <v>0</v>
      </c>
      <c r="AN99" s="13">
        <v>3</v>
      </c>
      <c r="AO99" s="13">
        <v>4</v>
      </c>
      <c r="AP99" s="13">
        <v>2</v>
      </c>
      <c r="AQ99" s="13">
        <v>1</v>
      </c>
      <c r="AR99" s="13">
        <v>6</v>
      </c>
      <c r="AS99" s="13">
        <v>0</v>
      </c>
      <c r="AT99" s="13">
        <v>2</v>
      </c>
      <c r="AU99" s="13">
        <v>2</v>
      </c>
      <c r="AV99" s="13">
        <v>0</v>
      </c>
      <c r="AW99" s="13">
        <v>0</v>
      </c>
      <c r="AX99" s="13">
        <v>1</v>
      </c>
      <c r="AY99" s="13"/>
      <c r="AZ99" s="329">
        <f t="shared" ref="AZ99:AZ127" si="46">IFERROR(D99/T99,"")</f>
        <v>113376.42548333334</v>
      </c>
      <c r="BA99" s="329">
        <f t="shared" ref="BA99:BA127" si="47">IFERROR(E99/U99,"")</f>
        <v>100054.64666666667</v>
      </c>
      <c r="BB99" s="329">
        <f t="shared" ref="BB99:BB127" si="48">IFERROR(F99/V99,"")</f>
        <v>56781.209333333332</v>
      </c>
      <c r="BC99" s="329">
        <f t="shared" ref="BC99:BC127" si="49">IFERROR(G99/W99,"")</f>
        <v>163695.16014999998</v>
      </c>
      <c r="BD99" s="329">
        <f t="shared" ref="BD99:BD127" si="50">IFERROR(H99/X99,"")</f>
        <v>68305.131139999998</v>
      </c>
      <c r="BE99" s="329">
        <f t="shared" ref="BE99:BE127" si="51">IFERROR(I99/Y99,"")</f>
        <v>125000</v>
      </c>
      <c r="BF99" s="329">
        <f t="shared" ref="BF99:BF127" si="52">IFERROR(J99/Z99,"")</f>
        <v>101648.56016666668</v>
      </c>
      <c r="BG99" s="329">
        <f t="shared" ref="BG99:BG127" si="53">IFERROR(K99/AA99,"")</f>
        <v>116668.33333333333</v>
      </c>
      <c r="BH99" s="329">
        <f t="shared" ref="BH99:BH127" si="54">IFERROR(L99/AB99,"")</f>
        <v>120440.1</v>
      </c>
      <c r="BI99" s="329">
        <f t="shared" ref="BI99:BI127" si="55">IFERROR(M99/AC99,"")</f>
        <v>137465.909025</v>
      </c>
      <c r="BJ99" s="329">
        <f t="shared" ref="BJ99:BJ127" si="56">IFERROR(N99/AD99,"")</f>
        <v>96227.5</v>
      </c>
      <c r="BK99" s="329">
        <f t="shared" ref="BK99:BK127" si="57">IFERROR(O99/AE99,"")</f>
        <v>373716.7</v>
      </c>
      <c r="BL99" s="329">
        <f t="shared" ref="BL99:BL127" si="58">IFERROR(P99/AF99,"")</f>
        <v>69817.173913043473</v>
      </c>
      <c r="BM99" s="329">
        <f t="shared" ref="BM99:BM127" si="59">IFERROR(Q99/AG99,"")</f>
        <v>121580.22727272728</v>
      </c>
      <c r="BN99" s="329">
        <f t="shared" si="44"/>
        <v>66888.558877963864</v>
      </c>
      <c r="BO99" s="329">
        <f t="shared" si="45"/>
        <v>348655.33333333331</v>
      </c>
      <c r="BP99" t="s">
        <v>196</v>
      </c>
    </row>
    <row r="100" spans="1:68" x14ac:dyDescent="0.25">
      <c r="A100" s="10" t="s">
        <v>211</v>
      </c>
      <c r="B100" s="10"/>
      <c r="C100" s="10" t="s">
        <v>212</v>
      </c>
      <c r="D100" s="11">
        <v>1197015.6500000001</v>
      </c>
      <c r="E100" s="11">
        <v>528182.89789999998</v>
      </c>
      <c r="F100" s="11">
        <v>699404.61800000002</v>
      </c>
      <c r="G100" s="11">
        <v>576091.74529999995</v>
      </c>
      <c r="H100" s="11">
        <v>0</v>
      </c>
      <c r="I100" s="11">
        <v>440000</v>
      </c>
      <c r="J100" s="11">
        <v>4877005.5959999999</v>
      </c>
      <c r="K100" s="11">
        <v>1761298</v>
      </c>
      <c r="L100" s="11">
        <v>2887311</v>
      </c>
      <c r="M100" s="11">
        <v>8656793.4268999994</v>
      </c>
      <c r="N100" s="11">
        <v>5844020</v>
      </c>
      <c r="O100" s="11">
        <v>4872498</v>
      </c>
      <c r="P100" s="11">
        <v>1770647</v>
      </c>
      <c r="Q100" s="11">
        <v>5016131</v>
      </c>
      <c r="R100" s="11">
        <v>9009866.7745650578</v>
      </c>
      <c r="S100" s="11">
        <v>6674064</v>
      </c>
      <c r="T100" s="12">
        <v>6</v>
      </c>
      <c r="U100" s="12">
        <v>3</v>
      </c>
      <c r="V100" s="12">
        <v>7</v>
      </c>
      <c r="W100" s="12">
        <v>2</v>
      </c>
      <c r="X100" s="12">
        <v>0</v>
      </c>
      <c r="Y100" s="12">
        <v>2</v>
      </c>
      <c r="Z100" s="12">
        <v>19</v>
      </c>
      <c r="AA100" s="12">
        <v>8</v>
      </c>
      <c r="AB100" s="12">
        <v>15</v>
      </c>
      <c r="AC100" s="12">
        <v>55</v>
      </c>
      <c r="AD100" s="12">
        <v>72</v>
      </c>
      <c r="AE100" s="12">
        <v>24</v>
      </c>
      <c r="AF100" s="12">
        <v>14</v>
      </c>
      <c r="AG100" s="12">
        <v>11</v>
      </c>
      <c r="AH100" s="12">
        <v>16</v>
      </c>
      <c r="AI100" s="12">
        <v>17</v>
      </c>
      <c r="AJ100" s="13">
        <v>9</v>
      </c>
      <c r="AK100" s="13">
        <v>18</v>
      </c>
      <c r="AL100" s="13">
        <v>30</v>
      </c>
      <c r="AM100" s="13">
        <v>29</v>
      </c>
      <c r="AN100" s="13">
        <v>20</v>
      </c>
      <c r="AO100" s="13">
        <v>44</v>
      </c>
      <c r="AP100" s="13">
        <v>45</v>
      </c>
      <c r="AQ100" s="13">
        <v>41</v>
      </c>
      <c r="AR100" s="13">
        <v>84</v>
      </c>
      <c r="AS100" s="13">
        <v>2</v>
      </c>
      <c r="AT100" s="13">
        <v>1</v>
      </c>
      <c r="AU100" s="13">
        <v>1</v>
      </c>
      <c r="AV100" s="13">
        <v>4</v>
      </c>
      <c r="AW100" s="13">
        <v>0</v>
      </c>
      <c r="AX100" s="13">
        <v>26</v>
      </c>
      <c r="AY100" s="13"/>
      <c r="AZ100" s="329">
        <f t="shared" si="46"/>
        <v>199502.60833333337</v>
      </c>
      <c r="BA100" s="329">
        <f t="shared" si="47"/>
        <v>176060.96596666667</v>
      </c>
      <c r="BB100" s="329">
        <f t="shared" si="48"/>
        <v>99914.945428571431</v>
      </c>
      <c r="BC100" s="329">
        <f t="shared" si="49"/>
        <v>288045.87264999998</v>
      </c>
      <c r="BD100" s="329" t="str">
        <f t="shared" si="50"/>
        <v/>
      </c>
      <c r="BE100" s="329">
        <f t="shared" si="51"/>
        <v>220000</v>
      </c>
      <c r="BF100" s="329">
        <f t="shared" si="52"/>
        <v>256684.50505263158</v>
      </c>
      <c r="BG100" s="329">
        <f t="shared" si="53"/>
        <v>220162.25</v>
      </c>
      <c r="BH100" s="329">
        <f t="shared" si="54"/>
        <v>192487.4</v>
      </c>
      <c r="BI100" s="329">
        <f t="shared" si="55"/>
        <v>157396.24412545454</v>
      </c>
      <c r="BJ100" s="329">
        <f t="shared" si="56"/>
        <v>81166.944444444438</v>
      </c>
      <c r="BK100" s="329">
        <f t="shared" si="57"/>
        <v>203020.75</v>
      </c>
      <c r="BL100" s="329">
        <f t="shared" si="58"/>
        <v>126474.78571428571</v>
      </c>
      <c r="BM100" s="329">
        <f t="shared" si="59"/>
        <v>456011.90909090912</v>
      </c>
      <c r="BN100" s="329">
        <f t="shared" si="44"/>
        <v>563116.67341031611</v>
      </c>
      <c r="BO100" s="329">
        <f t="shared" si="45"/>
        <v>392592</v>
      </c>
      <c r="BP100" t="s">
        <v>196</v>
      </c>
    </row>
    <row r="101" spans="1:68" x14ac:dyDescent="0.25">
      <c r="A101" s="10" t="s">
        <v>213</v>
      </c>
      <c r="B101" s="10"/>
      <c r="C101" s="10" t="s">
        <v>214</v>
      </c>
      <c r="D101" s="11">
        <v>0</v>
      </c>
      <c r="E101" s="11">
        <v>0</v>
      </c>
      <c r="F101" s="11">
        <v>121771.3397</v>
      </c>
      <c r="G101" s="11">
        <v>0</v>
      </c>
      <c r="H101" s="11">
        <v>3076189.3939999999</v>
      </c>
      <c r="I101" s="11">
        <v>1608000</v>
      </c>
      <c r="J101" s="11">
        <v>1614646.6140000001</v>
      </c>
      <c r="K101" s="11">
        <v>1569813</v>
      </c>
      <c r="L101" s="11">
        <v>0</v>
      </c>
      <c r="M101" s="11">
        <v>0</v>
      </c>
      <c r="N101" s="11">
        <v>0</v>
      </c>
      <c r="O101" s="11" t="s">
        <v>38</v>
      </c>
      <c r="P101" s="11">
        <v>0</v>
      </c>
      <c r="Q101" s="11" t="s">
        <v>38</v>
      </c>
      <c r="R101" s="11">
        <v>0</v>
      </c>
      <c r="S101" s="11" t="s">
        <v>38</v>
      </c>
      <c r="T101" s="12">
        <v>0</v>
      </c>
      <c r="U101" s="12">
        <v>0</v>
      </c>
      <c r="V101" s="12">
        <v>1</v>
      </c>
      <c r="W101" s="12">
        <v>0</v>
      </c>
      <c r="X101" s="12">
        <v>21</v>
      </c>
      <c r="Y101" s="12">
        <v>6</v>
      </c>
      <c r="Z101" s="12">
        <v>7</v>
      </c>
      <c r="AA101" s="12">
        <v>6</v>
      </c>
      <c r="AB101" s="12">
        <v>0</v>
      </c>
      <c r="AC101" s="12">
        <v>1</v>
      </c>
      <c r="AD101" s="12">
        <v>0</v>
      </c>
      <c r="AE101" s="12">
        <v>0</v>
      </c>
      <c r="AF101" s="12">
        <v>0</v>
      </c>
      <c r="AG101" s="12" t="s">
        <v>38</v>
      </c>
      <c r="AH101" s="12" t="s">
        <v>38</v>
      </c>
      <c r="AI101" s="12" t="s">
        <v>38</v>
      </c>
      <c r="AJ101" s="13">
        <v>0</v>
      </c>
      <c r="AK101" s="13">
        <v>1</v>
      </c>
      <c r="AL101" s="13">
        <v>0</v>
      </c>
      <c r="AM101" s="13">
        <v>1</v>
      </c>
      <c r="AN101" s="13">
        <v>0</v>
      </c>
      <c r="AO101" s="13">
        <v>3</v>
      </c>
      <c r="AP101" s="13">
        <v>2</v>
      </c>
      <c r="AQ101" s="13">
        <v>1</v>
      </c>
      <c r="AR101" s="13">
        <v>1</v>
      </c>
      <c r="AS101" s="13"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/>
      <c r="AZ101" s="329" t="str">
        <f t="shared" si="46"/>
        <v/>
      </c>
      <c r="BA101" s="329" t="str">
        <f t="shared" si="47"/>
        <v/>
      </c>
      <c r="BB101" s="329">
        <f t="shared" si="48"/>
        <v>121771.3397</v>
      </c>
      <c r="BC101" s="329" t="str">
        <f t="shared" si="49"/>
        <v/>
      </c>
      <c r="BD101" s="329">
        <f t="shared" si="50"/>
        <v>146485.20923809524</v>
      </c>
      <c r="BE101" s="329">
        <f t="shared" si="51"/>
        <v>268000</v>
      </c>
      <c r="BF101" s="329">
        <f t="shared" si="52"/>
        <v>230663.802</v>
      </c>
      <c r="BG101" s="329">
        <f t="shared" si="53"/>
        <v>261635.5</v>
      </c>
      <c r="BH101" s="329" t="str">
        <f t="shared" si="54"/>
        <v/>
      </c>
      <c r="BI101" s="329">
        <f t="shared" si="55"/>
        <v>0</v>
      </c>
      <c r="BJ101" s="329" t="str">
        <f t="shared" si="56"/>
        <v/>
      </c>
      <c r="BK101" s="329" t="str">
        <f t="shared" si="57"/>
        <v/>
      </c>
      <c r="BL101" s="329" t="str">
        <f t="shared" si="58"/>
        <v/>
      </c>
      <c r="BM101" s="329" t="str">
        <f t="shared" si="59"/>
        <v/>
      </c>
      <c r="BN101" s="329" t="str">
        <f t="shared" si="44"/>
        <v/>
      </c>
      <c r="BO101" s="329" t="str">
        <f t="shared" si="45"/>
        <v/>
      </c>
      <c r="BP101" t="s">
        <v>196</v>
      </c>
    </row>
    <row r="102" spans="1:68" x14ac:dyDescent="0.25">
      <c r="A102" s="10" t="s">
        <v>215</v>
      </c>
      <c r="B102" s="10"/>
      <c r="C102" s="10" t="s">
        <v>216</v>
      </c>
      <c r="D102" s="11">
        <v>0</v>
      </c>
      <c r="E102" s="11">
        <v>0</v>
      </c>
      <c r="F102" s="11">
        <v>147601.62390000001</v>
      </c>
      <c r="G102" s="11">
        <v>0</v>
      </c>
      <c r="H102" s="11">
        <v>1065346.976</v>
      </c>
      <c r="I102" s="11">
        <v>0</v>
      </c>
      <c r="J102" s="11">
        <v>939155.23899999994</v>
      </c>
      <c r="K102" s="11">
        <v>367544</v>
      </c>
      <c r="L102" s="11">
        <v>0</v>
      </c>
      <c r="M102" s="11">
        <v>0</v>
      </c>
      <c r="N102" s="11">
        <v>3699</v>
      </c>
      <c r="O102" s="11">
        <v>21391</v>
      </c>
      <c r="P102" s="11">
        <v>100236</v>
      </c>
      <c r="Q102" s="11">
        <v>155647</v>
      </c>
      <c r="R102" s="11">
        <v>517172.61571891012</v>
      </c>
      <c r="S102" s="11">
        <v>1092589</v>
      </c>
      <c r="T102" s="12">
        <v>0</v>
      </c>
      <c r="U102" s="12">
        <v>0</v>
      </c>
      <c r="V102" s="12">
        <v>1</v>
      </c>
      <c r="W102" s="12">
        <v>0</v>
      </c>
      <c r="X102" s="12">
        <v>6</v>
      </c>
      <c r="Y102" s="12">
        <v>0</v>
      </c>
      <c r="Z102" s="12">
        <v>3</v>
      </c>
      <c r="AA102" s="12">
        <v>1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 t="s">
        <v>38</v>
      </c>
      <c r="AH102" s="12">
        <v>1</v>
      </c>
      <c r="AI102" s="12">
        <v>2</v>
      </c>
      <c r="AJ102" s="13">
        <v>1</v>
      </c>
      <c r="AK102" s="13">
        <v>4</v>
      </c>
      <c r="AL102" s="13">
        <v>1</v>
      </c>
      <c r="AM102" s="13">
        <v>6</v>
      </c>
      <c r="AN102" s="13">
        <v>2</v>
      </c>
      <c r="AO102" s="13">
        <v>20</v>
      </c>
      <c r="AP102" s="13">
        <v>7</v>
      </c>
      <c r="AQ102" s="13">
        <v>5</v>
      </c>
      <c r="AR102" s="13">
        <v>1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7</v>
      </c>
      <c r="AY102" s="13"/>
      <c r="AZ102" s="329" t="str">
        <f t="shared" si="46"/>
        <v/>
      </c>
      <c r="BA102" s="329" t="str">
        <f t="shared" si="47"/>
        <v/>
      </c>
      <c r="BB102" s="329">
        <f t="shared" si="48"/>
        <v>147601.62390000001</v>
      </c>
      <c r="BC102" s="329" t="str">
        <f t="shared" si="49"/>
        <v/>
      </c>
      <c r="BD102" s="329">
        <f t="shared" si="50"/>
        <v>177557.82933333333</v>
      </c>
      <c r="BE102" s="329" t="str">
        <f t="shared" si="51"/>
        <v/>
      </c>
      <c r="BF102" s="329">
        <f t="shared" si="52"/>
        <v>313051.74633333331</v>
      </c>
      <c r="BG102" s="329">
        <f t="shared" si="53"/>
        <v>367544</v>
      </c>
      <c r="BH102" s="329" t="str">
        <f t="shared" si="54"/>
        <v/>
      </c>
      <c r="BI102" s="329" t="str">
        <f t="shared" si="55"/>
        <v/>
      </c>
      <c r="BJ102" s="329" t="str">
        <f t="shared" si="56"/>
        <v/>
      </c>
      <c r="BK102" s="329" t="str">
        <f t="shared" si="57"/>
        <v/>
      </c>
      <c r="BL102" s="329" t="str">
        <f t="shared" si="58"/>
        <v/>
      </c>
      <c r="BM102" s="329" t="str">
        <f t="shared" si="59"/>
        <v/>
      </c>
      <c r="BN102" s="329">
        <f t="shared" si="44"/>
        <v>517172.61571891012</v>
      </c>
      <c r="BO102" s="329">
        <f t="shared" si="45"/>
        <v>546294.5</v>
      </c>
      <c r="BP102" t="s">
        <v>196</v>
      </c>
    </row>
    <row r="103" spans="1:68" x14ac:dyDescent="0.25">
      <c r="A103" s="10" t="s">
        <v>217</v>
      </c>
      <c r="B103" s="10"/>
      <c r="C103" s="10" t="s">
        <v>218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 t="s">
        <v>38</v>
      </c>
      <c r="P103" s="11">
        <v>25300</v>
      </c>
      <c r="Q103" s="11">
        <v>120693</v>
      </c>
      <c r="R103" s="11">
        <v>399246.48477990506</v>
      </c>
      <c r="S103" s="11">
        <v>1345327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 t="s">
        <v>38</v>
      </c>
      <c r="AH103" s="12" t="s">
        <v>38</v>
      </c>
      <c r="AI103" s="12" t="s">
        <v>38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1</v>
      </c>
      <c r="AP103" s="13">
        <v>0</v>
      </c>
      <c r="AQ103" s="13">
        <v>0</v>
      </c>
      <c r="AR103" s="13">
        <v>2</v>
      </c>
      <c r="AS103" s="13"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/>
      <c r="AZ103" s="329" t="str">
        <f t="shared" si="46"/>
        <v/>
      </c>
      <c r="BA103" s="329" t="str">
        <f t="shared" si="47"/>
        <v/>
      </c>
      <c r="BB103" s="329" t="str">
        <f t="shared" si="48"/>
        <v/>
      </c>
      <c r="BC103" s="329" t="str">
        <f t="shared" si="49"/>
        <v/>
      </c>
      <c r="BD103" s="329" t="str">
        <f t="shared" si="50"/>
        <v/>
      </c>
      <c r="BE103" s="329" t="str">
        <f t="shared" si="51"/>
        <v/>
      </c>
      <c r="BF103" s="329" t="str">
        <f t="shared" si="52"/>
        <v/>
      </c>
      <c r="BG103" s="329" t="str">
        <f t="shared" si="53"/>
        <v/>
      </c>
      <c r="BH103" s="329" t="str">
        <f t="shared" si="54"/>
        <v/>
      </c>
      <c r="BI103" s="329" t="str">
        <f t="shared" si="55"/>
        <v/>
      </c>
      <c r="BJ103" s="329" t="str">
        <f t="shared" si="56"/>
        <v/>
      </c>
      <c r="BK103" s="329" t="str">
        <f t="shared" si="57"/>
        <v/>
      </c>
      <c r="BL103" s="329" t="str">
        <f t="shared" si="58"/>
        <v/>
      </c>
      <c r="BM103" s="329" t="str">
        <f t="shared" si="59"/>
        <v/>
      </c>
      <c r="BN103" s="329" t="str">
        <f t="shared" si="44"/>
        <v/>
      </c>
      <c r="BO103" s="329" t="str">
        <f t="shared" si="45"/>
        <v/>
      </c>
      <c r="BP103" t="s">
        <v>196</v>
      </c>
    </row>
    <row r="104" spans="1:68" x14ac:dyDescent="0.25">
      <c r="A104" s="10" t="s">
        <v>219</v>
      </c>
      <c r="B104" s="10"/>
      <c r="C104" s="10" t="s">
        <v>220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 t="s">
        <v>38</v>
      </c>
      <c r="P104" s="11">
        <v>0</v>
      </c>
      <c r="Q104" s="11" t="s">
        <v>38</v>
      </c>
      <c r="R104" s="11">
        <v>0</v>
      </c>
      <c r="S104" s="11" t="s">
        <v>38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 t="s">
        <v>38</v>
      </c>
      <c r="AH104" s="12" t="s">
        <v>38</v>
      </c>
      <c r="AI104" s="12" t="s">
        <v>38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2</v>
      </c>
      <c r="AP104" s="13">
        <v>1</v>
      </c>
      <c r="AQ104" s="13">
        <v>0</v>
      </c>
      <c r="AR104" s="13">
        <v>7</v>
      </c>
      <c r="AS104" s="13"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/>
      <c r="AZ104" s="329" t="str">
        <f t="shared" si="46"/>
        <v/>
      </c>
      <c r="BA104" s="329" t="str">
        <f t="shared" si="47"/>
        <v/>
      </c>
      <c r="BB104" s="329" t="str">
        <f t="shared" si="48"/>
        <v/>
      </c>
      <c r="BC104" s="329" t="str">
        <f t="shared" si="49"/>
        <v/>
      </c>
      <c r="BD104" s="329" t="str">
        <f t="shared" si="50"/>
        <v/>
      </c>
      <c r="BE104" s="329" t="str">
        <f t="shared" si="51"/>
        <v/>
      </c>
      <c r="BF104" s="329" t="str">
        <f t="shared" si="52"/>
        <v/>
      </c>
      <c r="BG104" s="329" t="str">
        <f t="shared" si="53"/>
        <v/>
      </c>
      <c r="BH104" s="329" t="str">
        <f t="shared" si="54"/>
        <v/>
      </c>
      <c r="BI104" s="329" t="str">
        <f t="shared" si="55"/>
        <v/>
      </c>
      <c r="BJ104" s="329" t="str">
        <f t="shared" si="56"/>
        <v/>
      </c>
      <c r="BK104" s="329" t="str">
        <f t="shared" si="57"/>
        <v/>
      </c>
      <c r="BL104" s="329" t="str">
        <f t="shared" si="58"/>
        <v/>
      </c>
      <c r="BM104" s="329" t="str">
        <f t="shared" si="59"/>
        <v/>
      </c>
      <c r="BN104" s="329" t="str">
        <f t="shared" si="44"/>
        <v/>
      </c>
      <c r="BO104" s="329" t="str">
        <f t="shared" si="45"/>
        <v/>
      </c>
      <c r="BP104" t="s">
        <v>196</v>
      </c>
    </row>
    <row r="105" spans="1:68" x14ac:dyDescent="0.25">
      <c r="A105" s="10" t="s">
        <v>63</v>
      </c>
      <c r="B105" s="10"/>
      <c r="C105" s="10" t="s">
        <v>64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 t="s">
        <v>38</v>
      </c>
      <c r="P105" s="11">
        <v>0</v>
      </c>
      <c r="Q105" s="11">
        <v>0</v>
      </c>
      <c r="R105" s="11">
        <v>0</v>
      </c>
      <c r="S105" s="11">
        <v>99165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 t="s">
        <v>38</v>
      </c>
      <c r="AH105" s="12">
        <v>1</v>
      </c>
      <c r="AI105" s="12" t="s">
        <v>38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5</v>
      </c>
      <c r="AV105" s="13">
        <v>0</v>
      </c>
      <c r="AW105" s="13">
        <v>0</v>
      </c>
      <c r="AX105" s="13">
        <v>0</v>
      </c>
      <c r="AY105" s="13"/>
      <c r="AZ105" s="329" t="str">
        <f t="shared" si="46"/>
        <v/>
      </c>
      <c r="BA105" s="329" t="str">
        <f t="shared" si="47"/>
        <v/>
      </c>
      <c r="BB105" s="329" t="str">
        <f t="shared" si="48"/>
        <v/>
      </c>
      <c r="BC105" s="329" t="str">
        <f t="shared" si="49"/>
        <v/>
      </c>
      <c r="BD105" s="329" t="str">
        <f t="shared" si="50"/>
        <v/>
      </c>
      <c r="BE105" s="329" t="str">
        <f t="shared" si="51"/>
        <v/>
      </c>
      <c r="BF105" s="329" t="str">
        <f t="shared" si="52"/>
        <v/>
      </c>
      <c r="BG105" s="329" t="str">
        <f t="shared" si="53"/>
        <v/>
      </c>
      <c r="BH105" s="329" t="str">
        <f t="shared" si="54"/>
        <v/>
      </c>
      <c r="BI105" s="329" t="str">
        <f t="shared" si="55"/>
        <v/>
      </c>
      <c r="BJ105" s="329" t="str">
        <f t="shared" si="56"/>
        <v/>
      </c>
      <c r="BK105" s="329" t="str">
        <f t="shared" si="57"/>
        <v/>
      </c>
      <c r="BL105" s="329" t="str">
        <f t="shared" si="58"/>
        <v/>
      </c>
      <c r="BM105" s="329" t="str">
        <f t="shared" si="59"/>
        <v/>
      </c>
      <c r="BN105" s="329">
        <f t="shared" si="44"/>
        <v>0</v>
      </c>
      <c r="BO105" s="329" t="str">
        <f t="shared" si="45"/>
        <v/>
      </c>
      <c r="BP105" t="s">
        <v>63</v>
      </c>
    </row>
    <row r="106" spans="1:68" x14ac:dyDescent="0.25">
      <c r="A106" s="10" t="s">
        <v>221</v>
      </c>
      <c r="B106" s="10" t="s">
        <v>222</v>
      </c>
      <c r="C106" s="10" t="s">
        <v>223</v>
      </c>
      <c r="D106" s="11">
        <v>177123.02829999998</v>
      </c>
      <c r="E106" s="11">
        <v>279729.14370000002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505822</v>
      </c>
      <c r="M106" s="11">
        <v>1166392.3362</v>
      </c>
      <c r="N106" s="11">
        <v>1195834</v>
      </c>
      <c r="O106" s="11">
        <v>1275864</v>
      </c>
      <c r="P106" s="11">
        <v>0</v>
      </c>
      <c r="Q106" s="11">
        <v>0</v>
      </c>
      <c r="R106" s="11">
        <v>0</v>
      </c>
      <c r="S106" s="11" t="s">
        <v>38</v>
      </c>
      <c r="T106" s="12">
        <v>522</v>
      </c>
      <c r="U106" s="12">
        <v>734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323</v>
      </c>
      <c r="AD106" s="12">
        <v>366</v>
      </c>
      <c r="AE106" s="12">
        <v>474</v>
      </c>
      <c r="AF106" s="12">
        <v>0</v>
      </c>
      <c r="AG106" s="12">
        <v>0</v>
      </c>
      <c r="AH106" s="12">
        <v>0</v>
      </c>
      <c r="AI106" s="12" t="s">
        <v>38</v>
      </c>
      <c r="AJ106" s="13">
        <v>181</v>
      </c>
      <c r="AK106" s="13">
        <v>115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8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/>
      <c r="AZ106" s="329">
        <f t="shared" si="46"/>
        <v>339.31614616858235</v>
      </c>
      <c r="BA106" s="329">
        <f t="shared" si="47"/>
        <v>381.10237561307906</v>
      </c>
      <c r="BB106" s="329" t="str">
        <f t="shared" si="48"/>
        <v/>
      </c>
      <c r="BC106" s="329" t="str">
        <f t="shared" si="49"/>
        <v/>
      </c>
      <c r="BD106" s="329" t="str">
        <f t="shared" si="50"/>
        <v/>
      </c>
      <c r="BE106" s="329" t="str">
        <f t="shared" si="51"/>
        <v/>
      </c>
      <c r="BF106" s="329" t="str">
        <f t="shared" si="52"/>
        <v/>
      </c>
      <c r="BG106" s="329" t="str">
        <f t="shared" si="53"/>
        <v/>
      </c>
      <c r="BH106" s="329" t="str">
        <f t="shared" si="54"/>
        <v/>
      </c>
      <c r="BI106" s="329">
        <f t="shared" si="55"/>
        <v>3611.1217839009287</v>
      </c>
      <c r="BJ106" s="329">
        <f t="shared" si="56"/>
        <v>3267.3060109289618</v>
      </c>
      <c r="BK106" s="329">
        <f t="shared" si="57"/>
        <v>2691.6962025316457</v>
      </c>
      <c r="BL106" s="329" t="str">
        <f t="shared" si="58"/>
        <v/>
      </c>
      <c r="BM106" s="329" t="str">
        <f t="shared" si="59"/>
        <v/>
      </c>
      <c r="BN106" s="329" t="str">
        <f t="shared" si="44"/>
        <v/>
      </c>
      <c r="BO106" s="329" t="str">
        <f t="shared" si="45"/>
        <v/>
      </c>
      <c r="BP106" t="s">
        <v>224</v>
      </c>
    </row>
    <row r="107" spans="1:68" x14ac:dyDescent="0.25">
      <c r="A107" s="10" t="s">
        <v>225</v>
      </c>
      <c r="B107" s="10"/>
      <c r="C107" s="10" t="s">
        <v>226</v>
      </c>
      <c r="D107" s="11">
        <v>237314.0246</v>
      </c>
      <c r="E107" s="11">
        <v>296715.8235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549191</v>
      </c>
      <c r="M107" s="11">
        <v>1048984.7150000001</v>
      </c>
      <c r="N107" s="11">
        <v>1554326</v>
      </c>
      <c r="O107" s="11">
        <v>2917919</v>
      </c>
      <c r="P107" s="11">
        <v>0</v>
      </c>
      <c r="Q107" s="11">
        <v>0</v>
      </c>
      <c r="R107" s="11">
        <v>0</v>
      </c>
      <c r="S107" s="11" t="s">
        <v>38</v>
      </c>
      <c r="T107" s="12">
        <v>1304</v>
      </c>
      <c r="U107" s="12">
        <v>1145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587</v>
      </c>
      <c r="AD107" s="12">
        <v>729</v>
      </c>
      <c r="AE107" s="12">
        <v>1119</v>
      </c>
      <c r="AF107" s="12">
        <v>0</v>
      </c>
      <c r="AG107" s="12">
        <v>0</v>
      </c>
      <c r="AH107" s="12">
        <v>0</v>
      </c>
      <c r="AI107" s="12" t="s">
        <v>38</v>
      </c>
      <c r="AJ107" s="13">
        <v>141</v>
      </c>
      <c r="AK107" s="13">
        <v>107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30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/>
      <c r="AZ107" s="329">
        <f t="shared" si="46"/>
        <v>181.98928266871167</v>
      </c>
      <c r="BA107" s="329">
        <f t="shared" si="47"/>
        <v>259.14045720524018</v>
      </c>
      <c r="BB107" s="329" t="str">
        <f t="shared" si="48"/>
        <v/>
      </c>
      <c r="BC107" s="329" t="str">
        <f t="shared" si="49"/>
        <v/>
      </c>
      <c r="BD107" s="329" t="str">
        <f t="shared" si="50"/>
        <v/>
      </c>
      <c r="BE107" s="329" t="str">
        <f t="shared" si="51"/>
        <v/>
      </c>
      <c r="BF107" s="329" t="str">
        <f t="shared" si="52"/>
        <v/>
      </c>
      <c r="BG107" s="329" t="str">
        <f t="shared" si="53"/>
        <v/>
      </c>
      <c r="BH107" s="329" t="str">
        <f t="shared" si="54"/>
        <v/>
      </c>
      <c r="BI107" s="329">
        <f t="shared" si="55"/>
        <v>1787.0267717206134</v>
      </c>
      <c r="BJ107" s="329">
        <f t="shared" si="56"/>
        <v>2132.1344307270233</v>
      </c>
      <c r="BK107" s="329">
        <f t="shared" si="57"/>
        <v>2607.6130473637177</v>
      </c>
      <c r="BL107" s="329" t="str">
        <f t="shared" si="58"/>
        <v/>
      </c>
      <c r="BM107" s="329" t="str">
        <f t="shared" si="59"/>
        <v/>
      </c>
      <c r="BN107" s="329" t="str">
        <f t="shared" si="44"/>
        <v/>
      </c>
      <c r="BO107" s="329" t="str">
        <f t="shared" si="45"/>
        <v/>
      </c>
      <c r="BP107" t="s">
        <v>224</v>
      </c>
    </row>
    <row r="108" spans="1:68" x14ac:dyDescent="0.25">
      <c r="A108" s="10" t="s">
        <v>227</v>
      </c>
      <c r="B108" s="10"/>
      <c r="C108" s="10" t="s">
        <v>228</v>
      </c>
      <c r="D108" s="11">
        <v>38343.374609999999</v>
      </c>
      <c r="E108" s="11">
        <v>66691.727639999997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30329</v>
      </c>
      <c r="M108" s="11">
        <v>322731.75030000001</v>
      </c>
      <c r="N108" s="11">
        <v>413200</v>
      </c>
      <c r="O108" s="11">
        <v>716795</v>
      </c>
      <c r="P108" s="11">
        <v>0</v>
      </c>
      <c r="Q108" s="11">
        <v>0</v>
      </c>
      <c r="R108" s="11">
        <v>0</v>
      </c>
      <c r="S108" s="11" t="s">
        <v>38</v>
      </c>
      <c r="T108" s="12">
        <v>83</v>
      </c>
      <c r="U108" s="12">
        <v>148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130</v>
      </c>
      <c r="AD108" s="12">
        <v>189</v>
      </c>
      <c r="AE108" s="12">
        <v>405</v>
      </c>
      <c r="AF108" s="12">
        <v>0</v>
      </c>
      <c r="AG108" s="12">
        <v>0</v>
      </c>
      <c r="AH108" s="12">
        <v>0</v>
      </c>
      <c r="AI108" s="12" t="s">
        <v>38</v>
      </c>
      <c r="AJ108" s="13">
        <v>19</v>
      </c>
      <c r="AK108" s="13">
        <v>16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2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/>
      <c r="AZ108" s="329">
        <f t="shared" si="46"/>
        <v>461.96836879518071</v>
      </c>
      <c r="BA108" s="329">
        <f t="shared" si="47"/>
        <v>450.61978135135132</v>
      </c>
      <c r="BB108" s="329" t="str">
        <f t="shared" si="48"/>
        <v/>
      </c>
      <c r="BC108" s="329" t="str">
        <f t="shared" si="49"/>
        <v/>
      </c>
      <c r="BD108" s="329" t="str">
        <f t="shared" si="50"/>
        <v/>
      </c>
      <c r="BE108" s="329" t="str">
        <f t="shared" si="51"/>
        <v/>
      </c>
      <c r="BF108" s="329" t="str">
        <f t="shared" si="52"/>
        <v/>
      </c>
      <c r="BG108" s="329" t="str">
        <f t="shared" si="53"/>
        <v/>
      </c>
      <c r="BH108" s="329" t="str">
        <f t="shared" si="54"/>
        <v/>
      </c>
      <c r="BI108" s="329">
        <f t="shared" si="55"/>
        <v>2482.5519253846155</v>
      </c>
      <c r="BJ108" s="329">
        <f t="shared" si="56"/>
        <v>2186.2433862433863</v>
      </c>
      <c r="BK108" s="329">
        <f t="shared" si="57"/>
        <v>1769.8641975308642</v>
      </c>
      <c r="BL108" s="329" t="str">
        <f t="shared" si="58"/>
        <v/>
      </c>
      <c r="BM108" s="329" t="str">
        <f t="shared" si="59"/>
        <v/>
      </c>
      <c r="BN108" s="329" t="str">
        <f t="shared" si="44"/>
        <v/>
      </c>
      <c r="BO108" s="329" t="str">
        <f t="shared" si="45"/>
        <v/>
      </c>
      <c r="BP108" t="s">
        <v>224</v>
      </c>
    </row>
    <row r="109" spans="1:68" x14ac:dyDescent="0.25">
      <c r="A109" s="10" t="s">
        <v>229</v>
      </c>
      <c r="B109" s="10"/>
      <c r="C109" s="10" t="s">
        <v>230</v>
      </c>
      <c r="D109" s="11">
        <v>29578.67913</v>
      </c>
      <c r="E109" s="11">
        <v>33581.547229999996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36520</v>
      </c>
      <c r="M109" s="11">
        <v>244614.6783</v>
      </c>
      <c r="N109" s="11">
        <v>252187</v>
      </c>
      <c r="O109" s="11">
        <v>549367</v>
      </c>
      <c r="P109" s="11">
        <v>0</v>
      </c>
      <c r="Q109" s="11">
        <v>0</v>
      </c>
      <c r="R109" s="11">
        <v>0</v>
      </c>
      <c r="S109" s="11" t="s">
        <v>38</v>
      </c>
      <c r="T109" s="12">
        <v>171</v>
      </c>
      <c r="U109" s="12">
        <v>191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273</v>
      </c>
      <c r="AD109" s="12">
        <v>366</v>
      </c>
      <c r="AE109" s="12">
        <v>909</v>
      </c>
      <c r="AF109" s="12">
        <v>0</v>
      </c>
      <c r="AG109" s="12">
        <v>0</v>
      </c>
      <c r="AH109" s="12">
        <v>0</v>
      </c>
      <c r="AI109" s="12" t="s">
        <v>38</v>
      </c>
      <c r="AJ109" s="13">
        <v>43</v>
      </c>
      <c r="AK109" s="13">
        <v>58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5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/>
      <c r="AZ109" s="329">
        <f t="shared" si="46"/>
        <v>172.97473175438597</v>
      </c>
      <c r="BA109" s="329">
        <f t="shared" si="47"/>
        <v>175.81961900523558</v>
      </c>
      <c r="BB109" s="329" t="str">
        <f t="shared" si="48"/>
        <v/>
      </c>
      <c r="BC109" s="329" t="str">
        <f t="shared" si="49"/>
        <v/>
      </c>
      <c r="BD109" s="329" t="str">
        <f t="shared" si="50"/>
        <v/>
      </c>
      <c r="BE109" s="329" t="str">
        <f t="shared" si="51"/>
        <v/>
      </c>
      <c r="BF109" s="329" t="str">
        <f t="shared" si="52"/>
        <v/>
      </c>
      <c r="BG109" s="329" t="str">
        <f t="shared" si="53"/>
        <v/>
      </c>
      <c r="BH109" s="329" t="str">
        <f t="shared" si="54"/>
        <v/>
      </c>
      <c r="BI109" s="329">
        <f t="shared" si="55"/>
        <v>896.0244626373626</v>
      </c>
      <c r="BJ109" s="329">
        <f t="shared" si="56"/>
        <v>689.03551912568309</v>
      </c>
      <c r="BK109" s="329">
        <f t="shared" si="57"/>
        <v>604.3641364136414</v>
      </c>
      <c r="BL109" s="329" t="str">
        <f t="shared" si="58"/>
        <v/>
      </c>
      <c r="BM109" s="329" t="str">
        <f t="shared" si="59"/>
        <v/>
      </c>
      <c r="BN109" s="329" t="str">
        <f t="shared" si="44"/>
        <v/>
      </c>
      <c r="BO109" s="329" t="str">
        <f t="shared" si="45"/>
        <v/>
      </c>
      <c r="BP109" t="s">
        <v>224</v>
      </c>
    </row>
    <row r="110" spans="1:68" x14ac:dyDescent="0.25">
      <c r="A110" s="10" t="s">
        <v>231</v>
      </c>
      <c r="B110" s="10"/>
      <c r="C110" s="10" t="s">
        <v>232</v>
      </c>
      <c r="D110" s="11">
        <v>37509.478920000001</v>
      </c>
      <c r="E110" s="11">
        <v>61471.379869999997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36441</v>
      </c>
      <c r="M110" s="11">
        <v>93074.683600000004</v>
      </c>
      <c r="N110" s="11">
        <v>54003</v>
      </c>
      <c r="O110" s="11">
        <v>113398</v>
      </c>
      <c r="P110" s="11">
        <v>0</v>
      </c>
      <c r="Q110" s="11">
        <v>0</v>
      </c>
      <c r="R110" s="11">
        <v>0</v>
      </c>
      <c r="S110" s="11" t="s">
        <v>38</v>
      </c>
      <c r="T110" s="12">
        <v>1152</v>
      </c>
      <c r="U110" s="12">
        <v>1518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393</v>
      </c>
      <c r="AD110" s="12">
        <v>379</v>
      </c>
      <c r="AE110" s="12">
        <v>554</v>
      </c>
      <c r="AF110" s="12">
        <v>0</v>
      </c>
      <c r="AG110" s="12">
        <v>0</v>
      </c>
      <c r="AH110" s="12">
        <v>0</v>
      </c>
      <c r="AI110" s="12" t="s">
        <v>38</v>
      </c>
      <c r="AJ110" s="13">
        <v>541</v>
      </c>
      <c r="AK110" s="13">
        <v>516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46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/>
      <c r="AZ110" s="329">
        <f t="shared" si="46"/>
        <v>32.560311562500004</v>
      </c>
      <c r="BA110" s="329">
        <f t="shared" si="47"/>
        <v>40.494980151515151</v>
      </c>
      <c r="BB110" s="329" t="str">
        <f t="shared" si="48"/>
        <v/>
      </c>
      <c r="BC110" s="329" t="str">
        <f t="shared" si="49"/>
        <v/>
      </c>
      <c r="BD110" s="329" t="str">
        <f t="shared" si="50"/>
        <v/>
      </c>
      <c r="BE110" s="329" t="str">
        <f t="shared" si="51"/>
        <v/>
      </c>
      <c r="BF110" s="329" t="str">
        <f t="shared" si="52"/>
        <v/>
      </c>
      <c r="BG110" s="329" t="str">
        <f t="shared" si="53"/>
        <v/>
      </c>
      <c r="BH110" s="329" t="str">
        <f t="shared" si="54"/>
        <v/>
      </c>
      <c r="BI110" s="329">
        <f t="shared" si="55"/>
        <v>236.83125597964377</v>
      </c>
      <c r="BJ110" s="329">
        <f t="shared" si="56"/>
        <v>142.48812664907652</v>
      </c>
      <c r="BK110" s="329">
        <f t="shared" si="57"/>
        <v>204.68953068592057</v>
      </c>
      <c r="BL110" s="329" t="str">
        <f t="shared" si="58"/>
        <v/>
      </c>
      <c r="BM110" s="329" t="str">
        <f t="shared" si="59"/>
        <v/>
      </c>
      <c r="BN110" s="329" t="str">
        <f t="shared" si="44"/>
        <v/>
      </c>
      <c r="BO110" s="329" t="str">
        <f t="shared" si="45"/>
        <v/>
      </c>
      <c r="BP110" t="s">
        <v>224</v>
      </c>
    </row>
    <row r="111" spans="1:68" x14ac:dyDescent="0.25">
      <c r="A111" s="10" t="s">
        <v>233</v>
      </c>
      <c r="B111" s="10"/>
      <c r="C111" s="10" t="s">
        <v>234</v>
      </c>
      <c r="D111" s="11">
        <v>27551.375179999999</v>
      </c>
      <c r="E111" s="11">
        <v>24509.38853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16016</v>
      </c>
      <c r="M111" s="11">
        <v>70971.826300000001</v>
      </c>
      <c r="N111" s="11">
        <v>33950</v>
      </c>
      <c r="O111" s="11">
        <v>128163</v>
      </c>
      <c r="P111" s="11">
        <v>0</v>
      </c>
      <c r="Q111" s="11">
        <v>0</v>
      </c>
      <c r="R111" s="11">
        <v>0</v>
      </c>
      <c r="S111" s="11" t="s">
        <v>38</v>
      </c>
      <c r="T111" s="12">
        <v>4327</v>
      </c>
      <c r="U111" s="12">
        <v>1760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736</v>
      </c>
      <c r="AD111" s="12">
        <v>835</v>
      </c>
      <c r="AE111" s="12">
        <v>1409</v>
      </c>
      <c r="AF111" s="12">
        <v>0</v>
      </c>
      <c r="AG111" s="12">
        <v>0</v>
      </c>
      <c r="AH111" s="12">
        <v>0</v>
      </c>
      <c r="AI111" s="12" t="s">
        <v>38</v>
      </c>
      <c r="AJ111" s="13">
        <v>643</v>
      </c>
      <c r="AK111" s="13">
        <v>512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24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/>
      <c r="AZ111" s="329">
        <f t="shared" si="46"/>
        <v>6.367315733764733</v>
      </c>
      <c r="BA111" s="329">
        <f t="shared" si="47"/>
        <v>13.9257889375</v>
      </c>
      <c r="BB111" s="329" t="str">
        <f t="shared" si="48"/>
        <v/>
      </c>
      <c r="BC111" s="329" t="str">
        <f t="shared" si="49"/>
        <v/>
      </c>
      <c r="BD111" s="329" t="str">
        <f t="shared" si="50"/>
        <v/>
      </c>
      <c r="BE111" s="329" t="str">
        <f t="shared" si="51"/>
        <v/>
      </c>
      <c r="BF111" s="329" t="str">
        <f t="shared" si="52"/>
        <v/>
      </c>
      <c r="BG111" s="329" t="str">
        <f t="shared" si="53"/>
        <v/>
      </c>
      <c r="BH111" s="329" t="str">
        <f t="shared" si="54"/>
        <v/>
      </c>
      <c r="BI111" s="329">
        <f t="shared" si="55"/>
        <v>96.429111820652182</v>
      </c>
      <c r="BJ111" s="329">
        <f t="shared" si="56"/>
        <v>40.658682634730539</v>
      </c>
      <c r="BK111" s="329">
        <f t="shared" si="57"/>
        <v>90.960255500354862</v>
      </c>
      <c r="BL111" s="329" t="str">
        <f t="shared" si="58"/>
        <v/>
      </c>
      <c r="BM111" s="329" t="str">
        <f t="shared" si="59"/>
        <v/>
      </c>
      <c r="BN111" s="329" t="str">
        <f t="shared" si="44"/>
        <v/>
      </c>
      <c r="BO111" s="329" t="str">
        <f t="shared" si="45"/>
        <v/>
      </c>
      <c r="BP111" t="s">
        <v>224</v>
      </c>
    </row>
    <row r="112" spans="1:68" x14ac:dyDescent="0.25">
      <c r="A112" s="10" t="s">
        <v>235</v>
      </c>
      <c r="B112" s="10"/>
      <c r="C112" s="10" t="s">
        <v>236</v>
      </c>
      <c r="D112" s="11">
        <v>94463.316319999998</v>
      </c>
      <c r="E112" s="11">
        <v>125875.2484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48038</v>
      </c>
      <c r="M112" s="11">
        <v>174902.96770000001</v>
      </c>
      <c r="N112" s="11">
        <v>246826</v>
      </c>
      <c r="O112" s="11">
        <v>396111</v>
      </c>
      <c r="P112" s="11">
        <v>0</v>
      </c>
      <c r="Q112" s="11">
        <v>0</v>
      </c>
      <c r="R112" s="11">
        <v>0</v>
      </c>
      <c r="S112" s="11" t="s">
        <v>38</v>
      </c>
      <c r="T112" s="12">
        <v>27</v>
      </c>
      <c r="U112" s="12">
        <v>37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31</v>
      </c>
      <c r="AD112" s="12">
        <v>41</v>
      </c>
      <c r="AE112" s="12">
        <v>82</v>
      </c>
      <c r="AF112" s="12">
        <v>0</v>
      </c>
      <c r="AG112" s="12">
        <v>0</v>
      </c>
      <c r="AH112" s="12">
        <v>0</v>
      </c>
      <c r="AI112" s="12" t="s">
        <v>38</v>
      </c>
      <c r="AJ112" s="13">
        <v>23</v>
      </c>
      <c r="AK112" s="13">
        <v>11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/>
      <c r="AZ112" s="329">
        <f t="shared" si="46"/>
        <v>3498.6413451851849</v>
      </c>
      <c r="BA112" s="329">
        <f t="shared" si="47"/>
        <v>3402.0337405405403</v>
      </c>
      <c r="BB112" s="329" t="str">
        <f t="shared" si="48"/>
        <v/>
      </c>
      <c r="BC112" s="329" t="str">
        <f t="shared" si="49"/>
        <v/>
      </c>
      <c r="BD112" s="329" t="str">
        <f t="shared" si="50"/>
        <v/>
      </c>
      <c r="BE112" s="329" t="str">
        <f t="shared" si="51"/>
        <v/>
      </c>
      <c r="BF112" s="329" t="str">
        <f t="shared" si="52"/>
        <v/>
      </c>
      <c r="BG112" s="329" t="str">
        <f t="shared" si="53"/>
        <v/>
      </c>
      <c r="BH112" s="329" t="str">
        <f t="shared" si="54"/>
        <v/>
      </c>
      <c r="BI112" s="329">
        <f t="shared" si="55"/>
        <v>5642.0312161290321</v>
      </c>
      <c r="BJ112" s="329">
        <f t="shared" si="56"/>
        <v>6020.1463414634145</v>
      </c>
      <c r="BK112" s="329">
        <f t="shared" si="57"/>
        <v>4830.6219512195121</v>
      </c>
      <c r="BL112" s="329" t="str">
        <f t="shared" si="58"/>
        <v/>
      </c>
      <c r="BM112" s="329" t="str">
        <f t="shared" si="59"/>
        <v/>
      </c>
      <c r="BN112" s="329" t="str">
        <f t="shared" si="44"/>
        <v/>
      </c>
      <c r="BO112" s="329" t="str">
        <f t="shared" si="45"/>
        <v/>
      </c>
      <c r="BP112" t="s">
        <v>224</v>
      </c>
    </row>
    <row r="113" spans="1:68" x14ac:dyDescent="0.25">
      <c r="A113" s="10" t="s">
        <v>237</v>
      </c>
      <c r="B113" s="10"/>
      <c r="C113" s="10" t="s">
        <v>238</v>
      </c>
      <c r="D113" s="11">
        <v>276458.25789999997</v>
      </c>
      <c r="E113" s="11">
        <v>572840.26340000005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229029</v>
      </c>
      <c r="M113" s="11">
        <v>284606.75530000002</v>
      </c>
      <c r="N113" s="11">
        <v>595692</v>
      </c>
      <c r="O113" s="11">
        <v>598944</v>
      </c>
      <c r="P113" s="11">
        <v>0</v>
      </c>
      <c r="Q113" s="11">
        <v>0</v>
      </c>
      <c r="R113" s="11">
        <v>0</v>
      </c>
      <c r="S113" s="11" t="s">
        <v>38</v>
      </c>
      <c r="T113" s="12">
        <v>130</v>
      </c>
      <c r="U113" s="12">
        <v>225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105</v>
      </c>
      <c r="AD113" s="12">
        <v>190</v>
      </c>
      <c r="AE113" s="12">
        <v>274</v>
      </c>
      <c r="AF113" s="12">
        <v>0</v>
      </c>
      <c r="AG113" s="12">
        <v>0</v>
      </c>
      <c r="AH113" s="12">
        <v>0</v>
      </c>
      <c r="AI113" s="12" t="s">
        <v>38</v>
      </c>
      <c r="AJ113" s="13">
        <v>69</v>
      </c>
      <c r="AK113" s="13">
        <v>55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3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/>
      <c r="AZ113" s="329">
        <f t="shared" si="46"/>
        <v>2126.6019838461534</v>
      </c>
      <c r="BA113" s="329">
        <f t="shared" si="47"/>
        <v>2545.9567262222226</v>
      </c>
      <c r="BB113" s="329" t="str">
        <f t="shared" si="48"/>
        <v/>
      </c>
      <c r="BC113" s="329" t="str">
        <f t="shared" si="49"/>
        <v/>
      </c>
      <c r="BD113" s="329" t="str">
        <f t="shared" si="50"/>
        <v/>
      </c>
      <c r="BE113" s="329" t="str">
        <f t="shared" si="51"/>
        <v/>
      </c>
      <c r="BF113" s="329" t="str">
        <f t="shared" si="52"/>
        <v/>
      </c>
      <c r="BG113" s="329" t="str">
        <f t="shared" si="53"/>
        <v/>
      </c>
      <c r="BH113" s="329" t="str">
        <f t="shared" si="54"/>
        <v/>
      </c>
      <c r="BI113" s="329">
        <f t="shared" si="55"/>
        <v>2710.5405266666667</v>
      </c>
      <c r="BJ113" s="329">
        <f t="shared" si="56"/>
        <v>3135.2210526315789</v>
      </c>
      <c r="BK113" s="329">
        <f t="shared" si="57"/>
        <v>2185.9270072992699</v>
      </c>
      <c r="BL113" s="329" t="str">
        <f t="shared" si="58"/>
        <v/>
      </c>
      <c r="BM113" s="329" t="str">
        <f t="shared" si="59"/>
        <v/>
      </c>
      <c r="BN113" s="329" t="str">
        <f t="shared" si="44"/>
        <v/>
      </c>
      <c r="BO113" s="329" t="str">
        <f t="shared" si="45"/>
        <v/>
      </c>
      <c r="BP113" t="s">
        <v>224</v>
      </c>
    </row>
    <row r="114" spans="1:68" x14ac:dyDescent="0.25">
      <c r="A114" s="10" t="s">
        <v>63</v>
      </c>
      <c r="B114" s="10"/>
      <c r="C114" s="10" t="s">
        <v>64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 t="s">
        <v>38</v>
      </c>
      <c r="P114" s="11">
        <v>0</v>
      </c>
      <c r="Q114" s="11">
        <v>0</v>
      </c>
      <c r="R114" s="11">
        <v>0</v>
      </c>
      <c r="S114" s="11" t="s">
        <v>38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 t="s">
        <v>38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/>
      <c r="AZ114" s="329" t="str">
        <f t="shared" si="46"/>
        <v/>
      </c>
      <c r="BA114" s="329" t="str">
        <f t="shared" si="47"/>
        <v/>
      </c>
      <c r="BB114" s="329" t="str">
        <f t="shared" si="48"/>
        <v/>
      </c>
      <c r="BC114" s="329" t="str">
        <f t="shared" si="49"/>
        <v/>
      </c>
      <c r="BD114" s="329" t="str">
        <f t="shared" si="50"/>
        <v/>
      </c>
      <c r="BE114" s="329" t="str">
        <f t="shared" si="51"/>
        <v/>
      </c>
      <c r="BF114" s="329" t="str">
        <f t="shared" si="52"/>
        <v/>
      </c>
      <c r="BG114" s="329" t="str">
        <f t="shared" si="53"/>
        <v/>
      </c>
      <c r="BH114" s="329" t="str">
        <f t="shared" si="54"/>
        <v/>
      </c>
      <c r="BI114" s="329" t="str">
        <f t="shared" si="55"/>
        <v/>
      </c>
      <c r="BJ114" s="329" t="str">
        <f t="shared" si="56"/>
        <v/>
      </c>
      <c r="BK114" s="329" t="str">
        <f t="shared" si="57"/>
        <v/>
      </c>
      <c r="BL114" s="329" t="str">
        <f t="shared" si="58"/>
        <v/>
      </c>
      <c r="BM114" s="329" t="str">
        <f t="shared" si="59"/>
        <v/>
      </c>
      <c r="BN114" s="329" t="str">
        <f t="shared" si="44"/>
        <v/>
      </c>
      <c r="BO114" s="329" t="str">
        <f t="shared" si="45"/>
        <v/>
      </c>
      <c r="BP114" t="s">
        <v>63</v>
      </c>
    </row>
    <row r="115" spans="1:68" x14ac:dyDescent="0.25">
      <c r="A115" s="10" t="s">
        <v>239</v>
      </c>
      <c r="B115" s="10" t="s">
        <v>240</v>
      </c>
      <c r="C115" s="10" t="s">
        <v>241</v>
      </c>
      <c r="D115" s="11">
        <v>6277530.9370000008</v>
      </c>
      <c r="E115" s="11">
        <v>6032088.7769999998</v>
      </c>
      <c r="F115" s="11">
        <v>13613695.16</v>
      </c>
      <c r="G115" s="11">
        <v>11417909.26</v>
      </c>
      <c r="H115" s="11">
        <v>6341887.625</v>
      </c>
      <c r="I115" s="11">
        <v>13860000</v>
      </c>
      <c r="J115" s="11">
        <v>7669087.2429999998</v>
      </c>
      <c r="K115" s="11">
        <v>12253242</v>
      </c>
      <c r="L115" s="11">
        <v>7068179</v>
      </c>
      <c r="M115" s="11">
        <v>4337894.0584000004</v>
      </c>
      <c r="N115" s="11">
        <v>6074542</v>
      </c>
      <c r="O115" s="11">
        <v>6161464</v>
      </c>
      <c r="P115" s="11">
        <v>12023526</v>
      </c>
      <c r="Q115" s="11">
        <v>13226078</v>
      </c>
      <c r="R115" s="11">
        <v>19665974</v>
      </c>
      <c r="S115" s="11">
        <v>21367527</v>
      </c>
      <c r="T115" s="16">
        <v>73</v>
      </c>
      <c r="U115" s="16">
        <v>74</v>
      </c>
      <c r="V115" s="16">
        <v>300</v>
      </c>
      <c r="W115" s="16">
        <v>82</v>
      </c>
      <c r="X115" s="16">
        <v>105</v>
      </c>
      <c r="Y115" s="16">
        <v>129</v>
      </c>
      <c r="Z115" s="16">
        <v>229</v>
      </c>
      <c r="AA115" s="16">
        <v>314</v>
      </c>
      <c r="AB115" s="16">
        <v>175</v>
      </c>
      <c r="AC115" s="16">
        <v>191</v>
      </c>
      <c r="AD115" s="16">
        <v>84</v>
      </c>
      <c r="AE115" s="16">
        <v>49</v>
      </c>
      <c r="AF115" s="16">
        <v>85</v>
      </c>
      <c r="AG115" s="16">
        <v>122</v>
      </c>
      <c r="AH115" s="16">
        <v>97</v>
      </c>
      <c r="AI115" s="16">
        <v>73</v>
      </c>
      <c r="AJ115" s="13">
        <v>49</v>
      </c>
      <c r="AK115" s="13">
        <v>35</v>
      </c>
      <c r="AL115" s="13">
        <v>61</v>
      </c>
      <c r="AM115" s="13">
        <v>34</v>
      </c>
      <c r="AN115" s="13">
        <v>21</v>
      </c>
      <c r="AO115" s="13">
        <v>31</v>
      </c>
      <c r="AP115" s="13">
        <v>185</v>
      </c>
      <c r="AQ115" s="13">
        <v>185</v>
      </c>
      <c r="AR115" s="13">
        <v>143</v>
      </c>
      <c r="AS115" s="13">
        <v>20</v>
      </c>
      <c r="AT115" s="13">
        <v>71</v>
      </c>
      <c r="AU115" s="13">
        <v>85</v>
      </c>
      <c r="AV115" s="13">
        <v>204</v>
      </c>
      <c r="AW115" s="13">
        <v>43</v>
      </c>
      <c r="AX115" s="13">
        <v>38</v>
      </c>
      <c r="AY115" s="13"/>
      <c r="AZ115" s="329">
        <f t="shared" si="46"/>
        <v>85993.574479452072</v>
      </c>
      <c r="BA115" s="329">
        <f t="shared" si="47"/>
        <v>81514.713202702696</v>
      </c>
      <c r="BB115" s="329">
        <f t="shared" si="48"/>
        <v>45378.983866666669</v>
      </c>
      <c r="BC115" s="329">
        <f t="shared" si="49"/>
        <v>139242.79585365852</v>
      </c>
      <c r="BD115" s="329">
        <f t="shared" si="50"/>
        <v>60398.929761904765</v>
      </c>
      <c r="BE115" s="329">
        <f t="shared" si="51"/>
        <v>107441.86046511628</v>
      </c>
      <c r="BF115" s="329">
        <f t="shared" si="52"/>
        <v>33489.463943231443</v>
      </c>
      <c r="BG115" s="329">
        <f t="shared" si="53"/>
        <v>39023.063694267519</v>
      </c>
      <c r="BH115" s="329">
        <f t="shared" si="54"/>
        <v>40389.594285714287</v>
      </c>
      <c r="BI115" s="329">
        <f t="shared" si="55"/>
        <v>22711.487216753929</v>
      </c>
      <c r="BJ115" s="329">
        <f t="shared" si="56"/>
        <v>72315.976190476184</v>
      </c>
      <c r="BK115" s="329">
        <f t="shared" si="57"/>
        <v>125744.16326530612</v>
      </c>
      <c r="BL115" s="329">
        <f t="shared" si="58"/>
        <v>141453.24705882353</v>
      </c>
      <c r="BM115" s="329">
        <f t="shared" si="59"/>
        <v>108410.47540983607</v>
      </c>
      <c r="BN115" s="329">
        <f t="shared" si="44"/>
        <v>202742</v>
      </c>
      <c r="BO115" s="329">
        <f t="shared" si="45"/>
        <v>292705.84931506851</v>
      </c>
      <c r="BP115" t="s">
        <v>242</v>
      </c>
    </row>
    <row r="116" spans="1:68" x14ac:dyDescent="0.25">
      <c r="A116" s="10" t="s">
        <v>243</v>
      </c>
      <c r="B116" s="10"/>
      <c r="C116" s="10" t="s">
        <v>244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 t="s">
        <v>38</v>
      </c>
      <c r="P116" s="11">
        <v>0</v>
      </c>
      <c r="Q116" s="11" t="s">
        <v>38</v>
      </c>
      <c r="R116" s="11" t="s">
        <v>38</v>
      </c>
      <c r="S116" s="11" t="s">
        <v>38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 t="s">
        <v>38</v>
      </c>
      <c r="AH116" s="12" t="s">
        <v>38</v>
      </c>
      <c r="AI116" s="12" t="s">
        <v>38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97</v>
      </c>
      <c r="AV116" s="13">
        <v>0</v>
      </c>
      <c r="AW116" s="13">
        <v>0</v>
      </c>
      <c r="AX116" s="13">
        <v>0</v>
      </c>
      <c r="AY116" s="13"/>
      <c r="AZ116" s="329" t="str">
        <f t="shared" si="46"/>
        <v/>
      </c>
      <c r="BA116" s="329" t="str">
        <f t="shared" si="47"/>
        <v/>
      </c>
      <c r="BB116" s="329" t="str">
        <f t="shared" si="48"/>
        <v/>
      </c>
      <c r="BC116" s="329" t="str">
        <f t="shared" si="49"/>
        <v/>
      </c>
      <c r="BD116" s="329" t="str">
        <f t="shared" si="50"/>
        <v/>
      </c>
      <c r="BE116" s="329" t="str">
        <f t="shared" si="51"/>
        <v/>
      </c>
      <c r="BF116" s="329" t="str">
        <f t="shared" si="52"/>
        <v/>
      </c>
      <c r="BG116" s="329" t="str">
        <f t="shared" si="53"/>
        <v/>
      </c>
      <c r="BH116" s="329" t="str">
        <f t="shared" si="54"/>
        <v/>
      </c>
      <c r="BI116" s="329" t="str">
        <f t="shared" si="55"/>
        <v/>
      </c>
      <c r="BJ116" s="329" t="str">
        <f t="shared" si="56"/>
        <v/>
      </c>
      <c r="BK116" s="329" t="str">
        <f t="shared" si="57"/>
        <v/>
      </c>
      <c r="BL116" s="329" t="str">
        <f t="shared" si="58"/>
        <v/>
      </c>
      <c r="BM116" s="329" t="str">
        <f t="shared" si="59"/>
        <v/>
      </c>
      <c r="BN116" s="329" t="str">
        <f t="shared" si="44"/>
        <v/>
      </c>
      <c r="BO116" s="329" t="str">
        <f t="shared" si="45"/>
        <v/>
      </c>
      <c r="BP116" t="s">
        <v>242</v>
      </c>
    </row>
    <row r="117" spans="1:68" x14ac:dyDescent="0.25">
      <c r="A117" s="10" t="s">
        <v>245</v>
      </c>
      <c r="B117" s="10"/>
      <c r="C117" s="10" t="s">
        <v>246</v>
      </c>
      <c r="D117" s="11">
        <v>619954.74939999997</v>
      </c>
      <c r="E117" s="11">
        <v>1969883.7339999999</v>
      </c>
      <c r="F117" s="11">
        <v>4481352.5900000008</v>
      </c>
      <c r="G117" s="11">
        <v>7814790.9900000002</v>
      </c>
      <c r="H117" s="11">
        <v>8732539.3550000004</v>
      </c>
      <c r="I117" s="11">
        <v>880000</v>
      </c>
      <c r="J117" s="11">
        <v>159278.47099999999</v>
      </c>
      <c r="K117" s="11">
        <v>639235</v>
      </c>
      <c r="L117" s="11">
        <v>2531821</v>
      </c>
      <c r="M117" s="11">
        <v>2430581.6164000002</v>
      </c>
      <c r="N117" s="11">
        <v>965784</v>
      </c>
      <c r="O117" s="11">
        <v>2184817</v>
      </c>
      <c r="P117" s="11">
        <v>5802340</v>
      </c>
      <c r="Q117" s="11">
        <v>7728332</v>
      </c>
      <c r="R117" s="11">
        <v>6826213</v>
      </c>
      <c r="S117" s="11">
        <v>6908407</v>
      </c>
      <c r="T117" s="17">
        <v>0</v>
      </c>
      <c r="U117" s="17">
        <v>285</v>
      </c>
      <c r="V117" s="17">
        <v>705</v>
      </c>
      <c r="W117" s="17">
        <v>446</v>
      </c>
      <c r="X117" s="17">
        <v>260</v>
      </c>
      <c r="Y117" s="17">
        <v>35</v>
      </c>
      <c r="Z117" s="17">
        <v>2</v>
      </c>
      <c r="AA117" s="17">
        <v>425</v>
      </c>
      <c r="AB117" s="17">
        <v>123</v>
      </c>
      <c r="AC117" s="17">
        <v>99</v>
      </c>
      <c r="AD117" s="17">
        <v>41</v>
      </c>
      <c r="AE117" s="17">
        <v>33</v>
      </c>
      <c r="AF117" s="17">
        <v>32</v>
      </c>
      <c r="AG117" s="17">
        <v>178</v>
      </c>
      <c r="AH117" s="12">
        <v>118</v>
      </c>
      <c r="AI117" s="17">
        <v>1442</v>
      </c>
      <c r="AJ117" s="18">
        <v>242</v>
      </c>
      <c r="AK117" s="18">
        <v>188</v>
      </c>
      <c r="AL117" s="18">
        <v>275</v>
      </c>
      <c r="AM117" s="18">
        <v>316</v>
      </c>
      <c r="AN117" s="18">
        <v>298</v>
      </c>
      <c r="AO117" s="18">
        <v>27</v>
      </c>
      <c r="AP117" s="18">
        <v>276</v>
      </c>
      <c r="AQ117" s="18">
        <v>56</v>
      </c>
      <c r="AR117" s="18">
        <v>10</v>
      </c>
      <c r="AS117" s="18">
        <v>39</v>
      </c>
      <c r="AT117" s="18">
        <v>5</v>
      </c>
      <c r="AU117" s="18">
        <v>0</v>
      </c>
      <c r="AV117" s="18">
        <v>7</v>
      </c>
      <c r="AW117" s="18">
        <v>54</v>
      </c>
      <c r="AX117" s="18">
        <v>143</v>
      </c>
      <c r="AY117" s="18"/>
      <c r="AZ117" s="329" t="str">
        <f t="shared" si="46"/>
        <v/>
      </c>
      <c r="BA117" s="329">
        <f t="shared" si="47"/>
        <v>6911.8727508771926</v>
      </c>
      <c r="BB117" s="329">
        <f t="shared" si="48"/>
        <v>6356.5284964539014</v>
      </c>
      <c r="BC117" s="329">
        <f t="shared" si="49"/>
        <v>17521.952892376681</v>
      </c>
      <c r="BD117" s="329">
        <f t="shared" si="50"/>
        <v>33586.689826923081</v>
      </c>
      <c r="BE117" s="329">
        <f t="shared" si="51"/>
        <v>25142.857142857141</v>
      </c>
      <c r="BF117" s="329">
        <f t="shared" si="52"/>
        <v>79639.235499999995</v>
      </c>
      <c r="BG117" s="329">
        <f t="shared" si="53"/>
        <v>1504.0823529411764</v>
      </c>
      <c r="BH117" s="329">
        <f t="shared" si="54"/>
        <v>20583.91056910569</v>
      </c>
      <c r="BI117" s="329">
        <f t="shared" si="55"/>
        <v>24551.32945858586</v>
      </c>
      <c r="BJ117" s="329">
        <f t="shared" si="56"/>
        <v>23555.707317073171</v>
      </c>
      <c r="BK117" s="329">
        <f t="shared" si="57"/>
        <v>66206.57575757576</v>
      </c>
      <c r="BL117" s="329">
        <f t="shared" si="58"/>
        <v>181323.125</v>
      </c>
      <c r="BM117" s="329">
        <f t="shared" si="59"/>
        <v>43417.595505617981</v>
      </c>
      <c r="BN117" s="329">
        <f t="shared" si="44"/>
        <v>57849.262711864409</v>
      </c>
      <c r="BO117" s="329">
        <f t="shared" si="45"/>
        <v>4790.8509015256586</v>
      </c>
      <c r="BP117" t="s">
        <v>242</v>
      </c>
    </row>
    <row r="118" spans="1:68" x14ac:dyDescent="0.25">
      <c r="A118" s="10" t="s">
        <v>247</v>
      </c>
      <c r="B118" s="10"/>
      <c r="C118" s="10" t="s">
        <v>248</v>
      </c>
      <c r="D118" s="11">
        <v>56676.877359999999</v>
      </c>
      <c r="E118" s="11">
        <v>275095.25930000003</v>
      </c>
      <c r="F118" s="11">
        <v>824582.14899999998</v>
      </c>
      <c r="G118" s="11">
        <v>40915.606910000002</v>
      </c>
      <c r="H118" s="11">
        <v>87071.627869999997</v>
      </c>
      <c r="I118" s="11">
        <v>640000</v>
      </c>
      <c r="J118" s="11">
        <v>47264.82</v>
      </c>
      <c r="K118" s="11">
        <v>216754</v>
      </c>
      <c r="L118" s="11">
        <v>164269</v>
      </c>
      <c r="M118" s="11">
        <v>0</v>
      </c>
      <c r="N118" s="11">
        <v>0</v>
      </c>
      <c r="O118" s="11" t="s">
        <v>38</v>
      </c>
      <c r="P118" s="11">
        <v>147601</v>
      </c>
      <c r="Q118" s="11">
        <v>54984</v>
      </c>
      <c r="R118" s="11">
        <v>2396</v>
      </c>
      <c r="S118" s="11">
        <v>16953</v>
      </c>
      <c r="T118" s="12">
        <v>2</v>
      </c>
      <c r="U118" s="12">
        <v>11</v>
      </c>
      <c r="V118" s="12">
        <v>58</v>
      </c>
      <c r="W118" s="12">
        <v>1</v>
      </c>
      <c r="X118" s="12">
        <v>5</v>
      </c>
      <c r="Y118" s="12">
        <v>19</v>
      </c>
      <c r="Z118" s="12">
        <v>2</v>
      </c>
      <c r="AA118" s="12">
        <v>7</v>
      </c>
      <c r="AB118" s="12">
        <v>5</v>
      </c>
      <c r="AC118" s="12">
        <v>0</v>
      </c>
      <c r="AD118" s="12">
        <v>0</v>
      </c>
      <c r="AE118" s="12">
        <v>0</v>
      </c>
      <c r="AF118" s="12">
        <v>0</v>
      </c>
      <c r="AG118" s="12">
        <v>1</v>
      </c>
      <c r="AH118" s="12" t="s">
        <v>38</v>
      </c>
      <c r="AI118" s="12" t="s">
        <v>38</v>
      </c>
      <c r="AJ118" s="13">
        <v>1</v>
      </c>
      <c r="AK118" s="13">
        <v>9</v>
      </c>
      <c r="AL118" s="13">
        <v>9</v>
      </c>
      <c r="AM118" s="13">
        <v>3</v>
      </c>
      <c r="AN118" s="13">
        <v>12</v>
      </c>
      <c r="AO118" s="13">
        <v>29</v>
      </c>
      <c r="AP118" s="13">
        <v>6</v>
      </c>
      <c r="AQ118" s="13">
        <v>26</v>
      </c>
      <c r="AR118" s="13">
        <v>22</v>
      </c>
      <c r="AS118" s="13">
        <v>0</v>
      </c>
      <c r="AT118" s="13">
        <v>0</v>
      </c>
      <c r="AU118" s="13">
        <v>3</v>
      </c>
      <c r="AV118" s="13">
        <v>0</v>
      </c>
      <c r="AW118" s="13">
        <v>4</v>
      </c>
      <c r="AX118" s="13">
        <v>3</v>
      </c>
      <c r="AY118" s="13"/>
      <c r="AZ118" s="329">
        <f t="shared" si="46"/>
        <v>28338.438679999999</v>
      </c>
      <c r="BA118" s="329">
        <f t="shared" si="47"/>
        <v>25008.659936363638</v>
      </c>
      <c r="BB118" s="329">
        <f t="shared" si="48"/>
        <v>14216.933603448275</v>
      </c>
      <c r="BC118" s="329">
        <f t="shared" si="49"/>
        <v>40915.606910000002</v>
      </c>
      <c r="BD118" s="329">
        <f t="shared" si="50"/>
        <v>17414.325573999999</v>
      </c>
      <c r="BE118" s="329">
        <f t="shared" si="51"/>
        <v>33684.210526315786</v>
      </c>
      <c r="BF118" s="329">
        <f t="shared" si="52"/>
        <v>23632.41</v>
      </c>
      <c r="BG118" s="329">
        <f t="shared" si="53"/>
        <v>30964.857142857141</v>
      </c>
      <c r="BH118" s="329">
        <f t="shared" si="54"/>
        <v>32853.800000000003</v>
      </c>
      <c r="BI118" s="329" t="str">
        <f t="shared" si="55"/>
        <v/>
      </c>
      <c r="BJ118" s="329" t="str">
        <f t="shared" si="56"/>
        <v/>
      </c>
      <c r="BK118" s="329" t="str">
        <f t="shared" si="57"/>
        <v/>
      </c>
      <c r="BL118" s="329" t="str">
        <f t="shared" si="58"/>
        <v/>
      </c>
      <c r="BM118" s="329">
        <f t="shared" si="59"/>
        <v>54984</v>
      </c>
      <c r="BN118" s="329" t="str">
        <f t="shared" si="44"/>
        <v/>
      </c>
      <c r="BO118" s="329" t="str">
        <f t="shared" si="45"/>
        <v/>
      </c>
      <c r="BP118" t="s">
        <v>242</v>
      </c>
    </row>
    <row r="119" spans="1:68" x14ac:dyDescent="0.25">
      <c r="A119" s="10" t="s">
        <v>249</v>
      </c>
      <c r="B119" s="10"/>
      <c r="C119" s="10" t="s">
        <v>250</v>
      </c>
      <c r="D119" s="11">
        <v>286673.95649999997</v>
      </c>
      <c r="E119" s="11">
        <v>2351291.7229999998</v>
      </c>
      <c r="F119" s="11">
        <v>5703177.4139999999</v>
      </c>
      <c r="G119" s="11">
        <v>4871394.1340000005</v>
      </c>
      <c r="H119" s="11">
        <v>3894051.8630000004</v>
      </c>
      <c r="I119" s="11">
        <v>645000</v>
      </c>
      <c r="J119" s="11">
        <v>2526.08</v>
      </c>
      <c r="K119" s="11">
        <v>171471</v>
      </c>
      <c r="L119" s="11">
        <v>1315576</v>
      </c>
      <c r="M119" s="11">
        <v>544001.26820000005</v>
      </c>
      <c r="N119" s="11">
        <v>340419</v>
      </c>
      <c r="O119" s="11">
        <v>291</v>
      </c>
      <c r="P119" s="11">
        <v>407353</v>
      </c>
      <c r="Q119" s="11">
        <v>2111484</v>
      </c>
      <c r="R119" s="11">
        <v>247163</v>
      </c>
      <c r="S119" s="11">
        <v>1619454</v>
      </c>
      <c r="T119" s="17">
        <v>0</v>
      </c>
      <c r="U119" s="17">
        <v>74</v>
      </c>
      <c r="V119" s="17">
        <v>184</v>
      </c>
      <c r="W119" s="17">
        <v>117</v>
      </c>
      <c r="X119" s="17">
        <v>0</v>
      </c>
      <c r="Y119" s="17">
        <v>21</v>
      </c>
      <c r="Z119" s="17">
        <v>1</v>
      </c>
      <c r="AA119" s="17">
        <v>61</v>
      </c>
      <c r="AB119" s="17">
        <v>183</v>
      </c>
      <c r="AC119" s="17">
        <v>56</v>
      </c>
      <c r="AD119" s="17">
        <v>22</v>
      </c>
      <c r="AE119" s="17">
        <v>71</v>
      </c>
      <c r="AF119" s="17">
        <v>73</v>
      </c>
      <c r="AG119" s="17">
        <v>57</v>
      </c>
      <c r="AH119" s="12">
        <v>29</v>
      </c>
      <c r="AI119" s="17">
        <v>7</v>
      </c>
      <c r="AJ119" s="18">
        <v>34</v>
      </c>
      <c r="AK119" s="18">
        <v>57</v>
      </c>
      <c r="AL119" s="18">
        <v>37</v>
      </c>
      <c r="AM119" s="18">
        <v>45</v>
      </c>
      <c r="AN119" s="18">
        <v>45</v>
      </c>
      <c r="AO119" s="18">
        <v>11</v>
      </c>
      <c r="AP119" s="18">
        <v>141</v>
      </c>
      <c r="AQ119" s="18">
        <v>35</v>
      </c>
      <c r="AR119" s="18">
        <v>37</v>
      </c>
      <c r="AS119" s="18">
        <v>50</v>
      </c>
      <c r="AT119" s="18">
        <v>1</v>
      </c>
      <c r="AU119" s="18">
        <v>5</v>
      </c>
      <c r="AV119" s="18">
        <v>0</v>
      </c>
      <c r="AW119" s="18">
        <v>45</v>
      </c>
      <c r="AX119" s="18">
        <v>2</v>
      </c>
      <c r="AY119" s="18"/>
      <c r="AZ119" s="329" t="str">
        <f t="shared" si="46"/>
        <v/>
      </c>
      <c r="BA119" s="329">
        <f t="shared" si="47"/>
        <v>31774.212472972969</v>
      </c>
      <c r="BB119" s="329">
        <f t="shared" si="48"/>
        <v>30995.529423913042</v>
      </c>
      <c r="BC119" s="329">
        <f t="shared" si="49"/>
        <v>41635.847299145302</v>
      </c>
      <c r="BD119" s="329" t="str">
        <f t="shared" si="50"/>
        <v/>
      </c>
      <c r="BE119" s="329">
        <f t="shared" si="51"/>
        <v>30714.285714285714</v>
      </c>
      <c r="BF119" s="329">
        <f t="shared" si="52"/>
        <v>2526.08</v>
      </c>
      <c r="BG119" s="329">
        <f t="shared" si="53"/>
        <v>2811</v>
      </c>
      <c r="BH119" s="329">
        <f t="shared" si="54"/>
        <v>7188.9398907103823</v>
      </c>
      <c r="BI119" s="329">
        <f t="shared" si="55"/>
        <v>9714.3083607142871</v>
      </c>
      <c r="BJ119" s="329">
        <f t="shared" si="56"/>
        <v>15473.59090909091</v>
      </c>
      <c r="BK119" s="329">
        <f t="shared" si="57"/>
        <v>4.098591549295775</v>
      </c>
      <c r="BL119" s="329">
        <f t="shared" si="58"/>
        <v>5580.178082191781</v>
      </c>
      <c r="BM119" s="329">
        <f t="shared" si="59"/>
        <v>37043.57894736842</v>
      </c>
      <c r="BN119" s="329">
        <f t="shared" si="44"/>
        <v>8522.8620689655181</v>
      </c>
      <c r="BO119" s="329">
        <f t="shared" si="45"/>
        <v>231350.57142857142</v>
      </c>
      <c r="BP119" t="s">
        <v>242</v>
      </c>
    </row>
    <row r="120" spans="1:68" x14ac:dyDescent="0.25">
      <c r="A120" s="10" t="s">
        <v>251</v>
      </c>
      <c r="B120" s="10"/>
      <c r="C120" s="10" t="s">
        <v>252</v>
      </c>
      <c r="D120" s="11">
        <v>355622.40159999998</v>
      </c>
      <c r="E120" s="11">
        <v>333661.00599999999</v>
      </c>
      <c r="F120" s="11">
        <v>508076.18480000005</v>
      </c>
      <c r="G120" s="11">
        <v>595659.91960000002</v>
      </c>
      <c r="H120" s="11">
        <v>1377400.571</v>
      </c>
      <c r="I120" s="11">
        <v>60000</v>
      </c>
      <c r="J120" s="11">
        <v>798.44899999999996</v>
      </c>
      <c r="K120" s="11">
        <v>107477</v>
      </c>
      <c r="L120" s="11">
        <v>21595</v>
      </c>
      <c r="M120" s="11">
        <v>0</v>
      </c>
      <c r="N120" s="11">
        <v>112534</v>
      </c>
      <c r="O120" s="11">
        <v>29608</v>
      </c>
      <c r="P120" s="11">
        <v>691383</v>
      </c>
      <c r="Q120" s="11">
        <v>5643421</v>
      </c>
      <c r="R120" s="11">
        <v>1901554</v>
      </c>
      <c r="S120" s="11">
        <v>103206</v>
      </c>
      <c r="T120" s="17">
        <v>8.8997721940000005</v>
      </c>
      <c r="U120" s="17">
        <v>8.3501684090000001</v>
      </c>
      <c r="V120" s="17">
        <v>12.71506598</v>
      </c>
      <c r="W120" s="17">
        <v>14.906928150000001</v>
      </c>
      <c r="X120" s="17">
        <v>34.470694889999997</v>
      </c>
      <c r="Y120" s="17">
        <v>10</v>
      </c>
      <c r="Z120" s="17">
        <v>0.22</v>
      </c>
      <c r="AA120" s="17">
        <v>7</v>
      </c>
      <c r="AB120" s="17">
        <v>11</v>
      </c>
      <c r="AC120" s="17">
        <v>11</v>
      </c>
      <c r="AD120" s="17">
        <v>15</v>
      </c>
      <c r="AE120" s="17">
        <v>51.52</v>
      </c>
      <c r="AF120" s="17">
        <v>81.006</v>
      </c>
      <c r="AG120" s="17">
        <v>10.050000000000001</v>
      </c>
      <c r="AH120" s="12">
        <v>19.533999999999999</v>
      </c>
      <c r="AI120" s="17">
        <v>127.95</v>
      </c>
      <c r="AJ120" s="18">
        <v>3</v>
      </c>
      <c r="AK120" s="18">
        <v>1</v>
      </c>
      <c r="AL120" s="18">
        <v>6</v>
      </c>
      <c r="AM120" s="18">
        <v>15</v>
      </c>
      <c r="AN120" s="18">
        <v>8</v>
      </c>
      <c r="AO120" s="18">
        <v>1</v>
      </c>
      <c r="AP120" s="18">
        <v>68</v>
      </c>
      <c r="AQ120" s="18">
        <v>5</v>
      </c>
      <c r="AR120" s="18">
        <v>3</v>
      </c>
      <c r="AS120" s="18">
        <v>0</v>
      </c>
      <c r="AT120" s="18">
        <v>1</v>
      </c>
      <c r="AU120" s="18">
        <v>3</v>
      </c>
      <c r="AV120" s="18">
        <v>9</v>
      </c>
      <c r="AW120" s="18">
        <v>0</v>
      </c>
      <c r="AX120" s="18">
        <v>0</v>
      </c>
      <c r="AY120" s="18"/>
      <c r="AZ120" s="329">
        <f t="shared" si="46"/>
        <v>39958.596000889949</v>
      </c>
      <c r="BA120" s="329">
        <f t="shared" si="47"/>
        <v>39958.596001533646</v>
      </c>
      <c r="BB120" s="329">
        <f t="shared" si="48"/>
        <v>39958.596015087292</v>
      </c>
      <c r="BC120" s="329">
        <f t="shared" si="49"/>
        <v>39958.596003563616</v>
      </c>
      <c r="BD120" s="329">
        <f t="shared" si="50"/>
        <v>39958.596001486061</v>
      </c>
      <c r="BE120" s="329">
        <f t="shared" si="51"/>
        <v>6000</v>
      </c>
      <c r="BF120" s="329">
        <f t="shared" si="52"/>
        <v>3629.3136363636363</v>
      </c>
      <c r="BG120" s="329">
        <f t="shared" si="53"/>
        <v>15353.857142857143</v>
      </c>
      <c r="BH120" s="329">
        <f t="shared" si="54"/>
        <v>1963.1818181818182</v>
      </c>
      <c r="BI120" s="329">
        <f t="shared" si="55"/>
        <v>0</v>
      </c>
      <c r="BJ120" s="329">
        <f t="shared" si="56"/>
        <v>7502.2666666666664</v>
      </c>
      <c r="BK120" s="329">
        <f t="shared" si="57"/>
        <v>574.68944099378882</v>
      </c>
      <c r="BL120" s="329">
        <f t="shared" si="58"/>
        <v>8534.9603733056811</v>
      </c>
      <c r="BM120" s="329">
        <f t="shared" si="59"/>
        <v>561534.42786069645</v>
      </c>
      <c r="BN120" s="329">
        <f t="shared" si="44"/>
        <v>97345.85850312277</v>
      </c>
      <c r="BO120" s="329">
        <f t="shared" si="45"/>
        <v>806.61195779601405</v>
      </c>
      <c r="BP120" t="s">
        <v>242</v>
      </c>
    </row>
    <row r="121" spans="1:68" x14ac:dyDescent="0.25">
      <c r="A121" s="10" t="s">
        <v>253</v>
      </c>
      <c r="B121" s="10"/>
      <c r="C121" s="10" t="s">
        <v>254</v>
      </c>
      <c r="D121" s="11">
        <v>212538.29010000001</v>
      </c>
      <c r="E121" s="11">
        <v>917817.81969999999</v>
      </c>
      <c r="F121" s="11">
        <v>0</v>
      </c>
      <c r="G121" s="11">
        <v>613734.10369999998</v>
      </c>
      <c r="H121" s="11">
        <v>0</v>
      </c>
      <c r="I121" s="11">
        <v>4426000</v>
      </c>
      <c r="J121" s="11">
        <v>2369423.7459999998</v>
      </c>
      <c r="K121" s="11">
        <v>5294207</v>
      </c>
      <c r="L121" s="11">
        <v>2725629</v>
      </c>
      <c r="M121" s="11">
        <v>378082.42739999999</v>
      </c>
      <c r="N121" s="11">
        <v>55891</v>
      </c>
      <c r="O121" s="11">
        <v>71336</v>
      </c>
      <c r="P121" s="11">
        <v>6785</v>
      </c>
      <c r="Q121" s="11">
        <v>11978</v>
      </c>
      <c r="R121" s="11">
        <v>11619</v>
      </c>
      <c r="S121" s="11">
        <v>178207</v>
      </c>
      <c r="T121" s="12">
        <v>1</v>
      </c>
      <c r="U121" s="12">
        <v>3</v>
      </c>
      <c r="V121" s="12">
        <v>0</v>
      </c>
      <c r="W121" s="12">
        <v>2</v>
      </c>
      <c r="X121" s="12">
        <v>0</v>
      </c>
      <c r="Y121" s="12">
        <v>17</v>
      </c>
      <c r="Z121" s="12">
        <v>12</v>
      </c>
      <c r="AA121" s="12">
        <v>25</v>
      </c>
      <c r="AB121" s="12">
        <v>10</v>
      </c>
      <c r="AC121" s="12">
        <v>0</v>
      </c>
      <c r="AD121" s="12">
        <v>2</v>
      </c>
      <c r="AE121" s="12">
        <v>0</v>
      </c>
      <c r="AF121" s="12">
        <v>1</v>
      </c>
      <c r="AG121" s="12">
        <v>1</v>
      </c>
      <c r="AH121" s="12" t="s">
        <v>38</v>
      </c>
      <c r="AI121" s="12" t="s">
        <v>38</v>
      </c>
      <c r="AJ121" s="13">
        <v>7</v>
      </c>
      <c r="AK121" s="13">
        <v>2</v>
      </c>
      <c r="AL121" s="13">
        <v>2</v>
      </c>
      <c r="AM121" s="13">
        <v>3</v>
      </c>
      <c r="AN121" s="13">
        <v>4</v>
      </c>
      <c r="AO121" s="13">
        <v>0</v>
      </c>
      <c r="AP121" s="13">
        <v>54</v>
      </c>
      <c r="AQ121" s="13">
        <v>109</v>
      </c>
      <c r="AR121" s="13">
        <v>127</v>
      </c>
      <c r="AS121" s="13">
        <v>0</v>
      </c>
      <c r="AT121" s="13">
        <v>5</v>
      </c>
      <c r="AU121" s="13">
        <v>6</v>
      </c>
      <c r="AV121" s="13">
        <v>46</v>
      </c>
      <c r="AW121" s="13">
        <v>17</v>
      </c>
      <c r="AX121" s="13">
        <v>12</v>
      </c>
      <c r="AY121" s="13"/>
      <c r="AZ121" s="329">
        <f t="shared" si="46"/>
        <v>212538.29010000001</v>
      </c>
      <c r="BA121" s="329">
        <f t="shared" si="47"/>
        <v>305939.27323333331</v>
      </c>
      <c r="BB121" s="329" t="str">
        <f t="shared" si="48"/>
        <v/>
      </c>
      <c r="BC121" s="329">
        <f t="shared" si="49"/>
        <v>306867.05184999999</v>
      </c>
      <c r="BD121" s="329" t="str">
        <f t="shared" si="50"/>
        <v/>
      </c>
      <c r="BE121" s="329">
        <f t="shared" si="51"/>
        <v>260352.9411764706</v>
      </c>
      <c r="BF121" s="329">
        <f t="shared" si="52"/>
        <v>197451.97883333333</v>
      </c>
      <c r="BG121" s="329">
        <f t="shared" si="53"/>
        <v>211768.28</v>
      </c>
      <c r="BH121" s="329">
        <f t="shared" si="54"/>
        <v>272562.90000000002</v>
      </c>
      <c r="BI121" s="329" t="str">
        <f t="shared" si="55"/>
        <v/>
      </c>
      <c r="BJ121" s="329">
        <f t="shared" si="56"/>
        <v>27945.5</v>
      </c>
      <c r="BK121" s="329" t="str">
        <f t="shared" si="57"/>
        <v/>
      </c>
      <c r="BL121" s="329">
        <f t="shared" si="58"/>
        <v>6785</v>
      </c>
      <c r="BM121" s="329">
        <f t="shared" si="59"/>
        <v>11978</v>
      </c>
      <c r="BN121" s="329" t="str">
        <f t="shared" si="44"/>
        <v/>
      </c>
      <c r="BO121" s="329" t="str">
        <f t="shared" si="45"/>
        <v/>
      </c>
      <c r="BP121" t="s">
        <v>242</v>
      </c>
    </row>
    <row r="122" spans="1:68" x14ac:dyDescent="0.25">
      <c r="A122" s="10"/>
      <c r="B122" s="10"/>
      <c r="C122" s="10" t="s">
        <v>64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 t="s">
        <v>38</v>
      </c>
      <c r="P122" s="11">
        <v>0</v>
      </c>
      <c r="Q122" s="11" t="s">
        <v>38</v>
      </c>
      <c r="R122" s="11" t="s">
        <v>38</v>
      </c>
      <c r="S122" s="11" t="s">
        <v>38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 t="s">
        <v>38</v>
      </c>
      <c r="AH122" s="12" t="s">
        <v>38</v>
      </c>
      <c r="AI122" s="12" t="s">
        <v>38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144</v>
      </c>
      <c r="AV122" s="13">
        <v>0</v>
      </c>
      <c r="AW122" s="13">
        <v>0</v>
      </c>
      <c r="AX122" s="13">
        <v>0</v>
      </c>
      <c r="AY122" s="13"/>
      <c r="AZ122" s="329" t="str">
        <f t="shared" si="46"/>
        <v/>
      </c>
      <c r="BA122" s="329" t="str">
        <f t="shared" si="47"/>
        <v/>
      </c>
      <c r="BB122" s="329" t="str">
        <f t="shared" si="48"/>
        <v/>
      </c>
      <c r="BC122" s="329" t="str">
        <f t="shared" si="49"/>
        <v/>
      </c>
      <c r="BD122" s="329" t="str">
        <f t="shared" si="50"/>
        <v/>
      </c>
      <c r="BE122" s="329" t="str">
        <f t="shared" si="51"/>
        <v/>
      </c>
      <c r="BF122" s="329" t="str">
        <f t="shared" si="52"/>
        <v/>
      </c>
      <c r="BG122" s="329" t="str">
        <f t="shared" si="53"/>
        <v/>
      </c>
      <c r="BH122" s="329" t="str">
        <f t="shared" si="54"/>
        <v/>
      </c>
      <c r="BI122" s="329" t="str">
        <f t="shared" si="55"/>
        <v/>
      </c>
      <c r="BJ122" s="329" t="str">
        <f t="shared" si="56"/>
        <v/>
      </c>
      <c r="BK122" s="329" t="str">
        <f t="shared" si="57"/>
        <v/>
      </c>
      <c r="BL122" s="329" t="str">
        <f t="shared" si="58"/>
        <v/>
      </c>
      <c r="BM122" s="329" t="str">
        <f t="shared" si="59"/>
        <v/>
      </c>
      <c r="BN122" s="329" t="str">
        <f t="shared" si="44"/>
        <v/>
      </c>
      <c r="BO122" s="329" t="str">
        <f t="shared" si="45"/>
        <v/>
      </c>
      <c r="BP122" t="s">
        <v>63</v>
      </c>
    </row>
    <row r="123" spans="1:68" x14ac:dyDescent="0.25">
      <c r="A123" s="10" t="s">
        <v>255</v>
      </c>
      <c r="B123" s="10" t="s">
        <v>256</v>
      </c>
      <c r="C123" s="10" t="s">
        <v>257</v>
      </c>
      <c r="D123" s="11">
        <v>7611024.5080000004</v>
      </c>
      <c r="E123" s="11">
        <v>1859093.7619999999</v>
      </c>
      <c r="F123" s="11">
        <v>1361341.1309999998</v>
      </c>
      <c r="G123" s="11">
        <v>1177387.504</v>
      </c>
      <c r="H123" s="11">
        <v>2743029.4439999997</v>
      </c>
      <c r="I123" s="11">
        <v>63000</v>
      </c>
      <c r="J123" s="11">
        <v>6880614.6720000003</v>
      </c>
      <c r="K123" s="11">
        <v>4988014</v>
      </c>
      <c r="L123" s="11">
        <v>1495306</v>
      </c>
      <c r="M123" s="11">
        <v>1114378.7263</v>
      </c>
      <c r="N123" s="11">
        <v>3923123</v>
      </c>
      <c r="O123" s="11">
        <v>3139257</v>
      </c>
      <c r="P123" s="11">
        <v>3285493</v>
      </c>
      <c r="Q123" s="11">
        <v>2982833</v>
      </c>
      <c r="R123" s="11">
        <v>2739249</v>
      </c>
      <c r="S123" s="11">
        <v>2959033</v>
      </c>
      <c r="T123" s="12">
        <v>112</v>
      </c>
      <c r="U123" s="12">
        <v>31</v>
      </c>
      <c r="V123" s="12">
        <v>40</v>
      </c>
      <c r="W123" s="12">
        <v>12</v>
      </c>
      <c r="X123" s="12">
        <v>67</v>
      </c>
      <c r="Y123" s="12">
        <v>7</v>
      </c>
      <c r="Z123" s="12">
        <v>78</v>
      </c>
      <c r="AA123" s="12">
        <v>66</v>
      </c>
      <c r="AB123" s="12">
        <v>19</v>
      </c>
      <c r="AC123" s="12">
        <v>43</v>
      </c>
      <c r="AD123" s="12">
        <v>44</v>
      </c>
      <c r="AE123" s="12">
        <v>23</v>
      </c>
      <c r="AF123" s="12">
        <v>38</v>
      </c>
      <c r="AG123" s="12">
        <v>42</v>
      </c>
      <c r="AH123" s="12">
        <v>24</v>
      </c>
      <c r="AI123" s="12">
        <v>16</v>
      </c>
      <c r="AJ123" s="13">
        <v>6</v>
      </c>
      <c r="AK123" s="13">
        <v>5</v>
      </c>
      <c r="AL123" s="13">
        <v>5</v>
      </c>
      <c r="AM123" s="13">
        <v>9</v>
      </c>
      <c r="AN123" s="13">
        <v>13</v>
      </c>
      <c r="AO123" s="13">
        <v>13</v>
      </c>
      <c r="AP123" s="13">
        <v>7</v>
      </c>
      <c r="AQ123" s="13">
        <v>5</v>
      </c>
      <c r="AR123" s="13">
        <v>0</v>
      </c>
      <c r="AS123" s="13">
        <v>0</v>
      </c>
      <c r="AT123" s="13">
        <v>1</v>
      </c>
      <c r="AU123" s="13">
        <v>0</v>
      </c>
      <c r="AV123" s="13">
        <v>3</v>
      </c>
      <c r="AW123" s="13">
        <v>4</v>
      </c>
      <c r="AX123" s="13">
        <v>4</v>
      </c>
      <c r="AY123" s="13"/>
      <c r="AZ123" s="329">
        <f t="shared" si="46"/>
        <v>67955.575964285716</v>
      </c>
      <c r="BA123" s="329">
        <f t="shared" si="47"/>
        <v>59970.766516129028</v>
      </c>
      <c r="BB123" s="329">
        <f t="shared" si="48"/>
        <v>34033.528274999997</v>
      </c>
      <c r="BC123" s="329">
        <f t="shared" si="49"/>
        <v>98115.62533333333</v>
      </c>
      <c r="BD123" s="329">
        <f t="shared" si="50"/>
        <v>40940.737970149246</v>
      </c>
      <c r="BE123" s="329">
        <f t="shared" si="51"/>
        <v>9000</v>
      </c>
      <c r="BF123" s="329">
        <f t="shared" si="52"/>
        <v>88213.00861538462</v>
      </c>
      <c r="BG123" s="329">
        <f t="shared" si="53"/>
        <v>75575.969696969696</v>
      </c>
      <c r="BH123" s="329">
        <f t="shared" si="54"/>
        <v>78700.31578947368</v>
      </c>
      <c r="BI123" s="329">
        <f t="shared" si="55"/>
        <v>25915.784332558138</v>
      </c>
      <c r="BJ123" s="329">
        <f t="shared" si="56"/>
        <v>89161.886363636368</v>
      </c>
      <c r="BK123" s="329">
        <f t="shared" si="57"/>
        <v>136489.4347826087</v>
      </c>
      <c r="BL123" s="329">
        <f t="shared" si="58"/>
        <v>86460.34210526316</v>
      </c>
      <c r="BM123" s="329">
        <f t="shared" si="59"/>
        <v>71019.833333333328</v>
      </c>
      <c r="BN123" s="329">
        <f t="shared" si="44"/>
        <v>114135.375</v>
      </c>
      <c r="BO123" s="329">
        <f t="shared" si="45"/>
        <v>184939.5625</v>
      </c>
      <c r="BP123" t="s">
        <v>258</v>
      </c>
    </row>
    <row r="124" spans="1:68" x14ac:dyDescent="0.25">
      <c r="A124" s="10" t="s">
        <v>259</v>
      </c>
      <c r="B124" s="10"/>
      <c r="C124" s="10" t="s">
        <v>260</v>
      </c>
      <c r="D124" s="11">
        <v>408073.51699999999</v>
      </c>
      <c r="E124" s="11">
        <v>936324.22810000007</v>
      </c>
      <c r="F124" s="11">
        <v>817485.91710000008</v>
      </c>
      <c r="G124" s="11">
        <v>1296206.4270000001</v>
      </c>
      <c r="H124" s="11">
        <v>1720945.1160000002</v>
      </c>
      <c r="I124" s="11">
        <v>20000</v>
      </c>
      <c r="J124" s="11">
        <v>3696246.0359999998</v>
      </c>
      <c r="K124" s="11">
        <v>3349862</v>
      </c>
      <c r="L124" s="11">
        <v>1016321</v>
      </c>
      <c r="M124" s="11">
        <v>411106.29710000003</v>
      </c>
      <c r="N124" s="11">
        <v>2558294</v>
      </c>
      <c r="O124" s="11">
        <v>2812272</v>
      </c>
      <c r="P124" s="11">
        <v>3838673</v>
      </c>
      <c r="Q124" s="11">
        <v>3807091</v>
      </c>
      <c r="R124" s="11">
        <v>4344258</v>
      </c>
      <c r="S124" s="11">
        <v>6509074</v>
      </c>
      <c r="T124" s="12">
        <v>5</v>
      </c>
      <c r="U124" s="12">
        <v>13</v>
      </c>
      <c r="V124" s="12">
        <v>20</v>
      </c>
      <c r="W124" s="12">
        <v>11</v>
      </c>
      <c r="X124" s="12">
        <v>35</v>
      </c>
      <c r="Y124" s="12">
        <v>16</v>
      </c>
      <c r="Z124" s="12">
        <v>46</v>
      </c>
      <c r="AA124" s="12">
        <v>42</v>
      </c>
      <c r="AB124" s="12">
        <v>15</v>
      </c>
      <c r="AC124" s="12">
        <v>12</v>
      </c>
      <c r="AD124" s="12">
        <v>29</v>
      </c>
      <c r="AE124" s="12">
        <v>37</v>
      </c>
      <c r="AF124" s="12">
        <v>40</v>
      </c>
      <c r="AG124" s="12">
        <v>24</v>
      </c>
      <c r="AH124" s="12">
        <v>24</v>
      </c>
      <c r="AI124" s="12">
        <v>21</v>
      </c>
      <c r="AJ124" s="13">
        <v>4</v>
      </c>
      <c r="AK124" s="13">
        <v>5</v>
      </c>
      <c r="AL124" s="13">
        <v>9</v>
      </c>
      <c r="AM124" s="13">
        <v>13</v>
      </c>
      <c r="AN124" s="13">
        <v>7</v>
      </c>
      <c r="AO124" s="13">
        <v>7</v>
      </c>
      <c r="AP124" s="13">
        <v>6</v>
      </c>
      <c r="AQ124" s="13">
        <v>5</v>
      </c>
      <c r="AR124" s="13">
        <v>5</v>
      </c>
      <c r="AS124" s="13">
        <v>0</v>
      </c>
      <c r="AT124" s="13">
        <v>0</v>
      </c>
      <c r="AU124" s="13">
        <v>0</v>
      </c>
      <c r="AV124" s="13">
        <v>1</v>
      </c>
      <c r="AW124" s="13">
        <v>0</v>
      </c>
      <c r="AX124" s="13">
        <v>1</v>
      </c>
      <c r="AY124" s="13"/>
      <c r="AZ124" s="329">
        <f t="shared" si="46"/>
        <v>81614.703399999999</v>
      </c>
      <c r="BA124" s="329">
        <f t="shared" si="47"/>
        <v>72024.940623076924</v>
      </c>
      <c r="BB124" s="329">
        <f t="shared" si="48"/>
        <v>40874.295855000004</v>
      </c>
      <c r="BC124" s="329">
        <f t="shared" si="49"/>
        <v>117836.94790909092</v>
      </c>
      <c r="BD124" s="329">
        <f t="shared" si="50"/>
        <v>49169.860457142859</v>
      </c>
      <c r="BE124" s="329">
        <f t="shared" si="51"/>
        <v>1250</v>
      </c>
      <c r="BF124" s="329">
        <f t="shared" si="52"/>
        <v>80353.174695652167</v>
      </c>
      <c r="BG124" s="329">
        <f t="shared" si="53"/>
        <v>79758.619047619053</v>
      </c>
      <c r="BH124" s="329">
        <f t="shared" si="54"/>
        <v>67754.733333333337</v>
      </c>
      <c r="BI124" s="329">
        <f t="shared" si="55"/>
        <v>34258.858091666669</v>
      </c>
      <c r="BJ124" s="329">
        <f t="shared" si="56"/>
        <v>88217.034482758623</v>
      </c>
      <c r="BK124" s="329">
        <f t="shared" si="57"/>
        <v>76007.351351351346</v>
      </c>
      <c r="BL124" s="329">
        <f t="shared" si="58"/>
        <v>95966.824999999997</v>
      </c>
      <c r="BM124" s="329">
        <f t="shared" si="59"/>
        <v>158628.79166666666</v>
      </c>
      <c r="BN124" s="329">
        <f t="shared" si="44"/>
        <v>181010.75</v>
      </c>
      <c r="BO124" s="329">
        <f t="shared" si="45"/>
        <v>309955.90476190473</v>
      </c>
      <c r="BP124" t="s">
        <v>258</v>
      </c>
    </row>
    <row r="125" spans="1:68" x14ac:dyDescent="0.25">
      <c r="A125" s="10" t="s">
        <v>261</v>
      </c>
      <c r="B125" s="10"/>
      <c r="C125" s="10" t="s">
        <v>262</v>
      </c>
      <c r="D125" s="11">
        <v>0</v>
      </c>
      <c r="E125" s="11">
        <v>0</v>
      </c>
      <c r="F125" s="11">
        <v>419813.08039999998</v>
      </c>
      <c r="G125" s="11">
        <v>3630850.9569999999</v>
      </c>
      <c r="H125" s="11">
        <v>1515046.325</v>
      </c>
      <c r="I125" s="11">
        <v>0</v>
      </c>
      <c r="J125" s="11">
        <v>461550.00199999998</v>
      </c>
      <c r="K125" s="11">
        <v>0</v>
      </c>
      <c r="L125" s="11">
        <v>0</v>
      </c>
      <c r="M125" s="11">
        <v>2616489.1710000001</v>
      </c>
      <c r="N125" s="11">
        <v>147088</v>
      </c>
      <c r="O125" s="11">
        <v>65114</v>
      </c>
      <c r="P125" s="11">
        <v>34938</v>
      </c>
      <c r="Q125" s="11" t="s">
        <v>38</v>
      </c>
      <c r="R125" s="11" t="s">
        <v>38</v>
      </c>
      <c r="S125" s="11">
        <v>11325</v>
      </c>
      <c r="T125" s="12">
        <v>0</v>
      </c>
      <c r="U125" s="12">
        <v>0</v>
      </c>
      <c r="V125" s="12">
        <v>1</v>
      </c>
      <c r="W125" s="12">
        <v>3</v>
      </c>
      <c r="X125" s="12">
        <v>3</v>
      </c>
      <c r="Y125" s="12">
        <v>25</v>
      </c>
      <c r="Z125" s="12">
        <v>1</v>
      </c>
      <c r="AA125" s="12">
        <v>0</v>
      </c>
      <c r="AB125" s="12">
        <v>0</v>
      </c>
      <c r="AC125" s="12">
        <v>65</v>
      </c>
      <c r="AD125" s="12">
        <v>3</v>
      </c>
      <c r="AE125" s="12">
        <v>0</v>
      </c>
      <c r="AF125" s="12">
        <v>0</v>
      </c>
      <c r="AG125" s="12" t="s">
        <v>38</v>
      </c>
      <c r="AH125" s="12" t="s">
        <v>38</v>
      </c>
      <c r="AI125" s="12" t="s">
        <v>38</v>
      </c>
      <c r="AJ125" s="13">
        <v>7</v>
      </c>
      <c r="AK125" s="13">
        <v>8</v>
      </c>
      <c r="AL125" s="13">
        <v>9</v>
      </c>
      <c r="AM125" s="13">
        <v>16</v>
      </c>
      <c r="AN125" s="13">
        <v>12</v>
      </c>
      <c r="AO125" s="13">
        <v>12</v>
      </c>
      <c r="AP125" s="13">
        <v>12</v>
      </c>
      <c r="AQ125" s="13">
        <v>9</v>
      </c>
      <c r="AR125" s="13">
        <v>10</v>
      </c>
      <c r="AS125" s="13"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/>
      <c r="AZ125" s="329" t="str">
        <f t="shared" si="46"/>
        <v/>
      </c>
      <c r="BA125" s="329" t="str">
        <f t="shared" si="47"/>
        <v/>
      </c>
      <c r="BB125" s="329">
        <f t="shared" si="48"/>
        <v>419813.08039999998</v>
      </c>
      <c r="BC125" s="329">
        <f t="shared" si="49"/>
        <v>1210283.6523333334</v>
      </c>
      <c r="BD125" s="329">
        <f t="shared" si="50"/>
        <v>505015.44166666665</v>
      </c>
      <c r="BE125" s="329">
        <f t="shared" si="51"/>
        <v>0</v>
      </c>
      <c r="BF125" s="329">
        <f t="shared" si="52"/>
        <v>461550.00199999998</v>
      </c>
      <c r="BG125" s="329" t="str">
        <f t="shared" si="53"/>
        <v/>
      </c>
      <c r="BH125" s="329" t="str">
        <f t="shared" si="54"/>
        <v/>
      </c>
      <c r="BI125" s="329">
        <f t="shared" si="55"/>
        <v>40253.679553846152</v>
      </c>
      <c r="BJ125" s="329">
        <f t="shared" si="56"/>
        <v>49029.333333333336</v>
      </c>
      <c r="BK125" s="329" t="str">
        <f t="shared" si="57"/>
        <v/>
      </c>
      <c r="BL125" s="329" t="str">
        <f t="shared" si="58"/>
        <v/>
      </c>
      <c r="BM125" s="329" t="str">
        <f t="shared" si="59"/>
        <v/>
      </c>
      <c r="BN125" s="329" t="str">
        <f t="shared" si="44"/>
        <v/>
      </c>
      <c r="BO125" s="329" t="str">
        <f t="shared" si="45"/>
        <v/>
      </c>
      <c r="BP125" t="s">
        <v>258</v>
      </c>
    </row>
    <row r="126" spans="1:68" x14ac:dyDescent="0.25">
      <c r="A126" s="10" t="s">
        <v>263</v>
      </c>
      <c r="B126" s="10"/>
      <c r="C126" s="10" t="s">
        <v>264</v>
      </c>
      <c r="D126" s="11">
        <v>0</v>
      </c>
      <c r="E126" s="11">
        <v>0</v>
      </c>
      <c r="F126" s="11">
        <v>0</v>
      </c>
      <c r="G126" s="11">
        <v>8153629.2000000002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109535.4608</v>
      </c>
      <c r="N126" s="11">
        <v>64116</v>
      </c>
      <c r="O126" s="11">
        <v>68530</v>
      </c>
      <c r="P126" s="11">
        <v>0</v>
      </c>
      <c r="Q126" s="11" t="s">
        <v>38</v>
      </c>
      <c r="R126" s="11" t="s">
        <v>38</v>
      </c>
      <c r="S126" s="11" t="s">
        <v>38</v>
      </c>
      <c r="T126" s="12">
        <v>0</v>
      </c>
      <c r="U126" s="12">
        <v>0</v>
      </c>
      <c r="V126" s="12">
        <v>0</v>
      </c>
      <c r="W126" s="12">
        <v>1</v>
      </c>
      <c r="X126" s="12">
        <v>0</v>
      </c>
      <c r="Y126" s="12">
        <v>12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 t="s">
        <v>38</v>
      </c>
      <c r="AH126" s="12" t="s">
        <v>38</v>
      </c>
      <c r="AI126" s="12" t="s">
        <v>38</v>
      </c>
      <c r="AJ126" s="13">
        <v>120</v>
      </c>
      <c r="AK126" s="13">
        <v>220</v>
      </c>
      <c r="AL126" s="13">
        <v>29</v>
      </c>
      <c r="AM126" s="13">
        <v>34</v>
      </c>
      <c r="AN126" s="13">
        <v>22</v>
      </c>
      <c r="AO126" s="13">
        <v>22</v>
      </c>
      <c r="AP126" s="13">
        <v>0</v>
      </c>
      <c r="AQ126" s="13">
        <v>2</v>
      </c>
      <c r="AR126" s="13">
        <v>10</v>
      </c>
      <c r="AS126" s="13"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/>
      <c r="AZ126" s="329" t="str">
        <f t="shared" si="46"/>
        <v/>
      </c>
      <c r="BA126" s="329" t="str">
        <f t="shared" si="47"/>
        <v/>
      </c>
      <c r="BB126" s="329" t="str">
        <f t="shared" si="48"/>
        <v/>
      </c>
      <c r="BC126" s="329">
        <f t="shared" si="49"/>
        <v>8153629.2000000002</v>
      </c>
      <c r="BD126" s="329" t="str">
        <f t="shared" si="50"/>
        <v/>
      </c>
      <c r="BE126" s="329">
        <f t="shared" si="51"/>
        <v>0</v>
      </c>
      <c r="BF126" s="329" t="str">
        <f t="shared" si="52"/>
        <v/>
      </c>
      <c r="BG126" s="329" t="str">
        <f t="shared" si="53"/>
        <v/>
      </c>
      <c r="BH126" s="329" t="str">
        <f t="shared" si="54"/>
        <v/>
      </c>
      <c r="BI126" s="329" t="str">
        <f t="shared" si="55"/>
        <v/>
      </c>
      <c r="BJ126" s="329" t="str">
        <f t="shared" si="56"/>
        <v/>
      </c>
      <c r="BK126" s="329" t="str">
        <f t="shared" si="57"/>
        <v/>
      </c>
      <c r="BL126" s="329" t="str">
        <f t="shared" si="58"/>
        <v/>
      </c>
      <c r="BM126" s="329" t="str">
        <f t="shared" si="59"/>
        <v/>
      </c>
      <c r="BN126" s="329" t="str">
        <f t="shared" si="44"/>
        <v/>
      </c>
      <c r="BO126" s="329" t="str">
        <f t="shared" si="45"/>
        <v/>
      </c>
      <c r="BP126" t="s">
        <v>258</v>
      </c>
    </row>
    <row r="127" spans="1:68" x14ac:dyDescent="0.25">
      <c r="A127" s="10" t="s">
        <v>265</v>
      </c>
      <c r="B127" s="10"/>
      <c r="C127" s="10" t="s">
        <v>266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31148.844400000002</v>
      </c>
      <c r="N127" s="11">
        <v>5494255</v>
      </c>
      <c r="O127" s="11">
        <v>8793339</v>
      </c>
      <c r="P127" s="11">
        <v>8697305</v>
      </c>
      <c r="Q127" s="11">
        <v>12419161</v>
      </c>
      <c r="R127" s="11">
        <v>9227711</v>
      </c>
      <c r="S127" s="11">
        <v>19462038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 t="s">
        <v>38</v>
      </c>
      <c r="AI127" s="12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/>
      <c r="AZ127" s="329" t="str">
        <f t="shared" si="46"/>
        <v/>
      </c>
      <c r="BA127" s="329" t="str">
        <f t="shared" si="47"/>
        <v/>
      </c>
      <c r="BB127" s="329" t="str">
        <f t="shared" si="48"/>
        <v/>
      </c>
      <c r="BC127" s="329" t="str">
        <f t="shared" si="49"/>
        <v/>
      </c>
      <c r="BD127" s="329" t="str">
        <f t="shared" si="50"/>
        <v/>
      </c>
      <c r="BE127" s="329" t="str">
        <f t="shared" si="51"/>
        <v/>
      </c>
      <c r="BF127" s="329" t="str">
        <f t="shared" si="52"/>
        <v/>
      </c>
      <c r="BG127" s="329" t="str">
        <f t="shared" si="53"/>
        <v/>
      </c>
      <c r="BH127" s="329" t="str">
        <f t="shared" si="54"/>
        <v/>
      </c>
      <c r="BI127" s="329" t="str">
        <f t="shared" si="55"/>
        <v/>
      </c>
      <c r="BJ127" s="329" t="str">
        <f t="shared" si="56"/>
        <v/>
      </c>
      <c r="BK127" s="329" t="str">
        <f t="shared" si="57"/>
        <v/>
      </c>
      <c r="BL127" s="329" t="str">
        <f t="shared" si="58"/>
        <v/>
      </c>
      <c r="BM127" s="329" t="str">
        <f t="shared" si="59"/>
        <v/>
      </c>
      <c r="BN127" s="329" t="str">
        <f t="shared" si="44"/>
        <v/>
      </c>
      <c r="BO127" s="329" t="str">
        <f t="shared" si="45"/>
        <v/>
      </c>
      <c r="BP127" t="s">
        <v>258</v>
      </c>
    </row>
    <row r="128" spans="1:68" x14ac:dyDescent="0.25">
      <c r="D128" s="19"/>
      <c r="E128" s="19"/>
      <c r="F128" s="20">
        <v>153.40099688710299</v>
      </c>
      <c r="G128" s="20">
        <v>183.40430083236998</v>
      </c>
      <c r="H128" s="20">
        <v>199.08004983027001</v>
      </c>
      <c r="I128" s="20">
        <v>132.79026099999999</v>
      </c>
      <c r="J128" s="20">
        <v>194.50985373399999</v>
      </c>
      <c r="K128" s="20">
        <v>172.55581699999999</v>
      </c>
      <c r="L128" s="20">
        <v>166.126791</v>
      </c>
      <c r="M128" s="20">
        <v>196.35544698149994</v>
      </c>
      <c r="N128" s="20">
        <v>249.61893900000001</v>
      </c>
      <c r="O128" s="20">
        <v>352.49667306999999</v>
      </c>
      <c r="P128" s="20">
        <v>378.22061200000002</v>
      </c>
      <c r="Q128" s="20">
        <v>408.49204200000003</v>
      </c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</row>
    <row r="129" spans="1:51" x14ac:dyDescent="0.25">
      <c r="A129" s="21" t="s">
        <v>22</v>
      </c>
      <c r="B129" t="s">
        <v>267</v>
      </c>
      <c r="D129" s="11">
        <v>2874388.5220000003</v>
      </c>
      <c r="E129" s="11">
        <v>2814378.0079999999</v>
      </c>
      <c r="F129" s="11">
        <v>4646341.4270000001</v>
      </c>
      <c r="G129" s="11">
        <v>3604769.3850000002</v>
      </c>
      <c r="H129" s="11">
        <v>6764679.0460000001</v>
      </c>
      <c r="I129" s="11">
        <v>3825000</v>
      </c>
      <c r="J129" s="11">
        <v>2138245.9109999998</v>
      </c>
      <c r="K129" s="11">
        <v>2649086</v>
      </c>
      <c r="L129" s="11">
        <v>2307540</v>
      </c>
      <c r="M129" s="11">
        <v>5297943.3136</v>
      </c>
      <c r="N129" s="11">
        <v>3694372</v>
      </c>
      <c r="O129" s="11">
        <v>7932323</v>
      </c>
      <c r="P129" s="11">
        <v>7371639</v>
      </c>
      <c r="Q129" s="11">
        <v>9045812</v>
      </c>
      <c r="R129" s="11">
        <v>8954422.3600000069</v>
      </c>
      <c r="S129" s="11">
        <f t="shared" ref="S129:S139" si="60">SUMIF($BP$2:$BP$127,$A129,S$2:S$127)</f>
        <v>9464302.1000000183</v>
      </c>
      <c r="T129" s="12">
        <v>2774</v>
      </c>
      <c r="U129" s="12">
        <v>2794</v>
      </c>
      <c r="V129" s="12">
        <v>2699</v>
      </c>
      <c r="W129" s="12">
        <v>2958</v>
      </c>
      <c r="X129" s="12">
        <v>4061</v>
      </c>
      <c r="Y129" s="12">
        <v>2271</v>
      </c>
      <c r="Z129" s="12">
        <v>1349</v>
      </c>
      <c r="AA129" s="12">
        <v>1873</v>
      </c>
      <c r="AB129" s="12">
        <v>1461</v>
      </c>
      <c r="AC129" s="12">
        <v>1563</v>
      </c>
      <c r="AD129" s="12">
        <v>1101</v>
      </c>
      <c r="AE129" s="12">
        <v>4997</v>
      </c>
      <c r="AF129" s="12">
        <v>4542</v>
      </c>
      <c r="AG129" s="12">
        <v>5172</v>
      </c>
      <c r="AH129" s="12">
        <v>4260</v>
      </c>
      <c r="AI129" s="12">
        <f t="shared" ref="AI129:AI139" si="61">SUMIF($BP$2:$BP$127,$A129,AI$2:AI$127)</f>
        <v>6395</v>
      </c>
      <c r="AJ129" s="13">
        <v>66</v>
      </c>
      <c r="AK129" s="13">
        <v>115</v>
      </c>
      <c r="AL129" s="13">
        <v>139</v>
      </c>
      <c r="AM129" s="13">
        <v>187</v>
      </c>
      <c r="AN129" s="13">
        <v>259</v>
      </c>
      <c r="AO129" s="13">
        <v>137</v>
      </c>
      <c r="AP129" s="13">
        <v>85</v>
      </c>
      <c r="AQ129" s="13">
        <v>117</v>
      </c>
      <c r="AR129" s="13">
        <v>90</v>
      </c>
      <c r="AS129" s="13"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</row>
    <row r="130" spans="1:51" x14ac:dyDescent="0.25">
      <c r="A130" s="21" t="s">
        <v>27</v>
      </c>
      <c r="B130" t="s">
        <v>268</v>
      </c>
      <c r="D130" s="11">
        <v>5442826.5378999999</v>
      </c>
      <c r="E130" s="11">
        <v>6975489.6789869992</v>
      </c>
      <c r="F130" s="11">
        <v>14807084.986303</v>
      </c>
      <c r="G130" s="11">
        <v>16791406.456730001</v>
      </c>
      <c r="H130" s="11">
        <v>25461543.463750001</v>
      </c>
      <c r="I130" s="11">
        <v>22140000</v>
      </c>
      <c r="J130" s="11">
        <v>33490759.312999997</v>
      </c>
      <c r="K130" s="11">
        <v>30196497</v>
      </c>
      <c r="L130" s="11">
        <v>34384916</v>
      </c>
      <c r="M130" s="11">
        <v>41654032.046099998</v>
      </c>
      <c r="N130" s="11">
        <v>52951953</v>
      </c>
      <c r="O130" s="11">
        <v>86640367.070000008</v>
      </c>
      <c r="P130" s="11">
        <v>94609970</v>
      </c>
      <c r="Q130" s="11">
        <v>85829230</v>
      </c>
      <c r="R130" s="11">
        <v>95649259</v>
      </c>
      <c r="S130" s="11">
        <f t="shared" si="60"/>
        <v>125450047</v>
      </c>
      <c r="T130" s="12">
        <v>2164</v>
      </c>
      <c r="U130" s="12">
        <v>2665</v>
      </c>
      <c r="V130" s="12">
        <v>3030</v>
      </c>
      <c r="W130" s="12">
        <v>4372</v>
      </c>
      <c r="X130" s="12">
        <v>3881</v>
      </c>
      <c r="Y130" s="12">
        <v>3430</v>
      </c>
      <c r="Z130" s="12">
        <v>4344</v>
      </c>
      <c r="AA130" s="12">
        <v>4084</v>
      </c>
      <c r="AB130" s="12">
        <v>4356</v>
      </c>
      <c r="AC130" s="12">
        <v>5836</v>
      </c>
      <c r="AD130" s="12">
        <v>7445</v>
      </c>
      <c r="AE130" s="12">
        <v>13703</v>
      </c>
      <c r="AF130" s="12">
        <v>16138</v>
      </c>
      <c r="AG130" s="12">
        <v>14582</v>
      </c>
      <c r="AH130" s="12">
        <v>13157</v>
      </c>
      <c r="AI130" s="12">
        <f t="shared" si="61"/>
        <v>13844</v>
      </c>
      <c r="AJ130" s="13">
        <v>232</v>
      </c>
      <c r="AK130" s="13">
        <v>285</v>
      </c>
      <c r="AL130" s="13">
        <v>258</v>
      </c>
      <c r="AM130" s="13">
        <v>489</v>
      </c>
      <c r="AN130" s="13">
        <v>401</v>
      </c>
      <c r="AO130" s="13">
        <v>270</v>
      </c>
      <c r="AP130" s="13">
        <v>74</v>
      </c>
      <c r="AQ130" s="13">
        <v>154</v>
      </c>
      <c r="AR130" s="13">
        <v>419</v>
      </c>
      <c r="AS130" s="13">
        <v>55</v>
      </c>
      <c r="AT130" s="13">
        <v>107</v>
      </c>
      <c r="AU130" s="13">
        <v>115</v>
      </c>
      <c r="AV130" s="13">
        <v>98</v>
      </c>
      <c r="AW130" s="13">
        <v>114</v>
      </c>
      <c r="AX130" s="13">
        <v>91</v>
      </c>
      <c r="AY130" s="13">
        <v>0</v>
      </c>
    </row>
    <row r="131" spans="1:51" x14ac:dyDescent="0.25">
      <c r="A131" s="21" t="s">
        <v>68</v>
      </c>
      <c r="B131" t="s">
        <v>269</v>
      </c>
      <c r="D131" s="11">
        <v>3652058.0039999997</v>
      </c>
      <c r="E131" s="11">
        <v>5109768.8492999999</v>
      </c>
      <c r="F131" s="11">
        <v>11198508.412300002</v>
      </c>
      <c r="G131" s="11">
        <v>11849346.121800002</v>
      </c>
      <c r="H131" s="11">
        <v>12893355.647</v>
      </c>
      <c r="I131" s="11">
        <v>10789000</v>
      </c>
      <c r="J131" s="11">
        <v>16197660.298999999</v>
      </c>
      <c r="K131" s="11">
        <v>16557681</v>
      </c>
      <c r="L131" s="11">
        <v>19308728</v>
      </c>
      <c r="M131" s="11">
        <v>28606963.141000003</v>
      </c>
      <c r="N131" s="11">
        <v>38515892</v>
      </c>
      <c r="O131" s="11">
        <v>57284191</v>
      </c>
      <c r="P131" s="11">
        <v>62391158</v>
      </c>
      <c r="Q131" s="11">
        <v>57613033</v>
      </c>
      <c r="R131" s="11">
        <v>66180657</v>
      </c>
      <c r="S131" s="11">
        <f t="shared" si="60"/>
        <v>72029425</v>
      </c>
      <c r="T131" s="12">
        <v>5137</v>
      </c>
      <c r="U131" s="12">
        <v>6843</v>
      </c>
      <c r="V131" s="12">
        <v>7849</v>
      </c>
      <c r="W131" s="12">
        <v>10954</v>
      </c>
      <c r="X131" s="12">
        <v>8320</v>
      </c>
      <c r="Y131" s="12">
        <v>6584</v>
      </c>
      <c r="Z131" s="12">
        <v>9852</v>
      </c>
      <c r="AA131" s="12">
        <v>9109</v>
      </c>
      <c r="AB131" s="12">
        <v>7133</v>
      </c>
      <c r="AC131" s="12">
        <v>17518</v>
      </c>
      <c r="AD131" s="12">
        <v>18357</v>
      </c>
      <c r="AE131" s="12">
        <v>24434</v>
      </c>
      <c r="AF131" s="12">
        <v>25314</v>
      </c>
      <c r="AG131" s="12">
        <v>24063</v>
      </c>
      <c r="AH131" s="12">
        <v>21341</v>
      </c>
      <c r="AI131" s="12">
        <f t="shared" si="61"/>
        <v>20385</v>
      </c>
      <c r="AJ131" s="13">
        <v>220</v>
      </c>
      <c r="AK131" s="13">
        <v>256</v>
      </c>
      <c r="AL131" s="13">
        <v>241</v>
      </c>
      <c r="AM131" s="13">
        <v>205</v>
      </c>
      <c r="AN131" s="13">
        <v>212</v>
      </c>
      <c r="AO131" s="13">
        <v>308</v>
      </c>
      <c r="AP131" s="13">
        <v>49</v>
      </c>
      <c r="AQ131" s="13">
        <v>213</v>
      </c>
      <c r="AR131" s="13">
        <v>261</v>
      </c>
      <c r="AS131" s="13">
        <v>217</v>
      </c>
      <c r="AT131" s="13">
        <v>198</v>
      </c>
      <c r="AU131" s="13">
        <v>252</v>
      </c>
      <c r="AV131" s="13">
        <v>313</v>
      </c>
      <c r="AW131" s="13">
        <v>274</v>
      </c>
      <c r="AX131" s="13">
        <v>318</v>
      </c>
      <c r="AY131" s="13">
        <v>0</v>
      </c>
    </row>
    <row r="132" spans="1:51" x14ac:dyDescent="0.25">
      <c r="A132" s="21" t="s">
        <v>81</v>
      </c>
      <c r="B132" t="s">
        <v>270</v>
      </c>
      <c r="D132" s="11">
        <v>14479500.189299999</v>
      </c>
      <c r="E132" s="11">
        <v>20789390.396599997</v>
      </c>
      <c r="F132" s="11">
        <v>35056889.523999996</v>
      </c>
      <c r="G132" s="11">
        <v>45350672.422000006</v>
      </c>
      <c r="H132" s="11">
        <v>36668982.723000005</v>
      </c>
      <c r="I132" s="11">
        <v>23016000</v>
      </c>
      <c r="J132" s="11">
        <v>39211730.450000003</v>
      </c>
      <c r="K132" s="11">
        <v>30661547</v>
      </c>
      <c r="L132" s="11">
        <v>27055251</v>
      </c>
      <c r="M132" s="11">
        <v>13327293.019300003</v>
      </c>
      <c r="N132" s="11">
        <v>16723929</v>
      </c>
      <c r="O132" s="11">
        <v>19578338</v>
      </c>
      <c r="P132" s="11">
        <v>26143342</v>
      </c>
      <c r="Q132" s="11">
        <v>49821847</v>
      </c>
      <c r="R132" s="11">
        <v>53523261</v>
      </c>
      <c r="S132" s="11">
        <f t="shared" si="60"/>
        <v>38629484</v>
      </c>
      <c r="T132" s="14">
        <v>130.58766666400001</v>
      </c>
      <c r="U132" s="14">
        <v>288.29133329899997</v>
      </c>
      <c r="V132" s="14">
        <v>292.13133332700005</v>
      </c>
      <c r="W132" s="14">
        <v>512.616333371</v>
      </c>
      <c r="X132" s="14">
        <v>301.400333338</v>
      </c>
      <c r="Y132" s="14">
        <v>167.91299999999998</v>
      </c>
      <c r="Z132" s="14">
        <v>322.09199999999998</v>
      </c>
      <c r="AA132" s="14">
        <v>167</v>
      </c>
      <c r="AB132" s="14">
        <v>208</v>
      </c>
      <c r="AC132" s="14">
        <v>328</v>
      </c>
      <c r="AD132" s="14">
        <v>381</v>
      </c>
      <c r="AE132" s="14">
        <v>355.69</v>
      </c>
      <c r="AF132" s="14">
        <v>551.19299999999987</v>
      </c>
      <c r="AG132" s="14">
        <v>657.70899999999995</v>
      </c>
      <c r="AH132" s="14">
        <v>436.29500000000002</v>
      </c>
      <c r="AI132" s="14">
        <f t="shared" si="61"/>
        <v>711.30499999999995</v>
      </c>
      <c r="AJ132" s="13">
        <v>465</v>
      </c>
      <c r="AK132" s="13">
        <v>363</v>
      </c>
      <c r="AL132" s="13">
        <v>380</v>
      </c>
      <c r="AM132" s="13">
        <v>417</v>
      </c>
      <c r="AN132" s="13">
        <v>294</v>
      </c>
      <c r="AO132" s="13">
        <v>663</v>
      </c>
      <c r="AP132" s="13">
        <v>26</v>
      </c>
      <c r="AQ132" s="13">
        <v>154</v>
      </c>
      <c r="AR132" s="13">
        <v>628</v>
      </c>
      <c r="AS132" s="13">
        <v>547</v>
      </c>
      <c r="AT132" s="13">
        <v>518</v>
      </c>
      <c r="AU132" s="13">
        <v>955</v>
      </c>
      <c r="AV132" s="13">
        <v>875</v>
      </c>
      <c r="AW132" s="13">
        <v>866</v>
      </c>
      <c r="AX132" s="13">
        <v>628</v>
      </c>
      <c r="AY132" s="13">
        <v>0</v>
      </c>
    </row>
    <row r="133" spans="1:51" x14ac:dyDescent="0.25">
      <c r="A133" s="21" t="s">
        <v>94</v>
      </c>
      <c r="B133" t="s">
        <v>271</v>
      </c>
      <c r="D133" s="11">
        <v>1599190.9640800001</v>
      </c>
      <c r="E133" s="11">
        <v>562142.90509999997</v>
      </c>
      <c r="F133" s="11">
        <v>1336180.0448</v>
      </c>
      <c r="G133" s="11">
        <v>1489319.5329699998</v>
      </c>
      <c r="H133" s="11">
        <v>1395283.5855099999</v>
      </c>
      <c r="I133" s="11">
        <v>1040000</v>
      </c>
      <c r="J133" s="11">
        <v>3193509.4650000003</v>
      </c>
      <c r="K133" s="11">
        <v>3353034</v>
      </c>
      <c r="L133" s="11">
        <v>2398706</v>
      </c>
      <c r="M133" s="11">
        <v>5410524.2438000003</v>
      </c>
      <c r="N133" s="11">
        <v>2210649</v>
      </c>
      <c r="O133" s="11">
        <v>4778650</v>
      </c>
      <c r="P133" s="11">
        <v>10121248</v>
      </c>
      <c r="Q133" s="11">
        <v>7143662</v>
      </c>
      <c r="R133" s="11">
        <v>6435362</v>
      </c>
      <c r="S133" s="11">
        <f t="shared" si="60"/>
        <v>10597079</v>
      </c>
      <c r="T133" s="14">
        <v>6.2466666670000004</v>
      </c>
      <c r="U133" s="14">
        <v>3.5753333339999998</v>
      </c>
      <c r="V133" s="14">
        <v>6.1678333329999999</v>
      </c>
      <c r="W133" s="14">
        <v>7.6244999989999993</v>
      </c>
      <c r="X133" s="14">
        <v>8.7311666670000001</v>
      </c>
      <c r="Y133" s="14">
        <v>3.8959999999999999</v>
      </c>
      <c r="Z133" s="14">
        <v>9.8829999999999991</v>
      </c>
      <c r="AA133" s="14">
        <v>10</v>
      </c>
      <c r="AB133" s="14">
        <v>5</v>
      </c>
      <c r="AC133" s="14">
        <v>11</v>
      </c>
      <c r="AD133" s="14">
        <v>8</v>
      </c>
      <c r="AE133" s="14">
        <v>9.1020000000000003</v>
      </c>
      <c r="AF133" s="14">
        <v>21.012000000000004</v>
      </c>
      <c r="AG133" s="14">
        <v>21.266999999999999</v>
      </c>
      <c r="AH133" s="14">
        <v>18.215</v>
      </c>
      <c r="AI133" s="14">
        <f t="shared" si="61"/>
        <v>19.329000000000001</v>
      </c>
      <c r="AJ133" s="13">
        <v>45</v>
      </c>
      <c r="AK133" s="13">
        <v>64</v>
      </c>
      <c r="AL133" s="13">
        <v>64</v>
      </c>
      <c r="AM133" s="13">
        <v>48</v>
      </c>
      <c r="AN133" s="13">
        <v>51</v>
      </c>
      <c r="AO133" s="13">
        <v>80</v>
      </c>
      <c r="AP133" s="13">
        <v>13</v>
      </c>
      <c r="AQ133" s="13">
        <v>31</v>
      </c>
      <c r="AR133" s="13">
        <v>20</v>
      </c>
      <c r="AS133" s="13">
        <v>158</v>
      </c>
      <c r="AT133" s="13">
        <v>54</v>
      </c>
      <c r="AU133" s="13">
        <v>184</v>
      </c>
      <c r="AV133" s="13">
        <v>201</v>
      </c>
      <c r="AW133" s="13">
        <v>24</v>
      </c>
      <c r="AX133" s="13">
        <v>463</v>
      </c>
      <c r="AY133" s="13">
        <v>0</v>
      </c>
    </row>
    <row r="134" spans="1:51" x14ac:dyDescent="0.25">
      <c r="A134" s="21" t="s">
        <v>106</v>
      </c>
      <c r="B134" t="s">
        <v>272</v>
      </c>
      <c r="D134" s="11">
        <v>2635387.2855000002</v>
      </c>
      <c r="E134" s="11">
        <v>2872898.7767000003</v>
      </c>
      <c r="F134" s="11">
        <v>5868629.6149999993</v>
      </c>
      <c r="G134" s="11">
        <v>11883517.362600001</v>
      </c>
      <c r="H134" s="11">
        <v>7892680.8854999999</v>
      </c>
      <c r="I134" s="11">
        <v>7134000</v>
      </c>
      <c r="J134" s="11">
        <v>16545070.863</v>
      </c>
      <c r="K134" s="11">
        <v>8743714</v>
      </c>
      <c r="L134" s="11">
        <v>9460124</v>
      </c>
      <c r="M134" s="11">
        <v>5613126.7510000002</v>
      </c>
      <c r="N134" s="11">
        <v>10289934</v>
      </c>
      <c r="O134" s="11">
        <v>16853005</v>
      </c>
      <c r="P134" s="11">
        <v>23813006</v>
      </c>
      <c r="Q134" s="11">
        <v>23844674</v>
      </c>
      <c r="R134" s="11">
        <v>29029011</v>
      </c>
      <c r="S134" s="11">
        <f t="shared" si="60"/>
        <v>33589115</v>
      </c>
      <c r="T134" s="12">
        <v>2449.8787877999998</v>
      </c>
      <c r="U134" s="12">
        <v>2955.2424246999999</v>
      </c>
      <c r="V134" s="12">
        <v>3653.0530303</v>
      </c>
      <c r="W134" s="12">
        <v>9452.3787881999997</v>
      </c>
      <c r="X134" s="12">
        <v>4875.4393942999995</v>
      </c>
      <c r="Y134" s="12">
        <v>4758.5609999999997</v>
      </c>
      <c r="Z134" s="12">
        <v>9589.4470000000001</v>
      </c>
      <c r="AA134" s="12">
        <v>4985</v>
      </c>
      <c r="AB134" s="12">
        <v>4386</v>
      </c>
      <c r="AC134" s="12">
        <v>7068</v>
      </c>
      <c r="AD134" s="12">
        <v>13299</v>
      </c>
      <c r="AE134" s="12">
        <v>14549</v>
      </c>
      <c r="AF134" s="12">
        <v>15833</v>
      </c>
      <c r="AG134" s="12">
        <v>15163</v>
      </c>
      <c r="AH134" s="12">
        <v>19750</v>
      </c>
      <c r="AI134" s="12">
        <f t="shared" si="61"/>
        <v>14783</v>
      </c>
      <c r="AJ134" s="13">
        <v>4445.9772727999998</v>
      </c>
      <c r="AK134" s="13">
        <v>6538.4242419999991</v>
      </c>
      <c r="AL134" s="13">
        <v>8135.9848482999996</v>
      </c>
      <c r="AM134" s="13">
        <v>11611.1666706</v>
      </c>
      <c r="AN134" s="13">
        <v>7682.9015147</v>
      </c>
      <c r="AO134" s="13">
        <v>7497.2709999999997</v>
      </c>
      <c r="AP134" s="13">
        <v>14165</v>
      </c>
      <c r="AQ134" s="13">
        <v>6345</v>
      </c>
      <c r="AR134" s="13">
        <v>7169</v>
      </c>
      <c r="AS134" s="13">
        <v>1780</v>
      </c>
      <c r="AT134" s="13">
        <v>2305</v>
      </c>
      <c r="AU134" s="13">
        <v>1303</v>
      </c>
      <c r="AV134" s="13">
        <v>1076</v>
      </c>
      <c r="AW134" s="13">
        <v>1129</v>
      </c>
      <c r="AX134" s="13">
        <v>1623</v>
      </c>
      <c r="AY134" s="13">
        <v>0</v>
      </c>
    </row>
    <row r="135" spans="1:51" x14ac:dyDescent="0.25">
      <c r="A135" s="21" t="s">
        <v>138</v>
      </c>
      <c r="B135" t="s">
        <v>273</v>
      </c>
      <c r="D135" s="11">
        <v>29157863.543299999</v>
      </c>
      <c r="E135" s="11">
        <v>25297546.643200003</v>
      </c>
      <c r="F135" s="11">
        <v>34244802.357799999</v>
      </c>
      <c r="G135" s="11">
        <v>26711638.088659998</v>
      </c>
      <c r="H135" s="11">
        <v>43151344.249500006</v>
      </c>
      <c r="I135" s="11">
        <v>31349261</v>
      </c>
      <c r="J135" s="11">
        <v>35445092.787999995</v>
      </c>
      <c r="K135" s="11">
        <v>33578851</v>
      </c>
      <c r="L135" s="11">
        <v>34718172</v>
      </c>
      <c r="M135" s="11">
        <v>43121124.548200004</v>
      </c>
      <c r="N135" s="11">
        <v>55232814</v>
      </c>
      <c r="O135" s="11">
        <v>70781325</v>
      </c>
      <c r="P135" s="11">
        <v>57774425</v>
      </c>
      <c r="Q135" s="11">
        <v>64313575</v>
      </c>
      <c r="R135" s="11">
        <v>69397696</v>
      </c>
      <c r="S135" s="11">
        <f t="shared" si="60"/>
        <v>77555678</v>
      </c>
      <c r="T135" s="12">
        <v>1400</v>
      </c>
      <c r="U135" s="12">
        <v>1359</v>
      </c>
      <c r="V135" s="12">
        <v>1354</v>
      </c>
      <c r="W135" s="12">
        <v>1559</v>
      </c>
      <c r="X135" s="12">
        <v>1456</v>
      </c>
      <c r="Y135" s="12">
        <v>1257</v>
      </c>
      <c r="Z135" s="12">
        <v>1793</v>
      </c>
      <c r="AA135" s="12">
        <v>1571</v>
      </c>
      <c r="AB135" s="12">
        <v>1239</v>
      </c>
      <c r="AC135" s="12">
        <v>1499</v>
      </c>
      <c r="AD135" s="12">
        <v>1800</v>
      </c>
      <c r="AE135" s="12">
        <v>2153</v>
      </c>
      <c r="AF135" s="12">
        <v>2145</v>
      </c>
      <c r="AG135" s="12">
        <v>2023</v>
      </c>
      <c r="AH135" s="12">
        <v>1469</v>
      </c>
      <c r="AI135" s="12">
        <f t="shared" si="61"/>
        <v>1292</v>
      </c>
      <c r="AJ135" s="13">
        <v>1420</v>
      </c>
      <c r="AK135" s="13">
        <v>1377</v>
      </c>
      <c r="AL135" s="13">
        <v>1394</v>
      </c>
      <c r="AM135" s="13">
        <v>1599</v>
      </c>
      <c r="AN135" s="13">
        <v>1491</v>
      </c>
      <c r="AO135" s="13">
        <v>1380</v>
      </c>
      <c r="AP135" s="13">
        <v>1898</v>
      </c>
      <c r="AQ135" s="13">
        <v>1627</v>
      </c>
      <c r="AR135" s="13">
        <v>1312</v>
      </c>
      <c r="AS135" s="13">
        <v>628</v>
      </c>
      <c r="AT135" s="13">
        <v>34</v>
      </c>
      <c r="AU135" s="13">
        <v>167</v>
      </c>
      <c r="AV135" s="13">
        <v>136</v>
      </c>
      <c r="AW135" s="13">
        <v>243</v>
      </c>
      <c r="AX135" s="13">
        <v>196</v>
      </c>
      <c r="AY135" s="13">
        <v>0</v>
      </c>
    </row>
    <row r="136" spans="1:51" x14ac:dyDescent="0.25">
      <c r="A136" s="21" t="s">
        <v>196</v>
      </c>
      <c r="B136" t="s">
        <v>274</v>
      </c>
      <c r="D136" s="11">
        <v>10396984.943669999</v>
      </c>
      <c r="E136" s="11">
        <v>13094241.596599998</v>
      </c>
      <c r="F136" s="11">
        <v>18513036.893599998</v>
      </c>
      <c r="G136" s="11">
        <v>26111153.360399999</v>
      </c>
      <c r="H136" s="11">
        <v>38440208.303140007</v>
      </c>
      <c r="I136" s="11">
        <v>12903000</v>
      </c>
      <c r="J136" s="11">
        <v>27000995.126000002</v>
      </c>
      <c r="K136" s="11">
        <v>19795145</v>
      </c>
      <c r="L136" s="11">
        <v>18703272</v>
      </c>
      <c r="M136" s="11">
        <v>37944942.335800007</v>
      </c>
      <c r="N136" s="11">
        <v>45858243</v>
      </c>
      <c r="O136" s="11">
        <v>58611132</v>
      </c>
      <c r="P136" s="11">
        <v>61014152</v>
      </c>
      <c r="Q136" s="11">
        <v>62894847</v>
      </c>
      <c r="R136" s="11">
        <v>75257385.949234277</v>
      </c>
      <c r="S136" s="11">
        <f t="shared" si="60"/>
        <v>82944775</v>
      </c>
      <c r="T136" s="12">
        <v>10112</v>
      </c>
      <c r="U136" s="12">
        <v>12992</v>
      </c>
      <c r="V136" s="12">
        <v>12866</v>
      </c>
      <c r="W136" s="12">
        <v>16726</v>
      </c>
      <c r="X136" s="12">
        <v>17730</v>
      </c>
      <c r="Y136" s="12">
        <v>14860</v>
      </c>
      <c r="Z136" s="12">
        <v>35011</v>
      </c>
      <c r="AA136" s="12">
        <v>18500</v>
      </c>
      <c r="AB136" s="12">
        <v>20525</v>
      </c>
      <c r="AC136" s="12">
        <v>3458</v>
      </c>
      <c r="AD136" s="12">
        <v>4280</v>
      </c>
      <c r="AE136" s="12">
        <v>4792</v>
      </c>
      <c r="AF136" s="12">
        <v>5036</v>
      </c>
      <c r="AG136" s="12">
        <v>4901</v>
      </c>
      <c r="AH136" s="12">
        <v>4541</v>
      </c>
      <c r="AI136" s="12">
        <f t="shared" si="61"/>
        <v>3832</v>
      </c>
      <c r="AJ136" s="13">
        <v>12207</v>
      </c>
      <c r="AK136" s="13">
        <v>16517</v>
      </c>
      <c r="AL136" s="13">
        <v>19007</v>
      </c>
      <c r="AM136" s="13">
        <v>18215</v>
      </c>
      <c r="AN136" s="13">
        <v>20380</v>
      </c>
      <c r="AO136" s="13">
        <v>17900</v>
      </c>
      <c r="AP136" s="13">
        <v>27896</v>
      </c>
      <c r="AQ136" s="13">
        <v>21909</v>
      </c>
      <c r="AR136" s="13">
        <v>22014</v>
      </c>
      <c r="AS136" s="13">
        <v>481</v>
      </c>
      <c r="AT136" s="13">
        <v>311</v>
      </c>
      <c r="AU136" s="13">
        <v>68</v>
      </c>
      <c r="AV136" s="13">
        <v>34</v>
      </c>
      <c r="AW136" s="13">
        <v>29</v>
      </c>
      <c r="AX136" s="13">
        <v>101</v>
      </c>
      <c r="AY136" s="13">
        <v>0</v>
      </c>
    </row>
    <row r="137" spans="1:51" x14ac:dyDescent="0.25">
      <c r="A137" s="21" t="s">
        <v>224</v>
      </c>
      <c r="B137" t="s">
        <v>275</v>
      </c>
      <c r="D137" s="11">
        <v>918341.53495999996</v>
      </c>
      <c r="E137" s="11">
        <v>1461414.5222700001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1451386</v>
      </c>
      <c r="M137" s="11">
        <v>3406279.7126999996</v>
      </c>
      <c r="N137" s="11">
        <v>4346018</v>
      </c>
      <c r="O137" s="11">
        <v>6696561</v>
      </c>
      <c r="P137" s="11">
        <v>0</v>
      </c>
      <c r="Q137" s="11">
        <v>0</v>
      </c>
      <c r="R137" s="11">
        <v>0</v>
      </c>
      <c r="S137" s="11">
        <f t="shared" si="60"/>
        <v>0</v>
      </c>
      <c r="T137" s="12">
        <v>7716</v>
      </c>
      <c r="U137" s="12">
        <v>5758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2578</v>
      </c>
      <c r="AD137" s="12">
        <v>3095</v>
      </c>
      <c r="AE137" s="12">
        <v>5226</v>
      </c>
      <c r="AF137" s="12">
        <v>0</v>
      </c>
      <c r="AG137" s="12">
        <v>0</v>
      </c>
      <c r="AH137" s="12">
        <v>0</v>
      </c>
      <c r="AI137" s="12">
        <f t="shared" si="61"/>
        <v>0</v>
      </c>
      <c r="AJ137" s="13">
        <v>1660</v>
      </c>
      <c r="AK137" s="13">
        <v>1390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118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</row>
    <row r="138" spans="1:51" x14ac:dyDescent="0.25">
      <c r="A138" s="21" t="s">
        <v>242</v>
      </c>
      <c r="B138" t="s">
        <v>276</v>
      </c>
      <c r="D138" s="11">
        <v>7808997.2119600018</v>
      </c>
      <c r="E138" s="11">
        <v>11879838.319</v>
      </c>
      <c r="F138" s="11">
        <v>25130883.4978</v>
      </c>
      <c r="G138" s="11">
        <v>25354404.014210001</v>
      </c>
      <c r="H138" s="11">
        <v>20432951.041870002</v>
      </c>
      <c r="I138" s="11">
        <v>20511000</v>
      </c>
      <c r="J138" s="11">
        <v>10248378.809</v>
      </c>
      <c r="K138" s="11">
        <v>18682386</v>
      </c>
      <c r="L138" s="11">
        <v>13827069</v>
      </c>
      <c r="M138" s="11">
        <v>7690559.3704000013</v>
      </c>
      <c r="N138" s="11">
        <v>7549170</v>
      </c>
      <c r="O138" s="11">
        <v>8447516</v>
      </c>
      <c r="P138" s="11">
        <v>19078988</v>
      </c>
      <c r="Q138" s="11">
        <v>28776277</v>
      </c>
      <c r="R138" s="11">
        <v>28654919</v>
      </c>
      <c r="S138" s="11">
        <f t="shared" si="60"/>
        <v>30193754</v>
      </c>
      <c r="T138" s="12">
        <v>84.899772194000008</v>
      </c>
      <c r="U138" s="12">
        <v>455.35016840899999</v>
      </c>
      <c r="V138" s="12">
        <v>1259.71506598</v>
      </c>
      <c r="W138" s="12">
        <v>662.90692815</v>
      </c>
      <c r="X138" s="12">
        <v>404.47069489</v>
      </c>
      <c r="Y138" s="12">
        <v>231</v>
      </c>
      <c r="Z138" s="12">
        <v>246.22</v>
      </c>
      <c r="AA138" s="12">
        <v>839</v>
      </c>
      <c r="AB138" s="12">
        <v>507</v>
      </c>
      <c r="AC138" s="12">
        <v>357</v>
      </c>
      <c r="AD138" s="12">
        <v>164</v>
      </c>
      <c r="AE138" s="12">
        <v>204.52</v>
      </c>
      <c r="AF138" s="12">
        <v>272.00599999999997</v>
      </c>
      <c r="AG138" s="12">
        <v>369.05</v>
      </c>
      <c r="AH138" s="12">
        <v>263.53399999999999</v>
      </c>
      <c r="AI138" s="12">
        <f t="shared" si="61"/>
        <v>1649.95</v>
      </c>
      <c r="AJ138" s="13">
        <v>336</v>
      </c>
      <c r="AK138" s="13">
        <v>292</v>
      </c>
      <c r="AL138" s="13">
        <v>390</v>
      </c>
      <c r="AM138" s="13">
        <v>416</v>
      </c>
      <c r="AN138" s="13">
        <v>388</v>
      </c>
      <c r="AO138" s="13">
        <v>99</v>
      </c>
      <c r="AP138" s="13">
        <v>730</v>
      </c>
      <c r="AQ138" s="13">
        <v>416</v>
      </c>
      <c r="AR138" s="13">
        <v>342</v>
      </c>
      <c r="AS138" s="13">
        <v>109</v>
      </c>
      <c r="AT138" s="13">
        <v>83</v>
      </c>
      <c r="AU138" s="13">
        <v>199</v>
      </c>
      <c r="AV138" s="13">
        <v>266</v>
      </c>
      <c r="AW138" s="13">
        <v>163</v>
      </c>
      <c r="AX138" s="13">
        <v>198</v>
      </c>
      <c r="AY138" s="13">
        <v>0</v>
      </c>
    </row>
    <row r="139" spans="1:51" x14ac:dyDescent="0.25">
      <c r="A139" s="21" t="s">
        <v>258</v>
      </c>
      <c r="B139" t="s">
        <v>277</v>
      </c>
      <c r="D139" s="11">
        <v>8019098.0250000004</v>
      </c>
      <c r="E139" s="11">
        <v>2795417.9901000001</v>
      </c>
      <c r="F139" s="11">
        <v>2598640.1284999996</v>
      </c>
      <c r="G139" s="11">
        <v>14258074.088</v>
      </c>
      <c r="H139" s="11">
        <v>5979020.8849999998</v>
      </c>
      <c r="I139" s="11">
        <v>83000</v>
      </c>
      <c r="J139" s="11">
        <v>11038410.710000001</v>
      </c>
      <c r="K139" s="11">
        <v>8337876</v>
      </c>
      <c r="L139" s="11">
        <v>2511627</v>
      </c>
      <c r="M139" s="11">
        <v>4282658.4996000007</v>
      </c>
      <c r="N139" s="11">
        <v>12186876</v>
      </c>
      <c r="O139" s="11">
        <v>14878512</v>
      </c>
      <c r="P139" s="11">
        <v>15856409</v>
      </c>
      <c r="Q139" s="11">
        <v>19209085</v>
      </c>
      <c r="R139" s="11">
        <v>16311218</v>
      </c>
      <c r="S139" s="11">
        <f t="shared" si="60"/>
        <v>28941470</v>
      </c>
      <c r="T139" s="12">
        <v>117</v>
      </c>
      <c r="U139" s="12">
        <v>44</v>
      </c>
      <c r="V139" s="12">
        <v>61</v>
      </c>
      <c r="W139" s="12">
        <v>27</v>
      </c>
      <c r="X139" s="12">
        <v>105</v>
      </c>
      <c r="Y139" s="12">
        <v>60</v>
      </c>
      <c r="Z139" s="12">
        <v>125</v>
      </c>
      <c r="AA139" s="12">
        <v>108</v>
      </c>
      <c r="AB139" s="12">
        <v>34</v>
      </c>
      <c r="AC139" s="12">
        <v>120</v>
      </c>
      <c r="AD139" s="12">
        <v>76</v>
      </c>
      <c r="AE139" s="12">
        <v>60</v>
      </c>
      <c r="AF139" s="12">
        <v>78</v>
      </c>
      <c r="AG139" s="12">
        <v>66</v>
      </c>
      <c r="AH139" s="12">
        <v>48</v>
      </c>
      <c r="AI139" s="12">
        <f t="shared" si="61"/>
        <v>37</v>
      </c>
      <c r="AJ139" s="13">
        <v>137</v>
      </c>
      <c r="AK139" s="13">
        <v>238</v>
      </c>
      <c r="AL139" s="13">
        <v>52</v>
      </c>
      <c r="AM139" s="13">
        <v>72</v>
      </c>
      <c r="AN139" s="13">
        <v>54</v>
      </c>
      <c r="AO139" s="13">
        <v>54</v>
      </c>
      <c r="AP139" s="13">
        <v>25</v>
      </c>
      <c r="AQ139" s="13">
        <v>21</v>
      </c>
      <c r="AR139" s="13">
        <v>25</v>
      </c>
      <c r="AS139" s="13">
        <v>0</v>
      </c>
      <c r="AT139" s="13">
        <v>1</v>
      </c>
      <c r="AU139" s="13">
        <v>0</v>
      </c>
      <c r="AV139" s="13">
        <v>4</v>
      </c>
      <c r="AW139" s="13">
        <v>4</v>
      </c>
      <c r="AX139" s="13">
        <v>5</v>
      </c>
      <c r="AY139" s="13">
        <v>0</v>
      </c>
    </row>
    <row r="140" spans="1:51" x14ac:dyDescent="0.25">
      <c r="D140" s="423">
        <f t="shared" ref="D140:P140" si="62">SUM(D129:D139)</f>
        <v>86984636.761670008</v>
      </c>
      <c r="E140" s="423">
        <f t="shared" si="62"/>
        <v>93652527.685856998</v>
      </c>
      <c r="F140" s="423">
        <f t="shared" si="62"/>
        <v>153400996.88710302</v>
      </c>
      <c r="G140" s="423">
        <f t="shared" si="62"/>
        <v>183404300.83236998</v>
      </c>
      <c r="H140" s="423">
        <f t="shared" si="62"/>
        <v>199080049.83027002</v>
      </c>
      <c r="I140" s="423">
        <f t="shared" si="62"/>
        <v>132790261</v>
      </c>
      <c r="J140" s="423">
        <f t="shared" si="62"/>
        <v>194509853.73400006</v>
      </c>
      <c r="K140" s="423">
        <f t="shared" si="62"/>
        <v>172555817</v>
      </c>
      <c r="L140" s="423">
        <f t="shared" si="62"/>
        <v>166126791</v>
      </c>
      <c r="M140" s="423">
        <f t="shared" si="62"/>
        <v>196355446.98150003</v>
      </c>
      <c r="N140" s="423">
        <f t="shared" si="62"/>
        <v>249559850</v>
      </c>
      <c r="O140" s="423">
        <f t="shared" si="62"/>
        <v>352481920.06999999</v>
      </c>
      <c r="P140" s="423">
        <f t="shared" si="62"/>
        <v>378174337</v>
      </c>
      <c r="Q140" s="423">
        <f>SUM(Q129:Q139)</f>
        <v>408492042</v>
      </c>
    </row>
  </sheetData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90D08-B215-4187-A7FB-B36D673F54A9}">
  <sheetPr filterMode="1"/>
  <dimension ref="A1:AO209"/>
  <sheetViews>
    <sheetView tabSelected="1" zoomScaleNormal="100" workbookViewId="0">
      <pane xSplit="4" ySplit="6" topLeftCell="Q7" activePane="bottomRight" state="frozen"/>
      <selection pane="topRight" activeCell="E1" sqref="E1"/>
      <selection pane="bottomLeft" activeCell="A7" sqref="A7"/>
      <selection pane="bottomRight" activeCell="AI141" sqref="AI141"/>
    </sheetView>
  </sheetViews>
  <sheetFormatPr defaultRowHeight="15" x14ac:dyDescent="0.25"/>
  <cols>
    <col min="1" max="1" width="5.7109375" bestFit="1" customWidth="1"/>
    <col min="4" max="4" width="33.85546875" customWidth="1"/>
    <col min="5" max="6" width="9.5703125" hidden="1" customWidth="1"/>
    <col min="7" max="7" width="9.28515625" hidden="1" customWidth="1"/>
    <col min="8" max="8" width="9.5703125" hidden="1" customWidth="1"/>
    <col min="9" max="9" width="9.28515625" style="280" hidden="1" customWidth="1"/>
    <col min="10" max="13" width="9.140625" hidden="1" customWidth="1"/>
    <col min="14" max="14" width="9.140625" style="280" hidden="1" customWidth="1"/>
    <col min="15" max="16" width="9.140625" hidden="1" customWidth="1"/>
    <col min="17" max="22" width="9.140625" customWidth="1"/>
    <col min="23" max="27" width="13.7109375" customWidth="1"/>
    <col min="28" max="28" width="13.85546875" bestFit="1" customWidth="1"/>
    <col min="29" max="29" width="15.85546875" bestFit="1" customWidth="1"/>
    <col min="30" max="34" width="13.7109375" customWidth="1"/>
    <col min="35" max="35" width="13.85546875" bestFit="1" customWidth="1"/>
    <col min="36" max="36" width="9.5703125" customWidth="1"/>
  </cols>
  <sheetData>
    <row r="1" spans="1:41" x14ac:dyDescent="0.25">
      <c r="A1" s="874" t="s">
        <v>553</v>
      </c>
      <c r="B1" s="874"/>
      <c r="C1" s="874"/>
      <c r="D1" s="875" t="s">
        <v>796</v>
      </c>
      <c r="F1" s="22"/>
      <c r="Q1" s="874"/>
      <c r="R1" s="874"/>
      <c r="S1" s="874"/>
      <c r="T1" s="874"/>
      <c r="U1" s="874"/>
      <c r="V1" s="874"/>
      <c r="W1" s="874"/>
      <c r="X1" s="874"/>
      <c r="Y1" s="874"/>
      <c r="Z1" s="874"/>
      <c r="AA1" s="874"/>
    </row>
    <row r="3" spans="1:41" ht="23.25" x14ac:dyDescent="0.35">
      <c r="D3" s="23"/>
      <c r="E3" s="25"/>
      <c r="F3" s="25"/>
      <c r="G3" s="25"/>
      <c r="H3" s="25"/>
      <c r="I3" s="388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D3" s="930" t="s">
        <v>822</v>
      </c>
      <c r="AE3" s="931"/>
      <c r="AF3" s="931"/>
      <c r="AJ3" s="749"/>
      <c r="AK3" s="749"/>
      <c r="AL3" s="749"/>
      <c r="AM3" s="749"/>
      <c r="AN3" s="749"/>
      <c r="AO3" s="749"/>
    </row>
    <row r="4" spans="1:41" ht="15.75" thickBot="1" x14ac:dyDescent="0.3">
      <c r="E4" t="s">
        <v>645</v>
      </c>
      <c r="F4" t="s">
        <v>646</v>
      </c>
      <c r="O4" s="19"/>
      <c r="P4" s="19"/>
      <c r="Q4" s="19"/>
      <c r="R4" s="19"/>
      <c r="S4" s="19"/>
      <c r="T4" s="19"/>
      <c r="U4" s="25"/>
      <c r="V4" s="19"/>
      <c r="W4" s="19"/>
      <c r="X4" s="19"/>
      <c r="Y4" s="19"/>
      <c r="Z4" s="19"/>
      <c r="AA4" s="19"/>
      <c r="AB4" s="19"/>
      <c r="AD4">
        <v>1</v>
      </c>
      <c r="AE4">
        <f>AD4+1</f>
        <v>2</v>
      </c>
      <c r="AF4">
        <f t="shared" ref="AF4:AH4" si="0">AE4+1</f>
        <v>3</v>
      </c>
      <c r="AG4">
        <f t="shared" si="0"/>
        <v>4</v>
      </c>
      <c r="AH4">
        <f t="shared" si="0"/>
        <v>5</v>
      </c>
      <c r="AJ4" s="749"/>
      <c r="AK4" s="749"/>
      <c r="AL4" s="749"/>
      <c r="AM4" s="749"/>
      <c r="AN4" s="749"/>
      <c r="AO4" s="749"/>
    </row>
    <row r="5" spans="1:41" s="186" customFormat="1" x14ac:dyDescent="0.25">
      <c r="A5" s="27" t="s">
        <v>281</v>
      </c>
      <c r="B5" s="703"/>
      <c r="C5" s="703"/>
      <c r="D5" s="28"/>
      <c r="E5" s="29"/>
      <c r="F5" s="30"/>
      <c r="G5" s="30"/>
      <c r="H5" s="30"/>
      <c r="I5" s="714"/>
      <c r="J5" s="32"/>
      <c r="K5" s="32"/>
      <c r="L5" s="32"/>
      <c r="M5" s="32"/>
      <c r="N5" s="672"/>
      <c r="O5" s="189" t="s">
        <v>441</v>
      </c>
      <c r="P5" s="189"/>
      <c r="Q5" s="189"/>
      <c r="R5" s="189"/>
      <c r="S5" s="889" t="s">
        <v>510</v>
      </c>
      <c r="T5" s="189"/>
      <c r="U5" s="283"/>
      <c r="V5" s="705" t="s">
        <v>289</v>
      </c>
      <c r="W5" s="191"/>
      <c r="X5" s="191"/>
      <c r="Y5" s="890" t="s">
        <v>685</v>
      </c>
      <c r="Z5" s="191"/>
      <c r="AA5" s="192"/>
      <c r="AC5"/>
      <c r="AD5" s="191"/>
      <c r="AE5" s="191"/>
      <c r="AF5" s="890" t="s">
        <v>685</v>
      </c>
      <c r="AG5" s="191"/>
      <c r="AH5" s="192"/>
      <c r="AJ5" s="749"/>
      <c r="AK5" s="749"/>
      <c r="AL5" s="749"/>
      <c r="AM5" s="749"/>
      <c r="AN5" s="749"/>
      <c r="AO5" s="749"/>
    </row>
    <row r="6" spans="1:41" ht="15.75" thickBot="1" x14ac:dyDescent="0.3">
      <c r="A6" s="43" t="s">
        <v>290</v>
      </c>
      <c r="B6" s="704" t="s">
        <v>635</v>
      </c>
      <c r="C6" s="704" t="s">
        <v>642</v>
      </c>
      <c r="D6" s="44" t="s">
        <v>291</v>
      </c>
      <c r="E6" s="45" t="s">
        <v>10</v>
      </c>
      <c r="F6" s="46" t="s">
        <v>11</v>
      </c>
      <c r="G6" s="46" t="s">
        <v>12</v>
      </c>
      <c r="H6" s="46" t="s">
        <v>13</v>
      </c>
      <c r="I6" s="715" t="s">
        <v>14</v>
      </c>
      <c r="J6" s="710" t="s">
        <v>10</v>
      </c>
      <c r="K6" s="48" t="s">
        <v>11</v>
      </c>
      <c r="L6" s="48" t="s">
        <v>12</v>
      </c>
      <c r="M6" s="48" t="s">
        <v>13</v>
      </c>
      <c r="N6" s="663" t="s">
        <v>14</v>
      </c>
      <c r="O6" s="59" t="s">
        <v>15</v>
      </c>
      <c r="P6" s="59" t="s">
        <v>280</v>
      </c>
      <c r="Q6" s="59" t="s">
        <v>422</v>
      </c>
      <c r="R6" s="59" t="s">
        <v>423</v>
      </c>
      <c r="S6" s="59" t="s">
        <v>424</v>
      </c>
      <c r="T6" s="59" t="s">
        <v>425</v>
      </c>
      <c r="U6" s="284" t="s">
        <v>426</v>
      </c>
      <c r="V6" s="706" t="s">
        <v>446</v>
      </c>
      <c r="W6" s="61" t="s">
        <v>422</v>
      </c>
      <c r="X6" s="61" t="s">
        <v>423</v>
      </c>
      <c r="Y6" s="61" t="s">
        <v>424</v>
      </c>
      <c r="Z6" s="61" t="s">
        <v>425</v>
      </c>
      <c r="AA6" s="62" t="s">
        <v>426</v>
      </c>
      <c r="AB6" s="62" t="s">
        <v>640</v>
      </c>
      <c r="AD6" s="61" t="s">
        <v>422</v>
      </c>
      <c r="AE6" s="61" t="s">
        <v>423</v>
      </c>
      <c r="AF6" s="61" t="s">
        <v>424</v>
      </c>
      <c r="AG6" s="61" t="s">
        <v>425</v>
      </c>
      <c r="AH6" s="62" t="s">
        <v>426</v>
      </c>
      <c r="AI6" s="186"/>
      <c r="AJ6" s="749"/>
      <c r="AK6" s="749"/>
      <c r="AL6" s="749"/>
      <c r="AM6" s="749"/>
      <c r="AN6" s="749"/>
      <c r="AO6" s="749"/>
    </row>
    <row r="7" spans="1:41" x14ac:dyDescent="0.25">
      <c r="A7" s="63" t="s">
        <v>296</v>
      </c>
      <c r="B7" s="64" t="s">
        <v>268</v>
      </c>
      <c r="C7" s="707" t="s">
        <v>643</v>
      </c>
      <c r="D7" s="707" t="s">
        <v>409</v>
      </c>
      <c r="E7" s="716">
        <v>3689144.5943493401</v>
      </c>
      <c r="F7" s="168">
        <v>7934044.6888067247</v>
      </c>
      <c r="G7" s="168">
        <v>7371639.3099999987</v>
      </c>
      <c r="H7" s="168">
        <v>9045812.0399999991</v>
      </c>
      <c r="I7" s="717">
        <v>8954422.3600000031</v>
      </c>
      <c r="J7" s="711">
        <v>1101</v>
      </c>
      <c r="K7" s="170">
        <v>4997</v>
      </c>
      <c r="L7" s="170">
        <v>4542</v>
      </c>
      <c r="M7" s="170">
        <v>5172</v>
      </c>
      <c r="N7" s="613">
        <v>4260</v>
      </c>
      <c r="O7" s="420">
        <f>'Defect (Total)'!BC181</f>
        <v>4658</v>
      </c>
      <c r="P7" s="726">
        <f>'Defect (Total)'!BD181</f>
        <v>4658</v>
      </c>
      <c r="Q7" s="241">
        <f>'Defect (Total)'!BE181</f>
        <v>4658</v>
      </c>
      <c r="R7" s="144">
        <f>'Defect (Total)'!BF181</f>
        <v>4658</v>
      </c>
      <c r="S7" s="144">
        <f>'Defect (Total)'!BG181</f>
        <v>4658</v>
      </c>
      <c r="T7" s="729">
        <f>'Defect (Total)'!BH181</f>
        <v>4658</v>
      </c>
      <c r="U7" s="293">
        <f>'Defect (Total)'!BI181</f>
        <v>4658</v>
      </c>
      <c r="V7" s="124">
        <f>VLOOKUP(A7,'Distribution Summary'!$A$136:$BJ$146,62,0)</f>
        <v>1800</v>
      </c>
      <c r="W7" s="415">
        <f>'Business Case Split'!Y7</f>
        <v>8384400</v>
      </c>
      <c r="X7" s="79">
        <f>'Business Case Split'!Z7</f>
        <v>8384400</v>
      </c>
      <c r="Y7" s="79">
        <f>'Business Case Split'!AA7</f>
        <v>8384400</v>
      </c>
      <c r="Z7" s="79">
        <f>'Business Case Split'!AB7</f>
        <v>8384400</v>
      </c>
      <c r="AA7" s="80">
        <f>'Business Case Split'!AC7</f>
        <v>8384400</v>
      </c>
      <c r="AB7" s="756" t="s">
        <v>641</v>
      </c>
      <c r="AD7" s="415">
        <f>IFERROR(VLOOKUP($B7,$B$189:$AB$196,AD$4+21,0),0)*W7</f>
        <v>9581829.561527079</v>
      </c>
      <c r="AE7" s="79">
        <f t="shared" ref="AE7:AE38" si="1">IFERROR(VLOOKUP($B7,$B$189:$AB$196,AE$4+21,0),0)*X7</f>
        <v>9627125.8012696691</v>
      </c>
      <c r="AF7" s="79">
        <f t="shared" ref="AF7:AF38" si="2">IFERROR(VLOOKUP($B7,$B$189:$AB$196,AF$4+21,0),0)*Y7</f>
        <v>9672317.5764718987</v>
      </c>
      <c r="AG7" s="79">
        <f t="shared" ref="AG7:AG38" si="3">IFERROR(VLOOKUP($B7,$B$189:$AB$196,AG$4+21,0),0)*Z7</f>
        <v>9726280.1703267973</v>
      </c>
      <c r="AH7" s="80">
        <f t="shared" ref="AH7:AH38" si="4">IFERROR(VLOOKUP($B7,$B$189:$AB$196,AH$4+21,0),0)*AA7</f>
        <v>9788730.5031053461</v>
      </c>
      <c r="AI7" s="186"/>
      <c r="AJ7" s="750"/>
      <c r="AK7" s="750"/>
      <c r="AL7" s="750"/>
      <c r="AM7" s="750"/>
      <c r="AN7" s="750"/>
      <c r="AO7" s="749"/>
    </row>
    <row r="8" spans="1:41" x14ac:dyDescent="0.25">
      <c r="A8" s="81" t="s">
        <v>27</v>
      </c>
      <c r="B8" s="82" t="s">
        <v>268</v>
      </c>
      <c r="C8" s="708" t="s">
        <v>643</v>
      </c>
      <c r="D8" s="708" t="s">
        <v>410</v>
      </c>
      <c r="E8" s="718">
        <v>40699929.462575555</v>
      </c>
      <c r="F8" s="173">
        <v>64168990.822516896</v>
      </c>
      <c r="G8" s="173">
        <v>65008047.052676938</v>
      </c>
      <c r="H8" s="173">
        <v>68085653.330602914</v>
      </c>
      <c r="I8" s="719">
        <v>82524583.373820037</v>
      </c>
      <c r="J8" s="712">
        <v>5593</v>
      </c>
      <c r="K8" s="175">
        <v>10285</v>
      </c>
      <c r="L8" s="175">
        <v>10580</v>
      </c>
      <c r="M8" s="175">
        <v>10910</v>
      </c>
      <c r="N8" s="614">
        <v>10610</v>
      </c>
      <c r="O8" s="421">
        <f>'Defect (Total)'!BC182</f>
        <v>11994.319184020836</v>
      </c>
      <c r="P8" s="727">
        <f>'Defect (Total)'!BD182</f>
        <v>11994.319184020836</v>
      </c>
      <c r="Q8" s="234">
        <f>'Defect (Total)'!BE182</f>
        <v>11972.70319547361</v>
      </c>
      <c r="R8" s="96">
        <f>'Defect (Total)'!BF182</f>
        <v>11972.70319547361</v>
      </c>
      <c r="S8" s="96">
        <f>'Defect (Total)'!BG182</f>
        <v>11972.70319547361</v>
      </c>
      <c r="T8" s="730">
        <f>'Defect (Total)'!BH182</f>
        <v>11972.70319547361</v>
      </c>
      <c r="U8" s="286">
        <f>'Defect (Total)'!BI182</f>
        <v>11972.70319547361</v>
      </c>
      <c r="V8" s="99">
        <f>VLOOKUP(A8,'Distribution Summary'!$A$136:$BJ$146,62,0)</f>
        <v>6236.1822982950935</v>
      </c>
      <c r="W8" s="416">
        <f>'Business Case Split'!Y8</f>
        <v>74663959.730353624</v>
      </c>
      <c r="X8" s="97">
        <f>'Business Case Split'!Z8</f>
        <v>74663959.730353624</v>
      </c>
      <c r="Y8" s="97">
        <f>'Business Case Split'!AA8</f>
        <v>74663959.730353624</v>
      </c>
      <c r="Z8" s="97">
        <f>'Business Case Split'!AB8</f>
        <v>74663959.730353624</v>
      </c>
      <c r="AA8" s="98">
        <f>'Business Case Split'!AC8</f>
        <v>74663959.730353624</v>
      </c>
      <c r="AB8" s="757" t="s">
        <v>641</v>
      </c>
      <c r="AD8" s="416">
        <f t="shared" ref="AD8:AD38" si="5">IFERROR(VLOOKUP($B8,$B$189:$AB$196,AD$4+21,0),0)*W8</f>
        <v>85327195.330014035</v>
      </c>
      <c r="AE8" s="97">
        <f t="shared" si="1"/>
        <v>85730563.086809665</v>
      </c>
      <c r="AF8" s="97">
        <f t="shared" si="2"/>
        <v>86133000.575937375</v>
      </c>
      <c r="AG8" s="97">
        <f t="shared" si="3"/>
        <v>86613543.123350143</v>
      </c>
      <c r="AH8" s="98">
        <f t="shared" si="4"/>
        <v>87169669.874426514</v>
      </c>
      <c r="AI8" s="186"/>
      <c r="AJ8" s="750"/>
      <c r="AK8" s="750"/>
      <c r="AL8" s="750"/>
      <c r="AM8" s="750"/>
      <c r="AN8" s="750"/>
      <c r="AO8" s="749"/>
    </row>
    <row r="9" spans="1:41" x14ac:dyDescent="0.25">
      <c r="A9" s="81" t="s">
        <v>68</v>
      </c>
      <c r="B9" s="82" t="s">
        <v>268</v>
      </c>
      <c r="C9" s="708" t="s">
        <v>643</v>
      </c>
      <c r="D9" s="708" t="s">
        <v>411</v>
      </c>
      <c r="E9" s="718">
        <v>14391002.509629328</v>
      </c>
      <c r="F9" s="173">
        <v>19853888.540153123</v>
      </c>
      <c r="G9" s="173">
        <v>21315296.836999163</v>
      </c>
      <c r="H9" s="173">
        <v>23993299.873427231</v>
      </c>
      <c r="I9" s="719">
        <v>28122140.43382106</v>
      </c>
      <c r="J9" s="712">
        <v>6690</v>
      </c>
      <c r="K9" s="175">
        <v>9714</v>
      </c>
      <c r="L9" s="175">
        <v>7719</v>
      </c>
      <c r="M9" s="175">
        <v>8619</v>
      </c>
      <c r="N9" s="614">
        <v>8445</v>
      </c>
      <c r="O9" s="421">
        <f>'Defect (Total)'!BC153</f>
        <v>9593.6977282738626</v>
      </c>
      <c r="P9" s="727">
        <f>'Defect (Total)'!BD153</f>
        <v>9593.6977282738626</v>
      </c>
      <c r="Q9" s="234">
        <f>'Defect (Total)'!BE153</f>
        <v>9593.6977282738626</v>
      </c>
      <c r="R9" s="96">
        <f>'Defect (Total)'!BF153</f>
        <v>9593.6977282738626</v>
      </c>
      <c r="S9" s="96">
        <f>'Defect (Total)'!BG153</f>
        <v>9593.6977282738626</v>
      </c>
      <c r="T9" s="730">
        <f>'Defect (Total)'!BH153</f>
        <v>9593.6977282738626</v>
      </c>
      <c r="U9" s="286">
        <f>'Defect (Total)'!BI153</f>
        <v>9593.6977282738626</v>
      </c>
      <c r="V9" s="99">
        <f>VLOOKUP(A9,'Distribution Summary'!$A$136:$BJ$146,62,0)</f>
        <v>2810.5410327755412</v>
      </c>
      <c r="W9" s="416">
        <f>'Business Case Split'!Y9</f>
        <v>26963481.121359184</v>
      </c>
      <c r="X9" s="97">
        <f>'Business Case Split'!Z9</f>
        <v>26963481.121359184</v>
      </c>
      <c r="Y9" s="97">
        <f>'Business Case Split'!AA9</f>
        <v>26963481.121359184</v>
      </c>
      <c r="Z9" s="97">
        <f>'Business Case Split'!AB9</f>
        <v>26963481.121359184</v>
      </c>
      <c r="AA9" s="98">
        <f>'Business Case Split'!AC9</f>
        <v>26963481.121359184</v>
      </c>
      <c r="AB9" s="757" t="s">
        <v>641</v>
      </c>
      <c r="AD9" s="416">
        <f t="shared" si="5"/>
        <v>30814307.581975661</v>
      </c>
      <c r="AE9" s="97">
        <f t="shared" si="1"/>
        <v>30959976.241052981</v>
      </c>
      <c r="AF9" s="97">
        <f t="shared" si="2"/>
        <v>31105308.951504059</v>
      </c>
      <c r="AG9" s="97">
        <f t="shared" si="3"/>
        <v>31278847.83093087</v>
      </c>
      <c r="AH9" s="98">
        <f t="shared" si="4"/>
        <v>31479682.52022253</v>
      </c>
      <c r="AI9" s="186"/>
      <c r="AJ9" s="750"/>
      <c r="AK9" s="750"/>
      <c r="AL9" s="750"/>
      <c r="AM9" s="750"/>
      <c r="AN9" s="750"/>
      <c r="AO9" s="750"/>
    </row>
    <row r="10" spans="1:41" x14ac:dyDescent="0.25">
      <c r="A10" s="81" t="s">
        <v>81</v>
      </c>
      <c r="B10" s="82" t="s">
        <v>268</v>
      </c>
      <c r="C10" s="708" t="s">
        <v>643</v>
      </c>
      <c r="D10" s="708" t="s">
        <v>270</v>
      </c>
      <c r="E10" s="718"/>
      <c r="F10" s="173"/>
      <c r="G10" s="173"/>
      <c r="H10" s="173"/>
      <c r="I10" s="719"/>
      <c r="J10" s="725"/>
      <c r="K10" s="631"/>
      <c r="L10" s="631"/>
      <c r="M10" s="631"/>
      <c r="N10" s="671"/>
      <c r="O10" s="421">
        <f>'Defect (Total)'!BC154</f>
        <v>0</v>
      </c>
      <c r="P10" s="727">
        <f>'Defect (Total)'!BD154</f>
        <v>0</v>
      </c>
      <c r="Q10" s="234">
        <f>'Defect (Total)'!BE154</f>
        <v>0</v>
      </c>
      <c r="R10" s="96">
        <f>'Defect (Total)'!BF154</f>
        <v>0</v>
      </c>
      <c r="S10" s="96">
        <f>'Defect (Total)'!BG154</f>
        <v>0</v>
      </c>
      <c r="T10" s="730">
        <f>'Defect (Total)'!BH154</f>
        <v>0</v>
      </c>
      <c r="U10" s="286">
        <f>'Defect (Total)'!BI154</f>
        <v>0</v>
      </c>
      <c r="V10" s="99">
        <f>VLOOKUP(A10,'Distribution Summary'!$A$136:$BJ$146,62,0)</f>
        <v>56912.19365276918</v>
      </c>
      <c r="W10" s="416">
        <f>'Business Case Split'!Y10</f>
        <v>0</v>
      </c>
      <c r="X10" s="97">
        <f>'Business Case Split'!Z10</f>
        <v>0</v>
      </c>
      <c r="Y10" s="97">
        <f>'Business Case Split'!AA10</f>
        <v>0</v>
      </c>
      <c r="Z10" s="97">
        <f>'Business Case Split'!AB10</f>
        <v>0</v>
      </c>
      <c r="AA10" s="98">
        <f>'Business Case Split'!AC10</f>
        <v>0</v>
      </c>
      <c r="AB10" s="757" t="s">
        <v>641</v>
      </c>
      <c r="AD10" s="416">
        <f t="shared" si="5"/>
        <v>0</v>
      </c>
      <c r="AE10" s="97">
        <f t="shared" si="1"/>
        <v>0</v>
      </c>
      <c r="AF10" s="97">
        <f t="shared" si="2"/>
        <v>0</v>
      </c>
      <c r="AG10" s="97">
        <f t="shared" si="3"/>
        <v>0</v>
      </c>
      <c r="AH10" s="98">
        <f t="shared" si="4"/>
        <v>0</v>
      </c>
      <c r="AI10" s="186"/>
      <c r="AJ10" s="750"/>
      <c r="AK10" s="750"/>
      <c r="AL10" s="750"/>
      <c r="AM10" s="750"/>
      <c r="AN10" s="750"/>
      <c r="AO10" s="749"/>
    </row>
    <row r="11" spans="1:41" x14ac:dyDescent="0.25">
      <c r="A11" s="81" t="s">
        <v>94</v>
      </c>
      <c r="B11" s="82" t="s">
        <v>268</v>
      </c>
      <c r="C11" s="708" t="s">
        <v>643</v>
      </c>
      <c r="D11" s="708" t="s">
        <v>412</v>
      </c>
      <c r="E11" s="718"/>
      <c r="F11" s="173"/>
      <c r="G11" s="173"/>
      <c r="H11" s="173"/>
      <c r="I11" s="719"/>
      <c r="J11" s="712"/>
      <c r="K11" s="175"/>
      <c r="L11" s="175"/>
      <c r="M11" s="175"/>
      <c r="N11" s="614"/>
      <c r="O11" s="421">
        <f>'Defect (Total)'!BC155</f>
        <v>0</v>
      </c>
      <c r="P11" s="727">
        <f>'Defect (Total)'!BD155</f>
        <v>0</v>
      </c>
      <c r="Q11" s="234">
        <f>'Defect (Total)'!BE155</f>
        <v>0</v>
      </c>
      <c r="R11" s="96">
        <f>'Defect (Total)'!BF155</f>
        <v>0</v>
      </c>
      <c r="S11" s="96">
        <f>'Defect (Total)'!BG155</f>
        <v>0</v>
      </c>
      <c r="T11" s="730">
        <f>'Defect (Total)'!BH155</f>
        <v>0</v>
      </c>
      <c r="U11" s="286">
        <f>'Defect (Total)'!BI155</f>
        <v>0</v>
      </c>
      <c r="V11" s="99">
        <f>VLOOKUP(A11,'Distribution Summary'!$A$136:$BJ$146,62,0)</f>
        <v>322727.75622787437</v>
      </c>
      <c r="W11" s="416">
        <f>'Business Case Split'!Y11</f>
        <v>0</v>
      </c>
      <c r="X11" s="97">
        <f>'Business Case Split'!Z11</f>
        <v>0</v>
      </c>
      <c r="Y11" s="97">
        <f>'Business Case Split'!AA11</f>
        <v>0</v>
      </c>
      <c r="Z11" s="97">
        <f>'Business Case Split'!AB11</f>
        <v>0</v>
      </c>
      <c r="AA11" s="98">
        <f>'Business Case Split'!AC11</f>
        <v>0</v>
      </c>
      <c r="AB11" s="757" t="s">
        <v>641</v>
      </c>
      <c r="AD11" s="416">
        <f t="shared" si="5"/>
        <v>0</v>
      </c>
      <c r="AE11" s="97">
        <f t="shared" si="1"/>
        <v>0</v>
      </c>
      <c r="AF11" s="97">
        <f t="shared" si="2"/>
        <v>0</v>
      </c>
      <c r="AG11" s="97">
        <f t="shared" si="3"/>
        <v>0</v>
      </c>
      <c r="AH11" s="98">
        <f t="shared" si="4"/>
        <v>0</v>
      </c>
      <c r="AI11" s="186"/>
      <c r="AJ11" s="750"/>
      <c r="AK11" s="750"/>
      <c r="AL11" s="750"/>
      <c r="AM11" s="750"/>
      <c r="AN11" s="750"/>
      <c r="AO11" s="749"/>
    </row>
    <row r="12" spans="1:41" x14ac:dyDescent="0.25">
      <c r="A12" s="81" t="s">
        <v>106</v>
      </c>
      <c r="B12" s="82" t="s">
        <v>268</v>
      </c>
      <c r="C12" s="708" t="s">
        <v>643</v>
      </c>
      <c r="D12" s="708" t="s">
        <v>272</v>
      </c>
      <c r="E12" s="718">
        <v>1877744.6290509345</v>
      </c>
      <c r="F12" s="173">
        <v>5630800.9749862691</v>
      </c>
      <c r="G12" s="173">
        <v>4368378.6611024803</v>
      </c>
      <c r="H12" s="173">
        <v>5002536.6117703663</v>
      </c>
      <c r="I12" s="719">
        <v>6417495.8190407623</v>
      </c>
      <c r="J12" s="712">
        <v>2426.8499508109944</v>
      </c>
      <c r="K12" s="175">
        <v>4861.0182201540711</v>
      </c>
      <c r="L12" s="175">
        <v>2904.4412400861111</v>
      </c>
      <c r="M12" s="175">
        <v>3181.1184412600755</v>
      </c>
      <c r="N12" s="614">
        <v>4366.1405373900316</v>
      </c>
      <c r="O12" s="421">
        <f>'Defect (Total)'!BC156</f>
        <v>4045.9368375535291</v>
      </c>
      <c r="P12" s="727">
        <f>'Defect (Total)'!BD156</f>
        <v>4045.9368375535291</v>
      </c>
      <c r="Q12" s="234">
        <f>'Defect (Total)'!BE156</f>
        <v>4045.9368375535291</v>
      </c>
      <c r="R12" s="96">
        <f>'Defect (Total)'!BF156</f>
        <v>4045.9368375535291</v>
      </c>
      <c r="S12" s="96">
        <f>'Defect (Total)'!BG156</f>
        <v>4045.9368375535291</v>
      </c>
      <c r="T12" s="730">
        <f>'Defect (Total)'!BH156</f>
        <v>4045.9368375535291</v>
      </c>
      <c r="U12" s="286">
        <f>'Defect (Total)'!BI156</f>
        <v>4045.9368375535291</v>
      </c>
      <c r="V12" s="99">
        <f>VLOOKUP(A12,'Distribution Summary'!$A$136:$BJ$146,62,0)</f>
        <v>1339.2666347282993</v>
      </c>
      <c r="W12" s="416">
        <f>'Business Case Split'!Y12</f>
        <v>5418588.2127535725</v>
      </c>
      <c r="X12" s="97">
        <f>'Business Case Split'!Z12</f>
        <v>5418588.2127535725</v>
      </c>
      <c r="Y12" s="97">
        <f>'Business Case Split'!AA12</f>
        <v>5418588.2127535725</v>
      </c>
      <c r="Z12" s="97">
        <f>'Business Case Split'!AB12</f>
        <v>5418588.2127535725</v>
      </c>
      <c r="AA12" s="98">
        <f>'Business Case Split'!AC12</f>
        <v>5418588.2127535725</v>
      </c>
      <c r="AB12" s="757" t="s">
        <v>641</v>
      </c>
      <c r="AD12" s="416">
        <f t="shared" si="5"/>
        <v>6192451.3046496306</v>
      </c>
      <c r="AE12" s="97">
        <f t="shared" si="1"/>
        <v>6221724.9164466886</v>
      </c>
      <c r="AF12" s="97">
        <f t="shared" si="2"/>
        <v>6250931.0159200216</v>
      </c>
      <c r="AG12" s="97">
        <f t="shared" si="3"/>
        <v>6285805.4344820855</v>
      </c>
      <c r="AH12" s="98">
        <f t="shared" si="4"/>
        <v>6326165.2261280445</v>
      </c>
      <c r="AI12" s="186"/>
      <c r="AJ12" s="750"/>
      <c r="AK12" s="750"/>
      <c r="AL12" s="750"/>
      <c r="AM12" s="750"/>
      <c r="AN12" s="750"/>
      <c r="AO12" s="750"/>
    </row>
    <row r="13" spans="1:41" x14ac:dyDescent="0.25">
      <c r="A13" s="81" t="s">
        <v>138</v>
      </c>
      <c r="B13" s="82" t="s">
        <v>268</v>
      </c>
      <c r="C13" s="708" t="s">
        <v>643</v>
      </c>
      <c r="D13" s="708" t="s">
        <v>413</v>
      </c>
      <c r="E13" s="718">
        <v>7757288.7396960016</v>
      </c>
      <c r="F13" s="173">
        <v>17470640.081898559</v>
      </c>
      <c r="G13" s="173">
        <v>10375327.967926884</v>
      </c>
      <c r="H13" s="173">
        <v>14093783.698897297</v>
      </c>
      <c r="I13" s="719">
        <v>10971090.293190919</v>
      </c>
      <c r="J13" s="712">
        <v>266</v>
      </c>
      <c r="K13" s="175">
        <v>608</v>
      </c>
      <c r="L13" s="175">
        <v>431</v>
      </c>
      <c r="M13" s="175">
        <v>473</v>
      </c>
      <c r="N13" s="614">
        <v>264</v>
      </c>
      <c r="O13" s="421">
        <f>'Defect (Total)'!BC157</f>
        <v>239.63534042330036</v>
      </c>
      <c r="P13" s="727">
        <f>'Defect (Total)'!BD157</f>
        <v>239.63534042330036</v>
      </c>
      <c r="Q13" s="234">
        <f>'Defect (Total)'!BE157</f>
        <v>239.63534042330036</v>
      </c>
      <c r="R13" s="96">
        <f>'Defect (Total)'!BF157</f>
        <v>239.63534042330036</v>
      </c>
      <c r="S13" s="96">
        <f>'Defect (Total)'!BG157</f>
        <v>239.63534042330036</v>
      </c>
      <c r="T13" s="730">
        <f>'Defect (Total)'!BH157</f>
        <v>239.63534042330036</v>
      </c>
      <c r="U13" s="286">
        <f>'Defect (Total)'!BI157</f>
        <v>239.63534042330036</v>
      </c>
      <c r="V13" s="99">
        <f>VLOOKUP(A13,'Distribution Summary'!$A$136:$BJ$146,62,0)</f>
        <v>28527.37387874335</v>
      </c>
      <c r="W13" s="416">
        <f>'Business Case Split'!Y13</f>
        <v>6836166.950815429</v>
      </c>
      <c r="X13" s="97">
        <f>'Business Case Split'!Z13</f>
        <v>6836166.950815429</v>
      </c>
      <c r="Y13" s="97">
        <f>'Business Case Split'!AA13</f>
        <v>6836166.950815429</v>
      </c>
      <c r="Z13" s="97">
        <f>'Business Case Split'!AB13</f>
        <v>6836166.950815429</v>
      </c>
      <c r="AA13" s="98">
        <f>'Business Case Split'!AC13</f>
        <v>6836166.950815429</v>
      </c>
      <c r="AB13" s="757" t="s">
        <v>641</v>
      </c>
      <c r="AD13" s="416">
        <f t="shared" si="5"/>
        <v>7812483.4903937913</v>
      </c>
      <c r="AE13" s="97">
        <f t="shared" si="1"/>
        <v>7849415.4899554187</v>
      </c>
      <c r="AF13" s="97">
        <f t="shared" si="2"/>
        <v>7886262.3150217514</v>
      </c>
      <c r="AG13" s="97">
        <f t="shared" si="3"/>
        <v>7930260.3710175464</v>
      </c>
      <c r="AH13" s="98">
        <f t="shared" si="4"/>
        <v>7981178.8506950587</v>
      </c>
      <c r="AI13" s="186"/>
      <c r="AJ13" s="750"/>
      <c r="AK13" s="750"/>
      <c r="AL13" s="750"/>
      <c r="AM13" s="750"/>
      <c r="AN13" s="750"/>
      <c r="AO13" s="750"/>
    </row>
    <row r="14" spans="1:41" x14ac:dyDescent="0.25">
      <c r="A14" s="81" t="s">
        <v>196</v>
      </c>
      <c r="B14" s="82" t="s">
        <v>268</v>
      </c>
      <c r="C14" s="708" t="s">
        <v>643</v>
      </c>
      <c r="D14" s="708" t="s">
        <v>274</v>
      </c>
      <c r="E14" s="718">
        <v>3749404.264981905</v>
      </c>
      <c r="F14" s="173">
        <v>3220806.8837579619</v>
      </c>
      <c r="G14" s="173">
        <v>3034314.857578638</v>
      </c>
      <c r="H14" s="173">
        <v>2661188.9161355747</v>
      </c>
      <c r="I14" s="719">
        <v>1775573.5091833717</v>
      </c>
      <c r="J14" s="712">
        <v>395</v>
      </c>
      <c r="K14" s="175">
        <v>309</v>
      </c>
      <c r="L14" s="175">
        <v>310</v>
      </c>
      <c r="M14" s="175">
        <v>296</v>
      </c>
      <c r="N14" s="614">
        <v>371</v>
      </c>
      <c r="O14" s="421">
        <f>'Defect (Total)'!BC158</f>
        <v>192.93725509592431</v>
      </c>
      <c r="P14" s="727">
        <f>'Defect (Total)'!BD158</f>
        <v>192.93725509592431</v>
      </c>
      <c r="Q14" s="234">
        <f>'Defect (Total)'!BE158</f>
        <v>192.93725509592431</v>
      </c>
      <c r="R14" s="96">
        <f>'Defect (Total)'!BF158</f>
        <v>192.93725509592431</v>
      </c>
      <c r="S14" s="96">
        <f>'Defect (Total)'!BG158</f>
        <v>192.93725509592431</v>
      </c>
      <c r="T14" s="730">
        <f>'Defect (Total)'!BH158</f>
        <v>192.93725509592431</v>
      </c>
      <c r="U14" s="286">
        <f>'Defect (Total)'!BI158</f>
        <v>192.93725509592431</v>
      </c>
      <c r="V14" s="99">
        <f>VLOOKUP(A14,'Distribution Summary'!$A$136:$BJ$146,62,0)</f>
        <v>9639.239384840419</v>
      </c>
      <c r="W14" s="416">
        <f>'Business Case Split'!Y14</f>
        <v>1859768.3881236366</v>
      </c>
      <c r="X14" s="97">
        <f>'Business Case Split'!Z14</f>
        <v>1859768.3881236366</v>
      </c>
      <c r="Y14" s="97">
        <f>'Business Case Split'!AA14</f>
        <v>1859768.3881236366</v>
      </c>
      <c r="Z14" s="97">
        <f>'Business Case Split'!AB14</f>
        <v>1859768.3881236366</v>
      </c>
      <c r="AA14" s="98">
        <f>'Business Case Split'!AC14</f>
        <v>1859768.3881236366</v>
      </c>
      <c r="AB14" s="757"/>
      <c r="AD14" s="416">
        <f t="shared" si="5"/>
        <v>2125373.7558938777</v>
      </c>
      <c r="AE14" s="97">
        <f t="shared" si="1"/>
        <v>2135421.0478615961</v>
      </c>
      <c r="AF14" s="97">
        <f t="shared" si="2"/>
        <v>2145445.1682428154</v>
      </c>
      <c r="AG14" s="97">
        <f t="shared" si="3"/>
        <v>2157414.7696683793</v>
      </c>
      <c r="AH14" s="98">
        <f t="shared" si="4"/>
        <v>2171267.0613922169</v>
      </c>
      <c r="AI14" s="186"/>
      <c r="AJ14" s="750"/>
      <c r="AK14" s="750"/>
      <c r="AL14" s="750"/>
      <c r="AM14" s="750"/>
      <c r="AN14" s="750"/>
      <c r="AO14" s="750"/>
    </row>
    <row r="15" spans="1:41" x14ac:dyDescent="0.25">
      <c r="A15" s="81" t="s">
        <v>224</v>
      </c>
      <c r="B15" s="82" t="s">
        <v>268</v>
      </c>
      <c r="C15" s="708" t="s">
        <v>643</v>
      </c>
      <c r="D15" s="708" t="s">
        <v>414</v>
      </c>
      <c r="E15" s="718"/>
      <c r="F15" s="173"/>
      <c r="G15" s="173"/>
      <c r="H15" s="173"/>
      <c r="I15" s="719"/>
      <c r="J15" s="712"/>
      <c r="K15" s="175"/>
      <c r="L15" s="175"/>
      <c r="M15" s="175"/>
      <c r="N15" s="614"/>
      <c r="O15" s="421"/>
      <c r="P15" s="727"/>
      <c r="Q15" s="234"/>
      <c r="R15" s="96"/>
      <c r="S15" s="96"/>
      <c r="T15" s="730"/>
      <c r="U15" s="286"/>
      <c r="V15" s="99">
        <f>VLOOKUP(A15,'Distribution Summary'!$A$136:$BJ$146,62,0)</f>
        <v>0</v>
      </c>
      <c r="W15" s="416">
        <f>'Business Case Split'!Y15</f>
        <v>0</v>
      </c>
      <c r="X15" s="97">
        <f>'Business Case Split'!Z15</f>
        <v>0</v>
      </c>
      <c r="Y15" s="97">
        <f>'Business Case Split'!AA15</f>
        <v>0</v>
      </c>
      <c r="Z15" s="97">
        <f>'Business Case Split'!AB15</f>
        <v>0</v>
      </c>
      <c r="AA15" s="98">
        <f>'Business Case Split'!AC15</f>
        <v>0</v>
      </c>
      <c r="AB15" s="757" t="s">
        <v>641</v>
      </c>
      <c r="AD15" s="416">
        <f t="shared" si="5"/>
        <v>0</v>
      </c>
      <c r="AE15" s="97">
        <f t="shared" si="1"/>
        <v>0</v>
      </c>
      <c r="AF15" s="97">
        <f t="shared" si="2"/>
        <v>0</v>
      </c>
      <c r="AG15" s="97">
        <f t="shared" si="3"/>
        <v>0</v>
      </c>
      <c r="AH15" s="98">
        <f t="shared" si="4"/>
        <v>0</v>
      </c>
      <c r="AI15" s="186"/>
      <c r="AJ15" s="750"/>
      <c r="AK15" s="750"/>
      <c r="AL15" s="750"/>
      <c r="AM15" s="750"/>
      <c r="AN15" s="750"/>
      <c r="AO15" s="749"/>
    </row>
    <row r="16" spans="1:41" x14ac:dyDescent="0.25">
      <c r="A16" s="81" t="s">
        <v>242</v>
      </c>
      <c r="B16" s="82" t="s">
        <v>268</v>
      </c>
      <c r="C16" s="708" t="s">
        <v>643</v>
      </c>
      <c r="D16" s="708" t="s">
        <v>415</v>
      </c>
      <c r="E16" s="718"/>
      <c r="F16" s="173"/>
      <c r="G16" s="173"/>
      <c r="H16" s="173"/>
      <c r="I16" s="719"/>
      <c r="J16" s="712"/>
      <c r="K16" s="175"/>
      <c r="L16" s="175"/>
      <c r="M16" s="175"/>
      <c r="N16" s="614"/>
      <c r="O16" s="421"/>
      <c r="P16" s="727"/>
      <c r="Q16" s="234"/>
      <c r="R16" s="96"/>
      <c r="S16" s="96"/>
      <c r="T16" s="730"/>
      <c r="U16" s="286"/>
      <c r="V16" s="99">
        <f>VLOOKUP(A16,'Distribution Summary'!$A$136:$BJ$146,62,0)</f>
        <v>0</v>
      </c>
      <c r="W16" s="416">
        <f>'Business Case Split'!Y16</f>
        <v>0</v>
      </c>
      <c r="X16" s="97">
        <f>'Business Case Split'!Z16</f>
        <v>0</v>
      </c>
      <c r="Y16" s="97">
        <f>'Business Case Split'!AA16</f>
        <v>0</v>
      </c>
      <c r="Z16" s="97">
        <f>'Business Case Split'!AB16</f>
        <v>0</v>
      </c>
      <c r="AA16" s="98">
        <f>'Business Case Split'!AC16</f>
        <v>0</v>
      </c>
      <c r="AB16" s="757" t="s">
        <v>641</v>
      </c>
      <c r="AD16" s="416">
        <f t="shared" si="5"/>
        <v>0</v>
      </c>
      <c r="AE16" s="97">
        <f t="shared" si="1"/>
        <v>0</v>
      </c>
      <c r="AF16" s="97">
        <f t="shared" si="2"/>
        <v>0</v>
      </c>
      <c r="AG16" s="97">
        <f t="shared" si="3"/>
        <v>0</v>
      </c>
      <c r="AH16" s="98">
        <f t="shared" si="4"/>
        <v>0</v>
      </c>
      <c r="AI16" s="186"/>
      <c r="AJ16" s="750"/>
      <c r="AK16" s="750"/>
      <c r="AL16" s="750"/>
      <c r="AM16" s="750"/>
      <c r="AN16" s="750"/>
      <c r="AO16" s="749"/>
    </row>
    <row r="17" spans="1:41" ht="15.75" thickBot="1" x14ac:dyDescent="0.3">
      <c r="A17" s="100" t="s">
        <v>258</v>
      </c>
      <c r="B17" s="101" t="s">
        <v>268</v>
      </c>
      <c r="C17" s="709" t="s">
        <v>643</v>
      </c>
      <c r="D17" s="709" t="s">
        <v>64</v>
      </c>
      <c r="E17" s="720"/>
      <c r="F17" s="178"/>
      <c r="G17" s="178"/>
      <c r="H17" s="178"/>
      <c r="I17" s="721"/>
      <c r="J17" s="713"/>
      <c r="K17" s="180"/>
      <c r="L17" s="180"/>
      <c r="M17" s="180"/>
      <c r="N17" s="615"/>
      <c r="O17" s="422"/>
      <c r="P17" s="728"/>
      <c r="Q17" s="235"/>
      <c r="R17" s="115"/>
      <c r="S17" s="115"/>
      <c r="T17" s="731"/>
      <c r="U17" s="287"/>
      <c r="V17" s="116">
        <f>VLOOKUP(A17,'Distribution Summary'!$A$136:$BJ$146,62,0)</f>
        <v>30000</v>
      </c>
      <c r="W17" s="467">
        <f>'Business Case Split'!Y17</f>
        <v>0</v>
      </c>
      <c r="X17" s="117">
        <f>'Business Case Split'!Z17</f>
        <v>0</v>
      </c>
      <c r="Y17" s="117">
        <f>'Business Case Split'!AA17</f>
        <v>0</v>
      </c>
      <c r="Z17" s="117">
        <f>'Business Case Split'!AB17</f>
        <v>0</v>
      </c>
      <c r="AA17" s="118">
        <f>'Business Case Split'!AC17</f>
        <v>0</v>
      </c>
      <c r="AB17" s="758" t="s">
        <v>641</v>
      </c>
      <c r="AD17" s="467">
        <f t="shared" si="5"/>
        <v>0</v>
      </c>
      <c r="AE17" s="117">
        <f t="shared" si="1"/>
        <v>0</v>
      </c>
      <c r="AF17" s="117">
        <f t="shared" si="2"/>
        <v>0</v>
      </c>
      <c r="AG17" s="117">
        <f t="shared" si="3"/>
        <v>0</v>
      </c>
      <c r="AH17" s="118">
        <f t="shared" si="4"/>
        <v>0</v>
      </c>
      <c r="AI17" s="186"/>
      <c r="AJ17" s="750"/>
      <c r="AK17" s="750"/>
      <c r="AL17" s="750"/>
      <c r="AM17" s="750"/>
      <c r="AN17" s="750"/>
      <c r="AO17" s="749"/>
    </row>
    <row r="18" spans="1:41" ht="15.75" hidden="1" thickBot="1" x14ac:dyDescent="0.3">
      <c r="A18" s="63" t="s">
        <v>296</v>
      </c>
      <c r="B18" s="64" t="s">
        <v>637</v>
      </c>
      <c r="C18" s="707" t="s">
        <v>643</v>
      </c>
      <c r="D18" s="707" t="s">
        <v>409</v>
      </c>
      <c r="E18" s="716"/>
      <c r="F18" s="168"/>
      <c r="G18" s="168"/>
      <c r="H18" s="168"/>
      <c r="I18" s="717"/>
      <c r="J18" s="711"/>
      <c r="K18" s="170"/>
      <c r="L18" s="170"/>
      <c r="M18" s="170"/>
      <c r="N18" s="613"/>
      <c r="O18" s="420"/>
      <c r="P18" s="726"/>
      <c r="Q18" s="241"/>
      <c r="R18" s="144"/>
      <c r="S18" s="144"/>
      <c r="T18" s="729"/>
      <c r="U18" s="293"/>
      <c r="V18" s="124">
        <f>VLOOKUP(A18,'Distribution Summary'!$A$136:$BJ$146,62,0)</f>
        <v>1800</v>
      </c>
      <c r="W18" s="415">
        <f>'Business Case Split'!Y18</f>
        <v>0</v>
      </c>
      <c r="X18" s="79">
        <f>'Business Case Split'!Z18</f>
        <v>0</v>
      </c>
      <c r="Y18" s="79">
        <f>'Business Case Split'!AA18</f>
        <v>0</v>
      </c>
      <c r="Z18" s="79">
        <f>'Business Case Split'!AB18</f>
        <v>0</v>
      </c>
      <c r="AA18" s="80">
        <f>'Business Case Split'!AC18</f>
        <v>0</v>
      </c>
      <c r="AB18" s="756" t="s">
        <v>641</v>
      </c>
      <c r="AD18" s="415">
        <f t="shared" si="5"/>
        <v>0</v>
      </c>
      <c r="AE18" s="79">
        <f t="shared" si="1"/>
        <v>0</v>
      </c>
      <c r="AF18" s="79">
        <f t="shared" si="2"/>
        <v>0</v>
      </c>
      <c r="AG18" s="79">
        <f t="shared" si="3"/>
        <v>0</v>
      </c>
      <c r="AH18" s="80">
        <f t="shared" si="4"/>
        <v>0</v>
      </c>
      <c r="AI18" s="186"/>
      <c r="AJ18" s="777"/>
      <c r="AK18" s="777"/>
      <c r="AL18" s="777"/>
      <c r="AM18" s="777"/>
      <c r="AN18" s="777"/>
      <c r="AO18" s="777"/>
    </row>
    <row r="19" spans="1:41" ht="15.75" hidden="1" thickBot="1" x14ac:dyDescent="0.3">
      <c r="A19" s="81" t="s">
        <v>27</v>
      </c>
      <c r="B19" s="82" t="s">
        <v>637</v>
      </c>
      <c r="C19" s="708" t="s">
        <v>643</v>
      </c>
      <c r="D19" s="708" t="s">
        <v>410</v>
      </c>
      <c r="E19" s="718"/>
      <c r="F19" s="173"/>
      <c r="G19" s="173"/>
      <c r="H19" s="173"/>
      <c r="I19" s="719"/>
      <c r="J19" s="712"/>
      <c r="K19" s="175"/>
      <c r="L19" s="175"/>
      <c r="M19" s="175"/>
      <c r="N19" s="614"/>
      <c r="O19" s="421"/>
      <c r="P19" s="727"/>
      <c r="Q19" s="234"/>
      <c r="R19" s="96"/>
      <c r="S19" s="96"/>
      <c r="T19" s="730"/>
      <c r="U19" s="286"/>
      <c r="V19" s="99">
        <f>VLOOKUP(A19,'Distribution Summary'!$A$136:$BJ$146,62,0)</f>
        <v>6236.1822982950935</v>
      </c>
      <c r="W19" s="416">
        <f>'Business Case Split'!Y19</f>
        <v>0</v>
      </c>
      <c r="X19" s="97">
        <f>'Business Case Split'!Z19</f>
        <v>0</v>
      </c>
      <c r="Y19" s="97">
        <f>'Business Case Split'!AA19</f>
        <v>0</v>
      </c>
      <c r="Z19" s="97">
        <f>'Business Case Split'!AB19</f>
        <v>0</v>
      </c>
      <c r="AA19" s="98">
        <f>'Business Case Split'!AC19</f>
        <v>0</v>
      </c>
      <c r="AB19" s="757" t="s">
        <v>641</v>
      </c>
      <c r="AD19" s="416">
        <f t="shared" si="5"/>
        <v>0</v>
      </c>
      <c r="AE19" s="97">
        <f t="shared" si="1"/>
        <v>0</v>
      </c>
      <c r="AF19" s="97">
        <f t="shared" si="2"/>
        <v>0</v>
      </c>
      <c r="AG19" s="97">
        <f t="shared" si="3"/>
        <v>0</v>
      </c>
      <c r="AH19" s="98">
        <f t="shared" si="4"/>
        <v>0</v>
      </c>
      <c r="AI19" s="186"/>
      <c r="AJ19" s="777"/>
      <c r="AK19" s="777"/>
      <c r="AL19" s="777"/>
      <c r="AM19" s="777"/>
      <c r="AN19" s="777"/>
      <c r="AO19" s="777"/>
    </row>
    <row r="20" spans="1:41" ht="15.75" hidden="1" thickBot="1" x14ac:dyDescent="0.3">
      <c r="A20" s="81" t="s">
        <v>68</v>
      </c>
      <c r="B20" s="82" t="s">
        <v>637</v>
      </c>
      <c r="C20" s="708" t="s">
        <v>643</v>
      </c>
      <c r="D20" s="708" t="s">
        <v>411</v>
      </c>
      <c r="E20" s="718">
        <v>17830149.273628589</v>
      </c>
      <c r="F20" s="173">
        <v>21655646.732708521</v>
      </c>
      <c r="G20" s="173">
        <v>19870329.2958837</v>
      </c>
      <c r="H20" s="173">
        <v>20638504.943689484</v>
      </c>
      <c r="I20" s="719">
        <v>25587207.773002151</v>
      </c>
      <c r="J20" s="712">
        <v>8498</v>
      </c>
      <c r="K20" s="175">
        <v>9237</v>
      </c>
      <c r="L20" s="175">
        <v>8062</v>
      </c>
      <c r="M20" s="175">
        <v>8620</v>
      </c>
      <c r="N20" s="614">
        <v>8251</v>
      </c>
      <c r="O20" s="421">
        <f>'Defect (Total)'!BC183</f>
        <v>7007.8693207320666</v>
      </c>
      <c r="P20" s="727">
        <f>'Defect (Total)'!BD183</f>
        <v>7007.8693207320666</v>
      </c>
      <c r="Q20" s="234">
        <f>'Defect (Total)'!BE183</f>
        <v>8504.0959591849423</v>
      </c>
      <c r="R20" s="96">
        <f>'Defect (Total)'!BF183</f>
        <v>8504.0959591849423</v>
      </c>
      <c r="S20" s="96">
        <f>'Defect (Total)'!BG183</f>
        <v>8504.0959591849423</v>
      </c>
      <c r="T20" s="730">
        <f>'Defect (Total)'!BH183</f>
        <v>8504.0959591849423</v>
      </c>
      <c r="U20" s="286">
        <f>'Defect (Total)'!BI183</f>
        <v>8504.0959591849423</v>
      </c>
      <c r="V20" s="99">
        <f>VLOOKUP(A20,'Distribution Summary'!$A$136:$BJ$146,62,0)</f>
        <v>2810.5410327755412</v>
      </c>
      <c r="W20" s="416">
        <f>'Business Case Split'!Y20</f>
        <v>23901110.639949955</v>
      </c>
      <c r="X20" s="97">
        <f>'Business Case Split'!Z20</f>
        <v>23901110.639949955</v>
      </c>
      <c r="Y20" s="97">
        <f>'Business Case Split'!AA20</f>
        <v>23901110.639949955</v>
      </c>
      <c r="Z20" s="97">
        <f>'Business Case Split'!AB20</f>
        <v>23901110.639949955</v>
      </c>
      <c r="AA20" s="98">
        <f>'Business Case Split'!AC20</f>
        <v>23901110.639949955</v>
      </c>
      <c r="AB20" s="757" t="s">
        <v>641</v>
      </c>
      <c r="AD20" s="416">
        <f t="shared" si="5"/>
        <v>27397438.425953619</v>
      </c>
      <c r="AE20" s="97">
        <f t="shared" si="1"/>
        <v>27541531.98942671</v>
      </c>
      <c r="AF20" s="97">
        <f t="shared" si="2"/>
        <v>27685293.236840844</v>
      </c>
      <c r="AG20" s="97">
        <f t="shared" si="3"/>
        <v>27856955.663721982</v>
      </c>
      <c r="AH20" s="98">
        <f t="shared" si="4"/>
        <v>28055618.75454982</v>
      </c>
      <c r="AI20" s="186"/>
      <c r="AJ20" s="777"/>
      <c r="AK20" s="777"/>
      <c r="AL20" s="777"/>
      <c r="AM20" s="777"/>
      <c r="AN20" s="777"/>
      <c r="AO20" s="777"/>
    </row>
    <row r="21" spans="1:41" ht="15.75" hidden="1" thickBot="1" x14ac:dyDescent="0.3">
      <c r="A21" s="81" t="s">
        <v>81</v>
      </c>
      <c r="B21" s="82" t="s">
        <v>637</v>
      </c>
      <c r="C21" s="708" t="s">
        <v>643</v>
      </c>
      <c r="D21" s="708" t="s">
        <v>270</v>
      </c>
      <c r="E21" s="718"/>
      <c r="F21" s="173"/>
      <c r="G21" s="173"/>
      <c r="H21" s="173"/>
      <c r="I21" s="719"/>
      <c r="J21" s="725"/>
      <c r="K21" s="631"/>
      <c r="L21" s="631"/>
      <c r="M21" s="631"/>
      <c r="N21" s="671"/>
      <c r="O21" s="421"/>
      <c r="P21" s="727"/>
      <c r="Q21" s="234"/>
      <c r="R21" s="96"/>
      <c r="S21" s="96"/>
      <c r="T21" s="730"/>
      <c r="U21" s="286"/>
      <c r="V21" s="99">
        <f>VLOOKUP(A21,'Distribution Summary'!$A$136:$BJ$146,62,0)</f>
        <v>56912.19365276918</v>
      </c>
      <c r="W21" s="416">
        <f>'Business Case Split'!Y21</f>
        <v>0</v>
      </c>
      <c r="X21" s="97">
        <f>'Business Case Split'!Z21</f>
        <v>0</v>
      </c>
      <c r="Y21" s="97">
        <f>'Business Case Split'!AA21</f>
        <v>0</v>
      </c>
      <c r="Z21" s="97">
        <f>'Business Case Split'!AB21</f>
        <v>0</v>
      </c>
      <c r="AA21" s="98">
        <f>'Business Case Split'!AC21</f>
        <v>0</v>
      </c>
      <c r="AB21" s="757" t="s">
        <v>641</v>
      </c>
      <c r="AD21" s="416">
        <f t="shared" si="5"/>
        <v>0</v>
      </c>
      <c r="AE21" s="97">
        <f t="shared" si="1"/>
        <v>0</v>
      </c>
      <c r="AF21" s="97">
        <f t="shared" si="2"/>
        <v>0</v>
      </c>
      <c r="AG21" s="97">
        <f t="shared" si="3"/>
        <v>0</v>
      </c>
      <c r="AH21" s="98">
        <f t="shared" si="4"/>
        <v>0</v>
      </c>
      <c r="AI21" s="186"/>
      <c r="AJ21" s="777"/>
      <c r="AK21" s="777"/>
      <c r="AL21" s="777"/>
      <c r="AM21" s="777"/>
      <c r="AN21" s="777"/>
      <c r="AO21" s="777"/>
    </row>
    <row r="22" spans="1:41" ht="15.75" hidden="1" thickBot="1" x14ac:dyDescent="0.3">
      <c r="A22" s="81" t="s">
        <v>94</v>
      </c>
      <c r="B22" s="82" t="s">
        <v>637</v>
      </c>
      <c r="C22" s="708" t="s">
        <v>643</v>
      </c>
      <c r="D22" s="708" t="s">
        <v>412</v>
      </c>
      <c r="E22" s="718"/>
      <c r="F22" s="173"/>
      <c r="G22" s="173"/>
      <c r="H22" s="173"/>
      <c r="I22" s="719"/>
      <c r="J22" s="712"/>
      <c r="K22" s="175"/>
      <c r="L22" s="175"/>
      <c r="M22" s="175"/>
      <c r="N22" s="614"/>
      <c r="O22" s="421"/>
      <c r="P22" s="727"/>
      <c r="Q22" s="234"/>
      <c r="R22" s="96"/>
      <c r="S22" s="96"/>
      <c r="T22" s="730"/>
      <c r="U22" s="286"/>
      <c r="V22" s="99">
        <f>VLOOKUP(A22,'Distribution Summary'!$A$136:$BJ$146,62,0)</f>
        <v>322727.75622787437</v>
      </c>
      <c r="W22" s="416">
        <f>'Business Case Split'!Y22</f>
        <v>0</v>
      </c>
      <c r="X22" s="97">
        <f>'Business Case Split'!Z22</f>
        <v>0</v>
      </c>
      <c r="Y22" s="97">
        <f>'Business Case Split'!AA22</f>
        <v>0</v>
      </c>
      <c r="Z22" s="97">
        <f>'Business Case Split'!AB22</f>
        <v>0</v>
      </c>
      <c r="AA22" s="98">
        <f>'Business Case Split'!AC22</f>
        <v>0</v>
      </c>
      <c r="AB22" s="757" t="s">
        <v>641</v>
      </c>
      <c r="AD22" s="416">
        <f t="shared" si="5"/>
        <v>0</v>
      </c>
      <c r="AE22" s="97">
        <f t="shared" si="1"/>
        <v>0</v>
      </c>
      <c r="AF22" s="97">
        <f t="shared" si="2"/>
        <v>0</v>
      </c>
      <c r="AG22" s="97">
        <f t="shared" si="3"/>
        <v>0</v>
      </c>
      <c r="AH22" s="98">
        <f t="shared" si="4"/>
        <v>0</v>
      </c>
      <c r="AI22" s="186"/>
      <c r="AJ22" s="777"/>
      <c r="AK22" s="777"/>
      <c r="AL22" s="777"/>
      <c r="AM22" s="777"/>
      <c r="AN22" s="777"/>
      <c r="AO22" s="777"/>
    </row>
    <row r="23" spans="1:41" ht="15.75" hidden="1" thickBot="1" x14ac:dyDescent="0.3">
      <c r="A23" s="81" t="s">
        <v>106</v>
      </c>
      <c r="B23" s="82" t="s">
        <v>637</v>
      </c>
      <c r="C23" s="708" t="s">
        <v>643</v>
      </c>
      <c r="D23" s="708" t="s">
        <v>272</v>
      </c>
      <c r="E23" s="718"/>
      <c r="F23" s="173"/>
      <c r="G23" s="173"/>
      <c r="H23" s="173"/>
      <c r="I23" s="719"/>
      <c r="J23" s="712"/>
      <c r="K23" s="175"/>
      <c r="L23" s="175"/>
      <c r="M23" s="175"/>
      <c r="N23" s="614"/>
      <c r="O23" s="421"/>
      <c r="P23" s="727"/>
      <c r="Q23" s="234"/>
      <c r="R23" s="96"/>
      <c r="S23" s="96"/>
      <c r="T23" s="730"/>
      <c r="U23" s="286"/>
      <c r="V23" s="99">
        <f>VLOOKUP(A23,'Distribution Summary'!$A$136:$BJ$146,62,0)</f>
        <v>1339.2666347282993</v>
      </c>
      <c r="W23" s="416">
        <f>'Business Case Split'!Y23</f>
        <v>0</v>
      </c>
      <c r="X23" s="97">
        <f>'Business Case Split'!Z23</f>
        <v>0</v>
      </c>
      <c r="Y23" s="97">
        <f>'Business Case Split'!AA23</f>
        <v>0</v>
      </c>
      <c r="Z23" s="97">
        <f>'Business Case Split'!AB23</f>
        <v>0</v>
      </c>
      <c r="AA23" s="98">
        <f>'Business Case Split'!AC23</f>
        <v>0</v>
      </c>
      <c r="AB23" s="757" t="s">
        <v>641</v>
      </c>
      <c r="AD23" s="416">
        <f t="shared" si="5"/>
        <v>0</v>
      </c>
      <c r="AE23" s="97">
        <f t="shared" si="1"/>
        <v>0</v>
      </c>
      <c r="AF23" s="97">
        <f t="shared" si="2"/>
        <v>0</v>
      </c>
      <c r="AG23" s="97">
        <f t="shared" si="3"/>
        <v>0</v>
      </c>
      <c r="AH23" s="98">
        <f t="shared" si="4"/>
        <v>0</v>
      </c>
      <c r="AI23" s="186"/>
      <c r="AJ23" s="777"/>
      <c r="AK23" s="777"/>
      <c r="AL23" s="777"/>
      <c r="AM23" s="777"/>
      <c r="AN23" s="777"/>
      <c r="AO23" s="777"/>
    </row>
    <row r="24" spans="1:41" ht="15.75" hidden="1" thickBot="1" x14ac:dyDescent="0.3">
      <c r="A24" s="81" t="s">
        <v>138</v>
      </c>
      <c r="B24" s="82" t="s">
        <v>637</v>
      </c>
      <c r="C24" s="708" t="s">
        <v>643</v>
      </c>
      <c r="D24" s="708" t="s">
        <v>413</v>
      </c>
      <c r="E24" s="718"/>
      <c r="F24" s="173"/>
      <c r="G24" s="173"/>
      <c r="H24" s="173"/>
      <c r="I24" s="719"/>
      <c r="J24" s="712"/>
      <c r="K24" s="175"/>
      <c r="L24" s="175"/>
      <c r="M24" s="175"/>
      <c r="N24" s="614"/>
      <c r="O24" s="421"/>
      <c r="P24" s="727"/>
      <c r="Q24" s="234"/>
      <c r="R24" s="96"/>
      <c r="S24" s="96"/>
      <c r="T24" s="730"/>
      <c r="U24" s="286"/>
      <c r="V24" s="99">
        <f>VLOOKUP(A24,'Distribution Summary'!$A$136:$BJ$146,62,0)</f>
        <v>28527.37387874335</v>
      </c>
      <c r="W24" s="416">
        <f>'Business Case Split'!Y24</f>
        <v>0</v>
      </c>
      <c r="X24" s="97">
        <f>'Business Case Split'!Z24</f>
        <v>0</v>
      </c>
      <c r="Y24" s="97">
        <f>'Business Case Split'!AA24</f>
        <v>0</v>
      </c>
      <c r="Z24" s="97">
        <f>'Business Case Split'!AB24</f>
        <v>0</v>
      </c>
      <c r="AA24" s="98">
        <f>'Business Case Split'!AC24</f>
        <v>0</v>
      </c>
      <c r="AB24" s="757" t="s">
        <v>641</v>
      </c>
      <c r="AD24" s="416">
        <f t="shared" si="5"/>
        <v>0</v>
      </c>
      <c r="AE24" s="97">
        <f t="shared" si="1"/>
        <v>0</v>
      </c>
      <c r="AF24" s="97">
        <f t="shared" si="2"/>
        <v>0</v>
      </c>
      <c r="AG24" s="97">
        <f t="shared" si="3"/>
        <v>0</v>
      </c>
      <c r="AH24" s="98">
        <f t="shared" si="4"/>
        <v>0</v>
      </c>
      <c r="AI24" s="186"/>
      <c r="AJ24" s="777"/>
      <c r="AK24" s="777"/>
      <c r="AL24" s="777"/>
      <c r="AM24" s="777"/>
      <c r="AN24" s="777"/>
      <c r="AO24" s="777"/>
    </row>
    <row r="25" spans="1:41" ht="15.75" hidden="1" thickBot="1" x14ac:dyDescent="0.3">
      <c r="A25" s="81" t="s">
        <v>196</v>
      </c>
      <c r="B25" s="82" t="s">
        <v>637</v>
      </c>
      <c r="C25" s="708" t="s">
        <v>643</v>
      </c>
      <c r="D25" s="708" t="s">
        <v>274</v>
      </c>
      <c r="E25" s="718"/>
      <c r="F25" s="173"/>
      <c r="G25" s="173"/>
      <c r="H25" s="173"/>
      <c r="I25" s="719"/>
      <c r="J25" s="712"/>
      <c r="K25" s="175"/>
      <c r="L25" s="175"/>
      <c r="M25" s="175"/>
      <c r="N25" s="614"/>
      <c r="O25" s="421"/>
      <c r="P25" s="727"/>
      <c r="Q25" s="234"/>
      <c r="R25" s="96"/>
      <c r="S25" s="96"/>
      <c r="T25" s="730"/>
      <c r="U25" s="286"/>
      <c r="V25" s="99">
        <f>VLOOKUP(A25,'Distribution Summary'!$A$136:$BJ$146,62,0)</f>
        <v>9639.239384840419</v>
      </c>
      <c r="W25" s="416">
        <f>'Business Case Split'!Y25</f>
        <v>0</v>
      </c>
      <c r="X25" s="97">
        <f>'Business Case Split'!Z25</f>
        <v>0</v>
      </c>
      <c r="Y25" s="97">
        <f>'Business Case Split'!AA25</f>
        <v>0</v>
      </c>
      <c r="Z25" s="97">
        <f>'Business Case Split'!AB25</f>
        <v>0</v>
      </c>
      <c r="AA25" s="98">
        <f>'Business Case Split'!AC25</f>
        <v>0</v>
      </c>
      <c r="AB25" s="757"/>
      <c r="AD25" s="416">
        <f t="shared" si="5"/>
        <v>0</v>
      </c>
      <c r="AE25" s="97">
        <f t="shared" si="1"/>
        <v>0</v>
      </c>
      <c r="AF25" s="97">
        <f t="shared" si="2"/>
        <v>0</v>
      </c>
      <c r="AG25" s="97">
        <f t="shared" si="3"/>
        <v>0</v>
      </c>
      <c r="AH25" s="98">
        <f t="shared" si="4"/>
        <v>0</v>
      </c>
      <c r="AI25" s="186"/>
      <c r="AJ25" s="777"/>
      <c r="AK25" s="777"/>
      <c r="AL25" s="777"/>
      <c r="AM25" s="777"/>
      <c r="AN25" s="777"/>
      <c r="AO25" s="777"/>
    </row>
    <row r="26" spans="1:41" ht="15.75" hidden="1" thickBot="1" x14ac:dyDescent="0.3">
      <c r="A26" s="81" t="s">
        <v>224</v>
      </c>
      <c r="B26" s="82" t="s">
        <v>637</v>
      </c>
      <c r="C26" s="708" t="s">
        <v>643</v>
      </c>
      <c r="D26" s="708" t="s">
        <v>414</v>
      </c>
      <c r="E26" s="718"/>
      <c r="F26" s="173"/>
      <c r="G26" s="173"/>
      <c r="H26" s="173"/>
      <c r="I26" s="719"/>
      <c r="J26" s="712"/>
      <c r="K26" s="175"/>
      <c r="L26" s="175"/>
      <c r="M26" s="175"/>
      <c r="N26" s="614"/>
      <c r="O26" s="421"/>
      <c r="P26" s="727"/>
      <c r="Q26" s="234"/>
      <c r="R26" s="96"/>
      <c r="S26" s="96"/>
      <c r="T26" s="730"/>
      <c r="U26" s="286"/>
      <c r="V26" s="99">
        <f>VLOOKUP(A26,'Distribution Summary'!$A$136:$BJ$146,62,0)</f>
        <v>0</v>
      </c>
      <c r="W26" s="416">
        <f>'Business Case Split'!Y26</f>
        <v>0</v>
      </c>
      <c r="X26" s="97">
        <f>'Business Case Split'!Z26</f>
        <v>0</v>
      </c>
      <c r="Y26" s="97">
        <f>'Business Case Split'!AA26</f>
        <v>0</v>
      </c>
      <c r="Z26" s="97">
        <f>'Business Case Split'!AB26</f>
        <v>0</v>
      </c>
      <c r="AA26" s="98">
        <f>'Business Case Split'!AC26</f>
        <v>0</v>
      </c>
      <c r="AB26" s="757" t="s">
        <v>641</v>
      </c>
      <c r="AD26" s="416">
        <f t="shared" si="5"/>
        <v>0</v>
      </c>
      <c r="AE26" s="97">
        <f t="shared" si="1"/>
        <v>0</v>
      </c>
      <c r="AF26" s="97">
        <f t="shared" si="2"/>
        <v>0</v>
      </c>
      <c r="AG26" s="97">
        <f t="shared" si="3"/>
        <v>0</v>
      </c>
      <c r="AH26" s="98">
        <f t="shared" si="4"/>
        <v>0</v>
      </c>
      <c r="AI26" s="186"/>
      <c r="AJ26" s="777"/>
      <c r="AK26" s="777"/>
      <c r="AL26" s="777"/>
      <c r="AM26" s="777"/>
      <c r="AN26" s="777"/>
      <c r="AO26" s="777"/>
    </row>
    <row r="27" spans="1:41" ht="15.75" hidden="1" thickBot="1" x14ac:dyDescent="0.3">
      <c r="A27" s="81" t="s">
        <v>242</v>
      </c>
      <c r="B27" s="82" t="s">
        <v>637</v>
      </c>
      <c r="C27" s="708" t="s">
        <v>643</v>
      </c>
      <c r="D27" s="708" t="s">
        <v>415</v>
      </c>
      <c r="E27" s="718"/>
      <c r="F27" s="173"/>
      <c r="G27" s="173"/>
      <c r="H27" s="173"/>
      <c r="I27" s="719"/>
      <c r="J27" s="712"/>
      <c r="K27" s="175"/>
      <c r="L27" s="175"/>
      <c r="M27" s="175"/>
      <c r="N27" s="614"/>
      <c r="O27" s="421"/>
      <c r="P27" s="727"/>
      <c r="Q27" s="234"/>
      <c r="R27" s="96"/>
      <c r="S27" s="96"/>
      <c r="T27" s="730"/>
      <c r="U27" s="286"/>
      <c r="V27" s="99">
        <f>VLOOKUP(A27,'Distribution Summary'!$A$136:$BJ$146,62,0)</f>
        <v>0</v>
      </c>
      <c r="W27" s="416">
        <f>'Business Case Split'!Y27</f>
        <v>0</v>
      </c>
      <c r="X27" s="97">
        <f>'Business Case Split'!Z27</f>
        <v>0</v>
      </c>
      <c r="Y27" s="97">
        <f>'Business Case Split'!AA27</f>
        <v>0</v>
      </c>
      <c r="Z27" s="97">
        <f>'Business Case Split'!AB27</f>
        <v>0</v>
      </c>
      <c r="AA27" s="98">
        <f>'Business Case Split'!AC27</f>
        <v>0</v>
      </c>
      <c r="AB27" s="757" t="s">
        <v>641</v>
      </c>
      <c r="AD27" s="416">
        <f t="shared" si="5"/>
        <v>0</v>
      </c>
      <c r="AE27" s="97">
        <f t="shared" si="1"/>
        <v>0</v>
      </c>
      <c r="AF27" s="97">
        <f t="shared" si="2"/>
        <v>0</v>
      </c>
      <c r="AG27" s="97">
        <f t="shared" si="3"/>
        <v>0</v>
      </c>
      <c r="AH27" s="98">
        <f t="shared" si="4"/>
        <v>0</v>
      </c>
      <c r="AI27" s="186"/>
      <c r="AJ27" s="777"/>
      <c r="AK27" s="777"/>
      <c r="AL27" s="777"/>
      <c r="AM27" s="777"/>
      <c r="AN27" s="777"/>
      <c r="AO27" s="777"/>
    </row>
    <row r="28" spans="1:41" ht="15.75" hidden="1" thickBot="1" x14ac:dyDescent="0.3">
      <c r="A28" s="100" t="s">
        <v>258</v>
      </c>
      <c r="B28" s="101" t="s">
        <v>637</v>
      </c>
      <c r="C28" s="709" t="s">
        <v>643</v>
      </c>
      <c r="D28" s="709" t="s">
        <v>64</v>
      </c>
      <c r="E28" s="720"/>
      <c r="F28" s="178"/>
      <c r="G28" s="178"/>
      <c r="H28" s="178"/>
      <c r="I28" s="721"/>
      <c r="J28" s="713"/>
      <c r="K28" s="180"/>
      <c r="L28" s="180"/>
      <c r="M28" s="180"/>
      <c r="N28" s="615"/>
      <c r="O28" s="422"/>
      <c r="P28" s="728"/>
      <c r="Q28" s="235"/>
      <c r="R28" s="115"/>
      <c r="S28" s="115"/>
      <c r="T28" s="731"/>
      <c r="U28" s="287"/>
      <c r="V28" s="116">
        <f>VLOOKUP(A28,'Distribution Summary'!$A$136:$BJ$146,62,0)</f>
        <v>30000</v>
      </c>
      <c r="W28" s="467">
        <f>'Business Case Split'!Y28</f>
        <v>0</v>
      </c>
      <c r="X28" s="117">
        <f>'Business Case Split'!Z28</f>
        <v>0</v>
      </c>
      <c r="Y28" s="117">
        <f>'Business Case Split'!AA28</f>
        <v>0</v>
      </c>
      <c r="Z28" s="117">
        <f>'Business Case Split'!AB28</f>
        <v>0</v>
      </c>
      <c r="AA28" s="118">
        <f>'Business Case Split'!AC28</f>
        <v>0</v>
      </c>
      <c r="AB28" s="758" t="s">
        <v>641</v>
      </c>
      <c r="AD28" s="467">
        <f t="shared" si="5"/>
        <v>0</v>
      </c>
      <c r="AE28" s="117">
        <f t="shared" si="1"/>
        <v>0</v>
      </c>
      <c r="AF28" s="117">
        <f t="shared" si="2"/>
        <v>0</v>
      </c>
      <c r="AG28" s="117">
        <f t="shared" si="3"/>
        <v>0</v>
      </c>
      <c r="AH28" s="118">
        <f t="shared" si="4"/>
        <v>0</v>
      </c>
      <c r="AI28" s="186"/>
      <c r="AJ28" s="777"/>
      <c r="AK28" s="777"/>
      <c r="AL28" s="777"/>
      <c r="AM28" s="777"/>
      <c r="AN28" s="777"/>
      <c r="AO28" s="777"/>
    </row>
    <row r="29" spans="1:41" ht="15.75" hidden="1" thickBot="1" x14ac:dyDescent="0.3">
      <c r="A29" s="63" t="s">
        <v>296</v>
      </c>
      <c r="B29" s="64" t="s">
        <v>637</v>
      </c>
      <c r="C29" s="707" t="s">
        <v>644</v>
      </c>
      <c r="D29" s="707" t="s">
        <v>409</v>
      </c>
      <c r="E29" s="716"/>
      <c r="F29" s="168"/>
      <c r="G29" s="168"/>
      <c r="H29" s="168"/>
      <c r="I29" s="717"/>
      <c r="J29" s="711"/>
      <c r="K29" s="170"/>
      <c r="L29" s="170"/>
      <c r="M29" s="170"/>
      <c r="N29" s="613"/>
      <c r="O29" s="420"/>
      <c r="P29" s="726"/>
      <c r="Q29" s="241"/>
      <c r="R29" s="144"/>
      <c r="S29" s="144"/>
      <c r="T29" s="729"/>
      <c r="U29" s="293"/>
      <c r="V29" s="124">
        <f>VLOOKUP(A29,'Distribution Summary'!$A$136:$BJ$146,62,0)</f>
        <v>1800</v>
      </c>
      <c r="W29" s="415">
        <f>'Business Case Split'!Y29</f>
        <v>0</v>
      </c>
      <c r="X29" s="79">
        <f>'Business Case Split'!Z29</f>
        <v>0</v>
      </c>
      <c r="Y29" s="79">
        <f>'Business Case Split'!AA29</f>
        <v>0</v>
      </c>
      <c r="Z29" s="79">
        <f>'Business Case Split'!AB29</f>
        <v>0</v>
      </c>
      <c r="AA29" s="80">
        <f>'Business Case Split'!AC29</f>
        <v>0</v>
      </c>
      <c r="AB29" s="756"/>
      <c r="AD29" s="415">
        <f t="shared" si="5"/>
        <v>0</v>
      </c>
      <c r="AE29" s="79">
        <f t="shared" si="1"/>
        <v>0</v>
      </c>
      <c r="AF29" s="79">
        <f t="shared" si="2"/>
        <v>0</v>
      </c>
      <c r="AG29" s="79">
        <f t="shared" si="3"/>
        <v>0</v>
      </c>
      <c r="AH29" s="80">
        <f t="shared" si="4"/>
        <v>0</v>
      </c>
      <c r="AI29" s="186"/>
      <c r="AJ29" s="777"/>
      <c r="AK29" s="777"/>
      <c r="AL29" s="777"/>
      <c r="AM29" s="777"/>
      <c r="AN29" s="777"/>
      <c r="AO29" s="777"/>
    </row>
    <row r="30" spans="1:41" ht="15.75" hidden="1" thickBot="1" x14ac:dyDescent="0.3">
      <c r="A30" s="81" t="s">
        <v>27</v>
      </c>
      <c r="B30" s="82" t="s">
        <v>637</v>
      </c>
      <c r="C30" s="708" t="s">
        <v>644</v>
      </c>
      <c r="D30" s="708" t="s">
        <v>410</v>
      </c>
      <c r="E30" s="718"/>
      <c r="F30" s="173"/>
      <c r="G30" s="173"/>
      <c r="H30" s="173"/>
      <c r="I30" s="719"/>
      <c r="J30" s="712"/>
      <c r="K30" s="175"/>
      <c r="L30" s="175"/>
      <c r="M30" s="175"/>
      <c r="N30" s="614"/>
      <c r="O30" s="421"/>
      <c r="P30" s="727"/>
      <c r="Q30" s="234"/>
      <c r="R30" s="96"/>
      <c r="S30" s="96"/>
      <c r="T30" s="730"/>
      <c r="U30" s="286"/>
      <c r="V30" s="99">
        <f>VLOOKUP(A30,'Distribution Summary'!$A$136:$BJ$146,62,0)</f>
        <v>6236.1822982950935</v>
      </c>
      <c r="W30" s="416">
        <f>'Business Case Split'!Y30</f>
        <v>0</v>
      </c>
      <c r="X30" s="97">
        <f>'Business Case Split'!Z30</f>
        <v>0</v>
      </c>
      <c r="Y30" s="97">
        <f>'Business Case Split'!AA30</f>
        <v>0</v>
      </c>
      <c r="Z30" s="97">
        <f>'Business Case Split'!AB30</f>
        <v>0</v>
      </c>
      <c r="AA30" s="98">
        <f>'Business Case Split'!AC30</f>
        <v>0</v>
      </c>
      <c r="AB30" s="757"/>
      <c r="AD30" s="416">
        <f t="shared" si="5"/>
        <v>0</v>
      </c>
      <c r="AE30" s="97">
        <f t="shared" si="1"/>
        <v>0</v>
      </c>
      <c r="AF30" s="97">
        <f t="shared" si="2"/>
        <v>0</v>
      </c>
      <c r="AG30" s="97">
        <f t="shared" si="3"/>
        <v>0</v>
      </c>
      <c r="AH30" s="98">
        <f t="shared" si="4"/>
        <v>0</v>
      </c>
      <c r="AI30" s="186"/>
      <c r="AJ30" s="777"/>
      <c r="AK30" s="777"/>
      <c r="AL30" s="777"/>
      <c r="AM30" s="777"/>
      <c r="AN30" s="777"/>
      <c r="AO30" s="777"/>
    </row>
    <row r="31" spans="1:41" ht="15.75" hidden="1" thickBot="1" x14ac:dyDescent="0.3">
      <c r="A31" s="81" t="s">
        <v>68</v>
      </c>
      <c r="B31" s="82" t="s">
        <v>637</v>
      </c>
      <c r="C31" s="708" t="s">
        <v>644</v>
      </c>
      <c r="D31" s="708" t="s">
        <v>411</v>
      </c>
      <c r="E31" s="718"/>
      <c r="F31" s="173"/>
      <c r="G31" s="173"/>
      <c r="H31" s="173"/>
      <c r="I31" s="719"/>
      <c r="J31" s="712"/>
      <c r="K31" s="175"/>
      <c r="L31" s="175"/>
      <c r="M31" s="175"/>
      <c r="N31" s="614"/>
      <c r="O31" s="421">
        <f>Planned!CF138</f>
        <v>314.66666666666669</v>
      </c>
      <c r="P31" s="727">
        <f>Planned!CG138</f>
        <v>314.66666666666669</v>
      </c>
      <c r="Q31" s="234">
        <f>Planned!CH138</f>
        <v>7000</v>
      </c>
      <c r="R31" s="96">
        <f>Planned!CI138</f>
        <v>7000</v>
      </c>
      <c r="S31" s="96">
        <f>Planned!CJ138</f>
        <v>7000</v>
      </c>
      <c r="T31" s="730">
        <f>Planned!CK138</f>
        <v>7000</v>
      </c>
      <c r="U31" s="286">
        <f>Planned!CL138</f>
        <v>7000</v>
      </c>
      <c r="V31" s="99">
        <f>VLOOKUP(A31,'Distribution Summary'!$A$136:$BJ$146,62,0)</f>
        <v>2810.5410327755412</v>
      </c>
      <c r="W31" s="416">
        <f>'Business Case Split'!Y31</f>
        <v>19673787.229428787</v>
      </c>
      <c r="X31" s="97">
        <f>'Business Case Split'!Z31</f>
        <v>19673787.229428787</v>
      </c>
      <c r="Y31" s="97">
        <f>'Business Case Split'!AA31</f>
        <v>19673787.229428787</v>
      </c>
      <c r="Z31" s="97">
        <f>'Business Case Split'!AB31</f>
        <v>19673787.229428787</v>
      </c>
      <c r="AA31" s="98">
        <f>'Business Case Split'!AC31</f>
        <v>19673787.229428787</v>
      </c>
      <c r="AB31" s="757"/>
      <c r="AD31" s="416">
        <f t="shared" si="5"/>
        <v>22551729.178754032</v>
      </c>
      <c r="AE31" s="97">
        <f t="shared" si="1"/>
        <v>22670337.311723441</v>
      </c>
      <c r="AF31" s="97">
        <f t="shared" si="2"/>
        <v>22788671.9044572</v>
      </c>
      <c r="AG31" s="97">
        <f t="shared" si="3"/>
        <v>22929972.872124445</v>
      </c>
      <c r="AH31" s="98">
        <f t="shared" si="4"/>
        <v>23093498.970897224</v>
      </c>
      <c r="AI31" s="186"/>
      <c r="AJ31" s="777"/>
      <c r="AK31" s="777"/>
      <c r="AL31" s="777"/>
      <c r="AM31" s="777"/>
      <c r="AN31" s="777"/>
      <c r="AO31" s="777"/>
    </row>
    <row r="32" spans="1:41" ht="15.75" hidden="1" thickBot="1" x14ac:dyDescent="0.3">
      <c r="A32" s="81" t="s">
        <v>81</v>
      </c>
      <c r="B32" s="82" t="s">
        <v>637</v>
      </c>
      <c r="C32" s="708" t="s">
        <v>644</v>
      </c>
      <c r="D32" s="708" t="s">
        <v>270</v>
      </c>
      <c r="E32" s="718"/>
      <c r="F32" s="173"/>
      <c r="G32" s="173"/>
      <c r="H32" s="173"/>
      <c r="I32" s="719"/>
      <c r="J32" s="725"/>
      <c r="K32" s="631"/>
      <c r="L32" s="631"/>
      <c r="M32" s="631"/>
      <c r="N32" s="671"/>
      <c r="O32" s="421"/>
      <c r="P32" s="727"/>
      <c r="Q32" s="234"/>
      <c r="R32" s="96"/>
      <c r="S32" s="96"/>
      <c r="T32" s="730"/>
      <c r="U32" s="286"/>
      <c r="V32" s="99">
        <f>VLOOKUP(A32,'Distribution Summary'!$A$136:$BJ$146,62,0)</f>
        <v>56912.19365276918</v>
      </c>
      <c r="W32" s="416">
        <f>'Business Case Split'!Y32</f>
        <v>0</v>
      </c>
      <c r="X32" s="97">
        <f>'Business Case Split'!Z32</f>
        <v>0</v>
      </c>
      <c r="Y32" s="97">
        <f>'Business Case Split'!AA32</f>
        <v>0</v>
      </c>
      <c r="Z32" s="97">
        <f>'Business Case Split'!AB32</f>
        <v>0</v>
      </c>
      <c r="AA32" s="98">
        <f>'Business Case Split'!AC32</f>
        <v>0</v>
      </c>
      <c r="AB32" s="757"/>
      <c r="AD32" s="416">
        <f t="shared" si="5"/>
        <v>0</v>
      </c>
      <c r="AE32" s="97">
        <f t="shared" si="1"/>
        <v>0</v>
      </c>
      <c r="AF32" s="97">
        <f t="shared" si="2"/>
        <v>0</v>
      </c>
      <c r="AG32" s="97">
        <f t="shared" si="3"/>
        <v>0</v>
      </c>
      <c r="AH32" s="98">
        <f t="shared" si="4"/>
        <v>0</v>
      </c>
      <c r="AI32" s="186"/>
      <c r="AJ32" s="777"/>
      <c r="AK32" s="777"/>
      <c r="AL32" s="777"/>
      <c r="AM32" s="777"/>
      <c r="AN32" s="777"/>
      <c r="AO32" s="777"/>
    </row>
    <row r="33" spans="1:41" ht="15.75" hidden="1" thickBot="1" x14ac:dyDescent="0.3">
      <c r="A33" s="81" t="s">
        <v>94</v>
      </c>
      <c r="B33" s="82" t="s">
        <v>637</v>
      </c>
      <c r="C33" s="708" t="s">
        <v>644</v>
      </c>
      <c r="D33" s="708" t="s">
        <v>412</v>
      </c>
      <c r="E33" s="718"/>
      <c r="F33" s="173"/>
      <c r="G33" s="173"/>
      <c r="H33" s="173"/>
      <c r="I33" s="719"/>
      <c r="J33" s="712"/>
      <c r="K33" s="175"/>
      <c r="L33" s="175"/>
      <c r="M33" s="175"/>
      <c r="N33" s="614"/>
      <c r="O33" s="421"/>
      <c r="P33" s="727"/>
      <c r="Q33" s="234"/>
      <c r="R33" s="96"/>
      <c r="S33" s="96"/>
      <c r="T33" s="730"/>
      <c r="U33" s="286"/>
      <c r="V33" s="99">
        <f>VLOOKUP(A33,'Distribution Summary'!$A$136:$BJ$146,62,0)</f>
        <v>322727.75622787437</v>
      </c>
      <c r="W33" s="416">
        <f>'Business Case Split'!Y33</f>
        <v>0</v>
      </c>
      <c r="X33" s="97">
        <f>'Business Case Split'!Z33</f>
        <v>0</v>
      </c>
      <c r="Y33" s="97">
        <f>'Business Case Split'!AA33</f>
        <v>0</v>
      </c>
      <c r="Z33" s="97">
        <f>'Business Case Split'!AB33</f>
        <v>0</v>
      </c>
      <c r="AA33" s="98">
        <f>'Business Case Split'!AC33</f>
        <v>0</v>
      </c>
      <c r="AB33" s="757"/>
      <c r="AD33" s="416">
        <f t="shared" si="5"/>
        <v>0</v>
      </c>
      <c r="AE33" s="97">
        <f t="shared" si="1"/>
        <v>0</v>
      </c>
      <c r="AF33" s="97">
        <f t="shared" si="2"/>
        <v>0</v>
      </c>
      <c r="AG33" s="97">
        <f t="shared" si="3"/>
        <v>0</v>
      </c>
      <c r="AH33" s="98">
        <f t="shared" si="4"/>
        <v>0</v>
      </c>
      <c r="AI33" s="186"/>
      <c r="AJ33" s="777"/>
      <c r="AK33" s="777"/>
      <c r="AL33" s="777"/>
      <c r="AM33" s="777"/>
      <c r="AN33" s="777"/>
      <c r="AO33" s="777"/>
    </row>
    <row r="34" spans="1:41" ht="15.75" hidden="1" thickBot="1" x14ac:dyDescent="0.3">
      <c r="A34" s="81" t="s">
        <v>106</v>
      </c>
      <c r="B34" s="82" t="s">
        <v>637</v>
      </c>
      <c r="C34" s="708" t="s">
        <v>644</v>
      </c>
      <c r="D34" s="708" t="s">
        <v>272</v>
      </c>
      <c r="E34" s="718"/>
      <c r="F34" s="173"/>
      <c r="G34" s="173"/>
      <c r="H34" s="173"/>
      <c r="I34" s="719"/>
      <c r="J34" s="712"/>
      <c r="K34" s="175"/>
      <c r="L34" s="175"/>
      <c r="M34" s="175"/>
      <c r="N34" s="614"/>
      <c r="O34" s="421"/>
      <c r="P34" s="727"/>
      <c r="Q34" s="234"/>
      <c r="R34" s="96"/>
      <c r="S34" s="96"/>
      <c r="T34" s="730"/>
      <c r="U34" s="286"/>
      <c r="V34" s="99">
        <f>VLOOKUP(A34,'Distribution Summary'!$A$136:$BJ$146,62,0)</f>
        <v>1339.2666347282993</v>
      </c>
      <c r="W34" s="416">
        <f>'Business Case Split'!Y34</f>
        <v>0</v>
      </c>
      <c r="X34" s="97">
        <f>'Business Case Split'!Z34</f>
        <v>0</v>
      </c>
      <c r="Y34" s="97">
        <f>'Business Case Split'!AA34</f>
        <v>0</v>
      </c>
      <c r="Z34" s="97">
        <f>'Business Case Split'!AB34</f>
        <v>0</v>
      </c>
      <c r="AA34" s="98">
        <f>'Business Case Split'!AC34</f>
        <v>0</v>
      </c>
      <c r="AB34" s="757"/>
      <c r="AD34" s="416">
        <f t="shared" si="5"/>
        <v>0</v>
      </c>
      <c r="AE34" s="97">
        <f t="shared" si="1"/>
        <v>0</v>
      </c>
      <c r="AF34" s="97">
        <f t="shared" si="2"/>
        <v>0</v>
      </c>
      <c r="AG34" s="97">
        <f t="shared" si="3"/>
        <v>0</v>
      </c>
      <c r="AH34" s="98">
        <f t="shared" si="4"/>
        <v>0</v>
      </c>
      <c r="AI34" s="186"/>
      <c r="AJ34" s="777"/>
      <c r="AK34" s="777"/>
      <c r="AL34" s="777"/>
      <c r="AM34" s="777"/>
      <c r="AN34" s="777"/>
      <c r="AO34" s="777"/>
    </row>
    <row r="35" spans="1:41" ht="15.75" hidden="1" thickBot="1" x14ac:dyDescent="0.3">
      <c r="A35" s="81" t="s">
        <v>138</v>
      </c>
      <c r="B35" s="82" t="s">
        <v>637</v>
      </c>
      <c r="C35" s="708" t="s">
        <v>644</v>
      </c>
      <c r="D35" s="708" t="s">
        <v>413</v>
      </c>
      <c r="E35" s="718"/>
      <c r="F35" s="173"/>
      <c r="G35" s="173"/>
      <c r="H35" s="173"/>
      <c r="I35" s="719"/>
      <c r="J35" s="712"/>
      <c r="K35" s="175"/>
      <c r="L35" s="175"/>
      <c r="M35" s="175"/>
      <c r="N35" s="614"/>
      <c r="O35" s="421"/>
      <c r="P35" s="727"/>
      <c r="Q35" s="234"/>
      <c r="R35" s="96"/>
      <c r="S35" s="96"/>
      <c r="T35" s="730"/>
      <c r="U35" s="286"/>
      <c r="V35" s="99">
        <f>VLOOKUP(A35,'Distribution Summary'!$A$136:$BJ$146,62,0)</f>
        <v>28527.37387874335</v>
      </c>
      <c r="W35" s="416">
        <f>'Business Case Split'!Y35</f>
        <v>0</v>
      </c>
      <c r="X35" s="97">
        <f>'Business Case Split'!Z35</f>
        <v>0</v>
      </c>
      <c r="Y35" s="97">
        <f>'Business Case Split'!AA35</f>
        <v>0</v>
      </c>
      <c r="Z35" s="97">
        <f>'Business Case Split'!AB35</f>
        <v>0</v>
      </c>
      <c r="AA35" s="98">
        <f>'Business Case Split'!AC35</f>
        <v>0</v>
      </c>
      <c r="AB35" s="757"/>
      <c r="AD35" s="416">
        <f t="shared" si="5"/>
        <v>0</v>
      </c>
      <c r="AE35" s="97">
        <f t="shared" si="1"/>
        <v>0</v>
      </c>
      <c r="AF35" s="97">
        <f t="shared" si="2"/>
        <v>0</v>
      </c>
      <c r="AG35" s="97">
        <f t="shared" si="3"/>
        <v>0</v>
      </c>
      <c r="AH35" s="98">
        <f t="shared" si="4"/>
        <v>0</v>
      </c>
      <c r="AI35" s="186"/>
      <c r="AJ35" s="777"/>
      <c r="AK35" s="777"/>
      <c r="AL35" s="777"/>
      <c r="AM35" s="777"/>
      <c r="AN35" s="777"/>
      <c r="AO35" s="777"/>
    </row>
    <row r="36" spans="1:41" ht="15.75" hidden="1" thickBot="1" x14ac:dyDescent="0.3">
      <c r="A36" s="81" t="s">
        <v>196</v>
      </c>
      <c r="B36" s="82" t="s">
        <v>637</v>
      </c>
      <c r="C36" s="708" t="s">
        <v>644</v>
      </c>
      <c r="D36" s="708" t="s">
        <v>274</v>
      </c>
      <c r="E36" s="718"/>
      <c r="F36" s="173"/>
      <c r="G36" s="173"/>
      <c r="H36" s="173"/>
      <c r="I36" s="719"/>
      <c r="J36" s="712"/>
      <c r="K36" s="175"/>
      <c r="L36" s="175"/>
      <c r="M36" s="175"/>
      <c r="N36" s="614"/>
      <c r="O36" s="421"/>
      <c r="P36" s="727"/>
      <c r="Q36" s="234"/>
      <c r="R36" s="96"/>
      <c r="S36" s="96"/>
      <c r="T36" s="730"/>
      <c r="U36" s="286"/>
      <c r="V36" s="99">
        <f>VLOOKUP(A36,'Distribution Summary'!$A$136:$BJ$146,62,0)</f>
        <v>9639.239384840419</v>
      </c>
      <c r="W36" s="416">
        <f>'Business Case Split'!Y36</f>
        <v>0</v>
      </c>
      <c r="X36" s="97">
        <f>'Business Case Split'!Z36</f>
        <v>0</v>
      </c>
      <c r="Y36" s="97">
        <f>'Business Case Split'!AA36</f>
        <v>0</v>
      </c>
      <c r="Z36" s="97">
        <f>'Business Case Split'!AB36</f>
        <v>0</v>
      </c>
      <c r="AA36" s="98">
        <f>'Business Case Split'!AC36</f>
        <v>0</v>
      </c>
      <c r="AB36" s="757"/>
      <c r="AD36" s="416">
        <f t="shared" si="5"/>
        <v>0</v>
      </c>
      <c r="AE36" s="97">
        <f t="shared" si="1"/>
        <v>0</v>
      </c>
      <c r="AF36" s="97">
        <f t="shared" si="2"/>
        <v>0</v>
      </c>
      <c r="AG36" s="97">
        <f t="shared" si="3"/>
        <v>0</v>
      </c>
      <c r="AH36" s="98">
        <f t="shared" si="4"/>
        <v>0</v>
      </c>
      <c r="AI36" s="186"/>
      <c r="AJ36" s="777"/>
      <c r="AK36" s="777"/>
      <c r="AL36" s="777"/>
      <c r="AM36" s="777"/>
      <c r="AN36" s="777"/>
      <c r="AO36" s="777"/>
    </row>
    <row r="37" spans="1:41" ht="15.75" hidden="1" thickBot="1" x14ac:dyDescent="0.3">
      <c r="A37" s="81" t="s">
        <v>224</v>
      </c>
      <c r="B37" s="82" t="s">
        <v>637</v>
      </c>
      <c r="C37" s="708" t="s">
        <v>644</v>
      </c>
      <c r="D37" s="708" t="s">
        <v>414</v>
      </c>
      <c r="E37" s="718"/>
      <c r="F37" s="173"/>
      <c r="G37" s="173"/>
      <c r="H37" s="173"/>
      <c r="I37" s="719"/>
      <c r="J37" s="712"/>
      <c r="K37" s="175"/>
      <c r="L37" s="175"/>
      <c r="M37" s="175"/>
      <c r="N37" s="614"/>
      <c r="O37" s="421"/>
      <c r="P37" s="727"/>
      <c r="Q37" s="234"/>
      <c r="R37" s="96"/>
      <c r="S37" s="96"/>
      <c r="T37" s="730"/>
      <c r="U37" s="286"/>
      <c r="V37" s="99">
        <f>VLOOKUP(A37,'Distribution Summary'!$A$136:$BJ$146,62,0)</f>
        <v>0</v>
      </c>
      <c r="W37" s="416">
        <f>'Business Case Split'!Y37</f>
        <v>0</v>
      </c>
      <c r="X37" s="97">
        <f>'Business Case Split'!Z37</f>
        <v>0</v>
      </c>
      <c r="Y37" s="97">
        <f>'Business Case Split'!AA37</f>
        <v>0</v>
      </c>
      <c r="Z37" s="97">
        <f>'Business Case Split'!AB37</f>
        <v>0</v>
      </c>
      <c r="AA37" s="98">
        <f>'Business Case Split'!AC37</f>
        <v>0</v>
      </c>
      <c r="AB37" s="757"/>
      <c r="AD37" s="416">
        <f t="shared" si="5"/>
        <v>0</v>
      </c>
      <c r="AE37" s="97">
        <f t="shared" si="1"/>
        <v>0</v>
      </c>
      <c r="AF37" s="97">
        <f t="shared" si="2"/>
        <v>0</v>
      </c>
      <c r="AG37" s="97">
        <f t="shared" si="3"/>
        <v>0</v>
      </c>
      <c r="AH37" s="98">
        <f t="shared" si="4"/>
        <v>0</v>
      </c>
      <c r="AI37" s="186"/>
      <c r="AJ37" s="777"/>
      <c r="AK37" s="777"/>
      <c r="AL37" s="777"/>
      <c r="AM37" s="777"/>
      <c r="AN37" s="777"/>
      <c r="AO37" s="777"/>
    </row>
    <row r="38" spans="1:41" ht="15.75" hidden="1" thickBot="1" x14ac:dyDescent="0.3">
      <c r="A38" s="81" t="s">
        <v>242</v>
      </c>
      <c r="B38" s="82" t="s">
        <v>637</v>
      </c>
      <c r="C38" s="708" t="s">
        <v>644</v>
      </c>
      <c r="D38" s="708" t="s">
        <v>415</v>
      </c>
      <c r="E38" s="718"/>
      <c r="F38" s="173"/>
      <c r="G38" s="173"/>
      <c r="H38" s="173"/>
      <c r="I38" s="719"/>
      <c r="J38" s="712"/>
      <c r="K38" s="175"/>
      <c r="L38" s="175"/>
      <c r="M38" s="175"/>
      <c r="N38" s="614"/>
      <c r="O38" s="421"/>
      <c r="P38" s="727"/>
      <c r="Q38" s="234"/>
      <c r="R38" s="96"/>
      <c r="S38" s="96"/>
      <c r="T38" s="730"/>
      <c r="U38" s="286"/>
      <c r="V38" s="99">
        <f>VLOOKUP(A38,'Distribution Summary'!$A$136:$BJ$146,62,0)</f>
        <v>0</v>
      </c>
      <c r="W38" s="416">
        <f>'Business Case Split'!Y38</f>
        <v>0</v>
      </c>
      <c r="X38" s="97">
        <f>'Business Case Split'!Z38</f>
        <v>0</v>
      </c>
      <c r="Y38" s="97">
        <f>'Business Case Split'!AA38</f>
        <v>0</v>
      </c>
      <c r="Z38" s="97">
        <f>'Business Case Split'!AB38</f>
        <v>0</v>
      </c>
      <c r="AA38" s="98">
        <f>'Business Case Split'!AC38</f>
        <v>0</v>
      </c>
      <c r="AB38" s="757"/>
      <c r="AD38" s="416">
        <f t="shared" si="5"/>
        <v>0</v>
      </c>
      <c r="AE38" s="97">
        <f t="shared" si="1"/>
        <v>0</v>
      </c>
      <c r="AF38" s="97">
        <f t="shared" si="2"/>
        <v>0</v>
      </c>
      <c r="AG38" s="97">
        <f t="shared" si="3"/>
        <v>0</v>
      </c>
      <c r="AH38" s="98">
        <f t="shared" si="4"/>
        <v>0</v>
      </c>
      <c r="AI38" s="186"/>
      <c r="AJ38" s="777"/>
      <c r="AK38" s="777"/>
      <c r="AL38" s="777"/>
      <c r="AM38" s="777"/>
      <c r="AN38" s="777"/>
      <c r="AO38" s="777"/>
    </row>
    <row r="39" spans="1:41" ht="15.75" hidden="1" thickBot="1" x14ac:dyDescent="0.3">
      <c r="A39" s="100" t="s">
        <v>258</v>
      </c>
      <c r="B39" s="101" t="s">
        <v>637</v>
      </c>
      <c r="C39" s="709" t="s">
        <v>644</v>
      </c>
      <c r="D39" s="709" t="s">
        <v>64</v>
      </c>
      <c r="E39" s="720"/>
      <c r="F39" s="178"/>
      <c r="G39" s="178"/>
      <c r="H39" s="178"/>
      <c r="I39" s="721"/>
      <c r="J39" s="713"/>
      <c r="K39" s="180"/>
      <c r="L39" s="180"/>
      <c r="M39" s="180"/>
      <c r="N39" s="615"/>
      <c r="O39" s="422"/>
      <c r="P39" s="728"/>
      <c r="Q39" s="235"/>
      <c r="R39" s="115"/>
      <c r="S39" s="115"/>
      <c r="T39" s="731"/>
      <c r="U39" s="287"/>
      <c r="V39" s="116">
        <f>VLOOKUP(A39,'Distribution Summary'!$A$136:$BJ$146,62,0)</f>
        <v>30000</v>
      </c>
      <c r="W39" s="467">
        <f>'Business Case Split'!Y39</f>
        <v>0</v>
      </c>
      <c r="X39" s="117">
        <f>'Business Case Split'!Z39</f>
        <v>0</v>
      </c>
      <c r="Y39" s="117">
        <f>'Business Case Split'!AA39</f>
        <v>0</v>
      </c>
      <c r="Z39" s="117">
        <f>'Business Case Split'!AB39</f>
        <v>0</v>
      </c>
      <c r="AA39" s="118">
        <f>'Business Case Split'!AC39</f>
        <v>0</v>
      </c>
      <c r="AB39" s="758"/>
      <c r="AD39" s="467">
        <f t="shared" ref="AD39:AD70" si="6">IFERROR(VLOOKUP($B39,$B$189:$AB$196,AD$4+21,0),0)*W39</f>
        <v>0</v>
      </c>
      <c r="AE39" s="117">
        <f t="shared" ref="AE39:AE70" si="7">IFERROR(VLOOKUP($B39,$B$189:$AB$196,AE$4+21,0),0)*X39</f>
        <v>0</v>
      </c>
      <c r="AF39" s="117">
        <f t="shared" ref="AF39:AF70" si="8">IFERROR(VLOOKUP($B39,$B$189:$AB$196,AF$4+21,0),0)*Y39</f>
        <v>0</v>
      </c>
      <c r="AG39" s="117">
        <f t="shared" ref="AG39:AG70" si="9">IFERROR(VLOOKUP($B39,$B$189:$AB$196,AG$4+21,0),0)*Z39</f>
        <v>0</v>
      </c>
      <c r="AH39" s="118">
        <f t="shared" ref="AH39:AH70" si="10">IFERROR(VLOOKUP($B39,$B$189:$AB$196,AH$4+21,0),0)*AA39</f>
        <v>0</v>
      </c>
      <c r="AI39" s="186"/>
      <c r="AJ39" s="777"/>
      <c r="AK39" s="777"/>
      <c r="AL39" s="777"/>
      <c r="AM39" s="777"/>
      <c r="AN39" s="777"/>
      <c r="AO39" s="777"/>
    </row>
    <row r="40" spans="1:41" ht="15.75" hidden="1" thickBot="1" x14ac:dyDescent="0.3">
      <c r="A40" s="63" t="s">
        <v>296</v>
      </c>
      <c r="B40" s="64" t="s">
        <v>636</v>
      </c>
      <c r="C40" s="707" t="s">
        <v>643</v>
      </c>
      <c r="D40" s="707" t="s">
        <v>409</v>
      </c>
      <c r="E40" s="716"/>
      <c r="F40" s="168"/>
      <c r="G40" s="168"/>
      <c r="H40" s="168"/>
      <c r="I40" s="717"/>
      <c r="J40" s="711"/>
      <c r="K40" s="170"/>
      <c r="L40" s="170"/>
      <c r="M40" s="170"/>
      <c r="N40" s="613"/>
      <c r="O40" s="420"/>
      <c r="P40" s="726"/>
      <c r="Q40" s="241"/>
      <c r="R40" s="144"/>
      <c r="S40" s="144"/>
      <c r="T40" s="729"/>
      <c r="U40" s="293"/>
      <c r="V40" s="124">
        <f>VLOOKUP(A40,'Distribution Summary'!$A$136:$BJ$146,62,0)</f>
        <v>1800</v>
      </c>
      <c r="W40" s="415">
        <f>'Business Case Split'!Y40</f>
        <v>0</v>
      </c>
      <c r="X40" s="79">
        <f>'Business Case Split'!Z40</f>
        <v>0</v>
      </c>
      <c r="Y40" s="79">
        <f>'Business Case Split'!AA40</f>
        <v>0</v>
      </c>
      <c r="Z40" s="79">
        <f>'Business Case Split'!AB40</f>
        <v>0</v>
      </c>
      <c r="AA40" s="80">
        <f>'Business Case Split'!AC40</f>
        <v>0</v>
      </c>
      <c r="AB40" s="756"/>
      <c r="AD40" s="415">
        <f t="shared" si="6"/>
        <v>0</v>
      </c>
      <c r="AE40" s="79">
        <f t="shared" si="7"/>
        <v>0</v>
      </c>
      <c r="AF40" s="79">
        <f t="shared" si="8"/>
        <v>0</v>
      </c>
      <c r="AG40" s="79">
        <f t="shared" si="9"/>
        <v>0</v>
      </c>
      <c r="AH40" s="80">
        <f t="shared" si="10"/>
        <v>0</v>
      </c>
      <c r="AI40" s="186"/>
      <c r="AJ40" s="777"/>
      <c r="AK40" s="777"/>
      <c r="AL40" s="777"/>
      <c r="AM40" s="777"/>
      <c r="AN40" s="777"/>
      <c r="AO40" s="777"/>
    </row>
    <row r="41" spans="1:41" ht="15.75" hidden="1" thickBot="1" x14ac:dyDescent="0.3">
      <c r="A41" s="81" t="s">
        <v>27</v>
      </c>
      <c r="B41" s="82" t="s">
        <v>636</v>
      </c>
      <c r="C41" s="708" t="s">
        <v>643</v>
      </c>
      <c r="D41" s="708" t="s">
        <v>410</v>
      </c>
      <c r="E41" s="718"/>
      <c r="F41" s="173"/>
      <c r="G41" s="173"/>
      <c r="H41" s="173"/>
      <c r="I41" s="719"/>
      <c r="J41" s="712"/>
      <c r="K41" s="175"/>
      <c r="L41" s="175"/>
      <c r="M41" s="175"/>
      <c r="N41" s="614"/>
      <c r="O41" s="421">
        <f>'Defect (Total)'!BC168</f>
        <v>308.74748264582712</v>
      </c>
      <c r="P41" s="727">
        <f>'Defect (Total)'!BD168</f>
        <v>308.74748264582712</v>
      </c>
      <c r="Q41" s="234">
        <f>'Defect (Total)'!BE168</f>
        <v>330.36347119305276</v>
      </c>
      <c r="R41" s="96">
        <f>'Defect (Total)'!BF168</f>
        <v>330.36347119305276</v>
      </c>
      <c r="S41" s="96">
        <f>'Defect (Total)'!BG168</f>
        <v>330.36347119305276</v>
      </c>
      <c r="T41" s="730">
        <f>'Defect (Total)'!BH168</f>
        <v>330.36347119305276</v>
      </c>
      <c r="U41" s="286">
        <f>'Defect (Total)'!BI168</f>
        <v>330.36347119305276</v>
      </c>
      <c r="V41" s="99">
        <f>VLOOKUP(A41,'Distribution Summary'!$A$136:$BJ$146,62,0)</f>
        <v>6236.1822982950935</v>
      </c>
      <c r="W41" s="416">
        <f>'Business Case Split'!Y41</f>
        <v>2060206.8310574368</v>
      </c>
      <c r="X41" s="97">
        <f>'Business Case Split'!Z41</f>
        <v>2060206.8310574368</v>
      </c>
      <c r="Y41" s="97">
        <f>'Business Case Split'!AA41</f>
        <v>2060206.8310574368</v>
      </c>
      <c r="Z41" s="97">
        <f>'Business Case Split'!AB41</f>
        <v>2060206.8310574368</v>
      </c>
      <c r="AA41" s="98">
        <f>'Business Case Split'!AC41</f>
        <v>2060206.8310574368</v>
      </c>
      <c r="AB41" s="757"/>
      <c r="AD41" s="416">
        <f t="shared" si="6"/>
        <v>2320690.6729839458</v>
      </c>
      <c r="AE41" s="97">
        <f t="shared" si="7"/>
        <v>2325723.9829089274</v>
      </c>
      <c r="AF41" s="97">
        <f t="shared" si="8"/>
        <v>2330745.6543014264</v>
      </c>
      <c r="AG41" s="97">
        <f t="shared" si="9"/>
        <v>2336741.9600589108</v>
      </c>
      <c r="AH41" s="98">
        <f t="shared" si="10"/>
        <v>2343681.4192393366</v>
      </c>
      <c r="AI41" s="186"/>
      <c r="AJ41" s="777"/>
      <c r="AK41" s="777"/>
      <c r="AL41" s="777"/>
      <c r="AM41" s="777"/>
      <c r="AN41" s="777"/>
      <c r="AO41" s="777"/>
    </row>
    <row r="42" spans="1:41" ht="15.75" hidden="1" thickBot="1" x14ac:dyDescent="0.3">
      <c r="A42" s="81" t="s">
        <v>68</v>
      </c>
      <c r="B42" s="82" t="s">
        <v>636</v>
      </c>
      <c r="C42" s="708" t="s">
        <v>643</v>
      </c>
      <c r="D42" s="708" t="s">
        <v>411</v>
      </c>
      <c r="E42" s="718"/>
      <c r="F42" s="173"/>
      <c r="G42" s="173"/>
      <c r="H42" s="173"/>
      <c r="I42" s="719"/>
      <c r="J42" s="712"/>
      <c r="K42" s="175"/>
      <c r="L42" s="175"/>
      <c r="M42" s="175"/>
      <c r="N42" s="614"/>
      <c r="O42" s="421">
        <f>'Defect (Total)'!BC169</f>
        <v>626.16628432740117</v>
      </c>
      <c r="P42" s="727">
        <f>'Defect (Total)'!BD169</f>
        <v>626.16628432740117</v>
      </c>
      <c r="Q42" s="234">
        <f>'Defect (Total)'!BE169</f>
        <v>670.0053566809288</v>
      </c>
      <c r="R42" s="96">
        <f>'Defect (Total)'!BF169</f>
        <v>670.0053566809288</v>
      </c>
      <c r="S42" s="96">
        <f>'Defect (Total)'!BG169</f>
        <v>670.0053566809288</v>
      </c>
      <c r="T42" s="730">
        <f>'Defect (Total)'!BH169</f>
        <v>670.0053566809288</v>
      </c>
      <c r="U42" s="286">
        <f>'Defect (Total)'!BI169</f>
        <v>670.0053566809288</v>
      </c>
      <c r="V42" s="99">
        <f>VLOOKUP(A42,'Distribution Summary'!$A$136:$BJ$146,62,0)</f>
        <v>2810.5410327755412</v>
      </c>
      <c r="W42" s="416">
        <f>'Business Case Split'!Y42</f>
        <v>1883077.5471311626</v>
      </c>
      <c r="X42" s="97">
        <f>'Business Case Split'!Z42</f>
        <v>1883077.5471311626</v>
      </c>
      <c r="Y42" s="97">
        <f>'Business Case Split'!AA42</f>
        <v>1883077.5471311626</v>
      </c>
      <c r="Z42" s="97">
        <f>'Business Case Split'!AB42</f>
        <v>1883077.5471311626</v>
      </c>
      <c r="AA42" s="98">
        <f>'Business Case Split'!AC42</f>
        <v>1883077.5471311626</v>
      </c>
      <c r="AB42" s="757"/>
      <c r="AD42" s="416">
        <f t="shared" si="6"/>
        <v>2121165.9112351243</v>
      </c>
      <c r="AE42" s="97">
        <f t="shared" si="7"/>
        <v>2125766.4750060057</v>
      </c>
      <c r="AF42" s="97">
        <f t="shared" si="8"/>
        <v>2130356.4008841915</v>
      </c>
      <c r="AG42" s="97">
        <f t="shared" si="9"/>
        <v>2135837.1655178359</v>
      </c>
      <c r="AH42" s="98">
        <f t="shared" si="10"/>
        <v>2142179.9945847532</v>
      </c>
      <c r="AI42" s="186"/>
      <c r="AJ42" s="777"/>
      <c r="AK42" s="777"/>
      <c r="AL42" s="777"/>
      <c r="AM42" s="777"/>
      <c r="AN42" s="777"/>
      <c r="AO42" s="777"/>
    </row>
    <row r="43" spans="1:41" ht="15.75" hidden="1" thickBot="1" x14ac:dyDescent="0.3">
      <c r="A43" s="81" t="s">
        <v>81</v>
      </c>
      <c r="B43" s="82" t="s">
        <v>636</v>
      </c>
      <c r="C43" s="708" t="s">
        <v>643</v>
      </c>
      <c r="D43" s="708" t="s">
        <v>270</v>
      </c>
      <c r="E43" s="718">
        <v>13846643.9976683</v>
      </c>
      <c r="F43" s="173">
        <v>14034096.728620561</v>
      </c>
      <c r="G43" s="173">
        <v>16417968.3274235</v>
      </c>
      <c r="H43" s="173">
        <v>31802464.788866416</v>
      </c>
      <c r="I43" s="719">
        <v>18421962.029777169</v>
      </c>
      <c r="J43" s="725">
        <v>271.08421142399999</v>
      </c>
      <c r="K43" s="631">
        <v>206.77800007299984</v>
      </c>
      <c r="L43" s="631">
        <v>247.71416666666539</v>
      </c>
      <c r="M43" s="631">
        <v>107.82883256300045</v>
      </c>
      <c r="N43" s="671">
        <v>137.72733175266598</v>
      </c>
      <c r="O43" s="421">
        <f>'Defect (Total)'!BC184</f>
        <v>87.401216556733189</v>
      </c>
      <c r="P43" s="727">
        <f>'Defect (Total)'!BD184</f>
        <v>87.401216556733189</v>
      </c>
      <c r="Q43" s="234">
        <f>'Defect (Total)'!BE184</f>
        <v>93.52033914815901</v>
      </c>
      <c r="R43" s="96">
        <f>'Defect (Total)'!BF184</f>
        <v>93.52033914815901</v>
      </c>
      <c r="S43" s="96">
        <f>'Defect (Total)'!BG184</f>
        <v>93.52033914815901</v>
      </c>
      <c r="T43" s="96">
        <f>'Defect (Total)'!BH184</f>
        <v>93.52033914815901</v>
      </c>
      <c r="U43" s="727">
        <f>'Defect (Total)'!BI184</f>
        <v>93.52033914815901</v>
      </c>
      <c r="V43" s="99">
        <f>VLOOKUP(A43,'Distribution Summary'!$A$136:$BJ$146,62,0)</f>
        <v>56912.19365276918</v>
      </c>
      <c r="W43" s="416">
        <f>'Business Case Split'!Y43</f>
        <v>5322447.6520726765</v>
      </c>
      <c r="X43" s="97">
        <f>'Business Case Split'!Z43</f>
        <v>5322447.6520726765</v>
      </c>
      <c r="Y43" s="97">
        <f>'Business Case Split'!AA43</f>
        <v>5322447.6520726765</v>
      </c>
      <c r="Z43" s="97">
        <f>'Business Case Split'!AB43</f>
        <v>5322447.6520726765</v>
      </c>
      <c r="AA43" s="98">
        <f>'Business Case Split'!AC43</f>
        <v>5322447.6520726765</v>
      </c>
      <c r="AB43" s="757"/>
      <c r="AD43" s="416">
        <f t="shared" si="6"/>
        <v>5995395.431860893</v>
      </c>
      <c r="AE43" s="97">
        <f t="shared" si="7"/>
        <v>6008398.751813299</v>
      </c>
      <c r="AF43" s="97">
        <f t="shared" si="8"/>
        <v>6021372.0041632913</v>
      </c>
      <c r="AG43" s="97">
        <f t="shared" si="9"/>
        <v>6036863.1786506856</v>
      </c>
      <c r="AH43" s="98">
        <f t="shared" si="10"/>
        <v>6054790.9457392711</v>
      </c>
      <c r="AI43" s="186"/>
      <c r="AJ43" s="777"/>
      <c r="AK43" s="777"/>
      <c r="AL43" s="777"/>
      <c r="AM43" s="777"/>
      <c r="AN43" s="777"/>
      <c r="AO43" s="777"/>
    </row>
    <row r="44" spans="1:41" ht="15.75" hidden="1" thickBot="1" x14ac:dyDescent="0.3">
      <c r="A44" s="81" t="s">
        <v>94</v>
      </c>
      <c r="B44" s="82" t="s">
        <v>636</v>
      </c>
      <c r="C44" s="708" t="s">
        <v>643</v>
      </c>
      <c r="D44" s="708" t="s">
        <v>412</v>
      </c>
      <c r="E44" s="718"/>
      <c r="F44" s="173"/>
      <c r="G44" s="173"/>
      <c r="H44" s="173"/>
      <c r="I44" s="719"/>
      <c r="J44" s="712"/>
      <c r="K44" s="175"/>
      <c r="L44" s="175"/>
      <c r="M44" s="175"/>
      <c r="N44" s="614"/>
      <c r="O44" s="421">
        <f>'Defect (Total)'!BC171</f>
        <v>0</v>
      </c>
      <c r="P44" s="727">
        <f>'Defect (Total)'!BD171</f>
        <v>0</v>
      </c>
      <c r="Q44" s="234">
        <f>'Defect (Total)'!BE171</f>
        <v>0</v>
      </c>
      <c r="R44" s="96">
        <f>'Defect (Total)'!BF171</f>
        <v>0</v>
      </c>
      <c r="S44" s="96">
        <f>'Defect (Total)'!BG171</f>
        <v>0</v>
      </c>
      <c r="T44" s="730">
        <f>'Defect (Total)'!BH171</f>
        <v>0</v>
      </c>
      <c r="U44" s="286">
        <f>'Defect (Total)'!BI171</f>
        <v>0</v>
      </c>
      <c r="V44" s="99">
        <f>VLOOKUP(A44,'Distribution Summary'!$A$136:$BJ$146,62,0)</f>
        <v>322727.75622787437</v>
      </c>
      <c r="W44" s="416">
        <f>'Business Case Split'!Y44</f>
        <v>0</v>
      </c>
      <c r="X44" s="97">
        <f>'Business Case Split'!Z44</f>
        <v>0</v>
      </c>
      <c r="Y44" s="97">
        <f>'Business Case Split'!AA44</f>
        <v>0</v>
      </c>
      <c r="Z44" s="97">
        <f>'Business Case Split'!AB44</f>
        <v>0</v>
      </c>
      <c r="AA44" s="98">
        <f>'Business Case Split'!AC44</f>
        <v>0</v>
      </c>
      <c r="AB44" s="757"/>
      <c r="AD44" s="416">
        <f t="shared" si="6"/>
        <v>0</v>
      </c>
      <c r="AE44" s="97">
        <f t="shared" si="7"/>
        <v>0</v>
      </c>
      <c r="AF44" s="97">
        <f t="shared" si="8"/>
        <v>0</v>
      </c>
      <c r="AG44" s="97">
        <f t="shared" si="9"/>
        <v>0</v>
      </c>
      <c r="AH44" s="98">
        <f t="shared" si="10"/>
        <v>0</v>
      </c>
      <c r="AI44" s="186"/>
      <c r="AJ44" s="777"/>
      <c r="AK44" s="777"/>
      <c r="AL44" s="777"/>
      <c r="AM44" s="777"/>
      <c r="AN44" s="777"/>
      <c r="AO44" s="777"/>
    </row>
    <row r="45" spans="1:41" ht="15.75" hidden="1" thickBot="1" x14ac:dyDescent="0.3">
      <c r="A45" s="81" t="s">
        <v>106</v>
      </c>
      <c r="B45" s="82" t="s">
        <v>636</v>
      </c>
      <c r="C45" s="708" t="s">
        <v>643</v>
      </c>
      <c r="D45" s="708" t="s">
        <v>272</v>
      </c>
      <c r="E45" s="718"/>
      <c r="F45" s="173"/>
      <c r="G45" s="173"/>
      <c r="H45" s="173"/>
      <c r="I45" s="719"/>
      <c r="J45" s="712"/>
      <c r="K45" s="175"/>
      <c r="L45" s="175"/>
      <c r="M45" s="175"/>
      <c r="N45" s="614"/>
      <c r="O45" s="421">
        <f>'Defect (Total)'!BC172</f>
        <v>334.10944958329259</v>
      </c>
      <c r="P45" s="727">
        <f>'Defect (Total)'!BD172</f>
        <v>334.10944958329259</v>
      </c>
      <c r="Q45" s="234">
        <f>'Defect (Total)'!BE172</f>
        <v>357.5010768568888</v>
      </c>
      <c r="R45" s="96">
        <f>'Defect (Total)'!BF172</f>
        <v>357.5010768568888</v>
      </c>
      <c r="S45" s="96">
        <f>'Defect (Total)'!BG172</f>
        <v>357.5010768568888</v>
      </c>
      <c r="T45" s="730">
        <f>'Defect (Total)'!BH172</f>
        <v>357.5010768568888</v>
      </c>
      <c r="U45" s="286">
        <f>'Defect (Total)'!BI172</f>
        <v>357.5010768568888</v>
      </c>
      <c r="V45" s="99">
        <f>VLOOKUP(A45,'Distribution Summary'!$A$136:$BJ$146,62,0)</f>
        <v>1339.2666347282993</v>
      </c>
      <c r="W45" s="416">
        <f>'Business Case Split'!Y45</f>
        <v>478789.26411386853</v>
      </c>
      <c r="X45" s="97">
        <f>'Business Case Split'!Z45</f>
        <v>478789.26411386853</v>
      </c>
      <c r="Y45" s="97">
        <f>'Business Case Split'!AA45</f>
        <v>478789.26411386853</v>
      </c>
      <c r="Z45" s="97">
        <f>'Business Case Split'!AB45</f>
        <v>478789.26411386853</v>
      </c>
      <c r="AA45" s="98">
        <f>'Business Case Split'!AC45</f>
        <v>478789.26411386853</v>
      </c>
      <c r="AB45" s="757"/>
      <c r="AD45" s="416">
        <f t="shared" si="6"/>
        <v>539325.3545245257</v>
      </c>
      <c r="AE45" s="97">
        <f t="shared" si="7"/>
        <v>540495.08890202129</v>
      </c>
      <c r="AF45" s="97">
        <f t="shared" si="8"/>
        <v>541662.11850040487</v>
      </c>
      <c r="AG45" s="97">
        <f t="shared" si="9"/>
        <v>543055.65179897868</v>
      </c>
      <c r="AH45" s="98">
        <f t="shared" si="10"/>
        <v>544668.37266964919</v>
      </c>
      <c r="AI45" s="186"/>
      <c r="AJ45" s="777"/>
      <c r="AK45" s="777"/>
      <c r="AL45" s="777"/>
      <c r="AM45" s="777"/>
      <c r="AN45" s="777"/>
      <c r="AO45" s="777"/>
    </row>
    <row r="46" spans="1:41" ht="15.75" hidden="1" thickBot="1" x14ac:dyDescent="0.3">
      <c r="A46" s="81" t="s">
        <v>138</v>
      </c>
      <c r="B46" s="82" t="s">
        <v>636</v>
      </c>
      <c r="C46" s="708" t="s">
        <v>643</v>
      </c>
      <c r="D46" s="708" t="s">
        <v>413</v>
      </c>
      <c r="E46" s="718"/>
      <c r="F46" s="173"/>
      <c r="G46" s="173"/>
      <c r="H46" s="173"/>
      <c r="I46" s="719"/>
      <c r="J46" s="712"/>
      <c r="K46" s="175"/>
      <c r="L46" s="175"/>
      <c r="M46" s="175"/>
      <c r="N46" s="614"/>
      <c r="O46" s="421">
        <f>'Defect (Total)'!BC173</f>
        <v>18.265332994224533</v>
      </c>
      <c r="P46" s="727">
        <f>'Defect (Total)'!BD173</f>
        <v>18.265332994224533</v>
      </c>
      <c r="Q46" s="234">
        <f>'Defect (Total)'!BE173</f>
        <v>19.54412310914616</v>
      </c>
      <c r="R46" s="96">
        <f>'Defect (Total)'!BF173</f>
        <v>19.54412310914616</v>
      </c>
      <c r="S46" s="96">
        <f>'Defect (Total)'!BG173</f>
        <v>19.54412310914616</v>
      </c>
      <c r="T46" s="730">
        <f>'Defect (Total)'!BH173</f>
        <v>19.54412310914616</v>
      </c>
      <c r="U46" s="286">
        <f>'Defect (Total)'!BI173</f>
        <v>19.54412310914616</v>
      </c>
      <c r="V46" s="99">
        <f>VLOOKUP(A46,'Distribution Summary'!$A$136:$BJ$146,62,0)</f>
        <v>28527.37387874335</v>
      </c>
      <c r="W46" s="416">
        <f>'Business Case Split'!Y46</f>
        <v>557542.50706680038</v>
      </c>
      <c r="X46" s="97">
        <f>'Business Case Split'!Z46</f>
        <v>557542.50706680038</v>
      </c>
      <c r="Y46" s="97">
        <f>'Business Case Split'!AA46</f>
        <v>557542.50706680038</v>
      </c>
      <c r="Z46" s="97">
        <f>'Business Case Split'!AB46</f>
        <v>557542.50706680038</v>
      </c>
      <c r="AA46" s="98">
        <f>'Business Case Split'!AC46</f>
        <v>557542.50706680038</v>
      </c>
      <c r="AB46" s="757"/>
      <c r="AD46" s="416">
        <f t="shared" si="6"/>
        <v>628035.82457684656</v>
      </c>
      <c r="AE46" s="97">
        <f t="shared" si="7"/>
        <v>629397.96171381464</v>
      </c>
      <c r="AF46" s="97">
        <f t="shared" si="8"/>
        <v>630756.94917838997</v>
      </c>
      <c r="AG46" s="97">
        <f t="shared" si="9"/>
        <v>632379.69661071978</v>
      </c>
      <c r="AH46" s="98">
        <f t="shared" si="10"/>
        <v>634257.68449563347</v>
      </c>
      <c r="AI46" s="186"/>
      <c r="AJ46" s="777"/>
      <c r="AK46" s="777"/>
      <c r="AL46" s="777"/>
      <c r="AM46" s="777"/>
      <c r="AN46" s="777"/>
      <c r="AO46" s="777"/>
    </row>
    <row r="47" spans="1:41" ht="15.75" hidden="1" thickBot="1" x14ac:dyDescent="0.3">
      <c r="A47" s="81" t="s">
        <v>196</v>
      </c>
      <c r="B47" s="82" t="s">
        <v>636</v>
      </c>
      <c r="C47" s="708" t="s">
        <v>643</v>
      </c>
      <c r="D47" s="708" t="s">
        <v>274</v>
      </c>
      <c r="E47" s="718"/>
      <c r="F47" s="173"/>
      <c r="G47" s="173"/>
      <c r="H47" s="173"/>
      <c r="I47" s="719"/>
      <c r="J47" s="712"/>
      <c r="K47" s="175"/>
      <c r="L47" s="175"/>
      <c r="M47" s="175"/>
      <c r="N47" s="614"/>
      <c r="O47" s="421">
        <f>'Defect (Total)'!BC174</f>
        <v>18.927413904526322</v>
      </c>
      <c r="P47" s="727">
        <f>'Defect (Total)'!BD174</f>
        <v>18.927413904526322</v>
      </c>
      <c r="Q47" s="234">
        <f>'Defect (Total)'!BE174</f>
        <v>20.25255754191808</v>
      </c>
      <c r="R47" s="96">
        <f>'Defect (Total)'!BF174</f>
        <v>20.25255754191808</v>
      </c>
      <c r="S47" s="96">
        <f>'Defect (Total)'!BG174</f>
        <v>20.25255754191808</v>
      </c>
      <c r="T47" s="730">
        <f>'Defect (Total)'!BH174</f>
        <v>20.25255754191808</v>
      </c>
      <c r="U47" s="286">
        <f>'Defect (Total)'!BI174</f>
        <v>20.25255754191808</v>
      </c>
      <c r="V47" s="99">
        <f>VLOOKUP(A47,'Distribution Summary'!$A$136:$BJ$146,62,0)</f>
        <v>9639.239384840419</v>
      </c>
      <c r="W47" s="416">
        <f>'Business Case Split'!Y47</f>
        <v>195219.25030180361</v>
      </c>
      <c r="X47" s="97">
        <f>'Business Case Split'!Z47</f>
        <v>195219.25030180361</v>
      </c>
      <c r="Y47" s="97">
        <f>'Business Case Split'!AA47</f>
        <v>195219.25030180361</v>
      </c>
      <c r="Z47" s="97">
        <f>'Business Case Split'!AB47</f>
        <v>195219.25030180361</v>
      </c>
      <c r="AA47" s="98">
        <f>'Business Case Split'!AC47</f>
        <v>195219.25030180361</v>
      </c>
      <c r="AB47" s="757"/>
      <c r="AD47" s="416">
        <f t="shared" si="6"/>
        <v>219901.94699518671</v>
      </c>
      <c r="AE47" s="97">
        <f t="shared" si="7"/>
        <v>220378.88890959983</v>
      </c>
      <c r="AF47" s="97">
        <f t="shared" si="8"/>
        <v>220854.72799028209</v>
      </c>
      <c r="AG47" s="97">
        <f t="shared" si="9"/>
        <v>221422.92060905698</v>
      </c>
      <c r="AH47" s="98">
        <f t="shared" si="10"/>
        <v>222080.48372276014</v>
      </c>
      <c r="AI47" s="186"/>
      <c r="AJ47" s="777"/>
      <c r="AK47" s="777"/>
      <c r="AL47" s="777"/>
      <c r="AM47" s="777"/>
      <c r="AN47" s="777"/>
      <c r="AO47" s="777"/>
    </row>
    <row r="48" spans="1:41" ht="15.75" hidden="1" thickBot="1" x14ac:dyDescent="0.3">
      <c r="A48" s="81" t="s">
        <v>224</v>
      </c>
      <c r="B48" s="82" t="s">
        <v>636</v>
      </c>
      <c r="C48" s="708" t="s">
        <v>643</v>
      </c>
      <c r="D48" s="708" t="s">
        <v>414</v>
      </c>
      <c r="E48" s="718"/>
      <c r="F48" s="173"/>
      <c r="G48" s="173"/>
      <c r="H48" s="173"/>
      <c r="I48" s="719"/>
      <c r="J48" s="712"/>
      <c r="K48" s="175"/>
      <c r="L48" s="175"/>
      <c r="M48" s="175"/>
      <c r="N48" s="614"/>
      <c r="O48" s="421"/>
      <c r="P48" s="727"/>
      <c r="Q48" s="234"/>
      <c r="R48" s="96"/>
      <c r="S48" s="96"/>
      <c r="T48" s="730"/>
      <c r="U48" s="286"/>
      <c r="V48" s="99">
        <f>VLOOKUP(A48,'Distribution Summary'!$A$136:$BJ$146,62,0)</f>
        <v>0</v>
      </c>
      <c r="W48" s="416">
        <f>'Business Case Split'!Y48</f>
        <v>0</v>
      </c>
      <c r="X48" s="97">
        <f>'Business Case Split'!Z48</f>
        <v>0</v>
      </c>
      <c r="Y48" s="97">
        <f>'Business Case Split'!AA48</f>
        <v>0</v>
      </c>
      <c r="Z48" s="97">
        <f>'Business Case Split'!AB48</f>
        <v>0</v>
      </c>
      <c r="AA48" s="98">
        <f>'Business Case Split'!AC48</f>
        <v>0</v>
      </c>
      <c r="AB48" s="757"/>
      <c r="AD48" s="416">
        <f t="shared" si="6"/>
        <v>0</v>
      </c>
      <c r="AE48" s="97">
        <f t="shared" si="7"/>
        <v>0</v>
      </c>
      <c r="AF48" s="97">
        <f t="shared" si="8"/>
        <v>0</v>
      </c>
      <c r="AG48" s="97">
        <f t="shared" si="9"/>
        <v>0</v>
      </c>
      <c r="AH48" s="98">
        <f t="shared" si="10"/>
        <v>0</v>
      </c>
      <c r="AI48" s="186"/>
      <c r="AJ48" s="777"/>
      <c r="AK48" s="777"/>
      <c r="AL48" s="777"/>
      <c r="AM48" s="777"/>
      <c r="AN48" s="777"/>
      <c r="AO48" s="777"/>
    </row>
    <row r="49" spans="1:41" ht="15.75" hidden="1" thickBot="1" x14ac:dyDescent="0.3">
      <c r="A49" s="81" t="s">
        <v>242</v>
      </c>
      <c r="B49" s="82" t="s">
        <v>636</v>
      </c>
      <c r="C49" s="708" t="s">
        <v>643</v>
      </c>
      <c r="D49" s="708" t="s">
        <v>415</v>
      </c>
      <c r="E49" s="718"/>
      <c r="F49" s="173"/>
      <c r="G49" s="173"/>
      <c r="H49" s="173"/>
      <c r="I49" s="719"/>
      <c r="J49" s="712"/>
      <c r="K49" s="175"/>
      <c r="L49" s="175"/>
      <c r="M49" s="175"/>
      <c r="N49" s="614"/>
      <c r="O49" s="421"/>
      <c r="P49" s="727"/>
      <c r="Q49" s="234"/>
      <c r="R49" s="96"/>
      <c r="S49" s="96"/>
      <c r="T49" s="730"/>
      <c r="U49" s="286"/>
      <c r="V49" s="99">
        <f>VLOOKUP(A49,'Distribution Summary'!$A$136:$BJ$146,62,0)</f>
        <v>0</v>
      </c>
      <c r="W49" s="416">
        <f>'Business Case Split'!Y49</f>
        <v>0</v>
      </c>
      <c r="X49" s="97">
        <f>'Business Case Split'!Z49</f>
        <v>0</v>
      </c>
      <c r="Y49" s="97">
        <f>'Business Case Split'!AA49</f>
        <v>0</v>
      </c>
      <c r="Z49" s="97">
        <f>'Business Case Split'!AB49</f>
        <v>0</v>
      </c>
      <c r="AA49" s="98">
        <f>'Business Case Split'!AC49</f>
        <v>0</v>
      </c>
      <c r="AB49" s="757"/>
      <c r="AD49" s="416">
        <f t="shared" si="6"/>
        <v>0</v>
      </c>
      <c r="AE49" s="97">
        <f t="shared" si="7"/>
        <v>0</v>
      </c>
      <c r="AF49" s="97">
        <f t="shared" si="8"/>
        <v>0</v>
      </c>
      <c r="AG49" s="97">
        <f t="shared" si="9"/>
        <v>0</v>
      </c>
      <c r="AH49" s="98">
        <f t="shared" si="10"/>
        <v>0</v>
      </c>
      <c r="AI49" s="186"/>
      <c r="AJ49" s="777"/>
      <c r="AK49" s="777"/>
      <c r="AL49" s="777"/>
      <c r="AM49" s="777"/>
      <c r="AN49" s="777"/>
      <c r="AO49" s="777"/>
    </row>
    <row r="50" spans="1:41" ht="15.75" hidden="1" thickBot="1" x14ac:dyDescent="0.3">
      <c r="A50" s="100" t="s">
        <v>258</v>
      </c>
      <c r="B50" s="101" t="s">
        <v>636</v>
      </c>
      <c r="C50" s="709" t="s">
        <v>643</v>
      </c>
      <c r="D50" s="709" t="s">
        <v>64</v>
      </c>
      <c r="E50" s="720"/>
      <c r="F50" s="178"/>
      <c r="G50" s="178"/>
      <c r="H50" s="178"/>
      <c r="I50" s="721"/>
      <c r="J50" s="713"/>
      <c r="K50" s="180"/>
      <c r="L50" s="180"/>
      <c r="M50" s="180"/>
      <c r="N50" s="615"/>
      <c r="O50" s="422"/>
      <c r="P50" s="728"/>
      <c r="Q50" s="235"/>
      <c r="R50" s="115"/>
      <c r="S50" s="115"/>
      <c r="T50" s="731"/>
      <c r="U50" s="287"/>
      <c r="V50" s="116">
        <f>VLOOKUP(A50,'Distribution Summary'!$A$136:$BJ$146,62,0)</f>
        <v>30000</v>
      </c>
      <c r="W50" s="467">
        <f>'Business Case Split'!Y50</f>
        <v>0</v>
      </c>
      <c r="X50" s="117">
        <f>'Business Case Split'!Z50</f>
        <v>0</v>
      </c>
      <c r="Y50" s="117">
        <f>'Business Case Split'!AA50</f>
        <v>0</v>
      </c>
      <c r="Z50" s="117">
        <f>'Business Case Split'!AB50</f>
        <v>0</v>
      </c>
      <c r="AA50" s="118">
        <f>'Business Case Split'!AC50</f>
        <v>0</v>
      </c>
      <c r="AB50" s="758"/>
      <c r="AD50" s="467">
        <f t="shared" si="6"/>
        <v>0</v>
      </c>
      <c r="AE50" s="117">
        <f t="shared" si="7"/>
        <v>0</v>
      </c>
      <c r="AF50" s="117">
        <f t="shared" si="8"/>
        <v>0</v>
      </c>
      <c r="AG50" s="117">
        <f t="shared" si="9"/>
        <v>0</v>
      </c>
      <c r="AH50" s="118">
        <f t="shared" si="10"/>
        <v>0</v>
      </c>
      <c r="AI50" s="186"/>
      <c r="AJ50" s="777"/>
      <c r="AK50" s="777"/>
      <c r="AL50" s="777"/>
      <c r="AM50" s="777"/>
      <c r="AN50" s="777"/>
      <c r="AO50" s="777"/>
    </row>
    <row r="51" spans="1:41" ht="15.75" hidden="1" thickBot="1" x14ac:dyDescent="0.3">
      <c r="A51" s="63" t="s">
        <v>296</v>
      </c>
      <c r="B51" s="64" t="s">
        <v>636</v>
      </c>
      <c r="C51" s="707" t="s">
        <v>644</v>
      </c>
      <c r="D51" s="707" t="s">
        <v>409</v>
      </c>
      <c r="E51" s="716"/>
      <c r="F51" s="168"/>
      <c r="G51" s="168"/>
      <c r="H51" s="168"/>
      <c r="I51" s="717"/>
      <c r="J51" s="711"/>
      <c r="K51" s="170"/>
      <c r="L51" s="170"/>
      <c r="M51" s="170"/>
      <c r="N51" s="613"/>
      <c r="O51" s="420">
        <f>Reconductor!CF136</f>
        <v>0</v>
      </c>
      <c r="P51" s="726">
        <f>Reconductor!CG136</f>
        <v>0</v>
      </c>
      <c r="Q51" s="241">
        <f>Reconductor!CH136</f>
        <v>0</v>
      </c>
      <c r="R51" s="144">
        <f>Reconductor!CI136</f>
        <v>0</v>
      </c>
      <c r="S51" s="144">
        <f>Reconductor!CJ136</f>
        <v>0</v>
      </c>
      <c r="T51" s="729">
        <f>Reconductor!CK136</f>
        <v>0</v>
      </c>
      <c r="U51" s="293">
        <f>Reconductor!CL136</f>
        <v>0</v>
      </c>
      <c r="V51" s="124">
        <f>VLOOKUP(A51,'Distribution Summary'!$A$136:$BJ$146,62,0)</f>
        <v>1800</v>
      </c>
      <c r="W51" s="415">
        <f>'Business Case Split'!Y51</f>
        <v>0</v>
      </c>
      <c r="X51" s="79">
        <f>'Business Case Split'!Z51</f>
        <v>0</v>
      </c>
      <c r="Y51" s="79">
        <f>'Business Case Split'!AA51</f>
        <v>0</v>
      </c>
      <c r="Z51" s="79">
        <f>'Business Case Split'!AB51</f>
        <v>0</v>
      </c>
      <c r="AA51" s="80">
        <f>'Business Case Split'!AC51</f>
        <v>0</v>
      </c>
      <c r="AB51" s="756"/>
      <c r="AD51" s="415">
        <f t="shared" si="6"/>
        <v>0</v>
      </c>
      <c r="AE51" s="79">
        <f t="shared" si="7"/>
        <v>0</v>
      </c>
      <c r="AF51" s="79">
        <f t="shared" si="8"/>
        <v>0</v>
      </c>
      <c r="AG51" s="79">
        <f t="shared" si="9"/>
        <v>0</v>
      </c>
      <c r="AH51" s="80">
        <f t="shared" si="10"/>
        <v>0</v>
      </c>
      <c r="AI51" s="186"/>
      <c r="AJ51" s="777"/>
      <c r="AK51" s="777"/>
      <c r="AL51" s="777"/>
      <c r="AM51" s="777"/>
      <c r="AN51" s="777"/>
      <c r="AO51" s="777"/>
    </row>
    <row r="52" spans="1:41" ht="15.75" hidden="1" thickBot="1" x14ac:dyDescent="0.3">
      <c r="A52" s="81" t="s">
        <v>27</v>
      </c>
      <c r="B52" s="82" t="s">
        <v>636</v>
      </c>
      <c r="C52" s="708" t="s">
        <v>644</v>
      </c>
      <c r="D52" s="708" t="s">
        <v>410</v>
      </c>
      <c r="E52" s="718">
        <v>2754565.1404657611</v>
      </c>
      <c r="F52" s="173">
        <v>4939061.8193981051</v>
      </c>
      <c r="G52" s="173">
        <v>8525710.1055341866</v>
      </c>
      <c r="H52" s="173">
        <v>19093147.770139851</v>
      </c>
      <c r="I52" s="719">
        <v>18847441.448918767</v>
      </c>
      <c r="J52" s="712">
        <v>423</v>
      </c>
      <c r="K52" s="175">
        <v>744</v>
      </c>
      <c r="L52" s="175">
        <v>1279</v>
      </c>
      <c r="M52" s="175">
        <v>2835</v>
      </c>
      <c r="N52" s="614">
        <v>2358</v>
      </c>
      <c r="O52" s="421">
        <f>Reconductor!CF137</f>
        <v>1677.0007727825152</v>
      </c>
      <c r="P52" s="727">
        <f>Reconductor!CG137</f>
        <v>1677.0007727825152</v>
      </c>
      <c r="Q52" s="234">
        <f>Reconductor!CH137</f>
        <v>2198.5614487010266</v>
      </c>
      <c r="R52" s="96">
        <f>Reconductor!CI137</f>
        <v>2307.3098839300096</v>
      </c>
      <c r="S52" s="96">
        <f>Reconductor!CJ137</f>
        <v>2379.8088407493301</v>
      </c>
      <c r="T52" s="730">
        <f>Reconductor!CK137</f>
        <v>2452.3077975686524</v>
      </c>
      <c r="U52" s="286">
        <f>Reconductor!CL137</f>
        <v>2488.5572759783131</v>
      </c>
      <c r="V52" s="99">
        <f>VLOOKUP(A52,'Distribution Summary'!$A$136:$BJ$146,62,0)</f>
        <v>6236.1822982950935</v>
      </c>
      <c r="W52" s="416">
        <f>'Business Case Split'!Y52</f>
        <v>13710629.988103358</v>
      </c>
      <c r="X52" s="97">
        <f>'Business Case Split'!Z52</f>
        <v>14388805.054845633</v>
      </c>
      <c r="Y52" s="97">
        <f>'Business Case Split'!AA52</f>
        <v>14840921.76600714</v>
      </c>
      <c r="Z52" s="97">
        <f>'Business Case Split'!AB52</f>
        <v>15293038.477168657</v>
      </c>
      <c r="AA52" s="98">
        <f>'Business Case Split'!AC52</f>
        <v>15519096.832749413</v>
      </c>
      <c r="AB52" s="757"/>
      <c r="AD52" s="416">
        <f t="shared" si="6"/>
        <v>15444144.080327239</v>
      </c>
      <c r="AE52" s="97">
        <f t="shared" si="7"/>
        <v>16243218.155081797</v>
      </c>
      <c r="AF52" s="97">
        <f t="shared" si="8"/>
        <v>16789777.312889729</v>
      </c>
      <c r="AG52" s="97">
        <f t="shared" si="9"/>
        <v>17345775.272501823</v>
      </c>
      <c r="AH52" s="98">
        <f t="shared" si="10"/>
        <v>17654450.194994438</v>
      </c>
      <c r="AI52" s="186"/>
      <c r="AJ52" s="777"/>
      <c r="AK52" s="777"/>
      <c r="AL52" s="777"/>
      <c r="AM52" s="777"/>
      <c r="AN52" s="777"/>
      <c r="AO52" s="777"/>
    </row>
    <row r="53" spans="1:41" ht="15.75" hidden="1" thickBot="1" x14ac:dyDescent="0.3">
      <c r="A53" s="81" t="s">
        <v>68</v>
      </c>
      <c r="B53" s="82" t="s">
        <v>636</v>
      </c>
      <c r="C53" s="708" t="s">
        <v>644</v>
      </c>
      <c r="D53" s="708" t="s">
        <v>411</v>
      </c>
      <c r="E53" s="718">
        <v>1312259.5821068084</v>
      </c>
      <c r="F53" s="173">
        <v>3855364.4728336898</v>
      </c>
      <c r="G53" s="173">
        <v>6213375.0125917224</v>
      </c>
      <c r="H53" s="173">
        <v>8500664.1868386604</v>
      </c>
      <c r="I53" s="719">
        <v>12087358.979426103</v>
      </c>
      <c r="J53" s="712">
        <v>1033</v>
      </c>
      <c r="K53" s="175">
        <v>1645</v>
      </c>
      <c r="L53" s="175">
        <v>3197</v>
      </c>
      <c r="M53" s="175">
        <v>5373</v>
      </c>
      <c r="N53" s="614">
        <v>4431</v>
      </c>
      <c r="O53" s="421">
        <f>Reconductor!CF138</f>
        <v>3368.7711753624044</v>
      </c>
      <c r="P53" s="727">
        <f>Reconductor!CG138</f>
        <v>3368.7711753624044</v>
      </c>
      <c r="Q53" s="234">
        <f>Reconductor!CH138</f>
        <v>4416.4860003958684</v>
      </c>
      <c r="R53" s="96">
        <f>Reconductor!CI138</f>
        <v>4634.9406367388829</v>
      </c>
      <c r="S53" s="96">
        <f>Reconductor!CJ138</f>
        <v>4780.5770609675601</v>
      </c>
      <c r="T53" s="730">
        <f>Reconductor!CK138</f>
        <v>4926.2134851962373</v>
      </c>
      <c r="U53" s="286">
        <f>Reconductor!CL138</f>
        <v>4999.0316973105764</v>
      </c>
      <c r="V53" s="99">
        <f>VLOOKUP(A53,'Distribution Summary'!$A$136:$BJ$146,62,0)</f>
        <v>2810.5410327755412</v>
      </c>
      <c r="W53" s="416">
        <f>'Business Case Split'!Y53</f>
        <v>12412715.124791324</v>
      </c>
      <c r="X53" s="97">
        <f>'Business Case Split'!Z53</f>
        <v>13026690.844033424</v>
      </c>
      <c r="Y53" s="97">
        <f>'Business Case Split'!AA53</f>
        <v>13436007.990194827</v>
      </c>
      <c r="Z53" s="97">
        <f>'Business Case Split'!AB53</f>
        <v>13845325.136356231</v>
      </c>
      <c r="AA53" s="98">
        <f>'Business Case Split'!AC53</f>
        <v>14049983.709436934</v>
      </c>
      <c r="AB53" s="757"/>
      <c r="AD53" s="416">
        <f t="shared" si="6"/>
        <v>13982126.348801963</v>
      </c>
      <c r="AE53" s="97">
        <f t="shared" si="7"/>
        <v>14705556.188433021</v>
      </c>
      <c r="AF53" s="97">
        <f t="shared" si="8"/>
        <v>15200375.400285613</v>
      </c>
      <c r="AG53" s="97">
        <f t="shared" si="9"/>
        <v>15703739.891094455</v>
      </c>
      <c r="AH53" s="98">
        <f t="shared" si="10"/>
        <v>15983194.145376896</v>
      </c>
      <c r="AI53" s="186"/>
      <c r="AJ53" s="777"/>
      <c r="AK53" s="777"/>
      <c r="AL53" s="777"/>
      <c r="AM53" s="777"/>
      <c r="AN53" s="777"/>
      <c r="AO53" s="777"/>
    </row>
    <row r="54" spans="1:41" ht="15.75" hidden="1" thickBot="1" x14ac:dyDescent="0.3">
      <c r="A54" s="81" t="s">
        <v>81</v>
      </c>
      <c r="B54" s="82" t="s">
        <v>636</v>
      </c>
      <c r="C54" s="708" t="s">
        <v>644</v>
      </c>
      <c r="D54" s="708" t="s">
        <v>270</v>
      </c>
      <c r="E54" s="718">
        <v>2877285.0023317002</v>
      </c>
      <c r="F54" s="173">
        <v>5544241.2713794392</v>
      </c>
      <c r="G54" s="173">
        <v>9725373.6725765001</v>
      </c>
      <c r="H54" s="173">
        <v>18019382.211133584</v>
      </c>
      <c r="I54" s="719">
        <v>35101298.313690238</v>
      </c>
      <c r="J54" s="725">
        <v>109.91578857600003</v>
      </c>
      <c r="K54" s="631">
        <v>148.91150000100001</v>
      </c>
      <c r="L54" s="631">
        <v>303.47983333333298</v>
      </c>
      <c r="M54" s="631">
        <v>550.8228257830001</v>
      </c>
      <c r="N54" s="671">
        <v>439.67782668599995</v>
      </c>
      <c r="O54" s="421">
        <f>Reconductor!CF139</f>
        <v>462.6275594452668</v>
      </c>
      <c r="P54" s="727">
        <f>Reconductor!CG139</f>
        <v>462.6275594452668</v>
      </c>
      <c r="Q54" s="234">
        <f>Reconductor!CH139</f>
        <v>606.50843685384075</v>
      </c>
      <c r="R54" s="96">
        <f>Reconductor!CI139</f>
        <v>636.50843685384098</v>
      </c>
      <c r="S54" s="96">
        <f>Reconductor!CJ139</f>
        <v>656.50843685384086</v>
      </c>
      <c r="T54" s="730">
        <f>Reconductor!CK139</f>
        <v>676.50843685384109</v>
      </c>
      <c r="U54" s="286">
        <f>Reconductor!CL139</f>
        <v>686.50843685384109</v>
      </c>
      <c r="V54" s="99">
        <f>VLOOKUP(A54,'Distribution Summary'!$A$136:$BJ$146,62,0)</f>
        <v>56912.19365276918</v>
      </c>
      <c r="W54" s="416">
        <f>'Business Case Split'!Y54</f>
        <v>34517725.610264115</v>
      </c>
      <c r="X54" s="97">
        <f>'Business Case Split'!Z54</f>
        <v>36225091.419847198</v>
      </c>
      <c r="Y54" s="97">
        <f>'Business Case Split'!AA54</f>
        <v>37363335.292902581</v>
      </c>
      <c r="Z54" s="97">
        <f>'Business Case Split'!AB54</f>
        <v>38501579.165957972</v>
      </c>
      <c r="AA54" s="98">
        <f>'Business Case Split'!AC54</f>
        <v>39070701.102485664</v>
      </c>
      <c r="AB54" s="757"/>
      <c r="AD54" s="416">
        <f t="shared" si="6"/>
        <v>38882000.908250436</v>
      </c>
      <c r="AE54" s="97">
        <f t="shared" si="7"/>
        <v>40893740.68086382</v>
      </c>
      <c r="AF54" s="97">
        <f t="shared" si="8"/>
        <v>42269751.779942513</v>
      </c>
      <c r="AG54" s="97">
        <f t="shared" si="9"/>
        <v>43669525.898740076</v>
      </c>
      <c r="AH54" s="98">
        <f t="shared" si="10"/>
        <v>44446642.361412808</v>
      </c>
      <c r="AI54" s="186"/>
      <c r="AJ54" s="777"/>
      <c r="AK54" s="777"/>
      <c r="AL54" s="777"/>
      <c r="AM54" s="777"/>
      <c r="AN54" s="777"/>
      <c r="AO54" s="777"/>
    </row>
    <row r="55" spans="1:41" ht="15.75" hidden="1" thickBot="1" x14ac:dyDescent="0.3">
      <c r="A55" s="81" t="s">
        <v>94</v>
      </c>
      <c r="B55" s="82" t="s">
        <v>636</v>
      </c>
      <c r="C55" s="708" t="s">
        <v>644</v>
      </c>
      <c r="D55" s="708" t="s">
        <v>412</v>
      </c>
      <c r="E55" s="718"/>
      <c r="F55" s="173"/>
      <c r="G55" s="173"/>
      <c r="H55" s="173"/>
      <c r="I55" s="719"/>
      <c r="J55" s="712"/>
      <c r="K55" s="175"/>
      <c r="L55" s="175"/>
      <c r="M55" s="175"/>
      <c r="N55" s="614"/>
      <c r="O55" s="421">
        <f>Reconductor!CF140</f>
        <v>0</v>
      </c>
      <c r="P55" s="727">
        <f>Reconductor!CG140</f>
        <v>0</v>
      </c>
      <c r="Q55" s="234">
        <f>Reconductor!CH140</f>
        <v>0</v>
      </c>
      <c r="R55" s="96">
        <f>Reconductor!CI140</f>
        <v>0</v>
      </c>
      <c r="S55" s="96">
        <f>Reconductor!CJ140</f>
        <v>0</v>
      </c>
      <c r="T55" s="730">
        <f>Reconductor!CK140</f>
        <v>0</v>
      </c>
      <c r="U55" s="286">
        <f>Reconductor!CL140</f>
        <v>0</v>
      </c>
      <c r="V55" s="99">
        <f>VLOOKUP(A55,'Distribution Summary'!$A$136:$BJ$146,62,0)</f>
        <v>322727.75622787437</v>
      </c>
      <c r="W55" s="416">
        <f>'Business Case Split'!Y55</f>
        <v>0</v>
      </c>
      <c r="X55" s="97">
        <f>'Business Case Split'!Z55</f>
        <v>0</v>
      </c>
      <c r="Y55" s="97">
        <f>'Business Case Split'!AA55</f>
        <v>0</v>
      </c>
      <c r="Z55" s="97">
        <f>'Business Case Split'!AB55</f>
        <v>0</v>
      </c>
      <c r="AA55" s="98">
        <f>'Business Case Split'!AC55</f>
        <v>0</v>
      </c>
      <c r="AB55" s="757"/>
      <c r="AD55" s="416">
        <f t="shared" si="6"/>
        <v>0</v>
      </c>
      <c r="AE55" s="97">
        <f t="shared" si="7"/>
        <v>0</v>
      </c>
      <c r="AF55" s="97">
        <f t="shared" si="8"/>
        <v>0</v>
      </c>
      <c r="AG55" s="97">
        <f t="shared" si="9"/>
        <v>0</v>
      </c>
      <c r="AH55" s="98">
        <f t="shared" si="10"/>
        <v>0</v>
      </c>
      <c r="AI55" s="186"/>
      <c r="AJ55" s="777"/>
      <c r="AK55" s="777"/>
      <c r="AL55" s="777"/>
      <c r="AM55" s="777"/>
      <c r="AN55" s="777"/>
      <c r="AO55" s="777"/>
    </row>
    <row r="56" spans="1:41" ht="15.75" hidden="1" thickBot="1" x14ac:dyDescent="0.3">
      <c r="A56" s="81" t="s">
        <v>106</v>
      </c>
      <c r="B56" s="82" t="s">
        <v>636</v>
      </c>
      <c r="C56" s="708" t="s">
        <v>644</v>
      </c>
      <c r="D56" s="708" t="s">
        <v>272</v>
      </c>
      <c r="E56" s="718">
        <v>614604.50143314467</v>
      </c>
      <c r="F56" s="173">
        <v>1319405.4364133342</v>
      </c>
      <c r="G56" s="173">
        <v>2477749.4995301845</v>
      </c>
      <c r="H56" s="173">
        <v>5272426.0888522612</v>
      </c>
      <c r="I56" s="719">
        <v>2505267.9156525051</v>
      </c>
      <c r="J56" s="712">
        <v>387.5999917530001</v>
      </c>
      <c r="K56" s="175">
        <v>884.70788420800045</v>
      </c>
      <c r="L56" s="175">
        <v>2011.6187955999999</v>
      </c>
      <c r="M56" s="175">
        <v>3151.4253835440022</v>
      </c>
      <c r="N56" s="614">
        <v>1847.7178486060016</v>
      </c>
      <c r="O56" s="421">
        <f>Reconductor!CF141</f>
        <v>1816.6028025851467</v>
      </c>
      <c r="P56" s="727">
        <f>Reconductor!CG141</f>
        <v>1816.6028025851467</v>
      </c>
      <c r="Q56" s="234">
        <f>Reconductor!CH141</f>
        <v>2381.5808282182015</v>
      </c>
      <c r="R56" s="96">
        <f>Reconductor!CI141</f>
        <v>2499.3820334531492</v>
      </c>
      <c r="S56" s="96">
        <f>Reconductor!CJ141</f>
        <v>2577.9161702764463</v>
      </c>
      <c r="T56" s="730">
        <f>Reconductor!CK141</f>
        <v>2656.4503070997448</v>
      </c>
      <c r="U56" s="286">
        <f>Reconductor!CL141</f>
        <v>2695.7173755113936</v>
      </c>
      <c r="V56" s="99">
        <f>VLOOKUP(A56,'Distribution Summary'!$A$136:$BJ$146,62,0)</f>
        <v>1339.2666347282993</v>
      </c>
      <c r="W56" s="416">
        <f>'Business Case Split'!Y56</f>
        <v>3189571.7411412266</v>
      </c>
      <c r="X56" s="97">
        <f>'Business Case Split'!Z56</f>
        <v>3347338.964843173</v>
      </c>
      <c r="Y56" s="97">
        <f>'Business Case Split'!AA56</f>
        <v>3452517.1139778015</v>
      </c>
      <c r="Z56" s="97">
        <f>'Business Case Split'!AB56</f>
        <v>3557695.2631124323</v>
      </c>
      <c r="AA56" s="98">
        <f>'Business Case Split'!AC56</f>
        <v>3610284.337679747</v>
      </c>
      <c r="AB56" s="757"/>
      <c r="AD56" s="416">
        <f t="shared" si="6"/>
        <v>3592847.7077616523</v>
      </c>
      <c r="AE56" s="97">
        <f t="shared" si="7"/>
        <v>3778740.2663185676</v>
      </c>
      <c r="AF56" s="97">
        <f t="shared" si="8"/>
        <v>3905889.0294402302</v>
      </c>
      <c r="AG56" s="97">
        <f t="shared" si="9"/>
        <v>4035233.5877610128</v>
      </c>
      <c r="AH56" s="98">
        <f t="shared" si="10"/>
        <v>4107042.16335788</v>
      </c>
      <c r="AI56" s="186"/>
      <c r="AJ56" s="777"/>
      <c r="AK56" s="777"/>
      <c r="AL56" s="777"/>
      <c r="AM56" s="777"/>
      <c r="AN56" s="777"/>
      <c r="AO56" s="777"/>
    </row>
    <row r="57" spans="1:41" ht="15.75" hidden="1" thickBot="1" x14ac:dyDescent="0.3">
      <c r="A57" s="81" t="s">
        <v>138</v>
      </c>
      <c r="B57" s="82" t="s">
        <v>636</v>
      </c>
      <c r="C57" s="708" t="s">
        <v>644</v>
      </c>
      <c r="D57" s="708" t="s">
        <v>413</v>
      </c>
      <c r="E57" s="718">
        <v>1056926.825205371</v>
      </c>
      <c r="F57" s="173">
        <v>3354413.9576859195</v>
      </c>
      <c r="G57" s="173">
        <v>5302159.3140927255</v>
      </c>
      <c r="H57" s="173">
        <v>6005694.5820932332</v>
      </c>
      <c r="I57" s="719">
        <v>8146804.7323812265</v>
      </c>
      <c r="J57" s="712">
        <v>38</v>
      </c>
      <c r="K57" s="175">
        <v>127</v>
      </c>
      <c r="L57" s="175">
        <v>202</v>
      </c>
      <c r="M57" s="175">
        <v>249</v>
      </c>
      <c r="N57" s="614">
        <v>220</v>
      </c>
      <c r="O57" s="421">
        <f>Reconductor!CF142</f>
        <v>97.450415454527956</v>
      </c>
      <c r="P57" s="727">
        <f>Reconductor!CG142</f>
        <v>97.450415454527956</v>
      </c>
      <c r="Q57" s="234">
        <f>Reconductor!CH142</f>
        <v>127.44726739015239</v>
      </c>
      <c r="R57" s="96">
        <f>Reconductor!CI142</f>
        <v>133.70178553236047</v>
      </c>
      <c r="S57" s="96">
        <f>Reconductor!CJ142</f>
        <v>137.87146429383245</v>
      </c>
      <c r="T57" s="730">
        <f>Reconductor!CK142</f>
        <v>142.0411430553045</v>
      </c>
      <c r="U57" s="286">
        <f>Reconductor!CL142</f>
        <v>144.12598243604052</v>
      </c>
      <c r="V57" s="99">
        <f>VLOOKUP(A57,'Distribution Summary'!$A$136:$BJ$146,62,0)</f>
        <v>28527.37387874335</v>
      </c>
      <c r="W57" s="416">
        <f>'Business Case Split'!Y57</f>
        <v>3635735.8466630527</v>
      </c>
      <c r="X57" s="97">
        <f>'Business Case Split'!Z57</f>
        <v>3814160.8241372057</v>
      </c>
      <c r="Y57" s="97">
        <f>'Business Case Split'!AA57</f>
        <v>3933110.8091199724</v>
      </c>
      <c r="Z57" s="97">
        <f>'Business Case Split'!AB57</f>
        <v>4052060.7941027409</v>
      </c>
      <c r="AA57" s="98">
        <f>'Business Case Split'!AC57</f>
        <v>4111535.786594125</v>
      </c>
      <c r="AB57" s="757"/>
      <c r="AD57" s="416">
        <f t="shared" si="6"/>
        <v>4095422.9165688599</v>
      </c>
      <c r="AE57" s="97">
        <f t="shared" si="7"/>
        <v>4305725.6046542414</v>
      </c>
      <c r="AF57" s="97">
        <f t="shared" si="8"/>
        <v>4449592.5302495873</v>
      </c>
      <c r="AG57" s="97">
        <f t="shared" si="9"/>
        <v>4595956.2600952899</v>
      </c>
      <c r="AH57" s="98">
        <f t="shared" si="10"/>
        <v>4677263.4098258624</v>
      </c>
      <c r="AI57" s="186"/>
      <c r="AJ57" s="777"/>
      <c r="AK57" s="777"/>
      <c r="AL57" s="777"/>
      <c r="AM57" s="777"/>
      <c r="AN57" s="777"/>
      <c r="AO57" s="777"/>
    </row>
    <row r="58" spans="1:41" ht="15.75" hidden="1" thickBot="1" x14ac:dyDescent="0.3">
      <c r="A58" s="81" t="s">
        <v>196</v>
      </c>
      <c r="B58" s="82" t="s">
        <v>636</v>
      </c>
      <c r="C58" s="708" t="s">
        <v>644</v>
      </c>
      <c r="D58" s="708" t="s">
        <v>274</v>
      </c>
      <c r="E58" s="718">
        <v>451931.56591411796</v>
      </c>
      <c r="F58" s="173">
        <v>1983053.0656935081</v>
      </c>
      <c r="G58" s="173">
        <v>3378342.4673129283</v>
      </c>
      <c r="H58" s="173">
        <v>5183693.5158729646</v>
      </c>
      <c r="I58" s="719">
        <v>4239628.7926968616</v>
      </c>
      <c r="J58" s="712">
        <v>93</v>
      </c>
      <c r="K58" s="175">
        <v>87</v>
      </c>
      <c r="L58" s="175">
        <v>157</v>
      </c>
      <c r="M58" s="175">
        <v>314</v>
      </c>
      <c r="N58" s="614">
        <v>244</v>
      </c>
      <c r="O58" s="421">
        <f>SUM(Reconductor!CF97:CF109)</f>
        <v>102.77503286138227</v>
      </c>
      <c r="P58" s="727">
        <f>SUM(Reconductor!CG97:CG109)</f>
        <v>102.77503286138227</v>
      </c>
      <c r="Q58" s="234">
        <f>SUM(Reconductor!CH97:CH109)</f>
        <v>134.73889148130993</v>
      </c>
      <c r="R58" s="96">
        <f>SUM(Reconductor!CI97:CI109)</f>
        <v>141.403541960712</v>
      </c>
      <c r="S58" s="96">
        <f>SUM(Reconductor!CJ97:CJ109)</f>
        <v>145.84664228031329</v>
      </c>
      <c r="T58" s="730">
        <f>SUM(Reconductor!CK97:CK109)</f>
        <v>150.28974259991463</v>
      </c>
      <c r="U58" s="286">
        <f>SUM(Reconductor!CL97:CL109)</f>
        <v>152.51129275971533</v>
      </c>
      <c r="V58" s="99">
        <f>VLOOKUP(A58,'Distribution Summary'!$A$136:$BJ$146,62,0)</f>
        <v>9639.239384840419</v>
      </c>
      <c r="W58" s="416">
        <f>'Business Case Split'!Y58</f>
        <v>1298780.4294363819</v>
      </c>
      <c r="X58" s="97">
        <f>'Business Case Split'!Z58</f>
        <v>1363022.5908236299</v>
      </c>
      <c r="Y58" s="97">
        <f>'Business Case Split'!AA58</f>
        <v>1405850.6984151278</v>
      </c>
      <c r="Z58" s="97">
        <f>'Business Case Split'!AB58</f>
        <v>1448678.806006626</v>
      </c>
      <c r="AA58" s="98">
        <f>'Business Case Split'!AC58</f>
        <v>1470092.8598023755</v>
      </c>
      <c r="AB58" s="757"/>
      <c r="AD58" s="416">
        <f t="shared" si="6"/>
        <v>1462992.7361710926</v>
      </c>
      <c r="AE58" s="97">
        <f t="shared" si="7"/>
        <v>1538687.4176599605</v>
      </c>
      <c r="AF58" s="97">
        <f t="shared" si="8"/>
        <v>1590461.8684551548</v>
      </c>
      <c r="AG58" s="97">
        <f t="shared" si="9"/>
        <v>1643130.4379794816</v>
      </c>
      <c r="AH58" s="98">
        <f t="shared" si="10"/>
        <v>1672370.5931539021</v>
      </c>
      <c r="AI58" s="186"/>
      <c r="AJ58" s="777"/>
      <c r="AK58" s="777"/>
      <c r="AL58" s="777"/>
      <c r="AM58" s="777"/>
      <c r="AN58" s="777"/>
      <c r="AO58" s="777"/>
    </row>
    <row r="59" spans="1:41" ht="15.75" hidden="1" thickBot="1" x14ac:dyDescent="0.3">
      <c r="A59" s="81" t="s">
        <v>224</v>
      </c>
      <c r="B59" s="82" t="s">
        <v>636</v>
      </c>
      <c r="C59" s="708" t="s">
        <v>644</v>
      </c>
      <c r="D59" s="708" t="s">
        <v>414</v>
      </c>
      <c r="E59" s="718"/>
      <c r="F59" s="173"/>
      <c r="G59" s="173"/>
      <c r="H59" s="173"/>
      <c r="I59" s="719"/>
      <c r="J59" s="712"/>
      <c r="K59" s="175"/>
      <c r="L59" s="175"/>
      <c r="M59" s="175"/>
      <c r="N59" s="614"/>
      <c r="O59" s="421"/>
      <c r="P59" s="727"/>
      <c r="Q59" s="234"/>
      <c r="R59" s="96"/>
      <c r="S59" s="96"/>
      <c r="T59" s="730"/>
      <c r="U59" s="286"/>
      <c r="V59" s="99">
        <f>VLOOKUP(A59,'Distribution Summary'!$A$136:$BJ$146,62,0)</f>
        <v>0</v>
      </c>
      <c r="W59" s="416">
        <f>'Business Case Split'!Y59</f>
        <v>0</v>
      </c>
      <c r="X59" s="97">
        <f>'Business Case Split'!Z59</f>
        <v>0</v>
      </c>
      <c r="Y59" s="97">
        <f>'Business Case Split'!AA59</f>
        <v>0</v>
      </c>
      <c r="Z59" s="97">
        <f>'Business Case Split'!AB59</f>
        <v>0</v>
      </c>
      <c r="AA59" s="98">
        <f>'Business Case Split'!AC59</f>
        <v>0</v>
      </c>
      <c r="AB59" s="757"/>
      <c r="AD59" s="416">
        <f t="shared" si="6"/>
        <v>0</v>
      </c>
      <c r="AE59" s="97">
        <f t="shared" si="7"/>
        <v>0</v>
      </c>
      <c r="AF59" s="97">
        <f t="shared" si="8"/>
        <v>0</v>
      </c>
      <c r="AG59" s="97">
        <f t="shared" si="9"/>
        <v>0</v>
      </c>
      <c r="AH59" s="98">
        <f t="shared" si="10"/>
        <v>0</v>
      </c>
      <c r="AI59" s="186"/>
      <c r="AJ59" s="777"/>
      <c r="AK59" s="777"/>
      <c r="AL59" s="777"/>
      <c r="AM59" s="777"/>
      <c r="AN59" s="777"/>
      <c r="AO59" s="777"/>
    </row>
    <row r="60" spans="1:41" ht="15.75" hidden="1" thickBot="1" x14ac:dyDescent="0.3">
      <c r="A60" s="81" t="s">
        <v>242</v>
      </c>
      <c r="B60" s="82" t="s">
        <v>636</v>
      </c>
      <c r="C60" s="708" t="s">
        <v>644</v>
      </c>
      <c r="D60" s="708" t="s">
        <v>415</v>
      </c>
      <c r="E60" s="718"/>
      <c r="F60" s="173"/>
      <c r="G60" s="173"/>
      <c r="H60" s="173"/>
      <c r="I60" s="719"/>
      <c r="J60" s="712"/>
      <c r="K60" s="175"/>
      <c r="L60" s="175"/>
      <c r="M60" s="175"/>
      <c r="N60" s="614"/>
      <c r="O60" s="421"/>
      <c r="P60" s="727"/>
      <c r="Q60" s="234"/>
      <c r="R60" s="96"/>
      <c r="S60" s="96"/>
      <c r="T60" s="730"/>
      <c r="U60" s="286"/>
      <c r="V60" s="99">
        <f>VLOOKUP(A60,'Distribution Summary'!$A$136:$BJ$146,62,0)</f>
        <v>0</v>
      </c>
      <c r="W60" s="416">
        <f>'Business Case Split'!Y60</f>
        <v>0</v>
      </c>
      <c r="X60" s="97">
        <f>'Business Case Split'!Z60</f>
        <v>0</v>
      </c>
      <c r="Y60" s="97">
        <f>'Business Case Split'!AA60</f>
        <v>0</v>
      </c>
      <c r="Z60" s="97">
        <f>'Business Case Split'!AB60</f>
        <v>0</v>
      </c>
      <c r="AA60" s="98">
        <f>'Business Case Split'!AC60</f>
        <v>0</v>
      </c>
      <c r="AB60" s="757"/>
      <c r="AD60" s="416">
        <f t="shared" si="6"/>
        <v>0</v>
      </c>
      <c r="AE60" s="97">
        <f t="shared" si="7"/>
        <v>0</v>
      </c>
      <c r="AF60" s="97">
        <f t="shared" si="8"/>
        <v>0</v>
      </c>
      <c r="AG60" s="97">
        <f t="shared" si="9"/>
        <v>0</v>
      </c>
      <c r="AH60" s="98">
        <f t="shared" si="10"/>
        <v>0</v>
      </c>
      <c r="AI60" s="186"/>
      <c r="AJ60" s="777"/>
      <c r="AK60" s="777"/>
      <c r="AL60" s="777"/>
      <c r="AM60" s="777"/>
      <c r="AN60" s="777"/>
      <c r="AO60" s="777"/>
    </row>
    <row r="61" spans="1:41" ht="15.75" hidden="1" thickBot="1" x14ac:dyDescent="0.3">
      <c r="A61" s="100" t="s">
        <v>258</v>
      </c>
      <c r="B61" s="101" t="s">
        <v>636</v>
      </c>
      <c r="C61" s="709" t="s">
        <v>644</v>
      </c>
      <c r="D61" s="709" t="s">
        <v>64</v>
      </c>
      <c r="E61" s="720"/>
      <c r="F61" s="178"/>
      <c r="G61" s="178"/>
      <c r="H61" s="178"/>
      <c r="I61" s="721"/>
      <c r="J61" s="713"/>
      <c r="K61" s="180"/>
      <c r="L61" s="180"/>
      <c r="M61" s="180"/>
      <c r="N61" s="615"/>
      <c r="O61" s="422"/>
      <c r="P61" s="728"/>
      <c r="Q61" s="235"/>
      <c r="R61" s="115"/>
      <c r="S61" s="115"/>
      <c r="T61" s="731"/>
      <c r="U61" s="287"/>
      <c r="V61" s="116">
        <f>VLOOKUP(A61,'Distribution Summary'!$A$136:$BJ$146,62,0)</f>
        <v>30000</v>
      </c>
      <c r="W61" s="467">
        <f>'Business Case Split'!Y61</f>
        <v>0</v>
      </c>
      <c r="X61" s="117">
        <f>'Business Case Split'!Z61</f>
        <v>0</v>
      </c>
      <c r="Y61" s="117">
        <f>'Business Case Split'!AA61</f>
        <v>0</v>
      </c>
      <c r="Z61" s="117">
        <f>'Business Case Split'!AB61</f>
        <v>0</v>
      </c>
      <c r="AA61" s="118">
        <f>'Business Case Split'!AC61</f>
        <v>0</v>
      </c>
      <c r="AB61" s="758" t="s">
        <v>667</v>
      </c>
      <c r="AD61" s="467">
        <f t="shared" si="6"/>
        <v>0</v>
      </c>
      <c r="AE61" s="117">
        <f t="shared" si="7"/>
        <v>0</v>
      </c>
      <c r="AF61" s="117">
        <f t="shared" si="8"/>
        <v>0</v>
      </c>
      <c r="AG61" s="117">
        <f t="shared" si="9"/>
        <v>0</v>
      </c>
      <c r="AH61" s="118">
        <f t="shared" si="10"/>
        <v>0</v>
      </c>
      <c r="AI61" s="186"/>
      <c r="AJ61" s="777"/>
      <c r="AK61" s="777"/>
      <c r="AL61" s="777"/>
      <c r="AM61" s="777"/>
      <c r="AN61" s="777"/>
      <c r="AO61" s="777"/>
    </row>
    <row r="62" spans="1:41" ht="15.75" hidden="1" thickBot="1" x14ac:dyDescent="0.3">
      <c r="A62" s="63" t="s">
        <v>296</v>
      </c>
      <c r="B62" s="64" t="s">
        <v>272</v>
      </c>
      <c r="C62" s="707" t="s">
        <v>643</v>
      </c>
      <c r="D62" s="707" t="s">
        <v>409</v>
      </c>
      <c r="E62" s="716"/>
      <c r="F62" s="168"/>
      <c r="G62" s="168"/>
      <c r="H62" s="168"/>
      <c r="I62" s="717"/>
      <c r="J62" s="711"/>
      <c r="K62" s="170"/>
      <c r="L62" s="170"/>
      <c r="M62" s="170"/>
      <c r="N62" s="613"/>
      <c r="O62" s="420"/>
      <c r="P62" s="726"/>
      <c r="Q62" s="241"/>
      <c r="R62" s="144"/>
      <c r="S62" s="144"/>
      <c r="T62" s="729"/>
      <c r="U62" s="293"/>
      <c r="V62" s="124">
        <f>VLOOKUP(A62,'Distribution Summary'!$A$136:$BJ$146,62,0)</f>
        <v>1800</v>
      </c>
      <c r="W62" s="415">
        <f>'Business Case Split'!Y62</f>
        <v>0</v>
      </c>
      <c r="X62" s="79">
        <f>'Business Case Split'!Z62</f>
        <v>0</v>
      </c>
      <c r="Y62" s="79">
        <f>'Business Case Split'!AA62</f>
        <v>0</v>
      </c>
      <c r="Z62" s="79">
        <f>'Business Case Split'!AB62</f>
        <v>0</v>
      </c>
      <c r="AA62" s="80">
        <f>'Business Case Split'!AC62</f>
        <v>0</v>
      </c>
      <c r="AB62" s="756"/>
      <c r="AD62" s="415">
        <f t="shared" si="6"/>
        <v>0</v>
      </c>
      <c r="AE62" s="79">
        <f t="shared" si="7"/>
        <v>0</v>
      </c>
      <c r="AF62" s="79">
        <f t="shared" si="8"/>
        <v>0</v>
      </c>
      <c r="AG62" s="79">
        <f t="shared" si="9"/>
        <v>0</v>
      </c>
      <c r="AH62" s="80">
        <f t="shared" si="10"/>
        <v>0</v>
      </c>
      <c r="AI62" s="186"/>
      <c r="AJ62" s="749"/>
    </row>
    <row r="63" spans="1:41" ht="15.75" hidden="1" thickBot="1" x14ac:dyDescent="0.3">
      <c r="A63" s="81" t="s">
        <v>27</v>
      </c>
      <c r="B63" s="82" t="s">
        <v>272</v>
      </c>
      <c r="C63" s="708" t="s">
        <v>643</v>
      </c>
      <c r="D63" s="708" t="s">
        <v>410</v>
      </c>
      <c r="E63" s="718"/>
      <c r="F63" s="173"/>
      <c r="G63" s="173"/>
      <c r="H63" s="173"/>
      <c r="I63" s="719"/>
      <c r="J63" s="712"/>
      <c r="K63" s="175"/>
      <c r="L63" s="175"/>
      <c r="M63" s="175"/>
      <c r="N63" s="614"/>
      <c r="O63" s="421"/>
      <c r="P63" s="727"/>
      <c r="Q63" s="234"/>
      <c r="R63" s="96"/>
      <c r="S63" s="96"/>
      <c r="T63" s="730"/>
      <c r="U63" s="286"/>
      <c r="V63" s="99">
        <f>VLOOKUP(A63,'Distribution Summary'!$A$136:$BJ$146,62,0)</f>
        <v>6236.1822982950935</v>
      </c>
      <c r="W63" s="416">
        <f>'Business Case Split'!Y63</f>
        <v>0</v>
      </c>
      <c r="X63" s="97">
        <f>'Business Case Split'!Z63</f>
        <v>0</v>
      </c>
      <c r="Y63" s="97">
        <f>'Business Case Split'!AA63</f>
        <v>0</v>
      </c>
      <c r="Z63" s="97">
        <f>'Business Case Split'!AB63</f>
        <v>0</v>
      </c>
      <c r="AA63" s="98">
        <f>'Business Case Split'!AC63</f>
        <v>0</v>
      </c>
      <c r="AB63" s="757"/>
      <c r="AD63" s="416">
        <f t="shared" si="6"/>
        <v>0</v>
      </c>
      <c r="AE63" s="97">
        <f t="shared" si="7"/>
        <v>0</v>
      </c>
      <c r="AF63" s="97">
        <f t="shared" si="8"/>
        <v>0</v>
      </c>
      <c r="AG63" s="97">
        <f t="shared" si="9"/>
        <v>0</v>
      </c>
      <c r="AH63" s="98">
        <f t="shared" si="10"/>
        <v>0</v>
      </c>
      <c r="AI63" s="186"/>
      <c r="AJ63" s="749"/>
    </row>
    <row r="64" spans="1:41" ht="15.75" hidden="1" thickBot="1" x14ac:dyDescent="0.3">
      <c r="A64" s="81" t="s">
        <v>68</v>
      </c>
      <c r="B64" s="82" t="s">
        <v>272</v>
      </c>
      <c r="C64" s="708" t="s">
        <v>643</v>
      </c>
      <c r="D64" s="708" t="s">
        <v>411</v>
      </c>
      <c r="E64" s="718"/>
      <c r="F64" s="173"/>
      <c r="G64" s="173"/>
      <c r="H64" s="173"/>
      <c r="I64" s="719"/>
      <c r="J64" s="712"/>
      <c r="K64" s="175"/>
      <c r="L64" s="175"/>
      <c r="M64" s="175"/>
      <c r="N64" s="614"/>
      <c r="O64" s="421"/>
      <c r="P64" s="727"/>
      <c r="Q64" s="234"/>
      <c r="R64" s="96"/>
      <c r="S64" s="96"/>
      <c r="T64" s="730"/>
      <c r="U64" s="286"/>
      <c r="V64" s="99">
        <f>VLOOKUP(A64,'Distribution Summary'!$A$136:$BJ$146,62,0)</f>
        <v>2810.5410327755412</v>
      </c>
      <c r="W64" s="416">
        <f>'Business Case Split'!Y64</f>
        <v>0</v>
      </c>
      <c r="X64" s="97">
        <f>'Business Case Split'!Z64</f>
        <v>0</v>
      </c>
      <c r="Y64" s="97">
        <f>'Business Case Split'!AA64</f>
        <v>0</v>
      </c>
      <c r="Z64" s="97">
        <f>'Business Case Split'!AB64</f>
        <v>0</v>
      </c>
      <c r="AA64" s="98">
        <f>'Business Case Split'!AC64</f>
        <v>0</v>
      </c>
      <c r="AB64" s="757"/>
      <c r="AD64" s="416">
        <f t="shared" si="6"/>
        <v>0</v>
      </c>
      <c r="AE64" s="97">
        <f t="shared" si="7"/>
        <v>0</v>
      </c>
      <c r="AF64" s="97">
        <f t="shared" si="8"/>
        <v>0</v>
      </c>
      <c r="AG64" s="97">
        <f t="shared" si="9"/>
        <v>0</v>
      </c>
      <c r="AH64" s="98">
        <f t="shared" si="10"/>
        <v>0</v>
      </c>
      <c r="AI64" s="186"/>
      <c r="AJ64" s="749"/>
    </row>
    <row r="65" spans="1:36" ht="15.75" hidden="1" thickBot="1" x14ac:dyDescent="0.3">
      <c r="A65" s="81" t="s">
        <v>81</v>
      </c>
      <c r="B65" s="82" t="s">
        <v>272</v>
      </c>
      <c r="C65" s="708" t="s">
        <v>643</v>
      </c>
      <c r="D65" s="708" t="s">
        <v>270</v>
      </c>
      <c r="E65" s="718"/>
      <c r="F65" s="173"/>
      <c r="G65" s="173"/>
      <c r="H65" s="173"/>
      <c r="I65" s="719"/>
      <c r="J65" s="725"/>
      <c r="K65" s="631"/>
      <c r="L65" s="631"/>
      <c r="M65" s="631"/>
      <c r="N65" s="671"/>
      <c r="O65" s="421"/>
      <c r="P65" s="727"/>
      <c r="Q65" s="234"/>
      <c r="R65" s="96"/>
      <c r="S65" s="96"/>
      <c r="T65" s="730"/>
      <c r="U65" s="286"/>
      <c r="V65" s="99">
        <f>VLOOKUP(A65,'Distribution Summary'!$A$136:$BJ$146,62,0)</f>
        <v>56912.19365276918</v>
      </c>
      <c r="W65" s="416">
        <f>'Business Case Split'!Y65</f>
        <v>0</v>
      </c>
      <c r="X65" s="97">
        <f>'Business Case Split'!Z65</f>
        <v>0</v>
      </c>
      <c r="Y65" s="97">
        <f>'Business Case Split'!AA65</f>
        <v>0</v>
      </c>
      <c r="Z65" s="97">
        <f>'Business Case Split'!AB65</f>
        <v>0</v>
      </c>
      <c r="AA65" s="98">
        <f>'Business Case Split'!AC65</f>
        <v>0</v>
      </c>
      <c r="AB65" s="757"/>
      <c r="AD65" s="416">
        <f t="shared" si="6"/>
        <v>0</v>
      </c>
      <c r="AE65" s="97">
        <f t="shared" si="7"/>
        <v>0</v>
      </c>
      <c r="AF65" s="97">
        <f t="shared" si="8"/>
        <v>0</v>
      </c>
      <c r="AG65" s="97">
        <f t="shared" si="9"/>
        <v>0</v>
      </c>
      <c r="AH65" s="98">
        <f t="shared" si="10"/>
        <v>0</v>
      </c>
      <c r="AI65" s="186"/>
      <c r="AJ65" s="751"/>
    </row>
    <row r="66" spans="1:36" ht="15.75" hidden="1" thickBot="1" x14ac:dyDescent="0.3">
      <c r="A66" s="81" t="s">
        <v>94</v>
      </c>
      <c r="B66" s="82" t="s">
        <v>272</v>
      </c>
      <c r="C66" s="708" t="s">
        <v>643</v>
      </c>
      <c r="D66" s="708" t="s">
        <v>412</v>
      </c>
      <c r="E66" s="718"/>
      <c r="F66" s="173"/>
      <c r="G66" s="173"/>
      <c r="H66" s="173"/>
      <c r="I66" s="719"/>
      <c r="J66" s="712"/>
      <c r="K66" s="175"/>
      <c r="L66" s="175"/>
      <c r="M66" s="175"/>
      <c r="N66" s="614"/>
      <c r="O66" s="421"/>
      <c r="P66" s="727"/>
      <c r="Q66" s="234"/>
      <c r="R66" s="96"/>
      <c r="S66" s="96"/>
      <c r="T66" s="730"/>
      <c r="U66" s="286"/>
      <c r="V66" s="99">
        <f>VLOOKUP(A66,'Distribution Summary'!$A$136:$BJ$146,62,0)</f>
        <v>322727.75622787437</v>
      </c>
      <c r="W66" s="416">
        <f>'Business Case Split'!Y66</f>
        <v>0</v>
      </c>
      <c r="X66" s="97">
        <f>'Business Case Split'!Z66</f>
        <v>0</v>
      </c>
      <c r="Y66" s="97">
        <f>'Business Case Split'!AA66</f>
        <v>0</v>
      </c>
      <c r="Z66" s="97">
        <f>'Business Case Split'!AB66</f>
        <v>0</v>
      </c>
      <c r="AA66" s="98">
        <f>'Business Case Split'!AC66</f>
        <v>0</v>
      </c>
      <c r="AB66" s="757"/>
      <c r="AD66" s="416">
        <f t="shared" si="6"/>
        <v>0</v>
      </c>
      <c r="AE66" s="97">
        <f t="shared" si="7"/>
        <v>0</v>
      </c>
      <c r="AF66" s="97">
        <f t="shared" si="8"/>
        <v>0</v>
      </c>
      <c r="AG66" s="97">
        <f t="shared" si="9"/>
        <v>0</v>
      </c>
      <c r="AH66" s="98">
        <f t="shared" si="10"/>
        <v>0</v>
      </c>
      <c r="AI66" s="186"/>
      <c r="AJ66" s="749"/>
    </row>
    <row r="67" spans="1:36" ht="15.75" hidden="1" thickBot="1" x14ac:dyDescent="0.3">
      <c r="A67" s="81" t="s">
        <v>106</v>
      </c>
      <c r="B67" s="82" t="s">
        <v>272</v>
      </c>
      <c r="C67" s="708" t="s">
        <v>643</v>
      </c>
      <c r="D67" s="708" t="s">
        <v>272</v>
      </c>
      <c r="E67" s="718">
        <v>3350134.4473760724</v>
      </c>
      <c r="F67" s="173">
        <v>-2781208.7665794566</v>
      </c>
      <c r="G67" s="173">
        <v>-595823.32091956213</v>
      </c>
      <c r="H67" s="173">
        <v>439158.65751628019</v>
      </c>
      <c r="I67" s="719">
        <v>6548453.0634000208</v>
      </c>
      <c r="J67" s="712">
        <v>5581.8600768140059</v>
      </c>
      <c r="K67" s="175">
        <v>-1382.0624091080481</v>
      </c>
      <c r="L67" s="175">
        <v>-977.01876611607531</v>
      </c>
      <c r="M67" s="175">
        <v>99.815620337896689</v>
      </c>
      <c r="N67" s="614">
        <v>4261.1391771889666</v>
      </c>
      <c r="O67" s="421">
        <f>'Defect (Total)'!BC186</f>
        <v>2811.817977875975</v>
      </c>
      <c r="P67" s="727">
        <f>'Defect (Total)'!BD186</f>
        <v>2811.817977875975</v>
      </c>
      <c r="Q67" s="234">
        <f>'Defect (Total)'!BE186</f>
        <v>2788.426350602379</v>
      </c>
      <c r="R67" s="96">
        <f>'Defect (Total)'!BF186</f>
        <v>2788.426350602379</v>
      </c>
      <c r="S67" s="96">
        <f>'Defect (Total)'!BG186</f>
        <v>2788.426350602379</v>
      </c>
      <c r="T67" s="730">
        <f>'Defect (Total)'!BH186</f>
        <v>2788.426350602379</v>
      </c>
      <c r="U67" s="286">
        <f>'Defect (Total)'!BI186</f>
        <v>2788.426350602379</v>
      </c>
      <c r="V67" s="99">
        <f>VLOOKUP(A67,'Distribution Summary'!$A$136:$BJ$146,62,0)</f>
        <v>1339.2666347282993</v>
      </c>
      <c r="W67" s="416">
        <f>'Business Case Split'!Y67</f>
        <v>3734446.3747589611</v>
      </c>
      <c r="X67" s="97">
        <f>'Business Case Split'!Z67</f>
        <v>3734446.3747589611</v>
      </c>
      <c r="Y67" s="97">
        <f>'Business Case Split'!AA67</f>
        <v>3734446.3747589611</v>
      </c>
      <c r="Z67" s="97">
        <f>'Business Case Split'!AB67</f>
        <v>3734446.3747589611</v>
      </c>
      <c r="AA67" s="98">
        <f>'Business Case Split'!AC67</f>
        <v>3734446.3747589611</v>
      </c>
      <c r="AB67" s="757"/>
      <c r="AD67" s="416">
        <f t="shared" si="6"/>
        <v>4286558.2485105079</v>
      </c>
      <c r="AE67" s="97">
        <f t="shared" si="7"/>
        <v>4310124.7028496191</v>
      </c>
      <c r="AF67" s="97">
        <f t="shared" si="8"/>
        <v>4333636.8070079125</v>
      </c>
      <c r="AG67" s="97">
        <f t="shared" si="9"/>
        <v>4361712.1397800874</v>
      </c>
      <c r="AH67" s="98">
        <f t="shared" si="10"/>
        <v>4394203.4221525658</v>
      </c>
      <c r="AI67" s="186"/>
      <c r="AJ67" s="749"/>
    </row>
    <row r="68" spans="1:36" ht="15.75" hidden="1" thickBot="1" x14ac:dyDescent="0.3">
      <c r="A68" s="81" t="s">
        <v>138</v>
      </c>
      <c r="B68" s="82" t="s">
        <v>272</v>
      </c>
      <c r="C68" s="708" t="s">
        <v>643</v>
      </c>
      <c r="D68" s="708" t="s">
        <v>413</v>
      </c>
      <c r="E68" s="718"/>
      <c r="F68" s="173"/>
      <c r="G68" s="173"/>
      <c r="H68" s="173"/>
      <c r="I68" s="719"/>
      <c r="J68" s="712"/>
      <c r="K68" s="175"/>
      <c r="L68" s="175"/>
      <c r="M68" s="175"/>
      <c r="N68" s="614"/>
      <c r="O68" s="421"/>
      <c r="P68" s="727"/>
      <c r="Q68" s="234"/>
      <c r="R68" s="96"/>
      <c r="S68" s="96"/>
      <c r="T68" s="730"/>
      <c r="U68" s="286"/>
      <c r="V68" s="99">
        <f>VLOOKUP(A68,'Distribution Summary'!$A$136:$BJ$146,62,0)</f>
        <v>28527.37387874335</v>
      </c>
      <c r="W68" s="416">
        <f>'Business Case Split'!Y68</f>
        <v>0</v>
      </c>
      <c r="X68" s="97">
        <f>'Business Case Split'!Z68</f>
        <v>0</v>
      </c>
      <c r="Y68" s="97">
        <f>'Business Case Split'!AA68</f>
        <v>0</v>
      </c>
      <c r="Z68" s="97">
        <f>'Business Case Split'!AB68</f>
        <v>0</v>
      </c>
      <c r="AA68" s="98">
        <f>'Business Case Split'!AC68</f>
        <v>0</v>
      </c>
      <c r="AB68" s="757"/>
      <c r="AD68" s="416">
        <f t="shared" si="6"/>
        <v>0</v>
      </c>
      <c r="AE68" s="97">
        <f t="shared" si="7"/>
        <v>0</v>
      </c>
      <c r="AF68" s="97">
        <f t="shared" si="8"/>
        <v>0</v>
      </c>
      <c r="AG68" s="97">
        <f t="shared" si="9"/>
        <v>0</v>
      </c>
      <c r="AH68" s="98">
        <f t="shared" si="10"/>
        <v>0</v>
      </c>
      <c r="AI68" s="186"/>
      <c r="AJ68" s="749"/>
    </row>
    <row r="69" spans="1:36" ht="15.75" hidden="1" thickBot="1" x14ac:dyDescent="0.3">
      <c r="A69" s="81" t="s">
        <v>196</v>
      </c>
      <c r="B69" s="82" t="s">
        <v>272</v>
      </c>
      <c r="C69" s="708" t="s">
        <v>643</v>
      </c>
      <c r="D69" s="708" t="s">
        <v>274</v>
      </c>
      <c r="E69" s="718"/>
      <c r="F69" s="173"/>
      <c r="G69" s="173"/>
      <c r="H69" s="173"/>
      <c r="I69" s="719"/>
      <c r="J69" s="712"/>
      <c r="K69" s="175"/>
      <c r="L69" s="175"/>
      <c r="M69" s="175"/>
      <c r="N69" s="614"/>
      <c r="O69" s="421"/>
      <c r="P69" s="727"/>
      <c r="Q69" s="234"/>
      <c r="R69" s="96"/>
      <c r="S69" s="96"/>
      <c r="T69" s="730"/>
      <c r="U69" s="286"/>
      <c r="V69" s="99">
        <f>VLOOKUP(A69,'Distribution Summary'!$A$136:$BJ$146,62,0)</f>
        <v>9639.239384840419</v>
      </c>
      <c r="W69" s="416">
        <f>'Business Case Split'!Y69</f>
        <v>0</v>
      </c>
      <c r="X69" s="97">
        <f>'Business Case Split'!Z69</f>
        <v>0</v>
      </c>
      <c r="Y69" s="97">
        <f>'Business Case Split'!AA69</f>
        <v>0</v>
      </c>
      <c r="Z69" s="97">
        <f>'Business Case Split'!AB69</f>
        <v>0</v>
      </c>
      <c r="AA69" s="98">
        <f>'Business Case Split'!AC69</f>
        <v>0</v>
      </c>
      <c r="AB69" s="757"/>
      <c r="AD69" s="416">
        <f t="shared" si="6"/>
        <v>0</v>
      </c>
      <c r="AE69" s="97">
        <f t="shared" si="7"/>
        <v>0</v>
      </c>
      <c r="AF69" s="97">
        <f t="shared" si="8"/>
        <v>0</v>
      </c>
      <c r="AG69" s="97">
        <f t="shared" si="9"/>
        <v>0</v>
      </c>
      <c r="AH69" s="98">
        <f t="shared" si="10"/>
        <v>0</v>
      </c>
      <c r="AI69" s="186"/>
      <c r="AJ69" s="749"/>
    </row>
    <row r="70" spans="1:36" ht="15.75" hidden="1" thickBot="1" x14ac:dyDescent="0.3">
      <c r="A70" s="81" t="s">
        <v>224</v>
      </c>
      <c r="B70" s="82" t="s">
        <v>272</v>
      </c>
      <c r="C70" s="708" t="s">
        <v>643</v>
      </c>
      <c r="D70" s="708" t="s">
        <v>414</v>
      </c>
      <c r="E70" s="718"/>
      <c r="F70" s="173"/>
      <c r="G70" s="173"/>
      <c r="H70" s="173"/>
      <c r="I70" s="719"/>
      <c r="J70" s="712"/>
      <c r="K70" s="175"/>
      <c r="L70" s="175"/>
      <c r="M70" s="175"/>
      <c r="N70" s="614"/>
      <c r="O70" s="421"/>
      <c r="P70" s="727"/>
      <c r="Q70" s="234"/>
      <c r="R70" s="96"/>
      <c r="S70" s="96"/>
      <c r="T70" s="730"/>
      <c r="U70" s="286"/>
      <c r="V70" s="99">
        <f>VLOOKUP(A70,'Distribution Summary'!$A$136:$BJ$146,62,0)</f>
        <v>0</v>
      </c>
      <c r="W70" s="416">
        <f>'Business Case Split'!Y70</f>
        <v>0</v>
      </c>
      <c r="X70" s="97">
        <f>'Business Case Split'!Z70</f>
        <v>0</v>
      </c>
      <c r="Y70" s="97">
        <f>'Business Case Split'!AA70</f>
        <v>0</v>
      </c>
      <c r="Z70" s="97">
        <f>'Business Case Split'!AB70</f>
        <v>0</v>
      </c>
      <c r="AA70" s="98">
        <f>'Business Case Split'!AC70</f>
        <v>0</v>
      </c>
      <c r="AB70" s="757"/>
      <c r="AD70" s="416">
        <f t="shared" si="6"/>
        <v>0</v>
      </c>
      <c r="AE70" s="97">
        <f t="shared" si="7"/>
        <v>0</v>
      </c>
      <c r="AF70" s="97">
        <f t="shared" si="8"/>
        <v>0</v>
      </c>
      <c r="AG70" s="97">
        <f t="shared" si="9"/>
        <v>0</v>
      </c>
      <c r="AH70" s="98">
        <f t="shared" si="10"/>
        <v>0</v>
      </c>
      <c r="AI70" s="186"/>
      <c r="AJ70" s="749"/>
    </row>
    <row r="71" spans="1:36" ht="15.75" hidden="1" thickBot="1" x14ac:dyDescent="0.3">
      <c r="A71" s="81" t="s">
        <v>242</v>
      </c>
      <c r="B71" s="82" t="s">
        <v>272</v>
      </c>
      <c r="C71" s="708" t="s">
        <v>643</v>
      </c>
      <c r="D71" s="708" t="s">
        <v>415</v>
      </c>
      <c r="E71" s="718"/>
      <c r="F71" s="173"/>
      <c r="G71" s="173"/>
      <c r="H71" s="173"/>
      <c r="I71" s="719"/>
      <c r="J71" s="712"/>
      <c r="K71" s="175"/>
      <c r="L71" s="175"/>
      <c r="M71" s="175"/>
      <c r="N71" s="614"/>
      <c r="O71" s="421"/>
      <c r="P71" s="727"/>
      <c r="Q71" s="234"/>
      <c r="R71" s="96"/>
      <c r="S71" s="96"/>
      <c r="T71" s="730"/>
      <c r="U71" s="286"/>
      <c r="V71" s="99">
        <f>VLOOKUP(A71,'Distribution Summary'!$A$136:$BJ$146,62,0)</f>
        <v>0</v>
      </c>
      <c r="W71" s="416">
        <f>'Business Case Split'!Y71</f>
        <v>0</v>
      </c>
      <c r="X71" s="97">
        <f>'Business Case Split'!Z71</f>
        <v>0</v>
      </c>
      <c r="Y71" s="97">
        <f>'Business Case Split'!AA71</f>
        <v>0</v>
      </c>
      <c r="Z71" s="97">
        <f>'Business Case Split'!AB71</f>
        <v>0</v>
      </c>
      <c r="AA71" s="98">
        <f>'Business Case Split'!AC71</f>
        <v>0</v>
      </c>
      <c r="AB71" s="757"/>
      <c r="AD71" s="416">
        <f t="shared" ref="AD71:AD102" si="11">IFERROR(VLOOKUP($B71,$B$189:$AB$196,AD$4+21,0),0)*W71</f>
        <v>0</v>
      </c>
      <c r="AE71" s="97">
        <f t="shared" ref="AE71:AE102" si="12">IFERROR(VLOOKUP($B71,$B$189:$AB$196,AE$4+21,0),0)*X71</f>
        <v>0</v>
      </c>
      <c r="AF71" s="97">
        <f t="shared" ref="AF71:AF102" si="13">IFERROR(VLOOKUP($B71,$B$189:$AB$196,AF$4+21,0),0)*Y71</f>
        <v>0</v>
      </c>
      <c r="AG71" s="97">
        <f t="shared" ref="AG71:AG102" si="14">IFERROR(VLOOKUP($B71,$B$189:$AB$196,AG$4+21,0),0)*Z71</f>
        <v>0</v>
      </c>
      <c r="AH71" s="98">
        <f t="shared" ref="AH71:AH102" si="15">IFERROR(VLOOKUP($B71,$B$189:$AB$196,AH$4+21,0),0)*AA71</f>
        <v>0</v>
      </c>
      <c r="AI71" s="186"/>
      <c r="AJ71" s="749"/>
    </row>
    <row r="72" spans="1:36" ht="15.75" hidden="1" thickBot="1" x14ac:dyDescent="0.3">
      <c r="A72" s="100" t="s">
        <v>258</v>
      </c>
      <c r="B72" s="101" t="s">
        <v>272</v>
      </c>
      <c r="C72" s="709" t="s">
        <v>643</v>
      </c>
      <c r="D72" s="709" t="s">
        <v>64</v>
      </c>
      <c r="E72" s="720"/>
      <c r="F72" s="178"/>
      <c r="G72" s="178"/>
      <c r="H72" s="178"/>
      <c r="I72" s="721"/>
      <c r="J72" s="713"/>
      <c r="K72" s="180"/>
      <c r="L72" s="180"/>
      <c r="M72" s="180"/>
      <c r="N72" s="615"/>
      <c r="O72" s="422"/>
      <c r="P72" s="728"/>
      <c r="Q72" s="235"/>
      <c r="R72" s="115"/>
      <c r="S72" s="115"/>
      <c r="T72" s="731"/>
      <c r="U72" s="287"/>
      <c r="V72" s="116">
        <f>VLOOKUP(A72,'Distribution Summary'!$A$136:$BJ$146,62,0)</f>
        <v>30000</v>
      </c>
      <c r="W72" s="467">
        <f>'Business Case Split'!Y72</f>
        <v>0</v>
      </c>
      <c r="X72" s="117">
        <f>'Business Case Split'!Z72</f>
        <v>0</v>
      </c>
      <c r="Y72" s="117">
        <f>'Business Case Split'!AA72</f>
        <v>0</v>
      </c>
      <c r="Z72" s="117">
        <f>'Business Case Split'!AB72</f>
        <v>0</v>
      </c>
      <c r="AA72" s="118">
        <f>'Business Case Split'!AC72</f>
        <v>0</v>
      </c>
      <c r="AB72" s="758"/>
      <c r="AD72" s="467">
        <f t="shared" si="11"/>
        <v>0</v>
      </c>
      <c r="AE72" s="117">
        <f t="shared" si="12"/>
        <v>0</v>
      </c>
      <c r="AF72" s="117">
        <f t="shared" si="13"/>
        <v>0</v>
      </c>
      <c r="AG72" s="117">
        <f t="shared" si="14"/>
        <v>0</v>
      </c>
      <c r="AH72" s="118">
        <f t="shared" si="15"/>
        <v>0</v>
      </c>
      <c r="AI72" s="186"/>
      <c r="AJ72" s="749"/>
    </row>
    <row r="73" spans="1:36" ht="15.75" hidden="1" thickBot="1" x14ac:dyDescent="0.3">
      <c r="A73" s="63" t="s">
        <v>296</v>
      </c>
      <c r="B73" s="64" t="s">
        <v>272</v>
      </c>
      <c r="C73" s="707" t="s">
        <v>644</v>
      </c>
      <c r="D73" s="707" t="s">
        <v>409</v>
      </c>
      <c r="E73" s="716"/>
      <c r="F73" s="168"/>
      <c r="G73" s="168"/>
      <c r="H73" s="168"/>
      <c r="I73" s="717"/>
      <c r="J73" s="711"/>
      <c r="K73" s="170"/>
      <c r="L73" s="170"/>
      <c r="M73" s="170"/>
      <c r="N73" s="613"/>
      <c r="O73" s="420"/>
      <c r="P73" s="726"/>
      <c r="Q73" s="241"/>
      <c r="R73" s="144"/>
      <c r="S73" s="144"/>
      <c r="T73" s="729"/>
      <c r="U73" s="293"/>
      <c r="V73" s="124">
        <f>VLOOKUP(A73,'Distribution Summary'!$A$136:$BJ$146,62,0)</f>
        <v>1800</v>
      </c>
      <c r="W73" s="415">
        <f>'Business Case Split'!Y73</f>
        <v>0</v>
      </c>
      <c r="X73" s="79">
        <f>'Business Case Split'!Z73</f>
        <v>0</v>
      </c>
      <c r="Y73" s="79">
        <f>'Business Case Split'!AA73</f>
        <v>0</v>
      </c>
      <c r="Z73" s="79">
        <f>'Business Case Split'!AB73</f>
        <v>0</v>
      </c>
      <c r="AA73" s="80">
        <f>'Business Case Split'!AC73</f>
        <v>0</v>
      </c>
      <c r="AB73" s="756"/>
      <c r="AD73" s="415">
        <f t="shared" si="11"/>
        <v>0</v>
      </c>
      <c r="AE73" s="79">
        <f t="shared" si="12"/>
        <v>0</v>
      </c>
      <c r="AF73" s="79">
        <f t="shared" si="13"/>
        <v>0</v>
      </c>
      <c r="AG73" s="79">
        <f t="shared" si="14"/>
        <v>0</v>
      </c>
      <c r="AH73" s="80">
        <f t="shared" si="15"/>
        <v>0</v>
      </c>
      <c r="AI73" s="186"/>
      <c r="AJ73" s="749"/>
    </row>
    <row r="74" spans="1:36" ht="15.75" hidden="1" thickBot="1" x14ac:dyDescent="0.3">
      <c r="A74" s="81" t="s">
        <v>27</v>
      </c>
      <c r="B74" s="82" t="s">
        <v>272</v>
      </c>
      <c r="C74" s="708" t="s">
        <v>644</v>
      </c>
      <c r="D74" s="708" t="s">
        <v>410</v>
      </c>
      <c r="E74" s="718"/>
      <c r="F74" s="173"/>
      <c r="G74" s="173"/>
      <c r="H74" s="173"/>
      <c r="I74" s="719"/>
      <c r="J74" s="712"/>
      <c r="K74" s="175"/>
      <c r="L74" s="175"/>
      <c r="M74" s="175"/>
      <c r="N74" s="614"/>
      <c r="O74" s="421"/>
      <c r="P74" s="727"/>
      <c r="Q74" s="234"/>
      <c r="R74" s="96"/>
      <c r="S74" s="96"/>
      <c r="T74" s="730"/>
      <c r="U74" s="286"/>
      <c r="V74" s="99">
        <f>VLOOKUP(A74,'Distribution Summary'!$A$136:$BJ$146,62,0)</f>
        <v>6236.1822982950935</v>
      </c>
      <c r="W74" s="416">
        <f>'Business Case Split'!Y74</f>
        <v>0</v>
      </c>
      <c r="X74" s="97">
        <f>'Business Case Split'!Z74</f>
        <v>0</v>
      </c>
      <c r="Y74" s="97">
        <f>'Business Case Split'!AA74</f>
        <v>0</v>
      </c>
      <c r="Z74" s="97">
        <f>'Business Case Split'!AB74</f>
        <v>0</v>
      </c>
      <c r="AA74" s="98">
        <f>'Business Case Split'!AC74</f>
        <v>0</v>
      </c>
      <c r="AB74" s="757"/>
      <c r="AD74" s="416">
        <f t="shared" si="11"/>
        <v>0</v>
      </c>
      <c r="AE74" s="97">
        <f t="shared" si="12"/>
        <v>0</v>
      </c>
      <c r="AF74" s="97">
        <f t="shared" si="13"/>
        <v>0</v>
      </c>
      <c r="AG74" s="97">
        <f t="shared" si="14"/>
        <v>0</v>
      </c>
      <c r="AH74" s="98">
        <f t="shared" si="15"/>
        <v>0</v>
      </c>
      <c r="AI74" s="186"/>
      <c r="AJ74" s="749"/>
    </row>
    <row r="75" spans="1:36" ht="15.75" hidden="1" thickBot="1" x14ac:dyDescent="0.3">
      <c r="A75" s="81" t="s">
        <v>68</v>
      </c>
      <c r="B75" s="82" t="s">
        <v>272</v>
      </c>
      <c r="C75" s="708" t="s">
        <v>644</v>
      </c>
      <c r="D75" s="708" t="s">
        <v>411</v>
      </c>
      <c r="E75" s="718"/>
      <c r="F75" s="173"/>
      <c r="G75" s="173"/>
      <c r="H75" s="173"/>
      <c r="I75" s="719"/>
      <c r="J75" s="712"/>
      <c r="K75" s="175"/>
      <c r="L75" s="175"/>
      <c r="M75" s="175"/>
      <c r="N75" s="614"/>
      <c r="O75" s="421"/>
      <c r="P75" s="727"/>
      <c r="Q75" s="234"/>
      <c r="R75" s="96"/>
      <c r="S75" s="96"/>
      <c r="T75" s="730"/>
      <c r="U75" s="286"/>
      <c r="V75" s="99">
        <f>VLOOKUP(A75,'Distribution Summary'!$A$136:$BJ$146,62,0)</f>
        <v>2810.5410327755412</v>
      </c>
      <c r="W75" s="416">
        <f>'Business Case Split'!Y75</f>
        <v>0</v>
      </c>
      <c r="X75" s="97">
        <f>'Business Case Split'!Z75</f>
        <v>0</v>
      </c>
      <c r="Y75" s="97">
        <f>'Business Case Split'!AA75</f>
        <v>0</v>
      </c>
      <c r="Z75" s="97">
        <f>'Business Case Split'!AB75</f>
        <v>0</v>
      </c>
      <c r="AA75" s="98">
        <f>'Business Case Split'!AC75</f>
        <v>0</v>
      </c>
      <c r="AB75" s="757"/>
      <c r="AD75" s="416">
        <f t="shared" si="11"/>
        <v>0</v>
      </c>
      <c r="AE75" s="97">
        <f t="shared" si="12"/>
        <v>0</v>
      </c>
      <c r="AF75" s="97">
        <f t="shared" si="13"/>
        <v>0</v>
      </c>
      <c r="AG75" s="97">
        <f t="shared" si="14"/>
        <v>0</v>
      </c>
      <c r="AH75" s="98">
        <f t="shared" si="15"/>
        <v>0</v>
      </c>
      <c r="AI75" s="186"/>
      <c r="AJ75" s="749"/>
    </row>
    <row r="76" spans="1:36" ht="15.75" hidden="1" thickBot="1" x14ac:dyDescent="0.3">
      <c r="A76" s="81" t="s">
        <v>81</v>
      </c>
      <c r="B76" s="82" t="s">
        <v>272</v>
      </c>
      <c r="C76" s="708" t="s">
        <v>644</v>
      </c>
      <c r="D76" s="708" t="s">
        <v>270</v>
      </c>
      <c r="E76" s="718"/>
      <c r="F76" s="173"/>
      <c r="G76" s="173"/>
      <c r="H76" s="173"/>
      <c r="I76" s="719"/>
      <c r="J76" s="725"/>
      <c r="K76" s="631"/>
      <c r="L76" s="631"/>
      <c r="M76" s="631"/>
      <c r="N76" s="671"/>
      <c r="O76" s="421"/>
      <c r="P76" s="727"/>
      <c r="Q76" s="234"/>
      <c r="R76" s="96"/>
      <c r="S76" s="96"/>
      <c r="T76" s="730"/>
      <c r="U76" s="286"/>
      <c r="V76" s="99">
        <f>VLOOKUP(A76,'Distribution Summary'!$A$136:$BJ$146,62,0)</f>
        <v>56912.19365276918</v>
      </c>
      <c r="W76" s="416">
        <f>'Business Case Split'!Y76</f>
        <v>0</v>
      </c>
      <c r="X76" s="97">
        <f>'Business Case Split'!Z76</f>
        <v>0</v>
      </c>
      <c r="Y76" s="97">
        <f>'Business Case Split'!AA76</f>
        <v>0</v>
      </c>
      <c r="Z76" s="97">
        <f>'Business Case Split'!AB76</f>
        <v>0</v>
      </c>
      <c r="AA76" s="98">
        <f>'Business Case Split'!AC76</f>
        <v>0</v>
      </c>
      <c r="AB76" s="757"/>
      <c r="AD76" s="416">
        <f t="shared" si="11"/>
        <v>0</v>
      </c>
      <c r="AE76" s="97">
        <f t="shared" si="12"/>
        <v>0</v>
      </c>
      <c r="AF76" s="97">
        <f t="shared" si="13"/>
        <v>0</v>
      </c>
      <c r="AG76" s="97">
        <f t="shared" si="14"/>
        <v>0</v>
      </c>
      <c r="AH76" s="98">
        <f t="shared" si="15"/>
        <v>0</v>
      </c>
      <c r="AI76" s="186"/>
      <c r="AJ76" s="749"/>
    </row>
    <row r="77" spans="1:36" ht="15.75" hidden="1" thickBot="1" x14ac:dyDescent="0.3">
      <c r="A77" s="81" t="s">
        <v>94</v>
      </c>
      <c r="B77" s="82" t="s">
        <v>272</v>
      </c>
      <c r="C77" s="708" t="s">
        <v>644</v>
      </c>
      <c r="D77" s="708" t="s">
        <v>412</v>
      </c>
      <c r="E77" s="718"/>
      <c r="F77" s="173"/>
      <c r="G77" s="173"/>
      <c r="H77" s="173"/>
      <c r="I77" s="719"/>
      <c r="J77" s="712"/>
      <c r="K77" s="175"/>
      <c r="L77" s="175"/>
      <c r="M77" s="175"/>
      <c r="N77" s="614"/>
      <c r="O77" s="421"/>
      <c r="P77" s="727"/>
      <c r="Q77" s="234"/>
      <c r="R77" s="96"/>
      <c r="S77" s="96"/>
      <c r="T77" s="730"/>
      <c r="U77" s="286"/>
      <c r="V77" s="99">
        <f>VLOOKUP(A77,'Distribution Summary'!$A$136:$BJ$146,62,0)</f>
        <v>322727.75622787437</v>
      </c>
      <c r="W77" s="416">
        <f>'Business Case Split'!Y77</f>
        <v>0</v>
      </c>
      <c r="X77" s="97">
        <f>'Business Case Split'!Z77</f>
        <v>0</v>
      </c>
      <c r="Y77" s="97">
        <f>'Business Case Split'!AA77</f>
        <v>0</v>
      </c>
      <c r="Z77" s="97">
        <f>'Business Case Split'!AB77</f>
        <v>0</v>
      </c>
      <c r="AA77" s="98">
        <f>'Business Case Split'!AC77</f>
        <v>0</v>
      </c>
      <c r="AB77" s="757"/>
      <c r="AD77" s="416">
        <f t="shared" si="11"/>
        <v>0</v>
      </c>
      <c r="AE77" s="97">
        <f t="shared" si="12"/>
        <v>0</v>
      </c>
      <c r="AF77" s="97">
        <f t="shared" si="13"/>
        <v>0</v>
      </c>
      <c r="AG77" s="97">
        <f t="shared" si="14"/>
        <v>0</v>
      </c>
      <c r="AH77" s="98">
        <f t="shared" si="15"/>
        <v>0</v>
      </c>
      <c r="AI77" s="186"/>
      <c r="AJ77" s="749"/>
    </row>
    <row r="78" spans="1:36" ht="15.75" hidden="1" thickBot="1" x14ac:dyDescent="0.3">
      <c r="A78" s="81" t="s">
        <v>106</v>
      </c>
      <c r="B78" s="82" t="s">
        <v>272</v>
      </c>
      <c r="C78" s="708" t="s">
        <v>644</v>
      </c>
      <c r="D78" s="708" t="s">
        <v>272</v>
      </c>
      <c r="E78" s="718">
        <v>3064000.198511166</v>
      </c>
      <c r="F78" s="173">
        <v>9745268.677692391</v>
      </c>
      <c r="G78" s="173">
        <v>13682198.190682307</v>
      </c>
      <c r="H78" s="173">
        <v>13230045.12153695</v>
      </c>
      <c r="I78" s="719">
        <v>13537158.501246268</v>
      </c>
      <c r="J78" s="712">
        <v>3960</v>
      </c>
      <c r="K78" s="175">
        <v>8413</v>
      </c>
      <c r="L78" s="175">
        <v>9097</v>
      </c>
      <c r="M78" s="175">
        <v>8413</v>
      </c>
      <c r="N78" s="614">
        <v>9210</v>
      </c>
      <c r="O78" s="421">
        <f>Planned!CF141</f>
        <v>8500</v>
      </c>
      <c r="P78" s="727">
        <f>Planned!CG141</f>
        <v>8500</v>
      </c>
      <c r="Q78" s="234">
        <f>Planned!CH141</f>
        <v>8500</v>
      </c>
      <c r="R78" s="96">
        <f>Planned!CI141</f>
        <v>8500</v>
      </c>
      <c r="S78" s="96">
        <f>Planned!CJ141</f>
        <v>8500</v>
      </c>
      <c r="T78" s="730">
        <f>Planned!CK141</f>
        <v>8500</v>
      </c>
      <c r="U78" s="286">
        <f>Planned!CL141</f>
        <v>8500</v>
      </c>
      <c r="V78" s="99">
        <f>VLOOKUP(A78,'Distribution Summary'!$A$136:$BJ$146,62,0)</f>
        <v>1339.2666347282993</v>
      </c>
      <c r="W78" s="416">
        <f>'Business Case Split'!Y78</f>
        <v>11383766.395190544</v>
      </c>
      <c r="X78" s="97">
        <f>'Business Case Split'!Z78</f>
        <v>11383766.395190544</v>
      </c>
      <c r="Y78" s="97">
        <f>'Business Case Split'!AA78</f>
        <v>11383766.395190544</v>
      </c>
      <c r="Z78" s="97">
        <f>'Business Case Split'!AB78</f>
        <v>11383766.395190544</v>
      </c>
      <c r="AA78" s="98">
        <f>'Business Case Split'!AC78</f>
        <v>11383766.395190544</v>
      </c>
      <c r="AB78" s="757"/>
      <c r="AD78" s="416">
        <f t="shared" si="11"/>
        <v>13066776.931177747</v>
      </c>
      <c r="AE78" s="97">
        <f t="shared" si="12"/>
        <v>13138614.891624209</v>
      </c>
      <c r="AF78" s="97">
        <f t="shared" si="13"/>
        <v>13210287.175635697</v>
      </c>
      <c r="AG78" s="97">
        <f t="shared" si="14"/>
        <v>13295869.614817543</v>
      </c>
      <c r="AH78" s="98">
        <f t="shared" si="15"/>
        <v>13394913.256442292</v>
      </c>
      <c r="AI78" s="186"/>
      <c r="AJ78" s="749"/>
    </row>
    <row r="79" spans="1:36" ht="15.75" hidden="1" thickBot="1" x14ac:dyDescent="0.3">
      <c r="A79" s="81" t="s">
        <v>138</v>
      </c>
      <c r="B79" s="82" t="s">
        <v>272</v>
      </c>
      <c r="C79" s="708" t="s">
        <v>644</v>
      </c>
      <c r="D79" s="708" t="s">
        <v>413</v>
      </c>
      <c r="E79" s="718"/>
      <c r="F79" s="173"/>
      <c r="G79" s="173"/>
      <c r="H79" s="173"/>
      <c r="I79" s="719"/>
      <c r="J79" s="712"/>
      <c r="K79" s="175"/>
      <c r="L79" s="175"/>
      <c r="M79" s="175"/>
      <c r="N79" s="614"/>
      <c r="O79" s="421"/>
      <c r="P79" s="727"/>
      <c r="Q79" s="234"/>
      <c r="R79" s="96"/>
      <c r="S79" s="96"/>
      <c r="T79" s="730"/>
      <c r="U79" s="286"/>
      <c r="V79" s="99">
        <f>VLOOKUP(A79,'Distribution Summary'!$A$136:$BJ$146,62,0)</f>
        <v>28527.37387874335</v>
      </c>
      <c r="W79" s="416">
        <f>'Business Case Split'!Y79</f>
        <v>0</v>
      </c>
      <c r="X79" s="97">
        <f>'Business Case Split'!Z79</f>
        <v>0</v>
      </c>
      <c r="Y79" s="97">
        <f>'Business Case Split'!AA79</f>
        <v>0</v>
      </c>
      <c r="Z79" s="97">
        <f>'Business Case Split'!AB79</f>
        <v>0</v>
      </c>
      <c r="AA79" s="98">
        <f>'Business Case Split'!AC79</f>
        <v>0</v>
      </c>
      <c r="AB79" s="757"/>
      <c r="AD79" s="416">
        <f t="shared" si="11"/>
        <v>0</v>
      </c>
      <c r="AE79" s="97">
        <f t="shared" si="12"/>
        <v>0</v>
      </c>
      <c r="AF79" s="97">
        <f t="shared" si="13"/>
        <v>0</v>
      </c>
      <c r="AG79" s="97">
        <f t="shared" si="14"/>
        <v>0</v>
      </c>
      <c r="AH79" s="98">
        <f t="shared" si="15"/>
        <v>0</v>
      </c>
      <c r="AI79" s="186"/>
      <c r="AJ79" s="749"/>
    </row>
    <row r="80" spans="1:36" ht="15.75" hidden="1" thickBot="1" x14ac:dyDescent="0.3">
      <c r="A80" s="81" t="s">
        <v>196</v>
      </c>
      <c r="B80" s="82" t="s">
        <v>272</v>
      </c>
      <c r="C80" s="708" t="s">
        <v>644</v>
      </c>
      <c r="D80" s="708" t="s">
        <v>274</v>
      </c>
      <c r="E80" s="718"/>
      <c r="F80" s="173"/>
      <c r="G80" s="173"/>
      <c r="H80" s="173"/>
      <c r="I80" s="719"/>
      <c r="J80" s="712"/>
      <c r="K80" s="175"/>
      <c r="L80" s="175"/>
      <c r="M80" s="175"/>
      <c r="N80" s="614"/>
      <c r="O80" s="421"/>
      <c r="P80" s="727"/>
      <c r="Q80" s="234"/>
      <c r="R80" s="96"/>
      <c r="S80" s="96"/>
      <c r="T80" s="730"/>
      <c r="U80" s="286"/>
      <c r="V80" s="99">
        <f>VLOOKUP(A80,'Distribution Summary'!$A$136:$BJ$146,62,0)</f>
        <v>9639.239384840419</v>
      </c>
      <c r="W80" s="416">
        <f>'Business Case Split'!Y80</f>
        <v>0</v>
      </c>
      <c r="X80" s="97">
        <f>'Business Case Split'!Z80</f>
        <v>0</v>
      </c>
      <c r="Y80" s="97">
        <f>'Business Case Split'!AA80</f>
        <v>0</v>
      </c>
      <c r="Z80" s="97">
        <f>'Business Case Split'!AB80</f>
        <v>0</v>
      </c>
      <c r="AA80" s="98">
        <f>'Business Case Split'!AC80</f>
        <v>0</v>
      </c>
      <c r="AB80" s="757"/>
      <c r="AD80" s="416">
        <f t="shared" si="11"/>
        <v>0</v>
      </c>
      <c r="AE80" s="97">
        <f t="shared" si="12"/>
        <v>0</v>
      </c>
      <c r="AF80" s="97">
        <f t="shared" si="13"/>
        <v>0</v>
      </c>
      <c r="AG80" s="97">
        <f t="shared" si="14"/>
        <v>0</v>
      </c>
      <c r="AH80" s="98">
        <f t="shared" si="15"/>
        <v>0</v>
      </c>
      <c r="AI80" s="186"/>
      <c r="AJ80" s="749"/>
    </row>
    <row r="81" spans="1:41" ht="15.75" hidden="1" thickBot="1" x14ac:dyDescent="0.3">
      <c r="A81" s="81" t="s">
        <v>224</v>
      </c>
      <c r="B81" s="82" t="s">
        <v>272</v>
      </c>
      <c r="C81" s="708" t="s">
        <v>644</v>
      </c>
      <c r="D81" s="708" t="s">
        <v>414</v>
      </c>
      <c r="E81" s="718"/>
      <c r="F81" s="173"/>
      <c r="G81" s="173"/>
      <c r="H81" s="173"/>
      <c r="I81" s="719"/>
      <c r="J81" s="712"/>
      <c r="K81" s="175"/>
      <c r="L81" s="175"/>
      <c r="M81" s="175"/>
      <c r="N81" s="614"/>
      <c r="O81" s="421"/>
      <c r="P81" s="727"/>
      <c r="Q81" s="234"/>
      <c r="R81" s="96"/>
      <c r="S81" s="96"/>
      <c r="T81" s="730"/>
      <c r="U81" s="286"/>
      <c r="V81" s="99">
        <f>VLOOKUP(A81,'Distribution Summary'!$A$136:$BJ$146,62,0)</f>
        <v>0</v>
      </c>
      <c r="W81" s="416">
        <f>'Business Case Split'!Y81</f>
        <v>0</v>
      </c>
      <c r="X81" s="97">
        <f>'Business Case Split'!Z81</f>
        <v>0</v>
      </c>
      <c r="Y81" s="97">
        <f>'Business Case Split'!AA81</f>
        <v>0</v>
      </c>
      <c r="Z81" s="97">
        <f>'Business Case Split'!AB81</f>
        <v>0</v>
      </c>
      <c r="AA81" s="98">
        <f>'Business Case Split'!AC81</f>
        <v>0</v>
      </c>
      <c r="AB81" s="757"/>
      <c r="AD81" s="416">
        <f t="shared" si="11"/>
        <v>0</v>
      </c>
      <c r="AE81" s="97">
        <f t="shared" si="12"/>
        <v>0</v>
      </c>
      <c r="AF81" s="97">
        <f t="shared" si="13"/>
        <v>0</v>
      </c>
      <c r="AG81" s="97">
        <f t="shared" si="14"/>
        <v>0</v>
      </c>
      <c r="AH81" s="98">
        <f t="shared" si="15"/>
        <v>0</v>
      </c>
      <c r="AI81" s="186"/>
      <c r="AJ81" s="749"/>
    </row>
    <row r="82" spans="1:41" ht="15.75" hidden="1" thickBot="1" x14ac:dyDescent="0.3">
      <c r="A82" s="81" t="s">
        <v>242</v>
      </c>
      <c r="B82" s="82" t="s">
        <v>272</v>
      </c>
      <c r="C82" s="708" t="s">
        <v>644</v>
      </c>
      <c r="D82" s="708" t="s">
        <v>415</v>
      </c>
      <c r="E82" s="718"/>
      <c r="F82" s="173"/>
      <c r="G82" s="173"/>
      <c r="H82" s="173"/>
      <c r="I82" s="719"/>
      <c r="J82" s="712"/>
      <c r="K82" s="175"/>
      <c r="L82" s="175"/>
      <c r="M82" s="175"/>
      <c r="N82" s="614"/>
      <c r="O82" s="421"/>
      <c r="P82" s="727"/>
      <c r="Q82" s="234"/>
      <c r="R82" s="96"/>
      <c r="S82" s="96"/>
      <c r="T82" s="730"/>
      <c r="U82" s="286"/>
      <c r="V82" s="99">
        <f>VLOOKUP(A82,'Distribution Summary'!$A$136:$BJ$146,62,0)</f>
        <v>0</v>
      </c>
      <c r="W82" s="416">
        <f>'Business Case Split'!Y82</f>
        <v>0</v>
      </c>
      <c r="X82" s="97">
        <f>'Business Case Split'!Z82</f>
        <v>0</v>
      </c>
      <c r="Y82" s="97">
        <f>'Business Case Split'!AA82</f>
        <v>0</v>
      </c>
      <c r="Z82" s="97">
        <f>'Business Case Split'!AB82</f>
        <v>0</v>
      </c>
      <c r="AA82" s="98">
        <f>'Business Case Split'!AC82</f>
        <v>0</v>
      </c>
      <c r="AB82" s="757"/>
      <c r="AD82" s="416">
        <f t="shared" si="11"/>
        <v>0</v>
      </c>
      <c r="AE82" s="97">
        <f t="shared" si="12"/>
        <v>0</v>
      </c>
      <c r="AF82" s="97">
        <f t="shared" si="13"/>
        <v>0</v>
      </c>
      <c r="AG82" s="97">
        <f t="shared" si="14"/>
        <v>0</v>
      </c>
      <c r="AH82" s="98">
        <f t="shared" si="15"/>
        <v>0</v>
      </c>
      <c r="AI82" s="186"/>
      <c r="AJ82" s="749"/>
    </row>
    <row r="83" spans="1:41" ht="15.75" hidden="1" thickBot="1" x14ac:dyDescent="0.3">
      <c r="A83" s="100" t="s">
        <v>258</v>
      </c>
      <c r="B83" s="101" t="s">
        <v>272</v>
      </c>
      <c r="C83" s="709" t="s">
        <v>644</v>
      </c>
      <c r="D83" s="709" t="s">
        <v>64</v>
      </c>
      <c r="E83" s="720"/>
      <c r="F83" s="178"/>
      <c r="G83" s="178"/>
      <c r="H83" s="178"/>
      <c r="I83" s="721"/>
      <c r="J83" s="713"/>
      <c r="K83" s="180"/>
      <c r="L83" s="180"/>
      <c r="M83" s="180"/>
      <c r="N83" s="615"/>
      <c r="O83" s="422"/>
      <c r="P83" s="728"/>
      <c r="Q83" s="235"/>
      <c r="R83" s="115"/>
      <c r="S83" s="115"/>
      <c r="T83" s="731"/>
      <c r="U83" s="287"/>
      <c r="V83" s="116">
        <f>VLOOKUP(A83,'Distribution Summary'!$A$136:$BJ$146,62,0)</f>
        <v>30000</v>
      </c>
      <c r="W83" s="467">
        <f>'Business Case Split'!Y83</f>
        <v>0</v>
      </c>
      <c r="X83" s="117">
        <f>'Business Case Split'!Z83</f>
        <v>0</v>
      </c>
      <c r="Y83" s="117">
        <f>'Business Case Split'!AA83</f>
        <v>0</v>
      </c>
      <c r="Z83" s="117">
        <f>'Business Case Split'!AB83</f>
        <v>0</v>
      </c>
      <c r="AA83" s="118">
        <f>'Business Case Split'!AC83</f>
        <v>0</v>
      </c>
      <c r="AB83" s="758"/>
      <c r="AD83" s="467">
        <f t="shared" si="11"/>
        <v>0</v>
      </c>
      <c r="AE83" s="117">
        <f t="shared" si="12"/>
        <v>0</v>
      </c>
      <c r="AF83" s="117">
        <f t="shared" si="13"/>
        <v>0</v>
      </c>
      <c r="AG83" s="117">
        <f t="shared" si="14"/>
        <v>0</v>
      </c>
      <c r="AH83" s="118">
        <f t="shared" si="15"/>
        <v>0</v>
      </c>
      <c r="AI83" s="186"/>
      <c r="AJ83" s="749"/>
    </row>
    <row r="84" spans="1:41" s="684" customFormat="1" ht="15.75" hidden="1" thickBot="1" x14ac:dyDescent="0.3">
      <c r="A84" s="961" t="s">
        <v>296</v>
      </c>
      <c r="B84" s="962" t="s">
        <v>638</v>
      </c>
      <c r="C84" s="963" t="s">
        <v>643</v>
      </c>
      <c r="D84" s="963" t="s">
        <v>409</v>
      </c>
      <c r="E84" s="964"/>
      <c r="F84" s="965"/>
      <c r="G84" s="965"/>
      <c r="H84" s="965"/>
      <c r="I84" s="966"/>
      <c r="J84" s="967"/>
      <c r="K84" s="968"/>
      <c r="L84" s="968"/>
      <c r="M84" s="968"/>
      <c r="N84" s="969"/>
      <c r="O84" s="698"/>
      <c r="P84" s="970"/>
      <c r="Q84" s="971"/>
      <c r="R84" s="696"/>
      <c r="S84" s="696"/>
      <c r="T84" s="696"/>
      <c r="U84" s="970"/>
      <c r="V84" s="972">
        <f>VLOOKUP(A84,'Distribution Summary'!$A$136:$BJ$146,62,0)</f>
        <v>1800</v>
      </c>
      <c r="W84" s="973">
        <f>'Business Case Split'!Y84</f>
        <v>0</v>
      </c>
      <c r="X84" s="974">
        <f>'Business Case Split'!Z84</f>
        <v>0</v>
      </c>
      <c r="Y84" s="974">
        <f>'Business Case Split'!AA84</f>
        <v>0</v>
      </c>
      <c r="Z84" s="974">
        <f>'Business Case Split'!AB84</f>
        <v>0</v>
      </c>
      <c r="AA84" s="975">
        <f>'Business Case Split'!AC84</f>
        <v>0</v>
      </c>
      <c r="AB84" s="976"/>
      <c r="AD84" s="973">
        <f t="shared" si="11"/>
        <v>0</v>
      </c>
      <c r="AE84" s="974">
        <f t="shared" si="12"/>
        <v>0</v>
      </c>
      <c r="AF84" s="974">
        <f t="shared" si="13"/>
        <v>0</v>
      </c>
      <c r="AG84" s="974">
        <f t="shared" si="14"/>
        <v>0</v>
      </c>
      <c r="AH84" s="975">
        <f t="shared" si="15"/>
        <v>0</v>
      </c>
      <c r="AI84" s="977"/>
      <c r="AJ84" s="978"/>
    </row>
    <row r="85" spans="1:41" s="684" customFormat="1" ht="15.75" hidden="1" thickBot="1" x14ac:dyDescent="0.3">
      <c r="A85" s="979" t="s">
        <v>27</v>
      </c>
      <c r="B85" s="980" t="s">
        <v>638</v>
      </c>
      <c r="C85" s="981" t="s">
        <v>643</v>
      </c>
      <c r="D85" s="981" t="s">
        <v>410</v>
      </c>
      <c r="E85" s="982"/>
      <c r="F85" s="983"/>
      <c r="G85" s="983"/>
      <c r="H85" s="983"/>
      <c r="I85" s="984"/>
      <c r="J85" s="985"/>
      <c r="K85" s="986"/>
      <c r="L85" s="986"/>
      <c r="M85" s="986"/>
      <c r="N85" s="987"/>
      <c r="O85" s="699"/>
      <c r="P85" s="988"/>
      <c r="Q85" s="989"/>
      <c r="R85" s="689"/>
      <c r="S85" s="689"/>
      <c r="T85" s="689"/>
      <c r="U85" s="988"/>
      <c r="V85" s="990">
        <f>VLOOKUP(A85,'Distribution Summary'!$A$136:$BJ$146,62,0)</f>
        <v>6236.1822982950935</v>
      </c>
      <c r="W85" s="991">
        <f>'Business Case Split'!Y85</f>
        <v>0</v>
      </c>
      <c r="X85" s="992">
        <f>'Business Case Split'!Z85</f>
        <v>0</v>
      </c>
      <c r="Y85" s="992">
        <f>'Business Case Split'!AA85</f>
        <v>0</v>
      </c>
      <c r="Z85" s="992">
        <f>'Business Case Split'!AB85</f>
        <v>0</v>
      </c>
      <c r="AA85" s="993">
        <f>'Business Case Split'!AC85</f>
        <v>0</v>
      </c>
      <c r="AB85" s="994"/>
      <c r="AD85" s="991">
        <f t="shared" si="11"/>
        <v>0</v>
      </c>
      <c r="AE85" s="992">
        <f t="shared" si="12"/>
        <v>0</v>
      </c>
      <c r="AF85" s="992">
        <f t="shared" si="13"/>
        <v>0</v>
      </c>
      <c r="AG85" s="992">
        <f t="shared" si="14"/>
        <v>0</v>
      </c>
      <c r="AH85" s="993">
        <f t="shared" si="15"/>
        <v>0</v>
      </c>
      <c r="AI85" s="977"/>
      <c r="AJ85" s="995"/>
    </row>
    <row r="86" spans="1:41" s="684" customFormat="1" ht="15.75" hidden="1" thickBot="1" x14ac:dyDescent="0.3">
      <c r="A86" s="979" t="s">
        <v>68</v>
      </c>
      <c r="B86" s="980" t="s">
        <v>638</v>
      </c>
      <c r="C86" s="981" t="s">
        <v>643</v>
      </c>
      <c r="D86" s="981" t="s">
        <v>411</v>
      </c>
      <c r="E86" s="982"/>
      <c r="F86" s="983"/>
      <c r="G86" s="983"/>
      <c r="H86" s="983"/>
      <c r="I86" s="984"/>
      <c r="J86" s="985"/>
      <c r="K86" s="986"/>
      <c r="L86" s="986"/>
      <c r="M86" s="986"/>
      <c r="N86" s="987"/>
      <c r="O86" s="699"/>
      <c r="P86" s="988"/>
      <c r="Q86" s="989"/>
      <c r="R86" s="689"/>
      <c r="S86" s="689"/>
      <c r="T86" s="689"/>
      <c r="U86" s="988"/>
      <c r="V86" s="990">
        <f>VLOOKUP(A86,'Distribution Summary'!$A$136:$BJ$146,62,0)</f>
        <v>2810.5410327755412</v>
      </c>
      <c r="W86" s="991">
        <f>'Business Case Split'!Y86</f>
        <v>0</v>
      </c>
      <c r="X86" s="992">
        <f>'Business Case Split'!Z86</f>
        <v>0</v>
      </c>
      <c r="Y86" s="992">
        <f>'Business Case Split'!AA86</f>
        <v>0</v>
      </c>
      <c r="Z86" s="992">
        <f>'Business Case Split'!AB86</f>
        <v>0</v>
      </c>
      <c r="AA86" s="993">
        <f>'Business Case Split'!AC86</f>
        <v>0</v>
      </c>
      <c r="AB86" s="994"/>
      <c r="AD86" s="991">
        <f t="shared" si="11"/>
        <v>0</v>
      </c>
      <c r="AE86" s="992">
        <f t="shared" si="12"/>
        <v>0</v>
      </c>
      <c r="AF86" s="992">
        <f t="shared" si="13"/>
        <v>0</v>
      </c>
      <c r="AG86" s="992">
        <f t="shared" si="14"/>
        <v>0</v>
      </c>
      <c r="AH86" s="993">
        <f t="shared" si="15"/>
        <v>0</v>
      </c>
      <c r="AI86" s="977"/>
      <c r="AJ86" s="996"/>
    </row>
    <row r="87" spans="1:41" s="684" customFormat="1" ht="15.75" hidden="1" thickBot="1" x14ac:dyDescent="0.3">
      <c r="A87" s="979" t="s">
        <v>81</v>
      </c>
      <c r="B87" s="980" t="s">
        <v>638</v>
      </c>
      <c r="C87" s="981" t="s">
        <v>643</v>
      </c>
      <c r="D87" s="981" t="s">
        <v>270</v>
      </c>
      <c r="E87" s="982"/>
      <c r="F87" s="983"/>
      <c r="G87" s="983"/>
      <c r="H87" s="983"/>
      <c r="I87" s="984"/>
      <c r="J87" s="997"/>
      <c r="K87" s="998"/>
      <c r="L87" s="998"/>
      <c r="M87" s="998"/>
      <c r="N87" s="999"/>
      <c r="O87" s="699"/>
      <c r="P87" s="988"/>
      <c r="Q87" s="989"/>
      <c r="R87" s="689"/>
      <c r="S87" s="689"/>
      <c r="T87" s="689"/>
      <c r="U87" s="988"/>
      <c r="V87" s="990">
        <f>VLOOKUP(A87,'Distribution Summary'!$A$136:$BJ$146,62,0)</f>
        <v>56912.19365276918</v>
      </c>
      <c r="W87" s="991">
        <f>'Business Case Split'!Y87</f>
        <v>0</v>
      </c>
      <c r="X87" s="992">
        <f>'Business Case Split'!Z87</f>
        <v>0</v>
      </c>
      <c r="Y87" s="992">
        <f>'Business Case Split'!AA87</f>
        <v>0</v>
      </c>
      <c r="Z87" s="992">
        <f>'Business Case Split'!AB87</f>
        <v>0</v>
      </c>
      <c r="AA87" s="993">
        <f>'Business Case Split'!AC87</f>
        <v>0</v>
      </c>
      <c r="AB87" s="994"/>
      <c r="AD87" s="991">
        <f t="shared" si="11"/>
        <v>0</v>
      </c>
      <c r="AE87" s="992">
        <f t="shared" si="12"/>
        <v>0</v>
      </c>
      <c r="AF87" s="992">
        <f t="shared" si="13"/>
        <v>0</v>
      </c>
      <c r="AG87" s="992">
        <f t="shared" si="14"/>
        <v>0</v>
      </c>
      <c r="AH87" s="993">
        <f t="shared" si="15"/>
        <v>0</v>
      </c>
      <c r="AI87" s="977"/>
      <c r="AJ87" s="995"/>
    </row>
    <row r="88" spans="1:41" s="684" customFormat="1" ht="15.75" hidden="1" thickBot="1" x14ac:dyDescent="0.3">
      <c r="A88" s="979" t="s">
        <v>94</v>
      </c>
      <c r="B88" s="980" t="s">
        <v>638</v>
      </c>
      <c r="C88" s="981" t="s">
        <v>643</v>
      </c>
      <c r="D88" s="981" t="s">
        <v>412</v>
      </c>
      <c r="E88" s="982"/>
      <c r="F88" s="983"/>
      <c r="G88" s="983"/>
      <c r="H88" s="983"/>
      <c r="I88" s="984"/>
      <c r="J88" s="985"/>
      <c r="K88" s="986"/>
      <c r="L88" s="986"/>
      <c r="M88" s="986"/>
      <c r="N88" s="987"/>
      <c r="O88" s="699"/>
      <c r="P88" s="988"/>
      <c r="Q88" s="989"/>
      <c r="R88" s="689"/>
      <c r="S88" s="689"/>
      <c r="T88" s="689"/>
      <c r="U88" s="988"/>
      <c r="V88" s="990">
        <f>VLOOKUP(A88,'Distribution Summary'!$A$136:$BJ$146,62,0)</f>
        <v>322727.75622787437</v>
      </c>
      <c r="W88" s="991">
        <f>'Business Case Split'!Y88</f>
        <v>0</v>
      </c>
      <c r="X88" s="992">
        <f>'Business Case Split'!Z88</f>
        <v>0</v>
      </c>
      <c r="Y88" s="992">
        <f>'Business Case Split'!AA88</f>
        <v>0</v>
      </c>
      <c r="Z88" s="992">
        <f>'Business Case Split'!AB88</f>
        <v>0</v>
      </c>
      <c r="AA88" s="993">
        <f>'Business Case Split'!AC88</f>
        <v>0</v>
      </c>
      <c r="AB88" s="994"/>
      <c r="AD88" s="991">
        <f t="shared" si="11"/>
        <v>0</v>
      </c>
      <c r="AE88" s="992">
        <f t="shared" si="12"/>
        <v>0</v>
      </c>
      <c r="AF88" s="992">
        <f t="shared" si="13"/>
        <v>0</v>
      </c>
      <c r="AG88" s="992">
        <f t="shared" si="14"/>
        <v>0</v>
      </c>
      <c r="AH88" s="993">
        <f t="shared" si="15"/>
        <v>0</v>
      </c>
      <c r="AI88" s="977"/>
      <c r="AJ88" s="995"/>
    </row>
    <row r="89" spans="1:41" s="684" customFormat="1" ht="15.75" hidden="1" thickBot="1" x14ac:dyDescent="0.3">
      <c r="A89" s="979" t="s">
        <v>106</v>
      </c>
      <c r="B89" s="980" t="s">
        <v>638</v>
      </c>
      <c r="C89" s="981" t="s">
        <v>643</v>
      </c>
      <c r="D89" s="981" t="s">
        <v>272</v>
      </c>
      <c r="E89" s="982"/>
      <c r="F89" s="983"/>
      <c r="G89" s="983"/>
      <c r="H89" s="983"/>
      <c r="I89" s="984"/>
      <c r="J89" s="985"/>
      <c r="K89" s="986"/>
      <c r="L89" s="986"/>
      <c r="M89" s="986"/>
      <c r="N89" s="987"/>
      <c r="O89" s="699"/>
      <c r="P89" s="988"/>
      <c r="Q89" s="989"/>
      <c r="R89" s="689"/>
      <c r="S89" s="689"/>
      <c r="T89" s="689"/>
      <c r="U89" s="988"/>
      <c r="V89" s="990">
        <f>VLOOKUP(A89,'Distribution Summary'!$A$136:$BJ$146,62,0)</f>
        <v>1339.2666347282993</v>
      </c>
      <c r="W89" s="991">
        <f>'Business Case Split'!Y89</f>
        <v>0</v>
      </c>
      <c r="X89" s="992">
        <f>'Business Case Split'!Z89</f>
        <v>0</v>
      </c>
      <c r="Y89" s="992">
        <f>'Business Case Split'!AA89</f>
        <v>0</v>
      </c>
      <c r="Z89" s="992">
        <f>'Business Case Split'!AB89</f>
        <v>0</v>
      </c>
      <c r="AA89" s="993">
        <f>'Business Case Split'!AC89</f>
        <v>0</v>
      </c>
      <c r="AB89" s="994"/>
      <c r="AD89" s="991">
        <f t="shared" si="11"/>
        <v>0</v>
      </c>
      <c r="AE89" s="992">
        <f t="shared" si="12"/>
        <v>0</v>
      </c>
      <c r="AF89" s="992">
        <f t="shared" si="13"/>
        <v>0</v>
      </c>
      <c r="AG89" s="992">
        <f t="shared" si="14"/>
        <v>0</v>
      </c>
      <c r="AH89" s="993">
        <f t="shared" si="15"/>
        <v>0</v>
      </c>
      <c r="AI89" s="977"/>
      <c r="AJ89" s="995"/>
    </row>
    <row r="90" spans="1:41" s="684" customFormat="1" ht="15.75" hidden="1" thickBot="1" x14ac:dyDescent="0.3">
      <c r="A90" s="979" t="s">
        <v>138</v>
      </c>
      <c r="B90" s="980" t="s">
        <v>638</v>
      </c>
      <c r="C90" s="981" t="s">
        <v>643</v>
      </c>
      <c r="D90" s="981" t="s">
        <v>413</v>
      </c>
      <c r="E90" s="982">
        <v>50364051.328778177</v>
      </c>
      <c r="F90" s="983">
        <v>61750667.000000007</v>
      </c>
      <c r="G90" s="983">
        <v>51587767.599228106</v>
      </c>
      <c r="H90" s="983">
        <v>60010317.906087011</v>
      </c>
      <c r="I90" s="984">
        <v>60881239.6951693</v>
      </c>
      <c r="J90" s="985">
        <v>1328</v>
      </c>
      <c r="K90" s="986">
        <v>1225</v>
      </c>
      <c r="L90" s="986">
        <v>1198</v>
      </c>
      <c r="M90" s="986">
        <v>1265</v>
      </c>
      <c r="N90" s="987">
        <v>979</v>
      </c>
      <c r="O90" s="699">
        <f>'Defect (Total)'!BC187</f>
        <v>1278.5659932491421</v>
      </c>
      <c r="P90" s="988">
        <f>'Defect (Total)'!BD187</f>
        <v>1278.5659932491421</v>
      </c>
      <c r="Q90" s="989">
        <f>'Defect (Total)'!BE187</f>
        <v>551.67751385677047</v>
      </c>
      <c r="R90" s="689">
        <f>'Defect (Total)'!BF187</f>
        <v>551.67751385677047</v>
      </c>
      <c r="S90" s="689">
        <f>'Defect (Total)'!BG187</f>
        <v>551.67751385677047</v>
      </c>
      <c r="T90" s="689">
        <f>'Defect (Total)'!BH187</f>
        <v>551.67751385677047</v>
      </c>
      <c r="U90" s="988">
        <f>'Defect (Total)'!BI187</f>
        <v>551.67751385677047</v>
      </c>
      <c r="V90" s="990">
        <f>VLOOKUP(A90,'Distribution Summary'!$A$136:$BJ$146,62,0)</f>
        <v>28527.37387874335</v>
      </c>
      <c r="W90" s="991">
        <f>'Business Case Split'!Y90</f>
        <v>15737910.698287707</v>
      </c>
      <c r="X90" s="992">
        <f>'Business Case Split'!Z90</f>
        <v>15737910.698287707</v>
      </c>
      <c r="Y90" s="992">
        <f>'Business Case Split'!AA90</f>
        <v>15737910.698287707</v>
      </c>
      <c r="Z90" s="992">
        <f>'Business Case Split'!AB90</f>
        <v>15737910.698287707</v>
      </c>
      <c r="AA90" s="993">
        <f>'Business Case Split'!AC90</f>
        <v>15737910.698287707</v>
      </c>
      <c r="AB90" s="994"/>
      <c r="AD90" s="991">
        <f t="shared" si="11"/>
        <v>17985542.263095137</v>
      </c>
      <c r="AE90" s="992">
        <f t="shared" si="12"/>
        <v>18070565.423757557</v>
      </c>
      <c r="AF90" s="992">
        <f t="shared" si="13"/>
        <v>18155392.499591541</v>
      </c>
      <c r="AG90" s="992">
        <f t="shared" si="14"/>
        <v>18256682.812278841</v>
      </c>
      <c r="AH90" s="993">
        <f t="shared" si="15"/>
        <v>18373905.007927451</v>
      </c>
      <c r="AI90" s="977"/>
      <c r="AJ90" s="995">
        <f>AD90/1000000</f>
        <v>17.985542263095137</v>
      </c>
      <c r="AK90" s="995">
        <f t="shared" ref="AK90:AN90" si="16">AE90/1000000</f>
        <v>18.070565423757557</v>
      </c>
      <c r="AL90" s="995">
        <f t="shared" si="16"/>
        <v>18.155392499591539</v>
      </c>
      <c r="AM90" s="995">
        <f t="shared" si="16"/>
        <v>18.256682812278839</v>
      </c>
      <c r="AN90" s="995">
        <f t="shared" si="16"/>
        <v>18.373905007927451</v>
      </c>
      <c r="AO90" s="995">
        <f>SUM(AJ90:AN90)</f>
        <v>90.842088006650528</v>
      </c>
    </row>
    <row r="91" spans="1:41" s="684" customFormat="1" ht="15.75" hidden="1" thickBot="1" x14ac:dyDescent="0.3">
      <c r="A91" s="979" t="s">
        <v>196</v>
      </c>
      <c r="B91" s="980" t="s">
        <v>638</v>
      </c>
      <c r="C91" s="981" t="s">
        <v>643</v>
      </c>
      <c r="D91" s="981" t="s">
        <v>274</v>
      </c>
      <c r="E91" s="982"/>
      <c r="F91" s="983"/>
      <c r="G91" s="983"/>
      <c r="H91" s="983"/>
      <c r="I91" s="984"/>
      <c r="J91" s="985"/>
      <c r="K91" s="986"/>
      <c r="L91" s="986"/>
      <c r="M91" s="986"/>
      <c r="N91" s="987"/>
      <c r="O91" s="699"/>
      <c r="P91" s="988"/>
      <c r="Q91" s="989"/>
      <c r="R91" s="689"/>
      <c r="S91" s="689"/>
      <c r="T91" s="689"/>
      <c r="U91" s="988"/>
      <c r="V91" s="990">
        <f>VLOOKUP(A91,'Distribution Summary'!$A$136:$BJ$146,62,0)</f>
        <v>9639.239384840419</v>
      </c>
      <c r="W91" s="991">
        <f>'Business Case Split'!Y91</f>
        <v>0</v>
      </c>
      <c r="X91" s="992">
        <f>'Business Case Split'!Z91</f>
        <v>0</v>
      </c>
      <c r="Y91" s="992">
        <f>'Business Case Split'!AA91</f>
        <v>0</v>
      </c>
      <c r="Z91" s="992">
        <f>'Business Case Split'!AB91</f>
        <v>0</v>
      </c>
      <c r="AA91" s="993">
        <f>'Business Case Split'!AC91</f>
        <v>0</v>
      </c>
      <c r="AB91" s="994"/>
      <c r="AD91" s="991">
        <f t="shared" si="11"/>
        <v>0</v>
      </c>
      <c r="AE91" s="992">
        <f t="shared" si="12"/>
        <v>0</v>
      </c>
      <c r="AF91" s="992">
        <f t="shared" si="13"/>
        <v>0</v>
      </c>
      <c r="AG91" s="992">
        <f t="shared" si="14"/>
        <v>0</v>
      </c>
      <c r="AH91" s="993">
        <f t="shared" si="15"/>
        <v>0</v>
      </c>
      <c r="AI91" s="977"/>
      <c r="AJ91" s="995"/>
    </row>
    <row r="92" spans="1:41" s="684" customFormat="1" ht="15.75" hidden="1" thickBot="1" x14ac:dyDescent="0.3">
      <c r="A92" s="979" t="s">
        <v>224</v>
      </c>
      <c r="B92" s="980" t="s">
        <v>638</v>
      </c>
      <c r="C92" s="981" t="s">
        <v>643</v>
      </c>
      <c r="D92" s="981" t="s">
        <v>414</v>
      </c>
      <c r="E92" s="982"/>
      <c r="F92" s="983"/>
      <c r="G92" s="983"/>
      <c r="H92" s="983"/>
      <c r="I92" s="984"/>
      <c r="J92" s="985"/>
      <c r="K92" s="986"/>
      <c r="L92" s="986"/>
      <c r="M92" s="986"/>
      <c r="N92" s="987"/>
      <c r="O92" s="699"/>
      <c r="P92" s="988"/>
      <c r="Q92" s="989"/>
      <c r="R92" s="689"/>
      <c r="S92" s="689"/>
      <c r="T92" s="689"/>
      <c r="U92" s="988"/>
      <c r="V92" s="990">
        <f>VLOOKUP(A92,'Distribution Summary'!$A$136:$BJ$146,62,0)</f>
        <v>0</v>
      </c>
      <c r="W92" s="991">
        <f>'Business Case Split'!Y92</f>
        <v>0</v>
      </c>
      <c r="X92" s="992">
        <f>'Business Case Split'!Z92</f>
        <v>0</v>
      </c>
      <c r="Y92" s="992">
        <f>'Business Case Split'!AA92</f>
        <v>0</v>
      </c>
      <c r="Z92" s="992">
        <f>'Business Case Split'!AB92</f>
        <v>0</v>
      </c>
      <c r="AA92" s="993">
        <f>'Business Case Split'!AC92</f>
        <v>0</v>
      </c>
      <c r="AB92" s="994"/>
      <c r="AD92" s="991">
        <f t="shared" si="11"/>
        <v>0</v>
      </c>
      <c r="AE92" s="992">
        <f t="shared" si="12"/>
        <v>0</v>
      </c>
      <c r="AF92" s="992">
        <f t="shared" si="13"/>
        <v>0</v>
      </c>
      <c r="AG92" s="992">
        <f t="shared" si="14"/>
        <v>0</v>
      </c>
      <c r="AH92" s="993">
        <f t="shared" si="15"/>
        <v>0</v>
      </c>
      <c r="AI92" s="977"/>
      <c r="AJ92" s="995"/>
    </row>
    <row r="93" spans="1:41" s="684" customFormat="1" ht="15.75" hidden="1" thickBot="1" x14ac:dyDescent="0.3">
      <c r="A93" s="979" t="s">
        <v>242</v>
      </c>
      <c r="B93" s="980" t="s">
        <v>638</v>
      </c>
      <c r="C93" s="981" t="s">
        <v>643</v>
      </c>
      <c r="D93" s="981" t="s">
        <v>415</v>
      </c>
      <c r="E93" s="982"/>
      <c r="F93" s="983"/>
      <c r="G93" s="983"/>
      <c r="H93" s="983"/>
      <c r="I93" s="984"/>
      <c r="J93" s="985"/>
      <c r="K93" s="986"/>
      <c r="L93" s="986"/>
      <c r="M93" s="986"/>
      <c r="N93" s="987"/>
      <c r="O93" s="699"/>
      <c r="P93" s="988"/>
      <c r="Q93" s="989"/>
      <c r="R93" s="689"/>
      <c r="S93" s="689"/>
      <c r="T93" s="689"/>
      <c r="U93" s="988"/>
      <c r="V93" s="990">
        <f>VLOOKUP(A93,'Distribution Summary'!$A$136:$BJ$146,62,0)</f>
        <v>0</v>
      </c>
      <c r="W93" s="991">
        <f>'Business Case Split'!Y93</f>
        <v>0</v>
      </c>
      <c r="X93" s="992">
        <f>'Business Case Split'!Z93</f>
        <v>0</v>
      </c>
      <c r="Y93" s="992">
        <f>'Business Case Split'!AA93</f>
        <v>0</v>
      </c>
      <c r="Z93" s="992">
        <f>'Business Case Split'!AB93</f>
        <v>0</v>
      </c>
      <c r="AA93" s="993">
        <f>'Business Case Split'!AC93</f>
        <v>0</v>
      </c>
      <c r="AB93" s="994"/>
      <c r="AD93" s="991">
        <f t="shared" si="11"/>
        <v>0</v>
      </c>
      <c r="AE93" s="992">
        <f t="shared" si="12"/>
        <v>0</v>
      </c>
      <c r="AF93" s="992">
        <f t="shared" si="13"/>
        <v>0</v>
      </c>
      <c r="AG93" s="992">
        <f t="shared" si="14"/>
        <v>0</v>
      </c>
      <c r="AH93" s="993">
        <f t="shared" si="15"/>
        <v>0</v>
      </c>
      <c r="AI93" s="977"/>
      <c r="AJ93" s="995"/>
    </row>
    <row r="94" spans="1:41" s="684" customFormat="1" ht="15.75" hidden="1" thickBot="1" x14ac:dyDescent="0.3">
      <c r="A94" s="1000" t="s">
        <v>258</v>
      </c>
      <c r="B94" s="1001" t="s">
        <v>638</v>
      </c>
      <c r="C94" s="1002" t="s">
        <v>643</v>
      </c>
      <c r="D94" s="1002" t="s">
        <v>64</v>
      </c>
      <c r="E94" s="1003"/>
      <c r="F94" s="1004"/>
      <c r="G94" s="1004"/>
      <c r="H94" s="1004"/>
      <c r="I94" s="1005"/>
      <c r="J94" s="1006"/>
      <c r="K94" s="1007"/>
      <c r="L94" s="1007"/>
      <c r="M94" s="1007"/>
      <c r="N94" s="1008"/>
      <c r="O94" s="700"/>
      <c r="P94" s="1009"/>
      <c r="Q94" s="1010"/>
      <c r="R94" s="690"/>
      <c r="S94" s="690"/>
      <c r="T94" s="690"/>
      <c r="U94" s="1009"/>
      <c r="V94" s="1011">
        <f>VLOOKUP(A94,'Distribution Summary'!$A$136:$BJ$146,62,0)</f>
        <v>30000</v>
      </c>
      <c r="W94" s="1012">
        <f>'Business Case Split'!Y94</f>
        <v>0</v>
      </c>
      <c r="X94" s="1013">
        <f>'Business Case Split'!Z94</f>
        <v>0</v>
      </c>
      <c r="Y94" s="1013">
        <f>'Business Case Split'!AA94</f>
        <v>0</v>
      </c>
      <c r="Z94" s="1013">
        <f>'Business Case Split'!AB94</f>
        <v>0</v>
      </c>
      <c r="AA94" s="1014">
        <f>'Business Case Split'!AC94</f>
        <v>0</v>
      </c>
      <c r="AB94" s="1015"/>
      <c r="AD94" s="1012">
        <f t="shared" si="11"/>
        <v>0</v>
      </c>
      <c r="AE94" s="1013">
        <f t="shared" si="12"/>
        <v>0</v>
      </c>
      <c r="AF94" s="1013">
        <f t="shared" si="13"/>
        <v>0</v>
      </c>
      <c r="AG94" s="1013">
        <f t="shared" si="14"/>
        <v>0</v>
      </c>
      <c r="AH94" s="1014">
        <f t="shared" si="15"/>
        <v>0</v>
      </c>
      <c r="AI94" s="977"/>
      <c r="AJ94" s="995"/>
    </row>
    <row r="95" spans="1:41" s="684" customFormat="1" ht="15.75" hidden="1" thickBot="1" x14ac:dyDescent="0.3">
      <c r="A95" s="961" t="s">
        <v>296</v>
      </c>
      <c r="B95" s="962" t="s">
        <v>639</v>
      </c>
      <c r="C95" s="963" t="s">
        <v>643</v>
      </c>
      <c r="D95" s="963" t="s">
        <v>409</v>
      </c>
      <c r="E95" s="964"/>
      <c r="F95" s="965"/>
      <c r="G95" s="965"/>
      <c r="H95" s="965"/>
      <c r="I95" s="966"/>
      <c r="J95" s="967"/>
      <c r="K95" s="968"/>
      <c r="L95" s="968"/>
      <c r="M95" s="968"/>
      <c r="N95" s="969"/>
      <c r="O95" s="698"/>
      <c r="P95" s="970"/>
      <c r="Q95" s="971"/>
      <c r="R95" s="696"/>
      <c r="S95" s="696"/>
      <c r="T95" s="696"/>
      <c r="U95" s="970"/>
      <c r="V95" s="972">
        <f>VLOOKUP(A95,'Distribution Summary'!$A$136:$BJ$146,62,0)</f>
        <v>1800</v>
      </c>
      <c r="W95" s="973">
        <f>'Business Case Split'!Y95</f>
        <v>0</v>
      </c>
      <c r="X95" s="974">
        <f>'Business Case Split'!Z95</f>
        <v>0</v>
      </c>
      <c r="Y95" s="974">
        <f>'Business Case Split'!AA95</f>
        <v>0</v>
      </c>
      <c r="Z95" s="974">
        <f>'Business Case Split'!AB95</f>
        <v>0</v>
      </c>
      <c r="AA95" s="975">
        <f>'Business Case Split'!AC95</f>
        <v>0</v>
      </c>
      <c r="AB95" s="976"/>
      <c r="AD95" s="973">
        <f t="shared" si="11"/>
        <v>0</v>
      </c>
      <c r="AE95" s="974">
        <f t="shared" si="12"/>
        <v>0</v>
      </c>
      <c r="AF95" s="974">
        <f t="shared" si="13"/>
        <v>0</v>
      </c>
      <c r="AG95" s="974">
        <f t="shared" si="14"/>
        <v>0</v>
      </c>
      <c r="AH95" s="975">
        <f t="shared" si="15"/>
        <v>0</v>
      </c>
      <c r="AI95" s="977"/>
      <c r="AJ95" s="978"/>
    </row>
    <row r="96" spans="1:41" s="684" customFormat="1" ht="15.75" hidden="1" thickBot="1" x14ac:dyDescent="0.3">
      <c r="A96" s="979" t="s">
        <v>27</v>
      </c>
      <c r="B96" s="980" t="s">
        <v>639</v>
      </c>
      <c r="C96" s="981" t="s">
        <v>643</v>
      </c>
      <c r="D96" s="981" t="s">
        <v>410</v>
      </c>
      <c r="E96" s="982"/>
      <c r="F96" s="983"/>
      <c r="G96" s="983"/>
      <c r="H96" s="983"/>
      <c r="I96" s="984"/>
      <c r="J96" s="985"/>
      <c r="K96" s="986"/>
      <c r="L96" s="986"/>
      <c r="M96" s="986"/>
      <c r="N96" s="987"/>
      <c r="O96" s="699"/>
      <c r="P96" s="988"/>
      <c r="Q96" s="989"/>
      <c r="R96" s="689"/>
      <c r="S96" s="689"/>
      <c r="T96" s="689"/>
      <c r="U96" s="988"/>
      <c r="V96" s="990">
        <f>VLOOKUP(A96,'Distribution Summary'!$A$136:$BJ$146,62,0)</f>
        <v>6236.1822982950935</v>
      </c>
      <c r="W96" s="991">
        <f>'Business Case Split'!Y96</f>
        <v>0</v>
      </c>
      <c r="X96" s="992">
        <f>'Business Case Split'!Z96</f>
        <v>0</v>
      </c>
      <c r="Y96" s="992">
        <f>'Business Case Split'!AA96</f>
        <v>0</v>
      </c>
      <c r="Z96" s="992">
        <f>'Business Case Split'!AB96</f>
        <v>0</v>
      </c>
      <c r="AA96" s="993">
        <f>'Business Case Split'!AC96</f>
        <v>0</v>
      </c>
      <c r="AB96" s="994"/>
      <c r="AD96" s="991">
        <f t="shared" si="11"/>
        <v>0</v>
      </c>
      <c r="AE96" s="992">
        <f t="shared" si="12"/>
        <v>0</v>
      </c>
      <c r="AF96" s="992">
        <f t="shared" si="13"/>
        <v>0</v>
      </c>
      <c r="AG96" s="992">
        <f t="shared" si="14"/>
        <v>0</v>
      </c>
      <c r="AH96" s="993">
        <f t="shared" si="15"/>
        <v>0</v>
      </c>
      <c r="AI96" s="977"/>
      <c r="AJ96" s="995"/>
    </row>
    <row r="97" spans="1:41" s="684" customFormat="1" ht="15.75" hidden="1" thickBot="1" x14ac:dyDescent="0.3">
      <c r="A97" s="979" t="s">
        <v>68</v>
      </c>
      <c r="B97" s="980" t="s">
        <v>639</v>
      </c>
      <c r="C97" s="981" t="s">
        <v>643</v>
      </c>
      <c r="D97" s="981" t="s">
        <v>411</v>
      </c>
      <c r="E97" s="982"/>
      <c r="F97" s="983"/>
      <c r="G97" s="983"/>
      <c r="H97" s="983"/>
      <c r="I97" s="984"/>
      <c r="J97" s="985"/>
      <c r="K97" s="986"/>
      <c r="L97" s="986"/>
      <c r="M97" s="986"/>
      <c r="N97" s="987"/>
      <c r="O97" s="699"/>
      <c r="P97" s="988"/>
      <c r="Q97" s="989"/>
      <c r="R97" s="689"/>
      <c r="S97" s="689"/>
      <c r="T97" s="689"/>
      <c r="U97" s="988"/>
      <c r="V97" s="990">
        <f>VLOOKUP(A97,'Distribution Summary'!$A$136:$BJ$146,62,0)</f>
        <v>2810.5410327755412</v>
      </c>
      <c r="W97" s="991">
        <f>'Business Case Split'!Y97</f>
        <v>0</v>
      </c>
      <c r="X97" s="992">
        <f>'Business Case Split'!Z97</f>
        <v>0</v>
      </c>
      <c r="Y97" s="992">
        <f>'Business Case Split'!AA97</f>
        <v>0</v>
      </c>
      <c r="Z97" s="992">
        <f>'Business Case Split'!AB97</f>
        <v>0</v>
      </c>
      <c r="AA97" s="993">
        <f>'Business Case Split'!AC97</f>
        <v>0</v>
      </c>
      <c r="AB97" s="994"/>
      <c r="AD97" s="991">
        <f t="shared" si="11"/>
        <v>0</v>
      </c>
      <c r="AE97" s="992">
        <f t="shared" si="12"/>
        <v>0</v>
      </c>
      <c r="AF97" s="992">
        <f t="shared" si="13"/>
        <v>0</v>
      </c>
      <c r="AG97" s="992">
        <f t="shared" si="14"/>
        <v>0</v>
      </c>
      <c r="AH97" s="993">
        <f t="shared" si="15"/>
        <v>0</v>
      </c>
      <c r="AI97" s="977"/>
      <c r="AJ97" s="996"/>
    </row>
    <row r="98" spans="1:41" s="684" customFormat="1" ht="15.75" hidden="1" thickBot="1" x14ac:dyDescent="0.3">
      <c r="A98" s="979" t="s">
        <v>81</v>
      </c>
      <c r="B98" s="980" t="s">
        <v>639</v>
      </c>
      <c r="C98" s="981" t="s">
        <v>643</v>
      </c>
      <c r="D98" s="981" t="s">
        <v>270</v>
      </c>
      <c r="E98" s="982"/>
      <c r="F98" s="983"/>
      <c r="G98" s="983"/>
      <c r="H98" s="983"/>
      <c r="I98" s="984"/>
      <c r="J98" s="997"/>
      <c r="K98" s="998"/>
      <c r="L98" s="998"/>
      <c r="M98" s="998"/>
      <c r="N98" s="999"/>
      <c r="O98" s="699"/>
      <c r="P98" s="988"/>
      <c r="Q98" s="989"/>
      <c r="R98" s="689"/>
      <c r="S98" s="689"/>
      <c r="T98" s="689"/>
      <c r="U98" s="988"/>
      <c r="V98" s="990">
        <f>VLOOKUP(A98,'Distribution Summary'!$A$136:$BJ$146,62,0)</f>
        <v>56912.19365276918</v>
      </c>
      <c r="W98" s="991">
        <f>'Business Case Split'!Y98</f>
        <v>0</v>
      </c>
      <c r="X98" s="992">
        <f>'Business Case Split'!Z98</f>
        <v>0</v>
      </c>
      <c r="Y98" s="992">
        <f>'Business Case Split'!AA98</f>
        <v>0</v>
      </c>
      <c r="Z98" s="992">
        <f>'Business Case Split'!AB98</f>
        <v>0</v>
      </c>
      <c r="AA98" s="993">
        <f>'Business Case Split'!AC98</f>
        <v>0</v>
      </c>
      <c r="AB98" s="994"/>
      <c r="AD98" s="991">
        <f t="shared" si="11"/>
        <v>0</v>
      </c>
      <c r="AE98" s="992">
        <f t="shared" si="12"/>
        <v>0</v>
      </c>
      <c r="AF98" s="992">
        <f t="shared" si="13"/>
        <v>0</v>
      </c>
      <c r="AG98" s="992">
        <f t="shared" si="14"/>
        <v>0</v>
      </c>
      <c r="AH98" s="993">
        <f t="shared" si="15"/>
        <v>0</v>
      </c>
      <c r="AI98" s="977"/>
      <c r="AJ98" s="995"/>
    </row>
    <row r="99" spans="1:41" s="684" customFormat="1" ht="15.75" hidden="1" thickBot="1" x14ac:dyDescent="0.3">
      <c r="A99" s="979" t="s">
        <v>94</v>
      </c>
      <c r="B99" s="980" t="s">
        <v>639</v>
      </c>
      <c r="C99" s="981" t="s">
        <v>643</v>
      </c>
      <c r="D99" s="981" t="s">
        <v>412</v>
      </c>
      <c r="E99" s="982"/>
      <c r="F99" s="983"/>
      <c r="G99" s="983"/>
      <c r="H99" s="983"/>
      <c r="I99" s="984"/>
      <c r="J99" s="985"/>
      <c r="K99" s="986"/>
      <c r="L99" s="986"/>
      <c r="M99" s="986"/>
      <c r="N99" s="987"/>
      <c r="O99" s="699"/>
      <c r="P99" s="988"/>
      <c r="Q99" s="989"/>
      <c r="R99" s="689"/>
      <c r="S99" s="689"/>
      <c r="T99" s="689"/>
      <c r="U99" s="988"/>
      <c r="V99" s="990">
        <f>VLOOKUP(A99,'Distribution Summary'!$A$136:$BJ$146,62,0)</f>
        <v>322727.75622787437</v>
      </c>
      <c r="W99" s="991">
        <f>'Business Case Split'!Y99</f>
        <v>0</v>
      </c>
      <c r="X99" s="992">
        <f>'Business Case Split'!Z99</f>
        <v>0</v>
      </c>
      <c r="Y99" s="992">
        <f>'Business Case Split'!AA99</f>
        <v>0</v>
      </c>
      <c r="Z99" s="992">
        <f>'Business Case Split'!AB99</f>
        <v>0</v>
      </c>
      <c r="AA99" s="993">
        <f>'Business Case Split'!AC99</f>
        <v>0</v>
      </c>
      <c r="AB99" s="994"/>
      <c r="AD99" s="991">
        <f t="shared" si="11"/>
        <v>0</v>
      </c>
      <c r="AE99" s="992">
        <f t="shared" si="12"/>
        <v>0</v>
      </c>
      <c r="AF99" s="992">
        <f t="shared" si="13"/>
        <v>0</v>
      </c>
      <c r="AG99" s="992">
        <f t="shared" si="14"/>
        <v>0</v>
      </c>
      <c r="AH99" s="993">
        <f t="shared" si="15"/>
        <v>0</v>
      </c>
      <c r="AI99" s="977"/>
      <c r="AJ99" s="996"/>
    </row>
    <row r="100" spans="1:41" s="684" customFormat="1" ht="15.75" hidden="1" thickBot="1" x14ac:dyDescent="0.3">
      <c r="A100" s="979" t="s">
        <v>106</v>
      </c>
      <c r="B100" s="980" t="s">
        <v>639</v>
      </c>
      <c r="C100" s="981" t="s">
        <v>643</v>
      </c>
      <c r="D100" s="981" t="s">
        <v>272</v>
      </c>
      <c r="E100" s="982"/>
      <c r="F100" s="983"/>
      <c r="G100" s="983"/>
      <c r="H100" s="983"/>
      <c r="I100" s="984"/>
      <c r="J100" s="985"/>
      <c r="K100" s="986"/>
      <c r="L100" s="986"/>
      <c r="M100" s="986"/>
      <c r="N100" s="987"/>
      <c r="O100" s="699"/>
      <c r="P100" s="988"/>
      <c r="Q100" s="989"/>
      <c r="R100" s="689"/>
      <c r="S100" s="689"/>
      <c r="T100" s="689"/>
      <c r="U100" s="988"/>
      <c r="V100" s="990">
        <f>VLOOKUP(A100,'Distribution Summary'!$A$136:$BJ$146,62,0)</f>
        <v>1339.2666347282993</v>
      </c>
      <c r="W100" s="991">
        <f>'Business Case Split'!Y100</f>
        <v>0</v>
      </c>
      <c r="X100" s="992">
        <f>'Business Case Split'!Z100</f>
        <v>0</v>
      </c>
      <c r="Y100" s="992">
        <f>'Business Case Split'!AA100</f>
        <v>0</v>
      </c>
      <c r="Z100" s="992">
        <f>'Business Case Split'!AB100</f>
        <v>0</v>
      </c>
      <c r="AA100" s="993">
        <f>'Business Case Split'!AC100</f>
        <v>0</v>
      </c>
      <c r="AB100" s="994"/>
      <c r="AD100" s="991">
        <f t="shared" si="11"/>
        <v>0</v>
      </c>
      <c r="AE100" s="992">
        <f t="shared" si="12"/>
        <v>0</v>
      </c>
      <c r="AF100" s="992">
        <f t="shared" si="13"/>
        <v>0</v>
      </c>
      <c r="AG100" s="992">
        <f t="shared" si="14"/>
        <v>0</v>
      </c>
      <c r="AH100" s="993">
        <f t="shared" si="15"/>
        <v>0</v>
      </c>
      <c r="AI100" s="977"/>
      <c r="AJ100" s="995"/>
    </row>
    <row r="101" spans="1:41" s="684" customFormat="1" ht="15.75" hidden="1" thickBot="1" x14ac:dyDescent="0.3">
      <c r="A101" s="979" t="s">
        <v>138</v>
      </c>
      <c r="B101" s="980" t="s">
        <v>639</v>
      </c>
      <c r="C101" s="981" t="s">
        <v>643</v>
      </c>
      <c r="D101" s="981" t="s">
        <v>413</v>
      </c>
      <c r="E101" s="982"/>
      <c r="F101" s="983"/>
      <c r="G101" s="983"/>
      <c r="H101" s="983"/>
      <c r="I101" s="984"/>
      <c r="J101" s="985"/>
      <c r="K101" s="986"/>
      <c r="L101" s="986"/>
      <c r="M101" s="986"/>
      <c r="N101" s="987"/>
      <c r="O101" s="699"/>
      <c r="P101" s="988"/>
      <c r="Q101" s="989"/>
      <c r="R101" s="689"/>
      <c r="S101" s="689"/>
      <c r="T101" s="689"/>
      <c r="U101" s="988"/>
      <c r="V101" s="990">
        <f>VLOOKUP(A101,'Distribution Summary'!$A$136:$BJ$146,62,0)</f>
        <v>28527.37387874335</v>
      </c>
      <c r="W101" s="991">
        <f>'Business Case Split'!Y101</f>
        <v>0</v>
      </c>
      <c r="X101" s="992">
        <f>'Business Case Split'!Z101</f>
        <v>0</v>
      </c>
      <c r="Y101" s="992">
        <f>'Business Case Split'!AA101</f>
        <v>0</v>
      </c>
      <c r="Z101" s="992">
        <f>'Business Case Split'!AB101</f>
        <v>0</v>
      </c>
      <c r="AA101" s="993">
        <f>'Business Case Split'!AC101</f>
        <v>0</v>
      </c>
      <c r="AB101" s="994"/>
      <c r="AD101" s="991">
        <f t="shared" si="11"/>
        <v>0</v>
      </c>
      <c r="AE101" s="992">
        <f t="shared" si="12"/>
        <v>0</v>
      </c>
      <c r="AF101" s="992">
        <f t="shared" si="13"/>
        <v>0</v>
      </c>
      <c r="AG101" s="992">
        <f t="shared" si="14"/>
        <v>0</v>
      </c>
      <c r="AH101" s="993">
        <f t="shared" si="15"/>
        <v>0</v>
      </c>
      <c r="AI101" s="977"/>
      <c r="AJ101" s="995"/>
    </row>
    <row r="102" spans="1:41" s="684" customFormat="1" ht="15.75" hidden="1" thickBot="1" x14ac:dyDescent="0.3">
      <c r="A102" s="979" t="s">
        <v>196</v>
      </c>
      <c r="B102" s="980" t="s">
        <v>639</v>
      </c>
      <c r="C102" s="981" t="s">
        <v>643</v>
      </c>
      <c r="D102" s="981" t="s">
        <v>274</v>
      </c>
      <c r="E102" s="982">
        <v>8594099.4835232366</v>
      </c>
      <c r="F102" s="983">
        <v>7887834.0505485302</v>
      </c>
      <c r="G102" s="983">
        <v>8377180.5776933432</v>
      </c>
      <c r="H102" s="983">
        <v>7133295.7243491206</v>
      </c>
      <c r="I102" s="984">
        <v>12060440.102773685</v>
      </c>
      <c r="J102" s="985">
        <v>860</v>
      </c>
      <c r="K102" s="986">
        <v>860</v>
      </c>
      <c r="L102" s="986">
        <v>1044</v>
      </c>
      <c r="M102" s="986">
        <v>1056</v>
      </c>
      <c r="N102" s="987">
        <v>1286</v>
      </c>
      <c r="O102" s="699">
        <f>'Defect (Total)'!BC188-'Defect (Total)'!BC96</f>
        <v>1347.3353309995496</v>
      </c>
      <c r="P102" s="988">
        <f>'Defect (Total)'!BD188-'Defect (Total)'!BD96</f>
        <v>1347.3353309995496</v>
      </c>
      <c r="Q102" s="989">
        <f>'Defect (Total)'!BE188-'Defect (Total)'!BE96</f>
        <v>540.19846628416781</v>
      </c>
      <c r="R102" s="689">
        <f>'Defect (Total)'!BF188-'Defect (Total)'!BF96</f>
        <v>540.19846628416781</v>
      </c>
      <c r="S102" s="689">
        <f>'Defect (Total)'!BG188-'Defect (Total)'!BG96</f>
        <v>540.19846628416781</v>
      </c>
      <c r="T102" s="689">
        <f>'Defect (Total)'!BH188-'Defect (Total)'!BH96</f>
        <v>540.19846628416781</v>
      </c>
      <c r="U102" s="988">
        <f>'Defect (Total)'!BI188-'Defect (Total)'!BI96</f>
        <v>540.19846628416781</v>
      </c>
      <c r="V102" s="990">
        <f>VLOOKUP(A102,'Distribution Summary'!$A$136:$BJ$146,62,0)</f>
        <v>9639.239384840419</v>
      </c>
      <c r="W102" s="991">
        <f>'Business Case Split'!Y102</f>
        <v>5207102.3318367396</v>
      </c>
      <c r="X102" s="992">
        <f>'Business Case Split'!Z102</f>
        <v>5207102.3318367396</v>
      </c>
      <c r="Y102" s="992">
        <f>'Business Case Split'!AA102</f>
        <v>5207102.3318367396</v>
      </c>
      <c r="Z102" s="992">
        <f>'Business Case Split'!AB102</f>
        <v>5207102.3318367396</v>
      </c>
      <c r="AA102" s="993">
        <f>'Business Case Split'!AC102</f>
        <v>5207102.3318367396</v>
      </c>
      <c r="AB102" s="994"/>
      <c r="AD102" s="991">
        <f t="shared" si="11"/>
        <v>5950761.677933801</v>
      </c>
      <c r="AE102" s="992">
        <f t="shared" si="12"/>
        <v>5978892.8402176499</v>
      </c>
      <c r="AF102" s="992">
        <f t="shared" si="13"/>
        <v>6006958.9302182272</v>
      </c>
      <c r="AG102" s="992">
        <f t="shared" si="14"/>
        <v>6040472.1466744877</v>
      </c>
      <c r="AH102" s="993">
        <f t="shared" si="15"/>
        <v>6079256.8863632772</v>
      </c>
      <c r="AI102" s="977"/>
      <c r="AJ102" s="995"/>
    </row>
    <row r="103" spans="1:41" s="684" customFormat="1" ht="15.75" hidden="1" thickBot="1" x14ac:dyDescent="0.3">
      <c r="A103" s="979" t="s">
        <v>224</v>
      </c>
      <c r="B103" s="980" t="s">
        <v>639</v>
      </c>
      <c r="C103" s="981" t="s">
        <v>643</v>
      </c>
      <c r="D103" s="981" t="s">
        <v>414</v>
      </c>
      <c r="E103" s="982"/>
      <c r="F103" s="983"/>
      <c r="G103" s="983"/>
      <c r="H103" s="983"/>
      <c r="I103" s="984"/>
      <c r="J103" s="985"/>
      <c r="K103" s="986"/>
      <c r="L103" s="986"/>
      <c r="M103" s="986"/>
      <c r="N103" s="987"/>
      <c r="O103" s="699"/>
      <c r="P103" s="988"/>
      <c r="Q103" s="989"/>
      <c r="R103" s="689"/>
      <c r="S103" s="689"/>
      <c r="T103" s="689"/>
      <c r="U103" s="988"/>
      <c r="V103" s="990">
        <f>VLOOKUP(A103,'Distribution Summary'!$A$136:$BJ$146,62,0)</f>
        <v>0</v>
      </c>
      <c r="W103" s="991">
        <f>'Business Case Split'!Y103</f>
        <v>0</v>
      </c>
      <c r="X103" s="992">
        <f>'Business Case Split'!Z103</f>
        <v>0</v>
      </c>
      <c r="Y103" s="992">
        <f>'Business Case Split'!AA103</f>
        <v>0</v>
      </c>
      <c r="Z103" s="992">
        <f>'Business Case Split'!AB103</f>
        <v>0</v>
      </c>
      <c r="AA103" s="993">
        <f>'Business Case Split'!AC103</f>
        <v>0</v>
      </c>
      <c r="AB103" s="994"/>
      <c r="AD103" s="991">
        <f t="shared" ref="AD103:AD138" si="17">IFERROR(VLOOKUP($B103,$B$189:$AB$196,AD$4+21,0),0)*W103</f>
        <v>0</v>
      </c>
      <c r="AE103" s="992">
        <f t="shared" ref="AE103:AE138" si="18">IFERROR(VLOOKUP($B103,$B$189:$AB$196,AE$4+21,0),0)*X103</f>
        <v>0</v>
      </c>
      <c r="AF103" s="992">
        <f t="shared" ref="AF103:AF138" si="19">IFERROR(VLOOKUP($B103,$B$189:$AB$196,AF$4+21,0),0)*Y103</f>
        <v>0</v>
      </c>
      <c r="AG103" s="992">
        <f t="shared" ref="AG103:AG138" si="20">IFERROR(VLOOKUP($B103,$B$189:$AB$196,AG$4+21,0),0)*Z103</f>
        <v>0</v>
      </c>
      <c r="AH103" s="993">
        <f t="shared" ref="AH103:AH138" si="21">IFERROR(VLOOKUP($B103,$B$189:$AB$196,AH$4+21,0),0)*AA103</f>
        <v>0</v>
      </c>
      <c r="AI103" s="977"/>
      <c r="AJ103" s="995"/>
    </row>
    <row r="104" spans="1:41" s="684" customFormat="1" ht="15.75" hidden="1" thickBot="1" x14ac:dyDescent="0.3">
      <c r="A104" s="979" t="s">
        <v>242</v>
      </c>
      <c r="B104" s="980" t="s">
        <v>639</v>
      </c>
      <c r="C104" s="981" t="s">
        <v>643</v>
      </c>
      <c r="D104" s="981" t="s">
        <v>415</v>
      </c>
      <c r="E104" s="982"/>
      <c r="F104" s="983"/>
      <c r="G104" s="983"/>
      <c r="H104" s="983"/>
      <c r="I104" s="984"/>
      <c r="J104" s="985"/>
      <c r="K104" s="986"/>
      <c r="L104" s="986"/>
      <c r="M104" s="986"/>
      <c r="N104" s="987"/>
      <c r="O104" s="699"/>
      <c r="P104" s="988"/>
      <c r="Q104" s="989"/>
      <c r="R104" s="689"/>
      <c r="S104" s="689"/>
      <c r="T104" s="689"/>
      <c r="U104" s="988"/>
      <c r="V104" s="990">
        <f>VLOOKUP(A104,'Distribution Summary'!$A$136:$BJ$146,62,0)</f>
        <v>0</v>
      </c>
      <c r="W104" s="991">
        <f>'Business Case Split'!Y104</f>
        <v>0</v>
      </c>
      <c r="X104" s="992">
        <f>'Business Case Split'!Z104</f>
        <v>0</v>
      </c>
      <c r="Y104" s="992">
        <f>'Business Case Split'!AA104</f>
        <v>0</v>
      </c>
      <c r="Z104" s="992">
        <f>'Business Case Split'!AB104</f>
        <v>0</v>
      </c>
      <c r="AA104" s="993">
        <f>'Business Case Split'!AC104</f>
        <v>0</v>
      </c>
      <c r="AB104" s="994"/>
      <c r="AD104" s="991">
        <f t="shared" si="17"/>
        <v>0</v>
      </c>
      <c r="AE104" s="992">
        <f t="shared" si="18"/>
        <v>0</v>
      </c>
      <c r="AF104" s="992">
        <f t="shared" si="19"/>
        <v>0</v>
      </c>
      <c r="AG104" s="992">
        <f t="shared" si="20"/>
        <v>0</v>
      </c>
      <c r="AH104" s="993">
        <f t="shared" si="21"/>
        <v>0</v>
      </c>
      <c r="AI104" s="977"/>
      <c r="AJ104" s="995"/>
    </row>
    <row r="105" spans="1:41" s="684" customFormat="1" ht="15.75" hidden="1" thickBot="1" x14ac:dyDescent="0.3">
      <c r="A105" s="1000" t="s">
        <v>258</v>
      </c>
      <c r="B105" s="1001" t="s">
        <v>639</v>
      </c>
      <c r="C105" s="1002" t="s">
        <v>643</v>
      </c>
      <c r="D105" s="1002" t="s">
        <v>64</v>
      </c>
      <c r="E105" s="1003"/>
      <c r="F105" s="1004"/>
      <c r="G105" s="1004"/>
      <c r="H105" s="1004"/>
      <c r="I105" s="1005"/>
      <c r="J105" s="1006"/>
      <c r="K105" s="1007"/>
      <c r="L105" s="1007"/>
      <c r="M105" s="1007"/>
      <c r="N105" s="1008"/>
      <c r="O105" s="700"/>
      <c r="P105" s="1009"/>
      <c r="Q105" s="1010"/>
      <c r="R105" s="690"/>
      <c r="S105" s="690"/>
      <c r="T105" s="690"/>
      <c r="U105" s="1009"/>
      <c r="V105" s="1011">
        <f>VLOOKUP(A105,'Distribution Summary'!$A$136:$BJ$146,62,0)</f>
        <v>30000</v>
      </c>
      <c r="W105" s="1012">
        <f>'Business Case Split'!Y105</f>
        <v>0</v>
      </c>
      <c r="X105" s="1013">
        <f>'Business Case Split'!Z105</f>
        <v>0</v>
      </c>
      <c r="Y105" s="1013">
        <f>'Business Case Split'!AA105</f>
        <v>0</v>
      </c>
      <c r="Z105" s="1013">
        <f>'Business Case Split'!AB105</f>
        <v>0</v>
      </c>
      <c r="AA105" s="1014">
        <f>'Business Case Split'!AC105</f>
        <v>0</v>
      </c>
      <c r="AB105" s="1015"/>
      <c r="AD105" s="1012">
        <f t="shared" si="17"/>
        <v>0</v>
      </c>
      <c r="AE105" s="1013">
        <f t="shared" si="18"/>
        <v>0</v>
      </c>
      <c r="AF105" s="1013">
        <f t="shared" si="19"/>
        <v>0</v>
      </c>
      <c r="AG105" s="1013">
        <f t="shared" si="20"/>
        <v>0</v>
      </c>
      <c r="AH105" s="1014">
        <f t="shared" si="21"/>
        <v>0</v>
      </c>
      <c r="AI105" s="977"/>
      <c r="AJ105" s="995"/>
    </row>
    <row r="106" spans="1:41" s="684" customFormat="1" x14ac:dyDescent="0.25">
      <c r="A106" s="1016" t="s">
        <v>196</v>
      </c>
      <c r="B106" s="1017" t="s">
        <v>268</v>
      </c>
      <c r="C106" s="1018" t="s">
        <v>643</v>
      </c>
      <c r="D106" s="1018" t="s">
        <v>667</v>
      </c>
      <c r="E106" s="1019"/>
      <c r="F106" s="658"/>
      <c r="G106" s="658"/>
      <c r="H106" s="658"/>
      <c r="I106" s="717"/>
      <c r="J106" s="1020"/>
      <c r="K106" s="1021"/>
      <c r="L106" s="1021"/>
      <c r="M106" s="1021"/>
      <c r="N106" s="613"/>
      <c r="O106" s="1022">
        <v>904.28430348415225</v>
      </c>
      <c r="P106" s="293">
        <f t="shared" ref="P106" si="22">P13*2</f>
        <v>479.27068084660073</v>
      </c>
      <c r="Q106" s="1023">
        <f>Q13*2</f>
        <v>479.27068084660073</v>
      </c>
      <c r="R106" s="729">
        <f t="shared" ref="R106:S106" si="23">R13*2</f>
        <v>479.27068084660073</v>
      </c>
      <c r="S106" s="729">
        <f t="shared" si="23"/>
        <v>479.27068084660073</v>
      </c>
      <c r="T106" s="729">
        <f>T13*2</f>
        <v>479.27068084660073</v>
      </c>
      <c r="U106" s="293">
        <f>U13*2</f>
        <v>479.27068084660073</v>
      </c>
      <c r="V106" s="1024">
        <f>'Distribution Summary'!$BJ$96*0.8</f>
        <v>10102.437410877668</v>
      </c>
      <c r="W106" s="1025">
        <f>'Business Case Split'!Y106</f>
        <v>4841802.0561215105</v>
      </c>
      <c r="X106" s="1026">
        <f>'Business Case Split'!Z106</f>
        <v>4841802.0561215105</v>
      </c>
      <c r="Y106" s="1026">
        <f>'Business Case Split'!AA106</f>
        <v>4841802.0561215105</v>
      </c>
      <c r="Z106" s="1026">
        <f>'Business Case Split'!AB106</f>
        <v>4841802.0561215105</v>
      </c>
      <c r="AA106" s="1027">
        <f>'Business Case Split'!AC106</f>
        <v>4841802.0561215105</v>
      </c>
      <c r="AB106" s="1028" t="s">
        <v>669</v>
      </c>
      <c r="AC106" s="280"/>
      <c r="AD106" s="1025">
        <f t="shared" si="17"/>
        <v>5533290.6436247891</v>
      </c>
      <c r="AE106" s="1026">
        <f t="shared" si="18"/>
        <v>5559448.2013176763</v>
      </c>
      <c r="AF106" s="1026">
        <f t="shared" si="19"/>
        <v>5585545.4330926314</v>
      </c>
      <c r="AG106" s="1026">
        <f t="shared" si="20"/>
        <v>5616707.6149876155</v>
      </c>
      <c r="AH106" s="1027">
        <f t="shared" si="21"/>
        <v>5652771.2748383675</v>
      </c>
      <c r="AI106" s="977"/>
      <c r="AJ106" s="750"/>
      <c r="AK106" s="750"/>
      <c r="AL106" s="750"/>
      <c r="AM106" s="750"/>
      <c r="AN106" s="750"/>
      <c r="AO106" s="750"/>
    </row>
    <row r="107" spans="1:41" s="684" customFormat="1" hidden="1" x14ac:dyDescent="0.25">
      <c r="A107" s="1029" t="s">
        <v>196</v>
      </c>
      <c r="B107" s="1030" t="s">
        <v>636</v>
      </c>
      <c r="C107" s="1031" t="s">
        <v>643</v>
      </c>
      <c r="D107" s="1031" t="s">
        <v>667</v>
      </c>
      <c r="E107" s="1032"/>
      <c r="F107" s="659"/>
      <c r="G107" s="659"/>
      <c r="H107" s="659"/>
      <c r="I107" s="719"/>
      <c r="J107" s="1033"/>
      <c r="K107" s="1034"/>
      <c r="L107" s="1034"/>
      <c r="M107" s="1034"/>
      <c r="N107" s="614"/>
      <c r="O107" s="1035">
        <v>65.695140665079322</v>
      </c>
      <c r="P107" s="286">
        <f t="shared" ref="P107" si="24">P46*2</f>
        <v>36.530665988449066</v>
      </c>
      <c r="Q107" s="1036">
        <f>Q46*2</f>
        <v>39.088246218292319</v>
      </c>
      <c r="R107" s="730">
        <f t="shared" ref="R107:U107" si="25">R46*2</f>
        <v>39.088246218292319</v>
      </c>
      <c r="S107" s="730">
        <f t="shared" si="25"/>
        <v>39.088246218292319</v>
      </c>
      <c r="T107" s="730">
        <f t="shared" si="25"/>
        <v>39.088246218292319</v>
      </c>
      <c r="U107" s="286">
        <f t="shared" si="25"/>
        <v>39.088246218292319</v>
      </c>
      <c r="V107" s="1037">
        <f>'Distribution Summary'!$BJ$96*0.8</f>
        <v>10102.437410877668</v>
      </c>
      <c r="W107" s="774">
        <f>'Business Case Split'!Y107</f>
        <v>394886.56092127389</v>
      </c>
      <c r="X107" s="776">
        <f>'Business Case Split'!Z107</f>
        <v>394886.56092127389</v>
      </c>
      <c r="Y107" s="776">
        <f>'Business Case Split'!AA107</f>
        <v>394886.56092127389</v>
      </c>
      <c r="Z107" s="776">
        <f>'Business Case Split'!AB107</f>
        <v>394886.56092127389</v>
      </c>
      <c r="AA107" s="775">
        <f>'Business Case Split'!AC107</f>
        <v>394886.56092127389</v>
      </c>
      <c r="AB107" s="1038" t="s">
        <v>669</v>
      </c>
      <c r="AC107" s="280"/>
      <c r="AD107" s="774">
        <f t="shared" si="17"/>
        <v>444814.34824985219</v>
      </c>
      <c r="AE107" s="776">
        <f t="shared" si="18"/>
        <v>445779.09917503322</v>
      </c>
      <c r="AF107" s="776">
        <f t="shared" si="19"/>
        <v>446741.61930474412</v>
      </c>
      <c r="AG107" s="776">
        <f t="shared" si="20"/>
        <v>447890.95078113285</v>
      </c>
      <c r="AH107" s="775">
        <f t="shared" si="21"/>
        <v>449221.05954938952</v>
      </c>
      <c r="AI107" s="977"/>
      <c r="AJ107" s="995"/>
    </row>
    <row r="108" spans="1:41" s="684" customFormat="1" hidden="1" x14ac:dyDescent="0.25">
      <c r="A108" s="1029" t="s">
        <v>196</v>
      </c>
      <c r="B108" s="1030" t="s">
        <v>636</v>
      </c>
      <c r="C108" s="1031" t="s">
        <v>644</v>
      </c>
      <c r="D108" s="1031" t="s">
        <v>667</v>
      </c>
      <c r="E108" s="1032"/>
      <c r="F108" s="659"/>
      <c r="G108" s="659"/>
      <c r="H108" s="659"/>
      <c r="I108" s="719"/>
      <c r="J108" s="1033"/>
      <c r="K108" s="1034"/>
      <c r="L108" s="1034"/>
      <c r="M108" s="1034"/>
      <c r="N108" s="614"/>
      <c r="O108" s="1035">
        <f>Reconductor!CE96</f>
        <v>476.33333333333331</v>
      </c>
      <c r="P108" s="286">
        <f>Reconductor!CF96</f>
        <v>192.90083090905591</v>
      </c>
      <c r="Q108" s="1036">
        <f>Reconductor!CG96</f>
        <v>192.90083090905591</v>
      </c>
      <c r="R108" s="730">
        <f>Reconductor!CH96</f>
        <v>252.89453478030478</v>
      </c>
      <c r="S108" s="730">
        <f>Reconductor!CI96</f>
        <v>265.40357106472095</v>
      </c>
      <c r="T108" s="730">
        <f>Reconductor!CJ96</f>
        <v>273.74292858766489</v>
      </c>
      <c r="U108" s="286">
        <f>Reconductor!CK96</f>
        <v>282.082286110609</v>
      </c>
      <c r="V108" s="1037">
        <f>'Distribution Summary'!$BJ$96*0.8</f>
        <v>10102.437410877668</v>
      </c>
      <c r="W108" s="774">
        <f>'Business Case Split'!Y108</f>
        <v>1948768.5707650336</v>
      </c>
      <c r="X108" s="776">
        <f>'Business Case Split'!Z108</f>
        <v>2554851.2091710549</v>
      </c>
      <c r="Y108" s="776">
        <f>'Business Case Split'!AA108</f>
        <v>2681222.9653047668</v>
      </c>
      <c r="Z108" s="776">
        <f>'Business Case Split'!AB108</f>
        <v>2765470.8027272397</v>
      </c>
      <c r="AA108" s="775">
        <f>'Business Case Split'!AC108</f>
        <v>2849718.6401497144</v>
      </c>
      <c r="AB108" s="1038" t="s">
        <v>669</v>
      </c>
      <c r="AC108" s="280"/>
      <c r="AD108" s="774">
        <f t="shared" si="17"/>
        <v>2195162.6301799137</v>
      </c>
      <c r="AE108" s="776">
        <f t="shared" si="18"/>
        <v>2884117.5751675493</v>
      </c>
      <c r="AF108" s="776">
        <f t="shared" si="19"/>
        <v>3033311.3551466749</v>
      </c>
      <c r="AG108" s="776">
        <f t="shared" si="20"/>
        <v>3136671.3121389411</v>
      </c>
      <c r="AH108" s="775">
        <f t="shared" si="21"/>
        <v>3241826.2702055252</v>
      </c>
      <c r="AI108" s="977"/>
      <c r="AJ108" s="995"/>
    </row>
    <row r="109" spans="1:41" s="684" customFormat="1" hidden="1" x14ac:dyDescent="0.25">
      <c r="A109" s="1029" t="s">
        <v>196</v>
      </c>
      <c r="B109" s="1030" t="s">
        <v>638</v>
      </c>
      <c r="C109" s="1031" t="s">
        <v>643</v>
      </c>
      <c r="D109" s="1031" t="s">
        <v>667</v>
      </c>
      <c r="E109" s="1032"/>
      <c r="F109" s="659"/>
      <c r="G109" s="659"/>
      <c r="H109" s="659"/>
      <c r="I109" s="719"/>
      <c r="J109" s="1039"/>
      <c r="K109" s="1040"/>
      <c r="L109" s="1040"/>
      <c r="M109" s="1040"/>
      <c r="N109" s="671"/>
      <c r="O109" s="1035">
        <v>1074.6205558507684</v>
      </c>
      <c r="P109" s="286">
        <f t="shared" ref="P109" si="26">P90*2</f>
        <v>2557.1319864982843</v>
      </c>
      <c r="Q109" s="1036">
        <f t="shared" ref="Q109:T109" si="27">(Q90*2)*0.428961181</f>
        <v>473.29647575028827</v>
      </c>
      <c r="R109" s="730">
        <f t="shared" si="27"/>
        <v>473.29647575028827</v>
      </c>
      <c r="S109" s="730">
        <f t="shared" si="27"/>
        <v>473.29647575028827</v>
      </c>
      <c r="T109" s="730">
        <f t="shared" si="27"/>
        <v>473.29647575028827</v>
      </c>
      <c r="U109" s="286">
        <f>(U90*2)*0.428961181</f>
        <v>473.29647575028827</v>
      </c>
      <c r="V109" s="1037">
        <f>'Distribution Summary'!$BJ$96*0.8</f>
        <v>10102.437410877668</v>
      </c>
      <c r="W109" s="774">
        <f>'Business Case Split'!Y109</f>
        <v>4781448.0230562678</v>
      </c>
      <c r="X109" s="776">
        <f>'Business Case Split'!Z109</f>
        <v>4781448.0230562678</v>
      </c>
      <c r="Y109" s="776">
        <f>'Business Case Split'!AA109</f>
        <v>4781448.0230562678</v>
      </c>
      <c r="Z109" s="776">
        <f>'Business Case Split'!AB109</f>
        <v>4781448.0230562678</v>
      </c>
      <c r="AA109" s="775">
        <f>'Business Case Split'!AC109</f>
        <v>4781448.0230562678</v>
      </c>
      <c r="AB109" s="1038" t="s">
        <v>669</v>
      </c>
      <c r="AC109" s="280"/>
      <c r="AD109" s="774">
        <f t="shared" si="17"/>
        <v>5464317.1603984069</v>
      </c>
      <c r="AE109" s="776">
        <f t="shared" si="18"/>
        <v>5490148.6593347657</v>
      </c>
      <c r="AF109" s="776">
        <f t="shared" si="19"/>
        <v>5515920.5843268279</v>
      </c>
      <c r="AG109" s="776">
        <f t="shared" si="20"/>
        <v>5546694.3239062587</v>
      </c>
      <c r="AH109" s="775">
        <f t="shared" si="21"/>
        <v>5582308.4436193248</v>
      </c>
      <c r="AI109" s="977"/>
      <c r="AJ109" s="995"/>
      <c r="AK109" s="995"/>
      <c r="AL109" s="995"/>
      <c r="AM109" s="995"/>
      <c r="AN109" s="995"/>
      <c r="AO109" s="995"/>
    </row>
    <row r="110" spans="1:41" s="684" customFormat="1" hidden="1" x14ac:dyDescent="0.25">
      <c r="A110" s="1029" t="s">
        <v>196</v>
      </c>
      <c r="B110" s="1030" t="s">
        <v>639</v>
      </c>
      <c r="C110" s="1031" t="s">
        <v>643</v>
      </c>
      <c r="D110" s="1031" t="s">
        <v>667</v>
      </c>
      <c r="E110" s="1032"/>
      <c r="F110" s="659"/>
      <c r="G110" s="659"/>
      <c r="H110" s="659"/>
      <c r="I110" s="719"/>
      <c r="J110" s="1033"/>
      <c r="K110" s="1034"/>
      <c r="L110" s="1034"/>
      <c r="M110" s="1034"/>
      <c r="N110" s="614"/>
      <c r="O110" s="1035">
        <f>'Defect (Total)'!BC96-SUM('Business Case Split 2025$'!O106:O107,O109)</f>
        <v>145.06666666666661</v>
      </c>
      <c r="P110" s="286">
        <f>'Defect (Total)'!BD96-SUM('Business Case Split 2025$'!P106:P107,P109)</f>
        <v>-883.26666666666779</v>
      </c>
      <c r="Q110" s="1036">
        <f>'Defect (Total)'!BE96-SUM('Business Case Split 2025$'!Q106:Q107,Q109)</f>
        <v>277.7523295398853</v>
      </c>
      <c r="R110" s="730">
        <f>'Defect (Total)'!BF96-SUM('Business Case Split 2025$'!R106:R107,R109)</f>
        <v>277.7523295398853</v>
      </c>
      <c r="S110" s="730">
        <f>'Defect (Total)'!BG96-SUM('Business Case Split 2025$'!S106:S107,S109)</f>
        <v>277.7523295398853</v>
      </c>
      <c r="T110" s="730">
        <f>'Defect (Total)'!BH96-SUM('Business Case Split 2025$'!T106:T107,T109)</f>
        <v>277.7523295398853</v>
      </c>
      <c r="U110" s="286">
        <f>'Defect (Total)'!BI96-SUM('Business Case Split 2025$'!U106:U107,U109)</f>
        <v>277.7523295398853</v>
      </c>
      <c r="V110" s="1037"/>
      <c r="W110" s="774">
        <f>'Business Case Split'!Y110</f>
        <v>7257007.9225732237</v>
      </c>
      <c r="X110" s="776">
        <f>'Business Case Split'!Z110</f>
        <v>6808753.7299504448</v>
      </c>
      <c r="Y110" s="776">
        <f>'Business Case Split'!AA110</f>
        <v>6787600.9376722276</v>
      </c>
      <c r="Z110" s="776">
        <f>'Business Case Split'!AB110</f>
        <v>6808572.0641052462</v>
      </c>
      <c r="AA110" s="775">
        <f>'Business Case Split'!AC110</f>
        <v>6776933.7086105179</v>
      </c>
      <c r="AB110" s="1038"/>
      <c r="AC110" s="280"/>
      <c r="AD110" s="774">
        <f t="shared" si="17"/>
        <v>8293427.3017979767</v>
      </c>
      <c r="AE110" s="776">
        <f t="shared" si="18"/>
        <v>7817939.101735766</v>
      </c>
      <c r="AF110" s="776">
        <f t="shared" si="19"/>
        <v>7830235.9871091107</v>
      </c>
      <c r="AG110" s="776">
        <f t="shared" si="20"/>
        <v>7898248.8322534543</v>
      </c>
      <c r="AH110" s="775">
        <f t="shared" si="21"/>
        <v>7912024.4410417778</v>
      </c>
      <c r="AI110" s="977"/>
      <c r="AJ110" s="995"/>
    </row>
    <row r="111" spans="1:41" s="684" customFormat="1" hidden="1" x14ac:dyDescent="0.25">
      <c r="A111" s="1029" t="s">
        <v>196</v>
      </c>
      <c r="B111" s="1030"/>
      <c r="C111" s="1031"/>
      <c r="D111" s="1031"/>
      <c r="E111" s="1032"/>
      <c r="F111" s="659"/>
      <c r="G111" s="659"/>
      <c r="H111" s="659"/>
      <c r="I111" s="719"/>
      <c r="J111" s="1033"/>
      <c r="K111" s="1034"/>
      <c r="L111" s="1034"/>
      <c r="M111" s="1034"/>
      <c r="N111" s="614"/>
      <c r="O111" s="1035"/>
      <c r="P111" s="286"/>
      <c r="Q111" s="1036"/>
      <c r="R111" s="730"/>
      <c r="S111" s="730"/>
      <c r="T111" s="730"/>
      <c r="U111" s="286"/>
      <c r="V111" s="1037"/>
      <c r="W111" s="774">
        <f>'Business Case Split'!Y111</f>
        <v>0</v>
      </c>
      <c r="X111" s="776">
        <f>'Business Case Split'!Z111</f>
        <v>0</v>
      </c>
      <c r="Y111" s="776">
        <f>'Business Case Split'!AA111</f>
        <v>0</v>
      </c>
      <c r="Z111" s="776">
        <f>'Business Case Split'!AB111</f>
        <v>0</v>
      </c>
      <c r="AA111" s="775">
        <f>'Business Case Split'!AC111</f>
        <v>0</v>
      </c>
      <c r="AB111" s="1038"/>
      <c r="AC111" s="280"/>
      <c r="AD111" s="774">
        <f t="shared" si="17"/>
        <v>0</v>
      </c>
      <c r="AE111" s="776">
        <f t="shared" si="18"/>
        <v>0</v>
      </c>
      <c r="AF111" s="776">
        <f t="shared" si="19"/>
        <v>0</v>
      </c>
      <c r="AG111" s="776">
        <f t="shared" si="20"/>
        <v>0</v>
      </c>
      <c r="AH111" s="775">
        <f t="shared" si="21"/>
        <v>0</v>
      </c>
      <c r="AI111" s="977"/>
      <c r="AJ111" s="995"/>
    </row>
    <row r="112" spans="1:41" s="684" customFormat="1" hidden="1" x14ac:dyDescent="0.25">
      <c r="A112" s="1029" t="s">
        <v>196</v>
      </c>
      <c r="B112" s="1030"/>
      <c r="C112" s="1031"/>
      <c r="D112" s="1031"/>
      <c r="E112" s="1032"/>
      <c r="F112" s="659"/>
      <c r="G112" s="659"/>
      <c r="H112" s="659"/>
      <c r="I112" s="719"/>
      <c r="J112" s="1033"/>
      <c r="K112" s="1034"/>
      <c r="L112" s="1034"/>
      <c r="M112" s="1034"/>
      <c r="N112" s="614"/>
      <c r="O112" s="1035"/>
      <c r="P112" s="286"/>
      <c r="Q112" s="1036"/>
      <c r="R112" s="730"/>
      <c r="S112" s="730"/>
      <c r="T112" s="730"/>
      <c r="U112" s="286"/>
      <c r="V112" s="1037"/>
      <c r="W112" s="774">
        <f>'Business Case Split'!Y112</f>
        <v>0</v>
      </c>
      <c r="X112" s="776">
        <f>'Business Case Split'!Z112</f>
        <v>0</v>
      </c>
      <c r="Y112" s="776">
        <f>'Business Case Split'!AA112</f>
        <v>0</v>
      </c>
      <c r="Z112" s="776">
        <f>'Business Case Split'!AB112</f>
        <v>0</v>
      </c>
      <c r="AA112" s="775">
        <f>'Business Case Split'!AC112</f>
        <v>0</v>
      </c>
      <c r="AB112" s="1038"/>
      <c r="AC112" s="280"/>
      <c r="AD112" s="774">
        <f t="shared" si="17"/>
        <v>0</v>
      </c>
      <c r="AE112" s="776">
        <f t="shared" si="18"/>
        <v>0</v>
      </c>
      <c r="AF112" s="776">
        <f t="shared" si="19"/>
        <v>0</v>
      </c>
      <c r="AG112" s="776">
        <f t="shared" si="20"/>
        <v>0</v>
      </c>
      <c r="AH112" s="775">
        <f t="shared" si="21"/>
        <v>0</v>
      </c>
      <c r="AI112" s="977"/>
      <c r="AJ112" s="995"/>
    </row>
    <row r="113" spans="1:36" s="684" customFormat="1" hidden="1" x14ac:dyDescent="0.25">
      <c r="A113" s="1029" t="s">
        <v>196</v>
      </c>
      <c r="B113" s="1030"/>
      <c r="C113" s="1031"/>
      <c r="D113" s="1031"/>
      <c r="E113" s="1032"/>
      <c r="F113" s="659"/>
      <c r="G113" s="659"/>
      <c r="H113" s="659"/>
      <c r="I113" s="719"/>
      <c r="J113" s="1033"/>
      <c r="K113" s="1034"/>
      <c r="L113" s="1034"/>
      <c r="M113" s="1034"/>
      <c r="N113" s="614"/>
      <c r="O113" s="1035"/>
      <c r="P113" s="286"/>
      <c r="Q113" s="1036"/>
      <c r="R113" s="730"/>
      <c r="S113" s="730"/>
      <c r="T113" s="730"/>
      <c r="U113" s="286"/>
      <c r="V113" s="1037"/>
      <c r="W113" s="774">
        <f>'Business Case Split'!Y113</f>
        <v>0</v>
      </c>
      <c r="X113" s="776">
        <f>'Business Case Split'!Z113</f>
        <v>0</v>
      </c>
      <c r="Y113" s="776">
        <f>'Business Case Split'!AA113</f>
        <v>0</v>
      </c>
      <c r="Z113" s="776">
        <f>'Business Case Split'!AB113</f>
        <v>0</v>
      </c>
      <c r="AA113" s="775">
        <f>'Business Case Split'!AC113</f>
        <v>0</v>
      </c>
      <c r="AB113" s="1038"/>
      <c r="AC113" s="280"/>
      <c r="AD113" s="774">
        <f t="shared" si="17"/>
        <v>0</v>
      </c>
      <c r="AE113" s="776">
        <f t="shared" si="18"/>
        <v>0</v>
      </c>
      <c r="AF113" s="776">
        <f t="shared" si="19"/>
        <v>0</v>
      </c>
      <c r="AG113" s="776">
        <f t="shared" si="20"/>
        <v>0</v>
      </c>
      <c r="AH113" s="775">
        <f t="shared" si="21"/>
        <v>0</v>
      </c>
      <c r="AI113" s="977"/>
      <c r="AJ113" s="995"/>
    </row>
    <row r="114" spans="1:36" s="684" customFormat="1" hidden="1" x14ac:dyDescent="0.25">
      <c r="A114" s="1029" t="s">
        <v>196</v>
      </c>
      <c r="B114" s="1030"/>
      <c r="C114" s="1031"/>
      <c r="D114" s="1031"/>
      <c r="E114" s="1032"/>
      <c r="F114" s="659"/>
      <c r="G114" s="659"/>
      <c r="H114" s="659"/>
      <c r="I114" s="719"/>
      <c r="J114" s="1033"/>
      <c r="K114" s="1034"/>
      <c r="L114" s="1034"/>
      <c r="M114" s="1034"/>
      <c r="N114" s="614"/>
      <c r="O114" s="1035"/>
      <c r="P114" s="286"/>
      <c r="Q114" s="1036"/>
      <c r="R114" s="730"/>
      <c r="S114" s="730"/>
      <c r="T114" s="730"/>
      <c r="U114" s="286"/>
      <c r="V114" s="1037"/>
      <c r="W114" s="774">
        <f>'Business Case Split'!Y114</f>
        <v>0</v>
      </c>
      <c r="X114" s="776">
        <f>'Business Case Split'!Z114</f>
        <v>0</v>
      </c>
      <c r="Y114" s="776">
        <f>'Business Case Split'!AA114</f>
        <v>0</v>
      </c>
      <c r="Z114" s="776">
        <f>'Business Case Split'!AB114</f>
        <v>0</v>
      </c>
      <c r="AA114" s="775">
        <f>'Business Case Split'!AC114</f>
        <v>0</v>
      </c>
      <c r="AB114" s="1038"/>
      <c r="AC114" s="280"/>
      <c r="AD114" s="774">
        <f t="shared" si="17"/>
        <v>0</v>
      </c>
      <c r="AE114" s="776">
        <f t="shared" si="18"/>
        <v>0</v>
      </c>
      <c r="AF114" s="776">
        <f t="shared" si="19"/>
        <v>0</v>
      </c>
      <c r="AG114" s="776">
        <f t="shared" si="20"/>
        <v>0</v>
      </c>
      <c r="AH114" s="775">
        <f t="shared" si="21"/>
        <v>0</v>
      </c>
      <c r="AI114" s="977"/>
      <c r="AJ114" s="995"/>
    </row>
    <row r="115" spans="1:36" s="684" customFormat="1" hidden="1" x14ac:dyDescent="0.25">
      <c r="A115" s="1029" t="s">
        <v>196</v>
      </c>
      <c r="B115" s="1030"/>
      <c r="C115" s="1031"/>
      <c r="D115" s="1031"/>
      <c r="E115" s="1032"/>
      <c r="F115" s="659"/>
      <c r="G115" s="659"/>
      <c r="H115" s="659"/>
      <c r="I115" s="719"/>
      <c r="J115" s="1033"/>
      <c r="K115" s="1034"/>
      <c r="L115" s="1034"/>
      <c r="M115" s="1034"/>
      <c r="N115" s="614"/>
      <c r="O115" s="1035"/>
      <c r="P115" s="286"/>
      <c r="Q115" s="1036"/>
      <c r="R115" s="730"/>
      <c r="S115" s="730"/>
      <c r="T115" s="730"/>
      <c r="U115" s="286"/>
      <c r="V115" s="1037"/>
      <c r="W115" s="774">
        <f>'Business Case Split'!Y115</f>
        <v>0</v>
      </c>
      <c r="X115" s="776">
        <f>'Business Case Split'!Z115</f>
        <v>0</v>
      </c>
      <c r="Y115" s="776">
        <f>'Business Case Split'!AA115</f>
        <v>0</v>
      </c>
      <c r="Z115" s="776">
        <f>'Business Case Split'!AB115</f>
        <v>0</v>
      </c>
      <c r="AA115" s="775">
        <f>'Business Case Split'!AC115</f>
        <v>0</v>
      </c>
      <c r="AB115" s="1038"/>
      <c r="AC115" s="280"/>
      <c r="AD115" s="774">
        <f t="shared" si="17"/>
        <v>0</v>
      </c>
      <c r="AE115" s="776">
        <f t="shared" si="18"/>
        <v>0</v>
      </c>
      <c r="AF115" s="776">
        <f t="shared" si="19"/>
        <v>0</v>
      </c>
      <c r="AG115" s="776">
        <f t="shared" si="20"/>
        <v>0</v>
      </c>
      <c r="AH115" s="775">
        <f t="shared" si="21"/>
        <v>0</v>
      </c>
      <c r="AI115" s="977"/>
      <c r="AJ115" s="995"/>
    </row>
    <row r="116" spans="1:36" s="684" customFormat="1" ht="15.75" hidden="1" thickBot="1" x14ac:dyDescent="0.3">
      <c r="A116" s="1041" t="s">
        <v>196</v>
      </c>
      <c r="B116" s="1042"/>
      <c r="C116" s="1043"/>
      <c r="D116" s="1043"/>
      <c r="E116" s="1044"/>
      <c r="F116" s="660"/>
      <c r="G116" s="660"/>
      <c r="H116" s="660"/>
      <c r="I116" s="721"/>
      <c r="J116" s="1045"/>
      <c r="K116" s="1046"/>
      <c r="L116" s="1046"/>
      <c r="M116" s="1046"/>
      <c r="N116" s="615"/>
      <c r="O116" s="1047"/>
      <c r="P116" s="287"/>
      <c r="Q116" s="1048"/>
      <c r="R116" s="731"/>
      <c r="S116" s="731"/>
      <c r="T116" s="731"/>
      <c r="U116" s="287"/>
      <c r="V116" s="1049"/>
      <c r="W116" s="1050">
        <f>'Business Case Split'!Y116</f>
        <v>0</v>
      </c>
      <c r="X116" s="1051">
        <f>'Business Case Split'!Z116</f>
        <v>0</v>
      </c>
      <c r="Y116" s="1051">
        <f>'Business Case Split'!AA116</f>
        <v>0</v>
      </c>
      <c r="Z116" s="1051">
        <f>'Business Case Split'!AB116</f>
        <v>0</v>
      </c>
      <c r="AA116" s="1052">
        <f>'Business Case Split'!AC116</f>
        <v>0</v>
      </c>
      <c r="AB116" s="1053"/>
      <c r="AC116" s="280"/>
      <c r="AD116" s="1050">
        <f t="shared" si="17"/>
        <v>0</v>
      </c>
      <c r="AE116" s="1051">
        <f t="shared" si="18"/>
        <v>0</v>
      </c>
      <c r="AF116" s="1051">
        <f t="shared" si="19"/>
        <v>0</v>
      </c>
      <c r="AG116" s="1051">
        <f t="shared" si="20"/>
        <v>0</v>
      </c>
      <c r="AH116" s="1052">
        <f t="shared" si="21"/>
        <v>0</v>
      </c>
      <c r="AI116" s="977"/>
      <c r="AJ116" s="995"/>
    </row>
    <row r="117" spans="1:36" s="684" customFormat="1" hidden="1" x14ac:dyDescent="0.25">
      <c r="A117" s="961" t="s">
        <v>296</v>
      </c>
      <c r="B117" s="962" t="s">
        <v>818</v>
      </c>
      <c r="C117" s="963" t="s">
        <v>643</v>
      </c>
      <c r="D117" s="963" t="s">
        <v>409</v>
      </c>
      <c r="E117" s="964"/>
      <c r="F117" s="965"/>
      <c r="G117" s="965"/>
      <c r="H117" s="965"/>
      <c r="I117" s="966"/>
      <c r="J117" s="967"/>
      <c r="K117" s="968"/>
      <c r="L117" s="968"/>
      <c r="M117" s="968"/>
      <c r="N117" s="969"/>
      <c r="O117" s="698"/>
      <c r="P117" s="970"/>
      <c r="Q117" s="971"/>
      <c r="R117" s="696"/>
      <c r="S117" s="696"/>
      <c r="T117" s="696"/>
      <c r="U117" s="970"/>
      <c r="V117" s="972">
        <f>VLOOKUP(A117,'Distribution Summary'!$A$136:$BJ$146,62,0)</f>
        <v>1800</v>
      </c>
      <c r="W117" s="973">
        <f>'Business Case Split'!Y117</f>
        <v>0</v>
      </c>
      <c r="X117" s="974">
        <f>'Business Case Split'!Z117</f>
        <v>0</v>
      </c>
      <c r="Y117" s="974">
        <f>'Business Case Split'!AA117</f>
        <v>0</v>
      </c>
      <c r="Z117" s="974">
        <f>'Business Case Split'!AB117</f>
        <v>0</v>
      </c>
      <c r="AA117" s="975">
        <f>'Business Case Split'!AC117</f>
        <v>0</v>
      </c>
      <c r="AB117" s="976"/>
      <c r="AD117" s="973">
        <f t="shared" si="17"/>
        <v>0</v>
      </c>
      <c r="AE117" s="974">
        <f t="shared" si="18"/>
        <v>0</v>
      </c>
      <c r="AF117" s="974">
        <f t="shared" si="19"/>
        <v>0</v>
      </c>
      <c r="AG117" s="974">
        <f t="shared" si="20"/>
        <v>0</v>
      </c>
      <c r="AH117" s="975">
        <f t="shared" si="21"/>
        <v>0</v>
      </c>
      <c r="AI117" s="977"/>
      <c r="AJ117" s="995"/>
    </row>
    <row r="118" spans="1:36" s="684" customFormat="1" hidden="1" x14ac:dyDescent="0.25">
      <c r="A118" s="979" t="s">
        <v>27</v>
      </c>
      <c r="B118" s="980" t="s">
        <v>818</v>
      </c>
      <c r="C118" s="981" t="s">
        <v>643</v>
      </c>
      <c r="D118" s="981" t="s">
        <v>410</v>
      </c>
      <c r="E118" s="982"/>
      <c r="F118" s="983"/>
      <c r="G118" s="983"/>
      <c r="H118" s="983"/>
      <c r="I118" s="984"/>
      <c r="J118" s="985"/>
      <c r="K118" s="986"/>
      <c r="L118" s="986"/>
      <c r="M118" s="986"/>
      <c r="N118" s="987"/>
      <c r="O118" s="699"/>
      <c r="P118" s="988"/>
      <c r="Q118" s="989"/>
      <c r="R118" s="689"/>
      <c r="S118" s="689"/>
      <c r="T118" s="689"/>
      <c r="U118" s="988"/>
      <c r="V118" s="990">
        <f>VLOOKUP(A118,'Distribution Summary'!$A$136:$BJ$146,62,0)</f>
        <v>6236.1822982950935</v>
      </c>
      <c r="W118" s="991">
        <f>'Business Case Split'!Y118</f>
        <v>0</v>
      </c>
      <c r="X118" s="992">
        <f>'Business Case Split'!Z118</f>
        <v>0</v>
      </c>
      <c r="Y118" s="992">
        <f>'Business Case Split'!AA118</f>
        <v>0</v>
      </c>
      <c r="Z118" s="992">
        <f>'Business Case Split'!AB118</f>
        <v>0</v>
      </c>
      <c r="AA118" s="993">
        <f>'Business Case Split'!AC118</f>
        <v>0</v>
      </c>
      <c r="AB118" s="994"/>
      <c r="AD118" s="991">
        <f t="shared" si="17"/>
        <v>0</v>
      </c>
      <c r="AE118" s="992">
        <f t="shared" si="18"/>
        <v>0</v>
      </c>
      <c r="AF118" s="992">
        <f t="shared" si="19"/>
        <v>0</v>
      </c>
      <c r="AG118" s="992">
        <f t="shared" si="20"/>
        <v>0</v>
      </c>
      <c r="AH118" s="993">
        <f t="shared" si="21"/>
        <v>0</v>
      </c>
      <c r="AI118" s="977"/>
      <c r="AJ118" s="995"/>
    </row>
    <row r="119" spans="1:36" s="684" customFormat="1" hidden="1" x14ac:dyDescent="0.25">
      <c r="A119" s="979" t="s">
        <v>68</v>
      </c>
      <c r="B119" s="980" t="s">
        <v>818</v>
      </c>
      <c r="C119" s="981" t="s">
        <v>643</v>
      </c>
      <c r="D119" s="981" t="s">
        <v>411</v>
      </c>
      <c r="E119" s="982"/>
      <c r="F119" s="983"/>
      <c r="G119" s="983"/>
      <c r="H119" s="983"/>
      <c r="I119" s="984"/>
      <c r="J119" s="985"/>
      <c r="K119" s="986"/>
      <c r="L119" s="986"/>
      <c r="M119" s="986"/>
      <c r="N119" s="987"/>
      <c r="O119" s="699"/>
      <c r="P119" s="988"/>
      <c r="Q119" s="989"/>
      <c r="R119" s="689"/>
      <c r="S119" s="689"/>
      <c r="T119" s="689"/>
      <c r="U119" s="988"/>
      <c r="V119" s="990">
        <f>VLOOKUP(A119,'Distribution Summary'!$A$136:$BJ$146,62,0)</f>
        <v>2810.5410327755412</v>
      </c>
      <c r="W119" s="991">
        <f>'Business Case Split'!Y119</f>
        <v>0</v>
      </c>
      <c r="X119" s="992">
        <f>'Business Case Split'!Z119</f>
        <v>0</v>
      </c>
      <c r="Y119" s="992">
        <f>'Business Case Split'!AA119</f>
        <v>0</v>
      </c>
      <c r="Z119" s="992">
        <f>'Business Case Split'!AB119</f>
        <v>0</v>
      </c>
      <c r="AA119" s="993">
        <f>'Business Case Split'!AC119</f>
        <v>0</v>
      </c>
      <c r="AB119" s="994"/>
      <c r="AD119" s="991">
        <f t="shared" si="17"/>
        <v>0</v>
      </c>
      <c r="AE119" s="992">
        <f t="shared" si="18"/>
        <v>0</v>
      </c>
      <c r="AF119" s="992">
        <f t="shared" si="19"/>
        <v>0</v>
      </c>
      <c r="AG119" s="992">
        <f t="shared" si="20"/>
        <v>0</v>
      </c>
      <c r="AH119" s="993">
        <f t="shared" si="21"/>
        <v>0</v>
      </c>
      <c r="AI119" s="977"/>
      <c r="AJ119" s="995"/>
    </row>
    <row r="120" spans="1:36" s="684" customFormat="1" hidden="1" x14ac:dyDescent="0.25">
      <c r="A120" s="979" t="s">
        <v>81</v>
      </c>
      <c r="B120" s="980" t="s">
        <v>818</v>
      </c>
      <c r="C120" s="981" t="s">
        <v>643</v>
      </c>
      <c r="D120" s="981" t="s">
        <v>270</v>
      </c>
      <c r="E120" s="982"/>
      <c r="F120" s="983"/>
      <c r="G120" s="983"/>
      <c r="H120" s="983"/>
      <c r="I120" s="984"/>
      <c r="J120" s="997"/>
      <c r="K120" s="998"/>
      <c r="L120" s="998"/>
      <c r="M120" s="998"/>
      <c r="N120" s="999"/>
      <c r="O120" s="699"/>
      <c r="P120" s="988"/>
      <c r="Q120" s="989"/>
      <c r="R120" s="689"/>
      <c r="S120" s="689"/>
      <c r="T120" s="689"/>
      <c r="U120" s="988"/>
      <c r="V120" s="990">
        <f>VLOOKUP(A120,'Distribution Summary'!$A$136:$BJ$146,62,0)</f>
        <v>56912.19365276918</v>
      </c>
      <c r="W120" s="991">
        <f>'Business Case Split'!Y120</f>
        <v>0</v>
      </c>
      <c r="X120" s="992">
        <f>'Business Case Split'!Z120</f>
        <v>0</v>
      </c>
      <c r="Y120" s="992">
        <f>'Business Case Split'!AA120</f>
        <v>0</v>
      </c>
      <c r="Z120" s="992">
        <f>'Business Case Split'!AB120</f>
        <v>0</v>
      </c>
      <c r="AA120" s="993">
        <f>'Business Case Split'!AC120</f>
        <v>0</v>
      </c>
      <c r="AB120" s="994"/>
      <c r="AD120" s="991">
        <f t="shared" si="17"/>
        <v>0</v>
      </c>
      <c r="AE120" s="992">
        <f t="shared" si="18"/>
        <v>0</v>
      </c>
      <c r="AF120" s="992">
        <f t="shared" si="19"/>
        <v>0</v>
      </c>
      <c r="AG120" s="992">
        <f t="shared" si="20"/>
        <v>0</v>
      </c>
      <c r="AH120" s="993">
        <f t="shared" si="21"/>
        <v>0</v>
      </c>
      <c r="AI120" s="977"/>
      <c r="AJ120" s="995"/>
    </row>
    <row r="121" spans="1:36" s="684" customFormat="1" hidden="1" x14ac:dyDescent="0.25">
      <c r="A121" s="979" t="s">
        <v>94</v>
      </c>
      <c r="B121" s="980" t="s">
        <v>818</v>
      </c>
      <c r="C121" s="981" t="s">
        <v>643</v>
      </c>
      <c r="D121" s="981" t="s">
        <v>412</v>
      </c>
      <c r="E121" s="982"/>
      <c r="F121" s="983"/>
      <c r="G121" s="983"/>
      <c r="H121" s="983"/>
      <c r="I121" s="984"/>
      <c r="J121" s="985"/>
      <c r="K121" s="986"/>
      <c r="L121" s="986"/>
      <c r="M121" s="986"/>
      <c r="N121" s="987"/>
      <c r="O121" s="699">
        <f>'Defect (Total)'!BC185</f>
        <v>18.980691549933333</v>
      </c>
      <c r="P121" s="988">
        <f>'Defect (Total)'!BD185</f>
        <v>19.980691549933333</v>
      </c>
      <c r="Q121" s="989">
        <f>'Defect (Total)'!BE185</f>
        <v>19.980691549933333</v>
      </c>
      <c r="R121" s="689">
        <f>'Defect (Total)'!BF185</f>
        <v>20.980691549933333</v>
      </c>
      <c r="S121" s="689">
        <f>'Defect (Total)'!BG185</f>
        <v>20.980691549933333</v>
      </c>
      <c r="T121" s="689">
        <f>'Defect (Total)'!BH185</f>
        <v>21.980691549933333</v>
      </c>
      <c r="U121" s="988">
        <f>'Defect (Total)'!BI185</f>
        <v>21.980691549933333</v>
      </c>
      <c r="V121" s="990">
        <f>VLOOKUP(A121,'Distribution Summary'!$A$136:$BJ$146,62,0)</f>
        <v>322727.75622787437</v>
      </c>
      <c r="W121" s="991">
        <f>'Business Case Split'!Y121</f>
        <v>6475597.0592646832</v>
      </c>
      <c r="X121" s="992">
        <f>'Business Case Split'!Z121</f>
        <v>6775597.0592646832</v>
      </c>
      <c r="Y121" s="992">
        <f>'Business Case Split'!AA121</f>
        <v>6775597.0592646832</v>
      </c>
      <c r="Z121" s="992">
        <f>'Business Case Split'!AB121</f>
        <v>7075597.0592646832</v>
      </c>
      <c r="AA121" s="993">
        <f>'Business Case Split'!AC121</f>
        <v>7075597.0592646832</v>
      </c>
      <c r="AB121" s="994"/>
      <c r="AD121" s="991">
        <f t="shared" si="17"/>
        <v>7304015.0386646874</v>
      </c>
      <c r="AE121" s="992">
        <f t="shared" si="18"/>
        <v>7660775.3947364474</v>
      </c>
      <c r="AF121" s="992">
        <f t="shared" si="19"/>
        <v>7679114.5938289212</v>
      </c>
      <c r="AG121" s="992">
        <f t="shared" si="20"/>
        <v>8041987.2867767299</v>
      </c>
      <c r="AH121" s="993">
        <f t="shared" si="21"/>
        <v>8068452.2468346898</v>
      </c>
      <c r="AI121" s="977"/>
      <c r="AJ121" s="995"/>
    </row>
    <row r="122" spans="1:36" s="684" customFormat="1" hidden="1" x14ac:dyDescent="0.25">
      <c r="A122" s="979" t="s">
        <v>106</v>
      </c>
      <c r="B122" s="980" t="s">
        <v>818</v>
      </c>
      <c r="C122" s="981" t="s">
        <v>643</v>
      </c>
      <c r="D122" s="981" t="s">
        <v>272</v>
      </c>
      <c r="E122" s="982"/>
      <c r="F122" s="983"/>
      <c r="G122" s="983"/>
      <c r="H122" s="983"/>
      <c r="I122" s="984"/>
      <c r="J122" s="985"/>
      <c r="K122" s="986"/>
      <c r="L122" s="986"/>
      <c r="M122" s="986"/>
      <c r="N122" s="987"/>
      <c r="O122" s="699"/>
      <c r="P122" s="988"/>
      <c r="Q122" s="989"/>
      <c r="R122" s="689"/>
      <c r="S122" s="689"/>
      <c r="T122" s="689"/>
      <c r="U122" s="988"/>
      <c r="V122" s="990">
        <f>VLOOKUP(A122,'Distribution Summary'!$A$136:$BJ$146,62,0)</f>
        <v>1339.2666347282993</v>
      </c>
      <c r="W122" s="991">
        <f>'Business Case Split'!Y122</f>
        <v>0</v>
      </c>
      <c r="X122" s="992">
        <f>'Business Case Split'!Z122</f>
        <v>0</v>
      </c>
      <c r="Y122" s="992">
        <f>'Business Case Split'!AA122</f>
        <v>0</v>
      </c>
      <c r="Z122" s="992">
        <f>'Business Case Split'!AB122</f>
        <v>0</v>
      </c>
      <c r="AA122" s="993">
        <f>'Business Case Split'!AC122</f>
        <v>0</v>
      </c>
      <c r="AB122" s="994"/>
      <c r="AD122" s="991">
        <f t="shared" si="17"/>
        <v>0</v>
      </c>
      <c r="AE122" s="992">
        <f t="shared" si="18"/>
        <v>0</v>
      </c>
      <c r="AF122" s="992">
        <f t="shared" si="19"/>
        <v>0</v>
      </c>
      <c r="AG122" s="992">
        <f t="shared" si="20"/>
        <v>0</v>
      </c>
      <c r="AH122" s="993">
        <f t="shared" si="21"/>
        <v>0</v>
      </c>
      <c r="AI122" s="977"/>
      <c r="AJ122" s="995"/>
    </row>
    <row r="123" spans="1:36" s="684" customFormat="1" hidden="1" x14ac:dyDescent="0.25">
      <c r="A123" s="979" t="s">
        <v>138</v>
      </c>
      <c r="B123" s="980" t="s">
        <v>818</v>
      </c>
      <c r="C123" s="981" t="s">
        <v>643</v>
      </c>
      <c r="D123" s="981" t="s">
        <v>413</v>
      </c>
      <c r="E123" s="982"/>
      <c r="F123" s="983"/>
      <c r="G123" s="983"/>
      <c r="H123" s="983"/>
      <c r="I123" s="984"/>
      <c r="J123" s="985"/>
      <c r="K123" s="986"/>
      <c r="L123" s="986"/>
      <c r="M123" s="986"/>
      <c r="N123" s="987"/>
      <c r="O123" s="699"/>
      <c r="P123" s="988"/>
      <c r="Q123" s="989"/>
      <c r="R123" s="689"/>
      <c r="S123" s="689"/>
      <c r="T123" s="689"/>
      <c r="U123" s="988"/>
      <c r="V123" s="990">
        <f>VLOOKUP(A123,'Distribution Summary'!$A$136:$BJ$146,62,0)</f>
        <v>28527.37387874335</v>
      </c>
      <c r="W123" s="991">
        <f>'Business Case Split'!Y123</f>
        <v>0</v>
      </c>
      <c r="X123" s="992">
        <f>'Business Case Split'!Z123</f>
        <v>0</v>
      </c>
      <c r="Y123" s="992">
        <f>'Business Case Split'!AA123</f>
        <v>0</v>
      </c>
      <c r="Z123" s="992">
        <f>'Business Case Split'!AB123</f>
        <v>0</v>
      </c>
      <c r="AA123" s="993">
        <f>'Business Case Split'!AC123</f>
        <v>0</v>
      </c>
      <c r="AB123" s="994"/>
      <c r="AD123" s="991">
        <f t="shared" si="17"/>
        <v>0</v>
      </c>
      <c r="AE123" s="992">
        <f t="shared" si="18"/>
        <v>0</v>
      </c>
      <c r="AF123" s="992">
        <f t="shared" si="19"/>
        <v>0</v>
      </c>
      <c r="AG123" s="992">
        <f t="shared" si="20"/>
        <v>0</v>
      </c>
      <c r="AH123" s="993">
        <f t="shared" si="21"/>
        <v>0</v>
      </c>
      <c r="AI123" s="977"/>
      <c r="AJ123" s="995"/>
    </row>
    <row r="124" spans="1:36" s="684" customFormat="1" hidden="1" x14ac:dyDescent="0.25">
      <c r="A124" s="979" t="s">
        <v>196</v>
      </c>
      <c r="B124" s="980" t="s">
        <v>818</v>
      </c>
      <c r="C124" s="981" t="s">
        <v>643</v>
      </c>
      <c r="D124" s="981" t="s">
        <v>274</v>
      </c>
      <c r="E124" s="982"/>
      <c r="F124" s="983"/>
      <c r="G124" s="983"/>
      <c r="H124" s="983"/>
      <c r="I124" s="984"/>
      <c r="J124" s="985"/>
      <c r="K124" s="986"/>
      <c r="L124" s="986"/>
      <c r="M124" s="986"/>
      <c r="N124" s="987"/>
      <c r="O124" s="699"/>
      <c r="P124" s="988"/>
      <c r="Q124" s="989"/>
      <c r="R124" s="689"/>
      <c r="S124" s="689"/>
      <c r="T124" s="689"/>
      <c r="U124" s="988"/>
      <c r="V124" s="990">
        <f>VLOOKUP(A124,'Distribution Summary'!$A$136:$BJ$146,62,0)</f>
        <v>9639.239384840419</v>
      </c>
      <c r="W124" s="991">
        <f>'Business Case Split'!Y124</f>
        <v>0</v>
      </c>
      <c r="X124" s="992">
        <f>'Business Case Split'!Z124</f>
        <v>0</v>
      </c>
      <c r="Y124" s="992">
        <f>'Business Case Split'!AA124</f>
        <v>0</v>
      </c>
      <c r="Z124" s="992">
        <f>'Business Case Split'!AB124</f>
        <v>0</v>
      </c>
      <c r="AA124" s="993">
        <f>'Business Case Split'!AC124</f>
        <v>0</v>
      </c>
      <c r="AB124" s="994"/>
      <c r="AD124" s="991">
        <f t="shared" si="17"/>
        <v>0</v>
      </c>
      <c r="AE124" s="992">
        <f t="shared" si="18"/>
        <v>0</v>
      </c>
      <c r="AF124" s="992">
        <f t="shared" si="19"/>
        <v>0</v>
      </c>
      <c r="AG124" s="992">
        <f t="shared" si="20"/>
        <v>0</v>
      </c>
      <c r="AH124" s="993">
        <f t="shared" si="21"/>
        <v>0</v>
      </c>
      <c r="AI124" s="977"/>
      <c r="AJ124" s="995"/>
    </row>
    <row r="125" spans="1:36" s="684" customFormat="1" hidden="1" x14ac:dyDescent="0.25">
      <c r="A125" s="979" t="s">
        <v>224</v>
      </c>
      <c r="B125" s="980" t="s">
        <v>818</v>
      </c>
      <c r="C125" s="981" t="s">
        <v>643</v>
      </c>
      <c r="D125" s="981" t="s">
        <v>414</v>
      </c>
      <c r="E125" s="982"/>
      <c r="F125" s="983"/>
      <c r="G125" s="983"/>
      <c r="H125" s="983"/>
      <c r="I125" s="984"/>
      <c r="J125" s="985"/>
      <c r="K125" s="986"/>
      <c r="L125" s="986"/>
      <c r="M125" s="986"/>
      <c r="N125" s="987"/>
      <c r="O125" s="699"/>
      <c r="P125" s="988"/>
      <c r="Q125" s="989"/>
      <c r="R125" s="689"/>
      <c r="S125" s="689"/>
      <c r="T125" s="689"/>
      <c r="U125" s="988"/>
      <c r="V125" s="990">
        <f>VLOOKUP(A125,'Distribution Summary'!$A$136:$BJ$146,62,0)</f>
        <v>0</v>
      </c>
      <c r="W125" s="991">
        <f>'Business Case Split'!Y125</f>
        <v>0</v>
      </c>
      <c r="X125" s="992">
        <f>'Business Case Split'!Z125</f>
        <v>0</v>
      </c>
      <c r="Y125" s="992">
        <f>'Business Case Split'!AA125</f>
        <v>0</v>
      </c>
      <c r="Z125" s="992">
        <f>'Business Case Split'!AB125</f>
        <v>0</v>
      </c>
      <c r="AA125" s="993">
        <f>'Business Case Split'!AC125</f>
        <v>0</v>
      </c>
      <c r="AB125" s="994"/>
      <c r="AD125" s="991">
        <f t="shared" si="17"/>
        <v>0</v>
      </c>
      <c r="AE125" s="992">
        <f t="shared" si="18"/>
        <v>0</v>
      </c>
      <c r="AF125" s="992">
        <f t="shared" si="19"/>
        <v>0</v>
      </c>
      <c r="AG125" s="992">
        <f t="shared" si="20"/>
        <v>0</v>
      </c>
      <c r="AH125" s="993">
        <f t="shared" si="21"/>
        <v>0</v>
      </c>
      <c r="AI125" s="977"/>
      <c r="AJ125" s="995"/>
    </row>
    <row r="126" spans="1:36" s="684" customFormat="1" hidden="1" x14ac:dyDescent="0.25">
      <c r="A126" s="979" t="s">
        <v>242</v>
      </c>
      <c r="B126" s="980" t="s">
        <v>818</v>
      </c>
      <c r="C126" s="981" t="s">
        <v>643</v>
      </c>
      <c r="D126" s="981" t="s">
        <v>415</v>
      </c>
      <c r="E126" s="982"/>
      <c r="F126" s="983"/>
      <c r="G126" s="983"/>
      <c r="H126" s="983"/>
      <c r="I126" s="984"/>
      <c r="J126" s="985"/>
      <c r="K126" s="986"/>
      <c r="L126" s="986"/>
      <c r="M126" s="986"/>
      <c r="N126" s="987"/>
      <c r="O126" s="699"/>
      <c r="P126" s="988"/>
      <c r="Q126" s="989"/>
      <c r="R126" s="689"/>
      <c r="S126" s="689"/>
      <c r="T126" s="689"/>
      <c r="U126" s="988"/>
      <c r="V126" s="990">
        <f>VLOOKUP(A126,'Distribution Summary'!$A$136:$BJ$146,62,0)</f>
        <v>0</v>
      </c>
      <c r="W126" s="991">
        <f>'Business Case Split'!Y126</f>
        <v>0</v>
      </c>
      <c r="X126" s="992">
        <f>'Business Case Split'!Z126</f>
        <v>0</v>
      </c>
      <c r="Y126" s="992">
        <f>'Business Case Split'!AA126</f>
        <v>0</v>
      </c>
      <c r="Z126" s="992">
        <f>'Business Case Split'!AB126</f>
        <v>0</v>
      </c>
      <c r="AA126" s="993">
        <f>'Business Case Split'!AC126</f>
        <v>0</v>
      </c>
      <c r="AB126" s="994"/>
      <c r="AD126" s="991">
        <f t="shared" si="17"/>
        <v>0</v>
      </c>
      <c r="AE126" s="992">
        <f t="shared" si="18"/>
        <v>0</v>
      </c>
      <c r="AF126" s="992">
        <f t="shared" si="19"/>
        <v>0</v>
      </c>
      <c r="AG126" s="992">
        <f t="shared" si="20"/>
        <v>0</v>
      </c>
      <c r="AH126" s="993">
        <f t="shared" si="21"/>
        <v>0</v>
      </c>
      <c r="AI126" s="977"/>
      <c r="AJ126" s="995"/>
    </row>
    <row r="127" spans="1:36" s="684" customFormat="1" ht="15.75" hidden="1" thickBot="1" x14ac:dyDescent="0.3">
      <c r="A127" s="1000" t="s">
        <v>258</v>
      </c>
      <c r="B127" s="1001" t="s">
        <v>818</v>
      </c>
      <c r="C127" s="1002" t="s">
        <v>643</v>
      </c>
      <c r="D127" s="1002" t="s">
        <v>64</v>
      </c>
      <c r="E127" s="1003"/>
      <c r="F127" s="1004"/>
      <c r="G127" s="1004"/>
      <c r="H127" s="1004"/>
      <c r="I127" s="1005"/>
      <c r="J127" s="1006"/>
      <c r="K127" s="1007"/>
      <c r="L127" s="1007"/>
      <c r="M127" s="1007"/>
      <c r="N127" s="1008"/>
      <c r="O127" s="700"/>
      <c r="P127" s="1009"/>
      <c r="Q127" s="1010"/>
      <c r="R127" s="690"/>
      <c r="S127" s="690"/>
      <c r="T127" s="690"/>
      <c r="U127" s="1009"/>
      <c r="V127" s="1011">
        <f>VLOOKUP(A127,'Distribution Summary'!$A$136:$BJ$146,62,0)</f>
        <v>30000</v>
      </c>
      <c r="W127" s="1012">
        <f>'Business Case Split'!Y127</f>
        <v>0</v>
      </c>
      <c r="X127" s="1013">
        <f>'Business Case Split'!Z127</f>
        <v>0</v>
      </c>
      <c r="Y127" s="1013">
        <f>'Business Case Split'!AA127</f>
        <v>0</v>
      </c>
      <c r="Z127" s="1013">
        <f>'Business Case Split'!AB127</f>
        <v>0</v>
      </c>
      <c r="AA127" s="1014">
        <f>'Business Case Split'!AC127</f>
        <v>0</v>
      </c>
      <c r="AB127" s="1015"/>
      <c r="AD127" s="1012">
        <f t="shared" si="17"/>
        <v>0</v>
      </c>
      <c r="AE127" s="1013">
        <f t="shared" si="18"/>
        <v>0</v>
      </c>
      <c r="AF127" s="1013">
        <f t="shared" si="19"/>
        <v>0</v>
      </c>
      <c r="AG127" s="1013">
        <f t="shared" si="20"/>
        <v>0</v>
      </c>
      <c r="AH127" s="1014">
        <f t="shared" si="21"/>
        <v>0</v>
      </c>
      <c r="AI127" s="977"/>
      <c r="AJ127" s="995"/>
    </row>
    <row r="128" spans="1:36" s="684" customFormat="1" hidden="1" x14ac:dyDescent="0.25">
      <c r="A128" s="961" t="s">
        <v>296</v>
      </c>
      <c r="B128" s="962" t="s">
        <v>688</v>
      </c>
      <c r="C128" s="963" t="s">
        <v>644</v>
      </c>
      <c r="D128" s="963" t="s">
        <v>409</v>
      </c>
      <c r="E128" s="964"/>
      <c r="F128" s="965"/>
      <c r="G128" s="965"/>
      <c r="H128" s="965"/>
      <c r="I128" s="966"/>
      <c r="J128" s="967"/>
      <c r="K128" s="968"/>
      <c r="L128" s="968"/>
      <c r="M128" s="968"/>
      <c r="N128" s="969"/>
      <c r="O128" s="698"/>
      <c r="P128" s="970"/>
      <c r="Q128" s="971"/>
      <c r="R128" s="696"/>
      <c r="S128" s="696"/>
      <c r="T128" s="696"/>
      <c r="U128" s="970"/>
      <c r="V128" s="972">
        <f>VLOOKUP(A128,'Distribution Summary'!$A$136:$BJ$146,62,0)</f>
        <v>1800</v>
      </c>
      <c r="W128" s="973">
        <f>'Business Case Split'!Y128</f>
        <v>0</v>
      </c>
      <c r="X128" s="974">
        <f>'Business Case Split'!Z128</f>
        <v>0</v>
      </c>
      <c r="Y128" s="974">
        <f>'Business Case Split'!AA128</f>
        <v>0</v>
      </c>
      <c r="Z128" s="974">
        <f>'Business Case Split'!AB128</f>
        <v>0</v>
      </c>
      <c r="AA128" s="975">
        <f>'Business Case Split'!AC128</f>
        <v>0</v>
      </c>
      <c r="AB128" s="976"/>
      <c r="AD128" s="973">
        <f t="shared" si="17"/>
        <v>0</v>
      </c>
      <c r="AE128" s="974">
        <f t="shared" si="18"/>
        <v>0</v>
      </c>
      <c r="AF128" s="974">
        <f t="shared" si="19"/>
        <v>0</v>
      </c>
      <c r="AG128" s="974">
        <f t="shared" si="20"/>
        <v>0</v>
      </c>
      <c r="AH128" s="975">
        <f t="shared" si="21"/>
        <v>0</v>
      </c>
      <c r="AI128" s="977"/>
      <c r="AJ128" s="995"/>
    </row>
    <row r="129" spans="1:41" s="684" customFormat="1" hidden="1" x14ac:dyDescent="0.25">
      <c r="A129" s="979" t="s">
        <v>27</v>
      </c>
      <c r="B129" s="980" t="s">
        <v>688</v>
      </c>
      <c r="C129" s="981" t="s">
        <v>644</v>
      </c>
      <c r="D129" s="981" t="s">
        <v>410</v>
      </c>
      <c r="E129" s="982"/>
      <c r="F129" s="983"/>
      <c r="G129" s="983"/>
      <c r="H129" s="983"/>
      <c r="I129" s="984"/>
      <c r="J129" s="985"/>
      <c r="K129" s="986"/>
      <c r="L129" s="986"/>
      <c r="M129" s="986"/>
      <c r="N129" s="987"/>
      <c r="O129" s="699"/>
      <c r="P129" s="988"/>
      <c r="Q129" s="989"/>
      <c r="R129" s="689"/>
      <c r="S129" s="689"/>
      <c r="T129" s="689"/>
      <c r="U129" s="988"/>
      <c r="V129" s="990">
        <f>VLOOKUP(A129,'Distribution Summary'!$A$136:$BJ$146,62,0)</f>
        <v>6236.1822982950935</v>
      </c>
      <c r="W129" s="991">
        <f>'Business Case Split'!Y129</f>
        <v>0</v>
      </c>
      <c r="X129" s="992">
        <f>'Business Case Split'!Z129</f>
        <v>0</v>
      </c>
      <c r="Y129" s="992">
        <f>'Business Case Split'!AA129</f>
        <v>0</v>
      </c>
      <c r="Z129" s="992">
        <f>'Business Case Split'!AB129</f>
        <v>0</v>
      </c>
      <c r="AA129" s="993">
        <f>'Business Case Split'!AC129</f>
        <v>0</v>
      </c>
      <c r="AB129" s="994"/>
      <c r="AD129" s="991">
        <f t="shared" si="17"/>
        <v>0</v>
      </c>
      <c r="AE129" s="992">
        <f t="shared" si="18"/>
        <v>0</v>
      </c>
      <c r="AF129" s="992">
        <f t="shared" si="19"/>
        <v>0</v>
      </c>
      <c r="AG129" s="992">
        <f t="shared" si="20"/>
        <v>0</v>
      </c>
      <c r="AH129" s="993">
        <f t="shared" si="21"/>
        <v>0</v>
      </c>
      <c r="AI129" s="977"/>
      <c r="AJ129" s="995"/>
    </row>
    <row r="130" spans="1:41" s="684" customFormat="1" hidden="1" x14ac:dyDescent="0.25">
      <c r="A130" s="979" t="s">
        <v>68</v>
      </c>
      <c r="B130" s="980" t="s">
        <v>688</v>
      </c>
      <c r="C130" s="981" t="s">
        <v>644</v>
      </c>
      <c r="D130" s="981" t="s">
        <v>411</v>
      </c>
      <c r="E130" s="982"/>
      <c r="F130" s="983"/>
      <c r="G130" s="983"/>
      <c r="H130" s="983"/>
      <c r="I130" s="984"/>
      <c r="J130" s="985"/>
      <c r="K130" s="986"/>
      <c r="L130" s="986"/>
      <c r="M130" s="986"/>
      <c r="N130" s="987"/>
      <c r="O130" s="699"/>
      <c r="P130" s="988"/>
      <c r="Q130" s="989"/>
      <c r="R130" s="689"/>
      <c r="S130" s="689"/>
      <c r="T130" s="689"/>
      <c r="U130" s="988"/>
      <c r="V130" s="990">
        <f>VLOOKUP(A130,'Distribution Summary'!$A$136:$BJ$146,62,0)</f>
        <v>2810.5410327755412</v>
      </c>
      <c r="W130" s="991">
        <f>'Business Case Split'!Y130</f>
        <v>0</v>
      </c>
      <c r="X130" s="992">
        <f>'Business Case Split'!Z130</f>
        <v>0</v>
      </c>
      <c r="Y130" s="992">
        <f>'Business Case Split'!AA130</f>
        <v>0</v>
      </c>
      <c r="Z130" s="992">
        <f>'Business Case Split'!AB130</f>
        <v>0</v>
      </c>
      <c r="AA130" s="993">
        <f>'Business Case Split'!AC130</f>
        <v>0</v>
      </c>
      <c r="AB130" s="994"/>
      <c r="AD130" s="991">
        <f t="shared" si="17"/>
        <v>0</v>
      </c>
      <c r="AE130" s="992">
        <f t="shared" si="18"/>
        <v>0</v>
      </c>
      <c r="AF130" s="992">
        <f t="shared" si="19"/>
        <v>0</v>
      </c>
      <c r="AG130" s="992">
        <f t="shared" si="20"/>
        <v>0</v>
      </c>
      <c r="AH130" s="993">
        <f t="shared" si="21"/>
        <v>0</v>
      </c>
      <c r="AI130" s="977"/>
      <c r="AJ130" s="995"/>
    </row>
    <row r="131" spans="1:41" s="684" customFormat="1" hidden="1" x14ac:dyDescent="0.25">
      <c r="A131" s="979" t="s">
        <v>81</v>
      </c>
      <c r="B131" s="980" t="s">
        <v>688</v>
      </c>
      <c r="C131" s="981" t="s">
        <v>644</v>
      </c>
      <c r="D131" s="981" t="s">
        <v>270</v>
      </c>
      <c r="E131" s="982"/>
      <c r="F131" s="983"/>
      <c r="G131" s="983"/>
      <c r="H131" s="983"/>
      <c r="I131" s="984"/>
      <c r="J131" s="997"/>
      <c r="K131" s="998"/>
      <c r="L131" s="998"/>
      <c r="M131" s="998"/>
      <c r="N131" s="999"/>
      <c r="O131" s="699"/>
      <c r="P131" s="988"/>
      <c r="Q131" s="989"/>
      <c r="R131" s="689"/>
      <c r="S131" s="689"/>
      <c r="T131" s="689"/>
      <c r="U131" s="988"/>
      <c r="V131" s="990">
        <f>VLOOKUP(A131,'Distribution Summary'!$A$136:$BJ$146,62,0)</f>
        <v>56912.19365276918</v>
      </c>
      <c r="W131" s="991">
        <f>'Business Case Split'!Y131</f>
        <v>0</v>
      </c>
      <c r="X131" s="992">
        <f>'Business Case Split'!Z131</f>
        <v>0</v>
      </c>
      <c r="Y131" s="992">
        <f>'Business Case Split'!AA131</f>
        <v>0</v>
      </c>
      <c r="Z131" s="992">
        <f>'Business Case Split'!AB131</f>
        <v>0</v>
      </c>
      <c r="AA131" s="993">
        <f>'Business Case Split'!AC131</f>
        <v>0</v>
      </c>
      <c r="AB131" s="994"/>
      <c r="AD131" s="991">
        <f t="shared" si="17"/>
        <v>0</v>
      </c>
      <c r="AE131" s="992">
        <f t="shared" si="18"/>
        <v>0</v>
      </c>
      <c r="AF131" s="992">
        <f t="shared" si="19"/>
        <v>0</v>
      </c>
      <c r="AG131" s="992">
        <f t="shared" si="20"/>
        <v>0</v>
      </c>
      <c r="AH131" s="993">
        <f t="shared" si="21"/>
        <v>0</v>
      </c>
      <c r="AI131" s="977"/>
      <c r="AJ131" s="995"/>
    </row>
    <row r="132" spans="1:41" s="684" customFormat="1" hidden="1" x14ac:dyDescent="0.25">
      <c r="A132" s="979" t="s">
        <v>94</v>
      </c>
      <c r="B132" s="980" t="s">
        <v>688</v>
      </c>
      <c r="C132" s="981" t="s">
        <v>644</v>
      </c>
      <c r="D132" s="981" t="s">
        <v>412</v>
      </c>
      <c r="E132" s="982"/>
      <c r="F132" s="983"/>
      <c r="G132" s="983"/>
      <c r="H132" s="983"/>
      <c r="I132" s="984"/>
      <c r="J132" s="985"/>
      <c r="K132" s="986"/>
      <c r="L132" s="986"/>
      <c r="M132" s="986"/>
      <c r="N132" s="987"/>
      <c r="O132" s="699"/>
      <c r="P132" s="988"/>
      <c r="Q132" s="989"/>
      <c r="R132" s="689"/>
      <c r="S132" s="689"/>
      <c r="T132" s="689"/>
      <c r="U132" s="988"/>
      <c r="V132" s="990">
        <f>VLOOKUP(A132,'Distribution Summary'!$A$136:$BJ$146,62,0)</f>
        <v>322727.75622787437</v>
      </c>
      <c r="W132" s="991">
        <f>'Business Case Split'!Y132</f>
        <v>0</v>
      </c>
      <c r="X132" s="992">
        <f>'Business Case Split'!Z132</f>
        <v>0</v>
      </c>
      <c r="Y132" s="992">
        <f>'Business Case Split'!AA132</f>
        <v>0</v>
      </c>
      <c r="Z132" s="992">
        <f>'Business Case Split'!AB132</f>
        <v>0</v>
      </c>
      <c r="AA132" s="993">
        <f>'Business Case Split'!AC132</f>
        <v>0</v>
      </c>
      <c r="AB132" s="994"/>
      <c r="AD132" s="991">
        <f t="shared" si="17"/>
        <v>0</v>
      </c>
      <c r="AE132" s="992">
        <f t="shared" si="18"/>
        <v>0</v>
      </c>
      <c r="AF132" s="992">
        <f t="shared" si="19"/>
        <v>0</v>
      </c>
      <c r="AG132" s="992">
        <f t="shared" si="20"/>
        <v>0</v>
      </c>
      <c r="AH132" s="993">
        <f t="shared" si="21"/>
        <v>0</v>
      </c>
      <c r="AI132" s="977"/>
      <c r="AJ132" s="995"/>
    </row>
    <row r="133" spans="1:41" s="684" customFormat="1" hidden="1" x14ac:dyDescent="0.25">
      <c r="A133" s="979" t="s">
        <v>106</v>
      </c>
      <c r="B133" s="980" t="s">
        <v>688</v>
      </c>
      <c r="C133" s="981" t="s">
        <v>644</v>
      </c>
      <c r="D133" s="981" t="s">
        <v>272</v>
      </c>
      <c r="E133" s="982"/>
      <c r="F133" s="983"/>
      <c r="G133" s="983"/>
      <c r="H133" s="983"/>
      <c r="I133" s="984"/>
      <c r="J133" s="985"/>
      <c r="K133" s="986"/>
      <c r="L133" s="986"/>
      <c r="M133" s="986"/>
      <c r="N133" s="987"/>
      <c r="O133" s="699"/>
      <c r="P133" s="988"/>
      <c r="Q133" s="989"/>
      <c r="R133" s="689"/>
      <c r="S133" s="689"/>
      <c r="T133" s="689"/>
      <c r="U133" s="988"/>
      <c r="V133" s="990">
        <f>VLOOKUP(A133,'Distribution Summary'!$A$136:$BJ$146,62,0)</f>
        <v>1339.2666347282993</v>
      </c>
      <c r="W133" s="991">
        <f>'Business Case Split'!Y133</f>
        <v>0</v>
      </c>
      <c r="X133" s="992">
        <f>'Business Case Split'!Z133</f>
        <v>0</v>
      </c>
      <c r="Y133" s="992">
        <f>'Business Case Split'!AA133</f>
        <v>0</v>
      </c>
      <c r="Z133" s="992">
        <f>'Business Case Split'!AB133</f>
        <v>0</v>
      </c>
      <c r="AA133" s="993">
        <f>'Business Case Split'!AC133</f>
        <v>0</v>
      </c>
      <c r="AB133" s="994"/>
      <c r="AD133" s="991">
        <f t="shared" si="17"/>
        <v>0</v>
      </c>
      <c r="AE133" s="992">
        <f t="shared" si="18"/>
        <v>0</v>
      </c>
      <c r="AF133" s="992">
        <f t="shared" si="19"/>
        <v>0</v>
      </c>
      <c r="AG133" s="992">
        <f t="shared" si="20"/>
        <v>0</v>
      </c>
      <c r="AH133" s="993">
        <f t="shared" si="21"/>
        <v>0</v>
      </c>
      <c r="AI133" s="977"/>
      <c r="AJ133" s="995"/>
    </row>
    <row r="134" spans="1:41" s="684" customFormat="1" hidden="1" x14ac:dyDescent="0.25">
      <c r="A134" s="979" t="s">
        <v>138</v>
      </c>
      <c r="B134" s="980" t="s">
        <v>688</v>
      </c>
      <c r="C134" s="981" t="s">
        <v>644</v>
      </c>
      <c r="D134" s="981" t="s">
        <v>413</v>
      </c>
      <c r="E134" s="982"/>
      <c r="F134" s="983"/>
      <c r="G134" s="983"/>
      <c r="H134" s="983"/>
      <c r="I134" s="984"/>
      <c r="J134" s="985"/>
      <c r="K134" s="986"/>
      <c r="L134" s="986"/>
      <c r="M134" s="986"/>
      <c r="N134" s="987"/>
      <c r="O134" s="699"/>
      <c r="P134" s="988"/>
      <c r="Q134" s="989"/>
      <c r="R134" s="689"/>
      <c r="S134" s="689"/>
      <c r="T134" s="689"/>
      <c r="U134" s="988"/>
      <c r="V134" s="990">
        <f>VLOOKUP(A134,'Distribution Summary'!$A$136:$BJ$146,62,0)</f>
        <v>28527.37387874335</v>
      </c>
      <c r="W134" s="991">
        <f>'Business Case Split'!Y134</f>
        <v>0</v>
      </c>
      <c r="X134" s="992">
        <f>'Business Case Split'!Z134</f>
        <v>0</v>
      </c>
      <c r="Y134" s="992">
        <f>'Business Case Split'!AA134</f>
        <v>0</v>
      </c>
      <c r="Z134" s="992">
        <f>'Business Case Split'!AB134</f>
        <v>0</v>
      </c>
      <c r="AA134" s="993">
        <f>'Business Case Split'!AC134</f>
        <v>0</v>
      </c>
      <c r="AB134" s="994"/>
      <c r="AD134" s="991">
        <f t="shared" si="17"/>
        <v>0</v>
      </c>
      <c r="AE134" s="992">
        <f t="shared" si="18"/>
        <v>0</v>
      </c>
      <c r="AF134" s="992">
        <f t="shared" si="19"/>
        <v>0</v>
      </c>
      <c r="AG134" s="992">
        <f t="shared" si="20"/>
        <v>0</v>
      </c>
      <c r="AH134" s="993">
        <f t="shared" si="21"/>
        <v>0</v>
      </c>
      <c r="AI134" s="977"/>
      <c r="AJ134" s="995"/>
    </row>
    <row r="135" spans="1:41" s="684" customFormat="1" hidden="1" x14ac:dyDescent="0.25">
      <c r="A135" s="979" t="s">
        <v>196</v>
      </c>
      <c r="B135" s="980" t="s">
        <v>688</v>
      </c>
      <c r="C135" s="981" t="s">
        <v>644</v>
      </c>
      <c r="D135" s="981" t="s">
        <v>274</v>
      </c>
      <c r="E135" s="982"/>
      <c r="F135" s="983"/>
      <c r="G135" s="983"/>
      <c r="H135" s="983"/>
      <c r="I135" s="984"/>
      <c r="J135" s="985"/>
      <c r="K135" s="986"/>
      <c r="L135" s="986"/>
      <c r="M135" s="986"/>
      <c r="N135" s="987"/>
      <c r="O135" s="699"/>
      <c r="P135" s="988"/>
      <c r="Q135" s="989"/>
      <c r="R135" s="689"/>
      <c r="S135" s="689"/>
      <c r="T135" s="689"/>
      <c r="U135" s="988"/>
      <c r="V135" s="990">
        <f>VLOOKUP(A135,'Distribution Summary'!$A$136:$BJ$146,62,0)</f>
        <v>9639.239384840419</v>
      </c>
      <c r="W135" s="991">
        <f>'Business Case Split'!Y135</f>
        <v>0</v>
      </c>
      <c r="X135" s="992">
        <f>'Business Case Split'!Z135</f>
        <v>0</v>
      </c>
      <c r="Y135" s="992">
        <f>'Business Case Split'!AA135</f>
        <v>0</v>
      </c>
      <c r="Z135" s="992">
        <f>'Business Case Split'!AB135</f>
        <v>0</v>
      </c>
      <c r="AA135" s="993">
        <f>'Business Case Split'!AC135</f>
        <v>0</v>
      </c>
      <c r="AB135" s="994"/>
      <c r="AD135" s="991">
        <f t="shared" si="17"/>
        <v>0</v>
      </c>
      <c r="AE135" s="992">
        <f t="shared" si="18"/>
        <v>0</v>
      </c>
      <c r="AF135" s="992">
        <f t="shared" si="19"/>
        <v>0</v>
      </c>
      <c r="AG135" s="992">
        <f t="shared" si="20"/>
        <v>0</v>
      </c>
      <c r="AH135" s="993">
        <f t="shared" si="21"/>
        <v>0</v>
      </c>
      <c r="AI135" s="977"/>
      <c r="AJ135" s="995"/>
    </row>
    <row r="136" spans="1:41" s="684" customFormat="1" hidden="1" x14ac:dyDescent="0.25">
      <c r="A136" s="979" t="s">
        <v>224</v>
      </c>
      <c r="B136" s="980" t="s">
        <v>688</v>
      </c>
      <c r="C136" s="981" t="s">
        <v>644</v>
      </c>
      <c r="D136" s="981" t="s">
        <v>414</v>
      </c>
      <c r="E136" s="982"/>
      <c r="F136" s="983"/>
      <c r="G136" s="983"/>
      <c r="H136" s="983"/>
      <c r="I136" s="984"/>
      <c r="J136" s="985"/>
      <c r="K136" s="986"/>
      <c r="L136" s="986"/>
      <c r="M136" s="986"/>
      <c r="N136" s="987"/>
      <c r="O136" s="699"/>
      <c r="P136" s="988"/>
      <c r="Q136" s="989"/>
      <c r="R136" s="689"/>
      <c r="S136" s="689"/>
      <c r="T136" s="689"/>
      <c r="U136" s="988"/>
      <c r="V136" s="990">
        <f>VLOOKUP(A136,'Distribution Summary'!$A$136:$BJ$146,62,0)</f>
        <v>0</v>
      </c>
      <c r="W136" s="991">
        <f>'Business Case Split'!Y136</f>
        <v>0</v>
      </c>
      <c r="X136" s="992">
        <f>'Business Case Split'!Z136</f>
        <v>0</v>
      </c>
      <c r="Y136" s="992">
        <f>'Business Case Split'!AA136</f>
        <v>0</v>
      </c>
      <c r="Z136" s="992">
        <f>'Business Case Split'!AB136</f>
        <v>0</v>
      </c>
      <c r="AA136" s="993">
        <f>'Business Case Split'!AC136</f>
        <v>0</v>
      </c>
      <c r="AB136" s="994"/>
      <c r="AD136" s="991">
        <f t="shared" si="17"/>
        <v>0</v>
      </c>
      <c r="AE136" s="992">
        <f t="shared" si="18"/>
        <v>0</v>
      </c>
      <c r="AF136" s="992">
        <f t="shared" si="19"/>
        <v>0</v>
      </c>
      <c r="AG136" s="992">
        <f t="shared" si="20"/>
        <v>0</v>
      </c>
      <c r="AH136" s="993">
        <f t="shared" si="21"/>
        <v>0</v>
      </c>
      <c r="AI136" s="977"/>
      <c r="AJ136" s="995"/>
    </row>
    <row r="137" spans="1:41" s="684" customFormat="1" hidden="1" x14ac:dyDescent="0.25">
      <c r="A137" s="979" t="s">
        <v>242</v>
      </c>
      <c r="B137" s="980" t="s">
        <v>688</v>
      </c>
      <c r="C137" s="981" t="s">
        <v>644</v>
      </c>
      <c r="D137" s="981" t="s">
        <v>415</v>
      </c>
      <c r="E137" s="982"/>
      <c r="F137" s="983"/>
      <c r="G137" s="983"/>
      <c r="H137" s="983"/>
      <c r="I137" s="984"/>
      <c r="J137" s="985"/>
      <c r="K137" s="986"/>
      <c r="L137" s="986"/>
      <c r="M137" s="986"/>
      <c r="N137" s="987"/>
      <c r="O137" s="699"/>
      <c r="P137" s="988"/>
      <c r="Q137" s="989"/>
      <c r="R137" s="689"/>
      <c r="S137" s="689"/>
      <c r="T137" s="689"/>
      <c r="U137" s="988"/>
      <c r="V137" s="990">
        <f>VLOOKUP(A137,'Distribution Summary'!$A$136:$BJ$146,62,0)</f>
        <v>0</v>
      </c>
      <c r="W137" s="991">
        <f>'Business Case Split'!Y137</f>
        <v>0</v>
      </c>
      <c r="X137" s="992">
        <f>'Business Case Split'!Z137</f>
        <v>0</v>
      </c>
      <c r="Y137" s="992">
        <f>'Business Case Split'!AA137</f>
        <v>0</v>
      </c>
      <c r="Z137" s="992">
        <f>'Business Case Split'!AB137</f>
        <v>0</v>
      </c>
      <c r="AA137" s="993">
        <f>'Business Case Split'!AC137</f>
        <v>0</v>
      </c>
      <c r="AB137" s="994"/>
      <c r="AD137" s="991">
        <f t="shared" si="17"/>
        <v>0</v>
      </c>
      <c r="AE137" s="992">
        <f t="shared" si="18"/>
        <v>0</v>
      </c>
      <c r="AF137" s="992">
        <f t="shared" si="19"/>
        <v>0</v>
      </c>
      <c r="AG137" s="992">
        <f t="shared" si="20"/>
        <v>0</v>
      </c>
      <c r="AH137" s="993">
        <f t="shared" si="21"/>
        <v>0</v>
      </c>
      <c r="AI137" s="977"/>
      <c r="AJ137" s="995"/>
    </row>
    <row r="138" spans="1:41" s="684" customFormat="1" ht="15.75" hidden="1" thickBot="1" x14ac:dyDescent="0.3">
      <c r="A138" s="1000" t="s">
        <v>258</v>
      </c>
      <c r="B138" s="1001" t="s">
        <v>688</v>
      </c>
      <c r="C138" s="1002" t="s">
        <v>644</v>
      </c>
      <c r="D138" s="1002" t="s">
        <v>64</v>
      </c>
      <c r="E138" s="1003"/>
      <c r="F138" s="1004"/>
      <c r="G138" s="1004"/>
      <c r="H138" s="1004"/>
      <c r="I138" s="1005"/>
      <c r="J138" s="1006"/>
      <c r="K138" s="1007"/>
      <c r="L138" s="1007"/>
      <c r="M138" s="1007"/>
      <c r="N138" s="1008"/>
      <c r="O138" s="700">
        <f>Planned!CF132</f>
        <v>0</v>
      </c>
      <c r="P138" s="1009">
        <f>Planned!CG132</f>
        <v>0</v>
      </c>
      <c r="Q138" s="1010">
        <f>Planned!CH132</f>
        <v>0</v>
      </c>
      <c r="R138" s="690">
        <f>Planned!CI132</f>
        <v>26.085065208566085</v>
      </c>
      <c r="S138" s="690">
        <f>Planned!CJ132</f>
        <v>45.845069305522095</v>
      </c>
      <c r="T138" s="690">
        <f>Planned!CK132</f>
        <v>169.8762281855621</v>
      </c>
      <c r="U138" s="1009">
        <f>Planned!CL132</f>
        <v>412.92522796535678</v>
      </c>
      <c r="V138" s="1011">
        <f>VLOOKUP(A138,'Distribution Summary'!$A$136:$BJ$146,62,0)</f>
        <v>30000</v>
      </c>
      <c r="W138" s="1012">
        <f>'Business Case Split'!Y138</f>
        <v>0</v>
      </c>
      <c r="X138" s="1013">
        <f>'Business Case Split'!Z138</f>
        <v>782551.95625698252</v>
      </c>
      <c r="Y138" s="1013">
        <f>'Business Case Split'!AA138</f>
        <v>1375352.0791656629</v>
      </c>
      <c r="Z138" s="1013">
        <f>'Business Case Split'!AB138</f>
        <v>5096286.8455668632</v>
      </c>
      <c r="AA138" s="1014">
        <f>'Business Case Split'!AC138</f>
        <v>12387756.838960703</v>
      </c>
      <c r="AB138" s="1015"/>
      <c r="AD138" s="1012">
        <f t="shared" si="17"/>
        <v>0</v>
      </c>
      <c r="AE138" s="1013">
        <f t="shared" si="18"/>
        <v>870911.96859644388</v>
      </c>
      <c r="AF138" s="1013">
        <f t="shared" si="19"/>
        <v>1530646.7221788238</v>
      </c>
      <c r="AG138" s="1013">
        <f t="shared" si="20"/>
        <v>5671722.080197908</v>
      </c>
      <c r="AH138" s="1014">
        <f t="shared" si="21"/>
        <v>13786491.24681305</v>
      </c>
      <c r="AI138" s="977"/>
      <c r="AJ138" s="995"/>
    </row>
    <row r="139" spans="1:41" hidden="1" x14ac:dyDescent="0.25">
      <c r="V139" t="s">
        <v>635</v>
      </c>
      <c r="W139" s="395">
        <f t="shared" ref="W139:AA139" si="28">SUM(W7:W138)</f>
        <v>308726440.05770332</v>
      </c>
      <c r="X139" s="395">
        <f t="shared" si="28"/>
        <v>313366771.41787434</v>
      </c>
      <c r="Y139" s="395">
        <f t="shared" si="28"/>
        <v>316331424.47672564</v>
      </c>
      <c r="Z139" s="395">
        <f t="shared" si="28"/>
        <v>322724212.17906964</v>
      </c>
      <c r="AA139" s="395">
        <f t="shared" si="28"/>
        <v>331201608.6404348</v>
      </c>
      <c r="AB139" s="637">
        <f>SUM(W139:AA139)</f>
        <v>1592350456.7718077</v>
      </c>
      <c r="AD139" s="395">
        <f t="shared" ref="AD139:AH139" si="29">SUM(AD7:AD138)</f>
        <v>351611524.71285236</v>
      </c>
      <c r="AE139" s="395">
        <f t="shared" si="29"/>
        <v>358279243.20532399</v>
      </c>
      <c r="AF139" s="395">
        <f t="shared" si="29"/>
        <v>363076618.22811782</v>
      </c>
      <c r="AG139" s="395">
        <f t="shared" si="29"/>
        <v>371993401.27163351</v>
      </c>
      <c r="AH139" s="395">
        <f t="shared" si="29"/>
        <v>383483807.08577764</v>
      </c>
      <c r="AI139" s="637">
        <f>SUM(AD139:AH139)</f>
        <v>1828444594.5037055</v>
      </c>
      <c r="AJ139" s="749"/>
    </row>
    <row r="140" spans="1:41" hidden="1" x14ac:dyDescent="0.25">
      <c r="V140" t="s">
        <v>649</v>
      </c>
      <c r="W140" s="395">
        <f>'Distribution Summary'!BN147</f>
        <v>309328002.02926081</v>
      </c>
      <c r="X140" s="395">
        <f>'Distribution Summary'!BO147</f>
        <v>313575625.08113527</v>
      </c>
      <c r="Y140" s="395">
        <f>'Distribution Summary'!BP147</f>
        <v>316278865.85301459</v>
      </c>
      <c r="Z140" s="395">
        <f>'Distribution Summary'!BQ147</f>
        <v>322410519.34172231</v>
      </c>
      <c r="AA140" s="395">
        <f>'Distribution Summary'!BR147</f>
        <v>330757444.46667522</v>
      </c>
      <c r="AB140" s="637">
        <f>SUM(W140:AA140)</f>
        <v>1592350456.7718084</v>
      </c>
      <c r="AJ140" s="749"/>
    </row>
    <row r="141" spans="1:41" x14ac:dyDescent="0.25">
      <c r="D141" s="773"/>
      <c r="V141" t="s">
        <v>692</v>
      </c>
      <c r="W141" s="821">
        <f>SUBTOTAL(9,W7:W138)</f>
        <v>128968166.45952696</v>
      </c>
      <c r="X141" s="821">
        <f t="shared" ref="X141:AA141" si="30">SUBTOTAL(9,X7:X138)</f>
        <v>128968166.45952696</v>
      </c>
      <c r="Y141" s="821">
        <f t="shared" si="30"/>
        <v>128968166.45952696</v>
      </c>
      <c r="Z141" s="821">
        <f t="shared" si="30"/>
        <v>128968166.45952696</v>
      </c>
      <c r="AA141" s="821">
        <f t="shared" si="30"/>
        <v>128968166.45952696</v>
      </c>
      <c r="AB141" s="395">
        <f>SUM(W141:AA141)</f>
        <v>644840832.29763484</v>
      </c>
      <c r="AD141" s="821">
        <f>SUBTOTAL(9,AD$7:AD$140)</f>
        <v>147386931.66807887</v>
      </c>
      <c r="AE141" s="821">
        <f t="shared" ref="AE141:AH141" si="31">SUBTOTAL(9,AE$7:AE$140)</f>
        <v>148083674.78471369</v>
      </c>
      <c r="AF141" s="821">
        <f t="shared" si="31"/>
        <v>148778811.03619054</v>
      </c>
      <c r="AG141" s="821">
        <f t="shared" si="31"/>
        <v>149608859.31476343</v>
      </c>
      <c r="AH141" s="821">
        <f t="shared" si="31"/>
        <v>150569465.31080806</v>
      </c>
      <c r="AI141" s="395">
        <f>SUM(AD141:AH141)</f>
        <v>744427742.11455452</v>
      </c>
      <c r="AJ141" s="750"/>
      <c r="AK141" s="750"/>
      <c r="AL141" s="750"/>
      <c r="AM141" s="750"/>
      <c r="AN141" s="750"/>
      <c r="AO141" s="750"/>
    </row>
    <row r="142" spans="1:41" ht="15.75" thickBot="1" x14ac:dyDescent="0.3">
      <c r="D142" s="773"/>
      <c r="W142" s="395"/>
      <c r="X142" s="395"/>
      <c r="Y142" s="395"/>
      <c r="Z142" s="395"/>
      <c r="AA142" s="395"/>
      <c r="AJ142" t="s">
        <v>821</v>
      </c>
    </row>
    <row r="143" spans="1:41" x14ac:dyDescent="0.25">
      <c r="A143" s="63" t="s">
        <v>296</v>
      </c>
      <c r="B143" s="64"/>
      <c r="C143" s="707" t="s">
        <v>591</v>
      </c>
      <c r="D143" s="707" t="s">
        <v>409</v>
      </c>
      <c r="O143" s="420">
        <f t="shared" ref="O143:U153" si="32">SUMIF($A$7:$A$138,$A143,O$7:O$138)</f>
        <v>4658</v>
      </c>
      <c r="P143" s="726">
        <f t="shared" si="32"/>
        <v>4658</v>
      </c>
      <c r="Q143" s="241">
        <f t="shared" si="32"/>
        <v>4658</v>
      </c>
      <c r="R143" s="144">
        <f t="shared" si="32"/>
        <v>4658</v>
      </c>
      <c r="S143" s="144">
        <f t="shared" si="32"/>
        <v>4658</v>
      </c>
      <c r="T143" s="729">
        <f t="shared" si="32"/>
        <v>4658</v>
      </c>
      <c r="U143" s="293">
        <f>SUMIF($A$7:$A$138,$A143,U$7:U$138)</f>
        <v>4658</v>
      </c>
      <c r="V143" s="124"/>
      <c r="W143" s="415">
        <f t="shared" ref="W143:AA153" si="33">SUMIF($A$7:$A$138,$A143,W$7:W$138)</f>
        <v>8384400</v>
      </c>
      <c r="X143" s="79">
        <f t="shared" si="33"/>
        <v>8384400</v>
      </c>
      <c r="Y143" s="79">
        <f t="shared" si="33"/>
        <v>8384400</v>
      </c>
      <c r="Z143" s="79">
        <f t="shared" si="33"/>
        <v>8384400</v>
      </c>
      <c r="AA143" s="80">
        <f>SUMIF($A$7:$A$138,$A143,AA$7:AA$138)</f>
        <v>8384400</v>
      </c>
      <c r="AB143" s="722"/>
      <c r="AD143" s="415">
        <f t="shared" ref="AD143:AH153" si="34">SUMIF($A$7:$A$138,$A143,AD$7:AD$138)</f>
        <v>9581829.561527079</v>
      </c>
      <c r="AE143" s="79">
        <f t="shared" si="34"/>
        <v>9627125.8012696691</v>
      </c>
      <c r="AF143" s="79">
        <f t="shared" si="34"/>
        <v>9672317.5764718987</v>
      </c>
      <c r="AG143" s="79">
        <f t="shared" si="34"/>
        <v>9726280.1703267973</v>
      </c>
      <c r="AH143" s="80">
        <f>SUMIF($A$7:$A$138,$A143,AH$7:AH$138)</f>
        <v>9788730.5031053461</v>
      </c>
      <c r="AI143" s="395">
        <f t="shared" ref="AI143:AI153" si="35">SUM(AD143:AH143)</f>
        <v>48396283.61270079</v>
      </c>
      <c r="AJ143" s="935">
        <f t="shared" ref="AJ143:AJ153" si="36">IFERROR(AD143/W143,0)</f>
        <v>1.1428163686760029</v>
      </c>
      <c r="AK143" s="936">
        <f t="shared" ref="AK143:AK153" si="37">IFERROR(AE143/X143,0)</f>
        <v>1.1482188112768557</v>
      </c>
      <c r="AL143" s="936">
        <f t="shared" ref="AL143:AL153" si="38">IFERROR(AF143/Y143,0)</f>
        <v>1.1536087944840296</v>
      </c>
      <c r="AM143" s="936">
        <f t="shared" ref="AM143:AM153" si="39">IFERROR(AG143/Z143,0)</f>
        <v>1.1600448655034108</v>
      </c>
      <c r="AN143" s="937">
        <f t="shared" ref="AN143:AN153" si="40">IFERROR(AH143/AA143,0)</f>
        <v>1.1674932616651574</v>
      </c>
    </row>
    <row r="144" spans="1:41" x14ac:dyDescent="0.25">
      <c r="A144" s="81" t="s">
        <v>27</v>
      </c>
      <c r="B144" s="82"/>
      <c r="C144" s="708" t="s">
        <v>591</v>
      </c>
      <c r="D144" s="708" t="s">
        <v>410</v>
      </c>
      <c r="O144" s="421">
        <f t="shared" si="32"/>
        <v>13980.06743944918</v>
      </c>
      <c r="P144" s="727">
        <f t="shared" si="32"/>
        <v>13980.06743944918</v>
      </c>
      <c r="Q144" s="234">
        <f t="shared" si="32"/>
        <v>14501.62811536769</v>
      </c>
      <c r="R144" s="96">
        <f t="shared" si="32"/>
        <v>14610.376550596673</v>
      </c>
      <c r="S144" s="96">
        <f t="shared" si="32"/>
        <v>14682.875507415994</v>
      </c>
      <c r="T144" s="730">
        <f t="shared" si="32"/>
        <v>14755.374464235316</v>
      </c>
      <c r="U144" s="286">
        <f t="shared" si="32"/>
        <v>14791.623942644977</v>
      </c>
      <c r="V144" s="99"/>
      <c r="W144" s="416">
        <f t="shared" si="33"/>
        <v>90434796.549514413</v>
      </c>
      <c r="X144" s="97">
        <f t="shared" si="33"/>
        <v>91112971.616256684</v>
      </c>
      <c r="Y144" s="97">
        <f t="shared" si="33"/>
        <v>91565088.327418193</v>
      </c>
      <c r="Z144" s="97">
        <f t="shared" si="33"/>
        <v>92017205.038579702</v>
      </c>
      <c r="AA144" s="98">
        <f t="shared" si="33"/>
        <v>92243263.394160464</v>
      </c>
      <c r="AB144" s="723"/>
      <c r="AD144" s="416">
        <f t="shared" si="34"/>
        <v>103092030.08332522</v>
      </c>
      <c r="AE144" s="97">
        <f t="shared" si="34"/>
        <v>104299505.22480039</v>
      </c>
      <c r="AF144" s="97">
        <f t="shared" si="34"/>
        <v>105253523.54312852</v>
      </c>
      <c r="AG144" s="97">
        <f t="shared" si="34"/>
        <v>106296060.35591088</v>
      </c>
      <c r="AH144" s="98">
        <f t="shared" si="34"/>
        <v>107167801.48866029</v>
      </c>
      <c r="AI144" s="395">
        <f t="shared" si="35"/>
        <v>526108920.69582528</v>
      </c>
      <c r="AJ144" s="938">
        <f t="shared" si="36"/>
        <v>1.1399597723082264</v>
      </c>
      <c r="AK144" s="939">
        <f t="shared" si="37"/>
        <v>1.1447272915659237</v>
      </c>
      <c r="AL144" s="939">
        <f t="shared" si="38"/>
        <v>1.1494940426067548</v>
      </c>
      <c r="AM144" s="939">
        <f t="shared" si="39"/>
        <v>1.1551759294508515</v>
      </c>
      <c r="AN144" s="940">
        <f t="shared" si="40"/>
        <v>1.161795425978442</v>
      </c>
    </row>
    <row r="145" spans="1:40" x14ac:dyDescent="0.25">
      <c r="A145" s="81" t="s">
        <v>68</v>
      </c>
      <c r="B145" s="82"/>
      <c r="C145" s="708" t="s">
        <v>591</v>
      </c>
      <c r="D145" s="708" t="s">
        <v>411</v>
      </c>
      <c r="O145" s="421">
        <f t="shared" si="32"/>
        <v>20911.171175362404</v>
      </c>
      <c r="P145" s="727">
        <f t="shared" si="32"/>
        <v>20911.171175362404</v>
      </c>
      <c r="Q145" s="234">
        <f t="shared" si="32"/>
        <v>30184.285044535602</v>
      </c>
      <c r="R145" s="96">
        <f t="shared" si="32"/>
        <v>30402.739680878618</v>
      </c>
      <c r="S145" s="96">
        <f t="shared" si="32"/>
        <v>30548.376105107294</v>
      </c>
      <c r="T145" s="730">
        <f t="shared" si="32"/>
        <v>30694.012529335971</v>
      </c>
      <c r="U145" s="286">
        <f t="shared" si="32"/>
        <v>30766.830741450311</v>
      </c>
      <c r="V145" s="99"/>
      <c r="W145" s="416">
        <f t="shared" si="33"/>
        <v>84834171.66266042</v>
      </c>
      <c r="X145" s="97">
        <f t="shared" si="33"/>
        <v>85448147.381902516</v>
      </c>
      <c r="Y145" s="97">
        <f t="shared" si="33"/>
        <v>85857464.528063923</v>
      </c>
      <c r="Z145" s="97">
        <f t="shared" si="33"/>
        <v>86266781.67422533</v>
      </c>
      <c r="AA145" s="98">
        <f t="shared" si="33"/>
        <v>86471440.247306034</v>
      </c>
      <c r="AB145" s="723"/>
      <c r="AD145" s="416">
        <f t="shared" si="34"/>
        <v>96866767.446720392</v>
      </c>
      <c r="AE145" s="97">
        <f t="shared" si="34"/>
        <v>98003168.205642149</v>
      </c>
      <c r="AF145" s="97">
        <f t="shared" si="34"/>
        <v>98910005.89397192</v>
      </c>
      <c r="AG145" s="97">
        <f t="shared" si="34"/>
        <v>99905353.423389599</v>
      </c>
      <c r="AH145" s="98">
        <f t="shared" si="34"/>
        <v>100754174.38563122</v>
      </c>
      <c r="AI145" s="395">
        <f t="shared" si="35"/>
        <v>494439469.35535526</v>
      </c>
      <c r="AJ145" s="938">
        <f t="shared" si="36"/>
        <v>1.141836662611702</v>
      </c>
      <c r="AK145" s="939">
        <f t="shared" si="37"/>
        <v>1.1469314573623948</v>
      </c>
      <c r="AL145" s="939">
        <f t="shared" si="38"/>
        <v>1.1520257025717497</v>
      </c>
      <c r="AM145" s="939">
        <f t="shared" si="39"/>
        <v>1.1580976070333593</v>
      </c>
      <c r="AN145" s="940">
        <f t="shared" si="40"/>
        <v>1.165172848948473</v>
      </c>
    </row>
    <row r="146" spans="1:40" x14ac:dyDescent="0.25">
      <c r="A146" s="81" t="s">
        <v>81</v>
      </c>
      <c r="B146" s="82"/>
      <c r="C146" s="708" t="s">
        <v>591</v>
      </c>
      <c r="D146" s="708" t="s">
        <v>270</v>
      </c>
      <c r="O146" s="421">
        <f t="shared" si="32"/>
        <v>550.02877600199997</v>
      </c>
      <c r="P146" s="727">
        <f t="shared" si="32"/>
        <v>550.02877600199997</v>
      </c>
      <c r="Q146" s="234">
        <f t="shared" si="32"/>
        <v>700.02877600199974</v>
      </c>
      <c r="R146" s="96">
        <f t="shared" si="32"/>
        <v>730.02877600199997</v>
      </c>
      <c r="S146" s="96">
        <f t="shared" si="32"/>
        <v>750.02877600199986</v>
      </c>
      <c r="T146" s="730">
        <f t="shared" si="32"/>
        <v>770.02877600200009</v>
      </c>
      <c r="U146" s="286">
        <f t="shared" si="32"/>
        <v>780.02877600200009</v>
      </c>
      <c r="V146" s="99"/>
      <c r="W146" s="416">
        <f t="shared" si="33"/>
        <v>39840173.262336791</v>
      </c>
      <c r="X146" s="97">
        <f t="shared" si="33"/>
        <v>41547539.071919873</v>
      </c>
      <c r="Y146" s="97">
        <f t="shared" si="33"/>
        <v>42685782.944975257</v>
      </c>
      <c r="Z146" s="97">
        <f t="shared" si="33"/>
        <v>43824026.818030648</v>
      </c>
      <c r="AA146" s="98">
        <f t="shared" si="33"/>
        <v>44393148.75455834</v>
      </c>
      <c r="AB146" s="723"/>
      <c r="AD146" s="416">
        <f t="shared" si="34"/>
        <v>44877396.34011133</v>
      </c>
      <c r="AE146" s="97">
        <f t="shared" si="34"/>
        <v>46902139.43267712</v>
      </c>
      <c r="AF146" s="97">
        <f t="shared" si="34"/>
        <v>48291123.784105808</v>
      </c>
      <c r="AG146" s="97">
        <f t="shared" si="34"/>
        <v>49706389.07739076</v>
      </c>
      <c r="AH146" s="98">
        <f t="shared" si="34"/>
        <v>50501433.307152078</v>
      </c>
      <c r="AI146" s="395">
        <f t="shared" si="35"/>
        <v>240278481.94143707</v>
      </c>
      <c r="AJ146" s="938">
        <f t="shared" si="36"/>
        <v>1.1264357723699088</v>
      </c>
      <c r="AK146" s="939">
        <f t="shared" si="37"/>
        <v>1.128878881405907</v>
      </c>
      <c r="AL146" s="939">
        <f t="shared" si="38"/>
        <v>1.1313163412360552</v>
      </c>
      <c r="AM146" s="939">
        <f t="shared" si="39"/>
        <v>1.1342268770459021</v>
      </c>
      <c r="AN146" s="940">
        <f t="shared" si="40"/>
        <v>1.1375952083589596</v>
      </c>
    </row>
    <row r="147" spans="1:40" x14ac:dyDescent="0.25">
      <c r="A147" s="81" t="s">
        <v>94</v>
      </c>
      <c r="B147" s="82"/>
      <c r="C147" s="708" t="s">
        <v>591</v>
      </c>
      <c r="D147" s="708" t="s">
        <v>412</v>
      </c>
      <c r="O147" s="421">
        <f t="shared" si="32"/>
        <v>18.980691549933333</v>
      </c>
      <c r="P147" s="727">
        <f t="shared" si="32"/>
        <v>19.980691549933333</v>
      </c>
      <c r="Q147" s="234">
        <f t="shared" si="32"/>
        <v>19.980691549933333</v>
      </c>
      <c r="R147" s="96">
        <f t="shared" si="32"/>
        <v>20.980691549933333</v>
      </c>
      <c r="S147" s="96">
        <f t="shared" si="32"/>
        <v>20.980691549933333</v>
      </c>
      <c r="T147" s="730">
        <f t="shared" si="32"/>
        <v>21.980691549933333</v>
      </c>
      <c r="U147" s="286">
        <f t="shared" si="32"/>
        <v>21.980691549933333</v>
      </c>
      <c r="V147" s="99"/>
      <c r="W147" s="416">
        <f t="shared" si="33"/>
        <v>6475597.0592646832</v>
      </c>
      <c r="X147" s="97">
        <f t="shared" si="33"/>
        <v>6775597.0592646832</v>
      </c>
      <c r="Y147" s="97">
        <f t="shared" si="33"/>
        <v>6775597.0592646832</v>
      </c>
      <c r="Z147" s="97">
        <f t="shared" si="33"/>
        <v>7075597.0592646832</v>
      </c>
      <c r="AA147" s="98">
        <f t="shared" si="33"/>
        <v>7075597.0592646832</v>
      </c>
      <c r="AB147" s="723"/>
      <c r="AD147" s="416">
        <f t="shared" si="34"/>
        <v>7304015.0386646874</v>
      </c>
      <c r="AE147" s="97">
        <f t="shared" si="34"/>
        <v>7660775.3947364474</v>
      </c>
      <c r="AF147" s="97">
        <f t="shared" si="34"/>
        <v>7679114.5938289212</v>
      </c>
      <c r="AG147" s="97">
        <f t="shared" si="34"/>
        <v>8041987.2867767299</v>
      </c>
      <c r="AH147" s="98">
        <f t="shared" si="34"/>
        <v>8068452.2468346898</v>
      </c>
      <c r="AI147" s="395">
        <f t="shared" si="35"/>
        <v>38754344.560841471</v>
      </c>
      <c r="AJ147" s="938">
        <f t="shared" si="36"/>
        <v>1.127929204337194</v>
      </c>
      <c r="AK147" s="939">
        <f t="shared" si="37"/>
        <v>1.1306421157765583</v>
      </c>
      <c r="AL147" s="939">
        <f t="shared" si="38"/>
        <v>1.1333487701026737</v>
      </c>
      <c r="AM147" s="939">
        <f t="shared" si="39"/>
        <v>1.1365807322573109</v>
      </c>
      <c r="AN147" s="940">
        <f t="shared" si="40"/>
        <v>1.1403210470090261</v>
      </c>
    </row>
    <row r="148" spans="1:40" x14ac:dyDescent="0.25">
      <c r="A148" s="81" t="s">
        <v>106</v>
      </c>
      <c r="B148" s="82"/>
      <c r="C148" s="708" t="s">
        <v>591</v>
      </c>
      <c r="D148" s="708" t="s">
        <v>272</v>
      </c>
      <c r="O148" s="421">
        <f t="shared" si="32"/>
        <v>17508.467067597943</v>
      </c>
      <c r="P148" s="727">
        <f t="shared" si="32"/>
        <v>17508.467067597943</v>
      </c>
      <c r="Q148" s="234">
        <f t="shared" si="32"/>
        <v>18073.445093230999</v>
      </c>
      <c r="R148" s="96">
        <f t="shared" si="32"/>
        <v>18191.246298465947</v>
      </c>
      <c r="S148" s="96">
        <f t="shared" si="32"/>
        <v>18269.780435289242</v>
      </c>
      <c r="T148" s="730">
        <f t="shared" si="32"/>
        <v>18348.31457211254</v>
      </c>
      <c r="U148" s="286">
        <f t="shared" si="32"/>
        <v>18387.581640524189</v>
      </c>
      <c r="V148" s="99"/>
      <c r="W148" s="416">
        <f t="shared" si="33"/>
        <v>24205161.98795817</v>
      </c>
      <c r="X148" s="97">
        <f t="shared" si="33"/>
        <v>24362929.211660117</v>
      </c>
      <c r="Y148" s="97">
        <f t="shared" si="33"/>
        <v>24468107.360794745</v>
      </c>
      <c r="Z148" s="97">
        <f t="shared" si="33"/>
        <v>24573285.509929381</v>
      </c>
      <c r="AA148" s="98">
        <f t="shared" si="33"/>
        <v>24625874.584496692</v>
      </c>
      <c r="AB148" s="723"/>
      <c r="AD148" s="416">
        <f t="shared" si="34"/>
        <v>27677959.546624064</v>
      </c>
      <c r="AE148" s="97">
        <f t="shared" si="34"/>
        <v>27989699.866141103</v>
      </c>
      <c r="AF148" s="97">
        <f t="shared" si="34"/>
        <v>28242406.146504268</v>
      </c>
      <c r="AG148" s="97">
        <f t="shared" si="34"/>
        <v>28521676.428639706</v>
      </c>
      <c r="AH148" s="98">
        <f t="shared" si="34"/>
        <v>28766992.440750431</v>
      </c>
      <c r="AI148" s="395">
        <f t="shared" si="35"/>
        <v>141198734.42865956</v>
      </c>
      <c r="AJ148" s="938">
        <f t="shared" si="36"/>
        <v>1.1434734277090803</v>
      </c>
      <c r="AK148" s="939">
        <f t="shared" si="37"/>
        <v>1.1488643103205016</v>
      </c>
      <c r="AL148" s="939">
        <f t="shared" si="38"/>
        <v>1.1542538100742963</v>
      </c>
      <c r="AM148" s="939">
        <f t="shared" si="39"/>
        <v>1.1606781851419457</v>
      </c>
      <c r="AN148" s="940">
        <f t="shared" si="40"/>
        <v>1.1681612501535599</v>
      </c>
    </row>
    <row r="149" spans="1:40" x14ac:dyDescent="0.25">
      <c r="A149" s="81" t="s">
        <v>138</v>
      </c>
      <c r="B149" s="82"/>
      <c r="C149" s="708" t="s">
        <v>591</v>
      </c>
      <c r="D149" s="708" t="s">
        <v>413</v>
      </c>
      <c r="O149" s="421">
        <f t="shared" si="32"/>
        <v>1633.9170821211951</v>
      </c>
      <c r="P149" s="727">
        <f t="shared" si="32"/>
        <v>1633.9170821211951</v>
      </c>
      <c r="Q149" s="234">
        <f t="shared" si="32"/>
        <v>938.30424477936936</v>
      </c>
      <c r="R149" s="96">
        <f t="shared" si="32"/>
        <v>944.55876292157745</v>
      </c>
      <c r="S149" s="96">
        <f t="shared" si="32"/>
        <v>948.72844168304937</v>
      </c>
      <c r="T149" s="730">
        <f t="shared" si="32"/>
        <v>952.89812044452151</v>
      </c>
      <c r="U149" s="286">
        <f t="shared" si="32"/>
        <v>954.98295982525747</v>
      </c>
      <c r="V149" s="99"/>
      <c r="W149" s="416">
        <f t="shared" si="33"/>
        <v>26767356.002832986</v>
      </c>
      <c r="X149" s="97">
        <f t="shared" si="33"/>
        <v>26945780.980307139</v>
      </c>
      <c r="Y149" s="97">
        <f t="shared" si="33"/>
        <v>27064730.965289909</v>
      </c>
      <c r="Z149" s="97">
        <f t="shared" si="33"/>
        <v>27183680.950272679</v>
      </c>
      <c r="AA149" s="98">
        <f t="shared" si="33"/>
        <v>27243155.942764059</v>
      </c>
      <c r="AB149" s="723"/>
      <c r="AD149" s="416">
        <f t="shared" si="34"/>
        <v>30521484.494634636</v>
      </c>
      <c r="AE149" s="97">
        <f t="shared" si="34"/>
        <v>30855104.480081029</v>
      </c>
      <c r="AF149" s="97">
        <f t="shared" si="34"/>
        <v>31122004.294041269</v>
      </c>
      <c r="AG149" s="97">
        <f t="shared" si="34"/>
        <v>31415279.140002396</v>
      </c>
      <c r="AH149" s="98">
        <f t="shared" si="34"/>
        <v>31666604.952944007</v>
      </c>
      <c r="AI149" s="395">
        <f t="shared" si="35"/>
        <v>155580477.36170334</v>
      </c>
      <c r="AJ149" s="938">
        <f t="shared" si="36"/>
        <v>1.1402502545041924</v>
      </c>
      <c r="AK149" s="939">
        <f t="shared" si="37"/>
        <v>1.145081098322255</v>
      </c>
      <c r="AL149" s="939">
        <f t="shared" si="38"/>
        <v>1.1499099818858258</v>
      </c>
      <c r="AM149" s="939">
        <f t="shared" si="39"/>
        <v>1.1556668575337758</v>
      </c>
      <c r="AN149" s="940">
        <f t="shared" si="40"/>
        <v>1.1623691843732533</v>
      </c>
    </row>
    <row r="150" spans="1:40" x14ac:dyDescent="0.25">
      <c r="A150" s="81" t="s">
        <v>196</v>
      </c>
      <c r="B150" s="82"/>
      <c r="C150" s="708" t="s">
        <v>591</v>
      </c>
      <c r="D150" s="708" t="s">
        <v>274</v>
      </c>
      <c r="O150" s="421">
        <f t="shared" si="32"/>
        <v>4327.9750328613827</v>
      </c>
      <c r="P150" s="727">
        <f t="shared" si="32"/>
        <v>4044.5425304371042</v>
      </c>
      <c r="Q150" s="234">
        <f t="shared" si="32"/>
        <v>2350.4357336674429</v>
      </c>
      <c r="R150" s="96">
        <f t="shared" si="32"/>
        <v>2417.0940880180942</v>
      </c>
      <c r="S150" s="96">
        <f t="shared" si="32"/>
        <v>2434.0462246221114</v>
      </c>
      <c r="T150" s="730">
        <f t="shared" si="32"/>
        <v>2446.8286824646566</v>
      </c>
      <c r="U150" s="286">
        <f t="shared" si="32"/>
        <v>2457.3895901474016</v>
      </c>
      <c r="V150" s="99"/>
      <c r="W150" s="416">
        <f t="shared" si="33"/>
        <v>27784783.533135872</v>
      </c>
      <c r="X150" s="97">
        <f t="shared" si="33"/>
        <v>28006854.140306361</v>
      </c>
      <c r="Y150" s="97">
        <f t="shared" si="33"/>
        <v>28154901.211753353</v>
      </c>
      <c r="Z150" s="97">
        <f t="shared" si="33"/>
        <v>28302948.283200342</v>
      </c>
      <c r="AA150" s="98">
        <f t="shared" si="33"/>
        <v>28376971.818923846</v>
      </c>
      <c r="AB150" s="723"/>
      <c r="AD150" s="416">
        <f t="shared" si="34"/>
        <v>31690042.201244898</v>
      </c>
      <c r="AE150" s="97">
        <f t="shared" si="34"/>
        <v>32070812.831379596</v>
      </c>
      <c r="AF150" s="97">
        <f t="shared" si="34"/>
        <v>32375475.67388647</v>
      </c>
      <c r="AG150" s="97">
        <f t="shared" si="34"/>
        <v>32708653.308998808</v>
      </c>
      <c r="AH150" s="98">
        <f t="shared" si="34"/>
        <v>32983126.513886541</v>
      </c>
      <c r="AI150" s="395">
        <f t="shared" si="35"/>
        <v>161828110.5293963</v>
      </c>
      <c r="AJ150" s="938">
        <f t="shared" si="36"/>
        <v>1.1405538633565977</v>
      </c>
      <c r="AK150" s="939">
        <f t="shared" si="37"/>
        <v>1.1451058612550329</v>
      </c>
      <c r="AL150" s="939">
        <f t="shared" si="38"/>
        <v>1.1499054971065295</v>
      </c>
      <c r="AM150" s="939">
        <f t="shared" si="39"/>
        <v>1.1556624059696827</v>
      </c>
      <c r="AN150" s="940">
        <f t="shared" si="40"/>
        <v>1.1623201631363278</v>
      </c>
    </row>
    <row r="151" spans="1:40" x14ac:dyDescent="0.25">
      <c r="A151" s="81" t="s">
        <v>224</v>
      </c>
      <c r="B151" s="82"/>
      <c r="C151" s="708" t="s">
        <v>591</v>
      </c>
      <c r="D151" s="708" t="s">
        <v>414</v>
      </c>
      <c r="O151" s="421">
        <f t="shared" si="32"/>
        <v>0</v>
      </c>
      <c r="P151" s="727">
        <f t="shared" si="32"/>
        <v>0</v>
      </c>
      <c r="Q151" s="234">
        <f t="shared" si="32"/>
        <v>0</v>
      </c>
      <c r="R151" s="96">
        <f t="shared" si="32"/>
        <v>0</v>
      </c>
      <c r="S151" s="96">
        <f t="shared" si="32"/>
        <v>0</v>
      </c>
      <c r="T151" s="730">
        <f t="shared" si="32"/>
        <v>0</v>
      </c>
      <c r="U151" s="286">
        <f t="shared" si="32"/>
        <v>0</v>
      </c>
      <c r="V151" s="99"/>
      <c r="W151" s="416">
        <f t="shared" si="33"/>
        <v>0</v>
      </c>
      <c r="X151" s="97">
        <f t="shared" si="33"/>
        <v>0</v>
      </c>
      <c r="Y151" s="97">
        <f t="shared" si="33"/>
        <v>0</v>
      </c>
      <c r="Z151" s="97">
        <f t="shared" si="33"/>
        <v>0</v>
      </c>
      <c r="AA151" s="98">
        <f t="shared" si="33"/>
        <v>0</v>
      </c>
      <c r="AB151" s="723"/>
      <c r="AD151" s="416">
        <f t="shared" si="34"/>
        <v>0</v>
      </c>
      <c r="AE151" s="97">
        <f t="shared" si="34"/>
        <v>0</v>
      </c>
      <c r="AF151" s="97">
        <f t="shared" si="34"/>
        <v>0</v>
      </c>
      <c r="AG151" s="97">
        <f t="shared" si="34"/>
        <v>0</v>
      </c>
      <c r="AH151" s="98">
        <f t="shared" si="34"/>
        <v>0</v>
      </c>
      <c r="AI151" s="395">
        <f t="shared" si="35"/>
        <v>0</v>
      </c>
      <c r="AJ151" s="938">
        <f t="shared" si="36"/>
        <v>0</v>
      </c>
      <c r="AK151" s="939">
        <f t="shared" si="37"/>
        <v>0</v>
      </c>
      <c r="AL151" s="939">
        <f t="shared" si="38"/>
        <v>0</v>
      </c>
      <c r="AM151" s="939">
        <f t="shared" si="39"/>
        <v>0</v>
      </c>
      <c r="AN151" s="940">
        <f t="shared" si="40"/>
        <v>0</v>
      </c>
    </row>
    <row r="152" spans="1:40" x14ac:dyDescent="0.25">
      <c r="A152" s="81" t="s">
        <v>242</v>
      </c>
      <c r="B152" s="82"/>
      <c r="C152" s="708" t="s">
        <v>591</v>
      </c>
      <c r="D152" s="708" t="s">
        <v>415</v>
      </c>
      <c r="O152" s="421">
        <f t="shared" si="32"/>
        <v>0</v>
      </c>
      <c r="P152" s="727">
        <f t="shared" si="32"/>
        <v>0</v>
      </c>
      <c r="Q152" s="234">
        <f t="shared" si="32"/>
        <v>0</v>
      </c>
      <c r="R152" s="96">
        <f t="shared" si="32"/>
        <v>0</v>
      </c>
      <c r="S152" s="96">
        <f t="shared" si="32"/>
        <v>0</v>
      </c>
      <c r="T152" s="730">
        <f t="shared" si="32"/>
        <v>0</v>
      </c>
      <c r="U152" s="286">
        <f t="shared" si="32"/>
        <v>0</v>
      </c>
      <c r="V152" s="99"/>
      <c r="W152" s="416">
        <f t="shared" si="33"/>
        <v>0</v>
      </c>
      <c r="X152" s="97">
        <f t="shared" si="33"/>
        <v>0</v>
      </c>
      <c r="Y152" s="97">
        <f t="shared" si="33"/>
        <v>0</v>
      </c>
      <c r="Z152" s="97">
        <f t="shared" si="33"/>
        <v>0</v>
      </c>
      <c r="AA152" s="98">
        <f t="shared" si="33"/>
        <v>0</v>
      </c>
      <c r="AB152" s="723"/>
      <c r="AD152" s="416">
        <f t="shared" si="34"/>
        <v>0</v>
      </c>
      <c r="AE152" s="97">
        <f t="shared" si="34"/>
        <v>0</v>
      </c>
      <c r="AF152" s="97">
        <f t="shared" si="34"/>
        <v>0</v>
      </c>
      <c r="AG152" s="97">
        <f t="shared" si="34"/>
        <v>0</v>
      </c>
      <c r="AH152" s="98">
        <f t="shared" si="34"/>
        <v>0</v>
      </c>
      <c r="AI152" s="395">
        <f t="shared" si="35"/>
        <v>0</v>
      </c>
      <c r="AJ152" s="938">
        <f t="shared" si="36"/>
        <v>0</v>
      </c>
      <c r="AK152" s="939">
        <f t="shared" si="37"/>
        <v>0</v>
      </c>
      <c r="AL152" s="939">
        <f t="shared" si="38"/>
        <v>0</v>
      </c>
      <c r="AM152" s="939">
        <f t="shared" si="39"/>
        <v>0</v>
      </c>
      <c r="AN152" s="940">
        <f t="shared" si="40"/>
        <v>0</v>
      </c>
    </row>
    <row r="153" spans="1:40" ht="15.75" thickBot="1" x14ac:dyDescent="0.3">
      <c r="A153" s="100" t="s">
        <v>258</v>
      </c>
      <c r="B153" s="101"/>
      <c r="C153" s="709" t="s">
        <v>591</v>
      </c>
      <c r="D153" s="709" t="s">
        <v>64</v>
      </c>
      <c r="O153" s="422">
        <f t="shared" si="32"/>
        <v>0</v>
      </c>
      <c r="P153" s="728">
        <f t="shared" si="32"/>
        <v>0</v>
      </c>
      <c r="Q153" s="235">
        <f t="shared" si="32"/>
        <v>0</v>
      </c>
      <c r="R153" s="115">
        <f t="shared" si="32"/>
        <v>26.085065208566085</v>
      </c>
      <c r="S153" s="115">
        <f t="shared" si="32"/>
        <v>45.845069305522095</v>
      </c>
      <c r="T153" s="731">
        <f t="shared" si="32"/>
        <v>169.8762281855621</v>
      </c>
      <c r="U153" s="287">
        <f t="shared" si="32"/>
        <v>412.92522796535678</v>
      </c>
      <c r="V153" s="116"/>
      <c r="W153" s="467">
        <f t="shared" si="33"/>
        <v>0</v>
      </c>
      <c r="X153" s="117">
        <f t="shared" si="33"/>
        <v>782551.95625698252</v>
      </c>
      <c r="Y153" s="117">
        <f t="shared" si="33"/>
        <v>1375352.0791656629</v>
      </c>
      <c r="Z153" s="117">
        <f t="shared" si="33"/>
        <v>5096286.8455668632</v>
      </c>
      <c r="AA153" s="118">
        <f t="shared" si="33"/>
        <v>12387756.838960703</v>
      </c>
      <c r="AB153" s="724"/>
      <c r="AD153" s="467">
        <f t="shared" si="34"/>
        <v>0</v>
      </c>
      <c r="AE153" s="117">
        <f t="shared" si="34"/>
        <v>870911.96859644388</v>
      </c>
      <c r="AF153" s="117">
        <f t="shared" si="34"/>
        <v>1530646.7221788238</v>
      </c>
      <c r="AG153" s="117">
        <f t="shared" si="34"/>
        <v>5671722.080197908</v>
      </c>
      <c r="AH153" s="118">
        <f t="shared" si="34"/>
        <v>13786491.24681305</v>
      </c>
      <c r="AI153" s="395">
        <f t="shared" si="35"/>
        <v>21859772.017786227</v>
      </c>
      <c r="AJ153" s="941">
        <f t="shared" si="36"/>
        <v>0</v>
      </c>
      <c r="AK153" s="942">
        <f t="shared" si="37"/>
        <v>1.1129126464165975</v>
      </c>
      <c r="AL153" s="942">
        <f t="shared" si="38"/>
        <v>1.1129126464165948</v>
      </c>
      <c r="AM153" s="942">
        <f t="shared" si="39"/>
        <v>1.1129126464165968</v>
      </c>
      <c r="AN153" s="943">
        <f t="shared" si="40"/>
        <v>1.1129126464165966</v>
      </c>
    </row>
    <row r="155" spans="1:40" ht="19.5" thickBot="1" x14ac:dyDescent="0.35">
      <c r="W155" s="944" t="s">
        <v>826</v>
      </c>
    </row>
    <row r="156" spans="1:40" ht="25.5" thickBot="1" x14ac:dyDescent="0.3">
      <c r="B156" t="s">
        <v>650</v>
      </c>
      <c r="V156" s="879" t="str">
        <f>B156</f>
        <v>BC Summary</v>
      </c>
      <c r="W156" s="880" t="s">
        <v>422</v>
      </c>
      <c r="X156" s="880" t="s">
        <v>423</v>
      </c>
      <c r="Y156" s="880" t="s">
        <v>424</v>
      </c>
      <c r="Z156" s="880" t="s">
        <v>425</v>
      </c>
      <c r="AA156" s="881" t="s">
        <v>426</v>
      </c>
      <c r="AB156" s="881"/>
      <c r="AC156" s="888" t="s">
        <v>797</v>
      </c>
      <c r="AD156" s="888" t="s">
        <v>798</v>
      </c>
    </row>
    <row r="157" spans="1:40" x14ac:dyDescent="0.25">
      <c r="B157" t="s">
        <v>268</v>
      </c>
      <c r="U157" t="s">
        <v>809</v>
      </c>
      <c r="V157" s="124" t="str">
        <f t="shared" ref="V157:V162" si="41">B157</f>
        <v>Pole</v>
      </c>
      <c r="W157" s="415">
        <f t="shared" ref="W157:AA164" si="42">SUMIF($B$7:$B$138,$B157,W$7:W$138)</f>
        <v>128968166.45952696</v>
      </c>
      <c r="X157" s="79">
        <f t="shared" si="42"/>
        <v>128968166.45952696</v>
      </c>
      <c r="Y157" s="79">
        <f t="shared" si="42"/>
        <v>128968166.45952696</v>
      </c>
      <c r="Z157" s="79">
        <f t="shared" si="42"/>
        <v>128968166.45952696</v>
      </c>
      <c r="AA157" s="80">
        <f>SUMIF($B$7:$B$138,$B157,AA$7:AA$138)</f>
        <v>128968166.45952696</v>
      </c>
      <c r="AB157" s="876">
        <f>SUM(W157:AA157)</f>
        <v>644840832.29763484</v>
      </c>
      <c r="AC157" s="886">
        <f>AB157/1000</f>
        <v>644840.8322976348</v>
      </c>
      <c r="AD157" s="887">
        <f>(AC157-AB157/1000)/AC157</f>
        <v>0</v>
      </c>
    </row>
    <row r="158" spans="1:40" x14ac:dyDescent="0.25">
      <c r="B158" t="s">
        <v>637</v>
      </c>
      <c r="V158" s="99" t="str">
        <f t="shared" si="41"/>
        <v>PT</v>
      </c>
      <c r="W158" s="416">
        <f t="shared" si="42"/>
        <v>43574897.869378746</v>
      </c>
      <c r="X158" s="97">
        <f t="shared" si="42"/>
        <v>43574897.869378746</v>
      </c>
      <c r="Y158" s="97">
        <f t="shared" si="42"/>
        <v>43574897.869378746</v>
      </c>
      <c r="Z158" s="97">
        <f t="shared" si="42"/>
        <v>43574897.869378746</v>
      </c>
      <c r="AA158" s="98">
        <f t="shared" si="42"/>
        <v>43574897.869378746</v>
      </c>
      <c r="AB158" s="877">
        <f t="shared" ref="AB158:AB164" si="43">SUM(W158:AA158)</f>
        <v>217874489.34689373</v>
      </c>
      <c r="AC158" s="882">
        <f t="shared" ref="AC158:AC164" si="44">AB158/1000</f>
        <v>217874.48934689374</v>
      </c>
      <c r="AD158" s="883">
        <f t="shared" ref="AD158:AD164" si="45">(AC158-AB158/1000)/AC158</f>
        <v>0</v>
      </c>
    </row>
    <row r="159" spans="1:40" x14ac:dyDescent="0.25">
      <c r="B159" t="s">
        <v>636</v>
      </c>
      <c r="V159" s="99" t="str">
        <f t="shared" si="41"/>
        <v>Cond</v>
      </c>
      <c r="W159" s="416">
        <f t="shared" si="42"/>
        <v>81606096.923829526</v>
      </c>
      <c r="X159" s="97">
        <f t="shared" si="42"/>
        <v>85612130.520366356</v>
      </c>
      <c r="Y159" s="97">
        <f t="shared" si="42"/>
        <v>88005136.248587221</v>
      </c>
      <c r="Z159" s="97">
        <f t="shared" si="42"/>
        <v>90356018.058096915</v>
      </c>
      <c r="AA159" s="98">
        <f t="shared" si="42"/>
        <v>91573582.881562978</v>
      </c>
      <c r="AB159" s="877">
        <f t="shared" si="43"/>
        <v>437152964.63244295</v>
      </c>
      <c r="AC159" s="882">
        <f t="shared" si="44"/>
        <v>437152.96463244298</v>
      </c>
      <c r="AD159" s="883">
        <f t="shared" si="45"/>
        <v>0</v>
      </c>
    </row>
    <row r="160" spans="1:40" x14ac:dyDescent="0.25">
      <c r="B160" t="s">
        <v>272</v>
      </c>
      <c r="V160" s="99" t="str">
        <f t="shared" si="41"/>
        <v>Services</v>
      </c>
      <c r="W160" s="416">
        <f t="shared" si="42"/>
        <v>15118212.769949505</v>
      </c>
      <c r="X160" s="97">
        <f t="shared" si="42"/>
        <v>15118212.769949505</v>
      </c>
      <c r="Y160" s="97">
        <f t="shared" si="42"/>
        <v>15118212.769949505</v>
      </c>
      <c r="Z160" s="97">
        <f t="shared" si="42"/>
        <v>15118212.769949505</v>
      </c>
      <c r="AA160" s="98">
        <f t="shared" si="42"/>
        <v>15118212.769949505</v>
      </c>
      <c r="AB160" s="877">
        <f t="shared" si="43"/>
        <v>75591063.849747524</v>
      </c>
      <c r="AC160" s="882">
        <f t="shared" si="44"/>
        <v>75591.06384974753</v>
      </c>
      <c r="AD160" s="883">
        <f t="shared" si="45"/>
        <v>0</v>
      </c>
    </row>
    <row r="161" spans="2:30" x14ac:dyDescent="0.25">
      <c r="B161" t="s">
        <v>638</v>
      </c>
      <c r="V161" s="99" t="str">
        <f t="shared" si="41"/>
        <v>TD</v>
      </c>
      <c r="W161" s="416">
        <f t="shared" si="42"/>
        <v>20519358.721343976</v>
      </c>
      <c r="X161" s="97">
        <f t="shared" si="42"/>
        <v>20519358.721343976</v>
      </c>
      <c r="Y161" s="97">
        <f t="shared" si="42"/>
        <v>20519358.721343976</v>
      </c>
      <c r="Z161" s="97">
        <f t="shared" si="42"/>
        <v>20519358.721343976</v>
      </c>
      <c r="AA161" s="98">
        <f t="shared" si="42"/>
        <v>20519358.721343976</v>
      </c>
      <c r="AB161" s="877">
        <f t="shared" si="43"/>
        <v>102596793.60671988</v>
      </c>
      <c r="AC161" s="882">
        <f t="shared" si="44"/>
        <v>102596.79360671988</v>
      </c>
      <c r="AD161" s="883">
        <f t="shared" si="45"/>
        <v>0</v>
      </c>
    </row>
    <row r="162" spans="2:30" x14ac:dyDescent="0.25">
      <c r="B162" t="s">
        <v>639</v>
      </c>
      <c r="V162" s="99" t="str">
        <f t="shared" si="41"/>
        <v>Switches</v>
      </c>
      <c r="W162" s="416">
        <f t="shared" si="42"/>
        <v>12464110.254409963</v>
      </c>
      <c r="X162" s="97">
        <f t="shared" si="42"/>
        <v>12015856.061787184</v>
      </c>
      <c r="Y162" s="97">
        <f t="shared" si="42"/>
        <v>11994703.269508967</v>
      </c>
      <c r="Z162" s="97">
        <f t="shared" si="42"/>
        <v>12015674.395941986</v>
      </c>
      <c r="AA162" s="98">
        <f t="shared" si="42"/>
        <v>11984036.040447257</v>
      </c>
      <c r="AB162" s="877">
        <f t="shared" si="43"/>
        <v>60474380.02209536</v>
      </c>
      <c r="AC162" s="882">
        <f t="shared" si="44"/>
        <v>60474.380022095356</v>
      </c>
      <c r="AD162" s="883">
        <f t="shared" si="45"/>
        <v>0</v>
      </c>
    </row>
    <row r="163" spans="2:30" x14ac:dyDescent="0.25">
      <c r="B163" t="s">
        <v>818</v>
      </c>
      <c r="V163" s="99" t="s">
        <v>675</v>
      </c>
      <c r="W163" s="416">
        <f t="shared" si="42"/>
        <v>6475597.0592646832</v>
      </c>
      <c r="X163" s="97">
        <f t="shared" si="42"/>
        <v>6775597.0592646832</v>
      </c>
      <c r="Y163" s="97">
        <f t="shared" si="42"/>
        <v>6775597.0592646832</v>
      </c>
      <c r="Z163" s="97">
        <f t="shared" si="42"/>
        <v>7075597.0592646832</v>
      </c>
      <c r="AA163" s="98">
        <f t="shared" si="42"/>
        <v>7075597.0592646832</v>
      </c>
      <c r="AB163" s="877">
        <f t="shared" si="43"/>
        <v>34177985.296323419</v>
      </c>
      <c r="AC163" s="882">
        <f t="shared" si="44"/>
        <v>34177.985296323415</v>
      </c>
      <c r="AD163" s="883">
        <f t="shared" si="45"/>
        <v>0</v>
      </c>
    </row>
    <row r="164" spans="2:30" ht="15.75" thickBot="1" x14ac:dyDescent="0.3">
      <c r="B164" t="s">
        <v>688</v>
      </c>
      <c r="V164" s="116" t="s">
        <v>688</v>
      </c>
      <c r="W164" s="467">
        <f t="shared" si="42"/>
        <v>0</v>
      </c>
      <c r="X164" s="117">
        <f t="shared" si="42"/>
        <v>782551.95625698252</v>
      </c>
      <c r="Y164" s="117">
        <f t="shared" si="42"/>
        <v>1375352.0791656629</v>
      </c>
      <c r="Z164" s="117">
        <f t="shared" si="42"/>
        <v>5096286.8455668632</v>
      </c>
      <c r="AA164" s="118">
        <f t="shared" si="42"/>
        <v>12387756.838960703</v>
      </c>
      <c r="AB164" s="878">
        <f t="shared" si="43"/>
        <v>19641947.719950214</v>
      </c>
      <c r="AC164" s="884">
        <f t="shared" si="44"/>
        <v>19641.947719950214</v>
      </c>
      <c r="AD164" s="885">
        <f t="shared" si="45"/>
        <v>0</v>
      </c>
    </row>
    <row r="167" spans="2:30" hidden="1" x14ac:dyDescent="0.25">
      <c r="U167" t="s">
        <v>689</v>
      </c>
      <c r="W167" s="817">
        <v>1.0018303470052587</v>
      </c>
      <c r="X167" s="817">
        <v>1.0006277514675097</v>
      </c>
      <c r="Y167" s="817">
        <v>0.99984323929986285</v>
      </c>
      <c r="Z167" s="817">
        <v>0.99907199663278401</v>
      </c>
      <c r="AA167" s="817">
        <v>0.99869086492703452</v>
      </c>
    </row>
    <row r="168" spans="2:30" hidden="1" x14ac:dyDescent="0.25">
      <c r="U168" t="s">
        <v>268</v>
      </c>
      <c r="W168" s="415">
        <f>W157*W$167</f>
        <v>129204222.95677987</v>
      </c>
      <c r="X168" s="79">
        <f t="shared" ref="X168:AA168" si="46">X157*X$167</f>
        <v>129049126.41528396</v>
      </c>
      <c r="Y168" s="79">
        <f t="shared" si="46"/>
        <v>128947949.31945735</v>
      </c>
      <c r="Z168" s="79">
        <f t="shared" si="46"/>
        <v>128848483.56678884</v>
      </c>
      <c r="AA168" s="80">
        <f t="shared" si="46"/>
        <v>128799329.70951875</v>
      </c>
    </row>
    <row r="169" spans="2:30" hidden="1" x14ac:dyDescent="0.25">
      <c r="U169" t="s">
        <v>637</v>
      </c>
      <c r="W169" s="416">
        <f t="shared" ref="W169:AA174" si="47">W158*W$167</f>
        <v>43654655.05319842</v>
      </c>
      <c r="X169" s="97">
        <f t="shared" si="47"/>
        <v>43602252.075462833</v>
      </c>
      <c r="Y169" s="97">
        <f t="shared" si="47"/>
        <v>43568067.037880339</v>
      </c>
      <c r="Z169" s="97">
        <f t="shared" si="47"/>
        <v>43534460.217429869</v>
      </c>
      <c r="AA169" s="98">
        <f t="shared" si="47"/>
        <v>43517852.442277052</v>
      </c>
    </row>
    <row r="170" spans="2:30" hidden="1" x14ac:dyDescent="0.25">
      <c r="U170" t="s">
        <v>636</v>
      </c>
      <c r="W170" s="416">
        <f t="shared" si="47"/>
        <v>81755464.398944914</v>
      </c>
      <c r="X170" s="97">
        <f t="shared" si="47"/>
        <v>85665873.660937145</v>
      </c>
      <c r="Y170" s="97">
        <f t="shared" si="47"/>
        <v>87991340.501813233</v>
      </c>
      <c r="Z170" s="97">
        <f t="shared" si="47"/>
        <v>90272167.369090766</v>
      </c>
      <c r="AA170" s="98">
        <f t="shared" si="47"/>
        <v>91453700.69245562</v>
      </c>
    </row>
    <row r="171" spans="2:30" hidden="1" x14ac:dyDescent="0.25">
      <c r="U171" t="s">
        <v>272</v>
      </c>
      <c r="W171" s="416">
        <f t="shared" si="47"/>
        <v>15145884.345417846</v>
      </c>
      <c r="X171" s="97">
        <f t="shared" si="47"/>
        <v>15127703.250201965</v>
      </c>
      <c r="Y171" s="97">
        <f t="shared" si="47"/>
        <v>15115842.828330865</v>
      </c>
      <c r="Z171" s="97">
        <f t="shared" si="47"/>
        <v>15104183.017592704</v>
      </c>
      <c r="AA171" s="98">
        <f t="shared" si="47"/>
        <v>15098420.98737181</v>
      </c>
    </row>
    <row r="172" spans="2:30" hidden="1" x14ac:dyDescent="0.25">
      <c r="U172" t="s">
        <v>638</v>
      </c>
      <c r="W172" s="416">
        <f t="shared" si="47"/>
        <v>20556916.268129416</v>
      </c>
      <c r="X172" s="97">
        <f t="shared" si="47"/>
        <v>20532239.778893657</v>
      </c>
      <c r="Y172" s="97">
        <f t="shared" si="47"/>
        <v>20516142.092304453</v>
      </c>
      <c r="Z172" s="97">
        <f t="shared" si="47"/>
        <v>20500316.687357455</v>
      </c>
      <c r="AA172" s="98">
        <f t="shared" si="47"/>
        <v>20492496.109167103</v>
      </c>
    </row>
    <row r="173" spans="2:30" hidden="1" x14ac:dyDescent="0.25">
      <c r="U173" t="s">
        <v>639</v>
      </c>
      <c r="W173" s="416">
        <f t="shared" si="47"/>
        <v>12486923.901287338</v>
      </c>
      <c r="X173" s="97">
        <f t="shared" si="47"/>
        <v>12023399.033063356</v>
      </c>
      <c r="Y173" s="97">
        <f t="shared" si="47"/>
        <v>11992822.971426502</v>
      </c>
      <c r="Z173" s="97">
        <f t="shared" si="47"/>
        <v>12004523.809643181</v>
      </c>
      <c r="AA173" s="98">
        <f t="shared" si="47"/>
        <v>11968347.318551026</v>
      </c>
    </row>
    <row r="174" spans="2:30" ht="15.75" hidden="1" thickBot="1" x14ac:dyDescent="0.3">
      <c r="U174" t="s">
        <v>647</v>
      </c>
      <c r="W174" s="467">
        <f t="shared" si="47"/>
        <v>6487449.6489493707</v>
      </c>
      <c r="X174" s="117">
        <f t="shared" si="47"/>
        <v>6779850.4502618909</v>
      </c>
      <c r="Y174" s="117">
        <f t="shared" si="47"/>
        <v>6774534.9119258253</v>
      </c>
      <c r="Z174" s="117">
        <f t="shared" si="47"/>
        <v>7069030.8813686222</v>
      </c>
      <c r="AA174" s="118">
        <f t="shared" si="47"/>
        <v>7066334.146992228</v>
      </c>
    </row>
    <row r="175" spans="2:30" ht="15.75" hidden="1" thickBot="1" x14ac:dyDescent="0.3">
      <c r="U175" s="1" t="s">
        <v>690</v>
      </c>
      <c r="W175" s="818">
        <f>SUM(W168:W174)</f>
        <v>309291516.57270718</v>
      </c>
      <c r="X175" s="820">
        <f t="shared" ref="X175:AA175" si="48">SUM(X168:X174)</f>
        <v>312780444.66410476</v>
      </c>
      <c r="Y175" s="820">
        <f t="shared" si="48"/>
        <v>314906699.66313857</v>
      </c>
      <c r="Z175" s="820">
        <f t="shared" si="48"/>
        <v>317333165.54927152</v>
      </c>
      <c r="AA175" s="819">
        <f t="shared" si="48"/>
        <v>318396481.40633357</v>
      </c>
    </row>
    <row r="176" spans="2:30" ht="15.75" thickBot="1" x14ac:dyDescent="0.3">
      <c r="W176" s="927" t="s">
        <v>817</v>
      </c>
      <c r="X176" s="926"/>
    </row>
    <row r="177" spans="2:29" ht="25.5" thickBot="1" x14ac:dyDescent="0.3">
      <c r="V177" s="879" t="s">
        <v>650</v>
      </c>
      <c r="W177" s="880" t="s">
        <v>422</v>
      </c>
      <c r="X177" s="880" t="s">
        <v>423</v>
      </c>
      <c r="Y177" s="880" t="s">
        <v>424</v>
      </c>
      <c r="Z177" s="880" t="s">
        <v>425</v>
      </c>
      <c r="AA177" s="881" t="s">
        <v>426</v>
      </c>
      <c r="AB177" s="881"/>
      <c r="AC177" s="888"/>
    </row>
    <row r="178" spans="2:29" x14ac:dyDescent="0.25">
      <c r="B178" t="s">
        <v>638</v>
      </c>
      <c r="D178" t="s">
        <v>802</v>
      </c>
      <c r="V178" s="124" t="s">
        <v>268</v>
      </c>
      <c r="W178" s="415">
        <v>23449859.423493546</v>
      </c>
      <c r="X178" s="79">
        <v>23560714.083092321</v>
      </c>
      <c r="Y178" s="79">
        <v>23671313.08391837</v>
      </c>
      <c r="Z178" s="79">
        <v>23803377.136185102</v>
      </c>
      <c r="AA178" s="80">
        <v>23956213.451546777</v>
      </c>
      <c r="AB178" s="876">
        <f>SUM(W178:AA178)</f>
        <v>118441477.17823611</v>
      </c>
      <c r="AC178" s="886"/>
    </row>
    <row r="179" spans="2:29" x14ac:dyDescent="0.25">
      <c r="B179" t="s">
        <v>818</v>
      </c>
      <c r="D179" t="s">
        <v>803</v>
      </c>
      <c r="V179" s="99" t="s">
        <v>637</v>
      </c>
      <c r="W179" s="416">
        <v>7304015.0386646874</v>
      </c>
      <c r="X179" s="97">
        <v>7660775.3947364474</v>
      </c>
      <c r="Y179" s="97">
        <v>7679114.5938289212</v>
      </c>
      <c r="Z179" s="97">
        <v>8041987.2867767299</v>
      </c>
      <c r="AA179" s="98">
        <v>8068452.2468346898</v>
      </c>
      <c r="AB179" s="877">
        <f t="shared" ref="AB179:AB185" si="49">SUM(W179:AA179)</f>
        <v>38754344.560841471</v>
      </c>
      <c r="AC179" s="882"/>
    </row>
    <row r="180" spans="2:29" x14ac:dyDescent="0.25">
      <c r="B180" t="s">
        <v>636</v>
      </c>
      <c r="D180" t="s">
        <v>804</v>
      </c>
      <c r="V180" s="99" t="s">
        <v>636</v>
      </c>
      <c r="W180" s="416">
        <v>91924026.818487555</v>
      </c>
      <c r="X180" s="97">
        <v>96645726.136607677</v>
      </c>
      <c r="Y180" s="97">
        <v>99561648.750732213</v>
      </c>
      <c r="Z180" s="97">
        <v>102484224.18433841</v>
      </c>
      <c r="AA180" s="98">
        <v>104173669.09832808</v>
      </c>
      <c r="AB180" s="877">
        <f t="shared" si="49"/>
        <v>494789294.98849392</v>
      </c>
      <c r="AC180" s="882"/>
    </row>
    <row r="181" spans="2:29" x14ac:dyDescent="0.25">
      <c r="B181" t="s">
        <v>639</v>
      </c>
      <c r="D181" t="s">
        <v>805</v>
      </c>
      <c r="V181" s="99" t="s">
        <v>272</v>
      </c>
      <c r="W181" s="416">
        <v>14244188.97973178</v>
      </c>
      <c r="X181" s="97">
        <v>13796831.941953417</v>
      </c>
      <c r="Y181" s="97">
        <v>13837194.917327337</v>
      </c>
      <c r="Z181" s="97">
        <v>13938720.978927942</v>
      </c>
      <c r="AA181" s="98">
        <v>13991281.327405054</v>
      </c>
      <c r="AB181" s="877">
        <f t="shared" si="49"/>
        <v>69808218.145345524</v>
      </c>
      <c r="AC181" s="882"/>
    </row>
    <row r="182" spans="2:29" x14ac:dyDescent="0.25">
      <c r="B182" t="s">
        <v>268</v>
      </c>
      <c r="D182" t="s">
        <v>806</v>
      </c>
      <c r="V182" s="99" t="s">
        <v>638</v>
      </c>
      <c r="W182" s="416">
        <v>147386931.66807887</v>
      </c>
      <c r="X182" s="97">
        <v>148083674.78471369</v>
      </c>
      <c r="Y182" s="97">
        <v>148778811.03619057</v>
      </c>
      <c r="Z182" s="97">
        <v>149608859.31476346</v>
      </c>
      <c r="AA182" s="98">
        <v>150569465.31080809</v>
      </c>
      <c r="AB182" s="877">
        <f t="shared" si="49"/>
        <v>744427742.11455464</v>
      </c>
      <c r="AC182" s="882"/>
    </row>
    <row r="183" spans="2:29" x14ac:dyDescent="0.25">
      <c r="B183" t="s">
        <v>637</v>
      </c>
      <c r="D183" t="s">
        <v>807</v>
      </c>
      <c r="V183" s="99" t="s">
        <v>639</v>
      </c>
      <c r="W183" s="416">
        <v>49949167.604707658</v>
      </c>
      <c r="X183" s="97">
        <v>50211869.301150158</v>
      </c>
      <c r="Y183" s="97">
        <v>50473965.141298048</v>
      </c>
      <c r="Z183" s="97">
        <v>50786928.535846435</v>
      </c>
      <c r="AA183" s="98">
        <v>51149117.725447044</v>
      </c>
      <c r="AB183" s="877">
        <f t="shared" si="49"/>
        <v>252571048.30844933</v>
      </c>
      <c r="AC183" s="882"/>
    </row>
    <row r="184" spans="2:29" x14ac:dyDescent="0.25">
      <c r="B184" t="s">
        <v>272</v>
      </c>
      <c r="D184" t="s">
        <v>808</v>
      </c>
      <c r="V184" s="99" t="s">
        <v>675</v>
      </c>
      <c r="W184" s="416">
        <v>17353335.179688256</v>
      </c>
      <c r="X184" s="97">
        <v>17448739.594473828</v>
      </c>
      <c r="Y184" s="97">
        <v>17543923.982643608</v>
      </c>
      <c r="Z184" s="97">
        <v>17657581.75459763</v>
      </c>
      <c r="AA184" s="98">
        <v>17789116.678594857</v>
      </c>
      <c r="AB184" s="877">
        <f t="shared" si="49"/>
        <v>87792697.18999818</v>
      </c>
      <c r="AC184" s="882"/>
    </row>
    <row r="185" spans="2:29" ht="15.75" thickBot="1" x14ac:dyDescent="0.3">
      <c r="B185" t="s">
        <v>688</v>
      </c>
      <c r="D185" t="s">
        <v>810</v>
      </c>
      <c r="V185" s="116" t="s">
        <v>688</v>
      </c>
      <c r="W185" s="467">
        <v>0</v>
      </c>
      <c r="X185" s="117">
        <v>870911.96859644377</v>
      </c>
      <c r="Y185" s="117">
        <v>1530646.7221788238</v>
      </c>
      <c r="Z185" s="117">
        <v>5671722.080197908</v>
      </c>
      <c r="AA185" s="118">
        <v>13786491.24681305</v>
      </c>
      <c r="AB185" s="878">
        <f t="shared" si="49"/>
        <v>21859772.017786227</v>
      </c>
      <c r="AC185" s="884"/>
    </row>
    <row r="186" spans="2:29" x14ac:dyDescent="0.25">
      <c r="AB186" s="395">
        <f>SUM(AB178:AB185)</f>
        <v>1828444594.5037053</v>
      </c>
    </row>
    <row r="187" spans="2:29" ht="15.75" thickBot="1" x14ac:dyDescent="0.3">
      <c r="W187" s="927" t="s">
        <v>819</v>
      </c>
      <c r="X187" s="927"/>
    </row>
    <row r="188" spans="2:29" ht="25.5" thickBot="1" x14ac:dyDescent="0.3">
      <c r="B188" t="s">
        <v>820</v>
      </c>
      <c r="V188" s="879" t="s">
        <v>650</v>
      </c>
      <c r="W188" s="880" t="s">
        <v>422</v>
      </c>
      <c r="X188" s="880" t="s">
        <v>423</v>
      </c>
      <c r="Y188" s="880" t="s">
        <v>424</v>
      </c>
      <c r="Z188" s="880" t="s">
        <v>425</v>
      </c>
      <c r="AA188" s="881" t="s">
        <v>426</v>
      </c>
      <c r="AB188" s="881"/>
    </row>
    <row r="189" spans="2:29" x14ac:dyDescent="0.25">
      <c r="B189" t="s">
        <v>268</v>
      </c>
      <c r="V189" s="124" t="s">
        <v>268</v>
      </c>
      <c r="W189" s="903">
        <f t="shared" ref="W189:AB196" si="50">IFERROR(SUMIF($B$178:$B$185,$B189,W$178:W$185)/SUMIF($B$157:$B$164,$B189,W$157:W$164),0)</f>
        <v>1.1428163686760029</v>
      </c>
      <c r="X189" s="904">
        <f t="shared" si="50"/>
        <v>1.1482188112768557</v>
      </c>
      <c r="Y189" s="904">
        <f t="shared" si="50"/>
        <v>1.1536087944840296</v>
      </c>
      <c r="Z189" s="904">
        <f t="shared" si="50"/>
        <v>1.1600448655034108</v>
      </c>
      <c r="AA189" s="905">
        <f t="shared" si="50"/>
        <v>1.1674932616651574</v>
      </c>
      <c r="AB189" s="912">
        <f t="shared" si="50"/>
        <v>1.1544364203210913</v>
      </c>
    </row>
    <row r="190" spans="2:29" x14ac:dyDescent="0.25">
      <c r="B190" t="s">
        <v>637</v>
      </c>
      <c r="V190" s="99" t="s">
        <v>637</v>
      </c>
      <c r="W190" s="906">
        <f t="shared" si="50"/>
        <v>1.1462830677064715</v>
      </c>
      <c r="X190" s="907">
        <f t="shared" si="50"/>
        <v>1.1523118069413856</v>
      </c>
      <c r="Y190" s="907">
        <f t="shared" si="50"/>
        <v>1.1583266423847998</v>
      </c>
      <c r="Z190" s="907">
        <f t="shared" si="50"/>
        <v>1.1655088369475164</v>
      </c>
      <c r="AA190" s="908">
        <f t="shared" si="50"/>
        <v>1.1738207139067309</v>
      </c>
      <c r="AB190" s="913">
        <f t="shared" si="50"/>
        <v>1.1592502135773808</v>
      </c>
    </row>
    <row r="191" spans="2:29" x14ac:dyDescent="0.25">
      <c r="B191" t="s">
        <v>636</v>
      </c>
      <c r="V191" s="99" t="s">
        <v>636</v>
      </c>
      <c r="W191" s="906">
        <f t="shared" si="50"/>
        <v>1.1264357723699088</v>
      </c>
      <c r="X191" s="907">
        <f t="shared" si="50"/>
        <v>1.128878881405907</v>
      </c>
      <c r="Y191" s="907">
        <f t="shared" si="50"/>
        <v>1.131316341236055</v>
      </c>
      <c r="Z191" s="907">
        <f t="shared" si="50"/>
        <v>1.1342268770459021</v>
      </c>
      <c r="AA191" s="908">
        <f t="shared" si="50"/>
        <v>1.1375952083589596</v>
      </c>
      <c r="AB191" s="913">
        <f t="shared" si="50"/>
        <v>1.1318447660637769</v>
      </c>
    </row>
    <row r="192" spans="2:29" x14ac:dyDescent="0.25">
      <c r="B192" t="s">
        <v>272</v>
      </c>
      <c r="V192" s="99" t="s">
        <v>272</v>
      </c>
      <c r="W192" s="906">
        <f t="shared" si="50"/>
        <v>1.14784303169628</v>
      </c>
      <c r="X192" s="907">
        <f t="shared" si="50"/>
        <v>1.1541535934165918</v>
      </c>
      <c r="Y192" s="907">
        <f t="shared" si="50"/>
        <v>1.1604496013917527</v>
      </c>
      <c r="Z192" s="907">
        <f t="shared" si="50"/>
        <v>1.167967538444467</v>
      </c>
      <c r="AA192" s="908">
        <f t="shared" si="50"/>
        <v>1.1766679665968396</v>
      </c>
      <c r="AB192" s="913">
        <f t="shared" si="50"/>
        <v>1.1614163463091862</v>
      </c>
    </row>
    <row r="193" spans="2:29" x14ac:dyDescent="0.25">
      <c r="B193" t="s">
        <v>638</v>
      </c>
      <c r="V193" s="99" t="s">
        <v>638</v>
      </c>
      <c r="W193" s="906">
        <f t="shared" si="50"/>
        <v>1.1428163882675972</v>
      </c>
      <c r="X193" s="907">
        <f t="shared" si="50"/>
        <v>1.1482188309610655</v>
      </c>
      <c r="Y193" s="907">
        <f t="shared" si="50"/>
        <v>1.1536088142606411</v>
      </c>
      <c r="Z193" s="907">
        <f t="shared" si="50"/>
        <v>1.1600448853903573</v>
      </c>
      <c r="AA193" s="908">
        <f t="shared" si="50"/>
        <v>1.1674932816797938</v>
      </c>
      <c r="AB193" s="913">
        <f t="shared" si="50"/>
        <v>1.1544364401118909</v>
      </c>
    </row>
    <row r="194" spans="2:29" x14ac:dyDescent="0.25">
      <c r="B194" t="s">
        <v>639</v>
      </c>
      <c r="V194" s="99" t="s">
        <v>639</v>
      </c>
      <c r="W194" s="906">
        <f t="shared" si="50"/>
        <v>1.142816349421492</v>
      </c>
      <c r="X194" s="907">
        <f t="shared" si="50"/>
        <v>1.1482188094637793</v>
      </c>
      <c r="Y194" s="907">
        <f t="shared" si="50"/>
        <v>1.1536087726740236</v>
      </c>
      <c r="Z194" s="907">
        <f t="shared" si="50"/>
        <v>1.1600448314108296</v>
      </c>
      <c r="AA194" s="908">
        <f t="shared" si="50"/>
        <v>1.1674932618846567</v>
      </c>
      <c r="AB194" s="913">
        <f t="shared" si="50"/>
        <v>1.1543436761127586</v>
      </c>
    </row>
    <row r="195" spans="2:29" x14ac:dyDescent="0.25">
      <c r="B195" t="s">
        <v>818</v>
      </c>
      <c r="V195" s="99" t="s">
        <v>675</v>
      </c>
      <c r="W195" s="906">
        <f t="shared" si="50"/>
        <v>1.127929204337194</v>
      </c>
      <c r="X195" s="907">
        <f t="shared" si="50"/>
        <v>1.1306421157765583</v>
      </c>
      <c r="Y195" s="907">
        <f t="shared" si="50"/>
        <v>1.1333487701026737</v>
      </c>
      <c r="Z195" s="907">
        <f t="shared" si="50"/>
        <v>1.1365807322573109</v>
      </c>
      <c r="AA195" s="908">
        <f t="shared" si="50"/>
        <v>1.1403210470090261</v>
      </c>
      <c r="AB195" s="913">
        <f t="shared" si="50"/>
        <v>1.1338978650976932</v>
      </c>
    </row>
    <row r="196" spans="2:29" ht="15.75" thickBot="1" x14ac:dyDescent="0.3">
      <c r="B196" t="s">
        <v>688</v>
      </c>
      <c r="V196" s="116" t="s">
        <v>688</v>
      </c>
      <c r="W196" s="909">
        <f t="shared" si="50"/>
        <v>0</v>
      </c>
      <c r="X196" s="910">
        <f t="shared" si="50"/>
        <v>1.1129126464165975</v>
      </c>
      <c r="Y196" s="910">
        <f t="shared" si="50"/>
        <v>1.1129126464165948</v>
      </c>
      <c r="Z196" s="910">
        <f t="shared" si="50"/>
        <v>1.1129126464165968</v>
      </c>
      <c r="AA196" s="911">
        <f t="shared" si="50"/>
        <v>1.1129126464165966</v>
      </c>
      <c r="AB196" s="914">
        <f t="shared" si="50"/>
        <v>1.1129126464165966</v>
      </c>
    </row>
    <row r="198" spans="2:29" ht="15.75" thickBot="1" x14ac:dyDescent="0.3"/>
    <row r="199" spans="2:29" ht="15.75" thickBot="1" x14ac:dyDescent="0.3">
      <c r="V199" s="879"/>
      <c r="W199" s="880" t="s">
        <v>422</v>
      </c>
      <c r="X199" s="880" t="s">
        <v>423</v>
      </c>
      <c r="Y199" s="880" t="s">
        <v>424</v>
      </c>
      <c r="Z199" s="880" t="s">
        <v>425</v>
      </c>
      <c r="AA199" s="881" t="s">
        <v>426</v>
      </c>
      <c r="AB199" s="881"/>
    </row>
    <row r="200" spans="2:29" x14ac:dyDescent="0.25">
      <c r="V200" s="124" t="s">
        <v>643</v>
      </c>
      <c r="W200" s="945">
        <f>SUMIF($C$7:$C$138,$V200,W$7:W$138)</f>
        <v>206954959.12191948</v>
      </c>
      <c r="X200" s="946">
        <f t="shared" ref="X200:AA201" si="51">SUMIF($C$7:$C$138,$V200,X$7:X$138)</f>
        <v>206806704.9292967</v>
      </c>
      <c r="Y200" s="946">
        <f t="shared" si="51"/>
        <v>206785552.13701847</v>
      </c>
      <c r="Z200" s="946">
        <f t="shared" si="51"/>
        <v>207106523.26345149</v>
      </c>
      <c r="AA200" s="947">
        <f t="shared" si="51"/>
        <v>207074884.90795675</v>
      </c>
      <c r="AB200" s="954">
        <f>SUM(W200:AA200)/SUM($W$200:$AA$201)</f>
        <v>0.64981211890839741</v>
      </c>
    </row>
    <row r="201" spans="2:29" ht="15.75" thickBot="1" x14ac:dyDescent="0.3">
      <c r="V201" s="116" t="s">
        <v>644</v>
      </c>
      <c r="W201" s="951">
        <f t="shared" ref="W201" si="52">SUMIF($C$7:$C$138,$V201,W$7:W$138)</f>
        <v>101771480.93578382</v>
      </c>
      <c r="X201" s="952">
        <f t="shared" si="51"/>
        <v>106560066.48857763</v>
      </c>
      <c r="Y201" s="952">
        <f t="shared" si="51"/>
        <v>109545872.33970723</v>
      </c>
      <c r="Z201" s="952">
        <f t="shared" si="51"/>
        <v>115617688.91561811</v>
      </c>
      <c r="AA201" s="953">
        <f t="shared" si="51"/>
        <v>124126723.73247802</v>
      </c>
      <c r="AB201" s="955">
        <f>SUM(W201:AA201)/SUM($W$200:$AA$201)</f>
        <v>0.35018788109160265</v>
      </c>
    </row>
    <row r="202" spans="2:29" x14ac:dyDescent="0.25">
      <c r="AC202" s="897"/>
    </row>
    <row r="205" spans="2:29" ht="15.75" thickBot="1" x14ac:dyDescent="0.3"/>
    <row r="206" spans="2:29" x14ac:dyDescent="0.25">
      <c r="V206" s="956"/>
      <c r="W206" s="957" t="s">
        <v>422</v>
      </c>
      <c r="X206" s="957" t="s">
        <v>423</v>
      </c>
      <c r="Y206" s="957" t="s">
        <v>424</v>
      </c>
      <c r="Z206" s="957" t="s">
        <v>425</v>
      </c>
      <c r="AA206" s="958" t="s">
        <v>426</v>
      </c>
      <c r="AB206" s="958"/>
    </row>
    <row r="207" spans="2:29" x14ac:dyDescent="0.25">
      <c r="V207" s="99" t="s">
        <v>643</v>
      </c>
      <c r="W207" s="948">
        <f>W200-W209</f>
        <v>188699500.46057689</v>
      </c>
      <c r="X207" s="949">
        <f t="shared" ref="X207:AA207" si="53">X200-X209</f>
        <v>188551246.26795411</v>
      </c>
      <c r="Y207" s="949">
        <f t="shared" si="53"/>
        <v>188530093.47567588</v>
      </c>
      <c r="Z207" s="949">
        <f t="shared" si="53"/>
        <v>188851064.6021089</v>
      </c>
      <c r="AA207" s="950">
        <f t="shared" si="53"/>
        <v>188819426.24661416</v>
      </c>
      <c r="AB207" s="959">
        <f>SUM(W207:AA207)/SUM($W$207:$AA$209)</f>
        <v>0.59248975440092544</v>
      </c>
    </row>
    <row r="208" spans="2:29" x14ac:dyDescent="0.25">
      <c r="V208" s="99" t="s">
        <v>644</v>
      </c>
      <c r="W208" s="948">
        <f t="shared" ref="W208" si="54">SUMIF($C$7:$C$138,$V208,W$7:W$138)</f>
        <v>101771480.93578382</v>
      </c>
      <c r="X208" s="949">
        <f t="shared" ref="X208:AA208" si="55">SUMIF($C$7:$C$138,$V208,X$7:X$138)</f>
        <v>106560066.48857763</v>
      </c>
      <c r="Y208" s="949">
        <f t="shared" si="55"/>
        <v>109545872.33970723</v>
      </c>
      <c r="Z208" s="949">
        <f t="shared" si="55"/>
        <v>115617688.91561811</v>
      </c>
      <c r="AA208" s="950">
        <f t="shared" si="55"/>
        <v>124126723.73247802</v>
      </c>
      <c r="AB208" s="959">
        <f t="shared" ref="AB208:AB209" si="56">SUM(W208:AA208)/SUM($W$207:$AA$209)</f>
        <v>0.35018788109160254</v>
      </c>
    </row>
    <row r="209" spans="22:28" ht="15.75" thickBot="1" x14ac:dyDescent="0.3">
      <c r="V209" s="116" t="s">
        <v>418</v>
      </c>
      <c r="W209" s="951">
        <f>SUM(RTS!CT133)</f>
        <v>18255458.661342591</v>
      </c>
      <c r="X209" s="952">
        <f>SUM(RTS!CU133)</f>
        <v>18255458.661342591</v>
      </c>
      <c r="Y209" s="952">
        <f>SUM(RTS!CV133)</f>
        <v>18255458.661342591</v>
      </c>
      <c r="Z209" s="952">
        <f>SUM(RTS!CW133)</f>
        <v>18255458.661342591</v>
      </c>
      <c r="AA209" s="953">
        <f>SUM(RTS!CX133)</f>
        <v>18255458.661342591</v>
      </c>
      <c r="AB209" s="960">
        <f t="shared" si="56"/>
        <v>5.7322364507471892E-2</v>
      </c>
    </row>
  </sheetData>
  <autoFilter ref="A6:AB140" xr:uid="{8E46B4A9-0560-4277-9DFB-07F12F731AC3}">
    <filterColumn colId="1">
      <filters>
        <filter val="Pole"/>
      </filters>
    </filterColumn>
  </autoFilter>
  <pageMargins left="0.7" right="0.7" top="0.75" bottom="0.75" header="0.3" footer="0.3"/>
  <pageSetup paperSize="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F8A24-E679-46DE-8B59-FB2DE0C453BD}">
  <dimension ref="A1:AK190"/>
  <sheetViews>
    <sheetView zoomScale="85" zoomScaleNormal="85" workbookViewId="0">
      <pane xSplit="4" ySplit="6" topLeftCell="Q18" activePane="bottomRight" state="frozen"/>
      <selection pane="topRight" activeCell="E1" sqref="E1"/>
      <selection pane="bottomLeft" activeCell="A7" sqref="A7"/>
      <selection pane="bottomRight" activeCell="AB1" sqref="AB1"/>
    </sheetView>
  </sheetViews>
  <sheetFormatPr defaultRowHeight="15" x14ac:dyDescent="0.25"/>
  <cols>
    <col min="1" max="1" width="5.7109375" bestFit="1" customWidth="1"/>
    <col min="4" max="4" width="33.85546875" customWidth="1"/>
    <col min="5" max="6" width="9.5703125" hidden="1" customWidth="1"/>
    <col min="7" max="7" width="9.28515625" hidden="1" customWidth="1"/>
    <col min="8" max="8" width="9.5703125" hidden="1" customWidth="1"/>
    <col min="9" max="9" width="9.28515625" style="280" hidden="1" customWidth="1"/>
    <col min="10" max="13" width="9.140625" hidden="1" customWidth="1"/>
    <col min="14" max="14" width="9.140625" style="280" hidden="1" customWidth="1"/>
    <col min="15" max="16" width="9.140625" hidden="1" customWidth="1"/>
    <col min="17" max="21" width="9.140625" customWidth="1"/>
    <col min="22" max="22" width="9.140625" hidden="1" customWidth="1"/>
    <col min="23" max="27" width="13.7109375" customWidth="1"/>
    <col min="28" max="28" width="13.85546875" bestFit="1" customWidth="1"/>
    <col min="29" max="29" width="13.85546875" customWidth="1"/>
    <col min="30" max="30" width="15.85546875" bestFit="1" customWidth="1"/>
    <col min="31" max="31" width="28.140625" customWidth="1"/>
    <col min="32" max="37" width="9.5703125" customWidth="1"/>
  </cols>
  <sheetData>
    <row r="1" spans="1:37" x14ac:dyDescent="0.25">
      <c r="A1" s="874" t="s">
        <v>553</v>
      </c>
      <c r="B1" s="874"/>
      <c r="C1" s="874"/>
      <c r="D1" s="875" t="s">
        <v>796</v>
      </c>
      <c r="F1" s="22"/>
      <c r="Q1" s="874"/>
      <c r="R1" s="874"/>
      <c r="S1" s="874"/>
      <c r="T1" s="874"/>
      <c r="U1" s="874"/>
      <c r="V1" s="874"/>
      <c r="W1" s="874"/>
      <c r="X1" s="874"/>
      <c r="Y1" s="874"/>
      <c r="Z1" s="874"/>
      <c r="AA1" s="874"/>
    </row>
    <row r="3" spans="1:37" x14ac:dyDescent="0.25">
      <c r="D3" s="23"/>
      <c r="E3" s="25"/>
      <c r="F3" s="25"/>
      <c r="G3" s="25"/>
      <c r="H3" s="25"/>
      <c r="I3" s="388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</row>
    <row r="4" spans="1:37" ht="15.75" thickBot="1" x14ac:dyDescent="0.3">
      <c r="E4" t="s">
        <v>645</v>
      </c>
      <c r="F4" t="s">
        <v>646</v>
      </c>
      <c r="O4" s="19"/>
      <c r="P4" s="19"/>
      <c r="Q4" s="19"/>
      <c r="R4" s="19"/>
      <c r="S4" s="19"/>
      <c r="T4" s="19"/>
      <c r="U4" s="25">
        <f>SUM(U7:U8)</f>
        <v>16630.703195473609</v>
      </c>
      <c r="V4" s="19"/>
      <c r="W4" s="19"/>
      <c r="X4" s="19"/>
      <c r="Y4" s="19"/>
      <c r="Z4" s="19"/>
      <c r="AA4" s="19"/>
      <c r="AB4" s="19"/>
      <c r="AC4" s="19"/>
    </row>
    <row r="5" spans="1:37" s="186" customFormat="1" x14ac:dyDescent="0.25">
      <c r="A5" s="27" t="s">
        <v>281</v>
      </c>
      <c r="B5" s="703"/>
      <c r="C5" s="703"/>
      <c r="D5" s="28"/>
      <c r="E5" s="29"/>
      <c r="F5" s="30"/>
      <c r="G5" s="30"/>
      <c r="H5" s="30"/>
      <c r="I5" s="714"/>
      <c r="J5" s="32"/>
      <c r="K5" s="32"/>
      <c r="L5" s="32"/>
      <c r="M5" s="32"/>
      <c r="N5" s="672"/>
      <c r="O5" s="189" t="s">
        <v>441</v>
      </c>
      <c r="P5" s="189"/>
      <c r="Q5" s="189"/>
      <c r="R5" s="189"/>
      <c r="S5" s="889" t="s">
        <v>510</v>
      </c>
      <c r="T5" s="189"/>
      <c r="U5" s="283"/>
      <c r="V5" s="705" t="s">
        <v>289</v>
      </c>
      <c r="W5" s="191"/>
      <c r="X5" s="191"/>
      <c r="Y5" s="890" t="s">
        <v>685</v>
      </c>
      <c r="Z5" s="191"/>
      <c r="AA5" s="192"/>
    </row>
    <row r="6" spans="1:37" ht="15.75" thickBot="1" x14ac:dyDescent="0.3">
      <c r="A6" s="43" t="s">
        <v>290</v>
      </c>
      <c r="B6" s="704" t="s">
        <v>635</v>
      </c>
      <c r="C6" s="704" t="s">
        <v>642</v>
      </c>
      <c r="D6" s="44" t="s">
        <v>291</v>
      </c>
      <c r="E6" s="45" t="s">
        <v>10</v>
      </c>
      <c r="F6" s="46" t="s">
        <v>11</v>
      </c>
      <c r="G6" s="46" t="s">
        <v>12</v>
      </c>
      <c r="H6" s="46" t="s">
        <v>13</v>
      </c>
      <c r="I6" s="715" t="s">
        <v>14</v>
      </c>
      <c r="J6" s="710" t="s">
        <v>10</v>
      </c>
      <c r="K6" s="48" t="s">
        <v>11</v>
      </c>
      <c r="L6" s="48" t="s">
        <v>12</v>
      </c>
      <c r="M6" s="48" t="s">
        <v>13</v>
      </c>
      <c r="N6" s="663" t="s">
        <v>14</v>
      </c>
      <c r="O6" s="59" t="s">
        <v>15</v>
      </c>
      <c r="P6" s="59" t="s">
        <v>280</v>
      </c>
      <c r="Q6" s="59" t="s">
        <v>422</v>
      </c>
      <c r="R6" s="59" t="s">
        <v>423</v>
      </c>
      <c r="S6" s="59" t="s">
        <v>424</v>
      </c>
      <c r="T6" s="59" t="s">
        <v>425</v>
      </c>
      <c r="U6" s="284" t="s">
        <v>426</v>
      </c>
      <c r="V6" s="706" t="s">
        <v>446</v>
      </c>
      <c r="W6" s="61" t="s">
        <v>422</v>
      </c>
      <c r="X6" s="61" t="s">
        <v>423</v>
      </c>
      <c r="Y6" s="61" t="s">
        <v>424</v>
      </c>
      <c r="Z6" s="61" t="s">
        <v>425</v>
      </c>
      <c r="AA6" s="62" t="s">
        <v>426</v>
      </c>
      <c r="AB6" s="62" t="s">
        <v>640</v>
      </c>
      <c r="AC6" s="893" t="s">
        <v>799</v>
      </c>
      <c r="AD6" s="754"/>
      <c r="AE6" s="186"/>
      <c r="AF6" s="186"/>
      <c r="AG6" s="186"/>
      <c r="AH6" s="186"/>
      <c r="AI6" s="186"/>
      <c r="AJ6" s="186"/>
    </row>
    <row r="7" spans="1:37" x14ac:dyDescent="0.25">
      <c r="A7" s="63" t="s">
        <v>296</v>
      </c>
      <c r="B7" s="64" t="s">
        <v>268</v>
      </c>
      <c r="C7" s="707" t="s">
        <v>643</v>
      </c>
      <c r="D7" s="707" t="s">
        <v>409</v>
      </c>
      <c r="E7" s="716">
        <v>3689144.5943493401</v>
      </c>
      <c r="F7" s="168">
        <v>7934044.6888067247</v>
      </c>
      <c r="G7" s="168">
        <v>7371639.3099999987</v>
      </c>
      <c r="H7" s="168">
        <v>9045812.0399999991</v>
      </c>
      <c r="I7" s="717">
        <v>8954422.3600000031</v>
      </c>
      <c r="J7" s="711">
        <v>1101</v>
      </c>
      <c r="K7" s="170">
        <v>4997</v>
      </c>
      <c r="L7" s="170">
        <v>4542</v>
      </c>
      <c r="M7" s="170">
        <v>5172</v>
      </c>
      <c r="N7" s="613">
        <v>4260</v>
      </c>
      <c r="O7" s="420">
        <f>'Defect (Total)'!BC181</f>
        <v>4658</v>
      </c>
      <c r="P7" s="726">
        <f>'Defect (Total)'!BD181</f>
        <v>4658</v>
      </c>
      <c r="Q7" s="241">
        <f>'Defect (Total)'!BE181</f>
        <v>4658</v>
      </c>
      <c r="R7" s="144">
        <f>'Defect (Total)'!BF181</f>
        <v>4658</v>
      </c>
      <c r="S7" s="144">
        <f>'Defect (Total)'!BG181</f>
        <v>4658</v>
      </c>
      <c r="T7" s="729">
        <f>'Defect (Total)'!BH181</f>
        <v>4658</v>
      </c>
      <c r="U7" s="293">
        <f>'Defect (Total)'!BI181</f>
        <v>4658</v>
      </c>
      <c r="V7" s="124">
        <f>VLOOKUP(A7,'Distribution Summary'!$A$136:$BJ$146,58,0)</f>
        <v>4658</v>
      </c>
      <c r="W7" s="415">
        <f t="shared" ref="W7:AA38" si="0">Q7*$V7</f>
        <v>21696964</v>
      </c>
      <c r="X7" s="79">
        <f t="shared" si="0"/>
        <v>21696964</v>
      </c>
      <c r="Y7" s="79">
        <f t="shared" si="0"/>
        <v>21696964</v>
      </c>
      <c r="Z7" s="79">
        <f t="shared" si="0"/>
        <v>21696964</v>
      </c>
      <c r="AA7" s="80">
        <f t="shared" si="0"/>
        <v>21696964</v>
      </c>
      <c r="AB7" s="756" t="s">
        <v>641</v>
      </c>
      <c r="AC7" s="894"/>
      <c r="AD7" s="1"/>
      <c r="AE7" s="186"/>
      <c r="AF7" s="186"/>
      <c r="AG7" s="186"/>
      <c r="AH7" s="186"/>
      <c r="AI7" s="186"/>
      <c r="AJ7" s="186"/>
      <c r="AK7" s="749"/>
    </row>
    <row r="8" spans="1:37" x14ac:dyDescent="0.25">
      <c r="A8" s="81" t="s">
        <v>27</v>
      </c>
      <c r="B8" s="82" t="s">
        <v>268</v>
      </c>
      <c r="C8" s="708" t="s">
        <v>643</v>
      </c>
      <c r="D8" s="708" t="s">
        <v>410</v>
      </c>
      <c r="E8" s="718">
        <v>40699929.462575555</v>
      </c>
      <c r="F8" s="173">
        <v>64168990.822516896</v>
      </c>
      <c r="G8" s="173">
        <v>65008047.052676938</v>
      </c>
      <c r="H8" s="173">
        <v>68085653.330602914</v>
      </c>
      <c r="I8" s="719">
        <v>82524583.373820037</v>
      </c>
      <c r="J8" s="712">
        <v>5593</v>
      </c>
      <c r="K8" s="175">
        <v>10285</v>
      </c>
      <c r="L8" s="175">
        <v>10580</v>
      </c>
      <c r="M8" s="175">
        <v>10910</v>
      </c>
      <c r="N8" s="614">
        <v>10610</v>
      </c>
      <c r="O8" s="421">
        <f>'Defect (Total)'!BC182</f>
        <v>11994.319184020836</v>
      </c>
      <c r="P8" s="727">
        <f>'Defect (Total)'!BD182</f>
        <v>11994.319184020836</v>
      </c>
      <c r="Q8" s="234">
        <f>'Defect (Total)'!BE182</f>
        <v>11972.70319547361</v>
      </c>
      <c r="R8" s="96">
        <f>'Defect (Total)'!BF182</f>
        <v>11972.70319547361</v>
      </c>
      <c r="S8" s="96">
        <f>'Defect (Total)'!BG182</f>
        <v>11972.70319547361</v>
      </c>
      <c r="T8" s="730">
        <f>'Defect (Total)'!BH182</f>
        <v>11972.70319547361</v>
      </c>
      <c r="U8" s="286">
        <f>'Defect (Total)'!BI182</f>
        <v>11972.70319547361</v>
      </c>
      <c r="V8" s="99">
        <f>VLOOKUP(A8,'Distribution Summary'!$A$136:$BJ$146,58,0)</f>
        <v>14610.376550596677</v>
      </c>
      <c r="W8" s="416">
        <f t="shared" si="0"/>
        <v>174925702.01440153</v>
      </c>
      <c r="X8" s="97">
        <f t="shared" si="0"/>
        <v>174925702.01440153</v>
      </c>
      <c r="Y8" s="97">
        <f t="shared" si="0"/>
        <v>174925702.01440153</v>
      </c>
      <c r="Z8" s="97">
        <f t="shared" si="0"/>
        <v>174925702.01440153</v>
      </c>
      <c r="AA8" s="98">
        <f t="shared" si="0"/>
        <v>174925702.01440153</v>
      </c>
      <c r="AB8" s="757" t="s">
        <v>641</v>
      </c>
      <c r="AC8" s="894"/>
      <c r="AE8" s="753"/>
      <c r="AF8" s="749"/>
      <c r="AG8" s="749"/>
      <c r="AH8" s="749"/>
      <c r="AI8" s="749"/>
      <c r="AJ8" s="749"/>
      <c r="AK8" s="749"/>
    </row>
    <row r="9" spans="1:37" x14ac:dyDescent="0.25">
      <c r="A9" s="81" t="s">
        <v>68</v>
      </c>
      <c r="B9" s="82" t="s">
        <v>268</v>
      </c>
      <c r="C9" s="708" t="s">
        <v>643</v>
      </c>
      <c r="D9" s="708" t="s">
        <v>411</v>
      </c>
      <c r="E9" s="718">
        <v>14391002.509629328</v>
      </c>
      <c r="F9" s="173">
        <v>19853888.540153123</v>
      </c>
      <c r="G9" s="173">
        <v>21315296.836999163</v>
      </c>
      <c r="H9" s="173">
        <v>23993299.873427231</v>
      </c>
      <c r="I9" s="719">
        <v>28122140.43382106</v>
      </c>
      <c r="J9" s="712">
        <v>6690</v>
      </c>
      <c r="K9" s="175">
        <v>9714</v>
      </c>
      <c r="L9" s="175">
        <v>7719</v>
      </c>
      <c r="M9" s="175">
        <v>8619</v>
      </c>
      <c r="N9" s="614">
        <v>8445</v>
      </c>
      <c r="O9" s="421">
        <f>'Defect (Total)'!BC153</f>
        <v>9593.6977282738626</v>
      </c>
      <c r="P9" s="727">
        <f>'Defect (Total)'!BD153</f>
        <v>9593.6977282738626</v>
      </c>
      <c r="Q9" s="234">
        <f>'Defect (Total)'!BE153</f>
        <v>9593.6977282738626</v>
      </c>
      <c r="R9" s="96">
        <f>'Defect (Total)'!BF153</f>
        <v>9593.6977282738626</v>
      </c>
      <c r="S9" s="96">
        <f>'Defect (Total)'!BG153</f>
        <v>9593.6977282738626</v>
      </c>
      <c r="T9" s="730">
        <f>'Defect (Total)'!BH153</f>
        <v>9593.6977282738626</v>
      </c>
      <c r="U9" s="286">
        <f>'Defect (Total)'!BI153</f>
        <v>9593.6977282738626</v>
      </c>
      <c r="V9" s="99">
        <f>VLOOKUP(A9,'Distribution Summary'!$A$136:$BJ$146,58,0)</f>
        <v>30402.739680878618</v>
      </c>
      <c r="W9" s="416">
        <f t="shared" si="0"/>
        <v>291674694.60974681</v>
      </c>
      <c r="X9" s="97">
        <f t="shared" si="0"/>
        <v>291674694.60974681</v>
      </c>
      <c r="Y9" s="97">
        <f t="shared" si="0"/>
        <v>291674694.60974681</v>
      </c>
      <c r="Z9" s="97">
        <f t="shared" si="0"/>
        <v>291674694.60974681</v>
      </c>
      <c r="AA9" s="98">
        <f t="shared" si="0"/>
        <v>291674694.60974681</v>
      </c>
      <c r="AB9" s="757" t="s">
        <v>641</v>
      </c>
      <c r="AC9" s="894"/>
      <c r="AE9" s="753"/>
      <c r="AF9" s="749"/>
      <c r="AG9" s="749"/>
      <c r="AH9" s="749"/>
      <c r="AI9" s="749"/>
      <c r="AJ9" s="749"/>
      <c r="AK9" s="749"/>
    </row>
    <row r="10" spans="1:37" x14ac:dyDescent="0.25">
      <c r="A10" s="81" t="s">
        <v>81</v>
      </c>
      <c r="B10" s="82" t="s">
        <v>268</v>
      </c>
      <c r="C10" s="708" t="s">
        <v>643</v>
      </c>
      <c r="D10" s="708" t="s">
        <v>270</v>
      </c>
      <c r="E10" s="718"/>
      <c r="F10" s="173"/>
      <c r="G10" s="173"/>
      <c r="H10" s="173"/>
      <c r="I10" s="719"/>
      <c r="J10" s="725"/>
      <c r="K10" s="631"/>
      <c r="L10" s="631"/>
      <c r="M10" s="631"/>
      <c r="N10" s="671"/>
      <c r="O10" s="421">
        <f>'Defect (Total)'!BC154</f>
        <v>0</v>
      </c>
      <c r="P10" s="727">
        <f>'Defect (Total)'!BD154</f>
        <v>0</v>
      </c>
      <c r="Q10" s="234">
        <f>'Defect (Total)'!BE154</f>
        <v>0</v>
      </c>
      <c r="R10" s="96">
        <f>'Defect (Total)'!BF154</f>
        <v>0</v>
      </c>
      <c r="S10" s="96">
        <f>'Defect (Total)'!BG154</f>
        <v>0</v>
      </c>
      <c r="T10" s="730">
        <f>'Defect (Total)'!BH154</f>
        <v>0</v>
      </c>
      <c r="U10" s="286">
        <f>'Defect (Total)'!BI154</f>
        <v>0</v>
      </c>
      <c r="V10" s="99">
        <f>VLOOKUP(A10,'Distribution Summary'!$A$136:$BJ$146,58,0)</f>
        <v>730.02877600199986</v>
      </c>
      <c r="W10" s="416">
        <f t="shared" si="0"/>
        <v>0</v>
      </c>
      <c r="X10" s="97">
        <f t="shared" si="0"/>
        <v>0</v>
      </c>
      <c r="Y10" s="97">
        <f t="shared" si="0"/>
        <v>0</v>
      </c>
      <c r="Z10" s="97">
        <f t="shared" si="0"/>
        <v>0</v>
      </c>
      <c r="AA10" s="98">
        <f t="shared" si="0"/>
        <v>0</v>
      </c>
      <c r="AB10" s="757" t="s">
        <v>641</v>
      </c>
      <c r="AC10" s="894"/>
      <c r="AE10" s="753"/>
      <c r="AF10" s="749"/>
      <c r="AG10" s="749"/>
      <c r="AH10" s="749"/>
      <c r="AI10" s="749"/>
      <c r="AJ10" s="749"/>
      <c r="AK10" s="749"/>
    </row>
    <row r="11" spans="1:37" x14ac:dyDescent="0.25">
      <c r="A11" s="81" t="s">
        <v>94</v>
      </c>
      <c r="B11" s="82" t="s">
        <v>268</v>
      </c>
      <c r="C11" s="708" t="s">
        <v>643</v>
      </c>
      <c r="D11" s="708" t="s">
        <v>412</v>
      </c>
      <c r="E11" s="718"/>
      <c r="F11" s="173"/>
      <c r="G11" s="173"/>
      <c r="H11" s="173"/>
      <c r="I11" s="719"/>
      <c r="J11" s="712"/>
      <c r="K11" s="175"/>
      <c r="L11" s="175"/>
      <c r="M11" s="175"/>
      <c r="N11" s="614"/>
      <c r="O11" s="421">
        <f>'Defect (Total)'!BC155</f>
        <v>0</v>
      </c>
      <c r="P11" s="727">
        <f>'Defect (Total)'!BD155</f>
        <v>0</v>
      </c>
      <c r="Q11" s="234">
        <f>'Defect (Total)'!BE155</f>
        <v>0</v>
      </c>
      <c r="R11" s="96">
        <f>'Defect (Total)'!BF155</f>
        <v>0</v>
      </c>
      <c r="S11" s="96">
        <f>'Defect (Total)'!BG155</f>
        <v>0</v>
      </c>
      <c r="T11" s="730">
        <f>'Defect (Total)'!BH155</f>
        <v>0</v>
      </c>
      <c r="U11" s="286">
        <f>'Defect (Total)'!BI155</f>
        <v>0</v>
      </c>
      <c r="V11" s="99">
        <f>VLOOKUP(A11,'Distribution Summary'!$A$136:$BJ$146,58,0)</f>
        <v>20.980691549933333</v>
      </c>
      <c r="W11" s="416">
        <f t="shared" si="0"/>
        <v>0</v>
      </c>
      <c r="X11" s="97">
        <f t="shared" si="0"/>
        <v>0</v>
      </c>
      <c r="Y11" s="97">
        <f t="shared" si="0"/>
        <v>0</v>
      </c>
      <c r="Z11" s="97">
        <f t="shared" si="0"/>
        <v>0</v>
      </c>
      <c r="AA11" s="98">
        <f t="shared" si="0"/>
        <v>0</v>
      </c>
      <c r="AB11" s="757" t="s">
        <v>641</v>
      </c>
      <c r="AC11" s="894"/>
      <c r="AE11" s="753"/>
      <c r="AF11" s="749"/>
      <c r="AG11" s="749"/>
      <c r="AH11" s="749"/>
      <c r="AI11" s="749"/>
      <c r="AJ11" s="749"/>
      <c r="AK11" s="749"/>
    </row>
    <row r="12" spans="1:37" x14ac:dyDescent="0.25">
      <c r="A12" s="81" t="s">
        <v>106</v>
      </c>
      <c r="B12" s="82" t="s">
        <v>268</v>
      </c>
      <c r="C12" s="708" t="s">
        <v>643</v>
      </c>
      <c r="D12" s="708" t="s">
        <v>272</v>
      </c>
      <c r="E12" s="718">
        <v>1877744.6290509345</v>
      </c>
      <c r="F12" s="173">
        <v>5630800.9749862691</v>
      </c>
      <c r="G12" s="173">
        <v>4368378.6611024803</v>
      </c>
      <c r="H12" s="173">
        <v>5002536.6117703663</v>
      </c>
      <c r="I12" s="719">
        <v>6417495.8190407623</v>
      </c>
      <c r="J12" s="712">
        <v>2426.8499508109944</v>
      </c>
      <c r="K12" s="175">
        <v>4861.0182201540711</v>
      </c>
      <c r="L12" s="175">
        <v>2904.4412400861111</v>
      </c>
      <c r="M12" s="175">
        <v>3181.1184412600755</v>
      </c>
      <c r="N12" s="614">
        <v>4366.1405373900316</v>
      </c>
      <c r="O12" s="421">
        <f>'Defect (Total)'!BC156</f>
        <v>4045.9368375535291</v>
      </c>
      <c r="P12" s="727">
        <f>'Defect (Total)'!BD156</f>
        <v>4045.9368375535291</v>
      </c>
      <c r="Q12" s="234">
        <f>'Defect (Total)'!BE156</f>
        <v>4045.9368375535291</v>
      </c>
      <c r="R12" s="96">
        <f>'Defect (Total)'!BF156</f>
        <v>4045.9368375535291</v>
      </c>
      <c r="S12" s="96">
        <f>'Defect (Total)'!BG156</f>
        <v>4045.9368375535291</v>
      </c>
      <c r="T12" s="730">
        <f>'Defect (Total)'!BH156</f>
        <v>4045.9368375535291</v>
      </c>
      <c r="U12" s="286">
        <f>'Defect (Total)'!BI156</f>
        <v>4045.9368375535291</v>
      </c>
      <c r="V12" s="99">
        <f>VLOOKUP(A12,'Distribution Summary'!$A$136:$BJ$146,58,0)</f>
        <v>18191.246298465947</v>
      </c>
      <c r="W12" s="416">
        <f t="shared" si="0"/>
        <v>73600633.519972652</v>
      </c>
      <c r="X12" s="97">
        <f t="shared" si="0"/>
        <v>73600633.519972652</v>
      </c>
      <c r="Y12" s="97">
        <f t="shared" si="0"/>
        <v>73600633.519972652</v>
      </c>
      <c r="Z12" s="97">
        <f t="shared" si="0"/>
        <v>73600633.519972652</v>
      </c>
      <c r="AA12" s="98">
        <f t="shared" si="0"/>
        <v>73600633.519972652</v>
      </c>
      <c r="AB12" s="757" t="s">
        <v>641</v>
      </c>
      <c r="AC12" s="894"/>
      <c r="AE12" s="753"/>
      <c r="AF12" s="749"/>
      <c r="AG12" s="749"/>
      <c r="AH12" s="749"/>
      <c r="AI12" s="749"/>
      <c r="AJ12" s="749"/>
      <c r="AK12" s="749"/>
    </row>
    <row r="13" spans="1:37" x14ac:dyDescent="0.25">
      <c r="A13" s="81" t="s">
        <v>138</v>
      </c>
      <c r="B13" s="82" t="s">
        <v>268</v>
      </c>
      <c r="C13" s="708" t="s">
        <v>643</v>
      </c>
      <c r="D13" s="708" t="s">
        <v>413</v>
      </c>
      <c r="E13" s="718">
        <v>7757288.7396960016</v>
      </c>
      <c r="F13" s="173">
        <v>17470640.081898559</v>
      </c>
      <c r="G13" s="173">
        <v>10375327.967926884</v>
      </c>
      <c r="H13" s="173">
        <v>14093783.698897297</v>
      </c>
      <c r="I13" s="719">
        <v>10971090.293190919</v>
      </c>
      <c r="J13" s="712">
        <v>266</v>
      </c>
      <c r="K13" s="175">
        <v>608</v>
      </c>
      <c r="L13" s="175">
        <v>431</v>
      </c>
      <c r="M13" s="175">
        <v>473</v>
      </c>
      <c r="N13" s="614">
        <v>264</v>
      </c>
      <c r="O13" s="421">
        <f>'Defect (Total)'!BC157</f>
        <v>239.63534042330036</v>
      </c>
      <c r="P13" s="727">
        <f>'Defect (Total)'!BD157</f>
        <v>239.63534042330036</v>
      </c>
      <c r="Q13" s="234">
        <f>'Defect (Total)'!BE157</f>
        <v>239.63534042330036</v>
      </c>
      <c r="R13" s="96">
        <f>'Defect (Total)'!BF157</f>
        <v>239.63534042330036</v>
      </c>
      <c r="S13" s="96">
        <f>'Defect (Total)'!BG157</f>
        <v>239.63534042330036</v>
      </c>
      <c r="T13" s="730">
        <f>'Defect (Total)'!BH157</f>
        <v>239.63534042330036</v>
      </c>
      <c r="U13" s="286">
        <f>'Defect (Total)'!BI157</f>
        <v>239.63534042330036</v>
      </c>
      <c r="V13" s="99">
        <f>VLOOKUP(A13,'Distribution Summary'!$A$136:$BJ$146,58,0)</f>
        <v>944.55876292157745</v>
      </c>
      <c r="W13" s="416">
        <f t="shared" si="0"/>
        <v>226349.66070252369</v>
      </c>
      <c r="X13" s="97">
        <f t="shared" si="0"/>
        <v>226349.66070252369</v>
      </c>
      <c r="Y13" s="97">
        <f t="shared" si="0"/>
        <v>226349.66070252369</v>
      </c>
      <c r="Z13" s="97">
        <f t="shared" si="0"/>
        <v>226349.66070252369</v>
      </c>
      <c r="AA13" s="98">
        <f t="shared" si="0"/>
        <v>226349.66070252369</v>
      </c>
      <c r="AB13" s="757" t="s">
        <v>641</v>
      </c>
      <c r="AC13" s="894"/>
      <c r="AE13" s="754"/>
      <c r="AF13" s="1"/>
      <c r="AG13" s="1"/>
      <c r="AH13" s="1"/>
      <c r="AI13" s="1"/>
      <c r="AJ13" s="1"/>
      <c r="AK13" s="750"/>
    </row>
    <row r="14" spans="1:37" x14ac:dyDescent="0.25">
      <c r="A14" s="81" t="s">
        <v>196</v>
      </c>
      <c r="B14" s="82" t="s">
        <v>268</v>
      </c>
      <c r="C14" s="708" t="s">
        <v>643</v>
      </c>
      <c r="D14" s="708" t="s">
        <v>274</v>
      </c>
      <c r="E14" s="718">
        <v>3749404.264981905</v>
      </c>
      <c r="F14" s="173">
        <v>3220806.8837579619</v>
      </c>
      <c r="G14" s="173">
        <v>3034314.857578638</v>
      </c>
      <c r="H14" s="173">
        <v>2661188.9161355747</v>
      </c>
      <c r="I14" s="719">
        <v>1775573.5091833717</v>
      </c>
      <c r="J14" s="712">
        <v>395</v>
      </c>
      <c r="K14" s="175">
        <v>309</v>
      </c>
      <c r="L14" s="175">
        <v>310</v>
      </c>
      <c r="M14" s="175">
        <v>296</v>
      </c>
      <c r="N14" s="614">
        <v>371</v>
      </c>
      <c r="O14" s="421">
        <f>'Defect (Total)'!BC158</f>
        <v>192.93725509592431</v>
      </c>
      <c r="P14" s="727">
        <f>'Defect (Total)'!BD158</f>
        <v>192.93725509592431</v>
      </c>
      <c r="Q14" s="234">
        <f>'Defect (Total)'!BE158</f>
        <v>192.93725509592431</v>
      </c>
      <c r="R14" s="96">
        <f>'Defect (Total)'!BF158</f>
        <v>192.93725509592431</v>
      </c>
      <c r="S14" s="96">
        <f>'Defect (Total)'!BG158</f>
        <v>192.93725509592431</v>
      </c>
      <c r="T14" s="730">
        <f>'Defect (Total)'!BH158</f>
        <v>192.93725509592431</v>
      </c>
      <c r="U14" s="286">
        <f>'Defect (Total)'!BI158</f>
        <v>192.93725509592431</v>
      </c>
      <c r="V14" s="99">
        <f>VLOOKUP(A14,'Distribution Summary'!$A$136:$BJ$146,58,0)</f>
        <v>2429.60312430251</v>
      </c>
      <c r="W14" s="416">
        <f t="shared" si="0"/>
        <v>468760.95777540805</v>
      </c>
      <c r="X14" s="97">
        <f t="shared" si="0"/>
        <v>468760.95777540805</v>
      </c>
      <c r="Y14" s="97">
        <f t="shared" si="0"/>
        <v>468760.95777540805</v>
      </c>
      <c r="Z14" s="97">
        <f t="shared" si="0"/>
        <v>468760.95777540805</v>
      </c>
      <c r="AA14" s="98">
        <f t="shared" si="0"/>
        <v>468760.95777540805</v>
      </c>
      <c r="AB14" s="757"/>
      <c r="AC14" s="894"/>
      <c r="AE14" s="186"/>
      <c r="AF14" s="751"/>
      <c r="AG14" s="751"/>
      <c r="AH14" s="751"/>
      <c r="AI14" s="751"/>
      <c r="AJ14" s="751"/>
      <c r="AK14" s="749"/>
    </row>
    <row r="15" spans="1:37" x14ac:dyDescent="0.25">
      <c r="A15" s="81" t="s">
        <v>224</v>
      </c>
      <c r="B15" s="82" t="s">
        <v>268</v>
      </c>
      <c r="C15" s="708" t="s">
        <v>643</v>
      </c>
      <c r="D15" s="708" t="s">
        <v>414</v>
      </c>
      <c r="E15" s="718"/>
      <c r="F15" s="173"/>
      <c r="G15" s="173"/>
      <c r="H15" s="173"/>
      <c r="I15" s="719"/>
      <c r="J15" s="712"/>
      <c r="K15" s="175"/>
      <c r="L15" s="175"/>
      <c r="M15" s="175"/>
      <c r="N15" s="614"/>
      <c r="O15" s="421"/>
      <c r="P15" s="727"/>
      <c r="Q15" s="234"/>
      <c r="R15" s="96"/>
      <c r="S15" s="96"/>
      <c r="T15" s="730"/>
      <c r="U15" s="286"/>
      <c r="V15" s="99">
        <f>VLOOKUP(A15,'Distribution Summary'!$A$136:$BJ$146,58,0)</f>
        <v>0</v>
      </c>
      <c r="W15" s="416">
        <f t="shared" si="0"/>
        <v>0</v>
      </c>
      <c r="X15" s="97">
        <f t="shared" si="0"/>
        <v>0</v>
      </c>
      <c r="Y15" s="97">
        <f t="shared" si="0"/>
        <v>0</v>
      </c>
      <c r="Z15" s="97">
        <f t="shared" si="0"/>
        <v>0</v>
      </c>
      <c r="AA15" s="98">
        <f t="shared" si="0"/>
        <v>0</v>
      </c>
      <c r="AB15" s="757" t="s">
        <v>641</v>
      </c>
      <c r="AC15" s="894"/>
      <c r="AE15" s="1"/>
      <c r="AF15" s="750"/>
      <c r="AG15" s="750"/>
      <c r="AH15" s="750"/>
      <c r="AI15" s="750"/>
      <c r="AJ15" s="750"/>
      <c r="AK15" s="749"/>
    </row>
    <row r="16" spans="1:37" x14ac:dyDescent="0.25">
      <c r="A16" s="81" t="s">
        <v>242</v>
      </c>
      <c r="B16" s="82" t="s">
        <v>268</v>
      </c>
      <c r="C16" s="708" t="s">
        <v>643</v>
      </c>
      <c r="D16" s="708" t="s">
        <v>415</v>
      </c>
      <c r="E16" s="718"/>
      <c r="F16" s="173"/>
      <c r="G16" s="173"/>
      <c r="H16" s="173"/>
      <c r="I16" s="719"/>
      <c r="J16" s="712"/>
      <c r="K16" s="175"/>
      <c r="L16" s="175"/>
      <c r="M16" s="175"/>
      <c r="N16" s="614"/>
      <c r="O16" s="421"/>
      <c r="P16" s="727"/>
      <c r="Q16" s="234"/>
      <c r="R16" s="96"/>
      <c r="S16" s="96"/>
      <c r="T16" s="730"/>
      <c r="U16" s="286"/>
      <c r="V16" s="99">
        <f>VLOOKUP(A16,'Distribution Summary'!$A$136:$BJ$146,58,0)</f>
        <v>0</v>
      </c>
      <c r="W16" s="416">
        <f t="shared" si="0"/>
        <v>0</v>
      </c>
      <c r="X16" s="97">
        <f t="shared" si="0"/>
        <v>0</v>
      </c>
      <c r="Y16" s="97">
        <f t="shared" si="0"/>
        <v>0</v>
      </c>
      <c r="Z16" s="97">
        <f t="shared" si="0"/>
        <v>0</v>
      </c>
      <c r="AA16" s="98">
        <f t="shared" si="0"/>
        <v>0</v>
      </c>
      <c r="AB16" s="757" t="s">
        <v>641</v>
      </c>
      <c r="AC16" s="894"/>
      <c r="AK16" s="749"/>
    </row>
    <row r="17" spans="1:37" ht="15.75" thickBot="1" x14ac:dyDescent="0.3">
      <c r="A17" s="100" t="s">
        <v>258</v>
      </c>
      <c r="B17" s="101" t="s">
        <v>268</v>
      </c>
      <c r="C17" s="709" t="s">
        <v>643</v>
      </c>
      <c r="D17" s="709" t="s">
        <v>64</v>
      </c>
      <c r="E17" s="720"/>
      <c r="F17" s="178"/>
      <c r="G17" s="178"/>
      <c r="H17" s="178"/>
      <c r="I17" s="721"/>
      <c r="J17" s="713"/>
      <c r="K17" s="180"/>
      <c r="L17" s="180"/>
      <c r="M17" s="180"/>
      <c r="N17" s="615"/>
      <c r="O17" s="422"/>
      <c r="P17" s="728"/>
      <c r="Q17" s="235"/>
      <c r="R17" s="115"/>
      <c r="S17" s="115"/>
      <c r="T17" s="731"/>
      <c r="U17" s="287"/>
      <c r="V17" s="116">
        <f>VLOOKUP(A17,'Distribution Summary'!$A$136:$BJ$146,58,0)</f>
        <v>26.085065208566085</v>
      </c>
      <c r="W17" s="467">
        <f t="shared" si="0"/>
        <v>0</v>
      </c>
      <c r="X17" s="117">
        <f t="shared" si="0"/>
        <v>0</v>
      </c>
      <c r="Y17" s="117">
        <f t="shared" si="0"/>
        <v>0</v>
      </c>
      <c r="Z17" s="117">
        <f t="shared" si="0"/>
        <v>0</v>
      </c>
      <c r="AA17" s="118">
        <f t="shared" si="0"/>
        <v>0</v>
      </c>
      <c r="AB17" s="758" t="s">
        <v>641</v>
      </c>
      <c r="AC17" s="894"/>
      <c r="AK17" s="749"/>
    </row>
    <row r="18" spans="1:37" x14ac:dyDescent="0.25">
      <c r="A18" s="63" t="s">
        <v>296</v>
      </c>
      <c r="B18" s="64" t="s">
        <v>637</v>
      </c>
      <c r="C18" s="707" t="s">
        <v>643</v>
      </c>
      <c r="D18" s="707" t="s">
        <v>409</v>
      </c>
      <c r="E18" s="716"/>
      <c r="F18" s="168"/>
      <c r="G18" s="168"/>
      <c r="H18" s="168"/>
      <c r="I18" s="717"/>
      <c r="J18" s="711"/>
      <c r="K18" s="170"/>
      <c r="L18" s="170"/>
      <c r="M18" s="170"/>
      <c r="N18" s="613"/>
      <c r="O18" s="420"/>
      <c r="P18" s="726"/>
      <c r="Q18" s="241"/>
      <c r="R18" s="144"/>
      <c r="S18" s="144"/>
      <c r="T18" s="729"/>
      <c r="U18" s="293"/>
      <c r="V18" s="124">
        <f>VLOOKUP(A18,'Distribution Summary'!$A$136:$BJ$146,58,0)</f>
        <v>4658</v>
      </c>
      <c r="W18" s="415">
        <f t="shared" si="0"/>
        <v>0</v>
      </c>
      <c r="X18" s="79">
        <f t="shared" si="0"/>
        <v>0</v>
      </c>
      <c r="Y18" s="79">
        <f t="shared" si="0"/>
        <v>0</v>
      </c>
      <c r="Z18" s="79">
        <f t="shared" si="0"/>
        <v>0</v>
      </c>
      <c r="AA18" s="80">
        <f t="shared" si="0"/>
        <v>0</v>
      </c>
      <c r="AB18" s="756" t="s">
        <v>641</v>
      </c>
      <c r="AC18" s="894"/>
      <c r="AD18" s="1"/>
      <c r="AK18" s="749"/>
    </row>
    <row r="19" spans="1:37" x14ac:dyDescent="0.25">
      <c r="A19" s="81" t="s">
        <v>27</v>
      </c>
      <c r="B19" s="82" t="s">
        <v>637</v>
      </c>
      <c r="C19" s="708" t="s">
        <v>643</v>
      </c>
      <c r="D19" s="708" t="s">
        <v>410</v>
      </c>
      <c r="E19" s="718"/>
      <c r="F19" s="173"/>
      <c r="G19" s="173"/>
      <c r="H19" s="173"/>
      <c r="I19" s="719"/>
      <c r="J19" s="712"/>
      <c r="K19" s="175"/>
      <c r="L19" s="175"/>
      <c r="M19" s="175"/>
      <c r="N19" s="614"/>
      <c r="O19" s="421"/>
      <c r="P19" s="727"/>
      <c r="Q19" s="234"/>
      <c r="R19" s="96"/>
      <c r="S19" s="96"/>
      <c r="T19" s="730"/>
      <c r="U19" s="286"/>
      <c r="V19" s="99">
        <f>VLOOKUP(A19,'Distribution Summary'!$A$136:$BJ$146,58,0)</f>
        <v>14610.376550596677</v>
      </c>
      <c r="W19" s="416">
        <f t="shared" si="0"/>
        <v>0</v>
      </c>
      <c r="X19" s="97">
        <f t="shared" si="0"/>
        <v>0</v>
      </c>
      <c r="Y19" s="97">
        <f t="shared" si="0"/>
        <v>0</v>
      </c>
      <c r="Z19" s="97">
        <f t="shared" si="0"/>
        <v>0</v>
      </c>
      <c r="AA19" s="98">
        <f t="shared" si="0"/>
        <v>0</v>
      </c>
      <c r="AB19" s="757" t="s">
        <v>641</v>
      </c>
      <c r="AC19" s="894"/>
      <c r="AK19" s="749"/>
    </row>
    <row r="20" spans="1:37" x14ac:dyDescent="0.25">
      <c r="A20" s="81" t="s">
        <v>68</v>
      </c>
      <c r="B20" s="82" t="s">
        <v>637</v>
      </c>
      <c r="C20" s="708" t="s">
        <v>643</v>
      </c>
      <c r="D20" s="708" t="s">
        <v>411</v>
      </c>
      <c r="E20" s="718">
        <v>17830149.273628589</v>
      </c>
      <c r="F20" s="173">
        <v>21655646.732708521</v>
      </c>
      <c r="G20" s="173">
        <v>19870329.2958837</v>
      </c>
      <c r="H20" s="173">
        <v>20638504.943689484</v>
      </c>
      <c r="I20" s="719">
        <v>25587207.773002151</v>
      </c>
      <c r="J20" s="712">
        <v>8498</v>
      </c>
      <c r="K20" s="175">
        <v>9237</v>
      </c>
      <c r="L20" s="175">
        <v>8062</v>
      </c>
      <c r="M20" s="175">
        <v>8620</v>
      </c>
      <c r="N20" s="614">
        <v>8251</v>
      </c>
      <c r="O20" s="421">
        <f>'Defect (Total)'!BC183</f>
        <v>7007.8693207320666</v>
      </c>
      <c r="P20" s="727">
        <f>'Defect (Total)'!BD183</f>
        <v>7007.8693207320666</v>
      </c>
      <c r="Q20" s="234">
        <f>'Defect (Total)'!BE183</f>
        <v>8504.0959591849423</v>
      </c>
      <c r="R20" s="96">
        <f>'Defect (Total)'!BF183</f>
        <v>8504.0959591849423</v>
      </c>
      <c r="S20" s="96">
        <f>'Defect (Total)'!BG183</f>
        <v>8504.0959591849423</v>
      </c>
      <c r="T20" s="730">
        <f>'Defect (Total)'!BH183</f>
        <v>8504.0959591849423</v>
      </c>
      <c r="U20" s="286">
        <f>'Defect (Total)'!BI183</f>
        <v>8504.0959591849423</v>
      </c>
      <c r="V20" s="99">
        <f>VLOOKUP(A20,'Distribution Summary'!$A$136:$BJ$146,58,0)</f>
        <v>30402.739680878618</v>
      </c>
      <c r="W20" s="416">
        <f t="shared" si="0"/>
        <v>258547815.66831157</v>
      </c>
      <c r="X20" s="97">
        <f t="shared" si="0"/>
        <v>258547815.66831157</v>
      </c>
      <c r="Y20" s="97">
        <f t="shared" si="0"/>
        <v>258547815.66831157</v>
      </c>
      <c r="Z20" s="97">
        <f t="shared" si="0"/>
        <v>258547815.66831157</v>
      </c>
      <c r="AA20" s="98">
        <f t="shared" si="0"/>
        <v>258547815.66831157</v>
      </c>
      <c r="AB20" s="757" t="s">
        <v>641</v>
      </c>
      <c r="AC20" s="894"/>
      <c r="AF20" s="751"/>
      <c r="AG20" s="751"/>
      <c r="AH20" s="751"/>
      <c r="AI20" s="751"/>
      <c r="AJ20" s="751"/>
      <c r="AK20" s="749"/>
    </row>
    <row r="21" spans="1:37" x14ac:dyDescent="0.25">
      <c r="A21" s="81" t="s">
        <v>81</v>
      </c>
      <c r="B21" s="82" t="s">
        <v>637</v>
      </c>
      <c r="C21" s="708" t="s">
        <v>643</v>
      </c>
      <c r="D21" s="708" t="s">
        <v>270</v>
      </c>
      <c r="E21" s="718"/>
      <c r="F21" s="173"/>
      <c r="G21" s="173"/>
      <c r="H21" s="173"/>
      <c r="I21" s="719"/>
      <c r="J21" s="725"/>
      <c r="K21" s="631"/>
      <c r="L21" s="631"/>
      <c r="M21" s="631"/>
      <c r="N21" s="671"/>
      <c r="O21" s="421"/>
      <c r="P21" s="727"/>
      <c r="Q21" s="234"/>
      <c r="R21" s="96"/>
      <c r="S21" s="96"/>
      <c r="T21" s="730"/>
      <c r="U21" s="286"/>
      <c r="V21" s="99">
        <f>VLOOKUP(A21,'Distribution Summary'!$A$136:$BJ$146,58,0)</f>
        <v>730.02877600199986</v>
      </c>
      <c r="W21" s="416">
        <f t="shared" si="0"/>
        <v>0</v>
      </c>
      <c r="X21" s="97">
        <f t="shared" si="0"/>
        <v>0</v>
      </c>
      <c r="Y21" s="97">
        <f t="shared" si="0"/>
        <v>0</v>
      </c>
      <c r="Z21" s="97">
        <f t="shared" si="0"/>
        <v>0</v>
      </c>
      <c r="AA21" s="98">
        <f t="shared" si="0"/>
        <v>0</v>
      </c>
      <c r="AB21" s="757" t="s">
        <v>641</v>
      </c>
      <c r="AC21" s="894"/>
      <c r="AE21" s="1"/>
      <c r="AK21" s="749"/>
    </row>
    <row r="22" spans="1:37" x14ac:dyDescent="0.25">
      <c r="A22" s="81" t="s">
        <v>94</v>
      </c>
      <c r="B22" s="82" t="s">
        <v>637</v>
      </c>
      <c r="C22" s="708" t="s">
        <v>643</v>
      </c>
      <c r="D22" s="708" t="s">
        <v>412</v>
      </c>
      <c r="E22" s="718"/>
      <c r="F22" s="173"/>
      <c r="G22" s="173"/>
      <c r="H22" s="173"/>
      <c r="I22" s="719"/>
      <c r="J22" s="712"/>
      <c r="K22" s="175"/>
      <c r="L22" s="175"/>
      <c r="M22" s="175"/>
      <c r="N22" s="614"/>
      <c r="O22" s="421"/>
      <c r="P22" s="727"/>
      <c r="Q22" s="234"/>
      <c r="R22" s="96"/>
      <c r="S22" s="96"/>
      <c r="T22" s="730"/>
      <c r="U22" s="286"/>
      <c r="V22" s="99">
        <f>VLOOKUP(A22,'Distribution Summary'!$A$136:$BJ$146,58,0)</f>
        <v>20.980691549933333</v>
      </c>
      <c r="W22" s="416">
        <f t="shared" si="0"/>
        <v>0</v>
      </c>
      <c r="X22" s="97">
        <f t="shared" si="0"/>
        <v>0</v>
      </c>
      <c r="Y22" s="97">
        <f t="shared" si="0"/>
        <v>0</v>
      </c>
      <c r="Z22" s="97">
        <f t="shared" si="0"/>
        <v>0</v>
      </c>
      <c r="AA22" s="98">
        <f t="shared" si="0"/>
        <v>0</v>
      </c>
      <c r="AB22" s="757" t="s">
        <v>641</v>
      </c>
      <c r="AC22" s="894"/>
      <c r="AK22" s="749"/>
    </row>
    <row r="23" spans="1:37" x14ac:dyDescent="0.25">
      <c r="A23" s="81" t="s">
        <v>106</v>
      </c>
      <c r="B23" s="82" t="s">
        <v>637</v>
      </c>
      <c r="C23" s="708" t="s">
        <v>643</v>
      </c>
      <c r="D23" s="708" t="s">
        <v>272</v>
      </c>
      <c r="E23" s="718"/>
      <c r="F23" s="173"/>
      <c r="G23" s="173"/>
      <c r="H23" s="173"/>
      <c r="I23" s="719"/>
      <c r="J23" s="712"/>
      <c r="K23" s="175"/>
      <c r="L23" s="175"/>
      <c r="M23" s="175"/>
      <c r="N23" s="614"/>
      <c r="O23" s="421"/>
      <c r="P23" s="727"/>
      <c r="Q23" s="234"/>
      <c r="R23" s="96"/>
      <c r="S23" s="96"/>
      <c r="T23" s="730"/>
      <c r="U23" s="286"/>
      <c r="V23" s="99">
        <f>VLOOKUP(A23,'Distribution Summary'!$A$136:$BJ$146,58,0)</f>
        <v>18191.246298465947</v>
      </c>
      <c r="W23" s="416">
        <f t="shared" si="0"/>
        <v>0</v>
      </c>
      <c r="X23" s="97">
        <f t="shared" si="0"/>
        <v>0</v>
      </c>
      <c r="Y23" s="97">
        <f t="shared" si="0"/>
        <v>0</v>
      </c>
      <c r="Z23" s="97">
        <f t="shared" si="0"/>
        <v>0</v>
      </c>
      <c r="AA23" s="98">
        <f t="shared" si="0"/>
        <v>0</v>
      </c>
      <c r="AB23" s="757" t="s">
        <v>641</v>
      </c>
      <c r="AC23" s="894"/>
      <c r="AK23" s="749"/>
    </row>
    <row r="24" spans="1:37" x14ac:dyDescent="0.25">
      <c r="A24" s="81" t="s">
        <v>138</v>
      </c>
      <c r="B24" s="82" t="s">
        <v>637</v>
      </c>
      <c r="C24" s="708" t="s">
        <v>643</v>
      </c>
      <c r="D24" s="708" t="s">
        <v>413</v>
      </c>
      <c r="E24" s="718"/>
      <c r="F24" s="173"/>
      <c r="G24" s="173"/>
      <c r="H24" s="173"/>
      <c r="I24" s="719"/>
      <c r="J24" s="712"/>
      <c r="K24" s="175"/>
      <c r="L24" s="175"/>
      <c r="M24" s="175"/>
      <c r="N24" s="614"/>
      <c r="O24" s="421"/>
      <c r="P24" s="727"/>
      <c r="Q24" s="234"/>
      <c r="R24" s="96"/>
      <c r="S24" s="96"/>
      <c r="T24" s="730"/>
      <c r="U24" s="286"/>
      <c r="V24" s="99">
        <f>VLOOKUP(A24,'Distribution Summary'!$A$136:$BJ$146,58,0)</f>
        <v>944.55876292157745</v>
      </c>
      <c r="W24" s="416">
        <f t="shared" si="0"/>
        <v>0</v>
      </c>
      <c r="X24" s="97">
        <f t="shared" si="0"/>
        <v>0</v>
      </c>
      <c r="Y24" s="97">
        <f t="shared" si="0"/>
        <v>0</v>
      </c>
      <c r="Z24" s="97">
        <f t="shared" si="0"/>
        <v>0</v>
      </c>
      <c r="AA24" s="98">
        <f t="shared" si="0"/>
        <v>0</v>
      </c>
      <c r="AB24" s="757" t="s">
        <v>641</v>
      </c>
      <c r="AC24" s="894"/>
      <c r="AK24" s="749"/>
    </row>
    <row r="25" spans="1:37" x14ac:dyDescent="0.25">
      <c r="A25" s="81" t="s">
        <v>196</v>
      </c>
      <c r="B25" s="82" t="s">
        <v>637</v>
      </c>
      <c r="C25" s="708" t="s">
        <v>643</v>
      </c>
      <c r="D25" s="708" t="s">
        <v>274</v>
      </c>
      <c r="E25" s="718"/>
      <c r="F25" s="173"/>
      <c r="G25" s="173"/>
      <c r="H25" s="173"/>
      <c r="I25" s="719"/>
      <c r="J25" s="712"/>
      <c r="K25" s="175"/>
      <c r="L25" s="175"/>
      <c r="M25" s="175"/>
      <c r="N25" s="614"/>
      <c r="O25" s="421"/>
      <c r="P25" s="727"/>
      <c r="Q25" s="234"/>
      <c r="R25" s="96"/>
      <c r="S25" s="96"/>
      <c r="T25" s="730"/>
      <c r="U25" s="286"/>
      <c r="V25" s="99">
        <f>VLOOKUP(A25,'Distribution Summary'!$A$136:$BJ$146,58,0)</f>
        <v>2429.60312430251</v>
      </c>
      <c r="W25" s="416">
        <f t="shared" si="0"/>
        <v>0</v>
      </c>
      <c r="X25" s="97">
        <f t="shared" si="0"/>
        <v>0</v>
      </c>
      <c r="Y25" s="97">
        <f t="shared" si="0"/>
        <v>0</v>
      </c>
      <c r="Z25" s="97">
        <f t="shared" si="0"/>
        <v>0</v>
      </c>
      <c r="AA25" s="98">
        <f t="shared" si="0"/>
        <v>0</v>
      </c>
      <c r="AB25" s="757"/>
      <c r="AC25" s="894"/>
      <c r="AF25" s="395"/>
      <c r="AG25" s="395"/>
      <c r="AH25" s="395"/>
      <c r="AI25" s="395"/>
      <c r="AJ25" s="395"/>
      <c r="AK25" s="395"/>
    </row>
    <row r="26" spans="1:37" x14ac:dyDescent="0.25">
      <c r="A26" s="81" t="s">
        <v>224</v>
      </c>
      <c r="B26" s="82" t="s">
        <v>637</v>
      </c>
      <c r="C26" s="708" t="s">
        <v>643</v>
      </c>
      <c r="D26" s="708" t="s">
        <v>414</v>
      </c>
      <c r="E26" s="718"/>
      <c r="F26" s="173"/>
      <c r="G26" s="173"/>
      <c r="H26" s="173"/>
      <c r="I26" s="719"/>
      <c r="J26" s="712"/>
      <c r="K26" s="175"/>
      <c r="L26" s="175"/>
      <c r="M26" s="175"/>
      <c r="N26" s="614"/>
      <c r="O26" s="421"/>
      <c r="P26" s="727"/>
      <c r="Q26" s="234"/>
      <c r="R26" s="96"/>
      <c r="S26" s="96"/>
      <c r="T26" s="730"/>
      <c r="U26" s="286"/>
      <c r="V26" s="99">
        <f>VLOOKUP(A26,'Distribution Summary'!$A$136:$BJ$146,58,0)</f>
        <v>0</v>
      </c>
      <c r="W26" s="416">
        <f t="shared" si="0"/>
        <v>0</v>
      </c>
      <c r="X26" s="97">
        <f t="shared" si="0"/>
        <v>0</v>
      </c>
      <c r="Y26" s="97">
        <f t="shared" si="0"/>
        <v>0</v>
      </c>
      <c r="Z26" s="97">
        <f t="shared" si="0"/>
        <v>0</v>
      </c>
      <c r="AA26" s="98">
        <f t="shared" si="0"/>
        <v>0</v>
      </c>
      <c r="AB26" s="757" t="s">
        <v>641</v>
      </c>
      <c r="AC26" s="894"/>
      <c r="AF26" s="395"/>
      <c r="AG26" s="395"/>
      <c r="AH26" s="395"/>
      <c r="AI26" s="395"/>
      <c r="AJ26" s="395"/>
      <c r="AK26" s="395"/>
    </row>
    <row r="27" spans="1:37" x14ac:dyDescent="0.25">
      <c r="A27" s="81" t="s">
        <v>242</v>
      </c>
      <c r="B27" s="82" t="s">
        <v>637</v>
      </c>
      <c r="C27" s="708" t="s">
        <v>643</v>
      </c>
      <c r="D27" s="708" t="s">
        <v>415</v>
      </c>
      <c r="E27" s="718"/>
      <c r="F27" s="173"/>
      <c r="G27" s="173"/>
      <c r="H27" s="173"/>
      <c r="I27" s="719"/>
      <c r="J27" s="712"/>
      <c r="K27" s="175"/>
      <c r="L27" s="175"/>
      <c r="M27" s="175"/>
      <c r="N27" s="614"/>
      <c r="O27" s="421"/>
      <c r="P27" s="727"/>
      <c r="Q27" s="234"/>
      <c r="R27" s="96"/>
      <c r="S27" s="96"/>
      <c r="T27" s="730"/>
      <c r="U27" s="286"/>
      <c r="V27" s="99">
        <f>VLOOKUP(A27,'Distribution Summary'!$A$136:$BJ$146,58,0)</f>
        <v>0</v>
      </c>
      <c r="W27" s="416">
        <f t="shared" si="0"/>
        <v>0</v>
      </c>
      <c r="X27" s="97">
        <f t="shared" si="0"/>
        <v>0</v>
      </c>
      <c r="Y27" s="97">
        <f t="shared" si="0"/>
        <v>0</v>
      </c>
      <c r="Z27" s="97">
        <f t="shared" si="0"/>
        <v>0</v>
      </c>
      <c r="AA27" s="98">
        <f t="shared" si="0"/>
        <v>0</v>
      </c>
      <c r="AB27" s="757" t="s">
        <v>641</v>
      </c>
      <c r="AC27" s="894"/>
      <c r="AF27" s="395"/>
      <c r="AG27" s="395"/>
      <c r="AH27" s="395"/>
      <c r="AI27" s="395"/>
      <c r="AJ27" s="395"/>
      <c r="AK27" s="395"/>
    </row>
    <row r="28" spans="1:37" ht="15.75" thickBot="1" x14ac:dyDescent="0.3">
      <c r="A28" s="100" t="s">
        <v>258</v>
      </c>
      <c r="B28" s="101" t="s">
        <v>637</v>
      </c>
      <c r="C28" s="709" t="s">
        <v>643</v>
      </c>
      <c r="D28" s="709" t="s">
        <v>64</v>
      </c>
      <c r="E28" s="720"/>
      <c r="F28" s="178"/>
      <c r="G28" s="178"/>
      <c r="H28" s="178"/>
      <c r="I28" s="721"/>
      <c r="J28" s="713"/>
      <c r="K28" s="180"/>
      <c r="L28" s="180"/>
      <c r="M28" s="180"/>
      <c r="N28" s="615"/>
      <c r="O28" s="422"/>
      <c r="P28" s="728"/>
      <c r="Q28" s="235"/>
      <c r="R28" s="115"/>
      <c r="S28" s="115"/>
      <c r="T28" s="731"/>
      <c r="U28" s="287"/>
      <c r="V28" s="116">
        <f>VLOOKUP(A28,'Distribution Summary'!$A$136:$BJ$146,58,0)</f>
        <v>26.085065208566085</v>
      </c>
      <c r="W28" s="467">
        <f t="shared" si="0"/>
        <v>0</v>
      </c>
      <c r="X28" s="117">
        <f t="shared" si="0"/>
        <v>0</v>
      </c>
      <c r="Y28" s="117">
        <f t="shared" si="0"/>
        <v>0</v>
      </c>
      <c r="Z28" s="117">
        <f t="shared" si="0"/>
        <v>0</v>
      </c>
      <c r="AA28" s="118">
        <f t="shared" si="0"/>
        <v>0</v>
      </c>
      <c r="AB28" s="758" t="s">
        <v>641</v>
      </c>
      <c r="AC28" s="894"/>
      <c r="AE28" s="1"/>
      <c r="AF28" s="395"/>
      <c r="AG28" s="395"/>
      <c r="AH28" s="395"/>
      <c r="AI28" s="395"/>
      <c r="AJ28" s="395"/>
      <c r="AK28" s="395"/>
    </row>
    <row r="29" spans="1:37" x14ac:dyDescent="0.25">
      <c r="A29" s="63" t="s">
        <v>296</v>
      </c>
      <c r="B29" s="64" t="s">
        <v>637</v>
      </c>
      <c r="C29" s="707" t="s">
        <v>644</v>
      </c>
      <c r="D29" s="707" t="s">
        <v>409</v>
      </c>
      <c r="E29" s="716"/>
      <c r="F29" s="168"/>
      <c r="G29" s="168"/>
      <c r="H29" s="168"/>
      <c r="I29" s="717"/>
      <c r="J29" s="711"/>
      <c r="K29" s="170"/>
      <c r="L29" s="170"/>
      <c r="M29" s="170"/>
      <c r="N29" s="613"/>
      <c r="O29" s="420"/>
      <c r="P29" s="726"/>
      <c r="Q29" s="241"/>
      <c r="R29" s="144"/>
      <c r="S29" s="144"/>
      <c r="T29" s="729"/>
      <c r="U29" s="293"/>
      <c r="V29" s="124">
        <f>VLOOKUP(A29,'Distribution Summary'!$A$136:$BJ$146,58,0)</f>
        <v>4658</v>
      </c>
      <c r="W29" s="415">
        <f t="shared" si="0"/>
        <v>0</v>
      </c>
      <c r="X29" s="79">
        <f t="shared" si="0"/>
        <v>0</v>
      </c>
      <c r="Y29" s="79">
        <f t="shared" si="0"/>
        <v>0</v>
      </c>
      <c r="Z29" s="79">
        <f t="shared" si="0"/>
        <v>0</v>
      </c>
      <c r="AA29" s="80">
        <f t="shared" si="0"/>
        <v>0</v>
      </c>
      <c r="AB29" s="756"/>
      <c r="AC29" s="894"/>
      <c r="AK29" s="749"/>
    </row>
    <row r="30" spans="1:37" x14ac:dyDescent="0.25">
      <c r="A30" s="81" t="s">
        <v>27</v>
      </c>
      <c r="B30" s="82" t="s">
        <v>637</v>
      </c>
      <c r="C30" s="708" t="s">
        <v>644</v>
      </c>
      <c r="D30" s="708" t="s">
        <v>410</v>
      </c>
      <c r="E30" s="718"/>
      <c r="F30" s="173"/>
      <c r="G30" s="173"/>
      <c r="H30" s="173"/>
      <c r="I30" s="719"/>
      <c r="J30" s="712"/>
      <c r="K30" s="175"/>
      <c r="L30" s="175"/>
      <c r="M30" s="175"/>
      <c r="N30" s="614"/>
      <c r="O30" s="421"/>
      <c r="P30" s="727"/>
      <c r="Q30" s="234"/>
      <c r="R30" s="96"/>
      <c r="S30" s="96"/>
      <c r="T30" s="730"/>
      <c r="U30" s="286"/>
      <c r="V30" s="99">
        <f>VLOOKUP(A30,'Distribution Summary'!$A$136:$BJ$146,58,0)</f>
        <v>14610.376550596677</v>
      </c>
      <c r="W30" s="416">
        <f t="shared" si="0"/>
        <v>0</v>
      </c>
      <c r="X30" s="97">
        <f t="shared" si="0"/>
        <v>0</v>
      </c>
      <c r="Y30" s="97">
        <f t="shared" si="0"/>
        <v>0</v>
      </c>
      <c r="Z30" s="97">
        <f t="shared" si="0"/>
        <v>0</v>
      </c>
      <c r="AA30" s="98">
        <f t="shared" si="0"/>
        <v>0</v>
      </c>
      <c r="AB30" s="757"/>
      <c r="AC30" s="894"/>
      <c r="AK30" s="749"/>
    </row>
    <row r="31" spans="1:37" x14ac:dyDescent="0.25">
      <c r="A31" s="81" t="s">
        <v>68</v>
      </c>
      <c r="B31" s="82" t="s">
        <v>637</v>
      </c>
      <c r="C31" s="708" t="s">
        <v>644</v>
      </c>
      <c r="D31" s="708" t="s">
        <v>411</v>
      </c>
      <c r="E31" s="718"/>
      <c r="F31" s="173"/>
      <c r="G31" s="173"/>
      <c r="H31" s="173"/>
      <c r="I31" s="719"/>
      <c r="J31" s="712"/>
      <c r="K31" s="175"/>
      <c r="L31" s="175"/>
      <c r="M31" s="175"/>
      <c r="N31" s="614"/>
      <c r="O31" s="421">
        <f>Planned!CF138</f>
        <v>314.66666666666669</v>
      </c>
      <c r="P31" s="727">
        <f>Planned!CG138</f>
        <v>314.66666666666669</v>
      </c>
      <c r="Q31" s="234">
        <f>Planned!CH138</f>
        <v>7000</v>
      </c>
      <c r="R31" s="96">
        <f>Planned!CI138</f>
        <v>7000</v>
      </c>
      <c r="S31" s="96">
        <f>Planned!CJ138</f>
        <v>7000</v>
      </c>
      <c r="T31" s="730">
        <f>Planned!CK138</f>
        <v>7000</v>
      </c>
      <c r="U31" s="286">
        <f>Planned!CL138</f>
        <v>7000</v>
      </c>
      <c r="V31" s="99">
        <f>VLOOKUP(A31,'Distribution Summary'!$A$136:$BJ$146,58,0)</f>
        <v>30402.739680878618</v>
      </c>
      <c r="W31" s="416">
        <f t="shared" si="0"/>
        <v>212819177.76615033</v>
      </c>
      <c r="X31" s="97">
        <f t="shared" si="0"/>
        <v>212819177.76615033</v>
      </c>
      <c r="Y31" s="97">
        <f t="shared" si="0"/>
        <v>212819177.76615033</v>
      </c>
      <c r="Z31" s="97">
        <f t="shared" si="0"/>
        <v>212819177.76615033</v>
      </c>
      <c r="AA31" s="98">
        <f t="shared" si="0"/>
        <v>212819177.76615033</v>
      </c>
      <c r="AB31" s="757"/>
      <c r="AC31" s="894"/>
      <c r="AK31" s="749"/>
    </row>
    <row r="32" spans="1:37" x14ac:dyDescent="0.25">
      <c r="A32" s="81" t="s">
        <v>81</v>
      </c>
      <c r="B32" s="82" t="s">
        <v>637</v>
      </c>
      <c r="C32" s="708" t="s">
        <v>644</v>
      </c>
      <c r="D32" s="708" t="s">
        <v>270</v>
      </c>
      <c r="E32" s="718"/>
      <c r="F32" s="173"/>
      <c r="G32" s="173"/>
      <c r="H32" s="173"/>
      <c r="I32" s="719"/>
      <c r="J32" s="725"/>
      <c r="K32" s="631"/>
      <c r="L32" s="631"/>
      <c r="M32" s="631"/>
      <c r="N32" s="671"/>
      <c r="O32" s="421"/>
      <c r="P32" s="727"/>
      <c r="Q32" s="234"/>
      <c r="R32" s="96"/>
      <c r="S32" s="96"/>
      <c r="T32" s="730"/>
      <c r="U32" s="286"/>
      <c r="V32" s="99">
        <f>VLOOKUP(A32,'Distribution Summary'!$A$136:$BJ$146,58,0)</f>
        <v>730.02877600199986</v>
      </c>
      <c r="W32" s="416">
        <f t="shared" si="0"/>
        <v>0</v>
      </c>
      <c r="X32" s="97">
        <f t="shared" si="0"/>
        <v>0</v>
      </c>
      <c r="Y32" s="97">
        <f t="shared" si="0"/>
        <v>0</v>
      </c>
      <c r="Z32" s="97">
        <f t="shared" si="0"/>
        <v>0</v>
      </c>
      <c r="AA32" s="98">
        <f t="shared" si="0"/>
        <v>0</v>
      </c>
      <c r="AB32" s="757"/>
      <c r="AC32" s="894"/>
      <c r="AK32" s="749"/>
    </row>
    <row r="33" spans="1:37" x14ac:dyDescent="0.25">
      <c r="A33" s="81" t="s">
        <v>94</v>
      </c>
      <c r="B33" s="82" t="s">
        <v>637</v>
      </c>
      <c r="C33" s="708" t="s">
        <v>644</v>
      </c>
      <c r="D33" s="708" t="s">
        <v>412</v>
      </c>
      <c r="E33" s="718"/>
      <c r="F33" s="173"/>
      <c r="G33" s="173"/>
      <c r="H33" s="173"/>
      <c r="I33" s="719"/>
      <c r="J33" s="712"/>
      <c r="K33" s="175"/>
      <c r="L33" s="175"/>
      <c r="M33" s="175"/>
      <c r="N33" s="614"/>
      <c r="O33" s="421"/>
      <c r="P33" s="727"/>
      <c r="Q33" s="234"/>
      <c r="R33" s="96"/>
      <c r="S33" s="96"/>
      <c r="T33" s="730"/>
      <c r="U33" s="286"/>
      <c r="V33" s="99">
        <f>VLOOKUP(A33,'Distribution Summary'!$A$136:$BJ$146,58,0)</f>
        <v>20.980691549933333</v>
      </c>
      <c r="W33" s="416">
        <f t="shared" si="0"/>
        <v>0</v>
      </c>
      <c r="X33" s="97">
        <f t="shared" si="0"/>
        <v>0</v>
      </c>
      <c r="Y33" s="97">
        <f t="shared" si="0"/>
        <v>0</v>
      </c>
      <c r="Z33" s="97">
        <f t="shared" si="0"/>
        <v>0</v>
      </c>
      <c r="AA33" s="98">
        <f t="shared" si="0"/>
        <v>0</v>
      </c>
      <c r="AB33" s="757"/>
      <c r="AC33" s="894"/>
      <c r="AK33" s="749"/>
    </row>
    <row r="34" spans="1:37" x14ac:dyDescent="0.25">
      <c r="A34" s="81" t="s">
        <v>106</v>
      </c>
      <c r="B34" s="82" t="s">
        <v>637</v>
      </c>
      <c r="C34" s="708" t="s">
        <v>644</v>
      </c>
      <c r="D34" s="708" t="s">
        <v>272</v>
      </c>
      <c r="E34" s="718"/>
      <c r="F34" s="173"/>
      <c r="G34" s="173"/>
      <c r="H34" s="173"/>
      <c r="I34" s="719"/>
      <c r="J34" s="712"/>
      <c r="K34" s="175"/>
      <c r="L34" s="175"/>
      <c r="M34" s="175"/>
      <c r="N34" s="614"/>
      <c r="O34" s="421"/>
      <c r="P34" s="727"/>
      <c r="Q34" s="234"/>
      <c r="R34" s="96"/>
      <c r="S34" s="96"/>
      <c r="T34" s="730"/>
      <c r="U34" s="286"/>
      <c r="V34" s="99">
        <f>VLOOKUP(A34,'Distribution Summary'!$A$136:$BJ$146,58,0)</f>
        <v>18191.246298465947</v>
      </c>
      <c r="W34" s="416">
        <f t="shared" si="0"/>
        <v>0</v>
      </c>
      <c r="X34" s="97">
        <f t="shared" si="0"/>
        <v>0</v>
      </c>
      <c r="Y34" s="97">
        <f t="shared" si="0"/>
        <v>0</v>
      </c>
      <c r="Z34" s="97">
        <f t="shared" si="0"/>
        <v>0</v>
      </c>
      <c r="AA34" s="98">
        <f t="shared" si="0"/>
        <v>0</v>
      </c>
      <c r="AB34" s="757"/>
      <c r="AC34" s="894"/>
      <c r="AK34" s="749"/>
    </row>
    <row r="35" spans="1:37" x14ac:dyDescent="0.25">
      <c r="A35" s="81" t="s">
        <v>138</v>
      </c>
      <c r="B35" s="82" t="s">
        <v>637</v>
      </c>
      <c r="C35" s="708" t="s">
        <v>644</v>
      </c>
      <c r="D35" s="708" t="s">
        <v>413</v>
      </c>
      <c r="E35" s="718"/>
      <c r="F35" s="173"/>
      <c r="G35" s="173"/>
      <c r="H35" s="173"/>
      <c r="I35" s="719"/>
      <c r="J35" s="712"/>
      <c r="K35" s="175"/>
      <c r="L35" s="175"/>
      <c r="M35" s="175"/>
      <c r="N35" s="614"/>
      <c r="O35" s="421"/>
      <c r="P35" s="727"/>
      <c r="Q35" s="234"/>
      <c r="R35" s="96"/>
      <c r="S35" s="96"/>
      <c r="T35" s="730"/>
      <c r="U35" s="286"/>
      <c r="V35" s="99">
        <f>VLOOKUP(A35,'Distribution Summary'!$A$136:$BJ$146,58,0)</f>
        <v>944.55876292157745</v>
      </c>
      <c r="W35" s="416">
        <f t="shared" si="0"/>
        <v>0</v>
      </c>
      <c r="X35" s="97">
        <f t="shared" si="0"/>
        <v>0</v>
      </c>
      <c r="Y35" s="97">
        <f t="shared" si="0"/>
        <v>0</v>
      </c>
      <c r="Z35" s="97">
        <f t="shared" si="0"/>
        <v>0</v>
      </c>
      <c r="AA35" s="98">
        <f t="shared" si="0"/>
        <v>0</v>
      </c>
      <c r="AB35" s="757"/>
      <c r="AC35" s="894"/>
      <c r="AK35" s="749"/>
    </row>
    <row r="36" spans="1:37" x14ac:dyDescent="0.25">
      <c r="A36" s="81" t="s">
        <v>196</v>
      </c>
      <c r="B36" s="82" t="s">
        <v>637</v>
      </c>
      <c r="C36" s="708" t="s">
        <v>644</v>
      </c>
      <c r="D36" s="708" t="s">
        <v>274</v>
      </c>
      <c r="E36" s="718"/>
      <c r="F36" s="173"/>
      <c r="G36" s="173"/>
      <c r="H36" s="173"/>
      <c r="I36" s="719"/>
      <c r="J36" s="712"/>
      <c r="K36" s="175"/>
      <c r="L36" s="175"/>
      <c r="M36" s="175"/>
      <c r="N36" s="614"/>
      <c r="O36" s="421"/>
      <c r="P36" s="727"/>
      <c r="Q36" s="234"/>
      <c r="R36" s="96"/>
      <c r="S36" s="96"/>
      <c r="T36" s="730"/>
      <c r="U36" s="286"/>
      <c r="V36" s="99">
        <f>VLOOKUP(A36,'Distribution Summary'!$A$136:$BJ$146,58,0)</f>
        <v>2429.60312430251</v>
      </c>
      <c r="W36" s="416">
        <f t="shared" si="0"/>
        <v>0</v>
      </c>
      <c r="X36" s="97">
        <f t="shared" si="0"/>
        <v>0</v>
      </c>
      <c r="Y36" s="97">
        <f t="shared" si="0"/>
        <v>0</v>
      </c>
      <c r="Z36" s="97">
        <f t="shared" si="0"/>
        <v>0</v>
      </c>
      <c r="AA36" s="98">
        <f t="shared" si="0"/>
        <v>0</v>
      </c>
      <c r="AB36" s="757"/>
      <c r="AC36" s="894"/>
      <c r="AK36" s="749"/>
    </row>
    <row r="37" spans="1:37" x14ac:dyDescent="0.25">
      <c r="A37" s="81" t="s">
        <v>224</v>
      </c>
      <c r="B37" s="82" t="s">
        <v>637</v>
      </c>
      <c r="C37" s="708" t="s">
        <v>644</v>
      </c>
      <c r="D37" s="708" t="s">
        <v>414</v>
      </c>
      <c r="E37" s="718"/>
      <c r="F37" s="173"/>
      <c r="G37" s="173"/>
      <c r="H37" s="173"/>
      <c r="I37" s="719"/>
      <c r="J37" s="712"/>
      <c r="K37" s="175"/>
      <c r="L37" s="175"/>
      <c r="M37" s="175"/>
      <c r="N37" s="614"/>
      <c r="O37" s="421"/>
      <c r="P37" s="727"/>
      <c r="Q37" s="234"/>
      <c r="R37" s="96"/>
      <c r="S37" s="96"/>
      <c r="T37" s="730"/>
      <c r="U37" s="286"/>
      <c r="V37" s="99">
        <f>VLOOKUP(A37,'Distribution Summary'!$A$136:$BJ$146,58,0)</f>
        <v>0</v>
      </c>
      <c r="W37" s="416">
        <f t="shared" si="0"/>
        <v>0</v>
      </c>
      <c r="X37" s="97">
        <f t="shared" si="0"/>
        <v>0</v>
      </c>
      <c r="Y37" s="97">
        <f t="shared" si="0"/>
        <v>0</v>
      </c>
      <c r="Z37" s="97">
        <f t="shared" si="0"/>
        <v>0</v>
      </c>
      <c r="AA37" s="98">
        <f t="shared" si="0"/>
        <v>0</v>
      </c>
      <c r="AB37" s="757"/>
      <c r="AC37" s="894"/>
      <c r="AK37" s="749"/>
    </row>
    <row r="38" spans="1:37" x14ac:dyDescent="0.25">
      <c r="A38" s="81" t="s">
        <v>242</v>
      </c>
      <c r="B38" s="82" t="s">
        <v>637</v>
      </c>
      <c r="C38" s="708" t="s">
        <v>644</v>
      </c>
      <c r="D38" s="708" t="s">
        <v>415</v>
      </c>
      <c r="E38" s="718"/>
      <c r="F38" s="173"/>
      <c r="G38" s="173"/>
      <c r="H38" s="173"/>
      <c r="I38" s="719"/>
      <c r="J38" s="712"/>
      <c r="K38" s="175"/>
      <c r="L38" s="175"/>
      <c r="M38" s="175"/>
      <c r="N38" s="614"/>
      <c r="O38" s="421"/>
      <c r="P38" s="727"/>
      <c r="Q38" s="234"/>
      <c r="R38" s="96"/>
      <c r="S38" s="96"/>
      <c r="T38" s="730"/>
      <c r="U38" s="286"/>
      <c r="V38" s="99">
        <f>VLOOKUP(A38,'Distribution Summary'!$A$136:$BJ$146,58,0)</f>
        <v>0</v>
      </c>
      <c r="W38" s="416">
        <f t="shared" si="0"/>
        <v>0</v>
      </c>
      <c r="X38" s="97">
        <f t="shared" si="0"/>
        <v>0</v>
      </c>
      <c r="Y38" s="97">
        <f t="shared" si="0"/>
        <v>0</v>
      </c>
      <c r="Z38" s="97">
        <f t="shared" si="0"/>
        <v>0</v>
      </c>
      <c r="AA38" s="98">
        <f t="shared" si="0"/>
        <v>0</v>
      </c>
      <c r="AB38" s="757"/>
      <c r="AC38" s="894"/>
      <c r="AK38" s="749"/>
    </row>
    <row r="39" spans="1:37" ht="15.75" thickBot="1" x14ac:dyDescent="0.3">
      <c r="A39" s="100" t="s">
        <v>258</v>
      </c>
      <c r="B39" s="101" t="s">
        <v>637</v>
      </c>
      <c r="C39" s="709" t="s">
        <v>644</v>
      </c>
      <c r="D39" s="709" t="s">
        <v>64</v>
      </c>
      <c r="E39" s="720"/>
      <c r="F39" s="178"/>
      <c r="G39" s="178"/>
      <c r="H39" s="178"/>
      <c r="I39" s="721"/>
      <c r="J39" s="713"/>
      <c r="K39" s="180"/>
      <c r="L39" s="180"/>
      <c r="M39" s="180"/>
      <c r="N39" s="615"/>
      <c r="O39" s="422"/>
      <c r="P39" s="728"/>
      <c r="Q39" s="235"/>
      <c r="R39" s="115"/>
      <c r="S39" s="115"/>
      <c r="T39" s="731"/>
      <c r="U39" s="287"/>
      <c r="V39" s="116">
        <f>VLOOKUP(A39,'Distribution Summary'!$A$136:$BJ$146,58,0)</f>
        <v>26.085065208566085</v>
      </c>
      <c r="W39" s="467">
        <f t="shared" ref="W39:AA70" si="1">Q39*$V39</f>
        <v>0</v>
      </c>
      <c r="X39" s="117">
        <f t="shared" si="1"/>
        <v>0</v>
      </c>
      <c r="Y39" s="117">
        <f t="shared" si="1"/>
        <v>0</v>
      </c>
      <c r="Z39" s="117">
        <f t="shared" si="1"/>
        <v>0</v>
      </c>
      <c r="AA39" s="118">
        <f t="shared" si="1"/>
        <v>0</v>
      </c>
      <c r="AB39" s="758"/>
      <c r="AC39" s="894"/>
    </row>
    <row r="40" spans="1:37" x14ac:dyDescent="0.25">
      <c r="A40" s="63" t="s">
        <v>296</v>
      </c>
      <c r="B40" s="64" t="s">
        <v>636</v>
      </c>
      <c r="C40" s="707" t="s">
        <v>643</v>
      </c>
      <c r="D40" s="707" t="s">
        <v>409</v>
      </c>
      <c r="E40" s="716"/>
      <c r="F40" s="168"/>
      <c r="G40" s="168"/>
      <c r="H40" s="168"/>
      <c r="I40" s="717"/>
      <c r="J40" s="711"/>
      <c r="K40" s="170"/>
      <c r="L40" s="170"/>
      <c r="M40" s="170"/>
      <c r="N40" s="613"/>
      <c r="O40" s="420"/>
      <c r="P40" s="726"/>
      <c r="Q40" s="241"/>
      <c r="R40" s="144"/>
      <c r="S40" s="144"/>
      <c r="T40" s="729"/>
      <c r="U40" s="293"/>
      <c r="V40" s="124">
        <f>VLOOKUP(A40,'Distribution Summary'!$A$136:$BJ$146,58,0)</f>
        <v>4658</v>
      </c>
      <c r="W40" s="415">
        <f t="shared" si="1"/>
        <v>0</v>
      </c>
      <c r="X40" s="79">
        <f t="shared" si="1"/>
        <v>0</v>
      </c>
      <c r="Y40" s="79">
        <f t="shared" si="1"/>
        <v>0</v>
      </c>
      <c r="Z40" s="79">
        <f t="shared" si="1"/>
        <v>0</v>
      </c>
      <c r="AA40" s="80">
        <f t="shared" si="1"/>
        <v>0</v>
      </c>
      <c r="AB40" s="756"/>
      <c r="AC40" s="894"/>
      <c r="AD40" s="1"/>
      <c r="AK40" s="749"/>
    </row>
    <row r="41" spans="1:37" x14ac:dyDescent="0.25">
      <c r="A41" s="81" t="s">
        <v>27</v>
      </c>
      <c r="B41" s="82" t="s">
        <v>636</v>
      </c>
      <c r="C41" s="708" t="s">
        <v>643</v>
      </c>
      <c r="D41" s="708" t="s">
        <v>410</v>
      </c>
      <c r="E41" s="718"/>
      <c r="F41" s="173"/>
      <c r="G41" s="173"/>
      <c r="H41" s="173"/>
      <c r="I41" s="719"/>
      <c r="J41" s="712"/>
      <c r="K41" s="175"/>
      <c r="L41" s="175"/>
      <c r="M41" s="175"/>
      <c r="N41" s="614"/>
      <c r="O41" s="421">
        <f>'Defect (Total)'!BC168</f>
        <v>308.74748264582712</v>
      </c>
      <c r="P41" s="727">
        <f>'Defect (Total)'!BD168</f>
        <v>308.74748264582712</v>
      </c>
      <c r="Q41" s="234">
        <f>'Defect (Total)'!BE168</f>
        <v>330.36347119305276</v>
      </c>
      <c r="R41" s="96">
        <f>'Defect (Total)'!BF168</f>
        <v>330.36347119305276</v>
      </c>
      <c r="S41" s="96">
        <f>'Defect (Total)'!BG168</f>
        <v>330.36347119305276</v>
      </c>
      <c r="T41" s="730">
        <f>'Defect (Total)'!BH168</f>
        <v>330.36347119305276</v>
      </c>
      <c r="U41" s="286">
        <f>'Defect (Total)'!BI168</f>
        <v>330.36347119305276</v>
      </c>
      <c r="V41" s="99">
        <f>VLOOKUP(A41,'Distribution Summary'!$A$136:$BJ$146,58,0)</f>
        <v>14610.376550596677</v>
      </c>
      <c r="W41" s="416">
        <f t="shared" si="1"/>
        <v>4826734.7126926985</v>
      </c>
      <c r="X41" s="97">
        <f t="shared" si="1"/>
        <v>4826734.7126926985</v>
      </c>
      <c r="Y41" s="97">
        <f t="shared" si="1"/>
        <v>4826734.7126926985</v>
      </c>
      <c r="Z41" s="97">
        <f t="shared" si="1"/>
        <v>4826734.7126926985</v>
      </c>
      <c r="AA41" s="98">
        <f t="shared" si="1"/>
        <v>4826734.7126926985</v>
      </c>
      <c r="AB41" s="757"/>
      <c r="AC41" s="894"/>
      <c r="AK41" s="749"/>
    </row>
    <row r="42" spans="1:37" x14ac:dyDescent="0.25">
      <c r="A42" s="81" t="s">
        <v>68</v>
      </c>
      <c r="B42" s="82" t="s">
        <v>636</v>
      </c>
      <c r="C42" s="708" t="s">
        <v>643</v>
      </c>
      <c r="D42" s="708" t="s">
        <v>411</v>
      </c>
      <c r="E42" s="718"/>
      <c r="F42" s="173"/>
      <c r="G42" s="173"/>
      <c r="H42" s="173"/>
      <c r="I42" s="719"/>
      <c r="J42" s="712"/>
      <c r="K42" s="175"/>
      <c r="L42" s="175"/>
      <c r="M42" s="175"/>
      <c r="N42" s="614"/>
      <c r="O42" s="421">
        <f>'Defect (Total)'!BC169</f>
        <v>626.16628432740117</v>
      </c>
      <c r="P42" s="727">
        <f>'Defect (Total)'!BD169</f>
        <v>626.16628432740117</v>
      </c>
      <c r="Q42" s="234">
        <f>'Defect (Total)'!BE169</f>
        <v>670.0053566809288</v>
      </c>
      <c r="R42" s="96">
        <f>'Defect (Total)'!BF169</f>
        <v>670.0053566809288</v>
      </c>
      <c r="S42" s="96">
        <f>'Defect (Total)'!BG169</f>
        <v>670.0053566809288</v>
      </c>
      <c r="T42" s="730">
        <f>'Defect (Total)'!BH169</f>
        <v>670.0053566809288</v>
      </c>
      <c r="U42" s="286">
        <f>'Defect (Total)'!BI169</f>
        <v>670.0053566809288</v>
      </c>
      <c r="V42" s="99">
        <f>VLOOKUP(A42,'Distribution Summary'!$A$136:$BJ$146,58,0)</f>
        <v>30402.739680878618</v>
      </c>
      <c r="W42" s="416">
        <f t="shared" si="1"/>
        <v>20369998.443964507</v>
      </c>
      <c r="X42" s="97">
        <f t="shared" si="1"/>
        <v>20369998.443964507</v>
      </c>
      <c r="Y42" s="97">
        <f t="shared" si="1"/>
        <v>20369998.443964507</v>
      </c>
      <c r="Z42" s="97">
        <f t="shared" si="1"/>
        <v>20369998.443964507</v>
      </c>
      <c r="AA42" s="98">
        <f t="shared" si="1"/>
        <v>20369998.443964507</v>
      </c>
      <c r="AB42" s="757"/>
      <c r="AC42" s="894"/>
      <c r="AE42" s="1"/>
      <c r="AF42" s="1"/>
      <c r="AG42" s="1"/>
      <c r="AH42" s="1"/>
      <c r="AI42" s="1"/>
      <c r="AJ42" s="1"/>
      <c r="AK42" s="750"/>
    </row>
    <row r="43" spans="1:37" x14ac:dyDescent="0.25">
      <c r="A43" s="81" t="s">
        <v>81</v>
      </c>
      <c r="B43" s="82" t="s">
        <v>636</v>
      </c>
      <c r="C43" s="708" t="s">
        <v>643</v>
      </c>
      <c r="D43" s="708" t="s">
        <v>270</v>
      </c>
      <c r="E43" s="718">
        <v>13846643.9976683</v>
      </c>
      <c r="F43" s="173">
        <v>14034096.728620561</v>
      </c>
      <c r="G43" s="173">
        <v>16417968.3274235</v>
      </c>
      <c r="H43" s="173">
        <v>31802464.788866416</v>
      </c>
      <c r="I43" s="719">
        <v>18421962.029777169</v>
      </c>
      <c r="J43" s="725">
        <v>271.08421142399999</v>
      </c>
      <c r="K43" s="631">
        <v>206.77800007299984</v>
      </c>
      <c r="L43" s="631">
        <v>247.71416666666539</v>
      </c>
      <c r="M43" s="631">
        <v>107.82883256300045</v>
      </c>
      <c r="N43" s="671">
        <v>137.72733175266598</v>
      </c>
      <c r="O43" s="421">
        <f>'Defect (Total)'!BC184</f>
        <v>87.401216556733189</v>
      </c>
      <c r="P43" s="727">
        <f>'Defect (Total)'!BD184</f>
        <v>87.401216556733189</v>
      </c>
      <c r="Q43" s="234">
        <f>'Defect (Total)'!BE184</f>
        <v>93.52033914815901</v>
      </c>
      <c r="R43" s="96">
        <f>'Defect (Total)'!BF184</f>
        <v>93.52033914815901</v>
      </c>
      <c r="S43" s="96">
        <f>'Defect (Total)'!BG184</f>
        <v>93.52033914815901</v>
      </c>
      <c r="T43" s="96">
        <f>'Defect (Total)'!BH184</f>
        <v>93.52033914815901</v>
      </c>
      <c r="U43" s="727">
        <f>'Defect (Total)'!BI184</f>
        <v>93.52033914815901</v>
      </c>
      <c r="V43" s="99">
        <f>VLOOKUP(A43,'Distribution Summary'!$A$136:$BJ$146,58,0)</f>
        <v>730.02877600199986</v>
      </c>
      <c r="W43" s="416">
        <f t="shared" si="1"/>
        <v>68272.538719622433</v>
      </c>
      <c r="X43" s="97">
        <f t="shared" si="1"/>
        <v>68272.538719622433</v>
      </c>
      <c r="Y43" s="97">
        <f t="shared" si="1"/>
        <v>68272.538719622433</v>
      </c>
      <c r="Z43" s="97">
        <f t="shared" si="1"/>
        <v>68272.538719622433</v>
      </c>
      <c r="AA43" s="98">
        <f t="shared" si="1"/>
        <v>68272.538719622433</v>
      </c>
      <c r="AB43" s="757"/>
      <c r="AC43" s="894"/>
      <c r="AE43" s="752"/>
      <c r="AK43" s="749"/>
    </row>
    <row r="44" spans="1:37" x14ac:dyDescent="0.25">
      <c r="A44" s="81" t="s">
        <v>94</v>
      </c>
      <c r="B44" s="82" t="s">
        <v>636</v>
      </c>
      <c r="C44" s="708" t="s">
        <v>643</v>
      </c>
      <c r="D44" s="708" t="s">
        <v>412</v>
      </c>
      <c r="E44" s="718"/>
      <c r="F44" s="173"/>
      <c r="G44" s="173"/>
      <c r="H44" s="173"/>
      <c r="I44" s="719"/>
      <c r="J44" s="712"/>
      <c r="K44" s="175"/>
      <c r="L44" s="175"/>
      <c r="M44" s="175"/>
      <c r="N44" s="614"/>
      <c r="O44" s="421">
        <f>'Defect (Total)'!BC171</f>
        <v>0</v>
      </c>
      <c r="P44" s="727">
        <f>'Defect (Total)'!BD171</f>
        <v>0</v>
      </c>
      <c r="Q44" s="234">
        <f>'Defect (Total)'!BE171</f>
        <v>0</v>
      </c>
      <c r="R44" s="96">
        <f>'Defect (Total)'!BF171</f>
        <v>0</v>
      </c>
      <c r="S44" s="96">
        <f>'Defect (Total)'!BG171</f>
        <v>0</v>
      </c>
      <c r="T44" s="730">
        <f>'Defect (Total)'!BH171</f>
        <v>0</v>
      </c>
      <c r="U44" s="286">
        <f>'Defect (Total)'!BI171</f>
        <v>0</v>
      </c>
      <c r="V44" s="99">
        <f>VLOOKUP(A44,'Distribution Summary'!$A$136:$BJ$146,58,0)</f>
        <v>20.980691549933333</v>
      </c>
      <c r="W44" s="416">
        <f t="shared" si="1"/>
        <v>0</v>
      </c>
      <c r="X44" s="97">
        <f t="shared" si="1"/>
        <v>0</v>
      </c>
      <c r="Y44" s="97">
        <f t="shared" si="1"/>
        <v>0</v>
      </c>
      <c r="Z44" s="97">
        <f t="shared" si="1"/>
        <v>0</v>
      </c>
      <c r="AA44" s="98">
        <f t="shared" si="1"/>
        <v>0</v>
      </c>
      <c r="AB44" s="757"/>
      <c r="AC44" s="894"/>
      <c r="AE44" s="752"/>
      <c r="AK44" s="749"/>
    </row>
    <row r="45" spans="1:37" x14ac:dyDescent="0.25">
      <c r="A45" s="81" t="s">
        <v>106</v>
      </c>
      <c r="B45" s="82" t="s">
        <v>636</v>
      </c>
      <c r="C45" s="708" t="s">
        <v>643</v>
      </c>
      <c r="D45" s="708" t="s">
        <v>272</v>
      </c>
      <c r="E45" s="718"/>
      <c r="F45" s="173"/>
      <c r="G45" s="173"/>
      <c r="H45" s="173"/>
      <c r="I45" s="719"/>
      <c r="J45" s="712"/>
      <c r="K45" s="175"/>
      <c r="L45" s="175"/>
      <c r="M45" s="175"/>
      <c r="N45" s="614"/>
      <c r="O45" s="421">
        <f>'Defect (Total)'!BC172</f>
        <v>334.10944958329259</v>
      </c>
      <c r="P45" s="727">
        <f>'Defect (Total)'!BD172</f>
        <v>334.10944958329259</v>
      </c>
      <c r="Q45" s="234">
        <f>'Defect (Total)'!BE172</f>
        <v>357.5010768568888</v>
      </c>
      <c r="R45" s="96">
        <f>'Defect (Total)'!BF172</f>
        <v>357.5010768568888</v>
      </c>
      <c r="S45" s="96">
        <f>'Defect (Total)'!BG172</f>
        <v>357.5010768568888</v>
      </c>
      <c r="T45" s="730">
        <f>'Defect (Total)'!BH172</f>
        <v>357.5010768568888</v>
      </c>
      <c r="U45" s="286">
        <f>'Defect (Total)'!BI172</f>
        <v>357.5010768568888</v>
      </c>
      <c r="V45" s="99">
        <f>VLOOKUP(A45,'Distribution Summary'!$A$136:$BJ$146,58,0)</f>
        <v>18191.246298465947</v>
      </c>
      <c r="W45" s="416">
        <f t="shared" si="1"/>
        <v>6503390.1410704684</v>
      </c>
      <c r="X45" s="97">
        <f t="shared" si="1"/>
        <v>6503390.1410704684</v>
      </c>
      <c r="Y45" s="97">
        <f t="shared" si="1"/>
        <v>6503390.1410704684</v>
      </c>
      <c r="Z45" s="97">
        <f t="shared" si="1"/>
        <v>6503390.1410704684</v>
      </c>
      <c r="AA45" s="98">
        <f t="shared" si="1"/>
        <v>6503390.1410704684</v>
      </c>
      <c r="AB45" s="757"/>
      <c r="AC45" s="894"/>
      <c r="AE45" s="752"/>
      <c r="AK45" s="749"/>
    </row>
    <row r="46" spans="1:37" x14ac:dyDescent="0.25">
      <c r="A46" s="81" t="s">
        <v>138</v>
      </c>
      <c r="B46" s="82" t="s">
        <v>636</v>
      </c>
      <c r="C46" s="708" t="s">
        <v>643</v>
      </c>
      <c r="D46" s="708" t="s">
        <v>413</v>
      </c>
      <c r="E46" s="718"/>
      <c r="F46" s="173"/>
      <c r="G46" s="173"/>
      <c r="H46" s="173"/>
      <c r="I46" s="719"/>
      <c r="J46" s="712"/>
      <c r="K46" s="175"/>
      <c r="L46" s="175"/>
      <c r="M46" s="175"/>
      <c r="N46" s="614"/>
      <c r="O46" s="421">
        <f>'Defect (Total)'!BC173</f>
        <v>18.265332994224533</v>
      </c>
      <c r="P46" s="727">
        <f>'Defect (Total)'!BD173</f>
        <v>18.265332994224533</v>
      </c>
      <c r="Q46" s="234">
        <f>'Defect (Total)'!BE173</f>
        <v>19.54412310914616</v>
      </c>
      <c r="R46" s="96">
        <f>'Defect (Total)'!BF173</f>
        <v>19.54412310914616</v>
      </c>
      <c r="S46" s="96">
        <f>'Defect (Total)'!BG173</f>
        <v>19.54412310914616</v>
      </c>
      <c r="T46" s="730">
        <f>'Defect (Total)'!BH173</f>
        <v>19.54412310914616</v>
      </c>
      <c r="U46" s="286">
        <f>'Defect (Total)'!BI173</f>
        <v>19.54412310914616</v>
      </c>
      <c r="V46" s="99">
        <f>VLOOKUP(A46,'Distribution Summary'!$A$136:$BJ$146,58,0)</f>
        <v>944.55876292157745</v>
      </c>
      <c r="W46" s="416">
        <f t="shared" si="1"/>
        <v>18460.572746362112</v>
      </c>
      <c r="X46" s="97">
        <f t="shared" si="1"/>
        <v>18460.572746362112</v>
      </c>
      <c r="Y46" s="97">
        <f t="shared" si="1"/>
        <v>18460.572746362112</v>
      </c>
      <c r="Z46" s="97">
        <f t="shared" si="1"/>
        <v>18460.572746362112</v>
      </c>
      <c r="AA46" s="98">
        <f t="shared" si="1"/>
        <v>18460.572746362112</v>
      </c>
      <c r="AB46" s="757"/>
      <c r="AC46" s="894"/>
      <c r="AE46" s="752"/>
      <c r="AK46" s="749"/>
    </row>
    <row r="47" spans="1:37" x14ac:dyDescent="0.25">
      <c r="A47" s="81" t="s">
        <v>196</v>
      </c>
      <c r="B47" s="82" t="s">
        <v>636</v>
      </c>
      <c r="C47" s="708" t="s">
        <v>643</v>
      </c>
      <c r="D47" s="708" t="s">
        <v>274</v>
      </c>
      <c r="E47" s="718"/>
      <c r="F47" s="173"/>
      <c r="G47" s="173"/>
      <c r="H47" s="173"/>
      <c r="I47" s="719"/>
      <c r="J47" s="712"/>
      <c r="K47" s="175"/>
      <c r="L47" s="175"/>
      <c r="M47" s="175"/>
      <c r="N47" s="614"/>
      <c r="O47" s="421">
        <f>'Defect (Total)'!BC174</f>
        <v>18.927413904526322</v>
      </c>
      <c r="P47" s="727">
        <f>'Defect (Total)'!BD174</f>
        <v>18.927413904526322</v>
      </c>
      <c r="Q47" s="234">
        <f>'Defect (Total)'!BE174</f>
        <v>20.25255754191808</v>
      </c>
      <c r="R47" s="96">
        <f>'Defect (Total)'!BF174</f>
        <v>20.25255754191808</v>
      </c>
      <c r="S47" s="96">
        <f>'Defect (Total)'!BG174</f>
        <v>20.25255754191808</v>
      </c>
      <c r="T47" s="730">
        <f>'Defect (Total)'!BH174</f>
        <v>20.25255754191808</v>
      </c>
      <c r="U47" s="286">
        <f>'Defect (Total)'!BI174</f>
        <v>20.25255754191808</v>
      </c>
      <c r="V47" s="99">
        <f>VLOOKUP(A47,'Distribution Summary'!$A$136:$BJ$146,58,0)</f>
        <v>2429.60312430251</v>
      </c>
      <c r="W47" s="416">
        <f t="shared" si="1"/>
        <v>49205.677078960529</v>
      </c>
      <c r="X47" s="97">
        <f t="shared" si="1"/>
        <v>49205.677078960529</v>
      </c>
      <c r="Y47" s="97">
        <f t="shared" si="1"/>
        <v>49205.677078960529</v>
      </c>
      <c r="Z47" s="97">
        <f t="shared" si="1"/>
        <v>49205.677078960529</v>
      </c>
      <c r="AA47" s="98">
        <f t="shared" si="1"/>
        <v>49205.677078960529</v>
      </c>
      <c r="AB47" s="757"/>
      <c r="AC47" s="894"/>
      <c r="AE47" s="752"/>
      <c r="AK47" s="749"/>
    </row>
    <row r="48" spans="1:37" x14ac:dyDescent="0.25">
      <c r="A48" s="81" t="s">
        <v>224</v>
      </c>
      <c r="B48" s="82" t="s">
        <v>636</v>
      </c>
      <c r="C48" s="708" t="s">
        <v>643</v>
      </c>
      <c r="D48" s="708" t="s">
        <v>414</v>
      </c>
      <c r="E48" s="718"/>
      <c r="F48" s="173"/>
      <c r="G48" s="173"/>
      <c r="H48" s="173"/>
      <c r="I48" s="719"/>
      <c r="J48" s="712"/>
      <c r="K48" s="175"/>
      <c r="L48" s="175"/>
      <c r="M48" s="175"/>
      <c r="N48" s="614"/>
      <c r="O48" s="421"/>
      <c r="P48" s="727"/>
      <c r="Q48" s="234"/>
      <c r="R48" s="96"/>
      <c r="S48" s="96"/>
      <c r="T48" s="730"/>
      <c r="U48" s="286"/>
      <c r="V48" s="99">
        <f>VLOOKUP(A48,'Distribution Summary'!$A$136:$BJ$146,58,0)</f>
        <v>0</v>
      </c>
      <c r="W48" s="416">
        <f t="shared" si="1"/>
        <v>0</v>
      </c>
      <c r="X48" s="97">
        <f t="shared" si="1"/>
        <v>0</v>
      </c>
      <c r="Y48" s="97">
        <f t="shared" si="1"/>
        <v>0</v>
      </c>
      <c r="Z48" s="97">
        <f t="shared" si="1"/>
        <v>0</v>
      </c>
      <c r="AA48" s="98">
        <f t="shared" si="1"/>
        <v>0</v>
      </c>
      <c r="AB48" s="757"/>
      <c r="AC48" s="894"/>
      <c r="AE48" s="1"/>
      <c r="AF48" s="1"/>
      <c r="AG48" s="1"/>
      <c r="AH48" s="1"/>
      <c r="AI48" s="1"/>
      <c r="AJ48" s="1"/>
      <c r="AK48" s="750"/>
    </row>
    <row r="49" spans="1:37" x14ac:dyDescent="0.25">
      <c r="A49" s="81" t="s">
        <v>242</v>
      </c>
      <c r="B49" s="82" t="s">
        <v>636</v>
      </c>
      <c r="C49" s="708" t="s">
        <v>643</v>
      </c>
      <c r="D49" s="708" t="s">
        <v>415</v>
      </c>
      <c r="E49" s="718"/>
      <c r="F49" s="173"/>
      <c r="G49" s="173"/>
      <c r="H49" s="173"/>
      <c r="I49" s="719"/>
      <c r="J49" s="712"/>
      <c r="K49" s="175"/>
      <c r="L49" s="175"/>
      <c r="M49" s="175"/>
      <c r="N49" s="614"/>
      <c r="O49" s="421"/>
      <c r="P49" s="727"/>
      <c r="Q49" s="234"/>
      <c r="R49" s="96"/>
      <c r="S49" s="96"/>
      <c r="T49" s="730"/>
      <c r="U49" s="286"/>
      <c r="V49" s="99">
        <f>VLOOKUP(A49,'Distribution Summary'!$A$136:$BJ$146,58,0)</f>
        <v>0</v>
      </c>
      <c r="W49" s="416">
        <f t="shared" si="1"/>
        <v>0</v>
      </c>
      <c r="X49" s="97">
        <f t="shared" si="1"/>
        <v>0</v>
      </c>
      <c r="Y49" s="97">
        <f t="shared" si="1"/>
        <v>0</v>
      </c>
      <c r="Z49" s="97">
        <f t="shared" si="1"/>
        <v>0</v>
      </c>
      <c r="AA49" s="98">
        <f t="shared" si="1"/>
        <v>0</v>
      </c>
      <c r="AB49" s="757"/>
      <c r="AC49" s="894"/>
      <c r="AK49" s="749"/>
    </row>
    <row r="50" spans="1:37" ht="15.75" thickBot="1" x14ac:dyDescent="0.3">
      <c r="A50" s="100" t="s">
        <v>258</v>
      </c>
      <c r="B50" s="101" t="s">
        <v>636</v>
      </c>
      <c r="C50" s="709" t="s">
        <v>643</v>
      </c>
      <c r="D50" s="709" t="s">
        <v>64</v>
      </c>
      <c r="E50" s="720"/>
      <c r="F50" s="178"/>
      <c r="G50" s="178"/>
      <c r="H50" s="178"/>
      <c r="I50" s="721"/>
      <c r="J50" s="713"/>
      <c r="K50" s="180"/>
      <c r="L50" s="180"/>
      <c r="M50" s="180"/>
      <c r="N50" s="615"/>
      <c r="O50" s="422"/>
      <c r="P50" s="728"/>
      <c r="Q50" s="235"/>
      <c r="R50" s="115"/>
      <c r="S50" s="115"/>
      <c r="T50" s="731"/>
      <c r="U50" s="287"/>
      <c r="V50" s="116">
        <f>VLOOKUP(A50,'Distribution Summary'!$A$136:$BJ$146,58,0)</f>
        <v>26.085065208566085</v>
      </c>
      <c r="W50" s="467">
        <f t="shared" si="1"/>
        <v>0</v>
      </c>
      <c r="X50" s="117">
        <f t="shared" si="1"/>
        <v>0</v>
      </c>
      <c r="Y50" s="117">
        <f t="shared" si="1"/>
        <v>0</v>
      </c>
      <c r="Z50" s="117">
        <f t="shared" si="1"/>
        <v>0</v>
      </c>
      <c r="AA50" s="118">
        <f t="shared" si="1"/>
        <v>0</v>
      </c>
      <c r="AB50" s="758"/>
      <c r="AC50" s="894"/>
      <c r="AK50" s="749"/>
    </row>
    <row r="51" spans="1:37" x14ac:dyDescent="0.25">
      <c r="A51" s="63" t="s">
        <v>296</v>
      </c>
      <c r="B51" s="64" t="s">
        <v>636</v>
      </c>
      <c r="C51" s="707" t="s">
        <v>644</v>
      </c>
      <c r="D51" s="707" t="s">
        <v>409</v>
      </c>
      <c r="E51" s="716"/>
      <c r="F51" s="168"/>
      <c r="G51" s="168"/>
      <c r="H51" s="168"/>
      <c r="I51" s="717"/>
      <c r="J51" s="711"/>
      <c r="K51" s="170"/>
      <c r="L51" s="170"/>
      <c r="M51" s="170"/>
      <c r="N51" s="613"/>
      <c r="O51" s="420">
        <f>Reconductor!CF136</f>
        <v>0</v>
      </c>
      <c r="P51" s="726">
        <f>Reconductor!CG136</f>
        <v>0</v>
      </c>
      <c r="Q51" s="241">
        <f>Reconductor!CH136</f>
        <v>0</v>
      </c>
      <c r="R51" s="144">
        <f>Reconductor!CI136</f>
        <v>0</v>
      </c>
      <c r="S51" s="144">
        <f>Reconductor!CJ136</f>
        <v>0</v>
      </c>
      <c r="T51" s="729">
        <f>Reconductor!CK136</f>
        <v>0</v>
      </c>
      <c r="U51" s="293">
        <f>Reconductor!CL136</f>
        <v>0</v>
      </c>
      <c r="V51" s="124">
        <f>VLOOKUP(A51,'Distribution Summary'!$A$136:$BJ$146,58,0)</f>
        <v>4658</v>
      </c>
      <c r="W51" s="415">
        <f t="shared" si="1"/>
        <v>0</v>
      </c>
      <c r="X51" s="79">
        <f t="shared" si="1"/>
        <v>0</v>
      </c>
      <c r="Y51" s="79">
        <f t="shared" si="1"/>
        <v>0</v>
      </c>
      <c r="Z51" s="79">
        <f t="shared" si="1"/>
        <v>0</v>
      </c>
      <c r="AA51" s="80">
        <f t="shared" si="1"/>
        <v>0</v>
      </c>
      <c r="AB51" s="756"/>
      <c r="AC51" s="894"/>
      <c r="AK51" s="749"/>
    </row>
    <row r="52" spans="1:37" x14ac:dyDescent="0.25">
      <c r="A52" s="81" t="s">
        <v>27</v>
      </c>
      <c r="B52" s="82" t="s">
        <v>636</v>
      </c>
      <c r="C52" s="708" t="s">
        <v>644</v>
      </c>
      <c r="D52" s="708" t="s">
        <v>410</v>
      </c>
      <c r="E52" s="718">
        <v>2754565.1404657611</v>
      </c>
      <c r="F52" s="173">
        <v>4939061.8193981051</v>
      </c>
      <c r="G52" s="173">
        <v>8525710.1055341866</v>
      </c>
      <c r="H52" s="173">
        <v>19093147.770139851</v>
      </c>
      <c r="I52" s="719">
        <v>18847441.448918767</v>
      </c>
      <c r="J52" s="712">
        <v>423</v>
      </c>
      <c r="K52" s="175">
        <v>744</v>
      </c>
      <c r="L52" s="175">
        <v>1279</v>
      </c>
      <c r="M52" s="175">
        <v>2835</v>
      </c>
      <c r="N52" s="614">
        <v>2358</v>
      </c>
      <c r="O52" s="421">
        <f>Reconductor!CF137</f>
        <v>1677.0007727825152</v>
      </c>
      <c r="P52" s="727">
        <f>Reconductor!CG137</f>
        <v>1677.0007727825152</v>
      </c>
      <c r="Q52" s="234">
        <f>Reconductor!CH137</f>
        <v>2198.5614487010266</v>
      </c>
      <c r="R52" s="96">
        <f>Reconductor!CI137</f>
        <v>2307.3098839300096</v>
      </c>
      <c r="S52" s="96">
        <f>Reconductor!CJ137</f>
        <v>2379.8088407493301</v>
      </c>
      <c r="T52" s="730">
        <f>Reconductor!CK137</f>
        <v>2452.3077975686524</v>
      </c>
      <c r="U52" s="286">
        <f>Reconductor!CL137</f>
        <v>2488.5572759783131</v>
      </c>
      <c r="V52" s="99">
        <f>VLOOKUP(A52,'Distribution Summary'!$A$136:$BJ$146,58,0)</f>
        <v>14610.376550596677</v>
      </c>
      <c r="W52" s="416">
        <f t="shared" si="1"/>
        <v>32121810.635147337</v>
      </c>
      <c r="X52" s="97">
        <f t="shared" si="1"/>
        <v>33710666.223130949</v>
      </c>
      <c r="Y52" s="97">
        <f t="shared" si="1"/>
        <v>34769903.281786673</v>
      </c>
      <c r="Z52" s="97">
        <f t="shared" si="1"/>
        <v>35829140.340442419</v>
      </c>
      <c r="AA52" s="98">
        <f t="shared" si="1"/>
        <v>36358758.869770288</v>
      </c>
      <c r="AB52" s="757"/>
      <c r="AC52" s="894"/>
      <c r="AK52" s="749"/>
    </row>
    <row r="53" spans="1:37" x14ac:dyDescent="0.25">
      <c r="A53" s="81" t="s">
        <v>68</v>
      </c>
      <c r="B53" s="82" t="s">
        <v>636</v>
      </c>
      <c r="C53" s="708" t="s">
        <v>644</v>
      </c>
      <c r="D53" s="708" t="s">
        <v>411</v>
      </c>
      <c r="E53" s="718">
        <v>1312259.5821068084</v>
      </c>
      <c r="F53" s="173">
        <v>3855364.4728336898</v>
      </c>
      <c r="G53" s="173">
        <v>6213375.0125917224</v>
      </c>
      <c r="H53" s="173">
        <v>8500664.1868386604</v>
      </c>
      <c r="I53" s="719">
        <v>12087358.979426103</v>
      </c>
      <c r="J53" s="712">
        <v>1033</v>
      </c>
      <c r="K53" s="175">
        <v>1645</v>
      </c>
      <c r="L53" s="175">
        <v>3197</v>
      </c>
      <c r="M53" s="175">
        <v>5373</v>
      </c>
      <c r="N53" s="614">
        <v>4431</v>
      </c>
      <c r="O53" s="421">
        <f>Reconductor!CF138</f>
        <v>3368.7711753624044</v>
      </c>
      <c r="P53" s="727">
        <f>Reconductor!CG138</f>
        <v>3368.7711753624044</v>
      </c>
      <c r="Q53" s="234">
        <f>Reconductor!CH138</f>
        <v>4416.4860003958684</v>
      </c>
      <c r="R53" s="96">
        <f>Reconductor!CI138</f>
        <v>4634.9406367388829</v>
      </c>
      <c r="S53" s="96">
        <f>Reconductor!CJ138</f>
        <v>4780.5770609675601</v>
      </c>
      <c r="T53" s="730">
        <f>Reconductor!CK138</f>
        <v>4926.2134851962373</v>
      </c>
      <c r="U53" s="286">
        <f>Reconductor!CL138</f>
        <v>4999.0316973105764</v>
      </c>
      <c r="V53" s="99">
        <f>VLOOKUP(A53,'Distribution Summary'!$A$136:$BJ$146,58,0)</f>
        <v>30402.739680878618</v>
      </c>
      <c r="W53" s="416">
        <f t="shared" si="1"/>
        <v>134273274.17428038</v>
      </c>
      <c r="X53" s="97">
        <f t="shared" si="1"/>
        <v>140914893.61509803</v>
      </c>
      <c r="Y53" s="97">
        <f t="shared" si="1"/>
        <v>145342639.90897653</v>
      </c>
      <c r="Z53" s="97">
        <f t="shared" si="1"/>
        <v>149770386.20285499</v>
      </c>
      <c r="AA53" s="98">
        <f t="shared" si="1"/>
        <v>151984259.34979424</v>
      </c>
      <c r="AB53" s="757"/>
      <c r="AC53" s="894"/>
      <c r="AK53" s="749"/>
    </row>
    <row r="54" spans="1:37" x14ac:dyDescent="0.25">
      <c r="A54" s="81" t="s">
        <v>81</v>
      </c>
      <c r="B54" s="82" t="s">
        <v>636</v>
      </c>
      <c r="C54" s="708" t="s">
        <v>644</v>
      </c>
      <c r="D54" s="708" t="s">
        <v>270</v>
      </c>
      <c r="E54" s="718">
        <v>2877285.0023317002</v>
      </c>
      <c r="F54" s="173">
        <v>5544241.2713794392</v>
      </c>
      <c r="G54" s="173">
        <v>9725373.6725765001</v>
      </c>
      <c r="H54" s="173">
        <v>18019382.211133584</v>
      </c>
      <c r="I54" s="719">
        <v>35101298.313690238</v>
      </c>
      <c r="J54" s="725">
        <v>109.91578857600003</v>
      </c>
      <c r="K54" s="631">
        <v>148.91150000100001</v>
      </c>
      <c r="L54" s="631">
        <v>303.47983333333298</v>
      </c>
      <c r="M54" s="631">
        <v>550.8228257830001</v>
      </c>
      <c r="N54" s="671">
        <v>439.67782668599995</v>
      </c>
      <c r="O54" s="421">
        <f>Reconductor!CF139</f>
        <v>462.6275594452668</v>
      </c>
      <c r="P54" s="727">
        <f>Reconductor!CG139</f>
        <v>462.6275594452668</v>
      </c>
      <c r="Q54" s="234">
        <f>Reconductor!CH139</f>
        <v>606.50843685384075</v>
      </c>
      <c r="R54" s="96">
        <f>Reconductor!CI139</f>
        <v>636.50843685384098</v>
      </c>
      <c r="S54" s="96">
        <f>Reconductor!CJ139</f>
        <v>656.50843685384086</v>
      </c>
      <c r="T54" s="730">
        <f>Reconductor!CK139</f>
        <v>676.50843685384109</v>
      </c>
      <c r="U54" s="286">
        <f>Reconductor!CL139</f>
        <v>686.50843685384109</v>
      </c>
      <c r="V54" s="99">
        <f>VLOOKUP(A54,'Distribution Summary'!$A$136:$BJ$146,58,0)</f>
        <v>730.02877600199986</v>
      </c>
      <c r="W54" s="416">
        <f t="shared" si="1"/>
        <v>442768.61179129558</v>
      </c>
      <c r="X54" s="97">
        <f t="shared" si="1"/>
        <v>464669.47507135576</v>
      </c>
      <c r="Y54" s="97">
        <f t="shared" si="1"/>
        <v>479270.05059139564</v>
      </c>
      <c r="Z54" s="97">
        <f t="shared" si="1"/>
        <v>493870.62611143582</v>
      </c>
      <c r="AA54" s="98">
        <f t="shared" si="1"/>
        <v>501170.91387145582</v>
      </c>
      <c r="AB54" s="757"/>
      <c r="AC54" s="894"/>
      <c r="AK54" s="749"/>
    </row>
    <row r="55" spans="1:37" x14ac:dyDescent="0.25">
      <c r="A55" s="81" t="s">
        <v>94</v>
      </c>
      <c r="B55" s="82" t="s">
        <v>636</v>
      </c>
      <c r="C55" s="708" t="s">
        <v>644</v>
      </c>
      <c r="D55" s="708" t="s">
        <v>412</v>
      </c>
      <c r="E55" s="718"/>
      <c r="F55" s="173"/>
      <c r="G55" s="173"/>
      <c r="H55" s="173"/>
      <c r="I55" s="719"/>
      <c r="J55" s="712"/>
      <c r="K55" s="175"/>
      <c r="L55" s="175"/>
      <c r="M55" s="175"/>
      <c r="N55" s="614"/>
      <c r="O55" s="421">
        <f>Reconductor!CF140</f>
        <v>0</v>
      </c>
      <c r="P55" s="727">
        <f>Reconductor!CG140</f>
        <v>0</v>
      </c>
      <c r="Q55" s="234">
        <f>Reconductor!CH140</f>
        <v>0</v>
      </c>
      <c r="R55" s="96">
        <f>Reconductor!CI140</f>
        <v>0</v>
      </c>
      <c r="S55" s="96">
        <f>Reconductor!CJ140</f>
        <v>0</v>
      </c>
      <c r="T55" s="730">
        <f>Reconductor!CK140</f>
        <v>0</v>
      </c>
      <c r="U55" s="286">
        <f>Reconductor!CL140</f>
        <v>0</v>
      </c>
      <c r="V55" s="99">
        <f>VLOOKUP(A55,'Distribution Summary'!$A$136:$BJ$146,58,0)</f>
        <v>20.980691549933333</v>
      </c>
      <c r="W55" s="416">
        <f t="shared" si="1"/>
        <v>0</v>
      </c>
      <c r="X55" s="97">
        <f t="shared" si="1"/>
        <v>0</v>
      </c>
      <c r="Y55" s="97">
        <f t="shared" si="1"/>
        <v>0</v>
      </c>
      <c r="Z55" s="97">
        <f t="shared" si="1"/>
        <v>0</v>
      </c>
      <c r="AA55" s="98">
        <f t="shared" si="1"/>
        <v>0</v>
      </c>
      <c r="AB55" s="757"/>
      <c r="AC55" s="894"/>
      <c r="AK55" s="749"/>
    </row>
    <row r="56" spans="1:37" x14ac:dyDescent="0.25">
      <c r="A56" s="81" t="s">
        <v>106</v>
      </c>
      <c r="B56" s="82" t="s">
        <v>636</v>
      </c>
      <c r="C56" s="708" t="s">
        <v>644</v>
      </c>
      <c r="D56" s="708" t="s">
        <v>272</v>
      </c>
      <c r="E56" s="718">
        <v>614604.50143314467</v>
      </c>
      <c r="F56" s="173">
        <v>1319405.4364133342</v>
      </c>
      <c r="G56" s="173">
        <v>2477749.4995301845</v>
      </c>
      <c r="H56" s="173">
        <v>5272426.0888522612</v>
      </c>
      <c r="I56" s="719">
        <v>2505267.9156525051</v>
      </c>
      <c r="J56" s="712">
        <v>387.5999917530001</v>
      </c>
      <c r="K56" s="175">
        <v>884.70788420800045</v>
      </c>
      <c r="L56" s="175">
        <v>2011.6187955999999</v>
      </c>
      <c r="M56" s="175">
        <v>3151.4253835440022</v>
      </c>
      <c r="N56" s="614">
        <v>1847.7178486060016</v>
      </c>
      <c r="O56" s="421">
        <f>Reconductor!CF141</f>
        <v>1816.6028025851467</v>
      </c>
      <c r="P56" s="727">
        <f>Reconductor!CG141</f>
        <v>1816.6028025851467</v>
      </c>
      <c r="Q56" s="234">
        <f>Reconductor!CH141</f>
        <v>2381.5808282182015</v>
      </c>
      <c r="R56" s="96">
        <f>Reconductor!CI141</f>
        <v>2499.3820334531492</v>
      </c>
      <c r="S56" s="96">
        <f>Reconductor!CJ141</f>
        <v>2577.9161702764463</v>
      </c>
      <c r="T56" s="730">
        <f>Reconductor!CK141</f>
        <v>2656.4503070997448</v>
      </c>
      <c r="U56" s="286">
        <f>Reconductor!CL141</f>
        <v>2695.7173755113936</v>
      </c>
      <c r="V56" s="99">
        <f>VLOOKUP(A56,'Distribution Summary'!$A$136:$BJ$146,58,0)</f>
        <v>18191.246298465947</v>
      </c>
      <c r="W56" s="416">
        <f t="shared" si="1"/>
        <v>43323923.425821826</v>
      </c>
      <c r="X56" s="97">
        <f t="shared" si="1"/>
        <v>45466874.16450689</v>
      </c>
      <c r="Y56" s="97">
        <f t="shared" si="1"/>
        <v>46895507.990296915</v>
      </c>
      <c r="Z56" s="97">
        <f t="shared" si="1"/>
        <v>48324141.816086963</v>
      </c>
      <c r="AA56" s="98">
        <f t="shared" si="1"/>
        <v>49038458.728981979</v>
      </c>
      <c r="AB56" s="757"/>
      <c r="AC56" s="894"/>
      <c r="AK56" s="749"/>
    </row>
    <row r="57" spans="1:37" x14ac:dyDescent="0.25">
      <c r="A57" s="81" t="s">
        <v>138</v>
      </c>
      <c r="B57" s="82" t="s">
        <v>636</v>
      </c>
      <c r="C57" s="708" t="s">
        <v>644</v>
      </c>
      <c r="D57" s="708" t="s">
        <v>413</v>
      </c>
      <c r="E57" s="718">
        <v>1056926.825205371</v>
      </c>
      <c r="F57" s="173">
        <v>3354413.9576859195</v>
      </c>
      <c r="G57" s="173">
        <v>5302159.3140927255</v>
      </c>
      <c r="H57" s="173">
        <v>6005694.5820932332</v>
      </c>
      <c r="I57" s="719">
        <v>8146804.7323812265</v>
      </c>
      <c r="J57" s="712">
        <v>38</v>
      </c>
      <c r="K57" s="175">
        <v>127</v>
      </c>
      <c r="L57" s="175">
        <v>202</v>
      </c>
      <c r="M57" s="175">
        <v>249</v>
      </c>
      <c r="N57" s="614">
        <v>220</v>
      </c>
      <c r="O57" s="421">
        <f>Reconductor!CF142</f>
        <v>97.450415454527956</v>
      </c>
      <c r="P57" s="727">
        <f>Reconductor!CG142</f>
        <v>97.450415454527956</v>
      </c>
      <c r="Q57" s="234">
        <f>Reconductor!CH142</f>
        <v>127.44726739015239</v>
      </c>
      <c r="R57" s="96">
        <f>Reconductor!CI142</f>
        <v>133.70178553236047</v>
      </c>
      <c r="S57" s="96">
        <f>Reconductor!CJ142</f>
        <v>137.87146429383245</v>
      </c>
      <c r="T57" s="730">
        <f>Reconductor!CK142</f>
        <v>142.0411430553045</v>
      </c>
      <c r="U57" s="286">
        <f>Reconductor!CL142</f>
        <v>144.12598243604052</v>
      </c>
      <c r="V57" s="99">
        <f>VLOOKUP(A57,'Distribution Summary'!$A$136:$BJ$146,58,0)</f>
        <v>944.55876292157745</v>
      </c>
      <c r="W57" s="416">
        <f t="shared" si="1"/>
        <v>120381.43322377784</v>
      </c>
      <c r="X57" s="97">
        <f t="shared" si="1"/>
        <v>126289.19314285247</v>
      </c>
      <c r="Y57" s="97">
        <f t="shared" si="1"/>
        <v>130227.69975556881</v>
      </c>
      <c r="Z57" s="97">
        <f t="shared" si="1"/>
        <v>134166.20636828523</v>
      </c>
      <c r="AA57" s="98">
        <f t="shared" si="1"/>
        <v>136135.45967464344</v>
      </c>
      <c r="AB57" s="757"/>
      <c r="AC57" s="894"/>
      <c r="AK57" s="749"/>
    </row>
    <row r="58" spans="1:37" x14ac:dyDescent="0.25">
      <c r="A58" s="81" t="s">
        <v>196</v>
      </c>
      <c r="B58" s="82" t="s">
        <v>636</v>
      </c>
      <c r="C58" s="708" t="s">
        <v>644</v>
      </c>
      <c r="D58" s="708" t="s">
        <v>274</v>
      </c>
      <c r="E58" s="718">
        <v>451931.56591411796</v>
      </c>
      <c r="F58" s="173">
        <v>1983053.0656935081</v>
      </c>
      <c r="G58" s="173">
        <v>3378342.4673129283</v>
      </c>
      <c r="H58" s="173">
        <v>5183693.5158729646</v>
      </c>
      <c r="I58" s="719">
        <v>4239628.7926968616</v>
      </c>
      <c r="J58" s="712">
        <v>93</v>
      </c>
      <c r="K58" s="175">
        <v>87</v>
      </c>
      <c r="L58" s="175">
        <v>157</v>
      </c>
      <c r="M58" s="175">
        <v>314</v>
      </c>
      <c r="N58" s="614">
        <v>244</v>
      </c>
      <c r="O58" s="421">
        <f>SUM(Reconductor!CF97:CF109)</f>
        <v>102.77503286138227</v>
      </c>
      <c r="P58" s="727">
        <f>SUM(Reconductor!CG97:CG109)</f>
        <v>102.77503286138227</v>
      </c>
      <c r="Q58" s="234">
        <f>SUM(Reconductor!CH97:CH109)</f>
        <v>134.73889148130993</v>
      </c>
      <c r="R58" s="96">
        <f>SUM(Reconductor!CI97:CI109)</f>
        <v>141.403541960712</v>
      </c>
      <c r="S58" s="96">
        <f>SUM(Reconductor!CJ97:CJ109)</f>
        <v>145.84664228031329</v>
      </c>
      <c r="T58" s="730">
        <f>SUM(Reconductor!CK97:CK109)</f>
        <v>150.28974259991463</v>
      </c>
      <c r="U58" s="286">
        <f>SUM(Reconductor!CL97:CL109)</f>
        <v>152.51129275971533</v>
      </c>
      <c r="V58" s="99">
        <f>VLOOKUP(A58,'Distribution Summary'!$A$136:$BJ$146,58,0)</f>
        <v>2429.60312430251</v>
      </c>
      <c r="W58" s="416">
        <f t="shared" si="1"/>
        <v>327362.03170804743</v>
      </c>
      <c r="X58" s="97">
        <f t="shared" si="1"/>
        <v>343554.48733518698</v>
      </c>
      <c r="Y58" s="97">
        <f t="shared" si="1"/>
        <v>354349.45775327971</v>
      </c>
      <c r="Z58" s="97">
        <f t="shared" si="1"/>
        <v>365144.42817137262</v>
      </c>
      <c r="AA58" s="98">
        <f t="shared" si="1"/>
        <v>370541.91338041914</v>
      </c>
      <c r="AB58" s="757"/>
      <c r="AC58" s="894"/>
      <c r="AK58" s="749"/>
    </row>
    <row r="59" spans="1:37" x14ac:dyDescent="0.25">
      <c r="A59" s="81" t="s">
        <v>224</v>
      </c>
      <c r="B59" s="82" t="s">
        <v>636</v>
      </c>
      <c r="C59" s="708" t="s">
        <v>644</v>
      </c>
      <c r="D59" s="708" t="s">
        <v>414</v>
      </c>
      <c r="E59" s="718"/>
      <c r="F59" s="173"/>
      <c r="G59" s="173"/>
      <c r="H59" s="173"/>
      <c r="I59" s="719"/>
      <c r="J59" s="712"/>
      <c r="K59" s="175"/>
      <c r="L59" s="175"/>
      <c r="M59" s="175"/>
      <c r="N59" s="614"/>
      <c r="O59" s="421"/>
      <c r="P59" s="727"/>
      <c r="Q59" s="234"/>
      <c r="R59" s="96"/>
      <c r="S59" s="96"/>
      <c r="T59" s="730"/>
      <c r="U59" s="286"/>
      <c r="V59" s="99">
        <f>VLOOKUP(A59,'Distribution Summary'!$A$136:$BJ$146,58,0)</f>
        <v>0</v>
      </c>
      <c r="W59" s="416">
        <f t="shared" si="1"/>
        <v>0</v>
      </c>
      <c r="X59" s="97">
        <f t="shared" si="1"/>
        <v>0</v>
      </c>
      <c r="Y59" s="97">
        <f t="shared" si="1"/>
        <v>0</v>
      </c>
      <c r="Z59" s="97">
        <f t="shared" si="1"/>
        <v>0</v>
      </c>
      <c r="AA59" s="98">
        <f t="shared" si="1"/>
        <v>0</v>
      </c>
      <c r="AB59" s="757"/>
      <c r="AC59" s="894"/>
      <c r="AK59" s="749"/>
    </row>
    <row r="60" spans="1:37" x14ac:dyDescent="0.25">
      <c r="A60" s="81" t="s">
        <v>242</v>
      </c>
      <c r="B60" s="82" t="s">
        <v>636</v>
      </c>
      <c r="C60" s="708" t="s">
        <v>644</v>
      </c>
      <c r="D60" s="708" t="s">
        <v>415</v>
      </c>
      <c r="E60" s="718"/>
      <c r="F60" s="173"/>
      <c r="G60" s="173"/>
      <c r="H60" s="173"/>
      <c r="I60" s="719"/>
      <c r="J60" s="712"/>
      <c r="K60" s="175"/>
      <c r="L60" s="175"/>
      <c r="M60" s="175"/>
      <c r="N60" s="614"/>
      <c r="O60" s="421"/>
      <c r="P60" s="727"/>
      <c r="Q60" s="234"/>
      <c r="R60" s="96"/>
      <c r="S60" s="96"/>
      <c r="T60" s="730"/>
      <c r="U60" s="286"/>
      <c r="V60" s="99">
        <f>VLOOKUP(A60,'Distribution Summary'!$A$136:$BJ$146,58,0)</f>
        <v>0</v>
      </c>
      <c r="W60" s="416">
        <f t="shared" si="1"/>
        <v>0</v>
      </c>
      <c r="X60" s="97">
        <f t="shared" si="1"/>
        <v>0</v>
      </c>
      <c r="Y60" s="97">
        <f t="shared" si="1"/>
        <v>0</v>
      </c>
      <c r="Z60" s="97">
        <f t="shared" si="1"/>
        <v>0</v>
      </c>
      <c r="AA60" s="98">
        <f t="shared" si="1"/>
        <v>0</v>
      </c>
      <c r="AB60" s="757"/>
      <c r="AC60" s="894"/>
      <c r="AK60" s="749"/>
    </row>
    <row r="61" spans="1:37" ht="15.75" thickBot="1" x14ac:dyDescent="0.3">
      <c r="A61" s="100" t="s">
        <v>258</v>
      </c>
      <c r="B61" s="101" t="s">
        <v>636</v>
      </c>
      <c r="C61" s="709" t="s">
        <v>644</v>
      </c>
      <c r="D61" s="709" t="s">
        <v>64</v>
      </c>
      <c r="E61" s="720"/>
      <c r="F61" s="178"/>
      <c r="G61" s="178"/>
      <c r="H61" s="178"/>
      <c r="I61" s="721"/>
      <c r="J61" s="713"/>
      <c r="K61" s="180"/>
      <c r="L61" s="180"/>
      <c r="M61" s="180"/>
      <c r="N61" s="615"/>
      <c r="O61" s="422"/>
      <c r="P61" s="728"/>
      <c r="Q61" s="235"/>
      <c r="R61" s="115"/>
      <c r="S61" s="115"/>
      <c r="T61" s="731"/>
      <c r="U61" s="287"/>
      <c r="V61" s="116">
        <f>VLOOKUP(A61,'Distribution Summary'!$A$136:$BJ$146,58,0)</f>
        <v>26.085065208566085</v>
      </c>
      <c r="W61" s="467">
        <f t="shared" si="1"/>
        <v>0</v>
      </c>
      <c r="X61" s="117">
        <f t="shared" si="1"/>
        <v>0</v>
      </c>
      <c r="Y61" s="117">
        <f t="shared" si="1"/>
        <v>0</v>
      </c>
      <c r="Z61" s="117">
        <f t="shared" si="1"/>
        <v>0</v>
      </c>
      <c r="AA61" s="118">
        <f t="shared" si="1"/>
        <v>0</v>
      </c>
      <c r="AB61" s="758" t="s">
        <v>667</v>
      </c>
      <c r="AC61" s="894"/>
    </row>
    <row r="62" spans="1:37" x14ac:dyDescent="0.25">
      <c r="A62" s="63" t="s">
        <v>296</v>
      </c>
      <c r="B62" s="64" t="s">
        <v>272</v>
      </c>
      <c r="C62" s="707" t="s">
        <v>643</v>
      </c>
      <c r="D62" s="707" t="s">
        <v>409</v>
      </c>
      <c r="E62" s="716"/>
      <c r="F62" s="168"/>
      <c r="G62" s="168"/>
      <c r="H62" s="168"/>
      <c r="I62" s="717"/>
      <c r="J62" s="711"/>
      <c r="K62" s="170"/>
      <c r="L62" s="170"/>
      <c r="M62" s="170"/>
      <c r="N62" s="613"/>
      <c r="O62" s="420"/>
      <c r="P62" s="726"/>
      <c r="Q62" s="241"/>
      <c r="R62" s="144"/>
      <c r="S62" s="144"/>
      <c r="T62" s="729"/>
      <c r="U62" s="293"/>
      <c r="V62" s="124">
        <f>VLOOKUP(A62,'Distribution Summary'!$A$136:$BJ$146,58,0)</f>
        <v>4658</v>
      </c>
      <c r="W62" s="415">
        <f t="shared" si="1"/>
        <v>0</v>
      </c>
      <c r="X62" s="79">
        <f t="shared" si="1"/>
        <v>0</v>
      </c>
      <c r="Y62" s="79">
        <f t="shared" si="1"/>
        <v>0</v>
      </c>
      <c r="Z62" s="79">
        <f t="shared" si="1"/>
        <v>0</v>
      </c>
      <c r="AA62" s="80">
        <f t="shared" si="1"/>
        <v>0</v>
      </c>
      <c r="AB62" s="756"/>
      <c r="AC62" s="894"/>
      <c r="AD62" s="1"/>
      <c r="AF62" s="751"/>
      <c r="AG62" s="751"/>
      <c r="AH62" s="751"/>
      <c r="AI62" s="751"/>
      <c r="AJ62" s="751"/>
      <c r="AK62" s="749"/>
    </row>
    <row r="63" spans="1:37" x14ac:dyDescent="0.25">
      <c r="A63" s="81" t="s">
        <v>27</v>
      </c>
      <c r="B63" s="82" t="s">
        <v>272</v>
      </c>
      <c r="C63" s="708" t="s">
        <v>643</v>
      </c>
      <c r="D63" s="708" t="s">
        <v>410</v>
      </c>
      <c r="E63" s="718"/>
      <c r="F63" s="173"/>
      <c r="G63" s="173"/>
      <c r="H63" s="173"/>
      <c r="I63" s="719"/>
      <c r="J63" s="712"/>
      <c r="K63" s="175"/>
      <c r="L63" s="175"/>
      <c r="M63" s="175"/>
      <c r="N63" s="614"/>
      <c r="O63" s="421"/>
      <c r="P63" s="727"/>
      <c r="Q63" s="234"/>
      <c r="R63" s="96"/>
      <c r="S63" s="96"/>
      <c r="T63" s="730"/>
      <c r="U63" s="286"/>
      <c r="V63" s="99">
        <f>VLOOKUP(A63,'Distribution Summary'!$A$136:$BJ$146,58,0)</f>
        <v>14610.376550596677</v>
      </c>
      <c r="W63" s="416">
        <f t="shared" si="1"/>
        <v>0</v>
      </c>
      <c r="X63" s="97">
        <f t="shared" si="1"/>
        <v>0</v>
      </c>
      <c r="Y63" s="97">
        <f t="shared" si="1"/>
        <v>0</v>
      </c>
      <c r="Z63" s="97">
        <f t="shared" si="1"/>
        <v>0</v>
      </c>
      <c r="AA63" s="98">
        <f t="shared" si="1"/>
        <v>0</v>
      </c>
      <c r="AB63" s="757"/>
      <c r="AC63" s="894"/>
      <c r="AF63" s="751"/>
      <c r="AG63" s="751"/>
      <c r="AH63" s="751"/>
      <c r="AI63" s="751"/>
      <c r="AJ63" s="751"/>
      <c r="AK63" s="749"/>
    </row>
    <row r="64" spans="1:37" x14ac:dyDescent="0.25">
      <c r="A64" s="81" t="s">
        <v>68</v>
      </c>
      <c r="B64" s="82" t="s">
        <v>272</v>
      </c>
      <c r="C64" s="708" t="s">
        <v>643</v>
      </c>
      <c r="D64" s="708" t="s">
        <v>411</v>
      </c>
      <c r="E64" s="718"/>
      <c r="F64" s="173"/>
      <c r="G64" s="173"/>
      <c r="H64" s="173"/>
      <c r="I64" s="719"/>
      <c r="J64" s="712"/>
      <c r="K64" s="175"/>
      <c r="L64" s="175"/>
      <c r="M64" s="175"/>
      <c r="N64" s="614"/>
      <c r="O64" s="421"/>
      <c r="P64" s="727"/>
      <c r="Q64" s="234"/>
      <c r="R64" s="96"/>
      <c r="S64" s="96"/>
      <c r="T64" s="730"/>
      <c r="U64" s="286"/>
      <c r="V64" s="99">
        <f>VLOOKUP(A64,'Distribution Summary'!$A$136:$BJ$146,58,0)</f>
        <v>30402.739680878618</v>
      </c>
      <c r="W64" s="416">
        <f t="shared" si="1"/>
        <v>0</v>
      </c>
      <c r="X64" s="97">
        <f t="shared" si="1"/>
        <v>0</v>
      </c>
      <c r="Y64" s="97">
        <f t="shared" si="1"/>
        <v>0</v>
      </c>
      <c r="Z64" s="97">
        <f t="shared" si="1"/>
        <v>0</v>
      </c>
      <c r="AA64" s="98">
        <f t="shared" si="1"/>
        <v>0</v>
      </c>
      <c r="AB64" s="757"/>
      <c r="AC64" s="894"/>
      <c r="AF64" s="751"/>
      <c r="AG64" s="751"/>
      <c r="AH64" s="751"/>
      <c r="AI64" s="751"/>
      <c r="AJ64" s="751"/>
      <c r="AK64" s="749"/>
    </row>
    <row r="65" spans="1:37" x14ac:dyDescent="0.25">
      <c r="A65" s="81" t="s">
        <v>81</v>
      </c>
      <c r="B65" s="82" t="s">
        <v>272</v>
      </c>
      <c r="C65" s="708" t="s">
        <v>643</v>
      </c>
      <c r="D65" s="708" t="s">
        <v>270</v>
      </c>
      <c r="E65" s="718"/>
      <c r="F65" s="173"/>
      <c r="G65" s="173"/>
      <c r="H65" s="173"/>
      <c r="I65" s="719"/>
      <c r="J65" s="725"/>
      <c r="K65" s="631"/>
      <c r="L65" s="631"/>
      <c r="M65" s="631"/>
      <c r="N65" s="671"/>
      <c r="O65" s="421"/>
      <c r="P65" s="727"/>
      <c r="Q65" s="234"/>
      <c r="R65" s="96"/>
      <c r="S65" s="96"/>
      <c r="T65" s="730"/>
      <c r="U65" s="286"/>
      <c r="V65" s="99">
        <f>VLOOKUP(A65,'Distribution Summary'!$A$136:$BJ$146,58,0)</f>
        <v>730.02877600199986</v>
      </c>
      <c r="W65" s="416">
        <f t="shared" si="1"/>
        <v>0</v>
      </c>
      <c r="X65" s="97">
        <f t="shared" si="1"/>
        <v>0</v>
      </c>
      <c r="Y65" s="97">
        <f t="shared" si="1"/>
        <v>0</v>
      </c>
      <c r="Z65" s="97">
        <f t="shared" si="1"/>
        <v>0</v>
      </c>
      <c r="AA65" s="98">
        <f t="shared" si="1"/>
        <v>0</v>
      </c>
      <c r="AB65" s="757"/>
      <c r="AC65" s="894"/>
      <c r="AE65" s="1"/>
      <c r="AF65" s="751"/>
      <c r="AG65" s="751"/>
      <c r="AH65" s="751"/>
      <c r="AI65" s="751"/>
      <c r="AJ65" s="751"/>
      <c r="AK65" s="751"/>
    </row>
    <row r="66" spans="1:37" x14ac:dyDescent="0.25">
      <c r="A66" s="81" t="s">
        <v>94</v>
      </c>
      <c r="B66" s="82" t="s">
        <v>272</v>
      </c>
      <c r="C66" s="708" t="s">
        <v>643</v>
      </c>
      <c r="D66" s="708" t="s">
        <v>412</v>
      </c>
      <c r="E66" s="718"/>
      <c r="F66" s="173"/>
      <c r="G66" s="173"/>
      <c r="H66" s="173"/>
      <c r="I66" s="719"/>
      <c r="J66" s="712"/>
      <c r="K66" s="175"/>
      <c r="L66" s="175"/>
      <c r="M66" s="175"/>
      <c r="N66" s="614"/>
      <c r="O66" s="421"/>
      <c r="P66" s="727"/>
      <c r="Q66" s="234"/>
      <c r="R66" s="96"/>
      <c r="S66" s="96"/>
      <c r="T66" s="730"/>
      <c r="U66" s="286"/>
      <c r="V66" s="99">
        <f>VLOOKUP(A66,'Distribution Summary'!$A$136:$BJ$146,58,0)</f>
        <v>20.980691549933333</v>
      </c>
      <c r="W66" s="416">
        <f t="shared" si="1"/>
        <v>0</v>
      </c>
      <c r="X66" s="97">
        <f t="shared" si="1"/>
        <v>0</v>
      </c>
      <c r="Y66" s="97">
        <f t="shared" si="1"/>
        <v>0</v>
      </c>
      <c r="Z66" s="97">
        <f t="shared" si="1"/>
        <v>0</v>
      </c>
      <c r="AA66" s="98">
        <f t="shared" si="1"/>
        <v>0</v>
      </c>
      <c r="AB66" s="757"/>
      <c r="AC66" s="894"/>
      <c r="AK66" s="749"/>
    </row>
    <row r="67" spans="1:37" x14ac:dyDescent="0.25">
      <c r="A67" s="81" t="s">
        <v>106</v>
      </c>
      <c r="B67" s="82" t="s">
        <v>272</v>
      </c>
      <c r="C67" s="708" t="s">
        <v>643</v>
      </c>
      <c r="D67" s="708" t="s">
        <v>272</v>
      </c>
      <c r="E67" s="718">
        <v>3350134.4473760724</v>
      </c>
      <c r="F67" s="173">
        <v>-2781208.7665794566</v>
      </c>
      <c r="G67" s="173">
        <v>-595823.32091956213</v>
      </c>
      <c r="H67" s="173">
        <v>439158.65751628019</v>
      </c>
      <c r="I67" s="719">
        <v>6548453.0634000208</v>
      </c>
      <c r="J67" s="712">
        <v>5581.8600768140059</v>
      </c>
      <c r="K67" s="175">
        <v>-1382.0624091080481</v>
      </c>
      <c r="L67" s="175">
        <v>-977.01876611607531</v>
      </c>
      <c r="M67" s="175">
        <v>99.815620337896689</v>
      </c>
      <c r="N67" s="614">
        <v>4261.1391771889666</v>
      </c>
      <c r="O67" s="421">
        <f>'Defect (Total)'!BC186</f>
        <v>2811.817977875975</v>
      </c>
      <c r="P67" s="727">
        <f>'Defect (Total)'!BD186</f>
        <v>2811.817977875975</v>
      </c>
      <c r="Q67" s="234">
        <f>'Defect (Total)'!BE186</f>
        <v>2788.426350602379</v>
      </c>
      <c r="R67" s="96">
        <f>'Defect (Total)'!BF186</f>
        <v>2788.426350602379</v>
      </c>
      <c r="S67" s="96">
        <f>'Defect (Total)'!BG186</f>
        <v>2788.426350602379</v>
      </c>
      <c r="T67" s="730">
        <f>'Defect (Total)'!BH186</f>
        <v>2788.426350602379</v>
      </c>
      <c r="U67" s="286">
        <f>'Defect (Total)'!BI186</f>
        <v>2788.426350602379</v>
      </c>
      <c r="V67" s="99">
        <f>VLOOKUP(A67,'Distribution Summary'!$A$136:$BJ$146,58,0)</f>
        <v>18191.246298465947</v>
      </c>
      <c r="W67" s="416">
        <f t="shared" si="1"/>
        <v>50724950.528940432</v>
      </c>
      <c r="X67" s="97">
        <f t="shared" si="1"/>
        <v>50724950.528940432</v>
      </c>
      <c r="Y67" s="97">
        <f t="shared" si="1"/>
        <v>50724950.528940432</v>
      </c>
      <c r="Z67" s="97">
        <f t="shared" si="1"/>
        <v>50724950.528940432</v>
      </c>
      <c r="AA67" s="98">
        <f t="shared" si="1"/>
        <v>50724950.528940432</v>
      </c>
      <c r="AB67" s="757"/>
      <c r="AC67" s="894"/>
      <c r="AK67" s="749"/>
    </row>
    <row r="68" spans="1:37" x14ac:dyDescent="0.25">
      <c r="A68" s="81" t="s">
        <v>138</v>
      </c>
      <c r="B68" s="82" t="s">
        <v>272</v>
      </c>
      <c r="C68" s="708" t="s">
        <v>643</v>
      </c>
      <c r="D68" s="708" t="s">
        <v>413</v>
      </c>
      <c r="E68" s="718"/>
      <c r="F68" s="173"/>
      <c r="G68" s="173"/>
      <c r="H68" s="173"/>
      <c r="I68" s="719"/>
      <c r="J68" s="712"/>
      <c r="K68" s="175"/>
      <c r="L68" s="175"/>
      <c r="M68" s="175"/>
      <c r="N68" s="614"/>
      <c r="O68" s="421"/>
      <c r="P68" s="727"/>
      <c r="Q68" s="234"/>
      <c r="R68" s="96"/>
      <c r="S68" s="96"/>
      <c r="T68" s="730"/>
      <c r="U68" s="286"/>
      <c r="V68" s="99">
        <f>VLOOKUP(A68,'Distribution Summary'!$A$136:$BJ$146,58,0)</f>
        <v>944.55876292157745</v>
      </c>
      <c r="W68" s="416">
        <f t="shared" si="1"/>
        <v>0</v>
      </c>
      <c r="X68" s="97">
        <f t="shared" si="1"/>
        <v>0</v>
      </c>
      <c r="Y68" s="97">
        <f t="shared" si="1"/>
        <v>0</v>
      </c>
      <c r="Z68" s="97">
        <f t="shared" si="1"/>
        <v>0</v>
      </c>
      <c r="AA68" s="98">
        <f t="shared" si="1"/>
        <v>0</v>
      </c>
      <c r="AB68" s="757"/>
      <c r="AC68" s="894"/>
      <c r="AK68" s="749"/>
    </row>
    <row r="69" spans="1:37" x14ac:dyDescent="0.25">
      <c r="A69" s="81" t="s">
        <v>196</v>
      </c>
      <c r="B69" s="82" t="s">
        <v>272</v>
      </c>
      <c r="C69" s="708" t="s">
        <v>643</v>
      </c>
      <c r="D69" s="708" t="s">
        <v>274</v>
      </c>
      <c r="E69" s="718"/>
      <c r="F69" s="173"/>
      <c r="G69" s="173"/>
      <c r="H69" s="173"/>
      <c r="I69" s="719"/>
      <c r="J69" s="712"/>
      <c r="K69" s="175"/>
      <c r="L69" s="175"/>
      <c r="M69" s="175"/>
      <c r="N69" s="614"/>
      <c r="O69" s="421"/>
      <c r="P69" s="727"/>
      <c r="Q69" s="234"/>
      <c r="R69" s="96"/>
      <c r="S69" s="96"/>
      <c r="T69" s="730"/>
      <c r="U69" s="286"/>
      <c r="V69" s="99">
        <f>VLOOKUP(A69,'Distribution Summary'!$A$136:$BJ$146,58,0)</f>
        <v>2429.60312430251</v>
      </c>
      <c r="W69" s="416">
        <f t="shared" si="1"/>
        <v>0</v>
      </c>
      <c r="X69" s="97">
        <f t="shared" si="1"/>
        <v>0</v>
      </c>
      <c r="Y69" s="97">
        <f t="shared" si="1"/>
        <v>0</v>
      </c>
      <c r="Z69" s="97">
        <f t="shared" si="1"/>
        <v>0</v>
      </c>
      <c r="AA69" s="98">
        <f t="shared" si="1"/>
        <v>0</v>
      </c>
      <c r="AB69" s="757"/>
      <c r="AC69" s="894"/>
      <c r="AK69" s="749"/>
    </row>
    <row r="70" spans="1:37" x14ac:dyDescent="0.25">
      <c r="A70" s="81" t="s">
        <v>224</v>
      </c>
      <c r="B70" s="82" t="s">
        <v>272</v>
      </c>
      <c r="C70" s="708" t="s">
        <v>643</v>
      </c>
      <c r="D70" s="708" t="s">
        <v>414</v>
      </c>
      <c r="E70" s="718"/>
      <c r="F70" s="173"/>
      <c r="G70" s="173"/>
      <c r="H70" s="173"/>
      <c r="I70" s="719"/>
      <c r="J70" s="712"/>
      <c r="K70" s="175"/>
      <c r="L70" s="175"/>
      <c r="M70" s="175"/>
      <c r="N70" s="614"/>
      <c r="O70" s="421"/>
      <c r="P70" s="727"/>
      <c r="Q70" s="234"/>
      <c r="R70" s="96"/>
      <c r="S70" s="96"/>
      <c r="T70" s="730"/>
      <c r="U70" s="286"/>
      <c r="V70" s="99">
        <f>VLOOKUP(A70,'Distribution Summary'!$A$136:$BJ$146,58,0)</f>
        <v>0</v>
      </c>
      <c r="W70" s="416">
        <f t="shared" si="1"/>
        <v>0</v>
      </c>
      <c r="X70" s="97">
        <f t="shared" si="1"/>
        <v>0</v>
      </c>
      <c r="Y70" s="97">
        <f t="shared" si="1"/>
        <v>0</v>
      </c>
      <c r="Z70" s="97">
        <f t="shared" si="1"/>
        <v>0</v>
      </c>
      <c r="AA70" s="98">
        <f t="shared" si="1"/>
        <v>0</v>
      </c>
      <c r="AB70" s="757"/>
      <c r="AC70" s="894"/>
      <c r="AK70" s="749"/>
    </row>
    <row r="71" spans="1:37" x14ac:dyDescent="0.25">
      <c r="A71" s="81" t="s">
        <v>242</v>
      </c>
      <c r="B71" s="82" t="s">
        <v>272</v>
      </c>
      <c r="C71" s="708" t="s">
        <v>643</v>
      </c>
      <c r="D71" s="708" t="s">
        <v>415</v>
      </c>
      <c r="E71" s="718"/>
      <c r="F71" s="173"/>
      <c r="G71" s="173"/>
      <c r="H71" s="173"/>
      <c r="I71" s="719"/>
      <c r="J71" s="712"/>
      <c r="K71" s="175"/>
      <c r="L71" s="175"/>
      <c r="M71" s="175"/>
      <c r="N71" s="614"/>
      <c r="O71" s="421"/>
      <c r="P71" s="727"/>
      <c r="Q71" s="234"/>
      <c r="R71" s="96"/>
      <c r="S71" s="96"/>
      <c r="T71" s="730"/>
      <c r="U71" s="286"/>
      <c r="V71" s="99">
        <f>VLOOKUP(A71,'Distribution Summary'!$A$136:$BJ$146,58,0)</f>
        <v>0</v>
      </c>
      <c r="W71" s="416">
        <f t="shared" ref="W71:AA102" si="2">Q71*$V71</f>
        <v>0</v>
      </c>
      <c r="X71" s="97">
        <f t="shared" si="2"/>
        <v>0</v>
      </c>
      <c r="Y71" s="97">
        <f t="shared" si="2"/>
        <v>0</v>
      </c>
      <c r="Z71" s="97">
        <f t="shared" si="2"/>
        <v>0</v>
      </c>
      <c r="AA71" s="98">
        <f t="shared" si="2"/>
        <v>0</v>
      </c>
      <c r="AB71" s="757"/>
      <c r="AC71" s="894"/>
      <c r="AK71" s="749"/>
    </row>
    <row r="72" spans="1:37" ht="15.75" thickBot="1" x14ac:dyDescent="0.3">
      <c r="A72" s="100" t="s">
        <v>258</v>
      </c>
      <c r="B72" s="101" t="s">
        <v>272</v>
      </c>
      <c r="C72" s="709" t="s">
        <v>643</v>
      </c>
      <c r="D72" s="709" t="s">
        <v>64</v>
      </c>
      <c r="E72" s="720"/>
      <c r="F72" s="178"/>
      <c r="G72" s="178"/>
      <c r="H72" s="178"/>
      <c r="I72" s="721"/>
      <c r="J72" s="713"/>
      <c r="K72" s="180"/>
      <c r="L72" s="180"/>
      <c r="M72" s="180"/>
      <c r="N72" s="615"/>
      <c r="O72" s="422"/>
      <c r="P72" s="728"/>
      <c r="Q72" s="235"/>
      <c r="R72" s="115"/>
      <c r="S72" s="115"/>
      <c r="T72" s="731"/>
      <c r="U72" s="287"/>
      <c r="V72" s="116">
        <f>VLOOKUP(A72,'Distribution Summary'!$A$136:$BJ$146,58,0)</f>
        <v>26.085065208566085</v>
      </c>
      <c r="W72" s="467">
        <f t="shared" si="2"/>
        <v>0</v>
      </c>
      <c r="X72" s="117">
        <f t="shared" si="2"/>
        <v>0</v>
      </c>
      <c r="Y72" s="117">
        <f t="shared" si="2"/>
        <v>0</v>
      </c>
      <c r="Z72" s="117">
        <f t="shared" si="2"/>
        <v>0</v>
      </c>
      <c r="AA72" s="118">
        <f t="shared" si="2"/>
        <v>0</v>
      </c>
      <c r="AB72" s="758"/>
      <c r="AC72" s="894"/>
      <c r="AK72" s="749"/>
    </row>
    <row r="73" spans="1:37" x14ac:dyDescent="0.25">
      <c r="A73" s="63" t="s">
        <v>296</v>
      </c>
      <c r="B73" s="64" t="s">
        <v>272</v>
      </c>
      <c r="C73" s="707" t="s">
        <v>644</v>
      </c>
      <c r="D73" s="707" t="s">
        <v>409</v>
      </c>
      <c r="E73" s="716"/>
      <c r="F73" s="168"/>
      <c r="G73" s="168"/>
      <c r="H73" s="168"/>
      <c r="I73" s="717"/>
      <c r="J73" s="711"/>
      <c r="K73" s="170"/>
      <c r="L73" s="170"/>
      <c r="M73" s="170"/>
      <c r="N73" s="613"/>
      <c r="O73" s="420"/>
      <c r="P73" s="726"/>
      <c r="Q73" s="241"/>
      <c r="R73" s="144"/>
      <c r="S73" s="144"/>
      <c r="T73" s="729"/>
      <c r="U73" s="293"/>
      <c r="V73" s="124">
        <f>VLOOKUP(A73,'Distribution Summary'!$A$136:$BJ$146,58,0)</f>
        <v>4658</v>
      </c>
      <c r="W73" s="415">
        <f t="shared" si="2"/>
        <v>0</v>
      </c>
      <c r="X73" s="79">
        <f t="shared" si="2"/>
        <v>0</v>
      </c>
      <c r="Y73" s="79">
        <f t="shared" si="2"/>
        <v>0</v>
      </c>
      <c r="Z73" s="79">
        <f t="shared" si="2"/>
        <v>0</v>
      </c>
      <c r="AA73" s="80">
        <f t="shared" si="2"/>
        <v>0</v>
      </c>
      <c r="AB73" s="756"/>
      <c r="AC73" s="894"/>
      <c r="AK73" s="749"/>
    </row>
    <row r="74" spans="1:37" x14ac:dyDescent="0.25">
      <c r="A74" s="81" t="s">
        <v>27</v>
      </c>
      <c r="B74" s="82" t="s">
        <v>272</v>
      </c>
      <c r="C74" s="708" t="s">
        <v>644</v>
      </c>
      <c r="D74" s="708" t="s">
        <v>410</v>
      </c>
      <c r="E74" s="718"/>
      <c r="F74" s="173"/>
      <c r="G74" s="173"/>
      <c r="H74" s="173"/>
      <c r="I74" s="719"/>
      <c r="J74" s="712"/>
      <c r="K74" s="175"/>
      <c r="L74" s="175"/>
      <c r="M74" s="175"/>
      <c r="N74" s="614"/>
      <c r="O74" s="421"/>
      <c r="P74" s="727"/>
      <c r="Q74" s="234"/>
      <c r="R74" s="96"/>
      <c r="S74" s="96"/>
      <c r="T74" s="730"/>
      <c r="U74" s="286"/>
      <c r="V74" s="99">
        <f>VLOOKUP(A74,'Distribution Summary'!$A$136:$BJ$146,58,0)</f>
        <v>14610.376550596677</v>
      </c>
      <c r="W74" s="416">
        <f t="shared" si="2"/>
        <v>0</v>
      </c>
      <c r="X74" s="97">
        <f t="shared" si="2"/>
        <v>0</v>
      </c>
      <c r="Y74" s="97">
        <f t="shared" si="2"/>
        <v>0</v>
      </c>
      <c r="Z74" s="97">
        <f t="shared" si="2"/>
        <v>0</v>
      </c>
      <c r="AA74" s="98">
        <f t="shared" si="2"/>
        <v>0</v>
      </c>
      <c r="AB74" s="757"/>
      <c r="AC74" s="894"/>
      <c r="AK74" s="749"/>
    </row>
    <row r="75" spans="1:37" x14ac:dyDescent="0.25">
      <c r="A75" s="81" t="s">
        <v>68</v>
      </c>
      <c r="B75" s="82" t="s">
        <v>272</v>
      </c>
      <c r="C75" s="708" t="s">
        <v>644</v>
      </c>
      <c r="D75" s="708" t="s">
        <v>411</v>
      </c>
      <c r="E75" s="718"/>
      <c r="F75" s="173"/>
      <c r="G75" s="173"/>
      <c r="H75" s="173"/>
      <c r="I75" s="719"/>
      <c r="J75" s="712"/>
      <c r="K75" s="175"/>
      <c r="L75" s="175"/>
      <c r="M75" s="175"/>
      <c r="N75" s="614"/>
      <c r="O75" s="421"/>
      <c r="P75" s="727"/>
      <c r="Q75" s="234"/>
      <c r="R75" s="96"/>
      <c r="S75" s="96"/>
      <c r="T75" s="730"/>
      <c r="U75" s="286"/>
      <c r="V75" s="99">
        <f>VLOOKUP(A75,'Distribution Summary'!$A$136:$BJ$146,58,0)</f>
        <v>30402.739680878618</v>
      </c>
      <c r="W75" s="416">
        <f t="shared" si="2"/>
        <v>0</v>
      </c>
      <c r="X75" s="97">
        <f t="shared" si="2"/>
        <v>0</v>
      </c>
      <c r="Y75" s="97">
        <f t="shared" si="2"/>
        <v>0</v>
      </c>
      <c r="Z75" s="97">
        <f t="shared" si="2"/>
        <v>0</v>
      </c>
      <c r="AA75" s="98">
        <f t="shared" si="2"/>
        <v>0</v>
      </c>
      <c r="AB75" s="757"/>
      <c r="AC75" s="894"/>
      <c r="AK75" s="749"/>
    </row>
    <row r="76" spans="1:37" x14ac:dyDescent="0.25">
      <c r="A76" s="81" t="s">
        <v>81</v>
      </c>
      <c r="B76" s="82" t="s">
        <v>272</v>
      </c>
      <c r="C76" s="708" t="s">
        <v>644</v>
      </c>
      <c r="D76" s="708" t="s">
        <v>270</v>
      </c>
      <c r="E76" s="718"/>
      <c r="F76" s="173"/>
      <c r="G76" s="173"/>
      <c r="H76" s="173"/>
      <c r="I76" s="719"/>
      <c r="J76" s="725"/>
      <c r="K76" s="631"/>
      <c r="L76" s="631"/>
      <c r="M76" s="631"/>
      <c r="N76" s="671"/>
      <c r="O76" s="421"/>
      <c r="P76" s="727"/>
      <c r="Q76" s="234"/>
      <c r="R76" s="96"/>
      <c r="S76" s="96"/>
      <c r="T76" s="730"/>
      <c r="U76" s="286"/>
      <c r="V76" s="99">
        <f>VLOOKUP(A76,'Distribution Summary'!$A$136:$BJ$146,58,0)</f>
        <v>730.02877600199986</v>
      </c>
      <c r="W76" s="416">
        <f t="shared" si="2"/>
        <v>0</v>
      </c>
      <c r="X76" s="97">
        <f t="shared" si="2"/>
        <v>0</v>
      </c>
      <c r="Y76" s="97">
        <f t="shared" si="2"/>
        <v>0</v>
      </c>
      <c r="Z76" s="97">
        <f t="shared" si="2"/>
        <v>0</v>
      </c>
      <c r="AA76" s="98">
        <f t="shared" si="2"/>
        <v>0</v>
      </c>
      <c r="AB76" s="757"/>
      <c r="AC76" s="894"/>
      <c r="AK76" s="749"/>
    </row>
    <row r="77" spans="1:37" x14ac:dyDescent="0.25">
      <c r="A77" s="81" t="s">
        <v>94</v>
      </c>
      <c r="B77" s="82" t="s">
        <v>272</v>
      </c>
      <c r="C77" s="708" t="s">
        <v>644</v>
      </c>
      <c r="D77" s="708" t="s">
        <v>412</v>
      </c>
      <c r="E77" s="718"/>
      <c r="F77" s="173"/>
      <c r="G77" s="173"/>
      <c r="H77" s="173"/>
      <c r="I77" s="719"/>
      <c r="J77" s="712"/>
      <c r="K77" s="175"/>
      <c r="L77" s="175"/>
      <c r="M77" s="175"/>
      <c r="N77" s="614"/>
      <c r="O77" s="421"/>
      <c r="P77" s="727"/>
      <c r="Q77" s="234"/>
      <c r="R77" s="96"/>
      <c r="S77" s="96"/>
      <c r="T77" s="730"/>
      <c r="U77" s="286"/>
      <c r="V77" s="99">
        <f>VLOOKUP(A77,'Distribution Summary'!$A$136:$BJ$146,58,0)</f>
        <v>20.980691549933333</v>
      </c>
      <c r="W77" s="416">
        <f t="shared" si="2"/>
        <v>0</v>
      </c>
      <c r="X77" s="97">
        <f t="shared" si="2"/>
        <v>0</v>
      </c>
      <c r="Y77" s="97">
        <f t="shared" si="2"/>
        <v>0</v>
      </c>
      <c r="Z77" s="97">
        <f t="shared" si="2"/>
        <v>0</v>
      </c>
      <c r="AA77" s="98">
        <f t="shared" si="2"/>
        <v>0</v>
      </c>
      <c r="AB77" s="757"/>
      <c r="AC77" s="894"/>
      <c r="AK77" s="749"/>
    </row>
    <row r="78" spans="1:37" x14ac:dyDescent="0.25">
      <c r="A78" s="81" t="s">
        <v>106</v>
      </c>
      <c r="B78" s="82" t="s">
        <v>272</v>
      </c>
      <c r="C78" s="708" t="s">
        <v>644</v>
      </c>
      <c r="D78" s="708" t="s">
        <v>272</v>
      </c>
      <c r="E78" s="718">
        <v>3064000.198511166</v>
      </c>
      <c r="F78" s="173">
        <v>9745268.677692391</v>
      </c>
      <c r="G78" s="173">
        <v>13682198.190682307</v>
      </c>
      <c r="H78" s="173">
        <v>13230045.12153695</v>
      </c>
      <c r="I78" s="719">
        <v>13537158.501246268</v>
      </c>
      <c r="J78" s="712">
        <v>3960</v>
      </c>
      <c r="K78" s="175">
        <v>8413</v>
      </c>
      <c r="L78" s="175">
        <v>9097</v>
      </c>
      <c r="M78" s="175">
        <v>8413</v>
      </c>
      <c r="N78" s="614">
        <v>9210</v>
      </c>
      <c r="O78" s="421">
        <f>Planned!CF141</f>
        <v>8500</v>
      </c>
      <c r="P78" s="727">
        <f>Planned!CG141</f>
        <v>8500</v>
      </c>
      <c r="Q78" s="234">
        <f>Planned!CH141</f>
        <v>8500</v>
      </c>
      <c r="R78" s="96">
        <f>Planned!CI141</f>
        <v>8500</v>
      </c>
      <c r="S78" s="96">
        <f>Planned!CJ141</f>
        <v>8500</v>
      </c>
      <c r="T78" s="730">
        <f>Planned!CK141</f>
        <v>8500</v>
      </c>
      <c r="U78" s="286">
        <f>Planned!CL141</f>
        <v>8500</v>
      </c>
      <c r="V78" s="99">
        <f>VLOOKUP(A78,'Distribution Summary'!$A$136:$BJ$146,58,0)</f>
        <v>18191.246298465947</v>
      </c>
      <c r="W78" s="416">
        <f t="shared" si="2"/>
        <v>154625593.53696054</v>
      </c>
      <c r="X78" s="97">
        <f t="shared" si="2"/>
        <v>154625593.53696054</v>
      </c>
      <c r="Y78" s="97">
        <f t="shared" si="2"/>
        <v>154625593.53696054</v>
      </c>
      <c r="Z78" s="97">
        <f t="shared" si="2"/>
        <v>154625593.53696054</v>
      </c>
      <c r="AA78" s="98">
        <f t="shared" si="2"/>
        <v>154625593.53696054</v>
      </c>
      <c r="AB78" s="757"/>
      <c r="AC78" s="894"/>
      <c r="AK78" s="749"/>
    </row>
    <row r="79" spans="1:37" x14ac:dyDescent="0.25">
      <c r="A79" s="81" t="s">
        <v>138</v>
      </c>
      <c r="B79" s="82" t="s">
        <v>272</v>
      </c>
      <c r="C79" s="708" t="s">
        <v>644</v>
      </c>
      <c r="D79" s="708" t="s">
        <v>413</v>
      </c>
      <c r="E79" s="718"/>
      <c r="F79" s="173"/>
      <c r="G79" s="173"/>
      <c r="H79" s="173"/>
      <c r="I79" s="719"/>
      <c r="J79" s="712"/>
      <c r="K79" s="175"/>
      <c r="L79" s="175"/>
      <c r="M79" s="175"/>
      <c r="N79" s="614"/>
      <c r="O79" s="421"/>
      <c r="P79" s="727"/>
      <c r="Q79" s="234"/>
      <c r="R79" s="96"/>
      <c r="S79" s="96"/>
      <c r="T79" s="730"/>
      <c r="U79" s="286"/>
      <c r="V79" s="99">
        <f>VLOOKUP(A79,'Distribution Summary'!$A$136:$BJ$146,58,0)</f>
        <v>944.55876292157745</v>
      </c>
      <c r="W79" s="416">
        <f t="shared" si="2"/>
        <v>0</v>
      </c>
      <c r="X79" s="97">
        <f t="shared" si="2"/>
        <v>0</v>
      </c>
      <c r="Y79" s="97">
        <f t="shared" si="2"/>
        <v>0</v>
      </c>
      <c r="Z79" s="97">
        <f t="shared" si="2"/>
        <v>0</v>
      </c>
      <c r="AA79" s="98">
        <f t="shared" si="2"/>
        <v>0</v>
      </c>
      <c r="AB79" s="757"/>
      <c r="AC79" s="894"/>
      <c r="AK79" s="749"/>
    </row>
    <row r="80" spans="1:37" x14ac:dyDescent="0.25">
      <c r="A80" s="81" t="s">
        <v>196</v>
      </c>
      <c r="B80" s="82" t="s">
        <v>272</v>
      </c>
      <c r="C80" s="708" t="s">
        <v>644</v>
      </c>
      <c r="D80" s="708" t="s">
        <v>274</v>
      </c>
      <c r="E80" s="718"/>
      <c r="F80" s="173"/>
      <c r="G80" s="173"/>
      <c r="H80" s="173"/>
      <c r="I80" s="719"/>
      <c r="J80" s="712"/>
      <c r="K80" s="175"/>
      <c r="L80" s="175"/>
      <c r="M80" s="175"/>
      <c r="N80" s="614"/>
      <c r="O80" s="421"/>
      <c r="P80" s="727"/>
      <c r="Q80" s="234"/>
      <c r="R80" s="96"/>
      <c r="S80" s="96"/>
      <c r="T80" s="730"/>
      <c r="U80" s="286"/>
      <c r="V80" s="99">
        <f>VLOOKUP(A80,'Distribution Summary'!$A$136:$BJ$146,58,0)</f>
        <v>2429.60312430251</v>
      </c>
      <c r="W80" s="416">
        <f t="shared" si="2"/>
        <v>0</v>
      </c>
      <c r="X80" s="97">
        <f t="shared" si="2"/>
        <v>0</v>
      </c>
      <c r="Y80" s="97">
        <f t="shared" si="2"/>
        <v>0</v>
      </c>
      <c r="Z80" s="97">
        <f t="shared" si="2"/>
        <v>0</v>
      </c>
      <c r="AA80" s="98">
        <f t="shared" si="2"/>
        <v>0</v>
      </c>
      <c r="AB80" s="757"/>
      <c r="AC80" s="894"/>
      <c r="AK80" s="749"/>
    </row>
    <row r="81" spans="1:37" x14ac:dyDescent="0.25">
      <c r="A81" s="81" t="s">
        <v>224</v>
      </c>
      <c r="B81" s="82" t="s">
        <v>272</v>
      </c>
      <c r="C81" s="708" t="s">
        <v>644</v>
      </c>
      <c r="D81" s="708" t="s">
        <v>414</v>
      </c>
      <c r="E81" s="718"/>
      <c r="F81" s="173"/>
      <c r="G81" s="173"/>
      <c r="H81" s="173"/>
      <c r="I81" s="719"/>
      <c r="J81" s="712"/>
      <c r="K81" s="175"/>
      <c r="L81" s="175"/>
      <c r="M81" s="175"/>
      <c r="N81" s="614"/>
      <c r="O81" s="421"/>
      <c r="P81" s="727"/>
      <c r="Q81" s="234"/>
      <c r="R81" s="96"/>
      <c r="S81" s="96"/>
      <c r="T81" s="730"/>
      <c r="U81" s="286"/>
      <c r="V81" s="99">
        <f>VLOOKUP(A81,'Distribution Summary'!$A$136:$BJ$146,58,0)</f>
        <v>0</v>
      </c>
      <c r="W81" s="416">
        <f t="shared" si="2"/>
        <v>0</v>
      </c>
      <c r="X81" s="97">
        <f t="shared" si="2"/>
        <v>0</v>
      </c>
      <c r="Y81" s="97">
        <f t="shared" si="2"/>
        <v>0</v>
      </c>
      <c r="Z81" s="97">
        <f t="shared" si="2"/>
        <v>0</v>
      </c>
      <c r="AA81" s="98">
        <f t="shared" si="2"/>
        <v>0</v>
      </c>
      <c r="AB81" s="757"/>
      <c r="AC81" s="894"/>
      <c r="AK81" s="749"/>
    </row>
    <row r="82" spans="1:37" x14ac:dyDescent="0.25">
      <c r="A82" s="81" t="s">
        <v>242</v>
      </c>
      <c r="B82" s="82" t="s">
        <v>272</v>
      </c>
      <c r="C82" s="708" t="s">
        <v>644</v>
      </c>
      <c r="D82" s="708" t="s">
        <v>415</v>
      </c>
      <c r="E82" s="718"/>
      <c r="F82" s="173"/>
      <c r="G82" s="173"/>
      <c r="H82" s="173"/>
      <c r="I82" s="719"/>
      <c r="J82" s="712"/>
      <c r="K82" s="175"/>
      <c r="L82" s="175"/>
      <c r="M82" s="175"/>
      <c r="N82" s="614"/>
      <c r="O82" s="421"/>
      <c r="P82" s="727"/>
      <c r="Q82" s="234"/>
      <c r="R82" s="96"/>
      <c r="S82" s="96"/>
      <c r="T82" s="730"/>
      <c r="U82" s="286"/>
      <c r="V82" s="99">
        <f>VLOOKUP(A82,'Distribution Summary'!$A$136:$BJ$146,58,0)</f>
        <v>0</v>
      </c>
      <c r="W82" s="416">
        <f t="shared" si="2"/>
        <v>0</v>
      </c>
      <c r="X82" s="97">
        <f t="shared" si="2"/>
        <v>0</v>
      </c>
      <c r="Y82" s="97">
        <f t="shared" si="2"/>
        <v>0</v>
      </c>
      <c r="Z82" s="97">
        <f t="shared" si="2"/>
        <v>0</v>
      </c>
      <c r="AA82" s="98">
        <f t="shared" si="2"/>
        <v>0</v>
      </c>
      <c r="AB82" s="757"/>
      <c r="AC82" s="894"/>
      <c r="AK82" s="749"/>
    </row>
    <row r="83" spans="1:37" ht="15.75" thickBot="1" x14ac:dyDescent="0.3">
      <c r="A83" s="100" t="s">
        <v>258</v>
      </c>
      <c r="B83" s="101" t="s">
        <v>272</v>
      </c>
      <c r="C83" s="709" t="s">
        <v>644</v>
      </c>
      <c r="D83" s="709" t="s">
        <v>64</v>
      </c>
      <c r="E83" s="720"/>
      <c r="F83" s="178"/>
      <c r="G83" s="178"/>
      <c r="H83" s="178"/>
      <c r="I83" s="721"/>
      <c r="J83" s="713"/>
      <c r="K83" s="180"/>
      <c r="L83" s="180"/>
      <c r="M83" s="180"/>
      <c r="N83" s="615"/>
      <c r="O83" s="422"/>
      <c r="P83" s="728"/>
      <c r="Q83" s="235"/>
      <c r="R83" s="115"/>
      <c r="S83" s="115"/>
      <c r="T83" s="731"/>
      <c r="U83" s="287"/>
      <c r="V83" s="116">
        <f>VLOOKUP(A83,'Distribution Summary'!$A$136:$BJ$146,58,0)</f>
        <v>26.085065208566085</v>
      </c>
      <c r="W83" s="467">
        <f t="shared" si="2"/>
        <v>0</v>
      </c>
      <c r="X83" s="117">
        <f t="shared" si="2"/>
        <v>0</v>
      </c>
      <c r="Y83" s="117">
        <f t="shared" si="2"/>
        <v>0</v>
      </c>
      <c r="Z83" s="117">
        <f t="shared" si="2"/>
        <v>0</v>
      </c>
      <c r="AA83" s="118">
        <f t="shared" si="2"/>
        <v>0</v>
      </c>
      <c r="AB83" s="758"/>
      <c r="AC83" s="894"/>
      <c r="AK83" s="749"/>
    </row>
    <row r="84" spans="1:37" x14ac:dyDescent="0.25">
      <c r="A84" s="63" t="s">
        <v>296</v>
      </c>
      <c r="B84" s="64" t="s">
        <v>638</v>
      </c>
      <c r="C84" s="707" t="s">
        <v>643</v>
      </c>
      <c r="D84" s="707" t="s">
        <v>409</v>
      </c>
      <c r="E84" s="716"/>
      <c r="F84" s="168"/>
      <c r="G84" s="168"/>
      <c r="H84" s="168"/>
      <c r="I84" s="717"/>
      <c r="J84" s="711"/>
      <c r="K84" s="170"/>
      <c r="L84" s="170"/>
      <c r="M84" s="170"/>
      <c r="N84" s="613"/>
      <c r="O84" s="420"/>
      <c r="P84" s="726"/>
      <c r="Q84" s="241"/>
      <c r="R84" s="144"/>
      <c r="S84" s="144"/>
      <c r="T84" s="729"/>
      <c r="U84" s="293"/>
      <c r="V84" s="124">
        <f>VLOOKUP(A84,'Distribution Summary'!$A$136:$BJ$146,58,0)</f>
        <v>4658</v>
      </c>
      <c r="W84" s="415">
        <f t="shared" si="2"/>
        <v>0</v>
      </c>
      <c r="X84" s="79">
        <f t="shared" si="2"/>
        <v>0</v>
      </c>
      <c r="Y84" s="79">
        <f t="shared" si="2"/>
        <v>0</v>
      </c>
      <c r="Z84" s="79">
        <f t="shared" si="2"/>
        <v>0</v>
      </c>
      <c r="AA84" s="80">
        <f t="shared" si="2"/>
        <v>0</v>
      </c>
      <c r="AB84" s="756"/>
      <c r="AC84" s="894"/>
      <c r="AD84" s="1"/>
      <c r="AE84" s="1"/>
      <c r="AF84" s="755"/>
      <c r="AG84" s="755"/>
      <c r="AH84" s="755"/>
      <c r="AI84" s="755"/>
      <c r="AJ84" s="755"/>
      <c r="AK84" s="750"/>
    </row>
    <row r="85" spans="1:37" x14ac:dyDescent="0.25">
      <c r="A85" s="81" t="s">
        <v>27</v>
      </c>
      <c r="B85" s="82" t="s">
        <v>638</v>
      </c>
      <c r="C85" s="708" t="s">
        <v>643</v>
      </c>
      <c r="D85" s="708" t="s">
        <v>410</v>
      </c>
      <c r="E85" s="718"/>
      <c r="F85" s="173"/>
      <c r="G85" s="173"/>
      <c r="H85" s="173"/>
      <c r="I85" s="719"/>
      <c r="J85" s="712"/>
      <c r="K85" s="175"/>
      <c r="L85" s="175"/>
      <c r="M85" s="175"/>
      <c r="N85" s="614"/>
      <c r="O85" s="421"/>
      <c r="P85" s="727"/>
      <c r="Q85" s="234"/>
      <c r="R85" s="96"/>
      <c r="S85" s="96"/>
      <c r="T85" s="730"/>
      <c r="U85" s="286"/>
      <c r="V85" s="99">
        <f>VLOOKUP(A85,'Distribution Summary'!$A$136:$BJ$146,58,0)</f>
        <v>14610.376550596677</v>
      </c>
      <c r="W85" s="416">
        <f t="shared" si="2"/>
        <v>0</v>
      </c>
      <c r="X85" s="97">
        <f t="shared" si="2"/>
        <v>0</v>
      </c>
      <c r="Y85" s="97">
        <f t="shared" si="2"/>
        <v>0</v>
      </c>
      <c r="Z85" s="97">
        <f t="shared" si="2"/>
        <v>0</v>
      </c>
      <c r="AA85" s="98">
        <f t="shared" si="2"/>
        <v>0</v>
      </c>
      <c r="AB85" s="757"/>
      <c r="AC85" s="894"/>
      <c r="AF85" s="751"/>
      <c r="AG85" s="751"/>
      <c r="AH85" s="751"/>
      <c r="AI85" s="751"/>
      <c r="AJ85" s="751"/>
      <c r="AK85" s="749"/>
    </row>
    <row r="86" spans="1:37" x14ac:dyDescent="0.25">
      <c r="A86" s="81" t="s">
        <v>68</v>
      </c>
      <c r="B86" s="82" t="s">
        <v>638</v>
      </c>
      <c r="C86" s="708" t="s">
        <v>643</v>
      </c>
      <c r="D86" s="708" t="s">
        <v>411</v>
      </c>
      <c r="E86" s="718"/>
      <c r="F86" s="173"/>
      <c r="G86" s="173"/>
      <c r="H86" s="173"/>
      <c r="I86" s="719"/>
      <c r="J86" s="712"/>
      <c r="K86" s="175"/>
      <c r="L86" s="175"/>
      <c r="M86" s="175"/>
      <c r="N86" s="614"/>
      <c r="O86" s="421"/>
      <c r="P86" s="727"/>
      <c r="Q86" s="234"/>
      <c r="R86" s="96"/>
      <c r="S86" s="96"/>
      <c r="T86" s="730"/>
      <c r="U86" s="286"/>
      <c r="V86" s="99">
        <f>VLOOKUP(A86,'Distribution Summary'!$A$136:$BJ$146,58,0)</f>
        <v>30402.739680878618</v>
      </c>
      <c r="W86" s="416">
        <f t="shared" si="2"/>
        <v>0</v>
      </c>
      <c r="X86" s="97">
        <f t="shared" si="2"/>
        <v>0</v>
      </c>
      <c r="Y86" s="97">
        <f t="shared" si="2"/>
        <v>0</v>
      </c>
      <c r="Z86" s="97">
        <f t="shared" si="2"/>
        <v>0</v>
      </c>
      <c r="AA86" s="98">
        <f t="shared" si="2"/>
        <v>0</v>
      </c>
      <c r="AB86" s="757"/>
      <c r="AC86" s="894"/>
      <c r="AE86" s="1"/>
      <c r="AF86" s="755"/>
      <c r="AG86" s="755"/>
      <c r="AH86" s="755"/>
      <c r="AI86" s="755"/>
      <c r="AJ86" s="755"/>
      <c r="AK86" s="755"/>
    </row>
    <row r="87" spans="1:37" x14ac:dyDescent="0.25">
      <c r="A87" s="81" t="s">
        <v>81</v>
      </c>
      <c r="B87" s="82" t="s">
        <v>638</v>
      </c>
      <c r="C87" s="708" t="s">
        <v>643</v>
      </c>
      <c r="D87" s="708" t="s">
        <v>270</v>
      </c>
      <c r="E87" s="718"/>
      <c r="F87" s="173"/>
      <c r="G87" s="173"/>
      <c r="H87" s="173"/>
      <c r="I87" s="719"/>
      <c r="J87" s="725"/>
      <c r="K87" s="631"/>
      <c r="L87" s="631"/>
      <c r="M87" s="631"/>
      <c r="N87" s="671"/>
      <c r="O87" s="421"/>
      <c r="P87" s="727"/>
      <c r="Q87" s="234"/>
      <c r="R87" s="96"/>
      <c r="S87" s="96"/>
      <c r="T87" s="730"/>
      <c r="U87" s="286"/>
      <c r="V87" s="99">
        <f>VLOOKUP(A87,'Distribution Summary'!$A$136:$BJ$146,58,0)</f>
        <v>730.02877600199986</v>
      </c>
      <c r="W87" s="416">
        <f t="shared" si="2"/>
        <v>0</v>
      </c>
      <c r="X87" s="97">
        <f t="shared" si="2"/>
        <v>0</v>
      </c>
      <c r="Y87" s="97">
        <f t="shared" si="2"/>
        <v>0</v>
      </c>
      <c r="Z87" s="97">
        <f t="shared" si="2"/>
        <v>0</v>
      </c>
      <c r="AA87" s="98">
        <f t="shared" si="2"/>
        <v>0</v>
      </c>
      <c r="AB87" s="757"/>
      <c r="AC87" s="894"/>
      <c r="AK87" s="749"/>
    </row>
    <row r="88" spans="1:37" x14ac:dyDescent="0.25">
      <c r="A88" s="81" t="s">
        <v>94</v>
      </c>
      <c r="B88" s="82" t="s">
        <v>638</v>
      </c>
      <c r="C88" s="708" t="s">
        <v>643</v>
      </c>
      <c r="D88" s="708" t="s">
        <v>412</v>
      </c>
      <c r="E88" s="718"/>
      <c r="F88" s="173"/>
      <c r="G88" s="173"/>
      <c r="H88" s="173"/>
      <c r="I88" s="719"/>
      <c r="J88" s="712"/>
      <c r="K88" s="175"/>
      <c r="L88" s="175"/>
      <c r="M88" s="175"/>
      <c r="N88" s="614"/>
      <c r="O88" s="421"/>
      <c r="P88" s="727"/>
      <c r="Q88" s="234"/>
      <c r="R88" s="96"/>
      <c r="S88" s="96"/>
      <c r="T88" s="730"/>
      <c r="U88" s="286"/>
      <c r="V88" s="99">
        <f>VLOOKUP(A88,'Distribution Summary'!$A$136:$BJ$146,58,0)</f>
        <v>20.980691549933333</v>
      </c>
      <c r="W88" s="416">
        <f t="shared" si="2"/>
        <v>0</v>
      </c>
      <c r="X88" s="97">
        <f t="shared" si="2"/>
        <v>0</v>
      </c>
      <c r="Y88" s="97">
        <f t="shared" si="2"/>
        <v>0</v>
      </c>
      <c r="Z88" s="97">
        <f t="shared" si="2"/>
        <v>0</v>
      </c>
      <c r="AA88" s="98">
        <f t="shared" si="2"/>
        <v>0</v>
      </c>
      <c r="AB88" s="757"/>
      <c r="AC88" s="894"/>
      <c r="AK88" s="749"/>
    </row>
    <row r="89" spans="1:37" x14ac:dyDescent="0.25">
      <c r="A89" s="81" t="s">
        <v>106</v>
      </c>
      <c r="B89" s="82" t="s">
        <v>638</v>
      </c>
      <c r="C89" s="708" t="s">
        <v>643</v>
      </c>
      <c r="D89" s="708" t="s">
        <v>272</v>
      </c>
      <c r="E89" s="718"/>
      <c r="F89" s="173"/>
      <c r="G89" s="173"/>
      <c r="H89" s="173"/>
      <c r="I89" s="719"/>
      <c r="J89" s="712"/>
      <c r="K89" s="175"/>
      <c r="L89" s="175"/>
      <c r="M89" s="175"/>
      <c r="N89" s="614"/>
      <c r="O89" s="421"/>
      <c r="P89" s="727"/>
      <c r="Q89" s="234"/>
      <c r="R89" s="96"/>
      <c r="S89" s="96"/>
      <c r="T89" s="730"/>
      <c r="U89" s="286"/>
      <c r="V89" s="99">
        <f>VLOOKUP(A89,'Distribution Summary'!$A$136:$BJ$146,58,0)</f>
        <v>18191.246298465947</v>
      </c>
      <c r="W89" s="416">
        <f t="shared" si="2"/>
        <v>0</v>
      </c>
      <c r="X89" s="97">
        <f t="shared" si="2"/>
        <v>0</v>
      </c>
      <c r="Y89" s="97">
        <f t="shared" si="2"/>
        <v>0</v>
      </c>
      <c r="Z89" s="97">
        <f t="shared" si="2"/>
        <v>0</v>
      </c>
      <c r="AA89" s="98">
        <f t="shared" si="2"/>
        <v>0</v>
      </c>
      <c r="AB89" s="757"/>
      <c r="AC89" s="894"/>
      <c r="AK89" s="749"/>
    </row>
    <row r="90" spans="1:37" x14ac:dyDescent="0.25">
      <c r="A90" s="81" t="s">
        <v>138</v>
      </c>
      <c r="B90" s="82" t="s">
        <v>638</v>
      </c>
      <c r="C90" s="708" t="s">
        <v>643</v>
      </c>
      <c r="D90" s="708" t="s">
        <v>413</v>
      </c>
      <c r="E90" s="718">
        <v>50364051.328778177</v>
      </c>
      <c r="F90" s="173">
        <v>61750667.000000007</v>
      </c>
      <c r="G90" s="173">
        <v>51587767.599228106</v>
      </c>
      <c r="H90" s="173">
        <v>60010317.906087011</v>
      </c>
      <c r="I90" s="719">
        <v>60881239.6951693</v>
      </c>
      <c r="J90" s="712">
        <v>1328</v>
      </c>
      <c r="K90" s="175">
        <v>1225</v>
      </c>
      <c r="L90" s="175">
        <v>1198</v>
      </c>
      <c r="M90" s="175">
        <v>1265</v>
      </c>
      <c r="N90" s="614">
        <v>979</v>
      </c>
      <c r="O90" s="421">
        <f>'Defect (Total)'!BC187</f>
        <v>1278.5659932491421</v>
      </c>
      <c r="P90" s="727">
        <f>'Defect (Total)'!BD187</f>
        <v>1278.5659932491421</v>
      </c>
      <c r="Q90" s="234">
        <f>'Defect (Total)'!BE187</f>
        <v>551.67751385677047</v>
      </c>
      <c r="R90" s="96">
        <f>'Defect (Total)'!BF187</f>
        <v>551.67751385677047</v>
      </c>
      <c r="S90" s="96">
        <f>'Defect (Total)'!BG187</f>
        <v>551.67751385677047</v>
      </c>
      <c r="T90" s="730">
        <f>'Defect (Total)'!BH187</f>
        <v>551.67751385677047</v>
      </c>
      <c r="U90" s="286">
        <f>'Defect (Total)'!BI187</f>
        <v>551.67751385677047</v>
      </c>
      <c r="V90" s="99">
        <f>VLOOKUP(A90,'Distribution Summary'!$A$136:$BJ$146,58,0)</f>
        <v>944.55876292157745</v>
      </c>
      <c r="W90" s="416">
        <f t="shared" si="2"/>
        <v>521091.8300202025</v>
      </c>
      <c r="X90" s="97">
        <f t="shared" si="2"/>
        <v>521091.8300202025</v>
      </c>
      <c r="Y90" s="97">
        <f t="shared" si="2"/>
        <v>521091.8300202025</v>
      </c>
      <c r="Z90" s="97">
        <f t="shared" si="2"/>
        <v>521091.8300202025</v>
      </c>
      <c r="AA90" s="98">
        <f t="shared" si="2"/>
        <v>521091.8300202025</v>
      </c>
      <c r="AB90" s="757"/>
      <c r="AC90" s="894"/>
      <c r="AK90" s="749"/>
    </row>
    <row r="91" spans="1:37" x14ac:dyDescent="0.25">
      <c r="A91" s="81" t="s">
        <v>196</v>
      </c>
      <c r="B91" s="82" t="s">
        <v>638</v>
      </c>
      <c r="C91" s="708" t="s">
        <v>643</v>
      </c>
      <c r="D91" s="708" t="s">
        <v>274</v>
      </c>
      <c r="E91" s="718"/>
      <c r="F91" s="173"/>
      <c r="G91" s="173"/>
      <c r="H91" s="173"/>
      <c r="I91" s="719"/>
      <c r="J91" s="712"/>
      <c r="K91" s="175"/>
      <c r="L91" s="175"/>
      <c r="M91" s="175"/>
      <c r="N91" s="614"/>
      <c r="O91" s="421"/>
      <c r="P91" s="727"/>
      <c r="Q91" s="234"/>
      <c r="R91" s="96"/>
      <c r="S91" s="96"/>
      <c r="T91" s="730"/>
      <c r="U91" s="286"/>
      <c r="V91" s="99">
        <f>VLOOKUP(A91,'Distribution Summary'!$A$136:$BJ$146,58,0)</f>
        <v>2429.60312430251</v>
      </c>
      <c r="W91" s="416">
        <f t="shared" si="2"/>
        <v>0</v>
      </c>
      <c r="X91" s="97">
        <f t="shared" si="2"/>
        <v>0</v>
      </c>
      <c r="Y91" s="97">
        <f t="shared" si="2"/>
        <v>0</v>
      </c>
      <c r="Z91" s="97">
        <f t="shared" si="2"/>
        <v>0</v>
      </c>
      <c r="AA91" s="98">
        <f t="shared" si="2"/>
        <v>0</v>
      </c>
      <c r="AB91" s="757"/>
      <c r="AC91" s="894"/>
      <c r="AK91" s="749"/>
    </row>
    <row r="92" spans="1:37" x14ac:dyDescent="0.25">
      <c r="A92" s="81" t="s">
        <v>224</v>
      </c>
      <c r="B92" s="82" t="s">
        <v>638</v>
      </c>
      <c r="C92" s="708" t="s">
        <v>643</v>
      </c>
      <c r="D92" s="708" t="s">
        <v>414</v>
      </c>
      <c r="E92" s="718"/>
      <c r="F92" s="173"/>
      <c r="G92" s="173"/>
      <c r="H92" s="173"/>
      <c r="I92" s="719"/>
      <c r="J92" s="712"/>
      <c r="K92" s="175"/>
      <c r="L92" s="175"/>
      <c r="M92" s="175"/>
      <c r="N92" s="614"/>
      <c r="O92" s="421"/>
      <c r="P92" s="727"/>
      <c r="Q92" s="234"/>
      <c r="R92" s="96"/>
      <c r="S92" s="96"/>
      <c r="T92" s="730"/>
      <c r="U92" s="286"/>
      <c r="V92" s="99">
        <f>VLOOKUP(A92,'Distribution Summary'!$A$136:$BJ$146,58,0)</f>
        <v>0</v>
      </c>
      <c r="W92" s="416">
        <f t="shared" si="2"/>
        <v>0</v>
      </c>
      <c r="X92" s="97">
        <f t="shared" si="2"/>
        <v>0</v>
      </c>
      <c r="Y92" s="97">
        <f t="shared" si="2"/>
        <v>0</v>
      </c>
      <c r="Z92" s="97">
        <f t="shared" si="2"/>
        <v>0</v>
      </c>
      <c r="AA92" s="98">
        <f t="shared" si="2"/>
        <v>0</v>
      </c>
      <c r="AB92" s="757"/>
      <c r="AC92" s="894"/>
      <c r="AK92" s="749"/>
    </row>
    <row r="93" spans="1:37" x14ac:dyDescent="0.25">
      <c r="A93" s="81" t="s">
        <v>242</v>
      </c>
      <c r="B93" s="82" t="s">
        <v>638</v>
      </c>
      <c r="C93" s="708" t="s">
        <v>643</v>
      </c>
      <c r="D93" s="708" t="s">
        <v>415</v>
      </c>
      <c r="E93" s="718"/>
      <c r="F93" s="173"/>
      <c r="G93" s="173"/>
      <c r="H93" s="173"/>
      <c r="I93" s="719"/>
      <c r="J93" s="712"/>
      <c r="K93" s="175"/>
      <c r="L93" s="175"/>
      <c r="M93" s="175"/>
      <c r="N93" s="614"/>
      <c r="O93" s="421"/>
      <c r="P93" s="727"/>
      <c r="Q93" s="234"/>
      <c r="R93" s="96"/>
      <c r="S93" s="96"/>
      <c r="T93" s="730"/>
      <c r="U93" s="286"/>
      <c r="V93" s="99">
        <f>VLOOKUP(A93,'Distribution Summary'!$A$136:$BJ$146,58,0)</f>
        <v>0</v>
      </c>
      <c r="W93" s="416">
        <f t="shared" si="2"/>
        <v>0</v>
      </c>
      <c r="X93" s="97">
        <f t="shared" si="2"/>
        <v>0</v>
      </c>
      <c r="Y93" s="97">
        <f t="shared" si="2"/>
        <v>0</v>
      </c>
      <c r="Z93" s="97">
        <f t="shared" si="2"/>
        <v>0</v>
      </c>
      <c r="AA93" s="98">
        <f t="shared" si="2"/>
        <v>0</v>
      </c>
      <c r="AB93" s="757"/>
      <c r="AC93" s="894"/>
      <c r="AK93" s="749"/>
    </row>
    <row r="94" spans="1:37" ht="15.75" thickBot="1" x14ac:dyDescent="0.3">
      <c r="A94" s="100" t="s">
        <v>258</v>
      </c>
      <c r="B94" s="101" t="s">
        <v>638</v>
      </c>
      <c r="C94" s="709" t="s">
        <v>643</v>
      </c>
      <c r="D94" s="709" t="s">
        <v>64</v>
      </c>
      <c r="E94" s="720"/>
      <c r="F94" s="178"/>
      <c r="G94" s="178"/>
      <c r="H94" s="178"/>
      <c r="I94" s="721"/>
      <c r="J94" s="713"/>
      <c r="K94" s="180"/>
      <c r="L94" s="180"/>
      <c r="M94" s="180"/>
      <c r="N94" s="615"/>
      <c r="O94" s="422"/>
      <c r="P94" s="728"/>
      <c r="Q94" s="235"/>
      <c r="R94" s="115"/>
      <c r="S94" s="115"/>
      <c r="T94" s="731"/>
      <c r="U94" s="287"/>
      <c r="V94" s="116">
        <f>VLOOKUP(A94,'Distribution Summary'!$A$136:$BJ$146,58,0)</f>
        <v>26.085065208566085</v>
      </c>
      <c r="W94" s="467">
        <f t="shared" si="2"/>
        <v>0</v>
      </c>
      <c r="X94" s="117">
        <f t="shared" si="2"/>
        <v>0</v>
      </c>
      <c r="Y94" s="117">
        <f t="shared" si="2"/>
        <v>0</v>
      </c>
      <c r="Z94" s="117">
        <f t="shared" si="2"/>
        <v>0</v>
      </c>
      <c r="AA94" s="118">
        <f t="shared" si="2"/>
        <v>0</v>
      </c>
      <c r="AB94" s="758"/>
      <c r="AC94" s="894"/>
      <c r="AK94" s="749"/>
    </row>
    <row r="95" spans="1:37" x14ac:dyDescent="0.25">
      <c r="A95" s="63" t="s">
        <v>296</v>
      </c>
      <c r="B95" s="64" t="s">
        <v>639</v>
      </c>
      <c r="C95" s="707" t="s">
        <v>643</v>
      </c>
      <c r="D95" s="707" t="s">
        <v>409</v>
      </c>
      <c r="E95" s="716"/>
      <c r="F95" s="168"/>
      <c r="G95" s="168"/>
      <c r="H95" s="168"/>
      <c r="I95" s="717"/>
      <c r="J95" s="711"/>
      <c r="K95" s="170"/>
      <c r="L95" s="170"/>
      <c r="M95" s="170"/>
      <c r="N95" s="613"/>
      <c r="O95" s="420"/>
      <c r="P95" s="726"/>
      <c r="Q95" s="241"/>
      <c r="R95" s="144"/>
      <c r="S95" s="144"/>
      <c r="T95" s="729"/>
      <c r="U95" s="293"/>
      <c r="V95" s="124">
        <f>VLOOKUP(A95,'Distribution Summary'!$A$136:$BJ$146,58,0)</f>
        <v>4658</v>
      </c>
      <c r="W95" s="415">
        <f t="shared" si="2"/>
        <v>0</v>
      </c>
      <c r="X95" s="79">
        <f t="shared" si="2"/>
        <v>0</v>
      </c>
      <c r="Y95" s="79">
        <f t="shared" si="2"/>
        <v>0</v>
      </c>
      <c r="Z95" s="79">
        <f t="shared" si="2"/>
        <v>0</v>
      </c>
      <c r="AA95" s="80">
        <f t="shared" si="2"/>
        <v>0</v>
      </c>
      <c r="AB95" s="756"/>
      <c r="AC95" s="894"/>
      <c r="AD95" s="1"/>
      <c r="AE95" s="1"/>
      <c r="AF95" s="755"/>
      <c r="AG95" s="755"/>
      <c r="AH95" s="755"/>
      <c r="AI95" s="755"/>
      <c r="AJ95" s="755"/>
      <c r="AK95" s="750"/>
    </row>
    <row r="96" spans="1:37" x14ac:dyDescent="0.25">
      <c r="A96" s="81" t="s">
        <v>27</v>
      </c>
      <c r="B96" s="82" t="s">
        <v>639</v>
      </c>
      <c r="C96" s="708" t="s">
        <v>643</v>
      </c>
      <c r="D96" s="708" t="s">
        <v>410</v>
      </c>
      <c r="E96" s="718"/>
      <c r="F96" s="173"/>
      <c r="G96" s="173"/>
      <c r="H96" s="173"/>
      <c r="I96" s="719"/>
      <c r="J96" s="712"/>
      <c r="K96" s="175"/>
      <c r="L96" s="175"/>
      <c r="M96" s="175"/>
      <c r="N96" s="614"/>
      <c r="O96" s="421"/>
      <c r="P96" s="727"/>
      <c r="Q96" s="234"/>
      <c r="R96" s="96"/>
      <c r="S96" s="96"/>
      <c r="T96" s="730"/>
      <c r="U96" s="286"/>
      <c r="V96" s="99">
        <f>VLOOKUP(A96,'Distribution Summary'!$A$136:$BJ$146,58,0)</f>
        <v>14610.376550596677</v>
      </c>
      <c r="W96" s="416">
        <f t="shared" si="2"/>
        <v>0</v>
      </c>
      <c r="X96" s="97">
        <f t="shared" si="2"/>
        <v>0</v>
      </c>
      <c r="Y96" s="97">
        <f t="shared" si="2"/>
        <v>0</v>
      </c>
      <c r="Z96" s="97">
        <f t="shared" si="2"/>
        <v>0</v>
      </c>
      <c r="AA96" s="98">
        <f t="shared" si="2"/>
        <v>0</v>
      </c>
      <c r="AB96" s="757"/>
      <c r="AC96" s="894"/>
      <c r="AF96" s="751"/>
      <c r="AG96" s="751"/>
      <c r="AH96" s="751"/>
      <c r="AI96" s="751"/>
      <c r="AJ96" s="751"/>
      <c r="AK96" s="749"/>
    </row>
    <row r="97" spans="1:37" x14ac:dyDescent="0.25">
      <c r="A97" s="81" t="s">
        <v>68</v>
      </c>
      <c r="B97" s="82" t="s">
        <v>639</v>
      </c>
      <c r="C97" s="708" t="s">
        <v>643</v>
      </c>
      <c r="D97" s="708" t="s">
        <v>411</v>
      </c>
      <c r="E97" s="718"/>
      <c r="F97" s="173"/>
      <c r="G97" s="173"/>
      <c r="H97" s="173"/>
      <c r="I97" s="719"/>
      <c r="J97" s="712"/>
      <c r="K97" s="175"/>
      <c r="L97" s="175"/>
      <c r="M97" s="175"/>
      <c r="N97" s="614"/>
      <c r="O97" s="421"/>
      <c r="P97" s="727"/>
      <c r="Q97" s="234"/>
      <c r="R97" s="96"/>
      <c r="S97" s="96"/>
      <c r="T97" s="730"/>
      <c r="U97" s="286"/>
      <c r="V97" s="99">
        <f>VLOOKUP(A97,'Distribution Summary'!$A$136:$BJ$146,58,0)</f>
        <v>30402.739680878618</v>
      </c>
      <c r="W97" s="416">
        <f t="shared" si="2"/>
        <v>0</v>
      </c>
      <c r="X97" s="97">
        <f t="shared" si="2"/>
        <v>0</v>
      </c>
      <c r="Y97" s="97">
        <f t="shared" si="2"/>
        <v>0</v>
      </c>
      <c r="Z97" s="97">
        <f t="shared" si="2"/>
        <v>0</v>
      </c>
      <c r="AA97" s="98">
        <f t="shared" si="2"/>
        <v>0</v>
      </c>
      <c r="AB97" s="757"/>
      <c r="AC97" s="894"/>
      <c r="AE97" s="1"/>
      <c r="AF97" s="755"/>
      <c r="AG97" s="755"/>
      <c r="AH97" s="755"/>
      <c r="AI97" s="755"/>
      <c r="AJ97" s="755"/>
      <c r="AK97" s="755"/>
    </row>
    <row r="98" spans="1:37" x14ac:dyDescent="0.25">
      <c r="A98" s="81" t="s">
        <v>81</v>
      </c>
      <c r="B98" s="82" t="s">
        <v>639</v>
      </c>
      <c r="C98" s="708" t="s">
        <v>643</v>
      </c>
      <c r="D98" s="708" t="s">
        <v>270</v>
      </c>
      <c r="E98" s="718"/>
      <c r="F98" s="173"/>
      <c r="G98" s="173"/>
      <c r="H98" s="173"/>
      <c r="I98" s="719"/>
      <c r="J98" s="725"/>
      <c r="K98" s="631"/>
      <c r="L98" s="631"/>
      <c r="M98" s="631"/>
      <c r="N98" s="671"/>
      <c r="O98" s="421"/>
      <c r="P98" s="727"/>
      <c r="Q98" s="234"/>
      <c r="R98" s="96"/>
      <c r="S98" s="96"/>
      <c r="T98" s="730"/>
      <c r="U98" s="286"/>
      <c r="V98" s="99">
        <f>VLOOKUP(A98,'Distribution Summary'!$A$136:$BJ$146,58,0)</f>
        <v>730.02877600199986</v>
      </c>
      <c r="W98" s="416">
        <f t="shared" si="2"/>
        <v>0</v>
      </c>
      <c r="X98" s="97">
        <f t="shared" si="2"/>
        <v>0</v>
      </c>
      <c r="Y98" s="97">
        <f t="shared" si="2"/>
        <v>0</v>
      </c>
      <c r="Z98" s="97">
        <f t="shared" si="2"/>
        <v>0</v>
      </c>
      <c r="AA98" s="98">
        <f t="shared" si="2"/>
        <v>0</v>
      </c>
      <c r="AB98" s="757"/>
      <c r="AC98" s="894"/>
      <c r="AK98" s="749"/>
    </row>
    <row r="99" spans="1:37" x14ac:dyDescent="0.25">
      <c r="A99" s="81" t="s">
        <v>94</v>
      </c>
      <c r="B99" s="82" t="s">
        <v>639</v>
      </c>
      <c r="C99" s="708" t="s">
        <v>643</v>
      </c>
      <c r="D99" s="708" t="s">
        <v>412</v>
      </c>
      <c r="E99" s="718"/>
      <c r="F99" s="173"/>
      <c r="G99" s="173"/>
      <c r="H99" s="173"/>
      <c r="I99" s="719"/>
      <c r="J99" s="712"/>
      <c r="K99" s="175"/>
      <c r="L99" s="175"/>
      <c r="M99" s="175"/>
      <c r="N99" s="614"/>
      <c r="O99" s="421"/>
      <c r="P99" s="727"/>
      <c r="Q99" s="234"/>
      <c r="R99" s="96"/>
      <c r="S99" s="96"/>
      <c r="T99" s="730"/>
      <c r="U99" s="286"/>
      <c r="V99" s="99">
        <f>VLOOKUP(A99,'Distribution Summary'!$A$136:$BJ$146,58,0)</f>
        <v>20.980691549933333</v>
      </c>
      <c r="W99" s="416">
        <f t="shared" si="2"/>
        <v>0</v>
      </c>
      <c r="X99" s="97">
        <f t="shared" si="2"/>
        <v>0</v>
      </c>
      <c r="Y99" s="97">
        <f t="shared" si="2"/>
        <v>0</v>
      </c>
      <c r="Z99" s="97">
        <f t="shared" si="2"/>
        <v>0</v>
      </c>
      <c r="AA99" s="98">
        <f t="shared" si="2"/>
        <v>0</v>
      </c>
      <c r="AB99" s="757"/>
      <c r="AC99" s="894"/>
      <c r="AE99" s="1"/>
      <c r="AF99" s="395"/>
      <c r="AG99" s="395"/>
      <c r="AH99" s="395"/>
      <c r="AI99" s="395"/>
      <c r="AJ99" s="395"/>
      <c r="AK99" s="755"/>
    </row>
    <row r="100" spans="1:37" x14ac:dyDescent="0.25">
      <c r="A100" s="81" t="s">
        <v>106</v>
      </c>
      <c r="B100" s="82" t="s">
        <v>639</v>
      </c>
      <c r="C100" s="708" t="s">
        <v>643</v>
      </c>
      <c r="D100" s="708" t="s">
        <v>272</v>
      </c>
      <c r="E100" s="718"/>
      <c r="F100" s="173"/>
      <c r="G100" s="173"/>
      <c r="H100" s="173"/>
      <c r="I100" s="719"/>
      <c r="J100" s="712"/>
      <c r="K100" s="175"/>
      <c r="L100" s="175"/>
      <c r="M100" s="175"/>
      <c r="N100" s="614"/>
      <c r="O100" s="421"/>
      <c r="P100" s="727"/>
      <c r="Q100" s="234"/>
      <c r="R100" s="96"/>
      <c r="S100" s="96"/>
      <c r="T100" s="730"/>
      <c r="U100" s="286"/>
      <c r="V100" s="99">
        <f>VLOOKUP(A100,'Distribution Summary'!$A$136:$BJ$146,58,0)</f>
        <v>18191.246298465947</v>
      </c>
      <c r="W100" s="416">
        <f t="shared" si="2"/>
        <v>0</v>
      </c>
      <c r="X100" s="97">
        <f t="shared" si="2"/>
        <v>0</v>
      </c>
      <c r="Y100" s="97">
        <f t="shared" si="2"/>
        <v>0</v>
      </c>
      <c r="Z100" s="97">
        <f t="shared" si="2"/>
        <v>0</v>
      </c>
      <c r="AA100" s="98">
        <f t="shared" si="2"/>
        <v>0</v>
      </c>
      <c r="AB100" s="757"/>
      <c r="AC100" s="894"/>
      <c r="AK100" s="749"/>
    </row>
    <row r="101" spans="1:37" x14ac:dyDescent="0.25">
      <c r="A101" s="81" t="s">
        <v>138</v>
      </c>
      <c r="B101" s="82" t="s">
        <v>639</v>
      </c>
      <c r="C101" s="708" t="s">
        <v>643</v>
      </c>
      <c r="D101" s="708" t="s">
        <v>413</v>
      </c>
      <c r="E101" s="718"/>
      <c r="F101" s="173"/>
      <c r="G101" s="173"/>
      <c r="H101" s="173"/>
      <c r="I101" s="719"/>
      <c r="J101" s="712"/>
      <c r="K101" s="175"/>
      <c r="L101" s="175"/>
      <c r="M101" s="175"/>
      <c r="N101" s="614"/>
      <c r="O101" s="421"/>
      <c r="P101" s="727"/>
      <c r="Q101" s="234"/>
      <c r="R101" s="96"/>
      <c r="S101" s="96"/>
      <c r="T101" s="730"/>
      <c r="U101" s="286"/>
      <c r="V101" s="99">
        <f>VLOOKUP(A101,'Distribution Summary'!$A$136:$BJ$146,58,0)</f>
        <v>944.55876292157745</v>
      </c>
      <c r="W101" s="416">
        <f t="shared" si="2"/>
        <v>0</v>
      </c>
      <c r="X101" s="97">
        <f t="shared" si="2"/>
        <v>0</v>
      </c>
      <c r="Y101" s="97">
        <f t="shared" si="2"/>
        <v>0</v>
      </c>
      <c r="Z101" s="97">
        <f t="shared" si="2"/>
        <v>0</v>
      </c>
      <c r="AA101" s="98">
        <f t="shared" si="2"/>
        <v>0</v>
      </c>
      <c r="AB101" s="757"/>
      <c r="AC101" s="894"/>
      <c r="AK101" s="749"/>
    </row>
    <row r="102" spans="1:37" x14ac:dyDescent="0.25">
      <c r="A102" s="81" t="s">
        <v>196</v>
      </c>
      <c r="B102" s="82" t="s">
        <v>639</v>
      </c>
      <c r="C102" s="708" t="s">
        <v>643</v>
      </c>
      <c r="D102" s="708" t="s">
        <v>274</v>
      </c>
      <c r="E102" s="718">
        <v>8594099.4835232366</v>
      </c>
      <c r="F102" s="173">
        <v>7887834.0505485302</v>
      </c>
      <c r="G102" s="173">
        <v>8377180.5776933432</v>
      </c>
      <c r="H102" s="173">
        <v>7133295.7243491206</v>
      </c>
      <c r="I102" s="719">
        <v>12060440.102773685</v>
      </c>
      <c r="J102" s="712">
        <v>860</v>
      </c>
      <c r="K102" s="175">
        <v>860</v>
      </c>
      <c r="L102" s="175">
        <v>1044</v>
      </c>
      <c r="M102" s="175">
        <v>1056</v>
      </c>
      <c r="N102" s="614">
        <v>1286</v>
      </c>
      <c r="O102" s="421">
        <f>'Defect (Total)'!BC188-'Defect (Total)'!BC96</f>
        <v>1347.3353309995496</v>
      </c>
      <c r="P102" s="727">
        <f>'Defect (Total)'!BD188-'Defect (Total)'!BD96</f>
        <v>1347.3353309995496</v>
      </c>
      <c r="Q102" s="234">
        <f>'Defect (Total)'!BE188-'Defect (Total)'!BE96</f>
        <v>540.19846628416781</v>
      </c>
      <c r="R102" s="96">
        <f>'Defect (Total)'!BF188-'Defect (Total)'!BF96</f>
        <v>540.19846628416781</v>
      </c>
      <c r="S102" s="96">
        <f>'Defect (Total)'!BG188-'Defect (Total)'!BG96</f>
        <v>540.19846628416781</v>
      </c>
      <c r="T102" s="730">
        <f>'Defect (Total)'!BH188-'Defect (Total)'!BH96</f>
        <v>540.19846628416781</v>
      </c>
      <c r="U102" s="286">
        <f>'Defect (Total)'!BI188-'Defect (Total)'!BI96</f>
        <v>540.19846628416781</v>
      </c>
      <c r="V102" s="99">
        <f>VLOOKUP(A102,'Distribution Summary'!$A$136:$BJ$146,58,0)</f>
        <v>2429.60312430251</v>
      </c>
      <c r="W102" s="416">
        <f t="shared" si="2"/>
        <v>1312467.8814274382</v>
      </c>
      <c r="X102" s="97">
        <f t="shared" si="2"/>
        <v>1312467.8814274382</v>
      </c>
      <c r="Y102" s="97">
        <f t="shared" si="2"/>
        <v>1312467.8814274382</v>
      </c>
      <c r="Z102" s="97">
        <f t="shared" si="2"/>
        <v>1312467.8814274382</v>
      </c>
      <c r="AA102" s="98">
        <f t="shared" si="2"/>
        <v>1312467.8814274382</v>
      </c>
      <c r="AB102" s="757"/>
      <c r="AC102" s="894"/>
      <c r="AK102" s="749"/>
    </row>
    <row r="103" spans="1:37" x14ac:dyDescent="0.25">
      <c r="A103" s="81" t="s">
        <v>224</v>
      </c>
      <c r="B103" s="82" t="s">
        <v>639</v>
      </c>
      <c r="C103" s="708" t="s">
        <v>643</v>
      </c>
      <c r="D103" s="708" t="s">
        <v>414</v>
      </c>
      <c r="E103" s="718"/>
      <c r="F103" s="173"/>
      <c r="G103" s="173"/>
      <c r="H103" s="173"/>
      <c r="I103" s="719"/>
      <c r="J103" s="712"/>
      <c r="K103" s="175"/>
      <c r="L103" s="175"/>
      <c r="M103" s="175"/>
      <c r="N103" s="614"/>
      <c r="O103" s="421"/>
      <c r="P103" s="727"/>
      <c r="Q103" s="234"/>
      <c r="R103" s="96"/>
      <c r="S103" s="96"/>
      <c r="T103" s="730"/>
      <c r="U103" s="286"/>
      <c r="V103" s="99">
        <f>VLOOKUP(A103,'Distribution Summary'!$A$136:$BJ$146,58,0)</f>
        <v>0</v>
      </c>
      <c r="W103" s="416">
        <f t="shared" ref="W103:AA109" si="3">Q103*$V103</f>
        <v>0</v>
      </c>
      <c r="X103" s="97">
        <f t="shared" si="3"/>
        <v>0</v>
      </c>
      <c r="Y103" s="97">
        <f t="shared" si="3"/>
        <v>0</v>
      </c>
      <c r="Z103" s="97">
        <f t="shared" si="3"/>
        <v>0</v>
      </c>
      <c r="AA103" s="98">
        <f t="shared" si="3"/>
        <v>0</v>
      </c>
      <c r="AB103" s="757"/>
      <c r="AC103" s="894"/>
      <c r="AK103" s="749"/>
    </row>
    <row r="104" spans="1:37" x14ac:dyDescent="0.25">
      <c r="A104" s="81" t="s">
        <v>242</v>
      </c>
      <c r="B104" s="82" t="s">
        <v>639</v>
      </c>
      <c r="C104" s="708" t="s">
        <v>643</v>
      </c>
      <c r="D104" s="708" t="s">
        <v>415</v>
      </c>
      <c r="E104" s="718"/>
      <c r="F104" s="173"/>
      <c r="G104" s="173"/>
      <c r="H104" s="173"/>
      <c r="I104" s="719"/>
      <c r="J104" s="712"/>
      <c r="K104" s="175"/>
      <c r="L104" s="175"/>
      <c r="M104" s="175"/>
      <c r="N104" s="614"/>
      <c r="O104" s="421"/>
      <c r="P104" s="727"/>
      <c r="Q104" s="234"/>
      <c r="R104" s="96"/>
      <c r="S104" s="96"/>
      <c r="T104" s="730"/>
      <c r="U104" s="286"/>
      <c r="V104" s="99">
        <f>VLOOKUP(A104,'Distribution Summary'!$A$136:$BJ$146,58,0)</f>
        <v>0</v>
      </c>
      <c r="W104" s="416">
        <f t="shared" si="3"/>
        <v>0</v>
      </c>
      <c r="X104" s="97">
        <f t="shared" si="3"/>
        <v>0</v>
      </c>
      <c r="Y104" s="97">
        <f t="shared" si="3"/>
        <v>0</v>
      </c>
      <c r="Z104" s="97">
        <f t="shared" si="3"/>
        <v>0</v>
      </c>
      <c r="AA104" s="98">
        <f t="shared" si="3"/>
        <v>0</v>
      </c>
      <c r="AB104" s="757"/>
      <c r="AC104" s="894"/>
      <c r="AK104" s="749"/>
    </row>
    <row r="105" spans="1:37" ht="15.75" thickBot="1" x14ac:dyDescent="0.3">
      <c r="A105" s="100" t="s">
        <v>258</v>
      </c>
      <c r="B105" s="101" t="s">
        <v>639</v>
      </c>
      <c r="C105" s="709" t="s">
        <v>643</v>
      </c>
      <c r="D105" s="709" t="s">
        <v>64</v>
      </c>
      <c r="E105" s="720"/>
      <c r="F105" s="178"/>
      <c r="G105" s="178"/>
      <c r="H105" s="178"/>
      <c r="I105" s="721"/>
      <c r="J105" s="713"/>
      <c r="K105" s="180"/>
      <c r="L105" s="180"/>
      <c r="M105" s="180"/>
      <c r="N105" s="615"/>
      <c r="O105" s="422"/>
      <c r="P105" s="728"/>
      <c r="Q105" s="235"/>
      <c r="R105" s="115"/>
      <c r="S105" s="115"/>
      <c r="T105" s="731"/>
      <c r="U105" s="287"/>
      <c r="V105" s="116">
        <f>VLOOKUP(A105,'Distribution Summary'!$A$136:$BJ$146,58,0)</f>
        <v>26.085065208566085</v>
      </c>
      <c r="W105" s="467">
        <f t="shared" si="3"/>
        <v>0</v>
      </c>
      <c r="X105" s="117">
        <f t="shared" si="3"/>
        <v>0</v>
      </c>
      <c r="Y105" s="117">
        <f t="shared" si="3"/>
        <v>0</v>
      </c>
      <c r="Z105" s="117">
        <f t="shared" si="3"/>
        <v>0</v>
      </c>
      <c r="AA105" s="118">
        <f t="shared" si="3"/>
        <v>0</v>
      </c>
      <c r="AB105" s="758"/>
      <c r="AC105" s="894"/>
      <c r="AK105" s="749"/>
    </row>
    <row r="106" spans="1:37" x14ac:dyDescent="0.25">
      <c r="A106" s="63" t="s">
        <v>196</v>
      </c>
      <c r="B106" s="64" t="s">
        <v>268</v>
      </c>
      <c r="C106" s="707" t="s">
        <v>643</v>
      </c>
      <c r="D106" s="707" t="s">
        <v>667</v>
      </c>
      <c r="E106" s="716"/>
      <c r="F106" s="168"/>
      <c r="G106" s="168"/>
      <c r="H106" s="168"/>
      <c r="I106" s="717"/>
      <c r="J106" s="711"/>
      <c r="K106" s="170"/>
      <c r="L106" s="170"/>
      <c r="M106" s="170"/>
      <c r="N106" s="613"/>
      <c r="O106" s="420">
        <v>904.28430348415225</v>
      </c>
      <c r="P106" s="726">
        <f t="shared" ref="P106" si="4">P13*2</f>
        <v>479.27068084660073</v>
      </c>
      <c r="Q106" s="241">
        <f>Q13*2</f>
        <v>479.27068084660073</v>
      </c>
      <c r="R106" s="144">
        <f t="shared" ref="R106:T106" si="5">R13*2</f>
        <v>479.27068084660073</v>
      </c>
      <c r="S106" s="144">
        <f t="shared" si="5"/>
        <v>479.27068084660073</v>
      </c>
      <c r="T106" s="729">
        <f t="shared" si="5"/>
        <v>479.27068084660073</v>
      </c>
      <c r="U106" s="293">
        <f>U13*2</f>
        <v>479.27068084660073</v>
      </c>
      <c r="V106" s="124">
        <f>'Distribution Summary'!$BJ$96*0.8</f>
        <v>10102.437410877668</v>
      </c>
      <c r="W106" s="415">
        <f t="shared" si="3"/>
        <v>4841802.0561215105</v>
      </c>
      <c r="X106" s="79">
        <f t="shared" si="3"/>
        <v>4841802.0561215105</v>
      </c>
      <c r="Y106" s="79">
        <f t="shared" si="3"/>
        <v>4841802.0561215105</v>
      </c>
      <c r="Z106" s="79">
        <f t="shared" si="3"/>
        <v>4841802.0561215105</v>
      </c>
      <c r="AA106" s="80">
        <f t="shared" si="3"/>
        <v>4841802.0561215105</v>
      </c>
      <c r="AB106" s="756" t="s">
        <v>669</v>
      </c>
      <c r="AC106" s="894"/>
      <c r="AK106" s="749"/>
    </row>
    <row r="107" spans="1:37" x14ac:dyDescent="0.25">
      <c r="A107" s="81" t="s">
        <v>196</v>
      </c>
      <c r="B107" s="82" t="s">
        <v>636</v>
      </c>
      <c r="C107" s="708" t="s">
        <v>643</v>
      </c>
      <c r="D107" s="708" t="s">
        <v>667</v>
      </c>
      <c r="E107" s="718"/>
      <c r="F107" s="173"/>
      <c r="G107" s="173"/>
      <c r="H107" s="173"/>
      <c r="I107" s="719"/>
      <c r="J107" s="712"/>
      <c r="K107" s="175"/>
      <c r="L107" s="175"/>
      <c r="M107" s="175"/>
      <c r="N107" s="614"/>
      <c r="O107" s="421">
        <v>65.695140665079322</v>
      </c>
      <c r="P107" s="727">
        <f t="shared" ref="P107" si="6">P46*2</f>
        <v>36.530665988449066</v>
      </c>
      <c r="Q107" s="234">
        <f>Q46*2</f>
        <v>39.088246218292319</v>
      </c>
      <c r="R107" s="96">
        <f t="shared" ref="R107:U107" si="7">R46*2</f>
        <v>39.088246218292319</v>
      </c>
      <c r="S107" s="96">
        <f t="shared" si="7"/>
        <v>39.088246218292319</v>
      </c>
      <c r="T107" s="730">
        <f t="shared" si="7"/>
        <v>39.088246218292319</v>
      </c>
      <c r="U107" s="286">
        <f t="shared" si="7"/>
        <v>39.088246218292319</v>
      </c>
      <c r="V107" s="99">
        <f>'Distribution Summary'!$BJ$96*0.8</f>
        <v>10102.437410877668</v>
      </c>
      <c r="W107" s="416">
        <f t="shared" si="3"/>
        <v>394886.56092127389</v>
      </c>
      <c r="X107" s="97">
        <f t="shared" si="3"/>
        <v>394886.56092127389</v>
      </c>
      <c r="Y107" s="97">
        <f t="shared" si="3"/>
        <v>394886.56092127389</v>
      </c>
      <c r="Z107" s="97">
        <f t="shared" si="3"/>
        <v>394886.56092127389</v>
      </c>
      <c r="AA107" s="98">
        <f t="shared" si="3"/>
        <v>394886.56092127389</v>
      </c>
      <c r="AB107" s="757" t="s">
        <v>669</v>
      </c>
      <c r="AC107" s="894"/>
      <c r="AK107" s="749"/>
    </row>
    <row r="108" spans="1:37" x14ac:dyDescent="0.25">
      <c r="A108" s="81" t="s">
        <v>196</v>
      </c>
      <c r="B108" s="82" t="s">
        <v>636</v>
      </c>
      <c r="C108" s="708" t="s">
        <v>644</v>
      </c>
      <c r="D108" s="708" t="s">
        <v>667</v>
      </c>
      <c r="E108" s="718"/>
      <c r="F108" s="173"/>
      <c r="G108" s="173"/>
      <c r="H108" s="173"/>
      <c r="I108" s="719"/>
      <c r="J108" s="712"/>
      <c r="K108" s="175"/>
      <c r="L108" s="175"/>
      <c r="M108" s="175"/>
      <c r="N108" s="614"/>
      <c r="O108" s="759">
        <f>Reconductor!CE96</f>
        <v>476.33333333333331</v>
      </c>
      <c r="P108" s="760">
        <f>Reconductor!CF96</f>
        <v>192.90083090905591</v>
      </c>
      <c r="Q108" s="761">
        <f>Reconductor!CG96</f>
        <v>192.90083090905591</v>
      </c>
      <c r="R108" s="762">
        <f>Reconductor!CH96</f>
        <v>252.89453478030478</v>
      </c>
      <c r="S108" s="762">
        <f>Reconductor!CI96</f>
        <v>265.40357106472095</v>
      </c>
      <c r="T108" s="762">
        <f>Reconductor!CJ96</f>
        <v>273.74292858766489</v>
      </c>
      <c r="U108" s="760">
        <f>Reconductor!CK96</f>
        <v>282.082286110609</v>
      </c>
      <c r="V108" s="763">
        <f>'Distribution Summary'!$BJ$96*0.8</f>
        <v>10102.437410877668</v>
      </c>
      <c r="W108" s="774">
        <f t="shared" si="3"/>
        <v>1948768.5707650336</v>
      </c>
      <c r="X108" s="776">
        <f t="shared" si="3"/>
        <v>2554851.2091710549</v>
      </c>
      <c r="Y108" s="776">
        <f t="shared" si="3"/>
        <v>2681222.9653047668</v>
      </c>
      <c r="Z108" s="776">
        <f t="shared" si="3"/>
        <v>2765470.8027272397</v>
      </c>
      <c r="AA108" s="775">
        <f t="shared" si="3"/>
        <v>2849718.6401497144</v>
      </c>
      <c r="AB108" s="757" t="s">
        <v>669</v>
      </c>
      <c r="AC108" s="894"/>
      <c r="AK108" s="749"/>
    </row>
    <row r="109" spans="1:37" x14ac:dyDescent="0.25">
      <c r="A109" s="81" t="s">
        <v>196</v>
      </c>
      <c r="B109" s="82" t="s">
        <v>638</v>
      </c>
      <c r="C109" s="708" t="s">
        <v>643</v>
      </c>
      <c r="D109" s="708" t="s">
        <v>667</v>
      </c>
      <c r="E109" s="718"/>
      <c r="F109" s="173"/>
      <c r="G109" s="173"/>
      <c r="H109" s="173"/>
      <c r="I109" s="719"/>
      <c r="J109" s="725"/>
      <c r="K109" s="631"/>
      <c r="L109" s="631"/>
      <c r="M109" s="631"/>
      <c r="N109" s="671"/>
      <c r="O109" s="421">
        <v>1074.6205558507684</v>
      </c>
      <c r="P109" s="727">
        <f t="shared" ref="P109" si="8">P90*2</f>
        <v>2557.1319864982843</v>
      </c>
      <c r="Q109" s="234">
        <f t="shared" ref="Q109:U109" si="9">(Q90*2)*0.428961181</f>
        <v>473.29647575028827</v>
      </c>
      <c r="R109" s="96">
        <f t="shared" si="9"/>
        <v>473.29647575028827</v>
      </c>
      <c r="S109" s="96">
        <f t="shared" si="9"/>
        <v>473.29647575028827</v>
      </c>
      <c r="T109" s="730">
        <f t="shared" si="9"/>
        <v>473.29647575028827</v>
      </c>
      <c r="U109" s="286">
        <f t="shared" si="9"/>
        <v>473.29647575028827</v>
      </c>
      <c r="V109" s="99">
        <f>'Distribution Summary'!$BJ$96*0.8</f>
        <v>10102.437410877668</v>
      </c>
      <c r="W109" s="416">
        <f t="shared" si="3"/>
        <v>4781448.0230562678</v>
      </c>
      <c r="X109" s="97">
        <f t="shared" si="3"/>
        <v>4781448.0230562678</v>
      </c>
      <c r="Y109" s="97">
        <f t="shared" si="3"/>
        <v>4781448.0230562678</v>
      </c>
      <c r="Z109" s="97">
        <f t="shared" si="3"/>
        <v>4781448.0230562678</v>
      </c>
      <c r="AA109" s="98">
        <f t="shared" si="3"/>
        <v>4781448.0230562678</v>
      </c>
      <c r="AB109" s="757" t="s">
        <v>669</v>
      </c>
      <c r="AC109" s="894"/>
      <c r="AK109" s="749"/>
    </row>
    <row r="110" spans="1:37" x14ac:dyDescent="0.25">
      <c r="A110" s="81" t="s">
        <v>196</v>
      </c>
      <c r="B110" s="82" t="s">
        <v>639</v>
      </c>
      <c r="C110" s="708" t="s">
        <v>643</v>
      </c>
      <c r="D110" s="708" t="s">
        <v>667</v>
      </c>
      <c r="E110" s="718"/>
      <c r="F110" s="173"/>
      <c r="G110" s="173"/>
      <c r="H110" s="173"/>
      <c r="I110" s="719"/>
      <c r="J110" s="712"/>
      <c r="K110" s="175"/>
      <c r="L110" s="175"/>
      <c r="M110" s="175"/>
      <c r="N110" s="614"/>
      <c r="O110" s="421">
        <f>'Defect (Total)'!BC96-SUM('Business Case Split (2)'!O106:O107,O109)</f>
        <v>145.06666666666661</v>
      </c>
      <c r="P110" s="727">
        <f>'Defect (Total)'!BD96-SUM('Business Case Split (2)'!P106:P107,P109)</f>
        <v>-883.26666666666779</v>
      </c>
      <c r="Q110" s="234">
        <f>'Defect (Total)'!BE96-SUM('Business Case Split (2)'!Q106:Q107,Q109)</f>
        <v>277.7523295398853</v>
      </c>
      <c r="R110" s="96">
        <f>'Defect (Total)'!BF96-SUM('Business Case Split (2)'!R106:R107,R109)</f>
        <v>277.7523295398853</v>
      </c>
      <c r="S110" s="96">
        <f>'Defect (Total)'!BG96-SUM('Business Case Split (2)'!S106:S107,S109)</f>
        <v>277.7523295398853</v>
      </c>
      <c r="T110" s="730">
        <f>'Defect (Total)'!BH96-SUM('Business Case Split (2)'!T106:T107,T109)</f>
        <v>277.7523295398853</v>
      </c>
      <c r="U110" s="286">
        <f>'Defect (Total)'!BI96-SUM('Business Case Split (2)'!U106:U107,U109)</f>
        <v>277.7523295398853</v>
      </c>
      <c r="V110" s="99"/>
      <c r="W110" s="416">
        <f>'Distribution Summary'!BN96-SUM('Business Case Split (2)'!W106:W109)</f>
        <v>7257007.9225732237</v>
      </c>
      <c r="X110" s="97">
        <f>'Distribution Summary'!BO96-SUM('Business Case Split (2)'!X106:X109)</f>
        <v>6808753.7299504448</v>
      </c>
      <c r="Y110" s="97">
        <f>'Distribution Summary'!BP96-SUM('Business Case Split (2)'!Y106:Y109)</f>
        <v>6787600.9376722276</v>
      </c>
      <c r="Z110" s="97">
        <f>'Distribution Summary'!BQ96-SUM('Business Case Split (2)'!Z106:Z109)</f>
        <v>6808572.0641052462</v>
      </c>
      <c r="AA110" s="98">
        <f>'Distribution Summary'!BR96-SUM('Business Case Split (2)'!AA106:AA109)</f>
        <v>6776933.7086105179</v>
      </c>
      <c r="AB110" s="757"/>
      <c r="AC110" s="894"/>
      <c r="AK110" s="749"/>
    </row>
    <row r="111" spans="1:37" x14ac:dyDescent="0.25">
      <c r="A111" s="81" t="s">
        <v>196</v>
      </c>
      <c r="B111" s="82"/>
      <c r="C111" s="708"/>
      <c r="D111" s="708"/>
      <c r="E111" s="718"/>
      <c r="F111" s="173"/>
      <c r="G111" s="173"/>
      <c r="H111" s="173"/>
      <c r="I111" s="719"/>
      <c r="J111" s="712"/>
      <c r="K111" s="175"/>
      <c r="L111" s="175"/>
      <c r="M111" s="175"/>
      <c r="N111" s="614"/>
      <c r="O111" s="421"/>
      <c r="P111" s="727"/>
      <c r="Q111" s="234"/>
      <c r="R111" s="96"/>
      <c r="S111" s="96"/>
      <c r="T111" s="730"/>
      <c r="U111" s="286"/>
      <c r="V111" s="99"/>
      <c r="W111" s="416"/>
      <c r="X111" s="97"/>
      <c r="Y111" s="97"/>
      <c r="Z111" s="97"/>
      <c r="AA111" s="98"/>
      <c r="AB111" s="757"/>
      <c r="AC111" s="894"/>
      <c r="AK111" s="749"/>
    </row>
    <row r="112" spans="1:37" x14ac:dyDescent="0.25">
      <c r="A112" s="81" t="s">
        <v>196</v>
      </c>
      <c r="B112" s="82"/>
      <c r="C112" s="708"/>
      <c r="D112" s="708"/>
      <c r="E112" s="718"/>
      <c r="F112" s="173"/>
      <c r="G112" s="173"/>
      <c r="H112" s="173"/>
      <c r="I112" s="719"/>
      <c r="J112" s="712"/>
      <c r="K112" s="175"/>
      <c r="L112" s="175"/>
      <c r="M112" s="175"/>
      <c r="N112" s="614"/>
      <c r="O112" s="421"/>
      <c r="P112" s="727"/>
      <c r="Q112" s="234"/>
      <c r="R112" s="96"/>
      <c r="S112" s="96"/>
      <c r="T112" s="730"/>
      <c r="U112" s="286"/>
      <c r="V112" s="99"/>
      <c r="W112" s="416"/>
      <c r="X112" s="97"/>
      <c r="Y112" s="97"/>
      <c r="Z112" s="97"/>
      <c r="AA112" s="98"/>
      <c r="AB112" s="757"/>
      <c r="AC112" s="894"/>
      <c r="AK112" s="749"/>
    </row>
    <row r="113" spans="1:37" x14ac:dyDescent="0.25">
      <c r="A113" s="81" t="s">
        <v>196</v>
      </c>
      <c r="B113" s="82"/>
      <c r="C113" s="708"/>
      <c r="D113" s="708"/>
      <c r="E113" s="718"/>
      <c r="F113" s="173"/>
      <c r="G113" s="173"/>
      <c r="H113" s="173"/>
      <c r="I113" s="719"/>
      <c r="J113" s="712"/>
      <c r="K113" s="175"/>
      <c r="L113" s="175"/>
      <c r="M113" s="175"/>
      <c r="N113" s="614"/>
      <c r="O113" s="421"/>
      <c r="P113" s="727"/>
      <c r="Q113" s="234"/>
      <c r="R113" s="96"/>
      <c r="S113" s="96"/>
      <c r="T113" s="730"/>
      <c r="U113" s="286"/>
      <c r="V113" s="99"/>
      <c r="W113" s="416"/>
      <c r="X113" s="97"/>
      <c r="Y113" s="97"/>
      <c r="Z113" s="97"/>
      <c r="AA113" s="98"/>
      <c r="AB113" s="757"/>
      <c r="AC113" s="894"/>
      <c r="AK113" s="749"/>
    </row>
    <row r="114" spans="1:37" x14ac:dyDescent="0.25">
      <c r="A114" s="81" t="s">
        <v>196</v>
      </c>
      <c r="B114" s="82"/>
      <c r="C114" s="708"/>
      <c r="D114" s="708"/>
      <c r="E114" s="718"/>
      <c r="F114" s="173"/>
      <c r="G114" s="173"/>
      <c r="H114" s="173"/>
      <c r="I114" s="719"/>
      <c r="J114" s="712"/>
      <c r="K114" s="175"/>
      <c r="L114" s="175"/>
      <c r="M114" s="175"/>
      <c r="N114" s="614"/>
      <c r="O114" s="421"/>
      <c r="P114" s="727"/>
      <c r="Q114" s="234"/>
      <c r="R114" s="96"/>
      <c r="S114" s="96"/>
      <c r="T114" s="730"/>
      <c r="U114" s="286"/>
      <c r="V114" s="99"/>
      <c r="W114" s="416"/>
      <c r="X114" s="97"/>
      <c r="Y114" s="97"/>
      <c r="Z114" s="97"/>
      <c r="AA114" s="98"/>
      <c r="AB114" s="757"/>
      <c r="AC114" s="894"/>
      <c r="AK114" s="749"/>
    </row>
    <row r="115" spans="1:37" x14ac:dyDescent="0.25">
      <c r="A115" s="81" t="s">
        <v>196</v>
      </c>
      <c r="B115" s="82"/>
      <c r="C115" s="708"/>
      <c r="D115" s="708"/>
      <c r="E115" s="718"/>
      <c r="F115" s="173"/>
      <c r="G115" s="173"/>
      <c r="H115" s="173"/>
      <c r="I115" s="719"/>
      <c r="J115" s="712"/>
      <c r="K115" s="175"/>
      <c r="L115" s="175"/>
      <c r="M115" s="175"/>
      <c r="N115" s="614"/>
      <c r="O115" s="421"/>
      <c r="P115" s="727"/>
      <c r="Q115" s="234"/>
      <c r="R115" s="96"/>
      <c r="S115" s="96"/>
      <c r="T115" s="730"/>
      <c r="U115" s="286"/>
      <c r="V115" s="99"/>
      <c r="W115" s="416"/>
      <c r="X115" s="97"/>
      <c r="Y115" s="97"/>
      <c r="Z115" s="97"/>
      <c r="AA115" s="98"/>
      <c r="AB115" s="757"/>
      <c r="AC115" s="894"/>
      <c r="AK115" s="749"/>
    </row>
    <row r="116" spans="1:37" ht="15.75" thickBot="1" x14ac:dyDescent="0.3">
      <c r="A116" s="100" t="s">
        <v>196</v>
      </c>
      <c r="B116" s="101"/>
      <c r="C116" s="709"/>
      <c r="D116" s="709"/>
      <c r="E116" s="720"/>
      <c r="F116" s="178"/>
      <c r="G116" s="178"/>
      <c r="H116" s="178"/>
      <c r="I116" s="721"/>
      <c r="J116" s="713"/>
      <c r="K116" s="180"/>
      <c r="L116" s="180"/>
      <c r="M116" s="180"/>
      <c r="N116" s="615"/>
      <c r="O116" s="422"/>
      <c r="P116" s="728"/>
      <c r="Q116" s="235"/>
      <c r="R116" s="115"/>
      <c r="S116" s="115"/>
      <c r="T116" s="731"/>
      <c r="U116" s="287"/>
      <c r="V116" s="116"/>
      <c r="W116" s="467"/>
      <c r="X116" s="117"/>
      <c r="Y116" s="117"/>
      <c r="Z116" s="117"/>
      <c r="AA116" s="118"/>
      <c r="AB116" s="758"/>
      <c r="AC116" s="894"/>
      <c r="AK116" s="749"/>
    </row>
    <row r="117" spans="1:37" x14ac:dyDescent="0.25">
      <c r="A117" s="63" t="s">
        <v>296</v>
      </c>
      <c r="B117" s="64" t="s">
        <v>647</v>
      </c>
      <c r="C117" s="707" t="s">
        <v>643</v>
      </c>
      <c r="D117" s="707" t="s">
        <v>409</v>
      </c>
      <c r="E117" s="716"/>
      <c r="F117" s="168"/>
      <c r="G117" s="168"/>
      <c r="H117" s="168"/>
      <c r="I117" s="717"/>
      <c r="J117" s="711"/>
      <c r="K117" s="170"/>
      <c r="L117" s="170"/>
      <c r="M117" s="170"/>
      <c r="N117" s="613"/>
      <c r="O117" s="420"/>
      <c r="P117" s="726"/>
      <c r="Q117" s="241"/>
      <c r="R117" s="144"/>
      <c r="S117" s="144"/>
      <c r="T117" s="729"/>
      <c r="U117" s="293"/>
      <c r="V117" s="124"/>
      <c r="W117" s="415"/>
      <c r="X117" s="79"/>
      <c r="Y117" s="79"/>
      <c r="Z117" s="79"/>
      <c r="AA117" s="80"/>
      <c r="AB117" s="756"/>
      <c r="AC117" s="894"/>
      <c r="AF117" s="751"/>
      <c r="AG117" s="751"/>
      <c r="AH117" s="751"/>
      <c r="AI117" s="751"/>
      <c r="AJ117" s="751"/>
      <c r="AK117" s="749"/>
    </row>
    <row r="118" spans="1:37" x14ac:dyDescent="0.25">
      <c r="A118" s="81" t="s">
        <v>27</v>
      </c>
      <c r="B118" s="82" t="s">
        <v>647</v>
      </c>
      <c r="C118" s="708" t="s">
        <v>643</v>
      </c>
      <c r="D118" s="708" t="s">
        <v>410</v>
      </c>
      <c r="E118" s="718"/>
      <c r="F118" s="173"/>
      <c r="G118" s="173"/>
      <c r="H118" s="173"/>
      <c r="I118" s="719"/>
      <c r="J118" s="712"/>
      <c r="K118" s="175"/>
      <c r="L118" s="175"/>
      <c r="M118" s="175"/>
      <c r="N118" s="614"/>
      <c r="O118" s="421"/>
      <c r="P118" s="727"/>
      <c r="Q118" s="234"/>
      <c r="R118" s="96"/>
      <c r="S118" s="96"/>
      <c r="T118" s="730"/>
      <c r="U118" s="286"/>
      <c r="V118" s="99"/>
      <c r="W118" s="416"/>
      <c r="X118" s="97"/>
      <c r="Y118" s="97"/>
      <c r="Z118" s="97"/>
      <c r="AA118" s="98"/>
      <c r="AB118" s="757"/>
      <c r="AC118" s="894"/>
      <c r="AK118" s="749"/>
    </row>
    <row r="119" spans="1:37" x14ac:dyDescent="0.25">
      <c r="A119" s="81" t="s">
        <v>68</v>
      </c>
      <c r="B119" s="82" t="s">
        <v>647</v>
      </c>
      <c r="C119" s="708" t="s">
        <v>643</v>
      </c>
      <c r="D119" s="708" t="s">
        <v>411</v>
      </c>
      <c r="E119" s="718"/>
      <c r="F119" s="173"/>
      <c r="G119" s="173"/>
      <c r="H119" s="173"/>
      <c r="I119" s="719"/>
      <c r="J119" s="712"/>
      <c r="K119" s="175"/>
      <c r="L119" s="175"/>
      <c r="M119" s="175"/>
      <c r="N119" s="614"/>
      <c r="O119" s="421"/>
      <c r="P119" s="727"/>
      <c r="Q119" s="234"/>
      <c r="R119" s="96"/>
      <c r="S119" s="96"/>
      <c r="T119" s="730"/>
      <c r="U119" s="286"/>
      <c r="V119" s="99"/>
      <c r="W119" s="416"/>
      <c r="X119" s="97"/>
      <c r="Y119" s="97"/>
      <c r="Z119" s="97"/>
      <c r="AA119" s="98"/>
      <c r="AB119" s="757"/>
      <c r="AC119" s="894"/>
      <c r="AK119" s="749"/>
    </row>
    <row r="120" spans="1:37" x14ac:dyDescent="0.25">
      <c r="A120" s="81" t="s">
        <v>81</v>
      </c>
      <c r="B120" s="82" t="s">
        <v>647</v>
      </c>
      <c r="C120" s="708" t="s">
        <v>643</v>
      </c>
      <c r="D120" s="708" t="s">
        <v>270</v>
      </c>
      <c r="E120" s="718"/>
      <c r="F120" s="173"/>
      <c r="G120" s="173"/>
      <c r="H120" s="173"/>
      <c r="I120" s="719"/>
      <c r="J120" s="725"/>
      <c r="K120" s="631"/>
      <c r="L120" s="631"/>
      <c r="M120" s="631"/>
      <c r="N120" s="671"/>
      <c r="O120" s="421"/>
      <c r="P120" s="727"/>
      <c r="Q120" s="234"/>
      <c r="R120" s="96"/>
      <c r="S120" s="96"/>
      <c r="T120" s="730"/>
      <c r="U120" s="286"/>
      <c r="V120" s="99"/>
      <c r="W120" s="416"/>
      <c r="X120" s="97"/>
      <c r="Y120" s="97"/>
      <c r="Z120" s="97"/>
      <c r="AA120" s="98"/>
      <c r="AB120" s="757"/>
      <c r="AC120" s="894"/>
      <c r="AK120" s="749"/>
    </row>
    <row r="121" spans="1:37" x14ac:dyDescent="0.25">
      <c r="A121" s="81" t="s">
        <v>94</v>
      </c>
      <c r="B121" s="82" t="s">
        <v>647</v>
      </c>
      <c r="C121" s="708" t="s">
        <v>643</v>
      </c>
      <c r="D121" s="708" t="s">
        <v>412</v>
      </c>
      <c r="E121" s="718"/>
      <c r="F121" s="173"/>
      <c r="G121" s="173"/>
      <c r="H121" s="173"/>
      <c r="I121" s="719"/>
      <c r="J121" s="712"/>
      <c r="K121" s="175"/>
      <c r="L121" s="175"/>
      <c r="M121" s="175"/>
      <c r="N121" s="614"/>
      <c r="O121" s="421">
        <f>'Defect (Total)'!BC185</f>
        <v>18.980691549933333</v>
      </c>
      <c r="P121" s="727">
        <f>'Defect (Total)'!BD185</f>
        <v>19.980691549933333</v>
      </c>
      <c r="Q121" s="234">
        <f>'Defect (Total)'!BE185</f>
        <v>19.980691549933333</v>
      </c>
      <c r="R121" s="96">
        <f>'Defect (Total)'!BF185</f>
        <v>20.980691549933333</v>
      </c>
      <c r="S121" s="96">
        <f>'Defect (Total)'!BG185</f>
        <v>20.980691549933333</v>
      </c>
      <c r="T121" s="730">
        <f>'Defect (Total)'!BH185</f>
        <v>21.980691549933333</v>
      </c>
      <c r="U121" s="286">
        <f>'Defect (Total)'!BI185</f>
        <v>21.980691549933333</v>
      </c>
      <c r="V121" s="99"/>
      <c r="W121" s="416">
        <f>'Defect (Total)'!BN185</f>
        <v>6475597.0592646832</v>
      </c>
      <c r="X121" s="97">
        <f>'Defect (Total)'!BO185</f>
        <v>6775597.0592646832</v>
      </c>
      <c r="Y121" s="97">
        <f>'Defect (Total)'!BP185</f>
        <v>6775597.0592646832</v>
      </c>
      <c r="Z121" s="97">
        <f>'Defect (Total)'!BQ185</f>
        <v>7075597.0592646832</v>
      </c>
      <c r="AA121" s="98">
        <f>'Defect (Total)'!BR185</f>
        <v>7075597.0592646832</v>
      </c>
      <c r="AB121" s="757"/>
      <c r="AC121" s="894"/>
      <c r="AK121" s="749"/>
    </row>
    <row r="122" spans="1:37" x14ac:dyDescent="0.25">
      <c r="A122" s="81" t="s">
        <v>106</v>
      </c>
      <c r="B122" s="82" t="s">
        <v>647</v>
      </c>
      <c r="C122" s="708" t="s">
        <v>643</v>
      </c>
      <c r="D122" s="708" t="s">
        <v>272</v>
      </c>
      <c r="E122" s="718"/>
      <c r="F122" s="173"/>
      <c r="G122" s="173"/>
      <c r="H122" s="173"/>
      <c r="I122" s="719"/>
      <c r="J122" s="712"/>
      <c r="K122" s="175"/>
      <c r="L122" s="175"/>
      <c r="M122" s="175"/>
      <c r="N122" s="614"/>
      <c r="O122" s="421"/>
      <c r="P122" s="727"/>
      <c r="Q122" s="234"/>
      <c r="R122" s="96"/>
      <c r="S122" s="96"/>
      <c r="T122" s="730"/>
      <c r="U122" s="286"/>
      <c r="V122" s="99"/>
      <c r="W122" s="416"/>
      <c r="X122" s="97"/>
      <c r="Y122" s="97"/>
      <c r="Z122" s="97"/>
      <c r="AA122" s="98"/>
      <c r="AB122" s="757"/>
      <c r="AC122" s="894"/>
      <c r="AK122" s="749"/>
    </row>
    <row r="123" spans="1:37" x14ac:dyDescent="0.25">
      <c r="A123" s="81" t="s">
        <v>138</v>
      </c>
      <c r="B123" s="82" t="s">
        <v>647</v>
      </c>
      <c r="C123" s="708" t="s">
        <v>643</v>
      </c>
      <c r="D123" s="708" t="s">
        <v>413</v>
      </c>
      <c r="E123" s="718"/>
      <c r="F123" s="173"/>
      <c r="G123" s="173"/>
      <c r="H123" s="173"/>
      <c r="I123" s="719"/>
      <c r="J123" s="712"/>
      <c r="K123" s="175"/>
      <c r="L123" s="175"/>
      <c r="M123" s="175"/>
      <c r="N123" s="614"/>
      <c r="O123" s="421"/>
      <c r="P123" s="727"/>
      <c r="Q123" s="234"/>
      <c r="R123" s="96"/>
      <c r="S123" s="96"/>
      <c r="T123" s="730"/>
      <c r="U123" s="286"/>
      <c r="V123" s="99"/>
      <c r="W123" s="416"/>
      <c r="X123" s="97"/>
      <c r="Y123" s="97"/>
      <c r="Z123" s="97"/>
      <c r="AA123" s="98"/>
      <c r="AB123" s="757"/>
      <c r="AC123" s="894"/>
      <c r="AK123" s="749"/>
    </row>
    <row r="124" spans="1:37" x14ac:dyDescent="0.25">
      <c r="A124" s="81" t="s">
        <v>196</v>
      </c>
      <c r="B124" s="82" t="s">
        <v>647</v>
      </c>
      <c r="C124" s="708" t="s">
        <v>643</v>
      </c>
      <c r="D124" s="708" t="s">
        <v>274</v>
      </c>
      <c r="E124" s="718"/>
      <c r="F124" s="173"/>
      <c r="G124" s="173"/>
      <c r="H124" s="173"/>
      <c r="I124" s="719"/>
      <c r="J124" s="712"/>
      <c r="K124" s="175"/>
      <c r="L124" s="175"/>
      <c r="M124" s="175"/>
      <c r="N124" s="614"/>
      <c r="O124" s="421"/>
      <c r="P124" s="727"/>
      <c r="Q124" s="234"/>
      <c r="R124" s="96"/>
      <c r="S124" s="96"/>
      <c r="T124" s="730"/>
      <c r="U124" s="286"/>
      <c r="V124" s="99"/>
      <c r="W124" s="416"/>
      <c r="X124" s="97"/>
      <c r="Y124" s="97"/>
      <c r="Z124" s="97"/>
      <c r="AA124" s="98"/>
      <c r="AB124" s="757"/>
      <c r="AC124" s="894"/>
      <c r="AK124" s="749"/>
    </row>
    <row r="125" spans="1:37" x14ac:dyDescent="0.25">
      <c r="A125" s="81" t="s">
        <v>224</v>
      </c>
      <c r="B125" s="82" t="s">
        <v>647</v>
      </c>
      <c r="C125" s="708" t="s">
        <v>643</v>
      </c>
      <c r="D125" s="708" t="s">
        <v>414</v>
      </c>
      <c r="E125" s="718"/>
      <c r="F125" s="173"/>
      <c r="G125" s="173"/>
      <c r="H125" s="173"/>
      <c r="I125" s="719"/>
      <c r="J125" s="712"/>
      <c r="K125" s="175"/>
      <c r="L125" s="175"/>
      <c r="M125" s="175"/>
      <c r="N125" s="614"/>
      <c r="O125" s="421"/>
      <c r="P125" s="727"/>
      <c r="Q125" s="234"/>
      <c r="R125" s="96"/>
      <c r="S125" s="96"/>
      <c r="T125" s="730"/>
      <c r="U125" s="286"/>
      <c r="V125" s="99"/>
      <c r="W125" s="416"/>
      <c r="X125" s="97"/>
      <c r="Y125" s="97"/>
      <c r="Z125" s="97"/>
      <c r="AA125" s="98"/>
      <c r="AB125" s="757"/>
      <c r="AC125" s="894"/>
      <c r="AK125" s="749"/>
    </row>
    <row r="126" spans="1:37" x14ac:dyDescent="0.25">
      <c r="A126" s="81" t="s">
        <v>242</v>
      </c>
      <c r="B126" s="82" t="s">
        <v>647</v>
      </c>
      <c r="C126" s="708" t="s">
        <v>643</v>
      </c>
      <c r="D126" s="708" t="s">
        <v>415</v>
      </c>
      <c r="E126" s="718"/>
      <c r="F126" s="173"/>
      <c r="G126" s="173"/>
      <c r="H126" s="173"/>
      <c r="I126" s="719"/>
      <c r="J126" s="712"/>
      <c r="K126" s="175"/>
      <c r="L126" s="175"/>
      <c r="M126" s="175"/>
      <c r="N126" s="614"/>
      <c r="O126" s="421"/>
      <c r="P126" s="727"/>
      <c r="Q126" s="234"/>
      <c r="R126" s="96"/>
      <c r="S126" s="96"/>
      <c r="T126" s="730"/>
      <c r="U126" s="286"/>
      <c r="V126" s="99"/>
      <c r="W126" s="416"/>
      <c r="X126" s="97"/>
      <c r="Y126" s="97"/>
      <c r="Z126" s="97"/>
      <c r="AA126" s="98"/>
      <c r="AB126" s="757"/>
      <c r="AC126" s="894"/>
      <c r="AK126" s="749"/>
    </row>
    <row r="127" spans="1:37" ht="15.75" thickBot="1" x14ac:dyDescent="0.3">
      <c r="A127" s="100" t="s">
        <v>258</v>
      </c>
      <c r="B127" s="101" t="s">
        <v>647</v>
      </c>
      <c r="C127" s="709" t="s">
        <v>643</v>
      </c>
      <c r="D127" s="709" t="s">
        <v>64</v>
      </c>
      <c r="E127" s="720"/>
      <c r="F127" s="178"/>
      <c r="G127" s="178"/>
      <c r="H127" s="178"/>
      <c r="I127" s="721"/>
      <c r="J127" s="713"/>
      <c r="K127" s="180"/>
      <c r="L127" s="180"/>
      <c r="M127" s="180"/>
      <c r="N127" s="615"/>
      <c r="O127" s="422"/>
      <c r="P127" s="728"/>
      <c r="Q127" s="235"/>
      <c r="R127" s="115"/>
      <c r="S127" s="115"/>
      <c r="T127" s="731"/>
      <c r="U127" s="287"/>
      <c r="V127" s="116"/>
      <c r="W127" s="467"/>
      <c r="X127" s="117"/>
      <c r="Y127" s="117"/>
      <c r="Z127" s="117"/>
      <c r="AA127" s="118"/>
      <c r="AB127" s="758"/>
      <c r="AC127" s="894"/>
      <c r="AK127" s="749"/>
    </row>
    <row r="128" spans="1:37" x14ac:dyDescent="0.25">
      <c r="A128" s="63" t="s">
        <v>296</v>
      </c>
      <c r="B128" s="64" t="s">
        <v>688</v>
      </c>
      <c r="C128" s="707" t="s">
        <v>644</v>
      </c>
      <c r="D128" s="707" t="s">
        <v>409</v>
      </c>
      <c r="E128" s="716"/>
      <c r="F128" s="168"/>
      <c r="G128" s="168"/>
      <c r="H128" s="168"/>
      <c r="I128" s="717"/>
      <c r="J128" s="711"/>
      <c r="K128" s="170"/>
      <c r="L128" s="170"/>
      <c r="M128" s="170"/>
      <c r="N128" s="613"/>
      <c r="O128" s="420"/>
      <c r="P128" s="726"/>
      <c r="Q128" s="241"/>
      <c r="R128" s="144"/>
      <c r="S128" s="144"/>
      <c r="T128" s="729"/>
      <c r="U128" s="293"/>
      <c r="V128" s="124"/>
      <c r="W128" s="415"/>
      <c r="X128" s="79"/>
      <c r="Y128" s="79"/>
      <c r="Z128" s="79"/>
      <c r="AA128" s="80"/>
      <c r="AB128" s="756"/>
      <c r="AC128" s="894"/>
      <c r="AF128" s="751"/>
      <c r="AG128" s="751"/>
      <c r="AH128" s="751"/>
      <c r="AI128" s="751"/>
      <c r="AJ128" s="751"/>
      <c r="AK128" s="749"/>
    </row>
    <row r="129" spans="1:37" x14ac:dyDescent="0.25">
      <c r="A129" s="81" t="s">
        <v>27</v>
      </c>
      <c r="B129" s="82" t="s">
        <v>688</v>
      </c>
      <c r="C129" s="708" t="s">
        <v>644</v>
      </c>
      <c r="D129" s="708" t="s">
        <v>410</v>
      </c>
      <c r="E129" s="718"/>
      <c r="F129" s="173"/>
      <c r="G129" s="173"/>
      <c r="H129" s="173"/>
      <c r="I129" s="719"/>
      <c r="J129" s="712"/>
      <c r="K129" s="175"/>
      <c r="L129" s="175"/>
      <c r="M129" s="175"/>
      <c r="N129" s="614"/>
      <c r="O129" s="421"/>
      <c r="P129" s="727"/>
      <c r="Q129" s="234"/>
      <c r="R129" s="96"/>
      <c r="S129" s="96"/>
      <c r="T129" s="730"/>
      <c r="U129" s="286"/>
      <c r="V129" s="99"/>
      <c r="W129" s="416"/>
      <c r="X129" s="97"/>
      <c r="Y129" s="97"/>
      <c r="Z129" s="97"/>
      <c r="AA129" s="98"/>
      <c r="AB129" s="757"/>
      <c r="AC129" s="894"/>
      <c r="AK129" s="749"/>
    </row>
    <row r="130" spans="1:37" x14ac:dyDescent="0.25">
      <c r="A130" s="81" t="s">
        <v>68</v>
      </c>
      <c r="B130" s="82" t="s">
        <v>688</v>
      </c>
      <c r="C130" s="708" t="s">
        <v>644</v>
      </c>
      <c r="D130" s="708" t="s">
        <v>411</v>
      </c>
      <c r="E130" s="718"/>
      <c r="F130" s="173"/>
      <c r="G130" s="173"/>
      <c r="H130" s="173"/>
      <c r="I130" s="719"/>
      <c r="J130" s="712"/>
      <c r="K130" s="175"/>
      <c r="L130" s="175"/>
      <c r="M130" s="175"/>
      <c r="N130" s="614"/>
      <c r="O130" s="421"/>
      <c r="P130" s="727"/>
      <c r="Q130" s="234"/>
      <c r="R130" s="96"/>
      <c r="S130" s="96"/>
      <c r="T130" s="730"/>
      <c r="U130" s="286"/>
      <c r="V130" s="99"/>
      <c r="W130" s="416"/>
      <c r="X130" s="97"/>
      <c r="Y130" s="97"/>
      <c r="Z130" s="97"/>
      <c r="AA130" s="98"/>
      <c r="AB130" s="757"/>
      <c r="AC130" s="894"/>
      <c r="AK130" s="749"/>
    </row>
    <row r="131" spans="1:37" x14ac:dyDescent="0.25">
      <c r="A131" s="81" t="s">
        <v>81</v>
      </c>
      <c r="B131" s="82" t="s">
        <v>688</v>
      </c>
      <c r="C131" s="708" t="s">
        <v>644</v>
      </c>
      <c r="D131" s="708" t="s">
        <v>270</v>
      </c>
      <c r="E131" s="718"/>
      <c r="F131" s="173"/>
      <c r="G131" s="173"/>
      <c r="H131" s="173"/>
      <c r="I131" s="719"/>
      <c r="J131" s="725"/>
      <c r="K131" s="631"/>
      <c r="L131" s="631"/>
      <c r="M131" s="631"/>
      <c r="N131" s="671"/>
      <c r="O131" s="421"/>
      <c r="P131" s="727"/>
      <c r="Q131" s="234"/>
      <c r="R131" s="96"/>
      <c r="S131" s="96"/>
      <c r="T131" s="730"/>
      <c r="U131" s="286"/>
      <c r="V131" s="99"/>
      <c r="W131" s="416"/>
      <c r="X131" s="97"/>
      <c r="Y131" s="97"/>
      <c r="Z131" s="97"/>
      <c r="AA131" s="98"/>
      <c r="AB131" s="757"/>
      <c r="AC131" s="894"/>
      <c r="AK131" s="749"/>
    </row>
    <row r="132" spans="1:37" x14ac:dyDescent="0.25">
      <c r="A132" s="81" t="s">
        <v>94</v>
      </c>
      <c r="B132" s="82" t="s">
        <v>688</v>
      </c>
      <c r="C132" s="708" t="s">
        <v>644</v>
      </c>
      <c r="D132" s="708" t="s">
        <v>412</v>
      </c>
      <c r="E132" s="718"/>
      <c r="F132" s="173"/>
      <c r="G132" s="173"/>
      <c r="H132" s="173"/>
      <c r="I132" s="719"/>
      <c r="J132" s="712"/>
      <c r="K132" s="175"/>
      <c r="L132" s="175"/>
      <c r="M132" s="175"/>
      <c r="N132" s="614"/>
      <c r="O132" s="421"/>
      <c r="P132" s="727"/>
      <c r="Q132" s="234"/>
      <c r="R132" s="96"/>
      <c r="S132" s="96"/>
      <c r="T132" s="730"/>
      <c r="U132" s="286"/>
      <c r="V132" s="99"/>
      <c r="W132" s="416"/>
      <c r="X132" s="97"/>
      <c r="Y132" s="97"/>
      <c r="Z132" s="97"/>
      <c r="AA132" s="98"/>
      <c r="AB132" s="757"/>
      <c r="AC132" s="894"/>
      <c r="AK132" s="749"/>
    </row>
    <row r="133" spans="1:37" x14ac:dyDescent="0.25">
      <c r="A133" s="81" t="s">
        <v>106</v>
      </c>
      <c r="B133" s="82" t="s">
        <v>688</v>
      </c>
      <c r="C133" s="708" t="s">
        <v>644</v>
      </c>
      <c r="D133" s="708" t="s">
        <v>272</v>
      </c>
      <c r="E133" s="718"/>
      <c r="F133" s="173"/>
      <c r="G133" s="173"/>
      <c r="H133" s="173"/>
      <c r="I133" s="719"/>
      <c r="J133" s="712"/>
      <c r="K133" s="175"/>
      <c r="L133" s="175"/>
      <c r="M133" s="175"/>
      <c r="N133" s="614"/>
      <c r="O133" s="421"/>
      <c r="P133" s="727"/>
      <c r="Q133" s="234"/>
      <c r="R133" s="96"/>
      <c r="S133" s="96"/>
      <c r="T133" s="730"/>
      <c r="U133" s="286"/>
      <c r="V133" s="99"/>
      <c r="W133" s="416"/>
      <c r="X133" s="97"/>
      <c r="Y133" s="97"/>
      <c r="Z133" s="97"/>
      <c r="AA133" s="98"/>
      <c r="AB133" s="757"/>
      <c r="AC133" s="894"/>
      <c r="AK133" s="749"/>
    </row>
    <row r="134" spans="1:37" x14ac:dyDescent="0.25">
      <c r="A134" s="81" t="s">
        <v>138</v>
      </c>
      <c r="B134" s="82" t="s">
        <v>688</v>
      </c>
      <c r="C134" s="708" t="s">
        <v>644</v>
      </c>
      <c r="D134" s="708" t="s">
        <v>413</v>
      </c>
      <c r="E134" s="718"/>
      <c r="F134" s="173"/>
      <c r="G134" s="173"/>
      <c r="H134" s="173"/>
      <c r="I134" s="719"/>
      <c r="J134" s="712"/>
      <c r="K134" s="175"/>
      <c r="L134" s="175"/>
      <c r="M134" s="175"/>
      <c r="N134" s="614"/>
      <c r="O134" s="421"/>
      <c r="P134" s="727"/>
      <c r="Q134" s="234"/>
      <c r="R134" s="96"/>
      <c r="S134" s="96"/>
      <c r="T134" s="730"/>
      <c r="U134" s="286"/>
      <c r="V134" s="99"/>
      <c r="W134" s="416"/>
      <c r="X134" s="97"/>
      <c r="Y134" s="97"/>
      <c r="Z134" s="97"/>
      <c r="AA134" s="98"/>
      <c r="AB134" s="757"/>
      <c r="AC134" s="894"/>
      <c r="AK134" s="749"/>
    </row>
    <row r="135" spans="1:37" x14ac:dyDescent="0.25">
      <c r="A135" s="81" t="s">
        <v>196</v>
      </c>
      <c r="B135" s="82" t="s">
        <v>688</v>
      </c>
      <c r="C135" s="708" t="s">
        <v>644</v>
      </c>
      <c r="D135" s="708" t="s">
        <v>274</v>
      </c>
      <c r="E135" s="718"/>
      <c r="F135" s="173"/>
      <c r="G135" s="173"/>
      <c r="H135" s="173"/>
      <c r="I135" s="719"/>
      <c r="J135" s="712"/>
      <c r="K135" s="175"/>
      <c r="L135" s="175"/>
      <c r="M135" s="175"/>
      <c r="N135" s="614"/>
      <c r="O135" s="421"/>
      <c r="P135" s="727"/>
      <c r="Q135" s="234"/>
      <c r="R135" s="96"/>
      <c r="S135" s="96"/>
      <c r="T135" s="730"/>
      <c r="U135" s="286"/>
      <c r="V135" s="99"/>
      <c r="W135" s="416"/>
      <c r="X135" s="97"/>
      <c r="Y135" s="97"/>
      <c r="Z135" s="97"/>
      <c r="AA135" s="98"/>
      <c r="AB135" s="757"/>
      <c r="AC135" s="894"/>
      <c r="AK135" s="749"/>
    </row>
    <row r="136" spans="1:37" x14ac:dyDescent="0.25">
      <c r="A136" s="81" t="s">
        <v>224</v>
      </c>
      <c r="B136" s="82" t="s">
        <v>688</v>
      </c>
      <c r="C136" s="708" t="s">
        <v>644</v>
      </c>
      <c r="D136" s="708" t="s">
        <v>414</v>
      </c>
      <c r="E136" s="718"/>
      <c r="F136" s="173"/>
      <c r="G136" s="173"/>
      <c r="H136" s="173"/>
      <c r="I136" s="719"/>
      <c r="J136" s="712"/>
      <c r="K136" s="175"/>
      <c r="L136" s="175"/>
      <c r="M136" s="175"/>
      <c r="N136" s="614"/>
      <c r="O136" s="421"/>
      <c r="P136" s="727"/>
      <c r="Q136" s="234"/>
      <c r="R136" s="96"/>
      <c r="S136" s="96"/>
      <c r="T136" s="730"/>
      <c r="U136" s="286"/>
      <c r="V136" s="99"/>
      <c r="W136" s="416"/>
      <c r="X136" s="97"/>
      <c r="Y136" s="97"/>
      <c r="Z136" s="97"/>
      <c r="AA136" s="98"/>
      <c r="AB136" s="757"/>
      <c r="AC136" s="894"/>
      <c r="AK136" s="749"/>
    </row>
    <row r="137" spans="1:37" x14ac:dyDescent="0.25">
      <c r="A137" s="81" t="s">
        <v>242</v>
      </c>
      <c r="B137" s="82" t="s">
        <v>688</v>
      </c>
      <c r="C137" s="708" t="s">
        <v>644</v>
      </c>
      <c r="D137" s="708" t="s">
        <v>415</v>
      </c>
      <c r="E137" s="718"/>
      <c r="F137" s="173"/>
      <c r="G137" s="173"/>
      <c r="H137" s="173"/>
      <c r="I137" s="719"/>
      <c r="J137" s="712"/>
      <c r="K137" s="175"/>
      <c r="L137" s="175"/>
      <c r="M137" s="175"/>
      <c r="N137" s="614"/>
      <c r="O137" s="421"/>
      <c r="P137" s="727"/>
      <c r="Q137" s="234"/>
      <c r="R137" s="96"/>
      <c r="S137" s="96"/>
      <c r="T137" s="730"/>
      <c r="U137" s="286"/>
      <c r="V137" s="99"/>
      <c r="W137" s="416"/>
      <c r="X137" s="97"/>
      <c r="Y137" s="97"/>
      <c r="Z137" s="97"/>
      <c r="AA137" s="98"/>
      <c r="AB137" s="757"/>
      <c r="AC137" s="894"/>
      <c r="AK137" s="749"/>
    </row>
    <row r="138" spans="1:37" ht="15.75" thickBot="1" x14ac:dyDescent="0.3">
      <c r="A138" s="100" t="s">
        <v>258</v>
      </c>
      <c r="B138" s="101" t="s">
        <v>688</v>
      </c>
      <c r="C138" s="709" t="s">
        <v>644</v>
      </c>
      <c r="D138" s="709" t="s">
        <v>64</v>
      </c>
      <c r="E138" s="720"/>
      <c r="F138" s="178"/>
      <c r="G138" s="178"/>
      <c r="H138" s="178"/>
      <c r="I138" s="721"/>
      <c r="J138" s="713"/>
      <c r="K138" s="180"/>
      <c r="L138" s="180"/>
      <c r="M138" s="180"/>
      <c r="N138" s="615"/>
      <c r="O138" s="422">
        <f>Planned!CF132</f>
        <v>0</v>
      </c>
      <c r="P138" s="728">
        <f>Planned!CG132</f>
        <v>0</v>
      </c>
      <c r="Q138" s="235">
        <f>Planned!CH132</f>
        <v>0</v>
      </c>
      <c r="R138" s="115">
        <f>Planned!CI132</f>
        <v>26.085065208566085</v>
      </c>
      <c r="S138" s="115">
        <f>Planned!CJ132</f>
        <v>45.845069305522095</v>
      </c>
      <c r="T138" s="731">
        <f>Planned!CK132</f>
        <v>169.8762281855621</v>
      </c>
      <c r="U138" s="287">
        <f>Planned!CL132</f>
        <v>412.92522796535678</v>
      </c>
      <c r="V138" s="116">
        <f>Planned!CP132</f>
        <v>30000</v>
      </c>
      <c r="W138" s="467">
        <f>Planned!CT132</f>
        <v>0</v>
      </c>
      <c r="X138" s="117">
        <f>Planned!CU132</f>
        <v>782551.95625698252</v>
      </c>
      <c r="Y138" s="117">
        <f>Planned!CV132</f>
        <v>1375352.0791656629</v>
      </c>
      <c r="Z138" s="117">
        <f>Planned!CW132</f>
        <v>5096286.8455668632</v>
      </c>
      <c r="AA138" s="118">
        <f>Planned!CX132</f>
        <v>12387756.838960703</v>
      </c>
      <c r="AB138" s="758"/>
      <c r="AC138" s="894"/>
      <c r="AK138" s="749"/>
    </row>
    <row r="139" spans="1:37" x14ac:dyDescent="0.25">
      <c r="V139" t="s">
        <v>635</v>
      </c>
      <c r="W139" s="395">
        <f t="shared" ref="W139:AA139" si="10">SUM(W7:W138)</f>
        <v>1509289294.565357</v>
      </c>
      <c r="X139" s="395">
        <f t="shared" si="10"/>
        <v>1520947101.8137097</v>
      </c>
      <c r="Y139" s="395">
        <f t="shared" si="10"/>
        <v>1528590072.1313491</v>
      </c>
      <c r="Z139" s="395">
        <f t="shared" si="10"/>
        <v>1539661177.0924809</v>
      </c>
      <c r="AA139" s="395">
        <f t="shared" si="10"/>
        <v>1550477732.1832399</v>
      </c>
      <c r="AB139" s="637">
        <f>SUM(W139:AA139)</f>
        <v>7648965377.7861366</v>
      </c>
      <c r="AC139" s="637"/>
      <c r="AK139" s="749"/>
    </row>
    <row r="140" spans="1:37" x14ac:dyDescent="0.25">
      <c r="V140" t="s">
        <v>649</v>
      </c>
      <c r="W140" s="395">
        <f>'Distribution Summary'!BN147</f>
        <v>309328002.02926081</v>
      </c>
      <c r="X140" s="395">
        <f>'Distribution Summary'!BO147</f>
        <v>313575625.08113527</v>
      </c>
      <c r="Y140" s="395">
        <f>'Distribution Summary'!BP147</f>
        <v>316278865.85301459</v>
      </c>
      <c r="Z140" s="395">
        <f>'Distribution Summary'!BQ147</f>
        <v>322410519.34172231</v>
      </c>
      <c r="AA140" s="395">
        <f>'Distribution Summary'!BR147</f>
        <v>330757444.46667522</v>
      </c>
      <c r="AB140" s="637">
        <f>SUM(W140:AA140)</f>
        <v>1592350456.7718084</v>
      </c>
      <c r="AC140" s="637"/>
      <c r="AK140" s="749"/>
    </row>
    <row r="141" spans="1:37" x14ac:dyDescent="0.25">
      <c r="D141" s="773"/>
      <c r="V141" t="s">
        <v>692</v>
      </c>
      <c r="W141" s="821">
        <f>SUBTOTAL(9,W7:W138)</f>
        <v>1509289294.565357</v>
      </c>
      <c r="X141" s="821">
        <f t="shared" ref="X141:AA141" si="11">SUBTOTAL(9,X7:X138)</f>
        <v>1520947101.8137097</v>
      </c>
      <c r="Y141" s="821">
        <f t="shared" si="11"/>
        <v>1528590072.1313491</v>
      </c>
      <c r="Z141" s="821">
        <f t="shared" si="11"/>
        <v>1539661177.0924809</v>
      </c>
      <c r="AA141" s="821">
        <f t="shared" si="11"/>
        <v>1550477732.1832399</v>
      </c>
      <c r="AB141" s="395">
        <f>SUM(W141:AA141)</f>
        <v>7648965377.7861366</v>
      </c>
      <c r="AC141" s="395"/>
    </row>
    <row r="142" spans="1:37" ht="15.75" thickBot="1" x14ac:dyDescent="0.3">
      <c r="D142" s="773"/>
      <c r="W142" s="395"/>
      <c r="X142" s="395"/>
      <c r="Y142" s="395"/>
      <c r="Z142" s="395"/>
      <c r="AA142" s="395"/>
    </row>
    <row r="143" spans="1:37" x14ac:dyDescent="0.25">
      <c r="A143" s="63" t="s">
        <v>296</v>
      </c>
      <c r="B143" s="64"/>
      <c r="C143" s="707" t="s">
        <v>591</v>
      </c>
      <c r="D143" s="707" t="s">
        <v>409</v>
      </c>
      <c r="O143" s="420">
        <f t="shared" ref="O143:U153" si="12">SUMIF($A$7:$A$138,$A143,O$7:O$138)</f>
        <v>4658</v>
      </c>
      <c r="P143" s="726">
        <f t="shared" si="12"/>
        <v>4658</v>
      </c>
      <c r="Q143" s="241">
        <f t="shared" si="12"/>
        <v>4658</v>
      </c>
      <c r="R143" s="144">
        <f t="shared" si="12"/>
        <v>4658</v>
      </c>
      <c r="S143" s="144">
        <f t="shared" si="12"/>
        <v>4658</v>
      </c>
      <c r="T143" s="729">
        <f t="shared" si="12"/>
        <v>4658</v>
      </c>
      <c r="U143" s="293">
        <f>SUMIF($A$7:$A$138,$A143,U$7:U$138)</f>
        <v>4658</v>
      </c>
      <c r="V143" s="124"/>
      <c r="W143" s="415">
        <f t="shared" ref="W143:AA153" si="13">SUMIF($A$7:$A$138,$A143,W$7:W$138)</f>
        <v>21696964</v>
      </c>
      <c r="X143" s="79">
        <f t="shared" si="13"/>
        <v>21696964</v>
      </c>
      <c r="Y143" s="79">
        <f t="shared" si="13"/>
        <v>21696964</v>
      </c>
      <c r="Z143" s="79">
        <f t="shared" si="13"/>
        <v>21696964</v>
      </c>
      <c r="AA143" s="80">
        <f>SUMIF($A$7:$A$138,$A143,AA$7:AA$138)</f>
        <v>21696964</v>
      </c>
      <c r="AB143" s="722"/>
      <c r="AC143" s="895"/>
    </row>
    <row r="144" spans="1:37" x14ac:dyDescent="0.25">
      <c r="A144" s="81" t="s">
        <v>27</v>
      </c>
      <c r="B144" s="82"/>
      <c r="C144" s="708" t="s">
        <v>591</v>
      </c>
      <c r="D144" s="708" t="s">
        <v>410</v>
      </c>
      <c r="O144" s="421">
        <f t="shared" si="12"/>
        <v>13980.06743944918</v>
      </c>
      <c r="P144" s="727">
        <f t="shared" si="12"/>
        <v>13980.06743944918</v>
      </c>
      <c r="Q144" s="234">
        <f t="shared" si="12"/>
        <v>14501.62811536769</v>
      </c>
      <c r="R144" s="96">
        <f t="shared" si="12"/>
        <v>14610.376550596673</v>
      </c>
      <c r="S144" s="96">
        <f t="shared" si="12"/>
        <v>14682.875507415994</v>
      </c>
      <c r="T144" s="730">
        <f t="shared" si="12"/>
        <v>14755.374464235316</v>
      </c>
      <c r="U144" s="286">
        <f t="shared" si="12"/>
        <v>14791.623942644977</v>
      </c>
      <c r="V144" s="99"/>
      <c r="W144" s="416">
        <f t="shared" si="13"/>
        <v>211874247.36224157</v>
      </c>
      <c r="X144" s="97">
        <f t="shared" si="13"/>
        <v>213463102.95022517</v>
      </c>
      <c r="Y144" s="97">
        <f t="shared" si="13"/>
        <v>214522340.00888091</v>
      </c>
      <c r="Z144" s="97">
        <f t="shared" si="13"/>
        <v>215581577.06753665</v>
      </c>
      <c r="AA144" s="98">
        <f t="shared" si="13"/>
        <v>216111195.59686452</v>
      </c>
      <c r="AB144" s="723"/>
      <c r="AC144" s="895"/>
    </row>
    <row r="145" spans="1:37" x14ac:dyDescent="0.25">
      <c r="A145" s="81" t="s">
        <v>68</v>
      </c>
      <c r="B145" s="82"/>
      <c r="C145" s="708" t="s">
        <v>591</v>
      </c>
      <c r="D145" s="708" t="s">
        <v>411</v>
      </c>
      <c r="O145" s="421">
        <f t="shared" si="12"/>
        <v>20911.171175362404</v>
      </c>
      <c r="P145" s="727">
        <f t="shared" si="12"/>
        <v>20911.171175362404</v>
      </c>
      <c r="Q145" s="234">
        <f t="shared" si="12"/>
        <v>30184.285044535602</v>
      </c>
      <c r="R145" s="96">
        <f t="shared" si="12"/>
        <v>30402.739680878618</v>
      </c>
      <c r="S145" s="96">
        <f t="shared" si="12"/>
        <v>30548.376105107294</v>
      </c>
      <c r="T145" s="730">
        <f t="shared" si="12"/>
        <v>30694.012529335971</v>
      </c>
      <c r="U145" s="286">
        <f t="shared" si="12"/>
        <v>30766.830741450311</v>
      </c>
      <c r="V145" s="99"/>
      <c r="W145" s="416">
        <f t="shared" si="13"/>
        <v>917684960.66245365</v>
      </c>
      <c r="X145" s="97">
        <f t="shared" si="13"/>
        <v>924326580.10327125</v>
      </c>
      <c r="Y145" s="97">
        <f t="shared" si="13"/>
        <v>928754326.3971498</v>
      </c>
      <c r="Z145" s="97">
        <f t="shared" si="13"/>
        <v>933182072.69102824</v>
      </c>
      <c r="AA145" s="98">
        <f t="shared" si="13"/>
        <v>935395945.83796751</v>
      </c>
      <c r="AB145" s="723"/>
      <c r="AC145" s="895"/>
    </row>
    <row r="146" spans="1:37" x14ac:dyDescent="0.25">
      <c r="A146" s="81" t="s">
        <v>81</v>
      </c>
      <c r="B146" s="82"/>
      <c r="C146" s="708" t="s">
        <v>591</v>
      </c>
      <c r="D146" s="708" t="s">
        <v>270</v>
      </c>
      <c r="O146" s="421">
        <f t="shared" si="12"/>
        <v>550.02877600199997</v>
      </c>
      <c r="P146" s="727">
        <f t="shared" si="12"/>
        <v>550.02877600199997</v>
      </c>
      <c r="Q146" s="234">
        <f t="shared" si="12"/>
        <v>700.02877600199974</v>
      </c>
      <c r="R146" s="96">
        <f t="shared" si="12"/>
        <v>730.02877600199997</v>
      </c>
      <c r="S146" s="96">
        <f t="shared" si="12"/>
        <v>750.02877600199986</v>
      </c>
      <c r="T146" s="730">
        <f t="shared" si="12"/>
        <v>770.02877600200009</v>
      </c>
      <c r="U146" s="286">
        <f t="shared" si="12"/>
        <v>780.02877600200009</v>
      </c>
      <c r="V146" s="99"/>
      <c r="W146" s="416">
        <f t="shared" si="13"/>
        <v>511041.150510918</v>
      </c>
      <c r="X146" s="97">
        <f t="shared" si="13"/>
        <v>532942.01379097824</v>
      </c>
      <c r="Y146" s="97">
        <f t="shared" si="13"/>
        <v>547542.58931101812</v>
      </c>
      <c r="Z146" s="97">
        <f t="shared" si="13"/>
        <v>562143.16483105824</v>
      </c>
      <c r="AA146" s="98">
        <f t="shared" si="13"/>
        <v>569443.45259107824</v>
      </c>
      <c r="AB146" s="723"/>
      <c r="AC146" s="895"/>
    </row>
    <row r="147" spans="1:37" x14ac:dyDescent="0.25">
      <c r="A147" s="81" t="s">
        <v>94</v>
      </c>
      <c r="B147" s="82"/>
      <c r="C147" s="708" t="s">
        <v>591</v>
      </c>
      <c r="D147" s="708" t="s">
        <v>412</v>
      </c>
      <c r="O147" s="421">
        <f t="shared" si="12"/>
        <v>18.980691549933333</v>
      </c>
      <c r="P147" s="727">
        <f t="shared" si="12"/>
        <v>19.980691549933333</v>
      </c>
      <c r="Q147" s="234">
        <f t="shared" si="12"/>
        <v>19.980691549933333</v>
      </c>
      <c r="R147" s="96">
        <f t="shared" si="12"/>
        <v>20.980691549933333</v>
      </c>
      <c r="S147" s="96">
        <f t="shared" si="12"/>
        <v>20.980691549933333</v>
      </c>
      <c r="T147" s="730">
        <f t="shared" si="12"/>
        <v>21.980691549933333</v>
      </c>
      <c r="U147" s="286">
        <f t="shared" si="12"/>
        <v>21.980691549933333</v>
      </c>
      <c r="V147" s="99"/>
      <c r="W147" s="416">
        <f t="shared" si="13"/>
        <v>6475597.0592646832</v>
      </c>
      <c r="X147" s="97">
        <f t="shared" si="13"/>
        <v>6775597.0592646832</v>
      </c>
      <c r="Y147" s="97">
        <f t="shared" si="13"/>
        <v>6775597.0592646832</v>
      </c>
      <c r="Z147" s="97">
        <f t="shared" si="13"/>
        <v>7075597.0592646832</v>
      </c>
      <c r="AA147" s="98">
        <f t="shared" si="13"/>
        <v>7075597.0592646832</v>
      </c>
      <c r="AB147" s="723"/>
      <c r="AC147" s="895"/>
    </row>
    <row r="148" spans="1:37" x14ac:dyDescent="0.25">
      <c r="A148" s="81" t="s">
        <v>106</v>
      </c>
      <c r="B148" s="82"/>
      <c r="C148" s="708" t="s">
        <v>591</v>
      </c>
      <c r="D148" s="708" t="s">
        <v>272</v>
      </c>
      <c r="O148" s="421">
        <f t="shared" si="12"/>
        <v>17508.467067597943</v>
      </c>
      <c r="P148" s="727">
        <f t="shared" si="12"/>
        <v>17508.467067597943</v>
      </c>
      <c r="Q148" s="234">
        <f t="shared" si="12"/>
        <v>18073.445093230999</v>
      </c>
      <c r="R148" s="96">
        <f t="shared" si="12"/>
        <v>18191.246298465947</v>
      </c>
      <c r="S148" s="96">
        <f t="shared" si="12"/>
        <v>18269.780435289242</v>
      </c>
      <c r="T148" s="730">
        <f t="shared" si="12"/>
        <v>18348.31457211254</v>
      </c>
      <c r="U148" s="286">
        <f t="shared" si="12"/>
        <v>18387.581640524189</v>
      </c>
      <c r="V148" s="99"/>
      <c r="W148" s="416">
        <f t="shared" si="13"/>
        <v>328778491.15276593</v>
      </c>
      <c r="X148" s="97">
        <f t="shared" si="13"/>
        <v>330921441.891451</v>
      </c>
      <c r="Y148" s="97">
        <f t="shared" si="13"/>
        <v>332350075.71724105</v>
      </c>
      <c r="Z148" s="97">
        <f t="shared" si="13"/>
        <v>333778709.5430311</v>
      </c>
      <c r="AA148" s="98">
        <f t="shared" si="13"/>
        <v>334493026.45592606</v>
      </c>
      <c r="AB148" s="723"/>
      <c r="AC148" s="895"/>
    </row>
    <row r="149" spans="1:37" x14ac:dyDescent="0.25">
      <c r="A149" s="81" t="s">
        <v>138</v>
      </c>
      <c r="B149" s="82"/>
      <c r="C149" s="708" t="s">
        <v>591</v>
      </c>
      <c r="D149" s="708" t="s">
        <v>413</v>
      </c>
      <c r="O149" s="421">
        <f t="shared" si="12"/>
        <v>1633.9170821211951</v>
      </c>
      <c r="P149" s="727">
        <f t="shared" si="12"/>
        <v>1633.9170821211951</v>
      </c>
      <c r="Q149" s="234">
        <f t="shared" si="12"/>
        <v>938.30424477936936</v>
      </c>
      <c r="R149" s="96">
        <f t="shared" si="12"/>
        <v>944.55876292157745</v>
      </c>
      <c r="S149" s="96">
        <f t="shared" si="12"/>
        <v>948.72844168304937</v>
      </c>
      <c r="T149" s="730">
        <f t="shared" si="12"/>
        <v>952.89812044452151</v>
      </c>
      <c r="U149" s="286">
        <f t="shared" si="12"/>
        <v>954.98295982525747</v>
      </c>
      <c r="V149" s="99"/>
      <c r="W149" s="416">
        <f t="shared" si="13"/>
        <v>886283.49669286609</v>
      </c>
      <c r="X149" s="97">
        <f t="shared" si="13"/>
        <v>892191.25661194068</v>
      </c>
      <c r="Y149" s="97">
        <f t="shared" si="13"/>
        <v>896129.76322465716</v>
      </c>
      <c r="Z149" s="97">
        <f t="shared" si="13"/>
        <v>900068.26983737352</v>
      </c>
      <c r="AA149" s="98">
        <f t="shared" si="13"/>
        <v>902037.52314373176</v>
      </c>
      <c r="AB149" s="723"/>
      <c r="AC149" s="895"/>
    </row>
    <row r="150" spans="1:37" x14ac:dyDescent="0.25">
      <c r="A150" s="81" t="s">
        <v>196</v>
      </c>
      <c r="B150" s="82"/>
      <c r="C150" s="708" t="s">
        <v>591</v>
      </c>
      <c r="D150" s="708" t="s">
        <v>274</v>
      </c>
      <c r="O150" s="421">
        <f t="shared" si="12"/>
        <v>4327.9750328613827</v>
      </c>
      <c r="P150" s="727">
        <f t="shared" si="12"/>
        <v>4044.5425304371042</v>
      </c>
      <c r="Q150" s="234">
        <f t="shared" si="12"/>
        <v>2350.4357336674429</v>
      </c>
      <c r="R150" s="96">
        <f t="shared" si="12"/>
        <v>2417.0940880180942</v>
      </c>
      <c r="S150" s="96">
        <f t="shared" si="12"/>
        <v>2434.0462246221114</v>
      </c>
      <c r="T150" s="730">
        <f t="shared" si="12"/>
        <v>2446.8286824646566</v>
      </c>
      <c r="U150" s="286">
        <f t="shared" si="12"/>
        <v>2457.3895901474016</v>
      </c>
      <c r="V150" s="99"/>
      <c r="W150" s="416">
        <f t="shared" si="13"/>
        <v>21381709.681427162</v>
      </c>
      <c r="X150" s="97">
        <f t="shared" si="13"/>
        <v>21555730.582837544</v>
      </c>
      <c r="Y150" s="97">
        <f t="shared" si="13"/>
        <v>21671744.517111134</v>
      </c>
      <c r="Z150" s="97">
        <f t="shared" si="13"/>
        <v>21787758.451384716</v>
      </c>
      <c r="AA150" s="98">
        <f t="shared" si="13"/>
        <v>21845765.418521509</v>
      </c>
      <c r="AB150" s="723"/>
      <c r="AC150" s="895"/>
    </row>
    <row r="151" spans="1:37" x14ac:dyDescent="0.25">
      <c r="A151" s="81" t="s">
        <v>224</v>
      </c>
      <c r="B151" s="82"/>
      <c r="C151" s="708" t="s">
        <v>591</v>
      </c>
      <c r="D151" s="708" t="s">
        <v>414</v>
      </c>
      <c r="O151" s="421">
        <f t="shared" si="12"/>
        <v>0</v>
      </c>
      <c r="P151" s="727">
        <f t="shared" si="12"/>
        <v>0</v>
      </c>
      <c r="Q151" s="234">
        <f t="shared" si="12"/>
        <v>0</v>
      </c>
      <c r="R151" s="96">
        <f t="shared" si="12"/>
        <v>0</v>
      </c>
      <c r="S151" s="96">
        <f t="shared" si="12"/>
        <v>0</v>
      </c>
      <c r="T151" s="730">
        <f t="shared" si="12"/>
        <v>0</v>
      </c>
      <c r="U151" s="286">
        <f t="shared" si="12"/>
        <v>0</v>
      </c>
      <c r="V151" s="99"/>
      <c r="W151" s="416">
        <f t="shared" si="13"/>
        <v>0</v>
      </c>
      <c r="X151" s="97">
        <f t="shared" si="13"/>
        <v>0</v>
      </c>
      <c r="Y151" s="97">
        <f t="shared" si="13"/>
        <v>0</v>
      </c>
      <c r="Z151" s="97">
        <f t="shared" si="13"/>
        <v>0</v>
      </c>
      <c r="AA151" s="98">
        <f t="shared" si="13"/>
        <v>0</v>
      </c>
      <c r="AB151" s="723"/>
      <c r="AC151" s="895"/>
    </row>
    <row r="152" spans="1:37" x14ac:dyDescent="0.25">
      <c r="A152" s="81" t="s">
        <v>242</v>
      </c>
      <c r="B152" s="82"/>
      <c r="C152" s="708" t="s">
        <v>591</v>
      </c>
      <c r="D152" s="708" t="s">
        <v>415</v>
      </c>
      <c r="O152" s="421">
        <f t="shared" si="12"/>
        <v>0</v>
      </c>
      <c r="P152" s="727">
        <f t="shared" si="12"/>
        <v>0</v>
      </c>
      <c r="Q152" s="234">
        <f t="shared" si="12"/>
        <v>0</v>
      </c>
      <c r="R152" s="96">
        <f t="shared" si="12"/>
        <v>0</v>
      </c>
      <c r="S152" s="96">
        <f t="shared" si="12"/>
        <v>0</v>
      </c>
      <c r="T152" s="730">
        <f t="shared" si="12"/>
        <v>0</v>
      </c>
      <c r="U152" s="286">
        <f t="shared" si="12"/>
        <v>0</v>
      </c>
      <c r="V152" s="99"/>
      <c r="W152" s="416">
        <f t="shared" si="13"/>
        <v>0</v>
      </c>
      <c r="X152" s="97">
        <f t="shared" si="13"/>
        <v>0</v>
      </c>
      <c r="Y152" s="97">
        <f t="shared" si="13"/>
        <v>0</v>
      </c>
      <c r="Z152" s="97">
        <f t="shared" si="13"/>
        <v>0</v>
      </c>
      <c r="AA152" s="98">
        <f t="shared" si="13"/>
        <v>0</v>
      </c>
      <c r="AB152" s="723"/>
      <c r="AC152" s="895"/>
    </row>
    <row r="153" spans="1:37" ht="15.75" thickBot="1" x14ac:dyDescent="0.3">
      <c r="A153" s="100" t="s">
        <v>258</v>
      </c>
      <c r="B153" s="101"/>
      <c r="C153" s="709" t="s">
        <v>591</v>
      </c>
      <c r="D153" s="709" t="s">
        <v>64</v>
      </c>
      <c r="O153" s="422">
        <f t="shared" si="12"/>
        <v>0</v>
      </c>
      <c r="P153" s="728">
        <f t="shared" si="12"/>
        <v>0</v>
      </c>
      <c r="Q153" s="235">
        <f t="shared" si="12"/>
        <v>0</v>
      </c>
      <c r="R153" s="115">
        <f t="shared" si="12"/>
        <v>26.085065208566085</v>
      </c>
      <c r="S153" s="115">
        <f t="shared" si="12"/>
        <v>45.845069305522095</v>
      </c>
      <c r="T153" s="731">
        <f t="shared" si="12"/>
        <v>169.8762281855621</v>
      </c>
      <c r="U153" s="287">
        <f t="shared" si="12"/>
        <v>412.92522796535678</v>
      </c>
      <c r="V153" s="116"/>
      <c r="W153" s="467">
        <f t="shared" si="13"/>
        <v>0</v>
      </c>
      <c r="X153" s="117">
        <f t="shared" si="13"/>
        <v>782551.95625698252</v>
      </c>
      <c r="Y153" s="117">
        <f t="shared" si="13"/>
        <v>1375352.0791656629</v>
      </c>
      <c r="Z153" s="117">
        <f t="shared" si="13"/>
        <v>5096286.8455668632</v>
      </c>
      <c r="AA153" s="118">
        <f t="shared" si="13"/>
        <v>12387756.838960703</v>
      </c>
      <c r="AB153" s="724"/>
      <c r="AC153" s="895"/>
    </row>
    <row r="157" spans="1:37" ht="15.75" thickBot="1" x14ac:dyDescent="0.3">
      <c r="D157" t="s">
        <v>648</v>
      </c>
    </row>
    <row r="158" spans="1:37" x14ac:dyDescent="0.25">
      <c r="D158" s="707" t="s">
        <v>409</v>
      </c>
      <c r="O158" s="420">
        <f>'Distribution Summary'!BC136-O143</f>
        <v>0</v>
      </c>
      <c r="P158" s="726">
        <f>'Distribution Summary'!BD136-P143</f>
        <v>0</v>
      </c>
      <c r="Q158" s="241">
        <f>'Distribution Summary'!BE136-Q143</f>
        <v>0</v>
      </c>
      <c r="R158" s="144">
        <f>'Distribution Summary'!BF136-R143</f>
        <v>0</v>
      </c>
      <c r="S158" s="144">
        <f>'Distribution Summary'!BG136-S143</f>
        <v>0</v>
      </c>
      <c r="T158" s="729">
        <f>'Distribution Summary'!BH136-T143</f>
        <v>0</v>
      </c>
      <c r="U158" s="293">
        <f>'Distribution Summary'!BI136-U143</f>
        <v>0</v>
      </c>
      <c r="V158" s="124"/>
      <c r="W158" s="415">
        <f>W143-'Distribution Summary'!BN136</f>
        <v>13312564</v>
      </c>
      <c r="X158" s="79">
        <f>X143-'Distribution Summary'!BO136</f>
        <v>13312564</v>
      </c>
      <c r="Y158" s="79">
        <f>Y143-'Distribution Summary'!BP136</f>
        <v>13312564</v>
      </c>
      <c r="Z158" s="79">
        <f>Z143-'Distribution Summary'!BQ136</f>
        <v>13312564</v>
      </c>
      <c r="AA158" s="80">
        <f>AA143-'Distribution Summary'!BR136</f>
        <v>13312564</v>
      </c>
      <c r="AB158" s="722"/>
      <c r="AC158" s="895"/>
      <c r="AE158" s="735"/>
      <c r="AF158" s="736"/>
      <c r="AG158" s="735">
        <f>W158/'Distribution Summary'!BN136</f>
        <v>1.5877777777777777</v>
      </c>
      <c r="AH158" s="737">
        <f>X158/'Distribution Summary'!BO136</f>
        <v>1.5877777777777777</v>
      </c>
      <c r="AI158" s="737">
        <f>Y158/'Distribution Summary'!BP136</f>
        <v>1.5877777777777777</v>
      </c>
      <c r="AJ158" s="737">
        <f>Z158/'Distribution Summary'!BQ136</f>
        <v>1.5877777777777777</v>
      </c>
      <c r="AK158" s="736">
        <f>AA158/'Distribution Summary'!BR136</f>
        <v>1.5877777777777777</v>
      </c>
    </row>
    <row r="159" spans="1:37" x14ac:dyDescent="0.25">
      <c r="D159" s="708" t="s">
        <v>410</v>
      </c>
      <c r="O159" s="421">
        <f>'Distribution Summary'!BC137-O144</f>
        <v>0</v>
      </c>
      <c r="P159" s="727">
        <f>'Distribution Summary'!BD137-P144</f>
        <v>0</v>
      </c>
      <c r="Q159" s="234">
        <f>'Distribution Summary'!BE137-Q144</f>
        <v>0</v>
      </c>
      <c r="R159" s="96">
        <f>'Distribution Summary'!BF137-R144</f>
        <v>0</v>
      </c>
      <c r="S159" s="96">
        <f>'Distribution Summary'!BG137-S144</f>
        <v>0</v>
      </c>
      <c r="T159" s="730">
        <f>'Distribution Summary'!BH137-T144</f>
        <v>0</v>
      </c>
      <c r="U159" s="286">
        <f>'Distribution Summary'!BI137-U144</f>
        <v>0</v>
      </c>
      <c r="V159" s="99"/>
      <c r="W159" s="416">
        <f>W144-'Distribution Summary'!BN137</f>
        <v>121602192.70935376</v>
      </c>
      <c r="X159" s="97">
        <f>X144-'Distribution Summary'!BO137</f>
        <v>122406737.21105596</v>
      </c>
      <c r="Y159" s="97">
        <f>Y144-'Distribution Summary'!BP137</f>
        <v>122943100.21219079</v>
      </c>
      <c r="Z159" s="97">
        <f>Z144-'Distribution Summary'!BQ137</f>
        <v>123479463.2133256</v>
      </c>
      <c r="AA159" s="98">
        <f>AA144-'Distribution Summary'!BR137</f>
        <v>123747644.713893</v>
      </c>
      <c r="AB159" s="723"/>
      <c r="AC159" s="895"/>
      <c r="AE159" s="738"/>
      <c r="AF159" s="739"/>
      <c r="AG159" s="738">
        <f>W159/'Distribution Summary'!BN137</f>
        <v>1.3470635311995052</v>
      </c>
      <c r="AH159" s="740">
        <f>X159/'Distribution Summary'!BO137</f>
        <v>1.3442963181914138</v>
      </c>
      <c r="AI159" s="740">
        <f>Y159/'Distribution Summary'!BP137</f>
        <v>1.3424778419773935</v>
      </c>
      <c r="AJ159" s="740">
        <f>Z159/'Distribution Summary'!BQ137</f>
        <v>1.3406800131512935</v>
      </c>
      <c r="AK159" s="739">
        <f>AA159/'Distribution Summary'!BR137</f>
        <v>1.3397887319283168</v>
      </c>
    </row>
    <row r="160" spans="1:37" x14ac:dyDescent="0.25">
      <c r="D160" s="708" t="s">
        <v>411</v>
      </c>
      <c r="O160" s="421">
        <f>'Distribution Summary'!BC138-O145</f>
        <v>0</v>
      </c>
      <c r="P160" s="727">
        <f>'Distribution Summary'!BD138-P145</f>
        <v>0</v>
      </c>
      <c r="Q160" s="234">
        <f>'Distribution Summary'!BE138-Q145</f>
        <v>0</v>
      </c>
      <c r="R160" s="96">
        <f>'Distribution Summary'!BF138-R145</f>
        <v>0</v>
      </c>
      <c r="S160" s="96">
        <f>'Distribution Summary'!BG138-S145</f>
        <v>0</v>
      </c>
      <c r="T160" s="730">
        <f>'Distribution Summary'!BH138-T145</f>
        <v>0</v>
      </c>
      <c r="U160" s="286">
        <f>'Distribution Summary'!BI138-U145</f>
        <v>0</v>
      </c>
      <c r="V160" s="99"/>
      <c r="W160" s="416">
        <f>W145-'Distribution Summary'!BN138</f>
        <v>832605152.6409483</v>
      </c>
      <c r="X160" s="97">
        <f>X145-'Distribution Summary'!BO138</f>
        <v>838792993.98785746</v>
      </c>
      <c r="Y160" s="97">
        <f>Y145-'Distribution Summary'!BP138</f>
        <v>842918221.55246365</v>
      </c>
      <c r="Z160" s="97">
        <f>Z145-'Distribution Summary'!BQ138</f>
        <v>847043449.11706984</v>
      </c>
      <c r="AA160" s="98">
        <f>AA145-'Distribution Summary'!BR138</f>
        <v>849106062.89937294</v>
      </c>
      <c r="AB160" s="723"/>
      <c r="AC160" s="895"/>
      <c r="AE160" s="738"/>
      <c r="AF160" s="739"/>
      <c r="AG160" s="738">
        <f>W160/'Distribution Summary'!BN138</f>
        <v>9.7861663302119037</v>
      </c>
      <c r="AH160" s="740">
        <f>X160/'Distribution Summary'!BO138</f>
        <v>9.8065921479784723</v>
      </c>
      <c r="AI160" s="740">
        <f>Y160/'Distribution Summary'!BP138</f>
        <v>9.8200893793778263</v>
      </c>
      <c r="AJ160" s="740">
        <f>Z160/'Distribution Summary'!BQ138</f>
        <v>9.83349180626041</v>
      </c>
      <c r="AK160" s="739">
        <f>AA160/'Distribution Summary'!BR138</f>
        <v>9.8401577796044997</v>
      </c>
    </row>
    <row r="161" spans="2:37" x14ac:dyDescent="0.25">
      <c r="D161" s="708" t="s">
        <v>270</v>
      </c>
      <c r="O161" s="421">
        <f>'Distribution Summary'!BC139-O146</f>
        <v>0</v>
      </c>
      <c r="P161" s="727">
        <f>'Distribution Summary'!BD139-P146</f>
        <v>0</v>
      </c>
      <c r="Q161" s="234">
        <f>'Distribution Summary'!BE139-Q146</f>
        <v>0</v>
      </c>
      <c r="R161" s="96">
        <f>'Distribution Summary'!BF139-R146</f>
        <v>0</v>
      </c>
      <c r="S161" s="96">
        <f>'Distribution Summary'!BG139-S146</f>
        <v>0</v>
      </c>
      <c r="T161" s="730">
        <f>'Distribution Summary'!BH139-T146</f>
        <v>0</v>
      </c>
      <c r="U161" s="286">
        <f>'Distribution Summary'!BI139-U146</f>
        <v>0</v>
      </c>
      <c r="V161" s="99"/>
      <c r="W161" s="416">
        <f>W146-'Distribution Summary'!BN139</f>
        <v>-39873136.185918964</v>
      </c>
      <c r="X161" s="97">
        <f>X146-'Distribution Summary'!BO139</f>
        <v>-41203430.583141252</v>
      </c>
      <c r="Y161" s="97">
        <f>Y146-'Distribution Summary'!BP139</f>
        <v>-42090686.766515166</v>
      </c>
      <c r="Z161" s="97">
        <f>Z146-'Distribution Summary'!BQ139</f>
        <v>-42978221.02322489</v>
      </c>
      <c r="AA161" s="98">
        <f>AA146-'Distribution Summary'!BR139</f>
        <v>-43422083.921985589</v>
      </c>
      <c r="AB161" s="723"/>
      <c r="AC161" s="895"/>
      <c r="AE161" s="738"/>
      <c r="AF161" s="739"/>
      <c r="AG161" s="738">
        <f>W161/'Distribution Summary'!BN139</f>
        <v>-0.98734551043955743</v>
      </c>
      <c r="AH161" s="740">
        <f>X161/'Distribution Summary'!BO139</f>
        <v>-0.98723075388132431</v>
      </c>
      <c r="AI161" s="740">
        <f>Y161/'Distribution Summary'!BP139</f>
        <v>-0.98715841165115825</v>
      </c>
      <c r="AJ161" s="740">
        <f>Z161/'Distribution Summary'!BQ139</f>
        <v>-0.9870891487631317</v>
      </c>
      <c r="AK161" s="739">
        <f>AA161/'Distribution Summary'!BR139</f>
        <v>-0.98705561078290349</v>
      </c>
    </row>
    <row r="162" spans="2:37" x14ac:dyDescent="0.25">
      <c r="D162" s="708" t="s">
        <v>412</v>
      </c>
      <c r="O162" s="421">
        <f>'Distribution Summary'!BC140-O147</f>
        <v>0</v>
      </c>
      <c r="P162" s="727">
        <f>'Distribution Summary'!BD140-P147</f>
        <v>0</v>
      </c>
      <c r="Q162" s="234">
        <f>'Distribution Summary'!BE140-Q147</f>
        <v>0</v>
      </c>
      <c r="R162" s="96">
        <f>'Distribution Summary'!BF140-R147</f>
        <v>0</v>
      </c>
      <c r="S162" s="96">
        <f>'Distribution Summary'!BG140-S147</f>
        <v>0</v>
      </c>
      <c r="T162" s="730">
        <f>'Distribution Summary'!BH140-T147</f>
        <v>0</v>
      </c>
      <c r="U162" s="286">
        <f>'Distribution Summary'!BI140-U147</f>
        <v>0</v>
      </c>
      <c r="V162" s="99"/>
      <c r="W162" s="416">
        <f>W147-'Distribution Summary'!BN140</f>
        <v>0</v>
      </c>
      <c r="X162" s="97">
        <f>X147-'Distribution Summary'!BO140</f>
        <v>0</v>
      </c>
      <c r="Y162" s="97">
        <f>Y147-'Distribution Summary'!BP140</f>
        <v>0</v>
      </c>
      <c r="Z162" s="97">
        <f>Z147-'Distribution Summary'!BQ140</f>
        <v>0</v>
      </c>
      <c r="AA162" s="98">
        <f>AA147-'Distribution Summary'!BR140</f>
        <v>0</v>
      </c>
      <c r="AB162" s="723"/>
      <c r="AC162" s="895"/>
      <c r="AE162" s="738"/>
      <c r="AF162" s="739"/>
      <c r="AG162" s="738">
        <f>W162/'Distribution Summary'!BN140</f>
        <v>0</v>
      </c>
      <c r="AH162" s="740">
        <f>X162/'Distribution Summary'!BO140</f>
        <v>0</v>
      </c>
      <c r="AI162" s="740">
        <f>Y162/'Distribution Summary'!BP140</f>
        <v>0</v>
      </c>
      <c r="AJ162" s="740">
        <f>Z162/'Distribution Summary'!BQ140</f>
        <v>0</v>
      </c>
      <c r="AK162" s="739">
        <f>AA162/'Distribution Summary'!BR140</f>
        <v>0</v>
      </c>
    </row>
    <row r="163" spans="2:37" x14ac:dyDescent="0.25">
      <c r="D163" s="708" t="s">
        <v>272</v>
      </c>
      <c r="O163" s="421">
        <f>'Distribution Summary'!BC141-O148</f>
        <v>0</v>
      </c>
      <c r="P163" s="727">
        <f>'Distribution Summary'!BD141-P148</f>
        <v>0</v>
      </c>
      <c r="Q163" s="234">
        <f>'Distribution Summary'!BE141-Q148</f>
        <v>0</v>
      </c>
      <c r="R163" s="96">
        <f>'Distribution Summary'!BF141-R148</f>
        <v>0</v>
      </c>
      <c r="S163" s="96">
        <f>'Distribution Summary'!BG141-S148</f>
        <v>0</v>
      </c>
      <c r="T163" s="730">
        <f>'Distribution Summary'!BH141-T148</f>
        <v>0</v>
      </c>
      <c r="U163" s="286">
        <f>'Distribution Summary'!BI141-U148</f>
        <v>0</v>
      </c>
      <c r="V163" s="99"/>
      <c r="W163" s="416">
        <f>W148-'Distribution Summary'!BN141</f>
        <v>304611465.8752166</v>
      </c>
      <c r="X163" s="97">
        <f>X148-'Distribution Summary'!BO141</f>
        <v>306571777.62254179</v>
      </c>
      <c r="Y163" s="97">
        <f>Y148-'Distribution Summary'!BP141</f>
        <v>307878652.12075859</v>
      </c>
      <c r="Z163" s="97">
        <f>Z148-'Distribution Summary'!BQ141</f>
        <v>309185526.61897534</v>
      </c>
      <c r="AA163" s="98">
        <f>AA148-'Distribution Summary'!BR141</f>
        <v>309838963.86808372</v>
      </c>
      <c r="AB163" s="723"/>
      <c r="AC163" s="895"/>
      <c r="AE163" s="738"/>
      <c r="AF163" s="739"/>
      <c r="AG163" s="738">
        <f>W163/'Distribution Summary'!BN141</f>
        <v>12.604425343080782</v>
      </c>
      <c r="AH163" s="740">
        <f>X163/'Distribution Summary'!BO141</f>
        <v>12.590390332978302</v>
      </c>
      <c r="AI163" s="740">
        <f>Y163/'Distribution Summary'!BP141</f>
        <v>12.581150046579765</v>
      </c>
      <c r="AJ163" s="740">
        <f>Z163/'Distribution Summary'!BQ141</f>
        <v>12.572001256354119</v>
      </c>
      <c r="AK163" s="739">
        <f>AA163/'Distribution Summary'!BR141</f>
        <v>12.567460748674922</v>
      </c>
    </row>
    <row r="164" spans="2:37" x14ac:dyDescent="0.25">
      <c r="D164" s="708" t="s">
        <v>413</v>
      </c>
      <c r="O164" s="421">
        <f>'Distribution Summary'!BC142-O149</f>
        <v>0</v>
      </c>
      <c r="P164" s="727">
        <f>'Distribution Summary'!BD142-P149</f>
        <v>0</v>
      </c>
      <c r="Q164" s="234">
        <f>'Distribution Summary'!BE142-Q149</f>
        <v>0</v>
      </c>
      <c r="R164" s="96">
        <f>'Distribution Summary'!BF142-R149</f>
        <v>0</v>
      </c>
      <c r="S164" s="96">
        <f>'Distribution Summary'!BG142-S149</f>
        <v>0</v>
      </c>
      <c r="T164" s="730">
        <f>'Distribution Summary'!BH142-T149</f>
        <v>0</v>
      </c>
      <c r="U164" s="286">
        <f>'Distribution Summary'!BI142-U149</f>
        <v>0</v>
      </c>
      <c r="V164" s="99"/>
      <c r="W164" s="416">
        <f>W149-'Distribution Summary'!BN142</f>
        <v>-25903389.959390715</v>
      </c>
      <c r="X164" s="97">
        <f>X149-'Distribution Summary'!BO142</f>
        <v>-26061352.316130187</v>
      </c>
      <c r="Y164" s="97">
        <f>Y149-'Distribution Summary'!BP142</f>
        <v>-26166660.553956505</v>
      </c>
      <c r="Z164" s="97">
        <f>Z149-'Distribution Summary'!BQ142</f>
        <v>-26271968.791782819</v>
      </c>
      <c r="AA164" s="98">
        <f>AA149-'Distribution Summary'!BR142</f>
        <v>-26324622.910695978</v>
      </c>
      <c r="AB164" s="723"/>
      <c r="AC164" s="895"/>
      <c r="AE164" s="738"/>
      <c r="AF164" s="739"/>
      <c r="AG164" s="738">
        <f>W164/'Distribution Summary'!BN142</f>
        <v>-0.9669169727602035</v>
      </c>
      <c r="AH164" s="740">
        <f>X164/'Distribution Summary'!BO142</f>
        <v>-0.96689892539717104</v>
      </c>
      <c r="AI164" s="740">
        <f>Y164/'Distribution Summary'!BP142</f>
        <v>-0.96688701524411036</v>
      </c>
      <c r="AJ164" s="740">
        <f>Z164/'Distribution Summary'!BQ142</f>
        <v>-0.96687520086196643</v>
      </c>
      <c r="AK164" s="739">
        <f>AA164/'Distribution Summary'!BR142</f>
        <v>-0.96686932922472568</v>
      </c>
    </row>
    <row r="165" spans="2:37" x14ac:dyDescent="0.25">
      <c r="D165" s="708" t="s">
        <v>274</v>
      </c>
      <c r="O165" s="421">
        <f>'Distribution Summary'!BC143-O150</f>
        <v>-283.43250242427757</v>
      </c>
      <c r="P165" s="727">
        <f>'Distribution Summary'!BD143-P150</f>
        <v>0</v>
      </c>
      <c r="Q165" s="234">
        <f>'Distribution Summary'!BE143-Q150</f>
        <v>59.993703871248727</v>
      </c>
      <c r="R165" s="96">
        <f>'Distribution Summary'!BF143-R150</f>
        <v>12.509036284415743</v>
      </c>
      <c r="S165" s="96">
        <f>'Distribution Summary'!BG143-S150</f>
        <v>8.3393575229438284</v>
      </c>
      <c r="T165" s="730">
        <f>'Distribution Summary'!BH143-T150</f>
        <v>8.3393575229442831</v>
      </c>
      <c r="U165" s="286">
        <f>'Distribution Summary'!BI143-U150</f>
        <v>4.1696787614719142</v>
      </c>
      <c r="V165" s="99"/>
      <c r="W165" s="416">
        <f>W150-'Distribution Summary'!BN143</f>
        <v>-6393556.5441129915</v>
      </c>
      <c r="X165" s="97">
        <f>X150-'Distribution Summary'!BO143</f>
        <v>-6447813.1896094345</v>
      </c>
      <c r="Y165" s="97">
        <f>Y150-'Distribution Summary'!BP143</f>
        <v>-6483984.2866070606</v>
      </c>
      <c r="Z165" s="97">
        <f>Z150-'Distribution Summary'!BQ143</f>
        <v>-6520155.3836046979</v>
      </c>
      <c r="AA165" s="98">
        <f>AA150-'Distribution Summary'!BR143</f>
        <v>-6538240.9321035109</v>
      </c>
      <c r="AB165" s="723"/>
      <c r="AC165" s="895"/>
      <c r="AE165" s="738"/>
      <c r="AF165" s="739"/>
      <c r="AG165" s="738">
        <f>W165/'Distribution Summary'!BN143</f>
        <v>-0.23018884831548195</v>
      </c>
      <c r="AH165" s="740">
        <f>X165/'Distribution Summary'!BO143</f>
        <v>-0.23024990129833192</v>
      </c>
      <c r="AI165" s="740">
        <f>Y165/'Distribution Summary'!BP143</f>
        <v>-0.23029005328929</v>
      </c>
      <c r="AJ165" s="740">
        <f>Z165/'Distribution Summary'!BQ143</f>
        <v>-0.23032977356125742</v>
      </c>
      <c r="AK165" s="739">
        <f>AA165/'Distribution Summary'!BR143</f>
        <v>-0.23034947397267397</v>
      </c>
    </row>
    <row r="166" spans="2:37" x14ac:dyDescent="0.25">
      <c r="D166" s="708" t="s">
        <v>414</v>
      </c>
      <c r="O166" s="421">
        <f>'Distribution Summary'!BC144-O151</f>
        <v>0</v>
      </c>
      <c r="P166" s="727">
        <f>'Distribution Summary'!BD144-P151</f>
        <v>0</v>
      </c>
      <c r="Q166" s="234">
        <f>'Distribution Summary'!BE144-Q151</f>
        <v>0</v>
      </c>
      <c r="R166" s="96">
        <f>'Distribution Summary'!BF144-R151</f>
        <v>0</v>
      </c>
      <c r="S166" s="96">
        <f>'Distribution Summary'!BG144-S151</f>
        <v>0</v>
      </c>
      <c r="T166" s="730">
        <f>'Distribution Summary'!BH144-T151</f>
        <v>0</v>
      </c>
      <c r="U166" s="286">
        <f>'Distribution Summary'!BI144-U151</f>
        <v>0</v>
      </c>
      <c r="V166" s="99"/>
      <c r="W166" s="416">
        <f>W151-'Distribution Summary'!BN144</f>
        <v>0</v>
      </c>
      <c r="X166" s="97">
        <f>X151-'Distribution Summary'!BO144</f>
        <v>0</v>
      </c>
      <c r="Y166" s="97">
        <f>Y151-'Distribution Summary'!BP144</f>
        <v>0</v>
      </c>
      <c r="Z166" s="97">
        <f>Z151-'Distribution Summary'!BQ144</f>
        <v>0</v>
      </c>
      <c r="AA166" s="98">
        <f>AA151-'Distribution Summary'!BR144</f>
        <v>0</v>
      </c>
      <c r="AB166" s="723"/>
      <c r="AC166" s="895"/>
      <c r="AE166" s="416"/>
      <c r="AF166" s="98"/>
      <c r="AG166" s="416">
        <f>AG151-'Distribution Summary'!CJ144</f>
        <v>0</v>
      </c>
      <c r="AH166" s="97">
        <f>AH151-'Distribution Summary'!CK144</f>
        <v>0</v>
      </c>
      <c r="AI166" s="97">
        <f>AI151-'Distribution Summary'!CL144</f>
        <v>0</v>
      </c>
      <c r="AJ166" s="97">
        <f>AJ151-'Distribution Summary'!CM144</f>
        <v>0</v>
      </c>
      <c r="AK166" s="98">
        <f>AK151-'Distribution Summary'!CN144</f>
        <v>0</v>
      </c>
    </row>
    <row r="167" spans="2:37" x14ac:dyDescent="0.25">
      <c r="D167" s="708" t="s">
        <v>415</v>
      </c>
      <c r="O167" s="421">
        <f>'Distribution Summary'!BC145-O152</f>
        <v>0</v>
      </c>
      <c r="P167" s="727">
        <f>'Distribution Summary'!BD145-P152</f>
        <v>0</v>
      </c>
      <c r="Q167" s="234">
        <f>'Distribution Summary'!BE145-Q152</f>
        <v>0</v>
      </c>
      <c r="R167" s="96">
        <f>'Distribution Summary'!BF145-R152</f>
        <v>0</v>
      </c>
      <c r="S167" s="96">
        <f>'Distribution Summary'!BG145-S152</f>
        <v>0</v>
      </c>
      <c r="T167" s="730">
        <f>'Distribution Summary'!BH145-T152</f>
        <v>0</v>
      </c>
      <c r="U167" s="286">
        <f>'Distribution Summary'!BI145-U152</f>
        <v>0</v>
      </c>
      <c r="V167" s="99"/>
      <c r="W167" s="416">
        <f>W152-'Distribution Summary'!BN145</f>
        <v>0</v>
      </c>
      <c r="X167" s="97">
        <f>X152-'Distribution Summary'!BO145</f>
        <v>0</v>
      </c>
      <c r="Y167" s="97">
        <f>Y152-'Distribution Summary'!BP145</f>
        <v>0</v>
      </c>
      <c r="Z167" s="97">
        <f>Z152-'Distribution Summary'!BQ145</f>
        <v>0</v>
      </c>
      <c r="AA167" s="98">
        <f>AA152-'Distribution Summary'!BR145</f>
        <v>0</v>
      </c>
      <c r="AB167" s="723"/>
      <c r="AC167" s="895"/>
      <c r="AE167" s="416"/>
      <c r="AF167" s="98"/>
      <c r="AG167" s="416">
        <f>AG152-'Distribution Summary'!CJ145</f>
        <v>0</v>
      </c>
      <c r="AH167" s="97">
        <f>AH152-'Distribution Summary'!CK145</f>
        <v>0</v>
      </c>
      <c r="AI167" s="97">
        <f>AI152-'Distribution Summary'!CL145</f>
        <v>0</v>
      </c>
      <c r="AJ167" s="97">
        <f>AJ152-'Distribution Summary'!CM145</f>
        <v>0</v>
      </c>
      <c r="AK167" s="98">
        <f>AK152-'Distribution Summary'!CN145</f>
        <v>0</v>
      </c>
    </row>
    <row r="168" spans="2:37" ht="15.75" thickBot="1" x14ac:dyDescent="0.3">
      <c r="D168" s="709" t="s">
        <v>64</v>
      </c>
      <c r="O168" s="422">
        <f>'Distribution Summary'!BC146-O153</f>
        <v>0</v>
      </c>
      <c r="P168" s="728">
        <f>'Distribution Summary'!BD146-P153</f>
        <v>0</v>
      </c>
      <c r="Q168" s="235">
        <f>'Distribution Summary'!BE146-Q153</f>
        <v>0</v>
      </c>
      <c r="R168" s="115">
        <f>'Distribution Summary'!BF146-R153</f>
        <v>0</v>
      </c>
      <c r="S168" s="115">
        <f>'Distribution Summary'!BG146-S153</f>
        <v>0</v>
      </c>
      <c r="T168" s="731">
        <f>'Distribution Summary'!BH146-T153</f>
        <v>0</v>
      </c>
      <c r="U168" s="287">
        <f>'Distribution Summary'!BI146-U153</f>
        <v>0</v>
      </c>
      <c r="V168" s="116"/>
      <c r="W168" s="467">
        <f>W153-'Distribution Summary'!BN146</f>
        <v>0</v>
      </c>
      <c r="X168" s="117">
        <f>X153-'Distribution Summary'!BO146</f>
        <v>0</v>
      </c>
      <c r="Y168" s="117">
        <f>Y153-'Distribution Summary'!BP146</f>
        <v>0</v>
      </c>
      <c r="Z168" s="117">
        <f>Z153-'Distribution Summary'!BQ146</f>
        <v>0</v>
      </c>
      <c r="AA168" s="118">
        <f>AA153-'Distribution Summary'!BR146</f>
        <v>0</v>
      </c>
      <c r="AB168" s="724"/>
      <c r="AC168" s="895"/>
      <c r="AE168" s="467"/>
      <c r="AF168" s="118"/>
      <c r="AG168" s="467">
        <f>AG153-'Distribution Summary'!CJ146</f>
        <v>-870911.96859644388</v>
      </c>
      <c r="AH168" s="117">
        <f>AH153-'Distribution Summary'!CK146</f>
        <v>-1530646.7221788238</v>
      </c>
      <c r="AI168" s="117">
        <f>AI153-'Distribution Summary'!CL146</f>
        <v>-5671722.080197908</v>
      </c>
      <c r="AJ168" s="117">
        <f>AJ153-'Distribution Summary'!CM146</f>
        <v>-13786491.24681305</v>
      </c>
      <c r="AK168" s="118">
        <f>AK153-'Distribution Summary'!CN146</f>
        <v>-21859772.017786227</v>
      </c>
    </row>
    <row r="170" spans="2:37" ht="15.75" thickBot="1" x14ac:dyDescent="0.3"/>
    <row r="171" spans="2:37" ht="25.5" thickBot="1" x14ac:dyDescent="0.3">
      <c r="B171" t="s">
        <v>650</v>
      </c>
      <c r="V171" s="879" t="str">
        <f>B171</f>
        <v>BC Summary</v>
      </c>
      <c r="W171" s="880" t="s">
        <v>422</v>
      </c>
      <c r="X171" s="880" t="s">
        <v>423</v>
      </c>
      <c r="Y171" s="880" t="s">
        <v>424</v>
      </c>
      <c r="Z171" s="880" t="s">
        <v>425</v>
      </c>
      <c r="AA171" s="881" t="s">
        <v>426</v>
      </c>
      <c r="AB171" s="881"/>
      <c r="AC171" s="888" t="s">
        <v>797</v>
      </c>
    </row>
    <row r="172" spans="2:37" x14ac:dyDescent="0.25">
      <c r="B172" t="s">
        <v>268</v>
      </c>
      <c r="V172" s="124" t="str">
        <f t="shared" ref="V172:V177" si="14">B172</f>
        <v>Pole</v>
      </c>
      <c r="W172" s="415">
        <f t="shared" ref="W172:AA179" si="15">SUMIF($B$7:$B$138,$B172,W$7:W$138)</f>
        <v>567434906.81872034</v>
      </c>
      <c r="X172" s="79">
        <f t="shared" si="15"/>
        <v>567434906.81872034</v>
      </c>
      <c r="Y172" s="79">
        <f t="shared" si="15"/>
        <v>567434906.81872034</v>
      </c>
      <c r="Z172" s="79">
        <f t="shared" si="15"/>
        <v>567434906.81872034</v>
      </c>
      <c r="AA172" s="80">
        <f>SUMIF($B$7:$B$138,$B172,AA$7:AA$138)</f>
        <v>567434906.81872034</v>
      </c>
      <c r="AB172" s="876">
        <f>SUM(W172:AA172)</f>
        <v>2837174534.0936017</v>
      </c>
      <c r="AC172" s="886">
        <f>AB172/1000</f>
        <v>2837174.5340936016</v>
      </c>
    </row>
    <row r="173" spans="2:37" x14ac:dyDescent="0.25">
      <c r="B173" t="s">
        <v>637</v>
      </c>
      <c r="V173" s="99" t="str">
        <f t="shared" si="14"/>
        <v>PT</v>
      </c>
      <c r="W173" s="416">
        <f t="shared" si="15"/>
        <v>471366993.43446189</v>
      </c>
      <c r="X173" s="97">
        <f t="shared" si="15"/>
        <v>471366993.43446189</v>
      </c>
      <c r="Y173" s="97">
        <f t="shared" si="15"/>
        <v>471366993.43446189</v>
      </c>
      <c r="Z173" s="97">
        <f t="shared" si="15"/>
        <v>471366993.43446189</v>
      </c>
      <c r="AA173" s="98">
        <f t="shared" si="15"/>
        <v>471366993.43446189</v>
      </c>
      <c r="AB173" s="877">
        <f t="shared" ref="AB173:AB179" si="16">SUM(W173:AA173)</f>
        <v>2356834967.1723094</v>
      </c>
      <c r="AC173" s="882">
        <f t="shared" ref="AC173:AC179" si="17">AB173/1000</f>
        <v>2356834.9671723093</v>
      </c>
    </row>
    <row r="174" spans="2:37" x14ac:dyDescent="0.25">
      <c r="B174" t="s">
        <v>636</v>
      </c>
      <c r="V174" s="99" t="str">
        <f t="shared" si="14"/>
        <v>Cond</v>
      </c>
      <c r="W174" s="416">
        <f t="shared" si="15"/>
        <v>244789237.5299316</v>
      </c>
      <c r="X174" s="97">
        <f t="shared" si="15"/>
        <v>255812747.01465023</v>
      </c>
      <c r="Y174" s="97">
        <f t="shared" si="15"/>
        <v>262884070.00165904</v>
      </c>
      <c r="Z174" s="97">
        <f t="shared" si="15"/>
        <v>269913269.06995666</v>
      </c>
      <c r="AA174" s="98">
        <f t="shared" si="15"/>
        <v>273469992.52281666</v>
      </c>
      <c r="AB174" s="877">
        <f t="shared" si="16"/>
        <v>1306869316.1390142</v>
      </c>
      <c r="AC174" s="882">
        <f t="shared" si="17"/>
        <v>1306869.3161390142</v>
      </c>
    </row>
    <row r="175" spans="2:37" x14ac:dyDescent="0.25">
      <c r="B175" t="s">
        <v>272</v>
      </c>
      <c r="V175" s="99" t="str">
        <f t="shared" si="14"/>
        <v>Services</v>
      </c>
      <c r="W175" s="416">
        <f t="shared" si="15"/>
        <v>205350544.06590098</v>
      </c>
      <c r="X175" s="97">
        <f t="shared" si="15"/>
        <v>205350544.06590098</v>
      </c>
      <c r="Y175" s="97">
        <f t="shared" si="15"/>
        <v>205350544.06590098</v>
      </c>
      <c r="Z175" s="97">
        <f t="shared" si="15"/>
        <v>205350544.06590098</v>
      </c>
      <c r="AA175" s="98">
        <f t="shared" si="15"/>
        <v>205350544.06590098</v>
      </c>
      <c r="AB175" s="877">
        <f t="shared" si="16"/>
        <v>1026752720.329505</v>
      </c>
      <c r="AC175" s="882">
        <f t="shared" si="17"/>
        <v>1026752.7203295049</v>
      </c>
    </row>
    <row r="176" spans="2:37" x14ac:dyDescent="0.25">
      <c r="B176" t="s">
        <v>638</v>
      </c>
      <c r="V176" s="99" t="str">
        <f t="shared" si="14"/>
        <v>TD</v>
      </c>
      <c r="W176" s="416">
        <f t="shared" si="15"/>
        <v>5302539.8530764701</v>
      </c>
      <c r="X176" s="97">
        <f t="shared" si="15"/>
        <v>5302539.8530764701</v>
      </c>
      <c r="Y176" s="97">
        <f t="shared" si="15"/>
        <v>5302539.8530764701</v>
      </c>
      <c r="Z176" s="97">
        <f t="shared" si="15"/>
        <v>5302539.8530764701</v>
      </c>
      <c r="AA176" s="98">
        <f t="shared" si="15"/>
        <v>5302539.8530764701</v>
      </c>
      <c r="AB176" s="877">
        <f t="shared" si="16"/>
        <v>26512699.265382349</v>
      </c>
      <c r="AC176" s="882">
        <f t="shared" si="17"/>
        <v>26512.699265382351</v>
      </c>
    </row>
    <row r="177" spans="2:29" x14ac:dyDescent="0.25">
      <c r="B177" t="s">
        <v>639</v>
      </c>
      <c r="V177" s="99" t="str">
        <f t="shared" si="14"/>
        <v>Switches</v>
      </c>
      <c r="W177" s="416">
        <f t="shared" si="15"/>
        <v>8569475.8040006626</v>
      </c>
      <c r="X177" s="97">
        <f t="shared" si="15"/>
        <v>8121221.6113778828</v>
      </c>
      <c r="Y177" s="97">
        <f t="shared" si="15"/>
        <v>8100068.8190996656</v>
      </c>
      <c r="Z177" s="97">
        <f t="shared" si="15"/>
        <v>8121039.9455326842</v>
      </c>
      <c r="AA177" s="98">
        <f t="shared" si="15"/>
        <v>8089401.5900379559</v>
      </c>
      <c r="AB177" s="877">
        <f t="shared" si="16"/>
        <v>41001207.770048849</v>
      </c>
      <c r="AC177" s="882">
        <f t="shared" si="17"/>
        <v>41001.207770048852</v>
      </c>
    </row>
    <row r="178" spans="2:29" x14ac:dyDescent="0.25">
      <c r="B178" t="s">
        <v>647</v>
      </c>
      <c r="V178" s="99" t="s">
        <v>675</v>
      </c>
      <c r="W178" s="416">
        <f t="shared" si="15"/>
        <v>6475597.0592646832</v>
      </c>
      <c r="X178" s="97">
        <f t="shared" si="15"/>
        <v>6775597.0592646832</v>
      </c>
      <c r="Y178" s="97">
        <f t="shared" si="15"/>
        <v>6775597.0592646832</v>
      </c>
      <c r="Z178" s="97">
        <f t="shared" si="15"/>
        <v>7075597.0592646832</v>
      </c>
      <c r="AA178" s="98">
        <f t="shared" si="15"/>
        <v>7075597.0592646832</v>
      </c>
      <c r="AB178" s="877">
        <f t="shared" si="16"/>
        <v>34177985.296323419</v>
      </c>
      <c r="AC178" s="882">
        <f t="shared" si="17"/>
        <v>34177.985296323415</v>
      </c>
    </row>
    <row r="179" spans="2:29" ht="15.75" thickBot="1" x14ac:dyDescent="0.3">
      <c r="B179" t="s">
        <v>688</v>
      </c>
      <c r="V179" s="116" t="s">
        <v>688</v>
      </c>
      <c r="W179" s="467">
        <f t="shared" si="15"/>
        <v>0</v>
      </c>
      <c r="X179" s="117">
        <f t="shared" si="15"/>
        <v>782551.95625698252</v>
      </c>
      <c r="Y179" s="117">
        <f t="shared" si="15"/>
        <v>1375352.0791656629</v>
      </c>
      <c r="Z179" s="117">
        <f t="shared" si="15"/>
        <v>5096286.8455668632</v>
      </c>
      <c r="AA179" s="118">
        <f t="shared" si="15"/>
        <v>12387756.838960703</v>
      </c>
      <c r="AB179" s="878">
        <f t="shared" si="16"/>
        <v>19641947.719950214</v>
      </c>
      <c r="AC179" s="884">
        <f t="shared" si="17"/>
        <v>19641.947719950214</v>
      </c>
    </row>
    <row r="182" spans="2:29" ht="15.75" thickBot="1" x14ac:dyDescent="0.3">
      <c r="U182" t="s">
        <v>689</v>
      </c>
      <c r="W182" s="817">
        <v>1.0018303470052587</v>
      </c>
      <c r="X182" s="817">
        <v>1.0006277514675097</v>
      </c>
      <c r="Y182" s="817">
        <v>0.99984323929986285</v>
      </c>
      <c r="Z182" s="817">
        <v>0.99907199663278401</v>
      </c>
      <c r="AA182" s="817">
        <v>0.99869086492703452</v>
      </c>
    </row>
    <row r="183" spans="2:29" x14ac:dyDescent="0.25">
      <c r="U183" t="s">
        <v>268</v>
      </c>
      <c r="W183" s="415">
        <f>W172*W$182</f>
        <v>568473509.60109532</v>
      </c>
      <c r="X183" s="79">
        <f t="shared" ref="X183:AA183" si="18">X172*X$182</f>
        <v>567791114.91419208</v>
      </c>
      <c r="Y183" s="79">
        <f t="shared" si="18"/>
        <v>567345955.32544518</v>
      </c>
      <c r="Z183" s="79">
        <f t="shared" si="18"/>
        <v>566908325.31451666</v>
      </c>
      <c r="AA183" s="80">
        <f t="shared" si="18"/>
        <v>566692057.88057899</v>
      </c>
    </row>
    <row r="184" spans="2:29" x14ac:dyDescent="0.25">
      <c r="U184" t="s">
        <v>637</v>
      </c>
      <c r="W184" s="416">
        <f t="shared" ref="W184:AA189" si="19">W173*W$182</f>
        <v>472229758.59927249</v>
      </c>
      <c r="X184" s="97">
        <f t="shared" si="19"/>
        <v>471662894.75632602</v>
      </c>
      <c r="Y184" s="97">
        <f t="shared" si="19"/>
        <v>471293101.61454958</v>
      </c>
      <c r="Z184" s="97">
        <f t="shared" si="19"/>
        <v>470929563.27736026</v>
      </c>
      <c r="AA184" s="98">
        <f t="shared" si="19"/>
        <v>470749910.37111855</v>
      </c>
    </row>
    <row r="185" spans="2:29" x14ac:dyDescent="0.25">
      <c r="U185" t="s">
        <v>636</v>
      </c>
      <c r="W185" s="416">
        <f t="shared" si="19"/>
        <v>245237286.77776408</v>
      </c>
      <c r="X185" s="97">
        <f t="shared" si="19"/>
        <v>255973333.84199637</v>
      </c>
      <c r="Y185" s="97">
        <f t="shared" si="19"/>
        <v>262842860.11079067</v>
      </c>
      <c r="Z185" s="97">
        <f t="shared" si="19"/>
        <v>269662788.64740348</v>
      </c>
      <c r="AA185" s="98">
        <f t="shared" si="19"/>
        <v>273111983.36420143</v>
      </c>
    </row>
    <row r="186" spans="2:29" x14ac:dyDescent="0.25">
      <c r="U186" t="s">
        <v>272</v>
      </c>
      <c r="W186" s="416">
        <f t="shared" si="19"/>
        <v>205726406.81926027</v>
      </c>
      <c r="X186" s="97">
        <f t="shared" si="19"/>
        <v>205479453.17129228</v>
      </c>
      <c r="Y186" s="97">
        <f t="shared" si="19"/>
        <v>205318353.17083967</v>
      </c>
      <c r="Z186" s="97">
        <f t="shared" si="19"/>
        <v>205159978.06954819</v>
      </c>
      <c r="AA186" s="98">
        <f t="shared" si="19"/>
        <v>205081712.46641177</v>
      </c>
    </row>
    <row r="187" spans="2:29" x14ac:dyDescent="0.25">
      <c r="U187" t="s">
        <v>638</v>
      </c>
      <c r="W187" s="416">
        <f t="shared" si="19"/>
        <v>5312245.3410168141</v>
      </c>
      <c r="X187" s="97">
        <f t="shared" si="19"/>
        <v>5305868.5302507672</v>
      </c>
      <c r="Y187" s="97">
        <f t="shared" si="19"/>
        <v>5301708.6232165964</v>
      </c>
      <c r="Z187" s="97">
        <f t="shared" si="19"/>
        <v>5297619.0782380179</v>
      </c>
      <c r="AA187" s="98">
        <f t="shared" si="19"/>
        <v>5295598.1121790102</v>
      </c>
    </row>
    <row r="188" spans="2:29" x14ac:dyDescent="0.25">
      <c r="U188" t="s">
        <v>639</v>
      </c>
      <c r="W188" s="416">
        <f t="shared" si="19"/>
        <v>8585160.9183751531</v>
      </c>
      <c r="X188" s="97">
        <f t="shared" si="19"/>
        <v>8126319.7201623973</v>
      </c>
      <c r="Y188" s="97">
        <f t="shared" si="19"/>
        <v>8098799.0466404241</v>
      </c>
      <c r="Z188" s="97">
        <f t="shared" si="19"/>
        <v>8113503.5931179347</v>
      </c>
      <c r="AA188" s="98">
        <f t="shared" si="19"/>
        <v>8078811.4706971347</v>
      </c>
    </row>
    <row r="189" spans="2:29" ht="15.75" thickBot="1" x14ac:dyDescent="0.3">
      <c r="U189" t="s">
        <v>647</v>
      </c>
      <c r="W189" s="467">
        <f t="shared" si="19"/>
        <v>6487449.6489493707</v>
      </c>
      <c r="X189" s="117">
        <f t="shared" si="19"/>
        <v>6779850.4502618909</v>
      </c>
      <c r="Y189" s="117">
        <f t="shared" si="19"/>
        <v>6774534.9119258253</v>
      </c>
      <c r="Z189" s="117">
        <f t="shared" si="19"/>
        <v>7069030.8813686222</v>
      </c>
      <c r="AA189" s="118">
        <f t="shared" si="19"/>
        <v>7066334.146992228</v>
      </c>
    </row>
    <row r="190" spans="2:29" ht="15.75" thickBot="1" x14ac:dyDescent="0.3">
      <c r="U190" s="1" t="s">
        <v>690</v>
      </c>
      <c r="W190" s="818">
        <f>SUM(W183:W189)</f>
        <v>1512051817.7057335</v>
      </c>
      <c r="X190" s="820">
        <f t="shared" ref="X190:AA190" si="20">SUM(X183:X189)</f>
        <v>1521118835.3844819</v>
      </c>
      <c r="Y190" s="820">
        <f t="shared" si="20"/>
        <v>1526975312.8034081</v>
      </c>
      <c r="Z190" s="820">
        <f t="shared" si="20"/>
        <v>1533140808.8615532</v>
      </c>
      <c r="AA190" s="819">
        <f t="shared" si="20"/>
        <v>1536076407.8121793</v>
      </c>
    </row>
  </sheetData>
  <autoFilter ref="A6:AC168" xr:uid="{262F8A24-E679-46DE-8B59-FB2DE0C453BD}"/>
  <pageMargins left="0.7" right="0.7" top="0.75" bottom="0.75" header="0.3" footer="0.3"/>
  <pageSetup paperSize="9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CD211-FE47-4206-8A03-7DC4B7350CE6}">
  <sheetPr codeName="Sheet21"/>
  <dimension ref="A2:T39"/>
  <sheetViews>
    <sheetView workbookViewId="0">
      <selection activeCell="T21" sqref="T21"/>
    </sheetView>
  </sheetViews>
  <sheetFormatPr defaultRowHeight="15" x14ac:dyDescent="0.25"/>
  <cols>
    <col min="1" max="1" width="15.85546875" bestFit="1" customWidth="1"/>
    <col min="2" max="2" width="29.85546875" style="1" bestFit="1" customWidth="1"/>
    <col min="3" max="8" width="0" hidden="1" customWidth="1"/>
    <col min="9" max="13" width="9.28515625" hidden="1" customWidth="1"/>
    <col min="14" max="14" width="10" hidden="1" customWidth="1"/>
    <col min="15" max="20" width="10" customWidth="1"/>
  </cols>
  <sheetData>
    <row r="2" spans="1:20" s="1" customFormat="1" x14ac:dyDescent="0.25">
      <c r="B2" s="1" t="s">
        <v>741</v>
      </c>
      <c r="C2" s="1">
        <v>2026</v>
      </c>
      <c r="D2" s="1">
        <v>2027</v>
      </c>
      <c r="E2" s="1">
        <v>2028</v>
      </c>
      <c r="F2" s="1">
        <v>2029</v>
      </c>
      <c r="G2" s="1">
        <v>2030</v>
      </c>
      <c r="H2" s="1" t="s">
        <v>514</v>
      </c>
      <c r="I2" s="1">
        <v>2026</v>
      </c>
      <c r="J2" s="1">
        <v>2027</v>
      </c>
      <c r="K2" s="1">
        <v>2028</v>
      </c>
      <c r="L2" s="1">
        <v>2029</v>
      </c>
      <c r="M2" s="1">
        <v>2030</v>
      </c>
      <c r="N2" s="1" t="s">
        <v>514</v>
      </c>
      <c r="O2" s="1">
        <v>2026</v>
      </c>
      <c r="P2" s="1">
        <v>2027</v>
      </c>
      <c r="Q2" s="1">
        <v>2028</v>
      </c>
      <c r="R2" s="1">
        <v>2029</v>
      </c>
      <c r="S2" s="1">
        <v>2030</v>
      </c>
      <c r="T2" s="1" t="s">
        <v>514</v>
      </c>
    </row>
    <row r="3" spans="1:20" x14ac:dyDescent="0.25">
      <c r="A3" t="s">
        <v>268</v>
      </c>
      <c r="B3" s="1" t="s">
        <v>693</v>
      </c>
      <c r="C3" s="815">
        <v>132.19999999999999</v>
      </c>
      <c r="D3" s="815" t="s">
        <v>694</v>
      </c>
      <c r="E3" s="815" t="s">
        <v>694</v>
      </c>
      <c r="F3" s="815" t="s">
        <v>694</v>
      </c>
      <c r="G3" s="815" t="s">
        <v>694</v>
      </c>
      <c r="H3" s="815" t="s">
        <v>695</v>
      </c>
      <c r="I3" s="824" t="str">
        <f>LEFT(C3,LEN(C3)-1)</f>
        <v>132.</v>
      </c>
      <c r="J3" s="824" t="str">
        <f t="shared" ref="J3:N3" si="0">LEFT(D3,LEN(D3)-1)</f>
        <v>132.2</v>
      </c>
      <c r="K3" s="824" t="str">
        <f t="shared" si="0"/>
        <v>132.2</v>
      </c>
      <c r="L3" s="824" t="str">
        <f t="shared" si="0"/>
        <v>132.2</v>
      </c>
      <c r="M3" s="824" t="str">
        <f t="shared" si="0"/>
        <v>132.2</v>
      </c>
      <c r="N3" s="824" t="str">
        <f t="shared" si="0"/>
        <v>661.0</v>
      </c>
      <c r="O3" s="825">
        <f>VALUE(I3)</f>
        <v>132</v>
      </c>
      <c r="P3" s="825">
        <f t="shared" ref="P3:T3" si="1">VALUE(J3)</f>
        <v>132.19999999999999</v>
      </c>
      <c r="Q3" s="825">
        <f t="shared" si="1"/>
        <v>132.19999999999999</v>
      </c>
      <c r="R3" s="825">
        <f t="shared" si="1"/>
        <v>132.19999999999999</v>
      </c>
      <c r="S3" s="825">
        <f t="shared" si="1"/>
        <v>132.19999999999999</v>
      </c>
      <c r="T3" s="825">
        <f t="shared" si="1"/>
        <v>661</v>
      </c>
    </row>
    <row r="4" spans="1:20" x14ac:dyDescent="0.25">
      <c r="A4" t="s">
        <v>637</v>
      </c>
      <c r="B4" s="1" t="s">
        <v>696</v>
      </c>
      <c r="C4" s="815" t="s">
        <v>697</v>
      </c>
      <c r="D4" s="815" t="s">
        <v>697</v>
      </c>
      <c r="E4" s="815" t="s">
        <v>697</v>
      </c>
      <c r="F4" s="815" t="s">
        <v>697</v>
      </c>
      <c r="G4" s="815" t="s">
        <v>697</v>
      </c>
      <c r="H4" s="815" t="s">
        <v>698</v>
      </c>
      <c r="I4" s="824" t="str">
        <f t="shared" ref="I4:I11" si="2">LEFT(C4,LEN(C4)-1)</f>
        <v>45.3</v>
      </c>
      <c r="J4" s="824" t="str">
        <f t="shared" ref="J4:J11" si="3">LEFT(D4,LEN(D4)-1)</f>
        <v>45.3</v>
      </c>
      <c r="K4" s="824" t="str">
        <f t="shared" ref="K4:K11" si="4">LEFT(E4,LEN(E4)-1)</f>
        <v>45.3</v>
      </c>
      <c r="L4" s="824" t="str">
        <f t="shared" ref="L4:L11" si="5">LEFT(F4,LEN(F4)-1)</f>
        <v>45.3</v>
      </c>
      <c r="M4" s="824" t="str">
        <f t="shared" ref="M4:M11" si="6">LEFT(G4,LEN(G4)-1)</f>
        <v>45.3</v>
      </c>
      <c r="N4" s="824" t="str">
        <f t="shared" ref="N4:N11" si="7">LEFT(H4,LEN(H4)-1)</f>
        <v>226.5</v>
      </c>
      <c r="O4" s="825">
        <f t="shared" ref="O4:O11" si="8">VALUE(I4)</f>
        <v>45.3</v>
      </c>
      <c r="P4" s="825">
        <f t="shared" ref="P4:P11" si="9">VALUE(J4)</f>
        <v>45.3</v>
      </c>
      <c r="Q4" s="825">
        <f t="shared" ref="Q4:Q11" si="10">VALUE(K4)</f>
        <v>45.3</v>
      </c>
      <c r="R4" s="825">
        <f t="shared" ref="R4:R11" si="11">VALUE(L4)</f>
        <v>45.3</v>
      </c>
      <c r="S4" s="825">
        <f t="shared" ref="S4:S11" si="12">VALUE(M4)</f>
        <v>45.3</v>
      </c>
      <c r="T4" s="825">
        <f t="shared" ref="T4:T11" si="13">VALUE(N4)</f>
        <v>226.5</v>
      </c>
    </row>
    <row r="5" spans="1:20" x14ac:dyDescent="0.25">
      <c r="A5" t="s">
        <v>636</v>
      </c>
      <c r="B5" s="1" t="s">
        <v>699</v>
      </c>
      <c r="C5" s="815" t="s">
        <v>700</v>
      </c>
      <c r="D5" s="815" t="s">
        <v>701</v>
      </c>
      <c r="E5" s="815" t="s">
        <v>702</v>
      </c>
      <c r="F5" s="815" t="s">
        <v>703</v>
      </c>
      <c r="G5" s="815" t="s">
        <v>704</v>
      </c>
      <c r="H5" s="815" t="s">
        <v>705</v>
      </c>
      <c r="I5" s="824" t="str">
        <f t="shared" si="2"/>
        <v>83.9</v>
      </c>
      <c r="J5" s="824" t="str">
        <f t="shared" si="3"/>
        <v>87.6</v>
      </c>
      <c r="K5" s="824" t="str">
        <f t="shared" si="4"/>
        <v>90.1</v>
      </c>
      <c r="L5" s="824" t="str">
        <f t="shared" si="5"/>
        <v>92.4</v>
      </c>
      <c r="M5" s="824" t="str">
        <f t="shared" si="6"/>
        <v>93.6</v>
      </c>
      <c r="N5" s="824" t="str">
        <f t="shared" si="7"/>
        <v>447.6</v>
      </c>
      <c r="O5" s="825">
        <f t="shared" si="8"/>
        <v>83.9</v>
      </c>
      <c r="P5" s="825">
        <f t="shared" si="9"/>
        <v>87.6</v>
      </c>
      <c r="Q5" s="825">
        <f t="shared" si="10"/>
        <v>90.1</v>
      </c>
      <c r="R5" s="825">
        <f t="shared" si="11"/>
        <v>92.4</v>
      </c>
      <c r="S5" s="825">
        <f t="shared" si="12"/>
        <v>93.6</v>
      </c>
      <c r="T5" s="825">
        <f t="shared" si="13"/>
        <v>447.6</v>
      </c>
    </row>
    <row r="6" spans="1:20" x14ac:dyDescent="0.25">
      <c r="A6" t="s">
        <v>272</v>
      </c>
      <c r="B6" s="1" t="s">
        <v>706</v>
      </c>
      <c r="C6" s="815" t="s">
        <v>707</v>
      </c>
      <c r="D6" s="815" t="s">
        <v>707</v>
      </c>
      <c r="E6" s="815" t="s">
        <v>707</v>
      </c>
      <c r="F6" s="815" t="s">
        <v>707</v>
      </c>
      <c r="G6" s="815" t="s">
        <v>707</v>
      </c>
      <c r="H6" s="815" t="s">
        <v>708</v>
      </c>
      <c r="I6" s="824" t="str">
        <f t="shared" si="2"/>
        <v>15.1</v>
      </c>
      <c r="J6" s="824" t="str">
        <f t="shared" si="3"/>
        <v>15.1</v>
      </c>
      <c r="K6" s="824" t="str">
        <f t="shared" si="4"/>
        <v>15.1</v>
      </c>
      <c r="L6" s="824" t="str">
        <f t="shared" si="5"/>
        <v>15.1</v>
      </c>
      <c r="M6" s="824" t="str">
        <f t="shared" si="6"/>
        <v>15.1</v>
      </c>
      <c r="N6" s="824" t="str">
        <f t="shared" si="7"/>
        <v>75.5</v>
      </c>
      <c r="O6" s="825">
        <f t="shared" si="8"/>
        <v>15.1</v>
      </c>
      <c r="P6" s="825">
        <f t="shared" si="9"/>
        <v>15.1</v>
      </c>
      <c r="Q6" s="825">
        <f t="shared" si="10"/>
        <v>15.1</v>
      </c>
      <c r="R6" s="825">
        <f t="shared" si="11"/>
        <v>15.1</v>
      </c>
      <c r="S6" s="825">
        <f t="shared" si="12"/>
        <v>15.1</v>
      </c>
      <c r="T6" s="825">
        <f t="shared" si="13"/>
        <v>75.5</v>
      </c>
    </row>
    <row r="7" spans="1:20" x14ac:dyDescent="0.25">
      <c r="A7" t="s">
        <v>710</v>
      </c>
      <c r="B7" s="1" t="s">
        <v>693</v>
      </c>
      <c r="C7" s="815" t="s">
        <v>709</v>
      </c>
      <c r="D7" s="815" t="s">
        <v>709</v>
      </c>
      <c r="E7" s="815" t="s">
        <v>709</v>
      </c>
      <c r="F7" s="815" t="s">
        <v>709</v>
      </c>
      <c r="G7" s="815" t="s">
        <v>709</v>
      </c>
      <c r="H7" s="815">
        <v>132</v>
      </c>
      <c r="I7" s="824" t="str">
        <f t="shared" si="2"/>
        <v>26.4</v>
      </c>
      <c r="J7" s="824" t="str">
        <f t="shared" si="3"/>
        <v>26.4</v>
      </c>
      <c r="K7" s="824" t="str">
        <f t="shared" si="4"/>
        <v>26.4</v>
      </c>
      <c r="L7" s="824" t="str">
        <f t="shared" si="5"/>
        <v>26.4</v>
      </c>
      <c r="M7" s="824" t="str">
        <f t="shared" si="6"/>
        <v>26.4</v>
      </c>
      <c r="N7" s="824">
        <f>H7</f>
        <v>132</v>
      </c>
      <c r="O7" s="825">
        <f t="shared" si="8"/>
        <v>26.4</v>
      </c>
      <c r="P7" s="825">
        <f t="shared" si="9"/>
        <v>26.4</v>
      </c>
      <c r="Q7" s="825">
        <f t="shared" si="10"/>
        <v>26.4</v>
      </c>
      <c r="R7" s="825">
        <f t="shared" si="11"/>
        <v>26.4</v>
      </c>
      <c r="S7" s="825">
        <f t="shared" si="12"/>
        <v>26.4</v>
      </c>
      <c r="T7" s="825">
        <f t="shared" si="13"/>
        <v>132</v>
      </c>
    </row>
    <row r="8" spans="1:20" x14ac:dyDescent="0.25">
      <c r="A8" t="s">
        <v>726</v>
      </c>
      <c r="B8" s="1" t="s">
        <v>727</v>
      </c>
      <c r="C8" s="815" t="s">
        <v>728</v>
      </c>
      <c r="D8" s="815" t="s">
        <v>729</v>
      </c>
      <c r="E8" s="815" t="s">
        <v>730</v>
      </c>
      <c r="F8" s="815" t="s">
        <v>731</v>
      </c>
      <c r="G8" s="815" t="s">
        <v>732</v>
      </c>
      <c r="H8" s="815" t="s">
        <v>733</v>
      </c>
      <c r="I8" s="824" t="str">
        <f t="shared" ref="I8" si="14">LEFT(C8,LEN(C8)-1)</f>
        <v>13.3</v>
      </c>
      <c r="J8" s="824" t="str">
        <f t="shared" ref="J8" si="15">LEFT(D8,LEN(D8)-1)</f>
        <v>14.4</v>
      </c>
      <c r="K8" s="824" t="str">
        <f t="shared" ref="K8" si="16">LEFT(E8,LEN(E8)-1)</f>
        <v>14.6</v>
      </c>
      <c r="L8" s="824" t="str">
        <f t="shared" ref="L8" si="17">LEFT(F8,LEN(F8)-1)</f>
        <v>14.8</v>
      </c>
      <c r="M8" s="824" t="str">
        <f t="shared" ref="M8" si="18">LEFT(G8,LEN(G8)-1)</f>
        <v>14.9</v>
      </c>
      <c r="N8" s="824" t="str">
        <f t="shared" ref="N8" si="19">LEFT(H8,LEN(H8)-1)</f>
        <v>72.0</v>
      </c>
      <c r="O8" s="825">
        <f t="shared" ref="O8" si="20">VALUE(I8)</f>
        <v>13.3</v>
      </c>
      <c r="P8" s="825">
        <f t="shared" ref="P8" si="21">VALUE(J8)</f>
        <v>14.4</v>
      </c>
      <c r="Q8" s="825">
        <f t="shared" ref="Q8" si="22">VALUE(K8)</f>
        <v>14.6</v>
      </c>
      <c r="R8" s="825">
        <f t="shared" ref="R8" si="23">VALUE(L8)</f>
        <v>14.8</v>
      </c>
      <c r="S8" s="825">
        <f t="shared" ref="S8" si="24">VALUE(M8)</f>
        <v>14.9</v>
      </c>
      <c r="T8" s="825">
        <f t="shared" ref="T8" si="25">VALUE(N8)</f>
        <v>72</v>
      </c>
    </row>
    <row r="9" spans="1:20" x14ac:dyDescent="0.25">
      <c r="A9" t="s">
        <v>639</v>
      </c>
      <c r="B9" s="1" t="s">
        <v>711</v>
      </c>
      <c r="C9" s="815" t="s">
        <v>712</v>
      </c>
      <c r="D9" s="815" t="s">
        <v>712</v>
      </c>
      <c r="E9" s="815" t="s">
        <v>712</v>
      </c>
      <c r="F9" s="815" t="s">
        <v>712</v>
      </c>
      <c r="G9" s="815" t="s">
        <v>712</v>
      </c>
      <c r="H9" s="815" t="s">
        <v>713</v>
      </c>
      <c r="I9" s="824" t="str">
        <f t="shared" si="2"/>
        <v>6.7</v>
      </c>
      <c r="J9" s="824" t="str">
        <f t="shared" si="3"/>
        <v>6.7</v>
      </c>
      <c r="K9" s="824" t="str">
        <f t="shared" si="4"/>
        <v>6.7</v>
      </c>
      <c r="L9" s="824" t="str">
        <f t="shared" si="5"/>
        <v>6.7</v>
      </c>
      <c r="M9" s="824" t="str">
        <f t="shared" si="6"/>
        <v>6.7</v>
      </c>
      <c r="N9" s="824" t="str">
        <f t="shared" si="7"/>
        <v>33.5</v>
      </c>
      <c r="O9" s="825">
        <f t="shared" si="8"/>
        <v>6.7</v>
      </c>
      <c r="P9" s="825">
        <f t="shared" si="9"/>
        <v>6.7</v>
      </c>
      <c r="Q9" s="825">
        <f t="shared" si="10"/>
        <v>6.7</v>
      </c>
      <c r="R9" s="825">
        <f t="shared" si="11"/>
        <v>6.7</v>
      </c>
      <c r="S9" s="825">
        <f t="shared" si="12"/>
        <v>6.7</v>
      </c>
      <c r="T9" s="825">
        <f t="shared" si="13"/>
        <v>33.5</v>
      </c>
    </row>
    <row r="10" spans="1:20" x14ac:dyDescent="0.25">
      <c r="A10" t="s">
        <v>639</v>
      </c>
      <c r="B10" s="1" t="s">
        <v>714</v>
      </c>
      <c r="C10" s="815" t="s">
        <v>715</v>
      </c>
      <c r="D10" s="815" t="s">
        <v>716</v>
      </c>
      <c r="E10" s="815" t="s">
        <v>716</v>
      </c>
      <c r="F10" s="815" t="s">
        <v>716</v>
      </c>
      <c r="G10" s="815" t="s">
        <v>716</v>
      </c>
      <c r="H10" s="815" t="s">
        <v>717</v>
      </c>
      <c r="I10" s="824" t="str">
        <f t="shared" si="2"/>
        <v>9.2</v>
      </c>
      <c r="J10" s="824" t="str">
        <f t="shared" si="3"/>
        <v>8.4</v>
      </c>
      <c r="K10" s="824" t="str">
        <f t="shared" si="4"/>
        <v>8.4</v>
      </c>
      <c r="L10" s="824" t="str">
        <f t="shared" si="5"/>
        <v>8.4</v>
      </c>
      <c r="M10" s="824" t="str">
        <f t="shared" si="6"/>
        <v>8.4</v>
      </c>
      <c r="N10" s="824" t="str">
        <f t="shared" si="7"/>
        <v>42.8</v>
      </c>
      <c r="O10" s="825">
        <f t="shared" si="8"/>
        <v>9.1999999999999993</v>
      </c>
      <c r="P10" s="825">
        <f t="shared" si="9"/>
        <v>8.4</v>
      </c>
      <c r="Q10" s="825">
        <f t="shared" si="10"/>
        <v>8.4</v>
      </c>
      <c r="R10" s="825">
        <f t="shared" si="11"/>
        <v>8.4</v>
      </c>
      <c r="S10" s="825">
        <f t="shared" si="12"/>
        <v>8.4</v>
      </c>
      <c r="T10" s="825">
        <f t="shared" si="13"/>
        <v>42.8</v>
      </c>
    </row>
    <row r="11" spans="1:20" x14ac:dyDescent="0.25">
      <c r="A11" t="s">
        <v>724</v>
      </c>
      <c r="B11" s="1" t="s">
        <v>718</v>
      </c>
      <c r="C11" s="815" t="s">
        <v>719</v>
      </c>
      <c r="D11" s="815" t="s">
        <v>720</v>
      </c>
      <c r="E11" s="815" t="s">
        <v>721</v>
      </c>
      <c r="F11" s="815" t="s">
        <v>722</v>
      </c>
      <c r="G11" s="815" t="s">
        <v>723</v>
      </c>
      <c r="H11" s="815" t="s">
        <v>725</v>
      </c>
      <c r="I11" s="824" t="str">
        <f t="shared" si="2"/>
        <v>0.00</v>
      </c>
      <c r="J11" s="824" t="str">
        <f t="shared" si="3"/>
        <v>0.78</v>
      </c>
      <c r="K11" s="824" t="str">
        <f t="shared" si="4"/>
        <v>1.38</v>
      </c>
      <c r="L11" s="824" t="str">
        <f t="shared" si="5"/>
        <v>6.33</v>
      </c>
      <c r="M11" s="824" t="str">
        <f t="shared" si="6"/>
        <v>12.39</v>
      </c>
      <c r="N11" s="824" t="str">
        <f t="shared" si="7"/>
        <v>20.87</v>
      </c>
      <c r="O11" s="825">
        <f t="shared" si="8"/>
        <v>0</v>
      </c>
      <c r="P11" s="825">
        <f t="shared" si="9"/>
        <v>0.78</v>
      </c>
      <c r="Q11" s="825">
        <f t="shared" si="10"/>
        <v>1.38</v>
      </c>
      <c r="R11" s="825">
        <f t="shared" si="11"/>
        <v>6.33</v>
      </c>
      <c r="S11" s="825">
        <f t="shared" si="12"/>
        <v>12.39</v>
      </c>
      <c r="T11" s="825">
        <f t="shared" si="13"/>
        <v>20.87</v>
      </c>
    </row>
    <row r="12" spans="1:20" x14ac:dyDescent="0.25">
      <c r="A12" t="s">
        <v>675</v>
      </c>
      <c r="C12" s="815">
        <v>6.4755970592646834</v>
      </c>
      <c r="D12" s="815">
        <v>6.7755970592646833</v>
      </c>
      <c r="E12" s="815">
        <v>6.7755970592646833</v>
      </c>
      <c r="F12" s="815">
        <v>7.0755970592646831</v>
      </c>
      <c r="G12" s="815">
        <v>7.0755970592646831</v>
      </c>
      <c r="H12" s="815">
        <f>SUM(C12:G12)</f>
        <v>34.177985296323413</v>
      </c>
      <c r="I12" s="815">
        <f>C12</f>
        <v>6.4755970592646834</v>
      </c>
      <c r="J12" s="815">
        <f t="shared" ref="J12:N12" si="26">D12</f>
        <v>6.7755970592646833</v>
      </c>
      <c r="K12" s="815">
        <f t="shared" si="26"/>
        <v>6.7755970592646833</v>
      </c>
      <c r="L12" s="815">
        <f t="shared" si="26"/>
        <v>7.0755970592646831</v>
      </c>
      <c r="M12" s="815">
        <f t="shared" si="26"/>
        <v>7.0755970592646831</v>
      </c>
      <c r="N12" s="815">
        <f t="shared" si="26"/>
        <v>34.177985296323413</v>
      </c>
      <c r="O12" s="825">
        <f>I12</f>
        <v>6.4755970592646834</v>
      </c>
      <c r="P12" s="825">
        <f t="shared" ref="P12:T12" si="27">J12</f>
        <v>6.7755970592646833</v>
      </c>
      <c r="Q12" s="825">
        <f t="shared" si="27"/>
        <v>6.7755970592646833</v>
      </c>
      <c r="R12" s="825">
        <f t="shared" si="27"/>
        <v>7.0755970592646831</v>
      </c>
      <c r="S12" s="825">
        <f t="shared" si="27"/>
        <v>7.0755970592646831</v>
      </c>
      <c r="T12" s="825">
        <f t="shared" si="27"/>
        <v>34.177985296323413</v>
      </c>
    </row>
    <row r="13" spans="1:20" x14ac:dyDescent="0.25">
      <c r="C13">
        <f t="shared" ref="C13:G13" si="28">SUM(C3:C11)</f>
        <v>132.19999999999999</v>
      </c>
      <c r="D13">
        <f t="shared" si="28"/>
        <v>0</v>
      </c>
      <c r="E13">
        <f t="shared" si="28"/>
        <v>0</v>
      </c>
      <c r="F13">
        <f t="shared" si="28"/>
        <v>0</v>
      </c>
      <c r="G13">
        <f t="shared" si="28"/>
        <v>0</v>
      </c>
      <c r="H13">
        <f>SUM(H3:H11)</f>
        <v>132</v>
      </c>
      <c r="I13">
        <f t="shared" ref="I13" si="29">SUM(I3:I11)</f>
        <v>0</v>
      </c>
      <c r="J13">
        <f t="shared" ref="J13" si="30">SUM(J3:J11)</f>
        <v>0</v>
      </c>
      <c r="K13">
        <f t="shared" ref="K13" si="31">SUM(K3:K11)</f>
        <v>0</v>
      </c>
      <c r="L13">
        <f t="shared" ref="L13" si="32">SUM(L3:L11)</f>
        <v>0</v>
      </c>
      <c r="M13">
        <f t="shared" ref="M13" si="33">SUM(M3:M11)</f>
        <v>0</v>
      </c>
      <c r="N13">
        <f>SUM(N3:N11)</f>
        <v>132</v>
      </c>
      <c r="O13" s="815">
        <f t="shared" ref="O13:S13" si="34">SUM(O3:O12)</f>
        <v>338.37559705926469</v>
      </c>
      <c r="P13" s="815">
        <f t="shared" si="34"/>
        <v>343.65559705926461</v>
      </c>
      <c r="Q13" s="815">
        <f t="shared" si="34"/>
        <v>346.95559705926468</v>
      </c>
      <c r="R13" s="815">
        <f t="shared" si="34"/>
        <v>354.70559705926462</v>
      </c>
      <c r="S13" s="815">
        <f t="shared" si="34"/>
        <v>362.06559705926463</v>
      </c>
      <c r="T13" s="815">
        <f>SUM(T3:T12)</f>
        <v>1745.9479852963232</v>
      </c>
    </row>
    <row r="15" spans="1:20" x14ac:dyDescent="0.25">
      <c r="A15" s="1"/>
      <c r="B15" s="1" t="s">
        <v>489</v>
      </c>
      <c r="C15" s="1">
        <v>2026</v>
      </c>
      <c r="D15" s="1">
        <v>2027</v>
      </c>
      <c r="E15" s="1">
        <v>2028</v>
      </c>
      <c r="F15" s="1">
        <v>2029</v>
      </c>
      <c r="G15" s="1">
        <v>2030</v>
      </c>
      <c r="H15" s="1" t="s">
        <v>514</v>
      </c>
      <c r="I15" s="1">
        <v>2026</v>
      </c>
      <c r="J15" s="1">
        <v>2027</v>
      </c>
      <c r="K15" s="1">
        <v>2028</v>
      </c>
      <c r="L15" s="1">
        <v>2029</v>
      </c>
      <c r="M15" s="1">
        <v>2030</v>
      </c>
      <c r="N15" s="1" t="s">
        <v>514</v>
      </c>
      <c r="O15" s="1">
        <v>2026</v>
      </c>
      <c r="P15" s="1">
        <v>2027</v>
      </c>
      <c r="Q15" s="1">
        <v>2028</v>
      </c>
      <c r="R15" s="1">
        <v>2029</v>
      </c>
      <c r="S15" s="1">
        <v>2030</v>
      </c>
      <c r="T15" s="1" t="s">
        <v>514</v>
      </c>
    </row>
    <row r="16" spans="1:20" x14ac:dyDescent="0.25">
      <c r="B16" s="1" t="s">
        <v>775</v>
      </c>
      <c r="C16">
        <v>0.76600000000000001</v>
      </c>
      <c r="D16">
        <v>0.46100000000000002</v>
      </c>
      <c r="E16">
        <v>0.64200000000000002</v>
      </c>
      <c r="F16">
        <v>0.84499999999999997</v>
      </c>
      <c r="G16">
        <v>1.4</v>
      </c>
      <c r="H16">
        <f>SUM(C16:G16)</f>
        <v>4.1140000000000008</v>
      </c>
      <c r="I16" s="829">
        <f>C16</f>
        <v>0.76600000000000001</v>
      </c>
      <c r="J16" s="829">
        <f t="shared" ref="J16" si="35">D16</f>
        <v>0.46100000000000002</v>
      </c>
      <c r="K16" s="829">
        <f t="shared" ref="K16" si="36">E16</f>
        <v>0.64200000000000002</v>
      </c>
      <c r="L16" s="829">
        <f t="shared" ref="L16" si="37">F16</f>
        <v>0.84499999999999997</v>
      </c>
      <c r="M16" s="829">
        <f t="shared" ref="M16" si="38">G16</f>
        <v>1.4</v>
      </c>
      <c r="N16" s="829">
        <f t="shared" ref="N16" si="39">H16</f>
        <v>4.1140000000000008</v>
      </c>
      <c r="O16" s="825">
        <f t="shared" ref="O16" si="40">VALUE(I16)</f>
        <v>0.76600000000000001</v>
      </c>
      <c r="P16" s="825">
        <f t="shared" ref="P16" si="41">VALUE(J16)</f>
        <v>0.46100000000000002</v>
      </c>
      <c r="Q16" s="825">
        <f t="shared" ref="Q16" si="42">VALUE(K16)</f>
        <v>0.64200000000000002</v>
      </c>
      <c r="R16" s="825">
        <f t="shared" ref="R16" si="43">VALUE(L16)</f>
        <v>0.84499999999999997</v>
      </c>
      <c r="S16" s="825">
        <f t="shared" ref="S16" si="44">VALUE(M16)</f>
        <v>1.4</v>
      </c>
      <c r="T16" s="825">
        <f t="shared" ref="T16" si="45">VALUE(N16)</f>
        <v>4.1140000000000008</v>
      </c>
    </row>
    <row r="17" spans="1:20" x14ac:dyDescent="0.25">
      <c r="B17" s="1" t="s">
        <v>740</v>
      </c>
      <c r="C17" t="s">
        <v>734</v>
      </c>
      <c r="D17" t="s">
        <v>735</v>
      </c>
      <c r="E17" t="s">
        <v>736</v>
      </c>
      <c r="F17" t="s">
        <v>737</v>
      </c>
      <c r="G17" t="s">
        <v>738</v>
      </c>
      <c r="H17" t="s">
        <v>739</v>
      </c>
      <c r="I17" s="829" t="str">
        <f>LEFT(C17,LEN(C17)-1)</f>
        <v>11.0</v>
      </c>
      <c r="J17" s="829" t="str">
        <f t="shared" ref="J17:N17" si="46">LEFT(D17,LEN(D17)-1)</f>
        <v>14.5</v>
      </c>
      <c r="K17" s="829" t="str">
        <f t="shared" si="46"/>
        <v>16.8</v>
      </c>
      <c r="L17" s="829" t="str">
        <f t="shared" si="46"/>
        <v>22.6</v>
      </c>
      <c r="M17" s="829" t="str">
        <f t="shared" si="46"/>
        <v>26.6</v>
      </c>
      <c r="N17" s="829" t="str">
        <f t="shared" si="46"/>
        <v>91.5</v>
      </c>
      <c r="O17" s="825">
        <f t="shared" ref="O17:O25" si="47">VALUE(I17)</f>
        <v>11</v>
      </c>
      <c r="P17" s="825">
        <f t="shared" ref="P17:P25" si="48">VALUE(J17)</f>
        <v>14.5</v>
      </c>
      <c r="Q17" s="825">
        <f t="shared" ref="Q17:Q25" si="49">VALUE(K17)</f>
        <v>16.8</v>
      </c>
      <c r="R17" s="825">
        <f t="shared" ref="R17:R25" si="50">VALUE(L17)</f>
        <v>22.6</v>
      </c>
      <c r="S17" s="825">
        <f t="shared" ref="S17:S25" si="51">VALUE(M17)</f>
        <v>26.6</v>
      </c>
      <c r="T17" s="825">
        <f t="shared" ref="T17:T25" si="52">VALUE(N17)</f>
        <v>91.5</v>
      </c>
    </row>
    <row r="18" spans="1:20" x14ac:dyDescent="0.25">
      <c r="B18" s="1" t="s">
        <v>742</v>
      </c>
      <c r="C18" t="s">
        <v>743</v>
      </c>
      <c r="D18" t="s">
        <v>716</v>
      </c>
      <c r="E18" t="s">
        <v>744</v>
      </c>
      <c r="F18" t="s">
        <v>715</v>
      </c>
      <c r="G18" t="s">
        <v>745</v>
      </c>
      <c r="H18" t="s">
        <v>746</v>
      </c>
      <c r="I18" s="829" t="str">
        <f t="shared" ref="I18:I25" si="53">LEFT(C18,LEN(C18)-1)</f>
        <v>8.9</v>
      </c>
      <c r="J18" s="829" t="str">
        <f t="shared" ref="J18:J25" si="54">LEFT(D18,LEN(D18)-1)</f>
        <v>8.4</v>
      </c>
      <c r="K18" s="829" t="str">
        <f t="shared" ref="K18:K25" si="55">LEFT(E18,LEN(E18)-1)</f>
        <v>9.5</v>
      </c>
      <c r="L18" s="829" t="str">
        <f t="shared" ref="L18:L25" si="56">LEFT(F18,LEN(F18)-1)</f>
        <v>9.2</v>
      </c>
      <c r="M18" s="829" t="str">
        <f t="shared" ref="M18:M25" si="57">LEFT(G18,LEN(G18)-1)</f>
        <v>12.3</v>
      </c>
      <c r="N18" s="829" t="str">
        <f t="shared" ref="N18:N25" si="58">LEFT(H18,LEN(H18)-1)</f>
        <v>48.3</v>
      </c>
      <c r="O18" s="825">
        <f t="shared" si="47"/>
        <v>8.9</v>
      </c>
      <c r="P18" s="825">
        <f t="shared" si="48"/>
        <v>8.4</v>
      </c>
      <c r="Q18" s="825">
        <f t="shared" si="49"/>
        <v>9.5</v>
      </c>
      <c r="R18" s="825">
        <f t="shared" si="50"/>
        <v>9.1999999999999993</v>
      </c>
      <c r="S18" s="825">
        <f t="shared" si="51"/>
        <v>12.3</v>
      </c>
      <c r="T18" s="825">
        <f t="shared" si="52"/>
        <v>48.3</v>
      </c>
    </row>
    <row r="19" spans="1:20" x14ac:dyDescent="0.25">
      <c r="A19" t="s">
        <v>774</v>
      </c>
      <c r="B19" s="1" t="s">
        <v>772</v>
      </c>
      <c r="C19">
        <v>1.7</v>
      </c>
      <c r="D19">
        <v>1.6</v>
      </c>
      <c r="E19">
        <v>2.1</v>
      </c>
      <c r="F19">
        <v>1</v>
      </c>
      <c r="G19">
        <v>0.2</v>
      </c>
      <c r="H19">
        <v>6.6000000000000005</v>
      </c>
      <c r="I19" s="749">
        <f>C19</f>
        <v>1.7</v>
      </c>
      <c r="J19" s="749">
        <f t="shared" ref="J19:J21" si="59">D19</f>
        <v>1.6</v>
      </c>
      <c r="K19" s="749">
        <f t="shared" ref="K19:K21" si="60">E19</f>
        <v>2.1</v>
      </c>
      <c r="L19" s="749">
        <f t="shared" ref="L19:L21" si="61">F19</f>
        <v>1</v>
      </c>
      <c r="M19" s="749">
        <f t="shared" ref="M19:M21" si="62">G19</f>
        <v>0.2</v>
      </c>
      <c r="N19" s="749">
        <f t="shared" ref="N19:N21" si="63">H19</f>
        <v>6.6000000000000005</v>
      </c>
      <c r="O19">
        <f t="shared" ref="O19:O21" si="64">I19</f>
        <v>1.7</v>
      </c>
      <c r="P19">
        <f t="shared" ref="P19:P21" si="65">J19</f>
        <v>1.6</v>
      </c>
      <c r="Q19">
        <f t="shared" ref="Q19:Q21" si="66">K19</f>
        <v>2.1</v>
      </c>
      <c r="R19">
        <f t="shared" ref="R19:R21" si="67">L19</f>
        <v>1</v>
      </c>
      <c r="S19">
        <f t="shared" ref="S19:S21" si="68">M19</f>
        <v>0.2</v>
      </c>
      <c r="T19">
        <f t="shared" ref="T19:T21" si="69">N19</f>
        <v>6.6000000000000005</v>
      </c>
    </row>
    <row r="20" spans="1:20" x14ac:dyDescent="0.25">
      <c r="B20" s="1" t="s">
        <v>765</v>
      </c>
      <c r="C20" t="s">
        <v>766</v>
      </c>
      <c r="D20" t="s">
        <v>767</v>
      </c>
      <c r="E20" t="s">
        <v>768</v>
      </c>
      <c r="F20" t="s">
        <v>769</v>
      </c>
      <c r="G20" t="s">
        <v>770</v>
      </c>
      <c r="H20" t="s">
        <v>771</v>
      </c>
      <c r="I20" s="829" t="str">
        <f t="shared" ref="I20" si="70">LEFT(C20,LEN(C20)-1)</f>
        <v>17.2</v>
      </c>
      <c r="J20" s="829" t="str">
        <f t="shared" ref="J20" si="71">LEFT(D20,LEN(D20)-1)</f>
        <v>17.5</v>
      </c>
      <c r="K20" s="829" t="str">
        <f t="shared" ref="K20" si="72">LEFT(E20,LEN(E20)-1)</f>
        <v>22.2</v>
      </c>
      <c r="L20" s="829" t="str">
        <f t="shared" ref="L20" si="73">LEFT(F20,LEN(F20)-1)</f>
        <v>19.8</v>
      </c>
      <c r="M20" s="829" t="str">
        <f t="shared" ref="M20" si="74">LEFT(G20,LEN(G20)-1)</f>
        <v>19.3</v>
      </c>
      <c r="N20" s="829" t="str">
        <f t="shared" ref="N20" si="75">LEFT(H20,LEN(H20)-1)</f>
        <v>96.0</v>
      </c>
      <c r="O20" s="825">
        <f t="shared" ref="O20:T20" si="76">VALUE(I20)</f>
        <v>17.2</v>
      </c>
      <c r="P20" s="825">
        <f t="shared" si="76"/>
        <v>17.5</v>
      </c>
      <c r="Q20" s="825">
        <f t="shared" si="76"/>
        <v>22.2</v>
      </c>
      <c r="R20" s="825">
        <f t="shared" si="76"/>
        <v>19.8</v>
      </c>
      <c r="S20" s="825">
        <f t="shared" si="76"/>
        <v>19.3</v>
      </c>
      <c r="T20" s="825">
        <f t="shared" si="76"/>
        <v>96</v>
      </c>
    </row>
    <row r="21" spans="1:20" x14ac:dyDescent="0.25">
      <c r="A21" t="s">
        <v>774</v>
      </c>
      <c r="B21" s="1" t="s">
        <v>490</v>
      </c>
      <c r="C21">
        <v>12.1</v>
      </c>
      <c r="D21">
        <v>13.4</v>
      </c>
      <c r="E21">
        <v>17.8</v>
      </c>
      <c r="F21">
        <v>23.1</v>
      </c>
      <c r="G21">
        <v>28.6</v>
      </c>
      <c r="H21">
        <v>95</v>
      </c>
      <c r="I21" s="749">
        <f>C21</f>
        <v>12.1</v>
      </c>
      <c r="J21" s="749">
        <f t="shared" si="59"/>
        <v>13.4</v>
      </c>
      <c r="K21" s="749">
        <f t="shared" si="60"/>
        <v>17.8</v>
      </c>
      <c r="L21" s="749">
        <f t="shared" si="61"/>
        <v>23.1</v>
      </c>
      <c r="M21" s="749">
        <f t="shared" si="62"/>
        <v>28.6</v>
      </c>
      <c r="N21" s="749">
        <f t="shared" si="63"/>
        <v>95</v>
      </c>
      <c r="O21">
        <f t="shared" si="64"/>
        <v>12.1</v>
      </c>
      <c r="P21">
        <f t="shared" si="65"/>
        <v>13.4</v>
      </c>
      <c r="Q21">
        <f t="shared" si="66"/>
        <v>17.8</v>
      </c>
      <c r="R21">
        <f t="shared" si="67"/>
        <v>23.1</v>
      </c>
      <c r="S21">
        <f t="shared" si="68"/>
        <v>28.6</v>
      </c>
      <c r="T21">
        <f t="shared" si="69"/>
        <v>95</v>
      </c>
    </row>
    <row r="22" spans="1:20" x14ac:dyDescent="0.25">
      <c r="B22" s="1" t="s">
        <v>752</v>
      </c>
      <c r="C22" t="s">
        <v>747</v>
      </c>
      <c r="D22" t="s">
        <v>748</v>
      </c>
      <c r="E22" t="s">
        <v>715</v>
      </c>
      <c r="F22" t="s">
        <v>749</v>
      </c>
      <c r="G22" t="s">
        <v>750</v>
      </c>
      <c r="H22" t="s">
        <v>751</v>
      </c>
      <c r="I22" s="829" t="str">
        <f t="shared" si="53"/>
        <v>8.6</v>
      </c>
      <c r="J22" s="829" t="str">
        <f t="shared" si="54"/>
        <v>7.6</v>
      </c>
      <c r="K22" s="829" t="str">
        <f t="shared" si="55"/>
        <v>9.2</v>
      </c>
      <c r="L22" s="829" t="str">
        <f t="shared" si="56"/>
        <v>4.2</v>
      </c>
      <c r="M22" s="829" t="str">
        <f t="shared" si="57"/>
        <v>6.6</v>
      </c>
      <c r="N22" s="829" t="str">
        <f t="shared" si="58"/>
        <v>36.2</v>
      </c>
      <c r="O22" s="825">
        <f t="shared" si="47"/>
        <v>8.6</v>
      </c>
      <c r="P22" s="825">
        <f t="shared" si="48"/>
        <v>7.6</v>
      </c>
      <c r="Q22" s="825">
        <f t="shared" si="49"/>
        <v>9.1999999999999993</v>
      </c>
      <c r="R22" s="825">
        <f t="shared" si="50"/>
        <v>4.2</v>
      </c>
      <c r="S22" s="825">
        <f t="shared" si="51"/>
        <v>6.6</v>
      </c>
      <c r="T22" s="825">
        <f t="shared" si="52"/>
        <v>36.200000000000003</v>
      </c>
    </row>
    <row r="23" spans="1:20" x14ac:dyDescent="0.25">
      <c r="A23" t="s">
        <v>774</v>
      </c>
      <c r="B23" s="1" t="s">
        <v>264</v>
      </c>
      <c r="C23" s="749">
        <v>2.78006655640975</v>
      </c>
      <c r="D23" s="749">
        <v>1.9514263197127502</v>
      </c>
      <c r="E23" s="749">
        <v>0.57733597217090271</v>
      </c>
      <c r="F23" s="749">
        <v>0.24969790142791068</v>
      </c>
      <c r="G23" s="749">
        <v>0</v>
      </c>
      <c r="H23" s="749">
        <f>SUM(C23:G23)</f>
        <v>5.5585267497213131</v>
      </c>
      <c r="I23" s="749">
        <f>C23</f>
        <v>2.78006655640975</v>
      </c>
      <c r="J23" s="749">
        <f t="shared" ref="J23:J24" si="77">D23</f>
        <v>1.9514263197127502</v>
      </c>
      <c r="K23" s="749">
        <f t="shared" ref="K23:K24" si="78">E23</f>
        <v>0.57733597217090271</v>
      </c>
      <c r="L23" s="749">
        <f t="shared" ref="L23:L24" si="79">F23</f>
        <v>0.24969790142791068</v>
      </c>
      <c r="M23" s="749">
        <f t="shared" ref="M23:M24" si="80">G23</f>
        <v>0</v>
      </c>
      <c r="N23" s="749">
        <f t="shared" ref="N23:N24" si="81">H23</f>
        <v>5.5585267497213131</v>
      </c>
      <c r="O23" s="749">
        <f t="shared" ref="O23:O24" si="82">I23</f>
        <v>2.78006655640975</v>
      </c>
      <c r="P23" s="749">
        <f t="shared" ref="P23:P24" si="83">J23</f>
        <v>1.9514263197127502</v>
      </c>
      <c r="Q23" s="749">
        <f t="shared" ref="Q23:Q24" si="84">K23</f>
        <v>0.57733597217090271</v>
      </c>
      <c r="R23" s="749">
        <f t="shared" ref="R23:R24" si="85">L23</f>
        <v>0.24969790142791068</v>
      </c>
      <c r="S23" s="749">
        <f t="shared" ref="S23:S24" si="86">M23</f>
        <v>0</v>
      </c>
      <c r="T23" s="749">
        <f t="shared" ref="T23:T24" si="87">N23</f>
        <v>5.5585267497213131</v>
      </c>
    </row>
    <row r="24" spans="1:20" x14ac:dyDescent="0.25">
      <c r="B24" s="1" t="s">
        <v>773</v>
      </c>
      <c r="C24" s="749">
        <v>18.794481480336167</v>
      </c>
      <c r="D24" s="749">
        <v>20.567617987370678</v>
      </c>
      <c r="E24" s="749">
        <v>20.299150790534608</v>
      </c>
      <c r="F24" s="749">
        <v>28.784278380693934</v>
      </c>
      <c r="G24" s="749">
        <v>27.281219196064772</v>
      </c>
      <c r="H24" s="749">
        <f>SUM(C24:G24)</f>
        <v>115.72674783500015</v>
      </c>
      <c r="I24" s="749">
        <f>C24</f>
        <v>18.794481480336167</v>
      </c>
      <c r="J24" s="749">
        <f t="shared" si="77"/>
        <v>20.567617987370678</v>
      </c>
      <c r="K24" s="749">
        <f t="shared" si="78"/>
        <v>20.299150790534608</v>
      </c>
      <c r="L24" s="749">
        <f t="shared" si="79"/>
        <v>28.784278380693934</v>
      </c>
      <c r="M24" s="749">
        <f t="shared" si="80"/>
        <v>27.281219196064772</v>
      </c>
      <c r="N24" s="749">
        <f t="shared" si="81"/>
        <v>115.72674783500015</v>
      </c>
      <c r="O24" s="749">
        <f t="shared" si="82"/>
        <v>18.794481480336167</v>
      </c>
      <c r="P24" s="749">
        <f t="shared" si="83"/>
        <v>20.567617987370678</v>
      </c>
      <c r="Q24" s="749">
        <f t="shared" si="84"/>
        <v>20.299150790534608</v>
      </c>
      <c r="R24" s="749">
        <f t="shared" si="85"/>
        <v>28.784278380693934</v>
      </c>
      <c r="S24" s="749">
        <f t="shared" si="86"/>
        <v>27.281219196064772</v>
      </c>
      <c r="T24" s="749">
        <f t="shared" si="87"/>
        <v>115.72674783500015</v>
      </c>
    </row>
    <row r="25" spans="1:20" x14ac:dyDescent="0.25">
      <c r="B25" s="828" t="s">
        <v>418</v>
      </c>
      <c r="C25" s="826" t="s">
        <v>755</v>
      </c>
      <c r="D25" s="826" t="s">
        <v>755</v>
      </c>
      <c r="E25" s="826" t="s">
        <v>755</v>
      </c>
      <c r="F25" s="826" t="s">
        <v>755</v>
      </c>
      <c r="G25" s="826" t="s">
        <v>755</v>
      </c>
      <c r="H25" s="826" t="s">
        <v>756</v>
      </c>
      <c r="I25" s="830" t="str">
        <f t="shared" si="53"/>
        <v>13.4</v>
      </c>
      <c r="J25" s="830" t="str">
        <f t="shared" si="54"/>
        <v>13.4</v>
      </c>
      <c r="K25" s="830" t="str">
        <f t="shared" si="55"/>
        <v>13.4</v>
      </c>
      <c r="L25" s="830" t="str">
        <f t="shared" si="56"/>
        <v>13.4</v>
      </c>
      <c r="M25" s="830" t="str">
        <f t="shared" si="57"/>
        <v>13.4</v>
      </c>
      <c r="N25" s="830" t="str">
        <f t="shared" si="58"/>
        <v>67.2</v>
      </c>
      <c r="O25" s="831">
        <f t="shared" si="47"/>
        <v>13.4</v>
      </c>
      <c r="P25" s="827">
        <f t="shared" si="48"/>
        <v>13.4</v>
      </c>
      <c r="Q25" s="827">
        <f t="shared" si="49"/>
        <v>13.4</v>
      </c>
      <c r="R25" s="831">
        <f t="shared" si="50"/>
        <v>13.4</v>
      </c>
      <c r="S25" s="831">
        <f t="shared" si="51"/>
        <v>13.4</v>
      </c>
      <c r="T25" s="831">
        <f t="shared" si="52"/>
        <v>67.2</v>
      </c>
    </row>
    <row r="26" spans="1:20" x14ac:dyDescent="0.25">
      <c r="B26" s="828" t="s">
        <v>753</v>
      </c>
      <c r="C26" s="826" t="s">
        <v>757</v>
      </c>
      <c r="D26" s="826" t="s">
        <v>757</v>
      </c>
      <c r="E26" s="826" t="s">
        <v>757</v>
      </c>
      <c r="F26" s="826" t="s">
        <v>757</v>
      </c>
      <c r="G26" s="826" t="s">
        <v>757</v>
      </c>
      <c r="H26" s="826" t="s">
        <v>758</v>
      </c>
      <c r="I26" s="830" t="str">
        <f t="shared" ref="I26:N27" si="88">LEFT(C26,LEN(C26)-1)</f>
        <v>1.5</v>
      </c>
      <c r="J26" s="830" t="str">
        <f t="shared" si="88"/>
        <v>1.5</v>
      </c>
      <c r="K26" s="830" t="str">
        <f t="shared" si="88"/>
        <v>1.5</v>
      </c>
      <c r="L26" s="830" t="str">
        <f t="shared" si="88"/>
        <v>1.5</v>
      </c>
      <c r="M26" s="830" t="str">
        <f t="shared" si="88"/>
        <v>1.5</v>
      </c>
      <c r="N26" s="830" t="str">
        <f t="shared" si="88"/>
        <v>7.5</v>
      </c>
      <c r="O26" s="831">
        <f t="shared" ref="O26:T27" si="89">VALUE(I26)</f>
        <v>1.5</v>
      </c>
      <c r="P26" s="827">
        <f t="shared" si="89"/>
        <v>1.5</v>
      </c>
      <c r="Q26" s="827">
        <f t="shared" si="89"/>
        <v>1.5</v>
      </c>
      <c r="R26" s="831">
        <f t="shared" si="89"/>
        <v>1.5</v>
      </c>
      <c r="S26" s="831">
        <f t="shared" si="89"/>
        <v>1.5</v>
      </c>
      <c r="T26" s="831">
        <f t="shared" si="89"/>
        <v>7.5</v>
      </c>
    </row>
    <row r="27" spans="1:20" x14ac:dyDescent="0.25">
      <c r="B27" s="828" t="s">
        <v>754</v>
      </c>
      <c r="C27" s="826" t="s">
        <v>759</v>
      </c>
      <c r="D27" s="826" t="s">
        <v>760</v>
      </c>
      <c r="E27" s="826" t="s">
        <v>761</v>
      </c>
      <c r="F27" s="826" t="s">
        <v>762</v>
      </c>
      <c r="G27" s="826" t="s">
        <v>763</v>
      </c>
      <c r="H27" s="826" t="s">
        <v>764</v>
      </c>
      <c r="I27" s="830" t="str">
        <f t="shared" si="88"/>
        <v>0.75</v>
      </c>
      <c r="J27" s="830" t="str">
        <f t="shared" si="88"/>
        <v>0.86</v>
      </c>
      <c r="K27" s="830" t="str">
        <f t="shared" si="88"/>
        <v>0.84</v>
      </c>
      <c r="L27" s="830" t="str">
        <f t="shared" si="88"/>
        <v>0.98</v>
      </c>
      <c r="M27" s="830" t="str">
        <f t="shared" si="88"/>
        <v>0.82</v>
      </c>
      <c r="N27" s="830" t="str">
        <f t="shared" si="88"/>
        <v>4.25</v>
      </c>
      <c r="O27" s="831">
        <f t="shared" si="89"/>
        <v>0.75</v>
      </c>
      <c r="P27" s="827">
        <f t="shared" si="89"/>
        <v>0.86</v>
      </c>
      <c r="Q27" s="827">
        <f t="shared" si="89"/>
        <v>0.84</v>
      </c>
      <c r="R27" s="831">
        <f t="shared" si="89"/>
        <v>0.98</v>
      </c>
      <c r="S27" s="831">
        <f t="shared" si="89"/>
        <v>0.82</v>
      </c>
      <c r="T27" s="831">
        <f t="shared" si="89"/>
        <v>4.25</v>
      </c>
    </row>
    <row r="28" spans="1:20" x14ac:dyDescent="0.25">
      <c r="A28" t="s">
        <v>774</v>
      </c>
      <c r="B28" s="828" t="s">
        <v>777</v>
      </c>
      <c r="C28" s="826">
        <v>1.54</v>
      </c>
      <c r="D28" s="826">
        <v>1.9650000000000001</v>
      </c>
      <c r="E28" s="826">
        <v>0.81789999999999996</v>
      </c>
      <c r="F28" s="826">
        <v>5.91</v>
      </c>
      <c r="G28" s="826">
        <v>5.87</v>
      </c>
      <c r="H28" s="826">
        <f t="shared" ref="H28:H29" si="90">SUM(C28:G28)</f>
        <v>16.102900000000002</v>
      </c>
      <c r="I28" s="830">
        <f>C28</f>
        <v>1.54</v>
      </c>
      <c r="J28" s="830">
        <f t="shared" ref="J28:N28" si="91">D28</f>
        <v>1.9650000000000001</v>
      </c>
      <c r="K28" s="830">
        <f t="shared" si="91"/>
        <v>0.81789999999999996</v>
      </c>
      <c r="L28" s="830">
        <f t="shared" si="91"/>
        <v>5.91</v>
      </c>
      <c r="M28" s="830">
        <f t="shared" si="91"/>
        <v>5.87</v>
      </c>
      <c r="N28" s="830">
        <f t="shared" si="91"/>
        <v>16.102900000000002</v>
      </c>
      <c r="O28" s="831">
        <f>I28</f>
        <v>1.54</v>
      </c>
      <c r="P28" s="827">
        <f t="shared" ref="P28:P29" si="92">J28</f>
        <v>1.9650000000000001</v>
      </c>
      <c r="Q28" s="827">
        <f t="shared" ref="Q28:Q29" si="93">K28</f>
        <v>0.81789999999999996</v>
      </c>
      <c r="R28" s="831">
        <f t="shared" ref="R28:R29" si="94">L28</f>
        <v>5.91</v>
      </c>
      <c r="S28" s="831">
        <f t="shared" ref="S28:S29" si="95">M28</f>
        <v>5.87</v>
      </c>
      <c r="T28" s="831">
        <f t="shared" ref="T28:T29" si="96">N28</f>
        <v>16.102900000000002</v>
      </c>
    </row>
    <row r="29" spans="1:20" x14ac:dyDescent="0.25">
      <c r="A29" t="s">
        <v>774</v>
      </c>
      <c r="B29" s="828" t="s">
        <v>776</v>
      </c>
      <c r="C29" s="826">
        <v>2.4390000000000001</v>
      </c>
      <c r="D29" s="826">
        <v>2.4390000000000001</v>
      </c>
      <c r="E29" s="826">
        <v>3.22</v>
      </c>
      <c r="F29" s="826">
        <v>8.3800000000000008</v>
      </c>
      <c r="G29" s="826">
        <v>6.83</v>
      </c>
      <c r="H29" s="826">
        <f t="shared" si="90"/>
        <v>23.308</v>
      </c>
      <c r="I29" s="830">
        <f>C29</f>
        <v>2.4390000000000001</v>
      </c>
      <c r="J29" s="830">
        <f t="shared" ref="J29" si="97">D29</f>
        <v>2.4390000000000001</v>
      </c>
      <c r="K29" s="830">
        <f t="shared" ref="K29" si="98">E29</f>
        <v>3.22</v>
      </c>
      <c r="L29" s="830">
        <f t="shared" ref="L29" si="99">F29</f>
        <v>8.3800000000000008</v>
      </c>
      <c r="M29" s="830">
        <f t="shared" ref="M29" si="100">G29</f>
        <v>6.83</v>
      </c>
      <c r="N29" s="830">
        <f t="shared" ref="N29" si="101">H29</f>
        <v>23.308</v>
      </c>
      <c r="O29" s="831">
        <f>I29</f>
        <v>2.4390000000000001</v>
      </c>
      <c r="P29" s="827">
        <f t="shared" si="92"/>
        <v>2.4390000000000001</v>
      </c>
      <c r="Q29" s="827">
        <f t="shared" si="93"/>
        <v>3.22</v>
      </c>
      <c r="R29" s="831">
        <f t="shared" si="94"/>
        <v>8.3800000000000008</v>
      </c>
      <c r="S29" s="831">
        <f t="shared" si="95"/>
        <v>6.83</v>
      </c>
      <c r="T29" s="831">
        <f t="shared" si="96"/>
        <v>23.308</v>
      </c>
    </row>
    <row r="30" spans="1:20" x14ac:dyDescent="0.25">
      <c r="O30" s="815">
        <f t="shared" ref="O30:S30" si="102">SUM(O17:O29)</f>
        <v>100.70354803674593</v>
      </c>
      <c r="P30" s="815">
        <f t="shared" si="102"/>
        <v>105.68304430708343</v>
      </c>
      <c r="Q30" s="815">
        <f t="shared" si="102"/>
        <v>118.25438676270552</v>
      </c>
      <c r="R30" s="815">
        <f t="shared" si="102"/>
        <v>139.10397628212183</v>
      </c>
      <c r="S30" s="815">
        <f t="shared" si="102"/>
        <v>149.30121919606478</v>
      </c>
      <c r="T30" s="815">
        <f>SUM(T16:T24)</f>
        <v>498.99927458472143</v>
      </c>
    </row>
    <row r="32" spans="1:20" x14ac:dyDescent="0.25">
      <c r="B32" s="1" t="s">
        <v>778</v>
      </c>
      <c r="O32" s="815">
        <f>O24-SUM(O25:O29)</f>
        <v>-0.83451851966383472</v>
      </c>
      <c r="P32" s="815">
        <f t="shared" ref="P32:T32" si="103">P24-SUM(P25:P29)</f>
        <v>0.40361798737067645</v>
      </c>
      <c r="Q32" s="815">
        <f t="shared" si="103"/>
        <v>0.52125079053460865</v>
      </c>
      <c r="R32" s="815">
        <f t="shared" si="103"/>
        <v>-1.385721619306068</v>
      </c>
      <c r="S32" s="815">
        <f t="shared" si="103"/>
        <v>-1.1387808039352301</v>
      </c>
      <c r="T32" s="815">
        <f t="shared" si="103"/>
        <v>-2.6341521649998612</v>
      </c>
    </row>
    <row r="37" spans="3:20" x14ac:dyDescent="0.25">
      <c r="C37" s="749"/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9"/>
      <c r="P37" s="749"/>
      <c r="Q37" s="749"/>
      <c r="R37" s="749"/>
      <c r="S37" s="749"/>
      <c r="T37" s="749"/>
    </row>
    <row r="39" spans="3:20" x14ac:dyDescent="0.25">
      <c r="O39" s="815">
        <f t="shared" ref="O39:T39" si="104">SUM(O17:O22,O20:O29,O34,O35,O37,O23)</f>
        <v>141.38361459315564</v>
      </c>
      <c r="P39" s="815">
        <f t="shared" si="104"/>
        <v>146.13447062679617</v>
      </c>
      <c r="Q39" s="815">
        <f t="shared" si="104"/>
        <v>168.03172273487644</v>
      </c>
      <c r="R39" s="815">
        <f t="shared" si="104"/>
        <v>186.45367418354974</v>
      </c>
      <c r="S39" s="815">
        <f t="shared" si="104"/>
        <v>203.80121919606478</v>
      </c>
      <c r="T39" s="815">
        <f t="shared" si="104"/>
        <v>846.00470133444276</v>
      </c>
    </row>
  </sheetData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BD747-31FF-4DBF-AFD4-4BD3BB151A3C}">
  <sheetPr codeName="Sheet16"/>
  <dimension ref="B2:Y52"/>
  <sheetViews>
    <sheetView workbookViewId="0">
      <selection activeCell="P23" sqref="P23"/>
    </sheetView>
  </sheetViews>
  <sheetFormatPr defaultRowHeight="15" x14ac:dyDescent="0.25"/>
  <cols>
    <col min="3" max="3" width="28" bestFit="1" customWidth="1"/>
  </cols>
  <sheetData>
    <row r="2" spans="2:25" x14ac:dyDescent="0.25">
      <c r="B2" s="19"/>
      <c r="C2" s="541" t="s">
        <v>557</v>
      </c>
      <c r="D2" s="542" t="s">
        <v>558</v>
      </c>
      <c r="E2" s="542" t="s">
        <v>559</v>
      </c>
      <c r="F2" s="542" t="s">
        <v>560</v>
      </c>
      <c r="G2" s="542" t="s">
        <v>561</v>
      </c>
      <c r="H2" s="542" t="s">
        <v>562</v>
      </c>
      <c r="I2" s="542" t="s">
        <v>563</v>
      </c>
      <c r="J2" s="542" t="s">
        <v>564</v>
      </c>
      <c r="K2" s="542" t="s">
        <v>565</v>
      </c>
      <c r="L2" s="542" t="s">
        <v>566</v>
      </c>
      <c r="M2" s="542" t="s">
        <v>567</v>
      </c>
      <c r="N2" s="542" t="s">
        <v>568</v>
      </c>
      <c r="O2" s="542" t="s">
        <v>569</v>
      </c>
      <c r="P2" s="542" t="s">
        <v>534</v>
      </c>
      <c r="Q2" s="542" t="s">
        <v>447</v>
      </c>
      <c r="R2" s="542" t="s">
        <v>570</v>
      </c>
      <c r="S2" s="542" t="s">
        <v>571</v>
      </c>
      <c r="T2" s="542" t="s">
        <v>572</v>
      </c>
      <c r="U2" s="542" t="s">
        <v>573</v>
      </c>
      <c r="V2" s="542" t="s">
        <v>574</v>
      </c>
      <c r="W2" s="542" t="s">
        <v>575</v>
      </c>
      <c r="X2" s="542" t="s">
        <v>576</v>
      </c>
      <c r="Y2" s="19"/>
    </row>
    <row r="3" spans="2:25" x14ac:dyDescent="0.25">
      <c r="B3" s="543" t="s">
        <v>27</v>
      </c>
      <c r="C3" s="544" t="s">
        <v>577</v>
      </c>
      <c r="D3" s="545">
        <v>3.1216361679224924E-2</v>
      </c>
      <c r="E3" s="545">
        <v>3.5490605427975108E-2</v>
      </c>
      <c r="F3" s="545">
        <v>1.2096774193548487E-2</v>
      </c>
      <c r="G3" s="545">
        <v>2.3904382470119501E-2</v>
      </c>
      <c r="H3" s="545">
        <v>3.0155642023346418E-2</v>
      </c>
      <c r="I3" s="545">
        <v>1.5108593012275628E-2</v>
      </c>
      <c r="J3" s="545">
        <v>1.0232558139534831E-2</v>
      </c>
      <c r="K3" s="545">
        <v>1.9337016574585641E-2</v>
      </c>
      <c r="L3" s="545">
        <v>2.0776874435411097E-2</v>
      </c>
      <c r="M3" s="545">
        <v>1.5929203539823078E-2</v>
      </c>
      <c r="N3" s="545">
        <v>-3.4843205574912606E-3</v>
      </c>
      <c r="O3" s="545">
        <v>3.8461538461538325E-2</v>
      </c>
      <c r="P3" s="545">
        <v>6.1447811447811418E-2</v>
      </c>
      <c r="Q3" s="545">
        <v>6.25E-2</v>
      </c>
      <c r="R3" s="545">
        <v>3.5000000000000003E-2</v>
      </c>
      <c r="S3" s="545">
        <v>2.7498479316033997E-2</v>
      </c>
      <c r="T3" s="546">
        <v>2.7498479316033997E-2</v>
      </c>
      <c r="U3" s="546">
        <v>2.7498479316033997E-2</v>
      </c>
      <c r="V3" s="546">
        <v>2.7498479316033997E-2</v>
      </c>
      <c r="W3" s="546">
        <v>2.7498479316033997E-2</v>
      </c>
      <c r="X3" s="546">
        <v>2.7498479316033997E-2</v>
      </c>
      <c r="Y3" s="547" t="s">
        <v>578</v>
      </c>
    </row>
    <row r="4" spans="2:25" x14ac:dyDescent="0.25">
      <c r="B4" s="543" t="s">
        <v>68</v>
      </c>
      <c r="C4" s="544" t="s">
        <v>579</v>
      </c>
      <c r="D4" s="545">
        <v>2.0562770562770449E-2</v>
      </c>
      <c r="E4" s="545">
        <v>2.7571580063626921E-2</v>
      </c>
      <c r="F4" s="545">
        <v>2.9927760577915352E-2</v>
      </c>
      <c r="G4" s="545">
        <v>2.2044088176352838E-2</v>
      </c>
      <c r="H4" s="545">
        <v>2.7450980392156765E-2</v>
      </c>
      <c r="I4" s="545">
        <v>1.7175572519083859E-2</v>
      </c>
      <c r="J4" s="545">
        <v>1.6885553470919357E-2</v>
      </c>
      <c r="K4" s="545">
        <v>1.4760147601476037E-2</v>
      </c>
      <c r="L4" s="545">
        <v>1.9090909090909047E-2</v>
      </c>
      <c r="M4" s="545">
        <v>1.7841213202497874E-2</v>
      </c>
      <c r="N4" s="545">
        <v>1.8404907975460238E-2</v>
      </c>
      <c r="O4" s="545">
        <v>8.6058519793459354E-3</v>
      </c>
      <c r="P4" s="545">
        <v>3.4982935153583528E-2</v>
      </c>
      <c r="Q4" s="545">
        <v>7.8318219291014124E-2</v>
      </c>
      <c r="R4" s="545">
        <v>4.7500000000000001E-2</v>
      </c>
      <c r="S4" s="545">
        <v>2.7498479316033997E-2</v>
      </c>
      <c r="T4" s="546">
        <v>2.7498479316033997E-2</v>
      </c>
      <c r="U4" s="546">
        <v>2.7498479316033997E-2</v>
      </c>
      <c r="V4" s="546">
        <v>2.7498479316033997E-2</v>
      </c>
      <c r="W4" s="546">
        <v>2.7498479316033997E-2</v>
      </c>
      <c r="X4" s="546">
        <v>2.7498479316033997E-2</v>
      </c>
      <c r="Y4" s="547" t="s">
        <v>580</v>
      </c>
    </row>
    <row r="7" spans="2:25" ht="39" x14ac:dyDescent="0.25">
      <c r="C7" s="549"/>
      <c r="D7" s="548" t="s">
        <v>581</v>
      </c>
      <c r="E7" s="548" t="s">
        <v>581</v>
      </c>
      <c r="G7" s="549" t="s">
        <v>5</v>
      </c>
      <c r="H7" s="549" t="s">
        <v>6</v>
      </c>
      <c r="I7" s="549" t="s">
        <v>7</v>
      </c>
      <c r="J7" s="549" t="s">
        <v>8</v>
      </c>
      <c r="K7" s="549" t="s">
        <v>9</v>
      </c>
      <c r="L7" s="549" t="s">
        <v>10</v>
      </c>
      <c r="M7" s="549" t="s">
        <v>11</v>
      </c>
      <c r="N7" s="549" t="s">
        <v>12</v>
      </c>
      <c r="O7" s="549" t="s">
        <v>13</v>
      </c>
      <c r="P7" s="549" t="s">
        <v>14</v>
      </c>
      <c r="Q7" s="549" t="s">
        <v>15</v>
      </c>
      <c r="R7" s="549" t="s">
        <v>280</v>
      </c>
      <c r="S7" s="549" t="s">
        <v>422</v>
      </c>
      <c r="T7" s="549" t="s">
        <v>423</v>
      </c>
      <c r="U7" s="549" t="s">
        <v>424</v>
      </c>
      <c r="V7" s="549" t="s">
        <v>425</v>
      </c>
      <c r="W7" s="549" t="s">
        <v>426</v>
      </c>
    </row>
    <row r="8" spans="2:25" x14ac:dyDescent="0.25">
      <c r="C8" s="549" t="s">
        <v>1</v>
      </c>
      <c r="D8" s="550">
        <f t="array" ref="D8:D28">TRANSPOSE(D3:X3)</f>
        <v>3.1216361679224924E-2</v>
      </c>
      <c r="E8" s="550">
        <f>D8+1</f>
        <v>1.0312163616792249</v>
      </c>
      <c r="F8" s="550">
        <f>PRODUCT($E$8:E8)</f>
        <v>1.0312163616792249</v>
      </c>
      <c r="G8" s="551">
        <f>$F8/VLOOKUP(G$7,$C$8:$F$28,4,0)</f>
        <v>0.90462700661000917</v>
      </c>
      <c r="H8" s="551">
        <f t="shared" ref="H8:W23" si="0">$F8/VLOOKUP(H$7,$C$8:$F$28,4,0)</f>
        <v>0.89116279069767423</v>
      </c>
      <c r="I8" s="551">
        <f t="shared" si="0"/>
        <v>0.88213627992633514</v>
      </c>
      <c r="J8" s="551">
        <f t="shared" si="0"/>
        <v>0.86540198735320684</v>
      </c>
      <c r="K8" s="551">
        <f t="shared" si="0"/>
        <v>0.84778761061946895</v>
      </c>
      <c r="L8" s="551">
        <f t="shared" si="0"/>
        <v>0.83449477351916357</v>
      </c>
      <c r="M8" s="551">
        <f t="shared" si="0"/>
        <v>0.83741258741258728</v>
      </c>
      <c r="N8" s="551">
        <f t="shared" si="0"/>
        <v>0.80639730639730633</v>
      </c>
      <c r="O8" s="551">
        <f t="shared" si="0"/>
        <v>0.75971451229183184</v>
      </c>
      <c r="P8" s="551">
        <f t="shared" si="0"/>
        <v>0.71502542333348884</v>
      </c>
      <c r="Q8" s="551">
        <f t="shared" si="0"/>
        <v>0.69084581964588299</v>
      </c>
      <c r="R8" s="551">
        <f t="shared" si="0"/>
        <v>0.67235702393034424</v>
      </c>
      <c r="S8" s="551">
        <f t="shared" si="0"/>
        <v>0.65436303553257447</v>
      </c>
      <c r="T8" s="551">
        <f t="shared" si="0"/>
        <v>0.6368506121470453</v>
      </c>
      <c r="U8" s="551">
        <f t="shared" si="0"/>
        <v>0.61980686586609079</v>
      </c>
      <c r="V8" s="551">
        <f t="shared" si="0"/>
        <v>0.60321925369531659</v>
      </c>
      <c r="W8" s="551">
        <f t="shared" si="0"/>
        <v>0.58707556832284213</v>
      </c>
    </row>
    <row r="9" spans="2:25" x14ac:dyDescent="0.25">
      <c r="C9" s="549" t="s">
        <v>2</v>
      </c>
      <c r="D9" s="550">
        <v>3.5490605427975108E-2</v>
      </c>
      <c r="E9" s="550">
        <f t="shared" ref="E9:E28" si="1">D9+1</f>
        <v>1.0354906054279751</v>
      </c>
      <c r="F9" s="550">
        <f>PRODUCT($E$8:E9)</f>
        <v>1.0678148546824544</v>
      </c>
      <c r="G9" s="551">
        <f t="shared" ref="G9:V28" si="2">$F9/VLOOKUP(G$7,$C$8:$F$28,4,0)</f>
        <v>0.93673276676109518</v>
      </c>
      <c r="H9" s="551">
        <f t="shared" si="2"/>
        <v>0.92279069767441857</v>
      </c>
      <c r="I9" s="551">
        <f t="shared" si="2"/>
        <v>0.9134438305709025</v>
      </c>
      <c r="J9" s="551">
        <f t="shared" si="2"/>
        <v>0.89611562782294507</v>
      </c>
      <c r="K9" s="551">
        <f t="shared" si="2"/>
        <v>0.87787610619469036</v>
      </c>
      <c r="L9" s="551">
        <f t="shared" si="2"/>
        <v>0.86411149825783973</v>
      </c>
      <c r="M9" s="551">
        <f t="shared" si="2"/>
        <v>0.86713286713286708</v>
      </c>
      <c r="N9" s="551">
        <f t="shared" si="2"/>
        <v>0.8350168350168351</v>
      </c>
      <c r="O9" s="551">
        <f t="shared" si="2"/>
        <v>0.7866772402854878</v>
      </c>
      <c r="P9" s="551">
        <f t="shared" si="2"/>
        <v>0.74040210850398858</v>
      </c>
      <c r="Q9" s="551">
        <f t="shared" si="2"/>
        <v>0.71536435604250104</v>
      </c>
      <c r="R9" s="551">
        <f t="shared" si="2"/>
        <v>0.69621938177338372</v>
      </c>
      <c r="S9" s="551">
        <f t="shared" si="2"/>
        <v>0.67758677583331306</v>
      </c>
      <c r="T9" s="551">
        <f t="shared" si="2"/>
        <v>0.65945282593932053</v>
      </c>
      <c r="U9" s="551">
        <f t="shared" si="2"/>
        <v>0.64180418678409412</v>
      </c>
      <c r="V9" s="551">
        <f t="shared" si="2"/>
        <v>0.62462787021477473</v>
      </c>
      <c r="W9" s="551">
        <f t="shared" si="0"/>
        <v>0.60791123567459238</v>
      </c>
    </row>
    <row r="10" spans="2:25" x14ac:dyDescent="0.25">
      <c r="C10" s="549" t="s">
        <v>3</v>
      </c>
      <c r="D10" s="550">
        <v>1.2096774193548487E-2</v>
      </c>
      <c r="E10" s="550">
        <f t="shared" si="1"/>
        <v>1.0120967741935485</v>
      </c>
      <c r="F10" s="550">
        <f>PRODUCT($E$8:E10)</f>
        <v>1.0807319698600648</v>
      </c>
      <c r="G10" s="551">
        <f t="shared" si="2"/>
        <v>0.94806421152030207</v>
      </c>
      <c r="H10" s="551">
        <f t="shared" si="0"/>
        <v>0.93395348837209302</v>
      </c>
      <c r="I10" s="551">
        <f t="shared" si="0"/>
        <v>0.92449355432780866</v>
      </c>
      <c r="J10" s="551">
        <f t="shared" si="0"/>
        <v>0.90695573622402914</v>
      </c>
      <c r="K10" s="551">
        <f t="shared" si="0"/>
        <v>0.88849557522123901</v>
      </c>
      <c r="L10" s="551">
        <f t="shared" si="0"/>
        <v>0.87456445993031362</v>
      </c>
      <c r="M10" s="551">
        <f t="shared" si="0"/>
        <v>0.87762237762237771</v>
      </c>
      <c r="N10" s="551">
        <f t="shared" si="0"/>
        <v>0.84511784511784527</v>
      </c>
      <c r="O10" s="551">
        <f t="shared" si="0"/>
        <v>0.79619349722442523</v>
      </c>
      <c r="P10" s="551">
        <f t="shared" si="0"/>
        <v>0.74935858562298852</v>
      </c>
      <c r="Q10" s="551">
        <f t="shared" si="0"/>
        <v>0.72401795712366035</v>
      </c>
      <c r="R10" s="551">
        <f t="shared" si="0"/>
        <v>0.7046413904238682</v>
      </c>
      <c r="S10" s="551">
        <f t="shared" si="0"/>
        <v>0.6857833900571032</v>
      </c>
      <c r="T10" s="551">
        <f t="shared" si="0"/>
        <v>0.66743007786600594</v>
      </c>
      <c r="U10" s="551">
        <f t="shared" si="0"/>
        <v>0.64956794710809529</v>
      </c>
      <c r="V10" s="551">
        <f t="shared" si="0"/>
        <v>0.63218385251575993</v>
      </c>
      <c r="W10" s="551">
        <f t="shared" si="0"/>
        <v>0.61526500062226885</v>
      </c>
    </row>
    <row r="11" spans="2:25" x14ac:dyDescent="0.25">
      <c r="C11" s="549" t="s">
        <v>4</v>
      </c>
      <c r="D11" s="550">
        <v>2.3904382470119501E-2</v>
      </c>
      <c r="E11" s="550">
        <f t="shared" si="1"/>
        <v>1.0239043824701195</v>
      </c>
      <c r="F11" s="550">
        <f>PRODUCT($E$8:E11)</f>
        <v>1.1065662002152854</v>
      </c>
      <c r="G11" s="551">
        <f t="shared" si="2"/>
        <v>0.97072710103871562</v>
      </c>
      <c r="H11" s="551">
        <f t="shared" si="0"/>
        <v>0.95627906976744181</v>
      </c>
      <c r="I11" s="551">
        <f t="shared" si="0"/>
        <v>0.94659300184162076</v>
      </c>
      <c r="J11" s="551">
        <f t="shared" si="0"/>
        <v>0.92863595302619706</v>
      </c>
      <c r="K11" s="551">
        <f t="shared" si="0"/>
        <v>0.9097345132743363</v>
      </c>
      <c r="L11" s="551">
        <f t="shared" si="0"/>
        <v>0.89547038327526129</v>
      </c>
      <c r="M11" s="551">
        <f t="shared" si="0"/>
        <v>0.89860139860139865</v>
      </c>
      <c r="N11" s="551">
        <f t="shared" si="0"/>
        <v>0.86531986531986549</v>
      </c>
      <c r="O11" s="551">
        <f t="shared" si="0"/>
        <v>0.81522601110229986</v>
      </c>
      <c r="P11" s="551">
        <f t="shared" si="0"/>
        <v>0.76727153986098817</v>
      </c>
      <c r="Q11" s="551">
        <f t="shared" si="0"/>
        <v>0.74132515928597886</v>
      </c>
      <c r="R11" s="551">
        <f t="shared" si="0"/>
        <v>0.72148540772483716</v>
      </c>
      <c r="S11" s="551">
        <f t="shared" si="0"/>
        <v>0.70217661850468338</v>
      </c>
      <c r="T11" s="551">
        <f t="shared" si="0"/>
        <v>0.68338458171937655</v>
      </c>
      <c r="U11" s="551">
        <f t="shared" si="0"/>
        <v>0.66509546775609751</v>
      </c>
      <c r="V11" s="551">
        <f t="shared" si="0"/>
        <v>0.64729581711773032</v>
      </c>
      <c r="W11" s="551">
        <f t="shared" si="0"/>
        <v>0.62997253051762192</v>
      </c>
    </row>
    <row r="12" spans="2:25" x14ac:dyDescent="0.25">
      <c r="C12" s="549" t="s">
        <v>5</v>
      </c>
      <c r="D12" s="550">
        <v>3.0155642023346418E-2</v>
      </c>
      <c r="E12" s="550">
        <f t="shared" si="1"/>
        <v>1.0301556420233464</v>
      </c>
      <c r="F12" s="550">
        <f>PRODUCT($E$8:E12)</f>
        <v>1.1399354144241123</v>
      </c>
      <c r="G12" s="551">
        <f t="shared" si="2"/>
        <v>1</v>
      </c>
      <c r="H12" s="551">
        <f t="shared" si="0"/>
        <v>0.98511627906976751</v>
      </c>
      <c r="I12" s="551">
        <f t="shared" si="0"/>
        <v>0.97513812154696156</v>
      </c>
      <c r="J12" s="551">
        <f t="shared" si="0"/>
        <v>0.95663956639566428</v>
      </c>
      <c r="K12" s="551">
        <f t="shared" si="0"/>
        <v>0.93716814159292061</v>
      </c>
      <c r="L12" s="551">
        <f t="shared" si="0"/>
        <v>0.92247386759581895</v>
      </c>
      <c r="M12" s="551">
        <f t="shared" si="0"/>
        <v>0.92569930069930084</v>
      </c>
      <c r="N12" s="551">
        <f t="shared" si="0"/>
        <v>0.89141414141414166</v>
      </c>
      <c r="O12" s="551">
        <f t="shared" si="0"/>
        <v>0.83980967486122149</v>
      </c>
      <c r="P12" s="551">
        <f t="shared" si="0"/>
        <v>0.79040910575173795</v>
      </c>
      <c r="Q12" s="551">
        <f t="shared" si="0"/>
        <v>0.7636802954123072</v>
      </c>
      <c r="R12" s="551">
        <f t="shared" si="0"/>
        <v>0.74324226340525545</v>
      </c>
      <c r="S12" s="551">
        <f t="shared" si="0"/>
        <v>0.72335120524947449</v>
      </c>
      <c r="T12" s="551">
        <f t="shared" si="0"/>
        <v>0.70399248252998037</v>
      </c>
      <c r="U12" s="551">
        <f t="shared" si="0"/>
        <v>0.68515184859310063</v>
      </c>
      <c r="V12" s="551">
        <f t="shared" si="0"/>
        <v>0.6668154380619421</v>
      </c>
      <c r="W12" s="551">
        <f t="shared" si="0"/>
        <v>0.64896975663245304</v>
      </c>
    </row>
    <row r="13" spans="2:25" x14ac:dyDescent="0.25">
      <c r="C13" s="549" t="s">
        <v>6</v>
      </c>
      <c r="D13" s="550">
        <v>1.5108593012275628E-2</v>
      </c>
      <c r="E13" s="550">
        <f t="shared" si="1"/>
        <v>1.0151085930122756</v>
      </c>
      <c r="F13" s="550">
        <f>PRODUCT($E$8:E13)</f>
        <v>1.1571582346609259</v>
      </c>
      <c r="G13" s="551">
        <f t="shared" si="2"/>
        <v>1.0151085930122756</v>
      </c>
      <c r="H13" s="551">
        <f t="shared" si="0"/>
        <v>1</v>
      </c>
      <c r="I13" s="551">
        <f t="shared" si="0"/>
        <v>0.98987108655616951</v>
      </c>
      <c r="J13" s="551">
        <f t="shared" si="0"/>
        <v>0.97109304426377618</v>
      </c>
      <c r="K13" s="551">
        <f t="shared" si="0"/>
        <v>0.95132743362831873</v>
      </c>
      <c r="L13" s="551">
        <f t="shared" si="0"/>
        <v>0.93641114982578399</v>
      </c>
      <c r="M13" s="551">
        <f t="shared" si="0"/>
        <v>0.93968531468531469</v>
      </c>
      <c r="N13" s="551">
        <f t="shared" si="0"/>
        <v>0.90488215488215507</v>
      </c>
      <c r="O13" s="551">
        <f t="shared" si="0"/>
        <v>0.85249801744647125</v>
      </c>
      <c r="P13" s="551">
        <f t="shared" si="0"/>
        <v>0.80235107524373761</v>
      </c>
      <c r="Q13" s="551">
        <f t="shared" si="0"/>
        <v>0.77521843018718617</v>
      </c>
      <c r="R13" s="551">
        <f t="shared" si="0"/>
        <v>0.75447160827256798</v>
      </c>
      <c r="S13" s="551">
        <f t="shared" si="0"/>
        <v>0.73428002421452787</v>
      </c>
      <c r="T13" s="551">
        <f t="shared" si="0"/>
        <v>0.71462881843222748</v>
      </c>
      <c r="U13" s="551">
        <f t="shared" si="0"/>
        <v>0.69550352902510204</v>
      </c>
      <c r="V13" s="551">
        <f t="shared" si="0"/>
        <v>0.67689008112992222</v>
      </c>
      <c r="W13" s="551">
        <f t="shared" si="0"/>
        <v>0.65877477656268835</v>
      </c>
    </row>
    <row r="14" spans="2:25" x14ac:dyDescent="0.25">
      <c r="C14" s="549" t="s">
        <v>7</v>
      </c>
      <c r="D14" s="550">
        <v>1.0232558139534831E-2</v>
      </c>
      <c r="E14" s="550">
        <f t="shared" si="1"/>
        <v>1.0102325581395348</v>
      </c>
      <c r="F14" s="550">
        <f>PRODUCT($E$8:E14)</f>
        <v>1.1689989235737352</v>
      </c>
      <c r="G14" s="551">
        <f t="shared" si="2"/>
        <v>1.025495750708215</v>
      </c>
      <c r="H14" s="551">
        <f t="shared" si="0"/>
        <v>1.0102325581395348</v>
      </c>
      <c r="I14" s="551">
        <f t="shared" si="0"/>
        <v>1</v>
      </c>
      <c r="J14" s="551">
        <f t="shared" si="0"/>
        <v>0.9810298102981031</v>
      </c>
      <c r="K14" s="551">
        <f t="shared" si="0"/>
        <v>0.96106194690265478</v>
      </c>
      <c r="L14" s="551">
        <f t="shared" si="0"/>
        <v>0.94599303135888491</v>
      </c>
      <c r="M14" s="551">
        <f t="shared" si="0"/>
        <v>0.94930069930069916</v>
      </c>
      <c r="N14" s="551">
        <f t="shared" si="0"/>
        <v>0.91414141414141414</v>
      </c>
      <c r="O14" s="551">
        <f t="shared" si="0"/>
        <v>0.86122125297383034</v>
      </c>
      <c r="P14" s="551">
        <f t="shared" si="0"/>
        <v>0.81056117926948745</v>
      </c>
      <c r="Q14" s="551">
        <f t="shared" si="0"/>
        <v>0.78315089784491543</v>
      </c>
      <c r="R14" s="551">
        <f t="shared" si="0"/>
        <v>0.76219178286884537</v>
      </c>
      <c r="S14" s="551">
        <f t="shared" si="0"/>
        <v>0.74179358725300193</v>
      </c>
      <c r="T14" s="551">
        <f t="shared" si="0"/>
        <v>0.72194129936502216</v>
      </c>
      <c r="U14" s="551">
        <f t="shared" si="0"/>
        <v>0.70262030932210295</v>
      </c>
      <c r="V14" s="551">
        <f t="shared" si="0"/>
        <v>0.68381639823915863</v>
      </c>
      <c r="W14" s="551">
        <f t="shared" si="0"/>
        <v>0.66551572776472501</v>
      </c>
    </row>
    <row r="15" spans="2:25" x14ac:dyDescent="0.25">
      <c r="C15" s="549" t="s">
        <v>8</v>
      </c>
      <c r="D15" s="550">
        <v>1.9337016574585641E-2</v>
      </c>
      <c r="E15" s="550">
        <f t="shared" si="1"/>
        <v>1.0193370165745856</v>
      </c>
      <c r="F15" s="550">
        <f>PRODUCT($E$8:E15)</f>
        <v>1.1916038751345532</v>
      </c>
      <c r="G15" s="551">
        <f t="shared" si="2"/>
        <v>1.0453257790368269</v>
      </c>
      <c r="H15" s="551">
        <f t="shared" si="0"/>
        <v>1.029767441860465</v>
      </c>
      <c r="I15" s="551">
        <f t="shared" si="0"/>
        <v>1.0193370165745856</v>
      </c>
      <c r="J15" s="551">
        <f t="shared" si="0"/>
        <v>1</v>
      </c>
      <c r="K15" s="551">
        <f t="shared" si="0"/>
        <v>0.97964601769911497</v>
      </c>
      <c r="L15" s="551">
        <f t="shared" si="0"/>
        <v>0.96428571428571408</v>
      </c>
      <c r="M15" s="551">
        <f t="shared" si="0"/>
        <v>0.96765734265734249</v>
      </c>
      <c r="N15" s="551">
        <f t="shared" si="0"/>
        <v>0.93181818181818177</v>
      </c>
      <c r="O15" s="551">
        <f t="shared" si="0"/>
        <v>0.87787470261697065</v>
      </c>
      <c r="P15" s="551">
        <f t="shared" si="0"/>
        <v>0.82623501422773704</v>
      </c>
      <c r="Q15" s="551">
        <f t="shared" si="0"/>
        <v>0.79829469973694411</v>
      </c>
      <c r="R15" s="551">
        <f t="shared" si="0"/>
        <v>0.77693029800719315</v>
      </c>
      <c r="S15" s="551">
        <f t="shared" si="0"/>
        <v>0.75613766214463451</v>
      </c>
      <c r="T15" s="551">
        <f t="shared" si="0"/>
        <v>0.73590149023672147</v>
      </c>
      <c r="U15" s="551">
        <f t="shared" si="0"/>
        <v>0.71620688988910486</v>
      </c>
      <c r="V15" s="551">
        <f t="shared" si="0"/>
        <v>0.69703936726588256</v>
      </c>
      <c r="W15" s="551">
        <f t="shared" si="0"/>
        <v>0.67838481642315884</v>
      </c>
    </row>
    <row r="16" spans="2:25" x14ac:dyDescent="0.25">
      <c r="C16" s="549" t="s">
        <v>9</v>
      </c>
      <c r="D16" s="550">
        <v>2.0776874435411097E-2</v>
      </c>
      <c r="E16" s="550">
        <f t="shared" si="1"/>
        <v>1.0207768744354111</v>
      </c>
      <c r="F16" s="550">
        <f>PRODUCT($E$8:E16)</f>
        <v>1.2163616792249732</v>
      </c>
      <c r="G16" s="551">
        <f t="shared" si="2"/>
        <v>1.0670443814919732</v>
      </c>
      <c r="H16" s="551">
        <f t="shared" si="0"/>
        <v>1.0511627906976744</v>
      </c>
      <c r="I16" s="551">
        <f t="shared" si="0"/>
        <v>1.0405156537753224</v>
      </c>
      <c r="J16" s="551">
        <f t="shared" si="0"/>
        <v>1.0207768744354111</v>
      </c>
      <c r="K16" s="551">
        <f t="shared" si="0"/>
        <v>1</v>
      </c>
      <c r="L16" s="551">
        <f t="shared" si="0"/>
        <v>0.98432055749128911</v>
      </c>
      <c r="M16" s="551">
        <f t="shared" si="0"/>
        <v>0.9877622377622377</v>
      </c>
      <c r="N16" s="551">
        <f t="shared" si="0"/>
        <v>0.95117845117845123</v>
      </c>
      <c r="O16" s="551">
        <f t="shared" si="0"/>
        <v>0.89611419508326728</v>
      </c>
      <c r="P16" s="551">
        <f t="shared" si="0"/>
        <v>0.84340159537248693</v>
      </c>
      <c r="Q16" s="551">
        <f t="shared" si="0"/>
        <v>0.8148807684758328</v>
      </c>
      <c r="R16" s="551">
        <f t="shared" si="0"/>
        <v>0.79307248125395513</v>
      </c>
      <c r="S16" s="551">
        <f t="shared" si="0"/>
        <v>0.77184783940689894</v>
      </c>
      <c r="T16" s="551">
        <f t="shared" si="0"/>
        <v>0.75119122309620179</v>
      </c>
      <c r="U16" s="551">
        <f t="shared" si="0"/>
        <v>0.73108743051010716</v>
      </c>
      <c r="V16" s="551">
        <f t="shared" si="0"/>
        <v>0.71152166667610428</v>
      </c>
      <c r="W16" s="551">
        <f t="shared" si="0"/>
        <v>0.69247953257287231</v>
      </c>
    </row>
    <row r="17" spans="3:23" x14ac:dyDescent="0.25">
      <c r="C17" s="549" t="s">
        <v>10</v>
      </c>
      <c r="D17" s="550">
        <v>1.5929203539823078E-2</v>
      </c>
      <c r="E17" s="550">
        <f t="shared" si="1"/>
        <v>1.0159292035398231</v>
      </c>
      <c r="F17" s="550">
        <f>PRODUCT($E$8:E17)</f>
        <v>1.2357373519913888</v>
      </c>
      <c r="G17" s="551">
        <f t="shared" si="2"/>
        <v>1.0840415486307837</v>
      </c>
      <c r="H17" s="551">
        <f t="shared" si="0"/>
        <v>1.067906976744186</v>
      </c>
      <c r="I17" s="551">
        <f t="shared" si="0"/>
        <v>1.0570902394106816</v>
      </c>
      <c r="J17" s="551">
        <f t="shared" si="0"/>
        <v>1.0370370370370372</v>
      </c>
      <c r="K17" s="551">
        <f t="shared" si="0"/>
        <v>1.0159292035398231</v>
      </c>
      <c r="L17" s="551">
        <f t="shared" si="0"/>
        <v>1</v>
      </c>
      <c r="M17" s="551">
        <f t="shared" si="0"/>
        <v>1.0034965034965035</v>
      </c>
      <c r="N17" s="551">
        <f t="shared" si="0"/>
        <v>0.96632996632996648</v>
      </c>
      <c r="O17" s="551">
        <f t="shared" si="0"/>
        <v>0.91038858049167348</v>
      </c>
      <c r="P17" s="551">
        <f t="shared" si="0"/>
        <v>0.85683631105098679</v>
      </c>
      <c r="Q17" s="551">
        <f t="shared" si="0"/>
        <v>0.82786117009757176</v>
      </c>
      <c r="R17" s="551">
        <f t="shared" si="0"/>
        <v>0.80570549422968196</v>
      </c>
      <c r="S17" s="551">
        <f t="shared" si="0"/>
        <v>0.78414276074258416</v>
      </c>
      <c r="T17" s="551">
        <f t="shared" si="0"/>
        <v>0.7631571009862298</v>
      </c>
      <c r="U17" s="551">
        <f t="shared" si="0"/>
        <v>0.74273307099610897</v>
      </c>
      <c r="V17" s="551">
        <f t="shared" si="0"/>
        <v>0.72285564012758208</v>
      </c>
      <c r="W17" s="551">
        <f t="shared" si="0"/>
        <v>0.70351017999438714</v>
      </c>
    </row>
    <row r="18" spans="3:23" x14ac:dyDescent="0.25">
      <c r="C18" s="549" t="s">
        <v>11</v>
      </c>
      <c r="D18" s="550">
        <v>-3.4843205574912606E-3</v>
      </c>
      <c r="E18" s="550">
        <f t="shared" si="1"/>
        <v>0.99651567944250874</v>
      </c>
      <c r="F18" s="550">
        <f>PRODUCT($E$8:E18)</f>
        <v>1.2314316469321853</v>
      </c>
      <c r="G18" s="551">
        <f t="shared" si="2"/>
        <v>1.0802644003777147</v>
      </c>
      <c r="H18" s="551">
        <f t="shared" si="0"/>
        <v>1.064186046511628</v>
      </c>
      <c r="I18" s="551">
        <f t="shared" si="0"/>
        <v>1.0534069981583796</v>
      </c>
      <c r="J18" s="551">
        <f t="shared" si="0"/>
        <v>1.0334236675700093</v>
      </c>
      <c r="K18" s="551">
        <f t="shared" si="0"/>
        <v>1.0123893805309736</v>
      </c>
      <c r="L18" s="551">
        <f t="shared" si="0"/>
        <v>0.99651567944250874</v>
      </c>
      <c r="M18" s="551">
        <f t="shared" si="0"/>
        <v>1</v>
      </c>
      <c r="N18" s="551">
        <f t="shared" si="0"/>
        <v>0.96296296296296313</v>
      </c>
      <c r="O18" s="551">
        <f t="shared" si="0"/>
        <v>0.90721649484536093</v>
      </c>
      <c r="P18" s="551">
        <f t="shared" si="0"/>
        <v>0.85385081867798684</v>
      </c>
      <c r="Q18" s="551">
        <f t="shared" si="0"/>
        <v>0.82497663640385199</v>
      </c>
      <c r="R18" s="551">
        <f t="shared" si="0"/>
        <v>0.8028981580128538</v>
      </c>
      <c r="S18" s="551">
        <f t="shared" si="0"/>
        <v>0.78141055600132081</v>
      </c>
      <c r="T18" s="551">
        <f t="shared" si="0"/>
        <v>0.76049801701066799</v>
      </c>
      <c r="U18" s="551">
        <f t="shared" si="0"/>
        <v>0.74014515088810851</v>
      </c>
      <c r="V18" s="551">
        <f t="shared" si="0"/>
        <v>0.72033697936058705</v>
      </c>
      <c r="W18" s="551">
        <f t="shared" si="0"/>
        <v>0.7010589250118282</v>
      </c>
    </row>
    <row r="19" spans="3:23" x14ac:dyDescent="0.25">
      <c r="C19" s="549" t="s">
        <v>12</v>
      </c>
      <c r="D19" s="550">
        <v>3.8461538461538325E-2</v>
      </c>
      <c r="E19" s="550">
        <f t="shared" si="1"/>
        <v>1.0384615384615383</v>
      </c>
      <c r="F19" s="550">
        <f>PRODUCT($E$8:E19)</f>
        <v>1.278794402583423</v>
      </c>
      <c r="G19" s="551">
        <f t="shared" si="2"/>
        <v>1.1218130311614727</v>
      </c>
      <c r="H19" s="551">
        <f t="shared" si="0"/>
        <v>1.1051162790697673</v>
      </c>
      <c r="I19" s="551">
        <f t="shared" si="0"/>
        <v>1.0939226519337015</v>
      </c>
      <c r="J19" s="551">
        <f t="shared" si="0"/>
        <v>1.0731707317073171</v>
      </c>
      <c r="K19" s="551">
        <f t="shared" si="0"/>
        <v>1.0513274336283185</v>
      </c>
      <c r="L19" s="551">
        <f t="shared" si="0"/>
        <v>1.0348432055749128</v>
      </c>
      <c r="M19" s="551">
        <f t="shared" si="0"/>
        <v>1.0384615384615383</v>
      </c>
      <c r="N19" s="551">
        <f t="shared" si="0"/>
        <v>1</v>
      </c>
      <c r="O19" s="551">
        <f t="shared" si="0"/>
        <v>0.94210943695479776</v>
      </c>
      <c r="P19" s="551">
        <f t="shared" si="0"/>
        <v>0.88669123478098621</v>
      </c>
      <c r="Q19" s="551">
        <f t="shared" si="0"/>
        <v>0.85670650703476925</v>
      </c>
      <c r="R19" s="551">
        <f t="shared" si="0"/>
        <v>0.83377885639796334</v>
      </c>
      <c r="S19" s="551">
        <f t="shared" si="0"/>
        <v>0.8114648081552176</v>
      </c>
      <c r="T19" s="551">
        <f t="shared" si="0"/>
        <v>0.78974794074184751</v>
      </c>
      <c r="U19" s="551">
        <f t="shared" si="0"/>
        <v>0.7686122720761126</v>
      </c>
      <c r="V19" s="551">
        <f t="shared" si="0"/>
        <v>0.74804224779753259</v>
      </c>
      <c r="W19" s="551">
        <f t="shared" si="0"/>
        <v>0.7280227298199754</v>
      </c>
    </row>
    <row r="20" spans="3:23" x14ac:dyDescent="0.25">
      <c r="C20" s="549" t="s">
        <v>13</v>
      </c>
      <c r="D20" s="550">
        <v>6.1447811447811418E-2</v>
      </c>
      <c r="E20" s="550">
        <f t="shared" si="1"/>
        <v>1.0614478114478114</v>
      </c>
      <c r="F20" s="550">
        <f>PRODUCT($E$8:E20)</f>
        <v>1.3573735199138859</v>
      </c>
      <c r="G20" s="551">
        <f t="shared" si="2"/>
        <v>1.1907459867799808</v>
      </c>
      <c r="H20" s="551">
        <f t="shared" si="0"/>
        <v>1.1730232558139533</v>
      </c>
      <c r="I20" s="551">
        <f t="shared" si="0"/>
        <v>1.1611418047882136</v>
      </c>
      <c r="J20" s="551">
        <f t="shared" si="0"/>
        <v>1.1391147244805782</v>
      </c>
      <c r="K20" s="551">
        <f t="shared" si="0"/>
        <v>1.1159292035398229</v>
      </c>
      <c r="L20" s="551">
        <f t="shared" si="0"/>
        <v>1.0984320557491287</v>
      </c>
      <c r="M20" s="551">
        <f t="shared" si="0"/>
        <v>1.1022727272727271</v>
      </c>
      <c r="N20" s="551">
        <f t="shared" si="0"/>
        <v>1.0614478114478114</v>
      </c>
      <c r="O20" s="551">
        <f t="shared" si="0"/>
        <v>1</v>
      </c>
      <c r="P20" s="551">
        <f t="shared" si="0"/>
        <v>0.94117647058823528</v>
      </c>
      <c r="Q20" s="551">
        <f t="shared" si="0"/>
        <v>0.90934924694515495</v>
      </c>
      <c r="R20" s="551">
        <f t="shared" si="0"/>
        <v>0.88501274235507732</v>
      </c>
      <c r="S20" s="551">
        <f t="shared" si="0"/>
        <v>0.86132754468327388</v>
      </c>
      <c r="T20" s="551">
        <f t="shared" si="0"/>
        <v>0.83827622329584983</v>
      </c>
      <c r="U20" s="551">
        <f t="shared" si="0"/>
        <v>0.81584181404711953</v>
      </c>
      <c r="V20" s="551">
        <f t="shared" si="0"/>
        <v>0.79400780679519234</v>
      </c>
      <c r="W20" s="551">
        <f t="shared" si="0"/>
        <v>0.7727581332516742</v>
      </c>
    </row>
    <row r="21" spans="3:23" x14ac:dyDescent="0.25">
      <c r="C21" s="549" t="s">
        <v>14</v>
      </c>
      <c r="D21" s="550">
        <v>6.25E-2</v>
      </c>
      <c r="E21" s="550">
        <f t="shared" si="1"/>
        <v>1.0625</v>
      </c>
      <c r="F21" s="550">
        <f>PRODUCT($E$8:E21)</f>
        <v>1.4422093649085037</v>
      </c>
      <c r="G21" s="551">
        <f t="shared" si="2"/>
        <v>1.2651676109537295</v>
      </c>
      <c r="H21" s="551">
        <f t="shared" si="0"/>
        <v>1.2463372093023253</v>
      </c>
      <c r="I21" s="551">
        <f t="shared" si="0"/>
        <v>1.2337131675874768</v>
      </c>
      <c r="J21" s="551">
        <f t="shared" si="0"/>
        <v>1.2103093947606143</v>
      </c>
      <c r="K21" s="551">
        <f t="shared" si="0"/>
        <v>1.1856747787610618</v>
      </c>
      <c r="L21" s="551">
        <f t="shared" si="0"/>
        <v>1.1670840592334493</v>
      </c>
      <c r="M21" s="551">
        <f t="shared" si="0"/>
        <v>1.1711647727272725</v>
      </c>
      <c r="N21" s="551">
        <f t="shared" si="0"/>
        <v>1.1277882996632995</v>
      </c>
      <c r="O21" s="551">
        <f t="shared" si="0"/>
        <v>1.0625</v>
      </c>
      <c r="P21" s="551">
        <f t="shared" si="0"/>
        <v>1</v>
      </c>
      <c r="Q21" s="551">
        <f t="shared" si="0"/>
        <v>0.96618357487922713</v>
      </c>
      <c r="R21" s="551">
        <f t="shared" si="0"/>
        <v>0.94032603875226961</v>
      </c>
      <c r="S21" s="551">
        <f t="shared" si="0"/>
        <v>0.91516051622597849</v>
      </c>
      <c r="T21" s="551">
        <f t="shared" si="0"/>
        <v>0.89066848725184045</v>
      </c>
      <c r="U21" s="551">
        <f t="shared" si="0"/>
        <v>0.86683192742506443</v>
      </c>
      <c r="V21" s="551">
        <f t="shared" si="0"/>
        <v>0.8436332947198919</v>
      </c>
      <c r="W21" s="551">
        <f t="shared" si="0"/>
        <v>0.82105551657990383</v>
      </c>
    </row>
    <row r="22" spans="3:23" x14ac:dyDescent="0.25">
      <c r="C22" s="549" t="s">
        <v>15</v>
      </c>
      <c r="D22" s="550">
        <v>3.5000000000000003E-2</v>
      </c>
      <c r="E22" s="550">
        <f t="shared" si="1"/>
        <v>1.0349999999999999</v>
      </c>
      <c r="F22" s="550">
        <f>PRODUCT($E$8:E22)</f>
        <v>1.4926866926803013</v>
      </c>
      <c r="G22" s="551">
        <f t="shared" si="2"/>
        <v>1.30944847733711</v>
      </c>
      <c r="H22" s="551">
        <f t="shared" si="0"/>
        <v>1.2899590116279067</v>
      </c>
      <c r="I22" s="551">
        <f t="shared" si="0"/>
        <v>1.2768931284530385</v>
      </c>
      <c r="J22" s="551">
        <f t="shared" si="0"/>
        <v>1.2526702235772358</v>
      </c>
      <c r="K22" s="551">
        <f t="shared" si="0"/>
        <v>1.2271733960176989</v>
      </c>
      <c r="L22" s="551">
        <f t="shared" si="0"/>
        <v>1.2079320013066199</v>
      </c>
      <c r="M22" s="551">
        <f t="shared" si="0"/>
        <v>1.2121555397727271</v>
      </c>
      <c r="N22" s="551">
        <f t="shared" si="0"/>
        <v>1.1672608901515151</v>
      </c>
      <c r="O22" s="551">
        <f t="shared" si="0"/>
        <v>1.0996874999999999</v>
      </c>
      <c r="P22" s="551">
        <f t="shared" si="0"/>
        <v>1.0349999999999999</v>
      </c>
      <c r="Q22" s="551">
        <f t="shared" si="0"/>
        <v>1</v>
      </c>
      <c r="R22" s="551">
        <f t="shared" si="0"/>
        <v>0.97323745010859897</v>
      </c>
      <c r="S22" s="551">
        <f t="shared" si="0"/>
        <v>0.94719113429388768</v>
      </c>
      <c r="T22" s="551">
        <f t="shared" si="0"/>
        <v>0.92184188430565484</v>
      </c>
      <c r="U22" s="551">
        <f t="shared" si="0"/>
        <v>0.8971710448849417</v>
      </c>
      <c r="V22" s="551">
        <f t="shared" si="0"/>
        <v>0.87316046003508807</v>
      </c>
      <c r="W22" s="551">
        <f t="shared" si="0"/>
        <v>0.84979245966020045</v>
      </c>
    </row>
    <row r="23" spans="3:23" x14ac:dyDescent="0.25">
      <c r="C23" s="549" t="s">
        <v>280</v>
      </c>
      <c r="D23" s="550">
        <v>2.7498479316033997E-2</v>
      </c>
      <c r="E23" s="550">
        <f t="shared" si="1"/>
        <v>1.027498479316034</v>
      </c>
      <c r="F23" s="550">
        <f>PRODUCT($E$8:E23)</f>
        <v>1.5337333068242898</v>
      </c>
      <c r="G23" s="551">
        <f t="shared" si="2"/>
        <v>1.3454563192065767</v>
      </c>
      <c r="H23" s="551">
        <f t="shared" si="0"/>
        <v>1.3254309228276884</v>
      </c>
      <c r="I23" s="551">
        <f t="shared" si="0"/>
        <v>1.3120057477345903</v>
      </c>
      <c r="J23" s="551">
        <f t="shared" si="0"/>
        <v>1.2871167498100859</v>
      </c>
      <c r="K23" s="551">
        <f t="shared" si="0"/>
        <v>1.2609187982652788</v>
      </c>
      <c r="L23" s="551">
        <f t="shared" si="0"/>
        <v>1.2411482944597256</v>
      </c>
      <c r="M23" s="551">
        <f t="shared" si="0"/>
        <v>1.2454879738109834</v>
      </c>
      <c r="N23" s="551">
        <f t="shared" si="0"/>
        <v>1.199358789595762</v>
      </c>
      <c r="O23" s="551">
        <f t="shared" si="0"/>
        <v>1.129927233972851</v>
      </c>
      <c r="P23" s="847">
        <f t="shared" si="0"/>
        <v>1.0634609260920951</v>
      </c>
      <c r="Q23" s="551">
        <f t="shared" si="0"/>
        <v>1.027498479316034</v>
      </c>
      <c r="R23" s="551">
        <f t="shared" si="0"/>
        <v>1</v>
      </c>
      <c r="S23" s="551">
        <f t="shared" si="0"/>
        <v>0.97323745010859897</v>
      </c>
      <c r="T23" s="551">
        <f t="shared" si="0"/>
        <v>0.94719113429388768</v>
      </c>
      <c r="U23" s="551">
        <f t="shared" si="0"/>
        <v>0.92184188430565484</v>
      </c>
      <c r="V23" s="551">
        <f t="shared" si="0"/>
        <v>0.8971710448849417</v>
      </c>
      <c r="W23" s="551">
        <f t="shared" si="0"/>
        <v>0.87316046003508807</v>
      </c>
    </row>
    <row r="24" spans="3:23" x14ac:dyDescent="0.25">
      <c r="C24" s="549" t="s">
        <v>422</v>
      </c>
      <c r="D24" s="550">
        <v>2.7498479316033997E-2</v>
      </c>
      <c r="E24" s="550">
        <f t="shared" si="1"/>
        <v>1.027498479316034</v>
      </c>
      <c r="F24" s="550">
        <f>PRODUCT($E$8:E24)</f>
        <v>1.57590864043831</v>
      </c>
      <c r="G24" s="551">
        <f t="shared" si="2"/>
        <v>1.3824543219709062</v>
      </c>
      <c r="H24" s="551">
        <f t="shared" ref="H24:W28" si="3">$F24/VLOOKUP(H$7,$C$8:$F$28,4,0)</f>
        <v>1.3618782576438975</v>
      </c>
      <c r="I24" s="551">
        <f t="shared" si="3"/>
        <v>1.3480839106511877</v>
      </c>
      <c r="J24" s="551">
        <f t="shared" si="3"/>
        <v>1.3225105031320596</v>
      </c>
      <c r="K24" s="551">
        <f t="shared" si="3"/>
        <v>1.2955921477585752</v>
      </c>
      <c r="L24" s="551">
        <f t="shared" si="3"/>
        <v>1.2752779851630573</v>
      </c>
      <c r="M24" s="551">
        <f t="shared" si="3"/>
        <v>1.2797369990971939</v>
      </c>
      <c r="N24" s="551">
        <f t="shared" si="3"/>
        <v>1.2323393324639647</v>
      </c>
      <c r="O24" s="551">
        <f t="shared" si="3"/>
        <v>1.1609985146448771</v>
      </c>
      <c r="P24" s="551">
        <f t="shared" si="3"/>
        <v>1.0927044843716491</v>
      </c>
      <c r="Q24" s="551">
        <f t="shared" si="3"/>
        <v>1.0557531249967624</v>
      </c>
      <c r="R24" s="551">
        <f t="shared" si="3"/>
        <v>1.027498479316034</v>
      </c>
      <c r="S24" s="551">
        <f t="shared" si="3"/>
        <v>1</v>
      </c>
      <c r="T24" s="551">
        <f t="shared" si="3"/>
        <v>0.97323745010859908</v>
      </c>
      <c r="U24" s="551">
        <f t="shared" si="3"/>
        <v>0.94719113429388779</v>
      </c>
      <c r="V24" s="551">
        <f t="shared" si="3"/>
        <v>0.92184188430565495</v>
      </c>
      <c r="W24" s="551">
        <f t="shared" si="3"/>
        <v>0.89717104488494182</v>
      </c>
    </row>
    <row r="25" spans="3:23" x14ac:dyDescent="0.25">
      <c r="C25" s="549" t="s">
        <v>423</v>
      </c>
      <c r="D25" s="550">
        <v>2.7498479316033997E-2</v>
      </c>
      <c r="E25" s="550">
        <f t="shared" si="1"/>
        <v>1.027498479316034</v>
      </c>
      <c r="F25" s="550">
        <f>PRODUCT($E$8:E25)</f>
        <v>1.6192437315913621</v>
      </c>
      <c r="G25" s="551">
        <f t="shared" si="2"/>
        <v>1.420469713548985</v>
      </c>
      <c r="H25" s="551">
        <f t="shared" si="3"/>
        <v>1.3993278387426746</v>
      </c>
      <c r="I25" s="551">
        <f t="shared" si="3"/>
        <v>1.3851541681845077</v>
      </c>
      <c r="J25" s="551">
        <f t="shared" si="3"/>
        <v>1.3588775308476744</v>
      </c>
      <c r="K25" s="551">
        <f t="shared" si="3"/>
        <v>1.3312189616357304</v>
      </c>
      <c r="L25" s="551">
        <f t="shared" si="3"/>
        <v>1.3103461904602571</v>
      </c>
      <c r="M25" s="551">
        <f t="shared" si="3"/>
        <v>1.3149278204968315</v>
      </c>
      <c r="N25" s="551">
        <f t="shared" si="3"/>
        <v>1.2662267901080602</v>
      </c>
      <c r="O25" s="551">
        <f t="shared" si="3"/>
        <v>1.1929242082857854</v>
      </c>
      <c r="P25" s="551">
        <f t="shared" si="3"/>
        <v>1.1227521960336804</v>
      </c>
      <c r="Q25" s="551">
        <f t="shared" si="3"/>
        <v>1.0847847304673242</v>
      </c>
      <c r="R25" s="551">
        <f t="shared" si="3"/>
        <v>1.0557531249967624</v>
      </c>
      <c r="S25" s="551">
        <f t="shared" si="3"/>
        <v>1.027498479316034</v>
      </c>
      <c r="T25" s="551">
        <f t="shared" si="3"/>
        <v>1</v>
      </c>
      <c r="U25" s="551">
        <f t="shared" si="3"/>
        <v>0.97323745010859908</v>
      </c>
      <c r="V25" s="551">
        <f t="shared" si="3"/>
        <v>0.94719113429388779</v>
      </c>
      <c r="W25" s="551">
        <f t="shared" si="3"/>
        <v>0.92184188430565495</v>
      </c>
    </row>
    <row r="26" spans="3:23" x14ac:dyDescent="0.25">
      <c r="C26" s="549" t="s">
        <v>424</v>
      </c>
      <c r="D26" s="550">
        <v>2.7498479316033997E-2</v>
      </c>
      <c r="E26" s="550">
        <f t="shared" si="1"/>
        <v>1.027498479316034</v>
      </c>
      <c r="F26" s="550">
        <f>PRODUCT($E$8:E26)</f>
        <v>1.6637704718521449</v>
      </c>
      <c r="G26" s="551">
        <f t="shared" si="2"/>
        <v>1.4595304705860643</v>
      </c>
      <c r="H26" s="551">
        <f t="shared" si="3"/>
        <v>1.4378072263726904</v>
      </c>
      <c r="I26" s="551">
        <f t="shared" si="3"/>
        <v>1.4232438014278477</v>
      </c>
      <c r="J26" s="551">
        <f t="shared" si="3"/>
        <v>1.3962445965227124</v>
      </c>
      <c r="K26" s="551">
        <f t="shared" si="3"/>
        <v>1.3678254587173828</v>
      </c>
      <c r="L26" s="551">
        <f t="shared" si="3"/>
        <v>1.3463787180754725</v>
      </c>
      <c r="M26" s="551">
        <f t="shared" si="3"/>
        <v>1.3510863359708412</v>
      </c>
      <c r="N26" s="551">
        <f t="shared" si="3"/>
        <v>1.3010461013052548</v>
      </c>
      <c r="O26" s="551">
        <f t="shared" si="3"/>
        <v>1.2257278099529283</v>
      </c>
      <c r="P26" s="551">
        <f t="shared" si="3"/>
        <v>1.1536261740733444</v>
      </c>
      <c r="Q26" s="551">
        <f t="shared" si="3"/>
        <v>1.1146146609404293</v>
      </c>
      <c r="R26" s="551">
        <f t="shared" si="3"/>
        <v>1.0847847304673242</v>
      </c>
      <c r="S26" s="551">
        <f t="shared" si="3"/>
        <v>1.0557531249967622</v>
      </c>
      <c r="T26" s="551">
        <f t="shared" si="3"/>
        <v>1.027498479316034</v>
      </c>
      <c r="U26" s="551">
        <f t="shared" si="3"/>
        <v>1</v>
      </c>
      <c r="V26" s="551">
        <f t="shared" si="3"/>
        <v>0.97323745010859897</v>
      </c>
      <c r="W26" s="551">
        <f t="shared" si="3"/>
        <v>0.94719113429388779</v>
      </c>
    </row>
    <row r="27" spans="3:23" x14ac:dyDescent="0.25">
      <c r="C27" s="549" t="s">
        <v>425</v>
      </c>
      <c r="D27" s="550">
        <v>2.7498479316033997E-2</v>
      </c>
      <c r="E27" s="550">
        <f t="shared" si="1"/>
        <v>1.027498479316034</v>
      </c>
      <c r="F27" s="550">
        <f>PRODUCT($E$8:E27)</f>
        <v>1.7095216297589992</v>
      </c>
      <c r="G27" s="551">
        <f t="shared" si="2"/>
        <v>1.4996653390425967</v>
      </c>
      <c r="H27" s="551">
        <f t="shared" si="3"/>
        <v>1.4773447386475442</v>
      </c>
      <c r="I27" s="551">
        <f t="shared" si="3"/>
        <v>1.462380841663085</v>
      </c>
      <c r="J27" s="551">
        <f t="shared" si="3"/>
        <v>1.4346391996803165</v>
      </c>
      <c r="K27" s="551">
        <f t="shared" si="3"/>
        <v>1.4054385788018675</v>
      </c>
      <c r="L27" s="551">
        <f t="shared" si="3"/>
        <v>1.3834020854060192</v>
      </c>
      <c r="M27" s="551">
        <f t="shared" si="3"/>
        <v>1.3882391556347116</v>
      </c>
      <c r="N27" s="551">
        <f t="shared" si="3"/>
        <v>1.3368228906112039</v>
      </c>
      <c r="O27" s="551">
        <f t="shared" si="3"/>
        <v>1.2594334607820066</v>
      </c>
      <c r="P27" s="551">
        <f t="shared" si="3"/>
        <v>1.1853491395595357</v>
      </c>
      <c r="Q27" s="551">
        <f t="shared" si="3"/>
        <v>1.1452648691396481</v>
      </c>
      <c r="R27" s="551">
        <f t="shared" si="3"/>
        <v>1.1146146609404293</v>
      </c>
      <c r="S27" s="551">
        <f t="shared" si="3"/>
        <v>1.0847847304673242</v>
      </c>
      <c r="T27" s="551">
        <f t="shared" si="3"/>
        <v>1.0557531249967624</v>
      </c>
      <c r="U27" s="551">
        <f t="shared" si="3"/>
        <v>1.027498479316034</v>
      </c>
      <c r="V27" s="551">
        <f t="shared" si="3"/>
        <v>1</v>
      </c>
      <c r="W27" s="551">
        <f t="shared" si="3"/>
        <v>0.97323745010859908</v>
      </c>
    </row>
    <row r="28" spans="3:23" x14ac:dyDescent="0.25">
      <c r="C28" s="549" t="s">
        <v>426</v>
      </c>
      <c r="D28" s="550">
        <v>2.7498479316033997E-2</v>
      </c>
      <c r="E28" s="550">
        <f t="shared" si="1"/>
        <v>1.027498479316034</v>
      </c>
      <c r="F28" s="550">
        <f>PRODUCT($E$8:E28)</f>
        <v>1.7565308749352397</v>
      </c>
      <c r="G28" s="551">
        <f t="shared" si="2"/>
        <v>1.5409038553492325</v>
      </c>
      <c r="H28" s="551">
        <f t="shared" si="3"/>
        <v>1.5179694723858952</v>
      </c>
      <c r="I28" s="551">
        <f t="shared" si="3"/>
        <v>1.5025940909897215</v>
      </c>
      <c r="J28" s="551">
        <f t="shared" si="3"/>
        <v>1.4740895960386973</v>
      </c>
      <c r="K28" s="551">
        <f t="shared" si="3"/>
        <v>1.4440860024910067</v>
      </c>
      <c r="L28" s="551">
        <f t="shared" si="3"/>
        <v>1.4214435390373148</v>
      </c>
      <c r="M28" s="551">
        <f t="shared" si="3"/>
        <v>1.4264136213416412</v>
      </c>
      <c r="N28" s="551">
        <f t="shared" si="3"/>
        <v>1.3735834872178769</v>
      </c>
      <c r="O28" s="551">
        <f t="shared" si="3"/>
        <v>1.2940659657532416</v>
      </c>
      <c r="P28" s="551">
        <f t="shared" si="3"/>
        <v>1.2179444383559921</v>
      </c>
      <c r="Q28" s="551">
        <f t="shared" si="3"/>
        <v>1.176757911455065</v>
      </c>
      <c r="R28" s="551">
        <f t="shared" si="3"/>
        <v>1.1452648691396479</v>
      </c>
      <c r="S28" s="551">
        <f t="shared" si="3"/>
        <v>1.1146146609404293</v>
      </c>
      <c r="T28" s="551">
        <f t="shared" si="3"/>
        <v>1.0847847304673239</v>
      </c>
      <c r="U28" s="551">
        <f t="shared" si="3"/>
        <v>1.0557531249967622</v>
      </c>
      <c r="V28" s="551">
        <f t="shared" si="3"/>
        <v>1.027498479316034</v>
      </c>
      <c r="W28" s="551">
        <f t="shared" si="3"/>
        <v>1</v>
      </c>
    </row>
    <row r="31" spans="3:23" ht="39" x14ac:dyDescent="0.25">
      <c r="C31" s="549"/>
      <c r="D31" s="548" t="s">
        <v>581</v>
      </c>
      <c r="E31" s="548" t="s">
        <v>581</v>
      </c>
      <c r="G31" s="549" t="s">
        <v>5</v>
      </c>
      <c r="H31" s="549" t="s">
        <v>6</v>
      </c>
      <c r="I31" s="549" t="s">
        <v>7</v>
      </c>
      <c r="J31" s="549" t="s">
        <v>8</v>
      </c>
      <c r="K31" s="549" t="s">
        <v>9</v>
      </c>
      <c r="L31" s="549" t="s">
        <v>10</v>
      </c>
      <c r="M31" s="549" t="s">
        <v>11</v>
      </c>
      <c r="N31" s="549" t="s">
        <v>12</v>
      </c>
      <c r="O31" s="549" t="s">
        <v>13</v>
      </c>
      <c r="P31" s="549" t="s">
        <v>14</v>
      </c>
      <c r="Q31" s="549" t="s">
        <v>15</v>
      </c>
      <c r="R31" s="549" t="s">
        <v>280</v>
      </c>
      <c r="S31" s="549" t="s">
        <v>422</v>
      </c>
      <c r="T31" s="549" t="s">
        <v>423</v>
      </c>
      <c r="U31" s="549" t="s">
        <v>424</v>
      </c>
      <c r="V31" s="549" t="s">
        <v>425</v>
      </c>
      <c r="W31" s="549" t="s">
        <v>426</v>
      </c>
    </row>
    <row r="32" spans="3:23" x14ac:dyDescent="0.25">
      <c r="C32" s="549" t="s">
        <v>1</v>
      </c>
      <c r="D32" s="550">
        <f t="array" ref="D32:D52">TRANSPOSE(D3:X3)</f>
        <v>3.1216361679224924E-2</v>
      </c>
      <c r="E32" s="550">
        <f>D32+1</f>
        <v>1.0312163616792249</v>
      </c>
      <c r="F32" s="550">
        <f>PRODUCT($E$32:E32)</f>
        <v>1.0312163616792249</v>
      </c>
      <c r="G32" s="551">
        <f>1/($F32/VLOOKUP(G$31,$C$32:$F$52,4,0))</f>
        <v>1.1054279749478082</v>
      </c>
      <c r="H32" s="551">
        <f t="shared" ref="H32:W47" si="4">1/($F32/VLOOKUP(H$31,$C$32:$F$52,4,0))</f>
        <v>1.1221294363256786</v>
      </c>
      <c r="I32" s="551">
        <f t="shared" si="4"/>
        <v>1.1336116910229646</v>
      </c>
      <c r="J32" s="551">
        <f t="shared" si="4"/>
        <v>1.1555323590814197</v>
      </c>
      <c r="K32" s="551">
        <f t="shared" si="4"/>
        <v>1.1795407098121087</v>
      </c>
      <c r="L32" s="551">
        <f t="shared" si="4"/>
        <v>1.1983298538622131</v>
      </c>
      <c r="M32" s="551">
        <f t="shared" si="4"/>
        <v>1.1941544885177455</v>
      </c>
      <c r="N32" s="551">
        <f t="shared" si="4"/>
        <v>1.2400835073068894</v>
      </c>
      <c r="O32" s="551">
        <f t="shared" si="4"/>
        <v>1.3162839248434239</v>
      </c>
      <c r="P32" s="551">
        <f t="shared" si="4"/>
        <v>1.3985516701461378</v>
      </c>
      <c r="Q32" s="551">
        <f t="shared" si="4"/>
        <v>1.4475009786012525</v>
      </c>
      <c r="R32" s="551">
        <f t="shared" si="4"/>
        <v>1.487305054321258</v>
      </c>
      <c r="S32" s="551">
        <f t="shared" si="4"/>
        <v>1.528203681594144</v>
      </c>
      <c r="T32" s="551">
        <f t="shared" si="4"/>
        <v>1.5702269589231477</v>
      </c>
      <c r="U32" s="551">
        <f t="shared" si="4"/>
        <v>1.6134058124745747</v>
      </c>
      <c r="V32" s="551">
        <f t="shared" si="4"/>
        <v>1.657772018837276</v>
      </c>
      <c r="W32" s="551">
        <f t="shared" si="4"/>
        <v>1.7033582284079725</v>
      </c>
    </row>
    <row r="33" spans="3:23" x14ac:dyDescent="0.25">
      <c r="C33" s="549" t="s">
        <v>2</v>
      </c>
      <c r="D33" s="550">
        <v>3.5490605427975108E-2</v>
      </c>
      <c r="E33" s="550">
        <f t="shared" ref="E33:E52" si="5">D33+1</f>
        <v>1.0354906054279751</v>
      </c>
      <c r="F33" s="550">
        <f>PRODUCT($E$32:E33)</f>
        <v>1.0678148546824544</v>
      </c>
      <c r="G33" s="551">
        <f t="shared" ref="G33:V48" si="6">1/($F33/VLOOKUP(G$31,$C$32:$F$52,4,0))</f>
        <v>1.0675403225806455</v>
      </c>
      <c r="H33" s="551">
        <f t="shared" si="4"/>
        <v>1.0836693548387097</v>
      </c>
      <c r="I33" s="551">
        <f t="shared" si="4"/>
        <v>1.094758064516129</v>
      </c>
      <c r="J33" s="551">
        <f t="shared" si="4"/>
        <v>1.1159274193548385</v>
      </c>
      <c r="K33" s="551">
        <f t="shared" si="4"/>
        <v>1.1391129032258063</v>
      </c>
      <c r="L33" s="551">
        <f t="shared" si="4"/>
        <v>1.157258064516129</v>
      </c>
      <c r="M33" s="551">
        <f t="shared" si="4"/>
        <v>1.153225806451613</v>
      </c>
      <c r="N33" s="551">
        <f t="shared" si="4"/>
        <v>1.1975806451612903</v>
      </c>
      <c r="O33" s="551">
        <f t="shared" si="4"/>
        <v>1.2711693548387095</v>
      </c>
      <c r="P33" s="551">
        <f t="shared" si="4"/>
        <v>1.3506174395161288</v>
      </c>
      <c r="Q33" s="551">
        <f t="shared" si="4"/>
        <v>1.3978890498991934</v>
      </c>
      <c r="R33" s="551">
        <f t="shared" si="4"/>
        <v>1.4363288730239565</v>
      </c>
      <c r="S33" s="551">
        <f t="shared" si="4"/>
        <v>1.4758257328298285</v>
      </c>
      <c r="T33" s="551">
        <f t="shared" si="4"/>
        <v>1.5164086962181202</v>
      </c>
      <c r="U33" s="551">
        <f t="shared" si="4"/>
        <v>1.5581076293857281</v>
      </c>
      <c r="V33" s="551">
        <f t="shared" si="4"/>
        <v>1.6009532198045464</v>
      </c>
      <c r="W33" s="551">
        <f t="shared" si="4"/>
        <v>1.6449769988052796</v>
      </c>
    </row>
    <row r="34" spans="3:23" x14ac:dyDescent="0.25">
      <c r="C34" s="549" t="s">
        <v>3</v>
      </c>
      <c r="D34" s="550">
        <v>1.2096774193548487E-2</v>
      </c>
      <c r="E34" s="550">
        <f t="shared" si="5"/>
        <v>1.0120967741935485</v>
      </c>
      <c r="F34" s="550">
        <f>PRODUCT($E$32:E34)</f>
        <v>1.0807319698600648</v>
      </c>
      <c r="G34" s="551">
        <f t="shared" si="6"/>
        <v>1.0547808764940241</v>
      </c>
      <c r="H34" s="551">
        <f t="shared" si="4"/>
        <v>1.0707171314741035</v>
      </c>
      <c r="I34" s="551">
        <f t="shared" si="4"/>
        <v>1.0816733067729081</v>
      </c>
      <c r="J34" s="551">
        <f t="shared" si="4"/>
        <v>1.1025896414342626</v>
      </c>
      <c r="K34" s="551">
        <f t="shared" si="4"/>
        <v>1.1254980079681274</v>
      </c>
      <c r="L34" s="551">
        <f t="shared" si="4"/>
        <v>1.143426294820717</v>
      </c>
      <c r="M34" s="551">
        <f t="shared" si="4"/>
        <v>1.1394422310756971</v>
      </c>
      <c r="N34" s="551">
        <f t="shared" si="4"/>
        <v>1.1832669322709162</v>
      </c>
      <c r="O34" s="551">
        <f t="shared" si="4"/>
        <v>1.2559760956175297</v>
      </c>
      <c r="P34" s="551">
        <f t="shared" si="4"/>
        <v>1.3344746015936251</v>
      </c>
      <c r="Q34" s="551">
        <f t="shared" si="4"/>
        <v>1.3811812126494021</v>
      </c>
      <c r="R34" s="551">
        <f t="shared" si="4"/>
        <v>1.4191615956571364</v>
      </c>
      <c r="S34" s="551">
        <f t="shared" si="4"/>
        <v>1.458186381441424</v>
      </c>
      <c r="T34" s="551">
        <f t="shared" si="4"/>
        <v>1.4982842894904134</v>
      </c>
      <c r="U34" s="551">
        <f t="shared" si="4"/>
        <v>1.5394848290345042</v>
      </c>
      <c r="V34" s="551">
        <f t="shared" si="4"/>
        <v>1.5818183207630578</v>
      </c>
      <c r="W34" s="551">
        <f t="shared" si="4"/>
        <v>1.6253159191382844</v>
      </c>
    </row>
    <row r="35" spans="3:23" x14ac:dyDescent="0.25">
      <c r="C35" s="549" t="s">
        <v>4</v>
      </c>
      <c r="D35" s="550">
        <v>2.3904382470119501E-2</v>
      </c>
      <c r="E35" s="550">
        <f t="shared" si="5"/>
        <v>1.0239043824701195</v>
      </c>
      <c r="F35" s="550">
        <f>PRODUCT($E$32:E35)</f>
        <v>1.1065662002152854</v>
      </c>
      <c r="G35" s="551">
        <f t="shared" si="6"/>
        <v>1.0301556420233464</v>
      </c>
      <c r="H35" s="551">
        <f t="shared" si="4"/>
        <v>1.0457198443579767</v>
      </c>
      <c r="I35" s="551">
        <f t="shared" si="4"/>
        <v>1.0564202334630348</v>
      </c>
      <c r="J35" s="551">
        <f t="shared" si="4"/>
        <v>1.0768482490272373</v>
      </c>
      <c r="K35" s="551">
        <f t="shared" si="4"/>
        <v>1.0992217898832686</v>
      </c>
      <c r="L35" s="551">
        <f t="shared" si="4"/>
        <v>1.1167315175097277</v>
      </c>
      <c r="M35" s="551">
        <f t="shared" si="4"/>
        <v>1.1128404669260701</v>
      </c>
      <c r="N35" s="551">
        <f t="shared" si="4"/>
        <v>1.1556420233463032</v>
      </c>
      <c r="O35" s="551">
        <f t="shared" si="4"/>
        <v>1.2266536964980543</v>
      </c>
      <c r="P35" s="551">
        <f t="shared" si="4"/>
        <v>1.3033195525291825</v>
      </c>
      <c r="Q35" s="551">
        <f t="shared" si="4"/>
        <v>1.3489357368677042</v>
      </c>
      <c r="R35" s="551">
        <f t="shared" si="4"/>
        <v>1.3860294183266195</v>
      </c>
      <c r="S35" s="551">
        <f t="shared" si="4"/>
        <v>1.4241431196178889</v>
      </c>
      <c r="T35" s="551">
        <f t="shared" si="4"/>
        <v>1.4633048897357734</v>
      </c>
      <c r="U35" s="551">
        <f t="shared" si="4"/>
        <v>1.5035435489792242</v>
      </c>
      <c r="V35" s="551">
        <f t="shared" si="4"/>
        <v>1.5448887101615856</v>
      </c>
      <c r="W35" s="551">
        <f t="shared" si="4"/>
        <v>1.5873708004035383</v>
      </c>
    </row>
    <row r="36" spans="3:23" x14ac:dyDescent="0.25">
      <c r="C36" s="549" t="s">
        <v>5</v>
      </c>
      <c r="D36" s="550">
        <v>3.0155642023346418E-2</v>
      </c>
      <c r="E36" s="550">
        <f t="shared" si="5"/>
        <v>1.0301556420233464</v>
      </c>
      <c r="F36" s="550">
        <f>PRODUCT($E$32:E36)</f>
        <v>1.1399354144241123</v>
      </c>
      <c r="G36" s="551">
        <f t="shared" si="6"/>
        <v>1</v>
      </c>
      <c r="H36" s="551">
        <f t="shared" si="4"/>
        <v>1.0151085930122756</v>
      </c>
      <c r="I36" s="551">
        <f t="shared" si="4"/>
        <v>1.025495750708215</v>
      </c>
      <c r="J36" s="551">
        <f t="shared" si="4"/>
        <v>1.0453257790368269</v>
      </c>
      <c r="K36" s="551">
        <f t="shared" si="4"/>
        <v>1.0670443814919732</v>
      </c>
      <c r="L36" s="551">
        <f t="shared" si="4"/>
        <v>1.0840415486307835</v>
      </c>
      <c r="M36" s="551">
        <f t="shared" si="4"/>
        <v>1.0802644003777147</v>
      </c>
      <c r="N36" s="551">
        <f t="shared" si="4"/>
        <v>1.1218130311614727</v>
      </c>
      <c r="O36" s="551">
        <f t="shared" si="4"/>
        <v>1.1907459867799808</v>
      </c>
      <c r="P36" s="551">
        <f t="shared" si="4"/>
        <v>1.2651676109537295</v>
      </c>
      <c r="Q36" s="551">
        <f t="shared" si="4"/>
        <v>1.30944847733711</v>
      </c>
      <c r="R36" s="551">
        <f t="shared" si="4"/>
        <v>1.3454563192065767</v>
      </c>
      <c r="S36" s="551">
        <f t="shared" si="4"/>
        <v>1.382454321970906</v>
      </c>
      <c r="T36" s="551">
        <f t="shared" si="4"/>
        <v>1.420469713548985</v>
      </c>
      <c r="U36" s="551">
        <f t="shared" si="4"/>
        <v>1.4595304705860643</v>
      </c>
      <c r="V36" s="551">
        <f t="shared" si="4"/>
        <v>1.4996653390425967</v>
      </c>
      <c r="W36" s="551">
        <f t="shared" si="4"/>
        <v>1.5409038553492325</v>
      </c>
    </row>
    <row r="37" spans="3:23" x14ac:dyDescent="0.25">
      <c r="C37" s="549" t="s">
        <v>6</v>
      </c>
      <c r="D37" s="550">
        <v>1.5108593012275628E-2</v>
      </c>
      <c r="E37" s="550">
        <f t="shared" si="5"/>
        <v>1.0151085930122756</v>
      </c>
      <c r="F37" s="550">
        <f>PRODUCT($E$32:E37)</f>
        <v>1.1571582346609259</v>
      </c>
      <c r="G37" s="551">
        <f t="shared" si="6"/>
        <v>0.98511627906976751</v>
      </c>
      <c r="H37" s="551">
        <f t="shared" si="4"/>
        <v>1</v>
      </c>
      <c r="I37" s="551">
        <f t="shared" si="4"/>
        <v>1.0102325581395348</v>
      </c>
      <c r="J37" s="551">
        <f t="shared" si="4"/>
        <v>1.029767441860465</v>
      </c>
      <c r="K37" s="551">
        <f t="shared" si="4"/>
        <v>1.0511627906976742</v>
      </c>
      <c r="L37" s="551">
        <f t="shared" si="4"/>
        <v>1.067906976744186</v>
      </c>
      <c r="M37" s="551">
        <f t="shared" si="4"/>
        <v>1.064186046511628</v>
      </c>
      <c r="N37" s="551">
        <f t="shared" si="4"/>
        <v>1.1051162790697673</v>
      </c>
      <c r="O37" s="551">
        <f t="shared" si="4"/>
        <v>1.1730232558139533</v>
      </c>
      <c r="P37" s="551">
        <f t="shared" si="4"/>
        <v>1.2463372093023253</v>
      </c>
      <c r="Q37" s="551">
        <f t="shared" si="4"/>
        <v>1.2899590116279067</v>
      </c>
      <c r="R37" s="551">
        <f t="shared" si="4"/>
        <v>1.3254309228276884</v>
      </c>
      <c r="S37" s="551">
        <f t="shared" si="4"/>
        <v>1.3618782576438975</v>
      </c>
      <c r="T37" s="551">
        <f t="shared" si="4"/>
        <v>1.3993278387426744</v>
      </c>
      <c r="U37" s="551">
        <f t="shared" si="4"/>
        <v>1.4378072263726904</v>
      </c>
      <c r="V37" s="551">
        <f t="shared" si="4"/>
        <v>1.4773447386475442</v>
      </c>
      <c r="W37" s="551">
        <f t="shared" si="4"/>
        <v>1.5179694723858952</v>
      </c>
    </row>
    <row r="38" spans="3:23" x14ac:dyDescent="0.25">
      <c r="C38" s="549" t="s">
        <v>7</v>
      </c>
      <c r="D38" s="550">
        <v>1.0232558139534831E-2</v>
      </c>
      <c r="E38" s="550">
        <f t="shared" si="5"/>
        <v>1.0102325581395348</v>
      </c>
      <c r="F38" s="550">
        <f>PRODUCT($E$32:E38)</f>
        <v>1.1689989235737352</v>
      </c>
      <c r="G38" s="551">
        <f t="shared" si="6"/>
        <v>0.97513812154696167</v>
      </c>
      <c r="H38" s="551">
        <f t="shared" si="4"/>
        <v>0.98987108655616951</v>
      </c>
      <c r="I38" s="551">
        <f t="shared" si="4"/>
        <v>1</v>
      </c>
      <c r="J38" s="551">
        <f t="shared" si="4"/>
        <v>1.0193370165745854</v>
      </c>
      <c r="K38" s="551">
        <f t="shared" si="4"/>
        <v>1.0405156537753224</v>
      </c>
      <c r="L38" s="551">
        <f t="shared" si="4"/>
        <v>1.0570902394106816</v>
      </c>
      <c r="M38" s="551">
        <f t="shared" si="4"/>
        <v>1.0534069981583796</v>
      </c>
      <c r="N38" s="551">
        <f t="shared" si="4"/>
        <v>1.0939226519337018</v>
      </c>
      <c r="O38" s="551">
        <f t="shared" si="4"/>
        <v>1.1611418047882136</v>
      </c>
      <c r="P38" s="551">
        <f t="shared" si="4"/>
        <v>1.2337131675874768</v>
      </c>
      <c r="Q38" s="551">
        <f t="shared" si="4"/>
        <v>1.2768931284530385</v>
      </c>
      <c r="R38" s="551">
        <f t="shared" si="4"/>
        <v>1.3120057477345903</v>
      </c>
      <c r="S38" s="551">
        <f t="shared" si="4"/>
        <v>1.3480839106511879</v>
      </c>
      <c r="T38" s="551">
        <f t="shared" si="4"/>
        <v>1.3851541681845079</v>
      </c>
      <c r="U38" s="551">
        <f t="shared" si="4"/>
        <v>1.4232438014278477</v>
      </c>
      <c r="V38" s="551">
        <f t="shared" si="4"/>
        <v>1.4623808416630848</v>
      </c>
      <c r="W38" s="551">
        <f t="shared" si="4"/>
        <v>1.5025940909897215</v>
      </c>
    </row>
    <row r="39" spans="3:23" x14ac:dyDescent="0.25">
      <c r="C39" s="549" t="s">
        <v>8</v>
      </c>
      <c r="D39" s="550">
        <v>1.9337016574585641E-2</v>
      </c>
      <c r="E39" s="550">
        <f t="shared" si="5"/>
        <v>1.0193370165745856</v>
      </c>
      <c r="F39" s="550">
        <f>PRODUCT($E$32:E39)</f>
        <v>1.1916038751345532</v>
      </c>
      <c r="G39" s="551">
        <f t="shared" si="6"/>
        <v>0.95663956639566428</v>
      </c>
      <c r="H39" s="551">
        <f t="shared" si="4"/>
        <v>0.97109304426377607</v>
      </c>
      <c r="I39" s="551">
        <f t="shared" si="4"/>
        <v>0.98102981029810299</v>
      </c>
      <c r="J39" s="551">
        <f t="shared" si="4"/>
        <v>1</v>
      </c>
      <c r="K39" s="551">
        <f t="shared" si="4"/>
        <v>1.0207768744354111</v>
      </c>
      <c r="L39" s="551">
        <f t="shared" si="4"/>
        <v>1.0370370370370372</v>
      </c>
      <c r="M39" s="551">
        <f t="shared" si="4"/>
        <v>1.0334236675700093</v>
      </c>
      <c r="N39" s="551">
        <f t="shared" si="4"/>
        <v>1.0731707317073171</v>
      </c>
      <c r="O39" s="551">
        <f t="shared" si="4"/>
        <v>1.1391147244805782</v>
      </c>
      <c r="P39" s="551">
        <f t="shared" si="4"/>
        <v>1.2103093947606143</v>
      </c>
      <c r="Q39" s="551">
        <f t="shared" si="4"/>
        <v>1.2526702235772356</v>
      </c>
      <c r="R39" s="551">
        <f t="shared" si="4"/>
        <v>1.2871167498100859</v>
      </c>
      <c r="S39" s="551">
        <f t="shared" si="4"/>
        <v>1.3225105031320596</v>
      </c>
      <c r="T39" s="551">
        <f t="shared" si="4"/>
        <v>1.3588775308476744</v>
      </c>
      <c r="U39" s="551">
        <f t="shared" si="4"/>
        <v>1.3962445965227126</v>
      </c>
      <c r="V39" s="551">
        <f t="shared" si="4"/>
        <v>1.4346391996803165</v>
      </c>
      <c r="W39" s="551">
        <f t="shared" si="4"/>
        <v>1.4740895960386973</v>
      </c>
    </row>
    <row r="40" spans="3:23" x14ac:dyDescent="0.25">
      <c r="C40" s="549" t="s">
        <v>9</v>
      </c>
      <c r="D40" s="550">
        <v>2.0776874435411097E-2</v>
      </c>
      <c r="E40" s="550">
        <f t="shared" si="5"/>
        <v>1.0207768744354111</v>
      </c>
      <c r="F40" s="550">
        <f>PRODUCT($E$32:E40)</f>
        <v>1.2163616792249732</v>
      </c>
      <c r="G40" s="551">
        <f t="shared" si="6"/>
        <v>0.93716814159292061</v>
      </c>
      <c r="H40" s="551">
        <f t="shared" si="4"/>
        <v>0.95132743362831862</v>
      </c>
      <c r="I40" s="551">
        <f t="shared" si="4"/>
        <v>0.96106194690265478</v>
      </c>
      <c r="J40" s="551">
        <f t="shared" si="4"/>
        <v>0.97964601769911497</v>
      </c>
      <c r="K40" s="551">
        <f t="shared" si="4"/>
        <v>1</v>
      </c>
      <c r="L40" s="551">
        <f t="shared" si="4"/>
        <v>1.0159292035398231</v>
      </c>
      <c r="M40" s="551">
        <f t="shared" si="4"/>
        <v>1.0123893805309736</v>
      </c>
      <c r="N40" s="551">
        <f t="shared" si="4"/>
        <v>1.0513274336283185</v>
      </c>
      <c r="O40" s="551">
        <f t="shared" si="4"/>
        <v>1.1159292035398229</v>
      </c>
      <c r="P40" s="551">
        <f t="shared" si="4"/>
        <v>1.1856747787610618</v>
      </c>
      <c r="Q40" s="551">
        <f t="shared" si="4"/>
        <v>1.2271733960176989</v>
      </c>
      <c r="R40" s="551">
        <f t="shared" si="4"/>
        <v>1.2609187982652788</v>
      </c>
      <c r="S40" s="551">
        <f t="shared" si="4"/>
        <v>1.2955921477585752</v>
      </c>
      <c r="T40" s="551">
        <f t="shared" si="4"/>
        <v>1.3312189616357304</v>
      </c>
      <c r="U40" s="551">
        <f t="shared" si="4"/>
        <v>1.3678254587173828</v>
      </c>
      <c r="V40" s="551">
        <f t="shared" si="4"/>
        <v>1.4054385788018673</v>
      </c>
      <c r="W40" s="551">
        <f t="shared" si="4"/>
        <v>1.4440860024910067</v>
      </c>
    </row>
    <row r="41" spans="3:23" x14ac:dyDescent="0.25">
      <c r="C41" s="549" t="s">
        <v>10</v>
      </c>
      <c r="D41" s="550">
        <v>1.5929203539823078E-2</v>
      </c>
      <c r="E41" s="550">
        <f t="shared" si="5"/>
        <v>1.0159292035398231</v>
      </c>
      <c r="F41" s="550">
        <f>PRODUCT($E$32:E41)</f>
        <v>1.2357373519913888</v>
      </c>
      <c r="G41" s="551">
        <f t="shared" si="6"/>
        <v>0.92247386759581884</v>
      </c>
      <c r="H41" s="551">
        <f t="shared" si="4"/>
        <v>0.93641114982578399</v>
      </c>
      <c r="I41" s="551">
        <f t="shared" si="4"/>
        <v>0.94599303135888479</v>
      </c>
      <c r="J41" s="551">
        <f t="shared" si="4"/>
        <v>0.96428571428571408</v>
      </c>
      <c r="K41" s="551">
        <f t="shared" si="4"/>
        <v>0.98432055749128911</v>
      </c>
      <c r="L41" s="551">
        <f t="shared" si="4"/>
        <v>1</v>
      </c>
      <c r="M41" s="551">
        <f t="shared" si="4"/>
        <v>0.99651567944250863</v>
      </c>
      <c r="N41" s="551">
        <f t="shared" si="4"/>
        <v>1.0348432055749128</v>
      </c>
      <c r="O41" s="551">
        <f t="shared" si="4"/>
        <v>1.0984320557491287</v>
      </c>
      <c r="P41" s="551">
        <f t="shared" si="4"/>
        <v>1.1670840592334493</v>
      </c>
      <c r="Q41" s="551">
        <f t="shared" si="4"/>
        <v>1.2079320013066199</v>
      </c>
      <c r="R41" s="551">
        <f t="shared" si="4"/>
        <v>1.2411482944597256</v>
      </c>
      <c r="S41" s="551">
        <f t="shared" si="4"/>
        <v>1.2752779851630573</v>
      </c>
      <c r="T41" s="551">
        <f t="shared" si="4"/>
        <v>1.3103461904602571</v>
      </c>
      <c r="U41" s="551">
        <f t="shared" si="4"/>
        <v>1.3463787180754723</v>
      </c>
      <c r="V41" s="551">
        <f t="shared" si="4"/>
        <v>1.3834020854060192</v>
      </c>
      <c r="W41" s="551">
        <f t="shared" si="4"/>
        <v>1.4214435390373148</v>
      </c>
    </row>
    <row r="42" spans="3:23" x14ac:dyDescent="0.25">
      <c r="C42" s="549" t="s">
        <v>11</v>
      </c>
      <c r="D42" s="550">
        <v>-3.4843205574912606E-3</v>
      </c>
      <c r="E42" s="550">
        <f t="shared" si="5"/>
        <v>0.99651567944250874</v>
      </c>
      <c r="F42" s="550">
        <f>PRODUCT($E$32:E42)</f>
        <v>1.2314316469321853</v>
      </c>
      <c r="G42" s="551">
        <f t="shared" si="6"/>
        <v>0.92569930069930084</v>
      </c>
      <c r="H42" s="551">
        <f t="shared" si="4"/>
        <v>0.93968531468531469</v>
      </c>
      <c r="I42" s="551">
        <f t="shared" si="4"/>
        <v>0.94930069930069916</v>
      </c>
      <c r="J42" s="551">
        <f t="shared" si="4"/>
        <v>0.96765734265734249</v>
      </c>
      <c r="K42" s="551">
        <f t="shared" si="4"/>
        <v>0.98776223776223759</v>
      </c>
      <c r="L42" s="551">
        <f t="shared" si="4"/>
        <v>1.0034965034965035</v>
      </c>
      <c r="M42" s="551">
        <f t="shared" si="4"/>
        <v>1</v>
      </c>
      <c r="N42" s="551">
        <f t="shared" si="4"/>
        <v>1.0384615384615383</v>
      </c>
      <c r="O42" s="551">
        <f t="shared" si="4"/>
        <v>1.1022727272727271</v>
      </c>
      <c r="P42" s="551">
        <f t="shared" si="4"/>
        <v>1.1711647727272725</v>
      </c>
      <c r="Q42" s="551">
        <f t="shared" si="4"/>
        <v>1.2121555397727271</v>
      </c>
      <c r="R42" s="551">
        <f t="shared" si="4"/>
        <v>1.2454879738109834</v>
      </c>
      <c r="S42" s="551">
        <f t="shared" si="4"/>
        <v>1.2797369990971939</v>
      </c>
      <c r="T42" s="551">
        <f t="shared" si="4"/>
        <v>1.3149278204968315</v>
      </c>
      <c r="U42" s="551">
        <f t="shared" si="4"/>
        <v>1.3510863359708414</v>
      </c>
      <c r="V42" s="551">
        <f t="shared" si="4"/>
        <v>1.3882391556347116</v>
      </c>
      <c r="W42" s="551">
        <f t="shared" si="4"/>
        <v>1.4264136213416412</v>
      </c>
    </row>
    <row r="43" spans="3:23" x14ac:dyDescent="0.25">
      <c r="C43" s="549" t="s">
        <v>12</v>
      </c>
      <c r="D43" s="550">
        <v>3.8461538461538325E-2</v>
      </c>
      <c r="E43" s="550">
        <f t="shared" si="5"/>
        <v>1.0384615384615383</v>
      </c>
      <c r="F43" s="550">
        <f>PRODUCT($E$32:E43)</f>
        <v>1.278794402583423</v>
      </c>
      <c r="G43" s="551">
        <f t="shared" si="6"/>
        <v>0.89141414141414177</v>
      </c>
      <c r="H43" s="551">
        <f t="shared" si="4"/>
        <v>0.90488215488215507</v>
      </c>
      <c r="I43" s="551">
        <f t="shared" si="4"/>
        <v>0.91414141414141425</v>
      </c>
      <c r="J43" s="551">
        <f t="shared" si="4"/>
        <v>0.93181818181818177</v>
      </c>
      <c r="K43" s="551">
        <f t="shared" si="4"/>
        <v>0.95117845117845123</v>
      </c>
      <c r="L43" s="551">
        <f t="shared" si="4"/>
        <v>0.96632996632996637</v>
      </c>
      <c r="M43" s="551">
        <f t="shared" si="4"/>
        <v>0.96296296296296313</v>
      </c>
      <c r="N43" s="551">
        <f t="shared" si="4"/>
        <v>1</v>
      </c>
      <c r="O43" s="551">
        <f t="shared" si="4"/>
        <v>1.0614478114478114</v>
      </c>
      <c r="P43" s="551">
        <f t="shared" si="4"/>
        <v>1.1277882996632995</v>
      </c>
      <c r="Q43" s="551">
        <f t="shared" si="4"/>
        <v>1.1672608901515151</v>
      </c>
      <c r="R43" s="551">
        <f t="shared" si="4"/>
        <v>1.199358789595762</v>
      </c>
      <c r="S43" s="551">
        <f t="shared" si="4"/>
        <v>1.2323393324639647</v>
      </c>
      <c r="T43" s="551">
        <f t="shared" si="4"/>
        <v>1.2662267901080602</v>
      </c>
      <c r="U43" s="551">
        <f t="shared" si="4"/>
        <v>1.3010461013052548</v>
      </c>
      <c r="V43" s="551">
        <f t="shared" si="4"/>
        <v>1.3368228906112039</v>
      </c>
      <c r="W43" s="551">
        <f t="shared" si="4"/>
        <v>1.3735834872178769</v>
      </c>
    </row>
    <row r="44" spans="3:23" x14ac:dyDescent="0.25">
      <c r="C44" s="549" t="s">
        <v>13</v>
      </c>
      <c r="D44" s="550">
        <v>6.1447811447811418E-2</v>
      </c>
      <c r="E44" s="550">
        <f t="shared" si="5"/>
        <v>1.0614478114478114</v>
      </c>
      <c r="F44" s="550">
        <f>PRODUCT($E$32:E44)</f>
        <v>1.3573735199138859</v>
      </c>
      <c r="G44" s="551">
        <f t="shared" si="6"/>
        <v>0.83980967486122149</v>
      </c>
      <c r="H44" s="551">
        <f t="shared" si="4"/>
        <v>0.85249801744647125</v>
      </c>
      <c r="I44" s="551">
        <f t="shared" si="4"/>
        <v>0.86122125297383034</v>
      </c>
      <c r="J44" s="551">
        <f t="shared" si="4"/>
        <v>0.87787470261697065</v>
      </c>
      <c r="K44" s="551">
        <f t="shared" si="4"/>
        <v>0.89611419508326728</v>
      </c>
      <c r="L44" s="551">
        <f t="shared" si="4"/>
        <v>0.91038858049167348</v>
      </c>
      <c r="M44" s="551">
        <f t="shared" si="4"/>
        <v>0.90721649484536104</v>
      </c>
      <c r="N44" s="551">
        <f t="shared" si="4"/>
        <v>0.94210943695479776</v>
      </c>
      <c r="O44" s="551">
        <f t="shared" si="4"/>
        <v>1</v>
      </c>
      <c r="P44" s="551">
        <f t="shared" si="4"/>
        <v>1.0625</v>
      </c>
      <c r="Q44" s="551">
        <f t="shared" si="4"/>
        <v>1.0996874999999999</v>
      </c>
      <c r="R44" s="551">
        <f t="shared" si="4"/>
        <v>1.129927233972851</v>
      </c>
      <c r="S44" s="551">
        <f t="shared" si="4"/>
        <v>1.1609985146448771</v>
      </c>
      <c r="T44" s="551">
        <f t="shared" si="4"/>
        <v>1.1929242082857856</v>
      </c>
      <c r="U44" s="551">
        <f t="shared" si="4"/>
        <v>1.2257278099529283</v>
      </c>
      <c r="V44" s="551">
        <f t="shared" si="4"/>
        <v>1.2594334607820066</v>
      </c>
      <c r="W44" s="551">
        <f t="shared" si="4"/>
        <v>1.2940659657532416</v>
      </c>
    </row>
    <row r="45" spans="3:23" x14ac:dyDescent="0.25">
      <c r="C45" s="549" t="s">
        <v>14</v>
      </c>
      <c r="D45" s="550">
        <v>6.25E-2</v>
      </c>
      <c r="E45" s="550">
        <f t="shared" si="5"/>
        <v>1.0625</v>
      </c>
      <c r="F45" s="550">
        <f>PRODUCT($E$32:E45)</f>
        <v>1.4422093649085037</v>
      </c>
      <c r="G45" s="551">
        <f t="shared" si="6"/>
        <v>0.79040910575173795</v>
      </c>
      <c r="H45" s="551">
        <f t="shared" si="4"/>
        <v>0.80235107524373761</v>
      </c>
      <c r="I45" s="551">
        <f t="shared" si="4"/>
        <v>0.81056117926948745</v>
      </c>
      <c r="J45" s="551">
        <f t="shared" si="4"/>
        <v>0.82623501422773704</v>
      </c>
      <c r="K45" s="551">
        <f t="shared" si="4"/>
        <v>0.84340159537248693</v>
      </c>
      <c r="L45" s="551">
        <f t="shared" si="4"/>
        <v>0.85683631105098679</v>
      </c>
      <c r="M45" s="551">
        <f t="shared" si="4"/>
        <v>0.85385081867798684</v>
      </c>
      <c r="N45" s="551">
        <f t="shared" si="4"/>
        <v>0.88669123478098621</v>
      </c>
      <c r="O45" s="551">
        <f t="shared" si="4"/>
        <v>0.94117647058823528</v>
      </c>
      <c r="P45" s="551">
        <f t="shared" si="4"/>
        <v>1</v>
      </c>
      <c r="Q45" s="551">
        <f t="shared" si="4"/>
        <v>1.0349999999999999</v>
      </c>
      <c r="R45" s="551">
        <f t="shared" si="4"/>
        <v>1.0634609260920951</v>
      </c>
      <c r="S45" s="551">
        <f t="shared" si="4"/>
        <v>1.0927044843716491</v>
      </c>
      <c r="T45" s="551">
        <f t="shared" si="4"/>
        <v>1.1227521960336804</v>
      </c>
      <c r="U45" s="551">
        <f t="shared" si="4"/>
        <v>1.1536261740733444</v>
      </c>
      <c r="V45" s="551">
        <f t="shared" si="4"/>
        <v>1.1853491395595357</v>
      </c>
      <c r="W45" s="551">
        <f t="shared" si="4"/>
        <v>1.2179444383559921</v>
      </c>
    </row>
    <row r="46" spans="3:23" x14ac:dyDescent="0.25">
      <c r="C46" s="549" t="s">
        <v>15</v>
      </c>
      <c r="D46" s="550">
        <v>3.5000000000000003E-2</v>
      </c>
      <c r="E46" s="550">
        <f t="shared" si="5"/>
        <v>1.0349999999999999</v>
      </c>
      <c r="F46" s="550">
        <f>PRODUCT($E$32:E46)</f>
        <v>1.4926866926803013</v>
      </c>
      <c r="G46" s="551">
        <f t="shared" si="6"/>
        <v>0.7636802954123072</v>
      </c>
      <c r="H46" s="551">
        <f t="shared" si="4"/>
        <v>0.77521843018718606</v>
      </c>
      <c r="I46" s="551">
        <f t="shared" si="4"/>
        <v>0.78315089784491543</v>
      </c>
      <c r="J46" s="551">
        <f t="shared" si="4"/>
        <v>0.798294699736944</v>
      </c>
      <c r="K46" s="551">
        <f t="shared" si="4"/>
        <v>0.8148807684758328</v>
      </c>
      <c r="L46" s="551">
        <f t="shared" si="4"/>
        <v>0.82786117009757176</v>
      </c>
      <c r="M46" s="551">
        <f t="shared" si="4"/>
        <v>0.82497663640385199</v>
      </c>
      <c r="N46" s="551">
        <f t="shared" si="4"/>
        <v>0.85670650703476925</v>
      </c>
      <c r="O46" s="551">
        <f t="shared" si="4"/>
        <v>0.90934924694515495</v>
      </c>
      <c r="P46" s="551">
        <f t="shared" si="4"/>
        <v>0.96618357487922713</v>
      </c>
      <c r="Q46" s="551">
        <f t="shared" si="4"/>
        <v>1</v>
      </c>
      <c r="R46" s="551">
        <f t="shared" si="4"/>
        <v>1.027498479316034</v>
      </c>
      <c r="S46" s="551">
        <f t="shared" si="4"/>
        <v>1.0557531249967624</v>
      </c>
      <c r="T46" s="551">
        <f t="shared" si="4"/>
        <v>1.0847847304673242</v>
      </c>
      <c r="U46" s="551">
        <f t="shared" si="4"/>
        <v>1.1146146609404293</v>
      </c>
      <c r="V46" s="551">
        <f t="shared" si="4"/>
        <v>1.1452648691396481</v>
      </c>
      <c r="W46" s="551">
        <f t="shared" si="4"/>
        <v>1.176757911455065</v>
      </c>
    </row>
    <row r="47" spans="3:23" x14ac:dyDescent="0.25">
      <c r="C47" s="549" t="s">
        <v>280</v>
      </c>
      <c r="D47" s="550">
        <v>2.7498479316033997E-2</v>
      </c>
      <c r="E47" s="550">
        <f t="shared" si="5"/>
        <v>1.027498479316034</v>
      </c>
      <c r="F47" s="550">
        <f>PRODUCT($E$32:E47)</f>
        <v>1.5337333068242898</v>
      </c>
      <c r="G47" s="551">
        <f t="shared" si="6"/>
        <v>0.74324226340525545</v>
      </c>
      <c r="H47" s="551">
        <f t="shared" si="4"/>
        <v>0.75447160827256798</v>
      </c>
      <c r="I47" s="551">
        <f t="shared" si="4"/>
        <v>0.76219178286884537</v>
      </c>
      <c r="J47" s="551">
        <f t="shared" si="4"/>
        <v>0.77693029800719315</v>
      </c>
      <c r="K47" s="551">
        <f t="shared" si="4"/>
        <v>0.79307248125395524</v>
      </c>
      <c r="L47" s="551">
        <f t="shared" si="4"/>
        <v>0.80570549422968185</v>
      </c>
      <c r="M47" s="551">
        <f t="shared" si="4"/>
        <v>0.80289815801285369</v>
      </c>
      <c r="N47" s="551">
        <f t="shared" si="4"/>
        <v>0.83377885639796334</v>
      </c>
      <c r="O47" s="551">
        <f t="shared" si="4"/>
        <v>0.88501274235507732</v>
      </c>
      <c r="P47" s="551">
        <f t="shared" si="4"/>
        <v>0.94032603875226972</v>
      </c>
      <c r="Q47" s="551">
        <f t="shared" si="4"/>
        <v>0.97323745010859897</v>
      </c>
      <c r="R47" s="551">
        <f t="shared" si="4"/>
        <v>1</v>
      </c>
      <c r="S47" s="551">
        <f t="shared" si="4"/>
        <v>1.027498479316034</v>
      </c>
      <c r="T47" s="551">
        <f t="shared" si="4"/>
        <v>1.0557531249967624</v>
      </c>
      <c r="U47" s="551">
        <f t="shared" si="4"/>
        <v>1.0847847304673242</v>
      </c>
      <c r="V47" s="551">
        <f t="shared" si="4"/>
        <v>1.1146146609404293</v>
      </c>
      <c r="W47" s="551">
        <f t="shared" ref="W47:W52" si="7">1/($F47/VLOOKUP(W$31,$C$32:$F$52,4,0))</f>
        <v>1.1452648691396481</v>
      </c>
    </row>
    <row r="48" spans="3:23" x14ac:dyDescent="0.25">
      <c r="C48" s="549" t="s">
        <v>422</v>
      </c>
      <c r="D48" s="550">
        <v>2.7498479316033997E-2</v>
      </c>
      <c r="E48" s="550">
        <f t="shared" si="5"/>
        <v>1.027498479316034</v>
      </c>
      <c r="F48" s="550">
        <f>PRODUCT($E$32:E48)</f>
        <v>1.57590864043831</v>
      </c>
      <c r="G48" s="551">
        <f t="shared" si="6"/>
        <v>0.72335120524947438</v>
      </c>
      <c r="H48" s="551">
        <f t="shared" si="6"/>
        <v>0.73428002421452787</v>
      </c>
      <c r="I48" s="551">
        <f t="shared" si="6"/>
        <v>0.74179358725300204</v>
      </c>
      <c r="J48" s="551">
        <f t="shared" si="6"/>
        <v>0.75613766214463463</v>
      </c>
      <c r="K48" s="551">
        <f t="shared" si="6"/>
        <v>0.77184783940689894</v>
      </c>
      <c r="L48" s="551">
        <f t="shared" si="6"/>
        <v>0.78414276074258416</v>
      </c>
      <c r="M48" s="551">
        <f t="shared" si="6"/>
        <v>0.78141055600132081</v>
      </c>
      <c r="N48" s="551">
        <f t="shared" si="6"/>
        <v>0.8114648081552176</v>
      </c>
      <c r="O48" s="551">
        <f t="shared" si="6"/>
        <v>0.86132754468327388</v>
      </c>
      <c r="P48" s="551">
        <f t="shared" si="6"/>
        <v>0.91516051622597838</v>
      </c>
      <c r="Q48" s="551">
        <f t="shared" si="6"/>
        <v>0.94719113429388768</v>
      </c>
      <c r="R48" s="551">
        <f t="shared" si="6"/>
        <v>0.97323745010859897</v>
      </c>
      <c r="S48" s="551">
        <f t="shared" si="6"/>
        <v>1</v>
      </c>
      <c r="T48" s="551">
        <f t="shared" si="6"/>
        <v>1.027498479316034</v>
      </c>
      <c r="U48" s="551">
        <f t="shared" si="6"/>
        <v>1.0557531249967622</v>
      </c>
      <c r="V48" s="551">
        <f t="shared" si="6"/>
        <v>1.0847847304673239</v>
      </c>
      <c r="W48" s="551">
        <f t="shared" si="7"/>
        <v>1.1146146609404293</v>
      </c>
    </row>
    <row r="49" spans="3:23" x14ac:dyDescent="0.25">
      <c r="C49" s="549" t="s">
        <v>423</v>
      </c>
      <c r="D49" s="550">
        <v>2.7498479316033997E-2</v>
      </c>
      <c r="E49" s="550">
        <f t="shared" si="5"/>
        <v>1.027498479316034</v>
      </c>
      <c r="F49" s="550">
        <f>PRODUCT($E$32:E49)</f>
        <v>1.6192437315913621</v>
      </c>
      <c r="G49" s="551">
        <f t="shared" ref="G49:V52" si="8">1/($F49/VLOOKUP(G$31,$C$32:$F$52,4,0))</f>
        <v>0.70399248252998037</v>
      </c>
      <c r="H49" s="551">
        <f t="shared" si="8"/>
        <v>0.71462881843222736</v>
      </c>
      <c r="I49" s="551">
        <f t="shared" si="8"/>
        <v>0.72194129936502227</v>
      </c>
      <c r="J49" s="551">
        <f t="shared" si="8"/>
        <v>0.73590149023672147</v>
      </c>
      <c r="K49" s="551">
        <f t="shared" si="8"/>
        <v>0.75119122309620179</v>
      </c>
      <c r="L49" s="551">
        <f t="shared" si="8"/>
        <v>0.7631571009862298</v>
      </c>
      <c r="M49" s="551">
        <f t="shared" si="8"/>
        <v>0.76049801701066799</v>
      </c>
      <c r="N49" s="551">
        <f t="shared" si="8"/>
        <v>0.7897479407418474</v>
      </c>
      <c r="O49" s="551">
        <f t="shared" si="8"/>
        <v>0.83827622329584994</v>
      </c>
      <c r="P49" s="551">
        <f t="shared" si="8"/>
        <v>0.89066848725184056</v>
      </c>
      <c r="Q49" s="551">
        <f t="shared" si="8"/>
        <v>0.92184188430565484</v>
      </c>
      <c r="R49" s="551">
        <f t="shared" si="8"/>
        <v>0.94719113429388768</v>
      </c>
      <c r="S49" s="551">
        <f t="shared" si="8"/>
        <v>0.97323745010859897</v>
      </c>
      <c r="T49" s="551">
        <f t="shared" si="8"/>
        <v>1</v>
      </c>
      <c r="U49" s="551">
        <f t="shared" si="8"/>
        <v>1.027498479316034</v>
      </c>
      <c r="V49" s="551">
        <f t="shared" si="8"/>
        <v>1.0557531249967622</v>
      </c>
      <c r="W49" s="551">
        <f t="shared" si="7"/>
        <v>1.0847847304673239</v>
      </c>
    </row>
    <row r="50" spans="3:23" x14ac:dyDescent="0.25">
      <c r="C50" s="549" t="s">
        <v>424</v>
      </c>
      <c r="D50" s="550">
        <v>2.7498479316033997E-2</v>
      </c>
      <c r="E50" s="550">
        <f t="shared" si="5"/>
        <v>1.027498479316034</v>
      </c>
      <c r="F50" s="550">
        <f>PRODUCT($E$32:E50)</f>
        <v>1.6637704718521449</v>
      </c>
      <c r="G50" s="551">
        <f t="shared" si="8"/>
        <v>0.68515184859310063</v>
      </c>
      <c r="H50" s="551">
        <f t="shared" si="8"/>
        <v>0.69550352902510204</v>
      </c>
      <c r="I50" s="551">
        <f t="shared" si="8"/>
        <v>0.70262030932210295</v>
      </c>
      <c r="J50" s="551">
        <f t="shared" si="8"/>
        <v>0.71620688988910497</v>
      </c>
      <c r="K50" s="551">
        <f t="shared" si="8"/>
        <v>0.73108743051010716</v>
      </c>
      <c r="L50" s="551">
        <f t="shared" si="8"/>
        <v>0.74273307099610886</v>
      </c>
      <c r="M50" s="551">
        <f t="shared" si="8"/>
        <v>0.74014515088810862</v>
      </c>
      <c r="N50" s="551">
        <f t="shared" si="8"/>
        <v>0.7686122720761126</v>
      </c>
      <c r="O50" s="551">
        <f t="shared" si="8"/>
        <v>0.81584181404711953</v>
      </c>
      <c r="P50" s="551">
        <f t="shared" si="8"/>
        <v>0.86683192742506443</v>
      </c>
      <c r="Q50" s="551">
        <f t="shared" si="8"/>
        <v>0.8971710448849417</v>
      </c>
      <c r="R50" s="551">
        <f t="shared" si="8"/>
        <v>0.92184188430565484</v>
      </c>
      <c r="S50" s="551">
        <f t="shared" si="8"/>
        <v>0.9471911342938879</v>
      </c>
      <c r="T50" s="551">
        <f t="shared" si="8"/>
        <v>0.97323745010859897</v>
      </c>
      <c r="U50" s="551">
        <f t="shared" si="8"/>
        <v>1</v>
      </c>
      <c r="V50" s="551">
        <f t="shared" si="8"/>
        <v>1.027498479316034</v>
      </c>
      <c r="W50" s="551">
        <f t="shared" si="7"/>
        <v>1.0557531249967622</v>
      </c>
    </row>
    <row r="51" spans="3:23" x14ac:dyDescent="0.25">
      <c r="C51" s="549" t="s">
        <v>425</v>
      </c>
      <c r="D51" s="550">
        <v>2.7498479316033997E-2</v>
      </c>
      <c r="E51" s="550">
        <f t="shared" si="5"/>
        <v>1.027498479316034</v>
      </c>
      <c r="F51" s="550">
        <f>PRODUCT($E$32:E51)</f>
        <v>1.7095216297589992</v>
      </c>
      <c r="G51" s="551">
        <f t="shared" si="8"/>
        <v>0.6668154380619421</v>
      </c>
      <c r="H51" s="551">
        <f t="shared" si="8"/>
        <v>0.67689008112992222</v>
      </c>
      <c r="I51" s="551">
        <f t="shared" si="8"/>
        <v>0.68381639823915852</v>
      </c>
      <c r="J51" s="551">
        <f t="shared" si="8"/>
        <v>0.69703936726588256</v>
      </c>
      <c r="K51" s="551">
        <f t="shared" si="8"/>
        <v>0.71152166667610417</v>
      </c>
      <c r="L51" s="551">
        <f t="shared" si="8"/>
        <v>0.72285564012758208</v>
      </c>
      <c r="M51" s="551">
        <f t="shared" si="8"/>
        <v>0.72033697936058705</v>
      </c>
      <c r="N51" s="551">
        <f t="shared" si="8"/>
        <v>0.74804224779753259</v>
      </c>
      <c r="O51" s="551">
        <f t="shared" si="8"/>
        <v>0.79400780679519245</v>
      </c>
      <c r="P51" s="551">
        <f t="shared" si="8"/>
        <v>0.8436332947198919</v>
      </c>
      <c r="Q51" s="551">
        <f t="shared" si="8"/>
        <v>0.87316046003508796</v>
      </c>
      <c r="R51" s="551">
        <f t="shared" si="8"/>
        <v>0.8971710448849417</v>
      </c>
      <c r="S51" s="551">
        <f t="shared" si="8"/>
        <v>0.92184188430565484</v>
      </c>
      <c r="T51" s="551">
        <f t="shared" si="8"/>
        <v>0.94719113429388768</v>
      </c>
      <c r="U51" s="551">
        <f t="shared" si="8"/>
        <v>0.97323745010859897</v>
      </c>
      <c r="V51" s="551">
        <f t="shared" si="8"/>
        <v>1</v>
      </c>
      <c r="W51" s="551">
        <f t="shared" si="7"/>
        <v>1.027498479316034</v>
      </c>
    </row>
    <row r="52" spans="3:23" x14ac:dyDescent="0.25">
      <c r="C52" s="549" t="s">
        <v>426</v>
      </c>
      <c r="D52" s="550">
        <v>2.7498479316033997E-2</v>
      </c>
      <c r="E52" s="550">
        <f t="shared" si="5"/>
        <v>1.027498479316034</v>
      </c>
      <c r="F52" s="550">
        <f>PRODUCT($E$32:E52)</f>
        <v>1.7565308749352397</v>
      </c>
      <c r="G52" s="551">
        <f t="shared" si="8"/>
        <v>0.64896975663245304</v>
      </c>
      <c r="H52" s="551">
        <f t="shared" si="8"/>
        <v>0.65877477656268835</v>
      </c>
      <c r="I52" s="551">
        <f t="shared" si="8"/>
        <v>0.66551572776472501</v>
      </c>
      <c r="J52" s="551">
        <f t="shared" si="8"/>
        <v>0.67838481642315884</v>
      </c>
      <c r="K52" s="551">
        <f t="shared" si="8"/>
        <v>0.69247953257287231</v>
      </c>
      <c r="L52" s="551">
        <f t="shared" si="8"/>
        <v>0.70351017999438714</v>
      </c>
      <c r="M52" s="551">
        <f t="shared" si="8"/>
        <v>0.7010589250118282</v>
      </c>
      <c r="N52" s="551">
        <f t="shared" si="8"/>
        <v>0.7280227298199754</v>
      </c>
      <c r="O52" s="551">
        <f t="shared" si="8"/>
        <v>0.7727581332516742</v>
      </c>
      <c r="P52" s="551">
        <f t="shared" si="8"/>
        <v>0.82105551657990394</v>
      </c>
      <c r="Q52" s="551">
        <f t="shared" si="8"/>
        <v>0.84979245966020034</v>
      </c>
      <c r="R52" s="551">
        <f t="shared" si="8"/>
        <v>0.87316046003508818</v>
      </c>
      <c r="S52" s="551">
        <f t="shared" si="8"/>
        <v>0.8971710448849417</v>
      </c>
      <c r="T52" s="551">
        <f t="shared" si="8"/>
        <v>0.92184188430565506</v>
      </c>
      <c r="U52" s="551">
        <f t="shared" si="8"/>
        <v>0.9471911342938879</v>
      </c>
      <c r="V52" s="551">
        <f t="shared" si="8"/>
        <v>0.97323745010859897</v>
      </c>
      <c r="W52" s="551">
        <f t="shared" si="7"/>
        <v>1</v>
      </c>
    </row>
  </sheetData>
  <phoneticPr fontId="17" type="noConversion"/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34D52-0251-42AD-BDFA-FA9D7F44AE61}">
  <sheetPr codeName="Sheet17"/>
  <dimension ref="A1:E19"/>
  <sheetViews>
    <sheetView workbookViewId="0">
      <selection activeCell="J67" sqref="J67"/>
    </sheetView>
  </sheetViews>
  <sheetFormatPr defaultRowHeight="15" x14ac:dyDescent="0.25"/>
  <cols>
    <col min="1" max="1" width="16.140625" customWidth="1"/>
  </cols>
  <sheetData>
    <row r="1" spans="1:5" x14ac:dyDescent="0.25">
      <c r="A1" t="s">
        <v>436</v>
      </c>
      <c r="B1" t="s">
        <v>437</v>
      </c>
      <c r="D1" t="s">
        <v>585</v>
      </c>
    </row>
    <row r="2" spans="1:5" x14ac:dyDescent="0.25">
      <c r="A2" t="s">
        <v>433</v>
      </c>
      <c r="B2" t="s">
        <v>14</v>
      </c>
      <c r="D2" t="s">
        <v>4</v>
      </c>
      <c r="E2">
        <v>4</v>
      </c>
    </row>
    <row r="3" spans="1:5" x14ac:dyDescent="0.25">
      <c r="A3" t="s">
        <v>434</v>
      </c>
      <c r="B3" t="s">
        <v>15</v>
      </c>
      <c r="D3" t="s">
        <v>5</v>
      </c>
      <c r="E3">
        <v>5</v>
      </c>
    </row>
    <row r="4" spans="1:5" x14ac:dyDescent="0.25">
      <c r="A4" t="s">
        <v>435</v>
      </c>
      <c r="B4" t="s">
        <v>280</v>
      </c>
      <c r="D4" t="s">
        <v>6</v>
      </c>
      <c r="E4">
        <v>6</v>
      </c>
    </row>
    <row r="5" spans="1:5" x14ac:dyDescent="0.25">
      <c r="B5" t="s">
        <v>422</v>
      </c>
      <c r="D5" t="s">
        <v>7</v>
      </c>
      <c r="E5">
        <v>7</v>
      </c>
    </row>
    <row r="6" spans="1:5" x14ac:dyDescent="0.25">
      <c r="B6" t="s">
        <v>423</v>
      </c>
      <c r="D6" t="s">
        <v>8</v>
      </c>
      <c r="E6">
        <v>8</v>
      </c>
    </row>
    <row r="7" spans="1:5" x14ac:dyDescent="0.25">
      <c r="B7" t="s">
        <v>424</v>
      </c>
      <c r="D7" t="s">
        <v>9</v>
      </c>
      <c r="E7">
        <v>9</v>
      </c>
    </row>
    <row r="8" spans="1:5" x14ac:dyDescent="0.25">
      <c r="B8" t="s">
        <v>425</v>
      </c>
      <c r="D8" t="s">
        <v>10</v>
      </c>
      <c r="E8">
        <v>10</v>
      </c>
    </row>
    <row r="9" spans="1:5" x14ac:dyDescent="0.25">
      <c r="B9" t="s">
        <v>426</v>
      </c>
      <c r="D9" t="s">
        <v>11</v>
      </c>
      <c r="E9">
        <v>11</v>
      </c>
    </row>
    <row r="10" spans="1:5" x14ac:dyDescent="0.25">
      <c r="D10" t="s">
        <v>12</v>
      </c>
      <c r="E10">
        <v>12</v>
      </c>
    </row>
    <row r="11" spans="1:5" x14ac:dyDescent="0.25">
      <c r="D11" t="s">
        <v>13</v>
      </c>
      <c r="E11">
        <v>13</v>
      </c>
    </row>
    <row r="12" spans="1:5" x14ac:dyDescent="0.25">
      <c r="D12" t="s">
        <v>14</v>
      </c>
      <c r="E12">
        <v>14</v>
      </c>
    </row>
    <row r="13" spans="1:5" x14ac:dyDescent="0.25">
      <c r="D13" t="s">
        <v>15</v>
      </c>
      <c r="E13">
        <v>15</v>
      </c>
    </row>
    <row r="14" spans="1:5" x14ac:dyDescent="0.25">
      <c r="D14" t="s">
        <v>280</v>
      </c>
      <c r="E14">
        <v>16</v>
      </c>
    </row>
    <row r="15" spans="1:5" x14ac:dyDescent="0.25">
      <c r="D15" t="s">
        <v>422</v>
      </c>
      <c r="E15">
        <v>17</v>
      </c>
    </row>
    <row r="16" spans="1:5" x14ac:dyDescent="0.25">
      <c r="D16" t="s">
        <v>423</v>
      </c>
      <c r="E16">
        <v>18</v>
      </c>
    </row>
    <row r="17" spans="4:5" x14ac:dyDescent="0.25">
      <c r="D17" t="s">
        <v>424</v>
      </c>
      <c r="E17">
        <v>19</v>
      </c>
    </row>
    <row r="18" spans="4:5" x14ac:dyDescent="0.25">
      <c r="D18" t="s">
        <v>425</v>
      </c>
      <c r="E18">
        <v>20</v>
      </c>
    </row>
    <row r="19" spans="4:5" x14ac:dyDescent="0.25">
      <c r="D19" t="s">
        <v>426</v>
      </c>
      <c r="E19">
        <v>21</v>
      </c>
    </row>
  </sheetData>
  <phoneticPr fontId="1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E79DE-A7A2-477A-AABA-5027829E1594}">
  <sheetPr codeName="Sheet3"/>
  <dimension ref="A2:O16"/>
  <sheetViews>
    <sheetView workbookViewId="0">
      <selection activeCell="K24" sqref="K24"/>
    </sheetView>
  </sheetViews>
  <sheetFormatPr defaultRowHeight="15" x14ac:dyDescent="0.25"/>
  <cols>
    <col min="2" max="2" width="15.28515625" customWidth="1"/>
    <col min="3" max="3" width="21" customWidth="1"/>
    <col min="4" max="4" width="18.85546875" bestFit="1" customWidth="1"/>
    <col min="5" max="6" width="16.85546875" bestFit="1" customWidth="1"/>
    <col min="7" max="7" width="15.5703125" bestFit="1" customWidth="1"/>
    <col min="8" max="8" width="15.5703125" hidden="1" customWidth="1"/>
    <col min="9" max="9" width="14" hidden="1" customWidth="1"/>
    <col min="10" max="13" width="15" customWidth="1"/>
    <col min="14" max="15" width="15" hidden="1" customWidth="1"/>
  </cols>
  <sheetData>
    <row r="2" spans="1:15" ht="15.75" thickBot="1" x14ac:dyDescent="0.3">
      <c r="B2" s="431" t="s">
        <v>527</v>
      </c>
      <c r="C2" s="432"/>
      <c r="D2" s="432"/>
      <c r="E2" s="432"/>
      <c r="F2" s="432"/>
      <c r="G2" s="432"/>
      <c r="H2" s="432"/>
      <c r="I2" s="432"/>
    </row>
    <row r="3" spans="1:15" ht="48.75" thickBot="1" x14ac:dyDescent="0.3">
      <c r="B3" s="433"/>
      <c r="C3" s="434"/>
      <c r="D3" s="435" t="s">
        <v>528</v>
      </c>
      <c r="E3" s="436" t="s">
        <v>529</v>
      </c>
      <c r="F3" s="435" t="s">
        <v>530</v>
      </c>
      <c r="G3" s="436" t="s">
        <v>406</v>
      </c>
      <c r="H3" s="435" t="s">
        <v>531</v>
      </c>
      <c r="I3" s="436" t="s">
        <v>532</v>
      </c>
      <c r="J3" s="435" t="s">
        <v>528</v>
      </c>
      <c r="K3" s="436" t="s">
        <v>529</v>
      </c>
      <c r="L3" s="435" t="s">
        <v>530</v>
      </c>
      <c r="M3" s="436" t="s">
        <v>406</v>
      </c>
      <c r="N3" s="435" t="s">
        <v>531</v>
      </c>
      <c r="O3" s="436" t="s">
        <v>532</v>
      </c>
    </row>
    <row r="4" spans="1:15" ht="15.75" thickBot="1" x14ac:dyDescent="0.3">
      <c r="B4" s="433"/>
      <c r="C4" s="433"/>
      <c r="D4" s="437" t="s">
        <v>533</v>
      </c>
      <c r="E4" s="438"/>
      <c r="F4" s="438"/>
      <c r="G4" s="438"/>
      <c r="H4" s="438"/>
      <c r="I4" s="439"/>
      <c r="J4" s="437" t="s">
        <v>543</v>
      </c>
      <c r="K4" s="438"/>
      <c r="L4" s="438"/>
      <c r="M4" s="438"/>
      <c r="N4" s="438"/>
      <c r="O4" s="439"/>
    </row>
    <row r="5" spans="1:15" ht="15.75" thickBot="1" x14ac:dyDescent="0.3">
      <c r="B5" s="440"/>
      <c r="C5" s="441"/>
      <c r="D5" s="442" t="s">
        <v>447</v>
      </c>
      <c r="E5" s="443" t="s">
        <v>447</v>
      </c>
      <c r="F5" s="442" t="s">
        <v>447</v>
      </c>
      <c r="G5" s="443" t="s">
        <v>447</v>
      </c>
      <c r="H5" s="442" t="s">
        <v>447</v>
      </c>
      <c r="I5" s="443" t="s">
        <v>447</v>
      </c>
      <c r="J5" s="442" t="s">
        <v>447</v>
      </c>
      <c r="K5" s="443" t="s">
        <v>447</v>
      </c>
      <c r="L5" s="442" t="s">
        <v>447</v>
      </c>
      <c r="M5" s="443" t="s">
        <v>447</v>
      </c>
      <c r="N5" s="442" t="s">
        <v>447</v>
      </c>
      <c r="O5" s="443" t="s">
        <v>447</v>
      </c>
    </row>
    <row r="6" spans="1:15" x14ac:dyDescent="0.25">
      <c r="A6" t="s">
        <v>27</v>
      </c>
      <c r="B6" s="444" t="s">
        <v>535</v>
      </c>
      <c r="C6" s="445" t="s">
        <v>268</v>
      </c>
      <c r="D6" s="446">
        <v>20223804.02</v>
      </c>
      <c r="E6" s="447">
        <v>24973117.149999999</v>
      </c>
      <c r="F6" s="447">
        <v>49237301.009999998</v>
      </c>
      <c r="G6" s="447">
        <v>1163846.6499999999</v>
      </c>
      <c r="H6" s="447">
        <v>0</v>
      </c>
      <c r="I6" s="448">
        <v>0</v>
      </c>
      <c r="J6" s="457">
        <f>D6/SUM($D6:$I6)</f>
        <v>0.21155034058233493</v>
      </c>
      <c r="K6" s="458">
        <f t="shared" ref="K6:K15" si="0">E6/SUM($D6:$I6)</f>
        <v>0.26123035178052767</v>
      </c>
      <c r="L6" s="458">
        <f t="shared" ref="L6:L15" si="1">F6/SUM($D6:$I6)</f>
        <v>0.51504493357033843</v>
      </c>
      <c r="M6" s="458">
        <f t="shared" ref="M6:M15" si="2">G6/SUM($D6:$I6)</f>
        <v>1.2174374066798811E-2</v>
      </c>
      <c r="N6" s="458">
        <f t="shared" ref="N6:N15" si="3">H6/SUM($D6:$I6)</f>
        <v>0</v>
      </c>
      <c r="O6" s="459">
        <f t="shared" ref="O6:O15" si="4">I6/SUM($D6:$I6)</f>
        <v>0</v>
      </c>
    </row>
    <row r="7" spans="1:15" x14ac:dyDescent="0.25">
      <c r="A7" t="s">
        <v>68</v>
      </c>
      <c r="B7" s="444"/>
      <c r="C7" s="445" t="s">
        <v>536</v>
      </c>
      <c r="D7" s="449">
        <v>13348918.92</v>
      </c>
      <c r="E7" s="450">
        <v>22173114.579999998</v>
      </c>
      <c r="F7" s="450">
        <v>29580016.149999999</v>
      </c>
      <c r="G7" s="450">
        <v>1169643</v>
      </c>
      <c r="H7" s="450">
        <v>0</v>
      </c>
      <c r="I7" s="451">
        <v>0</v>
      </c>
      <c r="J7" s="460">
        <f t="shared" ref="J7:J15" si="5">D7/SUM($D7:$I7)</f>
        <v>0.20142716122401622</v>
      </c>
      <c r="K7" s="461">
        <f t="shared" si="0"/>
        <v>0.33457896868731929</v>
      </c>
      <c r="L7" s="461">
        <f t="shared" si="1"/>
        <v>0.44634466040003884</v>
      </c>
      <c r="M7" s="461">
        <f t="shared" si="2"/>
        <v>1.7649209688625631E-2</v>
      </c>
      <c r="N7" s="461">
        <f t="shared" si="3"/>
        <v>0</v>
      </c>
      <c r="O7" s="462">
        <f t="shared" si="4"/>
        <v>0</v>
      </c>
    </row>
    <row r="8" spans="1:15" x14ac:dyDescent="0.25">
      <c r="A8" t="s">
        <v>81</v>
      </c>
      <c r="B8" s="444"/>
      <c r="C8" s="445" t="s">
        <v>537</v>
      </c>
      <c r="D8" s="449">
        <v>11443871.01</v>
      </c>
      <c r="E8" s="450">
        <v>13496808.35</v>
      </c>
      <c r="F8" s="450">
        <v>27604466.120000001</v>
      </c>
      <c r="G8" s="450">
        <v>935083.18</v>
      </c>
      <c r="H8" s="450">
        <v>0</v>
      </c>
      <c r="I8" s="451">
        <v>0</v>
      </c>
      <c r="J8" s="460">
        <f t="shared" si="5"/>
        <v>0.21398321018323033</v>
      </c>
      <c r="K8" s="461">
        <f t="shared" si="0"/>
        <v>0.25237005690094966</v>
      </c>
      <c r="L8" s="461">
        <f t="shared" si="1"/>
        <v>0.51616208104671923</v>
      </c>
      <c r="M8" s="461">
        <f t="shared" si="2"/>
        <v>1.7484651869100667E-2</v>
      </c>
      <c r="N8" s="461">
        <f t="shared" si="3"/>
        <v>0</v>
      </c>
      <c r="O8" s="462">
        <f t="shared" si="4"/>
        <v>0</v>
      </c>
    </row>
    <row r="9" spans="1:15" x14ac:dyDescent="0.25">
      <c r="A9" t="s">
        <v>94</v>
      </c>
      <c r="B9" s="444"/>
      <c r="C9" s="445" t="s">
        <v>538</v>
      </c>
      <c r="D9" s="449">
        <v>1268862.97</v>
      </c>
      <c r="E9" s="450">
        <v>3404904.32</v>
      </c>
      <c r="F9" s="450">
        <v>1671804.47</v>
      </c>
      <c r="G9" s="450">
        <v>70906.44</v>
      </c>
      <c r="H9" s="450">
        <v>0</v>
      </c>
      <c r="I9" s="451">
        <v>0</v>
      </c>
      <c r="J9" s="460">
        <f t="shared" si="5"/>
        <v>0.19775068666172665</v>
      </c>
      <c r="K9" s="461">
        <f t="shared" si="0"/>
        <v>0.53065002542983775</v>
      </c>
      <c r="L9" s="461">
        <f t="shared" si="1"/>
        <v>0.26054860904849642</v>
      </c>
      <c r="M9" s="461">
        <f t="shared" si="2"/>
        <v>1.1050678859939086E-2</v>
      </c>
      <c r="N9" s="461">
        <f t="shared" si="3"/>
        <v>0</v>
      </c>
      <c r="O9" s="462">
        <f t="shared" si="4"/>
        <v>0</v>
      </c>
    </row>
    <row r="10" spans="1:15" x14ac:dyDescent="0.25">
      <c r="A10" t="s">
        <v>106</v>
      </c>
      <c r="B10" s="444"/>
      <c r="C10" s="445" t="s">
        <v>272</v>
      </c>
      <c r="D10" s="449">
        <v>4971835.93</v>
      </c>
      <c r="E10" s="450">
        <v>10417761.17</v>
      </c>
      <c r="F10" s="450">
        <v>13018386.640000001</v>
      </c>
      <c r="G10" s="450">
        <v>621026.68999999994</v>
      </c>
      <c r="H10" s="450">
        <v>0</v>
      </c>
      <c r="I10" s="451">
        <v>0</v>
      </c>
      <c r="J10" s="460">
        <f t="shared" si="5"/>
        <v>0.17127128539186651</v>
      </c>
      <c r="K10" s="461">
        <f t="shared" si="0"/>
        <v>0.3588741405815809</v>
      </c>
      <c r="L10" s="461">
        <f t="shared" si="1"/>
        <v>0.44846126158493371</v>
      </c>
      <c r="M10" s="461">
        <f t="shared" si="2"/>
        <v>2.1393312441618764E-2</v>
      </c>
      <c r="N10" s="461">
        <f t="shared" si="3"/>
        <v>0</v>
      </c>
      <c r="O10" s="462">
        <f t="shared" si="4"/>
        <v>0</v>
      </c>
    </row>
    <row r="11" spans="1:15" x14ac:dyDescent="0.25">
      <c r="A11" t="s">
        <v>138</v>
      </c>
      <c r="B11" s="444"/>
      <c r="C11" s="445" t="s">
        <v>273</v>
      </c>
      <c r="D11" s="449">
        <v>22053848.079999998</v>
      </c>
      <c r="E11" s="450">
        <v>25573056.640000001</v>
      </c>
      <c r="F11" s="450">
        <v>20788367.949999999</v>
      </c>
      <c r="G11" s="450">
        <v>690184.57</v>
      </c>
      <c r="H11" s="450">
        <v>0</v>
      </c>
      <c r="I11" s="451">
        <v>0</v>
      </c>
      <c r="J11" s="460">
        <f t="shared" si="5"/>
        <v>0.31913323434657298</v>
      </c>
      <c r="K11" s="461">
        <f t="shared" si="0"/>
        <v>0.37005842463621913</v>
      </c>
      <c r="L11" s="461">
        <f t="shared" si="1"/>
        <v>0.30082093050629821</v>
      </c>
      <c r="M11" s="461">
        <f t="shared" si="2"/>
        <v>9.9874105109097455E-3</v>
      </c>
      <c r="N11" s="461">
        <f t="shared" si="3"/>
        <v>0</v>
      </c>
      <c r="O11" s="462">
        <f t="shared" si="4"/>
        <v>0</v>
      </c>
    </row>
    <row r="12" spans="1:15" x14ac:dyDescent="0.25">
      <c r="A12" t="s">
        <v>196</v>
      </c>
      <c r="B12" s="444"/>
      <c r="C12" s="445" t="s">
        <v>274</v>
      </c>
      <c r="D12" s="449">
        <v>19008030.52</v>
      </c>
      <c r="E12" s="450">
        <v>28392824.41</v>
      </c>
      <c r="F12" s="450">
        <v>26407502.039999999</v>
      </c>
      <c r="G12" s="450">
        <v>1429965</v>
      </c>
      <c r="H12" s="450">
        <v>0</v>
      </c>
      <c r="I12" s="451">
        <v>0</v>
      </c>
      <c r="J12" s="460">
        <f t="shared" si="5"/>
        <v>0.25263761899925319</v>
      </c>
      <c r="K12" s="461">
        <f t="shared" si="0"/>
        <v>0.37737184544494701</v>
      </c>
      <c r="L12" s="461">
        <f t="shared" si="1"/>
        <v>0.35098472890622867</v>
      </c>
      <c r="M12" s="461">
        <f t="shared" si="2"/>
        <v>1.9005806649571137E-2</v>
      </c>
      <c r="N12" s="461">
        <f t="shared" si="3"/>
        <v>0</v>
      </c>
      <c r="O12" s="462">
        <f t="shared" si="4"/>
        <v>0</v>
      </c>
    </row>
    <row r="13" spans="1:15" x14ac:dyDescent="0.25">
      <c r="A13" t="s">
        <v>224</v>
      </c>
      <c r="B13" s="444"/>
      <c r="C13" s="445" t="s">
        <v>539</v>
      </c>
      <c r="D13" s="449">
        <v>0</v>
      </c>
      <c r="E13" s="450">
        <v>0</v>
      </c>
      <c r="F13" s="450">
        <v>0</v>
      </c>
      <c r="G13" s="450">
        <v>0</v>
      </c>
      <c r="H13" s="450">
        <v>0</v>
      </c>
      <c r="I13" s="451">
        <v>0</v>
      </c>
      <c r="J13" s="460" t="e">
        <f t="shared" si="5"/>
        <v>#DIV/0!</v>
      </c>
      <c r="K13" s="461" t="e">
        <f t="shared" si="0"/>
        <v>#DIV/0!</v>
      </c>
      <c r="L13" s="461" t="e">
        <f t="shared" si="1"/>
        <v>#DIV/0!</v>
      </c>
      <c r="M13" s="461" t="e">
        <f t="shared" si="2"/>
        <v>#DIV/0!</v>
      </c>
      <c r="N13" s="461" t="e">
        <f t="shared" si="3"/>
        <v>#DIV/0!</v>
      </c>
      <c r="O13" s="462" t="e">
        <f t="shared" si="4"/>
        <v>#DIV/0!</v>
      </c>
    </row>
    <row r="14" spans="1:15" x14ac:dyDescent="0.25">
      <c r="A14" t="s">
        <v>242</v>
      </c>
      <c r="B14" s="444"/>
      <c r="C14" s="445" t="s">
        <v>276</v>
      </c>
      <c r="D14" s="449">
        <v>8436111.2699999996</v>
      </c>
      <c r="E14" s="450">
        <v>10380331.800000001</v>
      </c>
      <c r="F14" s="450">
        <v>8227929.0199999996</v>
      </c>
      <c r="G14" s="450">
        <v>1554319.05</v>
      </c>
      <c r="H14" s="450">
        <v>0</v>
      </c>
      <c r="I14" s="451">
        <v>0</v>
      </c>
      <c r="J14" s="460">
        <f t="shared" si="5"/>
        <v>0.29498242519919737</v>
      </c>
      <c r="K14" s="461">
        <f t="shared" si="0"/>
        <v>0.3629652752003531</v>
      </c>
      <c r="L14" s="461">
        <f t="shared" si="1"/>
        <v>0.28770299241044217</v>
      </c>
      <c r="M14" s="461">
        <f t="shared" si="2"/>
        <v>5.4349307190007301E-2</v>
      </c>
      <c r="N14" s="461">
        <f t="shared" si="3"/>
        <v>0</v>
      </c>
      <c r="O14" s="462">
        <f t="shared" si="4"/>
        <v>0</v>
      </c>
    </row>
    <row r="15" spans="1:15" ht="15.75" thickBot="1" x14ac:dyDescent="0.3">
      <c r="A15" t="s">
        <v>258</v>
      </c>
      <c r="B15" s="452"/>
      <c r="C15" s="453" t="s">
        <v>64</v>
      </c>
      <c r="D15" s="454">
        <v>8010758.6600000001</v>
      </c>
      <c r="E15" s="455">
        <v>7873105.9299999997</v>
      </c>
      <c r="F15" s="455">
        <v>15376423.560000001</v>
      </c>
      <c r="G15" s="455">
        <v>-5605049.1100000003</v>
      </c>
      <c r="H15" s="455">
        <v>0</v>
      </c>
      <c r="I15" s="456">
        <v>0</v>
      </c>
      <c r="J15" s="463">
        <f t="shared" si="5"/>
        <v>0.31224650245940566</v>
      </c>
      <c r="K15" s="464">
        <f t="shared" si="0"/>
        <v>0.30688102019726882</v>
      </c>
      <c r="L15" s="464">
        <f t="shared" si="1"/>
        <v>0.59934828656346062</v>
      </c>
      <c r="M15" s="464">
        <f t="shared" si="2"/>
        <v>-0.21847580922013504</v>
      </c>
      <c r="N15" s="464">
        <f t="shared" si="3"/>
        <v>0</v>
      </c>
      <c r="O15" s="465">
        <f t="shared" si="4"/>
        <v>0</v>
      </c>
    </row>
    <row r="16" spans="1:15" x14ac:dyDescent="0.25">
      <c r="D16" s="518">
        <f>SUM(D6:D15)</f>
        <v>108766041.37999998</v>
      </c>
      <c r="E16" s="518">
        <f t="shared" ref="E16:I16" si="6">SUM(E6:E15)</f>
        <v>146685024.34999999</v>
      </c>
      <c r="F16" s="518">
        <f t="shared" si="6"/>
        <v>191912196.96000001</v>
      </c>
      <c r="G16" s="518">
        <f t="shared" si="6"/>
        <v>2029925.4699999997</v>
      </c>
      <c r="H16" s="518">
        <f t="shared" si="6"/>
        <v>0</v>
      </c>
      <c r="I16" s="518">
        <f t="shared" si="6"/>
        <v>0</v>
      </c>
      <c r="J16" s="519">
        <f t="shared" ref="J16" si="7">D16/SUM($D16:$I16)</f>
        <v>0.2420286827785102</v>
      </c>
      <c r="K16" s="519">
        <f t="shared" ref="K16" si="8">E16/SUM($D16:$I16)</f>
        <v>0.32640687089759557</v>
      </c>
      <c r="L16" s="519">
        <f t="shared" ref="L16" si="9">F16/SUM($D16:$I16)</f>
        <v>0.4270474097432746</v>
      </c>
      <c r="M16" s="519">
        <f t="shared" ref="M16" si="10">G16/SUM($D16:$I16)</f>
        <v>4.5170365806196291E-3</v>
      </c>
      <c r="N16" s="519">
        <f t="shared" ref="N16" si="11">H16/SUM($D16:$I16)</f>
        <v>0</v>
      </c>
      <c r="O16" s="519">
        <f t="shared" ref="O16" si="12">I16/SUM($D16:$I16)</f>
        <v>0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A4F68-30E5-4F16-B4EC-FCBDBC748163}">
  <sheetPr codeName="Sheet4"/>
  <dimension ref="A1:AH147"/>
  <sheetViews>
    <sheetView zoomScaleNormal="100" workbookViewId="0">
      <pane xSplit="3" ySplit="7" topLeftCell="D37" activePane="bottomRight" state="frozen"/>
      <selection pane="topRight" activeCell="D1" sqref="D1"/>
      <selection pane="bottomLeft" activeCell="A8" sqref="A8"/>
      <selection pane="bottomRight" activeCell="B66" sqref="B66"/>
    </sheetView>
  </sheetViews>
  <sheetFormatPr defaultRowHeight="15" x14ac:dyDescent="0.25"/>
  <cols>
    <col min="1" max="1" width="5.7109375" bestFit="1" customWidth="1"/>
    <col min="3" max="3" width="37" customWidth="1"/>
    <col min="4" max="10" width="9.7109375" customWidth="1"/>
    <col min="18" max="18" width="11.7109375" bestFit="1" customWidth="1"/>
  </cols>
  <sheetData>
    <row r="1" spans="1:34" x14ac:dyDescent="0.25">
      <c r="A1" t="s">
        <v>447</v>
      </c>
      <c r="Y1" s="22"/>
      <c r="AG1" s="19"/>
      <c r="AH1" s="19"/>
    </row>
    <row r="2" spans="1:34" x14ac:dyDescent="0.25">
      <c r="A2" t="s">
        <v>456</v>
      </c>
      <c r="AG2" s="24"/>
      <c r="AH2" s="24"/>
    </row>
    <row r="3" spans="1:34" x14ac:dyDescent="0.25">
      <c r="C3" s="23"/>
      <c r="D3" s="25"/>
      <c r="E3" s="25"/>
      <c r="F3" s="25"/>
      <c r="G3" s="25"/>
      <c r="H3" s="25"/>
      <c r="I3" s="25"/>
      <c r="J3" s="25"/>
      <c r="AG3" s="23"/>
      <c r="AH3" s="23"/>
    </row>
    <row r="4" spans="1:34" ht="15.75" thickBot="1" x14ac:dyDescent="0.3">
      <c r="D4" s="652">
        <f t="shared" ref="D4:H4" si="0">SUM(D7:D132)</f>
        <v>81754132.857317016</v>
      </c>
      <c r="E4" s="652">
        <f t="shared" si="0"/>
        <v>0</v>
      </c>
      <c r="F4" s="652">
        <f t="shared" si="0"/>
        <v>249391079.22505972</v>
      </c>
      <c r="G4" s="652">
        <f t="shared" si="0"/>
        <v>21656445.592070933</v>
      </c>
      <c r="H4" s="652">
        <f t="shared" si="0"/>
        <v>1301353.0840208398</v>
      </c>
      <c r="I4" s="652">
        <f>SUM(I7:I132)</f>
        <v>21724646.329999998</v>
      </c>
      <c r="Z4" s="19"/>
      <c r="AA4" s="19"/>
      <c r="AB4" s="19"/>
      <c r="AC4" s="19"/>
      <c r="AD4" s="19"/>
      <c r="AE4" s="19"/>
      <c r="AF4" s="19"/>
    </row>
    <row r="5" spans="1:34" s="186" customFormat="1" x14ac:dyDescent="0.25">
      <c r="A5" s="27" t="s">
        <v>281</v>
      </c>
      <c r="B5" s="27" t="s">
        <v>282</v>
      </c>
      <c r="C5" s="28" t="s">
        <v>416</v>
      </c>
      <c r="D5" s="29" t="s">
        <v>284</v>
      </c>
      <c r="E5" s="30"/>
      <c r="F5" s="30"/>
      <c r="G5" s="30"/>
      <c r="H5" s="30"/>
      <c r="I5" s="30"/>
      <c r="J5" s="30"/>
      <c r="K5" s="31" t="s">
        <v>285</v>
      </c>
      <c r="L5" s="32"/>
      <c r="M5" s="32"/>
      <c r="N5" s="32"/>
      <c r="O5" s="32"/>
      <c r="P5" s="32"/>
      <c r="Q5" s="32"/>
      <c r="R5" s="33"/>
      <c r="S5" s="36" t="s">
        <v>458</v>
      </c>
      <c r="T5" s="37"/>
      <c r="U5" s="37"/>
      <c r="V5" s="37"/>
      <c r="W5" s="37"/>
      <c r="X5" s="37"/>
      <c r="Y5" s="38"/>
      <c r="Z5" s="226" t="s">
        <v>459</v>
      </c>
      <c r="AA5" s="226"/>
      <c r="AB5" s="226"/>
      <c r="AC5" s="226"/>
      <c r="AD5" s="226"/>
      <c r="AE5" s="226"/>
      <c r="AF5" s="243"/>
    </row>
    <row r="6" spans="1:34" ht="15.75" thickBot="1" x14ac:dyDescent="0.3">
      <c r="A6" s="43" t="s">
        <v>290</v>
      </c>
      <c r="B6" s="43" t="s">
        <v>290</v>
      </c>
      <c r="C6" s="44" t="s">
        <v>291</v>
      </c>
      <c r="D6" s="330" t="s">
        <v>421</v>
      </c>
      <c r="E6" s="331" t="s">
        <v>278</v>
      </c>
      <c r="F6" s="331" t="s">
        <v>417</v>
      </c>
      <c r="G6" s="331" t="s">
        <v>455</v>
      </c>
      <c r="H6" s="331" t="s">
        <v>448</v>
      </c>
      <c r="I6" s="331" t="s">
        <v>420</v>
      </c>
      <c r="J6" s="331"/>
      <c r="K6" s="332" t="str">
        <f t="shared" ref="K6:P6" si="1">D6</f>
        <v>Reconductor</v>
      </c>
      <c r="L6" s="333" t="str">
        <f t="shared" si="1"/>
        <v>P1</v>
      </c>
      <c r="M6" s="333" t="str">
        <f t="shared" si="1"/>
        <v>P2</v>
      </c>
      <c r="N6" s="333" t="str">
        <f t="shared" si="1"/>
        <v>Lines RTS</v>
      </c>
      <c r="O6" s="333" t="str">
        <f t="shared" si="1"/>
        <v>CTG/CTS</v>
      </c>
      <c r="P6" s="333" t="str">
        <f t="shared" si="1"/>
        <v>Planned</v>
      </c>
      <c r="Q6" s="49"/>
      <c r="R6" s="50" t="s">
        <v>457</v>
      </c>
      <c r="S6" s="342" t="s">
        <v>421</v>
      </c>
      <c r="T6" s="343" t="s">
        <v>278</v>
      </c>
      <c r="U6" s="343" t="s">
        <v>417</v>
      </c>
      <c r="V6" s="343" t="s">
        <v>455</v>
      </c>
      <c r="W6" s="343" t="s">
        <v>448</v>
      </c>
      <c r="X6" s="343" t="s">
        <v>420</v>
      </c>
      <c r="Y6" s="344"/>
      <c r="Z6" s="254" t="s">
        <v>421</v>
      </c>
      <c r="AA6" s="227" t="s">
        <v>278</v>
      </c>
      <c r="AB6" s="227" t="s">
        <v>417</v>
      </c>
      <c r="AC6" s="227" t="s">
        <v>455</v>
      </c>
      <c r="AD6" s="227" t="s">
        <v>448</v>
      </c>
      <c r="AE6" s="227" t="s">
        <v>420</v>
      </c>
      <c r="AF6" s="245"/>
    </row>
    <row r="7" spans="1:34" x14ac:dyDescent="0.25">
      <c r="A7" s="63" t="s">
        <v>296</v>
      </c>
      <c r="B7" s="64" t="s">
        <v>22</v>
      </c>
      <c r="C7" s="65" t="s">
        <v>24</v>
      </c>
      <c r="D7" s="66">
        <v>0</v>
      </c>
      <c r="E7" s="67">
        <v>0</v>
      </c>
      <c r="F7" s="67">
        <v>7067323.7300000042</v>
      </c>
      <c r="G7" s="67">
        <v>0</v>
      </c>
      <c r="H7" s="67">
        <v>0</v>
      </c>
      <c r="I7" s="67">
        <v>1887098.63</v>
      </c>
      <c r="J7" s="200"/>
      <c r="K7" s="68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193"/>
      <c r="R7" s="338">
        <f>1</f>
        <v>1</v>
      </c>
      <c r="S7" s="73">
        <f t="shared" ref="S7:S38" si="2">D7*$R7</f>
        <v>0</v>
      </c>
      <c r="T7" s="74">
        <f t="shared" ref="T7:T38" si="3">E7*$R7</f>
        <v>0</v>
      </c>
      <c r="U7" s="74">
        <f t="shared" ref="U7:U38" si="4">F7*$R7</f>
        <v>7067323.7300000042</v>
      </c>
      <c r="V7" s="74">
        <f t="shared" ref="V7:V38" si="5">G7*$R7</f>
        <v>0</v>
      </c>
      <c r="W7" s="74">
        <f t="shared" ref="W7:W38" si="6">H7*$R7</f>
        <v>0</v>
      </c>
      <c r="X7" s="74">
        <f t="shared" ref="X7:X38" si="7">I7*$R7</f>
        <v>1887098.63</v>
      </c>
      <c r="Y7" s="216"/>
      <c r="Z7" s="345">
        <f t="shared" ref="Z7:Z38" si="8">K7*$R7</f>
        <v>0</v>
      </c>
      <c r="AA7" s="346">
        <f t="shared" ref="AA7:AA38" si="9">L7*$R7</f>
        <v>0</v>
      </c>
      <c r="AB7" s="346">
        <f t="shared" ref="AB7:AB38" si="10">M7*$R7</f>
        <v>0</v>
      </c>
      <c r="AC7" s="346">
        <f t="shared" ref="AC7:AC38" si="11">N7*$R7</f>
        <v>0</v>
      </c>
      <c r="AD7" s="346">
        <f t="shared" ref="AD7:AD38" si="12">O7*$R7</f>
        <v>0</v>
      </c>
      <c r="AE7" s="346">
        <f t="shared" ref="AE7:AE38" si="13">P7*$R7</f>
        <v>0</v>
      </c>
      <c r="AF7" s="247"/>
      <c r="AG7" s="25"/>
      <c r="AH7" s="187"/>
    </row>
    <row r="8" spans="1:34" x14ac:dyDescent="0.25">
      <c r="A8" s="81" t="s">
        <v>27</v>
      </c>
      <c r="B8" s="82" t="s">
        <v>25</v>
      </c>
      <c r="C8" s="83" t="s">
        <v>297</v>
      </c>
      <c r="D8" s="84">
        <v>5484322.0833206326</v>
      </c>
      <c r="E8" s="85">
        <v>0</v>
      </c>
      <c r="F8" s="85">
        <v>13897976.358397307</v>
      </c>
      <c r="G8" s="85">
        <v>6427.0352768940002</v>
      </c>
      <c r="H8" s="85">
        <v>142916.58046022497</v>
      </c>
      <c r="I8" s="85">
        <v>226483.82717733903</v>
      </c>
      <c r="J8" s="201"/>
      <c r="K8" s="86">
        <v>738</v>
      </c>
      <c r="L8" s="87">
        <v>0</v>
      </c>
      <c r="M8" s="87">
        <v>2517</v>
      </c>
      <c r="N8" s="87">
        <v>2</v>
      </c>
      <c r="O8" s="87">
        <v>21</v>
      </c>
      <c r="P8" s="87">
        <v>37</v>
      </c>
      <c r="Q8" s="194"/>
      <c r="R8" s="339">
        <f t="shared" ref="R8:R39" si="14">R7</f>
        <v>1</v>
      </c>
      <c r="S8" s="91">
        <f t="shared" si="2"/>
        <v>5484322.0833206326</v>
      </c>
      <c r="T8" s="92">
        <f t="shared" si="3"/>
        <v>0</v>
      </c>
      <c r="U8" s="92">
        <f t="shared" si="4"/>
        <v>13897976.358397307</v>
      </c>
      <c r="V8" s="92">
        <f t="shared" si="5"/>
        <v>6427.0352768940002</v>
      </c>
      <c r="W8" s="92">
        <f t="shared" si="6"/>
        <v>142916.58046022497</v>
      </c>
      <c r="X8" s="92">
        <f t="shared" si="7"/>
        <v>226483.82717733903</v>
      </c>
      <c r="Y8" s="217"/>
      <c r="Z8" s="347">
        <f t="shared" si="8"/>
        <v>738</v>
      </c>
      <c r="AA8" s="348">
        <f t="shared" si="9"/>
        <v>0</v>
      </c>
      <c r="AB8" s="348">
        <f t="shared" si="10"/>
        <v>2517</v>
      </c>
      <c r="AC8" s="348">
        <f t="shared" si="11"/>
        <v>2</v>
      </c>
      <c r="AD8" s="348">
        <f t="shared" si="12"/>
        <v>21</v>
      </c>
      <c r="AE8" s="348">
        <f t="shared" si="13"/>
        <v>37</v>
      </c>
      <c r="AF8" s="249"/>
      <c r="AG8" s="25"/>
      <c r="AH8" s="187"/>
    </row>
    <row r="9" spans="1:34" x14ac:dyDescent="0.25">
      <c r="A9" s="81" t="s">
        <v>27</v>
      </c>
      <c r="B9" s="82" t="s">
        <v>28</v>
      </c>
      <c r="C9" s="83" t="s">
        <v>29</v>
      </c>
      <c r="D9" s="84">
        <v>12343302.397893852</v>
      </c>
      <c r="E9" s="85">
        <v>0</v>
      </c>
      <c r="F9" s="85">
        <v>50158432.623420626</v>
      </c>
      <c r="G9" s="85">
        <v>392036.34936195094</v>
      </c>
      <c r="H9" s="85">
        <v>347415.60118972196</v>
      </c>
      <c r="I9" s="85">
        <v>487536.55194400094</v>
      </c>
      <c r="J9" s="201"/>
      <c r="K9" s="86">
        <v>1536</v>
      </c>
      <c r="L9" s="87">
        <v>0</v>
      </c>
      <c r="M9" s="87">
        <v>7499</v>
      </c>
      <c r="N9" s="87">
        <v>79</v>
      </c>
      <c r="O9" s="87">
        <v>84</v>
      </c>
      <c r="P9" s="87">
        <v>38</v>
      </c>
      <c r="Q9" s="194"/>
      <c r="R9" s="339">
        <f t="shared" si="14"/>
        <v>1</v>
      </c>
      <c r="S9" s="91">
        <f t="shared" si="2"/>
        <v>12343302.397893852</v>
      </c>
      <c r="T9" s="92">
        <f t="shared" si="3"/>
        <v>0</v>
      </c>
      <c r="U9" s="92">
        <f t="shared" si="4"/>
        <v>50158432.623420626</v>
      </c>
      <c r="V9" s="92">
        <f t="shared" si="5"/>
        <v>392036.34936195094</v>
      </c>
      <c r="W9" s="92">
        <f t="shared" si="6"/>
        <v>347415.60118972196</v>
      </c>
      <c r="X9" s="92">
        <f t="shared" si="7"/>
        <v>487536.55194400094</v>
      </c>
      <c r="Y9" s="217"/>
      <c r="Z9" s="347">
        <f t="shared" si="8"/>
        <v>1536</v>
      </c>
      <c r="AA9" s="348">
        <f t="shared" si="9"/>
        <v>0</v>
      </c>
      <c r="AB9" s="348">
        <f t="shared" si="10"/>
        <v>7499</v>
      </c>
      <c r="AC9" s="348">
        <f t="shared" si="11"/>
        <v>79</v>
      </c>
      <c r="AD9" s="348">
        <f t="shared" si="12"/>
        <v>84</v>
      </c>
      <c r="AE9" s="348">
        <f t="shared" si="13"/>
        <v>38</v>
      </c>
      <c r="AF9" s="249"/>
    </row>
    <row r="10" spans="1:34" x14ac:dyDescent="0.25">
      <c r="A10" s="81" t="s">
        <v>27</v>
      </c>
      <c r="B10" s="82" t="s">
        <v>30</v>
      </c>
      <c r="C10" s="83" t="s">
        <v>298</v>
      </c>
      <c r="D10" s="84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201"/>
      <c r="K10" s="86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194"/>
      <c r="R10" s="339">
        <f t="shared" si="14"/>
        <v>1</v>
      </c>
      <c r="S10" s="91">
        <f t="shared" si="2"/>
        <v>0</v>
      </c>
      <c r="T10" s="92">
        <f t="shared" si="3"/>
        <v>0</v>
      </c>
      <c r="U10" s="92">
        <f t="shared" si="4"/>
        <v>0</v>
      </c>
      <c r="V10" s="92">
        <f t="shared" si="5"/>
        <v>0</v>
      </c>
      <c r="W10" s="92">
        <f t="shared" si="6"/>
        <v>0</v>
      </c>
      <c r="X10" s="92">
        <f t="shared" si="7"/>
        <v>0</v>
      </c>
      <c r="Y10" s="217"/>
      <c r="Z10" s="347">
        <f t="shared" si="8"/>
        <v>0</v>
      </c>
      <c r="AA10" s="348">
        <f t="shared" si="9"/>
        <v>0</v>
      </c>
      <c r="AB10" s="348">
        <f t="shared" si="10"/>
        <v>0</v>
      </c>
      <c r="AC10" s="348">
        <f t="shared" si="11"/>
        <v>0</v>
      </c>
      <c r="AD10" s="348">
        <f t="shared" si="12"/>
        <v>0</v>
      </c>
      <c r="AE10" s="348">
        <f t="shared" si="13"/>
        <v>0</v>
      </c>
      <c r="AF10" s="249"/>
    </row>
    <row r="11" spans="1:34" x14ac:dyDescent="0.25">
      <c r="A11" s="81" t="s">
        <v>27</v>
      </c>
      <c r="B11" s="82" t="s">
        <v>32</v>
      </c>
      <c r="C11" s="83" t="s">
        <v>33</v>
      </c>
      <c r="D11" s="84">
        <v>1017353.6858915956</v>
      </c>
      <c r="E11" s="85">
        <v>0</v>
      </c>
      <c r="F11" s="85">
        <v>7924083.4068963053</v>
      </c>
      <c r="G11" s="85">
        <v>10243.157125678001</v>
      </c>
      <c r="H11" s="85">
        <v>124.5800000000005</v>
      </c>
      <c r="I11" s="85">
        <v>48549.214614371012</v>
      </c>
      <c r="J11" s="201"/>
      <c r="K11" s="86">
        <v>83</v>
      </c>
      <c r="L11" s="87">
        <v>0</v>
      </c>
      <c r="M11" s="87">
        <v>506</v>
      </c>
      <c r="N11" s="87">
        <v>2</v>
      </c>
      <c r="O11" s="87">
        <v>7</v>
      </c>
      <c r="P11" s="87">
        <v>1</v>
      </c>
      <c r="Q11" s="194"/>
      <c r="R11" s="339">
        <f t="shared" si="14"/>
        <v>1</v>
      </c>
      <c r="S11" s="91">
        <f t="shared" si="2"/>
        <v>1017353.6858915956</v>
      </c>
      <c r="T11" s="92">
        <f t="shared" si="3"/>
        <v>0</v>
      </c>
      <c r="U11" s="92">
        <f t="shared" si="4"/>
        <v>7924083.4068963053</v>
      </c>
      <c r="V11" s="92">
        <f t="shared" si="5"/>
        <v>10243.157125678001</v>
      </c>
      <c r="W11" s="92">
        <f t="shared" si="6"/>
        <v>124.5800000000005</v>
      </c>
      <c r="X11" s="92">
        <f t="shared" si="7"/>
        <v>48549.214614371012</v>
      </c>
      <c r="Y11" s="217"/>
      <c r="Z11" s="347">
        <f t="shared" si="8"/>
        <v>83</v>
      </c>
      <c r="AA11" s="348">
        <f t="shared" si="9"/>
        <v>0</v>
      </c>
      <c r="AB11" s="348">
        <f t="shared" si="10"/>
        <v>506</v>
      </c>
      <c r="AC11" s="348">
        <f t="shared" si="11"/>
        <v>2</v>
      </c>
      <c r="AD11" s="348">
        <f t="shared" si="12"/>
        <v>7</v>
      </c>
      <c r="AE11" s="348">
        <f t="shared" si="13"/>
        <v>1</v>
      </c>
      <c r="AF11" s="249"/>
    </row>
    <row r="12" spans="1:34" x14ac:dyDescent="0.25">
      <c r="A12" s="81" t="s">
        <v>27</v>
      </c>
      <c r="B12" s="82" t="s">
        <v>34</v>
      </c>
      <c r="C12" s="83" t="s">
        <v>35</v>
      </c>
      <c r="D12" s="84">
        <v>2463.2818126009997</v>
      </c>
      <c r="E12" s="85">
        <v>0</v>
      </c>
      <c r="F12" s="85">
        <v>50954.985998544988</v>
      </c>
      <c r="G12" s="85">
        <v>0</v>
      </c>
      <c r="H12" s="85">
        <v>0</v>
      </c>
      <c r="I12" s="85">
        <v>91531.66</v>
      </c>
      <c r="J12" s="201"/>
      <c r="K12" s="86">
        <v>0</v>
      </c>
      <c r="L12" s="87">
        <v>0</v>
      </c>
      <c r="M12" s="87">
        <v>4</v>
      </c>
      <c r="N12" s="87">
        <v>0</v>
      </c>
      <c r="O12" s="87">
        <v>0</v>
      </c>
      <c r="P12" s="87">
        <v>1</v>
      </c>
      <c r="Q12" s="194"/>
      <c r="R12" s="339">
        <f t="shared" si="14"/>
        <v>1</v>
      </c>
      <c r="S12" s="91">
        <f t="shared" si="2"/>
        <v>2463.2818126009997</v>
      </c>
      <c r="T12" s="92">
        <f t="shared" si="3"/>
        <v>0</v>
      </c>
      <c r="U12" s="92">
        <f t="shared" si="4"/>
        <v>50954.985998544988</v>
      </c>
      <c r="V12" s="92">
        <f t="shared" si="5"/>
        <v>0</v>
      </c>
      <c r="W12" s="92">
        <f t="shared" si="6"/>
        <v>0</v>
      </c>
      <c r="X12" s="92">
        <f t="shared" si="7"/>
        <v>91531.66</v>
      </c>
      <c r="Y12" s="217"/>
      <c r="Z12" s="347">
        <f t="shared" si="8"/>
        <v>0</v>
      </c>
      <c r="AA12" s="348">
        <f t="shared" si="9"/>
        <v>0</v>
      </c>
      <c r="AB12" s="348">
        <f t="shared" si="10"/>
        <v>4</v>
      </c>
      <c r="AC12" s="348">
        <f t="shared" si="11"/>
        <v>0</v>
      </c>
      <c r="AD12" s="348">
        <f t="shared" si="12"/>
        <v>0</v>
      </c>
      <c r="AE12" s="348">
        <f t="shared" si="13"/>
        <v>1</v>
      </c>
      <c r="AF12" s="249"/>
    </row>
    <row r="13" spans="1:34" x14ac:dyDescent="0.25">
      <c r="A13" s="81" t="s">
        <v>27</v>
      </c>
      <c r="B13" s="82" t="s">
        <v>36</v>
      </c>
      <c r="C13" s="83" t="s">
        <v>37</v>
      </c>
      <c r="D13" s="84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201"/>
      <c r="K13" s="86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194"/>
      <c r="R13" s="339">
        <f t="shared" si="14"/>
        <v>1</v>
      </c>
      <c r="S13" s="91">
        <f t="shared" si="2"/>
        <v>0</v>
      </c>
      <c r="T13" s="92">
        <f t="shared" si="3"/>
        <v>0</v>
      </c>
      <c r="U13" s="92">
        <f t="shared" si="4"/>
        <v>0</v>
      </c>
      <c r="V13" s="92">
        <f t="shared" si="5"/>
        <v>0</v>
      </c>
      <c r="W13" s="92">
        <f t="shared" si="6"/>
        <v>0</v>
      </c>
      <c r="X13" s="92">
        <f t="shared" si="7"/>
        <v>0</v>
      </c>
      <c r="Y13" s="217"/>
      <c r="Z13" s="347">
        <f t="shared" si="8"/>
        <v>0</v>
      </c>
      <c r="AA13" s="348">
        <f t="shared" si="9"/>
        <v>0</v>
      </c>
      <c r="AB13" s="348">
        <f t="shared" si="10"/>
        <v>0</v>
      </c>
      <c r="AC13" s="348">
        <f t="shared" si="11"/>
        <v>0</v>
      </c>
      <c r="AD13" s="348">
        <f t="shared" si="12"/>
        <v>0</v>
      </c>
      <c r="AE13" s="348">
        <f t="shared" si="13"/>
        <v>0</v>
      </c>
      <c r="AF13" s="249"/>
    </row>
    <row r="14" spans="1:34" x14ac:dyDescent="0.25">
      <c r="A14" s="81" t="s">
        <v>27</v>
      </c>
      <c r="B14" s="82" t="s">
        <v>39</v>
      </c>
      <c r="C14" s="83" t="s">
        <v>299</v>
      </c>
      <c r="D14" s="84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201"/>
      <c r="K14" s="86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194"/>
      <c r="R14" s="339">
        <f t="shared" si="14"/>
        <v>1</v>
      </c>
      <c r="S14" s="91">
        <f t="shared" si="2"/>
        <v>0</v>
      </c>
      <c r="T14" s="92">
        <f t="shared" si="3"/>
        <v>0</v>
      </c>
      <c r="U14" s="92">
        <f t="shared" si="4"/>
        <v>0</v>
      </c>
      <c r="V14" s="92">
        <f t="shared" si="5"/>
        <v>0</v>
      </c>
      <c r="W14" s="92">
        <f t="shared" si="6"/>
        <v>0</v>
      </c>
      <c r="X14" s="92">
        <f t="shared" si="7"/>
        <v>0</v>
      </c>
      <c r="Y14" s="217"/>
      <c r="Z14" s="347">
        <f t="shared" si="8"/>
        <v>0</v>
      </c>
      <c r="AA14" s="348">
        <f t="shared" si="9"/>
        <v>0</v>
      </c>
      <c r="AB14" s="348">
        <f t="shared" si="10"/>
        <v>0</v>
      </c>
      <c r="AC14" s="348">
        <f t="shared" si="11"/>
        <v>0</v>
      </c>
      <c r="AD14" s="348">
        <f t="shared" si="12"/>
        <v>0</v>
      </c>
      <c r="AE14" s="348">
        <f t="shared" si="13"/>
        <v>0</v>
      </c>
      <c r="AF14" s="249"/>
    </row>
    <row r="15" spans="1:34" x14ac:dyDescent="0.25">
      <c r="A15" s="81" t="s">
        <v>27</v>
      </c>
      <c r="B15" s="82" t="s">
        <v>41</v>
      </c>
      <c r="C15" s="83" t="s">
        <v>42</v>
      </c>
      <c r="D15" s="84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201"/>
      <c r="K15" s="86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194"/>
      <c r="R15" s="339">
        <f t="shared" si="14"/>
        <v>1</v>
      </c>
      <c r="S15" s="91">
        <f t="shared" si="2"/>
        <v>0</v>
      </c>
      <c r="T15" s="92">
        <f t="shared" si="3"/>
        <v>0</v>
      </c>
      <c r="U15" s="92">
        <f t="shared" si="4"/>
        <v>0</v>
      </c>
      <c r="V15" s="92">
        <f t="shared" si="5"/>
        <v>0</v>
      </c>
      <c r="W15" s="92">
        <f t="shared" si="6"/>
        <v>0</v>
      </c>
      <c r="X15" s="92">
        <f t="shared" si="7"/>
        <v>0</v>
      </c>
      <c r="Y15" s="217"/>
      <c r="Z15" s="347">
        <f t="shared" si="8"/>
        <v>0</v>
      </c>
      <c r="AA15" s="348">
        <f t="shared" si="9"/>
        <v>0</v>
      </c>
      <c r="AB15" s="348">
        <f t="shared" si="10"/>
        <v>0</v>
      </c>
      <c r="AC15" s="348">
        <f t="shared" si="11"/>
        <v>0</v>
      </c>
      <c r="AD15" s="348">
        <f t="shared" si="12"/>
        <v>0</v>
      </c>
      <c r="AE15" s="348">
        <f t="shared" si="13"/>
        <v>0</v>
      </c>
      <c r="AF15" s="249"/>
    </row>
    <row r="16" spans="1:34" x14ac:dyDescent="0.25">
      <c r="A16" s="81" t="s">
        <v>27</v>
      </c>
      <c r="B16" s="82" t="s">
        <v>43</v>
      </c>
      <c r="C16" s="83" t="s">
        <v>300</v>
      </c>
      <c r="D16" s="84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201"/>
      <c r="K16" s="86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194"/>
      <c r="R16" s="339">
        <f t="shared" si="14"/>
        <v>1</v>
      </c>
      <c r="S16" s="91">
        <f t="shared" si="2"/>
        <v>0</v>
      </c>
      <c r="T16" s="92">
        <f t="shared" si="3"/>
        <v>0</v>
      </c>
      <c r="U16" s="92">
        <f t="shared" si="4"/>
        <v>0</v>
      </c>
      <c r="V16" s="92">
        <f t="shared" si="5"/>
        <v>0</v>
      </c>
      <c r="W16" s="92">
        <f t="shared" si="6"/>
        <v>0</v>
      </c>
      <c r="X16" s="92">
        <f t="shared" si="7"/>
        <v>0</v>
      </c>
      <c r="Y16" s="217"/>
      <c r="Z16" s="347">
        <f t="shared" si="8"/>
        <v>0</v>
      </c>
      <c r="AA16" s="348">
        <f t="shared" si="9"/>
        <v>0</v>
      </c>
      <c r="AB16" s="348">
        <f t="shared" si="10"/>
        <v>0</v>
      </c>
      <c r="AC16" s="348">
        <f t="shared" si="11"/>
        <v>0</v>
      </c>
      <c r="AD16" s="348">
        <f t="shared" si="12"/>
        <v>0</v>
      </c>
      <c r="AE16" s="348">
        <f t="shared" si="13"/>
        <v>0</v>
      </c>
      <c r="AF16" s="249"/>
    </row>
    <row r="17" spans="1:32" x14ac:dyDescent="0.25">
      <c r="A17" s="81" t="s">
        <v>27</v>
      </c>
      <c r="B17" s="82" t="s">
        <v>45</v>
      </c>
      <c r="C17" s="83" t="s">
        <v>46</v>
      </c>
      <c r="D17" s="84">
        <v>0</v>
      </c>
      <c r="E17" s="85">
        <v>0</v>
      </c>
      <c r="F17" s="85">
        <v>0</v>
      </c>
      <c r="G17" s="85">
        <v>0</v>
      </c>
      <c r="H17" s="85">
        <v>0</v>
      </c>
      <c r="I17" s="85">
        <v>0</v>
      </c>
      <c r="J17" s="201"/>
      <c r="K17" s="86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194"/>
      <c r="R17" s="339">
        <f t="shared" si="14"/>
        <v>1</v>
      </c>
      <c r="S17" s="91">
        <f t="shared" si="2"/>
        <v>0</v>
      </c>
      <c r="T17" s="92">
        <f t="shared" si="3"/>
        <v>0</v>
      </c>
      <c r="U17" s="92">
        <f t="shared" si="4"/>
        <v>0</v>
      </c>
      <c r="V17" s="92">
        <f t="shared" si="5"/>
        <v>0</v>
      </c>
      <c r="W17" s="92">
        <f t="shared" si="6"/>
        <v>0</v>
      </c>
      <c r="X17" s="92">
        <f t="shared" si="7"/>
        <v>0</v>
      </c>
      <c r="Y17" s="217"/>
      <c r="Z17" s="347">
        <f t="shared" si="8"/>
        <v>0</v>
      </c>
      <c r="AA17" s="348">
        <f t="shared" si="9"/>
        <v>0</v>
      </c>
      <c r="AB17" s="348">
        <f t="shared" si="10"/>
        <v>0</v>
      </c>
      <c r="AC17" s="348">
        <f t="shared" si="11"/>
        <v>0</v>
      </c>
      <c r="AD17" s="348">
        <f t="shared" si="12"/>
        <v>0</v>
      </c>
      <c r="AE17" s="348">
        <f t="shared" si="13"/>
        <v>0</v>
      </c>
      <c r="AF17" s="249"/>
    </row>
    <row r="18" spans="1:32" x14ac:dyDescent="0.25">
      <c r="A18" s="81" t="s">
        <v>27</v>
      </c>
      <c r="B18" s="82" t="s">
        <v>47</v>
      </c>
      <c r="C18" s="83" t="s">
        <v>48</v>
      </c>
      <c r="D18" s="84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201"/>
      <c r="K18" s="86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194"/>
      <c r="R18" s="339">
        <f t="shared" si="14"/>
        <v>1</v>
      </c>
      <c r="S18" s="91">
        <f t="shared" si="2"/>
        <v>0</v>
      </c>
      <c r="T18" s="92">
        <f t="shared" si="3"/>
        <v>0</v>
      </c>
      <c r="U18" s="92">
        <f t="shared" si="4"/>
        <v>0</v>
      </c>
      <c r="V18" s="92">
        <f t="shared" si="5"/>
        <v>0</v>
      </c>
      <c r="W18" s="92">
        <f t="shared" si="6"/>
        <v>0</v>
      </c>
      <c r="X18" s="92">
        <f t="shared" si="7"/>
        <v>0</v>
      </c>
      <c r="Y18" s="217"/>
      <c r="Z18" s="347">
        <f t="shared" si="8"/>
        <v>0</v>
      </c>
      <c r="AA18" s="348">
        <f t="shared" si="9"/>
        <v>0</v>
      </c>
      <c r="AB18" s="348">
        <f t="shared" si="10"/>
        <v>0</v>
      </c>
      <c r="AC18" s="348">
        <f t="shared" si="11"/>
        <v>0</v>
      </c>
      <c r="AD18" s="348">
        <f t="shared" si="12"/>
        <v>0</v>
      </c>
      <c r="AE18" s="348">
        <f t="shared" si="13"/>
        <v>0</v>
      </c>
      <c r="AF18" s="249"/>
    </row>
    <row r="19" spans="1:32" x14ac:dyDescent="0.25">
      <c r="A19" s="81" t="s">
        <v>27</v>
      </c>
      <c r="B19" s="82" t="s">
        <v>49</v>
      </c>
      <c r="C19" s="83" t="s">
        <v>50</v>
      </c>
      <c r="D19" s="84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201"/>
      <c r="K19" s="86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194"/>
      <c r="R19" s="339">
        <f t="shared" si="14"/>
        <v>1</v>
      </c>
      <c r="S19" s="91">
        <f t="shared" si="2"/>
        <v>0</v>
      </c>
      <c r="T19" s="92">
        <f t="shared" si="3"/>
        <v>0</v>
      </c>
      <c r="U19" s="92">
        <f t="shared" si="4"/>
        <v>0</v>
      </c>
      <c r="V19" s="92">
        <f t="shared" si="5"/>
        <v>0</v>
      </c>
      <c r="W19" s="92">
        <f t="shared" si="6"/>
        <v>0</v>
      </c>
      <c r="X19" s="92">
        <f t="shared" si="7"/>
        <v>0</v>
      </c>
      <c r="Y19" s="217"/>
      <c r="Z19" s="347">
        <f t="shared" si="8"/>
        <v>0</v>
      </c>
      <c r="AA19" s="348">
        <f t="shared" si="9"/>
        <v>0</v>
      </c>
      <c r="AB19" s="348">
        <f t="shared" si="10"/>
        <v>0</v>
      </c>
      <c r="AC19" s="348">
        <f t="shared" si="11"/>
        <v>0</v>
      </c>
      <c r="AD19" s="348">
        <f t="shared" si="12"/>
        <v>0</v>
      </c>
      <c r="AE19" s="348">
        <f t="shared" si="13"/>
        <v>0</v>
      </c>
      <c r="AF19" s="249"/>
    </row>
    <row r="20" spans="1:32" x14ac:dyDescent="0.25">
      <c r="A20" s="81" t="s">
        <v>27</v>
      </c>
      <c r="B20" s="82" t="s">
        <v>51</v>
      </c>
      <c r="C20" s="83" t="s">
        <v>301</v>
      </c>
      <c r="D20" s="84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201"/>
      <c r="K20" s="86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194"/>
      <c r="R20" s="339">
        <f t="shared" si="14"/>
        <v>1</v>
      </c>
      <c r="S20" s="91">
        <f t="shared" si="2"/>
        <v>0</v>
      </c>
      <c r="T20" s="92">
        <f t="shared" si="3"/>
        <v>0</v>
      </c>
      <c r="U20" s="92">
        <f t="shared" si="4"/>
        <v>0</v>
      </c>
      <c r="V20" s="92">
        <f t="shared" si="5"/>
        <v>0</v>
      </c>
      <c r="W20" s="92">
        <f t="shared" si="6"/>
        <v>0</v>
      </c>
      <c r="X20" s="92">
        <f t="shared" si="7"/>
        <v>0</v>
      </c>
      <c r="Y20" s="217"/>
      <c r="Z20" s="347">
        <f t="shared" si="8"/>
        <v>0</v>
      </c>
      <c r="AA20" s="348">
        <f t="shared" si="9"/>
        <v>0</v>
      </c>
      <c r="AB20" s="348">
        <f t="shared" si="10"/>
        <v>0</v>
      </c>
      <c r="AC20" s="348">
        <f t="shared" si="11"/>
        <v>0</v>
      </c>
      <c r="AD20" s="348">
        <f t="shared" si="12"/>
        <v>0</v>
      </c>
      <c r="AE20" s="348">
        <f t="shared" si="13"/>
        <v>0</v>
      </c>
      <c r="AF20" s="249"/>
    </row>
    <row r="21" spans="1:32" x14ac:dyDescent="0.25">
      <c r="A21" s="81" t="s">
        <v>27</v>
      </c>
      <c r="B21" s="82" t="s">
        <v>53</v>
      </c>
      <c r="C21" s="83" t="s">
        <v>54</v>
      </c>
      <c r="D21" s="84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201"/>
      <c r="K21" s="86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194"/>
      <c r="R21" s="339">
        <f t="shared" si="14"/>
        <v>1</v>
      </c>
      <c r="S21" s="91">
        <f t="shared" si="2"/>
        <v>0</v>
      </c>
      <c r="T21" s="92">
        <f t="shared" si="3"/>
        <v>0</v>
      </c>
      <c r="U21" s="92">
        <f t="shared" si="4"/>
        <v>0</v>
      </c>
      <c r="V21" s="92">
        <f t="shared" si="5"/>
        <v>0</v>
      </c>
      <c r="W21" s="92">
        <f t="shared" si="6"/>
        <v>0</v>
      </c>
      <c r="X21" s="92">
        <f t="shared" si="7"/>
        <v>0</v>
      </c>
      <c r="Y21" s="217"/>
      <c r="Z21" s="347">
        <f t="shared" si="8"/>
        <v>0</v>
      </c>
      <c r="AA21" s="348">
        <f t="shared" si="9"/>
        <v>0</v>
      </c>
      <c r="AB21" s="348">
        <f t="shared" si="10"/>
        <v>0</v>
      </c>
      <c r="AC21" s="348">
        <f t="shared" si="11"/>
        <v>0</v>
      </c>
      <c r="AD21" s="348">
        <f t="shared" si="12"/>
        <v>0</v>
      </c>
      <c r="AE21" s="348">
        <f t="shared" si="13"/>
        <v>0</v>
      </c>
      <c r="AF21" s="249"/>
    </row>
    <row r="22" spans="1:32" x14ac:dyDescent="0.25">
      <c r="A22" s="81" t="s">
        <v>27</v>
      </c>
      <c r="B22" s="82" t="s">
        <v>55</v>
      </c>
      <c r="C22" s="83" t="s">
        <v>302</v>
      </c>
      <c r="D22" s="84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201"/>
      <c r="K22" s="86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194"/>
      <c r="R22" s="339">
        <f t="shared" si="14"/>
        <v>1</v>
      </c>
      <c r="S22" s="91">
        <f t="shared" si="2"/>
        <v>0</v>
      </c>
      <c r="T22" s="92">
        <f t="shared" si="3"/>
        <v>0</v>
      </c>
      <c r="U22" s="92">
        <f t="shared" si="4"/>
        <v>0</v>
      </c>
      <c r="V22" s="92">
        <f t="shared" si="5"/>
        <v>0</v>
      </c>
      <c r="W22" s="92">
        <f t="shared" si="6"/>
        <v>0</v>
      </c>
      <c r="X22" s="92">
        <f t="shared" si="7"/>
        <v>0</v>
      </c>
      <c r="Y22" s="217"/>
      <c r="Z22" s="347">
        <f t="shared" si="8"/>
        <v>0</v>
      </c>
      <c r="AA22" s="348">
        <f t="shared" si="9"/>
        <v>0</v>
      </c>
      <c r="AB22" s="348">
        <f t="shared" si="10"/>
        <v>0</v>
      </c>
      <c r="AC22" s="348">
        <f t="shared" si="11"/>
        <v>0</v>
      </c>
      <c r="AD22" s="348">
        <f t="shared" si="12"/>
        <v>0</v>
      </c>
      <c r="AE22" s="348">
        <f t="shared" si="13"/>
        <v>0</v>
      </c>
      <c r="AF22" s="249"/>
    </row>
    <row r="23" spans="1:32" x14ac:dyDescent="0.25">
      <c r="A23" s="81" t="s">
        <v>27</v>
      </c>
      <c r="B23" s="82" t="s">
        <v>57</v>
      </c>
      <c r="C23" s="83" t="s">
        <v>58</v>
      </c>
      <c r="D23" s="84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201"/>
      <c r="K23" s="86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194"/>
      <c r="R23" s="339">
        <f t="shared" si="14"/>
        <v>1</v>
      </c>
      <c r="S23" s="91">
        <f t="shared" si="2"/>
        <v>0</v>
      </c>
      <c r="T23" s="92">
        <f t="shared" si="3"/>
        <v>0</v>
      </c>
      <c r="U23" s="92">
        <f t="shared" si="4"/>
        <v>0</v>
      </c>
      <c r="V23" s="92">
        <f t="shared" si="5"/>
        <v>0</v>
      </c>
      <c r="W23" s="92">
        <f t="shared" si="6"/>
        <v>0</v>
      </c>
      <c r="X23" s="92">
        <f t="shared" si="7"/>
        <v>0</v>
      </c>
      <c r="Y23" s="217"/>
      <c r="Z23" s="347">
        <f t="shared" si="8"/>
        <v>0</v>
      </c>
      <c r="AA23" s="348">
        <f t="shared" si="9"/>
        <v>0</v>
      </c>
      <c r="AB23" s="348">
        <f t="shared" si="10"/>
        <v>0</v>
      </c>
      <c r="AC23" s="348">
        <f t="shared" si="11"/>
        <v>0</v>
      </c>
      <c r="AD23" s="348">
        <f t="shared" si="12"/>
        <v>0</v>
      </c>
      <c r="AE23" s="348">
        <f t="shared" si="13"/>
        <v>0</v>
      </c>
      <c r="AF23" s="249"/>
    </row>
    <row r="24" spans="1:32" x14ac:dyDescent="0.25">
      <c r="A24" s="81" t="s">
        <v>27</v>
      </c>
      <c r="B24" s="82" t="s">
        <v>59</v>
      </c>
      <c r="C24" s="83" t="s">
        <v>60</v>
      </c>
      <c r="D24" s="84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201"/>
      <c r="K24" s="86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194"/>
      <c r="R24" s="339">
        <f t="shared" si="14"/>
        <v>1</v>
      </c>
      <c r="S24" s="91">
        <f t="shared" si="2"/>
        <v>0</v>
      </c>
      <c r="T24" s="92">
        <f t="shared" si="3"/>
        <v>0</v>
      </c>
      <c r="U24" s="92">
        <f t="shared" si="4"/>
        <v>0</v>
      </c>
      <c r="V24" s="92">
        <f t="shared" si="5"/>
        <v>0</v>
      </c>
      <c r="W24" s="92">
        <f t="shared" si="6"/>
        <v>0</v>
      </c>
      <c r="X24" s="92">
        <f t="shared" si="7"/>
        <v>0</v>
      </c>
      <c r="Y24" s="217"/>
      <c r="Z24" s="347">
        <f t="shared" si="8"/>
        <v>0</v>
      </c>
      <c r="AA24" s="348">
        <f t="shared" si="9"/>
        <v>0</v>
      </c>
      <c r="AB24" s="348">
        <f t="shared" si="10"/>
        <v>0</v>
      </c>
      <c r="AC24" s="348">
        <f t="shared" si="11"/>
        <v>0</v>
      </c>
      <c r="AD24" s="348">
        <f t="shared" si="12"/>
        <v>0</v>
      </c>
      <c r="AE24" s="348">
        <f t="shared" si="13"/>
        <v>0</v>
      </c>
      <c r="AF24" s="249"/>
    </row>
    <row r="25" spans="1:32" x14ac:dyDescent="0.25">
      <c r="A25" s="81" t="s">
        <v>27</v>
      </c>
      <c r="B25" s="82" t="s">
        <v>61</v>
      </c>
      <c r="C25" s="83" t="s">
        <v>62</v>
      </c>
      <c r="D25" s="84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201"/>
      <c r="K25" s="86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194"/>
      <c r="R25" s="339">
        <f t="shared" si="14"/>
        <v>1</v>
      </c>
      <c r="S25" s="91">
        <f t="shared" si="2"/>
        <v>0</v>
      </c>
      <c r="T25" s="92">
        <f t="shared" si="3"/>
        <v>0</v>
      </c>
      <c r="U25" s="92">
        <f t="shared" si="4"/>
        <v>0</v>
      </c>
      <c r="V25" s="92">
        <f t="shared" si="5"/>
        <v>0</v>
      </c>
      <c r="W25" s="92">
        <f t="shared" si="6"/>
        <v>0</v>
      </c>
      <c r="X25" s="92">
        <f t="shared" si="7"/>
        <v>0</v>
      </c>
      <c r="Y25" s="217"/>
      <c r="Z25" s="347">
        <f t="shared" si="8"/>
        <v>0</v>
      </c>
      <c r="AA25" s="348">
        <f t="shared" si="9"/>
        <v>0</v>
      </c>
      <c r="AB25" s="348">
        <f t="shared" si="10"/>
        <v>0</v>
      </c>
      <c r="AC25" s="348">
        <f t="shared" si="11"/>
        <v>0</v>
      </c>
      <c r="AD25" s="348">
        <f t="shared" si="12"/>
        <v>0</v>
      </c>
      <c r="AE25" s="348">
        <f t="shared" si="13"/>
        <v>0</v>
      </c>
      <c r="AF25" s="249"/>
    </row>
    <row r="26" spans="1:32" ht="15.75" thickBot="1" x14ac:dyDescent="0.3">
      <c r="A26" s="100" t="s">
        <v>27</v>
      </c>
      <c r="B26" s="101" t="s">
        <v>303</v>
      </c>
      <c r="C26" s="102" t="s">
        <v>304</v>
      </c>
      <c r="D26" s="103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0</v>
      </c>
      <c r="J26" s="202"/>
      <c r="K26" s="105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95"/>
      <c r="R26" s="340">
        <f t="shared" si="14"/>
        <v>1</v>
      </c>
      <c r="S26" s="110">
        <f t="shared" si="2"/>
        <v>0</v>
      </c>
      <c r="T26" s="111">
        <f t="shared" si="3"/>
        <v>0</v>
      </c>
      <c r="U26" s="111">
        <f t="shared" si="4"/>
        <v>0</v>
      </c>
      <c r="V26" s="111">
        <f t="shared" si="5"/>
        <v>0</v>
      </c>
      <c r="W26" s="111">
        <f t="shared" si="6"/>
        <v>0</v>
      </c>
      <c r="X26" s="111">
        <f t="shared" si="7"/>
        <v>0</v>
      </c>
      <c r="Y26" s="218"/>
      <c r="Z26" s="349">
        <f t="shared" si="8"/>
        <v>0</v>
      </c>
      <c r="AA26" s="350">
        <f t="shared" si="9"/>
        <v>0</v>
      </c>
      <c r="AB26" s="350">
        <f t="shared" si="10"/>
        <v>0</v>
      </c>
      <c r="AC26" s="350">
        <f t="shared" si="11"/>
        <v>0</v>
      </c>
      <c r="AD26" s="350">
        <f t="shared" si="12"/>
        <v>0</v>
      </c>
      <c r="AE26" s="350">
        <f t="shared" si="13"/>
        <v>0</v>
      </c>
      <c r="AF26" s="251"/>
    </row>
    <row r="27" spans="1:32" x14ac:dyDescent="0.25">
      <c r="A27" s="63" t="s">
        <v>68</v>
      </c>
      <c r="B27" s="64" t="s">
        <v>65</v>
      </c>
      <c r="C27" s="65" t="s">
        <v>305</v>
      </c>
      <c r="D27" s="66">
        <v>3452802.8163098553</v>
      </c>
      <c r="E27" s="67">
        <v>0</v>
      </c>
      <c r="F27" s="67">
        <v>11279015.236250872</v>
      </c>
      <c r="G27" s="67">
        <v>13120.772943213015</v>
      </c>
      <c r="H27" s="67">
        <v>111338.97414399598</v>
      </c>
      <c r="I27" s="67">
        <v>67894.502821010014</v>
      </c>
      <c r="J27" s="200"/>
      <c r="K27" s="68">
        <v>1429</v>
      </c>
      <c r="L27" s="69">
        <v>0</v>
      </c>
      <c r="M27" s="69">
        <v>4520</v>
      </c>
      <c r="N27" s="69">
        <v>23</v>
      </c>
      <c r="O27" s="69">
        <v>50</v>
      </c>
      <c r="P27" s="69">
        <v>57</v>
      </c>
      <c r="Q27" s="193"/>
      <c r="R27" s="338">
        <f t="shared" si="14"/>
        <v>1</v>
      </c>
      <c r="S27" s="73">
        <f t="shared" si="2"/>
        <v>3452802.8163098553</v>
      </c>
      <c r="T27" s="74">
        <f t="shared" si="3"/>
        <v>0</v>
      </c>
      <c r="U27" s="74">
        <f t="shared" si="4"/>
        <v>11279015.236250872</v>
      </c>
      <c r="V27" s="74">
        <f t="shared" si="5"/>
        <v>13120.772943213015</v>
      </c>
      <c r="W27" s="74">
        <f t="shared" si="6"/>
        <v>111338.97414399598</v>
      </c>
      <c r="X27" s="74">
        <f t="shared" si="7"/>
        <v>67894.502821010014</v>
      </c>
      <c r="Y27" s="216"/>
      <c r="Z27" s="345">
        <f t="shared" si="8"/>
        <v>1429</v>
      </c>
      <c r="AA27" s="346">
        <f t="shared" si="9"/>
        <v>0</v>
      </c>
      <c r="AB27" s="346">
        <f t="shared" si="10"/>
        <v>4520</v>
      </c>
      <c r="AC27" s="346">
        <f t="shared" si="11"/>
        <v>23</v>
      </c>
      <c r="AD27" s="346">
        <f t="shared" si="12"/>
        <v>50</v>
      </c>
      <c r="AE27" s="346">
        <f t="shared" si="13"/>
        <v>57</v>
      </c>
      <c r="AF27" s="247"/>
    </row>
    <row r="28" spans="1:32" x14ac:dyDescent="0.25">
      <c r="A28" s="81" t="s">
        <v>68</v>
      </c>
      <c r="B28" s="82" t="s">
        <v>69</v>
      </c>
      <c r="C28" s="83" t="s">
        <v>70</v>
      </c>
      <c r="D28" s="84">
        <v>6531995.7826513574</v>
      </c>
      <c r="E28" s="85">
        <v>0</v>
      </c>
      <c r="F28" s="85">
        <v>18886384.876149479</v>
      </c>
      <c r="G28" s="85">
        <v>210968.68453841202</v>
      </c>
      <c r="H28" s="85">
        <v>49021.16143705701</v>
      </c>
      <c r="I28" s="85">
        <v>82384.444252652975</v>
      </c>
      <c r="J28" s="201"/>
      <c r="K28" s="86">
        <v>2258</v>
      </c>
      <c r="L28" s="87">
        <v>0</v>
      </c>
      <c r="M28" s="87">
        <v>6020</v>
      </c>
      <c r="N28" s="87">
        <v>187</v>
      </c>
      <c r="O28" s="87">
        <v>45</v>
      </c>
      <c r="P28" s="87">
        <v>34</v>
      </c>
      <c r="Q28" s="194"/>
      <c r="R28" s="339">
        <f t="shared" si="14"/>
        <v>1</v>
      </c>
      <c r="S28" s="91">
        <f t="shared" si="2"/>
        <v>6531995.7826513574</v>
      </c>
      <c r="T28" s="92">
        <f t="shared" si="3"/>
        <v>0</v>
      </c>
      <c r="U28" s="92">
        <f t="shared" si="4"/>
        <v>18886384.876149479</v>
      </c>
      <c r="V28" s="92">
        <f t="shared" si="5"/>
        <v>210968.68453841202</v>
      </c>
      <c r="W28" s="92">
        <f t="shared" si="6"/>
        <v>49021.16143705701</v>
      </c>
      <c r="X28" s="92">
        <f t="shared" si="7"/>
        <v>82384.444252652975</v>
      </c>
      <c r="Y28" s="217"/>
      <c r="Z28" s="347">
        <f t="shared" si="8"/>
        <v>2258</v>
      </c>
      <c r="AA28" s="348">
        <f t="shared" si="9"/>
        <v>0</v>
      </c>
      <c r="AB28" s="348">
        <f t="shared" si="10"/>
        <v>6020</v>
      </c>
      <c r="AC28" s="348">
        <f t="shared" si="11"/>
        <v>187</v>
      </c>
      <c r="AD28" s="348">
        <f t="shared" si="12"/>
        <v>45</v>
      </c>
      <c r="AE28" s="348">
        <f t="shared" si="13"/>
        <v>34</v>
      </c>
      <c r="AF28" s="249"/>
    </row>
    <row r="29" spans="1:32" x14ac:dyDescent="0.25">
      <c r="A29" s="81" t="s">
        <v>68</v>
      </c>
      <c r="B29" s="82" t="s">
        <v>71</v>
      </c>
      <c r="C29" s="83" t="s">
        <v>306</v>
      </c>
      <c r="D29" s="84">
        <v>1352394.8304370428</v>
      </c>
      <c r="E29" s="85">
        <v>0</v>
      </c>
      <c r="F29" s="85">
        <v>15381854.910585808</v>
      </c>
      <c r="G29" s="85">
        <v>142857.67157060612</v>
      </c>
      <c r="H29" s="85">
        <v>0</v>
      </c>
      <c r="I29" s="85">
        <v>38527.145660071008</v>
      </c>
      <c r="J29" s="201"/>
      <c r="K29" s="86">
        <v>671</v>
      </c>
      <c r="L29" s="87">
        <v>0</v>
      </c>
      <c r="M29" s="87">
        <v>4492</v>
      </c>
      <c r="N29" s="87">
        <v>78</v>
      </c>
      <c r="O29" s="87">
        <v>0</v>
      </c>
      <c r="P29" s="87">
        <v>18</v>
      </c>
      <c r="Q29" s="194"/>
      <c r="R29" s="339">
        <f t="shared" si="14"/>
        <v>1</v>
      </c>
      <c r="S29" s="91">
        <f t="shared" si="2"/>
        <v>1352394.8304370428</v>
      </c>
      <c r="T29" s="92">
        <f t="shared" si="3"/>
        <v>0</v>
      </c>
      <c r="U29" s="92">
        <f t="shared" si="4"/>
        <v>15381854.910585808</v>
      </c>
      <c r="V29" s="92">
        <f t="shared" si="5"/>
        <v>142857.67157060612</v>
      </c>
      <c r="W29" s="92">
        <f t="shared" si="6"/>
        <v>0</v>
      </c>
      <c r="X29" s="92">
        <f t="shared" si="7"/>
        <v>38527.145660071008</v>
      </c>
      <c r="Y29" s="217"/>
      <c r="Z29" s="347">
        <f t="shared" si="8"/>
        <v>671</v>
      </c>
      <c r="AA29" s="348">
        <f t="shared" si="9"/>
        <v>0</v>
      </c>
      <c r="AB29" s="348">
        <f t="shared" si="10"/>
        <v>4492</v>
      </c>
      <c r="AC29" s="348">
        <f t="shared" si="11"/>
        <v>78</v>
      </c>
      <c r="AD29" s="348">
        <f t="shared" si="12"/>
        <v>0</v>
      </c>
      <c r="AE29" s="348">
        <f t="shared" si="13"/>
        <v>18</v>
      </c>
      <c r="AF29" s="249"/>
    </row>
    <row r="30" spans="1:32" x14ac:dyDescent="0.25">
      <c r="A30" s="81" t="s">
        <v>68</v>
      </c>
      <c r="B30" s="82" t="s">
        <v>73</v>
      </c>
      <c r="C30" s="83" t="s">
        <v>307</v>
      </c>
      <c r="D30" s="84">
        <v>750165.55002789386</v>
      </c>
      <c r="E30" s="85">
        <v>0</v>
      </c>
      <c r="F30" s="85">
        <v>5782565.7759411484</v>
      </c>
      <c r="G30" s="85">
        <v>27943.569564813999</v>
      </c>
      <c r="H30" s="85">
        <v>-37.544236908000023</v>
      </c>
      <c r="I30" s="85">
        <v>34821.151080947995</v>
      </c>
      <c r="J30" s="201"/>
      <c r="K30" s="86">
        <v>73</v>
      </c>
      <c r="L30" s="87">
        <v>0</v>
      </c>
      <c r="M30" s="87">
        <v>1129</v>
      </c>
      <c r="N30" s="87">
        <v>121</v>
      </c>
      <c r="O30" s="87">
        <v>3</v>
      </c>
      <c r="P30" s="87">
        <v>7</v>
      </c>
      <c r="Q30" s="194"/>
      <c r="R30" s="339">
        <f t="shared" si="14"/>
        <v>1</v>
      </c>
      <c r="S30" s="91">
        <f t="shared" si="2"/>
        <v>750165.55002789386</v>
      </c>
      <c r="T30" s="92">
        <f t="shared" si="3"/>
        <v>0</v>
      </c>
      <c r="U30" s="92">
        <f t="shared" si="4"/>
        <v>5782565.7759411484</v>
      </c>
      <c r="V30" s="92">
        <f t="shared" si="5"/>
        <v>27943.569564813999</v>
      </c>
      <c r="W30" s="92">
        <f t="shared" si="6"/>
        <v>-37.544236908000023</v>
      </c>
      <c r="X30" s="92">
        <f t="shared" si="7"/>
        <v>34821.151080947995</v>
      </c>
      <c r="Y30" s="217"/>
      <c r="Z30" s="347">
        <f t="shared" si="8"/>
        <v>73</v>
      </c>
      <c r="AA30" s="348">
        <f t="shared" si="9"/>
        <v>0</v>
      </c>
      <c r="AB30" s="348">
        <f t="shared" si="10"/>
        <v>1129</v>
      </c>
      <c r="AC30" s="348">
        <f t="shared" si="11"/>
        <v>121</v>
      </c>
      <c r="AD30" s="348">
        <f t="shared" si="12"/>
        <v>3</v>
      </c>
      <c r="AE30" s="348">
        <f t="shared" si="13"/>
        <v>7</v>
      </c>
      <c r="AF30" s="249"/>
    </row>
    <row r="31" spans="1:32" x14ac:dyDescent="0.25">
      <c r="A31" s="81" t="s">
        <v>68</v>
      </c>
      <c r="B31" s="82" t="s">
        <v>75</v>
      </c>
      <c r="C31" s="83" t="s">
        <v>76</v>
      </c>
      <c r="D31" s="84">
        <v>0</v>
      </c>
      <c r="E31" s="85">
        <v>0</v>
      </c>
      <c r="F31" s="85">
        <v>315932.54908647679</v>
      </c>
      <c r="G31" s="85">
        <v>0</v>
      </c>
      <c r="H31" s="85">
        <v>0</v>
      </c>
      <c r="I31" s="85">
        <v>0</v>
      </c>
      <c r="J31" s="201"/>
      <c r="K31" s="86">
        <v>0</v>
      </c>
      <c r="L31" s="87">
        <v>0</v>
      </c>
      <c r="M31" s="87">
        <v>49</v>
      </c>
      <c r="N31" s="87">
        <v>0</v>
      </c>
      <c r="O31" s="87">
        <v>0</v>
      </c>
      <c r="P31" s="87">
        <v>0</v>
      </c>
      <c r="Q31" s="194"/>
      <c r="R31" s="339">
        <f t="shared" si="14"/>
        <v>1</v>
      </c>
      <c r="S31" s="91">
        <f t="shared" si="2"/>
        <v>0</v>
      </c>
      <c r="T31" s="92">
        <f t="shared" si="3"/>
        <v>0</v>
      </c>
      <c r="U31" s="92">
        <f t="shared" si="4"/>
        <v>315932.54908647679</v>
      </c>
      <c r="V31" s="92">
        <f t="shared" si="5"/>
        <v>0</v>
      </c>
      <c r="W31" s="92">
        <f t="shared" si="6"/>
        <v>0</v>
      </c>
      <c r="X31" s="92">
        <f t="shared" si="7"/>
        <v>0</v>
      </c>
      <c r="Y31" s="217"/>
      <c r="Z31" s="347">
        <f t="shared" si="8"/>
        <v>0</v>
      </c>
      <c r="AA31" s="348">
        <f t="shared" si="9"/>
        <v>0</v>
      </c>
      <c r="AB31" s="348">
        <f t="shared" si="10"/>
        <v>49</v>
      </c>
      <c r="AC31" s="348">
        <f t="shared" si="11"/>
        <v>0</v>
      </c>
      <c r="AD31" s="348">
        <f t="shared" si="12"/>
        <v>0</v>
      </c>
      <c r="AE31" s="348">
        <f t="shared" si="13"/>
        <v>0</v>
      </c>
      <c r="AF31" s="249"/>
    </row>
    <row r="32" spans="1:32" x14ac:dyDescent="0.25">
      <c r="A32" s="81" t="s">
        <v>68</v>
      </c>
      <c r="B32" s="82" t="s">
        <v>77</v>
      </c>
      <c r="C32" s="83" t="s">
        <v>78</v>
      </c>
      <c r="D32" s="84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201"/>
      <c r="K32" s="86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194"/>
      <c r="R32" s="339">
        <f t="shared" si="14"/>
        <v>1</v>
      </c>
      <c r="S32" s="91">
        <f t="shared" si="2"/>
        <v>0</v>
      </c>
      <c r="T32" s="92">
        <f t="shared" si="3"/>
        <v>0</v>
      </c>
      <c r="U32" s="92">
        <f t="shared" si="4"/>
        <v>0</v>
      </c>
      <c r="V32" s="92">
        <f t="shared" si="5"/>
        <v>0</v>
      </c>
      <c r="W32" s="92">
        <f t="shared" si="6"/>
        <v>0</v>
      </c>
      <c r="X32" s="92">
        <f t="shared" si="7"/>
        <v>0</v>
      </c>
      <c r="Y32" s="217"/>
      <c r="Z32" s="347">
        <f t="shared" si="8"/>
        <v>0</v>
      </c>
      <c r="AA32" s="348">
        <f t="shared" si="9"/>
        <v>0</v>
      </c>
      <c r="AB32" s="348">
        <f t="shared" si="10"/>
        <v>0</v>
      </c>
      <c r="AC32" s="348">
        <f t="shared" si="11"/>
        <v>0</v>
      </c>
      <c r="AD32" s="348">
        <f t="shared" si="12"/>
        <v>0</v>
      </c>
      <c r="AE32" s="348">
        <f t="shared" si="13"/>
        <v>0</v>
      </c>
      <c r="AF32" s="249"/>
    </row>
    <row r="33" spans="1:32" ht="15.75" thickBot="1" x14ac:dyDescent="0.3">
      <c r="A33" s="100" t="s">
        <v>68</v>
      </c>
      <c r="B33" s="101" t="s">
        <v>308</v>
      </c>
      <c r="C33" s="102" t="s">
        <v>309</v>
      </c>
      <c r="D33" s="103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202"/>
      <c r="K33" s="105">
        <v>0</v>
      </c>
      <c r="L33" s="106">
        <v>0</v>
      </c>
      <c r="M33" s="106">
        <v>0</v>
      </c>
      <c r="N33" s="106">
        <v>0</v>
      </c>
      <c r="O33" s="106">
        <v>0</v>
      </c>
      <c r="P33" s="106">
        <v>0</v>
      </c>
      <c r="Q33" s="195"/>
      <c r="R33" s="340">
        <f t="shared" si="14"/>
        <v>1</v>
      </c>
      <c r="S33" s="110">
        <f t="shared" si="2"/>
        <v>0</v>
      </c>
      <c r="T33" s="111">
        <f t="shared" si="3"/>
        <v>0</v>
      </c>
      <c r="U33" s="111">
        <f t="shared" si="4"/>
        <v>0</v>
      </c>
      <c r="V33" s="111">
        <f t="shared" si="5"/>
        <v>0</v>
      </c>
      <c r="W33" s="111">
        <f t="shared" si="6"/>
        <v>0</v>
      </c>
      <c r="X33" s="111">
        <f t="shared" si="7"/>
        <v>0</v>
      </c>
      <c r="Y33" s="218"/>
      <c r="Z33" s="349">
        <f t="shared" si="8"/>
        <v>0</v>
      </c>
      <c r="AA33" s="350">
        <f t="shared" si="9"/>
        <v>0</v>
      </c>
      <c r="AB33" s="350">
        <f t="shared" si="10"/>
        <v>0</v>
      </c>
      <c r="AC33" s="350">
        <f t="shared" si="11"/>
        <v>0</v>
      </c>
      <c r="AD33" s="350">
        <f t="shared" si="12"/>
        <v>0</v>
      </c>
      <c r="AE33" s="350">
        <f t="shared" si="13"/>
        <v>0</v>
      </c>
      <c r="AF33" s="251"/>
    </row>
    <row r="34" spans="1:32" x14ac:dyDescent="0.25">
      <c r="A34" s="63" t="s">
        <v>81</v>
      </c>
      <c r="B34" s="334" t="s">
        <v>79</v>
      </c>
      <c r="C34" s="65" t="s">
        <v>305</v>
      </c>
      <c r="D34" s="66">
        <v>4583838.4443703163</v>
      </c>
      <c r="E34" s="67">
        <v>0</v>
      </c>
      <c r="F34" s="67">
        <v>6749806.9027545126</v>
      </c>
      <c r="G34" s="67">
        <v>43286.293177403946</v>
      </c>
      <c r="H34" s="67">
        <v>172759.01772318696</v>
      </c>
      <c r="I34" s="67">
        <v>0</v>
      </c>
      <c r="J34" s="200"/>
      <c r="K34" s="119">
        <v>60.721333065333333</v>
      </c>
      <c r="L34" s="120">
        <v>0</v>
      </c>
      <c r="M34" s="120">
        <v>32.164999987666569</v>
      </c>
      <c r="N34" s="120">
        <v>0.29266666666666674</v>
      </c>
      <c r="O34" s="120">
        <v>3.8050000083333333</v>
      </c>
      <c r="P34" s="120">
        <v>0.21500000033333333</v>
      </c>
      <c r="Q34" s="196"/>
      <c r="R34" s="338">
        <f t="shared" si="14"/>
        <v>1</v>
      </c>
      <c r="S34" s="73">
        <f t="shared" si="2"/>
        <v>4583838.4443703163</v>
      </c>
      <c r="T34" s="74">
        <f t="shared" si="3"/>
        <v>0</v>
      </c>
      <c r="U34" s="74">
        <f t="shared" si="4"/>
        <v>6749806.9027545126</v>
      </c>
      <c r="V34" s="74">
        <f t="shared" si="5"/>
        <v>43286.293177403946</v>
      </c>
      <c r="W34" s="74">
        <f t="shared" si="6"/>
        <v>172759.01772318696</v>
      </c>
      <c r="X34" s="74">
        <f t="shared" si="7"/>
        <v>0</v>
      </c>
      <c r="Y34" s="216"/>
      <c r="Z34" s="353">
        <f t="shared" si="8"/>
        <v>60.721333065333333</v>
      </c>
      <c r="AA34" s="354">
        <f t="shared" si="9"/>
        <v>0</v>
      </c>
      <c r="AB34" s="354">
        <f t="shared" si="10"/>
        <v>32.164999987666569</v>
      </c>
      <c r="AC34" s="354">
        <f t="shared" si="11"/>
        <v>0.29266666666666674</v>
      </c>
      <c r="AD34" s="354">
        <f t="shared" si="12"/>
        <v>3.8050000083333333</v>
      </c>
      <c r="AE34" s="354">
        <f t="shared" si="13"/>
        <v>0.21500000033333333</v>
      </c>
      <c r="AF34" s="247"/>
    </row>
    <row r="35" spans="1:32" x14ac:dyDescent="0.25">
      <c r="A35" s="81" t="s">
        <v>81</v>
      </c>
      <c r="B35" s="82" t="s">
        <v>82</v>
      </c>
      <c r="C35" s="83" t="s">
        <v>70</v>
      </c>
      <c r="D35" s="84">
        <v>16367621.639366161</v>
      </c>
      <c r="E35" s="85">
        <v>0</v>
      </c>
      <c r="F35" s="85">
        <v>1700955.7479390074</v>
      </c>
      <c r="G35" s="85">
        <v>38195.597427163993</v>
      </c>
      <c r="H35" s="85">
        <v>212809.25655025803</v>
      </c>
      <c r="I35" s="85">
        <v>0</v>
      </c>
      <c r="J35" s="201"/>
      <c r="K35" s="125">
        <v>220.85816249366661</v>
      </c>
      <c r="L35" s="126">
        <v>0</v>
      </c>
      <c r="M35" s="126">
        <v>19.548666357000005</v>
      </c>
      <c r="N35" s="126">
        <v>3.144666571333333</v>
      </c>
      <c r="O35" s="126">
        <v>10.943333238333333</v>
      </c>
      <c r="P35" s="126">
        <v>0.18899999366666664</v>
      </c>
      <c r="Q35" s="197"/>
      <c r="R35" s="339">
        <f t="shared" si="14"/>
        <v>1</v>
      </c>
      <c r="S35" s="91">
        <f t="shared" si="2"/>
        <v>16367621.639366161</v>
      </c>
      <c r="T35" s="92">
        <f t="shared" si="3"/>
        <v>0</v>
      </c>
      <c r="U35" s="92">
        <f t="shared" si="4"/>
        <v>1700955.7479390074</v>
      </c>
      <c r="V35" s="92">
        <f t="shared" si="5"/>
        <v>38195.597427163993</v>
      </c>
      <c r="W35" s="92">
        <f t="shared" si="6"/>
        <v>212809.25655025803</v>
      </c>
      <c r="X35" s="92">
        <f t="shared" si="7"/>
        <v>0</v>
      </c>
      <c r="Y35" s="217"/>
      <c r="Z35" s="355">
        <f t="shared" si="8"/>
        <v>220.85816249366661</v>
      </c>
      <c r="AA35" s="356">
        <f t="shared" si="9"/>
        <v>0</v>
      </c>
      <c r="AB35" s="356">
        <f t="shared" si="10"/>
        <v>19.548666357000005</v>
      </c>
      <c r="AC35" s="356">
        <f t="shared" si="11"/>
        <v>3.144666571333333</v>
      </c>
      <c r="AD35" s="356">
        <f t="shared" si="12"/>
        <v>10.943333238333333</v>
      </c>
      <c r="AE35" s="356">
        <f t="shared" si="13"/>
        <v>0.18899999366666664</v>
      </c>
      <c r="AF35" s="249"/>
    </row>
    <row r="36" spans="1:32" x14ac:dyDescent="0.25">
      <c r="A36" s="81" t="s">
        <v>81</v>
      </c>
      <c r="B36" s="82" t="s">
        <v>83</v>
      </c>
      <c r="C36" s="83" t="s">
        <v>312</v>
      </c>
      <c r="D36" s="84">
        <v>924189.9406745946</v>
      </c>
      <c r="E36" s="85">
        <v>0</v>
      </c>
      <c r="F36" s="85">
        <v>1065377.7816772996</v>
      </c>
      <c r="G36" s="85">
        <v>9876.765214744999</v>
      </c>
      <c r="H36" s="85">
        <v>59413.785163716013</v>
      </c>
      <c r="I36" s="85">
        <v>0</v>
      </c>
      <c r="J36" s="201"/>
      <c r="K36" s="125">
        <v>28.371665989</v>
      </c>
      <c r="L36" s="126">
        <v>0</v>
      </c>
      <c r="M36" s="126">
        <v>27.522999105000007</v>
      </c>
      <c r="N36" s="126">
        <v>0</v>
      </c>
      <c r="O36" s="126">
        <v>3.8266665339999997</v>
      </c>
      <c r="P36" s="126">
        <v>0</v>
      </c>
      <c r="Q36" s="197"/>
      <c r="R36" s="339">
        <f t="shared" si="14"/>
        <v>1</v>
      </c>
      <c r="S36" s="91">
        <f t="shared" si="2"/>
        <v>924189.9406745946</v>
      </c>
      <c r="T36" s="92">
        <f t="shared" si="3"/>
        <v>0</v>
      </c>
      <c r="U36" s="92">
        <f t="shared" si="4"/>
        <v>1065377.7816772996</v>
      </c>
      <c r="V36" s="92">
        <f t="shared" si="5"/>
        <v>9876.765214744999</v>
      </c>
      <c r="W36" s="92">
        <f t="shared" si="6"/>
        <v>59413.785163716013</v>
      </c>
      <c r="X36" s="92">
        <f t="shared" si="7"/>
        <v>0</v>
      </c>
      <c r="Y36" s="217"/>
      <c r="Z36" s="355">
        <f t="shared" si="8"/>
        <v>28.371665989</v>
      </c>
      <c r="AA36" s="356">
        <f t="shared" si="9"/>
        <v>0</v>
      </c>
      <c r="AB36" s="356">
        <f t="shared" si="10"/>
        <v>27.522999105000007</v>
      </c>
      <c r="AC36" s="356">
        <f t="shared" si="11"/>
        <v>0</v>
      </c>
      <c r="AD36" s="356">
        <f t="shared" si="12"/>
        <v>3.8266665339999997</v>
      </c>
      <c r="AE36" s="356">
        <f t="shared" si="13"/>
        <v>0</v>
      </c>
      <c r="AF36" s="249"/>
    </row>
    <row r="37" spans="1:32" x14ac:dyDescent="0.25">
      <c r="A37" s="81" t="s">
        <v>81</v>
      </c>
      <c r="B37" s="82" t="s">
        <v>85</v>
      </c>
      <c r="C37" s="83" t="s">
        <v>314</v>
      </c>
      <c r="D37" s="84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201"/>
      <c r="K37" s="125">
        <v>0</v>
      </c>
      <c r="L37" s="126">
        <v>0</v>
      </c>
      <c r="M37" s="126">
        <v>0</v>
      </c>
      <c r="N37" s="126">
        <v>0</v>
      </c>
      <c r="O37" s="126">
        <v>0</v>
      </c>
      <c r="P37" s="126">
        <v>0</v>
      </c>
      <c r="Q37" s="197"/>
      <c r="R37" s="339">
        <f t="shared" si="14"/>
        <v>1</v>
      </c>
      <c r="S37" s="91">
        <f t="shared" si="2"/>
        <v>0</v>
      </c>
      <c r="T37" s="92">
        <f t="shared" si="3"/>
        <v>0</v>
      </c>
      <c r="U37" s="92">
        <f t="shared" si="4"/>
        <v>0</v>
      </c>
      <c r="V37" s="92">
        <f t="shared" si="5"/>
        <v>0</v>
      </c>
      <c r="W37" s="92">
        <f t="shared" si="6"/>
        <v>0</v>
      </c>
      <c r="X37" s="92">
        <f t="shared" si="7"/>
        <v>0</v>
      </c>
      <c r="Y37" s="217"/>
      <c r="Z37" s="355">
        <f t="shared" si="8"/>
        <v>0</v>
      </c>
      <c r="AA37" s="356">
        <f t="shared" si="9"/>
        <v>0</v>
      </c>
      <c r="AB37" s="356">
        <f t="shared" si="10"/>
        <v>0</v>
      </c>
      <c r="AC37" s="356">
        <f t="shared" si="11"/>
        <v>0</v>
      </c>
      <c r="AD37" s="356">
        <f t="shared" si="12"/>
        <v>0</v>
      </c>
      <c r="AE37" s="356">
        <f t="shared" si="13"/>
        <v>0</v>
      </c>
      <c r="AF37" s="249"/>
    </row>
    <row r="38" spans="1:32" x14ac:dyDescent="0.25">
      <c r="A38" s="81" t="s">
        <v>81</v>
      </c>
      <c r="B38" s="82" t="s">
        <v>87</v>
      </c>
      <c r="C38" s="83" t="s">
        <v>315</v>
      </c>
      <c r="D38" s="84">
        <v>1683960.0725900186</v>
      </c>
      <c r="E38" s="85">
        <v>0</v>
      </c>
      <c r="F38" s="85">
        <v>2384634.4434203682</v>
      </c>
      <c r="G38" s="85">
        <v>351.72711444100003</v>
      </c>
      <c r="H38" s="85">
        <v>594.029</v>
      </c>
      <c r="I38" s="85">
        <v>0</v>
      </c>
      <c r="J38" s="201"/>
      <c r="K38" s="125">
        <v>54.449331829000023</v>
      </c>
      <c r="L38" s="126">
        <v>0</v>
      </c>
      <c r="M38" s="126">
        <v>7.5123332489999992</v>
      </c>
      <c r="N38" s="126">
        <v>3.3333333333333335E-3</v>
      </c>
      <c r="O38" s="126">
        <v>0</v>
      </c>
      <c r="P38" s="126">
        <v>0</v>
      </c>
      <c r="Q38" s="197"/>
      <c r="R38" s="339">
        <f t="shared" si="14"/>
        <v>1</v>
      </c>
      <c r="S38" s="91">
        <f t="shared" si="2"/>
        <v>1683960.0725900186</v>
      </c>
      <c r="T38" s="92">
        <f t="shared" si="3"/>
        <v>0</v>
      </c>
      <c r="U38" s="92">
        <f t="shared" si="4"/>
        <v>2384634.4434203682</v>
      </c>
      <c r="V38" s="92">
        <f t="shared" si="5"/>
        <v>351.72711444100003</v>
      </c>
      <c r="W38" s="92">
        <f t="shared" si="6"/>
        <v>594.029</v>
      </c>
      <c r="X38" s="92">
        <f t="shared" si="7"/>
        <v>0</v>
      </c>
      <c r="Y38" s="217"/>
      <c r="Z38" s="355">
        <f t="shared" si="8"/>
        <v>54.449331829000023</v>
      </c>
      <c r="AA38" s="356">
        <f t="shared" si="9"/>
        <v>0</v>
      </c>
      <c r="AB38" s="356">
        <f t="shared" si="10"/>
        <v>7.5123332489999992</v>
      </c>
      <c r="AC38" s="356">
        <f t="shared" si="11"/>
        <v>3.3333333333333335E-3</v>
      </c>
      <c r="AD38" s="356">
        <f t="shared" si="12"/>
        <v>0</v>
      </c>
      <c r="AE38" s="356">
        <f t="shared" si="13"/>
        <v>0</v>
      </c>
      <c r="AF38" s="249"/>
    </row>
    <row r="39" spans="1:32" x14ac:dyDescent="0.25">
      <c r="A39" s="81" t="s">
        <v>81</v>
      </c>
      <c r="B39" s="82" t="s">
        <v>89</v>
      </c>
      <c r="C39" s="83" t="s">
        <v>74</v>
      </c>
      <c r="D39" s="84">
        <v>6223829.4040060956</v>
      </c>
      <c r="E39" s="85">
        <v>0</v>
      </c>
      <c r="F39" s="85">
        <v>318594.28973329696</v>
      </c>
      <c r="G39" s="85">
        <v>1809.829460813</v>
      </c>
      <c r="H39" s="85">
        <v>0</v>
      </c>
      <c r="I39" s="85">
        <v>492481.56000000006</v>
      </c>
      <c r="J39" s="201"/>
      <c r="K39" s="125">
        <v>0.237666667</v>
      </c>
      <c r="L39" s="126">
        <v>0</v>
      </c>
      <c r="M39" s="126">
        <v>2.9073334020000003</v>
      </c>
      <c r="N39" s="126">
        <v>0</v>
      </c>
      <c r="O39" s="126">
        <v>0</v>
      </c>
      <c r="P39" s="126">
        <v>0</v>
      </c>
      <c r="Q39" s="197"/>
      <c r="R39" s="339">
        <f t="shared" si="14"/>
        <v>1</v>
      </c>
      <c r="S39" s="91">
        <f t="shared" ref="S39:S70" si="15">D39*$R39</f>
        <v>6223829.4040060956</v>
      </c>
      <c r="T39" s="92">
        <f t="shared" ref="T39:T70" si="16">E39*$R39</f>
        <v>0</v>
      </c>
      <c r="U39" s="92">
        <f t="shared" ref="U39:U70" si="17">F39*$R39</f>
        <v>318594.28973329696</v>
      </c>
      <c r="V39" s="92">
        <f t="shared" ref="V39:V70" si="18">G39*$R39</f>
        <v>1809.829460813</v>
      </c>
      <c r="W39" s="92">
        <f t="shared" ref="W39:W70" si="19">H39*$R39</f>
        <v>0</v>
      </c>
      <c r="X39" s="92">
        <f t="shared" ref="X39:X70" si="20">I39*$R39</f>
        <v>492481.56000000006</v>
      </c>
      <c r="Y39" s="217"/>
      <c r="Z39" s="355">
        <f t="shared" ref="Z39:Z70" si="21">K39*$R39</f>
        <v>0.237666667</v>
      </c>
      <c r="AA39" s="356">
        <f t="shared" ref="AA39:AA70" si="22">L39*$R39</f>
        <v>0</v>
      </c>
      <c r="AB39" s="356">
        <f t="shared" ref="AB39:AB70" si="23">M39*$R39</f>
        <v>2.9073334020000003</v>
      </c>
      <c r="AC39" s="356">
        <f t="shared" ref="AC39:AC70" si="24">N39*$R39</f>
        <v>0</v>
      </c>
      <c r="AD39" s="356">
        <f t="shared" ref="AD39:AD70" si="25">O39*$R39</f>
        <v>0</v>
      </c>
      <c r="AE39" s="356">
        <f t="shared" ref="AE39:AE70" si="26">P39*$R39</f>
        <v>0</v>
      </c>
      <c r="AF39" s="249"/>
    </row>
    <row r="40" spans="1:32" x14ac:dyDescent="0.25">
      <c r="A40" s="81" t="s">
        <v>81</v>
      </c>
      <c r="B40" s="82" t="s">
        <v>90</v>
      </c>
      <c r="C40" s="83" t="s">
        <v>76</v>
      </c>
      <c r="D40" s="84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201"/>
      <c r="K40" s="125">
        <v>0</v>
      </c>
      <c r="L40" s="126">
        <v>0</v>
      </c>
      <c r="M40" s="126">
        <v>0</v>
      </c>
      <c r="N40" s="126">
        <v>0</v>
      </c>
      <c r="O40" s="126">
        <v>0</v>
      </c>
      <c r="P40" s="126">
        <v>0</v>
      </c>
      <c r="Q40" s="197"/>
      <c r="R40" s="339">
        <f t="shared" ref="R40:R71" si="27">R39</f>
        <v>1</v>
      </c>
      <c r="S40" s="91">
        <f t="shared" si="15"/>
        <v>0</v>
      </c>
      <c r="T40" s="92">
        <f t="shared" si="16"/>
        <v>0</v>
      </c>
      <c r="U40" s="92">
        <f t="shared" si="17"/>
        <v>0</v>
      </c>
      <c r="V40" s="92">
        <f t="shared" si="18"/>
        <v>0</v>
      </c>
      <c r="W40" s="92">
        <f t="shared" si="19"/>
        <v>0</v>
      </c>
      <c r="X40" s="92">
        <f t="shared" si="20"/>
        <v>0</v>
      </c>
      <c r="Y40" s="217"/>
      <c r="Z40" s="355">
        <f t="shared" si="21"/>
        <v>0</v>
      </c>
      <c r="AA40" s="356">
        <f t="shared" si="22"/>
        <v>0</v>
      </c>
      <c r="AB40" s="356">
        <f t="shared" si="23"/>
        <v>0</v>
      </c>
      <c r="AC40" s="356">
        <f t="shared" si="24"/>
        <v>0</v>
      </c>
      <c r="AD40" s="356">
        <f t="shared" si="25"/>
        <v>0</v>
      </c>
      <c r="AE40" s="356">
        <f t="shared" si="26"/>
        <v>0</v>
      </c>
      <c r="AF40" s="249"/>
    </row>
    <row r="41" spans="1:32" x14ac:dyDescent="0.25">
      <c r="A41" s="81" t="s">
        <v>81</v>
      </c>
      <c r="B41" s="82" t="s">
        <v>91</v>
      </c>
      <c r="C41" s="83" t="s">
        <v>78</v>
      </c>
      <c r="D41" s="84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201"/>
      <c r="K41" s="125">
        <v>0</v>
      </c>
      <c r="L41" s="126">
        <v>0</v>
      </c>
      <c r="M41" s="126">
        <v>0</v>
      </c>
      <c r="N41" s="126">
        <v>0</v>
      </c>
      <c r="O41" s="126">
        <v>0</v>
      </c>
      <c r="P41" s="126">
        <v>0</v>
      </c>
      <c r="Q41" s="197"/>
      <c r="R41" s="339">
        <f t="shared" si="27"/>
        <v>1</v>
      </c>
      <c r="S41" s="91">
        <f t="shared" si="15"/>
        <v>0</v>
      </c>
      <c r="T41" s="92">
        <f t="shared" si="16"/>
        <v>0</v>
      </c>
      <c r="U41" s="92">
        <f t="shared" si="17"/>
        <v>0</v>
      </c>
      <c r="V41" s="92">
        <f t="shared" si="18"/>
        <v>0</v>
      </c>
      <c r="W41" s="92">
        <f t="shared" si="19"/>
        <v>0</v>
      </c>
      <c r="X41" s="92">
        <f t="shared" si="20"/>
        <v>0</v>
      </c>
      <c r="Y41" s="217"/>
      <c r="Z41" s="355">
        <f t="shared" si="21"/>
        <v>0</v>
      </c>
      <c r="AA41" s="356">
        <f t="shared" si="22"/>
        <v>0</v>
      </c>
      <c r="AB41" s="356">
        <f t="shared" si="23"/>
        <v>0</v>
      </c>
      <c r="AC41" s="356">
        <f t="shared" si="24"/>
        <v>0</v>
      </c>
      <c r="AD41" s="356">
        <f t="shared" si="25"/>
        <v>0</v>
      </c>
      <c r="AE41" s="356">
        <f t="shared" si="26"/>
        <v>0</v>
      </c>
      <c r="AF41" s="249"/>
    </row>
    <row r="42" spans="1:32" ht="15.75" thickBot="1" x14ac:dyDescent="0.3">
      <c r="A42" s="100" t="s">
        <v>81</v>
      </c>
      <c r="B42" s="101" t="s">
        <v>460</v>
      </c>
      <c r="C42" s="102" t="s">
        <v>320</v>
      </c>
      <c r="D42" s="103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202"/>
      <c r="K42" s="131">
        <v>0</v>
      </c>
      <c r="L42" s="132">
        <v>0</v>
      </c>
      <c r="M42" s="132">
        <v>0</v>
      </c>
      <c r="N42" s="132">
        <v>0</v>
      </c>
      <c r="O42" s="132">
        <v>0</v>
      </c>
      <c r="P42" s="132">
        <v>0</v>
      </c>
      <c r="Q42" s="198"/>
      <c r="R42" s="340">
        <f t="shared" si="27"/>
        <v>1</v>
      </c>
      <c r="S42" s="110">
        <f t="shared" si="15"/>
        <v>0</v>
      </c>
      <c r="T42" s="111">
        <f t="shared" si="16"/>
        <v>0</v>
      </c>
      <c r="U42" s="111">
        <f t="shared" si="17"/>
        <v>0</v>
      </c>
      <c r="V42" s="111">
        <f t="shared" si="18"/>
        <v>0</v>
      </c>
      <c r="W42" s="111">
        <f t="shared" si="19"/>
        <v>0</v>
      </c>
      <c r="X42" s="111">
        <f t="shared" si="20"/>
        <v>0</v>
      </c>
      <c r="Y42" s="218"/>
      <c r="Z42" s="357">
        <f t="shared" si="21"/>
        <v>0</v>
      </c>
      <c r="AA42" s="358">
        <f t="shared" si="22"/>
        <v>0</v>
      </c>
      <c r="AB42" s="358">
        <f t="shared" si="23"/>
        <v>0</v>
      </c>
      <c r="AC42" s="358">
        <f t="shared" si="24"/>
        <v>0</v>
      </c>
      <c r="AD42" s="358">
        <f t="shared" si="25"/>
        <v>0</v>
      </c>
      <c r="AE42" s="358">
        <f t="shared" si="26"/>
        <v>0</v>
      </c>
      <c r="AF42" s="251"/>
    </row>
    <row r="43" spans="1:32" x14ac:dyDescent="0.25">
      <c r="A43" s="63" t="s">
        <v>94</v>
      </c>
      <c r="B43" s="334" t="s">
        <v>92</v>
      </c>
      <c r="C43" s="65" t="s">
        <v>305</v>
      </c>
      <c r="D43" s="66">
        <v>209535.48905627587</v>
      </c>
      <c r="E43" s="67">
        <v>0</v>
      </c>
      <c r="F43" s="67">
        <v>3572282.8378746668</v>
      </c>
      <c r="G43" s="67">
        <v>107372.92941039802</v>
      </c>
      <c r="H43" s="67">
        <v>0</v>
      </c>
      <c r="I43" s="67">
        <v>46312.035771616989</v>
      </c>
      <c r="J43" s="200"/>
      <c r="K43" s="119">
        <v>0.80233335400000005</v>
      </c>
      <c r="L43" s="120">
        <v>0</v>
      </c>
      <c r="M43" s="120">
        <v>5.181000054000001</v>
      </c>
      <c r="N43" s="120">
        <v>0.64333332300000012</v>
      </c>
      <c r="O43" s="120">
        <v>0</v>
      </c>
      <c r="P43" s="120">
        <v>0.10633333599999999</v>
      </c>
      <c r="Q43" s="196"/>
      <c r="R43" s="338">
        <f t="shared" si="27"/>
        <v>1</v>
      </c>
      <c r="S43" s="73">
        <f t="shared" si="15"/>
        <v>209535.48905627587</v>
      </c>
      <c r="T43" s="74">
        <f t="shared" si="16"/>
        <v>0</v>
      </c>
      <c r="U43" s="74">
        <f t="shared" si="17"/>
        <v>3572282.8378746668</v>
      </c>
      <c r="V43" s="74">
        <f t="shared" si="18"/>
        <v>107372.92941039802</v>
      </c>
      <c r="W43" s="74">
        <f t="shared" si="19"/>
        <v>0</v>
      </c>
      <c r="X43" s="74">
        <f t="shared" si="20"/>
        <v>46312.035771616989</v>
      </c>
      <c r="Y43" s="216"/>
      <c r="Z43" s="353">
        <f t="shared" si="21"/>
        <v>0.80233335400000005</v>
      </c>
      <c r="AA43" s="354">
        <f t="shared" si="22"/>
        <v>0</v>
      </c>
      <c r="AB43" s="354">
        <f t="shared" si="23"/>
        <v>5.181000054000001</v>
      </c>
      <c r="AC43" s="354">
        <f t="shared" si="24"/>
        <v>0.64333332300000012</v>
      </c>
      <c r="AD43" s="354">
        <f t="shared" si="25"/>
        <v>0</v>
      </c>
      <c r="AE43" s="354">
        <f t="shared" si="26"/>
        <v>0.10633333599999999</v>
      </c>
      <c r="AF43" s="247"/>
    </row>
    <row r="44" spans="1:32" x14ac:dyDescent="0.25">
      <c r="A44" s="81" t="s">
        <v>94</v>
      </c>
      <c r="B44" s="82" t="s">
        <v>95</v>
      </c>
      <c r="C44" s="83" t="s">
        <v>70</v>
      </c>
      <c r="D44" s="84">
        <v>13720.888717752001</v>
      </c>
      <c r="E44" s="85">
        <v>0</v>
      </c>
      <c r="F44" s="85">
        <v>98367.887078620843</v>
      </c>
      <c r="G44" s="85">
        <v>245.29098318199996</v>
      </c>
      <c r="H44" s="85">
        <v>0</v>
      </c>
      <c r="I44" s="85">
        <v>18883.75</v>
      </c>
      <c r="J44" s="201"/>
      <c r="K44" s="125">
        <v>1.8999999E-2</v>
      </c>
      <c r="L44" s="126">
        <v>0</v>
      </c>
      <c r="M44" s="126">
        <v>-0.45299998800000002</v>
      </c>
      <c r="N44" s="126">
        <v>0.13166666700000001</v>
      </c>
      <c r="O44" s="126">
        <v>0</v>
      </c>
      <c r="P44" s="126">
        <v>0</v>
      </c>
      <c r="Q44" s="197"/>
      <c r="R44" s="339">
        <f t="shared" si="27"/>
        <v>1</v>
      </c>
      <c r="S44" s="91">
        <f t="shared" si="15"/>
        <v>13720.888717752001</v>
      </c>
      <c r="T44" s="92">
        <f t="shared" si="16"/>
        <v>0</v>
      </c>
      <c r="U44" s="92">
        <f t="shared" si="17"/>
        <v>98367.887078620843</v>
      </c>
      <c r="V44" s="92">
        <f t="shared" si="18"/>
        <v>245.29098318199996</v>
      </c>
      <c r="W44" s="92">
        <f t="shared" si="19"/>
        <v>0</v>
      </c>
      <c r="X44" s="92">
        <f t="shared" si="20"/>
        <v>18883.75</v>
      </c>
      <c r="Y44" s="217"/>
      <c r="Z44" s="355">
        <f t="shared" si="21"/>
        <v>1.8999999E-2</v>
      </c>
      <c r="AA44" s="356">
        <f t="shared" si="22"/>
        <v>0</v>
      </c>
      <c r="AB44" s="356">
        <f t="shared" si="23"/>
        <v>-0.45299998800000002</v>
      </c>
      <c r="AC44" s="356">
        <f t="shared" si="24"/>
        <v>0.13166666700000001</v>
      </c>
      <c r="AD44" s="356">
        <f t="shared" si="25"/>
        <v>0</v>
      </c>
      <c r="AE44" s="356">
        <f t="shared" si="26"/>
        <v>0</v>
      </c>
      <c r="AF44" s="249"/>
    </row>
    <row r="45" spans="1:32" x14ac:dyDescent="0.25">
      <c r="A45" s="81" t="s">
        <v>94</v>
      </c>
      <c r="B45" s="82" t="s">
        <v>96</v>
      </c>
      <c r="C45" s="83" t="s">
        <v>72</v>
      </c>
      <c r="D45" s="84">
        <v>233813.59335617698</v>
      </c>
      <c r="E45" s="85">
        <v>0</v>
      </c>
      <c r="F45" s="85">
        <v>0</v>
      </c>
      <c r="G45" s="85">
        <v>190716.96820777489</v>
      </c>
      <c r="H45" s="85">
        <v>0</v>
      </c>
      <c r="I45" s="85">
        <v>413708.5036995539</v>
      </c>
      <c r="J45" s="201"/>
      <c r="K45" s="125">
        <v>0.58999999599999997</v>
      </c>
      <c r="L45" s="126">
        <v>0</v>
      </c>
      <c r="M45" s="126">
        <v>0</v>
      </c>
      <c r="N45" s="126">
        <v>0.490999992</v>
      </c>
      <c r="O45" s="126">
        <v>0</v>
      </c>
      <c r="P45" s="126">
        <v>0</v>
      </c>
      <c r="Q45" s="197"/>
      <c r="R45" s="339">
        <f t="shared" si="27"/>
        <v>1</v>
      </c>
      <c r="S45" s="91">
        <f t="shared" si="15"/>
        <v>233813.59335617698</v>
      </c>
      <c r="T45" s="92">
        <f t="shared" si="16"/>
        <v>0</v>
      </c>
      <c r="U45" s="92">
        <f t="shared" si="17"/>
        <v>0</v>
      </c>
      <c r="V45" s="92">
        <f t="shared" si="18"/>
        <v>190716.96820777489</v>
      </c>
      <c r="W45" s="92">
        <f t="shared" si="19"/>
        <v>0</v>
      </c>
      <c r="X45" s="92">
        <f t="shared" si="20"/>
        <v>413708.5036995539</v>
      </c>
      <c r="Y45" s="217"/>
      <c r="Z45" s="355">
        <f t="shared" si="21"/>
        <v>0.58999999599999997</v>
      </c>
      <c r="AA45" s="356">
        <f t="shared" si="22"/>
        <v>0</v>
      </c>
      <c r="AB45" s="356">
        <f t="shared" si="23"/>
        <v>0</v>
      </c>
      <c r="AC45" s="356">
        <f t="shared" si="24"/>
        <v>0.490999992</v>
      </c>
      <c r="AD45" s="356">
        <f t="shared" si="25"/>
        <v>0</v>
      </c>
      <c r="AE45" s="356">
        <f t="shared" si="26"/>
        <v>0</v>
      </c>
      <c r="AF45" s="249"/>
    </row>
    <row r="46" spans="1:32" x14ac:dyDescent="0.25">
      <c r="A46" s="81" t="s">
        <v>94</v>
      </c>
      <c r="B46" s="82" t="s">
        <v>97</v>
      </c>
      <c r="C46" s="83" t="s">
        <v>98</v>
      </c>
      <c r="D46" s="84">
        <v>0</v>
      </c>
      <c r="E46" s="85">
        <v>0</v>
      </c>
      <c r="F46" s="85">
        <v>0</v>
      </c>
      <c r="G46" s="85">
        <v>0</v>
      </c>
      <c r="H46" s="85">
        <v>0</v>
      </c>
      <c r="I46" s="85">
        <v>0</v>
      </c>
      <c r="J46" s="201"/>
      <c r="K46" s="125">
        <v>0</v>
      </c>
      <c r="L46" s="126">
        <v>0</v>
      </c>
      <c r="M46" s="126">
        <v>0</v>
      </c>
      <c r="N46" s="126">
        <v>0</v>
      </c>
      <c r="O46" s="126">
        <v>0</v>
      </c>
      <c r="P46" s="126">
        <v>0</v>
      </c>
      <c r="Q46" s="197"/>
      <c r="R46" s="339">
        <f t="shared" si="27"/>
        <v>1</v>
      </c>
      <c r="S46" s="91">
        <f t="shared" si="15"/>
        <v>0</v>
      </c>
      <c r="T46" s="92">
        <f t="shared" si="16"/>
        <v>0</v>
      </c>
      <c r="U46" s="92">
        <f t="shared" si="17"/>
        <v>0</v>
      </c>
      <c r="V46" s="92">
        <f t="shared" si="18"/>
        <v>0</v>
      </c>
      <c r="W46" s="92">
        <f t="shared" si="19"/>
        <v>0</v>
      </c>
      <c r="X46" s="92">
        <f t="shared" si="20"/>
        <v>0</v>
      </c>
      <c r="Y46" s="217"/>
      <c r="Z46" s="355">
        <f t="shared" si="21"/>
        <v>0</v>
      </c>
      <c r="AA46" s="356">
        <f t="shared" si="22"/>
        <v>0</v>
      </c>
      <c r="AB46" s="356">
        <f t="shared" si="23"/>
        <v>0</v>
      </c>
      <c r="AC46" s="356">
        <f t="shared" si="24"/>
        <v>0</v>
      </c>
      <c r="AD46" s="356">
        <f t="shared" si="25"/>
        <v>0</v>
      </c>
      <c r="AE46" s="356">
        <f t="shared" si="26"/>
        <v>0</v>
      </c>
      <c r="AF46" s="249"/>
    </row>
    <row r="47" spans="1:32" x14ac:dyDescent="0.25">
      <c r="A47" s="81" t="s">
        <v>94</v>
      </c>
      <c r="B47" s="82" t="s">
        <v>99</v>
      </c>
      <c r="C47" s="83" t="s">
        <v>100</v>
      </c>
      <c r="D47" s="84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201"/>
      <c r="K47" s="125">
        <v>0</v>
      </c>
      <c r="L47" s="126">
        <v>0</v>
      </c>
      <c r="M47" s="126">
        <v>0</v>
      </c>
      <c r="N47" s="126">
        <v>0</v>
      </c>
      <c r="O47" s="126">
        <v>0</v>
      </c>
      <c r="P47" s="126">
        <v>0</v>
      </c>
      <c r="Q47" s="197"/>
      <c r="R47" s="339">
        <f t="shared" si="27"/>
        <v>1</v>
      </c>
      <c r="S47" s="91">
        <f t="shared" si="15"/>
        <v>0</v>
      </c>
      <c r="T47" s="92">
        <f t="shared" si="16"/>
        <v>0</v>
      </c>
      <c r="U47" s="92">
        <f t="shared" si="17"/>
        <v>0</v>
      </c>
      <c r="V47" s="92">
        <f t="shared" si="18"/>
        <v>0</v>
      </c>
      <c r="W47" s="92">
        <f t="shared" si="19"/>
        <v>0</v>
      </c>
      <c r="X47" s="92">
        <f t="shared" si="20"/>
        <v>0</v>
      </c>
      <c r="Y47" s="217"/>
      <c r="Z47" s="355">
        <f t="shared" si="21"/>
        <v>0</v>
      </c>
      <c r="AA47" s="356">
        <f t="shared" si="22"/>
        <v>0</v>
      </c>
      <c r="AB47" s="356">
        <f t="shared" si="23"/>
        <v>0</v>
      </c>
      <c r="AC47" s="356">
        <f t="shared" si="24"/>
        <v>0</v>
      </c>
      <c r="AD47" s="356">
        <f t="shared" si="25"/>
        <v>0</v>
      </c>
      <c r="AE47" s="356">
        <f t="shared" si="26"/>
        <v>0</v>
      </c>
      <c r="AF47" s="249"/>
    </row>
    <row r="48" spans="1:32" x14ac:dyDescent="0.25">
      <c r="A48" s="81" t="s">
        <v>94</v>
      </c>
      <c r="B48" s="82" t="s">
        <v>101</v>
      </c>
      <c r="C48" s="83" t="s">
        <v>76</v>
      </c>
      <c r="D48" s="84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201"/>
      <c r="K48" s="125">
        <v>0</v>
      </c>
      <c r="L48" s="126">
        <v>0</v>
      </c>
      <c r="M48" s="126">
        <v>0</v>
      </c>
      <c r="N48" s="126">
        <v>0</v>
      </c>
      <c r="O48" s="126">
        <v>0</v>
      </c>
      <c r="P48" s="126">
        <v>0</v>
      </c>
      <c r="Q48" s="197"/>
      <c r="R48" s="339">
        <f t="shared" si="27"/>
        <v>1</v>
      </c>
      <c r="S48" s="91">
        <f t="shared" si="15"/>
        <v>0</v>
      </c>
      <c r="T48" s="92">
        <f t="shared" si="16"/>
        <v>0</v>
      </c>
      <c r="U48" s="92">
        <f t="shared" si="17"/>
        <v>0</v>
      </c>
      <c r="V48" s="92">
        <f t="shared" si="18"/>
        <v>0</v>
      </c>
      <c r="W48" s="92">
        <f t="shared" si="19"/>
        <v>0</v>
      </c>
      <c r="X48" s="92">
        <f t="shared" si="20"/>
        <v>0</v>
      </c>
      <c r="Y48" s="217"/>
      <c r="Z48" s="355">
        <f t="shared" si="21"/>
        <v>0</v>
      </c>
      <c r="AA48" s="356">
        <f t="shared" si="22"/>
        <v>0</v>
      </c>
      <c r="AB48" s="356">
        <f t="shared" si="23"/>
        <v>0</v>
      </c>
      <c r="AC48" s="356">
        <f t="shared" si="24"/>
        <v>0</v>
      </c>
      <c r="AD48" s="356">
        <f t="shared" si="25"/>
        <v>0</v>
      </c>
      <c r="AE48" s="356">
        <f t="shared" si="26"/>
        <v>0</v>
      </c>
      <c r="AF48" s="249"/>
    </row>
    <row r="49" spans="1:32" x14ac:dyDescent="0.25">
      <c r="A49" s="81" t="s">
        <v>94</v>
      </c>
      <c r="B49" s="82" t="s">
        <v>102</v>
      </c>
      <c r="C49" s="83" t="s">
        <v>323</v>
      </c>
      <c r="D49" s="84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201"/>
      <c r="K49" s="125">
        <v>0</v>
      </c>
      <c r="L49" s="126">
        <v>0</v>
      </c>
      <c r="M49" s="126">
        <v>0</v>
      </c>
      <c r="N49" s="126">
        <v>0</v>
      </c>
      <c r="O49" s="126">
        <v>0</v>
      </c>
      <c r="P49" s="126">
        <v>0</v>
      </c>
      <c r="Q49" s="197"/>
      <c r="R49" s="339">
        <f t="shared" si="27"/>
        <v>1</v>
      </c>
      <c r="S49" s="91">
        <f t="shared" si="15"/>
        <v>0</v>
      </c>
      <c r="T49" s="92">
        <f t="shared" si="16"/>
        <v>0</v>
      </c>
      <c r="U49" s="92">
        <f t="shared" si="17"/>
        <v>0</v>
      </c>
      <c r="V49" s="92">
        <f t="shared" si="18"/>
        <v>0</v>
      </c>
      <c r="W49" s="92">
        <f t="shared" si="19"/>
        <v>0</v>
      </c>
      <c r="X49" s="92">
        <f t="shared" si="20"/>
        <v>0</v>
      </c>
      <c r="Y49" s="217"/>
      <c r="Z49" s="355">
        <f t="shared" si="21"/>
        <v>0</v>
      </c>
      <c r="AA49" s="356">
        <f t="shared" si="22"/>
        <v>0</v>
      </c>
      <c r="AB49" s="356">
        <f t="shared" si="23"/>
        <v>0</v>
      </c>
      <c r="AC49" s="356">
        <f t="shared" si="24"/>
        <v>0</v>
      </c>
      <c r="AD49" s="356">
        <f t="shared" si="25"/>
        <v>0</v>
      </c>
      <c r="AE49" s="356">
        <f t="shared" si="26"/>
        <v>0</v>
      </c>
      <c r="AF49" s="249"/>
    </row>
    <row r="50" spans="1:32" ht="15.75" thickBot="1" x14ac:dyDescent="0.3">
      <c r="A50" s="138" t="s">
        <v>94</v>
      </c>
      <c r="B50" s="139" t="s">
        <v>461</v>
      </c>
      <c r="C50" s="102" t="s">
        <v>325</v>
      </c>
      <c r="D50" s="103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202"/>
      <c r="K50" s="131">
        <v>0</v>
      </c>
      <c r="L50" s="132">
        <v>0</v>
      </c>
      <c r="M50" s="132">
        <v>0</v>
      </c>
      <c r="N50" s="132">
        <v>0</v>
      </c>
      <c r="O50" s="132">
        <v>0</v>
      </c>
      <c r="P50" s="132">
        <v>0</v>
      </c>
      <c r="Q50" s="198"/>
      <c r="R50" s="340">
        <f t="shared" si="27"/>
        <v>1</v>
      </c>
      <c r="S50" s="110">
        <f t="shared" si="15"/>
        <v>0</v>
      </c>
      <c r="T50" s="111">
        <f t="shared" si="16"/>
        <v>0</v>
      </c>
      <c r="U50" s="111">
        <f t="shared" si="17"/>
        <v>0</v>
      </c>
      <c r="V50" s="111">
        <f t="shared" si="18"/>
        <v>0</v>
      </c>
      <c r="W50" s="111">
        <f t="shared" si="19"/>
        <v>0</v>
      </c>
      <c r="X50" s="111">
        <f t="shared" si="20"/>
        <v>0</v>
      </c>
      <c r="Y50" s="218"/>
      <c r="Z50" s="357">
        <f t="shared" si="21"/>
        <v>0</v>
      </c>
      <c r="AA50" s="358">
        <f t="shared" si="22"/>
        <v>0</v>
      </c>
      <c r="AB50" s="358">
        <f t="shared" si="23"/>
        <v>0</v>
      </c>
      <c r="AC50" s="358">
        <f t="shared" si="24"/>
        <v>0</v>
      </c>
      <c r="AD50" s="358">
        <f t="shared" si="25"/>
        <v>0</v>
      </c>
      <c r="AE50" s="358">
        <f t="shared" si="26"/>
        <v>0</v>
      </c>
      <c r="AF50" s="251"/>
    </row>
    <row r="51" spans="1:32" x14ac:dyDescent="0.25">
      <c r="A51" s="63" t="s">
        <v>106</v>
      </c>
      <c r="B51" s="64" t="s">
        <v>103</v>
      </c>
      <c r="C51" s="65" t="s">
        <v>326</v>
      </c>
      <c r="D51" s="66">
        <v>1406741.8165187486</v>
      </c>
      <c r="E51" s="67">
        <v>0</v>
      </c>
      <c r="F51" s="67">
        <v>11508930.930463031</v>
      </c>
      <c r="G51" s="67">
        <v>47852.696534496004</v>
      </c>
      <c r="H51" s="67">
        <v>0</v>
      </c>
      <c r="I51" s="67">
        <v>5343037.4931507967</v>
      </c>
      <c r="J51" s="200"/>
      <c r="K51" s="68">
        <v>1712.5890566590008</v>
      </c>
      <c r="L51" s="69">
        <v>0</v>
      </c>
      <c r="M51" s="69">
        <v>10541.794604248007</v>
      </c>
      <c r="N51" s="69">
        <v>66.299999118999992</v>
      </c>
      <c r="O51" s="69">
        <v>0</v>
      </c>
      <c r="P51" s="69">
        <v>6125.2799223210004</v>
      </c>
      <c r="Q51" s="193"/>
      <c r="R51" s="338">
        <f t="shared" si="27"/>
        <v>1</v>
      </c>
      <c r="S51" s="73">
        <f t="shared" si="15"/>
        <v>1406741.8165187486</v>
      </c>
      <c r="T51" s="74">
        <f t="shared" si="16"/>
        <v>0</v>
      </c>
      <c r="U51" s="74">
        <f t="shared" si="17"/>
        <v>11508930.930463031</v>
      </c>
      <c r="V51" s="74">
        <f t="shared" si="18"/>
        <v>47852.696534496004</v>
      </c>
      <c r="W51" s="74">
        <f t="shared" si="19"/>
        <v>0</v>
      </c>
      <c r="X51" s="74">
        <f t="shared" si="20"/>
        <v>5343037.4931507967</v>
      </c>
      <c r="Y51" s="216"/>
      <c r="Z51" s="345">
        <f t="shared" si="21"/>
        <v>1712.5890566590008</v>
      </c>
      <c r="AA51" s="346">
        <f t="shared" si="22"/>
        <v>0</v>
      </c>
      <c r="AB51" s="346">
        <f t="shared" si="23"/>
        <v>10541.794604248007</v>
      </c>
      <c r="AC51" s="346">
        <f t="shared" si="24"/>
        <v>66.299999118999992</v>
      </c>
      <c r="AD51" s="346">
        <f t="shared" si="25"/>
        <v>0</v>
      </c>
      <c r="AE51" s="346">
        <f t="shared" si="26"/>
        <v>6125.2799223210004</v>
      </c>
      <c r="AF51" s="247"/>
    </row>
    <row r="52" spans="1:32" x14ac:dyDescent="0.25">
      <c r="A52" s="81" t="s">
        <v>106</v>
      </c>
      <c r="B52" s="82" t="s">
        <v>107</v>
      </c>
      <c r="C52" s="83" t="s">
        <v>328</v>
      </c>
      <c r="D52" s="84">
        <v>1098526.0991337502</v>
      </c>
      <c r="E52" s="85">
        <v>0</v>
      </c>
      <c r="F52" s="85">
        <v>9490140.3222188354</v>
      </c>
      <c r="G52" s="85">
        <v>95001.994987627128</v>
      </c>
      <c r="H52" s="85">
        <v>0</v>
      </c>
      <c r="I52" s="85">
        <v>18198.216455591995</v>
      </c>
      <c r="J52" s="201"/>
      <c r="K52" s="86">
        <v>124.219700833</v>
      </c>
      <c r="L52" s="87">
        <v>0</v>
      </c>
      <c r="M52" s="87">
        <v>1056.5139756709843</v>
      </c>
      <c r="N52" s="87">
        <v>34.931819085000036</v>
      </c>
      <c r="O52" s="87">
        <v>0</v>
      </c>
      <c r="P52" s="87">
        <v>9.8409091550000003</v>
      </c>
      <c r="Q52" s="194"/>
      <c r="R52" s="339">
        <f t="shared" si="27"/>
        <v>1</v>
      </c>
      <c r="S52" s="91">
        <f t="shared" si="15"/>
        <v>1098526.0991337502</v>
      </c>
      <c r="T52" s="92">
        <f t="shared" si="16"/>
        <v>0</v>
      </c>
      <c r="U52" s="92">
        <f t="shared" si="17"/>
        <v>9490140.3222188354</v>
      </c>
      <c r="V52" s="92">
        <f t="shared" si="18"/>
        <v>95001.994987627128</v>
      </c>
      <c r="W52" s="92">
        <f t="shared" si="19"/>
        <v>0</v>
      </c>
      <c r="X52" s="92">
        <f t="shared" si="20"/>
        <v>18198.216455591995</v>
      </c>
      <c r="Y52" s="217"/>
      <c r="Z52" s="347">
        <f t="shared" si="21"/>
        <v>124.219700833</v>
      </c>
      <c r="AA52" s="348">
        <f t="shared" si="22"/>
        <v>0</v>
      </c>
      <c r="AB52" s="348">
        <f t="shared" si="23"/>
        <v>1056.5139756709843</v>
      </c>
      <c r="AC52" s="348">
        <f t="shared" si="24"/>
        <v>34.931819085000036</v>
      </c>
      <c r="AD52" s="348">
        <f t="shared" si="25"/>
        <v>0</v>
      </c>
      <c r="AE52" s="348">
        <f t="shared" si="26"/>
        <v>9.8409091550000003</v>
      </c>
      <c r="AF52" s="249"/>
    </row>
    <row r="53" spans="1:32" x14ac:dyDescent="0.25">
      <c r="A53" s="81" t="s">
        <v>106</v>
      </c>
      <c r="B53" s="82" t="s">
        <v>109</v>
      </c>
      <c r="C53" s="83" t="s">
        <v>329</v>
      </c>
      <c r="D53" s="84">
        <v>0</v>
      </c>
      <c r="E53" s="85">
        <v>0</v>
      </c>
      <c r="F53" s="85">
        <v>0</v>
      </c>
      <c r="G53" s="85">
        <v>0</v>
      </c>
      <c r="H53" s="85">
        <v>0</v>
      </c>
      <c r="I53" s="85">
        <v>0</v>
      </c>
      <c r="J53" s="201"/>
      <c r="K53" s="86">
        <v>0</v>
      </c>
      <c r="L53" s="87">
        <v>0</v>
      </c>
      <c r="M53" s="87">
        <v>0</v>
      </c>
      <c r="N53" s="87">
        <v>0</v>
      </c>
      <c r="O53" s="87">
        <v>0</v>
      </c>
      <c r="P53" s="87">
        <v>0</v>
      </c>
      <c r="Q53" s="194"/>
      <c r="R53" s="339">
        <f t="shared" si="27"/>
        <v>1</v>
      </c>
      <c r="S53" s="91">
        <f t="shared" si="15"/>
        <v>0</v>
      </c>
      <c r="T53" s="92">
        <f t="shared" si="16"/>
        <v>0</v>
      </c>
      <c r="U53" s="92">
        <f t="shared" si="17"/>
        <v>0</v>
      </c>
      <c r="V53" s="92">
        <f t="shared" si="18"/>
        <v>0</v>
      </c>
      <c r="W53" s="92">
        <f t="shared" si="19"/>
        <v>0</v>
      </c>
      <c r="X53" s="92">
        <f t="shared" si="20"/>
        <v>0</v>
      </c>
      <c r="Y53" s="217"/>
      <c r="Z53" s="347">
        <f t="shared" si="21"/>
        <v>0</v>
      </c>
      <c r="AA53" s="348">
        <f t="shared" si="22"/>
        <v>0</v>
      </c>
      <c r="AB53" s="348">
        <f t="shared" si="23"/>
        <v>0</v>
      </c>
      <c r="AC53" s="348">
        <f t="shared" si="24"/>
        <v>0</v>
      </c>
      <c r="AD53" s="348">
        <f t="shared" si="25"/>
        <v>0</v>
      </c>
      <c r="AE53" s="348">
        <f t="shared" si="26"/>
        <v>0</v>
      </c>
      <c r="AF53" s="249"/>
    </row>
    <row r="54" spans="1:32" x14ac:dyDescent="0.25">
      <c r="A54" s="81" t="s">
        <v>106</v>
      </c>
      <c r="B54" s="82" t="s">
        <v>111</v>
      </c>
      <c r="C54" s="83" t="s">
        <v>331</v>
      </c>
      <c r="D54" s="84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201"/>
      <c r="K54" s="86">
        <v>0</v>
      </c>
      <c r="L54" s="87">
        <v>0</v>
      </c>
      <c r="M54" s="87">
        <v>0</v>
      </c>
      <c r="N54" s="87">
        <v>0</v>
      </c>
      <c r="O54" s="87">
        <v>0</v>
      </c>
      <c r="P54" s="87">
        <v>0</v>
      </c>
      <c r="Q54" s="194"/>
      <c r="R54" s="339">
        <f t="shared" si="27"/>
        <v>1</v>
      </c>
      <c r="S54" s="91">
        <f t="shared" si="15"/>
        <v>0</v>
      </c>
      <c r="T54" s="92">
        <f t="shared" si="16"/>
        <v>0</v>
      </c>
      <c r="U54" s="92">
        <f t="shared" si="17"/>
        <v>0</v>
      </c>
      <c r="V54" s="92">
        <f t="shared" si="18"/>
        <v>0</v>
      </c>
      <c r="W54" s="92">
        <f t="shared" si="19"/>
        <v>0</v>
      </c>
      <c r="X54" s="92">
        <f t="shared" si="20"/>
        <v>0</v>
      </c>
      <c r="Y54" s="217"/>
      <c r="Z54" s="347">
        <f t="shared" si="21"/>
        <v>0</v>
      </c>
      <c r="AA54" s="348">
        <f t="shared" si="22"/>
        <v>0</v>
      </c>
      <c r="AB54" s="348">
        <f t="shared" si="23"/>
        <v>0</v>
      </c>
      <c r="AC54" s="348">
        <f t="shared" si="24"/>
        <v>0</v>
      </c>
      <c r="AD54" s="348">
        <f t="shared" si="25"/>
        <v>0</v>
      </c>
      <c r="AE54" s="348">
        <f t="shared" si="26"/>
        <v>0</v>
      </c>
      <c r="AF54" s="249"/>
    </row>
    <row r="55" spans="1:32" x14ac:dyDescent="0.25">
      <c r="A55" s="81" t="s">
        <v>106</v>
      </c>
      <c r="B55" s="82" t="s">
        <v>113</v>
      </c>
      <c r="C55" s="83" t="s">
        <v>333</v>
      </c>
      <c r="D55" s="84">
        <v>0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201"/>
      <c r="K55" s="86">
        <v>0</v>
      </c>
      <c r="L55" s="87">
        <v>0</v>
      </c>
      <c r="M55" s="87">
        <v>0</v>
      </c>
      <c r="N55" s="87">
        <v>0</v>
      </c>
      <c r="O55" s="87">
        <v>0</v>
      </c>
      <c r="P55" s="87">
        <v>0</v>
      </c>
      <c r="Q55" s="194"/>
      <c r="R55" s="339">
        <f t="shared" si="27"/>
        <v>1</v>
      </c>
      <c r="S55" s="91">
        <f t="shared" si="15"/>
        <v>0</v>
      </c>
      <c r="T55" s="92">
        <f t="shared" si="16"/>
        <v>0</v>
      </c>
      <c r="U55" s="92">
        <f t="shared" si="17"/>
        <v>0</v>
      </c>
      <c r="V55" s="92">
        <f t="shared" si="18"/>
        <v>0</v>
      </c>
      <c r="W55" s="92">
        <f t="shared" si="19"/>
        <v>0</v>
      </c>
      <c r="X55" s="92">
        <f t="shared" si="20"/>
        <v>0</v>
      </c>
      <c r="Y55" s="217"/>
      <c r="Z55" s="347">
        <f t="shared" si="21"/>
        <v>0</v>
      </c>
      <c r="AA55" s="348">
        <f t="shared" si="22"/>
        <v>0</v>
      </c>
      <c r="AB55" s="348">
        <f t="shared" si="23"/>
        <v>0</v>
      </c>
      <c r="AC55" s="348">
        <f t="shared" si="24"/>
        <v>0</v>
      </c>
      <c r="AD55" s="348">
        <f t="shared" si="25"/>
        <v>0</v>
      </c>
      <c r="AE55" s="348">
        <f t="shared" si="26"/>
        <v>0</v>
      </c>
      <c r="AF55" s="249"/>
    </row>
    <row r="56" spans="1:32" x14ac:dyDescent="0.25">
      <c r="A56" s="81" t="s">
        <v>106</v>
      </c>
      <c r="B56" s="82" t="s">
        <v>115</v>
      </c>
      <c r="C56" s="83" t="s">
        <v>335</v>
      </c>
      <c r="D56" s="84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201"/>
      <c r="K56" s="86">
        <v>0</v>
      </c>
      <c r="L56" s="87">
        <v>0</v>
      </c>
      <c r="M56" s="87">
        <v>0</v>
      </c>
      <c r="N56" s="87">
        <v>0</v>
      </c>
      <c r="O56" s="87">
        <v>0</v>
      </c>
      <c r="P56" s="87">
        <v>0</v>
      </c>
      <c r="Q56" s="194"/>
      <c r="R56" s="339">
        <f t="shared" si="27"/>
        <v>1</v>
      </c>
      <c r="S56" s="91">
        <f t="shared" si="15"/>
        <v>0</v>
      </c>
      <c r="T56" s="92">
        <f t="shared" si="16"/>
        <v>0</v>
      </c>
      <c r="U56" s="92">
        <f t="shared" si="17"/>
        <v>0</v>
      </c>
      <c r="V56" s="92">
        <f t="shared" si="18"/>
        <v>0</v>
      </c>
      <c r="W56" s="92">
        <f t="shared" si="19"/>
        <v>0</v>
      </c>
      <c r="X56" s="92">
        <f t="shared" si="20"/>
        <v>0</v>
      </c>
      <c r="Y56" s="217"/>
      <c r="Z56" s="347">
        <f t="shared" si="21"/>
        <v>0</v>
      </c>
      <c r="AA56" s="348">
        <f t="shared" si="22"/>
        <v>0</v>
      </c>
      <c r="AB56" s="348">
        <f t="shared" si="23"/>
        <v>0</v>
      </c>
      <c r="AC56" s="348">
        <f t="shared" si="24"/>
        <v>0</v>
      </c>
      <c r="AD56" s="348">
        <f t="shared" si="25"/>
        <v>0</v>
      </c>
      <c r="AE56" s="348">
        <f t="shared" si="26"/>
        <v>0</v>
      </c>
      <c r="AF56" s="249"/>
    </row>
    <row r="57" spans="1:32" x14ac:dyDescent="0.25">
      <c r="A57" s="81" t="s">
        <v>106</v>
      </c>
      <c r="B57" s="82" t="s">
        <v>117</v>
      </c>
      <c r="C57" s="83" t="s">
        <v>337</v>
      </c>
      <c r="D57" s="84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201"/>
      <c r="K57" s="86">
        <v>0</v>
      </c>
      <c r="L57" s="87">
        <v>0</v>
      </c>
      <c r="M57" s="87">
        <v>0</v>
      </c>
      <c r="N57" s="87">
        <v>0</v>
      </c>
      <c r="O57" s="87">
        <v>0</v>
      </c>
      <c r="P57" s="87">
        <v>0</v>
      </c>
      <c r="Q57" s="194"/>
      <c r="R57" s="339">
        <f t="shared" si="27"/>
        <v>1</v>
      </c>
      <c r="S57" s="91">
        <f t="shared" si="15"/>
        <v>0</v>
      </c>
      <c r="T57" s="92">
        <f t="shared" si="16"/>
        <v>0</v>
      </c>
      <c r="U57" s="92">
        <f t="shared" si="17"/>
        <v>0</v>
      </c>
      <c r="V57" s="92">
        <f t="shared" si="18"/>
        <v>0</v>
      </c>
      <c r="W57" s="92">
        <f t="shared" si="19"/>
        <v>0</v>
      </c>
      <c r="X57" s="92">
        <f t="shared" si="20"/>
        <v>0</v>
      </c>
      <c r="Y57" s="217"/>
      <c r="Z57" s="347">
        <f t="shared" si="21"/>
        <v>0</v>
      </c>
      <c r="AA57" s="348">
        <f t="shared" si="22"/>
        <v>0</v>
      </c>
      <c r="AB57" s="348">
        <f t="shared" si="23"/>
        <v>0</v>
      </c>
      <c r="AC57" s="348">
        <f t="shared" si="24"/>
        <v>0</v>
      </c>
      <c r="AD57" s="348">
        <f t="shared" si="25"/>
        <v>0</v>
      </c>
      <c r="AE57" s="348">
        <f t="shared" si="26"/>
        <v>0</v>
      </c>
      <c r="AF57" s="249"/>
    </row>
    <row r="58" spans="1:32" x14ac:dyDescent="0.25">
      <c r="A58" s="81" t="s">
        <v>106</v>
      </c>
      <c r="B58" s="82" t="s">
        <v>119</v>
      </c>
      <c r="C58" s="83" t="s">
        <v>339</v>
      </c>
      <c r="D58" s="84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201"/>
      <c r="K58" s="86">
        <v>0</v>
      </c>
      <c r="L58" s="87">
        <v>0</v>
      </c>
      <c r="M58" s="87">
        <v>0</v>
      </c>
      <c r="N58" s="87">
        <v>0</v>
      </c>
      <c r="O58" s="87">
        <v>0</v>
      </c>
      <c r="P58" s="87">
        <v>0</v>
      </c>
      <c r="Q58" s="194"/>
      <c r="R58" s="339">
        <f t="shared" si="27"/>
        <v>1</v>
      </c>
      <c r="S58" s="91">
        <f t="shared" si="15"/>
        <v>0</v>
      </c>
      <c r="T58" s="92">
        <f t="shared" si="16"/>
        <v>0</v>
      </c>
      <c r="U58" s="92">
        <f t="shared" si="17"/>
        <v>0</v>
      </c>
      <c r="V58" s="92">
        <f t="shared" si="18"/>
        <v>0</v>
      </c>
      <c r="W58" s="92">
        <f t="shared" si="19"/>
        <v>0</v>
      </c>
      <c r="X58" s="92">
        <f t="shared" si="20"/>
        <v>0</v>
      </c>
      <c r="Y58" s="217"/>
      <c r="Z58" s="347">
        <f t="shared" si="21"/>
        <v>0</v>
      </c>
      <c r="AA58" s="348">
        <f t="shared" si="22"/>
        <v>0</v>
      </c>
      <c r="AB58" s="348">
        <f t="shared" si="23"/>
        <v>0</v>
      </c>
      <c r="AC58" s="348">
        <f t="shared" si="24"/>
        <v>0</v>
      </c>
      <c r="AD58" s="348">
        <f t="shared" si="25"/>
        <v>0</v>
      </c>
      <c r="AE58" s="348">
        <f t="shared" si="26"/>
        <v>0</v>
      </c>
      <c r="AF58" s="249"/>
    </row>
    <row r="59" spans="1:32" x14ac:dyDescent="0.25">
      <c r="A59" s="81" t="s">
        <v>106</v>
      </c>
      <c r="B59" s="82" t="s">
        <v>121</v>
      </c>
      <c r="C59" s="83" t="s">
        <v>341</v>
      </c>
      <c r="D59" s="84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201"/>
      <c r="K59" s="86">
        <v>0</v>
      </c>
      <c r="L59" s="87">
        <v>0</v>
      </c>
      <c r="M59" s="87">
        <v>0</v>
      </c>
      <c r="N59" s="87">
        <v>0</v>
      </c>
      <c r="O59" s="87">
        <v>0</v>
      </c>
      <c r="P59" s="87">
        <v>0</v>
      </c>
      <c r="Q59" s="194"/>
      <c r="R59" s="339">
        <f t="shared" si="27"/>
        <v>1</v>
      </c>
      <c r="S59" s="91">
        <f t="shared" si="15"/>
        <v>0</v>
      </c>
      <c r="T59" s="92">
        <f t="shared" si="16"/>
        <v>0</v>
      </c>
      <c r="U59" s="92">
        <f t="shared" si="17"/>
        <v>0</v>
      </c>
      <c r="V59" s="92">
        <f t="shared" si="18"/>
        <v>0</v>
      </c>
      <c r="W59" s="92">
        <f t="shared" si="19"/>
        <v>0</v>
      </c>
      <c r="X59" s="92">
        <f t="shared" si="20"/>
        <v>0</v>
      </c>
      <c r="Y59" s="217"/>
      <c r="Z59" s="347">
        <f t="shared" si="21"/>
        <v>0</v>
      </c>
      <c r="AA59" s="348">
        <f t="shared" si="22"/>
        <v>0</v>
      </c>
      <c r="AB59" s="348">
        <f t="shared" si="23"/>
        <v>0</v>
      </c>
      <c r="AC59" s="348">
        <f t="shared" si="24"/>
        <v>0</v>
      </c>
      <c r="AD59" s="348">
        <f t="shared" si="25"/>
        <v>0</v>
      </c>
      <c r="AE59" s="348">
        <f t="shared" si="26"/>
        <v>0</v>
      </c>
      <c r="AF59" s="249"/>
    </row>
    <row r="60" spans="1:32" x14ac:dyDescent="0.25">
      <c r="A60" s="81" t="s">
        <v>106</v>
      </c>
      <c r="B60" s="82" t="s">
        <v>123</v>
      </c>
      <c r="C60" s="83" t="s">
        <v>343</v>
      </c>
      <c r="D60" s="84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201"/>
      <c r="K60" s="86">
        <v>0</v>
      </c>
      <c r="L60" s="87">
        <v>0</v>
      </c>
      <c r="M60" s="87">
        <v>0</v>
      </c>
      <c r="N60" s="87">
        <v>0</v>
      </c>
      <c r="O60" s="87">
        <v>0</v>
      </c>
      <c r="P60" s="87">
        <v>0</v>
      </c>
      <c r="Q60" s="194"/>
      <c r="R60" s="339">
        <f t="shared" si="27"/>
        <v>1</v>
      </c>
      <c r="S60" s="91">
        <f t="shared" si="15"/>
        <v>0</v>
      </c>
      <c r="T60" s="92">
        <f t="shared" si="16"/>
        <v>0</v>
      </c>
      <c r="U60" s="92">
        <f t="shared" si="17"/>
        <v>0</v>
      </c>
      <c r="V60" s="92">
        <f t="shared" si="18"/>
        <v>0</v>
      </c>
      <c r="W60" s="92">
        <f t="shared" si="19"/>
        <v>0</v>
      </c>
      <c r="X60" s="92">
        <f t="shared" si="20"/>
        <v>0</v>
      </c>
      <c r="Y60" s="217"/>
      <c r="Z60" s="347">
        <f t="shared" si="21"/>
        <v>0</v>
      </c>
      <c r="AA60" s="348">
        <f t="shared" si="22"/>
        <v>0</v>
      </c>
      <c r="AB60" s="348">
        <f t="shared" si="23"/>
        <v>0</v>
      </c>
      <c r="AC60" s="348">
        <f t="shared" si="24"/>
        <v>0</v>
      </c>
      <c r="AD60" s="348">
        <f t="shared" si="25"/>
        <v>0</v>
      </c>
      <c r="AE60" s="348">
        <f t="shared" si="26"/>
        <v>0</v>
      </c>
      <c r="AF60" s="249"/>
    </row>
    <row r="61" spans="1:32" x14ac:dyDescent="0.25">
      <c r="A61" s="81" t="s">
        <v>106</v>
      </c>
      <c r="B61" s="82" t="s">
        <v>125</v>
      </c>
      <c r="C61" s="83" t="s">
        <v>345</v>
      </c>
      <c r="D61" s="84">
        <v>0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201"/>
      <c r="K61" s="86">
        <v>0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194"/>
      <c r="R61" s="339">
        <f t="shared" si="27"/>
        <v>1</v>
      </c>
      <c r="S61" s="91">
        <f t="shared" si="15"/>
        <v>0</v>
      </c>
      <c r="T61" s="92">
        <f t="shared" si="16"/>
        <v>0</v>
      </c>
      <c r="U61" s="92">
        <f t="shared" si="17"/>
        <v>0</v>
      </c>
      <c r="V61" s="92">
        <f t="shared" si="18"/>
        <v>0</v>
      </c>
      <c r="W61" s="92">
        <f t="shared" si="19"/>
        <v>0</v>
      </c>
      <c r="X61" s="92">
        <f t="shared" si="20"/>
        <v>0</v>
      </c>
      <c r="Y61" s="217"/>
      <c r="Z61" s="347">
        <f t="shared" si="21"/>
        <v>0</v>
      </c>
      <c r="AA61" s="348">
        <f t="shared" si="22"/>
        <v>0</v>
      </c>
      <c r="AB61" s="348">
        <f t="shared" si="23"/>
        <v>0</v>
      </c>
      <c r="AC61" s="348">
        <f t="shared" si="24"/>
        <v>0</v>
      </c>
      <c r="AD61" s="348">
        <f t="shared" si="25"/>
        <v>0</v>
      </c>
      <c r="AE61" s="348">
        <f t="shared" si="26"/>
        <v>0</v>
      </c>
      <c r="AF61" s="249"/>
    </row>
    <row r="62" spans="1:32" x14ac:dyDescent="0.25">
      <c r="A62" s="81" t="s">
        <v>106</v>
      </c>
      <c r="B62" s="82" t="s">
        <v>127</v>
      </c>
      <c r="C62" s="83" t="s">
        <v>347</v>
      </c>
      <c r="D62" s="84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201"/>
      <c r="K62" s="86">
        <v>0</v>
      </c>
      <c r="L62" s="87">
        <v>0</v>
      </c>
      <c r="M62" s="87">
        <v>0</v>
      </c>
      <c r="N62" s="87">
        <v>0</v>
      </c>
      <c r="O62" s="87">
        <v>0</v>
      </c>
      <c r="P62" s="87">
        <v>0</v>
      </c>
      <c r="Q62" s="194"/>
      <c r="R62" s="339">
        <f t="shared" si="27"/>
        <v>1</v>
      </c>
      <c r="S62" s="91">
        <f t="shared" si="15"/>
        <v>0</v>
      </c>
      <c r="T62" s="92">
        <f t="shared" si="16"/>
        <v>0</v>
      </c>
      <c r="U62" s="92">
        <f t="shared" si="17"/>
        <v>0</v>
      </c>
      <c r="V62" s="92">
        <f t="shared" si="18"/>
        <v>0</v>
      </c>
      <c r="W62" s="92">
        <f t="shared" si="19"/>
        <v>0</v>
      </c>
      <c r="X62" s="92">
        <f t="shared" si="20"/>
        <v>0</v>
      </c>
      <c r="Y62" s="217"/>
      <c r="Z62" s="347">
        <f t="shared" si="21"/>
        <v>0</v>
      </c>
      <c r="AA62" s="348">
        <f t="shared" si="22"/>
        <v>0</v>
      </c>
      <c r="AB62" s="348">
        <f t="shared" si="23"/>
        <v>0</v>
      </c>
      <c r="AC62" s="348">
        <f t="shared" si="24"/>
        <v>0</v>
      </c>
      <c r="AD62" s="348">
        <f t="shared" si="25"/>
        <v>0</v>
      </c>
      <c r="AE62" s="348">
        <f t="shared" si="26"/>
        <v>0</v>
      </c>
      <c r="AF62" s="249"/>
    </row>
    <row r="63" spans="1:32" x14ac:dyDescent="0.25">
      <c r="A63" s="81" t="s">
        <v>106</v>
      </c>
      <c r="B63" s="82" t="s">
        <v>129</v>
      </c>
      <c r="C63" s="83" t="s">
        <v>349</v>
      </c>
      <c r="D63" s="84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201"/>
      <c r="K63" s="86">
        <v>0</v>
      </c>
      <c r="L63" s="87">
        <v>0</v>
      </c>
      <c r="M63" s="87">
        <v>0</v>
      </c>
      <c r="N63" s="87">
        <v>0</v>
      </c>
      <c r="O63" s="87">
        <v>0</v>
      </c>
      <c r="P63" s="87">
        <v>0</v>
      </c>
      <c r="Q63" s="194"/>
      <c r="R63" s="339">
        <f t="shared" si="27"/>
        <v>1</v>
      </c>
      <c r="S63" s="91">
        <f t="shared" si="15"/>
        <v>0</v>
      </c>
      <c r="T63" s="92">
        <f t="shared" si="16"/>
        <v>0</v>
      </c>
      <c r="U63" s="92">
        <f t="shared" si="17"/>
        <v>0</v>
      </c>
      <c r="V63" s="92">
        <f t="shared" si="18"/>
        <v>0</v>
      </c>
      <c r="W63" s="92">
        <f t="shared" si="19"/>
        <v>0</v>
      </c>
      <c r="X63" s="92">
        <f t="shared" si="20"/>
        <v>0</v>
      </c>
      <c r="Y63" s="217"/>
      <c r="Z63" s="347">
        <f t="shared" si="21"/>
        <v>0</v>
      </c>
      <c r="AA63" s="348">
        <f t="shared" si="22"/>
        <v>0</v>
      </c>
      <c r="AB63" s="348">
        <f t="shared" si="23"/>
        <v>0</v>
      </c>
      <c r="AC63" s="348">
        <f t="shared" si="24"/>
        <v>0</v>
      </c>
      <c r="AD63" s="348">
        <f t="shared" si="25"/>
        <v>0</v>
      </c>
      <c r="AE63" s="348">
        <f t="shared" si="26"/>
        <v>0</v>
      </c>
      <c r="AF63" s="249"/>
    </row>
    <row r="64" spans="1:32" x14ac:dyDescent="0.25">
      <c r="A64" s="81" t="s">
        <v>106</v>
      </c>
      <c r="B64" s="82" t="s">
        <v>131</v>
      </c>
      <c r="C64" s="83" t="s">
        <v>351</v>
      </c>
      <c r="D64" s="84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201"/>
      <c r="K64" s="86">
        <v>0</v>
      </c>
      <c r="L64" s="87">
        <v>0</v>
      </c>
      <c r="M64" s="87">
        <v>0</v>
      </c>
      <c r="N64" s="87">
        <v>0</v>
      </c>
      <c r="O64" s="87">
        <v>0</v>
      </c>
      <c r="P64" s="87">
        <v>0</v>
      </c>
      <c r="Q64" s="194"/>
      <c r="R64" s="339">
        <f t="shared" si="27"/>
        <v>1</v>
      </c>
      <c r="S64" s="91">
        <f t="shared" si="15"/>
        <v>0</v>
      </c>
      <c r="T64" s="92">
        <f t="shared" si="16"/>
        <v>0</v>
      </c>
      <c r="U64" s="92">
        <f t="shared" si="17"/>
        <v>0</v>
      </c>
      <c r="V64" s="92">
        <f t="shared" si="18"/>
        <v>0</v>
      </c>
      <c r="W64" s="92">
        <f t="shared" si="19"/>
        <v>0</v>
      </c>
      <c r="X64" s="92">
        <f t="shared" si="20"/>
        <v>0</v>
      </c>
      <c r="Y64" s="217"/>
      <c r="Z64" s="347">
        <f t="shared" si="21"/>
        <v>0</v>
      </c>
      <c r="AA64" s="348">
        <f t="shared" si="22"/>
        <v>0</v>
      </c>
      <c r="AB64" s="348">
        <f t="shared" si="23"/>
        <v>0</v>
      </c>
      <c r="AC64" s="348">
        <f t="shared" si="24"/>
        <v>0</v>
      </c>
      <c r="AD64" s="348">
        <f t="shared" si="25"/>
        <v>0</v>
      </c>
      <c r="AE64" s="348">
        <f t="shared" si="26"/>
        <v>0</v>
      </c>
      <c r="AF64" s="249"/>
    </row>
    <row r="65" spans="1:32" x14ac:dyDescent="0.25">
      <c r="A65" s="81" t="s">
        <v>106</v>
      </c>
      <c r="B65" s="82" t="s">
        <v>133</v>
      </c>
      <c r="C65" s="83" t="s">
        <v>353</v>
      </c>
      <c r="D65" s="84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201"/>
      <c r="K65" s="86">
        <v>0</v>
      </c>
      <c r="L65" s="87">
        <v>0</v>
      </c>
      <c r="M65" s="87">
        <v>0</v>
      </c>
      <c r="N65" s="87">
        <v>0</v>
      </c>
      <c r="O65" s="87">
        <v>0</v>
      </c>
      <c r="P65" s="87">
        <v>0</v>
      </c>
      <c r="Q65" s="194"/>
      <c r="R65" s="339">
        <f t="shared" si="27"/>
        <v>1</v>
      </c>
      <c r="S65" s="91">
        <f t="shared" si="15"/>
        <v>0</v>
      </c>
      <c r="T65" s="92">
        <f t="shared" si="16"/>
        <v>0</v>
      </c>
      <c r="U65" s="92">
        <f t="shared" si="17"/>
        <v>0</v>
      </c>
      <c r="V65" s="92">
        <f t="shared" si="18"/>
        <v>0</v>
      </c>
      <c r="W65" s="92">
        <f t="shared" si="19"/>
        <v>0</v>
      </c>
      <c r="X65" s="92">
        <f t="shared" si="20"/>
        <v>0</v>
      </c>
      <c r="Y65" s="217"/>
      <c r="Z65" s="347">
        <f t="shared" si="21"/>
        <v>0</v>
      </c>
      <c r="AA65" s="348">
        <f t="shared" si="22"/>
        <v>0</v>
      </c>
      <c r="AB65" s="348">
        <f t="shared" si="23"/>
        <v>0</v>
      </c>
      <c r="AC65" s="348">
        <f t="shared" si="24"/>
        <v>0</v>
      </c>
      <c r="AD65" s="348">
        <f t="shared" si="25"/>
        <v>0</v>
      </c>
      <c r="AE65" s="348">
        <f t="shared" si="26"/>
        <v>0</v>
      </c>
      <c r="AF65" s="249"/>
    </row>
    <row r="66" spans="1:32" ht="15.75" thickBot="1" x14ac:dyDescent="0.3">
      <c r="A66" s="100" t="s">
        <v>106</v>
      </c>
      <c r="B66" s="139" t="s">
        <v>827</v>
      </c>
      <c r="C66" s="102" t="s">
        <v>355</v>
      </c>
      <c r="D66" s="103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202"/>
      <c r="K66" s="105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0</v>
      </c>
      <c r="Q66" s="195"/>
      <c r="R66" s="340">
        <f t="shared" si="27"/>
        <v>1</v>
      </c>
      <c r="S66" s="110">
        <f t="shared" si="15"/>
        <v>0</v>
      </c>
      <c r="T66" s="111">
        <f t="shared" si="16"/>
        <v>0</v>
      </c>
      <c r="U66" s="111">
        <f t="shared" si="17"/>
        <v>0</v>
      </c>
      <c r="V66" s="111">
        <f t="shared" si="18"/>
        <v>0</v>
      </c>
      <c r="W66" s="111">
        <f t="shared" si="19"/>
        <v>0</v>
      </c>
      <c r="X66" s="111">
        <f t="shared" si="20"/>
        <v>0</v>
      </c>
      <c r="Y66" s="218"/>
      <c r="Z66" s="349">
        <f t="shared" si="21"/>
        <v>0</v>
      </c>
      <c r="AA66" s="350">
        <f t="shared" si="22"/>
        <v>0</v>
      </c>
      <c r="AB66" s="350">
        <f t="shared" si="23"/>
        <v>0</v>
      </c>
      <c r="AC66" s="350">
        <f t="shared" si="24"/>
        <v>0</v>
      </c>
      <c r="AD66" s="350">
        <f t="shared" si="25"/>
        <v>0</v>
      </c>
      <c r="AE66" s="350">
        <f t="shared" si="26"/>
        <v>0</v>
      </c>
      <c r="AF66" s="251"/>
    </row>
    <row r="67" spans="1:32" x14ac:dyDescent="0.25">
      <c r="A67" s="142" t="s">
        <v>138</v>
      </c>
      <c r="B67" s="143" t="s">
        <v>135</v>
      </c>
      <c r="C67" s="65" t="s">
        <v>356</v>
      </c>
      <c r="D67" s="66">
        <v>1762215.65881784</v>
      </c>
      <c r="E67" s="67">
        <v>0</v>
      </c>
      <c r="F67" s="67">
        <v>8625915.4408756066</v>
      </c>
      <c r="G67" s="67">
        <v>1441980.5165265973</v>
      </c>
      <c r="H67" s="67">
        <v>-350.10000000000025</v>
      </c>
      <c r="I67" s="67">
        <v>10503.266000000001</v>
      </c>
      <c r="J67" s="200"/>
      <c r="K67" s="68">
        <v>59</v>
      </c>
      <c r="L67" s="69">
        <v>0</v>
      </c>
      <c r="M67" s="69">
        <v>371</v>
      </c>
      <c r="N67" s="69">
        <v>140</v>
      </c>
      <c r="O67" s="69">
        <v>2</v>
      </c>
      <c r="P67" s="69">
        <v>0</v>
      </c>
      <c r="Q67" s="193"/>
      <c r="R67" s="338">
        <f t="shared" si="27"/>
        <v>1</v>
      </c>
      <c r="S67" s="73">
        <f t="shared" si="15"/>
        <v>1762215.65881784</v>
      </c>
      <c r="T67" s="74">
        <f t="shared" si="16"/>
        <v>0</v>
      </c>
      <c r="U67" s="74">
        <f t="shared" si="17"/>
        <v>8625915.4408756066</v>
      </c>
      <c r="V67" s="74">
        <f t="shared" si="18"/>
        <v>1441980.5165265973</v>
      </c>
      <c r="W67" s="74">
        <f t="shared" si="19"/>
        <v>-350.10000000000025</v>
      </c>
      <c r="X67" s="74">
        <f t="shared" si="20"/>
        <v>10503.266000000001</v>
      </c>
      <c r="Y67" s="216"/>
      <c r="Z67" s="345">
        <f t="shared" si="21"/>
        <v>59</v>
      </c>
      <c r="AA67" s="346">
        <f t="shared" si="22"/>
        <v>0</v>
      </c>
      <c r="AB67" s="346">
        <f t="shared" si="23"/>
        <v>371</v>
      </c>
      <c r="AC67" s="346">
        <f t="shared" si="24"/>
        <v>140</v>
      </c>
      <c r="AD67" s="346">
        <f t="shared" si="25"/>
        <v>2</v>
      </c>
      <c r="AE67" s="346">
        <f t="shared" si="26"/>
        <v>0</v>
      </c>
      <c r="AF67" s="247"/>
    </row>
    <row r="68" spans="1:32" x14ac:dyDescent="0.25">
      <c r="A68" s="81" t="s">
        <v>138</v>
      </c>
      <c r="B68" s="82" t="s">
        <v>139</v>
      </c>
      <c r="C68" s="83" t="s">
        <v>357</v>
      </c>
      <c r="D68" s="84">
        <v>31391.658404647998</v>
      </c>
      <c r="E68" s="85">
        <v>0</v>
      </c>
      <c r="F68" s="85">
        <v>576893.3795640734</v>
      </c>
      <c r="G68" s="85">
        <v>511080.08224521286</v>
      </c>
      <c r="H68" s="85">
        <v>0</v>
      </c>
      <c r="I68" s="85">
        <v>0</v>
      </c>
      <c r="J68" s="201"/>
      <c r="K68" s="86">
        <v>1</v>
      </c>
      <c r="L68" s="87">
        <v>0</v>
      </c>
      <c r="M68" s="87">
        <v>4</v>
      </c>
      <c r="N68" s="87">
        <v>15</v>
      </c>
      <c r="O68" s="87">
        <v>0</v>
      </c>
      <c r="P68" s="87">
        <v>0</v>
      </c>
      <c r="Q68" s="194"/>
      <c r="R68" s="339">
        <f t="shared" si="27"/>
        <v>1</v>
      </c>
      <c r="S68" s="91">
        <f t="shared" si="15"/>
        <v>31391.658404647998</v>
      </c>
      <c r="T68" s="92">
        <f t="shared" si="16"/>
        <v>0</v>
      </c>
      <c r="U68" s="92">
        <f t="shared" si="17"/>
        <v>576893.3795640734</v>
      </c>
      <c r="V68" s="92">
        <f t="shared" si="18"/>
        <v>511080.08224521286</v>
      </c>
      <c r="W68" s="92">
        <f t="shared" si="19"/>
        <v>0</v>
      </c>
      <c r="X68" s="92">
        <f t="shared" si="20"/>
        <v>0</v>
      </c>
      <c r="Y68" s="217"/>
      <c r="Z68" s="347">
        <f t="shared" si="21"/>
        <v>1</v>
      </c>
      <c r="AA68" s="348">
        <f t="shared" si="22"/>
        <v>0</v>
      </c>
      <c r="AB68" s="348">
        <f t="shared" si="23"/>
        <v>4</v>
      </c>
      <c r="AC68" s="348">
        <f t="shared" si="24"/>
        <v>15</v>
      </c>
      <c r="AD68" s="348">
        <f t="shared" si="25"/>
        <v>0</v>
      </c>
      <c r="AE68" s="348">
        <f t="shared" si="26"/>
        <v>0</v>
      </c>
      <c r="AF68" s="249"/>
    </row>
    <row r="69" spans="1:32" x14ac:dyDescent="0.25">
      <c r="A69" s="81" t="s">
        <v>138</v>
      </c>
      <c r="B69" s="82" t="s">
        <v>141</v>
      </c>
      <c r="C69" s="83" t="s">
        <v>358</v>
      </c>
      <c r="D69" s="84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201"/>
      <c r="K69" s="86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194"/>
      <c r="R69" s="339">
        <f t="shared" si="27"/>
        <v>1</v>
      </c>
      <c r="S69" s="91">
        <f t="shared" si="15"/>
        <v>0</v>
      </c>
      <c r="T69" s="92">
        <f t="shared" si="16"/>
        <v>0</v>
      </c>
      <c r="U69" s="92">
        <f t="shared" si="17"/>
        <v>0</v>
      </c>
      <c r="V69" s="92">
        <f t="shared" si="18"/>
        <v>0</v>
      </c>
      <c r="W69" s="92">
        <f t="shared" si="19"/>
        <v>0</v>
      </c>
      <c r="X69" s="92">
        <f t="shared" si="20"/>
        <v>0</v>
      </c>
      <c r="Y69" s="217"/>
      <c r="Z69" s="347">
        <f t="shared" si="21"/>
        <v>0</v>
      </c>
      <c r="AA69" s="348">
        <f t="shared" si="22"/>
        <v>0</v>
      </c>
      <c r="AB69" s="348">
        <f t="shared" si="23"/>
        <v>0</v>
      </c>
      <c r="AC69" s="348">
        <f t="shared" si="24"/>
        <v>0</v>
      </c>
      <c r="AD69" s="348">
        <f t="shared" si="25"/>
        <v>0</v>
      </c>
      <c r="AE69" s="348">
        <f t="shared" si="26"/>
        <v>0</v>
      </c>
      <c r="AF69" s="249"/>
    </row>
    <row r="70" spans="1:32" x14ac:dyDescent="0.25">
      <c r="A70" s="81" t="s">
        <v>138</v>
      </c>
      <c r="B70" s="82" t="s">
        <v>143</v>
      </c>
      <c r="C70" s="83" t="s">
        <v>359</v>
      </c>
      <c r="D70" s="84">
        <v>1789912.9518270118</v>
      </c>
      <c r="E70" s="85">
        <v>0</v>
      </c>
      <c r="F70" s="85">
        <v>4462691.5611800514</v>
      </c>
      <c r="G70" s="85">
        <v>669691.3048063491</v>
      </c>
      <c r="H70" s="85">
        <v>0</v>
      </c>
      <c r="I70" s="85">
        <v>9351.595340328</v>
      </c>
      <c r="J70" s="201"/>
      <c r="K70" s="86">
        <v>64</v>
      </c>
      <c r="L70" s="87">
        <v>0</v>
      </c>
      <c r="M70" s="87">
        <v>114</v>
      </c>
      <c r="N70" s="87">
        <v>43</v>
      </c>
      <c r="O70" s="87">
        <v>0</v>
      </c>
      <c r="P70" s="87">
        <v>1</v>
      </c>
      <c r="Q70" s="194"/>
      <c r="R70" s="339">
        <f t="shared" si="27"/>
        <v>1</v>
      </c>
      <c r="S70" s="91">
        <f t="shared" si="15"/>
        <v>1789912.9518270118</v>
      </c>
      <c r="T70" s="92">
        <f t="shared" si="16"/>
        <v>0</v>
      </c>
      <c r="U70" s="92">
        <f t="shared" si="17"/>
        <v>4462691.5611800514</v>
      </c>
      <c r="V70" s="92">
        <f t="shared" si="18"/>
        <v>669691.3048063491</v>
      </c>
      <c r="W70" s="92">
        <f t="shared" si="19"/>
        <v>0</v>
      </c>
      <c r="X70" s="92">
        <f t="shared" si="20"/>
        <v>9351.595340328</v>
      </c>
      <c r="Y70" s="217"/>
      <c r="Z70" s="347">
        <f t="shared" si="21"/>
        <v>64</v>
      </c>
      <c r="AA70" s="348">
        <f t="shared" si="22"/>
        <v>0</v>
      </c>
      <c r="AB70" s="348">
        <f t="shared" si="23"/>
        <v>114</v>
      </c>
      <c r="AC70" s="348">
        <f t="shared" si="24"/>
        <v>43</v>
      </c>
      <c r="AD70" s="348">
        <f t="shared" si="25"/>
        <v>0</v>
      </c>
      <c r="AE70" s="348">
        <f t="shared" si="26"/>
        <v>1</v>
      </c>
      <c r="AF70" s="249"/>
    </row>
    <row r="71" spans="1:32" x14ac:dyDescent="0.25">
      <c r="A71" s="81" t="s">
        <v>138</v>
      </c>
      <c r="B71" s="82" t="s">
        <v>145</v>
      </c>
      <c r="C71" s="83" t="s">
        <v>360</v>
      </c>
      <c r="D71" s="84">
        <v>4337721.2722955029</v>
      </c>
      <c r="E71" s="85">
        <v>0</v>
      </c>
      <c r="F71" s="85">
        <v>19712830.412964825</v>
      </c>
      <c r="G71" s="85">
        <v>3045196.1397277894</v>
      </c>
      <c r="H71" s="85">
        <v>11912.201499999999</v>
      </c>
      <c r="I71" s="85">
        <v>14870.918346283999</v>
      </c>
      <c r="J71" s="201"/>
      <c r="K71" s="86">
        <v>94</v>
      </c>
      <c r="L71" s="87">
        <v>0</v>
      </c>
      <c r="M71" s="87">
        <v>263</v>
      </c>
      <c r="N71" s="87">
        <v>109</v>
      </c>
      <c r="O71" s="87">
        <v>0</v>
      </c>
      <c r="P71" s="87">
        <v>5</v>
      </c>
      <c r="Q71" s="194"/>
      <c r="R71" s="339">
        <f t="shared" si="27"/>
        <v>1</v>
      </c>
      <c r="S71" s="91">
        <f t="shared" ref="S71:S102" si="28">D71*$R71</f>
        <v>4337721.2722955029</v>
      </c>
      <c r="T71" s="92">
        <f t="shared" ref="T71:T102" si="29">E71*$R71</f>
        <v>0</v>
      </c>
      <c r="U71" s="92">
        <f t="shared" ref="U71:U102" si="30">F71*$R71</f>
        <v>19712830.412964825</v>
      </c>
      <c r="V71" s="92">
        <f t="shared" ref="V71:V102" si="31">G71*$R71</f>
        <v>3045196.1397277894</v>
      </c>
      <c r="W71" s="92">
        <f t="shared" ref="W71:W102" si="32">H71*$R71</f>
        <v>11912.201499999999</v>
      </c>
      <c r="X71" s="92">
        <f t="shared" ref="X71:X102" si="33">I71*$R71</f>
        <v>14870.918346283999</v>
      </c>
      <c r="Y71" s="217"/>
      <c r="Z71" s="347">
        <f t="shared" ref="Z71:Z102" si="34">K71*$R71</f>
        <v>94</v>
      </c>
      <c r="AA71" s="348">
        <f t="shared" ref="AA71:AA102" si="35">L71*$R71</f>
        <v>0</v>
      </c>
      <c r="AB71" s="348">
        <f t="shared" ref="AB71:AB102" si="36">M71*$R71</f>
        <v>263</v>
      </c>
      <c r="AC71" s="348">
        <f t="shared" ref="AC71:AC102" si="37">N71*$R71</f>
        <v>109</v>
      </c>
      <c r="AD71" s="348">
        <f t="shared" ref="AD71:AD102" si="38">O71*$R71</f>
        <v>0</v>
      </c>
      <c r="AE71" s="348">
        <f t="shared" ref="AE71:AE102" si="39">P71*$R71</f>
        <v>5</v>
      </c>
      <c r="AF71" s="249"/>
    </row>
    <row r="72" spans="1:32" x14ac:dyDescent="0.25">
      <c r="A72" s="81" t="s">
        <v>138</v>
      </c>
      <c r="B72" s="82" t="s">
        <v>147</v>
      </c>
      <c r="C72" s="83" t="s">
        <v>362</v>
      </c>
      <c r="D72" s="84">
        <v>0</v>
      </c>
      <c r="E72" s="85">
        <v>0</v>
      </c>
      <c r="F72" s="85">
        <v>900677.40658151521</v>
      </c>
      <c r="G72" s="85">
        <v>2458398.5288629089</v>
      </c>
      <c r="H72" s="85">
        <v>0</v>
      </c>
      <c r="I72" s="85">
        <v>0</v>
      </c>
      <c r="J72" s="201"/>
      <c r="K72" s="86">
        <v>0</v>
      </c>
      <c r="L72" s="87">
        <v>0</v>
      </c>
      <c r="M72" s="87">
        <v>9</v>
      </c>
      <c r="N72" s="87">
        <v>50</v>
      </c>
      <c r="O72" s="87">
        <v>0</v>
      </c>
      <c r="P72" s="87">
        <v>0</v>
      </c>
      <c r="Q72" s="194"/>
      <c r="R72" s="339">
        <f t="shared" ref="R72:R103" si="40">R71</f>
        <v>1</v>
      </c>
      <c r="S72" s="91">
        <f t="shared" si="28"/>
        <v>0</v>
      </c>
      <c r="T72" s="92">
        <f t="shared" si="29"/>
        <v>0</v>
      </c>
      <c r="U72" s="92">
        <f t="shared" si="30"/>
        <v>900677.40658151521</v>
      </c>
      <c r="V72" s="92">
        <f t="shared" si="31"/>
        <v>2458398.5288629089</v>
      </c>
      <c r="W72" s="92">
        <f t="shared" si="32"/>
        <v>0</v>
      </c>
      <c r="X72" s="92">
        <f t="shared" si="33"/>
        <v>0</v>
      </c>
      <c r="Y72" s="217"/>
      <c r="Z72" s="347">
        <f t="shared" si="34"/>
        <v>0</v>
      </c>
      <c r="AA72" s="348">
        <f t="shared" si="35"/>
        <v>0</v>
      </c>
      <c r="AB72" s="348">
        <f t="shared" si="36"/>
        <v>9</v>
      </c>
      <c r="AC72" s="348">
        <f t="shared" si="37"/>
        <v>50</v>
      </c>
      <c r="AD72" s="348">
        <f t="shared" si="38"/>
        <v>0</v>
      </c>
      <c r="AE72" s="348">
        <f t="shared" si="39"/>
        <v>0</v>
      </c>
      <c r="AF72" s="249"/>
    </row>
    <row r="73" spans="1:32" x14ac:dyDescent="0.25">
      <c r="A73" s="81" t="s">
        <v>138</v>
      </c>
      <c r="B73" s="82" t="s">
        <v>149</v>
      </c>
      <c r="C73" s="83" t="s">
        <v>363</v>
      </c>
      <c r="D73" s="84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201"/>
      <c r="K73" s="86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194"/>
      <c r="R73" s="339">
        <f t="shared" si="40"/>
        <v>1</v>
      </c>
      <c r="S73" s="91">
        <f t="shared" si="28"/>
        <v>0</v>
      </c>
      <c r="T73" s="92">
        <f t="shared" si="29"/>
        <v>0</v>
      </c>
      <c r="U73" s="92">
        <f t="shared" si="30"/>
        <v>0</v>
      </c>
      <c r="V73" s="92">
        <f t="shared" si="31"/>
        <v>0</v>
      </c>
      <c r="W73" s="92">
        <f t="shared" si="32"/>
        <v>0</v>
      </c>
      <c r="X73" s="92">
        <f t="shared" si="33"/>
        <v>0</v>
      </c>
      <c r="Y73" s="217"/>
      <c r="Z73" s="347">
        <f t="shared" si="34"/>
        <v>0</v>
      </c>
      <c r="AA73" s="348">
        <f t="shared" si="35"/>
        <v>0</v>
      </c>
      <c r="AB73" s="348">
        <f t="shared" si="36"/>
        <v>0</v>
      </c>
      <c r="AC73" s="348">
        <f t="shared" si="37"/>
        <v>0</v>
      </c>
      <c r="AD73" s="348">
        <f t="shared" si="38"/>
        <v>0</v>
      </c>
      <c r="AE73" s="348">
        <f t="shared" si="39"/>
        <v>0</v>
      </c>
      <c r="AF73" s="249"/>
    </row>
    <row r="74" spans="1:32" x14ac:dyDescent="0.25">
      <c r="A74" s="81" t="s">
        <v>138</v>
      </c>
      <c r="B74" s="82" t="s">
        <v>151</v>
      </c>
      <c r="C74" s="83" t="s">
        <v>364</v>
      </c>
      <c r="D74" s="84">
        <v>0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201"/>
      <c r="K74" s="86">
        <v>0</v>
      </c>
      <c r="L74" s="87">
        <v>0</v>
      </c>
      <c r="M74" s="87">
        <v>0</v>
      </c>
      <c r="N74" s="87">
        <v>0</v>
      </c>
      <c r="O74" s="87">
        <v>0</v>
      </c>
      <c r="P74" s="87">
        <v>0</v>
      </c>
      <c r="Q74" s="194"/>
      <c r="R74" s="339">
        <f t="shared" si="40"/>
        <v>1</v>
      </c>
      <c r="S74" s="91">
        <f t="shared" si="28"/>
        <v>0</v>
      </c>
      <c r="T74" s="92">
        <f t="shared" si="29"/>
        <v>0</v>
      </c>
      <c r="U74" s="92">
        <f t="shared" si="30"/>
        <v>0</v>
      </c>
      <c r="V74" s="92">
        <f t="shared" si="31"/>
        <v>0</v>
      </c>
      <c r="W74" s="92">
        <f t="shared" si="32"/>
        <v>0</v>
      </c>
      <c r="X74" s="92">
        <f t="shared" si="33"/>
        <v>0</v>
      </c>
      <c r="Y74" s="217"/>
      <c r="Z74" s="347">
        <f t="shared" si="34"/>
        <v>0</v>
      </c>
      <c r="AA74" s="348">
        <f t="shared" si="35"/>
        <v>0</v>
      </c>
      <c r="AB74" s="348">
        <f t="shared" si="36"/>
        <v>0</v>
      </c>
      <c r="AC74" s="348">
        <f t="shared" si="37"/>
        <v>0</v>
      </c>
      <c r="AD74" s="348">
        <f t="shared" si="38"/>
        <v>0</v>
      </c>
      <c r="AE74" s="348">
        <f t="shared" si="39"/>
        <v>0</v>
      </c>
      <c r="AF74" s="249"/>
    </row>
    <row r="75" spans="1:32" x14ac:dyDescent="0.25">
      <c r="A75" s="81" t="s">
        <v>138</v>
      </c>
      <c r="B75" s="82" t="s">
        <v>153</v>
      </c>
      <c r="C75" s="83" t="s">
        <v>365</v>
      </c>
      <c r="D75" s="84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201"/>
      <c r="K75" s="86">
        <v>0</v>
      </c>
      <c r="L75" s="87">
        <v>0</v>
      </c>
      <c r="M75" s="87">
        <v>0</v>
      </c>
      <c r="N75" s="87">
        <v>0</v>
      </c>
      <c r="O75" s="87">
        <v>0</v>
      </c>
      <c r="P75" s="87">
        <v>0</v>
      </c>
      <c r="Q75" s="194"/>
      <c r="R75" s="339">
        <f t="shared" si="40"/>
        <v>1</v>
      </c>
      <c r="S75" s="91">
        <f t="shared" si="28"/>
        <v>0</v>
      </c>
      <c r="T75" s="92">
        <f t="shared" si="29"/>
        <v>0</v>
      </c>
      <c r="U75" s="92">
        <f t="shared" si="30"/>
        <v>0</v>
      </c>
      <c r="V75" s="92">
        <f t="shared" si="31"/>
        <v>0</v>
      </c>
      <c r="W75" s="92">
        <f t="shared" si="32"/>
        <v>0</v>
      </c>
      <c r="X75" s="92">
        <f t="shared" si="33"/>
        <v>0</v>
      </c>
      <c r="Y75" s="217"/>
      <c r="Z75" s="347">
        <f t="shared" si="34"/>
        <v>0</v>
      </c>
      <c r="AA75" s="348">
        <f t="shared" si="35"/>
        <v>0</v>
      </c>
      <c r="AB75" s="348">
        <f t="shared" si="36"/>
        <v>0</v>
      </c>
      <c r="AC75" s="348">
        <f t="shared" si="37"/>
        <v>0</v>
      </c>
      <c r="AD75" s="348">
        <f t="shared" si="38"/>
        <v>0</v>
      </c>
      <c r="AE75" s="348">
        <f t="shared" si="39"/>
        <v>0</v>
      </c>
      <c r="AF75" s="249"/>
    </row>
    <row r="76" spans="1:32" x14ac:dyDescent="0.25">
      <c r="A76" s="81" t="s">
        <v>138</v>
      </c>
      <c r="B76" s="82" t="s">
        <v>155</v>
      </c>
      <c r="C76" s="83" t="s">
        <v>366</v>
      </c>
      <c r="D76" s="84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201"/>
      <c r="K76" s="86">
        <v>0</v>
      </c>
      <c r="L76" s="87">
        <v>0</v>
      </c>
      <c r="M76" s="87">
        <v>0</v>
      </c>
      <c r="N76" s="87">
        <v>0</v>
      </c>
      <c r="O76" s="87">
        <v>0</v>
      </c>
      <c r="P76" s="87">
        <v>0</v>
      </c>
      <c r="Q76" s="194"/>
      <c r="R76" s="339">
        <f t="shared" si="40"/>
        <v>1</v>
      </c>
      <c r="S76" s="91">
        <f t="shared" si="28"/>
        <v>0</v>
      </c>
      <c r="T76" s="92">
        <f t="shared" si="29"/>
        <v>0</v>
      </c>
      <c r="U76" s="92">
        <f t="shared" si="30"/>
        <v>0</v>
      </c>
      <c r="V76" s="92">
        <f t="shared" si="31"/>
        <v>0</v>
      </c>
      <c r="W76" s="92">
        <f t="shared" si="32"/>
        <v>0</v>
      </c>
      <c r="X76" s="92">
        <f t="shared" si="33"/>
        <v>0</v>
      </c>
      <c r="Y76" s="217"/>
      <c r="Z76" s="347">
        <f t="shared" si="34"/>
        <v>0</v>
      </c>
      <c r="AA76" s="348">
        <f t="shared" si="35"/>
        <v>0</v>
      </c>
      <c r="AB76" s="348">
        <f t="shared" si="36"/>
        <v>0</v>
      </c>
      <c r="AC76" s="348">
        <f t="shared" si="37"/>
        <v>0</v>
      </c>
      <c r="AD76" s="348">
        <f t="shared" si="38"/>
        <v>0</v>
      </c>
      <c r="AE76" s="348">
        <f t="shared" si="39"/>
        <v>0</v>
      </c>
      <c r="AF76" s="249"/>
    </row>
    <row r="77" spans="1:32" x14ac:dyDescent="0.25">
      <c r="A77" s="81" t="s">
        <v>138</v>
      </c>
      <c r="B77" s="82" t="s">
        <v>157</v>
      </c>
      <c r="C77" s="83" t="s">
        <v>367</v>
      </c>
      <c r="D77" s="84">
        <v>225563.19103622306</v>
      </c>
      <c r="E77" s="85">
        <v>0</v>
      </c>
      <c r="F77" s="85">
        <v>2695547.2048258055</v>
      </c>
      <c r="G77" s="85">
        <v>2779685.0744639272</v>
      </c>
      <c r="H77" s="85">
        <v>0</v>
      </c>
      <c r="I77" s="85">
        <v>1764536.4665665072</v>
      </c>
      <c r="J77" s="201"/>
      <c r="K77" s="86">
        <v>2</v>
      </c>
      <c r="L77" s="87">
        <v>0</v>
      </c>
      <c r="M77" s="87">
        <v>21</v>
      </c>
      <c r="N77" s="87">
        <v>46</v>
      </c>
      <c r="O77" s="87">
        <v>0</v>
      </c>
      <c r="P77" s="87">
        <v>27</v>
      </c>
      <c r="Q77" s="194"/>
      <c r="R77" s="339">
        <f t="shared" si="40"/>
        <v>1</v>
      </c>
      <c r="S77" s="91">
        <f t="shared" si="28"/>
        <v>225563.19103622306</v>
      </c>
      <c r="T77" s="92">
        <f t="shared" si="29"/>
        <v>0</v>
      </c>
      <c r="U77" s="92">
        <f t="shared" si="30"/>
        <v>2695547.2048258055</v>
      </c>
      <c r="V77" s="92">
        <f t="shared" si="31"/>
        <v>2779685.0744639272</v>
      </c>
      <c r="W77" s="92">
        <f t="shared" si="32"/>
        <v>0</v>
      </c>
      <c r="X77" s="92">
        <f t="shared" si="33"/>
        <v>1764536.4665665072</v>
      </c>
      <c r="Y77" s="217"/>
      <c r="Z77" s="347">
        <f t="shared" si="34"/>
        <v>2</v>
      </c>
      <c r="AA77" s="348">
        <f t="shared" si="35"/>
        <v>0</v>
      </c>
      <c r="AB77" s="348">
        <f t="shared" si="36"/>
        <v>21</v>
      </c>
      <c r="AC77" s="348">
        <f t="shared" si="37"/>
        <v>46</v>
      </c>
      <c r="AD77" s="348">
        <f t="shared" si="38"/>
        <v>0</v>
      </c>
      <c r="AE77" s="348">
        <f t="shared" si="39"/>
        <v>27</v>
      </c>
      <c r="AF77" s="249"/>
    </row>
    <row r="78" spans="1:32" x14ac:dyDescent="0.25">
      <c r="A78" s="81" t="s">
        <v>138</v>
      </c>
      <c r="B78" s="82" t="s">
        <v>159</v>
      </c>
      <c r="C78" s="83" t="s">
        <v>368</v>
      </c>
      <c r="D78" s="84">
        <v>0</v>
      </c>
      <c r="E78" s="85">
        <v>0</v>
      </c>
      <c r="F78" s="85">
        <v>1302804.8329014545</v>
      </c>
      <c r="G78" s="85">
        <v>654651.8341790823</v>
      </c>
      <c r="H78" s="85">
        <v>0</v>
      </c>
      <c r="I78" s="85">
        <v>64567.4</v>
      </c>
      <c r="J78" s="201"/>
      <c r="K78" s="86">
        <v>0</v>
      </c>
      <c r="L78" s="87">
        <v>0</v>
      </c>
      <c r="M78" s="87">
        <v>7</v>
      </c>
      <c r="N78" s="87">
        <v>8</v>
      </c>
      <c r="O78" s="87">
        <v>0</v>
      </c>
      <c r="P78" s="87">
        <v>1</v>
      </c>
      <c r="Q78" s="194"/>
      <c r="R78" s="339">
        <f t="shared" si="40"/>
        <v>1</v>
      </c>
      <c r="S78" s="91">
        <f t="shared" si="28"/>
        <v>0</v>
      </c>
      <c r="T78" s="92">
        <f t="shared" si="29"/>
        <v>0</v>
      </c>
      <c r="U78" s="92">
        <f t="shared" si="30"/>
        <v>1302804.8329014545</v>
      </c>
      <c r="V78" s="92">
        <f t="shared" si="31"/>
        <v>654651.8341790823</v>
      </c>
      <c r="W78" s="92">
        <f t="shared" si="32"/>
        <v>0</v>
      </c>
      <c r="X78" s="92">
        <f t="shared" si="33"/>
        <v>64567.4</v>
      </c>
      <c r="Y78" s="217"/>
      <c r="Z78" s="347">
        <f t="shared" si="34"/>
        <v>0</v>
      </c>
      <c r="AA78" s="348">
        <f t="shared" si="35"/>
        <v>0</v>
      </c>
      <c r="AB78" s="348">
        <f t="shared" si="36"/>
        <v>7</v>
      </c>
      <c r="AC78" s="348">
        <f t="shared" si="37"/>
        <v>8</v>
      </c>
      <c r="AD78" s="348">
        <f t="shared" si="38"/>
        <v>0</v>
      </c>
      <c r="AE78" s="348">
        <f t="shared" si="39"/>
        <v>1</v>
      </c>
      <c r="AF78" s="249"/>
    </row>
    <row r="79" spans="1:32" x14ac:dyDescent="0.25">
      <c r="A79" s="81" t="s">
        <v>138</v>
      </c>
      <c r="B79" s="82" t="s">
        <v>161</v>
      </c>
      <c r="C79" s="83" t="s">
        <v>369</v>
      </c>
      <c r="D79" s="84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201"/>
      <c r="K79" s="86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194"/>
      <c r="R79" s="339">
        <f t="shared" si="40"/>
        <v>1</v>
      </c>
      <c r="S79" s="91">
        <f t="shared" si="28"/>
        <v>0</v>
      </c>
      <c r="T79" s="92">
        <f t="shared" si="29"/>
        <v>0</v>
      </c>
      <c r="U79" s="92">
        <f t="shared" si="30"/>
        <v>0</v>
      </c>
      <c r="V79" s="92">
        <f t="shared" si="31"/>
        <v>0</v>
      </c>
      <c r="W79" s="92">
        <f t="shared" si="32"/>
        <v>0</v>
      </c>
      <c r="X79" s="92">
        <f t="shared" si="33"/>
        <v>0</v>
      </c>
      <c r="Y79" s="217"/>
      <c r="Z79" s="347">
        <f t="shared" si="34"/>
        <v>0</v>
      </c>
      <c r="AA79" s="348">
        <f t="shared" si="35"/>
        <v>0</v>
      </c>
      <c r="AB79" s="348">
        <f t="shared" si="36"/>
        <v>0</v>
      </c>
      <c r="AC79" s="348">
        <f t="shared" si="37"/>
        <v>0</v>
      </c>
      <c r="AD79" s="348">
        <f t="shared" si="38"/>
        <v>0</v>
      </c>
      <c r="AE79" s="348">
        <f t="shared" si="39"/>
        <v>0</v>
      </c>
      <c r="AF79" s="249"/>
    </row>
    <row r="80" spans="1:32" x14ac:dyDescent="0.25">
      <c r="A80" s="81" t="s">
        <v>138</v>
      </c>
      <c r="B80" s="82" t="s">
        <v>163</v>
      </c>
      <c r="C80" s="83" t="s">
        <v>370</v>
      </c>
      <c r="D80" s="84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201"/>
      <c r="K80" s="86">
        <v>0</v>
      </c>
      <c r="L80" s="87">
        <v>0</v>
      </c>
      <c r="M80" s="87">
        <v>0</v>
      </c>
      <c r="N80" s="87">
        <v>0</v>
      </c>
      <c r="O80" s="87">
        <v>0</v>
      </c>
      <c r="P80" s="87">
        <v>0</v>
      </c>
      <c r="Q80" s="194"/>
      <c r="R80" s="339">
        <f t="shared" si="40"/>
        <v>1</v>
      </c>
      <c r="S80" s="91">
        <f t="shared" si="28"/>
        <v>0</v>
      </c>
      <c r="T80" s="92">
        <f t="shared" si="29"/>
        <v>0</v>
      </c>
      <c r="U80" s="92">
        <f t="shared" si="30"/>
        <v>0</v>
      </c>
      <c r="V80" s="92">
        <f t="shared" si="31"/>
        <v>0</v>
      </c>
      <c r="W80" s="92">
        <f t="shared" si="32"/>
        <v>0</v>
      </c>
      <c r="X80" s="92">
        <f t="shared" si="33"/>
        <v>0</v>
      </c>
      <c r="Y80" s="217"/>
      <c r="Z80" s="347">
        <f t="shared" si="34"/>
        <v>0</v>
      </c>
      <c r="AA80" s="348">
        <f t="shared" si="35"/>
        <v>0</v>
      </c>
      <c r="AB80" s="348">
        <f t="shared" si="36"/>
        <v>0</v>
      </c>
      <c r="AC80" s="348">
        <f t="shared" si="37"/>
        <v>0</v>
      </c>
      <c r="AD80" s="348">
        <f t="shared" si="38"/>
        <v>0</v>
      </c>
      <c r="AE80" s="348">
        <f t="shared" si="39"/>
        <v>0</v>
      </c>
      <c r="AF80" s="249"/>
    </row>
    <row r="81" spans="1:32" x14ac:dyDescent="0.25">
      <c r="A81" s="81" t="s">
        <v>138</v>
      </c>
      <c r="B81" s="82" t="s">
        <v>165</v>
      </c>
      <c r="C81" s="83" t="s">
        <v>371</v>
      </c>
      <c r="D81" s="84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201"/>
      <c r="K81" s="86">
        <v>0</v>
      </c>
      <c r="L81" s="87">
        <v>0</v>
      </c>
      <c r="M81" s="87">
        <v>0</v>
      </c>
      <c r="N81" s="87">
        <v>0</v>
      </c>
      <c r="O81" s="87">
        <v>0</v>
      </c>
      <c r="P81" s="87">
        <v>0</v>
      </c>
      <c r="Q81" s="194"/>
      <c r="R81" s="339">
        <f t="shared" si="40"/>
        <v>1</v>
      </c>
      <c r="S81" s="91">
        <f t="shared" si="28"/>
        <v>0</v>
      </c>
      <c r="T81" s="92">
        <f t="shared" si="29"/>
        <v>0</v>
      </c>
      <c r="U81" s="92">
        <f t="shared" si="30"/>
        <v>0</v>
      </c>
      <c r="V81" s="92">
        <f t="shared" si="31"/>
        <v>0</v>
      </c>
      <c r="W81" s="92">
        <f t="shared" si="32"/>
        <v>0</v>
      </c>
      <c r="X81" s="92">
        <f t="shared" si="33"/>
        <v>0</v>
      </c>
      <c r="Y81" s="217"/>
      <c r="Z81" s="347">
        <f t="shared" si="34"/>
        <v>0</v>
      </c>
      <c r="AA81" s="348">
        <f t="shared" si="35"/>
        <v>0</v>
      </c>
      <c r="AB81" s="348">
        <f t="shared" si="36"/>
        <v>0</v>
      </c>
      <c r="AC81" s="348">
        <f t="shared" si="37"/>
        <v>0</v>
      </c>
      <c r="AD81" s="348">
        <f t="shared" si="38"/>
        <v>0</v>
      </c>
      <c r="AE81" s="348">
        <f t="shared" si="39"/>
        <v>0</v>
      </c>
      <c r="AF81" s="249"/>
    </row>
    <row r="82" spans="1:32" x14ac:dyDescent="0.25">
      <c r="A82" s="81" t="s">
        <v>138</v>
      </c>
      <c r="B82" s="82" t="s">
        <v>167</v>
      </c>
      <c r="C82" s="83" t="s">
        <v>372</v>
      </c>
      <c r="D82" s="84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201"/>
      <c r="K82" s="86">
        <v>0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194"/>
      <c r="R82" s="339">
        <f t="shared" si="40"/>
        <v>1</v>
      </c>
      <c r="S82" s="91">
        <f t="shared" si="28"/>
        <v>0</v>
      </c>
      <c r="T82" s="92">
        <f t="shared" si="29"/>
        <v>0</v>
      </c>
      <c r="U82" s="92">
        <f t="shared" si="30"/>
        <v>0</v>
      </c>
      <c r="V82" s="92">
        <f t="shared" si="31"/>
        <v>0</v>
      </c>
      <c r="W82" s="92">
        <f t="shared" si="32"/>
        <v>0</v>
      </c>
      <c r="X82" s="92">
        <f t="shared" si="33"/>
        <v>0</v>
      </c>
      <c r="Y82" s="217"/>
      <c r="Z82" s="347">
        <f t="shared" si="34"/>
        <v>0</v>
      </c>
      <c r="AA82" s="348">
        <f t="shared" si="35"/>
        <v>0</v>
      </c>
      <c r="AB82" s="348">
        <f t="shared" si="36"/>
        <v>0</v>
      </c>
      <c r="AC82" s="348">
        <f t="shared" si="37"/>
        <v>0</v>
      </c>
      <c r="AD82" s="348">
        <f t="shared" si="38"/>
        <v>0</v>
      </c>
      <c r="AE82" s="348">
        <f t="shared" si="39"/>
        <v>0</v>
      </c>
      <c r="AF82" s="249"/>
    </row>
    <row r="83" spans="1:32" x14ac:dyDescent="0.25">
      <c r="A83" s="81" t="s">
        <v>138</v>
      </c>
      <c r="B83" s="82" t="s">
        <v>169</v>
      </c>
      <c r="C83" s="83" t="s">
        <v>373</v>
      </c>
      <c r="D83" s="84">
        <v>0</v>
      </c>
      <c r="E83" s="85">
        <v>0</v>
      </c>
      <c r="F83" s="85">
        <v>56479.130000000005</v>
      </c>
      <c r="G83" s="85">
        <v>38861.019999999997</v>
      </c>
      <c r="H83" s="85">
        <v>0</v>
      </c>
      <c r="I83" s="85">
        <v>0</v>
      </c>
      <c r="J83" s="201"/>
      <c r="K83" s="86">
        <v>0</v>
      </c>
      <c r="L83" s="87">
        <v>0</v>
      </c>
      <c r="M83" s="87">
        <v>2</v>
      </c>
      <c r="N83" s="87">
        <v>1</v>
      </c>
      <c r="O83" s="87">
        <v>0</v>
      </c>
      <c r="P83" s="87">
        <v>0</v>
      </c>
      <c r="Q83" s="194"/>
      <c r="R83" s="339">
        <f t="shared" si="40"/>
        <v>1</v>
      </c>
      <c r="S83" s="91">
        <f t="shared" si="28"/>
        <v>0</v>
      </c>
      <c r="T83" s="92">
        <f t="shared" si="29"/>
        <v>0</v>
      </c>
      <c r="U83" s="92">
        <f t="shared" si="30"/>
        <v>56479.130000000005</v>
      </c>
      <c r="V83" s="92">
        <f t="shared" si="31"/>
        <v>38861.019999999997</v>
      </c>
      <c r="W83" s="92">
        <f t="shared" si="32"/>
        <v>0</v>
      </c>
      <c r="X83" s="92">
        <f t="shared" si="33"/>
        <v>0</v>
      </c>
      <c r="Y83" s="217"/>
      <c r="Z83" s="347">
        <f t="shared" si="34"/>
        <v>0</v>
      </c>
      <c r="AA83" s="348">
        <f t="shared" si="35"/>
        <v>0</v>
      </c>
      <c r="AB83" s="348">
        <f t="shared" si="36"/>
        <v>2</v>
      </c>
      <c r="AC83" s="348">
        <f t="shared" si="37"/>
        <v>1</v>
      </c>
      <c r="AD83" s="348">
        <f t="shared" si="38"/>
        <v>0</v>
      </c>
      <c r="AE83" s="348">
        <f t="shared" si="39"/>
        <v>0</v>
      </c>
      <c r="AF83" s="249"/>
    </row>
    <row r="84" spans="1:32" x14ac:dyDescent="0.25">
      <c r="A84" s="81" t="s">
        <v>138</v>
      </c>
      <c r="B84" s="82" t="s">
        <v>171</v>
      </c>
      <c r="C84" s="83" t="s">
        <v>374</v>
      </c>
      <c r="D84" s="84">
        <v>0</v>
      </c>
      <c r="E84" s="85">
        <v>0</v>
      </c>
      <c r="F84" s="85">
        <v>38306.670000000006</v>
      </c>
      <c r="G84" s="85">
        <v>98552.394061430037</v>
      </c>
      <c r="H84" s="85">
        <v>0</v>
      </c>
      <c r="I84" s="85">
        <v>0</v>
      </c>
      <c r="J84" s="201"/>
      <c r="K84" s="86">
        <v>0</v>
      </c>
      <c r="L84" s="87">
        <v>0</v>
      </c>
      <c r="M84" s="87">
        <v>1</v>
      </c>
      <c r="N84" s="87">
        <v>2</v>
      </c>
      <c r="O84" s="87">
        <v>0</v>
      </c>
      <c r="P84" s="87">
        <v>0</v>
      </c>
      <c r="Q84" s="194"/>
      <c r="R84" s="339">
        <f t="shared" si="40"/>
        <v>1</v>
      </c>
      <c r="S84" s="91">
        <f t="shared" si="28"/>
        <v>0</v>
      </c>
      <c r="T84" s="92">
        <f t="shared" si="29"/>
        <v>0</v>
      </c>
      <c r="U84" s="92">
        <f t="shared" si="30"/>
        <v>38306.670000000006</v>
      </c>
      <c r="V84" s="92">
        <f t="shared" si="31"/>
        <v>98552.394061430037</v>
      </c>
      <c r="W84" s="92">
        <f t="shared" si="32"/>
        <v>0</v>
      </c>
      <c r="X84" s="92">
        <f t="shared" si="33"/>
        <v>0</v>
      </c>
      <c r="Y84" s="217"/>
      <c r="Z84" s="347">
        <f t="shared" si="34"/>
        <v>0</v>
      </c>
      <c r="AA84" s="348">
        <f t="shared" si="35"/>
        <v>0</v>
      </c>
      <c r="AB84" s="348">
        <f t="shared" si="36"/>
        <v>1</v>
      </c>
      <c r="AC84" s="348">
        <f t="shared" si="37"/>
        <v>2</v>
      </c>
      <c r="AD84" s="348">
        <f t="shared" si="38"/>
        <v>0</v>
      </c>
      <c r="AE84" s="348">
        <f t="shared" si="39"/>
        <v>0</v>
      </c>
      <c r="AF84" s="249"/>
    </row>
    <row r="85" spans="1:32" x14ac:dyDescent="0.25">
      <c r="A85" s="81" t="s">
        <v>138</v>
      </c>
      <c r="B85" s="82" t="s">
        <v>173</v>
      </c>
      <c r="C85" s="83" t="s">
        <v>375</v>
      </c>
      <c r="D85" s="84">
        <v>0</v>
      </c>
      <c r="E85" s="85">
        <v>0</v>
      </c>
      <c r="F85" s="85">
        <v>0</v>
      </c>
      <c r="G85" s="85">
        <v>0</v>
      </c>
      <c r="H85" s="85">
        <v>0</v>
      </c>
      <c r="I85" s="85">
        <v>0</v>
      </c>
      <c r="J85" s="201"/>
      <c r="K85" s="86">
        <v>0</v>
      </c>
      <c r="L85" s="87">
        <v>0</v>
      </c>
      <c r="M85" s="87">
        <v>0</v>
      </c>
      <c r="N85" s="87">
        <v>0</v>
      </c>
      <c r="O85" s="87">
        <v>0</v>
      </c>
      <c r="P85" s="87">
        <v>0</v>
      </c>
      <c r="Q85" s="194"/>
      <c r="R85" s="339">
        <f t="shared" si="40"/>
        <v>1</v>
      </c>
      <c r="S85" s="91">
        <f t="shared" si="28"/>
        <v>0</v>
      </c>
      <c r="T85" s="92">
        <f t="shared" si="29"/>
        <v>0</v>
      </c>
      <c r="U85" s="92">
        <f t="shared" si="30"/>
        <v>0</v>
      </c>
      <c r="V85" s="92">
        <f t="shared" si="31"/>
        <v>0</v>
      </c>
      <c r="W85" s="92">
        <f t="shared" si="32"/>
        <v>0</v>
      </c>
      <c r="X85" s="92">
        <f t="shared" si="33"/>
        <v>0</v>
      </c>
      <c r="Y85" s="217"/>
      <c r="Z85" s="347">
        <f t="shared" si="34"/>
        <v>0</v>
      </c>
      <c r="AA85" s="348">
        <f t="shared" si="35"/>
        <v>0</v>
      </c>
      <c r="AB85" s="348">
        <f t="shared" si="36"/>
        <v>0</v>
      </c>
      <c r="AC85" s="348">
        <f t="shared" si="37"/>
        <v>0</v>
      </c>
      <c r="AD85" s="348">
        <f t="shared" si="38"/>
        <v>0</v>
      </c>
      <c r="AE85" s="348">
        <f t="shared" si="39"/>
        <v>0</v>
      </c>
      <c r="AF85" s="249"/>
    </row>
    <row r="86" spans="1:32" x14ac:dyDescent="0.25">
      <c r="A86" s="81" t="s">
        <v>138</v>
      </c>
      <c r="B86" s="82" t="s">
        <v>175</v>
      </c>
      <c r="C86" s="83" t="s">
        <v>376</v>
      </c>
      <c r="D86" s="84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201"/>
      <c r="K86" s="86">
        <v>0</v>
      </c>
      <c r="L86" s="87">
        <v>0</v>
      </c>
      <c r="M86" s="87">
        <v>0</v>
      </c>
      <c r="N86" s="87">
        <v>0</v>
      </c>
      <c r="O86" s="87">
        <v>0</v>
      </c>
      <c r="P86" s="87">
        <v>0</v>
      </c>
      <c r="Q86" s="194"/>
      <c r="R86" s="339">
        <f t="shared" si="40"/>
        <v>1</v>
      </c>
      <c r="S86" s="91">
        <f t="shared" si="28"/>
        <v>0</v>
      </c>
      <c r="T86" s="92">
        <f t="shared" si="29"/>
        <v>0</v>
      </c>
      <c r="U86" s="92">
        <f t="shared" si="30"/>
        <v>0</v>
      </c>
      <c r="V86" s="92">
        <f t="shared" si="31"/>
        <v>0</v>
      </c>
      <c r="W86" s="92">
        <f t="shared" si="32"/>
        <v>0</v>
      </c>
      <c r="X86" s="92">
        <f t="shared" si="33"/>
        <v>0</v>
      </c>
      <c r="Y86" s="217"/>
      <c r="Z86" s="347">
        <f t="shared" si="34"/>
        <v>0</v>
      </c>
      <c r="AA86" s="348">
        <f t="shared" si="35"/>
        <v>0</v>
      </c>
      <c r="AB86" s="348">
        <f t="shared" si="36"/>
        <v>0</v>
      </c>
      <c r="AC86" s="348">
        <f t="shared" si="37"/>
        <v>0</v>
      </c>
      <c r="AD86" s="348">
        <f t="shared" si="38"/>
        <v>0</v>
      </c>
      <c r="AE86" s="348">
        <f t="shared" si="39"/>
        <v>0</v>
      </c>
      <c r="AF86" s="249"/>
    </row>
    <row r="87" spans="1:32" x14ac:dyDescent="0.25">
      <c r="A87" s="81" t="s">
        <v>138</v>
      </c>
      <c r="B87" s="82" t="s">
        <v>177</v>
      </c>
      <c r="C87" s="83" t="s">
        <v>377</v>
      </c>
      <c r="D87" s="84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201"/>
      <c r="K87" s="86">
        <v>0</v>
      </c>
      <c r="L87" s="87">
        <v>0</v>
      </c>
      <c r="M87" s="87">
        <v>0</v>
      </c>
      <c r="N87" s="87">
        <v>0</v>
      </c>
      <c r="O87" s="87">
        <v>0</v>
      </c>
      <c r="P87" s="87">
        <v>0</v>
      </c>
      <c r="Q87" s="194"/>
      <c r="R87" s="339">
        <f t="shared" si="40"/>
        <v>1</v>
      </c>
      <c r="S87" s="91">
        <f t="shared" si="28"/>
        <v>0</v>
      </c>
      <c r="T87" s="92">
        <f t="shared" si="29"/>
        <v>0</v>
      </c>
      <c r="U87" s="92">
        <f t="shared" si="30"/>
        <v>0</v>
      </c>
      <c r="V87" s="92">
        <f t="shared" si="31"/>
        <v>0</v>
      </c>
      <c r="W87" s="92">
        <f t="shared" si="32"/>
        <v>0</v>
      </c>
      <c r="X87" s="92">
        <f t="shared" si="33"/>
        <v>0</v>
      </c>
      <c r="Y87" s="217"/>
      <c r="Z87" s="347">
        <f t="shared" si="34"/>
        <v>0</v>
      </c>
      <c r="AA87" s="348">
        <f t="shared" si="35"/>
        <v>0</v>
      </c>
      <c r="AB87" s="348">
        <f t="shared" si="36"/>
        <v>0</v>
      </c>
      <c r="AC87" s="348">
        <f t="shared" si="37"/>
        <v>0</v>
      </c>
      <c r="AD87" s="348">
        <f t="shared" si="38"/>
        <v>0</v>
      </c>
      <c r="AE87" s="348">
        <f t="shared" si="39"/>
        <v>0</v>
      </c>
      <c r="AF87" s="249"/>
    </row>
    <row r="88" spans="1:32" x14ac:dyDescent="0.25">
      <c r="A88" s="81" t="s">
        <v>138</v>
      </c>
      <c r="B88" s="82" t="s">
        <v>179</v>
      </c>
      <c r="C88" s="83" t="s">
        <v>378</v>
      </c>
      <c r="D88" s="84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201"/>
      <c r="K88" s="86">
        <v>0</v>
      </c>
      <c r="L88" s="87">
        <v>0</v>
      </c>
      <c r="M88" s="87">
        <v>0</v>
      </c>
      <c r="N88" s="87">
        <v>0</v>
      </c>
      <c r="O88" s="87">
        <v>0</v>
      </c>
      <c r="P88" s="87">
        <v>0</v>
      </c>
      <c r="Q88" s="194"/>
      <c r="R88" s="339">
        <f t="shared" si="40"/>
        <v>1</v>
      </c>
      <c r="S88" s="91">
        <f t="shared" si="28"/>
        <v>0</v>
      </c>
      <c r="T88" s="92">
        <f t="shared" si="29"/>
        <v>0</v>
      </c>
      <c r="U88" s="92">
        <f t="shared" si="30"/>
        <v>0</v>
      </c>
      <c r="V88" s="92">
        <f t="shared" si="31"/>
        <v>0</v>
      </c>
      <c r="W88" s="92">
        <f t="shared" si="32"/>
        <v>0</v>
      </c>
      <c r="X88" s="92">
        <f t="shared" si="33"/>
        <v>0</v>
      </c>
      <c r="Y88" s="217"/>
      <c r="Z88" s="347">
        <f t="shared" si="34"/>
        <v>0</v>
      </c>
      <c r="AA88" s="348">
        <f t="shared" si="35"/>
        <v>0</v>
      </c>
      <c r="AB88" s="348">
        <f t="shared" si="36"/>
        <v>0</v>
      </c>
      <c r="AC88" s="348">
        <f t="shared" si="37"/>
        <v>0</v>
      </c>
      <c r="AD88" s="348">
        <f t="shared" si="38"/>
        <v>0</v>
      </c>
      <c r="AE88" s="348">
        <f t="shared" si="39"/>
        <v>0</v>
      </c>
      <c r="AF88" s="249"/>
    </row>
    <row r="89" spans="1:32" x14ac:dyDescent="0.25">
      <c r="A89" s="81" t="s">
        <v>138</v>
      </c>
      <c r="B89" s="82" t="s">
        <v>181</v>
      </c>
      <c r="C89" s="83" t="s">
        <v>379</v>
      </c>
      <c r="D89" s="84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201"/>
      <c r="K89" s="86">
        <v>0</v>
      </c>
      <c r="L89" s="87">
        <v>0</v>
      </c>
      <c r="M89" s="87">
        <v>0</v>
      </c>
      <c r="N89" s="87">
        <v>0</v>
      </c>
      <c r="O89" s="87">
        <v>0</v>
      </c>
      <c r="P89" s="87">
        <v>0</v>
      </c>
      <c r="Q89" s="194"/>
      <c r="R89" s="339">
        <f t="shared" si="40"/>
        <v>1</v>
      </c>
      <c r="S89" s="91">
        <f t="shared" si="28"/>
        <v>0</v>
      </c>
      <c r="T89" s="92">
        <f t="shared" si="29"/>
        <v>0</v>
      </c>
      <c r="U89" s="92">
        <f t="shared" si="30"/>
        <v>0</v>
      </c>
      <c r="V89" s="92">
        <f t="shared" si="31"/>
        <v>0</v>
      </c>
      <c r="W89" s="92">
        <f t="shared" si="32"/>
        <v>0</v>
      </c>
      <c r="X89" s="92">
        <f t="shared" si="33"/>
        <v>0</v>
      </c>
      <c r="Y89" s="217"/>
      <c r="Z89" s="347">
        <f t="shared" si="34"/>
        <v>0</v>
      </c>
      <c r="AA89" s="348">
        <f t="shared" si="35"/>
        <v>0</v>
      </c>
      <c r="AB89" s="348">
        <f t="shared" si="36"/>
        <v>0</v>
      </c>
      <c r="AC89" s="348">
        <f t="shared" si="37"/>
        <v>0</v>
      </c>
      <c r="AD89" s="348">
        <f t="shared" si="38"/>
        <v>0</v>
      </c>
      <c r="AE89" s="348">
        <f t="shared" si="39"/>
        <v>0</v>
      </c>
      <c r="AF89" s="249"/>
    </row>
    <row r="90" spans="1:32" x14ac:dyDescent="0.25">
      <c r="A90" s="81" t="s">
        <v>138</v>
      </c>
      <c r="B90" s="82" t="s">
        <v>183</v>
      </c>
      <c r="C90" s="83" t="s">
        <v>380</v>
      </c>
      <c r="D90" s="84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201"/>
      <c r="K90" s="86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194"/>
      <c r="R90" s="339">
        <f t="shared" si="40"/>
        <v>1</v>
      </c>
      <c r="S90" s="91">
        <f t="shared" si="28"/>
        <v>0</v>
      </c>
      <c r="T90" s="92">
        <f t="shared" si="29"/>
        <v>0</v>
      </c>
      <c r="U90" s="92">
        <f t="shared" si="30"/>
        <v>0</v>
      </c>
      <c r="V90" s="92">
        <f t="shared" si="31"/>
        <v>0</v>
      </c>
      <c r="W90" s="92">
        <f t="shared" si="32"/>
        <v>0</v>
      </c>
      <c r="X90" s="92">
        <f t="shared" si="33"/>
        <v>0</v>
      </c>
      <c r="Y90" s="217"/>
      <c r="Z90" s="347">
        <f t="shared" si="34"/>
        <v>0</v>
      </c>
      <c r="AA90" s="348">
        <f t="shared" si="35"/>
        <v>0</v>
      </c>
      <c r="AB90" s="348">
        <f t="shared" si="36"/>
        <v>0</v>
      </c>
      <c r="AC90" s="348">
        <f t="shared" si="37"/>
        <v>0</v>
      </c>
      <c r="AD90" s="348">
        <f t="shared" si="38"/>
        <v>0</v>
      </c>
      <c r="AE90" s="348">
        <f t="shared" si="39"/>
        <v>0</v>
      </c>
      <c r="AF90" s="249"/>
    </row>
    <row r="91" spans="1:32" x14ac:dyDescent="0.25">
      <c r="A91" s="81" t="s">
        <v>138</v>
      </c>
      <c r="B91" s="82" t="s">
        <v>185</v>
      </c>
      <c r="C91" s="83" t="s">
        <v>381</v>
      </c>
      <c r="D91" s="84">
        <v>0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201"/>
      <c r="K91" s="86">
        <v>0</v>
      </c>
      <c r="L91" s="87">
        <v>0</v>
      </c>
      <c r="M91" s="87">
        <v>0</v>
      </c>
      <c r="N91" s="87">
        <v>0</v>
      </c>
      <c r="O91" s="87">
        <v>0</v>
      </c>
      <c r="P91" s="87">
        <v>0</v>
      </c>
      <c r="Q91" s="194"/>
      <c r="R91" s="339">
        <f t="shared" si="40"/>
        <v>1</v>
      </c>
      <c r="S91" s="91">
        <f t="shared" si="28"/>
        <v>0</v>
      </c>
      <c r="T91" s="92">
        <f t="shared" si="29"/>
        <v>0</v>
      </c>
      <c r="U91" s="92">
        <f t="shared" si="30"/>
        <v>0</v>
      </c>
      <c r="V91" s="92">
        <f t="shared" si="31"/>
        <v>0</v>
      </c>
      <c r="W91" s="92">
        <f t="shared" si="32"/>
        <v>0</v>
      </c>
      <c r="X91" s="92">
        <f t="shared" si="33"/>
        <v>0</v>
      </c>
      <c r="Y91" s="217"/>
      <c r="Z91" s="347">
        <f t="shared" si="34"/>
        <v>0</v>
      </c>
      <c r="AA91" s="348">
        <f t="shared" si="35"/>
        <v>0</v>
      </c>
      <c r="AB91" s="348">
        <f t="shared" si="36"/>
        <v>0</v>
      </c>
      <c r="AC91" s="348">
        <f t="shared" si="37"/>
        <v>0</v>
      </c>
      <c r="AD91" s="348">
        <f t="shared" si="38"/>
        <v>0</v>
      </c>
      <c r="AE91" s="348">
        <f t="shared" si="39"/>
        <v>0</v>
      </c>
      <c r="AF91" s="249"/>
    </row>
    <row r="92" spans="1:32" x14ac:dyDescent="0.25">
      <c r="A92" s="81" t="s">
        <v>138</v>
      </c>
      <c r="B92" s="82" t="s">
        <v>187</v>
      </c>
      <c r="C92" s="83" t="s">
        <v>382</v>
      </c>
      <c r="D92" s="84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201"/>
      <c r="K92" s="86">
        <v>0</v>
      </c>
      <c r="L92" s="87">
        <v>0</v>
      </c>
      <c r="M92" s="87">
        <v>0</v>
      </c>
      <c r="N92" s="87">
        <v>0</v>
      </c>
      <c r="O92" s="87">
        <v>0</v>
      </c>
      <c r="P92" s="87">
        <v>0</v>
      </c>
      <c r="Q92" s="194"/>
      <c r="R92" s="339">
        <f t="shared" si="40"/>
        <v>1</v>
      </c>
      <c r="S92" s="91">
        <f t="shared" si="28"/>
        <v>0</v>
      </c>
      <c r="T92" s="92">
        <f t="shared" si="29"/>
        <v>0</v>
      </c>
      <c r="U92" s="92">
        <f t="shared" si="30"/>
        <v>0</v>
      </c>
      <c r="V92" s="92">
        <f t="shared" si="31"/>
        <v>0</v>
      </c>
      <c r="W92" s="92">
        <f t="shared" si="32"/>
        <v>0</v>
      </c>
      <c r="X92" s="92">
        <f t="shared" si="33"/>
        <v>0</v>
      </c>
      <c r="Y92" s="217"/>
      <c r="Z92" s="347">
        <f t="shared" si="34"/>
        <v>0</v>
      </c>
      <c r="AA92" s="348">
        <f t="shared" si="35"/>
        <v>0</v>
      </c>
      <c r="AB92" s="348">
        <f t="shared" si="36"/>
        <v>0</v>
      </c>
      <c r="AC92" s="348">
        <f t="shared" si="37"/>
        <v>0</v>
      </c>
      <c r="AD92" s="348">
        <f t="shared" si="38"/>
        <v>0</v>
      </c>
      <c r="AE92" s="348">
        <f t="shared" si="39"/>
        <v>0</v>
      </c>
      <c r="AF92" s="249"/>
    </row>
    <row r="93" spans="1:32" x14ac:dyDescent="0.25">
      <c r="A93" s="81" t="s">
        <v>138</v>
      </c>
      <c r="B93" s="82" t="s">
        <v>189</v>
      </c>
      <c r="C93" s="83" t="s">
        <v>383</v>
      </c>
      <c r="D93" s="84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201"/>
      <c r="K93" s="86">
        <v>0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194"/>
      <c r="R93" s="339">
        <f t="shared" si="40"/>
        <v>1</v>
      </c>
      <c r="S93" s="91">
        <f t="shared" si="28"/>
        <v>0</v>
      </c>
      <c r="T93" s="92">
        <f t="shared" si="29"/>
        <v>0</v>
      </c>
      <c r="U93" s="92">
        <f t="shared" si="30"/>
        <v>0</v>
      </c>
      <c r="V93" s="92">
        <f t="shared" si="31"/>
        <v>0</v>
      </c>
      <c r="W93" s="92">
        <f t="shared" si="32"/>
        <v>0</v>
      </c>
      <c r="X93" s="92">
        <f t="shared" si="33"/>
        <v>0</v>
      </c>
      <c r="Y93" s="217"/>
      <c r="Z93" s="347">
        <f t="shared" si="34"/>
        <v>0</v>
      </c>
      <c r="AA93" s="348">
        <f t="shared" si="35"/>
        <v>0</v>
      </c>
      <c r="AB93" s="348">
        <f t="shared" si="36"/>
        <v>0</v>
      </c>
      <c r="AC93" s="348">
        <f t="shared" si="37"/>
        <v>0</v>
      </c>
      <c r="AD93" s="348">
        <f t="shared" si="38"/>
        <v>0</v>
      </c>
      <c r="AE93" s="348">
        <f t="shared" si="39"/>
        <v>0</v>
      </c>
      <c r="AF93" s="249"/>
    </row>
    <row r="94" spans="1:32" x14ac:dyDescent="0.25">
      <c r="A94" s="81" t="s">
        <v>138</v>
      </c>
      <c r="B94" s="82" t="s">
        <v>191</v>
      </c>
      <c r="C94" s="83" t="s">
        <v>384</v>
      </c>
      <c r="D94" s="84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201"/>
      <c r="K94" s="86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194"/>
      <c r="R94" s="339">
        <f t="shared" si="40"/>
        <v>1</v>
      </c>
      <c r="S94" s="91">
        <f t="shared" si="28"/>
        <v>0</v>
      </c>
      <c r="T94" s="92">
        <f t="shared" si="29"/>
        <v>0</v>
      </c>
      <c r="U94" s="92">
        <f t="shared" si="30"/>
        <v>0</v>
      </c>
      <c r="V94" s="92">
        <f t="shared" si="31"/>
        <v>0</v>
      </c>
      <c r="W94" s="92">
        <f t="shared" si="32"/>
        <v>0</v>
      </c>
      <c r="X94" s="92">
        <f t="shared" si="33"/>
        <v>0</v>
      </c>
      <c r="Y94" s="217"/>
      <c r="Z94" s="347">
        <f t="shared" si="34"/>
        <v>0</v>
      </c>
      <c r="AA94" s="348">
        <f t="shared" si="35"/>
        <v>0</v>
      </c>
      <c r="AB94" s="348">
        <f t="shared" si="36"/>
        <v>0</v>
      </c>
      <c r="AC94" s="348">
        <f t="shared" si="37"/>
        <v>0</v>
      </c>
      <c r="AD94" s="348">
        <f t="shared" si="38"/>
        <v>0</v>
      </c>
      <c r="AE94" s="348">
        <f t="shared" si="39"/>
        <v>0</v>
      </c>
      <c r="AF94" s="249"/>
    </row>
    <row r="95" spans="1:32" ht="15.75" thickBot="1" x14ac:dyDescent="0.3">
      <c r="A95" s="100" t="s">
        <v>138</v>
      </c>
      <c r="B95" s="101" t="s">
        <v>385</v>
      </c>
      <c r="C95" s="102" t="s">
        <v>386</v>
      </c>
      <c r="D95" s="103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202"/>
      <c r="K95" s="105">
        <v>0</v>
      </c>
      <c r="L95" s="106">
        <v>0</v>
      </c>
      <c r="M95" s="106">
        <v>0</v>
      </c>
      <c r="N95" s="106">
        <v>0</v>
      </c>
      <c r="O95" s="106">
        <v>0</v>
      </c>
      <c r="P95" s="106">
        <v>0</v>
      </c>
      <c r="Q95" s="195"/>
      <c r="R95" s="340">
        <f t="shared" si="40"/>
        <v>1</v>
      </c>
      <c r="S95" s="110">
        <f t="shared" si="28"/>
        <v>0</v>
      </c>
      <c r="T95" s="111">
        <f t="shared" si="29"/>
        <v>0</v>
      </c>
      <c r="U95" s="111">
        <f t="shared" si="30"/>
        <v>0</v>
      </c>
      <c r="V95" s="111">
        <f t="shared" si="31"/>
        <v>0</v>
      </c>
      <c r="W95" s="111">
        <f t="shared" si="32"/>
        <v>0</v>
      </c>
      <c r="X95" s="111">
        <f t="shared" si="33"/>
        <v>0</v>
      </c>
      <c r="Y95" s="218"/>
      <c r="Z95" s="349">
        <f t="shared" si="34"/>
        <v>0</v>
      </c>
      <c r="AA95" s="350">
        <f t="shared" si="35"/>
        <v>0</v>
      </c>
      <c r="AB95" s="350">
        <f t="shared" si="36"/>
        <v>0</v>
      </c>
      <c r="AC95" s="350">
        <f t="shared" si="37"/>
        <v>0</v>
      </c>
      <c r="AD95" s="350">
        <f t="shared" si="38"/>
        <v>0</v>
      </c>
      <c r="AE95" s="350">
        <f t="shared" si="39"/>
        <v>0</v>
      </c>
      <c r="AF95" s="251"/>
    </row>
    <row r="96" spans="1:32" x14ac:dyDescent="0.25">
      <c r="A96" s="63" t="s">
        <v>196</v>
      </c>
      <c r="B96" s="64" t="s">
        <v>193</v>
      </c>
      <c r="C96" s="65" t="s">
        <v>387</v>
      </c>
      <c r="D96" s="66">
        <v>4209201.8124783915</v>
      </c>
      <c r="E96" s="67">
        <v>0</v>
      </c>
      <c r="F96" s="67">
        <v>30845037.230128758</v>
      </c>
      <c r="G96" s="67">
        <v>1303552.0150755711</v>
      </c>
      <c r="H96" s="67">
        <v>52962.846011315043</v>
      </c>
      <c r="I96" s="67">
        <v>2512561.5205451418</v>
      </c>
      <c r="J96" s="200"/>
      <c r="K96" s="68">
        <v>483</v>
      </c>
      <c r="L96" s="69">
        <v>0</v>
      </c>
      <c r="M96" s="69">
        <v>1841</v>
      </c>
      <c r="N96" s="69">
        <v>121</v>
      </c>
      <c r="O96" s="69">
        <v>10</v>
      </c>
      <c r="P96" s="69">
        <v>44</v>
      </c>
      <c r="Q96" s="193"/>
      <c r="R96" s="338">
        <f t="shared" si="40"/>
        <v>1</v>
      </c>
      <c r="S96" s="73">
        <f t="shared" si="28"/>
        <v>4209201.8124783915</v>
      </c>
      <c r="T96" s="74">
        <f t="shared" si="29"/>
        <v>0</v>
      </c>
      <c r="U96" s="74">
        <f t="shared" si="30"/>
        <v>30845037.230128758</v>
      </c>
      <c r="V96" s="74">
        <f t="shared" si="31"/>
        <v>1303552.0150755711</v>
      </c>
      <c r="W96" s="74">
        <f t="shared" si="32"/>
        <v>52962.846011315043</v>
      </c>
      <c r="X96" s="74">
        <f t="shared" si="33"/>
        <v>2512561.5205451418</v>
      </c>
      <c r="Y96" s="216"/>
      <c r="Z96" s="345">
        <f t="shared" si="34"/>
        <v>483</v>
      </c>
      <c r="AA96" s="346">
        <f t="shared" si="35"/>
        <v>0</v>
      </c>
      <c r="AB96" s="346">
        <f t="shared" si="36"/>
        <v>1841</v>
      </c>
      <c r="AC96" s="346">
        <f t="shared" si="37"/>
        <v>121</v>
      </c>
      <c r="AD96" s="346">
        <f t="shared" si="38"/>
        <v>10</v>
      </c>
      <c r="AE96" s="346">
        <f t="shared" si="39"/>
        <v>44</v>
      </c>
      <c r="AF96" s="247"/>
    </row>
    <row r="97" spans="1:32" x14ac:dyDescent="0.25">
      <c r="A97" s="81" t="s">
        <v>196</v>
      </c>
      <c r="B97" s="82" t="s">
        <v>197</v>
      </c>
      <c r="C97" s="83" t="s">
        <v>388</v>
      </c>
      <c r="D97" s="84">
        <v>2152466.8879663073</v>
      </c>
      <c r="E97" s="85">
        <v>0</v>
      </c>
      <c r="F97" s="85">
        <v>2310714.3462434518</v>
      </c>
      <c r="G97" s="85">
        <v>3639398.2955099083</v>
      </c>
      <c r="H97" s="85">
        <v>0</v>
      </c>
      <c r="I97" s="85">
        <v>289656.75983808201</v>
      </c>
      <c r="J97" s="201"/>
      <c r="K97" s="86">
        <v>23</v>
      </c>
      <c r="L97" s="87">
        <v>0</v>
      </c>
      <c r="M97" s="87">
        <v>64</v>
      </c>
      <c r="N97" s="87">
        <v>228</v>
      </c>
      <c r="O97" s="87">
        <v>0</v>
      </c>
      <c r="P97" s="87">
        <v>9</v>
      </c>
      <c r="Q97" s="194"/>
      <c r="R97" s="339">
        <f t="shared" si="40"/>
        <v>1</v>
      </c>
      <c r="S97" s="91">
        <f t="shared" si="28"/>
        <v>2152466.8879663073</v>
      </c>
      <c r="T97" s="92">
        <f t="shared" si="29"/>
        <v>0</v>
      </c>
      <c r="U97" s="92">
        <f t="shared" si="30"/>
        <v>2310714.3462434518</v>
      </c>
      <c r="V97" s="92">
        <f t="shared" si="31"/>
        <v>3639398.2955099083</v>
      </c>
      <c r="W97" s="92">
        <f t="shared" si="32"/>
        <v>0</v>
      </c>
      <c r="X97" s="92">
        <f t="shared" si="33"/>
        <v>289656.75983808201</v>
      </c>
      <c r="Y97" s="217"/>
      <c r="Z97" s="347">
        <f t="shared" si="34"/>
        <v>23</v>
      </c>
      <c r="AA97" s="348">
        <f t="shared" si="35"/>
        <v>0</v>
      </c>
      <c r="AB97" s="348">
        <f t="shared" si="36"/>
        <v>64</v>
      </c>
      <c r="AC97" s="348">
        <f t="shared" si="37"/>
        <v>228</v>
      </c>
      <c r="AD97" s="348">
        <f t="shared" si="38"/>
        <v>0</v>
      </c>
      <c r="AE97" s="348">
        <f t="shared" si="39"/>
        <v>9</v>
      </c>
      <c r="AF97" s="249"/>
    </row>
    <row r="98" spans="1:32" x14ac:dyDescent="0.25">
      <c r="A98" s="81" t="s">
        <v>196</v>
      </c>
      <c r="B98" s="82" t="s">
        <v>199</v>
      </c>
      <c r="C98" s="83" t="s">
        <v>389</v>
      </c>
      <c r="D98" s="84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201"/>
      <c r="K98" s="86">
        <v>0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194"/>
      <c r="R98" s="339">
        <f t="shared" si="40"/>
        <v>1</v>
      </c>
      <c r="S98" s="91">
        <f t="shared" si="28"/>
        <v>0</v>
      </c>
      <c r="T98" s="92">
        <f t="shared" si="29"/>
        <v>0</v>
      </c>
      <c r="U98" s="92">
        <f t="shared" si="30"/>
        <v>0</v>
      </c>
      <c r="V98" s="92">
        <f t="shared" si="31"/>
        <v>0</v>
      </c>
      <c r="W98" s="92">
        <f t="shared" si="32"/>
        <v>0</v>
      </c>
      <c r="X98" s="92">
        <f t="shared" si="33"/>
        <v>0</v>
      </c>
      <c r="Y98" s="217"/>
      <c r="Z98" s="347">
        <f t="shared" si="34"/>
        <v>0</v>
      </c>
      <c r="AA98" s="348">
        <f t="shared" si="35"/>
        <v>0</v>
      </c>
      <c r="AB98" s="348">
        <f t="shared" si="36"/>
        <v>0</v>
      </c>
      <c r="AC98" s="348">
        <f t="shared" si="37"/>
        <v>0</v>
      </c>
      <c r="AD98" s="348">
        <f t="shared" si="38"/>
        <v>0</v>
      </c>
      <c r="AE98" s="348">
        <f t="shared" si="39"/>
        <v>0</v>
      </c>
      <c r="AF98" s="249"/>
    </row>
    <row r="99" spans="1:32" x14ac:dyDescent="0.25">
      <c r="A99" s="81" t="s">
        <v>196</v>
      </c>
      <c r="B99" s="82" t="s">
        <v>201</v>
      </c>
      <c r="C99" s="83" t="s">
        <v>390</v>
      </c>
      <c r="D99" s="84">
        <v>1176060.2820856506</v>
      </c>
      <c r="E99" s="85">
        <v>0</v>
      </c>
      <c r="F99" s="85">
        <v>4654162.8697882779</v>
      </c>
      <c r="G99" s="85">
        <v>2626543.7955922522</v>
      </c>
      <c r="H99" s="85">
        <v>119633.910047924</v>
      </c>
      <c r="I99" s="85">
        <v>720427.76406976813</v>
      </c>
      <c r="J99" s="201"/>
      <c r="K99" s="86">
        <v>181</v>
      </c>
      <c r="L99" s="87">
        <v>0</v>
      </c>
      <c r="M99" s="87">
        <v>845</v>
      </c>
      <c r="N99" s="87">
        <v>519</v>
      </c>
      <c r="O99" s="87">
        <v>8</v>
      </c>
      <c r="P99" s="87">
        <v>23</v>
      </c>
      <c r="Q99" s="194"/>
      <c r="R99" s="339">
        <f t="shared" si="40"/>
        <v>1</v>
      </c>
      <c r="S99" s="91">
        <f t="shared" si="28"/>
        <v>1176060.2820856506</v>
      </c>
      <c r="T99" s="92">
        <f t="shared" si="29"/>
        <v>0</v>
      </c>
      <c r="U99" s="92">
        <f t="shared" si="30"/>
        <v>4654162.8697882779</v>
      </c>
      <c r="V99" s="92">
        <f t="shared" si="31"/>
        <v>2626543.7955922522</v>
      </c>
      <c r="W99" s="92">
        <f t="shared" si="32"/>
        <v>119633.910047924</v>
      </c>
      <c r="X99" s="92">
        <f t="shared" si="33"/>
        <v>720427.76406976813</v>
      </c>
      <c r="Y99" s="217"/>
      <c r="Z99" s="347">
        <f t="shared" si="34"/>
        <v>181</v>
      </c>
      <c r="AA99" s="348">
        <f t="shared" si="35"/>
        <v>0</v>
      </c>
      <c r="AB99" s="348">
        <f t="shared" si="36"/>
        <v>845</v>
      </c>
      <c r="AC99" s="348">
        <f t="shared" si="37"/>
        <v>519</v>
      </c>
      <c r="AD99" s="348">
        <f t="shared" si="38"/>
        <v>8</v>
      </c>
      <c r="AE99" s="348">
        <f t="shared" si="39"/>
        <v>23</v>
      </c>
      <c r="AF99" s="249"/>
    </row>
    <row r="100" spans="1:32" x14ac:dyDescent="0.25">
      <c r="A100" s="81" t="s">
        <v>196</v>
      </c>
      <c r="B100" s="82" t="s">
        <v>203</v>
      </c>
      <c r="C100" s="83" t="s">
        <v>391</v>
      </c>
      <c r="D100" s="84">
        <v>129920.35446354399</v>
      </c>
      <c r="E100" s="85">
        <v>0</v>
      </c>
      <c r="F100" s="85">
        <v>261552.41215944692</v>
      </c>
      <c r="G100" s="85">
        <v>724027.26447118807</v>
      </c>
      <c r="H100" s="85">
        <v>0</v>
      </c>
      <c r="I100" s="85">
        <v>68892.523220001007</v>
      </c>
      <c r="J100" s="201"/>
      <c r="K100" s="86">
        <v>2</v>
      </c>
      <c r="L100" s="87">
        <v>0</v>
      </c>
      <c r="M100" s="87">
        <v>2</v>
      </c>
      <c r="N100" s="87">
        <v>40</v>
      </c>
      <c r="O100" s="87">
        <v>0</v>
      </c>
      <c r="P100" s="87">
        <v>3</v>
      </c>
      <c r="Q100" s="194"/>
      <c r="R100" s="339">
        <f t="shared" si="40"/>
        <v>1</v>
      </c>
      <c r="S100" s="91">
        <f t="shared" si="28"/>
        <v>129920.35446354399</v>
      </c>
      <c r="T100" s="92">
        <f t="shared" si="29"/>
        <v>0</v>
      </c>
      <c r="U100" s="92">
        <f t="shared" si="30"/>
        <v>261552.41215944692</v>
      </c>
      <c r="V100" s="92">
        <f t="shared" si="31"/>
        <v>724027.26447118807</v>
      </c>
      <c r="W100" s="92">
        <f t="shared" si="32"/>
        <v>0</v>
      </c>
      <c r="X100" s="92">
        <f t="shared" si="33"/>
        <v>68892.523220001007</v>
      </c>
      <c r="Y100" s="217"/>
      <c r="Z100" s="347">
        <f t="shared" si="34"/>
        <v>2</v>
      </c>
      <c r="AA100" s="348">
        <f t="shared" si="35"/>
        <v>0</v>
      </c>
      <c r="AB100" s="348">
        <f t="shared" si="36"/>
        <v>2</v>
      </c>
      <c r="AC100" s="348">
        <f t="shared" si="37"/>
        <v>40</v>
      </c>
      <c r="AD100" s="348">
        <f t="shared" si="38"/>
        <v>0</v>
      </c>
      <c r="AE100" s="348">
        <f t="shared" si="39"/>
        <v>3</v>
      </c>
      <c r="AF100" s="249"/>
    </row>
    <row r="101" spans="1:32" x14ac:dyDescent="0.25">
      <c r="A101" s="81" t="s">
        <v>196</v>
      </c>
      <c r="B101" s="82" t="s">
        <v>205</v>
      </c>
      <c r="C101" s="83" t="s">
        <v>206</v>
      </c>
      <c r="D101" s="84">
        <v>0</v>
      </c>
      <c r="E101" s="85">
        <v>0</v>
      </c>
      <c r="F101" s="85">
        <v>164444.51535913142</v>
      </c>
      <c r="G101" s="85">
        <v>17616.95767047202</v>
      </c>
      <c r="H101" s="85">
        <v>0</v>
      </c>
      <c r="I101" s="85">
        <v>0</v>
      </c>
      <c r="J101" s="201"/>
      <c r="K101" s="86">
        <v>0</v>
      </c>
      <c r="L101" s="87">
        <v>0</v>
      </c>
      <c r="M101" s="87">
        <v>21</v>
      </c>
      <c r="N101" s="87">
        <v>18</v>
      </c>
      <c r="O101" s="87">
        <v>0</v>
      </c>
      <c r="P101" s="87">
        <v>0</v>
      </c>
      <c r="Q101" s="194"/>
      <c r="R101" s="339">
        <f t="shared" si="40"/>
        <v>1</v>
      </c>
      <c r="S101" s="91">
        <f t="shared" si="28"/>
        <v>0</v>
      </c>
      <c r="T101" s="92">
        <f t="shared" si="29"/>
        <v>0</v>
      </c>
      <c r="U101" s="92">
        <f t="shared" si="30"/>
        <v>164444.51535913142</v>
      </c>
      <c r="V101" s="92">
        <f t="shared" si="31"/>
        <v>17616.95767047202</v>
      </c>
      <c r="W101" s="92">
        <f t="shared" si="32"/>
        <v>0</v>
      </c>
      <c r="X101" s="92">
        <f t="shared" si="33"/>
        <v>0</v>
      </c>
      <c r="Y101" s="217"/>
      <c r="Z101" s="347">
        <f t="shared" si="34"/>
        <v>0</v>
      </c>
      <c r="AA101" s="348">
        <f t="shared" si="35"/>
        <v>0</v>
      </c>
      <c r="AB101" s="348">
        <f t="shared" si="36"/>
        <v>21</v>
      </c>
      <c r="AC101" s="348">
        <f t="shared" si="37"/>
        <v>18</v>
      </c>
      <c r="AD101" s="348">
        <f t="shared" si="38"/>
        <v>0</v>
      </c>
      <c r="AE101" s="348">
        <f t="shared" si="39"/>
        <v>0</v>
      </c>
      <c r="AF101" s="249"/>
    </row>
    <row r="102" spans="1:32" x14ac:dyDescent="0.25">
      <c r="A102" s="81" t="s">
        <v>196</v>
      </c>
      <c r="B102" s="82" t="s">
        <v>207</v>
      </c>
      <c r="C102" s="83" t="s">
        <v>208</v>
      </c>
      <c r="D102" s="84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201"/>
      <c r="K102" s="86">
        <v>0</v>
      </c>
      <c r="L102" s="87">
        <v>0</v>
      </c>
      <c r="M102" s="87">
        <v>0</v>
      </c>
      <c r="N102" s="87">
        <v>0</v>
      </c>
      <c r="O102" s="87">
        <v>0</v>
      </c>
      <c r="P102" s="87">
        <v>0</v>
      </c>
      <c r="Q102" s="194"/>
      <c r="R102" s="339">
        <f t="shared" si="40"/>
        <v>1</v>
      </c>
      <c r="S102" s="91">
        <f t="shared" si="28"/>
        <v>0</v>
      </c>
      <c r="T102" s="92">
        <f t="shared" si="29"/>
        <v>0</v>
      </c>
      <c r="U102" s="92">
        <f t="shared" si="30"/>
        <v>0</v>
      </c>
      <c r="V102" s="92">
        <f t="shared" si="31"/>
        <v>0</v>
      </c>
      <c r="W102" s="92">
        <f t="shared" si="32"/>
        <v>0</v>
      </c>
      <c r="X102" s="92">
        <f t="shared" si="33"/>
        <v>0</v>
      </c>
      <c r="Y102" s="217"/>
      <c r="Z102" s="347">
        <f t="shared" si="34"/>
        <v>0</v>
      </c>
      <c r="AA102" s="348">
        <f t="shared" si="35"/>
        <v>0</v>
      </c>
      <c r="AB102" s="348">
        <f t="shared" si="36"/>
        <v>0</v>
      </c>
      <c r="AC102" s="348">
        <f t="shared" si="37"/>
        <v>0</v>
      </c>
      <c r="AD102" s="348">
        <f t="shared" si="38"/>
        <v>0</v>
      </c>
      <c r="AE102" s="348">
        <f t="shared" si="39"/>
        <v>0</v>
      </c>
      <c r="AF102" s="249"/>
    </row>
    <row r="103" spans="1:32" x14ac:dyDescent="0.25">
      <c r="A103" s="81" t="s">
        <v>196</v>
      </c>
      <c r="B103" s="82" t="s">
        <v>209</v>
      </c>
      <c r="C103" s="83" t="s">
        <v>210</v>
      </c>
      <c r="D103" s="84">
        <v>0</v>
      </c>
      <c r="E103" s="85">
        <v>0</v>
      </c>
      <c r="F103" s="85">
        <v>0</v>
      </c>
      <c r="G103" s="85">
        <v>120828.217046758</v>
      </c>
      <c r="H103" s="85">
        <v>0</v>
      </c>
      <c r="I103" s="85">
        <v>0</v>
      </c>
      <c r="J103" s="201"/>
      <c r="K103" s="86">
        <v>0</v>
      </c>
      <c r="L103" s="87">
        <v>0</v>
      </c>
      <c r="M103" s="87">
        <v>0</v>
      </c>
      <c r="N103" s="87">
        <v>1</v>
      </c>
      <c r="O103" s="87">
        <v>0</v>
      </c>
      <c r="P103" s="87">
        <v>0</v>
      </c>
      <c r="Q103" s="194"/>
      <c r="R103" s="339">
        <f t="shared" si="40"/>
        <v>1</v>
      </c>
      <c r="S103" s="91">
        <f t="shared" ref="S103:S132" si="41">D103*$R103</f>
        <v>0</v>
      </c>
      <c r="T103" s="92">
        <f t="shared" ref="T103:T132" si="42">E103*$R103</f>
        <v>0</v>
      </c>
      <c r="U103" s="92">
        <f t="shared" ref="U103:U132" si="43">F103*$R103</f>
        <v>0</v>
      </c>
      <c r="V103" s="92">
        <f t="shared" ref="V103:V132" si="44">G103*$R103</f>
        <v>120828.217046758</v>
      </c>
      <c r="W103" s="92">
        <f t="shared" ref="W103:W132" si="45">H103*$R103</f>
        <v>0</v>
      </c>
      <c r="X103" s="92">
        <f t="shared" ref="X103:X132" si="46">I103*$R103</f>
        <v>0</v>
      </c>
      <c r="Y103" s="217"/>
      <c r="Z103" s="347">
        <f t="shared" ref="Z103:Z132" si="47">K103*$R103</f>
        <v>0</v>
      </c>
      <c r="AA103" s="348">
        <f t="shared" ref="AA103:AA132" si="48">L103*$R103</f>
        <v>0</v>
      </c>
      <c r="AB103" s="348">
        <f t="shared" ref="AB103:AB132" si="49">M103*$R103</f>
        <v>0</v>
      </c>
      <c r="AC103" s="348">
        <f t="shared" ref="AC103:AC132" si="50">N103*$R103</f>
        <v>1</v>
      </c>
      <c r="AD103" s="348">
        <f t="shared" ref="AD103:AD132" si="51">O103*$R103</f>
        <v>0</v>
      </c>
      <c r="AE103" s="348">
        <f t="shared" ref="AE103:AE132" si="52">P103*$R103</f>
        <v>0</v>
      </c>
      <c r="AF103" s="249"/>
    </row>
    <row r="104" spans="1:32" x14ac:dyDescent="0.25">
      <c r="A104" s="81" t="s">
        <v>196</v>
      </c>
      <c r="B104" s="82" t="s">
        <v>211</v>
      </c>
      <c r="C104" s="83" t="s">
        <v>212</v>
      </c>
      <c r="D104" s="84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201"/>
      <c r="K104" s="86">
        <v>0</v>
      </c>
      <c r="L104" s="87">
        <v>0</v>
      </c>
      <c r="M104" s="87">
        <v>0</v>
      </c>
      <c r="N104" s="87">
        <v>0</v>
      </c>
      <c r="O104" s="87">
        <v>0</v>
      </c>
      <c r="P104" s="87">
        <v>0</v>
      </c>
      <c r="Q104" s="194"/>
      <c r="R104" s="339">
        <f t="shared" ref="R104:R132" si="53">R103</f>
        <v>1</v>
      </c>
      <c r="S104" s="91">
        <f t="shared" si="41"/>
        <v>0</v>
      </c>
      <c r="T104" s="92">
        <f t="shared" si="42"/>
        <v>0</v>
      </c>
      <c r="U104" s="92">
        <f t="shared" si="43"/>
        <v>0</v>
      </c>
      <c r="V104" s="92">
        <f t="shared" si="44"/>
        <v>0</v>
      </c>
      <c r="W104" s="92">
        <f t="shared" si="45"/>
        <v>0</v>
      </c>
      <c r="X104" s="92">
        <f t="shared" si="46"/>
        <v>0</v>
      </c>
      <c r="Y104" s="217"/>
      <c r="Z104" s="347">
        <f t="shared" si="47"/>
        <v>0</v>
      </c>
      <c r="AA104" s="348">
        <f t="shared" si="48"/>
        <v>0</v>
      </c>
      <c r="AB104" s="348">
        <f t="shared" si="49"/>
        <v>0</v>
      </c>
      <c r="AC104" s="348">
        <f t="shared" si="50"/>
        <v>0</v>
      </c>
      <c r="AD104" s="348">
        <f t="shared" si="51"/>
        <v>0</v>
      </c>
      <c r="AE104" s="348">
        <f t="shared" si="52"/>
        <v>0</v>
      </c>
      <c r="AF104" s="249"/>
    </row>
    <row r="105" spans="1:32" x14ac:dyDescent="0.25">
      <c r="A105" s="81" t="s">
        <v>196</v>
      </c>
      <c r="B105" s="82" t="s">
        <v>213</v>
      </c>
      <c r="C105" s="83" t="s">
        <v>214</v>
      </c>
      <c r="D105" s="84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201"/>
      <c r="K105" s="86">
        <v>0</v>
      </c>
      <c r="L105" s="87">
        <v>0</v>
      </c>
      <c r="M105" s="87">
        <v>0</v>
      </c>
      <c r="N105" s="87">
        <v>0</v>
      </c>
      <c r="O105" s="87">
        <v>0</v>
      </c>
      <c r="P105" s="87">
        <v>0</v>
      </c>
      <c r="Q105" s="194"/>
      <c r="R105" s="339">
        <f t="shared" si="53"/>
        <v>1</v>
      </c>
      <c r="S105" s="91">
        <f t="shared" si="41"/>
        <v>0</v>
      </c>
      <c r="T105" s="92">
        <f t="shared" si="42"/>
        <v>0</v>
      </c>
      <c r="U105" s="92">
        <f t="shared" si="43"/>
        <v>0</v>
      </c>
      <c r="V105" s="92">
        <f t="shared" si="44"/>
        <v>0</v>
      </c>
      <c r="W105" s="92">
        <f t="shared" si="45"/>
        <v>0</v>
      </c>
      <c r="X105" s="92">
        <f t="shared" si="46"/>
        <v>0</v>
      </c>
      <c r="Y105" s="217"/>
      <c r="Z105" s="347">
        <f t="shared" si="47"/>
        <v>0</v>
      </c>
      <c r="AA105" s="348">
        <f t="shared" si="48"/>
        <v>0</v>
      </c>
      <c r="AB105" s="348">
        <f t="shared" si="49"/>
        <v>0</v>
      </c>
      <c r="AC105" s="348">
        <f t="shared" si="50"/>
        <v>0</v>
      </c>
      <c r="AD105" s="348">
        <f t="shared" si="51"/>
        <v>0</v>
      </c>
      <c r="AE105" s="348">
        <f t="shared" si="52"/>
        <v>0</v>
      </c>
      <c r="AF105" s="249"/>
    </row>
    <row r="106" spans="1:32" x14ac:dyDescent="0.25">
      <c r="A106" s="81" t="s">
        <v>196</v>
      </c>
      <c r="B106" s="82" t="s">
        <v>215</v>
      </c>
      <c r="C106" s="83" t="s">
        <v>392</v>
      </c>
      <c r="D106" s="84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201"/>
      <c r="K106" s="86">
        <v>0</v>
      </c>
      <c r="L106" s="87">
        <v>0</v>
      </c>
      <c r="M106" s="87">
        <v>0</v>
      </c>
      <c r="N106" s="87">
        <v>0</v>
      </c>
      <c r="O106" s="87">
        <v>0</v>
      </c>
      <c r="P106" s="87">
        <v>0</v>
      </c>
      <c r="Q106" s="194"/>
      <c r="R106" s="339">
        <f t="shared" si="53"/>
        <v>1</v>
      </c>
      <c r="S106" s="91">
        <f t="shared" si="41"/>
        <v>0</v>
      </c>
      <c r="T106" s="92">
        <f t="shared" si="42"/>
        <v>0</v>
      </c>
      <c r="U106" s="92">
        <f t="shared" si="43"/>
        <v>0</v>
      </c>
      <c r="V106" s="92">
        <f t="shared" si="44"/>
        <v>0</v>
      </c>
      <c r="W106" s="92">
        <f t="shared" si="45"/>
        <v>0</v>
      </c>
      <c r="X106" s="92">
        <f t="shared" si="46"/>
        <v>0</v>
      </c>
      <c r="Y106" s="217"/>
      <c r="Z106" s="347">
        <f t="shared" si="47"/>
        <v>0</v>
      </c>
      <c r="AA106" s="348">
        <f t="shared" si="48"/>
        <v>0</v>
      </c>
      <c r="AB106" s="348">
        <f t="shared" si="49"/>
        <v>0</v>
      </c>
      <c r="AC106" s="348">
        <f t="shared" si="50"/>
        <v>0</v>
      </c>
      <c r="AD106" s="348">
        <f t="shared" si="51"/>
        <v>0</v>
      </c>
      <c r="AE106" s="348">
        <f t="shared" si="52"/>
        <v>0</v>
      </c>
      <c r="AF106" s="249"/>
    </row>
    <row r="107" spans="1:32" x14ac:dyDescent="0.25">
      <c r="A107" s="81" t="s">
        <v>196</v>
      </c>
      <c r="B107" s="82" t="s">
        <v>217</v>
      </c>
      <c r="C107" s="83" t="s">
        <v>218</v>
      </c>
      <c r="D107" s="84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201"/>
      <c r="K107" s="86">
        <v>0</v>
      </c>
      <c r="L107" s="87">
        <v>0</v>
      </c>
      <c r="M107" s="87">
        <v>0</v>
      </c>
      <c r="N107" s="87">
        <v>0</v>
      </c>
      <c r="O107" s="87">
        <v>0</v>
      </c>
      <c r="P107" s="87">
        <v>0</v>
      </c>
      <c r="Q107" s="194"/>
      <c r="R107" s="339">
        <f t="shared" si="53"/>
        <v>1</v>
      </c>
      <c r="S107" s="91">
        <f t="shared" si="41"/>
        <v>0</v>
      </c>
      <c r="T107" s="92">
        <f t="shared" si="42"/>
        <v>0</v>
      </c>
      <c r="U107" s="92">
        <f t="shared" si="43"/>
        <v>0</v>
      </c>
      <c r="V107" s="92">
        <f t="shared" si="44"/>
        <v>0</v>
      </c>
      <c r="W107" s="92">
        <f t="shared" si="45"/>
        <v>0</v>
      </c>
      <c r="X107" s="92">
        <f t="shared" si="46"/>
        <v>0</v>
      </c>
      <c r="Y107" s="217"/>
      <c r="Z107" s="347">
        <f t="shared" si="47"/>
        <v>0</v>
      </c>
      <c r="AA107" s="348">
        <f t="shared" si="48"/>
        <v>0</v>
      </c>
      <c r="AB107" s="348">
        <f t="shared" si="49"/>
        <v>0</v>
      </c>
      <c r="AC107" s="348">
        <f t="shared" si="50"/>
        <v>0</v>
      </c>
      <c r="AD107" s="348">
        <f t="shared" si="51"/>
        <v>0</v>
      </c>
      <c r="AE107" s="348">
        <f t="shared" si="52"/>
        <v>0</v>
      </c>
      <c r="AF107" s="249"/>
    </row>
    <row r="108" spans="1:32" x14ac:dyDescent="0.25">
      <c r="A108" s="81" t="s">
        <v>196</v>
      </c>
      <c r="B108" s="82" t="s">
        <v>219</v>
      </c>
      <c r="C108" s="83" t="s">
        <v>220</v>
      </c>
      <c r="D108" s="84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201"/>
      <c r="K108" s="86">
        <v>0</v>
      </c>
      <c r="L108" s="87">
        <v>0</v>
      </c>
      <c r="M108" s="87">
        <v>0</v>
      </c>
      <c r="N108" s="87">
        <v>0</v>
      </c>
      <c r="O108" s="87">
        <v>0</v>
      </c>
      <c r="P108" s="87">
        <v>0</v>
      </c>
      <c r="Q108" s="194"/>
      <c r="R108" s="339">
        <f t="shared" si="53"/>
        <v>1</v>
      </c>
      <c r="S108" s="91">
        <f t="shared" si="41"/>
        <v>0</v>
      </c>
      <c r="T108" s="92">
        <f t="shared" si="42"/>
        <v>0</v>
      </c>
      <c r="U108" s="92">
        <f t="shared" si="43"/>
        <v>0</v>
      </c>
      <c r="V108" s="92">
        <f t="shared" si="44"/>
        <v>0</v>
      </c>
      <c r="W108" s="92">
        <f t="shared" si="45"/>
        <v>0</v>
      </c>
      <c r="X108" s="92">
        <f t="shared" si="46"/>
        <v>0</v>
      </c>
      <c r="Y108" s="217"/>
      <c r="Z108" s="347">
        <f t="shared" si="47"/>
        <v>0</v>
      </c>
      <c r="AA108" s="348">
        <f t="shared" si="48"/>
        <v>0</v>
      </c>
      <c r="AB108" s="348">
        <f t="shared" si="49"/>
        <v>0</v>
      </c>
      <c r="AC108" s="348">
        <f t="shared" si="50"/>
        <v>0</v>
      </c>
      <c r="AD108" s="348">
        <f t="shared" si="51"/>
        <v>0</v>
      </c>
      <c r="AE108" s="348">
        <f t="shared" si="52"/>
        <v>0</v>
      </c>
      <c r="AF108" s="249"/>
    </row>
    <row r="109" spans="1:32" ht="15.75" thickBot="1" x14ac:dyDescent="0.3">
      <c r="A109" s="100" t="s">
        <v>196</v>
      </c>
      <c r="B109" s="101" t="s">
        <v>393</v>
      </c>
      <c r="C109" s="102" t="s">
        <v>394</v>
      </c>
      <c r="D109" s="103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202"/>
      <c r="K109" s="105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0</v>
      </c>
      <c r="Q109" s="195"/>
      <c r="R109" s="340">
        <f t="shared" si="53"/>
        <v>1</v>
      </c>
      <c r="S109" s="110">
        <f t="shared" si="41"/>
        <v>0</v>
      </c>
      <c r="T109" s="111">
        <f t="shared" si="42"/>
        <v>0</v>
      </c>
      <c r="U109" s="111">
        <f t="shared" si="43"/>
        <v>0</v>
      </c>
      <c r="V109" s="111">
        <f t="shared" si="44"/>
        <v>0</v>
      </c>
      <c r="W109" s="111">
        <f t="shared" si="45"/>
        <v>0</v>
      </c>
      <c r="X109" s="111">
        <f t="shared" si="46"/>
        <v>0</v>
      </c>
      <c r="Y109" s="218"/>
      <c r="Z109" s="349">
        <f t="shared" si="47"/>
        <v>0</v>
      </c>
      <c r="AA109" s="350">
        <f t="shared" si="48"/>
        <v>0</v>
      </c>
      <c r="AB109" s="350">
        <f t="shared" si="49"/>
        <v>0</v>
      </c>
      <c r="AC109" s="350">
        <f t="shared" si="50"/>
        <v>0</v>
      </c>
      <c r="AD109" s="350">
        <f t="shared" si="51"/>
        <v>0</v>
      </c>
      <c r="AE109" s="350">
        <f t="shared" si="52"/>
        <v>0</v>
      </c>
      <c r="AF109" s="251"/>
    </row>
    <row r="110" spans="1:32" x14ac:dyDescent="0.25">
      <c r="A110" s="63" t="s">
        <v>224</v>
      </c>
      <c r="B110" s="64" t="s">
        <v>221</v>
      </c>
      <c r="C110" s="65" t="s">
        <v>395</v>
      </c>
      <c r="D110" s="66">
        <v>33668.227505293005</v>
      </c>
      <c r="E110" s="67">
        <v>0</v>
      </c>
      <c r="F110" s="67">
        <v>1068490.9117795913</v>
      </c>
      <c r="G110" s="67">
        <v>1490.6420801289999</v>
      </c>
      <c r="H110" s="67">
        <v>3325.036353641</v>
      </c>
      <c r="I110" s="67">
        <v>3186.32</v>
      </c>
      <c r="J110" s="200"/>
      <c r="K110" s="68">
        <v>39</v>
      </c>
      <c r="L110" s="69">
        <v>0</v>
      </c>
      <c r="M110" s="69">
        <v>204</v>
      </c>
      <c r="N110" s="69">
        <v>2</v>
      </c>
      <c r="O110" s="69">
        <v>2</v>
      </c>
      <c r="P110" s="69">
        <v>0</v>
      </c>
      <c r="Q110" s="193"/>
      <c r="R110" s="338">
        <f t="shared" si="53"/>
        <v>1</v>
      </c>
      <c r="S110" s="73">
        <f t="shared" si="41"/>
        <v>33668.227505293005</v>
      </c>
      <c r="T110" s="74">
        <f t="shared" si="42"/>
        <v>0</v>
      </c>
      <c r="U110" s="74">
        <f t="shared" si="43"/>
        <v>1068490.9117795913</v>
      </c>
      <c r="V110" s="74">
        <f t="shared" si="44"/>
        <v>1490.6420801289999</v>
      </c>
      <c r="W110" s="74">
        <f t="shared" si="45"/>
        <v>3325.036353641</v>
      </c>
      <c r="X110" s="74">
        <f t="shared" si="46"/>
        <v>3186.32</v>
      </c>
      <c r="Y110" s="216"/>
      <c r="Z110" s="345">
        <f t="shared" si="47"/>
        <v>39</v>
      </c>
      <c r="AA110" s="346">
        <f t="shared" si="48"/>
        <v>0</v>
      </c>
      <c r="AB110" s="346">
        <f t="shared" si="49"/>
        <v>204</v>
      </c>
      <c r="AC110" s="346">
        <f t="shared" si="50"/>
        <v>2</v>
      </c>
      <c r="AD110" s="346">
        <f t="shared" si="51"/>
        <v>2</v>
      </c>
      <c r="AE110" s="346">
        <f t="shared" si="52"/>
        <v>0</v>
      </c>
      <c r="AF110" s="247"/>
    </row>
    <row r="111" spans="1:32" x14ac:dyDescent="0.25">
      <c r="A111" s="81" t="s">
        <v>224</v>
      </c>
      <c r="B111" s="82" t="s">
        <v>225</v>
      </c>
      <c r="C111" s="83" t="s">
        <v>396</v>
      </c>
      <c r="D111" s="84">
        <v>8824.4622040510021</v>
      </c>
      <c r="E111" s="85">
        <v>0</v>
      </c>
      <c r="F111" s="85">
        <v>1297791.8393705529</v>
      </c>
      <c r="G111" s="85">
        <v>1374.1213029910002</v>
      </c>
      <c r="H111" s="85">
        <v>2863.0982629739997</v>
      </c>
      <c r="I111" s="85">
        <v>23919.775068049999</v>
      </c>
      <c r="J111" s="201"/>
      <c r="K111" s="86">
        <v>4</v>
      </c>
      <c r="L111" s="87">
        <v>0</v>
      </c>
      <c r="M111" s="87">
        <v>193</v>
      </c>
      <c r="N111" s="87">
        <v>1</v>
      </c>
      <c r="O111" s="87">
        <v>1</v>
      </c>
      <c r="P111" s="87">
        <v>2</v>
      </c>
      <c r="Q111" s="194"/>
      <c r="R111" s="339">
        <f t="shared" si="53"/>
        <v>1</v>
      </c>
      <c r="S111" s="91">
        <f t="shared" si="41"/>
        <v>8824.4622040510021</v>
      </c>
      <c r="T111" s="92">
        <f t="shared" si="42"/>
        <v>0</v>
      </c>
      <c r="U111" s="92">
        <f t="shared" si="43"/>
        <v>1297791.8393705529</v>
      </c>
      <c r="V111" s="92">
        <f t="shared" si="44"/>
        <v>1374.1213029910002</v>
      </c>
      <c r="W111" s="92">
        <f t="shared" si="45"/>
        <v>2863.0982629739997</v>
      </c>
      <c r="X111" s="92">
        <f t="shared" si="46"/>
        <v>23919.775068049999</v>
      </c>
      <c r="Y111" s="217"/>
      <c r="Z111" s="347">
        <f t="shared" si="47"/>
        <v>4</v>
      </c>
      <c r="AA111" s="348">
        <f t="shared" si="48"/>
        <v>0</v>
      </c>
      <c r="AB111" s="348">
        <f t="shared" si="49"/>
        <v>193</v>
      </c>
      <c r="AC111" s="348">
        <f t="shared" si="50"/>
        <v>1</v>
      </c>
      <c r="AD111" s="348">
        <f t="shared" si="51"/>
        <v>1</v>
      </c>
      <c r="AE111" s="348">
        <f t="shared" si="52"/>
        <v>2</v>
      </c>
      <c r="AF111" s="249"/>
    </row>
    <row r="112" spans="1:32" x14ac:dyDescent="0.25">
      <c r="A112" s="81" t="s">
        <v>224</v>
      </c>
      <c r="B112" s="82" t="s">
        <v>227</v>
      </c>
      <c r="C112" s="83" t="s">
        <v>228</v>
      </c>
      <c r="D112" s="84">
        <v>218421.74875371589</v>
      </c>
      <c r="E112" s="85">
        <v>0</v>
      </c>
      <c r="F112" s="85">
        <v>524884.90851657314</v>
      </c>
      <c r="G112" s="85">
        <v>8760.1118653000049</v>
      </c>
      <c r="H112" s="85">
        <v>4593.0179888359999</v>
      </c>
      <c r="I112" s="85">
        <v>381.15125527800001</v>
      </c>
      <c r="J112" s="201"/>
      <c r="K112" s="86">
        <v>42</v>
      </c>
      <c r="L112" s="87">
        <v>0</v>
      </c>
      <c r="M112" s="87">
        <v>205</v>
      </c>
      <c r="N112" s="87">
        <v>5</v>
      </c>
      <c r="O112" s="87">
        <v>2</v>
      </c>
      <c r="P112" s="87">
        <v>1</v>
      </c>
      <c r="Q112" s="194"/>
      <c r="R112" s="339">
        <f t="shared" si="53"/>
        <v>1</v>
      </c>
      <c r="S112" s="91">
        <f t="shared" si="41"/>
        <v>218421.74875371589</v>
      </c>
      <c r="T112" s="92">
        <f t="shared" si="42"/>
        <v>0</v>
      </c>
      <c r="U112" s="92">
        <f t="shared" si="43"/>
        <v>524884.90851657314</v>
      </c>
      <c r="V112" s="92">
        <f t="shared" si="44"/>
        <v>8760.1118653000049</v>
      </c>
      <c r="W112" s="92">
        <f t="shared" si="45"/>
        <v>4593.0179888359999</v>
      </c>
      <c r="X112" s="92">
        <f t="shared" si="46"/>
        <v>381.15125527800001</v>
      </c>
      <c r="Y112" s="217"/>
      <c r="Z112" s="347">
        <f t="shared" si="47"/>
        <v>42</v>
      </c>
      <c r="AA112" s="348">
        <f t="shared" si="48"/>
        <v>0</v>
      </c>
      <c r="AB112" s="348">
        <f t="shared" si="49"/>
        <v>205</v>
      </c>
      <c r="AC112" s="348">
        <f t="shared" si="50"/>
        <v>5</v>
      </c>
      <c r="AD112" s="348">
        <f t="shared" si="51"/>
        <v>2</v>
      </c>
      <c r="AE112" s="348">
        <f t="shared" si="52"/>
        <v>1</v>
      </c>
      <c r="AF112" s="249"/>
    </row>
    <row r="113" spans="1:32" x14ac:dyDescent="0.25">
      <c r="A113" s="81" t="s">
        <v>224</v>
      </c>
      <c r="B113" s="82" t="s">
        <v>229</v>
      </c>
      <c r="C113" s="83" t="s">
        <v>230</v>
      </c>
      <c r="D113" s="84">
        <v>106325.80291642499</v>
      </c>
      <c r="E113" s="85">
        <v>0</v>
      </c>
      <c r="F113" s="85">
        <v>817522.15807919262</v>
      </c>
      <c r="G113" s="85">
        <v>2189.6512641440022</v>
      </c>
      <c r="H113" s="85">
        <v>1885.8558512019999</v>
      </c>
      <c r="I113" s="85">
        <v>7369.6604437600008</v>
      </c>
      <c r="J113" s="201"/>
      <c r="K113" s="86">
        <v>149</v>
      </c>
      <c r="L113" s="87">
        <v>0</v>
      </c>
      <c r="M113" s="87">
        <v>590</v>
      </c>
      <c r="N113" s="87">
        <v>7</v>
      </c>
      <c r="O113" s="87">
        <v>10</v>
      </c>
      <c r="P113" s="87">
        <v>15</v>
      </c>
      <c r="Q113" s="194"/>
      <c r="R113" s="339">
        <f t="shared" si="53"/>
        <v>1</v>
      </c>
      <c r="S113" s="91">
        <f t="shared" si="41"/>
        <v>106325.80291642499</v>
      </c>
      <c r="T113" s="92">
        <f t="shared" si="42"/>
        <v>0</v>
      </c>
      <c r="U113" s="92">
        <f t="shared" si="43"/>
        <v>817522.15807919262</v>
      </c>
      <c r="V113" s="92">
        <f t="shared" si="44"/>
        <v>2189.6512641440022</v>
      </c>
      <c r="W113" s="92">
        <f t="shared" si="45"/>
        <v>1885.8558512019999</v>
      </c>
      <c r="X113" s="92">
        <f t="shared" si="46"/>
        <v>7369.6604437600008</v>
      </c>
      <c r="Y113" s="217"/>
      <c r="Z113" s="347">
        <f t="shared" si="47"/>
        <v>149</v>
      </c>
      <c r="AA113" s="348">
        <f t="shared" si="48"/>
        <v>0</v>
      </c>
      <c r="AB113" s="348">
        <f t="shared" si="49"/>
        <v>590</v>
      </c>
      <c r="AC113" s="348">
        <f t="shared" si="50"/>
        <v>7</v>
      </c>
      <c r="AD113" s="348">
        <f t="shared" si="51"/>
        <v>10</v>
      </c>
      <c r="AE113" s="348">
        <f t="shared" si="52"/>
        <v>15</v>
      </c>
      <c r="AF113" s="249"/>
    </row>
    <row r="114" spans="1:32" x14ac:dyDescent="0.25">
      <c r="A114" s="81" t="s">
        <v>224</v>
      </c>
      <c r="B114" s="82" t="s">
        <v>231</v>
      </c>
      <c r="C114" s="83" t="s">
        <v>232</v>
      </c>
      <c r="D114" s="84">
        <v>786.80390434499998</v>
      </c>
      <c r="E114" s="85">
        <v>0</v>
      </c>
      <c r="F114" s="85">
        <v>83914.829864393003</v>
      </c>
      <c r="G114" s="85">
        <v>143.90196896400002</v>
      </c>
      <c r="H114" s="85">
        <v>84.10517917</v>
      </c>
      <c r="I114" s="85">
        <v>0</v>
      </c>
      <c r="J114" s="201"/>
      <c r="K114" s="86">
        <v>41</v>
      </c>
      <c r="L114" s="87">
        <v>0</v>
      </c>
      <c r="M114" s="87">
        <v>438</v>
      </c>
      <c r="N114" s="87">
        <v>4</v>
      </c>
      <c r="O114" s="87">
        <v>1</v>
      </c>
      <c r="P114" s="87">
        <v>0</v>
      </c>
      <c r="Q114" s="194"/>
      <c r="R114" s="339">
        <f t="shared" si="53"/>
        <v>1</v>
      </c>
      <c r="S114" s="91">
        <f t="shared" si="41"/>
        <v>786.80390434499998</v>
      </c>
      <c r="T114" s="92">
        <f t="shared" si="42"/>
        <v>0</v>
      </c>
      <c r="U114" s="92">
        <f t="shared" si="43"/>
        <v>83914.829864393003</v>
      </c>
      <c r="V114" s="92">
        <f t="shared" si="44"/>
        <v>143.90196896400002</v>
      </c>
      <c r="W114" s="92">
        <f t="shared" si="45"/>
        <v>84.10517917</v>
      </c>
      <c r="X114" s="92">
        <f t="shared" si="46"/>
        <v>0</v>
      </c>
      <c r="Y114" s="217"/>
      <c r="Z114" s="347">
        <f t="shared" si="47"/>
        <v>41</v>
      </c>
      <c r="AA114" s="348">
        <f t="shared" si="48"/>
        <v>0</v>
      </c>
      <c r="AB114" s="348">
        <f t="shared" si="49"/>
        <v>438</v>
      </c>
      <c r="AC114" s="348">
        <f t="shared" si="50"/>
        <v>4</v>
      </c>
      <c r="AD114" s="348">
        <f t="shared" si="51"/>
        <v>1</v>
      </c>
      <c r="AE114" s="348">
        <f t="shared" si="52"/>
        <v>0</v>
      </c>
      <c r="AF114" s="249"/>
    </row>
    <row r="115" spans="1:32" x14ac:dyDescent="0.25">
      <c r="A115" s="81" t="s">
        <v>224</v>
      </c>
      <c r="B115" s="82" t="s">
        <v>233</v>
      </c>
      <c r="C115" s="83" t="s">
        <v>234</v>
      </c>
      <c r="D115" s="84">
        <v>266.73646739900011</v>
      </c>
      <c r="E115" s="85">
        <v>0</v>
      </c>
      <c r="F115" s="85">
        <v>46418.135344554823</v>
      </c>
      <c r="G115" s="85">
        <v>0</v>
      </c>
      <c r="H115" s="85">
        <v>0</v>
      </c>
      <c r="I115" s="85">
        <v>0</v>
      </c>
      <c r="J115" s="201"/>
      <c r="K115" s="86">
        <v>8</v>
      </c>
      <c r="L115" s="87">
        <v>0</v>
      </c>
      <c r="M115" s="87">
        <v>430</v>
      </c>
      <c r="N115" s="87">
        <v>0</v>
      </c>
      <c r="O115" s="87">
        <v>0</v>
      </c>
      <c r="P115" s="87">
        <v>0</v>
      </c>
      <c r="Q115" s="194"/>
      <c r="R115" s="339">
        <f t="shared" si="53"/>
        <v>1</v>
      </c>
      <c r="S115" s="91">
        <f t="shared" si="41"/>
        <v>266.73646739900011</v>
      </c>
      <c r="T115" s="92">
        <f t="shared" si="42"/>
        <v>0</v>
      </c>
      <c r="U115" s="92">
        <f t="shared" si="43"/>
        <v>46418.135344554823</v>
      </c>
      <c r="V115" s="92">
        <f t="shared" si="44"/>
        <v>0</v>
      </c>
      <c r="W115" s="92">
        <f t="shared" si="45"/>
        <v>0</v>
      </c>
      <c r="X115" s="92">
        <f t="shared" si="46"/>
        <v>0</v>
      </c>
      <c r="Y115" s="217"/>
      <c r="Z115" s="347">
        <f t="shared" si="47"/>
        <v>8</v>
      </c>
      <c r="AA115" s="348">
        <f t="shared" si="48"/>
        <v>0</v>
      </c>
      <c r="AB115" s="348">
        <f t="shared" si="49"/>
        <v>430</v>
      </c>
      <c r="AC115" s="348">
        <f t="shared" si="50"/>
        <v>0</v>
      </c>
      <c r="AD115" s="348">
        <f t="shared" si="51"/>
        <v>0</v>
      </c>
      <c r="AE115" s="348">
        <f t="shared" si="52"/>
        <v>0</v>
      </c>
      <c r="AF115" s="249"/>
    </row>
    <row r="116" spans="1:32" x14ac:dyDescent="0.25">
      <c r="A116" s="81" t="s">
        <v>224</v>
      </c>
      <c r="B116" s="82" t="s">
        <v>235</v>
      </c>
      <c r="C116" s="83" t="s">
        <v>236</v>
      </c>
      <c r="D116" s="84">
        <v>0</v>
      </c>
      <c r="E116" s="85">
        <v>0</v>
      </c>
      <c r="F116" s="85">
        <v>299780.3468326013</v>
      </c>
      <c r="G116" s="85">
        <v>0</v>
      </c>
      <c r="H116" s="85">
        <v>0</v>
      </c>
      <c r="I116" s="85">
        <v>0</v>
      </c>
      <c r="J116" s="201"/>
      <c r="K116" s="86">
        <v>0</v>
      </c>
      <c r="L116" s="87">
        <v>0</v>
      </c>
      <c r="M116" s="87">
        <v>24</v>
      </c>
      <c r="N116" s="87">
        <v>0</v>
      </c>
      <c r="O116" s="87">
        <v>0</v>
      </c>
      <c r="P116" s="87">
        <v>0</v>
      </c>
      <c r="Q116" s="194"/>
      <c r="R116" s="339">
        <f t="shared" si="53"/>
        <v>1</v>
      </c>
      <c r="S116" s="91">
        <f t="shared" si="41"/>
        <v>0</v>
      </c>
      <c r="T116" s="92">
        <f t="shared" si="42"/>
        <v>0</v>
      </c>
      <c r="U116" s="92">
        <f t="shared" si="43"/>
        <v>299780.3468326013</v>
      </c>
      <c r="V116" s="92">
        <f t="shared" si="44"/>
        <v>0</v>
      </c>
      <c r="W116" s="92">
        <f t="shared" si="45"/>
        <v>0</v>
      </c>
      <c r="X116" s="92">
        <f t="shared" si="46"/>
        <v>0</v>
      </c>
      <c r="Y116" s="217"/>
      <c r="Z116" s="347">
        <f t="shared" si="47"/>
        <v>0</v>
      </c>
      <c r="AA116" s="348">
        <f t="shared" si="48"/>
        <v>0</v>
      </c>
      <c r="AB116" s="348">
        <f t="shared" si="49"/>
        <v>24</v>
      </c>
      <c r="AC116" s="348">
        <f t="shared" si="50"/>
        <v>0</v>
      </c>
      <c r="AD116" s="348">
        <f t="shared" si="51"/>
        <v>0</v>
      </c>
      <c r="AE116" s="348">
        <f t="shared" si="52"/>
        <v>0</v>
      </c>
      <c r="AF116" s="249"/>
    </row>
    <row r="117" spans="1:32" x14ac:dyDescent="0.25">
      <c r="A117" s="81" t="s">
        <v>224</v>
      </c>
      <c r="B117" s="82" t="s">
        <v>237</v>
      </c>
      <c r="C117" s="83" t="s">
        <v>238</v>
      </c>
      <c r="D117" s="84">
        <v>0</v>
      </c>
      <c r="E117" s="85">
        <v>0</v>
      </c>
      <c r="F117" s="85">
        <v>787721.08799949021</v>
      </c>
      <c r="G117" s="85">
        <v>1276.8226884989995</v>
      </c>
      <c r="H117" s="85">
        <v>8087.6713945250003</v>
      </c>
      <c r="I117" s="85">
        <v>7831.9464547800007</v>
      </c>
      <c r="J117" s="201"/>
      <c r="K117" s="86">
        <v>0</v>
      </c>
      <c r="L117" s="87">
        <v>0</v>
      </c>
      <c r="M117" s="87">
        <v>90</v>
      </c>
      <c r="N117" s="87">
        <v>1</v>
      </c>
      <c r="O117" s="87">
        <v>1</v>
      </c>
      <c r="P117" s="87">
        <v>6</v>
      </c>
      <c r="Q117" s="194"/>
      <c r="R117" s="339">
        <f t="shared" si="53"/>
        <v>1</v>
      </c>
      <c r="S117" s="91">
        <f t="shared" si="41"/>
        <v>0</v>
      </c>
      <c r="T117" s="92">
        <f t="shared" si="42"/>
        <v>0</v>
      </c>
      <c r="U117" s="92">
        <f t="shared" si="43"/>
        <v>787721.08799949021</v>
      </c>
      <c r="V117" s="92">
        <f t="shared" si="44"/>
        <v>1276.8226884989995</v>
      </c>
      <c r="W117" s="92">
        <f t="shared" si="45"/>
        <v>8087.6713945250003</v>
      </c>
      <c r="X117" s="92">
        <f t="shared" si="46"/>
        <v>7831.9464547800007</v>
      </c>
      <c r="Y117" s="217"/>
      <c r="Z117" s="347">
        <f t="shared" si="47"/>
        <v>0</v>
      </c>
      <c r="AA117" s="348">
        <f t="shared" si="48"/>
        <v>0</v>
      </c>
      <c r="AB117" s="348">
        <f t="shared" si="49"/>
        <v>90</v>
      </c>
      <c r="AC117" s="348">
        <f t="shared" si="50"/>
        <v>1</v>
      </c>
      <c r="AD117" s="348">
        <f t="shared" si="51"/>
        <v>1</v>
      </c>
      <c r="AE117" s="348">
        <f t="shared" si="52"/>
        <v>6</v>
      </c>
      <c r="AF117" s="249"/>
    </row>
    <row r="118" spans="1:32" ht="15.75" thickBot="1" x14ac:dyDescent="0.3">
      <c r="A118" s="100" t="s">
        <v>224</v>
      </c>
      <c r="B118" s="101" t="s">
        <v>397</v>
      </c>
      <c r="C118" s="102" t="s">
        <v>398</v>
      </c>
      <c r="D118" s="103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202"/>
      <c r="K118" s="105">
        <v>0</v>
      </c>
      <c r="L118" s="106">
        <v>0</v>
      </c>
      <c r="M118" s="106">
        <v>0</v>
      </c>
      <c r="N118" s="106">
        <v>0</v>
      </c>
      <c r="O118" s="106">
        <v>0</v>
      </c>
      <c r="P118" s="106">
        <v>0</v>
      </c>
      <c r="Q118" s="195"/>
      <c r="R118" s="340">
        <f t="shared" si="53"/>
        <v>1</v>
      </c>
      <c r="S118" s="110">
        <f t="shared" si="41"/>
        <v>0</v>
      </c>
      <c r="T118" s="111">
        <f t="shared" si="42"/>
        <v>0</v>
      </c>
      <c r="U118" s="111">
        <f t="shared" si="43"/>
        <v>0</v>
      </c>
      <c r="V118" s="111">
        <f t="shared" si="44"/>
        <v>0</v>
      </c>
      <c r="W118" s="111">
        <f t="shared" si="45"/>
        <v>0</v>
      </c>
      <c r="X118" s="111">
        <f t="shared" si="46"/>
        <v>0</v>
      </c>
      <c r="Y118" s="218"/>
      <c r="Z118" s="349">
        <f t="shared" si="47"/>
        <v>0</v>
      </c>
      <c r="AA118" s="350">
        <f t="shared" si="48"/>
        <v>0</v>
      </c>
      <c r="AB118" s="350">
        <f t="shared" si="49"/>
        <v>0</v>
      </c>
      <c r="AC118" s="350">
        <f t="shared" si="50"/>
        <v>0</v>
      </c>
      <c r="AD118" s="350">
        <f t="shared" si="51"/>
        <v>0</v>
      </c>
      <c r="AE118" s="350">
        <f t="shared" si="52"/>
        <v>0</v>
      </c>
      <c r="AF118" s="251"/>
    </row>
    <row r="119" spans="1:32" x14ac:dyDescent="0.25">
      <c r="A119" s="63" t="s">
        <v>242</v>
      </c>
      <c r="B119" s="64" t="s">
        <v>239</v>
      </c>
      <c r="C119" s="65" t="s">
        <v>241</v>
      </c>
      <c r="D119" s="66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200"/>
      <c r="K119" s="68">
        <v>0</v>
      </c>
      <c r="L119" s="69">
        <v>0</v>
      </c>
      <c r="M119" s="69">
        <v>0</v>
      </c>
      <c r="N119" s="69">
        <v>0</v>
      </c>
      <c r="O119" s="69">
        <v>0</v>
      </c>
      <c r="P119" s="69">
        <v>0</v>
      </c>
      <c r="Q119" s="193"/>
      <c r="R119" s="338">
        <f t="shared" si="53"/>
        <v>1</v>
      </c>
      <c r="S119" s="73">
        <f t="shared" si="41"/>
        <v>0</v>
      </c>
      <c r="T119" s="74">
        <f t="shared" si="42"/>
        <v>0</v>
      </c>
      <c r="U119" s="74">
        <f t="shared" si="43"/>
        <v>0</v>
      </c>
      <c r="V119" s="74">
        <f t="shared" si="44"/>
        <v>0</v>
      </c>
      <c r="W119" s="74">
        <f t="shared" si="45"/>
        <v>0</v>
      </c>
      <c r="X119" s="74">
        <f t="shared" si="46"/>
        <v>0</v>
      </c>
      <c r="Y119" s="216"/>
      <c r="Z119" s="351">
        <f t="shared" si="47"/>
        <v>0</v>
      </c>
      <c r="AA119" s="352">
        <f t="shared" si="48"/>
        <v>0</v>
      </c>
      <c r="AB119" s="352">
        <f t="shared" si="49"/>
        <v>0</v>
      </c>
      <c r="AC119" s="352">
        <f t="shared" si="50"/>
        <v>0</v>
      </c>
      <c r="AD119" s="352">
        <f t="shared" si="51"/>
        <v>0</v>
      </c>
      <c r="AE119" s="352">
        <f t="shared" si="52"/>
        <v>0</v>
      </c>
      <c r="AF119" s="253"/>
    </row>
    <row r="120" spans="1:32" x14ac:dyDescent="0.25">
      <c r="A120" s="81" t="s">
        <v>242</v>
      </c>
      <c r="B120" s="82" t="s">
        <v>243</v>
      </c>
      <c r="C120" s="83" t="s">
        <v>244</v>
      </c>
      <c r="D120" s="84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201"/>
      <c r="K120" s="86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194"/>
      <c r="R120" s="339">
        <f t="shared" si="53"/>
        <v>1</v>
      </c>
      <c r="S120" s="91">
        <f t="shared" si="41"/>
        <v>0</v>
      </c>
      <c r="T120" s="92">
        <f t="shared" si="42"/>
        <v>0</v>
      </c>
      <c r="U120" s="92">
        <f t="shared" si="43"/>
        <v>0</v>
      </c>
      <c r="V120" s="92">
        <f t="shared" si="44"/>
        <v>0</v>
      </c>
      <c r="W120" s="92">
        <f t="shared" si="45"/>
        <v>0</v>
      </c>
      <c r="X120" s="92">
        <f t="shared" si="46"/>
        <v>0</v>
      </c>
      <c r="Y120" s="217"/>
      <c r="Z120" s="347">
        <f t="shared" si="47"/>
        <v>0</v>
      </c>
      <c r="AA120" s="348">
        <f t="shared" si="48"/>
        <v>0</v>
      </c>
      <c r="AB120" s="348">
        <f t="shared" si="49"/>
        <v>0</v>
      </c>
      <c r="AC120" s="348">
        <f t="shared" si="50"/>
        <v>0</v>
      </c>
      <c r="AD120" s="348">
        <f t="shared" si="51"/>
        <v>0</v>
      </c>
      <c r="AE120" s="348">
        <f t="shared" si="52"/>
        <v>0</v>
      </c>
      <c r="AF120" s="249"/>
    </row>
    <row r="121" spans="1:32" x14ac:dyDescent="0.25">
      <c r="A121" s="81" t="s">
        <v>242</v>
      </c>
      <c r="B121" s="82" t="s">
        <v>245</v>
      </c>
      <c r="C121" s="83" t="s">
        <v>246</v>
      </c>
      <c r="D121" s="84">
        <v>0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201"/>
      <c r="K121" s="86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194"/>
      <c r="R121" s="339">
        <f t="shared" si="53"/>
        <v>1</v>
      </c>
      <c r="S121" s="91">
        <f t="shared" si="41"/>
        <v>0</v>
      </c>
      <c r="T121" s="92">
        <f t="shared" si="42"/>
        <v>0</v>
      </c>
      <c r="U121" s="92">
        <f t="shared" si="43"/>
        <v>0</v>
      </c>
      <c r="V121" s="92">
        <f t="shared" si="44"/>
        <v>0</v>
      </c>
      <c r="W121" s="92">
        <f t="shared" si="45"/>
        <v>0</v>
      </c>
      <c r="X121" s="92">
        <f t="shared" si="46"/>
        <v>0</v>
      </c>
      <c r="Y121" s="217"/>
      <c r="Z121" s="347">
        <f t="shared" si="47"/>
        <v>0</v>
      </c>
      <c r="AA121" s="348">
        <f t="shared" si="48"/>
        <v>0</v>
      </c>
      <c r="AB121" s="348">
        <f t="shared" si="49"/>
        <v>0</v>
      </c>
      <c r="AC121" s="348">
        <f t="shared" si="50"/>
        <v>0</v>
      </c>
      <c r="AD121" s="348">
        <f t="shared" si="51"/>
        <v>0</v>
      </c>
      <c r="AE121" s="348">
        <f t="shared" si="52"/>
        <v>0</v>
      </c>
      <c r="AF121" s="249"/>
    </row>
    <row r="122" spans="1:32" x14ac:dyDescent="0.25">
      <c r="A122" s="81" t="s">
        <v>242</v>
      </c>
      <c r="B122" s="82" t="s">
        <v>247</v>
      </c>
      <c r="C122" s="83" t="s">
        <v>248</v>
      </c>
      <c r="D122" s="84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201"/>
      <c r="K122" s="86">
        <v>0</v>
      </c>
      <c r="L122" s="87">
        <v>0</v>
      </c>
      <c r="M122" s="87">
        <v>0</v>
      </c>
      <c r="N122" s="87">
        <v>0</v>
      </c>
      <c r="O122" s="87">
        <v>0</v>
      </c>
      <c r="P122" s="87">
        <v>0</v>
      </c>
      <c r="Q122" s="194"/>
      <c r="R122" s="339">
        <f t="shared" si="53"/>
        <v>1</v>
      </c>
      <c r="S122" s="91">
        <f t="shared" si="41"/>
        <v>0</v>
      </c>
      <c r="T122" s="92">
        <f t="shared" si="42"/>
        <v>0</v>
      </c>
      <c r="U122" s="92">
        <f t="shared" si="43"/>
        <v>0</v>
      </c>
      <c r="V122" s="92">
        <f t="shared" si="44"/>
        <v>0</v>
      </c>
      <c r="W122" s="92">
        <f t="shared" si="45"/>
        <v>0</v>
      </c>
      <c r="X122" s="92">
        <f t="shared" si="46"/>
        <v>0</v>
      </c>
      <c r="Y122" s="217"/>
      <c r="Z122" s="347">
        <f t="shared" si="47"/>
        <v>0</v>
      </c>
      <c r="AA122" s="348">
        <f t="shared" si="48"/>
        <v>0</v>
      </c>
      <c r="AB122" s="348">
        <f t="shared" si="49"/>
        <v>0</v>
      </c>
      <c r="AC122" s="348">
        <f t="shared" si="50"/>
        <v>0</v>
      </c>
      <c r="AD122" s="348">
        <f t="shared" si="51"/>
        <v>0</v>
      </c>
      <c r="AE122" s="348">
        <f t="shared" si="52"/>
        <v>0</v>
      </c>
      <c r="AF122" s="249"/>
    </row>
    <row r="123" spans="1:32" x14ac:dyDescent="0.25">
      <c r="A123" s="81" t="s">
        <v>242</v>
      </c>
      <c r="B123" s="82" t="s">
        <v>249</v>
      </c>
      <c r="C123" s="83" t="s">
        <v>250</v>
      </c>
      <c r="D123" s="84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201"/>
      <c r="K123" s="86">
        <v>0</v>
      </c>
      <c r="L123" s="87">
        <v>0</v>
      </c>
      <c r="M123" s="87">
        <v>0</v>
      </c>
      <c r="N123" s="87">
        <v>0</v>
      </c>
      <c r="O123" s="87">
        <v>0</v>
      </c>
      <c r="P123" s="87">
        <v>0</v>
      </c>
      <c r="Q123" s="194"/>
      <c r="R123" s="339">
        <f t="shared" si="53"/>
        <v>1</v>
      </c>
      <c r="S123" s="91">
        <f t="shared" si="41"/>
        <v>0</v>
      </c>
      <c r="T123" s="92">
        <f t="shared" si="42"/>
        <v>0</v>
      </c>
      <c r="U123" s="92">
        <f t="shared" si="43"/>
        <v>0</v>
      </c>
      <c r="V123" s="92">
        <f t="shared" si="44"/>
        <v>0</v>
      </c>
      <c r="W123" s="92">
        <f t="shared" si="45"/>
        <v>0</v>
      </c>
      <c r="X123" s="92">
        <f t="shared" si="46"/>
        <v>0</v>
      </c>
      <c r="Y123" s="217"/>
      <c r="Z123" s="347">
        <f t="shared" si="47"/>
        <v>0</v>
      </c>
      <c r="AA123" s="348">
        <f t="shared" si="48"/>
        <v>0</v>
      </c>
      <c r="AB123" s="348">
        <f t="shared" si="49"/>
        <v>0</v>
      </c>
      <c r="AC123" s="348">
        <f t="shared" si="50"/>
        <v>0</v>
      </c>
      <c r="AD123" s="348">
        <f t="shared" si="51"/>
        <v>0</v>
      </c>
      <c r="AE123" s="348">
        <f t="shared" si="52"/>
        <v>0</v>
      </c>
      <c r="AF123" s="249"/>
    </row>
    <row r="124" spans="1:32" x14ac:dyDescent="0.25">
      <c r="A124" s="81" t="s">
        <v>242</v>
      </c>
      <c r="B124" s="82" t="s">
        <v>251</v>
      </c>
      <c r="C124" s="83" t="s">
        <v>252</v>
      </c>
      <c r="D124" s="84">
        <v>1885486.8175244262</v>
      </c>
      <c r="E124" s="85">
        <v>0</v>
      </c>
      <c r="F124" s="85">
        <v>0</v>
      </c>
      <c r="G124" s="85">
        <v>-13494.56</v>
      </c>
      <c r="H124" s="85">
        <v>0</v>
      </c>
      <c r="I124" s="85">
        <v>0</v>
      </c>
      <c r="J124" s="201"/>
      <c r="K124" s="86">
        <v>0</v>
      </c>
      <c r="L124" s="87">
        <v>0</v>
      </c>
      <c r="M124" s="87">
        <v>0</v>
      </c>
      <c r="N124" s="87">
        <v>534</v>
      </c>
      <c r="O124" s="87">
        <v>0</v>
      </c>
      <c r="P124" s="87">
        <v>0</v>
      </c>
      <c r="Q124" s="194"/>
      <c r="R124" s="339">
        <f t="shared" si="53"/>
        <v>1</v>
      </c>
      <c r="S124" s="91">
        <f t="shared" si="41"/>
        <v>1885486.8175244262</v>
      </c>
      <c r="T124" s="92">
        <f t="shared" si="42"/>
        <v>0</v>
      </c>
      <c r="U124" s="92">
        <f t="shared" si="43"/>
        <v>0</v>
      </c>
      <c r="V124" s="92">
        <f t="shared" si="44"/>
        <v>-13494.56</v>
      </c>
      <c r="W124" s="92">
        <f t="shared" si="45"/>
        <v>0</v>
      </c>
      <c r="X124" s="92">
        <f t="shared" si="46"/>
        <v>0</v>
      </c>
      <c r="Y124" s="217"/>
      <c r="Z124" s="347">
        <f t="shared" si="47"/>
        <v>0</v>
      </c>
      <c r="AA124" s="348">
        <f t="shared" si="48"/>
        <v>0</v>
      </c>
      <c r="AB124" s="348">
        <f t="shared" si="49"/>
        <v>0</v>
      </c>
      <c r="AC124" s="348">
        <f t="shared" si="50"/>
        <v>534</v>
      </c>
      <c r="AD124" s="348">
        <f t="shared" si="51"/>
        <v>0</v>
      </c>
      <c r="AE124" s="348">
        <f t="shared" si="52"/>
        <v>0</v>
      </c>
      <c r="AF124" s="249"/>
    </row>
    <row r="125" spans="1:32" x14ac:dyDescent="0.25">
      <c r="A125" s="81" t="s">
        <v>242</v>
      </c>
      <c r="B125" s="82" t="s">
        <v>253</v>
      </c>
      <c r="C125" s="83" t="s">
        <v>254</v>
      </c>
      <c r="D125" s="84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201"/>
      <c r="K125" s="86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0</v>
      </c>
      <c r="Q125" s="194"/>
      <c r="R125" s="339">
        <f t="shared" si="53"/>
        <v>1</v>
      </c>
      <c r="S125" s="91">
        <f t="shared" si="41"/>
        <v>0</v>
      </c>
      <c r="T125" s="92">
        <f t="shared" si="42"/>
        <v>0</v>
      </c>
      <c r="U125" s="92">
        <f t="shared" si="43"/>
        <v>0</v>
      </c>
      <c r="V125" s="92">
        <f t="shared" si="44"/>
        <v>0</v>
      </c>
      <c r="W125" s="92">
        <f t="shared" si="45"/>
        <v>0</v>
      </c>
      <c r="X125" s="92">
        <f t="shared" si="46"/>
        <v>0</v>
      </c>
      <c r="Y125" s="217"/>
      <c r="Z125" s="347">
        <f t="shared" si="47"/>
        <v>0</v>
      </c>
      <c r="AA125" s="348">
        <f t="shared" si="48"/>
        <v>0</v>
      </c>
      <c r="AB125" s="348">
        <f t="shared" si="49"/>
        <v>0</v>
      </c>
      <c r="AC125" s="348">
        <f t="shared" si="50"/>
        <v>0</v>
      </c>
      <c r="AD125" s="348">
        <f t="shared" si="51"/>
        <v>0</v>
      </c>
      <c r="AE125" s="348">
        <f t="shared" si="52"/>
        <v>0</v>
      </c>
      <c r="AF125" s="249"/>
    </row>
    <row r="126" spans="1:32" ht="15.75" thickBot="1" x14ac:dyDescent="0.3">
      <c r="A126" s="81" t="s">
        <v>242</v>
      </c>
      <c r="B126" s="82" t="s">
        <v>399</v>
      </c>
      <c r="C126" s="102" t="s">
        <v>400</v>
      </c>
      <c r="D126" s="103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202"/>
      <c r="K126" s="105">
        <v>0</v>
      </c>
      <c r="L126" s="106">
        <v>0</v>
      </c>
      <c r="M126" s="106">
        <v>0</v>
      </c>
      <c r="N126" s="106">
        <v>0</v>
      </c>
      <c r="O126" s="106">
        <v>0</v>
      </c>
      <c r="P126" s="106">
        <v>0</v>
      </c>
      <c r="Q126" s="195"/>
      <c r="R126" s="340">
        <f t="shared" si="53"/>
        <v>1</v>
      </c>
      <c r="S126" s="110">
        <f t="shared" si="41"/>
        <v>0</v>
      </c>
      <c r="T126" s="111">
        <f t="shared" si="42"/>
        <v>0</v>
      </c>
      <c r="U126" s="111">
        <f t="shared" si="43"/>
        <v>0</v>
      </c>
      <c r="V126" s="111">
        <f t="shared" si="44"/>
        <v>0</v>
      </c>
      <c r="W126" s="111">
        <f t="shared" si="45"/>
        <v>0</v>
      </c>
      <c r="X126" s="111">
        <f t="shared" si="46"/>
        <v>0</v>
      </c>
      <c r="Y126" s="218"/>
      <c r="Z126" s="349">
        <f t="shared" si="47"/>
        <v>0</v>
      </c>
      <c r="AA126" s="350">
        <f t="shared" si="48"/>
        <v>0</v>
      </c>
      <c r="AB126" s="350">
        <f t="shared" si="49"/>
        <v>0</v>
      </c>
      <c r="AC126" s="350">
        <f t="shared" si="50"/>
        <v>0</v>
      </c>
      <c r="AD126" s="350">
        <f t="shared" si="51"/>
        <v>0</v>
      </c>
      <c r="AE126" s="350">
        <f t="shared" si="52"/>
        <v>0</v>
      </c>
      <c r="AF126" s="251"/>
    </row>
    <row r="127" spans="1:32" x14ac:dyDescent="0.25">
      <c r="A127" s="81" t="s">
        <v>258</v>
      </c>
      <c r="B127" s="82" t="s">
        <v>255</v>
      </c>
      <c r="C127" s="145" t="s">
        <v>401</v>
      </c>
      <c r="D127" s="146">
        <v>0</v>
      </c>
      <c r="E127" s="147">
        <v>0</v>
      </c>
      <c r="F127" s="147">
        <v>0</v>
      </c>
      <c r="G127" s="147">
        <v>0</v>
      </c>
      <c r="H127" s="147">
        <v>0</v>
      </c>
      <c r="I127" s="147">
        <v>0</v>
      </c>
      <c r="J127" s="203"/>
      <c r="K127" s="148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99"/>
      <c r="R127" s="341">
        <f t="shared" si="53"/>
        <v>1</v>
      </c>
      <c r="S127" s="153">
        <f t="shared" si="41"/>
        <v>0</v>
      </c>
      <c r="T127" s="154">
        <f t="shared" si="42"/>
        <v>0</v>
      </c>
      <c r="U127" s="154">
        <f t="shared" si="43"/>
        <v>0</v>
      </c>
      <c r="V127" s="154">
        <f t="shared" si="44"/>
        <v>0</v>
      </c>
      <c r="W127" s="154">
        <f t="shared" si="45"/>
        <v>0</v>
      </c>
      <c r="X127" s="154">
        <f t="shared" si="46"/>
        <v>0</v>
      </c>
      <c r="Y127" s="219"/>
      <c r="Z127" s="345">
        <f t="shared" si="47"/>
        <v>0</v>
      </c>
      <c r="AA127" s="346">
        <f t="shared" si="48"/>
        <v>0</v>
      </c>
      <c r="AB127" s="346">
        <f t="shared" si="49"/>
        <v>0</v>
      </c>
      <c r="AC127" s="346">
        <f t="shared" si="50"/>
        <v>0</v>
      </c>
      <c r="AD127" s="346">
        <f t="shared" si="51"/>
        <v>0</v>
      </c>
      <c r="AE127" s="346">
        <f t="shared" si="52"/>
        <v>0</v>
      </c>
      <c r="AF127" s="247"/>
    </row>
    <row r="128" spans="1:32" x14ac:dyDescent="0.25">
      <c r="A128" s="81" t="s">
        <v>258</v>
      </c>
      <c r="B128" s="82" t="s">
        <v>259</v>
      </c>
      <c r="C128" s="83" t="s">
        <v>257</v>
      </c>
      <c r="D128" s="84">
        <v>5320.3725315080001</v>
      </c>
      <c r="E128" s="85">
        <v>0</v>
      </c>
      <c r="F128" s="85">
        <v>31573.308814100994</v>
      </c>
      <c r="G128" s="85">
        <v>129941.08776184497</v>
      </c>
      <c r="H128" s="85">
        <v>0</v>
      </c>
      <c r="I128" s="85">
        <v>8286.8062240669988</v>
      </c>
      <c r="J128" s="201"/>
      <c r="K128" s="86">
        <v>1</v>
      </c>
      <c r="L128" s="87">
        <v>0</v>
      </c>
      <c r="M128" s="87">
        <v>1</v>
      </c>
      <c r="N128" s="87">
        <v>22</v>
      </c>
      <c r="O128" s="87">
        <v>0</v>
      </c>
      <c r="P128" s="87">
        <v>2</v>
      </c>
      <c r="Q128" s="194"/>
      <c r="R128" s="339">
        <f t="shared" si="53"/>
        <v>1</v>
      </c>
      <c r="S128" s="91">
        <f t="shared" si="41"/>
        <v>5320.3725315080001</v>
      </c>
      <c r="T128" s="92">
        <f t="shared" si="42"/>
        <v>0</v>
      </c>
      <c r="U128" s="92">
        <f t="shared" si="43"/>
        <v>31573.308814100994</v>
      </c>
      <c r="V128" s="92">
        <f t="shared" si="44"/>
        <v>129941.08776184497</v>
      </c>
      <c r="W128" s="92">
        <f t="shared" si="45"/>
        <v>0</v>
      </c>
      <c r="X128" s="92">
        <f t="shared" si="46"/>
        <v>8286.8062240669988</v>
      </c>
      <c r="Y128" s="217"/>
      <c r="Z128" s="347">
        <f t="shared" si="47"/>
        <v>1</v>
      </c>
      <c r="AA128" s="348">
        <f t="shared" si="48"/>
        <v>0</v>
      </c>
      <c r="AB128" s="348">
        <f t="shared" si="49"/>
        <v>1</v>
      </c>
      <c r="AC128" s="348">
        <f t="shared" si="50"/>
        <v>22</v>
      </c>
      <c r="AD128" s="348">
        <f t="shared" si="51"/>
        <v>0</v>
      </c>
      <c r="AE128" s="348">
        <f t="shared" si="52"/>
        <v>2</v>
      </c>
      <c r="AF128" s="249"/>
    </row>
    <row r="129" spans="1:32" x14ac:dyDescent="0.25">
      <c r="A129" s="81" t="s">
        <v>258</v>
      </c>
      <c r="B129" s="82" t="s">
        <v>261</v>
      </c>
      <c r="C129" s="83" t="s">
        <v>402</v>
      </c>
      <c r="D129" s="84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201"/>
      <c r="K129" s="86">
        <v>0</v>
      </c>
      <c r="L129" s="87">
        <v>0</v>
      </c>
      <c r="M129" s="87">
        <v>0</v>
      </c>
      <c r="N129" s="87">
        <v>0</v>
      </c>
      <c r="O129" s="87">
        <v>0</v>
      </c>
      <c r="P129" s="87">
        <v>0</v>
      </c>
      <c r="Q129" s="194"/>
      <c r="R129" s="339">
        <f t="shared" si="53"/>
        <v>1</v>
      </c>
      <c r="S129" s="91">
        <f t="shared" si="41"/>
        <v>0</v>
      </c>
      <c r="T129" s="92">
        <f t="shared" si="42"/>
        <v>0</v>
      </c>
      <c r="U129" s="92">
        <f t="shared" si="43"/>
        <v>0</v>
      </c>
      <c r="V129" s="92">
        <f t="shared" si="44"/>
        <v>0</v>
      </c>
      <c r="W129" s="92">
        <f t="shared" si="45"/>
        <v>0</v>
      </c>
      <c r="X129" s="92">
        <f t="shared" si="46"/>
        <v>0</v>
      </c>
      <c r="Y129" s="217"/>
      <c r="Z129" s="347">
        <f t="shared" si="47"/>
        <v>0</v>
      </c>
      <c r="AA129" s="348">
        <f t="shared" si="48"/>
        <v>0</v>
      </c>
      <c r="AB129" s="348">
        <f t="shared" si="49"/>
        <v>0</v>
      </c>
      <c r="AC129" s="348">
        <f t="shared" si="50"/>
        <v>0</v>
      </c>
      <c r="AD129" s="348">
        <f t="shared" si="51"/>
        <v>0</v>
      </c>
      <c r="AE129" s="348">
        <f t="shared" si="52"/>
        <v>0</v>
      </c>
      <c r="AF129" s="249"/>
    </row>
    <row r="130" spans="1:32" x14ac:dyDescent="0.25">
      <c r="A130" s="81" t="s">
        <v>258</v>
      </c>
      <c r="B130" s="82" t="s">
        <v>263</v>
      </c>
      <c r="C130" s="83" t="s">
        <v>403</v>
      </c>
      <c r="D130" s="84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201"/>
      <c r="K130" s="86">
        <v>0</v>
      </c>
      <c r="L130" s="87">
        <v>0</v>
      </c>
      <c r="M130" s="87">
        <v>0</v>
      </c>
      <c r="N130" s="87">
        <v>0</v>
      </c>
      <c r="O130" s="87">
        <v>0</v>
      </c>
      <c r="P130" s="87">
        <v>0</v>
      </c>
      <c r="Q130" s="194"/>
      <c r="R130" s="339">
        <f t="shared" si="53"/>
        <v>1</v>
      </c>
      <c r="S130" s="91">
        <f t="shared" si="41"/>
        <v>0</v>
      </c>
      <c r="T130" s="92">
        <f t="shared" si="42"/>
        <v>0</v>
      </c>
      <c r="U130" s="92">
        <f t="shared" si="43"/>
        <v>0</v>
      </c>
      <c r="V130" s="92">
        <f t="shared" si="44"/>
        <v>0</v>
      </c>
      <c r="W130" s="92">
        <f t="shared" si="45"/>
        <v>0</v>
      </c>
      <c r="X130" s="92">
        <f t="shared" si="46"/>
        <v>0</v>
      </c>
      <c r="Y130" s="217"/>
      <c r="Z130" s="347">
        <f t="shared" si="47"/>
        <v>0</v>
      </c>
      <c r="AA130" s="348">
        <f t="shared" si="48"/>
        <v>0</v>
      </c>
      <c r="AB130" s="348">
        <f t="shared" si="49"/>
        <v>0</v>
      </c>
      <c r="AC130" s="348">
        <f t="shared" si="50"/>
        <v>0</v>
      </c>
      <c r="AD130" s="348">
        <f t="shared" si="51"/>
        <v>0</v>
      </c>
      <c r="AE130" s="348">
        <f t="shared" si="52"/>
        <v>0</v>
      </c>
      <c r="AF130" s="249"/>
    </row>
    <row r="131" spans="1:32" x14ac:dyDescent="0.25">
      <c r="A131" s="81" t="s">
        <v>258</v>
      </c>
      <c r="B131" s="82" t="s">
        <v>404</v>
      </c>
      <c r="C131" s="83" t="s">
        <v>405</v>
      </c>
      <c r="D131" s="84">
        <v>0</v>
      </c>
      <c r="E131" s="85">
        <v>0</v>
      </c>
      <c r="F131" s="85">
        <v>0</v>
      </c>
      <c r="G131" s="85">
        <v>11845.6</v>
      </c>
      <c r="H131" s="85">
        <v>0</v>
      </c>
      <c r="I131" s="85">
        <v>0</v>
      </c>
      <c r="J131" s="201"/>
      <c r="K131" s="86">
        <v>0</v>
      </c>
      <c r="L131" s="87">
        <v>0</v>
      </c>
      <c r="M131" s="87">
        <v>0</v>
      </c>
      <c r="N131" s="87">
        <v>2</v>
      </c>
      <c r="O131" s="87">
        <v>0</v>
      </c>
      <c r="P131" s="87">
        <v>0</v>
      </c>
      <c r="Q131" s="194"/>
      <c r="R131" s="339">
        <f t="shared" si="53"/>
        <v>1</v>
      </c>
      <c r="S131" s="91">
        <f t="shared" si="41"/>
        <v>0</v>
      </c>
      <c r="T131" s="92">
        <f t="shared" si="42"/>
        <v>0</v>
      </c>
      <c r="U131" s="92">
        <f t="shared" si="43"/>
        <v>0</v>
      </c>
      <c r="V131" s="92">
        <f t="shared" si="44"/>
        <v>11845.6</v>
      </c>
      <c r="W131" s="92">
        <f t="shared" si="45"/>
        <v>0</v>
      </c>
      <c r="X131" s="92">
        <f t="shared" si="46"/>
        <v>0</v>
      </c>
      <c r="Y131" s="217"/>
      <c r="Z131" s="347">
        <f t="shared" si="47"/>
        <v>0</v>
      </c>
      <c r="AA131" s="348">
        <f t="shared" si="48"/>
        <v>0</v>
      </c>
      <c r="AB131" s="348">
        <f t="shared" si="49"/>
        <v>0</v>
      </c>
      <c r="AC131" s="348">
        <f t="shared" si="50"/>
        <v>2</v>
      </c>
      <c r="AD131" s="348">
        <f t="shared" si="51"/>
        <v>0</v>
      </c>
      <c r="AE131" s="348">
        <f t="shared" si="52"/>
        <v>0</v>
      </c>
      <c r="AF131" s="249"/>
    </row>
    <row r="132" spans="1:32" ht="15.75" thickBot="1" x14ac:dyDescent="0.3">
      <c r="A132" s="100" t="s">
        <v>258</v>
      </c>
      <c r="B132" s="101" t="s">
        <v>265</v>
      </c>
      <c r="C132" s="159" t="s">
        <v>406</v>
      </c>
      <c r="D132" s="103">
        <v>0</v>
      </c>
      <c r="E132" s="104">
        <v>0</v>
      </c>
      <c r="F132" s="104">
        <v>191308.69</v>
      </c>
      <c r="G132" s="104">
        <v>44547.44</v>
      </c>
      <c r="H132" s="104">
        <v>0</v>
      </c>
      <c r="I132" s="104">
        <v>6920853.7699999986</v>
      </c>
      <c r="J132" s="202"/>
      <c r="K132" s="105">
        <v>1</v>
      </c>
      <c r="L132" s="106">
        <v>0</v>
      </c>
      <c r="M132" s="106">
        <v>1433</v>
      </c>
      <c r="N132" s="106">
        <v>15</v>
      </c>
      <c r="O132" s="106">
        <v>0</v>
      </c>
      <c r="P132" s="106">
        <v>2</v>
      </c>
      <c r="Q132" s="195"/>
      <c r="R132" s="340">
        <f t="shared" si="53"/>
        <v>1</v>
      </c>
      <c r="S132" s="110">
        <f t="shared" si="41"/>
        <v>0</v>
      </c>
      <c r="T132" s="111">
        <f t="shared" si="42"/>
        <v>0</v>
      </c>
      <c r="U132" s="111">
        <f t="shared" si="43"/>
        <v>191308.69</v>
      </c>
      <c r="V132" s="111">
        <f t="shared" si="44"/>
        <v>44547.44</v>
      </c>
      <c r="W132" s="111">
        <f t="shared" si="45"/>
        <v>0</v>
      </c>
      <c r="X132" s="111">
        <f t="shared" si="46"/>
        <v>6920853.7699999986</v>
      </c>
      <c r="Y132" s="218"/>
      <c r="Z132" s="349">
        <f t="shared" si="47"/>
        <v>1</v>
      </c>
      <c r="AA132" s="350">
        <f t="shared" si="48"/>
        <v>0</v>
      </c>
      <c r="AB132" s="350">
        <f t="shared" si="49"/>
        <v>1433</v>
      </c>
      <c r="AC132" s="350">
        <f t="shared" si="50"/>
        <v>15</v>
      </c>
      <c r="AD132" s="350">
        <f t="shared" si="51"/>
        <v>0</v>
      </c>
      <c r="AE132" s="350">
        <f t="shared" si="52"/>
        <v>2</v>
      </c>
      <c r="AF132" s="251"/>
    </row>
    <row r="133" spans="1:32" ht="15.75" thickBot="1" x14ac:dyDescent="0.3">
      <c r="A133" s="19"/>
      <c r="B133" s="19"/>
      <c r="C133" s="160" t="s">
        <v>407</v>
      </c>
      <c r="D133" s="161">
        <f>SUM(D7:D132)</f>
        <v>81754132.857317016</v>
      </c>
      <c r="E133" s="162">
        <f t="shared" ref="E133:I133" si="54">SUM(E7:E132)</f>
        <v>0</v>
      </c>
      <c r="F133" s="162">
        <f t="shared" si="54"/>
        <v>249391079.22505972</v>
      </c>
      <c r="G133" s="162">
        <f t="shared" si="54"/>
        <v>21656445.592070933</v>
      </c>
      <c r="H133" s="162">
        <f t="shared" si="54"/>
        <v>1301353.0840208398</v>
      </c>
      <c r="I133" s="162">
        <f t="shared" si="54"/>
        <v>21724646.329999998</v>
      </c>
      <c r="J133" s="204"/>
      <c r="K133" s="19"/>
      <c r="L133" s="19"/>
      <c r="M133" s="19"/>
      <c r="N133" s="19"/>
      <c r="O133" s="19"/>
      <c r="P133" s="19"/>
      <c r="Q133" s="207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</row>
    <row r="134" spans="1:32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207"/>
      <c r="K134" s="19"/>
      <c r="L134" s="19"/>
      <c r="M134" s="19"/>
      <c r="N134" s="19"/>
      <c r="O134" s="19"/>
      <c r="P134" s="19"/>
      <c r="Q134" s="207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</row>
    <row r="135" spans="1:32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207"/>
      <c r="K135" s="165"/>
      <c r="L135" s="165"/>
      <c r="M135" s="165"/>
      <c r="N135" s="165"/>
      <c r="O135" s="165"/>
      <c r="P135" s="165"/>
      <c r="Q135" s="212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</row>
    <row r="136" spans="1:32" x14ac:dyDescent="0.25">
      <c r="A136" s="63" t="s">
        <v>296</v>
      </c>
      <c r="B136" s="166"/>
      <c r="C136" s="64" t="s">
        <v>409</v>
      </c>
      <c r="D136" s="167">
        <f t="shared" ref="D136:I146" si="55">SUMIF($A$7:$A$132,$A136,D$7:D$132)</f>
        <v>0</v>
      </c>
      <c r="E136" s="168">
        <f t="shared" si="55"/>
        <v>0</v>
      </c>
      <c r="F136" s="168">
        <f t="shared" si="55"/>
        <v>7067323.7300000042</v>
      </c>
      <c r="G136" s="168">
        <f t="shared" si="55"/>
        <v>0</v>
      </c>
      <c r="H136" s="168">
        <f t="shared" si="55"/>
        <v>0</v>
      </c>
      <c r="I136" s="168">
        <f t="shared" si="55"/>
        <v>1887098.63</v>
      </c>
      <c r="J136" s="208"/>
      <c r="K136" s="169">
        <f t="shared" ref="K136:P146" si="56">SUMIF($A$7:$A$132,$A136,K$7:K$132)</f>
        <v>0</v>
      </c>
      <c r="L136" s="170">
        <f t="shared" si="56"/>
        <v>0</v>
      </c>
      <c r="M136" s="170">
        <f t="shared" si="56"/>
        <v>0</v>
      </c>
      <c r="N136" s="170">
        <f t="shared" si="56"/>
        <v>0</v>
      </c>
      <c r="O136" s="170">
        <f t="shared" si="56"/>
        <v>0</v>
      </c>
      <c r="P136" s="170">
        <f t="shared" si="56"/>
        <v>0</v>
      </c>
      <c r="Q136" s="213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</row>
    <row r="137" spans="1:32" x14ac:dyDescent="0.25">
      <c r="A137" s="81" t="s">
        <v>27</v>
      </c>
      <c r="B137" s="171"/>
      <c r="C137" s="82" t="s">
        <v>410</v>
      </c>
      <c r="D137" s="172">
        <f t="shared" si="55"/>
        <v>18847441.448918682</v>
      </c>
      <c r="E137" s="173">
        <f t="shared" si="55"/>
        <v>0</v>
      </c>
      <c r="F137" s="173">
        <f t="shared" si="55"/>
        <v>72031447.37471278</v>
      </c>
      <c r="G137" s="173">
        <f t="shared" si="55"/>
        <v>408706.5417645229</v>
      </c>
      <c r="H137" s="173">
        <f t="shared" si="55"/>
        <v>490456.76164994697</v>
      </c>
      <c r="I137" s="173">
        <f t="shared" si="55"/>
        <v>854101.25373571098</v>
      </c>
      <c r="J137" s="209"/>
      <c r="K137" s="174">
        <f t="shared" si="56"/>
        <v>2357</v>
      </c>
      <c r="L137" s="175">
        <f t="shared" si="56"/>
        <v>0</v>
      </c>
      <c r="M137" s="175">
        <f t="shared" si="56"/>
        <v>10526</v>
      </c>
      <c r="N137" s="175">
        <f t="shared" si="56"/>
        <v>83</v>
      </c>
      <c r="O137" s="175">
        <f t="shared" si="56"/>
        <v>112</v>
      </c>
      <c r="P137" s="175">
        <f t="shared" si="56"/>
        <v>77</v>
      </c>
      <c r="Q137" s="214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</row>
    <row r="138" spans="1:32" x14ac:dyDescent="0.25">
      <c r="A138" s="81" t="s">
        <v>68</v>
      </c>
      <c r="B138" s="171"/>
      <c r="C138" s="82" t="s">
        <v>411</v>
      </c>
      <c r="D138" s="172">
        <f t="shared" si="55"/>
        <v>12087358.979426147</v>
      </c>
      <c r="E138" s="173">
        <f t="shared" si="55"/>
        <v>0</v>
      </c>
      <c r="F138" s="173">
        <f t="shared" si="55"/>
        <v>51645753.348013781</v>
      </c>
      <c r="G138" s="173">
        <f t="shared" si="55"/>
        <v>394890.69861704513</v>
      </c>
      <c r="H138" s="173">
        <f t="shared" si="55"/>
        <v>160322.59134414498</v>
      </c>
      <c r="I138" s="173">
        <f t="shared" si="55"/>
        <v>223627.24381468201</v>
      </c>
      <c r="J138" s="209"/>
      <c r="K138" s="174">
        <f t="shared" si="56"/>
        <v>4431</v>
      </c>
      <c r="L138" s="175">
        <f t="shared" si="56"/>
        <v>0</v>
      </c>
      <c r="M138" s="175">
        <f t="shared" si="56"/>
        <v>16210</v>
      </c>
      <c r="N138" s="175">
        <f t="shared" si="56"/>
        <v>409</v>
      </c>
      <c r="O138" s="175">
        <f t="shared" si="56"/>
        <v>98</v>
      </c>
      <c r="P138" s="175">
        <f t="shared" si="56"/>
        <v>116</v>
      </c>
      <c r="Q138" s="214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</row>
    <row r="139" spans="1:32" x14ac:dyDescent="0.25">
      <c r="A139" s="81" t="s">
        <v>81</v>
      </c>
      <c r="B139" s="171"/>
      <c r="C139" s="82" t="s">
        <v>270</v>
      </c>
      <c r="D139" s="172">
        <f t="shared" si="55"/>
        <v>29783439.501007192</v>
      </c>
      <c r="E139" s="173">
        <f t="shared" si="55"/>
        <v>0</v>
      </c>
      <c r="F139" s="173">
        <f t="shared" si="55"/>
        <v>12219369.165524485</v>
      </c>
      <c r="G139" s="173">
        <f t="shared" si="55"/>
        <v>93520.212394566945</v>
      </c>
      <c r="H139" s="173">
        <f t="shared" si="55"/>
        <v>445576.088437161</v>
      </c>
      <c r="I139" s="173">
        <f t="shared" si="55"/>
        <v>492481.56000000006</v>
      </c>
      <c r="J139" s="209"/>
      <c r="K139" s="174">
        <f t="shared" si="56"/>
        <v>364.63816004399996</v>
      </c>
      <c r="L139" s="175">
        <f t="shared" si="56"/>
        <v>0</v>
      </c>
      <c r="M139" s="175">
        <f t="shared" si="56"/>
        <v>89.656332100666589</v>
      </c>
      <c r="N139" s="175">
        <f t="shared" si="56"/>
        <v>3.4406665713333333</v>
      </c>
      <c r="O139" s="175">
        <f t="shared" si="56"/>
        <v>18.574999780666666</v>
      </c>
      <c r="P139" s="175">
        <f t="shared" si="56"/>
        <v>0.40399999399999997</v>
      </c>
      <c r="Q139" s="214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</row>
    <row r="140" spans="1:32" x14ac:dyDescent="0.25">
      <c r="A140" s="81" t="s">
        <v>94</v>
      </c>
      <c r="B140" s="171"/>
      <c r="C140" s="82" t="s">
        <v>412</v>
      </c>
      <c r="D140" s="172">
        <f t="shared" si="55"/>
        <v>457069.97113020485</v>
      </c>
      <c r="E140" s="173">
        <f t="shared" si="55"/>
        <v>0</v>
      </c>
      <c r="F140" s="173">
        <f t="shared" si="55"/>
        <v>3670650.7249532877</v>
      </c>
      <c r="G140" s="173">
        <f t="shared" si="55"/>
        <v>298335.18860135489</v>
      </c>
      <c r="H140" s="173">
        <f t="shared" si="55"/>
        <v>0</v>
      </c>
      <c r="I140" s="173">
        <f t="shared" si="55"/>
        <v>478904.28947117086</v>
      </c>
      <c r="J140" s="209"/>
      <c r="K140" s="174">
        <f t="shared" si="56"/>
        <v>1.411333349</v>
      </c>
      <c r="L140" s="175">
        <f t="shared" si="56"/>
        <v>0</v>
      </c>
      <c r="M140" s="175">
        <f t="shared" si="56"/>
        <v>4.7280000660000008</v>
      </c>
      <c r="N140" s="175">
        <f t="shared" si="56"/>
        <v>1.2659999820000003</v>
      </c>
      <c r="O140" s="175">
        <f t="shared" si="56"/>
        <v>0</v>
      </c>
      <c r="P140" s="175">
        <f t="shared" si="56"/>
        <v>0.10633333599999999</v>
      </c>
      <c r="Q140" s="214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</row>
    <row r="141" spans="1:32" x14ac:dyDescent="0.25">
      <c r="A141" s="81" t="s">
        <v>106</v>
      </c>
      <c r="B141" s="171"/>
      <c r="C141" s="82" t="s">
        <v>272</v>
      </c>
      <c r="D141" s="172">
        <f t="shared" si="55"/>
        <v>2505267.9156524986</v>
      </c>
      <c r="E141" s="173">
        <f t="shared" si="55"/>
        <v>0</v>
      </c>
      <c r="F141" s="173">
        <f t="shared" si="55"/>
        <v>20999071.252681866</v>
      </c>
      <c r="G141" s="173">
        <f t="shared" si="55"/>
        <v>142854.69152212312</v>
      </c>
      <c r="H141" s="173">
        <f t="shared" si="55"/>
        <v>0</v>
      </c>
      <c r="I141" s="173">
        <f t="shared" si="55"/>
        <v>5361235.7096063886</v>
      </c>
      <c r="J141" s="209"/>
      <c r="K141" s="174">
        <f t="shared" si="56"/>
        <v>1836.8087574920007</v>
      </c>
      <c r="L141" s="175">
        <f t="shared" si="56"/>
        <v>0</v>
      </c>
      <c r="M141" s="175">
        <f t="shared" si="56"/>
        <v>11598.308579918992</v>
      </c>
      <c r="N141" s="175">
        <f t="shared" si="56"/>
        <v>101.23181820400004</v>
      </c>
      <c r="O141" s="175">
        <f t="shared" si="56"/>
        <v>0</v>
      </c>
      <c r="P141" s="175">
        <f t="shared" si="56"/>
        <v>6135.1208314760006</v>
      </c>
      <c r="Q141" s="214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</row>
    <row r="142" spans="1:32" x14ac:dyDescent="0.25">
      <c r="A142" s="81" t="s">
        <v>138</v>
      </c>
      <c r="B142" s="171"/>
      <c r="C142" s="82" t="s">
        <v>413</v>
      </c>
      <c r="D142" s="172">
        <f t="shared" si="55"/>
        <v>8146804.7323812265</v>
      </c>
      <c r="E142" s="173">
        <f t="shared" si="55"/>
        <v>0</v>
      </c>
      <c r="F142" s="173">
        <f t="shared" si="55"/>
        <v>38372146.038893335</v>
      </c>
      <c r="G142" s="173">
        <f t="shared" si="55"/>
        <v>11698096.894873295</v>
      </c>
      <c r="H142" s="173">
        <f t="shared" si="55"/>
        <v>11562.101499999999</v>
      </c>
      <c r="I142" s="173">
        <f t="shared" si="55"/>
        <v>1863829.6462531192</v>
      </c>
      <c r="J142" s="209"/>
      <c r="K142" s="174">
        <f t="shared" si="56"/>
        <v>220</v>
      </c>
      <c r="L142" s="175">
        <f t="shared" si="56"/>
        <v>0</v>
      </c>
      <c r="M142" s="175">
        <f t="shared" si="56"/>
        <v>792</v>
      </c>
      <c r="N142" s="175">
        <f t="shared" si="56"/>
        <v>414</v>
      </c>
      <c r="O142" s="175">
        <f t="shared" si="56"/>
        <v>2</v>
      </c>
      <c r="P142" s="175">
        <f t="shared" si="56"/>
        <v>34</v>
      </c>
      <c r="Q142" s="214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</row>
    <row r="143" spans="1:32" x14ac:dyDescent="0.25">
      <c r="A143" s="81" t="s">
        <v>196</v>
      </c>
      <c r="B143" s="171"/>
      <c r="C143" s="82" t="s">
        <v>274</v>
      </c>
      <c r="D143" s="172">
        <f t="shared" si="55"/>
        <v>7667649.3369938927</v>
      </c>
      <c r="E143" s="173">
        <f t="shared" si="55"/>
        <v>0</v>
      </c>
      <c r="F143" s="173">
        <f t="shared" si="55"/>
        <v>38235911.373679072</v>
      </c>
      <c r="G143" s="173">
        <f t="shared" si="55"/>
        <v>8431966.5453661494</v>
      </c>
      <c r="H143" s="173">
        <f t="shared" si="55"/>
        <v>172596.75605923904</v>
      </c>
      <c r="I143" s="173">
        <f t="shared" si="55"/>
        <v>3591538.5676729926</v>
      </c>
      <c r="J143" s="209"/>
      <c r="K143" s="174">
        <f t="shared" si="56"/>
        <v>689</v>
      </c>
      <c r="L143" s="175">
        <f t="shared" si="56"/>
        <v>0</v>
      </c>
      <c r="M143" s="175">
        <f t="shared" si="56"/>
        <v>2773</v>
      </c>
      <c r="N143" s="175">
        <f t="shared" si="56"/>
        <v>927</v>
      </c>
      <c r="O143" s="175">
        <f t="shared" si="56"/>
        <v>18</v>
      </c>
      <c r="P143" s="175">
        <f t="shared" si="56"/>
        <v>79</v>
      </c>
      <c r="Q143" s="214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</row>
    <row r="144" spans="1:32" x14ac:dyDescent="0.25">
      <c r="A144" s="81" t="s">
        <v>224</v>
      </c>
      <c r="B144" s="171"/>
      <c r="C144" s="82" t="s">
        <v>414</v>
      </c>
      <c r="D144" s="172">
        <f t="shared" si="55"/>
        <v>368293.7817512289</v>
      </c>
      <c r="E144" s="173">
        <f t="shared" si="55"/>
        <v>0</v>
      </c>
      <c r="F144" s="173">
        <f t="shared" si="55"/>
        <v>4926524.2177869491</v>
      </c>
      <c r="G144" s="173">
        <f t="shared" si="55"/>
        <v>15235.251170027008</v>
      </c>
      <c r="H144" s="173">
        <f t="shared" si="55"/>
        <v>20838.785030347997</v>
      </c>
      <c r="I144" s="173">
        <f t="shared" si="55"/>
        <v>42688.853221868005</v>
      </c>
      <c r="J144" s="209"/>
      <c r="K144" s="174">
        <f t="shared" si="56"/>
        <v>283</v>
      </c>
      <c r="L144" s="175">
        <f t="shared" si="56"/>
        <v>0</v>
      </c>
      <c r="M144" s="175">
        <f t="shared" si="56"/>
        <v>2174</v>
      </c>
      <c r="N144" s="175">
        <f t="shared" si="56"/>
        <v>20</v>
      </c>
      <c r="O144" s="175">
        <f t="shared" si="56"/>
        <v>17</v>
      </c>
      <c r="P144" s="175">
        <f t="shared" si="56"/>
        <v>24</v>
      </c>
      <c r="Q144" s="214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</row>
    <row r="145" spans="1:32" x14ac:dyDescent="0.25">
      <c r="A145" s="81" t="s">
        <v>242</v>
      </c>
      <c r="B145" s="171"/>
      <c r="C145" s="82" t="s">
        <v>415</v>
      </c>
      <c r="D145" s="172">
        <f t="shared" si="55"/>
        <v>1885486.8175244262</v>
      </c>
      <c r="E145" s="173">
        <f t="shared" si="55"/>
        <v>0</v>
      </c>
      <c r="F145" s="173">
        <f t="shared" si="55"/>
        <v>0</v>
      </c>
      <c r="G145" s="173">
        <f t="shared" si="55"/>
        <v>-13494.56</v>
      </c>
      <c r="H145" s="173">
        <f t="shared" si="55"/>
        <v>0</v>
      </c>
      <c r="I145" s="173">
        <f t="shared" si="55"/>
        <v>0</v>
      </c>
      <c r="J145" s="209"/>
      <c r="K145" s="174">
        <f t="shared" si="56"/>
        <v>0</v>
      </c>
      <c r="L145" s="175">
        <f t="shared" si="56"/>
        <v>0</v>
      </c>
      <c r="M145" s="175">
        <f t="shared" si="56"/>
        <v>0</v>
      </c>
      <c r="N145" s="175">
        <f t="shared" si="56"/>
        <v>534</v>
      </c>
      <c r="O145" s="175">
        <f t="shared" si="56"/>
        <v>0</v>
      </c>
      <c r="P145" s="175">
        <f t="shared" si="56"/>
        <v>0</v>
      </c>
      <c r="Q145" s="214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</row>
    <row r="146" spans="1:32" ht="15.75" thickBot="1" x14ac:dyDescent="0.3">
      <c r="A146" s="100" t="s">
        <v>258</v>
      </c>
      <c r="B146" s="176"/>
      <c r="C146" s="101" t="s">
        <v>64</v>
      </c>
      <c r="D146" s="177">
        <f t="shared" si="55"/>
        <v>5320.3725315080001</v>
      </c>
      <c r="E146" s="178">
        <f t="shared" si="55"/>
        <v>0</v>
      </c>
      <c r="F146" s="178">
        <f t="shared" si="55"/>
        <v>222881.99881410098</v>
      </c>
      <c r="G146" s="178">
        <f t="shared" si="55"/>
        <v>186334.12776184498</v>
      </c>
      <c r="H146" s="178">
        <f t="shared" si="55"/>
        <v>0</v>
      </c>
      <c r="I146" s="178">
        <f t="shared" si="55"/>
        <v>6929140.5762240654</v>
      </c>
      <c r="J146" s="210"/>
      <c r="K146" s="179">
        <f t="shared" si="56"/>
        <v>2</v>
      </c>
      <c r="L146" s="180">
        <f t="shared" si="56"/>
        <v>0</v>
      </c>
      <c r="M146" s="180">
        <f t="shared" si="56"/>
        <v>1434</v>
      </c>
      <c r="N146" s="180">
        <f t="shared" si="56"/>
        <v>39</v>
      </c>
      <c r="O146" s="180">
        <f t="shared" si="56"/>
        <v>0</v>
      </c>
      <c r="P146" s="180">
        <f t="shared" si="56"/>
        <v>4</v>
      </c>
      <c r="Q146" s="215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</row>
    <row r="147" spans="1:32" ht="15.75" thickBot="1" x14ac:dyDescent="0.3">
      <c r="D147" s="183">
        <f>SUM(D136:D146)</f>
        <v>81754132.857317016</v>
      </c>
      <c r="E147" s="184">
        <f t="shared" ref="E147:I147" si="57">SUM(E136:E146)</f>
        <v>0</v>
      </c>
      <c r="F147" s="184">
        <f t="shared" si="57"/>
        <v>249391079.22505969</v>
      </c>
      <c r="G147" s="184">
        <f t="shared" si="57"/>
        <v>21656445.592070933</v>
      </c>
      <c r="H147" s="184">
        <f t="shared" si="57"/>
        <v>1301353.0840208402</v>
      </c>
      <c r="I147" s="184">
        <f t="shared" si="57"/>
        <v>21724646.329999994</v>
      </c>
      <c r="J147" s="211"/>
    </row>
  </sheetData>
  <autoFilter ref="A6:AH6" xr:uid="{0CBA4F68-30E5-4F16-B4EC-FCBDBC748163}"/>
  <phoneticPr fontId="17" type="noConversion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5C175-5EF2-4CCD-A797-DCB13F516D22}">
  <sheetPr codeName="Sheet5"/>
  <dimension ref="A1:CZ147"/>
  <sheetViews>
    <sheetView zoomScaleNormal="100" workbookViewId="0">
      <pane xSplit="3" ySplit="7" topLeftCell="D94" activePane="bottomRight" state="frozen"/>
      <selection activeCell="N1" sqref="N1"/>
      <selection pane="topRight" activeCell="N1" sqref="N1"/>
      <selection pane="bottomLeft" activeCell="N1" sqref="N1"/>
      <selection pane="bottomRight" activeCell="J165" sqref="J165"/>
    </sheetView>
  </sheetViews>
  <sheetFormatPr defaultRowHeight="15" x14ac:dyDescent="0.25"/>
  <cols>
    <col min="1" max="1" width="5.7109375" bestFit="1" customWidth="1"/>
    <col min="3" max="3" width="37" customWidth="1"/>
    <col min="13" max="14" width="9.140625" style="280"/>
    <col min="15" max="23" width="0" hidden="1" customWidth="1"/>
    <col min="24" max="25" width="0" style="280" hidden="1" customWidth="1"/>
    <col min="35" max="36" width="9.140625" style="280"/>
    <col min="49" max="50" width="9.140625" style="280"/>
    <col min="55" max="55" width="9.140625" customWidth="1"/>
    <col min="57" max="64" width="9.140625" hidden="1" customWidth="1"/>
    <col min="81" max="81" width="9.140625" customWidth="1"/>
    <col min="90" max="93" width="9.140625" style="280" customWidth="1"/>
    <col min="95" max="96" width="13.7109375" style="778" customWidth="1"/>
    <col min="97" max="102" width="13.7109375" customWidth="1"/>
    <col min="103" max="103" width="35.140625" bestFit="1" customWidth="1"/>
  </cols>
  <sheetData>
    <row r="1" spans="1:104" ht="15.75" thickBot="1" x14ac:dyDescent="0.3">
      <c r="A1" t="s">
        <v>278</v>
      </c>
      <c r="N1" s="280">
        <v>1.0233248425996433</v>
      </c>
      <c r="AT1" t="s">
        <v>279</v>
      </c>
      <c r="AW1" s="701"/>
      <c r="AX1" s="701"/>
      <c r="CO1"/>
    </row>
    <row r="2" spans="1:104" ht="15.75" thickBot="1" x14ac:dyDescent="0.3">
      <c r="O2" s="592" t="s">
        <v>583</v>
      </c>
      <c r="P2" s="574" t="s">
        <v>280</v>
      </c>
      <c r="Q2" s="584"/>
      <c r="R2" s="584"/>
      <c r="S2" s="584"/>
      <c r="T2" s="584"/>
      <c r="U2" s="584"/>
      <c r="V2" s="584"/>
      <c r="W2" s="1100"/>
      <c r="X2" s="1100"/>
      <c r="Y2" s="1101"/>
      <c r="CO2"/>
    </row>
    <row r="3" spans="1:104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388"/>
      <c r="N3" s="388"/>
      <c r="O3" s="586" t="s">
        <v>584</v>
      </c>
      <c r="P3" s="587"/>
      <c r="Q3" s="587"/>
      <c r="R3" s="587"/>
      <c r="S3" s="587"/>
      <c r="T3" s="587"/>
      <c r="U3" s="587"/>
      <c r="V3" s="587"/>
      <c r="W3" s="1102"/>
      <c r="X3" s="1102"/>
      <c r="Y3" s="1103"/>
      <c r="AY3" s="606" t="str">
        <f>"Escalated to "&amp;P2</f>
        <v>Escalated to 2024/25</v>
      </c>
      <c r="AZ3" s="598"/>
      <c r="BA3" s="225" t="s">
        <v>428</v>
      </c>
      <c r="CE3" s="19"/>
      <c r="CF3" s="19"/>
      <c r="CG3" s="19"/>
      <c r="CH3" s="19"/>
      <c r="CI3" s="19"/>
      <c r="CJ3" s="19"/>
      <c r="CK3" s="19"/>
      <c r="CL3" s="281"/>
      <c r="CM3" s="281"/>
      <c r="CN3" s="281"/>
      <c r="CO3"/>
    </row>
    <row r="4" spans="1:104" ht="15.75" thickBot="1" x14ac:dyDescent="0.3">
      <c r="O4" s="589">
        <f>VLOOKUP(O$6,'Financial Escalation'!$C$31:$W$52,VLOOKUP($P$2,Lookup!$D$2:$E$19,2,0),0)</f>
        <v>1.3454563192065767</v>
      </c>
      <c r="P4" s="590">
        <f>VLOOKUP(P$6,'Financial Escalation'!$C$31:$W$52,VLOOKUP($P$2,Lookup!$D$2:$E$19,2,0),0)</f>
        <v>1.3254309228276884</v>
      </c>
      <c r="Q4" s="590">
        <f>VLOOKUP(Q$6,'Financial Escalation'!$C$31:$W$52,VLOOKUP($P$2,Lookup!$D$2:$E$19,2,0),0)</f>
        <v>1.3120057477345903</v>
      </c>
      <c r="R4" s="590">
        <f>VLOOKUP(R$6,'Financial Escalation'!$C$31:$W$52,VLOOKUP($P$2,Lookup!$D$2:$E$19,2,0),0)</f>
        <v>1.2871167498100859</v>
      </c>
      <c r="S4" s="590">
        <f>VLOOKUP(S$6,'Financial Escalation'!$C$31:$W$52,VLOOKUP($P$2,Lookup!$D$2:$E$19,2,0),0)</f>
        <v>1.2609187982652788</v>
      </c>
      <c r="T4" s="590">
        <f>VLOOKUP(T$6,'Financial Escalation'!$C$31:$W$52,VLOOKUP($P$2,Lookup!$D$2:$E$19,2,0),0)</f>
        <v>1.2411482944597256</v>
      </c>
      <c r="U4" s="590">
        <f>VLOOKUP(U$6,'Financial Escalation'!$C$31:$W$52,VLOOKUP($P$2,Lookup!$D$2:$E$19,2,0),0)</f>
        <v>1.2454879738109834</v>
      </c>
      <c r="V4" s="590">
        <f>VLOOKUP(V$6,'Financial Escalation'!$C$31:$W$52,VLOOKUP($P$2,Lookup!$D$2:$E$19,2,0),0)</f>
        <v>1.199358789595762</v>
      </c>
      <c r="W4" s="1104">
        <f>VLOOKUP(W$6,'Financial Escalation'!$C$31:$W$52,VLOOKUP($P$2,Lookup!$D$2:$E$19,2,0),0)</f>
        <v>1.129927233972851</v>
      </c>
      <c r="X4" s="1104">
        <f>VLOOKUP(X$6,'Financial Escalation'!$C$31:$W$52,VLOOKUP($P$2,Lookup!$D$2:$E$19,2,0),0)</f>
        <v>1.0634609260920951</v>
      </c>
      <c r="Y4" s="1105">
        <f>VLOOKUP(Y$6,'Financial Escalation'!$C$31:$W$52,VLOOKUP($P$2,Lookup!$D$2:$E$19,2,0),0)</f>
        <v>1.027498479316034</v>
      </c>
      <c r="AK4" s="220" t="s">
        <v>427</v>
      </c>
      <c r="AL4" s="221"/>
      <c r="AM4" s="222" t="s">
        <v>588</v>
      </c>
      <c r="AY4" s="595" t="s">
        <v>427</v>
      </c>
      <c r="AZ4" s="596"/>
      <c r="BA4" s="601" t="s">
        <v>588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282"/>
      <c r="CM4" s="282"/>
      <c r="CN4" s="282"/>
      <c r="CO4"/>
    </row>
    <row r="5" spans="1:104" s="186" customFormat="1" ht="15.75" thickBot="1" x14ac:dyDescent="0.3">
      <c r="A5" s="27" t="s">
        <v>281</v>
      </c>
      <c r="B5" s="27" t="s">
        <v>282</v>
      </c>
      <c r="C5" s="28" t="s">
        <v>283</v>
      </c>
      <c r="D5" s="29" t="s">
        <v>284</v>
      </c>
      <c r="E5" s="30"/>
      <c r="F5" s="30"/>
      <c r="G5" s="30"/>
      <c r="H5" s="30"/>
      <c r="I5" s="30"/>
      <c r="J5" s="30"/>
      <c r="K5" s="335"/>
      <c r="L5" s="335"/>
      <c r="M5" s="335"/>
      <c r="N5" s="335"/>
      <c r="O5" s="552" t="s">
        <v>582</v>
      </c>
      <c r="P5" s="553"/>
      <c r="Q5" s="553"/>
      <c r="R5" s="553"/>
      <c r="S5" s="553"/>
      <c r="T5" s="553"/>
      <c r="U5" s="553"/>
      <c r="V5" s="554"/>
      <c r="W5" s="554"/>
      <c r="X5" s="554"/>
      <c r="Y5" s="554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662"/>
      <c r="AJ5" s="662"/>
      <c r="AK5" s="33" t="s">
        <v>586</v>
      </c>
      <c r="AL5" s="34"/>
      <c r="AM5" s="35"/>
      <c r="AN5" s="36" t="s">
        <v>463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259" t="s">
        <v>429</v>
      </c>
      <c r="BC5" s="260"/>
      <c r="BD5" s="260"/>
      <c r="BE5" s="242" t="s">
        <v>439</v>
      </c>
      <c r="BF5" s="226"/>
      <c r="BG5" s="226"/>
      <c r="BH5" s="226"/>
      <c r="BI5" s="226"/>
      <c r="BJ5" s="226"/>
      <c r="BK5" s="226"/>
      <c r="BL5" s="243"/>
      <c r="BM5" s="226" t="s">
        <v>440</v>
      </c>
      <c r="BN5" s="226"/>
      <c r="BO5" s="226"/>
      <c r="BP5" s="226"/>
      <c r="BQ5" s="226"/>
      <c r="BR5" s="226"/>
      <c r="BS5" s="226"/>
      <c r="BT5" s="243"/>
      <c r="BU5" s="242" t="s">
        <v>430</v>
      </c>
      <c r="BV5" s="226"/>
      <c r="BW5" s="226"/>
      <c r="BX5" s="226"/>
      <c r="BY5" s="226"/>
      <c r="BZ5" s="226"/>
      <c r="CA5" s="226"/>
      <c r="CB5" s="243"/>
      <c r="CC5" s="376" t="s">
        <v>442</v>
      </c>
      <c r="CD5" s="377"/>
      <c r="CE5" s="189" t="s">
        <v>441</v>
      </c>
      <c r="CF5" s="189"/>
      <c r="CG5" s="189"/>
      <c r="CH5" s="189"/>
      <c r="CI5" s="189"/>
      <c r="CJ5" s="189"/>
      <c r="CK5" s="189"/>
      <c r="CL5" s="283"/>
      <c r="CM5" s="412" t="s">
        <v>484</v>
      </c>
      <c r="CN5" s="296"/>
      <c r="CO5" s="296"/>
      <c r="CP5" s="297"/>
      <c r="CQ5" s="1115"/>
      <c r="CR5" s="1115"/>
      <c r="CS5" s="540"/>
      <c r="CT5" s="540"/>
      <c r="CU5" s="540"/>
      <c r="CV5" s="540"/>
      <c r="CW5" s="540"/>
      <c r="CX5" s="539"/>
      <c r="CY5" s="389" t="s">
        <v>464</v>
      </c>
    </row>
    <row r="6" spans="1:104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657" t="s">
        <v>14</v>
      </c>
      <c r="N6" s="1063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673" t="s">
        <v>13</v>
      </c>
      <c r="X6" s="673" t="s">
        <v>14</v>
      </c>
      <c r="Y6" s="1085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1092" t="s">
        <v>14</v>
      </c>
      <c r="AJ6" s="663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261" t="s">
        <v>431</v>
      </c>
      <c r="BC6" s="262" t="s">
        <v>438</v>
      </c>
      <c r="BD6" s="263" t="s">
        <v>432</v>
      </c>
      <c r="BE6" s="254" t="s">
        <v>14</v>
      </c>
      <c r="BF6" s="227" t="s">
        <v>15</v>
      </c>
      <c r="BG6" s="227" t="s">
        <v>280</v>
      </c>
      <c r="BH6" s="227" t="s">
        <v>422</v>
      </c>
      <c r="BI6" s="227" t="s">
        <v>423</v>
      </c>
      <c r="BJ6" s="227" t="s">
        <v>424</v>
      </c>
      <c r="BK6" s="227" t="s">
        <v>425</v>
      </c>
      <c r="BL6" s="245" t="s">
        <v>426</v>
      </c>
      <c r="BM6" s="254" t="s">
        <v>14</v>
      </c>
      <c r="BN6" s="227" t="s">
        <v>15</v>
      </c>
      <c r="BO6" s="227" t="s">
        <v>280</v>
      </c>
      <c r="BP6" s="227" t="s">
        <v>422</v>
      </c>
      <c r="BQ6" s="227" t="s">
        <v>423</v>
      </c>
      <c r="BR6" s="227" t="s">
        <v>424</v>
      </c>
      <c r="BS6" s="227" t="s">
        <v>425</v>
      </c>
      <c r="BT6" s="245" t="s">
        <v>426</v>
      </c>
      <c r="BU6" s="244" t="s">
        <v>14</v>
      </c>
      <c r="BV6" s="227" t="s">
        <v>15</v>
      </c>
      <c r="BW6" s="227" t="s">
        <v>280</v>
      </c>
      <c r="BX6" s="227" t="s">
        <v>422</v>
      </c>
      <c r="BY6" s="227" t="s">
        <v>423</v>
      </c>
      <c r="BZ6" s="227" t="s">
        <v>424</v>
      </c>
      <c r="CA6" s="227" t="s">
        <v>425</v>
      </c>
      <c r="CB6" s="245" t="s">
        <v>426</v>
      </c>
      <c r="CC6" s="378"/>
      <c r="CD6" s="379"/>
      <c r="CE6" s="232" t="s">
        <v>14</v>
      </c>
      <c r="CF6" s="59" t="s">
        <v>15</v>
      </c>
      <c r="CG6" s="59" t="s">
        <v>280</v>
      </c>
      <c r="CH6" s="59" t="s">
        <v>422</v>
      </c>
      <c r="CI6" s="59" t="s">
        <v>423</v>
      </c>
      <c r="CJ6" s="59" t="s">
        <v>424</v>
      </c>
      <c r="CK6" s="59" t="s">
        <v>425</v>
      </c>
      <c r="CL6" s="284" t="s">
        <v>426</v>
      </c>
      <c r="CM6" s="298" t="s">
        <v>444</v>
      </c>
      <c r="CN6" s="301" t="s">
        <v>445</v>
      </c>
      <c r="CO6" s="299" t="s">
        <v>443</v>
      </c>
      <c r="CP6" s="300" t="s">
        <v>295</v>
      </c>
      <c r="CQ6" s="782" t="s">
        <v>14</v>
      </c>
      <c r="CR6" s="1109" t="s">
        <v>15</v>
      </c>
      <c r="CS6" s="61" t="s">
        <v>280</v>
      </c>
      <c r="CT6" s="61" t="s">
        <v>422</v>
      </c>
      <c r="CU6" s="61" t="s">
        <v>423</v>
      </c>
      <c r="CV6" s="61" t="s">
        <v>424</v>
      </c>
      <c r="CW6" s="61" t="s">
        <v>425</v>
      </c>
      <c r="CX6" s="62" t="s">
        <v>426</v>
      </c>
      <c r="CY6" s="390"/>
    </row>
    <row r="7" spans="1:104" x14ac:dyDescent="0.25">
      <c r="A7" s="63" t="s">
        <v>296</v>
      </c>
      <c r="B7" s="64" t="s">
        <v>22</v>
      </c>
      <c r="C7" s="65" t="s">
        <v>24</v>
      </c>
      <c r="D7" s="66">
        <v>40146.335604514854</v>
      </c>
      <c r="E7" s="67">
        <v>183118.55049157809</v>
      </c>
      <c r="F7" s="67">
        <v>48215.49917832316</v>
      </c>
      <c r="G7" s="67">
        <v>82296.814979782954</v>
      </c>
      <c r="H7" s="67">
        <v>58927.810789985022</v>
      </c>
      <c r="I7" s="67">
        <v>0</v>
      </c>
      <c r="J7" s="67">
        <v>24322.750866586004</v>
      </c>
      <c r="K7" s="67">
        <v>0</v>
      </c>
      <c r="L7" s="67">
        <v>0</v>
      </c>
      <c r="M7" s="653">
        <f>'2022-23 Input'!E7</f>
        <v>0</v>
      </c>
      <c r="N7" s="1064">
        <v>0</v>
      </c>
      <c r="O7" s="557">
        <f t="shared" ref="O7:O38" si="0">D7*O$4</f>
        <v>54015.14093208249</v>
      </c>
      <c r="P7" s="558">
        <f t="shared" ref="P7:P38" si="1">E7*P$4</f>
        <v>242710.989364921</v>
      </c>
      <c r="Q7" s="558">
        <f t="shared" ref="Q7:Q38" si="2">F7*Q$4</f>
        <v>63259.012051852405</v>
      </c>
      <c r="R7" s="558">
        <f t="shared" ref="R7:R38" si="3">G7*R$4</f>
        <v>105925.60901650022</v>
      </c>
      <c r="S7" s="558">
        <f t="shared" ref="S7:S38" si="4">H7*S$4</f>
        <v>74303.184365711641</v>
      </c>
      <c r="T7" s="558">
        <f t="shared" ref="T7:T38" si="5">I7*T$4</f>
        <v>0</v>
      </c>
      <c r="U7" s="558">
        <f t="shared" ref="U7:U38" si="6">J7*U$4</f>
        <v>30293.693694333542</v>
      </c>
      <c r="V7" s="558">
        <f t="shared" ref="V7:V38" si="7">K7*V$4</f>
        <v>0</v>
      </c>
      <c r="W7" s="674">
        <f t="shared" ref="W7:W38" si="8">L7*W$4</f>
        <v>0</v>
      </c>
      <c r="X7" s="674">
        <f t="shared" ref="X7:X38" si="9">M7*X$4</f>
        <v>0</v>
      </c>
      <c r="Y7" s="674">
        <f t="shared" ref="Y7:Y38" si="10">N7*Y$4</f>
        <v>0</v>
      </c>
      <c r="Z7" s="68">
        <v>7</v>
      </c>
      <c r="AA7" s="69">
        <v>29</v>
      </c>
      <c r="AB7" s="69">
        <v>9</v>
      </c>
      <c r="AC7" s="69">
        <v>16</v>
      </c>
      <c r="AD7" s="69">
        <v>11</v>
      </c>
      <c r="AE7" s="69">
        <v>0</v>
      </c>
      <c r="AF7" s="69">
        <v>20</v>
      </c>
      <c r="AG7" s="69">
        <v>0</v>
      </c>
      <c r="AH7" s="69">
        <v>0</v>
      </c>
      <c r="AI7" s="1093">
        <f>'2022-23 Input'!L7</f>
        <v>0</v>
      </c>
      <c r="AJ7" s="664">
        <v>0</v>
      </c>
      <c r="AK7" s="70">
        <f t="shared" ref="AK7:AK38" si="11">IFERROR(IF($AM$4="N",SUM(AD7:AH7)/5,SUM(AE7:AI7)/5),"")</f>
        <v>4</v>
      </c>
      <c r="AL7" s="71">
        <f t="shared" ref="AL7:AL38" si="12">IFERROR(IF($AM$4="N",SUM(AF7:AH7)/3,SUM(AG7:AI7)/3),"")</f>
        <v>0</v>
      </c>
      <c r="AM7" s="72">
        <f t="shared" ref="AM7:AM38" si="13">IFERROR(IF($AM$4="N",AH7,AI7),"")</f>
        <v>0</v>
      </c>
      <c r="AN7" s="73">
        <f t="shared" ref="AN7:AN38" si="14">IFERROR(D7/Z7,"")</f>
        <v>5735.1908006449794</v>
      </c>
      <c r="AO7" s="74">
        <f t="shared" ref="AO7:AO38" si="15">IFERROR(E7/AA7,"")</f>
        <v>6314.4327755716586</v>
      </c>
      <c r="AP7" s="74">
        <f t="shared" ref="AP7:AP38" si="16">IFERROR(F7/AB7,"")</f>
        <v>5357.2776864803509</v>
      </c>
      <c r="AQ7" s="74">
        <f t="shared" ref="AQ7:AQ38" si="17">IFERROR(G7/AC7,"")</f>
        <v>5143.5509362364346</v>
      </c>
      <c r="AR7" s="74">
        <f t="shared" ref="AR7:AR38" si="18">IFERROR(H7/AD7,"")</f>
        <v>5357.0737081804564</v>
      </c>
      <c r="AS7" s="74" t="str">
        <f t="shared" ref="AS7:AS38" si="19">IFERROR(I7/AE7,"")</f>
        <v/>
      </c>
      <c r="AT7" s="74">
        <f t="shared" ref="AT7:AT38" si="20">IFERROR(J7/AF7,"")</f>
        <v>1216.1375433293001</v>
      </c>
      <c r="AU7" s="74" t="str">
        <f t="shared" ref="AU7:AU38" si="21">IFERROR(K7/AG7,"")</f>
        <v/>
      </c>
      <c r="AV7" s="74" t="str">
        <f t="shared" ref="AV7:AX22" si="22">IFERROR(L7/AH7,"")</f>
        <v/>
      </c>
      <c r="AW7" s="74" t="str">
        <f t="shared" si="22"/>
        <v/>
      </c>
      <c r="AX7" s="74" t="str">
        <f t="shared" si="22"/>
        <v/>
      </c>
      <c r="AY7" s="75">
        <f t="shared" ref="AY7:AY38" si="23">IFERROR(IF($BA$3="N",
IF($BA$4="N",SUM(H7:L7)/SUM(AD7:AH7),SUM(I7:M7)/SUM(AE7:AI7)),
IF($BA$4="N",SUM(S7:W7)/SUM(AD7:AH7),SUM(T7:X7)/SUM(AE7:AI7))),"")</f>
        <v>1216.1375433293001</v>
      </c>
      <c r="AZ7" s="76" t="str">
        <f t="shared" ref="AZ7:AZ38" si="24">IFERROR(IF($BA$3="N",
IF($BA$4="N",SUM(J7:L7)/SUM(AF7:AH7),SUM(K7:M7)/SUM(AG7:AI7)),
IF($BA$4="N",SUM(U7:W7)/SUM(AF7:AH7),SUM(V7:X7)/SUM(AG7:AI7))),"")</f>
        <v/>
      </c>
      <c r="BA7" s="77" t="str">
        <f t="shared" ref="BA7:BA38" si="25">IFERROR(IF($BA$3="N",
IF($BA$4="N",L7/AH7,M7/AI7),
IF($BA$4="N",W7/AH7,X7/AI7)),"")</f>
        <v/>
      </c>
      <c r="BB7" s="246" t="s">
        <v>422</v>
      </c>
      <c r="BC7" s="228" t="s">
        <v>433</v>
      </c>
      <c r="BD7" s="247">
        <v>0</v>
      </c>
      <c r="BE7" s="264">
        <f t="shared" ref="BE7:BE38" si="26">IF(BE$6=$BB7,1,0
)</f>
        <v>0</v>
      </c>
      <c r="BF7" s="265">
        <f t="shared" ref="BF7:BL16" si="27">IF(BF$6=$BB7,1,
IF(BE7&lt;&gt;0,BE7+1,0
))</f>
        <v>0</v>
      </c>
      <c r="BG7" s="265">
        <f t="shared" si="27"/>
        <v>0</v>
      </c>
      <c r="BH7" s="265">
        <f t="shared" si="27"/>
        <v>1</v>
      </c>
      <c r="BI7" s="265">
        <f t="shared" si="27"/>
        <v>2</v>
      </c>
      <c r="BJ7" s="265">
        <f t="shared" si="27"/>
        <v>3</v>
      </c>
      <c r="BK7" s="265">
        <f t="shared" si="27"/>
        <v>4</v>
      </c>
      <c r="BL7" s="266">
        <f t="shared" si="27"/>
        <v>5</v>
      </c>
      <c r="BM7" s="255">
        <f>IF($BC7=Lookup!$A$2,$BD7*ROUNDUP(BE7/10,0)+1,
IF($BC7=Lookup!$A$3,($BD7+1)^BD7,
IF($BC7=Lookup!$A$4,BE7*$BD7+1,"Error")))</f>
        <v>1</v>
      </c>
      <c r="BN7" s="228">
        <f>IF($BC7=Lookup!$A$2,$BD7*ROUNDUP(BF7/10,0)+1,
IF($BC7=Lookup!$A$3,($BD7+1)^BE7,
IF($BC7=Lookup!$A$4,BF7*$BD7+1,"Error")))</f>
        <v>1</v>
      </c>
      <c r="BO7" s="228">
        <f>IF($BC7=Lookup!$A$2,$BD7*ROUNDUP(BG7/10,0)+1,
IF($BC7=Lookup!$A$3,($BD7+1)^BF7,
IF($BC7=Lookup!$A$4,BG7*$BD7+1,"Error")))</f>
        <v>1</v>
      </c>
      <c r="BP7" s="228">
        <f>IF($BC7=Lookup!$A$2,$BD7*ROUNDUP(BH7/10,0)+1,
IF($BC7=Lookup!$A$3,($BD7+1)^BG7,
IF($BC7=Lookup!$A$4,BH7*$BD7+1,"Error")))</f>
        <v>1</v>
      </c>
      <c r="BQ7" s="228">
        <f>IF($BC7=Lookup!$A$2,$BD7*ROUNDUP(BI7/10,0)+1,
IF($BC7=Lookup!$A$3,($BD7+1)^BH7,
IF($BC7=Lookup!$A$4,BI7*$BD7+1,"Error")))</f>
        <v>1</v>
      </c>
      <c r="BR7" s="228">
        <f>IF($BC7=Lookup!$A$2,$BD7*ROUNDUP(BJ7/10,0)+1,
IF($BC7=Lookup!$A$3,($BD7+1)^BI7,
IF($BC7=Lookup!$A$4,BJ7*$BD7+1,"Error")))</f>
        <v>1</v>
      </c>
      <c r="BS7" s="228">
        <f>IF($BC7=Lookup!$A$2,$BD7*ROUNDUP(BK7/10,0)+1,
IF($BC7=Lookup!$A$3,($BD7+1)^BJ7,
IF($BC7=Lookup!$A$4,BK7*$BD7+1,"Error")))</f>
        <v>1</v>
      </c>
      <c r="BT7" s="247">
        <f>IF($BC7=Lookup!$A$2,$BD7*ROUNDUP(BL7/10,0)+1,
IF($BC7=Lookup!$A$3,($BD7+1)^BK7,
IF($BC7=Lookup!$A$4,BL7*$BD7+1,"Error")))</f>
        <v>1</v>
      </c>
      <c r="BU7" s="318">
        <v>0</v>
      </c>
      <c r="BV7" s="319">
        <v>0</v>
      </c>
      <c r="BW7" s="319">
        <v>0</v>
      </c>
      <c r="BX7" s="319">
        <v>0</v>
      </c>
      <c r="BY7" s="319">
        <v>0</v>
      </c>
      <c r="BZ7" s="319">
        <v>0</v>
      </c>
      <c r="CA7" s="319">
        <v>0</v>
      </c>
      <c r="CB7" s="276">
        <v>0</v>
      </c>
      <c r="CC7" s="380" t="s">
        <v>292</v>
      </c>
      <c r="CD7" s="381">
        <f>HLOOKUP($CC7,$AK$6:$AM$132,ROWS(CD$6:CD7),0)</f>
        <v>4</v>
      </c>
      <c r="CE7" s="233">
        <f t="shared" ref="CE7:CE38" si="28">IFERROR(IF(BU7&lt;&gt;"",BU7,BM7*$CD7),"")</f>
        <v>0</v>
      </c>
      <c r="CF7" s="78">
        <f t="shared" ref="CF7:CF38" si="29">IFERROR(IF(BV7&lt;&gt;"",BV7,BN7*$CD7),"")</f>
        <v>0</v>
      </c>
      <c r="CG7" s="78">
        <f t="shared" ref="CG7:CG38" si="30">IFERROR(IF(BW7&lt;&gt;"",BW7,BO7*$CD7),"")</f>
        <v>0</v>
      </c>
      <c r="CH7" s="78">
        <f t="shared" ref="CH7:CH38" si="31">IFERROR(IF(BX7&lt;&gt;"",BX7,BP7*$CD7),"")</f>
        <v>0</v>
      </c>
      <c r="CI7" s="78">
        <f t="shared" ref="CI7:CI38" si="32">IFERROR(IF(BY7&lt;&gt;"",BY7,BQ7*$CD7),"")</f>
        <v>0</v>
      </c>
      <c r="CJ7" s="78">
        <f t="shared" ref="CJ7:CJ38" si="33">IFERROR(IF(BZ7&lt;&gt;"",BZ7,BR7*$CD7),"")</f>
        <v>0</v>
      </c>
      <c r="CK7" s="78">
        <f t="shared" ref="CK7:CK38" si="34">IFERROR(IF(CA7&lt;&gt;"",CA7,BS7*$CD7),"")</f>
        <v>0</v>
      </c>
      <c r="CL7" s="285">
        <f t="shared" ref="CL7:CL38" si="35">IFERROR(IF(CB7&lt;&gt;"",CB7,BT7*$CD7),"")</f>
        <v>0</v>
      </c>
      <c r="CM7" s="302" t="s">
        <v>293</v>
      </c>
      <c r="CN7" s="314">
        <v>0.05</v>
      </c>
      <c r="CO7" s="303"/>
      <c r="CP7" s="304" t="str">
        <f>IF($CO7&lt;&gt;"",$CO7,HLOOKUP($CM7,$AY$6:$BA$132,ROWS(CP$6:CP7),0))</f>
        <v/>
      </c>
      <c r="CQ7" s="783" t="str">
        <f t="shared" ref="CQ7:CQ38" si="36">IFERROR(CE7*$CP7,"")</f>
        <v/>
      </c>
      <c r="CR7" s="783" t="str">
        <f t="shared" ref="CR7:CR38" si="37">IFERROR(CF7*$CP7,"")</f>
        <v/>
      </c>
      <c r="CS7" s="79" t="str">
        <f t="shared" ref="CS7:CS38" si="38">IFERROR(CG7*$CP7,"")</f>
        <v/>
      </c>
      <c r="CT7" s="79" t="str">
        <f t="shared" ref="CT7:CT38" si="39">IFERROR(CH7*$CP7,"")</f>
        <v/>
      </c>
      <c r="CU7" s="79" t="str">
        <f t="shared" ref="CU7:CU38" si="40">IFERROR(CI7*$CP7,"")</f>
        <v/>
      </c>
      <c r="CV7" s="79" t="str">
        <f t="shared" ref="CV7:CV38" si="41">IFERROR(CJ7*$CP7,"")</f>
        <v/>
      </c>
      <c r="CW7" s="79" t="str">
        <f t="shared" ref="CW7:CW38" si="42">IFERROR(CK7*$CP7,"")</f>
        <v/>
      </c>
      <c r="CX7" s="80" t="str">
        <f t="shared" ref="CX7:CX38" si="43">IFERROR(CL7*$CP7,"")</f>
        <v/>
      </c>
      <c r="CY7" s="391"/>
      <c r="CZ7" s="187"/>
    </row>
    <row r="8" spans="1:104" x14ac:dyDescent="0.25">
      <c r="A8" s="81" t="s">
        <v>27</v>
      </c>
      <c r="B8" s="82" t="s">
        <v>25</v>
      </c>
      <c r="C8" s="83" t="s">
        <v>297</v>
      </c>
      <c r="D8" s="84">
        <v>858932.66886675358</v>
      </c>
      <c r="E8" s="85">
        <v>1460320.1796781411</v>
      </c>
      <c r="F8" s="85">
        <v>1335296.3211196726</v>
      </c>
      <c r="G8" s="85">
        <v>2005061.7277551005</v>
      </c>
      <c r="H8" s="85">
        <v>1874615.0338261439</v>
      </c>
      <c r="I8" s="85">
        <v>795596.92336034414</v>
      </c>
      <c r="J8" s="85">
        <v>405772.35343024973</v>
      </c>
      <c r="K8" s="85">
        <v>14290.25182451</v>
      </c>
      <c r="L8" s="85">
        <v>0</v>
      </c>
      <c r="M8" s="654">
        <f>'2022-23 Input'!E8</f>
        <v>0</v>
      </c>
      <c r="N8" s="1065">
        <v>0</v>
      </c>
      <c r="O8" s="560">
        <f t="shared" si="0"/>
        <v>1155656.3870997436</v>
      </c>
      <c r="P8" s="561">
        <f t="shared" si="1"/>
        <v>1935553.5233746944</v>
      </c>
      <c r="Q8" s="561">
        <f t="shared" si="2"/>
        <v>1751916.4482378638</v>
      </c>
      <c r="R8" s="561">
        <f t="shared" si="3"/>
        <v>2580748.5341967405</v>
      </c>
      <c r="S8" s="561">
        <f t="shared" si="4"/>
        <v>2363737.3356620865</v>
      </c>
      <c r="T8" s="561">
        <f t="shared" si="5"/>
        <v>987453.76450609614</v>
      </c>
      <c r="U8" s="561">
        <f t="shared" si="6"/>
        <v>505384.58630235598</v>
      </c>
      <c r="V8" s="561">
        <f t="shared" si="7"/>
        <v>17139.139131262942</v>
      </c>
      <c r="W8" s="675">
        <f t="shared" si="8"/>
        <v>0</v>
      </c>
      <c r="X8" s="675">
        <f t="shared" si="9"/>
        <v>0</v>
      </c>
      <c r="Y8" s="675">
        <f t="shared" si="10"/>
        <v>0</v>
      </c>
      <c r="Z8" s="86">
        <v>179</v>
      </c>
      <c r="AA8" s="87">
        <v>269.2</v>
      </c>
      <c r="AB8" s="87">
        <v>203.6</v>
      </c>
      <c r="AC8" s="87">
        <v>300.60000000000002</v>
      </c>
      <c r="AD8" s="87">
        <v>325</v>
      </c>
      <c r="AE8" s="87">
        <v>222</v>
      </c>
      <c r="AF8" s="87">
        <v>91</v>
      </c>
      <c r="AG8" s="87">
        <v>2</v>
      </c>
      <c r="AH8" s="87">
        <v>0</v>
      </c>
      <c r="AI8" s="1094">
        <f>'2022-23 Input'!L8</f>
        <v>0</v>
      </c>
      <c r="AJ8" s="665">
        <v>0</v>
      </c>
      <c r="AK8" s="88">
        <f t="shared" si="11"/>
        <v>63</v>
      </c>
      <c r="AL8" s="89">
        <f t="shared" si="12"/>
        <v>0.66666666666666663</v>
      </c>
      <c r="AM8" s="90">
        <f t="shared" si="13"/>
        <v>0</v>
      </c>
      <c r="AN8" s="91">
        <f t="shared" si="14"/>
        <v>4798.5065299818634</v>
      </c>
      <c r="AO8" s="92">
        <f t="shared" si="15"/>
        <v>5424.6663435294995</v>
      </c>
      <c r="AP8" s="92">
        <f t="shared" si="16"/>
        <v>6558.4298679748163</v>
      </c>
      <c r="AQ8" s="92">
        <f t="shared" si="17"/>
        <v>6670.1986951267472</v>
      </c>
      <c r="AR8" s="92">
        <f t="shared" si="18"/>
        <v>5768.0462579265968</v>
      </c>
      <c r="AS8" s="92">
        <f t="shared" si="19"/>
        <v>3583.7699250465953</v>
      </c>
      <c r="AT8" s="92">
        <f t="shared" si="20"/>
        <v>4459.0368508818656</v>
      </c>
      <c r="AU8" s="92">
        <f t="shared" si="21"/>
        <v>7145.125912255</v>
      </c>
      <c r="AV8" s="92" t="str">
        <f t="shared" si="22"/>
        <v/>
      </c>
      <c r="AW8" s="92" t="str">
        <f t="shared" si="22"/>
        <v/>
      </c>
      <c r="AX8" s="92" t="str">
        <f t="shared" si="22"/>
        <v/>
      </c>
      <c r="AY8" s="93">
        <f t="shared" si="23"/>
        <v>3859.2365987781072</v>
      </c>
      <c r="AZ8" s="94">
        <f t="shared" si="24"/>
        <v>7145.125912255</v>
      </c>
      <c r="BA8" s="95" t="str">
        <f t="shared" si="25"/>
        <v/>
      </c>
      <c r="BB8" s="248" t="s">
        <v>422</v>
      </c>
      <c r="BC8" s="229" t="s">
        <v>433</v>
      </c>
      <c r="BD8" s="249">
        <v>0</v>
      </c>
      <c r="BE8" s="267">
        <f t="shared" si="26"/>
        <v>0</v>
      </c>
      <c r="BF8" s="268">
        <f t="shared" si="27"/>
        <v>0</v>
      </c>
      <c r="BG8" s="268">
        <f t="shared" si="27"/>
        <v>0</v>
      </c>
      <c r="BH8" s="268">
        <f t="shared" si="27"/>
        <v>1</v>
      </c>
      <c r="BI8" s="268">
        <f t="shared" si="27"/>
        <v>2</v>
      </c>
      <c r="BJ8" s="268">
        <f t="shared" si="27"/>
        <v>3</v>
      </c>
      <c r="BK8" s="268">
        <f t="shared" si="27"/>
        <v>4</v>
      </c>
      <c r="BL8" s="269">
        <f t="shared" si="27"/>
        <v>5</v>
      </c>
      <c r="BM8" s="256">
        <f>IF($BC8=Lookup!$A$2,$BD8*ROUNDUP(BE8/10,0)+1,
IF($BC8=Lookup!$A$3,($BD8+1)^BD8,
IF($BC8=Lookup!$A$4,BE8*$BD8+1,"Error")))</f>
        <v>1</v>
      </c>
      <c r="BN8" s="229">
        <f>IF($BC8=Lookup!$A$2,$BD8*ROUNDUP(BF8/10,0)+1,
IF($BC8=Lookup!$A$3,($BD8+1)^BE8,
IF($BC8=Lookup!$A$4,BF8*$BD8+1,"Error")))</f>
        <v>1</v>
      </c>
      <c r="BO8" s="229">
        <f>IF($BC8=Lookup!$A$2,$BD8*ROUNDUP(BG8/10,0)+1,
IF($BC8=Lookup!$A$3,($BD8+1)^BF8,
IF($BC8=Lookup!$A$4,BG8*$BD8+1,"Error")))</f>
        <v>1</v>
      </c>
      <c r="BP8" s="229">
        <f>IF($BC8=Lookup!$A$2,$BD8*ROUNDUP(BH8/10,0)+1,
IF($BC8=Lookup!$A$3,($BD8+1)^BG8,
IF($BC8=Lookup!$A$4,BH8*$BD8+1,"Error")))</f>
        <v>1</v>
      </c>
      <c r="BQ8" s="229">
        <f>IF($BC8=Lookup!$A$2,$BD8*ROUNDUP(BI8/10,0)+1,
IF($BC8=Lookup!$A$3,($BD8+1)^BH8,
IF($BC8=Lookup!$A$4,BI8*$BD8+1,"Error")))</f>
        <v>1</v>
      </c>
      <c r="BR8" s="229">
        <f>IF($BC8=Lookup!$A$2,$BD8*ROUNDUP(BJ8/10,0)+1,
IF($BC8=Lookup!$A$3,($BD8+1)^BI8,
IF($BC8=Lookup!$A$4,BJ8*$BD8+1,"Error")))</f>
        <v>1</v>
      </c>
      <c r="BS8" s="229">
        <f>IF($BC8=Lookup!$A$2,$BD8*ROUNDUP(BK8/10,0)+1,
IF($BC8=Lookup!$A$3,($BD8+1)^BJ8,
IF($BC8=Lookup!$A$4,BK8*$BD8+1,"Error")))</f>
        <v>1</v>
      </c>
      <c r="BT8" s="249">
        <f>IF($BC8=Lookup!$A$2,$BD8*ROUNDUP(BL8/10,0)+1,
IF($BC8=Lookup!$A$3,($BD8+1)^BK8,
IF($BC8=Lookup!$A$4,BL8*$BD8+1,"Error")))</f>
        <v>1</v>
      </c>
      <c r="BU8" s="320"/>
      <c r="BV8" s="321"/>
      <c r="BW8" s="321"/>
      <c r="BX8" s="321"/>
      <c r="BY8" s="321"/>
      <c r="BZ8" s="321"/>
      <c r="CA8" s="321"/>
      <c r="CB8" s="277"/>
      <c r="CC8" s="382" t="s">
        <v>292</v>
      </c>
      <c r="CD8" s="383">
        <f>HLOOKUP($CC8,$AK$6:$AM$132,ROWS(CD$6:CD8),0)</f>
        <v>63</v>
      </c>
      <c r="CE8" s="234">
        <f t="shared" si="28"/>
        <v>63</v>
      </c>
      <c r="CF8" s="96">
        <f t="shared" si="29"/>
        <v>63</v>
      </c>
      <c r="CG8" s="96">
        <f t="shared" si="30"/>
        <v>63</v>
      </c>
      <c r="CH8" s="96">
        <f t="shared" si="31"/>
        <v>63</v>
      </c>
      <c r="CI8" s="96">
        <f t="shared" si="32"/>
        <v>63</v>
      </c>
      <c r="CJ8" s="96">
        <f t="shared" si="33"/>
        <v>63</v>
      </c>
      <c r="CK8" s="96">
        <f t="shared" si="34"/>
        <v>63</v>
      </c>
      <c r="CL8" s="286">
        <f t="shared" si="35"/>
        <v>63</v>
      </c>
      <c r="CM8" s="305" t="s">
        <v>293</v>
      </c>
      <c r="CN8" s="315">
        <v>0.05</v>
      </c>
      <c r="CO8" s="306"/>
      <c r="CP8" s="307">
        <f>IF($CO8&lt;&gt;"",$CO8,HLOOKUP($CM8,$AY$6:$BA$132,ROWS(CP$6:CP8),0))</f>
        <v>7145.125912255</v>
      </c>
      <c r="CQ8" s="784">
        <f t="shared" si="36"/>
        <v>450142.93247206497</v>
      </c>
      <c r="CR8" s="784">
        <f t="shared" si="37"/>
        <v>450142.93247206497</v>
      </c>
      <c r="CS8" s="97">
        <f t="shared" si="38"/>
        <v>450142.93247206497</v>
      </c>
      <c r="CT8" s="97">
        <f t="shared" si="39"/>
        <v>450142.93247206497</v>
      </c>
      <c r="CU8" s="97">
        <f t="shared" si="40"/>
        <v>450142.93247206497</v>
      </c>
      <c r="CV8" s="97">
        <f t="shared" si="41"/>
        <v>450142.93247206497</v>
      </c>
      <c r="CW8" s="97">
        <f t="shared" si="42"/>
        <v>450142.93247206497</v>
      </c>
      <c r="CX8" s="98">
        <f t="shared" si="43"/>
        <v>450142.93247206497</v>
      </c>
      <c r="CY8" s="392"/>
      <c r="CZ8" s="187"/>
    </row>
    <row r="9" spans="1:104" x14ac:dyDescent="0.25">
      <c r="A9" s="81" t="s">
        <v>27</v>
      </c>
      <c r="B9" s="82" t="s">
        <v>28</v>
      </c>
      <c r="C9" s="83" t="s">
        <v>29</v>
      </c>
      <c r="D9" s="84">
        <v>719820.3549091192</v>
      </c>
      <c r="E9" s="85">
        <v>1067588.5241132695</v>
      </c>
      <c r="F9" s="85">
        <v>1142185.7178037809</v>
      </c>
      <c r="G9" s="85">
        <v>1840343.6248706994</v>
      </c>
      <c r="H9" s="85">
        <v>1908459.5201356648</v>
      </c>
      <c r="I9" s="85">
        <v>3625663.7243965375</v>
      </c>
      <c r="J9" s="85">
        <v>2643614.1637039022</v>
      </c>
      <c r="K9" s="85">
        <v>0</v>
      </c>
      <c r="L9" s="85">
        <v>0</v>
      </c>
      <c r="M9" s="654">
        <f>'2022-23 Input'!E9</f>
        <v>0</v>
      </c>
      <c r="N9" s="1065">
        <v>0</v>
      </c>
      <c r="O9" s="560">
        <f t="shared" si="0"/>
        <v>968486.84520599525</v>
      </c>
      <c r="P9" s="561">
        <f t="shared" si="1"/>
        <v>1415014.8427157006</v>
      </c>
      <c r="Q9" s="561">
        <f t="shared" si="2"/>
        <v>1498554.2267389193</v>
      </c>
      <c r="R9" s="561">
        <f t="shared" si="3"/>
        <v>2368737.1049772864</v>
      </c>
      <c r="S9" s="561">
        <f t="shared" si="4"/>
        <v>2406412.4846673929</v>
      </c>
      <c r="T9" s="561">
        <f t="shared" si="5"/>
        <v>4499986.3478192594</v>
      </c>
      <c r="U9" s="561">
        <f t="shared" si="6"/>
        <v>3292589.6482895906</v>
      </c>
      <c r="V9" s="561">
        <f t="shared" si="7"/>
        <v>0</v>
      </c>
      <c r="W9" s="675">
        <f t="shared" si="8"/>
        <v>0</v>
      </c>
      <c r="X9" s="675">
        <f t="shared" si="9"/>
        <v>0</v>
      </c>
      <c r="Y9" s="675">
        <f t="shared" si="10"/>
        <v>0</v>
      </c>
      <c r="Z9" s="86">
        <v>92</v>
      </c>
      <c r="AA9" s="87">
        <v>104.39999999999998</v>
      </c>
      <c r="AB9" s="87">
        <v>111.19999999999999</v>
      </c>
      <c r="AC9" s="87">
        <v>167.2</v>
      </c>
      <c r="AD9" s="87">
        <v>196</v>
      </c>
      <c r="AE9" s="87">
        <v>457</v>
      </c>
      <c r="AF9" s="87">
        <v>279</v>
      </c>
      <c r="AG9" s="87">
        <v>0</v>
      </c>
      <c r="AH9" s="87">
        <v>0</v>
      </c>
      <c r="AI9" s="1094">
        <f>'2022-23 Input'!L9</f>
        <v>0</v>
      </c>
      <c r="AJ9" s="665">
        <v>0</v>
      </c>
      <c r="AK9" s="88">
        <f t="shared" si="11"/>
        <v>147.19999999999999</v>
      </c>
      <c r="AL9" s="89">
        <f t="shared" si="12"/>
        <v>0</v>
      </c>
      <c r="AM9" s="90">
        <f t="shared" si="13"/>
        <v>0</v>
      </c>
      <c r="AN9" s="91">
        <f t="shared" si="14"/>
        <v>7824.1342924904257</v>
      </c>
      <c r="AO9" s="92">
        <f t="shared" si="15"/>
        <v>10225.943717560056</v>
      </c>
      <c r="AP9" s="92">
        <f t="shared" si="16"/>
        <v>10271.454296796592</v>
      </c>
      <c r="AQ9" s="92">
        <f t="shared" si="17"/>
        <v>11006.839861666864</v>
      </c>
      <c r="AR9" s="92">
        <f t="shared" si="18"/>
        <v>9737.038368039106</v>
      </c>
      <c r="AS9" s="92">
        <f t="shared" si="19"/>
        <v>7933.6186529464712</v>
      </c>
      <c r="AT9" s="92">
        <f t="shared" si="20"/>
        <v>9475.3195831681078</v>
      </c>
      <c r="AU9" s="92" t="str">
        <f t="shared" si="21"/>
        <v/>
      </c>
      <c r="AV9" s="92" t="str">
        <f t="shared" si="22"/>
        <v/>
      </c>
      <c r="AW9" s="92" t="str">
        <f t="shared" si="22"/>
        <v/>
      </c>
      <c r="AX9" s="92" t="str">
        <f t="shared" si="22"/>
        <v/>
      </c>
      <c r="AY9" s="93">
        <f t="shared" si="23"/>
        <v>8518.0406088321197</v>
      </c>
      <c r="AZ9" s="94" t="str">
        <f t="shared" si="24"/>
        <v/>
      </c>
      <c r="BA9" s="95" t="str">
        <f t="shared" si="25"/>
        <v/>
      </c>
      <c r="BB9" s="248" t="s">
        <v>422</v>
      </c>
      <c r="BC9" s="229" t="s">
        <v>433</v>
      </c>
      <c r="BD9" s="249">
        <v>0</v>
      </c>
      <c r="BE9" s="267">
        <f t="shared" si="26"/>
        <v>0</v>
      </c>
      <c r="BF9" s="268">
        <f t="shared" si="27"/>
        <v>0</v>
      </c>
      <c r="BG9" s="268">
        <f t="shared" si="27"/>
        <v>0</v>
      </c>
      <c r="BH9" s="268">
        <f t="shared" si="27"/>
        <v>1</v>
      </c>
      <c r="BI9" s="268">
        <f t="shared" si="27"/>
        <v>2</v>
      </c>
      <c r="BJ9" s="268">
        <f t="shared" si="27"/>
        <v>3</v>
      </c>
      <c r="BK9" s="268">
        <f t="shared" si="27"/>
        <v>4</v>
      </c>
      <c r="BL9" s="269">
        <f t="shared" si="27"/>
        <v>5</v>
      </c>
      <c r="BM9" s="256">
        <f>IF($BC9=Lookup!$A$2,$BD9*ROUNDUP(BE9/10,0)+1,
IF($BC9=Lookup!$A$3,($BD9+1)^BD9,
IF($BC9=Lookup!$A$4,BE9*$BD9+1,"Error")))</f>
        <v>1</v>
      </c>
      <c r="BN9" s="229">
        <f>IF($BC9=Lookup!$A$2,$BD9*ROUNDUP(BF9/10,0)+1,
IF($BC9=Lookup!$A$3,($BD9+1)^BE9,
IF($BC9=Lookup!$A$4,BF9*$BD9+1,"Error")))</f>
        <v>1</v>
      </c>
      <c r="BO9" s="229">
        <f>IF($BC9=Lookup!$A$2,$BD9*ROUNDUP(BG9/10,0)+1,
IF($BC9=Lookup!$A$3,($BD9+1)^BF9,
IF($BC9=Lookup!$A$4,BG9*$BD9+1,"Error")))</f>
        <v>1</v>
      </c>
      <c r="BP9" s="229">
        <f>IF($BC9=Lookup!$A$2,$BD9*ROUNDUP(BH9/10,0)+1,
IF($BC9=Lookup!$A$3,($BD9+1)^BG9,
IF($BC9=Lookup!$A$4,BH9*$BD9+1,"Error")))</f>
        <v>1</v>
      </c>
      <c r="BQ9" s="229">
        <f>IF($BC9=Lookup!$A$2,$BD9*ROUNDUP(BI9/10,0)+1,
IF($BC9=Lookup!$A$3,($BD9+1)^BH9,
IF($BC9=Lookup!$A$4,BI9*$BD9+1,"Error")))</f>
        <v>1</v>
      </c>
      <c r="BR9" s="229">
        <f>IF($BC9=Lookup!$A$2,$BD9*ROUNDUP(BJ9/10,0)+1,
IF($BC9=Lookup!$A$3,($BD9+1)^BI9,
IF($BC9=Lookup!$A$4,BJ9*$BD9+1,"Error")))</f>
        <v>1</v>
      </c>
      <c r="BS9" s="229">
        <f>IF($BC9=Lookup!$A$2,$BD9*ROUNDUP(BK9/10,0)+1,
IF($BC9=Lookup!$A$3,($BD9+1)^BJ9,
IF($BC9=Lookup!$A$4,BK9*$BD9+1,"Error")))</f>
        <v>1</v>
      </c>
      <c r="BT9" s="249">
        <f>IF($BC9=Lookup!$A$2,$BD9*ROUNDUP(BL9/10,0)+1,
IF($BC9=Lookup!$A$3,($BD9+1)^BK9,
IF($BC9=Lookup!$A$4,BL9*$BD9+1,"Error")))</f>
        <v>1</v>
      </c>
      <c r="BU9" s="320"/>
      <c r="BV9" s="321"/>
      <c r="BW9" s="321"/>
      <c r="BX9" s="321"/>
      <c r="BY9" s="321"/>
      <c r="BZ9" s="321"/>
      <c r="CA9" s="321"/>
      <c r="CB9" s="277"/>
      <c r="CC9" s="382" t="s">
        <v>292</v>
      </c>
      <c r="CD9" s="383">
        <f>HLOOKUP($CC9,$AK$6:$AM$132,ROWS(CD$6:CD9),0)</f>
        <v>147.19999999999999</v>
      </c>
      <c r="CE9" s="234">
        <f t="shared" si="28"/>
        <v>147.19999999999999</v>
      </c>
      <c r="CF9" s="96">
        <f t="shared" si="29"/>
        <v>147.19999999999999</v>
      </c>
      <c r="CG9" s="96">
        <f t="shared" si="30"/>
        <v>147.19999999999999</v>
      </c>
      <c r="CH9" s="96">
        <f t="shared" si="31"/>
        <v>147.19999999999999</v>
      </c>
      <c r="CI9" s="96">
        <f t="shared" si="32"/>
        <v>147.19999999999999</v>
      </c>
      <c r="CJ9" s="96">
        <f t="shared" si="33"/>
        <v>147.19999999999999</v>
      </c>
      <c r="CK9" s="96">
        <f t="shared" si="34"/>
        <v>147.19999999999999</v>
      </c>
      <c r="CL9" s="286">
        <f t="shared" si="35"/>
        <v>147.19999999999999</v>
      </c>
      <c r="CM9" s="305" t="s">
        <v>293</v>
      </c>
      <c r="CN9" s="315">
        <v>0.05</v>
      </c>
      <c r="CO9" s="306"/>
      <c r="CP9" s="307" t="str">
        <f>IF($CO9&lt;&gt;"",$CO9,HLOOKUP($CM9,$AY$6:$BA$132,ROWS(CP$6:CP9),0))</f>
        <v/>
      </c>
      <c r="CQ9" s="784" t="str">
        <f t="shared" si="36"/>
        <v/>
      </c>
      <c r="CR9" s="784" t="str">
        <f t="shared" si="37"/>
        <v/>
      </c>
      <c r="CS9" s="97" t="str">
        <f t="shared" si="38"/>
        <v/>
      </c>
      <c r="CT9" s="97" t="str">
        <f t="shared" si="39"/>
        <v/>
      </c>
      <c r="CU9" s="97" t="str">
        <f t="shared" si="40"/>
        <v/>
      </c>
      <c r="CV9" s="97" t="str">
        <f t="shared" si="41"/>
        <v/>
      </c>
      <c r="CW9" s="97" t="str">
        <f t="shared" si="42"/>
        <v/>
      </c>
      <c r="CX9" s="98" t="str">
        <f t="shared" si="43"/>
        <v/>
      </c>
      <c r="CY9" s="392"/>
    </row>
    <row r="10" spans="1:104" x14ac:dyDescent="0.25">
      <c r="A10" s="81" t="s">
        <v>27</v>
      </c>
      <c r="B10" s="82" t="s">
        <v>30</v>
      </c>
      <c r="C10" s="83" t="s">
        <v>298</v>
      </c>
      <c r="D10" s="84">
        <v>719820.3549091192</v>
      </c>
      <c r="E10" s="85">
        <v>1067588.5241132693</v>
      </c>
      <c r="F10" s="85">
        <v>1142185.7178037812</v>
      </c>
      <c r="G10" s="85">
        <v>1840343.6248706998</v>
      </c>
      <c r="H10" s="85">
        <v>1908459.5201356651</v>
      </c>
      <c r="I10" s="85">
        <v>317373.55816791288</v>
      </c>
      <c r="J10" s="85">
        <v>0</v>
      </c>
      <c r="K10" s="85">
        <v>0</v>
      </c>
      <c r="L10" s="85">
        <v>0</v>
      </c>
      <c r="M10" s="654">
        <f>'2022-23 Input'!E10</f>
        <v>0</v>
      </c>
      <c r="N10" s="1065">
        <v>0</v>
      </c>
      <c r="O10" s="560">
        <f t="shared" si="0"/>
        <v>968486.84520599525</v>
      </c>
      <c r="P10" s="561">
        <f t="shared" si="1"/>
        <v>1415014.8427157004</v>
      </c>
      <c r="Q10" s="561">
        <f t="shared" si="2"/>
        <v>1498554.2267389197</v>
      </c>
      <c r="R10" s="561">
        <f t="shared" si="3"/>
        <v>2368737.1049772874</v>
      </c>
      <c r="S10" s="561">
        <f t="shared" si="4"/>
        <v>2406412.4846673934</v>
      </c>
      <c r="T10" s="561">
        <f t="shared" si="5"/>
        <v>393907.65042671957</v>
      </c>
      <c r="U10" s="561">
        <f t="shared" si="6"/>
        <v>0</v>
      </c>
      <c r="V10" s="561">
        <f t="shared" si="7"/>
        <v>0</v>
      </c>
      <c r="W10" s="675">
        <f t="shared" si="8"/>
        <v>0</v>
      </c>
      <c r="X10" s="675">
        <f t="shared" si="9"/>
        <v>0</v>
      </c>
      <c r="Y10" s="675">
        <f t="shared" si="10"/>
        <v>0</v>
      </c>
      <c r="Z10" s="86">
        <v>92</v>
      </c>
      <c r="AA10" s="87">
        <v>104.4</v>
      </c>
      <c r="AB10" s="87">
        <v>111.2</v>
      </c>
      <c r="AC10" s="87">
        <v>167.20000000000002</v>
      </c>
      <c r="AD10" s="87">
        <v>196</v>
      </c>
      <c r="AE10" s="87">
        <v>34</v>
      </c>
      <c r="AF10" s="87">
        <v>0</v>
      </c>
      <c r="AG10" s="87">
        <v>0</v>
      </c>
      <c r="AH10" s="87">
        <v>0</v>
      </c>
      <c r="AI10" s="1094">
        <f>'2022-23 Input'!L10</f>
        <v>0</v>
      </c>
      <c r="AJ10" s="665">
        <v>0</v>
      </c>
      <c r="AK10" s="88">
        <f t="shared" si="11"/>
        <v>6.8</v>
      </c>
      <c r="AL10" s="89">
        <f t="shared" si="12"/>
        <v>0</v>
      </c>
      <c r="AM10" s="90">
        <f t="shared" si="13"/>
        <v>0</v>
      </c>
      <c r="AN10" s="91">
        <f t="shared" si="14"/>
        <v>7824.1342924904257</v>
      </c>
      <c r="AO10" s="92">
        <f t="shared" si="15"/>
        <v>10225.943717560051</v>
      </c>
      <c r="AP10" s="92">
        <f t="shared" si="16"/>
        <v>10271.454296796594</v>
      </c>
      <c r="AQ10" s="92">
        <f t="shared" si="17"/>
        <v>11006.839861666864</v>
      </c>
      <c r="AR10" s="92">
        <f t="shared" si="18"/>
        <v>9737.0383680391078</v>
      </c>
      <c r="AS10" s="92">
        <f t="shared" si="19"/>
        <v>9334.5164167033199</v>
      </c>
      <c r="AT10" s="92" t="str">
        <f t="shared" si="20"/>
        <v/>
      </c>
      <c r="AU10" s="92" t="str">
        <f t="shared" si="21"/>
        <v/>
      </c>
      <c r="AV10" s="92" t="str">
        <f t="shared" si="22"/>
        <v/>
      </c>
      <c r="AW10" s="92" t="str">
        <f t="shared" si="22"/>
        <v/>
      </c>
      <c r="AX10" s="92" t="str">
        <f t="shared" si="22"/>
        <v/>
      </c>
      <c r="AY10" s="93">
        <f t="shared" si="23"/>
        <v>9334.5164167033199</v>
      </c>
      <c r="AZ10" s="94" t="str">
        <f t="shared" si="24"/>
        <v/>
      </c>
      <c r="BA10" s="95" t="str">
        <f t="shared" si="25"/>
        <v/>
      </c>
      <c r="BB10" s="248" t="s">
        <v>422</v>
      </c>
      <c r="BC10" s="229" t="s">
        <v>433</v>
      </c>
      <c r="BD10" s="249">
        <v>0</v>
      </c>
      <c r="BE10" s="267">
        <f t="shared" si="26"/>
        <v>0</v>
      </c>
      <c r="BF10" s="268">
        <f t="shared" si="27"/>
        <v>0</v>
      </c>
      <c r="BG10" s="268">
        <f t="shared" si="27"/>
        <v>0</v>
      </c>
      <c r="BH10" s="268">
        <f t="shared" si="27"/>
        <v>1</v>
      </c>
      <c r="BI10" s="268">
        <f t="shared" si="27"/>
        <v>2</v>
      </c>
      <c r="BJ10" s="268">
        <f t="shared" si="27"/>
        <v>3</v>
      </c>
      <c r="BK10" s="268">
        <f t="shared" si="27"/>
        <v>4</v>
      </c>
      <c r="BL10" s="269">
        <f t="shared" si="27"/>
        <v>5</v>
      </c>
      <c r="BM10" s="256">
        <f>IF($BC10=Lookup!$A$2,$BD10*ROUNDUP(BE10/10,0)+1,
IF($BC10=Lookup!$A$3,($BD10+1)^BD10,
IF($BC10=Lookup!$A$4,BE10*$BD10+1,"Error")))</f>
        <v>1</v>
      </c>
      <c r="BN10" s="229">
        <f>IF($BC10=Lookup!$A$2,$BD10*ROUNDUP(BF10/10,0)+1,
IF($BC10=Lookup!$A$3,($BD10+1)^BE10,
IF($BC10=Lookup!$A$4,BF10*$BD10+1,"Error")))</f>
        <v>1</v>
      </c>
      <c r="BO10" s="229">
        <f>IF($BC10=Lookup!$A$2,$BD10*ROUNDUP(BG10/10,0)+1,
IF($BC10=Lookup!$A$3,($BD10+1)^BF10,
IF($BC10=Lookup!$A$4,BG10*$BD10+1,"Error")))</f>
        <v>1</v>
      </c>
      <c r="BP10" s="229">
        <f>IF($BC10=Lookup!$A$2,$BD10*ROUNDUP(BH10/10,0)+1,
IF($BC10=Lookup!$A$3,($BD10+1)^BG10,
IF($BC10=Lookup!$A$4,BH10*$BD10+1,"Error")))</f>
        <v>1</v>
      </c>
      <c r="BQ10" s="229">
        <f>IF($BC10=Lookup!$A$2,$BD10*ROUNDUP(BI10/10,0)+1,
IF($BC10=Lookup!$A$3,($BD10+1)^BH10,
IF($BC10=Lookup!$A$4,BI10*$BD10+1,"Error")))</f>
        <v>1</v>
      </c>
      <c r="BR10" s="229">
        <f>IF($BC10=Lookup!$A$2,$BD10*ROUNDUP(BJ10/10,0)+1,
IF($BC10=Lookup!$A$3,($BD10+1)^BI10,
IF($BC10=Lookup!$A$4,BJ10*$BD10+1,"Error")))</f>
        <v>1</v>
      </c>
      <c r="BS10" s="229">
        <f>IF($BC10=Lookup!$A$2,$BD10*ROUNDUP(BK10/10,0)+1,
IF($BC10=Lookup!$A$3,($BD10+1)^BJ10,
IF($BC10=Lookup!$A$4,BK10*$BD10+1,"Error")))</f>
        <v>1</v>
      </c>
      <c r="BT10" s="249">
        <f>IF($BC10=Lookup!$A$2,$BD10*ROUNDUP(BL10/10,0)+1,
IF($BC10=Lookup!$A$3,($BD10+1)^BK10,
IF($BC10=Lookup!$A$4,BL10*$BD10+1,"Error")))</f>
        <v>1</v>
      </c>
      <c r="BU10" s="320"/>
      <c r="BV10" s="321"/>
      <c r="BW10" s="321"/>
      <c r="BX10" s="321"/>
      <c r="BY10" s="321"/>
      <c r="BZ10" s="321"/>
      <c r="CA10" s="321"/>
      <c r="CB10" s="277"/>
      <c r="CC10" s="382" t="s">
        <v>292</v>
      </c>
      <c r="CD10" s="383">
        <f>HLOOKUP($CC10,$AK$6:$AM$132,ROWS(CD$6:CD10),0)</f>
        <v>6.8</v>
      </c>
      <c r="CE10" s="234">
        <f t="shared" si="28"/>
        <v>6.8</v>
      </c>
      <c r="CF10" s="96">
        <f t="shared" si="29"/>
        <v>6.8</v>
      </c>
      <c r="CG10" s="96">
        <f t="shared" si="30"/>
        <v>6.8</v>
      </c>
      <c r="CH10" s="96">
        <f t="shared" si="31"/>
        <v>6.8</v>
      </c>
      <c r="CI10" s="96">
        <f t="shared" si="32"/>
        <v>6.8</v>
      </c>
      <c r="CJ10" s="96">
        <f t="shared" si="33"/>
        <v>6.8</v>
      </c>
      <c r="CK10" s="96">
        <f t="shared" si="34"/>
        <v>6.8</v>
      </c>
      <c r="CL10" s="286">
        <f t="shared" si="35"/>
        <v>6.8</v>
      </c>
      <c r="CM10" s="305" t="s">
        <v>292</v>
      </c>
      <c r="CN10" s="315">
        <v>0.05</v>
      </c>
      <c r="CO10" s="306"/>
      <c r="CP10" s="307">
        <f>IF($CO10&lt;&gt;"",$CO10,HLOOKUP($CM10,$AY$6:$BA$132,ROWS(CP$6:CP10),0))</f>
        <v>9334.5164167033199</v>
      </c>
      <c r="CQ10" s="784">
        <f t="shared" si="36"/>
        <v>63474.71163358257</v>
      </c>
      <c r="CR10" s="784">
        <f t="shared" si="37"/>
        <v>63474.71163358257</v>
      </c>
      <c r="CS10" s="97">
        <f t="shared" si="38"/>
        <v>63474.71163358257</v>
      </c>
      <c r="CT10" s="97">
        <f t="shared" si="39"/>
        <v>63474.71163358257</v>
      </c>
      <c r="CU10" s="97">
        <f t="shared" si="40"/>
        <v>63474.71163358257</v>
      </c>
      <c r="CV10" s="97">
        <f t="shared" si="41"/>
        <v>63474.71163358257</v>
      </c>
      <c r="CW10" s="97">
        <f t="shared" si="42"/>
        <v>63474.71163358257</v>
      </c>
      <c r="CX10" s="98">
        <f t="shared" si="43"/>
        <v>63474.71163358257</v>
      </c>
      <c r="CY10" s="392"/>
    </row>
    <row r="11" spans="1:104" x14ac:dyDescent="0.25">
      <c r="A11" s="81" t="s">
        <v>27</v>
      </c>
      <c r="B11" s="82" t="s">
        <v>32</v>
      </c>
      <c r="C11" s="83" t="s">
        <v>33</v>
      </c>
      <c r="D11" s="84">
        <v>359458.18382421002</v>
      </c>
      <c r="E11" s="85">
        <v>648774.18167420896</v>
      </c>
      <c r="F11" s="85">
        <v>277676.14010831609</v>
      </c>
      <c r="G11" s="85">
        <v>598018.12872783386</v>
      </c>
      <c r="H11" s="85">
        <v>423841.81005266507</v>
      </c>
      <c r="I11" s="85">
        <v>0</v>
      </c>
      <c r="J11" s="85">
        <v>449655.93243987684</v>
      </c>
      <c r="K11" s="85">
        <v>174.69900000000001</v>
      </c>
      <c r="L11" s="85">
        <v>0</v>
      </c>
      <c r="M11" s="654">
        <f>'2022-23 Input'!E11</f>
        <v>0</v>
      </c>
      <c r="N11" s="1065">
        <v>0</v>
      </c>
      <c r="O11" s="560">
        <f t="shared" si="0"/>
        <v>483635.28491680266</v>
      </c>
      <c r="P11" s="561">
        <f t="shared" si="1"/>
        <v>859905.36232322513</v>
      </c>
      <c r="Q11" s="561">
        <f t="shared" si="2"/>
        <v>364312.6918308661</v>
      </c>
      <c r="R11" s="561">
        <f t="shared" si="3"/>
        <v>769719.15017567913</v>
      </c>
      <c r="S11" s="561">
        <f t="shared" si="4"/>
        <v>534430.10578618699</v>
      </c>
      <c r="T11" s="561">
        <f t="shared" si="5"/>
        <v>0</v>
      </c>
      <c r="U11" s="561">
        <f t="shared" si="6"/>
        <v>560041.05620663066</v>
      </c>
      <c r="V11" s="561">
        <f t="shared" si="7"/>
        <v>209.52678118359003</v>
      </c>
      <c r="W11" s="675">
        <f t="shared" si="8"/>
        <v>0</v>
      </c>
      <c r="X11" s="675">
        <f t="shared" si="9"/>
        <v>0</v>
      </c>
      <c r="Y11" s="675">
        <f t="shared" si="10"/>
        <v>0</v>
      </c>
      <c r="Z11" s="86">
        <v>25</v>
      </c>
      <c r="AA11" s="87">
        <v>32</v>
      </c>
      <c r="AB11" s="87">
        <v>16</v>
      </c>
      <c r="AC11" s="87">
        <v>29</v>
      </c>
      <c r="AD11" s="87">
        <v>29</v>
      </c>
      <c r="AE11" s="87">
        <v>0</v>
      </c>
      <c r="AF11" s="87">
        <v>26</v>
      </c>
      <c r="AG11" s="87">
        <v>0</v>
      </c>
      <c r="AH11" s="87">
        <v>0</v>
      </c>
      <c r="AI11" s="1094">
        <f>'2022-23 Input'!L11</f>
        <v>0</v>
      </c>
      <c r="AJ11" s="665">
        <v>0</v>
      </c>
      <c r="AK11" s="88">
        <f t="shared" si="11"/>
        <v>5.2</v>
      </c>
      <c r="AL11" s="89">
        <f t="shared" si="12"/>
        <v>0</v>
      </c>
      <c r="AM11" s="90">
        <f t="shared" si="13"/>
        <v>0</v>
      </c>
      <c r="AN11" s="91">
        <f t="shared" si="14"/>
        <v>14378.327352968401</v>
      </c>
      <c r="AO11" s="92">
        <f t="shared" si="15"/>
        <v>20274.19317731903</v>
      </c>
      <c r="AP11" s="92">
        <f t="shared" si="16"/>
        <v>17354.758756769756</v>
      </c>
      <c r="AQ11" s="92">
        <f t="shared" si="17"/>
        <v>20621.314783718408</v>
      </c>
      <c r="AR11" s="92">
        <f t="shared" si="18"/>
        <v>14615.234829402243</v>
      </c>
      <c r="AS11" s="92" t="str">
        <f t="shared" si="19"/>
        <v/>
      </c>
      <c r="AT11" s="92">
        <f t="shared" si="20"/>
        <v>17294.458939995264</v>
      </c>
      <c r="AU11" s="92" t="str">
        <f t="shared" si="21"/>
        <v/>
      </c>
      <c r="AV11" s="92" t="str">
        <f t="shared" si="22"/>
        <v/>
      </c>
      <c r="AW11" s="92" t="str">
        <f t="shared" si="22"/>
        <v/>
      </c>
      <c r="AX11" s="92" t="str">
        <f t="shared" si="22"/>
        <v/>
      </c>
      <c r="AY11" s="93">
        <f t="shared" si="23"/>
        <v>17301.178132302957</v>
      </c>
      <c r="AZ11" s="94" t="str">
        <f t="shared" si="24"/>
        <v/>
      </c>
      <c r="BA11" s="95" t="str">
        <f t="shared" si="25"/>
        <v/>
      </c>
      <c r="BB11" s="248" t="s">
        <v>422</v>
      </c>
      <c r="BC11" s="229" t="s">
        <v>433</v>
      </c>
      <c r="BD11" s="249">
        <v>0</v>
      </c>
      <c r="BE11" s="267">
        <f t="shared" si="26"/>
        <v>0</v>
      </c>
      <c r="BF11" s="268">
        <f t="shared" si="27"/>
        <v>0</v>
      </c>
      <c r="BG11" s="268">
        <f t="shared" si="27"/>
        <v>0</v>
      </c>
      <c r="BH11" s="268">
        <f t="shared" si="27"/>
        <v>1</v>
      </c>
      <c r="BI11" s="268">
        <f t="shared" si="27"/>
        <v>2</v>
      </c>
      <c r="BJ11" s="268">
        <f t="shared" si="27"/>
        <v>3</v>
      </c>
      <c r="BK11" s="268">
        <f t="shared" si="27"/>
        <v>4</v>
      </c>
      <c r="BL11" s="269">
        <f t="shared" si="27"/>
        <v>5</v>
      </c>
      <c r="BM11" s="256">
        <f>IF($BC11=Lookup!$A$2,$BD11*ROUNDUP(BE11/10,0)+1,
IF($BC11=Lookup!$A$3,($BD11+1)^BD11,
IF($BC11=Lookup!$A$4,BE11*$BD11+1,"Error")))</f>
        <v>1</v>
      </c>
      <c r="BN11" s="229">
        <f>IF($BC11=Lookup!$A$2,$BD11*ROUNDUP(BF11/10,0)+1,
IF($BC11=Lookup!$A$3,($BD11+1)^BE11,
IF($BC11=Lookup!$A$4,BF11*$BD11+1,"Error")))</f>
        <v>1</v>
      </c>
      <c r="BO11" s="229">
        <f>IF($BC11=Lookup!$A$2,$BD11*ROUNDUP(BG11/10,0)+1,
IF($BC11=Lookup!$A$3,($BD11+1)^BF11,
IF($BC11=Lookup!$A$4,BG11*$BD11+1,"Error")))</f>
        <v>1</v>
      </c>
      <c r="BP11" s="229">
        <f>IF($BC11=Lookup!$A$2,$BD11*ROUNDUP(BH11/10,0)+1,
IF($BC11=Lookup!$A$3,($BD11+1)^BG11,
IF($BC11=Lookup!$A$4,BH11*$BD11+1,"Error")))</f>
        <v>1</v>
      </c>
      <c r="BQ11" s="229">
        <f>IF($BC11=Lookup!$A$2,$BD11*ROUNDUP(BI11/10,0)+1,
IF($BC11=Lookup!$A$3,($BD11+1)^BH11,
IF($BC11=Lookup!$A$4,BI11*$BD11+1,"Error")))</f>
        <v>1</v>
      </c>
      <c r="BR11" s="229">
        <f>IF($BC11=Lookup!$A$2,$BD11*ROUNDUP(BJ11/10,0)+1,
IF($BC11=Lookup!$A$3,($BD11+1)^BI11,
IF($BC11=Lookup!$A$4,BJ11*$BD11+1,"Error")))</f>
        <v>1</v>
      </c>
      <c r="BS11" s="229">
        <f>IF($BC11=Lookup!$A$2,$BD11*ROUNDUP(BK11/10,0)+1,
IF($BC11=Lookup!$A$3,($BD11+1)^BJ11,
IF($BC11=Lookup!$A$4,BK11*$BD11+1,"Error")))</f>
        <v>1</v>
      </c>
      <c r="BT11" s="249">
        <f>IF($BC11=Lookup!$A$2,$BD11*ROUNDUP(BL11/10,0)+1,
IF($BC11=Lookup!$A$3,($BD11+1)^BK11,
IF($BC11=Lookup!$A$4,BL11*$BD11+1,"Error")))</f>
        <v>1</v>
      </c>
      <c r="BU11" s="320"/>
      <c r="BV11" s="321"/>
      <c r="BW11" s="321"/>
      <c r="BX11" s="321"/>
      <c r="BY11" s="321"/>
      <c r="BZ11" s="321"/>
      <c r="CA11" s="321"/>
      <c r="CB11" s="277"/>
      <c r="CC11" s="382" t="s">
        <v>292</v>
      </c>
      <c r="CD11" s="383">
        <f>HLOOKUP($CC11,$AK$6:$AM$132,ROWS(CD$6:CD11),0)</f>
        <v>5.2</v>
      </c>
      <c r="CE11" s="234">
        <f t="shared" si="28"/>
        <v>5.2</v>
      </c>
      <c r="CF11" s="96">
        <f t="shared" si="29"/>
        <v>5.2</v>
      </c>
      <c r="CG11" s="96">
        <f t="shared" si="30"/>
        <v>5.2</v>
      </c>
      <c r="CH11" s="96">
        <f t="shared" si="31"/>
        <v>5.2</v>
      </c>
      <c r="CI11" s="96">
        <f t="shared" si="32"/>
        <v>5.2</v>
      </c>
      <c r="CJ11" s="96">
        <f t="shared" si="33"/>
        <v>5.2</v>
      </c>
      <c r="CK11" s="96">
        <f t="shared" si="34"/>
        <v>5.2</v>
      </c>
      <c r="CL11" s="286">
        <f t="shared" si="35"/>
        <v>5.2</v>
      </c>
      <c r="CM11" s="305" t="s">
        <v>293</v>
      </c>
      <c r="CN11" s="315">
        <v>0.05</v>
      </c>
      <c r="CO11" s="306"/>
      <c r="CP11" s="307" t="str">
        <f>IF($CO11&lt;&gt;"",$CO11,HLOOKUP($CM11,$AY$6:$BA$132,ROWS(CP$6:CP11),0))</f>
        <v/>
      </c>
      <c r="CQ11" s="784" t="str">
        <f t="shared" si="36"/>
        <v/>
      </c>
      <c r="CR11" s="784" t="str">
        <f t="shared" si="37"/>
        <v/>
      </c>
      <c r="CS11" s="97" t="str">
        <f t="shared" si="38"/>
        <v/>
      </c>
      <c r="CT11" s="97" t="str">
        <f t="shared" si="39"/>
        <v/>
      </c>
      <c r="CU11" s="97" t="str">
        <f t="shared" si="40"/>
        <v/>
      </c>
      <c r="CV11" s="97" t="str">
        <f t="shared" si="41"/>
        <v/>
      </c>
      <c r="CW11" s="97" t="str">
        <f t="shared" si="42"/>
        <v/>
      </c>
      <c r="CX11" s="98" t="str">
        <f t="shared" si="43"/>
        <v/>
      </c>
      <c r="CY11" s="392"/>
    </row>
    <row r="12" spans="1:104" x14ac:dyDescent="0.25">
      <c r="A12" s="81" t="s">
        <v>27</v>
      </c>
      <c r="B12" s="82" t="s">
        <v>34</v>
      </c>
      <c r="C12" s="83" t="s">
        <v>35</v>
      </c>
      <c r="D12" s="84">
        <v>16997.676562643497</v>
      </c>
      <c r="E12" s="85">
        <v>0</v>
      </c>
      <c r="F12" s="85">
        <v>0</v>
      </c>
      <c r="G12" s="85">
        <v>0</v>
      </c>
      <c r="H12" s="85">
        <v>0</v>
      </c>
      <c r="I12" s="85">
        <v>707310.30396416236</v>
      </c>
      <c r="J12" s="85">
        <v>20007.729021684987</v>
      </c>
      <c r="K12" s="85">
        <v>0</v>
      </c>
      <c r="L12" s="85">
        <v>0</v>
      </c>
      <c r="M12" s="654">
        <f>'2022-23 Input'!E12</f>
        <v>0</v>
      </c>
      <c r="N12" s="1065">
        <v>0</v>
      </c>
      <c r="O12" s="560">
        <f t="shared" si="0"/>
        <v>22869.631343038218</v>
      </c>
      <c r="P12" s="561">
        <f t="shared" si="1"/>
        <v>0</v>
      </c>
      <c r="Q12" s="561">
        <f t="shared" si="2"/>
        <v>0</v>
      </c>
      <c r="R12" s="561">
        <f t="shared" si="3"/>
        <v>0</v>
      </c>
      <c r="S12" s="561">
        <f t="shared" si="4"/>
        <v>0</v>
      </c>
      <c r="T12" s="561">
        <f t="shared" si="5"/>
        <v>877876.97741891025</v>
      </c>
      <c r="U12" s="561">
        <f t="shared" si="6"/>
        <v>24919.385879777645</v>
      </c>
      <c r="V12" s="561">
        <f t="shared" si="7"/>
        <v>0</v>
      </c>
      <c r="W12" s="675">
        <f t="shared" si="8"/>
        <v>0</v>
      </c>
      <c r="X12" s="675">
        <f t="shared" si="9"/>
        <v>0</v>
      </c>
      <c r="Y12" s="675">
        <f t="shared" si="10"/>
        <v>0</v>
      </c>
      <c r="Z12" s="86">
        <v>1</v>
      </c>
      <c r="AA12" s="87">
        <v>0</v>
      </c>
      <c r="AB12" s="87">
        <v>0</v>
      </c>
      <c r="AC12" s="87">
        <v>0</v>
      </c>
      <c r="AD12" s="87">
        <v>0</v>
      </c>
      <c r="AE12" s="87">
        <v>0</v>
      </c>
      <c r="AF12" s="87">
        <v>1</v>
      </c>
      <c r="AG12" s="87">
        <v>0</v>
      </c>
      <c r="AH12" s="87">
        <v>0</v>
      </c>
      <c r="AI12" s="1094">
        <f>'2022-23 Input'!L12</f>
        <v>0</v>
      </c>
      <c r="AJ12" s="665">
        <v>0</v>
      </c>
      <c r="AK12" s="88">
        <f t="shared" si="11"/>
        <v>0.2</v>
      </c>
      <c r="AL12" s="89">
        <f t="shared" si="12"/>
        <v>0</v>
      </c>
      <c r="AM12" s="90">
        <f t="shared" si="13"/>
        <v>0</v>
      </c>
      <c r="AN12" s="91">
        <f t="shared" si="14"/>
        <v>16997.676562643497</v>
      </c>
      <c r="AO12" s="92" t="str">
        <f t="shared" si="15"/>
        <v/>
      </c>
      <c r="AP12" s="92" t="str">
        <f t="shared" si="16"/>
        <v/>
      </c>
      <c r="AQ12" s="92" t="str">
        <f t="shared" si="17"/>
        <v/>
      </c>
      <c r="AR12" s="92" t="str">
        <f t="shared" si="18"/>
        <v/>
      </c>
      <c r="AS12" s="92" t="str">
        <f t="shared" si="19"/>
        <v/>
      </c>
      <c r="AT12" s="92">
        <f t="shared" si="20"/>
        <v>20007.729021684987</v>
      </c>
      <c r="AU12" s="92" t="str">
        <f t="shared" si="21"/>
        <v/>
      </c>
      <c r="AV12" s="92" t="str">
        <f t="shared" si="22"/>
        <v/>
      </c>
      <c r="AW12" s="92" t="str">
        <f t="shared" si="22"/>
        <v/>
      </c>
      <c r="AX12" s="92" t="str">
        <f t="shared" si="22"/>
        <v/>
      </c>
      <c r="AY12" s="93">
        <f t="shared" si="23"/>
        <v>727318.03298584733</v>
      </c>
      <c r="AZ12" s="94" t="str">
        <f t="shared" si="24"/>
        <v/>
      </c>
      <c r="BA12" s="95" t="str">
        <f t="shared" si="25"/>
        <v/>
      </c>
      <c r="BB12" s="248" t="s">
        <v>422</v>
      </c>
      <c r="BC12" s="229" t="s">
        <v>433</v>
      </c>
      <c r="BD12" s="249">
        <v>0</v>
      </c>
      <c r="BE12" s="267">
        <f t="shared" si="26"/>
        <v>0</v>
      </c>
      <c r="BF12" s="268">
        <f t="shared" si="27"/>
        <v>0</v>
      </c>
      <c r="BG12" s="268">
        <f t="shared" si="27"/>
        <v>0</v>
      </c>
      <c r="BH12" s="268">
        <f t="shared" si="27"/>
        <v>1</v>
      </c>
      <c r="BI12" s="268">
        <f t="shared" si="27"/>
        <v>2</v>
      </c>
      <c r="BJ12" s="268">
        <f t="shared" si="27"/>
        <v>3</v>
      </c>
      <c r="BK12" s="268">
        <f t="shared" si="27"/>
        <v>4</v>
      </c>
      <c r="BL12" s="269">
        <f t="shared" si="27"/>
        <v>5</v>
      </c>
      <c r="BM12" s="256">
        <f>IF($BC12=Lookup!$A$2,$BD12*ROUNDUP(BE12/10,0)+1,
IF($BC12=Lookup!$A$3,($BD12+1)^BD12,
IF($BC12=Lookup!$A$4,BE12*$BD12+1,"Error")))</f>
        <v>1</v>
      </c>
      <c r="BN12" s="229">
        <f>IF($BC12=Lookup!$A$2,$BD12*ROUNDUP(BF12/10,0)+1,
IF($BC12=Lookup!$A$3,($BD12+1)^BE12,
IF($BC12=Lookup!$A$4,BF12*$BD12+1,"Error")))</f>
        <v>1</v>
      </c>
      <c r="BO12" s="229">
        <f>IF($BC12=Lookup!$A$2,$BD12*ROUNDUP(BG12/10,0)+1,
IF($BC12=Lookup!$A$3,($BD12+1)^BF12,
IF($BC12=Lookup!$A$4,BG12*$BD12+1,"Error")))</f>
        <v>1</v>
      </c>
      <c r="BP12" s="229">
        <f>IF($BC12=Lookup!$A$2,$BD12*ROUNDUP(BH12/10,0)+1,
IF($BC12=Lookup!$A$3,($BD12+1)^BG12,
IF($BC12=Lookup!$A$4,BH12*$BD12+1,"Error")))</f>
        <v>1</v>
      </c>
      <c r="BQ12" s="229">
        <f>IF($BC12=Lookup!$A$2,$BD12*ROUNDUP(BI12/10,0)+1,
IF($BC12=Lookup!$A$3,($BD12+1)^BH12,
IF($BC12=Lookup!$A$4,BI12*$BD12+1,"Error")))</f>
        <v>1</v>
      </c>
      <c r="BR12" s="229">
        <f>IF($BC12=Lookup!$A$2,$BD12*ROUNDUP(BJ12/10,0)+1,
IF($BC12=Lookup!$A$3,($BD12+1)^BI12,
IF($BC12=Lookup!$A$4,BJ12*$BD12+1,"Error")))</f>
        <v>1</v>
      </c>
      <c r="BS12" s="229">
        <f>IF($BC12=Lookup!$A$2,$BD12*ROUNDUP(BK12/10,0)+1,
IF($BC12=Lookup!$A$3,($BD12+1)^BJ12,
IF($BC12=Lookup!$A$4,BK12*$BD12+1,"Error")))</f>
        <v>1</v>
      </c>
      <c r="BT12" s="249">
        <f>IF($BC12=Lookup!$A$2,$BD12*ROUNDUP(BL12/10,0)+1,
IF($BC12=Lookup!$A$3,($BD12+1)^BK12,
IF($BC12=Lookup!$A$4,BL12*$BD12+1,"Error")))</f>
        <v>1</v>
      </c>
      <c r="BU12" s="320"/>
      <c r="BV12" s="321"/>
      <c r="BW12" s="321"/>
      <c r="BX12" s="321"/>
      <c r="BY12" s="321"/>
      <c r="BZ12" s="321"/>
      <c r="CA12" s="321"/>
      <c r="CB12" s="277"/>
      <c r="CC12" s="382" t="s">
        <v>292</v>
      </c>
      <c r="CD12" s="383">
        <f>HLOOKUP($CC12,$AK$6:$AM$132,ROWS(CD$6:CD12),0)</f>
        <v>0.2</v>
      </c>
      <c r="CE12" s="234">
        <f t="shared" si="28"/>
        <v>0.2</v>
      </c>
      <c r="CF12" s="96">
        <f t="shared" si="29"/>
        <v>0.2</v>
      </c>
      <c r="CG12" s="96">
        <f t="shared" si="30"/>
        <v>0.2</v>
      </c>
      <c r="CH12" s="96">
        <f t="shared" si="31"/>
        <v>0.2</v>
      </c>
      <c r="CI12" s="96">
        <f t="shared" si="32"/>
        <v>0.2</v>
      </c>
      <c r="CJ12" s="96">
        <f t="shared" si="33"/>
        <v>0.2</v>
      </c>
      <c r="CK12" s="96">
        <f t="shared" si="34"/>
        <v>0.2</v>
      </c>
      <c r="CL12" s="286">
        <f t="shared" si="35"/>
        <v>0.2</v>
      </c>
      <c r="CM12" s="305" t="s">
        <v>293</v>
      </c>
      <c r="CN12" s="315">
        <v>0.05</v>
      </c>
      <c r="CO12" s="306"/>
      <c r="CP12" s="307" t="str">
        <f>IF($CO12&lt;&gt;"",$CO12,HLOOKUP($CM12,$AY$6:$BA$132,ROWS(CP$6:CP12),0))</f>
        <v/>
      </c>
      <c r="CQ12" s="784" t="str">
        <f t="shared" si="36"/>
        <v/>
      </c>
      <c r="CR12" s="784" t="str">
        <f t="shared" si="37"/>
        <v/>
      </c>
      <c r="CS12" s="97" t="str">
        <f t="shared" si="38"/>
        <v/>
      </c>
      <c r="CT12" s="97" t="str">
        <f t="shared" si="39"/>
        <v/>
      </c>
      <c r="CU12" s="97" t="str">
        <f t="shared" si="40"/>
        <v/>
      </c>
      <c r="CV12" s="97" t="str">
        <f t="shared" si="41"/>
        <v/>
      </c>
      <c r="CW12" s="97" t="str">
        <f t="shared" si="42"/>
        <v/>
      </c>
      <c r="CX12" s="98" t="str">
        <f t="shared" si="43"/>
        <v/>
      </c>
      <c r="CY12" s="392"/>
    </row>
    <row r="13" spans="1:104" x14ac:dyDescent="0.25">
      <c r="A13" s="81" t="s">
        <v>27</v>
      </c>
      <c r="B13" s="82" t="s">
        <v>36</v>
      </c>
      <c r="C13" s="83" t="s">
        <v>37</v>
      </c>
      <c r="D13" s="84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654">
        <f>'2022-23 Input'!E13</f>
        <v>0</v>
      </c>
      <c r="N13" s="1065">
        <v>0</v>
      </c>
      <c r="O13" s="560">
        <f t="shared" si="0"/>
        <v>0</v>
      </c>
      <c r="P13" s="561">
        <f t="shared" si="1"/>
        <v>0</v>
      </c>
      <c r="Q13" s="561">
        <f t="shared" si="2"/>
        <v>0</v>
      </c>
      <c r="R13" s="561">
        <f t="shared" si="3"/>
        <v>0</v>
      </c>
      <c r="S13" s="561">
        <f t="shared" si="4"/>
        <v>0</v>
      </c>
      <c r="T13" s="561">
        <f t="shared" si="5"/>
        <v>0</v>
      </c>
      <c r="U13" s="561">
        <f t="shared" si="6"/>
        <v>0</v>
      </c>
      <c r="V13" s="561">
        <f t="shared" si="7"/>
        <v>0</v>
      </c>
      <c r="W13" s="675">
        <f t="shared" si="8"/>
        <v>0</v>
      </c>
      <c r="X13" s="675">
        <f t="shared" si="9"/>
        <v>0</v>
      </c>
      <c r="Y13" s="675">
        <f t="shared" si="10"/>
        <v>0</v>
      </c>
      <c r="Z13" s="86">
        <v>0</v>
      </c>
      <c r="AA13" s="87">
        <v>0</v>
      </c>
      <c r="AB13" s="87">
        <v>0</v>
      </c>
      <c r="AC13" s="87">
        <v>0</v>
      </c>
      <c r="AD13" s="87">
        <v>0</v>
      </c>
      <c r="AE13" s="87">
        <v>0</v>
      </c>
      <c r="AF13" s="87">
        <v>0</v>
      </c>
      <c r="AG13" s="87">
        <v>0</v>
      </c>
      <c r="AH13" s="87">
        <v>0</v>
      </c>
      <c r="AI13" s="1094">
        <f>'2022-23 Input'!L13</f>
        <v>0</v>
      </c>
      <c r="AJ13" s="665">
        <v>0</v>
      </c>
      <c r="AK13" s="88">
        <f t="shared" si="11"/>
        <v>0</v>
      </c>
      <c r="AL13" s="89">
        <f t="shared" si="12"/>
        <v>0</v>
      </c>
      <c r="AM13" s="90">
        <f t="shared" si="13"/>
        <v>0</v>
      </c>
      <c r="AN13" s="91" t="str">
        <f t="shared" si="14"/>
        <v/>
      </c>
      <c r="AO13" s="92" t="str">
        <f t="shared" si="15"/>
        <v/>
      </c>
      <c r="AP13" s="92" t="str">
        <f t="shared" si="16"/>
        <v/>
      </c>
      <c r="AQ13" s="92" t="str">
        <f t="shared" si="17"/>
        <v/>
      </c>
      <c r="AR13" s="92" t="str">
        <f t="shared" si="18"/>
        <v/>
      </c>
      <c r="AS13" s="92" t="str">
        <f t="shared" si="19"/>
        <v/>
      </c>
      <c r="AT13" s="92" t="str">
        <f t="shared" si="20"/>
        <v/>
      </c>
      <c r="AU13" s="92" t="str">
        <f t="shared" si="21"/>
        <v/>
      </c>
      <c r="AV13" s="92" t="str">
        <f t="shared" si="22"/>
        <v/>
      </c>
      <c r="AW13" s="92" t="str">
        <f t="shared" si="22"/>
        <v/>
      </c>
      <c r="AX13" s="92" t="str">
        <f t="shared" si="22"/>
        <v/>
      </c>
      <c r="AY13" s="93" t="str">
        <f t="shared" si="23"/>
        <v/>
      </c>
      <c r="AZ13" s="94" t="str">
        <f t="shared" si="24"/>
        <v/>
      </c>
      <c r="BA13" s="95" t="str">
        <f t="shared" si="25"/>
        <v/>
      </c>
      <c r="BB13" s="248" t="s">
        <v>422</v>
      </c>
      <c r="BC13" s="229" t="s">
        <v>433</v>
      </c>
      <c r="BD13" s="249">
        <v>0</v>
      </c>
      <c r="BE13" s="267">
        <f t="shared" si="26"/>
        <v>0</v>
      </c>
      <c r="BF13" s="268">
        <f t="shared" si="27"/>
        <v>0</v>
      </c>
      <c r="BG13" s="268">
        <f t="shared" si="27"/>
        <v>0</v>
      </c>
      <c r="BH13" s="268">
        <f t="shared" si="27"/>
        <v>1</v>
      </c>
      <c r="BI13" s="268">
        <f t="shared" si="27"/>
        <v>2</v>
      </c>
      <c r="BJ13" s="268">
        <f t="shared" si="27"/>
        <v>3</v>
      </c>
      <c r="BK13" s="268">
        <f t="shared" si="27"/>
        <v>4</v>
      </c>
      <c r="BL13" s="269">
        <f t="shared" si="27"/>
        <v>5</v>
      </c>
      <c r="BM13" s="256">
        <f>IF($BC13=Lookup!$A$2,$BD13*ROUNDUP(BE13/10,0)+1,
IF($BC13=Lookup!$A$3,($BD13+1)^BD13,
IF($BC13=Lookup!$A$4,BE13*$BD13+1,"Error")))</f>
        <v>1</v>
      </c>
      <c r="BN13" s="229">
        <f>IF($BC13=Lookup!$A$2,$BD13*ROUNDUP(BF13/10,0)+1,
IF($BC13=Lookup!$A$3,($BD13+1)^BE13,
IF($BC13=Lookup!$A$4,BF13*$BD13+1,"Error")))</f>
        <v>1</v>
      </c>
      <c r="BO13" s="229">
        <f>IF($BC13=Lookup!$A$2,$BD13*ROUNDUP(BG13/10,0)+1,
IF($BC13=Lookup!$A$3,($BD13+1)^BF13,
IF($BC13=Lookup!$A$4,BG13*$BD13+1,"Error")))</f>
        <v>1</v>
      </c>
      <c r="BP13" s="229">
        <f>IF($BC13=Lookup!$A$2,$BD13*ROUNDUP(BH13/10,0)+1,
IF($BC13=Lookup!$A$3,($BD13+1)^BG13,
IF($BC13=Lookup!$A$4,BH13*$BD13+1,"Error")))</f>
        <v>1</v>
      </c>
      <c r="BQ13" s="229">
        <f>IF($BC13=Lookup!$A$2,$BD13*ROUNDUP(BI13/10,0)+1,
IF($BC13=Lookup!$A$3,($BD13+1)^BH13,
IF($BC13=Lookup!$A$4,BI13*$BD13+1,"Error")))</f>
        <v>1</v>
      </c>
      <c r="BR13" s="229">
        <f>IF($BC13=Lookup!$A$2,$BD13*ROUNDUP(BJ13/10,0)+1,
IF($BC13=Lookup!$A$3,($BD13+1)^BI13,
IF($BC13=Lookup!$A$4,BJ13*$BD13+1,"Error")))</f>
        <v>1</v>
      </c>
      <c r="BS13" s="229">
        <f>IF($BC13=Lookup!$A$2,$BD13*ROUNDUP(BK13/10,0)+1,
IF($BC13=Lookup!$A$3,($BD13+1)^BJ13,
IF($BC13=Lookup!$A$4,BK13*$BD13+1,"Error")))</f>
        <v>1</v>
      </c>
      <c r="BT13" s="249">
        <f>IF($BC13=Lookup!$A$2,$BD13*ROUNDUP(BL13/10,0)+1,
IF($BC13=Lookup!$A$3,($BD13+1)^BK13,
IF($BC13=Lookup!$A$4,BL13*$BD13+1,"Error")))</f>
        <v>1</v>
      </c>
      <c r="BU13" s="320"/>
      <c r="BV13" s="321"/>
      <c r="BW13" s="321"/>
      <c r="BX13" s="321"/>
      <c r="BY13" s="321"/>
      <c r="BZ13" s="321"/>
      <c r="CA13" s="321"/>
      <c r="CB13" s="277"/>
      <c r="CC13" s="382" t="s">
        <v>292</v>
      </c>
      <c r="CD13" s="383">
        <f>HLOOKUP($CC13,$AK$6:$AM$132,ROWS(CD$6:CD13),0)</f>
        <v>0</v>
      </c>
      <c r="CE13" s="234">
        <f t="shared" si="28"/>
        <v>0</v>
      </c>
      <c r="CF13" s="96">
        <f t="shared" si="29"/>
        <v>0</v>
      </c>
      <c r="CG13" s="96">
        <f t="shared" si="30"/>
        <v>0</v>
      </c>
      <c r="CH13" s="96">
        <f t="shared" si="31"/>
        <v>0</v>
      </c>
      <c r="CI13" s="96">
        <f t="shared" si="32"/>
        <v>0</v>
      </c>
      <c r="CJ13" s="96">
        <f t="shared" si="33"/>
        <v>0</v>
      </c>
      <c r="CK13" s="96">
        <f t="shared" si="34"/>
        <v>0</v>
      </c>
      <c r="CL13" s="286">
        <f t="shared" si="35"/>
        <v>0</v>
      </c>
      <c r="CM13" s="305" t="s">
        <v>293</v>
      </c>
      <c r="CN13" s="315">
        <v>0.05</v>
      </c>
      <c r="CO13" s="306"/>
      <c r="CP13" s="307" t="str">
        <f>IF($CO13&lt;&gt;"",$CO13,HLOOKUP($CM13,$AY$6:$BA$132,ROWS(CP$6:CP13),0))</f>
        <v/>
      </c>
      <c r="CQ13" s="784" t="str">
        <f t="shared" si="36"/>
        <v/>
      </c>
      <c r="CR13" s="784" t="str">
        <f t="shared" si="37"/>
        <v/>
      </c>
      <c r="CS13" s="97" t="str">
        <f t="shared" si="38"/>
        <v/>
      </c>
      <c r="CT13" s="97" t="str">
        <f t="shared" si="39"/>
        <v/>
      </c>
      <c r="CU13" s="97" t="str">
        <f t="shared" si="40"/>
        <v/>
      </c>
      <c r="CV13" s="97" t="str">
        <f t="shared" si="41"/>
        <v/>
      </c>
      <c r="CW13" s="97" t="str">
        <f t="shared" si="42"/>
        <v/>
      </c>
      <c r="CX13" s="98" t="str">
        <f t="shared" si="43"/>
        <v/>
      </c>
      <c r="CY13" s="392"/>
    </row>
    <row r="14" spans="1:104" x14ac:dyDescent="0.25">
      <c r="A14" s="81" t="s">
        <v>27</v>
      </c>
      <c r="B14" s="82" t="s">
        <v>39</v>
      </c>
      <c r="C14" s="83" t="s">
        <v>299</v>
      </c>
      <c r="D14" s="84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654">
        <f>'2022-23 Input'!E14</f>
        <v>0</v>
      </c>
      <c r="N14" s="1065">
        <v>0</v>
      </c>
      <c r="O14" s="560">
        <f t="shared" si="0"/>
        <v>0</v>
      </c>
      <c r="P14" s="561">
        <f t="shared" si="1"/>
        <v>0</v>
      </c>
      <c r="Q14" s="561">
        <f t="shared" si="2"/>
        <v>0</v>
      </c>
      <c r="R14" s="561">
        <f t="shared" si="3"/>
        <v>0</v>
      </c>
      <c r="S14" s="561">
        <f t="shared" si="4"/>
        <v>0</v>
      </c>
      <c r="T14" s="561">
        <f t="shared" si="5"/>
        <v>0</v>
      </c>
      <c r="U14" s="561">
        <f t="shared" si="6"/>
        <v>0</v>
      </c>
      <c r="V14" s="561">
        <f t="shared" si="7"/>
        <v>0</v>
      </c>
      <c r="W14" s="675">
        <f t="shared" si="8"/>
        <v>0</v>
      </c>
      <c r="X14" s="675">
        <f t="shared" si="9"/>
        <v>0</v>
      </c>
      <c r="Y14" s="675">
        <f t="shared" si="10"/>
        <v>0</v>
      </c>
      <c r="Z14" s="86">
        <v>0</v>
      </c>
      <c r="AA14" s="87">
        <v>0</v>
      </c>
      <c r="AB14" s="87">
        <v>0</v>
      </c>
      <c r="AC14" s="87">
        <v>0</v>
      </c>
      <c r="AD14" s="87">
        <v>0</v>
      </c>
      <c r="AE14" s="87">
        <v>0</v>
      </c>
      <c r="AF14" s="87">
        <v>0</v>
      </c>
      <c r="AG14" s="87">
        <v>0</v>
      </c>
      <c r="AH14" s="87">
        <v>0</v>
      </c>
      <c r="AI14" s="1094">
        <f>'2022-23 Input'!L14</f>
        <v>0</v>
      </c>
      <c r="AJ14" s="665">
        <v>0</v>
      </c>
      <c r="AK14" s="88">
        <f t="shared" si="11"/>
        <v>0</v>
      </c>
      <c r="AL14" s="89">
        <f t="shared" si="12"/>
        <v>0</v>
      </c>
      <c r="AM14" s="90">
        <f t="shared" si="13"/>
        <v>0</v>
      </c>
      <c r="AN14" s="91" t="str">
        <f t="shared" si="14"/>
        <v/>
      </c>
      <c r="AO14" s="92" t="str">
        <f t="shared" si="15"/>
        <v/>
      </c>
      <c r="AP14" s="92" t="str">
        <f t="shared" si="16"/>
        <v/>
      </c>
      <c r="AQ14" s="92" t="str">
        <f t="shared" si="17"/>
        <v/>
      </c>
      <c r="AR14" s="92" t="str">
        <f t="shared" si="18"/>
        <v/>
      </c>
      <c r="AS14" s="92" t="str">
        <f t="shared" si="19"/>
        <v/>
      </c>
      <c r="AT14" s="92" t="str">
        <f t="shared" si="20"/>
        <v/>
      </c>
      <c r="AU14" s="92" t="str">
        <f t="shared" si="21"/>
        <v/>
      </c>
      <c r="AV14" s="92" t="str">
        <f t="shared" si="22"/>
        <v/>
      </c>
      <c r="AW14" s="92" t="str">
        <f t="shared" si="22"/>
        <v/>
      </c>
      <c r="AX14" s="92" t="str">
        <f t="shared" si="22"/>
        <v/>
      </c>
      <c r="AY14" s="93" t="str">
        <f t="shared" si="23"/>
        <v/>
      </c>
      <c r="AZ14" s="94" t="str">
        <f t="shared" si="24"/>
        <v/>
      </c>
      <c r="BA14" s="95" t="str">
        <f t="shared" si="25"/>
        <v/>
      </c>
      <c r="BB14" s="248" t="s">
        <v>422</v>
      </c>
      <c r="BC14" s="229" t="s">
        <v>433</v>
      </c>
      <c r="BD14" s="249">
        <v>0</v>
      </c>
      <c r="BE14" s="267">
        <f t="shared" si="26"/>
        <v>0</v>
      </c>
      <c r="BF14" s="268">
        <f t="shared" si="27"/>
        <v>0</v>
      </c>
      <c r="BG14" s="268">
        <f t="shared" si="27"/>
        <v>0</v>
      </c>
      <c r="BH14" s="268">
        <f t="shared" si="27"/>
        <v>1</v>
      </c>
      <c r="BI14" s="268">
        <f t="shared" si="27"/>
        <v>2</v>
      </c>
      <c r="BJ14" s="268">
        <f t="shared" si="27"/>
        <v>3</v>
      </c>
      <c r="BK14" s="268">
        <f t="shared" si="27"/>
        <v>4</v>
      </c>
      <c r="BL14" s="269">
        <f t="shared" si="27"/>
        <v>5</v>
      </c>
      <c r="BM14" s="256">
        <f>IF($BC14=Lookup!$A$2,$BD14*ROUNDUP(BE14/10,0)+1,
IF($BC14=Lookup!$A$3,($BD14+1)^BD14,
IF($BC14=Lookup!$A$4,BE14*$BD14+1,"Error")))</f>
        <v>1</v>
      </c>
      <c r="BN14" s="229">
        <f>IF($BC14=Lookup!$A$2,$BD14*ROUNDUP(BF14/10,0)+1,
IF($BC14=Lookup!$A$3,($BD14+1)^BE14,
IF($BC14=Lookup!$A$4,BF14*$BD14+1,"Error")))</f>
        <v>1</v>
      </c>
      <c r="BO14" s="229">
        <f>IF($BC14=Lookup!$A$2,$BD14*ROUNDUP(BG14/10,0)+1,
IF($BC14=Lookup!$A$3,($BD14+1)^BF14,
IF($BC14=Lookup!$A$4,BG14*$BD14+1,"Error")))</f>
        <v>1</v>
      </c>
      <c r="BP14" s="229">
        <f>IF($BC14=Lookup!$A$2,$BD14*ROUNDUP(BH14/10,0)+1,
IF($BC14=Lookup!$A$3,($BD14+1)^BG14,
IF($BC14=Lookup!$A$4,BH14*$BD14+1,"Error")))</f>
        <v>1</v>
      </c>
      <c r="BQ14" s="229">
        <f>IF($BC14=Lookup!$A$2,$BD14*ROUNDUP(BI14/10,0)+1,
IF($BC14=Lookup!$A$3,($BD14+1)^BH14,
IF($BC14=Lookup!$A$4,BI14*$BD14+1,"Error")))</f>
        <v>1</v>
      </c>
      <c r="BR14" s="229">
        <f>IF($BC14=Lookup!$A$2,$BD14*ROUNDUP(BJ14/10,0)+1,
IF($BC14=Lookup!$A$3,($BD14+1)^BI14,
IF($BC14=Lookup!$A$4,BJ14*$BD14+1,"Error")))</f>
        <v>1</v>
      </c>
      <c r="BS14" s="229">
        <f>IF($BC14=Lookup!$A$2,$BD14*ROUNDUP(BK14/10,0)+1,
IF($BC14=Lookup!$A$3,($BD14+1)^BJ14,
IF($BC14=Lookup!$A$4,BK14*$BD14+1,"Error")))</f>
        <v>1</v>
      </c>
      <c r="BT14" s="249">
        <f>IF($BC14=Lookup!$A$2,$BD14*ROUNDUP(BL14/10,0)+1,
IF($BC14=Lookup!$A$3,($BD14+1)^BK14,
IF($BC14=Lookup!$A$4,BL14*$BD14+1,"Error")))</f>
        <v>1</v>
      </c>
      <c r="BU14" s="320"/>
      <c r="BV14" s="321"/>
      <c r="BW14" s="321"/>
      <c r="BX14" s="321"/>
      <c r="BY14" s="321"/>
      <c r="BZ14" s="321"/>
      <c r="CA14" s="321"/>
      <c r="CB14" s="277"/>
      <c r="CC14" s="382" t="s">
        <v>292</v>
      </c>
      <c r="CD14" s="383">
        <f>HLOOKUP($CC14,$AK$6:$AM$132,ROWS(CD$6:CD14),0)</f>
        <v>0</v>
      </c>
      <c r="CE14" s="234">
        <f t="shared" si="28"/>
        <v>0</v>
      </c>
      <c r="CF14" s="96">
        <f t="shared" si="29"/>
        <v>0</v>
      </c>
      <c r="CG14" s="96">
        <f t="shared" si="30"/>
        <v>0</v>
      </c>
      <c r="CH14" s="96">
        <f t="shared" si="31"/>
        <v>0</v>
      </c>
      <c r="CI14" s="96">
        <f t="shared" si="32"/>
        <v>0</v>
      </c>
      <c r="CJ14" s="96">
        <f t="shared" si="33"/>
        <v>0</v>
      </c>
      <c r="CK14" s="96">
        <f t="shared" si="34"/>
        <v>0</v>
      </c>
      <c r="CL14" s="286">
        <f t="shared" si="35"/>
        <v>0</v>
      </c>
      <c r="CM14" s="305" t="s">
        <v>293</v>
      </c>
      <c r="CN14" s="315">
        <v>0.05</v>
      </c>
      <c r="CO14" s="306"/>
      <c r="CP14" s="307" t="str">
        <f>IF($CO14&lt;&gt;"",$CO14,HLOOKUP($CM14,$AY$6:$BA$132,ROWS(CP$6:CP14),0))</f>
        <v/>
      </c>
      <c r="CQ14" s="784" t="str">
        <f t="shared" si="36"/>
        <v/>
      </c>
      <c r="CR14" s="784" t="str">
        <f t="shared" si="37"/>
        <v/>
      </c>
      <c r="CS14" s="97" t="str">
        <f t="shared" si="38"/>
        <v/>
      </c>
      <c r="CT14" s="97" t="str">
        <f t="shared" si="39"/>
        <v/>
      </c>
      <c r="CU14" s="97" t="str">
        <f t="shared" si="40"/>
        <v/>
      </c>
      <c r="CV14" s="97" t="str">
        <f t="shared" si="41"/>
        <v/>
      </c>
      <c r="CW14" s="97" t="str">
        <f t="shared" si="42"/>
        <v/>
      </c>
      <c r="CX14" s="98" t="str">
        <f t="shared" si="43"/>
        <v/>
      </c>
      <c r="CY14" s="392"/>
    </row>
    <row r="15" spans="1:104" x14ac:dyDescent="0.25">
      <c r="A15" s="81" t="s">
        <v>27</v>
      </c>
      <c r="B15" s="82" t="s">
        <v>41</v>
      </c>
      <c r="C15" s="83" t="s">
        <v>42</v>
      </c>
      <c r="D15" s="84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  <c r="M15" s="654">
        <f>'2022-23 Input'!E15</f>
        <v>0</v>
      </c>
      <c r="N15" s="1065">
        <v>0</v>
      </c>
      <c r="O15" s="560">
        <f t="shared" si="0"/>
        <v>0</v>
      </c>
      <c r="P15" s="561">
        <f t="shared" si="1"/>
        <v>0</v>
      </c>
      <c r="Q15" s="561">
        <f t="shared" si="2"/>
        <v>0</v>
      </c>
      <c r="R15" s="561">
        <f t="shared" si="3"/>
        <v>0</v>
      </c>
      <c r="S15" s="561">
        <f t="shared" si="4"/>
        <v>0</v>
      </c>
      <c r="T15" s="561">
        <f t="shared" si="5"/>
        <v>0</v>
      </c>
      <c r="U15" s="561">
        <f t="shared" si="6"/>
        <v>0</v>
      </c>
      <c r="V15" s="561">
        <f t="shared" si="7"/>
        <v>0</v>
      </c>
      <c r="W15" s="675">
        <f t="shared" si="8"/>
        <v>0</v>
      </c>
      <c r="X15" s="675">
        <f t="shared" si="9"/>
        <v>0</v>
      </c>
      <c r="Y15" s="675">
        <f t="shared" si="10"/>
        <v>0</v>
      </c>
      <c r="Z15" s="86">
        <v>0</v>
      </c>
      <c r="AA15" s="87">
        <v>0</v>
      </c>
      <c r="AB15" s="87">
        <v>0</v>
      </c>
      <c r="AC15" s="87">
        <v>0</v>
      </c>
      <c r="AD15" s="87">
        <v>0</v>
      </c>
      <c r="AE15" s="87">
        <v>0</v>
      </c>
      <c r="AF15" s="87">
        <v>0</v>
      </c>
      <c r="AG15" s="87">
        <v>0</v>
      </c>
      <c r="AH15" s="87">
        <v>0</v>
      </c>
      <c r="AI15" s="1094">
        <f>'2022-23 Input'!L15</f>
        <v>0</v>
      </c>
      <c r="AJ15" s="665">
        <v>0</v>
      </c>
      <c r="AK15" s="88">
        <f t="shared" si="11"/>
        <v>0</v>
      </c>
      <c r="AL15" s="89">
        <f t="shared" si="12"/>
        <v>0</v>
      </c>
      <c r="AM15" s="90">
        <f t="shared" si="13"/>
        <v>0</v>
      </c>
      <c r="AN15" s="91" t="str">
        <f t="shared" si="14"/>
        <v/>
      </c>
      <c r="AO15" s="92" t="str">
        <f t="shared" si="15"/>
        <v/>
      </c>
      <c r="AP15" s="92" t="str">
        <f t="shared" si="16"/>
        <v/>
      </c>
      <c r="AQ15" s="92" t="str">
        <f t="shared" si="17"/>
        <v/>
      </c>
      <c r="AR15" s="92" t="str">
        <f t="shared" si="18"/>
        <v/>
      </c>
      <c r="AS15" s="92" t="str">
        <f t="shared" si="19"/>
        <v/>
      </c>
      <c r="AT15" s="92" t="str">
        <f t="shared" si="20"/>
        <v/>
      </c>
      <c r="AU15" s="92" t="str">
        <f t="shared" si="21"/>
        <v/>
      </c>
      <c r="AV15" s="92" t="str">
        <f t="shared" si="22"/>
        <v/>
      </c>
      <c r="AW15" s="92" t="str">
        <f t="shared" si="22"/>
        <v/>
      </c>
      <c r="AX15" s="92" t="str">
        <f t="shared" si="22"/>
        <v/>
      </c>
      <c r="AY15" s="93" t="str">
        <f t="shared" si="23"/>
        <v/>
      </c>
      <c r="AZ15" s="94" t="str">
        <f t="shared" si="24"/>
        <v/>
      </c>
      <c r="BA15" s="95" t="str">
        <f t="shared" si="25"/>
        <v/>
      </c>
      <c r="BB15" s="248" t="s">
        <v>422</v>
      </c>
      <c r="BC15" s="229" t="s">
        <v>433</v>
      </c>
      <c r="BD15" s="249">
        <v>0</v>
      </c>
      <c r="BE15" s="267">
        <f t="shared" si="26"/>
        <v>0</v>
      </c>
      <c r="BF15" s="268">
        <f t="shared" si="27"/>
        <v>0</v>
      </c>
      <c r="BG15" s="268">
        <f t="shared" si="27"/>
        <v>0</v>
      </c>
      <c r="BH15" s="268">
        <f t="shared" si="27"/>
        <v>1</v>
      </c>
      <c r="BI15" s="268">
        <f t="shared" si="27"/>
        <v>2</v>
      </c>
      <c r="BJ15" s="268">
        <f t="shared" si="27"/>
        <v>3</v>
      </c>
      <c r="BK15" s="268">
        <f t="shared" si="27"/>
        <v>4</v>
      </c>
      <c r="BL15" s="269">
        <f t="shared" si="27"/>
        <v>5</v>
      </c>
      <c r="BM15" s="256">
        <f>IF($BC15=Lookup!$A$2,$BD15*ROUNDUP(BE15/10,0)+1,
IF($BC15=Lookup!$A$3,($BD15+1)^BD15,
IF($BC15=Lookup!$A$4,BE15*$BD15+1,"Error")))</f>
        <v>1</v>
      </c>
      <c r="BN15" s="229">
        <f>IF($BC15=Lookup!$A$2,$BD15*ROUNDUP(BF15/10,0)+1,
IF($BC15=Lookup!$A$3,($BD15+1)^BE15,
IF($BC15=Lookup!$A$4,BF15*$BD15+1,"Error")))</f>
        <v>1</v>
      </c>
      <c r="BO15" s="229">
        <f>IF($BC15=Lookup!$A$2,$BD15*ROUNDUP(BG15/10,0)+1,
IF($BC15=Lookup!$A$3,($BD15+1)^BF15,
IF($BC15=Lookup!$A$4,BG15*$BD15+1,"Error")))</f>
        <v>1</v>
      </c>
      <c r="BP15" s="229">
        <f>IF($BC15=Lookup!$A$2,$BD15*ROUNDUP(BH15/10,0)+1,
IF($BC15=Lookup!$A$3,($BD15+1)^BG15,
IF($BC15=Lookup!$A$4,BH15*$BD15+1,"Error")))</f>
        <v>1</v>
      </c>
      <c r="BQ15" s="229">
        <f>IF($BC15=Lookup!$A$2,$BD15*ROUNDUP(BI15/10,0)+1,
IF($BC15=Lookup!$A$3,($BD15+1)^BH15,
IF($BC15=Lookup!$A$4,BI15*$BD15+1,"Error")))</f>
        <v>1</v>
      </c>
      <c r="BR15" s="229">
        <f>IF($BC15=Lookup!$A$2,$BD15*ROUNDUP(BJ15/10,0)+1,
IF($BC15=Lookup!$A$3,($BD15+1)^BI15,
IF($BC15=Lookup!$A$4,BJ15*$BD15+1,"Error")))</f>
        <v>1</v>
      </c>
      <c r="BS15" s="229">
        <f>IF($BC15=Lookup!$A$2,$BD15*ROUNDUP(BK15/10,0)+1,
IF($BC15=Lookup!$A$3,($BD15+1)^BJ15,
IF($BC15=Lookup!$A$4,BK15*$BD15+1,"Error")))</f>
        <v>1</v>
      </c>
      <c r="BT15" s="249">
        <f>IF($BC15=Lookup!$A$2,$BD15*ROUNDUP(BL15/10,0)+1,
IF($BC15=Lookup!$A$3,($BD15+1)^BK15,
IF($BC15=Lookup!$A$4,BL15*$BD15+1,"Error")))</f>
        <v>1</v>
      </c>
      <c r="BU15" s="320"/>
      <c r="BV15" s="321"/>
      <c r="BW15" s="321"/>
      <c r="BX15" s="321"/>
      <c r="BY15" s="321"/>
      <c r="BZ15" s="321"/>
      <c r="CA15" s="321"/>
      <c r="CB15" s="277"/>
      <c r="CC15" s="382" t="s">
        <v>292</v>
      </c>
      <c r="CD15" s="383">
        <f>HLOOKUP($CC15,$AK$6:$AM$132,ROWS(CD$6:CD15),0)</f>
        <v>0</v>
      </c>
      <c r="CE15" s="234">
        <f t="shared" si="28"/>
        <v>0</v>
      </c>
      <c r="CF15" s="96">
        <f t="shared" si="29"/>
        <v>0</v>
      </c>
      <c r="CG15" s="96">
        <f t="shared" si="30"/>
        <v>0</v>
      </c>
      <c r="CH15" s="96">
        <f t="shared" si="31"/>
        <v>0</v>
      </c>
      <c r="CI15" s="96">
        <f t="shared" si="32"/>
        <v>0</v>
      </c>
      <c r="CJ15" s="96">
        <f t="shared" si="33"/>
        <v>0</v>
      </c>
      <c r="CK15" s="96">
        <f t="shared" si="34"/>
        <v>0</v>
      </c>
      <c r="CL15" s="286">
        <f t="shared" si="35"/>
        <v>0</v>
      </c>
      <c r="CM15" s="305" t="s">
        <v>293</v>
      </c>
      <c r="CN15" s="315">
        <v>0.05</v>
      </c>
      <c r="CO15" s="306"/>
      <c r="CP15" s="307" t="str">
        <f>IF($CO15&lt;&gt;"",$CO15,HLOOKUP($CM15,$AY$6:$BA$132,ROWS(CP$6:CP15),0))</f>
        <v/>
      </c>
      <c r="CQ15" s="784" t="str">
        <f t="shared" si="36"/>
        <v/>
      </c>
      <c r="CR15" s="784" t="str">
        <f t="shared" si="37"/>
        <v/>
      </c>
      <c r="CS15" s="97" t="str">
        <f t="shared" si="38"/>
        <v/>
      </c>
      <c r="CT15" s="97" t="str">
        <f t="shared" si="39"/>
        <v/>
      </c>
      <c r="CU15" s="97" t="str">
        <f t="shared" si="40"/>
        <v/>
      </c>
      <c r="CV15" s="97" t="str">
        <f t="shared" si="41"/>
        <v/>
      </c>
      <c r="CW15" s="97" t="str">
        <f t="shared" si="42"/>
        <v/>
      </c>
      <c r="CX15" s="98" t="str">
        <f t="shared" si="43"/>
        <v/>
      </c>
      <c r="CY15" s="392"/>
    </row>
    <row r="16" spans="1:104" x14ac:dyDescent="0.25">
      <c r="A16" s="81" t="s">
        <v>27</v>
      </c>
      <c r="B16" s="82" t="s">
        <v>43</v>
      </c>
      <c r="C16" s="83" t="s">
        <v>300</v>
      </c>
      <c r="D16" s="84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  <c r="M16" s="654">
        <f>'2022-23 Input'!E16</f>
        <v>0</v>
      </c>
      <c r="N16" s="1065">
        <v>0</v>
      </c>
      <c r="O16" s="560">
        <f t="shared" si="0"/>
        <v>0</v>
      </c>
      <c r="P16" s="561">
        <f t="shared" si="1"/>
        <v>0</v>
      </c>
      <c r="Q16" s="561">
        <f t="shared" si="2"/>
        <v>0</v>
      </c>
      <c r="R16" s="561">
        <f t="shared" si="3"/>
        <v>0</v>
      </c>
      <c r="S16" s="561">
        <f t="shared" si="4"/>
        <v>0</v>
      </c>
      <c r="T16" s="561">
        <f t="shared" si="5"/>
        <v>0</v>
      </c>
      <c r="U16" s="561">
        <f t="shared" si="6"/>
        <v>0</v>
      </c>
      <c r="V16" s="561">
        <f t="shared" si="7"/>
        <v>0</v>
      </c>
      <c r="W16" s="675">
        <f t="shared" si="8"/>
        <v>0</v>
      </c>
      <c r="X16" s="675">
        <f t="shared" si="9"/>
        <v>0</v>
      </c>
      <c r="Y16" s="675">
        <f t="shared" si="10"/>
        <v>0</v>
      </c>
      <c r="Z16" s="86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87">
        <v>0</v>
      </c>
      <c r="AI16" s="1094">
        <f>'2022-23 Input'!L16</f>
        <v>0</v>
      </c>
      <c r="AJ16" s="665">
        <v>0</v>
      </c>
      <c r="AK16" s="88">
        <f t="shared" si="11"/>
        <v>0</v>
      </c>
      <c r="AL16" s="89">
        <f t="shared" si="12"/>
        <v>0</v>
      </c>
      <c r="AM16" s="90">
        <f t="shared" si="13"/>
        <v>0</v>
      </c>
      <c r="AN16" s="91" t="str">
        <f t="shared" si="14"/>
        <v/>
      </c>
      <c r="AO16" s="92" t="str">
        <f t="shared" si="15"/>
        <v/>
      </c>
      <c r="AP16" s="92" t="str">
        <f t="shared" si="16"/>
        <v/>
      </c>
      <c r="AQ16" s="92" t="str">
        <f t="shared" si="17"/>
        <v/>
      </c>
      <c r="AR16" s="92" t="str">
        <f t="shared" si="18"/>
        <v/>
      </c>
      <c r="AS16" s="92" t="str">
        <f t="shared" si="19"/>
        <v/>
      </c>
      <c r="AT16" s="92" t="str">
        <f t="shared" si="20"/>
        <v/>
      </c>
      <c r="AU16" s="92" t="str">
        <f t="shared" si="21"/>
        <v/>
      </c>
      <c r="AV16" s="92" t="str">
        <f t="shared" si="22"/>
        <v/>
      </c>
      <c r="AW16" s="92" t="str">
        <f t="shared" si="22"/>
        <v/>
      </c>
      <c r="AX16" s="92" t="str">
        <f t="shared" si="22"/>
        <v/>
      </c>
      <c r="AY16" s="93" t="str">
        <f t="shared" si="23"/>
        <v/>
      </c>
      <c r="AZ16" s="94" t="str">
        <f t="shared" si="24"/>
        <v/>
      </c>
      <c r="BA16" s="95" t="str">
        <f t="shared" si="25"/>
        <v/>
      </c>
      <c r="BB16" s="248" t="s">
        <v>422</v>
      </c>
      <c r="BC16" s="229" t="s">
        <v>433</v>
      </c>
      <c r="BD16" s="249">
        <v>0</v>
      </c>
      <c r="BE16" s="267">
        <f t="shared" si="26"/>
        <v>0</v>
      </c>
      <c r="BF16" s="268">
        <f t="shared" si="27"/>
        <v>0</v>
      </c>
      <c r="BG16" s="268">
        <f t="shared" si="27"/>
        <v>0</v>
      </c>
      <c r="BH16" s="268">
        <f t="shared" si="27"/>
        <v>1</v>
      </c>
      <c r="BI16" s="268">
        <f t="shared" si="27"/>
        <v>2</v>
      </c>
      <c r="BJ16" s="268">
        <f t="shared" si="27"/>
        <v>3</v>
      </c>
      <c r="BK16" s="268">
        <f t="shared" si="27"/>
        <v>4</v>
      </c>
      <c r="BL16" s="269">
        <f t="shared" si="27"/>
        <v>5</v>
      </c>
      <c r="BM16" s="256">
        <f>IF($BC16=Lookup!$A$2,$BD16*ROUNDUP(BE16/10,0)+1,
IF($BC16=Lookup!$A$3,($BD16+1)^BD16,
IF($BC16=Lookup!$A$4,BE16*$BD16+1,"Error")))</f>
        <v>1</v>
      </c>
      <c r="BN16" s="229">
        <f>IF($BC16=Lookup!$A$2,$BD16*ROUNDUP(BF16/10,0)+1,
IF($BC16=Lookup!$A$3,($BD16+1)^BE16,
IF($BC16=Lookup!$A$4,BF16*$BD16+1,"Error")))</f>
        <v>1</v>
      </c>
      <c r="BO16" s="229">
        <f>IF($BC16=Lookup!$A$2,$BD16*ROUNDUP(BG16/10,0)+1,
IF($BC16=Lookup!$A$3,($BD16+1)^BF16,
IF($BC16=Lookup!$A$4,BG16*$BD16+1,"Error")))</f>
        <v>1</v>
      </c>
      <c r="BP16" s="229">
        <f>IF($BC16=Lookup!$A$2,$BD16*ROUNDUP(BH16/10,0)+1,
IF($BC16=Lookup!$A$3,($BD16+1)^BG16,
IF($BC16=Lookup!$A$4,BH16*$BD16+1,"Error")))</f>
        <v>1</v>
      </c>
      <c r="BQ16" s="229">
        <f>IF($BC16=Lookup!$A$2,$BD16*ROUNDUP(BI16/10,0)+1,
IF($BC16=Lookup!$A$3,($BD16+1)^BH16,
IF($BC16=Lookup!$A$4,BI16*$BD16+1,"Error")))</f>
        <v>1</v>
      </c>
      <c r="BR16" s="229">
        <f>IF($BC16=Lookup!$A$2,$BD16*ROUNDUP(BJ16/10,0)+1,
IF($BC16=Lookup!$A$3,($BD16+1)^BI16,
IF($BC16=Lookup!$A$4,BJ16*$BD16+1,"Error")))</f>
        <v>1</v>
      </c>
      <c r="BS16" s="229">
        <f>IF($BC16=Lookup!$A$2,$BD16*ROUNDUP(BK16/10,0)+1,
IF($BC16=Lookup!$A$3,($BD16+1)^BJ16,
IF($BC16=Lookup!$A$4,BK16*$BD16+1,"Error")))</f>
        <v>1</v>
      </c>
      <c r="BT16" s="249">
        <f>IF($BC16=Lookup!$A$2,$BD16*ROUNDUP(BL16/10,0)+1,
IF($BC16=Lookup!$A$3,($BD16+1)^BK16,
IF($BC16=Lookup!$A$4,BL16*$BD16+1,"Error")))</f>
        <v>1</v>
      </c>
      <c r="BU16" s="320"/>
      <c r="BV16" s="321"/>
      <c r="BW16" s="321"/>
      <c r="BX16" s="321"/>
      <c r="BY16" s="321"/>
      <c r="BZ16" s="321"/>
      <c r="CA16" s="321"/>
      <c r="CB16" s="277"/>
      <c r="CC16" s="382" t="s">
        <v>292</v>
      </c>
      <c r="CD16" s="383">
        <f>HLOOKUP($CC16,$AK$6:$AM$132,ROWS(CD$6:CD16),0)</f>
        <v>0</v>
      </c>
      <c r="CE16" s="234">
        <f t="shared" si="28"/>
        <v>0</v>
      </c>
      <c r="CF16" s="96">
        <f t="shared" si="29"/>
        <v>0</v>
      </c>
      <c r="CG16" s="96">
        <f t="shared" si="30"/>
        <v>0</v>
      </c>
      <c r="CH16" s="96">
        <f t="shared" si="31"/>
        <v>0</v>
      </c>
      <c r="CI16" s="96">
        <f t="shared" si="32"/>
        <v>0</v>
      </c>
      <c r="CJ16" s="96">
        <f t="shared" si="33"/>
        <v>0</v>
      </c>
      <c r="CK16" s="96">
        <f t="shared" si="34"/>
        <v>0</v>
      </c>
      <c r="CL16" s="286">
        <f t="shared" si="35"/>
        <v>0</v>
      </c>
      <c r="CM16" s="305" t="s">
        <v>293</v>
      </c>
      <c r="CN16" s="315">
        <v>0.05</v>
      </c>
      <c r="CO16" s="306"/>
      <c r="CP16" s="307" t="str">
        <f>IF($CO16&lt;&gt;"",$CO16,HLOOKUP($CM16,$AY$6:$BA$132,ROWS(CP$6:CP16),0))</f>
        <v/>
      </c>
      <c r="CQ16" s="784" t="str">
        <f t="shared" si="36"/>
        <v/>
      </c>
      <c r="CR16" s="784" t="str">
        <f t="shared" si="37"/>
        <v/>
      </c>
      <c r="CS16" s="97" t="str">
        <f t="shared" si="38"/>
        <v/>
      </c>
      <c r="CT16" s="97" t="str">
        <f t="shared" si="39"/>
        <v/>
      </c>
      <c r="CU16" s="97" t="str">
        <f t="shared" si="40"/>
        <v/>
      </c>
      <c r="CV16" s="97" t="str">
        <f t="shared" si="41"/>
        <v/>
      </c>
      <c r="CW16" s="97" t="str">
        <f t="shared" si="42"/>
        <v/>
      </c>
      <c r="CX16" s="98" t="str">
        <f t="shared" si="43"/>
        <v/>
      </c>
      <c r="CY16" s="392"/>
    </row>
    <row r="17" spans="1:103" x14ac:dyDescent="0.25">
      <c r="A17" s="81" t="s">
        <v>27</v>
      </c>
      <c r="B17" s="82" t="s">
        <v>45</v>
      </c>
      <c r="C17" s="83" t="s">
        <v>46</v>
      </c>
      <c r="D17" s="84">
        <v>0</v>
      </c>
      <c r="E17" s="85">
        <v>0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  <c r="M17" s="654">
        <f>'2022-23 Input'!E17</f>
        <v>0</v>
      </c>
      <c r="N17" s="1065">
        <v>0</v>
      </c>
      <c r="O17" s="560">
        <f t="shared" si="0"/>
        <v>0</v>
      </c>
      <c r="P17" s="561">
        <f t="shared" si="1"/>
        <v>0</v>
      </c>
      <c r="Q17" s="561">
        <f t="shared" si="2"/>
        <v>0</v>
      </c>
      <c r="R17" s="561">
        <f t="shared" si="3"/>
        <v>0</v>
      </c>
      <c r="S17" s="561">
        <f t="shared" si="4"/>
        <v>0</v>
      </c>
      <c r="T17" s="561">
        <f t="shared" si="5"/>
        <v>0</v>
      </c>
      <c r="U17" s="561">
        <f t="shared" si="6"/>
        <v>0</v>
      </c>
      <c r="V17" s="561">
        <f t="shared" si="7"/>
        <v>0</v>
      </c>
      <c r="W17" s="675">
        <f t="shared" si="8"/>
        <v>0</v>
      </c>
      <c r="X17" s="675">
        <f t="shared" si="9"/>
        <v>0</v>
      </c>
      <c r="Y17" s="675">
        <f t="shared" si="10"/>
        <v>0</v>
      </c>
      <c r="Z17" s="86">
        <v>0</v>
      </c>
      <c r="AA17" s="87">
        <v>0</v>
      </c>
      <c r="AB17" s="87">
        <v>0</v>
      </c>
      <c r="AC17" s="87">
        <v>0</v>
      </c>
      <c r="AD17" s="87">
        <v>0</v>
      </c>
      <c r="AE17" s="87">
        <v>0</v>
      </c>
      <c r="AF17" s="87">
        <v>0</v>
      </c>
      <c r="AG17" s="87">
        <v>0</v>
      </c>
      <c r="AH17" s="87">
        <v>0</v>
      </c>
      <c r="AI17" s="1094">
        <f>'2022-23 Input'!L17</f>
        <v>0</v>
      </c>
      <c r="AJ17" s="665">
        <v>0</v>
      </c>
      <c r="AK17" s="88">
        <f t="shared" si="11"/>
        <v>0</v>
      </c>
      <c r="AL17" s="89">
        <f t="shared" si="12"/>
        <v>0</v>
      </c>
      <c r="AM17" s="90">
        <f t="shared" si="13"/>
        <v>0</v>
      </c>
      <c r="AN17" s="91" t="str">
        <f t="shared" si="14"/>
        <v/>
      </c>
      <c r="AO17" s="92" t="str">
        <f t="shared" si="15"/>
        <v/>
      </c>
      <c r="AP17" s="92" t="str">
        <f t="shared" si="16"/>
        <v/>
      </c>
      <c r="AQ17" s="92" t="str">
        <f t="shared" si="17"/>
        <v/>
      </c>
      <c r="AR17" s="92" t="str">
        <f t="shared" si="18"/>
        <v/>
      </c>
      <c r="AS17" s="92" t="str">
        <f t="shared" si="19"/>
        <v/>
      </c>
      <c r="AT17" s="92" t="str">
        <f t="shared" si="20"/>
        <v/>
      </c>
      <c r="AU17" s="92" t="str">
        <f t="shared" si="21"/>
        <v/>
      </c>
      <c r="AV17" s="92" t="str">
        <f t="shared" si="22"/>
        <v/>
      </c>
      <c r="AW17" s="92" t="str">
        <f t="shared" si="22"/>
        <v/>
      </c>
      <c r="AX17" s="92" t="str">
        <f t="shared" si="22"/>
        <v/>
      </c>
      <c r="AY17" s="93" t="str">
        <f t="shared" si="23"/>
        <v/>
      </c>
      <c r="AZ17" s="94" t="str">
        <f t="shared" si="24"/>
        <v/>
      </c>
      <c r="BA17" s="95" t="str">
        <f t="shared" si="25"/>
        <v/>
      </c>
      <c r="BB17" s="248" t="s">
        <v>422</v>
      </c>
      <c r="BC17" s="229" t="s">
        <v>433</v>
      </c>
      <c r="BD17" s="249">
        <v>0</v>
      </c>
      <c r="BE17" s="267">
        <f t="shared" si="26"/>
        <v>0</v>
      </c>
      <c r="BF17" s="268">
        <f t="shared" ref="BF17:BL26" si="44">IF(BF$6=$BB17,1,
IF(BE17&lt;&gt;0,BE17+1,0
))</f>
        <v>0</v>
      </c>
      <c r="BG17" s="268">
        <f t="shared" si="44"/>
        <v>0</v>
      </c>
      <c r="BH17" s="268">
        <f t="shared" si="44"/>
        <v>1</v>
      </c>
      <c r="BI17" s="268">
        <f t="shared" si="44"/>
        <v>2</v>
      </c>
      <c r="BJ17" s="268">
        <f t="shared" si="44"/>
        <v>3</v>
      </c>
      <c r="BK17" s="268">
        <f t="shared" si="44"/>
        <v>4</v>
      </c>
      <c r="BL17" s="269">
        <f t="shared" si="44"/>
        <v>5</v>
      </c>
      <c r="BM17" s="256">
        <f>IF($BC17=Lookup!$A$2,$BD17*ROUNDUP(BE17/10,0)+1,
IF($BC17=Lookup!$A$3,($BD17+1)^BD17,
IF($BC17=Lookup!$A$4,BE17*$BD17+1,"Error")))</f>
        <v>1</v>
      </c>
      <c r="BN17" s="229">
        <f>IF($BC17=Lookup!$A$2,$BD17*ROUNDUP(BF17/10,0)+1,
IF($BC17=Lookup!$A$3,($BD17+1)^BE17,
IF($BC17=Lookup!$A$4,BF17*$BD17+1,"Error")))</f>
        <v>1</v>
      </c>
      <c r="BO17" s="229">
        <f>IF($BC17=Lookup!$A$2,$BD17*ROUNDUP(BG17/10,0)+1,
IF($BC17=Lookup!$A$3,($BD17+1)^BF17,
IF($BC17=Lookup!$A$4,BG17*$BD17+1,"Error")))</f>
        <v>1</v>
      </c>
      <c r="BP17" s="229">
        <f>IF($BC17=Lookup!$A$2,$BD17*ROUNDUP(BH17/10,0)+1,
IF($BC17=Lookup!$A$3,($BD17+1)^BG17,
IF($BC17=Lookup!$A$4,BH17*$BD17+1,"Error")))</f>
        <v>1</v>
      </c>
      <c r="BQ17" s="229">
        <f>IF($BC17=Lookup!$A$2,$BD17*ROUNDUP(BI17/10,0)+1,
IF($BC17=Lookup!$A$3,($BD17+1)^BH17,
IF($BC17=Lookup!$A$4,BI17*$BD17+1,"Error")))</f>
        <v>1</v>
      </c>
      <c r="BR17" s="229">
        <f>IF($BC17=Lookup!$A$2,$BD17*ROUNDUP(BJ17/10,0)+1,
IF($BC17=Lookup!$A$3,($BD17+1)^BI17,
IF($BC17=Lookup!$A$4,BJ17*$BD17+1,"Error")))</f>
        <v>1</v>
      </c>
      <c r="BS17" s="229">
        <f>IF($BC17=Lookup!$A$2,$BD17*ROUNDUP(BK17/10,0)+1,
IF($BC17=Lookup!$A$3,($BD17+1)^BJ17,
IF($BC17=Lookup!$A$4,BK17*$BD17+1,"Error")))</f>
        <v>1</v>
      </c>
      <c r="BT17" s="249">
        <f>IF($BC17=Lookup!$A$2,$BD17*ROUNDUP(BL17/10,0)+1,
IF($BC17=Lookup!$A$3,($BD17+1)^BK17,
IF($BC17=Lookup!$A$4,BL17*$BD17+1,"Error")))</f>
        <v>1</v>
      </c>
      <c r="BU17" s="320"/>
      <c r="BV17" s="321"/>
      <c r="BW17" s="321"/>
      <c r="BX17" s="321"/>
      <c r="BY17" s="321"/>
      <c r="BZ17" s="321"/>
      <c r="CA17" s="321"/>
      <c r="CB17" s="277"/>
      <c r="CC17" s="382" t="s">
        <v>292</v>
      </c>
      <c r="CD17" s="383">
        <f>HLOOKUP($CC17,$AK$6:$AM$132,ROWS(CD$6:CD17),0)</f>
        <v>0</v>
      </c>
      <c r="CE17" s="234">
        <f t="shared" si="28"/>
        <v>0</v>
      </c>
      <c r="CF17" s="96">
        <f t="shared" si="29"/>
        <v>0</v>
      </c>
      <c r="CG17" s="96">
        <f t="shared" si="30"/>
        <v>0</v>
      </c>
      <c r="CH17" s="96">
        <f t="shared" si="31"/>
        <v>0</v>
      </c>
      <c r="CI17" s="96">
        <f t="shared" si="32"/>
        <v>0</v>
      </c>
      <c r="CJ17" s="96">
        <f t="shared" si="33"/>
        <v>0</v>
      </c>
      <c r="CK17" s="96">
        <f t="shared" si="34"/>
        <v>0</v>
      </c>
      <c r="CL17" s="286">
        <f t="shared" si="35"/>
        <v>0</v>
      </c>
      <c r="CM17" s="305" t="s">
        <v>293</v>
      </c>
      <c r="CN17" s="315">
        <v>0.05</v>
      </c>
      <c r="CO17" s="306"/>
      <c r="CP17" s="307" t="str">
        <f>IF($CO17&lt;&gt;"",$CO17,HLOOKUP($CM17,$AY$6:$BA$132,ROWS(CP$6:CP17),0))</f>
        <v/>
      </c>
      <c r="CQ17" s="784" t="str">
        <f t="shared" si="36"/>
        <v/>
      </c>
      <c r="CR17" s="784" t="str">
        <f t="shared" si="37"/>
        <v/>
      </c>
      <c r="CS17" s="97" t="str">
        <f t="shared" si="38"/>
        <v/>
      </c>
      <c r="CT17" s="97" t="str">
        <f t="shared" si="39"/>
        <v/>
      </c>
      <c r="CU17" s="97" t="str">
        <f t="shared" si="40"/>
        <v/>
      </c>
      <c r="CV17" s="97" t="str">
        <f t="shared" si="41"/>
        <v/>
      </c>
      <c r="CW17" s="97" t="str">
        <f t="shared" si="42"/>
        <v/>
      </c>
      <c r="CX17" s="98" t="str">
        <f t="shared" si="43"/>
        <v/>
      </c>
      <c r="CY17" s="392"/>
    </row>
    <row r="18" spans="1:103" x14ac:dyDescent="0.25">
      <c r="A18" s="81" t="s">
        <v>27</v>
      </c>
      <c r="B18" s="82" t="s">
        <v>47</v>
      </c>
      <c r="C18" s="83" t="s">
        <v>48</v>
      </c>
      <c r="D18" s="84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654">
        <f>'2022-23 Input'!E18</f>
        <v>0</v>
      </c>
      <c r="N18" s="1065">
        <v>0</v>
      </c>
      <c r="O18" s="560">
        <f t="shared" si="0"/>
        <v>0</v>
      </c>
      <c r="P18" s="561">
        <f t="shared" si="1"/>
        <v>0</v>
      </c>
      <c r="Q18" s="561">
        <f t="shared" si="2"/>
        <v>0</v>
      </c>
      <c r="R18" s="561">
        <f t="shared" si="3"/>
        <v>0</v>
      </c>
      <c r="S18" s="561">
        <f t="shared" si="4"/>
        <v>0</v>
      </c>
      <c r="T18" s="561">
        <f t="shared" si="5"/>
        <v>0</v>
      </c>
      <c r="U18" s="561">
        <f t="shared" si="6"/>
        <v>0</v>
      </c>
      <c r="V18" s="561">
        <f t="shared" si="7"/>
        <v>0</v>
      </c>
      <c r="W18" s="675">
        <f t="shared" si="8"/>
        <v>0</v>
      </c>
      <c r="X18" s="675">
        <f t="shared" si="9"/>
        <v>0</v>
      </c>
      <c r="Y18" s="675">
        <f t="shared" si="10"/>
        <v>0</v>
      </c>
      <c r="Z18" s="86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87">
        <v>0</v>
      </c>
      <c r="AI18" s="1094">
        <f>'2022-23 Input'!L18</f>
        <v>0</v>
      </c>
      <c r="AJ18" s="665">
        <v>0</v>
      </c>
      <c r="AK18" s="88">
        <f t="shared" si="11"/>
        <v>0</v>
      </c>
      <c r="AL18" s="89">
        <f t="shared" si="12"/>
        <v>0</v>
      </c>
      <c r="AM18" s="90">
        <f t="shared" si="13"/>
        <v>0</v>
      </c>
      <c r="AN18" s="91" t="str">
        <f t="shared" si="14"/>
        <v/>
      </c>
      <c r="AO18" s="92" t="str">
        <f t="shared" si="15"/>
        <v/>
      </c>
      <c r="AP18" s="92" t="str">
        <f t="shared" si="16"/>
        <v/>
      </c>
      <c r="AQ18" s="92" t="str">
        <f t="shared" si="17"/>
        <v/>
      </c>
      <c r="AR18" s="92" t="str">
        <f t="shared" si="18"/>
        <v/>
      </c>
      <c r="AS18" s="92" t="str">
        <f t="shared" si="19"/>
        <v/>
      </c>
      <c r="AT18" s="92" t="str">
        <f t="shared" si="20"/>
        <v/>
      </c>
      <c r="AU18" s="92" t="str">
        <f t="shared" si="21"/>
        <v/>
      </c>
      <c r="AV18" s="92" t="str">
        <f t="shared" si="22"/>
        <v/>
      </c>
      <c r="AW18" s="92" t="str">
        <f t="shared" si="22"/>
        <v/>
      </c>
      <c r="AX18" s="92" t="str">
        <f t="shared" si="22"/>
        <v/>
      </c>
      <c r="AY18" s="93" t="str">
        <f t="shared" si="23"/>
        <v/>
      </c>
      <c r="AZ18" s="94" t="str">
        <f t="shared" si="24"/>
        <v/>
      </c>
      <c r="BA18" s="95" t="str">
        <f t="shared" si="25"/>
        <v/>
      </c>
      <c r="BB18" s="248" t="s">
        <v>422</v>
      </c>
      <c r="BC18" s="229" t="s">
        <v>433</v>
      </c>
      <c r="BD18" s="249">
        <v>0</v>
      </c>
      <c r="BE18" s="267">
        <f t="shared" si="26"/>
        <v>0</v>
      </c>
      <c r="BF18" s="268">
        <f t="shared" si="44"/>
        <v>0</v>
      </c>
      <c r="BG18" s="268">
        <f t="shared" si="44"/>
        <v>0</v>
      </c>
      <c r="BH18" s="268">
        <f t="shared" si="44"/>
        <v>1</v>
      </c>
      <c r="BI18" s="268">
        <f t="shared" si="44"/>
        <v>2</v>
      </c>
      <c r="BJ18" s="268">
        <f t="shared" si="44"/>
        <v>3</v>
      </c>
      <c r="BK18" s="268">
        <f t="shared" si="44"/>
        <v>4</v>
      </c>
      <c r="BL18" s="269">
        <f t="shared" si="44"/>
        <v>5</v>
      </c>
      <c r="BM18" s="256">
        <f>IF($BC18=Lookup!$A$2,$BD18*ROUNDUP(BE18/10,0)+1,
IF($BC18=Lookup!$A$3,($BD18+1)^BD18,
IF($BC18=Lookup!$A$4,BE18*$BD18+1,"Error")))</f>
        <v>1</v>
      </c>
      <c r="BN18" s="229">
        <f>IF($BC18=Lookup!$A$2,$BD18*ROUNDUP(BF18/10,0)+1,
IF($BC18=Lookup!$A$3,($BD18+1)^BE18,
IF($BC18=Lookup!$A$4,BF18*$BD18+1,"Error")))</f>
        <v>1</v>
      </c>
      <c r="BO18" s="229">
        <f>IF($BC18=Lookup!$A$2,$BD18*ROUNDUP(BG18/10,0)+1,
IF($BC18=Lookup!$A$3,($BD18+1)^BF18,
IF($BC18=Lookup!$A$4,BG18*$BD18+1,"Error")))</f>
        <v>1</v>
      </c>
      <c r="BP18" s="229">
        <f>IF($BC18=Lookup!$A$2,$BD18*ROUNDUP(BH18/10,0)+1,
IF($BC18=Lookup!$A$3,($BD18+1)^BG18,
IF($BC18=Lookup!$A$4,BH18*$BD18+1,"Error")))</f>
        <v>1</v>
      </c>
      <c r="BQ18" s="229">
        <f>IF($BC18=Lookup!$A$2,$BD18*ROUNDUP(BI18/10,0)+1,
IF($BC18=Lookup!$A$3,($BD18+1)^BH18,
IF($BC18=Lookup!$A$4,BI18*$BD18+1,"Error")))</f>
        <v>1</v>
      </c>
      <c r="BR18" s="229">
        <f>IF($BC18=Lookup!$A$2,$BD18*ROUNDUP(BJ18/10,0)+1,
IF($BC18=Lookup!$A$3,($BD18+1)^BI18,
IF($BC18=Lookup!$A$4,BJ18*$BD18+1,"Error")))</f>
        <v>1</v>
      </c>
      <c r="BS18" s="229">
        <f>IF($BC18=Lookup!$A$2,$BD18*ROUNDUP(BK18/10,0)+1,
IF($BC18=Lookup!$A$3,($BD18+1)^BJ18,
IF($BC18=Lookup!$A$4,BK18*$BD18+1,"Error")))</f>
        <v>1</v>
      </c>
      <c r="BT18" s="249">
        <f>IF($BC18=Lookup!$A$2,$BD18*ROUNDUP(BL18/10,0)+1,
IF($BC18=Lookup!$A$3,($BD18+1)^BK18,
IF($BC18=Lookup!$A$4,BL18*$BD18+1,"Error")))</f>
        <v>1</v>
      </c>
      <c r="BU18" s="320"/>
      <c r="BV18" s="321"/>
      <c r="BW18" s="321"/>
      <c r="BX18" s="321"/>
      <c r="BY18" s="321"/>
      <c r="BZ18" s="321"/>
      <c r="CA18" s="321"/>
      <c r="CB18" s="277"/>
      <c r="CC18" s="382" t="s">
        <v>292</v>
      </c>
      <c r="CD18" s="383">
        <f>HLOOKUP($CC18,$AK$6:$AM$132,ROWS(CD$6:CD18),0)</f>
        <v>0</v>
      </c>
      <c r="CE18" s="234">
        <f t="shared" si="28"/>
        <v>0</v>
      </c>
      <c r="CF18" s="96">
        <f t="shared" si="29"/>
        <v>0</v>
      </c>
      <c r="CG18" s="96">
        <f t="shared" si="30"/>
        <v>0</v>
      </c>
      <c r="CH18" s="96">
        <f t="shared" si="31"/>
        <v>0</v>
      </c>
      <c r="CI18" s="96">
        <f t="shared" si="32"/>
        <v>0</v>
      </c>
      <c r="CJ18" s="96">
        <f t="shared" si="33"/>
        <v>0</v>
      </c>
      <c r="CK18" s="96">
        <f t="shared" si="34"/>
        <v>0</v>
      </c>
      <c r="CL18" s="286">
        <f t="shared" si="35"/>
        <v>0</v>
      </c>
      <c r="CM18" s="305" t="s">
        <v>293</v>
      </c>
      <c r="CN18" s="315">
        <v>0.05</v>
      </c>
      <c r="CO18" s="306"/>
      <c r="CP18" s="307" t="str">
        <f>IF($CO18&lt;&gt;"",$CO18,HLOOKUP($CM18,$AY$6:$BA$132,ROWS(CP$6:CP18),0))</f>
        <v/>
      </c>
      <c r="CQ18" s="784" t="str">
        <f t="shared" si="36"/>
        <v/>
      </c>
      <c r="CR18" s="784" t="str">
        <f t="shared" si="37"/>
        <v/>
      </c>
      <c r="CS18" s="97" t="str">
        <f t="shared" si="38"/>
        <v/>
      </c>
      <c r="CT18" s="97" t="str">
        <f t="shared" si="39"/>
        <v/>
      </c>
      <c r="CU18" s="97" t="str">
        <f t="shared" si="40"/>
        <v/>
      </c>
      <c r="CV18" s="97" t="str">
        <f t="shared" si="41"/>
        <v/>
      </c>
      <c r="CW18" s="97" t="str">
        <f t="shared" si="42"/>
        <v/>
      </c>
      <c r="CX18" s="98" t="str">
        <f t="shared" si="43"/>
        <v/>
      </c>
      <c r="CY18" s="392"/>
    </row>
    <row r="19" spans="1:103" x14ac:dyDescent="0.25">
      <c r="A19" s="81" t="s">
        <v>27</v>
      </c>
      <c r="B19" s="82" t="s">
        <v>49</v>
      </c>
      <c r="C19" s="83" t="s">
        <v>50</v>
      </c>
      <c r="D19" s="84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654">
        <f>'2022-23 Input'!E19</f>
        <v>0</v>
      </c>
      <c r="N19" s="1065">
        <v>0</v>
      </c>
      <c r="O19" s="560">
        <f t="shared" si="0"/>
        <v>0</v>
      </c>
      <c r="P19" s="561">
        <f t="shared" si="1"/>
        <v>0</v>
      </c>
      <c r="Q19" s="561">
        <f t="shared" si="2"/>
        <v>0</v>
      </c>
      <c r="R19" s="561">
        <f t="shared" si="3"/>
        <v>0</v>
      </c>
      <c r="S19" s="561">
        <f t="shared" si="4"/>
        <v>0</v>
      </c>
      <c r="T19" s="561">
        <f t="shared" si="5"/>
        <v>0</v>
      </c>
      <c r="U19" s="561">
        <f t="shared" si="6"/>
        <v>0</v>
      </c>
      <c r="V19" s="561">
        <f t="shared" si="7"/>
        <v>0</v>
      </c>
      <c r="W19" s="675">
        <f t="shared" si="8"/>
        <v>0</v>
      </c>
      <c r="X19" s="675">
        <f t="shared" si="9"/>
        <v>0</v>
      </c>
      <c r="Y19" s="675">
        <f t="shared" si="10"/>
        <v>0</v>
      </c>
      <c r="Z19" s="86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87">
        <v>0</v>
      </c>
      <c r="AI19" s="1094">
        <f>'2022-23 Input'!L19</f>
        <v>0</v>
      </c>
      <c r="AJ19" s="665">
        <v>0</v>
      </c>
      <c r="AK19" s="88">
        <f t="shared" si="11"/>
        <v>0</v>
      </c>
      <c r="AL19" s="89">
        <f t="shared" si="12"/>
        <v>0</v>
      </c>
      <c r="AM19" s="90">
        <f t="shared" si="13"/>
        <v>0</v>
      </c>
      <c r="AN19" s="91" t="str">
        <f t="shared" si="14"/>
        <v/>
      </c>
      <c r="AO19" s="92" t="str">
        <f t="shared" si="15"/>
        <v/>
      </c>
      <c r="AP19" s="92" t="str">
        <f t="shared" si="16"/>
        <v/>
      </c>
      <c r="AQ19" s="92" t="str">
        <f t="shared" si="17"/>
        <v/>
      </c>
      <c r="AR19" s="92" t="str">
        <f t="shared" si="18"/>
        <v/>
      </c>
      <c r="AS19" s="92" t="str">
        <f t="shared" si="19"/>
        <v/>
      </c>
      <c r="AT19" s="92" t="str">
        <f t="shared" si="20"/>
        <v/>
      </c>
      <c r="AU19" s="92" t="str">
        <f t="shared" si="21"/>
        <v/>
      </c>
      <c r="AV19" s="92" t="str">
        <f t="shared" si="22"/>
        <v/>
      </c>
      <c r="AW19" s="92" t="str">
        <f t="shared" si="22"/>
        <v/>
      </c>
      <c r="AX19" s="92" t="str">
        <f t="shared" si="22"/>
        <v/>
      </c>
      <c r="AY19" s="93" t="str">
        <f t="shared" si="23"/>
        <v/>
      </c>
      <c r="AZ19" s="94" t="str">
        <f t="shared" si="24"/>
        <v/>
      </c>
      <c r="BA19" s="95" t="str">
        <f t="shared" si="25"/>
        <v/>
      </c>
      <c r="BB19" s="248" t="s">
        <v>422</v>
      </c>
      <c r="BC19" s="229" t="s">
        <v>433</v>
      </c>
      <c r="BD19" s="249">
        <v>0</v>
      </c>
      <c r="BE19" s="267">
        <f t="shared" si="26"/>
        <v>0</v>
      </c>
      <c r="BF19" s="268">
        <f t="shared" si="44"/>
        <v>0</v>
      </c>
      <c r="BG19" s="268">
        <f t="shared" si="44"/>
        <v>0</v>
      </c>
      <c r="BH19" s="268">
        <f t="shared" si="44"/>
        <v>1</v>
      </c>
      <c r="BI19" s="268">
        <f t="shared" si="44"/>
        <v>2</v>
      </c>
      <c r="BJ19" s="268">
        <f t="shared" si="44"/>
        <v>3</v>
      </c>
      <c r="BK19" s="268">
        <f t="shared" si="44"/>
        <v>4</v>
      </c>
      <c r="BL19" s="269">
        <f t="shared" si="44"/>
        <v>5</v>
      </c>
      <c r="BM19" s="256">
        <f>IF($BC19=Lookup!$A$2,$BD19*ROUNDUP(BE19/10,0)+1,
IF($BC19=Lookup!$A$3,($BD19+1)^BD19,
IF($BC19=Lookup!$A$4,BE19*$BD19+1,"Error")))</f>
        <v>1</v>
      </c>
      <c r="BN19" s="229">
        <f>IF($BC19=Lookup!$A$2,$BD19*ROUNDUP(BF19/10,0)+1,
IF($BC19=Lookup!$A$3,($BD19+1)^BE19,
IF($BC19=Lookup!$A$4,BF19*$BD19+1,"Error")))</f>
        <v>1</v>
      </c>
      <c r="BO19" s="229">
        <f>IF($BC19=Lookup!$A$2,$BD19*ROUNDUP(BG19/10,0)+1,
IF($BC19=Lookup!$A$3,($BD19+1)^BF19,
IF($BC19=Lookup!$A$4,BG19*$BD19+1,"Error")))</f>
        <v>1</v>
      </c>
      <c r="BP19" s="229">
        <f>IF($BC19=Lookup!$A$2,$BD19*ROUNDUP(BH19/10,0)+1,
IF($BC19=Lookup!$A$3,($BD19+1)^BG19,
IF($BC19=Lookup!$A$4,BH19*$BD19+1,"Error")))</f>
        <v>1</v>
      </c>
      <c r="BQ19" s="229">
        <f>IF($BC19=Lookup!$A$2,$BD19*ROUNDUP(BI19/10,0)+1,
IF($BC19=Lookup!$A$3,($BD19+1)^BH19,
IF($BC19=Lookup!$A$4,BI19*$BD19+1,"Error")))</f>
        <v>1</v>
      </c>
      <c r="BR19" s="229">
        <f>IF($BC19=Lookup!$A$2,$BD19*ROUNDUP(BJ19/10,0)+1,
IF($BC19=Lookup!$A$3,($BD19+1)^BI19,
IF($BC19=Lookup!$A$4,BJ19*$BD19+1,"Error")))</f>
        <v>1</v>
      </c>
      <c r="BS19" s="229">
        <f>IF($BC19=Lookup!$A$2,$BD19*ROUNDUP(BK19/10,0)+1,
IF($BC19=Lookup!$A$3,($BD19+1)^BJ19,
IF($BC19=Lookup!$A$4,BK19*$BD19+1,"Error")))</f>
        <v>1</v>
      </c>
      <c r="BT19" s="249">
        <f>IF($BC19=Lookup!$A$2,$BD19*ROUNDUP(BL19/10,0)+1,
IF($BC19=Lookup!$A$3,($BD19+1)^BK19,
IF($BC19=Lookup!$A$4,BL19*$BD19+1,"Error")))</f>
        <v>1</v>
      </c>
      <c r="BU19" s="320"/>
      <c r="BV19" s="321"/>
      <c r="BW19" s="321"/>
      <c r="BX19" s="321"/>
      <c r="BY19" s="321"/>
      <c r="BZ19" s="321"/>
      <c r="CA19" s="321"/>
      <c r="CB19" s="277"/>
      <c r="CC19" s="382" t="s">
        <v>292</v>
      </c>
      <c r="CD19" s="383">
        <f>HLOOKUP($CC19,$AK$6:$AM$132,ROWS(CD$6:CD19),0)</f>
        <v>0</v>
      </c>
      <c r="CE19" s="234">
        <f t="shared" si="28"/>
        <v>0</v>
      </c>
      <c r="CF19" s="96">
        <f t="shared" si="29"/>
        <v>0</v>
      </c>
      <c r="CG19" s="96">
        <f t="shared" si="30"/>
        <v>0</v>
      </c>
      <c r="CH19" s="96">
        <f t="shared" si="31"/>
        <v>0</v>
      </c>
      <c r="CI19" s="96">
        <f t="shared" si="32"/>
        <v>0</v>
      </c>
      <c r="CJ19" s="96">
        <f t="shared" si="33"/>
        <v>0</v>
      </c>
      <c r="CK19" s="96">
        <f t="shared" si="34"/>
        <v>0</v>
      </c>
      <c r="CL19" s="286">
        <f t="shared" si="35"/>
        <v>0</v>
      </c>
      <c r="CM19" s="305" t="s">
        <v>293</v>
      </c>
      <c r="CN19" s="315">
        <v>0.05</v>
      </c>
      <c r="CO19" s="306"/>
      <c r="CP19" s="307" t="str">
        <f>IF($CO19&lt;&gt;"",$CO19,HLOOKUP($CM19,$AY$6:$BA$132,ROWS(CP$6:CP19),0))</f>
        <v/>
      </c>
      <c r="CQ19" s="784" t="str">
        <f t="shared" si="36"/>
        <v/>
      </c>
      <c r="CR19" s="784" t="str">
        <f t="shared" si="37"/>
        <v/>
      </c>
      <c r="CS19" s="97" t="str">
        <f t="shared" si="38"/>
        <v/>
      </c>
      <c r="CT19" s="97" t="str">
        <f t="shared" si="39"/>
        <v/>
      </c>
      <c r="CU19" s="97" t="str">
        <f t="shared" si="40"/>
        <v/>
      </c>
      <c r="CV19" s="97" t="str">
        <f t="shared" si="41"/>
        <v/>
      </c>
      <c r="CW19" s="97" t="str">
        <f t="shared" si="42"/>
        <v/>
      </c>
      <c r="CX19" s="98" t="str">
        <f t="shared" si="43"/>
        <v/>
      </c>
      <c r="CY19" s="392"/>
    </row>
    <row r="20" spans="1:103" x14ac:dyDescent="0.25">
      <c r="A20" s="81" t="s">
        <v>27</v>
      </c>
      <c r="B20" s="82" t="s">
        <v>51</v>
      </c>
      <c r="C20" s="83" t="s">
        <v>301</v>
      </c>
      <c r="D20" s="84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654">
        <f>'2022-23 Input'!E20</f>
        <v>0</v>
      </c>
      <c r="N20" s="1065">
        <v>0</v>
      </c>
      <c r="O20" s="560">
        <f t="shared" si="0"/>
        <v>0</v>
      </c>
      <c r="P20" s="561">
        <f t="shared" si="1"/>
        <v>0</v>
      </c>
      <c r="Q20" s="561">
        <f t="shared" si="2"/>
        <v>0</v>
      </c>
      <c r="R20" s="561">
        <f t="shared" si="3"/>
        <v>0</v>
      </c>
      <c r="S20" s="561">
        <f t="shared" si="4"/>
        <v>0</v>
      </c>
      <c r="T20" s="561">
        <f t="shared" si="5"/>
        <v>0</v>
      </c>
      <c r="U20" s="561">
        <f t="shared" si="6"/>
        <v>0</v>
      </c>
      <c r="V20" s="561">
        <f t="shared" si="7"/>
        <v>0</v>
      </c>
      <c r="W20" s="675">
        <f t="shared" si="8"/>
        <v>0</v>
      </c>
      <c r="X20" s="675">
        <f t="shared" si="9"/>
        <v>0</v>
      </c>
      <c r="Y20" s="675">
        <f t="shared" si="10"/>
        <v>0</v>
      </c>
      <c r="Z20" s="86">
        <v>0</v>
      </c>
      <c r="AA20" s="87">
        <v>0</v>
      </c>
      <c r="AB20" s="87">
        <v>0</v>
      </c>
      <c r="AC20" s="87">
        <v>0</v>
      </c>
      <c r="AD20" s="87">
        <v>0</v>
      </c>
      <c r="AE20" s="87">
        <v>0</v>
      </c>
      <c r="AF20" s="87">
        <v>0</v>
      </c>
      <c r="AG20" s="87">
        <v>0</v>
      </c>
      <c r="AH20" s="87">
        <v>0</v>
      </c>
      <c r="AI20" s="1094">
        <f>'2022-23 Input'!L20</f>
        <v>0</v>
      </c>
      <c r="AJ20" s="665">
        <v>0</v>
      </c>
      <c r="AK20" s="88">
        <f t="shared" si="11"/>
        <v>0</v>
      </c>
      <c r="AL20" s="89">
        <f t="shared" si="12"/>
        <v>0</v>
      </c>
      <c r="AM20" s="90">
        <f t="shared" si="13"/>
        <v>0</v>
      </c>
      <c r="AN20" s="91" t="str">
        <f t="shared" si="14"/>
        <v/>
      </c>
      <c r="AO20" s="92" t="str">
        <f t="shared" si="15"/>
        <v/>
      </c>
      <c r="AP20" s="92" t="str">
        <f t="shared" si="16"/>
        <v/>
      </c>
      <c r="AQ20" s="92" t="str">
        <f t="shared" si="17"/>
        <v/>
      </c>
      <c r="AR20" s="92" t="str">
        <f t="shared" si="18"/>
        <v/>
      </c>
      <c r="AS20" s="92" t="str">
        <f t="shared" si="19"/>
        <v/>
      </c>
      <c r="AT20" s="92" t="str">
        <f t="shared" si="20"/>
        <v/>
      </c>
      <c r="AU20" s="92" t="str">
        <f t="shared" si="21"/>
        <v/>
      </c>
      <c r="AV20" s="92" t="str">
        <f t="shared" si="22"/>
        <v/>
      </c>
      <c r="AW20" s="92" t="str">
        <f t="shared" si="22"/>
        <v/>
      </c>
      <c r="AX20" s="92" t="str">
        <f t="shared" si="22"/>
        <v/>
      </c>
      <c r="AY20" s="93" t="str">
        <f t="shared" si="23"/>
        <v/>
      </c>
      <c r="AZ20" s="94" t="str">
        <f t="shared" si="24"/>
        <v/>
      </c>
      <c r="BA20" s="95" t="str">
        <f t="shared" si="25"/>
        <v/>
      </c>
      <c r="BB20" s="248" t="s">
        <v>422</v>
      </c>
      <c r="BC20" s="229" t="s">
        <v>433</v>
      </c>
      <c r="BD20" s="249">
        <v>0</v>
      </c>
      <c r="BE20" s="267">
        <f t="shared" si="26"/>
        <v>0</v>
      </c>
      <c r="BF20" s="268">
        <f t="shared" si="44"/>
        <v>0</v>
      </c>
      <c r="BG20" s="268">
        <f t="shared" si="44"/>
        <v>0</v>
      </c>
      <c r="BH20" s="268">
        <f t="shared" si="44"/>
        <v>1</v>
      </c>
      <c r="BI20" s="268">
        <f t="shared" si="44"/>
        <v>2</v>
      </c>
      <c r="BJ20" s="268">
        <f t="shared" si="44"/>
        <v>3</v>
      </c>
      <c r="BK20" s="268">
        <f t="shared" si="44"/>
        <v>4</v>
      </c>
      <c r="BL20" s="269">
        <f t="shared" si="44"/>
        <v>5</v>
      </c>
      <c r="BM20" s="256">
        <f>IF($BC20=Lookup!$A$2,$BD20*ROUNDUP(BE20/10,0)+1,
IF($BC20=Lookup!$A$3,($BD20+1)^BD20,
IF($BC20=Lookup!$A$4,BE20*$BD20+1,"Error")))</f>
        <v>1</v>
      </c>
      <c r="BN20" s="229">
        <f>IF($BC20=Lookup!$A$2,$BD20*ROUNDUP(BF20/10,0)+1,
IF($BC20=Lookup!$A$3,($BD20+1)^BE20,
IF($BC20=Lookup!$A$4,BF20*$BD20+1,"Error")))</f>
        <v>1</v>
      </c>
      <c r="BO20" s="229">
        <f>IF($BC20=Lookup!$A$2,$BD20*ROUNDUP(BG20/10,0)+1,
IF($BC20=Lookup!$A$3,($BD20+1)^BF20,
IF($BC20=Lookup!$A$4,BG20*$BD20+1,"Error")))</f>
        <v>1</v>
      </c>
      <c r="BP20" s="229">
        <f>IF($BC20=Lookup!$A$2,$BD20*ROUNDUP(BH20/10,0)+1,
IF($BC20=Lookup!$A$3,($BD20+1)^BG20,
IF($BC20=Lookup!$A$4,BH20*$BD20+1,"Error")))</f>
        <v>1</v>
      </c>
      <c r="BQ20" s="229">
        <f>IF($BC20=Lookup!$A$2,$BD20*ROUNDUP(BI20/10,0)+1,
IF($BC20=Lookup!$A$3,($BD20+1)^BH20,
IF($BC20=Lookup!$A$4,BI20*$BD20+1,"Error")))</f>
        <v>1</v>
      </c>
      <c r="BR20" s="229">
        <f>IF($BC20=Lookup!$A$2,$BD20*ROUNDUP(BJ20/10,0)+1,
IF($BC20=Lookup!$A$3,($BD20+1)^BI20,
IF($BC20=Lookup!$A$4,BJ20*$BD20+1,"Error")))</f>
        <v>1</v>
      </c>
      <c r="BS20" s="229">
        <f>IF($BC20=Lookup!$A$2,$BD20*ROUNDUP(BK20/10,0)+1,
IF($BC20=Lookup!$A$3,($BD20+1)^BJ20,
IF($BC20=Lookup!$A$4,BK20*$BD20+1,"Error")))</f>
        <v>1</v>
      </c>
      <c r="BT20" s="249">
        <f>IF($BC20=Lookup!$A$2,$BD20*ROUNDUP(BL20/10,0)+1,
IF($BC20=Lookup!$A$3,($BD20+1)^BK20,
IF($BC20=Lookup!$A$4,BL20*$BD20+1,"Error")))</f>
        <v>1</v>
      </c>
      <c r="BU20" s="320"/>
      <c r="BV20" s="321"/>
      <c r="BW20" s="321"/>
      <c r="BX20" s="321"/>
      <c r="BY20" s="321"/>
      <c r="BZ20" s="321"/>
      <c r="CA20" s="321"/>
      <c r="CB20" s="277"/>
      <c r="CC20" s="382" t="s">
        <v>292</v>
      </c>
      <c r="CD20" s="383">
        <f>HLOOKUP($CC20,$AK$6:$AM$132,ROWS(CD$6:CD20),0)</f>
        <v>0</v>
      </c>
      <c r="CE20" s="234">
        <f t="shared" si="28"/>
        <v>0</v>
      </c>
      <c r="CF20" s="96">
        <f t="shared" si="29"/>
        <v>0</v>
      </c>
      <c r="CG20" s="96">
        <f t="shared" si="30"/>
        <v>0</v>
      </c>
      <c r="CH20" s="96">
        <f t="shared" si="31"/>
        <v>0</v>
      </c>
      <c r="CI20" s="96">
        <f t="shared" si="32"/>
        <v>0</v>
      </c>
      <c r="CJ20" s="96">
        <f t="shared" si="33"/>
        <v>0</v>
      </c>
      <c r="CK20" s="96">
        <f t="shared" si="34"/>
        <v>0</v>
      </c>
      <c r="CL20" s="286">
        <f t="shared" si="35"/>
        <v>0</v>
      </c>
      <c r="CM20" s="305" t="s">
        <v>293</v>
      </c>
      <c r="CN20" s="315">
        <v>0.05</v>
      </c>
      <c r="CO20" s="306"/>
      <c r="CP20" s="307" t="str">
        <f>IF($CO20&lt;&gt;"",$CO20,HLOOKUP($CM20,$AY$6:$BA$132,ROWS(CP$6:CP20),0))</f>
        <v/>
      </c>
      <c r="CQ20" s="784" t="str">
        <f t="shared" si="36"/>
        <v/>
      </c>
      <c r="CR20" s="784" t="str">
        <f t="shared" si="37"/>
        <v/>
      </c>
      <c r="CS20" s="97" t="str">
        <f t="shared" si="38"/>
        <v/>
      </c>
      <c r="CT20" s="97" t="str">
        <f t="shared" si="39"/>
        <v/>
      </c>
      <c r="CU20" s="97" t="str">
        <f t="shared" si="40"/>
        <v/>
      </c>
      <c r="CV20" s="97" t="str">
        <f t="shared" si="41"/>
        <v/>
      </c>
      <c r="CW20" s="97" t="str">
        <f t="shared" si="42"/>
        <v/>
      </c>
      <c r="CX20" s="98" t="str">
        <f t="shared" si="43"/>
        <v/>
      </c>
      <c r="CY20" s="392"/>
    </row>
    <row r="21" spans="1:103" x14ac:dyDescent="0.25">
      <c r="A21" s="81" t="s">
        <v>27</v>
      </c>
      <c r="B21" s="82" t="s">
        <v>53</v>
      </c>
      <c r="C21" s="83" t="s">
        <v>54</v>
      </c>
      <c r="D21" s="84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654">
        <f>'2022-23 Input'!E21</f>
        <v>0</v>
      </c>
      <c r="N21" s="1065">
        <v>0</v>
      </c>
      <c r="O21" s="560">
        <f t="shared" si="0"/>
        <v>0</v>
      </c>
      <c r="P21" s="561">
        <f t="shared" si="1"/>
        <v>0</v>
      </c>
      <c r="Q21" s="561">
        <f t="shared" si="2"/>
        <v>0</v>
      </c>
      <c r="R21" s="561">
        <f t="shared" si="3"/>
        <v>0</v>
      </c>
      <c r="S21" s="561">
        <f t="shared" si="4"/>
        <v>0</v>
      </c>
      <c r="T21" s="561">
        <f t="shared" si="5"/>
        <v>0</v>
      </c>
      <c r="U21" s="561">
        <f t="shared" si="6"/>
        <v>0</v>
      </c>
      <c r="V21" s="561">
        <f t="shared" si="7"/>
        <v>0</v>
      </c>
      <c r="W21" s="675">
        <f t="shared" si="8"/>
        <v>0</v>
      </c>
      <c r="X21" s="675">
        <f t="shared" si="9"/>
        <v>0</v>
      </c>
      <c r="Y21" s="675">
        <f t="shared" si="10"/>
        <v>0</v>
      </c>
      <c r="Z21" s="86">
        <v>0</v>
      </c>
      <c r="AA21" s="87">
        <v>0</v>
      </c>
      <c r="AB21" s="87">
        <v>0</v>
      </c>
      <c r="AC21" s="87">
        <v>0</v>
      </c>
      <c r="AD21" s="87">
        <v>0</v>
      </c>
      <c r="AE21" s="87">
        <v>0</v>
      </c>
      <c r="AF21" s="87">
        <v>0</v>
      </c>
      <c r="AG21" s="87">
        <v>0</v>
      </c>
      <c r="AH21" s="87">
        <v>0</v>
      </c>
      <c r="AI21" s="1094">
        <f>'2022-23 Input'!L21</f>
        <v>0</v>
      </c>
      <c r="AJ21" s="665">
        <v>0</v>
      </c>
      <c r="AK21" s="88">
        <f t="shared" si="11"/>
        <v>0</v>
      </c>
      <c r="AL21" s="89">
        <f t="shared" si="12"/>
        <v>0</v>
      </c>
      <c r="AM21" s="90">
        <f t="shared" si="13"/>
        <v>0</v>
      </c>
      <c r="AN21" s="91" t="str">
        <f t="shared" si="14"/>
        <v/>
      </c>
      <c r="AO21" s="92" t="str">
        <f t="shared" si="15"/>
        <v/>
      </c>
      <c r="AP21" s="92" t="str">
        <f t="shared" si="16"/>
        <v/>
      </c>
      <c r="AQ21" s="92" t="str">
        <f t="shared" si="17"/>
        <v/>
      </c>
      <c r="AR21" s="92" t="str">
        <f t="shared" si="18"/>
        <v/>
      </c>
      <c r="AS21" s="92" t="str">
        <f t="shared" si="19"/>
        <v/>
      </c>
      <c r="AT21" s="92" t="str">
        <f t="shared" si="20"/>
        <v/>
      </c>
      <c r="AU21" s="92" t="str">
        <f t="shared" si="21"/>
        <v/>
      </c>
      <c r="AV21" s="92" t="str">
        <f t="shared" si="22"/>
        <v/>
      </c>
      <c r="AW21" s="92" t="str">
        <f t="shared" si="22"/>
        <v/>
      </c>
      <c r="AX21" s="92" t="str">
        <f t="shared" si="22"/>
        <v/>
      </c>
      <c r="AY21" s="93" t="str">
        <f t="shared" si="23"/>
        <v/>
      </c>
      <c r="AZ21" s="94" t="str">
        <f t="shared" si="24"/>
        <v/>
      </c>
      <c r="BA21" s="95" t="str">
        <f t="shared" si="25"/>
        <v/>
      </c>
      <c r="BB21" s="248" t="s">
        <v>422</v>
      </c>
      <c r="BC21" s="229" t="s">
        <v>433</v>
      </c>
      <c r="BD21" s="249">
        <v>0</v>
      </c>
      <c r="BE21" s="267">
        <f t="shared" si="26"/>
        <v>0</v>
      </c>
      <c r="BF21" s="268">
        <f t="shared" si="44"/>
        <v>0</v>
      </c>
      <c r="BG21" s="268">
        <f t="shared" si="44"/>
        <v>0</v>
      </c>
      <c r="BH21" s="268">
        <f t="shared" si="44"/>
        <v>1</v>
      </c>
      <c r="BI21" s="268">
        <f t="shared" si="44"/>
        <v>2</v>
      </c>
      <c r="BJ21" s="268">
        <f t="shared" si="44"/>
        <v>3</v>
      </c>
      <c r="BK21" s="268">
        <f t="shared" si="44"/>
        <v>4</v>
      </c>
      <c r="BL21" s="269">
        <f t="shared" si="44"/>
        <v>5</v>
      </c>
      <c r="BM21" s="256">
        <f>IF($BC21=Lookup!$A$2,$BD21*ROUNDUP(BE21/10,0)+1,
IF($BC21=Lookup!$A$3,($BD21+1)^BD21,
IF($BC21=Lookup!$A$4,BE21*$BD21+1,"Error")))</f>
        <v>1</v>
      </c>
      <c r="BN21" s="229">
        <f>IF($BC21=Lookup!$A$2,$BD21*ROUNDUP(BF21/10,0)+1,
IF($BC21=Lookup!$A$3,($BD21+1)^BE21,
IF($BC21=Lookup!$A$4,BF21*$BD21+1,"Error")))</f>
        <v>1</v>
      </c>
      <c r="BO21" s="229">
        <f>IF($BC21=Lookup!$A$2,$BD21*ROUNDUP(BG21/10,0)+1,
IF($BC21=Lookup!$A$3,($BD21+1)^BF21,
IF($BC21=Lookup!$A$4,BG21*$BD21+1,"Error")))</f>
        <v>1</v>
      </c>
      <c r="BP21" s="229">
        <f>IF($BC21=Lookup!$A$2,$BD21*ROUNDUP(BH21/10,0)+1,
IF($BC21=Lookup!$A$3,($BD21+1)^BG21,
IF($BC21=Lookup!$A$4,BH21*$BD21+1,"Error")))</f>
        <v>1</v>
      </c>
      <c r="BQ21" s="229">
        <f>IF($BC21=Lookup!$A$2,$BD21*ROUNDUP(BI21/10,0)+1,
IF($BC21=Lookup!$A$3,($BD21+1)^BH21,
IF($BC21=Lookup!$A$4,BI21*$BD21+1,"Error")))</f>
        <v>1</v>
      </c>
      <c r="BR21" s="229">
        <f>IF($BC21=Lookup!$A$2,$BD21*ROUNDUP(BJ21/10,0)+1,
IF($BC21=Lookup!$A$3,($BD21+1)^BI21,
IF($BC21=Lookup!$A$4,BJ21*$BD21+1,"Error")))</f>
        <v>1</v>
      </c>
      <c r="BS21" s="229">
        <f>IF($BC21=Lookup!$A$2,$BD21*ROUNDUP(BK21/10,0)+1,
IF($BC21=Lookup!$A$3,($BD21+1)^BJ21,
IF($BC21=Lookup!$A$4,BK21*$BD21+1,"Error")))</f>
        <v>1</v>
      </c>
      <c r="BT21" s="249">
        <f>IF($BC21=Lookup!$A$2,$BD21*ROUNDUP(BL21/10,0)+1,
IF($BC21=Lookup!$A$3,($BD21+1)^BK21,
IF($BC21=Lookup!$A$4,BL21*$BD21+1,"Error")))</f>
        <v>1</v>
      </c>
      <c r="BU21" s="320"/>
      <c r="BV21" s="321"/>
      <c r="BW21" s="321"/>
      <c r="BX21" s="321"/>
      <c r="BY21" s="321"/>
      <c r="BZ21" s="321"/>
      <c r="CA21" s="321"/>
      <c r="CB21" s="277"/>
      <c r="CC21" s="382" t="s">
        <v>292</v>
      </c>
      <c r="CD21" s="383">
        <f>HLOOKUP($CC21,$AK$6:$AM$132,ROWS(CD$6:CD21),0)</f>
        <v>0</v>
      </c>
      <c r="CE21" s="234">
        <f t="shared" si="28"/>
        <v>0</v>
      </c>
      <c r="CF21" s="96">
        <f t="shared" si="29"/>
        <v>0</v>
      </c>
      <c r="CG21" s="96">
        <f t="shared" si="30"/>
        <v>0</v>
      </c>
      <c r="CH21" s="96">
        <f t="shared" si="31"/>
        <v>0</v>
      </c>
      <c r="CI21" s="96">
        <f t="shared" si="32"/>
        <v>0</v>
      </c>
      <c r="CJ21" s="96">
        <f t="shared" si="33"/>
        <v>0</v>
      </c>
      <c r="CK21" s="96">
        <f t="shared" si="34"/>
        <v>0</v>
      </c>
      <c r="CL21" s="286">
        <f t="shared" si="35"/>
        <v>0</v>
      </c>
      <c r="CM21" s="305" t="s">
        <v>293</v>
      </c>
      <c r="CN21" s="315">
        <v>0.05</v>
      </c>
      <c r="CO21" s="306"/>
      <c r="CP21" s="307" t="str">
        <f>IF($CO21&lt;&gt;"",$CO21,HLOOKUP($CM21,$AY$6:$BA$132,ROWS(CP$6:CP21),0))</f>
        <v/>
      </c>
      <c r="CQ21" s="784" t="str">
        <f t="shared" si="36"/>
        <v/>
      </c>
      <c r="CR21" s="784" t="str">
        <f t="shared" si="37"/>
        <v/>
      </c>
      <c r="CS21" s="97" t="str">
        <f t="shared" si="38"/>
        <v/>
      </c>
      <c r="CT21" s="97" t="str">
        <f t="shared" si="39"/>
        <v/>
      </c>
      <c r="CU21" s="97" t="str">
        <f t="shared" si="40"/>
        <v/>
      </c>
      <c r="CV21" s="97" t="str">
        <f t="shared" si="41"/>
        <v/>
      </c>
      <c r="CW21" s="97" t="str">
        <f t="shared" si="42"/>
        <v/>
      </c>
      <c r="CX21" s="98" t="str">
        <f t="shared" si="43"/>
        <v/>
      </c>
      <c r="CY21" s="392"/>
    </row>
    <row r="22" spans="1:103" x14ac:dyDescent="0.25">
      <c r="A22" s="81" t="s">
        <v>27</v>
      </c>
      <c r="B22" s="82" t="s">
        <v>55</v>
      </c>
      <c r="C22" s="83" t="s">
        <v>302</v>
      </c>
      <c r="D22" s="84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654">
        <f>'2022-23 Input'!E22</f>
        <v>0</v>
      </c>
      <c r="N22" s="1065">
        <v>0</v>
      </c>
      <c r="O22" s="560">
        <f t="shared" si="0"/>
        <v>0</v>
      </c>
      <c r="P22" s="561">
        <f t="shared" si="1"/>
        <v>0</v>
      </c>
      <c r="Q22" s="561">
        <f t="shared" si="2"/>
        <v>0</v>
      </c>
      <c r="R22" s="561">
        <f t="shared" si="3"/>
        <v>0</v>
      </c>
      <c r="S22" s="561">
        <f t="shared" si="4"/>
        <v>0</v>
      </c>
      <c r="T22" s="561">
        <f t="shared" si="5"/>
        <v>0</v>
      </c>
      <c r="U22" s="561">
        <f t="shared" si="6"/>
        <v>0</v>
      </c>
      <c r="V22" s="561">
        <f t="shared" si="7"/>
        <v>0</v>
      </c>
      <c r="W22" s="675">
        <f t="shared" si="8"/>
        <v>0</v>
      </c>
      <c r="X22" s="675">
        <f t="shared" si="9"/>
        <v>0</v>
      </c>
      <c r="Y22" s="675">
        <f t="shared" si="10"/>
        <v>0</v>
      </c>
      <c r="Z22" s="86">
        <v>0</v>
      </c>
      <c r="AA22" s="87">
        <v>0</v>
      </c>
      <c r="AB22" s="87">
        <v>0</v>
      </c>
      <c r="AC22" s="87">
        <v>0</v>
      </c>
      <c r="AD22" s="87">
        <v>0</v>
      </c>
      <c r="AE22" s="87">
        <v>0</v>
      </c>
      <c r="AF22" s="87">
        <v>0</v>
      </c>
      <c r="AG22" s="87">
        <v>0</v>
      </c>
      <c r="AH22" s="87">
        <v>0</v>
      </c>
      <c r="AI22" s="1094">
        <f>'2022-23 Input'!L22</f>
        <v>0</v>
      </c>
      <c r="AJ22" s="665">
        <v>0</v>
      </c>
      <c r="AK22" s="88">
        <f t="shared" si="11"/>
        <v>0</v>
      </c>
      <c r="AL22" s="89">
        <f t="shared" si="12"/>
        <v>0</v>
      </c>
      <c r="AM22" s="90">
        <f t="shared" si="13"/>
        <v>0</v>
      </c>
      <c r="AN22" s="91" t="str">
        <f t="shared" si="14"/>
        <v/>
      </c>
      <c r="AO22" s="92" t="str">
        <f t="shared" si="15"/>
        <v/>
      </c>
      <c r="AP22" s="92" t="str">
        <f t="shared" si="16"/>
        <v/>
      </c>
      <c r="AQ22" s="92" t="str">
        <f t="shared" si="17"/>
        <v/>
      </c>
      <c r="AR22" s="92" t="str">
        <f t="shared" si="18"/>
        <v/>
      </c>
      <c r="AS22" s="92" t="str">
        <f t="shared" si="19"/>
        <v/>
      </c>
      <c r="AT22" s="92" t="str">
        <f t="shared" si="20"/>
        <v/>
      </c>
      <c r="AU22" s="92" t="str">
        <f t="shared" si="21"/>
        <v/>
      </c>
      <c r="AV22" s="92" t="str">
        <f t="shared" si="22"/>
        <v/>
      </c>
      <c r="AW22" s="92" t="str">
        <f t="shared" si="22"/>
        <v/>
      </c>
      <c r="AX22" s="92" t="str">
        <f t="shared" si="22"/>
        <v/>
      </c>
      <c r="AY22" s="93" t="str">
        <f t="shared" si="23"/>
        <v/>
      </c>
      <c r="AZ22" s="94" t="str">
        <f t="shared" si="24"/>
        <v/>
      </c>
      <c r="BA22" s="95" t="str">
        <f t="shared" si="25"/>
        <v/>
      </c>
      <c r="BB22" s="248" t="s">
        <v>422</v>
      </c>
      <c r="BC22" s="229" t="s">
        <v>433</v>
      </c>
      <c r="BD22" s="249">
        <v>0</v>
      </c>
      <c r="BE22" s="267">
        <f t="shared" si="26"/>
        <v>0</v>
      </c>
      <c r="BF22" s="268">
        <f t="shared" si="44"/>
        <v>0</v>
      </c>
      <c r="BG22" s="268">
        <f t="shared" si="44"/>
        <v>0</v>
      </c>
      <c r="BH22" s="268">
        <f t="shared" si="44"/>
        <v>1</v>
      </c>
      <c r="BI22" s="268">
        <f t="shared" si="44"/>
        <v>2</v>
      </c>
      <c r="BJ22" s="268">
        <f t="shared" si="44"/>
        <v>3</v>
      </c>
      <c r="BK22" s="268">
        <f t="shared" si="44"/>
        <v>4</v>
      </c>
      <c r="BL22" s="269">
        <f t="shared" si="44"/>
        <v>5</v>
      </c>
      <c r="BM22" s="256">
        <f>IF($BC22=Lookup!$A$2,$BD22*ROUNDUP(BE22/10,0)+1,
IF($BC22=Lookup!$A$3,($BD22+1)^BD22,
IF($BC22=Lookup!$A$4,BE22*$BD22+1,"Error")))</f>
        <v>1</v>
      </c>
      <c r="BN22" s="229">
        <f>IF($BC22=Lookup!$A$2,$BD22*ROUNDUP(BF22/10,0)+1,
IF($BC22=Lookup!$A$3,($BD22+1)^BE22,
IF($BC22=Lookup!$A$4,BF22*$BD22+1,"Error")))</f>
        <v>1</v>
      </c>
      <c r="BO22" s="229">
        <f>IF($BC22=Lookup!$A$2,$BD22*ROUNDUP(BG22/10,0)+1,
IF($BC22=Lookup!$A$3,($BD22+1)^BF22,
IF($BC22=Lookup!$A$4,BG22*$BD22+1,"Error")))</f>
        <v>1</v>
      </c>
      <c r="BP22" s="229">
        <f>IF($BC22=Lookup!$A$2,$BD22*ROUNDUP(BH22/10,0)+1,
IF($BC22=Lookup!$A$3,($BD22+1)^BG22,
IF($BC22=Lookup!$A$4,BH22*$BD22+1,"Error")))</f>
        <v>1</v>
      </c>
      <c r="BQ22" s="229">
        <f>IF($BC22=Lookup!$A$2,$BD22*ROUNDUP(BI22/10,0)+1,
IF($BC22=Lookup!$A$3,($BD22+1)^BH22,
IF($BC22=Lookup!$A$4,BI22*$BD22+1,"Error")))</f>
        <v>1</v>
      </c>
      <c r="BR22" s="229">
        <f>IF($BC22=Lookup!$A$2,$BD22*ROUNDUP(BJ22/10,0)+1,
IF($BC22=Lookup!$A$3,($BD22+1)^BI22,
IF($BC22=Lookup!$A$4,BJ22*$BD22+1,"Error")))</f>
        <v>1</v>
      </c>
      <c r="BS22" s="229">
        <f>IF($BC22=Lookup!$A$2,$BD22*ROUNDUP(BK22/10,0)+1,
IF($BC22=Lookup!$A$3,($BD22+1)^BJ22,
IF($BC22=Lookup!$A$4,BK22*$BD22+1,"Error")))</f>
        <v>1</v>
      </c>
      <c r="BT22" s="249">
        <f>IF($BC22=Lookup!$A$2,$BD22*ROUNDUP(BL22/10,0)+1,
IF($BC22=Lookup!$A$3,($BD22+1)^BK22,
IF($BC22=Lookup!$A$4,BL22*$BD22+1,"Error")))</f>
        <v>1</v>
      </c>
      <c r="BU22" s="320"/>
      <c r="BV22" s="321"/>
      <c r="BW22" s="321"/>
      <c r="BX22" s="321"/>
      <c r="BY22" s="321"/>
      <c r="BZ22" s="321"/>
      <c r="CA22" s="321"/>
      <c r="CB22" s="277"/>
      <c r="CC22" s="382" t="s">
        <v>292</v>
      </c>
      <c r="CD22" s="383">
        <f>HLOOKUP($CC22,$AK$6:$AM$132,ROWS(CD$6:CD22),0)</f>
        <v>0</v>
      </c>
      <c r="CE22" s="234">
        <f t="shared" si="28"/>
        <v>0</v>
      </c>
      <c r="CF22" s="96">
        <f t="shared" si="29"/>
        <v>0</v>
      </c>
      <c r="CG22" s="96">
        <f t="shared" si="30"/>
        <v>0</v>
      </c>
      <c r="CH22" s="96">
        <f t="shared" si="31"/>
        <v>0</v>
      </c>
      <c r="CI22" s="96">
        <f t="shared" si="32"/>
        <v>0</v>
      </c>
      <c r="CJ22" s="96">
        <f t="shared" si="33"/>
        <v>0</v>
      </c>
      <c r="CK22" s="96">
        <f t="shared" si="34"/>
        <v>0</v>
      </c>
      <c r="CL22" s="286">
        <f t="shared" si="35"/>
        <v>0</v>
      </c>
      <c r="CM22" s="305" t="s">
        <v>293</v>
      </c>
      <c r="CN22" s="315">
        <v>0.05</v>
      </c>
      <c r="CO22" s="306"/>
      <c r="CP22" s="307" t="str">
        <f>IF($CO22&lt;&gt;"",$CO22,HLOOKUP($CM22,$AY$6:$BA$132,ROWS(CP$6:CP22),0))</f>
        <v/>
      </c>
      <c r="CQ22" s="784" t="str">
        <f t="shared" si="36"/>
        <v/>
      </c>
      <c r="CR22" s="784" t="str">
        <f t="shared" si="37"/>
        <v/>
      </c>
      <c r="CS22" s="97" t="str">
        <f t="shared" si="38"/>
        <v/>
      </c>
      <c r="CT22" s="97" t="str">
        <f t="shared" si="39"/>
        <v/>
      </c>
      <c r="CU22" s="97" t="str">
        <f t="shared" si="40"/>
        <v/>
      </c>
      <c r="CV22" s="97" t="str">
        <f t="shared" si="41"/>
        <v/>
      </c>
      <c r="CW22" s="97" t="str">
        <f t="shared" si="42"/>
        <v/>
      </c>
      <c r="CX22" s="98" t="str">
        <f t="shared" si="43"/>
        <v/>
      </c>
      <c r="CY22" s="392"/>
    </row>
    <row r="23" spans="1:103" x14ac:dyDescent="0.25">
      <c r="A23" s="81" t="s">
        <v>27</v>
      </c>
      <c r="B23" s="82" t="s">
        <v>57</v>
      </c>
      <c r="C23" s="83" t="s">
        <v>58</v>
      </c>
      <c r="D23" s="84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654">
        <f>'2022-23 Input'!E23</f>
        <v>0</v>
      </c>
      <c r="N23" s="1065">
        <v>0</v>
      </c>
      <c r="O23" s="560">
        <f t="shared" si="0"/>
        <v>0</v>
      </c>
      <c r="P23" s="561">
        <f t="shared" si="1"/>
        <v>0</v>
      </c>
      <c r="Q23" s="561">
        <f t="shared" si="2"/>
        <v>0</v>
      </c>
      <c r="R23" s="561">
        <f t="shared" si="3"/>
        <v>0</v>
      </c>
      <c r="S23" s="561">
        <f t="shared" si="4"/>
        <v>0</v>
      </c>
      <c r="T23" s="561">
        <f t="shared" si="5"/>
        <v>0</v>
      </c>
      <c r="U23" s="561">
        <f t="shared" si="6"/>
        <v>0</v>
      </c>
      <c r="V23" s="561">
        <f t="shared" si="7"/>
        <v>0</v>
      </c>
      <c r="W23" s="675">
        <f t="shared" si="8"/>
        <v>0</v>
      </c>
      <c r="X23" s="675">
        <f t="shared" si="9"/>
        <v>0</v>
      </c>
      <c r="Y23" s="675">
        <f t="shared" si="10"/>
        <v>0</v>
      </c>
      <c r="Z23" s="86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1094">
        <f>'2022-23 Input'!L23</f>
        <v>0</v>
      </c>
      <c r="AJ23" s="665">
        <v>0</v>
      </c>
      <c r="AK23" s="88">
        <f t="shared" si="11"/>
        <v>0</v>
      </c>
      <c r="AL23" s="89">
        <f t="shared" si="12"/>
        <v>0</v>
      </c>
      <c r="AM23" s="90">
        <f t="shared" si="13"/>
        <v>0</v>
      </c>
      <c r="AN23" s="91" t="str">
        <f t="shared" si="14"/>
        <v/>
      </c>
      <c r="AO23" s="92" t="str">
        <f t="shared" si="15"/>
        <v/>
      </c>
      <c r="AP23" s="92" t="str">
        <f t="shared" si="16"/>
        <v/>
      </c>
      <c r="AQ23" s="92" t="str">
        <f t="shared" si="17"/>
        <v/>
      </c>
      <c r="AR23" s="92" t="str">
        <f t="shared" si="18"/>
        <v/>
      </c>
      <c r="AS23" s="92" t="str">
        <f t="shared" si="19"/>
        <v/>
      </c>
      <c r="AT23" s="92" t="str">
        <f t="shared" si="20"/>
        <v/>
      </c>
      <c r="AU23" s="92" t="str">
        <f t="shared" si="21"/>
        <v/>
      </c>
      <c r="AV23" s="92" t="str">
        <f t="shared" ref="AV23:AX38" si="45">IFERROR(L23/AH23,"")</f>
        <v/>
      </c>
      <c r="AW23" s="92" t="str">
        <f t="shared" si="45"/>
        <v/>
      </c>
      <c r="AX23" s="92" t="str">
        <f t="shared" si="45"/>
        <v/>
      </c>
      <c r="AY23" s="93" t="str">
        <f t="shared" si="23"/>
        <v/>
      </c>
      <c r="AZ23" s="94" t="str">
        <f t="shared" si="24"/>
        <v/>
      </c>
      <c r="BA23" s="95" t="str">
        <f t="shared" si="25"/>
        <v/>
      </c>
      <c r="BB23" s="248" t="s">
        <v>422</v>
      </c>
      <c r="BC23" s="229" t="s">
        <v>433</v>
      </c>
      <c r="BD23" s="249">
        <v>0</v>
      </c>
      <c r="BE23" s="267">
        <f t="shared" si="26"/>
        <v>0</v>
      </c>
      <c r="BF23" s="268">
        <f t="shared" si="44"/>
        <v>0</v>
      </c>
      <c r="BG23" s="268">
        <f t="shared" si="44"/>
        <v>0</v>
      </c>
      <c r="BH23" s="268">
        <f t="shared" si="44"/>
        <v>1</v>
      </c>
      <c r="BI23" s="268">
        <f t="shared" si="44"/>
        <v>2</v>
      </c>
      <c r="BJ23" s="268">
        <f t="shared" si="44"/>
        <v>3</v>
      </c>
      <c r="BK23" s="268">
        <f t="shared" si="44"/>
        <v>4</v>
      </c>
      <c r="BL23" s="269">
        <f t="shared" si="44"/>
        <v>5</v>
      </c>
      <c r="BM23" s="256">
        <f>IF($BC23=Lookup!$A$2,$BD23*ROUNDUP(BE23/10,0)+1,
IF($BC23=Lookup!$A$3,($BD23+1)^BD23,
IF($BC23=Lookup!$A$4,BE23*$BD23+1,"Error")))</f>
        <v>1</v>
      </c>
      <c r="BN23" s="229">
        <f>IF($BC23=Lookup!$A$2,$BD23*ROUNDUP(BF23/10,0)+1,
IF($BC23=Lookup!$A$3,($BD23+1)^BE23,
IF($BC23=Lookup!$A$4,BF23*$BD23+1,"Error")))</f>
        <v>1</v>
      </c>
      <c r="BO23" s="229">
        <f>IF($BC23=Lookup!$A$2,$BD23*ROUNDUP(BG23/10,0)+1,
IF($BC23=Lookup!$A$3,($BD23+1)^BF23,
IF($BC23=Lookup!$A$4,BG23*$BD23+1,"Error")))</f>
        <v>1</v>
      </c>
      <c r="BP23" s="229">
        <f>IF($BC23=Lookup!$A$2,$BD23*ROUNDUP(BH23/10,0)+1,
IF($BC23=Lookup!$A$3,($BD23+1)^BG23,
IF($BC23=Lookup!$A$4,BH23*$BD23+1,"Error")))</f>
        <v>1</v>
      </c>
      <c r="BQ23" s="229">
        <f>IF($BC23=Lookup!$A$2,$BD23*ROUNDUP(BI23/10,0)+1,
IF($BC23=Lookup!$A$3,($BD23+1)^BH23,
IF($BC23=Lookup!$A$4,BI23*$BD23+1,"Error")))</f>
        <v>1</v>
      </c>
      <c r="BR23" s="229">
        <f>IF($BC23=Lookup!$A$2,$BD23*ROUNDUP(BJ23/10,0)+1,
IF($BC23=Lookup!$A$3,($BD23+1)^BI23,
IF($BC23=Lookup!$A$4,BJ23*$BD23+1,"Error")))</f>
        <v>1</v>
      </c>
      <c r="BS23" s="229">
        <f>IF($BC23=Lookup!$A$2,$BD23*ROUNDUP(BK23/10,0)+1,
IF($BC23=Lookup!$A$3,($BD23+1)^BJ23,
IF($BC23=Lookup!$A$4,BK23*$BD23+1,"Error")))</f>
        <v>1</v>
      </c>
      <c r="BT23" s="249">
        <f>IF($BC23=Lookup!$A$2,$BD23*ROUNDUP(BL23/10,0)+1,
IF($BC23=Lookup!$A$3,($BD23+1)^BK23,
IF($BC23=Lookup!$A$4,BL23*$BD23+1,"Error")))</f>
        <v>1</v>
      </c>
      <c r="BU23" s="320"/>
      <c r="BV23" s="321"/>
      <c r="BW23" s="321"/>
      <c r="BX23" s="321"/>
      <c r="BY23" s="321"/>
      <c r="BZ23" s="321"/>
      <c r="CA23" s="321"/>
      <c r="CB23" s="277"/>
      <c r="CC23" s="382" t="s">
        <v>292</v>
      </c>
      <c r="CD23" s="383">
        <f>HLOOKUP($CC23,$AK$6:$AM$132,ROWS(CD$6:CD23),0)</f>
        <v>0</v>
      </c>
      <c r="CE23" s="234">
        <f t="shared" si="28"/>
        <v>0</v>
      </c>
      <c r="CF23" s="96">
        <f t="shared" si="29"/>
        <v>0</v>
      </c>
      <c r="CG23" s="96">
        <f t="shared" si="30"/>
        <v>0</v>
      </c>
      <c r="CH23" s="96">
        <f t="shared" si="31"/>
        <v>0</v>
      </c>
      <c r="CI23" s="96">
        <f t="shared" si="32"/>
        <v>0</v>
      </c>
      <c r="CJ23" s="96">
        <f t="shared" si="33"/>
        <v>0</v>
      </c>
      <c r="CK23" s="96">
        <f t="shared" si="34"/>
        <v>0</v>
      </c>
      <c r="CL23" s="286">
        <f t="shared" si="35"/>
        <v>0</v>
      </c>
      <c r="CM23" s="305" t="s">
        <v>293</v>
      </c>
      <c r="CN23" s="315">
        <v>0.05</v>
      </c>
      <c r="CO23" s="306"/>
      <c r="CP23" s="307" t="str">
        <f>IF($CO23&lt;&gt;"",$CO23,HLOOKUP($CM23,$AY$6:$BA$132,ROWS(CP$6:CP23),0))</f>
        <v/>
      </c>
      <c r="CQ23" s="784" t="str">
        <f t="shared" si="36"/>
        <v/>
      </c>
      <c r="CR23" s="784" t="str">
        <f t="shared" si="37"/>
        <v/>
      </c>
      <c r="CS23" s="97" t="str">
        <f t="shared" si="38"/>
        <v/>
      </c>
      <c r="CT23" s="97" t="str">
        <f t="shared" si="39"/>
        <v/>
      </c>
      <c r="CU23" s="97" t="str">
        <f t="shared" si="40"/>
        <v/>
      </c>
      <c r="CV23" s="97" t="str">
        <f t="shared" si="41"/>
        <v/>
      </c>
      <c r="CW23" s="97" t="str">
        <f t="shared" si="42"/>
        <v/>
      </c>
      <c r="CX23" s="98" t="str">
        <f t="shared" si="43"/>
        <v/>
      </c>
      <c r="CY23" s="392"/>
    </row>
    <row r="24" spans="1:103" x14ac:dyDescent="0.25">
      <c r="A24" s="81" t="s">
        <v>27</v>
      </c>
      <c r="B24" s="82" t="s">
        <v>59</v>
      </c>
      <c r="C24" s="83" t="s">
        <v>60</v>
      </c>
      <c r="D24" s="84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654">
        <f>'2022-23 Input'!E24</f>
        <v>0</v>
      </c>
      <c r="N24" s="1065">
        <v>0</v>
      </c>
      <c r="O24" s="560">
        <f t="shared" si="0"/>
        <v>0</v>
      </c>
      <c r="P24" s="561">
        <f t="shared" si="1"/>
        <v>0</v>
      </c>
      <c r="Q24" s="561">
        <f t="shared" si="2"/>
        <v>0</v>
      </c>
      <c r="R24" s="561">
        <f t="shared" si="3"/>
        <v>0</v>
      </c>
      <c r="S24" s="561">
        <f t="shared" si="4"/>
        <v>0</v>
      </c>
      <c r="T24" s="561">
        <f t="shared" si="5"/>
        <v>0</v>
      </c>
      <c r="U24" s="561">
        <f t="shared" si="6"/>
        <v>0</v>
      </c>
      <c r="V24" s="561">
        <f t="shared" si="7"/>
        <v>0</v>
      </c>
      <c r="W24" s="675">
        <f t="shared" si="8"/>
        <v>0</v>
      </c>
      <c r="X24" s="675">
        <f t="shared" si="9"/>
        <v>0</v>
      </c>
      <c r="Y24" s="675">
        <f t="shared" si="10"/>
        <v>0</v>
      </c>
      <c r="Z24" s="86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1094">
        <f>'2022-23 Input'!L24</f>
        <v>0</v>
      </c>
      <c r="AJ24" s="665">
        <v>0</v>
      </c>
      <c r="AK24" s="88">
        <f t="shared" si="11"/>
        <v>0</v>
      </c>
      <c r="AL24" s="89">
        <f t="shared" si="12"/>
        <v>0</v>
      </c>
      <c r="AM24" s="90">
        <f t="shared" si="13"/>
        <v>0</v>
      </c>
      <c r="AN24" s="91" t="str">
        <f t="shared" si="14"/>
        <v/>
      </c>
      <c r="AO24" s="92" t="str">
        <f t="shared" si="15"/>
        <v/>
      </c>
      <c r="AP24" s="92" t="str">
        <f t="shared" si="16"/>
        <v/>
      </c>
      <c r="AQ24" s="92" t="str">
        <f t="shared" si="17"/>
        <v/>
      </c>
      <c r="AR24" s="92" t="str">
        <f t="shared" si="18"/>
        <v/>
      </c>
      <c r="AS24" s="92" t="str">
        <f t="shared" si="19"/>
        <v/>
      </c>
      <c r="AT24" s="92" t="str">
        <f t="shared" si="20"/>
        <v/>
      </c>
      <c r="AU24" s="92" t="str">
        <f t="shared" si="21"/>
        <v/>
      </c>
      <c r="AV24" s="92" t="str">
        <f t="shared" si="45"/>
        <v/>
      </c>
      <c r="AW24" s="92" t="str">
        <f t="shared" si="45"/>
        <v/>
      </c>
      <c r="AX24" s="92" t="str">
        <f t="shared" si="45"/>
        <v/>
      </c>
      <c r="AY24" s="93" t="str">
        <f t="shared" si="23"/>
        <v/>
      </c>
      <c r="AZ24" s="94" t="str">
        <f t="shared" si="24"/>
        <v/>
      </c>
      <c r="BA24" s="95" t="str">
        <f t="shared" si="25"/>
        <v/>
      </c>
      <c r="BB24" s="248" t="s">
        <v>422</v>
      </c>
      <c r="BC24" s="229" t="s">
        <v>433</v>
      </c>
      <c r="BD24" s="249">
        <v>0</v>
      </c>
      <c r="BE24" s="267">
        <f t="shared" si="26"/>
        <v>0</v>
      </c>
      <c r="BF24" s="268">
        <f t="shared" si="44"/>
        <v>0</v>
      </c>
      <c r="BG24" s="268">
        <f t="shared" si="44"/>
        <v>0</v>
      </c>
      <c r="BH24" s="268">
        <f t="shared" si="44"/>
        <v>1</v>
      </c>
      <c r="BI24" s="268">
        <f t="shared" si="44"/>
        <v>2</v>
      </c>
      <c r="BJ24" s="268">
        <f t="shared" si="44"/>
        <v>3</v>
      </c>
      <c r="BK24" s="268">
        <f t="shared" si="44"/>
        <v>4</v>
      </c>
      <c r="BL24" s="269">
        <f t="shared" si="44"/>
        <v>5</v>
      </c>
      <c r="BM24" s="256">
        <f>IF($BC24=Lookup!$A$2,$BD24*ROUNDUP(BE24/10,0)+1,
IF($BC24=Lookup!$A$3,($BD24+1)^BD24,
IF($BC24=Lookup!$A$4,BE24*$BD24+1,"Error")))</f>
        <v>1</v>
      </c>
      <c r="BN24" s="229">
        <f>IF($BC24=Lookup!$A$2,$BD24*ROUNDUP(BF24/10,0)+1,
IF($BC24=Lookup!$A$3,($BD24+1)^BE24,
IF($BC24=Lookup!$A$4,BF24*$BD24+1,"Error")))</f>
        <v>1</v>
      </c>
      <c r="BO24" s="229">
        <f>IF($BC24=Lookup!$A$2,$BD24*ROUNDUP(BG24/10,0)+1,
IF($BC24=Lookup!$A$3,($BD24+1)^BF24,
IF($BC24=Lookup!$A$4,BG24*$BD24+1,"Error")))</f>
        <v>1</v>
      </c>
      <c r="BP24" s="229">
        <f>IF($BC24=Lookup!$A$2,$BD24*ROUNDUP(BH24/10,0)+1,
IF($BC24=Lookup!$A$3,($BD24+1)^BG24,
IF($BC24=Lookup!$A$4,BH24*$BD24+1,"Error")))</f>
        <v>1</v>
      </c>
      <c r="BQ24" s="229">
        <f>IF($BC24=Lookup!$A$2,$BD24*ROUNDUP(BI24/10,0)+1,
IF($BC24=Lookup!$A$3,($BD24+1)^BH24,
IF($BC24=Lookup!$A$4,BI24*$BD24+1,"Error")))</f>
        <v>1</v>
      </c>
      <c r="BR24" s="229">
        <f>IF($BC24=Lookup!$A$2,$BD24*ROUNDUP(BJ24/10,0)+1,
IF($BC24=Lookup!$A$3,($BD24+1)^BI24,
IF($BC24=Lookup!$A$4,BJ24*$BD24+1,"Error")))</f>
        <v>1</v>
      </c>
      <c r="BS24" s="229">
        <f>IF($BC24=Lookup!$A$2,$BD24*ROUNDUP(BK24/10,0)+1,
IF($BC24=Lookup!$A$3,($BD24+1)^BJ24,
IF($BC24=Lookup!$A$4,BK24*$BD24+1,"Error")))</f>
        <v>1</v>
      </c>
      <c r="BT24" s="249">
        <f>IF($BC24=Lookup!$A$2,$BD24*ROUNDUP(BL24/10,0)+1,
IF($BC24=Lookup!$A$3,($BD24+1)^BK24,
IF($BC24=Lookup!$A$4,BL24*$BD24+1,"Error")))</f>
        <v>1</v>
      </c>
      <c r="BU24" s="320"/>
      <c r="BV24" s="321"/>
      <c r="BW24" s="321"/>
      <c r="BX24" s="321"/>
      <c r="BY24" s="321"/>
      <c r="BZ24" s="321"/>
      <c r="CA24" s="321"/>
      <c r="CB24" s="277"/>
      <c r="CC24" s="382" t="s">
        <v>292</v>
      </c>
      <c r="CD24" s="383">
        <f>HLOOKUP($CC24,$AK$6:$AM$132,ROWS(CD$6:CD24),0)</f>
        <v>0</v>
      </c>
      <c r="CE24" s="234">
        <f t="shared" si="28"/>
        <v>0</v>
      </c>
      <c r="CF24" s="96">
        <f t="shared" si="29"/>
        <v>0</v>
      </c>
      <c r="CG24" s="96">
        <f t="shared" si="30"/>
        <v>0</v>
      </c>
      <c r="CH24" s="96">
        <f t="shared" si="31"/>
        <v>0</v>
      </c>
      <c r="CI24" s="96">
        <f t="shared" si="32"/>
        <v>0</v>
      </c>
      <c r="CJ24" s="96">
        <f t="shared" si="33"/>
        <v>0</v>
      </c>
      <c r="CK24" s="96">
        <f t="shared" si="34"/>
        <v>0</v>
      </c>
      <c r="CL24" s="286">
        <f t="shared" si="35"/>
        <v>0</v>
      </c>
      <c r="CM24" s="305" t="s">
        <v>293</v>
      </c>
      <c r="CN24" s="315">
        <v>0.05</v>
      </c>
      <c r="CO24" s="306"/>
      <c r="CP24" s="307" t="str">
        <f>IF($CO24&lt;&gt;"",$CO24,HLOOKUP($CM24,$AY$6:$BA$132,ROWS(CP$6:CP24),0))</f>
        <v/>
      </c>
      <c r="CQ24" s="784" t="str">
        <f t="shared" si="36"/>
        <v/>
      </c>
      <c r="CR24" s="784" t="str">
        <f t="shared" si="37"/>
        <v/>
      </c>
      <c r="CS24" s="97" t="str">
        <f t="shared" si="38"/>
        <v/>
      </c>
      <c r="CT24" s="97" t="str">
        <f t="shared" si="39"/>
        <v/>
      </c>
      <c r="CU24" s="97" t="str">
        <f t="shared" si="40"/>
        <v/>
      </c>
      <c r="CV24" s="97" t="str">
        <f t="shared" si="41"/>
        <v/>
      </c>
      <c r="CW24" s="97" t="str">
        <f t="shared" si="42"/>
        <v/>
      </c>
      <c r="CX24" s="98" t="str">
        <f t="shared" si="43"/>
        <v/>
      </c>
      <c r="CY24" s="392"/>
    </row>
    <row r="25" spans="1:103" x14ac:dyDescent="0.25">
      <c r="A25" s="81" t="s">
        <v>27</v>
      </c>
      <c r="B25" s="82" t="s">
        <v>61</v>
      </c>
      <c r="C25" s="83" t="s">
        <v>62</v>
      </c>
      <c r="D25" s="84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654">
        <f>'2022-23 Input'!E25</f>
        <v>0</v>
      </c>
      <c r="N25" s="1065">
        <v>0</v>
      </c>
      <c r="O25" s="560">
        <f t="shared" si="0"/>
        <v>0</v>
      </c>
      <c r="P25" s="561">
        <f t="shared" si="1"/>
        <v>0</v>
      </c>
      <c r="Q25" s="561">
        <f t="shared" si="2"/>
        <v>0</v>
      </c>
      <c r="R25" s="561">
        <f t="shared" si="3"/>
        <v>0</v>
      </c>
      <c r="S25" s="561">
        <f t="shared" si="4"/>
        <v>0</v>
      </c>
      <c r="T25" s="561">
        <f t="shared" si="5"/>
        <v>0</v>
      </c>
      <c r="U25" s="561">
        <f t="shared" si="6"/>
        <v>0</v>
      </c>
      <c r="V25" s="561">
        <f t="shared" si="7"/>
        <v>0</v>
      </c>
      <c r="W25" s="675">
        <f t="shared" si="8"/>
        <v>0</v>
      </c>
      <c r="X25" s="675">
        <f t="shared" si="9"/>
        <v>0</v>
      </c>
      <c r="Y25" s="675">
        <f t="shared" si="10"/>
        <v>0</v>
      </c>
      <c r="Z25" s="86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1094">
        <f>'2022-23 Input'!L25</f>
        <v>0</v>
      </c>
      <c r="AJ25" s="665">
        <v>0</v>
      </c>
      <c r="AK25" s="88">
        <f t="shared" si="11"/>
        <v>0</v>
      </c>
      <c r="AL25" s="89">
        <f t="shared" si="12"/>
        <v>0</v>
      </c>
      <c r="AM25" s="90">
        <f t="shared" si="13"/>
        <v>0</v>
      </c>
      <c r="AN25" s="91" t="str">
        <f t="shared" si="14"/>
        <v/>
      </c>
      <c r="AO25" s="92" t="str">
        <f t="shared" si="15"/>
        <v/>
      </c>
      <c r="AP25" s="92" t="str">
        <f t="shared" si="16"/>
        <v/>
      </c>
      <c r="AQ25" s="92" t="str">
        <f t="shared" si="17"/>
        <v/>
      </c>
      <c r="AR25" s="92" t="str">
        <f t="shared" si="18"/>
        <v/>
      </c>
      <c r="AS25" s="92" t="str">
        <f t="shared" si="19"/>
        <v/>
      </c>
      <c r="AT25" s="92" t="str">
        <f t="shared" si="20"/>
        <v/>
      </c>
      <c r="AU25" s="92" t="str">
        <f t="shared" si="21"/>
        <v/>
      </c>
      <c r="AV25" s="92" t="str">
        <f t="shared" si="45"/>
        <v/>
      </c>
      <c r="AW25" s="92" t="str">
        <f t="shared" si="45"/>
        <v/>
      </c>
      <c r="AX25" s="92" t="str">
        <f t="shared" si="45"/>
        <v/>
      </c>
      <c r="AY25" s="93" t="str">
        <f t="shared" si="23"/>
        <v/>
      </c>
      <c r="AZ25" s="94" t="str">
        <f t="shared" si="24"/>
        <v/>
      </c>
      <c r="BA25" s="95" t="str">
        <f t="shared" si="25"/>
        <v/>
      </c>
      <c r="BB25" s="248" t="s">
        <v>422</v>
      </c>
      <c r="BC25" s="229" t="s">
        <v>433</v>
      </c>
      <c r="BD25" s="249">
        <v>0</v>
      </c>
      <c r="BE25" s="267">
        <f t="shared" si="26"/>
        <v>0</v>
      </c>
      <c r="BF25" s="268">
        <f t="shared" si="44"/>
        <v>0</v>
      </c>
      <c r="BG25" s="268">
        <f t="shared" si="44"/>
        <v>0</v>
      </c>
      <c r="BH25" s="268">
        <f t="shared" si="44"/>
        <v>1</v>
      </c>
      <c r="BI25" s="268">
        <f t="shared" si="44"/>
        <v>2</v>
      </c>
      <c r="BJ25" s="268">
        <f t="shared" si="44"/>
        <v>3</v>
      </c>
      <c r="BK25" s="268">
        <f t="shared" si="44"/>
        <v>4</v>
      </c>
      <c r="BL25" s="269">
        <f t="shared" si="44"/>
        <v>5</v>
      </c>
      <c r="BM25" s="256">
        <f>IF($BC25=Lookup!$A$2,$BD25*ROUNDUP(BE25/10,0)+1,
IF($BC25=Lookup!$A$3,($BD25+1)^BD25,
IF($BC25=Lookup!$A$4,BE25*$BD25+1,"Error")))</f>
        <v>1</v>
      </c>
      <c r="BN25" s="229">
        <f>IF($BC25=Lookup!$A$2,$BD25*ROUNDUP(BF25/10,0)+1,
IF($BC25=Lookup!$A$3,($BD25+1)^BE25,
IF($BC25=Lookup!$A$4,BF25*$BD25+1,"Error")))</f>
        <v>1</v>
      </c>
      <c r="BO25" s="229">
        <f>IF($BC25=Lookup!$A$2,$BD25*ROUNDUP(BG25/10,0)+1,
IF($BC25=Lookup!$A$3,($BD25+1)^BF25,
IF($BC25=Lookup!$A$4,BG25*$BD25+1,"Error")))</f>
        <v>1</v>
      </c>
      <c r="BP25" s="229">
        <f>IF($BC25=Lookup!$A$2,$BD25*ROUNDUP(BH25/10,0)+1,
IF($BC25=Lookup!$A$3,($BD25+1)^BG25,
IF($BC25=Lookup!$A$4,BH25*$BD25+1,"Error")))</f>
        <v>1</v>
      </c>
      <c r="BQ25" s="229">
        <f>IF($BC25=Lookup!$A$2,$BD25*ROUNDUP(BI25/10,0)+1,
IF($BC25=Lookup!$A$3,($BD25+1)^BH25,
IF($BC25=Lookup!$A$4,BI25*$BD25+1,"Error")))</f>
        <v>1</v>
      </c>
      <c r="BR25" s="229">
        <f>IF($BC25=Lookup!$A$2,$BD25*ROUNDUP(BJ25/10,0)+1,
IF($BC25=Lookup!$A$3,($BD25+1)^BI25,
IF($BC25=Lookup!$A$4,BJ25*$BD25+1,"Error")))</f>
        <v>1</v>
      </c>
      <c r="BS25" s="229">
        <f>IF($BC25=Lookup!$A$2,$BD25*ROUNDUP(BK25/10,0)+1,
IF($BC25=Lookup!$A$3,($BD25+1)^BJ25,
IF($BC25=Lookup!$A$4,BK25*$BD25+1,"Error")))</f>
        <v>1</v>
      </c>
      <c r="BT25" s="249">
        <f>IF($BC25=Lookup!$A$2,$BD25*ROUNDUP(BL25/10,0)+1,
IF($BC25=Lookup!$A$3,($BD25+1)^BK25,
IF($BC25=Lookup!$A$4,BL25*$BD25+1,"Error")))</f>
        <v>1</v>
      </c>
      <c r="BU25" s="320"/>
      <c r="BV25" s="321"/>
      <c r="BW25" s="321"/>
      <c r="BX25" s="321"/>
      <c r="BY25" s="321"/>
      <c r="BZ25" s="321"/>
      <c r="CA25" s="321"/>
      <c r="CB25" s="277"/>
      <c r="CC25" s="382" t="s">
        <v>292</v>
      </c>
      <c r="CD25" s="383">
        <f>HLOOKUP($CC25,$AK$6:$AM$132,ROWS(CD$6:CD25),0)</f>
        <v>0</v>
      </c>
      <c r="CE25" s="234">
        <f t="shared" si="28"/>
        <v>0</v>
      </c>
      <c r="CF25" s="96">
        <f t="shared" si="29"/>
        <v>0</v>
      </c>
      <c r="CG25" s="96">
        <f t="shared" si="30"/>
        <v>0</v>
      </c>
      <c r="CH25" s="96">
        <f t="shared" si="31"/>
        <v>0</v>
      </c>
      <c r="CI25" s="96">
        <f t="shared" si="32"/>
        <v>0</v>
      </c>
      <c r="CJ25" s="96">
        <f t="shared" si="33"/>
        <v>0</v>
      </c>
      <c r="CK25" s="96">
        <f t="shared" si="34"/>
        <v>0</v>
      </c>
      <c r="CL25" s="286">
        <f t="shared" si="35"/>
        <v>0</v>
      </c>
      <c r="CM25" s="305" t="s">
        <v>293</v>
      </c>
      <c r="CN25" s="315">
        <v>0.05</v>
      </c>
      <c r="CO25" s="306"/>
      <c r="CP25" s="307" t="str">
        <f>IF($CO25&lt;&gt;"",$CO25,HLOOKUP($CM25,$AY$6:$BA$132,ROWS(CP$6:CP25),0))</f>
        <v/>
      </c>
      <c r="CQ25" s="784" t="str">
        <f t="shared" si="36"/>
        <v/>
      </c>
      <c r="CR25" s="784" t="str">
        <f t="shared" si="37"/>
        <v/>
      </c>
      <c r="CS25" s="97" t="str">
        <f t="shared" si="38"/>
        <v/>
      </c>
      <c r="CT25" s="97" t="str">
        <f t="shared" si="39"/>
        <v/>
      </c>
      <c r="CU25" s="97" t="str">
        <f t="shared" si="40"/>
        <v/>
      </c>
      <c r="CV25" s="97" t="str">
        <f t="shared" si="41"/>
        <v/>
      </c>
      <c r="CW25" s="97" t="str">
        <f t="shared" si="42"/>
        <v/>
      </c>
      <c r="CX25" s="98" t="str">
        <f t="shared" si="43"/>
        <v/>
      </c>
      <c r="CY25" s="392"/>
    </row>
    <row r="26" spans="1:103" ht="15.75" thickBot="1" x14ac:dyDescent="0.3">
      <c r="A26" s="100" t="s">
        <v>27</v>
      </c>
      <c r="B26" s="101" t="s">
        <v>303</v>
      </c>
      <c r="C26" s="102" t="s">
        <v>304</v>
      </c>
      <c r="D26" s="103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655">
        <f>'2022-23 Input'!E26</f>
        <v>0</v>
      </c>
      <c r="N26" s="1066">
        <v>0</v>
      </c>
      <c r="O26" s="563">
        <f t="shared" si="0"/>
        <v>0</v>
      </c>
      <c r="P26" s="564">
        <f t="shared" si="1"/>
        <v>0</v>
      </c>
      <c r="Q26" s="564">
        <f t="shared" si="2"/>
        <v>0</v>
      </c>
      <c r="R26" s="564">
        <f t="shared" si="3"/>
        <v>0</v>
      </c>
      <c r="S26" s="564">
        <f t="shared" si="4"/>
        <v>0</v>
      </c>
      <c r="T26" s="564">
        <f t="shared" si="5"/>
        <v>0</v>
      </c>
      <c r="U26" s="564">
        <f t="shared" si="6"/>
        <v>0</v>
      </c>
      <c r="V26" s="564">
        <f t="shared" si="7"/>
        <v>0</v>
      </c>
      <c r="W26" s="676">
        <f t="shared" si="8"/>
        <v>0</v>
      </c>
      <c r="X26" s="676">
        <f t="shared" si="9"/>
        <v>0</v>
      </c>
      <c r="Y26" s="676">
        <f t="shared" si="10"/>
        <v>0</v>
      </c>
      <c r="Z26" s="105">
        <v>0</v>
      </c>
      <c r="AA26" s="106">
        <v>0</v>
      </c>
      <c r="AB26" s="106">
        <v>0</v>
      </c>
      <c r="AC26" s="106">
        <v>0</v>
      </c>
      <c r="AD26" s="106">
        <v>0</v>
      </c>
      <c r="AE26" s="106">
        <v>0</v>
      </c>
      <c r="AF26" s="106">
        <v>0</v>
      </c>
      <c r="AG26" s="106">
        <v>0</v>
      </c>
      <c r="AH26" s="106">
        <v>0</v>
      </c>
      <c r="AI26" s="1095">
        <f>'2022-23 Input'!L26</f>
        <v>0</v>
      </c>
      <c r="AJ26" s="666">
        <v>0</v>
      </c>
      <c r="AK26" s="107">
        <f t="shared" si="11"/>
        <v>0</v>
      </c>
      <c r="AL26" s="108">
        <f t="shared" si="12"/>
        <v>0</v>
      </c>
      <c r="AM26" s="109">
        <f t="shared" si="13"/>
        <v>0</v>
      </c>
      <c r="AN26" s="110" t="str">
        <f t="shared" si="14"/>
        <v/>
      </c>
      <c r="AO26" s="111" t="str">
        <f t="shared" si="15"/>
        <v/>
      </c>
      <c r="AP26" s="111" t="str">
        <f t="shared" si="16"/>
        <v/>
      </c>
      <c r="AQ26" s="111" t="str">
        <f t="shared" si="17"/>
        <v/>
      </c>
      <c r="AR26" s="111" t="str">
        <f t="shared" si="18"/>
        <v/>
      </c>
      <c r="AS26" s="111" t="str">
        <f t="shared" si="19"/>
        <v/>
      </c>
      <c r="AT26" s="111" t="str">
        <f t="shared" si="20"/>
        <v/>
      </c>
      <c r="AU26" s="111" t="str">
        <f t="shared" si="21"/>
        <v/>
      </c>
      <c r="AV26" s="111" t="str">
        <f t="shared" si="45"/>
        <v/>
      </c>
      <c r="AW26" s="111" t="str">
        <f t="shared" si="45"/>
        <v/>
      </c>
      <c r="AX26" s="111" t="str">
        <f t="shared" si="45"/>
        <v/>
      </c>
      <c r="AY26" s="112" t="str">
        <f t="shared" si="23"/>
        <v/>
      </c>
      <c r="AZ26" s="113" t="str">
        <f t="shared" si="24"/>
        <v/>
      </c>
      <c r="BA26" s="114" t="str">
        <f t="shared" si="25"/>
        <v/>
      </c>
      <c r="BB26" s="250" t="s">
        <v>422</v>
      </c>
      <c r="BC26" s="230" t="s">
        <v>433</v>
      </c>
      <c r="BD26" s="251">
        <v>0</v>
      </c>
      <c r="BE26" s="270">
        <f t="shared" si="26"/>
        <v>0</v>
      </c>
      <c r="BF26" s="271">
        <f t="shared" si="44"/>
        <v>0</v>
      </c>
      <c r="BG26" s="271">
        <f t="shared" si="44"/>
        <v>0</v>
      </c>
      <c r="BH26" s="271">
        <f t="shared" si="44"/>
        <v>1</v>
      </c>
      <c r="BI26" s="271">
        <f t="shared" si="44"/>
        <v>2</v>
      </c>
      <c r="BJ26" s="271">
        <f t="shared" si="44"/>
        <v>3</v>
      </c>
      <c r="BK26" s="271">
        <f t="shared" si="44"/>
        <v>4</v>
      </c>
      <c r="BL26" s="272">
        <f t="shared" si="44"/>
        <v>5</v>
      </c>
      <c r="BM26" s="257">
        <f>IF($BC26=Lookup!$A$2,$BD26*ROUNDUP(BE26/10,0)+1,
IF($BC26=Lookup!$A$3,($BD26+1)^BD26,
IF($BC26=Lookup!$A$4,BE26*$BD26+1,"Error")))</f>
        <v>1</v>
      </c>
      <c r="BN26" s="230">
        <f>IF($BC26=Lookup!$A$2,$BD26*ROUNDUP(BF26/10,0)+1,
IF($BC26=Lookup!$A$3,($BD26+1)^BE26,
IF($BC26=Lookup!$A$4,BF26*$BD26+1,"Error")))</f>
        <v>1</v>
      </c>
      <c r="BO26" s="230">
        <f>IF($BC26=Lookup!$A$2,$BD26*ROUNDUP(BG26/10,0)+1,
IF($BC26=Lookup!$A$3,($BD26+1)^BF26,
IF($BC26=Lookup!$A$4,BG26*$BD26+1,"Error")))</f>
        <v>1</v>
      </c>
      <c r="BP26" s="230">
        <f>IF($BC26=Lookup!$A$2,$BD26*ROUNDUP(BH26/10,0)+1,
IF($BC26=Lookup!$A$3,($BD26+1)^BG26,
IF($BC26=Lookup!$A$4,BH26*$BD26+1,"Error")))</f>
        <v>1</v>
      </c>
      <c r="BQ26" s="230">
        <f>IF($BC26=Lookup!$A$2,$BD26*ROUNDUP(BI26/10,0)+1,
IF($BC26=Lookup!$A$3,($BD26+1)^BH26,
IF($BC26=Lookup!$A$4,BI26*$BD26+1,"Error")))</f>
        <v>1</v>
      </c>
      <c r="BR26" s="230">
        <f>IF($BC26=Lookup!$A$2,$BD26*ROUNDUP(BJ26/10,0)+1,
IF($BC26=Lookup!$A$3,($BD26+1)^BI26,
IF($BC26=Lookup!$A$4,BJ26*$BD26+1,"Error")))</f>
        <v>1</v>
      </c>
      <c r="BS26" s="230">
        <f>IF($BC26=Lookup!$A$2,$BD26*ROUNDUP(BK26/10,0)+1,
IF($BC26=Lookup!$A$3,($BD26+1)^BJ26,
IF($BC26=Lookup!$A$4,BK26*$BD26+1,"Error")))</f>
        <v>1</v>
      </c>
      <c r="BT26" s="251">
        <f>IF($BC26=Lookup!$A$2,$BD26*ROUNDUP(BL26/10,0)+1,
IF($BC26=Lookup!$A$3,($BD26+1)^BK26,
IF($BC26=Lookup!$A$4,BL26*$BD26+1,"Error")))</f>
        <v>1</v>
      </c>
      <c r="BU26" s="322"/>
      <c r="BV26" s="323"/>
      <c r="BW26" s="323"/>
      <c r="BX26" s="323"/>
      <c r="BY26" s="323"/>
      <c r="BZ26" s="323"/>
      <c r="CA26" s="323"/>
      <c r="CB26" s="278"/>
      <c r="CC26" s="384" t="s">
        <v>292</v>
      </c>
      <c r="CD26" s="385">
        <f>HLOOKUP($CC26,$AK$6:$AM$132,ROWS(CD$6:CD26),0)</f>
        <v>0</v>
      </c>
      <c r="CE26" s="235">
        <f t="shared" si="28"/>
        <v>0</v>
      </c>
      <c r="CF26" s="115">
        <f t="shared" si="29"/>
        <v>0</v>
      </c>
      <c r="CG26" s="115">
        <f t="shared" si="30"/>
        <v>0</v>
      </c>
      <c r="CH26" s="115">
        <f t="shared" si="31"/>
        <v>0</v>
      </c>
      <c r="CI26" s="115">
        <f t="shared" si="32"/>
        <v>0</v>
      </c>
      <c r="CJ26" s="115">
        <f t="shared" si="33"/>
        <v>0</v>
      </c>
      <c r="CK26" s="115">
        <f t="shared" si="34"/>
        <v>0</v>
      </c>
      <c r="CL26" s="287">
        <f t="shared" si="35"/>
        <v>0</v>
      </c>
      <c r="CM26" s="308" t="s">
        <v>293</v>
      </c>
      <c r="CN26" s="316">
        <v>0.05</v>
      </c>
      <c r="CO26" s="309"/>
      <c r="CP26" s="310" t="str">
        <f>IF($CO26&lt;&gt;"",$CO26,HLOOKUP($CM26,$AY$6:$BA$132,ROWS(CP$6:CP26),0))</f>
        <v/>
      </c>
      <c r="CQ26" s="785" t="str">
        <f t="shared" si="36"/>
        <v/>
      </c>
      <c r="CR26" s="785" t="str">
        <f t="shared" si="37"/>
        <v/>
      </c>
      <c r="CS26" s="117" t="str">
        <f t="shared" si="38"/>
        <v/>
      </c>
      <c r="CT26" s="117" t="str">
        <f t="shared" si="39"/>
        <v/>
      </c>
      <c r="CU26" s="117" t="str">
        <f t="shared" si="40"/>
        <v/>
      </c>
      <c r="CV26" s="117" t="str">
        <f t="shared" si="41"/>
        <v/>
      </c>
      <c r="CW26" s="117" t="str">
        <f t="shared" si="42"/>
        <v/>
      </c>
      <c r="CX26" s="118" t="str">
        <f t="shared" si="43"/>
        <v/>
      </c>
      <c r="CY26" s="393"/>
    </row>
    <row r="27" spans="1:103" x14ac:dyDescent="0.25">
      <c r="A27" s="63" t="s">
        <v>68</v>
      </c>
      <c r="B27" s="64" t="s">
        <v>65</v>
      </c>
      <c r="C27" s="65" t="s">
        <v>305</v>
      </c>
      <c r="D27" s="66">
        <v>292520.07952005108</v>
      </c>
      <c r="E27" s="67">
        <v>512397.52631692588</v>
      </c>
      <c r="F27" s="67">
        <v>688436.24922327441</v>
      </c>
      <c r="G27" s="67">
        <v>609474.99445581483</v>
      </c>
      <c r="H27" s="67">
        <v>472088.34110843774</v>
      </c>
      <c r="I27" s="67">
        <v>1878477.2965438541</v>
      </c>
      <c r="J27" s="67">
        <v>642212.37655975483</v>
      </c>
      <c r="K27" s="67">
        <v>41751.163392777991</v>
      </c>
      <c r="L27" s="67">
        <v>0</v>
      </c>
      <c r="M27" s="653">
        <f>'2022-23 Input'!E27</f>
        <v>0</v>
      </c>
      <c r="N27" s="1064">
        <v>0</v>
      </c>
      <c r="O27" s="557">
        <f t="shared" si="0"/>
        <v>393572.98948506307</v>
      </c>
      <c r="P27" s="558">
        <f t="shared" si="1"/>
        <v>679147.52616086777</v>
      </c>
      <c r="Q27" s="558">
        <f t="shared" si="2"/>
        <v>903232.31592977897</v>
      </c>
      <c r="R27" s="558">
        <f t="shared" si="3"/>
        <v>784465.47395448852</v>
      </c>
      <c r="S27" s="558">
        <f t="shared" si="4"/>
        <v>595265.06374550029</v>
      </c>
      <c r="T27" s="558">
        <f t="shared" si="5"/>
        <v>2331468.8927867208</v>
      </c>
      <c r="U27" s="558">
        <f t="shared" si="6"/>
        <v>799867.79163774534</v>
      </c>
      <c r="V27" s="558">
        <f t="shared" si="7"/>
        <v>50074.624790977097</v>
      </c>
      <c r="W27" s="674">
        <f t="shared" si="8"/>
        <v>0</v>
      </c>
      <c r="X27" s="674">
        <f t="shared" si="9"/>
        <v>0</v>
      </c>
      <c r="Y27" s="674">
        <f t="shared" si="10"/>
        <v>0</v>
      </c>
      <c r="Z27" s="68">
        <v>279</v>
      </c>
      <c r="AA27" s="69">
        <v>433</v>
      </c>
      <c r="AB27" s="69">
        <v>461</v>
      </c>
      <c r="AC27" s="69">
        <v>473</v>
      </c>
      <c r="AD27" s="69">
        <v>384</v>
      </c>
      <c r="AE27" s="69">
        <v>888</v>
      </c>
      <c r="AF27" s="69">
        <v>286</v>
      </c>
      <c r="AG27" s="69">
        <v>29</v>
      </c>
      <c r="AH27" s="69">
        <v>0</v>
      </c>
      <c r="AI27" s="1093">
        <f>'2022-23 Input'!L27</f>
        <v>0</v>
      </c>
      <c r="AJ27" s="664">
        <v>0</v>
      </c>
      <c r="AK27" s="70">
        <f t="shared" si="11"/>
        <v>240.6</v>
      </c>
      <c r="AL27" s="71">
        <f t="shared" si="12"/>
        <v>9.6666666666666661</v>
      </c>
      <c r="AM27" s="72">
        <f t="shared" si="13"/>
        <v>0</v>
      </c>
      <c r="AN27" s="73">
        <f t="shared" si="14"/>
        <v>1048.4590663801114</v>
      </c>
      <c r="AO27" s="74">
        <f t="shared" si="15"/>
        <v>1183.3661115864338</v>
      </c>
      <c r="AP27" s="74">
        <f t="shared" si="16"/>
        <v>1493.3541197901832</v>
      </c>
      <c r="AQ27" s="74">
        <f t="shared" si="17"/>
        <v>1288.5306436697988</v>
      </c>
      <c r="AR27" s="74">
        <f t="shared" si="18"/>
        <v>1229.3967216365565</v>
      </c>
      <c r="AS27" s="74">
        <f t="shared" si="19"/>
        <v>2115.4023609728088</v>
      </c>
      <c r="AT27" s="74">
        <f t="shared" si="20"/>
        <v>2245.4978201390031</v>
      </c>
      <c r="AU27" s="74">
        <f t="shared" si="21"/>
        <v>1439.6952894061376</v>
      </c>
      <c r="AV27" s="74" t="str">
        <f t="shared" si="45"/>
        <v/>
      </c>
      <c r="AW27" s="74" t="str">
        <f t="shared" si="45"/>
        <v/>
      </c>
      <c r="AX27" s="74" t="str">
        <f t="shared" si="45"/>
        <v/>
      </c>
      <c r="AY27" s="75">
        <f t="shared" si="23"/>
        <v>2130.0422581017351</v>
      </c>
      <c r="AZ27" s="76">
        <f t="shared" si="24"/>
        <v>1439.6952894061376</v>
      </c>
      <c r="BA27" s="77" t="str">
        <f t="shared" si="25"/>
        <v/>
      </c>
      <c r="BB27" s="246" t="s">
        <v>422</v>
      </c>
      <c r="BC27" s="228" t="s">
        <v>433</v>
      </c>
      <c r="BD27" s="247">
        <v>8.9918256000000002E-2</v>
      </c>
      <c r="BE27" s="264">
        <f t="shared" si="26"/>
        <v>0</v>
      </c>
      <c r="BF27" s="265">
        <f t="shared" ref="BF27:BL36" si="46">IF(BF$6=$BB27,1,
IF(BE27&lt;&gt;0,BE27+1,0
))</f>
        <v>0</v>
      </c>
      <c r="BG27" s="265">
        <f t="shared" si="46"/>
        <v>0</v>
      </c>
      <c r="BH27" s="265">
        <f t="shared" si="46"/>
        <v>1</v>
      </c>
      <c r="BI27" s="265">
        <f t="shared" si="46"/>
        <v>2</v>
      </c>
      <c r="BJ27" s="265">
        <f t="shared" si="46"/>
        <v>3</v>
      </c>
      <c r="BK27" s="265">
        <f t="shared" si="46"/>
        <v>4</v>
      </c>
      <c r="BL27" s="266">
        <f t="shared" si="46"/>
        <v>5</v>
      </c>
      <c r="BM27" s="255">
        <f>IF($BC27=Lookup!$A$2,$BD27*ROUNDUP(BE27/10,0)+1,
IF($BC27=Lookup!$A$3,($BD27+1)^BD27,
IF($BC27=Lookup!$A$4,BE27*$BD27+1,"Error")))</f>
        <v>1</v>
      </c>
      <c r="BN27" s="228">
        <f>IF($BC27=Lookup!$A$2,$BD27*ROUNDUP(BF27/10,0)+1,
IF($BC27=Lookup!$A$3,($BD27+1)^BE27,
IF($BC27=Lookup!$A$4,BF27*$BD27+1,"Error")))</f>
        <v>1</v>
      </c>
      <c r="BO27" s="228">
        <f>IF($BC27=Lookup!$A$2,$BD27*ROUNDUP(BG27/10,0)+1,
IF($BC27=Lookup!$A$3,($BD27+1)^BF27,
IF($BC27=Lookup!$A$4,BG27*$BD27+1,"Error")))</f>
        <v>1</v>
      </c>
      <c r="BP27" s="228">
        <f>IF($BC27=Lookup!$A$2,$BD27*ROUNDUP(BH27/10,0)+1,
IF($BC27=Lookup!$A$3,($BD27+1)^BG27,
IF($BC27=Lookup!$A$4,BH27*$BD27+1,"Error")))</f>
        <v>1.089918256</v>
      </c>
      <c r="BQ27" s="228">
        <f>IF($BC27=Lookup!$A$2,$BD27*ROUNDUP(BI27/10,0)+1,
IF($BC27=Lookup!$A$3,($BD27+1)^BH27,
IF($BC27=Lookup!$A$4,BI27*$BD27+1,"Error")))</f>
        <v>1.089918256</v>
      </c>
      <c r="BR27" s="228">
        <f>IF($BC27=Lookup!$A$2,$BD27*ROUNDUP(BJ27/10,0)+1,
IF($BC27=Lookup!$A$3,($BD27+1)^BI27,
IF($BC27=Lookup!$A$4,BJ27*$BD27+1,"Error")))</f>
        <v>1.089918256</v>
      </c>
      <c r="BS27" s="228">
        <f>IF($BC27=Lookup!$A$2,$BD27*ROUNDUP(BK27/10,0)+1,
IF($BC27=Lookup!$A$3,($BD27+1)^BJ27,
IF($BC27=Lookup!$A$4,BK27*$BD27+1,"Error")))</f>
        <v>1.089918256</v>
      </c>
      <c r="BT27" s="247">
        <f>IF($BC27=Lookup!$A$2,$BD27*ROUNDUP(BL27/10,0)+1,
IF($BC27=Lookup!$A$3,($BD27+1)^BK27,
IF($BC27=Lookup!$A$4,BL27*$BD27+1,"Error")))</f>
        <v>1.089918256</v>
      </c>
      <c r="BU27" s="318"/>
      <c r="BV27" s="319"/>
      <c r="BW27" s="319"/>
      <c r="BX27" s="319"/>
      <c r="BY27" s="319"/>
      <c r="BZ27" s="319"/>
      <c r="CA27" s="319"/>
      <c r="CB27" s="276"/>
      <c r="CC27" s="380" t="s">
        <v>292</v>
      </c>
      <c r="CD27" s="381">
        <f>HLOOKUP($CC27,$AK$6:$AM$132,ROWS(CD$6:CD27),0)</f>
        <v>240.6</v>
      </c>
      <c r="CE27" s="233">
        <f t="shared" si="28"/>
        <v>240.6</v>
      </c>
      <c r="CF27" s="78">
        <f t="shared" si="29"/>
        <v>240.6</v>
      </c>
      <c r="CG27" s="78">
        <f t="shared" si="30"/>
        <v>240.6</v>
      </c>
      <c r="CH27" s="78">
        <f t="shared" si="31"/>
        <v>262.23433239360003</v>
      </c>
      <c r="CI27" s="78">
        <f t="shared" si="32"/>
        <v>262.23433239360003</v>
      </c>
      <c r="CJ27" s="78">
        <f t="shared" si="33"/>
        <v>262.23433239360003</v>
      </c>
      <c r="CK27" s="78">
        <f t="shared" si="34"/>
        <v>262.23433239360003</v>
      </c>
      <c r="CL27" s="285">
        <f t="shared" si="35"/>
        <v>262.23433239360003</v>
      </c>
      <c r="CM27" s="302" t="s">
        <v>293</v>
      </c>
      <c r="CN27" s="314">
        <v>0.05</v>
      </c>
      <c r="CO27" s="303"/>
      <c r="CP27" s="304">
        <f>IF($CO27&lt;&gt;"",$CO27,HLOOKUP($CM27,$AY$6:$BA$132,ROWS(CP$6:CP27),0))</f>
        <v>1439.6952894061376</v>
      </c>
      <c r="CQ27" s="783">
        <f>IFERROR(CE27*$CP27,"")</f>
        <v>346390.68663111673</v>
      </c>
      <c r="CR27" s="783">
        <f t="shared" si="37"/>
        <v>346390.68663111673</v>
      </c>
      <c r="CS27" s="79">
        <f t="shared" si="38"/>
        <v>346390.68663111673</v>
      </c>
      <c r="CT27" s="79">
        <f t="shared" si="39"/>
        <v>377537.53306762927</v>
      </c>
      <c r="CU27" s="79">
        <f t="shared" si="40"/>
        <v>377537.53306762927</v>
      </c>
      <c r="CV27" s="79">
        <f t="shared" si="41"/>
        <v>377537.53306762927</v>
      </c>
      <c r="CW27" s="79">
        <f t="shared" si="42"/>
        <v>377537.53306762927</v>
      </c>
      <c r="CX27" s="80">
        <f t="shared" si="43"/>
        <v>377537.53306762927</v>
      </c>
      <c r="CY27" s="391" t="s">
        <v>471</v>
      </c>
    </row>
    <row r="28" spans="1:103" x14ac:dyDescent="0.25">
      <c r="A28" s="81" t="s">
        <v>68</v>
      </c>
      <c r="B28" s="82" t="s">
        <v>69</v>
      </c>
      <c r="C28" s="83" t="s">
        <v>70</v>
      </c>
      <c r="D28" s="84">
        <v>356628.22710629803</v>
      </c>
      <c r="E28" s="85">
        <v>393235.42741894425</v>
      </c>
      <c r="F28" s="85">
        <v>493172.04501910717</v>
      </c>
      <c r="G28" s="85">
        <v>1035914.5961975788</v>
      </c>
      <c r="H28" s="85">
        <v>2194460.6686251769</v>
      </c>
      <c r="I28" s="85">
        <v>1350160.530369831</v>
      </c>
      <c r="J28" s="85">
        <v>2490556.4823507424</v>
      </c>
      <c r="K28" s="85">
        <v>223641.29926120397</v>
      </c>
      <c r="L28" s="85">
        <v>0</v>
      </c>
      <c r="M28" s="654">
        <f>'2022-23 Input'!E28</f>
        <v>0</v>
      </c>
      <c r="N28" s="1065">
        <v>0</v>
      </c>
      <c r="O28" s="560">
        <f t="shared" si="0"/>
        <v>479827.70176760684</v>
      </c>
      <c r="P28" s="561">
        <f t="shared" si="1"/>
        <v>521206.39545243175</v>
      </c>
      <c r="Q28" s="561">
        <f t="shared" si="2"/>
        <v>647044.55768709071</v>
      </c>
      <c r="R28" s="561">
        <f t="shared" si="3"/>
        <v>1333343.0281386552</v>
      </c>
      <c r="S28" s="561">
        <f t="shared" si="4"/>
        <v>2767036.709123278</v>
      </c>
      <c r="T28" s="561">
        <f t="shared" si="5"/>
        <v>1675749.4395153543</v>
      </c>
      <c r="U28" s="561">
        <f t="shared" si="6"/>
        <v>3101958.1468648366</v>
      </c>
      <c r="V28" s="561">
        <f t="shared" si="7"/>
        <v>268226.15798554115</v>
      </c>
      <c r="W28" s="675">
        <f t="shared" si="8"/>
        <v>0</v>
      </c>
      <c r="X28" s="675">
        <f t="shared" si="9"/>
        <v>0</v>
      </c>
      <c r="Y28" s="675">
        <f t="shared" si="10"/>
        <v>0</v>
      </c>
      <c r="Z28" s="86">
        <v>267</v>
      </c>
      <c r="AA28" s="87">
        <v>235</v>
      </c>
      <c r="AB28" s="87">
        <v>247</v>
      </c>
      <c r="AC28" s="87">
        <v>557</v>
      </c>
      <c r="AD28" s="87">
        <v>1078</v>
      </c>
      <c r="AE28" s="87">
        <v>565</v>
      </c>
      <c r="AF28" s="87">
        <v>1004</v>
      </c>
      <c r="AG28" s="87">
        <v>51</v>
      </c>
      <c r="AH28" s="87">
        <v>0</v>
      </c>
      <c r="AI28" s="1094">
        <f>'2022-23 Input'!L28</f>
        <v>0</v>
      </c>
      <c r="AJ28" s="665">
        <v>0</v>
      </c>
      <c r="AK28" s="88">
        <f t="shared" si="11"/>
        <v>324</v>
      </c>
      <c r="AL28" s="89">
        <f t="shared" si="12"/>
        <v>17</v>
      </c>
      <c r="AM28" s="90">
        <f t="shared" si="13"/>
        <v>0</v>
      </c>
      <c r="AN28" s="91">
        <f t="shared" si="14"/>
        <v>1335.6862438438129</v>
      </c>
      <c r="AO28" s="92">
        <f t="shared" si="15"/>
        <v>1673.3422443359329</v>
      </c>
      <c r="AP28" s="92">
        <f t="shared" si="16"/>
        <v>1996.6479555429439</v>
      </c>
      <c r="AQ28" s="92">
        <f t="shared" si="17"/>
        <v>1859.8107651662096</v>
      </c>
      <c r="AR28" s="92">
        <f t="shared" si="18"/>
        <v>2035.677800208884</v>
      </c>
      <c r="AS28" s="92">
        <f t="shared" si="19"/>
        <v>2389.6646555218249</v>
      </c>
      <c r="AT28" s="92">
        <f t="shared" si="20"/>
        <v>2480.6339465644846</v>
      </c>
      <c r="AU28" s="92">
        <f t="shared" si="21"/>
        <v>4385.1235149255681</v>
      </c>
      <c r="AV28" s="92" t="str">
        <f t="shared" si="45"/>
        <v/>
      </c>
      <c r="AW28" s="92" t="str">
        <f t="shared" si="45"/>
        <v/>
      </c>
      <c r="AX28" s="92" t="str">
        <f t="shared" si="45"/>
        <v/>
      </c>
      <c r="AY28" s="93">
        <f t="shared" si="23"/>
        <v>2508.8631555443071</v>
      </c>
      <c r="AZ28" s="94">
        <f t="shared" si="24"/>
        <v>4385.1235149255681</v>
      </c>
      <c r="BA28" s="95" t="str">
        <f t="shared" si="25"/>
        <v/>
      </c>
      <c r="BB28" s="248" t="s">
        <v>422</v>
      </c>
      <c r="BC28" s="229" t="s">
        <v>433</v>
      </c>
      <c r="BD28" s="249">
        <v>8.9918256000000002E-2</v>
      </c>
      <c r="BE28" s="267">
        <f t="shared" si="26"/>
        <v>0</v>
      </c>
      <c r="BF28" s="268">
        <f t="shared" si="46"/>
        <v>0</v>
      </c>
      <c r="BG28" s="268">
        <f t="shared" si="46"/>
        <v>0</v>
      </c>
      <c r="BH28" s="268">
        <f t="shared" si="46"/>
        <v>1</v>
      </c>
      <c r="BI28" s="268">
        <f t="shared" si="46"/>
        <v>2</v>
      </c>
      <c r="BJ28" s="268">
        <f t="shared" si="46"/>
        <v>3</v>
      </c>
      <c r="BK28" s="268">
        <f t="shared" si="46"/>
        <v>4</v>
      </c>
      <c r="BL28" s="269">
        <f t="shared" si="46"/>
        <v>5</v>
      </c>
      <c r="BM28" s="256">
        <f>IF($BC28=Lookup!$A$2,$BD28*ROUNDUP(BE28/10,0)+1,
IF($BC28=Lookup!$A$3,($BD28+1)^BD28,
IF($BC28=Lookup!$A$4,BE28*$BD28+1,"Error")))</f>
        <v>1</v>
      </c>
      <c r="BN28" s="229">
        <f>IF($BC28=Lookup!$A$2,$BD28*ROUNDUP(BF28/10,0)+1,
IF($BC28=Lookup!$A$3,($BD28+1)^BE28,
IF($BC28=Lookup!$A$4,BF28*$BD28+1,"Error")))</f>
        <v>1</v>
      </c>
      <c r="BO28" s="229">
        <f>IF($BC28=Lookup!$A$2,$BD28*ROUNDUP(BG28/10,0)+1,
IF($BC28=Lookup!$A$3,($BD28+1)^BF28,
IF($BC28=Lookup!$A$4,BG28*$BD28+1,"Error")))</f>
        <v>1</v>
      </c>
      <c r="BP28" s="229">
        <f>IF($BC28=Lookup!$A$2,$BD28*ROUNDUP(BH28/10,0)+1,
IF($BC28=Lookup!$A$3,($BD28+1)^BG28,
IF($BC28=Lookup!$A$4,BH28*$BD28+1,"Error")))</f>
        <v>1.089918256</v>
      </c>
      <c r="BQ28" s="229">
        <f>IF($BC28=Lookup!$A$2,$BD28*ROUNDUP(BI28/10,0)+1,
IF($BC28=Lookup!$A$3,($BD28+1)^BH28,
IF($BC28=Lookup!$A$4,BI28*$BD28+1,"Error")))</f>
        <v>1.089918256</v>
      </c>
      <c r="BR28" s="229">
        <f>IF($BC28=Lookup!$A$2,$BD28*ROUNDUP(BJ28/10,0)+1,
IF($BC28=Lookup!$A$3,($BD28+1)^BI28,
IF($BC28=Lookup!$A$4,BJ28*$BD28+1,"Error")))</f>
        <v>1.089918256</v>
      </c>
      <c r="BS28" s="229">
        <f>IF($BC28=Lookup!$A$2,$BD28*ROUNDUP(BK28/10,0)+1,
IF($BC28=Lookup!$A$3,($BD28+1)^BJ28,
IF($BC28=Lookup!$A$4,BK28*$BD28+1,"Error")))</f>
        <v>1.089918256</v>
      </c>
      <c r="BT28" s="249">
        <f>IF($BC28=Lookup!$A$2,$BD28*ROUNDUP(BL28/10,0)+1,
IF($BC28=Lookup!$A$3,($BD28+1)^BK28,
IF($BC28=Lookup!$A$4,BL28*$BD28+1,"Error")))</f>
        <v>1.089918256</v>
      </c>
      <c r="BU28" s="320"/>
      <c r="BV28" s="321"/>
      <c r="BW28" s="321"/>
      <c r="BX28" s="321"/>
      <c r="BY28" s="321"/>
      <c r="BZ28" s="321"/>
      <c r="CA28" s="321"/>
      <c r="CB28" s="277"/>
      <c r="CC28" s="382" t="s">
        <v>292</v>
      </c>
      <c r="CD28" s="383">
        <f>HLOOKUP($CC28,$AK$6:$AM$132,ROWS(CD$6:CD28),0)</f>
        <v>324</v>
      </c>
      <c r="CE28" s="234">
        <f t="shared" si="28"/>
        <v>324</v>
      </c>
      <c r="CF28" s="96">
        <f t="shared" si="29"/>
        <v>324</v>
      </c>
      <c r="CG28" s="96">
        <f t="shared" si="30"/>
        <v>324</v>
      </c>
      <c r="CH28" s="96">
        <f t="shared" si="31"/>
        <v>353.13351494400001</v>
      </c>
      <c r="CI28" s="96">
        <f t="shared" si="32"/>
        <v>353.13351494400001</v>
      </c>
      <c r="CJ28" s="96">
        <f t="shared" si="33"/>
        <v>353.13351494400001</v>
      </c>
      <c r="CK28" s="96">
        <f t="shared" si="34"/>
        <v>353.13351494400001</v>
      </c>
      <c r="CL28" s="286">
        <f t="shared" si="35"/>
        <v>353.13351494400001</v>
      </c>
      <c r="CM28" s="305" t="s">
        <v>293</v>
      </c>
      <c r="CN28" s="315">
        <v>0.05</v>
      </c>
      <c r="CO28" s="306"/>
      <c r="CP28" s="307">
        <f>IF($CO28&lt;&gt;"",$CO28,HLOOKUP($CM28,$AY$6:$BA$132,ROWS(CP$6:CP28),0))</f>
        <v>4385.1235149255681</v>
      </c>
      <c r="CQ28" s="784">
        <f t="shared" si="36"/>
        <v>1420780.0188358841</v>
      </c>
      <c r="CR28" s="784">
        <f t="shared" si="37"/>
        <v>1420780.0188358841</v>
      </c>
      <c r="CS28" s="97">
        <f t="shared" si="38"/>
        <v>1420780.0188358841</v>
      </c>
      <c r="CT28" s="97">
        <f t="shared" si="39"/>
        <v>1548534.080289254</v>
      </c>
      <c r="CU28" s="97">
        <f t="shared" si="40"/>
        <v>1548534.080289254</v>
      </c>
      <c r="CV28" s="97">
        <f t="shared" si="41"/>
        <v>1548534.080289254</v>
      </c>
      <c r="CW28" s="97">
        <f t="shared" si="42"/>
        <v>1548534.080289254</v>
      </c>
      <c r="CX28" s="98">
        <f t="shared" si="43"/>
        <v>1548534.080289254</v>
      </c>
      <c r="CY28" s="392" t="s">
        <v>472</v>
      </c>
    </row>
    <row r="29" spans="1:103" x14ac:dyDescent="0.25">
      <c r="A29" s="81" t="s">
        <v>68</v>
      </c>
      <c r="B29" s="82" t="s">
        <v>71</v>
      </c>
      <c r="C29" s="83" t="s">
        <v>306</v>
      </c>
      <c r="D29" s="84">
        <v>637991.6996767727</v>
      </c>
      <c r="E29" s="85">
        <v>1050251.8419430212</v>
      </c>
      <c r="F29" s="85">
        <v>1793590.5116967212</v>
      </c>
      <c r="G29" s="85">
        <v>1223151.3642982477</v>
      </c>
      <c r="H29" s="85">
        <v>1338734.1761356241</v>
      </c>
      <c r="I29" s="85">
        <v>338944.37951235141</v>
      </c>
      <c r="J29" s="85">
        <v>1320351.8705780625</v>
      </c>
      <c r="K29" s="85">
        <v>0</v>
      </c>
      <c r="L29" s="85">
        <v>0</v>
      </c>
      <c r="M29" s="654">
        <f>'2022-23 Input'!E29</f>
        <v>0</v>
      </c>
      <c r="N29" s="1065">
        <v>0</v>
      </c>
      <c r="O29" s="560">
        <f t="shared" si="0"/>
        <v>858389.9639314583</v>
      </c>
      <c r="P29" s="561">
        <f t="shared" si="1"/>
        <v>1392036.2680680181</v>
      </c>
      <c r="Q29" s="561">
        <f t="shared" si="2"/>
        <v>2353201.0604283232</v>
      </c>
      <c r="R29" s="561">
        <f t="shared" si="3"/>
        <v>1574338.6085413331</v>
      </c>
      <c r="S29" s="561">
        <f t="shared" si="4"/>
        <v>1688035.0885695892</v>
      </c>
      <c r="T29" s="561">
        <f t="shared" si="5"/>
        <v>420680.23854846496</v>
      </c>
      <c r="U29" s="561">
        <f t="shared" si="6"/>
        <v>1644482.3760038128</v>
      </c>
      <c r="V29" s="561">
        <f t="shared" si="7"/>
        <v>0</v>
      </c>
      <c r="W29" s="675">
        <f t="shared" si="8"/>
        <v>0</v>
      </c>
      <c r="X29" s="675">
        <f t="shared" si="9"/>
        <v>0</v>
      </c>
      <c r="Y29" s="675">
        <f t="shared" si="10"/>
        <v>0</v>
      </c>
      <c r="Z29" s="86">
        <v>288</v>
      </c>
      <c r="AA29" s="87">
        <v>438</v>
      </c>
      <c r="AB29" s="87">
        <v>596</v>
      </c>
      <c r="AC29" s="87">
        <v>453</v>
      </c>
      <c r="AD29" s="87">
        <v>585</v>
      </c>
      <c r="AE29" s="87">
        <v>210</v>
      </c>
      <c r="AF29" s="87">
        <v>494</v>
      </c>
      <c r="AG29" s="87">
        <v>0</v>
      </c>
      <c r="AH29" s="87">
        <v>0</v>
      </c>
      <c r="AI29" s="1094">
        <f>'2022-23 Input'!L29</f>
        <v>0</v>
      </c>
      <c r="AJ29" s="665">
        <v>0</v>
      </c>
      <c r="AK29" s="88">
        <f t="shared" si="11"/>
        <v>140.80000000000001</v>
      </c>
      <c r="AL29" s="89">
        <f t="shared" si="12"/>
        <v>0</v>
      </c>
      <c r="AM29" s="90">
        <f t="shared" si="13"/>
        <v>0</v>
      </c>
      <c r="AN29" s="91">
        <f t="shared" si="14"/>
        <v>2215.2489572110162</v>
      </c>
      <c r="AO29" s="92">
        <f t="shared" si="15"/>
        <v>2397.8352555776737</v>
      </c>
      <c r="AP29" s="92">
        <f t="shared" si="16"/>
        <v>3009.3800531824181</v>
      </c>
      <c r="AQ29" s="92">
        <f t="shared" si="17"/>
        <v>2700.1133869718492</v>
      </c>
      <c r="AR29" s="92">
        <f t="shared" si="18"/>
        <v>2288.4344891207247</v>
      </c>
      <c r="AS29" s="92">
        <f t="shared" si="19"/>
        <v>1614.0208548207211</v>
      </c>
      <c r="AT29" s="92">
        <f t="shared" si="20"/>
        <v>2672.777065947495</v>
      </c>
      <c r="AU29" s="92" t="str">
        <f t="shared" si="21"/>
        <v/>
      </c>
      <c r="AV29" s="92" t="str">
        <f t="shared" si="45"/>
        <v/>
      </c>
      <c r="AW29" s="92" t="str">
        <f t="shared" si="45"/>
        <v/>
      </c>
      <c r="AX29" s="92" t="str">
        <f t="shared" si="45"/>
        <v/>
      </c>
      <c r="AY29" s="93">
        <f t="shared" si="23"/>
        <v>2356.9549006966108</v>
      </c>
      <c r="AZ29" s="94" t="str">
        <f t="shared" si="24"/>
        <v/>
      </c>
      <c r="BA29" s="95" t="str">
        <f t="shared" si="25"/>
        <v/>
      </c>
      <c r="BB29" s="248" t="s">
        <v>422</v>
      </c>
      <c r="BC29" s="229" t="s">
        <v>433</v>
      </c>
      <c r="BD29" s="249">
        <v>8.9918256000000002E-2</v>
      </c>
      <c r="BE29" s="267">
        <f t="shared" si="26"/>
        <v>0</v>
      </c>
      <c r="BF29" s="268">
        <f t="shared" si="46"/>
        <v>0</v>
      </c>
      <c r="BG29" s="268">
        <f t="shared" si="46"/>
        <v>0</v>
      </c>
      <c r="BH29" s="268">
        <f t="shared" si="46"/>
        <v>1</v>
      </c>
      <c r="BI29" s="268">
        <f t="shared" si="46"/>
        <v>2</v>
      </c>
      <c r="BJ29" s="268">
        <f t="shared" si="46"/>
        <v>3</v>
      </c>
      <c r="BK29" s="268">
        <f t="shared" si="46"/>
        <v>4</v>
      </c>
      <c r="BL29" s="269">
        <f t="shared" si="46"/>
        <v>5</v>
      </c>
      <c r="BM29" s="256">
        <f>IF($BC29=Lookup!$A$2,$BD29*ROUNDUP(BE29/10,0)+1,
IF($BC29=Lookup!$A$3,($BD29+1)^BD29,
IF($BC29=Lookup!$A$4,BE29*$BD29+1,"Error")))</f>
        <v>1</v>
      </c>
      <c r="BN29" s="229">
        <f>IF($BC29=Lookup!$A$2,$BD29*ROUNDUP(BF29/10,0)+1,
IF($BC29=Lookup!$A$3,($BD29+1)^BE29,
IF($BC29=Lookup!$A$4,BF29*$BD29+1,"Error")))</f>
        <v>1</v>
      </c>
      <c r="BO29" s="229">
        <f>IF($BC29=Lookup!$A$2,$BD29*ROUNDUP(BG29/10,0)+1,
IF($BC29=Lookup!$A$3,($BD29+1)^BF29,
IF($BC29=Lookup!$A$4,BG29*$BD29+1,"Error")))</f>
        <v>1</v>
      </c>
      <c r="BP29" s="229">
        <f>IF($BC29=Lookup!$A$2,$BD29*ROUNDUP(BH29/10,0)+1,
IF($BC29=Lookup!$A$3,($BD29+1)^BG29,
IF($BC29=Lookup!$A$4,BH29*$BD29+1,"Error")))</f>
        <v>1.089918256</v>
      </c>
      <c r="BQ29" s="229">
        <f>IF($BC29=Lookup!$A$2,$BD29*ROUNDUP(BI29/10,0)+1,
IF($BC29=Lookup!$A$3,($BD29+1)^BH29,
IF($BC29=Lookup!$A$4,BI29*$BD29+1,"Error")))</f>
        <v>1.089918256</v>
      </c>
      <c r="BR29" s="229">
        <f>IF($BC29=Lookup!$A$2,$BD29*ROUNDUP(BJ29/10,0)+1,
IF($BC29=Lookup!$A$3,($BD29+1)^BI29,
IF($BC29=Lookup!$A$4,BJ29*$BD29+1,"Error")))</f>
        <v>1.089918256</v>
      </c>
      <c r="BS29" s="229">
        <f>IF($BC29=Lookup!$A$2,$BD29*ROUNDUP(BK29/10,0)+1,
IF($BC29=Lookup!$A$3,($BD29+1)^BJ29,
IF($BC29=Lookup!$A$4,BK29*$BD29+1,"Error")))</f>
        <v>1.089918256</v>
      </c>
      <c r="BT29" s="249">
        <f>IF($BC29=Lookup!$A$2,$BD29*ROUNDUP(BL29/10,0)+1,
IF($BC29=Lookup!$A$3,($BD29+1)^BK29,
IF($BC29=Lookup!$A$4,BL29*$BD29+1,"Error")))</f>
        <v>1.089918256</v>
      </c>
      <c r="BU29" s="320"/>
      <c r="BV29" s="321"/>
      <c r="BW29" s="321"/>
      <c r="BX29" s="321"/>
      <c r="BY29" s="321"/>
      <c r="BZ29" s="321"/>
      <c r="CA29" s="321"/>
      <c r="CB29" s="277"/>
      <c r="CC29" s="382" t="s">
        <v>292</v>
      </c>
      <c r="CD29" s="383">
        <f>HLOOKUP($CC29,$AK$6:$AM$132,ROWS(CD$6:CD29),0)</f>
        <v>140.80000000000001</v>
      </c>
      <c r="CE29" s="234">
        <f t="shared" si="28"/>
        <v>140.80000000000001</v>
      </c>
      <c r="CF29" s="96">
        <f t="shared" si="29"/>
        <v>140.80000000000001</v>
      </c>
      <c r="CG29" s="96">
        <f t="shared" si="30"/>
        <v>140.80000000000001</v>
      </c>
      <c r="CH29" s="96">
        <f t="shared" si="31"/>
        <v>153.46049044480003</v>
      </c>
      <c r="CI29" s="96">
        <f t="shared" si="32"/>
        <v>153.46049044480003</v>
      </c>
      <c r="CJ29" s="96">
        <f t="shared" si="33"/>
        <v>153.46049044480003</v>
      </c>
      <c r="CK29" s="96">
        <f t="shared" si="34"/>
        <v>153.46049044480003</v>
      </c>
      <c r="CL29" s="286">
        <f t="shared" si="35"/>
        <v>153.46049044480003</v>
      </c>
      <c r="CM29" s="305" t="s">
        <v>293</v>
      </c>
      <c r="CN29" s="315">
        <v>0.05</v>
      </c>
      <c r="CO29" s="306"/>
      <c r="CP29" s="307" t="str">
        <f>IF($CO29&lt;&gt;"",$CO29,HLOOKUP($CM29,$AY$6:$BA$132,ROWS(CP$6:CP29),0))</f>
        <v/>
      </c>
      <c r="CQ29" s="784" t="str">
        <f t="shared" si="36"/>
        <v/>
      </c>
      <c r="CR29" s="784" t="str">
        <f t="shared" si="37"/>
        <v/>
      </c>
      <c r="CS29" s="97" t="str">
        <f t="shared" si="38"/>
        <v/>
      </c>
      <c r="CT29" s="97" t="str">
        <f t="shared" si="39"/>
        <v/>
      </c>
      <c r="CU29" s="97" t="str">
        <f t="shared" si="40"/>
        <v/>
      </c>
      <c r="CV29" s="97" t="str">
        <f t="shared" si="41"/>
        <v/>
      </c>
      <c r="CW29" s="97" t="str">
        <f t="shared" si="42"/>
        <v/>
      </c>
      <c r="CX29" s="98" t="str">
        <f t="shared" si="43"/>
        <v/>
      </c>
      <c r="CY29" s="392"/>
    </row>
    <row r="30" spans="1:103" x14ac:dyDescent="0.25">
      <c r="A30" s="81" t="s">
        <v>68</v>
      </c>
      <c r="B30" s="82" t="s">
        <v>73</v>
      </c>
      <c r="C30" s="83" t="s">
        <v>307</v>
      </c>
      <c r="D30" s="84">
        <v>183447.66195771092</v>
      </c>
      <c r="E30" s="85">
        <v>212487.52922395986</v>
      </c>
      <c r="F30" s="85">
        <v>253240.61577408123</v>
      </c>
      <c r="G30" s="85">
        <v>399976.26583767741</v>
      </c>
      <c r="H30" s="85">
        <v>234689.36449120636</v>
      </c>
      <c r="I30" s="85">
        <v>0</v>
      </c>
      <c r="J30" s="85">
        <v>211108.27651101971</v>
      </c>
      <c r="K30" s="85">
        <v>41104.706869290007</v>
      </c>
      <c r="L30" s="85">
        <v>0</v>
      </c>
      <c r="M30" s="654">
        <f>'2022-23 Input'!E30</f>
        <v>0</v>
      </c>
      <c r="N30" s="1065">
        <v>0</v>
      </c>
      <c r="O30" s="560">
        <f t="shared" si="0"/>
        <v>246820.81602467407</v>
      </c>
      <c r="P30" s="561">
        <f t="shared" si="1"/>
        <v>281637.54194868851</v>
      </c>
      <c r="Q30" s="561">
        <f t="shared" si="2"/>
        <v>332253.14345544152</v>
      </c>
      <c r="R30" s="561">
        <f t="shared" si="3"/>
        <v>514816.15128616628</v>
      </c>
      <c r="S30" s="561">
        <f t="shared" si="4"/>
        <v>295924.23143989389</v>
      </c>
      <c r="T30" s="561">
        <f t="shared" si="5"/>
        <v>0</v>
      </c>
      <c r="U30" s="561">
        <f t="shared" si="6"/>
        <v>262932.81956643873</v>
      </c>
      <c r="V30" s="561">
        <f t="shared" si="7"/>
        <v>49299.291477440267</v>
      </c>
      <c r="W30" s="675">
        <f t="shared" si="8"/>
        <v>0</v>
      </c>
      <c r="X30" s="675">
        <f t="shared" si="9"/>
        <v>0</v>
      </c>
      <c r="Y30" s="675">
        <f t="shared" si="10"/>
        <v>0</v>
      </c>
      <c r="Z30" s="86">
        <v>198</v>
      </c>
      <c r="AA30" s="87">
        <v>242</v>
      </c>
      <c r="AB30" s="87">
        <v>186</v>
      </c>
      <c r="AC30" s="87">
        <v>175</v>
      </c>
      <c r="AD30" s="87">
        <v>195</v>
      </c>
      <c r="AE30" s="87">
        <v>0</v>
      </c>
      <c r="AF30" s="87">
        <v>126</v>
      </c>
      <c r="AG30" s="87">
        <v>18</v>
      </c>
      <c r="AH30" s="87">
        <v>0</v>
      </c>
      <c r="AI30" s="1094">
        <f>'2022-23 Input'!L30</f>
        <v>0</v>
      </c>
      <c r="AJ30" s="665">
        <v>0</v>
      </c>
      <c r="AK30" s="88">
        <f t="shared" si="11"/>
        <v>28.8</v>
      </c>
      <c r="AL30" s="89">
        <f t="shared" si="12"/>
        <v>6</v>
      </c>
      <c r="AM30" s="90">
        <f t="shared" si="13"/>
        <v>0</v>
      </c>
      <c r="AN30" s="91">
        <f t="shared" si="14"/>
        <v>926.50334322076219</v>
      </c>
      <c r="AO30" s="92">
        <f t="shared" si="15"/>
        <v>878.04764142132171</v>
      </c>
      <c r="AP30" s="92">
        <f t="shared" si="16"/>
        <v>1361.5086869574259</v>
      </c>
      <c r="AQ30" s="92">
        <f t="shared" si="17"/>
        <v>2285.578661929585</v>
      </c>
      <c r="AR30" s="92">
        <f t="shared" si="18"/>
        <v>1203.535202519007</v>
      </c>
      <c r="AS30" s="92" t="str">
        <f t="shared" si="19"/>
        <v/>
      </c>
      <c r="AT30" s="92">
        <f t="shared" si="20"/>
        <v>1675.4625119922198</v>
      </c>
      <c r="AU30" s="92">
        <f t="shared" si="21"/>
        <v>2283.5948260716668</v>
      </c>
      <c r="AV30" s="92" t="str">
        <f t="shared" si="45"/>
        <v/>
      </c>
      <c r="AW30" s="92" t="str">
        <f t="shared" si="45"/>
        <v/>
      </c>
      <c r="AX30" s="92" t="str">
        <f t="shared" si="45"/>
        <v/>
      </c>
      <c r="AY30" s="93">
        <f t="shared" si="23"/>
        <v>1751.4790512521508</v>
      </c>
      <c r="AZ30" s="94">
        <f t="shared" si="24"/>
        <v>2283.5948260716668</v>
      </c>
      <c r="BA30" s="95" t="str">
        <f t="shared" si="25"/>
        <v/>
      </c>
      <c r="BB30" s="248" t="s">
        <v>422</v>
      </c>
      <c r="BC30" s="229" t="s">
        <v>433</v>
      </c>
      <c r="BD30" s="249">
        <v>8.9918256000000002E-2</v>
      </c>
      <c r="BE30" s="267">
        <f t="shared" si="26"/>
        <v>0</v>
      </c>
      <c r="BF30" s="268">
        <f t="shared" si="46"/>
        <v>0</v>
      </c>
      <c r="BG30" s="268">
        <f t="shared" si="46"/>
        <v>0</v>
      </c>
      <c r="BH30" s="268">
        <f t="shared" si="46"/>
        <v>1</v>
      </c>
      <c r="BI30" s="268">
        <f t="shared" si="46"/>
        <v>2</v>
      </c>
      <c r="BJ30" s="268">
        <f t="shared" si="46"/>
        <v>3</v>
      </c>
      <c r="BK30" s="268">
        <f t="shared" si="46"/>
        <v>4</v>
      </c>
      <c r="BL30" s="269">
        <f t="shared" si="46"/>
        <v>5</v>
      </c>
      <c r="BM30" s="256">
        <f>IF($BC30=Lookup!$A$2,$BD30*ROUNDUP(BE30/10,0)+1,
IF($BC30=Lookup!$A$3,($BD30+1)^BD30,
IF($BC30=Lookup!$A$4,BE30*$BD30+1,"Error")))</f>
        <v>1</v>
      </c>
      <c r="BN30" s="229">
        <f>IF($BC30=Lookup!$A$2,$BD30*ROUNDUP(BF30/10,0)+1,
IF($BC30=Lookup!$A$3,($BD30+1)^BE30,
IF($BC30=Lookup!$A$4,BF30*$BD30+1,"Error")))</f>
        <v>1</v>
      </c>
      <c r="BO30" s="229">
        <f>IF($BC30=Lookup!$A$2,$BD30*ROUNDUP(BG30/10,0)+1,
IF($BC30=Lookup!$A$3,($BD30+1)^BF30,
IF($BC30=Lookup!$A$4,BG30*$BD30+1,"Error")))</f>
        <v>1</v>
      </c>
      <c r="BP30" s="229">
        <f>IF($BC30=Lookup!$A$2,$BD30*ROUNDUP(BH30/10,0)+1,
IF($BC30=Lookup!$A$3,($BD30+1)^BG30,
IF($BC30=Lookup!$A$4,BH30*$BD30+1,"Error")))</f>
        <v>1.089918256</v>
      </c>
      <c r="BQ30" s="229">
        <f>IF($BC30=Lookup!$A$2,$BD30*ROUNDUP(BI30/10,0)+1,
IF($BC30=Lookup!$A$3,($BD30+1)^BH30,
IF($BC30=Lookup!$A$4,BI30*$BD30+1,"Error")))</f>
        <v>1.089918256</v>
      </c>
      <c r="BR30" s="229">
        <f>IF($BC30=Lookup!$A$2,$BD30*ROUNDUP(BJ30/10,0)+1,
IF($BC30=Lookup!$A$3,($BD30+1)^BI30,
IF($BC30=Lookup!$A$4,BJ30*$BD30+1,"Error")))</f>
        <v>1.089918256</v>
      </c>
      <c r="BS30" s="229">
        <f>IF($BC30=Lookup!$A$2,$BD30*ROUNDUP(BK30/10,0)+1,
IF($BC30=Lookup!$A$3,($BD30+1)^BJ30,
IF($BC30=Lookup!$A$4,BK30*$BD30+1,"Error")))</f>
        <v>1.089918256</v>
      </c>
      <c r="BT30" s="249">
        <f>IF($BC30=Lookup!$A$2,$BD30*ROUNDUP(BL30/10,0)+1,
IF($BC30=Lookup!$A$3,($BD30+1)^BK30,
IF($BC30=Lookup!$A$4,BL30*$BD30+1,"Error")))</f>
        <v>1.089918256</v>
      </c>
      <c r="BU30" s="320"/>
      <c r="BV30" s="321"/>
      <c r="BW30" s="321"/>
      <c r="BX30" s="321"/>
      <c r="BY30" s="321"/>
      <c r="BZ30" s="321"/>
      <c r="CA30" s="321"/>
      <c r="CB30" s="277"/>
      <c r="CC30" s="382" t="s">
        <v>292</v>
      </c>
      <c r="CD30" s="383">
        <f>HLOOKUP($CC30,$AK$6:$AM$132,ROWS(CD$6:CD30),0)</f>
        <v>28.8</v>
      </c>
      <c r="CE30" s="234">
        <f t="shared" si="28"/>
        <v>28.8</v>
      </c>
      <c r="CF30" s="96">
        <f t="shared" si="29"/>
        <v>28.8</v>
      </c>
      <c r="CG30" s="96">
        <f t="shared" si="30"/>
        <v>28.8</v>
      </c>
      <c r="CH30" s="96">
        <f t="shared" si="31"/>
        <v>31.389645772800002</v>
      </c>
      <c r="CI30" s="96">
        <f t="shared" si="32"/>
        <v>31.389645772800002</v>
      </c>
      <c r="CJ30" s="96">
        <f t="shared" si="33"/>
        <v>31.389645772800002</v>
      </c>
      <c r="CK30" s="96">
        <f t="shared" si="34"/>
        <v>31.389645772800002</v>
      </c>
      <c r="CL30" s="286">
        <f t="shared" si="35"/>
        <v>31.389645772800002</v>
      </c>
      <c r="CM30" s="305" t="s">
        <v>293</v>
      </c>
      <c r="CN30" s="315">
        <v>0.05</v>
      </c>
      <c r="CO30" s="306">
        <f>'Defect P2'!CP30</f>
        <v>4402.2875599705612</v>
      </c>
      <c r="CP30" s="307">
        <f>IF($CO30&lt;&gt;"",$CO30,HLOOKUP($CM30,$AY$6:$BA$132,ROWS(CP$6:CP30),0))</f>
        <v>4402.2875599705612</v>
      </c>
      <c r="CQ30" s="784">
        <f t="shared" si="36"/>
        <v>126785.88172715217</v>
      </c>
      <c r="CR30" s="784">
        <f t="shared" si="37"/>
        <v>126785.88172715217</v>
      </c>
      <c r="CS30" s="97">
        <f t="shared" si="38"/>
        <v>126785.88172715217</v>
      </c>
      <c r="CT30" s="97">
        <f t="shared" si="39"/>
        <v>138186.24709747997</v>
      </c>
      <c r="CU30" s="97">
        <f t="shared" si="40"/>
        <v>138186.24709747997</v>
      </c>
      <c r="CV30" s="97">
        <f t="shared" si="41"/>
        <v>138186.24709747997</v>
      </c>
      <c r="CW30" s="97">
        <f t="shared" si="42"/>
        <v>138186.24709747997</v>
      </c>
      <c r="CX30" s="98">
        <f t="shared" si="43"/>
        <v>138186.24709747997</v>
      </c>
      <c r="CY30" s="392" t="s">
        <v>508</v>
      </c>
    </row>
    <row r="31" spans="1:103" x14ac:dyDescent="0.25">
      <c r="A31" s="81" t="s">
        <v>68</v>
      </c>
      <c r="B31" s="82" t="s">
        <v>75</v>
      </c>
      <c r="C31" s="83" t="s">
        <v>76</v>
      </c>
      <c r="D31" s="84">
        <v>0</v>
      </c>
      <c r="E31" s="85">
        <v>0</v>
      </c>
      <c r="F31" s="85">
        <v>0</v>
      </c>
      <c r="G31" s="85">
        <v>28379.992531729458</v>
      </c>
      <c r="H31" s="85">
        <v>0</v>
      </c>
      <c r="I31" s="85">
        <v>0</v>
      </c>
      <c r="J31" s="85">
        <v>5714.5268902820007</v>
      </c>
      <c r="K31" s="85">
        <v>0</v>
      </c>
      <c r="L31" s="85">
        <v>0</v>
      </c>
      <c r="M31" s="654">
        <f>'2022-23 Input'!E31</f>
        <v>0</v>
      </c>
      <c r="N31" s="1065">
        <v>0</v>
      </c>
      <c r="O31" s="560">
        <f t="shared" si="0"/>
        <v>0</v>
      </c>
      <c r="P31" s="561">
        <f t="shared" si="1"/>
        <v>0</v>
      </c>
      <c r="Q31" s="561">
        <f t="shared" si="2"/>
        <v>0</v>
      </c>
      <c r="R31" s="561">
        <f t="shared" si="3"/>
        <v>36528.363747074131</v>
      </c>
      <c r="S31" s="561">
        <f t="shared" si="4"/>
        <v>0</v>
      </c>
      <c r="T31" s="561">
        <f t="shared" si="5"/>
        <v>0</v>
      </c>
      <c r="U31" s="561">
        <f t="shared" si="6"/>
        <v>7117.3745178657091</v>
      </c>
      <c r="V31" s="561">
        <f t="shared" si="7"/>
        <v>0</v>
      </c>
      <c r="W31" s="675">
        <f t="shared" si="8"/>
        <v>0</v>
      </c>
      <c r="X31" s="675">
        <f t="shared" si="9"/>
        <v>0</v>
      </c>
      <c r="Y31" s="675">
        <f t="shared" si="10"/>
        <v>0</v>
      </c>
      <c r="Z31" s="86">
        <v>0</v>
      </c>
      <c r="AA31" s="87">
        <v>0</v>
      </c>
      <c r="AB31" s="87">
        <v>0</v>
      </c>
      <c r="AC31" s="87">
        <v>3</v>
      </c>
      <c r="AD31" s="87">
        <v>0</v>
      </c>
      <c r="AE31" s="87">
        <v>0</v>
      </c>
      <c r="AF31" s="87">
        <v>1</v>
      </c>
      <c r="AG31" s="87">
        <v>0</v>
      </c>
      <c r="AH31" s="87">
        <v>0</v>
      </c>
      <c r="AI31" s="1094">
        <f>'2022-23 Input'!L31</f>
        <v>0</v>
      </c>
      <c r="AJ31" s="665">
        <v>0</v>
      </c>
      <c r="AK31" s="88">
        <f t="shared" si="11"/>
        <v>0.2</v>
      </c>
      <c r="AL31" s="89">
        <f t="shared" si="12"/>
        <v>0</v>
      </c>
      <c r="AM31" s="90">
        <f t="shared" si="13"/>
        <v>0</v>
      </c>
      <c r="AN31" s="91" t="str">
        <f t="shared" si="14"/>
        <v/>
      </c>
      <c r="AO31" s="92" t="str">
        <f t="shared" si="15"/>
        <v/>
      </c>
      <c r="AP31" s="92" t="str">
        <f t="shared" si="16"/>
        <v/>
      </c>
      <c r="AQ31" s="92">
        <f t="shared" si="17"/>
        <v>9459.9975105764861</v>
      </c>
      <c r="AR31" s="92" t="str">
        <f t="shared" si="18"/>
        <v/>
      </c>
      <c r="AS31" s="92" t="str">
        <f t="shared" si="19"/>
        <v/>
      </c>
      <c r="AT31" s="92">
        <f t="shared" si="20"/>
        <v>5714.5268902820007</v>
      </c>
      <c r="AU31" s="92" t="str">
        <f t="shared" si="21"/>
        <v/>
      </c>
      <c r="AV31" s="92" t="str">
        <f t="shared" si="45"/>
        <v/>
      </c>
      <c r="AW31" s="92" t="str">
        <f t="shared" si="45"/>
        <v/>
      </c>
      <c r="AX31" s="92" t="str">
        <f t="shared" si="45"/>
        <v/>
      </c>
      <c r="AY31" s="93">
        <f t="shared" si="23"/>
        <v>5714.5268902820007</v>
      </c>
      <c r="AZ31" s="94" t="str">
        <f t="shared" si="24"/>
        <v/>
      </c>
      <c r="BA31" s="95" t="str">
        <f t="shared" si="25"/>
        <v/>
      </c>
      <c r="BB31" s="248" t="s">
        <v>422</v>
      </c>
      <c r="BC31" s="229" t="s">
        <v>433</v>
      </c>
      <c r="BD31" s="249">
        <v>8.9918256000000002E-2</v>
      </c>
      <c r="BE31" s="267">
        <f t="shared" si="26"/>
        <v>0</v>
      </c>
      <c r="BF31" s="268">
        <f t="shared" si="46"/>
        <v>0</v>
      </c>
      <c r="BG31" s="268">
        <f t="shared" si="46"/>
        <v>0</v>
      </c>
      <c r="BH31" s="268">
        <f t="shared" si="46"/>
        <v>1</v>
      </c>
      <c r="BI31" s="268">
        <f t="shared" si="46"/>
        <v>2</v>
      </c>
      <c r="BJ31" s="268">
        <f t="shared" si="46"/>
        <v>3</v>
      </c>
      <c r="BK31" s="268">
        <f t="shared" si="46"/>
        <v>4</v>
      </c>
      <c r="BL31" s="269">
        <f t="shared" si="46"/>
        <v>5</v>
      </c>
      <c r="BM31" s="256">
        <f>IF($BC31=Lookup!$A$2,$BD31*ROUNDUP(BE31/10,0)+1,
IF($BC31=Lookup!$A$3,($BD31+1)^BD31,
IF($BC31=Lookup!$A$4,BE31*$BD31+1,"Error")))</f>
        <v>1</v>
      </c>
      <c r="BN31" s="229">
        <f>IF($BC31=Lookup!$A$2,$BD31*ROUNDUP(BF31/10,0)+1,
IF($BC31=Lookup!$A$3,($BD31+1)^BE31,
IF($BC31=Lookup!$A$4,BF31*$BD31+1,"Error")))</f>
        <v>1</v>
      </c>
      <c r="BO31" s="229">
        <f>IF($BC31=Lookup!$A$2,$BD31*ROUNDUP(BG31/10,0)+1,
IF($BC31=Lookup!$A$3,($BD31+1)^BF31,
IF($BC31=Lookup!$A$4,BG31*$BD31+1,"Error")))</f>
        <v>1</v>
      </c>
      <c r="BP31" s="229">
        <f>IF($BC31=Lookup!$A$2,$BD31*ROUNDUP(BH31/10,0)+1,
IF($BC31=Lookup!$A$3,($BD31+1)^BG31,
IF($BC31=Lookup!$A$4,BH31*$BD31+1,"Error")))</f>
        <v>1.089918256</v>
      </c>
      <c r="BQ31" s="229">
        <f>IF($BC31=Lookup!$A$2,$BD31*ROUNDUP(BI31/10,0)+1,
IF($BC31=Lookup!$A$3,($BD31+1)^BH31,
IF($BC31=Lookup!$A$4,BI31*$BD31+1,"Error")))</f>
        <v>1.089918256</v>
      </c>
      <c r="BR31" s="229">
        <f>IF($BC31=Lookup!$A$2,$BD31*ROUNDUP(BJ31/10,0)+1,
IF($BC31=Lookup!$A$3,($BD31+1)^BI31,
IF($BC31=Lookup!$A$4,BJ31*$BD31+1,"Error")))</f>
        <v>1.089918256</v>
      </c>
      <c r="BS31" s="229">
        <f>IF($BC31=Lookup!$A$2,$BD31*ROUNDUP(BK31/10,0)+1,
IF($BC31=Lookup!$A$3,($BD31+1)^BJ31,
IF($BC31=Lookup!$A$4,BK31*$BD31+1,"Error")))</f>
        <v>1.089918256</v>
      </c>
      <c r="BT31" s="249">
        <f>IF($BC31=Lookup!$A$2,$BD31*ROUNDUP(BL31/10,0)+1,
IF($BC31=Lookup!$A$3,($BD31+1)^BK31,
IF($BC31=Lookup!$A$4,BL31*$BD31+1,"Error")))</f>
        <v>1.089918256</v>
      </c>
      <c r="BU31" s="320"/>
      <c r="BV31" s="321"/>
      <c r="BW31" s="321"/>
      <c r="BX31" s="321"/>
      <c r="BY31" s="321"/>
      <c r="BZ31" s="321"/>
      <c r="CA31" s="321"/>
      <c r="CB31" s="277"/>
      <c r="CC31" s="382" t="s">
        <v>292</v>
      </c>
      <c r="CD31" s="383">
        <f>HLOOKUP($CC31,$AK$6:$AM$132,ROWS(CD$6:CD31),0)</f>
        <v>0.2</v>
      </c>
      <c r="CE31" s="234">
        <f t="shared" si="28"/>
        <v>0.2</v>
      </c>
      <c r="CF31" s="96">
        <f t="shared" si="29"/>
        <v>0.2</v>
      </c>
      <c r="CG31" s="96">
        <f t="shared" si="30"/>
        <v>0.2</v>
      </c>
      <c r="CH31" s="96">
        <f t="shared" si="31"/>
        <v>0.21798365120000002</v>
      </c>
      <c r="CI31" s="96">
        <f t="shared" si="32"/>
        <v>0.21798365120000002</v>
      </c>
      <c r="CJ31" s="96">
        <f t="shared" si="33"/>
        <v>0.21798365120000002</v>
      </c>
      <c r="CK31" s="96">
        <f t="shared" si="34"/>
        <v>0.21798365120000002</v>
      </c>
      <c r="CL31" s="286">
        <f t="shared" si="35"/>
        <v>0.21798365120000002</v>
      </c>
      <c r="CM31" s="305" t="s">
        <v>293</v>
      </c>
      <c r="CN31" s="315">
        <v>0.05</v>
      </c>
      <c r="CO31" s="306"/>
      <c r="CP31" s="307" t="str">
        <f>IF($CO31&lt;&gt;"",$CO31,HLOOKUP($CM31,$AY$6:$BA$132,ROWS(CP$6:CP31),0))</f>
        <v/>
      </c>
      <c r="CQ31" s="784" t="str">
        <f t="shared" si="36"/>
        <v/>
      </c>
      <c r="CR31" s="784" t="str">
        <f t="shared" si="37"/>
        <v/>
      </c>
      <c r="CS31" s="97" t="str">
        <f t="shared" si="38"/>
        <v/>
      </c>
      <c r="CT31" s="97" t="str">
        <f t="shared" si="39"/>
        <v/>
      </c>
      <c r="CU31" s="97" t="str">
        <f t="shared" si="40"/>
        <v/>
      </c>
      <c r="CV31" s="97" t="str">
        <f t="shared" si="41"/>
        <v/>
      </c>
      <c r="CW31" s="97" t="str">
        <f t="shared" si="42"/>
        <v/>
      </c>
      <c r="CX31" s="98" t="str">
        <f t="shared" si="43"/>
        <v/>
      </c>
      <c r="CY31" s="392"/>
    </row>
    <row r="32" spans="1:103" x14ac:dyDescent="0.25">
      <c r="A32" s="81" t="s">
        <v>68</v>
      </c>
      <c r="B32" s="82" t="s">
        <v>77</v>
      </c>
      <c r="C32" s="83" t="s">
        <v>78</v>
      </c>
      <c r="D32" s="84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654">
        <f>'2022-23 Input'!E32</f>
        <v>0</v>
      </c>
      <c r="N32" s="1065">
        <v>0</v>
      </c>
      <c r="O32" s="560">
        <f t="shared" si="0"/>
        <v>0</v>
      </c>
      <c r="P32" s="561">
        <f t="shared" si="1"/>
        <v>0</v>
      </c>
      <c r="Q32" s="561">
        <f t="shared" si="2"/>
        <v>0</v>
      </c>
      <c r="R32" s="561">
        <f t="shared" si="3"/>
        <v>0</v>
      </c>
      <c r="S32" s="561">
        <f t="shared" si="4"/>
        <v>0</v>
      </c>
      <c r="T32" s="561">
        <f t="shared" si="5"/>
        <v>0</v>
      </c>
      <c r="U32" s="561">
        <f t="shared" si="6"/>
        <v>0</v>
      </c>
      <c r="V32" s="561">
        <f t="shared" si="7"/>
        <v>0</v>
      </c>
      <c r="W32" s="675">
        <f t="shared" si="8"/>
        <v>0</v>
      </c>
      <c r="X32" s="675">
        <f t="shared" si="9"/>
        <v>0</v>
      </c>
      <c r="Y32" s="675">
        <f t="shared" si="10"/>
        <v>0</v>
      </c>
      <c r="Z32" s="86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1094">
        <f>'2022-23 Input'!L32</f>
        <v>0</v>
      </c>
      <c r="AJ32" s="665">
        <v>0</v>
      </c>
      <c r="AK32" s="88">
        <f t="shared" si="11"/>
        <v>0</v>
      </c>
      <c r="AL32" s="89">
        <f t="shared" si="12"/>
        <v>0</v>
      </c>
      <c r="AM32" s="90">
        <f t="shared" si="13"/>
        <v>0</v>
      </c>
      <c r="AN32" s="91" t="str">
        <f t="shared" si="14"/>
        <v/>
      </c>
      <c r="AO32" s="92" t="str">
        <f t="shared" si="15"/>
        <v/>
      </c>
      <c r="AP32" s="92" t="str">
        <f t="shared" si="16"/>
        <v/>
      </c>
      <c r="AQ32" s="92" t="str">
        <f t="shared" si="17"/>
        <v/>
      </c>
      <c r="AR32" s="92" t="str">
        <f t="shared" si="18"/>
        <v/>
      </c>
      <c r="AS32" s="92" t="str">
        <f t="shared" si="19"/>
        <v/>
      </c>
      <c r="AT32" s="92" t="str">
        <f t="shared" si="20"/>
        <v/>
      </c>
      <c r="AU32" s="92" t="str">
        <f t="shared" si="21"/>
        <v/>
      </c>
      <c r="AV32" s="92" t="str">
        <f t="shared" si="45"/>
        <v/>
      </c>
      <c r="AW32" s="92" t="str">
        <f t="shared" si="45"/>
        <v/>
      </c>
      <c r="AX32" s="92" t="str">
        <f t="shared" si="45"/>
        <v/>
      </c>
      <c r="AY32" s="93" t="str">
        <f t="shared" si="23"/>
        <v/>
      </c>
      <c r="AZ32" s="94" t="str">
        <f t="shared" si="24"/>
        <v/>
      </c>
      <c r="BA32" s="95" t="str">
        <f t="shared" si="25"/>
        <v/>
      </c>
      <c r="BB32" s="248" t="s">
        <v>422</v>
      </c>
      <c r="BC32" s="229" t="s">
        <v>433</v>
      </c>
      <c r="BD32" s="249">
        <v>8.9918256000000002E-2</v>
      </c>
      <c r="BE32" s="267">
        <f t="shared" si="26"/>
        <v>0</v>
      </c>
      <c r="BF32" s="268">
        <f t="shared" si="46"/>
        <v>0</v>
      </c>
      <c r="BG32" s="268">
        <f t="shared" si="46"/>
        <v>0</v>
      </c>
      <c r="BH32" s="268">
        <f t="shared" si="46"/>
        <v>1</v>
      </c>
      <c r="BI32" s="268">
        <f t="shared" si="46"/>
        <v>2</v>
      </c>
      <c r="BJ32" s="268">
        <f t="shared" si="46"/>
        <v>3</v>
      </c>
      <c r="BK32" s="268">
        <f t="shared" si="46"/>
        <v>4</v>
      </c>
      <c r="BL32" s="269">
        <f t="shared" si="46"/>
        <v>5</v>
      </c>
      <c r="BM32" s="256">
        <f>IF($BC32=Lookup!$A$2,$BD32*ROUNDUP(BE32/10,0)+1,
IF($BC32=Lookup!$A$3,($BD32+1)^BD32,
IF($BC32=Lookup!$A$4,BE32*$BD32+1,"Error")))</f>
        <v>1</v>
      </c>
      <c r="BN32" s="229">
        <f>IF($BC32=Lookup!$A$2,$BD32*ROUNDUP(BF32/10,0)+1,
IF($BC32=Lookup!$A$3,($BD32+1)^BE32,
IF($BC32=Lookup!$A$4,BF32*$BD32+1,"Error")))</f>
        <v>1</v>
      </c>
      <c r="BO32" s="229">
        <f>IF($BC32=Lookup!$A$2,$BD32*ROUNDUP(BG32/10,0)+1,
IF($BC32=Lookup!$A$3,($BD32+1)^BF32,
IF($BC32=Lookup!$A$4,BG32*$BD32+1,"Error")))</f>
        <v>1</v>
      </c>
      <c r="BP32" s="229">
        <f>IF($BC32=Lookup!$A$2,$BD32*ROUNDUP(BH32/10,0)+1,
IF($BC32=Lookup!$A$3,($BD32+1)^BG32,
IF($BC32=Lookup!$A$4,BH32*$BD32+1,"Error")))</f>
        <v>1.089918256</v>
      </c>
      <c r="BQ32" s="229">
        <f>IF($BC32=Lookup!$A$2,$BD32*ROUNDUP(BI32/10,0)+1,
IF($BC32=Lookup!$A$3,($BD32+1)^BH32,
IF($BC32=Lookup!$A$4,BI32*$BD32+1,"Error")))</f>
        <v>1.089918256</v>
      </c>
      <c r="BR32" s="229">
        <f>IF($BC32=Lookup!$A$2,$BD32*ROUNDUP(BJ32/10,0)+1,
IF($BC32=Lookup!$A$3,($BD32+1)^BI32,
IF($BC32=Lookup!$A$4,BJ32*$BD32+1,"Error")))</f>
        <v>1.089918256</v>
      </c>
      <c r="BS32" s="229">
        <f>IF($BC32=Lookup!$A$2,$BD32*ROUNDUP(BK32/10,0)+1,
IF($BC32=Lookup!$A$3,($BD32+1)^BJ32,
IF($BC32=Lookup!$A$4,BK32*$BD32+1,"Error")))</f>
        <v>1.089918256</v>
      </c>
      <c r="BT32" s="249">
        <f>IF($BC32=Lookup!$A$2,$BD32*ROUNDUP(BL32/10,0)+1,
IF($BC32=Lookup!$A$3,($BD32+1)^BK32,
IF($BC32=Lookup!$A$4,BL32*$BD32+1,"Error")))</f>
        <v>1.089918256</v>
      </c>
      <c r="BU32" s="320"/>
      <c r="BV32" s="321"/>
      <c r="BW32" s="321"/>
      <c r="BX32" s="321"/>
      <c r="BY32" s="321"/>
      <c r="BZ32" s="321"/>
      <c r="CA32" s="321"/>
      <c r="CB32" s="277"/>
      <c r="CC32" s="382" t="s">
        <v>292</v>
      </c>
      <c r="CD32" s="383">
        <f>HLOOKUP($CC32,$AK$6:$AM$132,ROWS(CD$6:CD32),0)</f>
        <v>0</v>
      </c>
      <c r="CE32" s="234">
        <f t="shared" si="28"/>
        <v>0</v>
      </c>
      <c r="CF32" s="96">
        <f t="shared" si="29"/>
        <v>0</v>
      </c>
      <c r="CG32" s="96">
        <f t="shared" si="30"/>
        <v>0</v>
      </c>
      <c r="CH32" s="96">
        <f t="shared" si="31"/>
        <v>0</v>
      </c>
      <c r="CI32" s="96">
        <f t="shared" si="32"/>
        <v>0</v>
      </c>
      <c r="CJ32" s="96">
        <f t="shared" si="33"/>
        <v>0</v>
      </c>
      <c r="CK32" s="96">
        <f t="shared" si="34"/>
        <v>0</v>
      </c>
      <c r="CL32" s="286">
        <f t="shared" si="35"/>
        <v>0</v>
      </c>
      <c r="CM32" s="305" t="s">
        <v>293</v>
      </c>
      <c r="CN32" s="315">
        <v>0.05</v>
      </c>
      <c r="CO32" s="306"/>
      <c r="CP32" s="307" t="str">
        <f>IF($CO32&lt;&gt;"",$CO32,HLOOKUP($CM32,$AY$6:$BA$132,ROWS(CP$6:CP32),0))</f>
        <v/>
      </c>
      <c r="CQ32" s="784" t="str">
        <f t="shared" si="36"/>
        <v/>
      </c>
      <c r="CR32" s="784" t="str">
        <f t="shared" si="37"/>
        <v/>
      </c>
      <c r="CS32" s="97" t="str">
        <f t="shared" si="38"/>
        <v/>
      </c>
      <c r="CT32" s="97" t="str">
        <f t="shared" si="39"/>
        <v/>
      </c>
      <c r="CU32" s="97" t="str">
        <f t="shared" si="40"/>
        <v/>
      </c>
      <c r="CV32" s="97" t="str">
        <f t="shared" si="41"/>
        <v/>
      </c>
      <c r="CW32" s="97" t="str">
        <f t="shared" si="42"/>
        <v/>
      </c>
      <c r="CX32" s="98" t="str">
        <f t="shared" si="43"/>
        <v/>
      </c>
      <c r="CY32" s="392"/>
    </row>
    <row r="33" spans="1:103" ht="15.75" thickBot="1" x14ac:dyDescent="0.3">
      <c r="A33" s="100" t="s">
        <v>68</v>
      </c>
      <c r="B33" s="101" t="s">
        <v>308</v>
      </c>
      <c r="C33" s="102" t="s">
        <v>309</v>
      </c>
      <c r="D33" s="103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0</v>
      </c>
      <c r="K33" s="104">
        <v>0</v>
      </c>
      <c r="L33" s="104">
        <v>0</v>
      </c>
      <c r="M33" s="655">
        <f>'2022-23 Input'!E33</f>
        <v>0</v>
      </c>
      <c r="N33" s="1066">
        <v>0</v>
      </c>
      <c r="O33" s="563">
        <f t="shared" si="0"/>
        <v>0</v>
      </c>
      <c r="P33" s="564">
        <f t="shared" si="1"/>
        <v>0</v>
      </c>
      <c r="Q33" s="564">
        <f t="shared" si="2"/>
        <v>0</v>
      </c>
      <c r="R33" s="564">
        <f t="shared" si="3"/>
        <v>0</v>
      </c>
      <c r="S33" s="564">
        <f t="shared" si="4"/>
        <v>0</v>
      </c>
      <c r="T33" s="564">
        <f t="shared" si="5"/>
        <v>0</v>
      </c>
      <c r="U33" s="564">
        <f t="shared" si="6"/>
        <v>0</v>
      </c>
      <c r="V33" s="564">
        <f t="shared" si="7"/>
        <v>0</v>
      </c>
      <c r="W33" s="676">
        <f t="shared" si="8"/>
        <v>0</v>
      </c>
      <c r="X33" s="676">
        <f t="shared" si="9"/>
        <v>0</v>
      </c>
      <c r="Y33" s="676">
        <f t="shared" si="10"/>
        <v>0</v>
      </c>
      <c r="Z33" s="105">
        <v>0</v>
      </c>
      <c r="AA33" s="106">
        <v>0</v>
      </c>
      <c r="AB33" s="106">
        <v>0</v>
      </c>
      <c r="AC33" s="106">
        <v>0</v>
      </c>
      <c r="AD33" s="106">
        <v>0</v>
      </c>
      <c r="AE33" s="106">
        <v>0</v>
      </c>
      <c r="AF33" s="106">
        <v>0</v>
      </c>
      <c r="AG33" s="106">
        <v>0</v>
      </c>
      <c r="AH33" s="106">
        <v>0</v>
      </c>
      <c r="AI33" s="1095">
        <f>'2022-23 Input'!L33</f>
        <v>0</v>
      </c>
      <c r="AJ33" s="666">
        <v>0</v>
      </c>
      <c r="AK33" s="107">
        <f t="shared" si="11"/>
        <v>0</v>
      </c>
      <c r="AL33" s="108">
        <f t="shared" si="12"/>
        <v>0</v>
      </c>
      <c r="AM33" s="109">
        <f t="shared" si="13"/>
        <v>0</v>
      </c>
      <c r="AN33" s="110" t="str">
        <f t="shared" si="14"/>
        <v/>
      </c>
      <c r="AO33" s="111" t="str">
        <f t="shared" si="15"/>
        <v/>
      </c>
      <c r="AP33" s="111" t="str">
        <f t="shared" si="16"/>
        <v/>
      </c>
      <c r="AQ33" s="111" t="str">
        <f t="shared" si="17"/>
        <v/>
      </c>
      <c r="AR33" s="111" t="str">
        <f t="shared" si="18"/>
        <v/>
      </c>
      <c r="AS33" s="111" t="str">
        <f t="shared" si="19"/>
        <v/>
      </c>
      <c r="AT33" s="111" t="str">
        <f t="shared" si="20"/>
        <v/>
      </c>
      <c r="AU33" s="111" t="str">
        <f t="shared" si="21"/>
        <v/>
      </c>
      <c r="AV33" s="111" t="str">
        <f t="shared" si="45"/>
        <v/>
      </c>
      <c r="AW33" s="111" t="str">
        <f t="shared" si="45"/>
        <v/>
      </c>
      <c r="AX33" s="111" t="str">
        <f t="shared" si="45"/>
        <v/>
      </c>
      <c r="AY33" s="112" t="str">
        <f t="shared" si="23"/>
        <v/>
      </c>
      <c r="AZ33" s="113" t="str">
        <f t="shared" si="24"/>
        <v/>
      </c>
      <c r="BA33" s="114" t="str">
        <f t="shared" si="25"/>
        <v/>
      </c>
      <c r="BB33" s="250" t="s">
        <v>422</v>
      </c>
      <c r="BC33" s="230" t="s">
        <v>433</v>
      </c>
      <c r="BD33" s="251">
        <v>8.9918256000000002E-2</v>
      </c>
      <c r="BE33" s="270">
        <f t="shared" si="26"/>
        <v>0</v>
      </c>
      <c r="BF33" s="271">
        <f t="shared" si="46"/>
        <v>0</v>
      </c>
      <c r="BG33" s="271">
        <f t="shared" si="46"/>
        <v>0</v>
      </c>
      <c r="BH33" s="271">
        <f t="shared" si="46"/>
        <v>1</v>
      </c>
      <c r="BI33" s="271">
        <f t="shared" si="46"/>
        <v>2</v>
      </c>
      <c r="BJ33" s="271">
        <f t="shared" si="46"/>
        <v>3</v>
      </c>
      <c r="BK33" s="271">
        <f t="shared" si="46"/>
        <v>4</v>
      </c>
      <c r="BL33" s="272">
        <f t="shared" si="46"/>
        <v>5</v>
      </c>
      <c r="BM33" s="257">
        <f>IF($BC33=Lookup!$A$2,$BD33*ROUNDUP(BE33/10,0)+1,
IF($BC33=Lookup!$A$3,($BD33+1)^BD33,
IF($BC33=Lookup!$A$4,BE33*$BD33+1,"Error")))</f>
        <v>1</v>
      </c>
      <c r="BN33" s="230">
        <f>IF($BC33=Lookup!$A$2,$BD33*ROUNDUP(BF33/10,0)+1,
IF($BC33=Lookup!$A$3,($BD33+1)^BE33,
IF($BC33=Lookup!$A$4,BF33*$BD33+1,"Error")))</f>
        <v>1</v>
      </c>
      <c r="BO33" s="230">
        <f>IF($BC33=Lookup!$A$2,$BD33*ROUNDUP(BG33/10,0)+1,
IF($BC33=Lookup!$A$3,($BD33+1)^BF33,
IF($BC33=Lookup!$A$4,BG33*$BD33+1,"Error")))</f>
        <v>1</v>
      </c>
      <c r="BP33" s="230">
        <f>IF($BC33=Lookup!$A$2,$BD33*ROUNDUP(BH33/10,0)+1,
IF($BC33=Lookup!$A$3,($BD33+1)^BG33,
IF($BC33=Lookup!$A$4,BH33*$BD33+1,"Error")))</f>
        <v>1.089918256</v>
      </c>
      <c r="BQ33" s="230">
        <f>IF($BC33=Lookup!$A$2,$BD33*ROUNDUP(BI33/10,0)+1,
IF($BC33=Lookup!$A$3,($BD33+1)^BH33,
IF($BC33=Lookup!$A$4,BI33*$BD33+1,"Error")))</f>
        <v>1.089918256</v>
      </c>
      <c r="BR33" s="230">
        <f>IF($BC33=Lookup!$A$2,$BD33*ROUNDUP(BJ33/10,0)+1,
IF($BC33=Lookup!$A$3,($BD33+1)^BI33,
IF($BC33=Lookup!$A$4,BJ33*$BD33+1,"Error")))</f>
        <v>1.089918256</v>
      </c>
      <c r="BS33" s="230">
        <f>IF($BC33=Lookup!$A$2,$BD33*ROUNDUP(BK33/10,0)+1,
IF($BC33=Lookup!$A$3,($BD33+1)^BJ33,
IF($BC33=Lookup!$A$4,BK33*$BD33+1,"Error")))</f>
        <v>1.089918256</v>
      </c>
      <c r="BT33" s="251">
        <f>IF($BC33=Lookup!$A$2,$BD33*ROUNDUP(BL33/10,0)+1,
IF($BC33=Lookup!$A$3,($BD33+1)^BK33,
IF($BC33=Lookup!$A$4,BL33*$BD33+1,"Error")))</f>
        <v>1.089918256</v>
      </c>
      <c r="BU33" s="322"/>
      <c r="BV33" s="323"/>
      <c r="BW33" s="323"/>
      <c r="BX33" s="323"/>
      <c r="BY33" s="323"/>
      <c r="BZ33" s="323"/>
      <c r="CA33" s="323"/>
      <c r="CB33" s="278"/>
      <c r="CC33" s="384" t="s">
        <v>292</v>
      </c>
      <c r="CD33" s="385">
        <f>HLOOKUP($CC33,$AK$6:$AM$132,ROWS(CD$6:CD33),0)</f>
        <v>0</v>
      </c>
      <c r="CE33" s="235">
        <f t="shared" si="28"/>
        <v>0</v>
      </c>
      <c r="CF33" s="115">
        <f t="shared" si="29"/>
        <v>0</v>
      </c>
      <c r="CG33" s="115">
        <f t="shared" si="30"/>
        <v>0</v>
      </c>
      <c r="CH33" s="115">
        <f t="shared" si="31"/>
        <v>0</v>
      </c>
      <c r="CI33" s="115">
        <f t="shared" si="32"/>
        <v>0</v>
      </c>
      <c r="CJ33" s="115">
        <f t="shared" si="33"/>
        <v>0</v>
      </c>
      <c r="CK33" s="115">
        <f t="shared" si="34"/>
        <v>0</v>
      </c>
      <c r="CL33" s="287">
        <f t="shared" si="35"/>
        <v>0</v>
      </c>
      <c r="CM33" s="308" t="s">
        <v>293</v>
      </c>
      <c r="CN33" s="316">
        <v>0.05</v>
      </c>
      <c r="CO33" s="309"/>
      <c r="CP33" s="310" t="str">
        <f>IF($CO33&lt;&gt;"",$CO33,HLOOKUP($CM33,$AY$6:$BA$132,ROWS(CP$6:CP33),0))</f>
        <v/>
      </c>
      <c r="CQ33" s="785" t="str">
        <f t="shared" si="36"/>
        <v/>
      </c>
      <c r="CR33" s="785" t="str">
        <f t="shared" si="37"/>
        <v/>
      </c>
      <c r="CS33" s="117" t="str">
        <f t="shared" si="38"/>
        <v/>
      </c>
      <c r="CT33" s="117" t="str">
        <f t="shared" si="39"/>
        <v/>
      </c>
      <c r="CU33" s="117" t="str">
        <f t="shared" si="40"/>
        <v/>
      </c>
      <c r="CV33" s="117" t="str">
        <f t="shared" si="41"/>
        <v/>
      </c>
      <c r="CW33" s="117" t="str">
        <f t="shared" si="42"/>
        <v/>
      </c>
      <c r="CX33" s="118" t="str">
        <f t="shared" si="43"/>
        <v/>
      </c>
      <c r="CY33" s="393"/>
    </row>
    <row r="34" spans="1:103" x14ac:dyDescent="0.25">
      <c r="A34" s="63" t="s">
        <v>81</v>
      </c>
      <c r="B34" s="334" t="s">
        <v>79</v>
      </c>
      <c r="C34" s="65" t="s">
        <v>305</v>
      </c>
      <c r="D34" s="66">
        <v>122973.27155332513</v>
      </c>
      <c r="E34" s="67">
        <v>196361.25247475266</v>
      </c>
      <c r="F34" s="67">
        <v>472541.739900744</v>
      </c>
      <c r="G34" s="67">
        <v>50412.777078450388</v>
      </c>
      <c r="H34" s="67">
        <v>90800.623331195471</v>
      </c>
      <c r="I34" s="67">
        <v>133221.78868046502</v>
      </c>
      <c r="J34" s="67">
        <v>101480.91250015225</v>
      </c>
      <c r="K34" s="67">
        <v>-136.4</v>
      </c>
      <c r="L34" s="67">
        <v>0</v>
      </c>
      <c r="M34" s="653">
        <f>'2022-23 Input'!E34</f>
        <v>0</v>
      </c>
      <c r="N34" s="1064">
        <v>0</v>
      </c>
      <c r="O34" s="557">
        <f t="shared" si="0"/>
        <v>165455.16530492765</v>
      </c>
      <c r="P34" s="558">
        <f t="shared" si="1"/>
        <v>260263.27607521214</v>
      </c>
      <c r="Q34" s="558">
        <f t="shared" si="2"/>
        <v>619977.47879427997</v>
      </c>
      <c r="R34" s="558">
        <f t="shared" si="3"/>
        <v>64887.129782115466</v>
      </c>
      <c r="S34" s="558">
        <f t="shared" si="4"/>
        <v>114492.21285250923</v>
      </c>
      <c r="T34" s="558">
        <f t="shared" si="5"/>
        <v>165347.99580563314</v>
      </c>
      <c r="U34" s="558">
        <f t="shared" si="6"/>
        <v>126393.25609030432</v>
      </c>
      <c r="V34" s="558">
        <f t="shared" si="7"/>
        <v>-163.59253890086194</v>
      </c>
      <c r="W34" s="674">
        <f t="shared" si="8"/>
        <v>0</v>
      </c>
      <c r="X34" s="674">
        <f t="shared" si="9"/>
        <v>0</v>
      </c>
      <c r="Y34" s="674">
        <f t="shared" si="10"/>
        <v>0</v>
      </c>
      <c r="Z34" s="119">
        <v>1</v>
      </c>
      <c r="AA34" s="120">
        <v>3</v>
      </c>
      <c r="AB34" s="120">
        <v>2</v>
      </c>
      <c r="AC34" s="120">
        <v>0</v>
      </c>
      <c r="AD34" s="120">
        <v>2</v>
      </c>
      <c r="AE34" s="120">
        <v>1.3025266420000003</v>
      </c>
      <c r="AF34" s="120">
        <v>-1.6051666670000002</v>
      </c>
      <c r="AG34" s="120">
        <v>1.4999999999999934E-2</v>
      </c>
      <c r="AH34" s="120">
        <v>0</v>
      </c>
      <c r="AI34" s="1096">
        <f>'2022-23 Input'!L34</f>
        <v>0</v>
      </c>
      <c r="AJ34" s="667">
        <v>0</v>
      </c>
      <c r="AK34" s="121">
        <f t="shared" si="11"/>
        <v>-5.7528004999999979E-2</v>
      </c>
      <c r="AL34" s="122">
        <f t="shared" si="12"/>
        <v>4.9999999999999776E-3</v>
      </c>
      <c r="AM34" s="123">
        <f t="shared" si="13"/>
        <v>0</v>
      </c>
      <c r="AN34" s="73">
        <f t="shared" si="14"/>
        <v>122973.27155332513</v>
      </c>
      <c r="AO34" s="74">
        <f t="shared" si="15"/>
        <v>65453.750824917552</v>
      </c>
      <c r="AP34" s="74">
        <f t="shared" si="16"/>
        <v>236270.869950372</v>
      </c>
      <c r="AQ34" s="74" t="str">
        <f t="shared" si="17"/>
        <v/>
      </c>
      <c r="AR34" s="74">
        <f t="shared" si="18"/>
        <v>45400.311665597736</v>
      </c>
      <c r="AS34" s="74">
        <f t="shared" si="19"/>
        <v>102279.51151609917</v>
      </c>
      <c r="AT34" s="74">
        <f t="shared" si="20"/>
        <v>-63221.417804430544</v>
      </c>
      <c r="AU34" s="74">
        <f t="shared" si="21"/>
        <v>-9093.333333333374</v>
      </c>
      <c r="AV34" s="74" t="str">
        <f t="shared" si="45"/>
        <v/>
      </c>
      <c r="AW34" s="74" t="str">
        <f t="shared" si="45"/>
        <v/>
      </c>
      <c r="AX34" s="74" t="str">
        <f t="shared" si="45"/>
        <v/>
      </c>
      <c r="AY34" s="75">
        <f t="shared" si="23"/>
        <v>-815485.60976733803</v>
      </c>
      <c r="AZ34" s="76">
        <f t="shared" si="24"/>
        <v>-9093.333333333374</v>
      </c>
      <c r="BA34" s="77" t="str">
        <f t="shared" si="25"/>
        <v/>
      </c>
      <c r="BB34" s="246" t="s">
        <v>422</v>
      </c>
      <c r="BC34" s="228" t="s">
        <v>433</v>
      </c>
      <c r="BD34" s="247">
        <v>1.56253</v>
      </c>
      <c r="BE34" s="264">
        <f t="shared" si="26"/>
        <v>0</v>
      </c>
      <c r="BF34" s="265">
        <f t="shared" si="46"/>
        <v>0</v>
      </c>
      <c r="BG34" s="265">
        <f t="shared" si="46"/>
        <v>0</v>
      </c>
      <c r="BH34" s="265">
        <f t="shared" si="46"/>
        <v>1</v>
      </c>
      <c r="BI34" s="265">
        <f t="shared" si="46"/>
        <v>2</v>
      </c>
      <c r="BJ34" s="265">
        <f t="shared" si="46"/>
        <v>3</v>
      </c>
      <c r="BK34" s="265">
        <f t="shared" si="46"/>
        <v>4</v>
      </c>
      <c r="BL34" s="266">
        <f t="shared" si="46"/>
        <v>5</v>
      </c>
      <c r="BM34" s="255">
        <f>IF($BC34=Lookup!$A$2,$BD34*ROUNDUP(BE34/10,0)+1,
IF($BC34=Lookup!$A$3,($BD34+1)^BD34,
IF($BC34=Lookup!$A$4,BE34*$BD34+1,"Error")))</f>
        <v>1</v>
      </c>
      <c r="BN34" s="228">
        <f>IF($BC34=Lookup!$A$2,$BD34*ROUNDUP(BF34/10,0)+1,
IF($BC34=Lookup!$A$3,($BD34+1)^BE34,
IF($BC34=Lookup!$A$4,BF34*$BD34+1,"Error")))</f>
        <v>1</v>
      </c>
      <c r="BO34" s="228">
        <f>IF($BC34=Lookup!$A$2,$BD34*ROUNDUP(BG34/10,0)+1,
IF($BC34=Lookup!$A$3,($BD34+1)^BF34,
IF($BC34=Lookup!$A$4,BG34*$BD34+1,"Error")))</f>
        <v>1</v>
      </c>
      <c r="BP34" s="228">
        <f>IF($BC34=Lookup!$A$2,$BD34*ROUNDUP(BH34/10,0)+1,
IF($BC34=Lookup!$A$3,($BD34+1)^BG34,
IF($BC34=Lookup!$A$4,BH34*$BD34+1,"Error")))</f>
        <v>2.5625299999999998</v>
      </c>
      <c r="BQ34" s="228">
        <f>IF($BC34=Lookup!$A$2,$BD34*ROUNDUP(BI34/10,0)+1,
IF($BC34=Lookup!$A$3,($BD34+1)^BH34,
IF($BC34=Lookup!$A$4,BI34*$BD34+1,"Error")))</f>
        <v>2.5625299999999998</v>
      </c>
      <c r="BR34" s="228">
        <f>IF($BC34=Lookup!$A$2,$BD34*ROUNDUP(BJ34/10,0)+1,
IF($BC34=Lookup!$A$3,($BD34+1)^BI34,
IF($BC34=Lookup!$A$4,BJ34*$BD34+1,"Error")))</f>
        <v>2.5625299999999998</v>
      </c>
      <c r="BS34" s="228">
        <f>IF($BC34=Lookup!$A$2,$BD34*ROUNDUP(BK34/10,0)+1,
IF($BC34=Lookup!$A$3,($BD34+1)^BJ34,
IF($BC34=Lookup!$A$4,BK34*$BD34+1,"Error")))</f>
        <v>2.5625299999999998</v>
      </c>
      <c r="BT34" s="247">
        <f>IF($BC34=Lookup!$A$2,$BD34*ROUNDUP(BL34/10,0)+1,
IF($BC34=Lookup!$A$3,($BD34+1)^BK34,
IF($BC34=Lookup!$A$4,BL34*$BD34+1,"Error")))</f>
        <v>2.5625299999999998</v>
      </c>
      <c r="BU34" s="396"/>
      <c r="BV34" s="354"/>
      <c r="BW34" s="354"/>
      <c r="BX34" s="354"/>
      <c r="BY34" s="354"/>
      <c r="BZ34" s="354"/>
      <c r="CA34" s="354"/>
      <c r="CB34" s="397"/>
      <c r="CC34" s="380" t="s">
        <v>292</v>
      </c>
      <c r="CD34" s="381">
        <f>HLOOKUP($CC34,$AK$6:$AM$132,ROWS(CD$6:CD34),0)</f>
        <v>-5.7528004999999979E-2</v>
      </c>
      <c r="CE34" s="359">
        <f t="shared" si="28"/>
        <v>-5.7528004999999979E-2</v>
      </c>
      <c r="CF34" s="360">
        <f t="shared" si="29"/>
        <v>-5.7528004999999979E-2</v>
      </c>
      <c r="CG34" s="360">
        <f t="shared" si="30"/>
        <v>-5.7528004999999979E-2</v>
      </c>
      <c r="CH34" s="360">
        <f t="shared" si="31"/>
        <v>-0.14741723865264994</v>
      </c>
      <c r="CI34" s="360">
        <f t="shared" si="32"/>
        <v>-0.14741723865264994</v>
      </c>
      <c r="CJ34" s="360">
        <f t="shared" si="33"/>
        <v>-0.14741723865264994</v>
      </c>
      <c r="CK34" s="360">
        <f t="shared" si="34"/>
        <v>-0.14741723865264994</v>
      </c>
      <c r="CL34" s="361">
        <f t="shared" si="35"/>
        <v>-0.14741723865264994</v>
      </c>
      <c r="CM34" s="302" t="s">
        <v>293</v>
      </c>
      <c r="CN34" s="314">
        <v>0.05</v>
      </c>
      <c r="CO34" s="303"/>
      <c r="CP34" s="304">
        <f>ABS(IF($CO34&lt;&gt;"",$CO34,HLOOKUP($CM34,$AY$6:$BA$132,ROWS(CP$6:CP34),0)))</f>
        <v>9093.333333333374</v>
      </c>
      <c r="CQ34" s="783">
        <f t="shared" si="36"/>
        <v>-523.12132546666885</v>
      </c>
      <c r="CR34" s="783">
        <f t="shared" si="37"/>
        <v>-523.12132546666885</v>
      </c>
      <c r="CS34" s="79">
        <f t="shared" si="38"/>
        <v>-523.12132546666885</v>
      </c>
      <c r="CT34" s="79">
        <f t="shared" si="39"/>
        <v>-1340.5140901481027</v>
      </c>
      <c r="CU34" s="79">
        <f t="shared" si="40"/>
        <v>-1340.5140901481027</v>
      </c>
      <c r="CV34" s="79">
        <f t="shared" si="41"/>
        <v>-1340.5140901481027</v>
      </c>
      <c r="CW34" s="79">
        <f t="shared" si="42"/>
        <v>-1340.5140901481027</v>
      </c>
      <c r="CX34" s="80">
        <f t="shared" si="43"/>
        <v>-1340.5140901481027</v>
      </c>
      <c r="CY34" s="391" t="s">
        <v>511</v>
      </c>
    </row>
    <row r="35" spans="1:103" x14ac:dyDescent="0.25">
      <c r="A35" s="81" t="s">
        <v>81</v>
      </c>
      <c r="B35" s="82" t="s">
        <v>82</v>
      </c>
      <c r="C35" s="83" t="s">
        <v>70</v>
      </c>
      <c r="D35" s="84">
        <v>54779.501270975612</v>
      </c>
      <c r="E35" s="85">
        <v>105938.31847787576</v>
      </c>
      <c r="F35" s="85">
        <v>90240.943474500411</v>
      </c>
      <c r="G35" s="85">
        <v>126830.67617730636</v>
      </c>
      <c r="H35" s="85">
        <v>175597.51231845655</v>
      </c>
      <c r="I35" s="85">
        <v>32317.423492160076</v>
      </c>
      <c r="J35" s="85">
        <v>25042.51350392004</v>
      </c>
      <c r="K35" s="85">
        <v>-761.8</v>
      </c>
      <c r="L35" s="85">
        <v>0</v>
      </c>
      <c r="M35" s="654">
        <f>'2022-23 Input'!E35</f>
        <v>0</v>
      </c>
      <c r="N35" s="1065">
        <v>0</v>
      </c>
      <c r="O35" s="560">
        <f t="shared" si="0"/>
        <v>73703.426148018843</v>
      </c>
      <c r="P35" s="561">
        <f t="shared" si="1"/>
        <v>140413.9232229444</v>
      </c>
      <c r="Q35" s="561">
        <f t="shared" si="2"/>
        <v>118396.63651953681</v>
      </c>
      <c r="R35" s="561">
        <f t="shared" si="3"/>
        <v>163245.88769755006</v>
      </c>
      <c r="S35" s="561">
        <f t="shared" si="4"/>
        <v>221414.20421096071</v>
      </c>
      <c r="T35" s="561">
        <f t="shared" si="5"/>
        <v>40110.715048627149</v>
      </c>
      <c r="U35" s="561">
        <f t="shared" si="6"/>
        <v>31190.14940313156</v>
      </c>
      <c r="V35" s="561">
        <f t="shared" si="7"/>
        <v>-913.67152591405147</v>
      </c>
      <c r="W35" s="675">
        <f t="shared" si="8"/>
        <v>0</v>
      </c>
      <c r="X35" s="675">
        <f t="shared" si="9"/>
        <v>0</v>
      </c>
      <c r="Y35" s="675">
        <f t="shared" si="10"/>
        <v>0</v>
      </c>
      <c r="Z35" s="125">
        <v>0</v>
      </c>
      <c r="AA35" s="126">
        <v>2</v>
      </c>
      <c r="AB35" s="126">
        <v>1</v>
      </c>
      <c r="AC35" s="126">
        <v>2</v>
      </c>
      <c r="AD35" s="126">
        <v>2</v>
      </c>
      <c r="AE35" s="126">
        <v>-0.38874000099999995</v>
      </c>
      <c r="AF35" s="126">
        <v>-1.3333332999999947E-2</v>
      </c>
      <c r="AG35" s="126">
        <v>-0.12666666666666654</v>
      </c>
      <c r="AH35" s="126">
        <v>0</v>
      </c>
      <c r="AI35" s="1097">
        <f>'2022-23 Input'!L35</f>
        <v>0</v>
      </c>
      <c r="AJ35" s="668">
        <v>0</v>
      </c>
      <c r="AK35" s="127">
        <f t="shared" si="11"/>
        <v>-0.1057480001333333</v>
      </c>
      <c r="AL35" s="128">
        <f t="shared" si="12"/>
        <v>-4.2222222222222182E-2</v>
      </c>
      <c r="AM35" s="129">
        <f t="shared" si="13"/>
        <v>0</v>
      </c>
      <c r="AN35" s="91" t="str">
        <f t="shared" si="14"/>
        <v/>
      </c>
      <c r="AO35" s="92">
        <f t="shared" si="15"/>
        <v>52969.159238937878</v>
      </c>
      <c r="AP35" s="92">
        <f t="shared" si="16"/>
        <v>90240.943474500411</v>
      </c>
      <c r="AQ35" s="92">
        <f t="shared" si="17"/>
        <v>63415.338088653181</v>
      </c>
      <c r="AR35" s="92">
        <f t="shared" si="18"/>
        <v>87798.756159228273</v>
      </c>
      <c r="AS35" s="92">
        <f t="shared" si="19"/>
        <v>-83133.774268216046</v>
      </c>
      <c r="AT35" s="92">
        <f t="shared" si="20"/>
        <v>-1878188.5597487243</v>
      </c>
      <c r="AU35" s="92">
        <f t="shared" si="21"/>
        <v>6014.2105263157955</v>
      </c>
      <c r="AV35" s="92" t="str">
        <f t="shared" si="45"/>
        <v/>
      </c>
      <c r="AW35" s="92" t="str">
        <f t="shared" si="45"/>
        <v/>
      </c>
      <c r="AX35" s="92" t="str">
        <f t="shared" si="45"/>
        <v/>
      </c>
      <c r="AY35" s="93">
        <f t="shared" si="23"/>
        <v>-107043.41817285972</v>
      </c>
      <c r="AZ35" s="94">
        <f t="shared" si="24"/>
        <v>6014.2105263157955</v>
      </c>
      <c r="BA35" s="95" t="str">
        <f t="shared" si="25"/>
        <v/>
      </c>
      <c r="BB35" s="248" t="s">
        <v>422</v>
      </c>
      <c r="BC35" s="229" t="s">
        <v>433</v>
      </c>
      <c r="BD35" s="249">
        <v>1.56253</v>
      </c>
      <c r="BE35" s="267">
        <f t="shared" si="26"/>
        <v>0</v>
      </c>
      <c r="BF35" s="268">
        <f t="shared" si="46"/>
        <v>0</v>
      </c>
      <c r="BG35" s="268">
        <f t="shared" si="46"/>
        <v>0</v>
      </c>
      <c r="BH35" s="268">
        <f t="shared" si="46"/>
        <v>1</v>
      </c>
      <c r="BI35" s="268">
        <f t="shared" si="46"/>
        <v>2</v>
      </c>
      <c r="BJ35" s="268">
        <f t="shared" si="46"/>
        <v>3</v>
      </c>
      <c r="BK35" s="268">
        <f t="shared" si="46"/>
        <v>4</v>
      </c>
      <c r="BL35" s="269">
        <f t="shared" si="46"/>
        <v>5</v>
      </c>
      <c r="BM35" s="256">
        <f>IF($BC35=Lookup!$A$2,$BD35*ROUNDUP(BE35/10,0)+1,
IF($BC35=Lookup!$A$3,($BD35+1)^BD35,
IF($BC35=Lookup!$A$4,BE35*$BD35+1,"Error")))</f>
        <v>1</v>
      </c>
      <c r="BN35" s="229">
        <f>IF($BC35=Lookup!$A$2,$BD35*ROUNDUP(BF35/10,0)+1,
IF($BC35=Lookup!$A$3,($BD35+1)^BE35,
IF($BC35=Lookup!$A$4,BF35*$BD35+1,"Error")))</f>
        <v>1</v>
      </c>
      <c r="BO35" s="229">
        <f>IF($BC35=Lookup!$A$2,$BD35*ROUNDUP(BG35/10,0)+1,
IF($BC35=Lookup!$A$3,($BD35+1)^BF35,
IF($BC35=Lookup!$A$4,BG35*$BD35+1,"Error")))</f>
        <v>1</v>
      </c>
      <c r="BP35" s="229">
        <f>IF($BC35=Lookup!$A$2,$BD35*ROUNDUP(BH35/10,0)+1,
IF($BC35=Lookup!$A$3,($BD35+1)^BG35,
IF($BC35=Lookup!$A$4,BH35*$BD35+1,"Error")))</f>
        <v>2.5625299999999998</v>
      </c>
      <c r="BQ35" s="229">
        <f>IF($BC35=Lookup!$A$2,$BD35*ROUNDUP(BI35/10,0)+1,
IF($BC35=Lookup!$A$3,($BD35+1)^BH35,
IF($BC35=Lookup!$A$4,BI35*$BD35+1,"Error")))</f>
        <v>2.5625299999999998</v>
      </c>
      <c r="BR35" s="229">
        <f>IF($BC35=Lookup!$A$2,$BD35*ROUNDUP(BJ35/10,0)+1,
IF($BC35=Lookup!$A$3,($BD35+1)^BI35,
IF($BC35=Lookup!$A$4,BJ35*$BD35+1,"Error")))</f>
        <v>2.5625299999999998</v>
      </c>
      <c r="BS35" s="229">
        <f>IF($BC35=Lookup!$A$2,$BD35*ROUNDUP(BK35/10,0)+1,
IF($BC35=Lookup!$A$3,($BD35+1)^BJ35,
IF($BC35=Lookup!$A$4,BK35*$BD35+1,"Error")))</f>
        <v>2.5625299999999998</v>
      </c>
      <c r="BT35" s="249">
        <f>IF($BC35=Lookup!$A$2,$BD35*ROUNDUP(BL35/10,0)+1,
IF($BC35=Lookup!$A$3,($BD35+1)^BK35,
IF($BC35=Lookup!$A$4,BL35*$BD35+1,"Error")))</f>
        <v>2.5625299999999998</v>
      </c>
      <c r="BU35" s="398"/>
      <c r="BV35" s="356"/>
      <c r="BW35" s="356"/>
      <c r="BX35" s="356"/>
      <c r="BY35" s="356"/>
      <c r="BZ35" s="356"/>
      <c r="CA35" s="356"/>
      <c r="CB35" s="399"/>
      <c r="CC35" s="382" t="s">
        <v>292</v>
      </c>
      <c r="CD35" s="383">
        <f>HLOOKUP($CC35,$AK$6:$AM$132,ROWS(CD$6:CD35),0)</f>
        <v>-0.1057480001333333</v>
      </c>
      <c r="CE35" s="362">
        <f t="shared" si="28"/>
        <v>-0.1057480001333333</v>
      </c>
      <c r="CF35" s="363">
        <f t="shared" si="29"/>
        <v>-0.1057480001333333</v>
      </c>
      <c r="CG35" s="363">
        <f t="shared" si="30"/>
        <v>-0.1057480001333333</v>
      </c>
      <c r="CH35" s="363">
        <f t="shared" si="31"/>
        <v>-0.27098242278167056</v>
      </c>
      <c r="CI35" s="363">
        <f t="shared" si="32"/>
        <v>-0.27098242278167056</v>
      </c>
      <c r="CJ35" s="363">
        <f t="shared" si="33"/>
        <v>-0.27098242278167056</v>
      </c>
      <c r="CK35" s="363">
        <f t="shared" si="34"/>
        <v>-0.27098242278167056</v>
      </c>
      <c r="CL35" s="364">
        <f t="shared" si="35"/>
        <v>-0.27098242278167056</v>
      </c>
      <c r="CM35" s="305" t="s">
        <v>293</v>
      </c>
      <c r="CN35" s="315">
        <v>0.05</v>
      </c>
      <c r="CO35" s="306"/>
      <c r="CP35" s="307">
        <f>ABS(IF($CO35&lt;&gt;"",$CO35,HLOOKUP($CM35,$AY$6:$BA$132,ROWS(CP$6:CP35),0)))</f>
        <v>6014.2105263157955</v>
      </c>
      <c r="CQ35" s="784">
        <f t="shared" si="36"/>
        <v>-635.99073553873723</v>
      </c>
      <c r="CR35" s="784">
        <f t="shared" si="37"/>
        <v>-635.99073553873723</v>
      </c>
      <c r="CS35" s="97">
        <f t="shared" si="38"/>
        <v>-635.99073553873723</v>
      </c>
      <c r="CT35" s="97">
        <f t="shared" si="39"/>
        <v>-1629.7453395400803</v>
      </c>
      <c r="CU35" s="97">
        <f t="shared" si="40"/>
        <v>-1629.7453395400803</v>
      </c>
      <c r="CV35" s="97">
        <f t="shared" si="41"/>
        <v>-1629.7453395400803</v>
      </c>
      <c r="CW35" s="97">
        <f t="shared" si="42"/>
        <v>-1629.7453395400803</v>
      </c>
      <c r="CX35" s="98">
        <f t="shared" si="43"/>
        <v>-1629.7453395400803</v>
      </c>
      <c r="CY35" s="392"/>
    </row>
    <row r="36" spans="1:103" x14ac:dyDescent="0.25">
      <c r="A36" s="81" t="s">
        <v>81</v>
      </c>
      <c r="B36" s="82" t="s">
        <v>83</v>
      </c>
      <c r="C36" s="83" t="s">
        <v>312</v>
      </c>
      <c r="D36" s="84">
        <v>8876.5245688134419</v>
      </c>
      <c r="E36" s="85">
        <v>25865.413340936782</v>
      </c>
      <c r="F36" s="85">
        <v>45382.470437359407</v>
      </c>
      <c r="G36" s="85">
        <v>84552.81771350831</v>
      </c>
      <c r="H36" s="85">
        <v>89019.715269820095</v>
      </c>
      <c r="I36" s="85">
        <v>38203.025280597896</v>
      </c>
      <c r="J36" s="85">
        <v>5956.2242590779506</v>
      </c>
      <c r="K36" s="85">
        <v>-1935.3</v>
      </c>
      <c r="L36" s="85">
        <v>0</v>
      </c>
      <c r="M36" s="654">
        <f>'2022-23 Input'!E36</f>
        <v>0</v>
      </c>
      <c r="N36" s="1065">
        <v>0</v>
      </c>
      <c r="O36" s="560">
        <f t="shared" si="0"/>
        <v>11942.976073702479</v>
      </c>
      <c r="P36" s="561">
        <f t="shared" si="1"/>
        <v>34282.818673797439</v>
      </c>
      <c r="Q36" s="561">
        <f t="shared" si="2"/>
        <v>59542.062060210672</v>
      </c>
      <c r="R36" s="561">
        <f t="shared" si="3"/>
        <v>108829.34792269548</v>
      </c>
      <c r="S36" s="561">
        <f t="shared" si="4"/>
        <v>112246.63239993884</v>
      </c>
      <c r="T36" s="561">
        <f t="shared" si="5"/>
        <v>47415.619670215863</v>
      </c>
      <c r="U36" s="561">
        <f t="shared" si="6"/>
        <v>7418.4056840028225</v>
      </c>
      <c r="V36" s="561">
        <f t="shared" si="7"/>
        <v>-2321.119065504678</v>
      </c>
      <c r="W36" s="675">
        <f t="shared" si="8"/>
        <v>0</v>
      </c>
      <c r="X36" s="675">
        <f t="shared" si="9"/>
        <v>0</v>
      </c>
      <c r="Y36" s="675">
        <f t="shared" si="10"/>
        <v>0</v>
      </c>
      <c r="Z36" s="125">
        <v>1</v>
      </c>
      <c r="AA36" s="126">
        <v>1</v>
      </c>
      <c r="AB36" s="126">
        <v>2</v>
      </c>
      <c r="AC36" s="126">
        <v>4</v>
      </c>
      <c r="AD36" s="126">
        <v>4</v>
      </c>
      <c r="AE36" s="126">
        <v>2.321220093</v>
      </c>
      <c r="AF36" s="126">
        <v>0.34666666600000001</v>
      </c>
      <c r="AG36" s="126">
        <v>-0.9996666666666657</v>
      </c>
      <c r="AH36" s="126">
        <v>0</v>
      </c>
      <c r="AI36" s="1097">
        <f>'2022-23 Input'!L36</f>
        <v>0</v>
      </c>
      <c r="AJ36" s="668">
        <v>0</v>
      </c>
      <c r="AK36" s="127">
        <f t="shared" si="11"/>
        <v>0.3336440184666668</v>
      </c>
      <c r="AL36" s="128">
        <f t="shared" si="12"/>
        <v>-0.33322222222222192</v>
      </c>
      <c r="AM36" s="129">
        <f t="shared" si="13"/>
        <v>0</v>
      </c>
      <c r="AN36" s="91">
        <f t="shared" si="14"/>
        <v>8876.5245688134419</v>
      </c>
      <c r="AO36" s="92">
        <f t="shared" si="15"/>
        <v>25865.413340936782</v>
      </c>
      <c r="AP36" s="92">
        <f t="shared" si="16"/>
        <v>22691.235218679703</v>
      </c>
      <c r="AQ36" s="92">
        <f t="shared" si="17"/>
        <v>21138.204428377077</v>
      </c>
      <c r="AR36" s="92">
        <f t="shared" si="18"/>
        <v>22254.928817455024</v>
      </c>
      <c r="AS36" s="92">
        <f t="shared" si="19"/>
        <v>16458.165856742777</v>
      </c>
      <c r="AT36" s="92">
        <f t="shared" si="20"/>
        <v>17181.416164996812</v>
      </c>
      <c r="AU36" s="92">
        <f t="shared" si="21"/>
        <v>1935.9453151050368</v>
      </c>
      <c r="AV36" s="92" t="str">
        <f t="shared" si="45"/>
        <v/>
      </c>
      <c r="AW36" s="92" t="str">
        <f t="shared" si="45"/>
        <v/>
      </c>
      <c r="AX36" s="92" t="str">
        <f t="shared" si="45"/>
        <v/>
      </c>
      <c r="AY36" s="93">
        <f t="shared" si="23"/>
        <v>25310.77867586245</v>
      </c>
      <c r="AZ36" s="94">
        <f t="shared" si="24"/>
        <v>1935.9453151050368</v>
      </c>
      <c r="BA36" s="95" t="str">
        <f t="shared" si="25"/>
        <v/>
      </c>
      <c r="BB36" s="248" t="s">
        <v>422</v>
      </c>
      <c r="BC36" s="229" t="s">
        <v>433</v>
      </c>
      <c r="BD36" s="249">
        <v>1.56253</v>
      </c>
      <c r="BE36" s="267">
        <f t="shared" si="26"/>
        <v>0</v>
      </c>
      <c r="BF36" s="268">
        <f t="shared" si="46"/>
        <v>0</v>
      </c>
      <c r="BG36" s="268">
        <f t="shared" si="46"/>
        <v>0</v>
      </c>
      <c r="BH36" s="268">
        <f t="shared" si="46"/>
        <v>1</v>
      </c>
      <c r="BI36" s="268">
        <f t="shared" si="46"/>
        <v>2</v>
      </c>
      <c r="BJ36" s="268">
        <f t="shared" si="46"/>
        <v>3</v>
      </c>
      <c r="BK36" s="268">
        <f t="shared" si="46"/>
        <v>4</v>
      </c>
      <c r="BL36" s="269">
        <f t="shared" si="46"/>
        <v>5</v>
      </c>
      <c r="BM36" s="256">
        <f>IF($BC36=Lookup!$A$2,$BD36*ROUNDUP(BE36/10,0)+1,
IF($BC36=Lookup!$A$3,($BD36+1)^BD36,
IF($BC36=Lookup!$A$4,BE36*$BD36+1,"Error")))</f>
        <v>1</v>
      </c>
      <c r="BN36" s="229">
        <f>IF($BC36=Lookup!$A$2,$BD36*ROUNDUP(BF36/10,0)+1,
IF($BC36=Lookup!$A$3,($BD36+1)^BE36,
IF($BC36=Lookup!$A$4,BF36*$BD36+1,"Error")))</f>
        <v>1</v>
      </c>
      <c r="BO36" s="229">
        <f>IF($BC36=Lookup!$A$2,$BD36*ROUNDUP(BG36/10,0)+1,
IF($BC36=Lookup!$A$3,($BD36+1)^BF36,
IF($BC36=Lookup!$A$4,BG36*$BD36+1,"Error")))</f>
        <v>1</v>
      </c>
      <c r="BP36" s="229">
        <f>IF($BC36=Lookup!$A$2,$BD36*ROUNDUP(BH36/10,0)+1,
IF($BC36=Lookup!$A$3,($BD36+1)^BG36,
IF($BC36=Lookup!$A$4,BH36*$BD36+1,"Error")))</f>
        <v>2.5625299999999998</v>
      </c>
      <c r="BQ36" s="229">
        <f>IF($BC36=Lookup!$A$2,$BD36*ROUNDUP(BI36/10,0)+1,
IF($BC36=Lookup!$A$3,($BD36+1)^BH36,
IF($BC36=Lookup!$A$4,BI36*$BD36+1,"Error")))</f>
        <v>2.5625299999999998</v>
      </c>
      <c r="BR36" s="229">
        <f>IF($BC36=Lookup!$A$2,$BD36*ROUNDUP(BJ36/10,0)+1,
IF($BC36=Lookup!$A$3,($BD36+1)^BI36,
IF($BC36=Lookup!$A$4,BJ36*$BD36+1,"Error")))</f>
        <v>2.5625299999999998</v>
      </c>
      <c r="BS36" s="229">
        <f>IF($BC36=Lookup!$A$2,$BD36*ROUNDUP(BK36/10,0)+1,
IF($BC36=Lookup!$A$3,($BD36+1)^BJ36,
IF($BC36=Lookup!$A$4,BK36*$BD36+1,"Error")))</f>
        <v>2.5625299999999998</v>
      </c>
      <c r="BT36" s="249">
        <f>IF($BC36=Lookup!$A$2,$BD36*ROUNDUP(BL36/10,0)+1,
IF($BC36=Lookup!$A$3,($BD36+1)^BK36,
IF($BC36=Lookup!$A$4,BL36*$BD36+1,"Error")))</f>
        <v>2.5625299999999998</v>
      </c>
      <c r="BU36" s="398"/>
      <c r="BV36" s="356"/>
      <c r="BW36" s="356"/>
      <c r="BX36" s="356"/>
      <c r="BY36" s="356"/>
      <c r="BZ36" s="356"/>
      <c r="CA36" s="356"/>
      <c r="CB36" s="399"/>
      <c r="CC36" s="382" t="s">
        <v>292</v>
      </c>
      <c r="CD36" s="383">
        <f>HLOOKUP($CC36,$AK$6:$AM$132,ROWS(CD$6:CD36),0)</f>
        <v>0.3336440184666668</v>
      </c>
      <c r="CE36" s="362">
        <f t="shared" si="28"/>
        <v>0.3336440184666668</v>
      </c>
      <c r="CF36" s="363">
        <f t="shared" si="29"/>
        <v>0.3336440184666668</v>
      </c>
      <c r="CG36" s="363">
        <f t="shared" si="30"/>
        <v>0.3336440184666668</v>
      </c>
      <c r="CH36" s="363">
        <f t="shared" si="31"/>
        <v>0.85497280664138764</v>
      </c>
      <c r="CI36" s="363">
        <f t="shared" si="32"/>
        <v>0.85497280664138764</v>
      </c>
      <c r="CJ36" s="363">
        <f t="shared" si="33"/>
        <v>0.85497280664138764</v>
      </c>
      <c r="CK36" s="363">
        <f t="shared" si="34"/>
        <v>0.85497280664138764</v>
      </c>
      <c r="CL36" s="364">
        <f t="shared" si="35"/>
        <v>0.85497280664138764</v>
      </c>
      <c r="CM36" s="305" t="s">
        <v>293</v>
      </c>
      <c r="CN36" s="315">
        <v>0.05</v>
      </c>
      <c r="CO36" s="306"/>
      <c r="CP36" s="307">
        <f>ABS(IF($CO36&lt;&gt;"",$CO36,HLOOKUP($CM36,$AY$6:$BA$132,ROWS(CP$6:CP36),0)))</f>
        <v>1935.9453151050368</v>
      </c>
      <c r="CQ36" s="784">
        <f t="shared" si="36"/>
        <v>645.91657446336194</v>
      </c>
      <c r="CR36" s="784">
        <f t="shared" si="37"/>
        <v>645.91657446336194</v>
      </c>
      <c r="CS36" s="97">
        <f t="shared" si="38"/>
        <v>645.91657446336194</v>
      </c>
      <c r="CT36" s="97">
        <f t="shared" si="39"/>
        <v>1655.1805995595989</v>
      </c>
      <c r="CU36" s="97">
        <f t="shared" si="40"/>
        <v>1655.1805995595989</v>
      </c>
      <c r="CV36" s="97">
        <f t="shared" si="41"/>
        <v>1655.1805995595989</v>
      </c>
      <c r="CW36" s="97">
        <f t="shared" si="42"/>
        <v>1655.1805995595989</v>
      </c>
      <c r="CX36" s="98">
        <f t="shared" si="43"/>
        <v>1655.1805995595989</v>
      </c>
      <c r="CY36" s="392"/>
    </row>
    <row r="37" spans="1:103" x14ac:dyDescent="0.25">
      <c r="A37" s="81" t="s">
        <v>81</v>
      </c>
      <c r="B37" s="82" t="s">
        <v>85</v>
      </c>
      <c r="C37" s="83" t="s">
        <v>314</v>
      </c>
      <c r="D37" s="84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654">
        <f>'2022-23 Input'!E37</f>
        <v>0</v>
      </c>
      <c r="N37" s="1065">
        <v>0</v>
      </c>
      <c r="O37" s="560">
        <f t="shared" si="0"/>
        <v>0</v>
      </c>
      <c r="P37" s="561">
        <f t="shared" si="1"/>
        <v>0</v>
      </c>
      <c r="Q37" s="561">
        <f t="shared" si="2"/>
        <v>0</v>
      </c>
      <c r="R37" s="561">
        <f t="shared" si="3"/>
        <v>0</v>
      </c>
      <c r="S37" s="561">
        <f t="shared" si="4"/>
        <v>0</v>
      </c>
      <c r="T37" s="561">
        <f t="shared" si="5"/>
        <v>0</v>
      </c>
      <c r="U37" s="561">
        <f t="shared" si="6"/>
        <v>0</v>
      </c>
      <c r="V37" s="561">
        <f t="shared" si="7"/>
        <v>0</v>
      </c>
      <c r="W37" s="675">
        <f t="shared" si="8"/>
        <v>0</v>
      </c>
      <c r="X37" s="675">
        <f t="shared" si="9"/>
        <v>0</v>
      </c>
      <c r="Y37" s="675">
        <f t="shared" si="10"/>
        <v>0</v>
      </c>
      <c r="Z37" s="125">
        <v>0</v>
      </c>
      <c r="AA37" s="126">
        <v>0</v>
      </c>
      <c r="AB37" s="126">
        <v>0</v>
      </c>
      <c r="AC37" s="126">
        <v>0</v>
      </c>
      <c r="AD37" s="126">
        <v>0</v>
      </c>
      <c r="AE37" s="126">
        <v>0</v>
      </c>
      <c r="AF37" s="126">
        <v>0</v>
      </c>
      <c r="AG37" s="126">
        <v>0</v>
      </c>
      <c r="AH37" s="126">
        <v>0</v>
      </c>
      <c r="AI37" s="1097">
        <f>'2022-23 Input'!L37</f>
        <v>0</v>
      </c>
      <c r="AJ37" s="668">
        <v>0</v>
      </c>
      <c r="AK37" s="127">
        <f t="shared" si="11"/>
        <v>0</v>
      </c>
      <c r="AL37" s="128">
        <f t="shared" si="12"/>
        <v>0</v>
      </c>
      <c r="AM37" s="129">
        <f t="shared" si="13"/>
        <v>0</v>
      </c>
      <c r="AN37" s="91" t="str">
        <f t="shared" si="14"/>
        <v/>
      </c>
      <c r="AO37" s="92" t="str">
        <f t="shared" si="15"/>
        <v/>
      </c>
      <c r="AP37" s="92" t="str">
        <f t="shared" si="16"/>
        <v/>
      </c>
      <c r="AQ37" s="92" t="str">
        <f t="shared" si="17"/>
        <v/>
      </c>
      <c r="AR37" s="92" t="str">
        <f t="shared" si="18"/>
        <v/>
      </c>
      <c r="AS37" s="92" t="str">
        <f t="shared" si="19"/>
        <v/>
      </c>
      <c r="AT37" s="92" t="str">
        <f t="shared" si="20"/>
        <v/>
      </c>
      <c r="AU37" s="92" t="str">
        <f t="shared" si="21"/>
        <v/>
      </c>
      <c r="AV37" s="92" t="str">
        <f t="shared" si="45"/>
        <v/>
      </c>
      <c r="AW37" s="92" t="str">
        <f t="shared" si="45"/>
        <v/>
      </c>
      <c r="AX37" s="92" t="str">
        <f t="shared" si="45"/>
        <v/>
      </c>
      <c r="AY37" s="93" t="str">
        <f t="shared" si="23"/>
        <v/>
      </c>
      <c r="AZ37" s="94" t="str">
        <f t="shared" si="24"/>
        <v/>
      </c>
      <c r="BA37" s="95" t="str">
        <f t="shared" si="25"/>
        <v/>
      </c>
      <c r="BB37" s="248" t="s">
        <v>422</v>
      </c>
      <c r="BC37" s="229" t="s">
        <v>433</v>
      </c>
      <c r="BD37" s="249">
        <v>1.56253</v>
      </c>
      <c r="BE37" s="267">
        <f t="shared" si="26"/>
        <v>0</v>
      </c>
      <c r="BF37" s="268">
        <f t="shared" ref="BF37:BL46" si="47">IF(BF$6=$BB37,1,
IF(BE37&lt;&gt;0,BE37+1,0
))</f>
        <v>0</v>
      </c>
      <c r="BG37" s="268">
        <f t="shared" si="47"/>
        <v>0</v>
      </c>
      <c r="BH37" s="268">
        <f t="shared" si="47"/>
        <v>1</v>
      </c>
      <c r="BI37" s="268">
        <f t="shared" si="47"/>
        <v>2</v>
      </c>
      <c r="BJ37" s="268">
        <f t="shared" si="47"/>
        <v>3</v>
      </c>
      <c r="BK37" s="268">
        <f t="shared" si="47"/>
        <v>4</v>
      </c>
      <c r="BL37" s="269">
        <f t="shared" si="47"/>
        <v>5</v>
      </c>
      <c r="BM37" s="256">
        <f>IF($BC37=Lookup!$A$2,$BD37*ROUNDUP(BE37/10,0)+1,
IF($BC37=Lookup!$A$3,($BD37+1)^BD37,
IF($BC37=Lookup!$A$4,BE37*$BD37+1,"Error")))</f>
        <v>1</v>
      </c>
      <c r="BN37" s="229">
        <f>IF($BC37=Lookup!$A$2,$BD37*ROUNDUP(BF37/10,0)+1,
IF($BC37=Lookup!$A$3,($BD37+1)^BE37,
IF($BC37=Lookup!$A$4,BF37*$BD37+1,"Error")))</f>
        <v>1</v>
      </c>
      <c r="BO37" s="229">
        <f>IF($BC37=Lookup!$A$2,$BD37*ROUNDUP(BG37/10,0)+1,
IF($BC37=Lookup!$A$3,($BD37+1)^BF37,
IF($BC37=Lookup!$A$4,BG37*$BD37+1,"Error")))</f>
        <v>1</v>
      </c>
      <c r="BP37" s="229">
        <f>IF($BC37=Lookup!$A$2,$BD37*ROUNDUP(BH37/10,0)+1,
IF($BC37=Lookup!$A$3,($BD37+1)^BG37,
IF($BC37=Lookup!$A$4,BH37*$BD37+1,"Error")))</f>
        <v>2.5625299999999998</v>
      </c>
      <c r="BQ37" s="229">
        <f>IF($BC37=Lookup!$A$2,$BD37*ROUNDUP(BI37/10,0)+1,
IF($BC37=Lookup!$A$3,($BD37+1)^BH37,
IF($BC37=Lookup!$A$4,BI37*$BD37+1,"Error")))</f>
        <v>2.5625299999999998</v>
      </c>
      <c r="BR37" s="229">
        <f>IF($BC37=Lookup!$A$2,$BD37*ROUNDUP(BJ37/10,0)+1,
IF($BC37=Lookup!$A$3,($BD37+1)^BI37,
IF($BC37=Lookup!$A$4,BJ37*$BD37+1,"Error")))</f>
        <v>2.5625299999999998</v>
      </c>
      <c r="BS37" s="229">
        <f>IF($BC37=Lookup!$A$2,$BD37*ROUNDUP(BK37/10,0)+1,
IF($BC37=Lookup!$A$3,($BD37+1)^BJ37,
IF($BC37=Lookup!$A$4,BK37*$BD37+1,"Error")))</f>
        <v>2.5625299999999998</v>
      </c>
      <c r="BT37" s="249">
        <f>IF($BC37=Lookup!$A$2,$BD37*ROUNDUP(BL37/10,0)+1,
IF($BC37=Lookup!$A$3,($BD37+1)^BK37,
IF($BC37=Lookup!$A$4,BL37*$BD37+1,"Error")))</f>
        <v>2.5625299999999998</v>
      </c>
      <c r="BU37" s="398"/>
      <c r="BV37" s="356"/>
      <c r="BW37" s="356"/>
      <c r="BX37" s="356"/>
      <c r="BY37" s="356"/>
      <c r="BZ37" s="356"/>
      <c r="CA37" s="356"/>
      <c r="CB37" s="399"/>
      <c r="CC37" s="382" t="s">
        <v>292</v>
      </c>
      <c r="CD37" s="383">
        <f>HLOOKUP($CC37,$AK$6:$AM$132,ROWS(CD$6:CD37),0)</f>
        <v>0</v>
      </c>
      <c r="CE37" s="362">
        <f t="shared" si="28"/>
        <v>0</v>
      </c>
      <c r="CF37" s="363">
        <f t="shared" si="29"/>
        <v>0</v>
      </c>
      <c r="CG37" s="363">
        <f t="shared" si="30"/>
        <v>0</v>
      </c>
      <c r="CH37" s="363">
        <f t="shared" si="31"/>
        <v>0</v>
      </c>
      <c r="CI37" s="363">
        <f t="shared" si="32"/>
        <v>0</v>
      </c>
      <c r="CJ37" s="363">
        <f t="shared" si="33"/>
        <v>0</v>
      </c>
      <c r="CK37" s="363">
        <f t="shared" si="34"/>
        <v>0</v>
      </c>
      <c r="CL37" s="364">
        <f t="shared" si="35"/>
        <v>0</v>
      </c>
      <c r="CM37" s="305" t="s">
        <v>293</v>
      </c>
      <c r="CN37" s="315">
        <v>0.05</v>
      </c>
      <c r="CO37" s="306"/>
      <c r="CP37" s="307" t="str">
        <f>IF($CO37&lt;&gt;"",$CO37,HLOOKUP($CM37,$AY$6:$BA$132,ROWS(CP$6:CP37),0))</f>
        <v/>
      </c>
      <c r="CQ37" s="784" t="str">
        <f t="shared" si="36"/>
        <v/>
      </c>
      <c r="CR37" s="784" t="str">
        <f t="shared" si="37"/>
        <v/>
      </c>
      <c r="CS37" s="97" t="str">
        <f t="shared" si="38"/>
        <v/>
      </c>
      <c r="CT37" s="97" t="str">
        <f t="shared" si="39"/>
        <v/>
      </c>
      <c r="CU37" s="97" t="str">
        <f t="shared" si="40"/>
        <v/>
      </c>
      <c r="CV37" s="97" t="str">
        <f t="shared" si="41"/>
        <v/>
      </c>
      <c r="CW37" s="97" t="str">
        <f t="shared" si="42"/>
        <v/>
      </c>
      <c r="CX37" s="98" t="str">
        <f t="shared" si="43"/>
        <v/>
      </c>
      <c r="CY37" s="392"/>
    </row>
    <row r="38" spans="1:103" x14ac:dyDescent="0.25">
      <c r="A38" s="81" t="s">
        <v>81</v>
      </c>
      <c r="B38" s="82" t="s">
        <v>87</v>
      </c>
      <c r="C38" s="83" t="s">
        <v>315</v>
      </c>
      <c r="D38" s="84">
        <v>0</v>
      </c>
      <c r="E38" s="85">
        <v>323.44457887225383</v>
      </c>
      <c r="F38" s="85">
        <v>0</v>
      </c>
      <c r="G38" s="85">
        <v>0</v>
      </c>
      <c r="H38" s="85">
        <v>-1164.46</v>
      </c>
      <c r="I38" s="85">
        <v>9717.9746767239922</v>
      </c>
      <c r="J38" s="85">
        <v>0</v>
      </c>
      <c r="K38" s="85">
        <v>0</v>
      </c>
      <c r="L38" s="85">
        <v>0</v>
      </c>
      <c r="M38" s="654">
        <f>'2022-23 Input'!E38</f>
        <v>0</v>
      </c>
      <c r="N38" s="1065">
        <v>0</v>
      </c>
      <c r="O38" s="560">
        <f t="shared" si="0"/>
        <v>0</v>
      </c>
      <c r="P38" s="561">
        <f t="shared" si="1"/>
        <v>428.70344665826445</v>
      </c>
      <c r="Q38" s="561">
        <f t="shared" si="2"/>
        <v>0</v>
      </c>
      <c r="R38" s="561">
        <f t="shared" si="3"/>
        <v>0</v>
      </c>
      <c r="S38" s="561">
        <f t="shared" si="4"/>
        <v>-1468.2895038279864</v>
      </c>
      <c r="T38" s="561">
        <f t="shared" si="5"/>
        <v>12061.447695618786</v>
      </c>
      <c r="U38" s="561">
        <f t="shared" si="6"/>
        <v>0</v>
      </c>
      <c r="V38" s="561">
        <f t="shared" si="7"/>
        <v>0</v>
      </c>
      <c r="W38" s="675">
        <f t="shared" si="8"/>
        <v>0</v>
      </c>
      <c r="X38" s="675">
        <f t="shared" si="9"/>
        <v>0</v>
      </c>
      <c r="Y38" s="675">
        <f t="shared" si="10"/>
        <v>0</v>
      </c>
      <c r="Z38" s="125">
        <v>0</v>
      </c>
      <c r="AA38" s="126">
        <v>0</v>
      </c>
      <c r="AB38" s="126">
        <v>0</v>
      </c>
      <c r="AC38" s="126">
        <v>0</v>
      </c>
      <c r="AD38" s="126">
        <v>-1</v>
      </c>
      <c r="AE38" s="126">
        <v>0.14388001</v>
      </c>
      <c r="AF38" s="126">
        <v>0</v>
      </c>
      <c r="AG38" s="126">
        <v>0</v>
      </c>
      <c r="AH38" s="126">
        <v>0</v>
      </c>
      <c r="AI38" s="1097">
        <f>'2022-23 Input'!L38</f>
        <v>0</v>
      </c>
      <c r="AJ38" s="668">
        <v>0</v>
      </c>
      <c r="AK38" s="127">
        <f t="shared" si="11"/>
        <v>2.8776002000000002E-2</v>
      </c>
      <c r="AL38" s="128">
        <f t="shared" si="12"/>
        <v>0</v>
      </c>
      <c r="AM38" s="129">
        <f t="shared" si="13"/>
        <v>0</v>
      </c>
      <c r="AN38" s="91" t="str">
        <f t="shared" si="14"/>
        <v/>
      </c>
      <c r="AO38" s="92" t="str">
        <f t="shared" si="15"/>
        <v/>
      </c>
      <c r="AP38" s="92" t="str">
        <f t="shared" si="16"/>
        <v/>
      </c>
      <c r="AQ38" s="92" t="str">
        <f t="shared" si="17"/>
        <v/>
      </c>
      <c r="AR38" s="92">
        <f t="shared" si="18"/>
        <v>1164.46</v>
      </c>
      <c r="AS38" s="92">
        <f t="shared" si="19"/>
        <v>67542.215744383066</v>
      </c>
      <c r="AT38" s="92" t="str">
        <f t="shared" si="20"/>
        <v/>
      </c>
      <c r="AU38" s="92" t="str">
        <f t="shared" si="21"/>
        <v/>
      </c>
      <c r="AV38" s="92" t="str">
        <f t="shared" si="45"/>
        <v/>
      </c>
      <c r="AW38" s="92" t="str">
        <f t="shared" si="45"/>
        <v/>
      </c>
      <c r="AX38" s="92" t="str">
        <f t="shared" si="45"/>
        <v/>
      </c>
      <c r="AY38" s="93">
        <f t="shared" si="23"/>
        <v>67542.215744383066</v>
      </c>
      <c r="AZ38" s="94" t="str">
        <f t="shared" si="24"/>
        <v/>
      </c>
      <c r="BA38" s="95" t="str">
        <f t="shared" si="25"/>
        <v/>
      </c>
      <c r="BB38" s="248" t="s">
        <v>422</v>
      </c>
      <c r="BC38" s="229" t="s">
        <v>433</v>
      </c>
      <c r="BD38" s="249">
        <v>0</v>
      </c>
      <c r="BE38" s="267">
        <f t="shared" si="26"/>
        <v>0</v>
      </c>
      <c r="BF38" s="268">
        <f t="shared" si="47"/>
        <v>0</v>
      </c>
      <c r="BG38" s="268">
        <f t="shared" si="47"/>
        <v>0</v>
      </c>
      <c r="BH38" s="268">
        <f t="shared" si="47"/>
        <v>1</v>
      </c>
      <c r="BI38" s="268">
        <f t="shared" si="47"/>
        <v>2</v>
      </c>
      <c r="BJ38" s="268">
        <f t="shared" si="47"/>
        <v>3</v>
      </c>
      <c r="BK38" s="268">
        <f t="shared" si="47"/>
        <v>4</v>
      </c>
      <c r="BL38" s="269">
        <f t="shared" si="47"/>
        <v>5</v>
      </c>
      <c r="BM38" s="256">
        <f>IF($BC38=Lookup!$A$2,$BD38*ROUNDUP(BE38/10,0)+1,
IF($BC38=Lookup!$A$3,($BD38+1)^BD38,
IF($BC38=Lookup!$A$4,BE38*$BD38+1,"Error")))</f>
        <v>1</v>
      </c>
      <c r="BN38" s="229">
        <f>IF($BC38=Lookup!$A$2,$BD38*ROUNDUP(BF38/10,0)+1,
IF($BC38=Lookup!$A$3,($BD38+1)^BE38,
IF($BC38=Lookup!$A$4,BF38*$BD38+1,"Error")))</f>
        <v>1</v>
      </c>
      <c r="BO38" s="229">
        <f>IF($BC38=Lookup!$A$2,$BD38*ROUNDUP(BG38/10,0)+1,
IF($BC38=Lookup!$A$3,($BD38+1)^BF38,
IF($BC38=Lookup!$A$4,BG38*$BD38+1,"Error")))</f>
        <v>1</v>
      </c>
      <c r="BP38" s="229">
        <f>IF($BC38=Lookup!$A$2,$BD38*ROUNDUP(BH38/10,0)+1,
IF($BC38=Lookup!$A$3,($BD38+1)^BG38,
IF($BC38=Lookup!$A$4,BH38*$BD38+1,"Error")))</f>
        <v>1</v>
      </c>
      <c r="BQ38" s="229">
        <f>IF($BC38=Lookup!$A$2,$BD38*ROUNDUP(BI38/10,0)+1,
IF($BC38=Lookup!$A$3,($BD38+1)^BH38,
IF($BC38=Lookup!$A$4,BI38*$BD38+1,"Error")))</f>
        <v>1</v>
      </c>
      <c r="BR38" s="229">
        <f>IF($BC38=Lookup!$A$2,$BD38*ROUNDUP(BJ38/10,0)+1,
IF($BC38=Lookup!$A$3,($BD38+1)^BI38,
IF($BC38=Lookup!$A$4,BJ38*$BD38+1,"Error")))</f>
        <v>1</v>
      </c>
      <c r="BS38" s="229">
        <f>IF($BC38=Lookup!$A$2,$BD38*ROUNDUP(BK38/10,0)+1,
IF($BC38=Lookup!$A$3,($BD38+1)^BJ38,
IF($BC38=Lookup!$A$4,BK38*$BD38+1,"Error")))</f>
        <v>1</v>
      </c>
      <c r="BT38" s="249">
        <f>IF($BC38=Lookup!$A$2,$BD38*ROUNDUP(BL38/10,0)+1,
IF($BC38=Lookup!$A$3,($BD38+1)^BK38,
IF($BC38=Lookup!$A$4,BL38*$BD38+1,"Error")))</f>
        <v>1</v>
      </c>
      <c r="BU38" s="398"/>
      <c r="BV38" s="356"/>
      <c r="BW38" s="356"/>
      <c r="BX38" s="356"/>
      <c r="BY38" s="356"/>
      <c r="BZ38" s="356"/>
      <c r="CA38" s="356"/>
      <c r="CB38" s="399"/>
      <c r="CC38" s="382" t="s">
        <v>292</v>
      </c>
      <c r="CD38" s="383">
        <f>HLOOKUP($CC38,$AK$6:$AM$132,ROWS(CD$6:CD38),0)</f>
        <v>2.8776002000000002E-2</v>
      </c>
      <c r="CE38" s="362">
        <f t="shared" si="28"/>
        <v>2.8776002000000002E-2</v>
      </c>
      <c r="CF38" s="363">
        <f t="shared" si="29"/>
        <v>2.8776002000000002E-2</v>
      </c>
      <c r="CG38" s="363">
        <f t="shared" si="30"/>
        <v>2.8776002000000002E-2</v>
      </c>
      <c r="CH38" s="363">
        <f t="shared" si="31"/>
        <v>2.8776002000000002E-2</v>
      </c>
      <c r="CI38" s="363">
        <f t="shared" si="32"/>
        <v>2.8776002000000002E-2</v>
      </c>
      <c r="CJ38" s="363">
        <f t="shared" si="33"/>
        <v>2.8776002000000002E-2</v>
      </c>
      <c r="CK38" s="363">
        <f t="shared" si="34"/>
        <v>2.8776002000000002E-2</v>
      </c>
      <c r="CL38" s="364">
        <f t="shared" si="35"/>
        <v>2.8776002000000002E-2</v>
      </c>
      <c r="CM38" s="305" t="s">
        <v>293</v>
      </c>
      <c r="CN38" s="315">
        <v>0.05</v>
      </c>
      <c r="CO38" s="306"/>
      <c r="CP38" s="307" t="str">
        <f>IF($CO38&lt;&gt;"",$CO38,HLOOKUP($CM38,$AY$6:$BA$132,ROWS(CP$6:CP38),0))</f>
        <v/>
      </c>
      <c r="CQ38" s="784" t="str">
        <f t="shared" si="36"/>
        <v/>
      </c>
      <c r="CR38" s="784" t="str">
        <f t="shared" si="37"/>
        <v/>
      </c>
      <c r="CS38" s="97" t="str">
        <f t="shared" si="38"/>
        <v/>
      </c>
      <c r="CT38" s="97" t="str">
        <f t="shared" si="39"/>
        <v/>
      </c>
      <c r="CU38" s="97" t="str">
        <f t="shared" si="40"/>
        <v/>
      </c>
      <c r="CV38" s="97" t="str">
        <f t="shared" si="41"/>
        <v/>
      </c>
      <c r="CW38" s="97" t="str">
        <f t="shared" si="42"/>
        <v/>
      </c>
      <c r="CX38" s="98" t="str">
        <f t="shared" si="43"/>
        <v/>
      </c>
      <c r="CY38" s="392"/>
    </row>
    <row r="39" spans="1:103" x14ac:dyDescent="0.25">
      <c r="A39" s="81" t="s">
        <v>81</v>
      </c>
      <c r="B39" s="82" t="s">
        <v>89</v>
      </c>
      <c r="C39" s="83" t="s">
        <v>74</v>
      </c>
      <c r="D39" s="84">
        <v>0</v>
      </c>
      <c r="E39" s="85">
        <v>351.2663506382732</v>
      </c>
      <c r="F39" s="85">
        <v>0</v>
      </c>
      <c r="G39" s="85">
        <v>3960.188386078727</v>
      </c>
      <c r="H39" s="85">
        <v>3603.2771315814348</v>
      </c>
      <c r="I39" s="85">
        <v>48491.766320071969</v>
      </c>
      <c r="J39" s="85">
        <v>0</v>
      </c>
      <c r="K39" s="85">
        <v>0</v>
      </c>
      <c r="L39" s="85">
        <v>0</v>
      </c>
      <c r="M39" s="654">
        <f>'2022-23 Input'!E39</f>
        <v>0</v>
      </c>
      <c r="N39" s="1065">
        <v>0</v>
      </c>
      <c r="O39" s="560">
        <f t="shared" ref="O39:O70" si="48">D39*O$4</f>
        <v>0</v>
      </c>
      <c r="P39" s="561">
        <f t="shared" ref="P39:P70" si="49">E39*P$4</f>
        <v>465.57928328480079</v>
      </c>
      <c r="Q39" s="561">
        <f t="shared" ref="Q39:Q70" si="50">F39*Q$4</f>
        <v>0</v>
      </c>
      <c r="R39" s="561">
        <f t="shared" ref="R39:R70" si="51">G39*R$4</f>
        <v>5097.2248041253006</v>
      </c>
      <c r="S39" s="561">
        <f t="shared" ref="S39:S70" si="52">H39*S$4</f>
        <v>4543.4398705704234</v>
      </c>
      <c r="T39" s="561">
        <f t="shared" ref="T39:T70" si="53">I39*T$4</f>
        <v>60185.473063496887</v>
      </c>
      <c r="U39" s="561">
        <f t="shared" ref="U39:U70" si="54">J39*U$4</f>
        <v>0</v>
      </c>
      <c r="V39" s="561">
        <f t="shared" ref="V39:V70" si="55">K39*V$4</f>
        <v>0</v>
      </c>
      <c r="W39" s="675">
        <f t="shared" ref="W39:W70" si="56">L39*W$4</f>
        <v>0</v>
      </c>
      <c r="X39" s="675">
        <f t="shared" ref="X39:X70" si="57">M39*X$4</f>
        <v>0</v>
      </c>
      <c r="Y39" s="675">
        <f t="shared" ref="Y39:Y70" si="58">N39*Y$4</f>
        <v>0</v>
      </c>
      <c r="Z39" s="125">
        <v>0</v>
      </c>
      <c r="AA39" s="126">
        <v>0</v>
      </c>
      <c r="AB39" s="126">
        <v>0</v>
      </c>
      <c r="AC39" s="126">
        <v>0</v>
      </c>
      <c r="AD39" s="126">
        <v>0</v>
      </c>
      <c r="AE39" s="126">
        <v>1.322310052</v>
      </c>
      <c r="AF39" s="126">
        <v>0</v>
      </c>
      <c r="AG39" s="126">
        <v>0</v>
      </c>
      <c r="AH39" s="126">
        <v>0</v>
      </c>
      <c r="AI39" s="1097">
        <f>'2022-23 Input'!L39</f>
        <v>0</v>
      </c>
      <c r="AJ39" s="668">
        <v>0</v>
      </c>
      <c r="AK39" s="127">
        <f t="shared" ref="AK39:AK70" si="59">IFERROR(IF($AM$4="N",SUM(AD39:AH39)/5,SUM(AE39:AI39)/5),"")</f>
        <v>0.2644620104</v>
      </c>
      <c r="AL39" s="128">
        <f t="shared" ref="AL39:AL70" si="60">IFERROR(IF($AM$4="N",SUM(AF39:AH39)/3,SUM(AG39:AI39)/3),"")</f>
        <v>0</v>
      </c>
      <c r="AM39" s="129">
        <f t="shared" ref="AM39:AM70" si="61">IFERROR(IF($AM$4="N",AH39,AI39),"")</f>
        <v>0</v>
      </c>
      <c r="AN39" s="91" t="str">
        <f t="shared" ref="AN39:AN70" si="62">IFERROR(D39/Z39,"")</f>
        <v/>
      </c>
      <c r="AO39" s="92" t="str">
        <f t="shared" ref="AO39:AO70" si="63">IFERROR(E39/AA39,"")</f>
        <v/>
      </c>
      <c r="AP39" s="92" t="str">
        <f t="shared" ref="AP39:AP70" si="64">IFERROR(F39/AB39,"")</f>
        <v/>
      </c>
      <c r="AQ39" s="92" t="str">
        <f t="shared" ref="AQ39:AQ70" si="65">IFERROR(G39/AC39,"")</f>
        <v/>
      </c>
      <c r="AR39" s="92" t="str">
        <f t="shared" ref="AR39:AR70" si="66">IFERROR(H39/AD39,"")</f>
        <v/>
      </c>
      <c r="AS39" s="92">
        <f t="shared" ref="AS39:AS70" si="67">IFERROR(I39/AE39,"")</f>
        <v>36672.009145455675</v>
      </c>
      <c r="AT39" s="92" t="str">
        <f t="shared" ref="AT39:AT70" si="68">IFERROR(J39/AF39,"")</f>
        <v/>
      </c>
      <c r="AU39" s="92" t="str">
        <f t="shared" ref="AU39:AU70" si="69">IFERROR(K39/AG39,"")</f>
        <v/>
      </c>
      <c r="AV39" s="92" t="str">
        <f t="shared" ref="AV39:AX54" si="70">IFERROR(L39/AH39,"")</f>
        <v/>
      </c>
      <c r="AW39" s="92" t="str">
        <f t="shared" si="70"/>
        <v/>
      </c>
      <c r="AX39" s="92" t="str">
        <f t="shared" si="70"/>
        <v/>
      </c>
      <c r="AY39" s="93">
        <f t="shared" ref="AY39:AY70" si="71">IFERROR(IF($BA$3="N",
IF($BA$4="N",SUM(H39:L39)/SUM(AD39:AH39),SUM(I39:M39)/SUM(AE39:AI39)),
IF($BA$4="N",SUM(S39:W39)/SUM(AD39:AH39),SUM(T39:X39)/SUM(AE39:AI39))),"")</f>
        <v>36672.009145455675</v>
      </c>
      <c r="AZ39" s="94" t="str">
        <f t="shared" ref="AZ39:AZ70" si="72">IFERROR(IF($BA$3="N",
IF($BA$4="N",SUM(J39:L39)/SUM(AF39:AH39),SUM(K39:M39)/SUM(AG39:AI39)),
IF($BA$4="N",SUM(U39:W39)/SUM(AF39:AH39),SUM(V39:X39)/SUM(AG39:AI39))),"")</f>
        <v/>
      </c>
      <c r="BA39" s="95" t="str">
        <f t="shared" ref="BA39:BA70" si="73">IFERROR(IF($BA$3="N",
IF($BA$4="N",L39/AH39,M39/AI39),
IF($BA$4="N",W39/AH39,X39/AI39)),"")</f>
        <v/>
      </c>
      <c r="BB39" s="248" t="s">
        <v>422</v>
      </c>
      <c r="BC39" s="229" t="s">
        <v>433</v>
      </c>
      <c r="BD39" s="249">
        <v>1.56253</v>
      </c>
      <c r="BE39" s="267">
        <f t="shared" ref="BE39:BE70" si="74">IF(BE$6=$BB39,1,0
)</f>
        <v>0</v>
      </c>
      <c r="BF39" s="268">
        <f t="shared" si="47"/>
        <v>0</v>
      </c>
      <c r="BG39" s="268">
        <f t="shared" si="47"/>
        <v>0</v>
      </c>
      <c r="BH39" s="268">
        <f t="shared" si="47"/>
        <v>1</v>
      </c>
      <c r="BI39" s="268">
        <f t="shared" si="47"/>
        <v>2</v>
      </c>
      <c r="BJ39" s="268">
        <f t="shared" si="47"/>
        <v>3</v>
      </c>
      <c r="BK39" s="268">
        <f t="shared" si="47"/>
        <v>4</v>
      </c>
      <c r="BL39" s="269">
        <f t="shared" si="47"/>
        <v>5</v>
      </c>
      <c r="BM39" s="256">
        <f>IF($BC39=Lookup!$A$2,$BD39*ROUNDUP(BE39/10,0)+1,
IF($BC39=Lookup!$A$3,($BD39+1)^BD39,
IF($BC39=Lookup!$A$4,BE39*$BD39+1,"Error")))</f>
        <v>1</v>
      </c>
      <c r="BN39" s="229">
        <f>IF($BC39=Lookup!$A$2,$BD39*ROUNDUP(BF39/10,0)+1,
IF($BC39=Lookup!$A$3,($BD39+1)^BE39,
IF($BC39=Lookup!$A$4,BF39*$BD39+1,"Error")))</f>
        <v>1</v>
      </c>
      <c r="BO39" s="229">
        <f>IF($BC39=Lookup!$A$2,$BD39*ROUNDUP(BG39/10,0)+1,
IF($BC39=Lookup!$A$3,($BD39+1)^BF39,
IF($BC39=Lookup!$A$4,BG39*$BD39+1,"Error")))</f>
        <v>1</v>
      </c>
      <c r="BP39" s="229">
        <f>IF($BC39=Lookup!$A$2,$BD39*ROUNDUP(BH39/10,0)+1,
IF($BC39=Lookup!$A$3,($BD39+1)^BG39,
IF($BC39=Lookup!$A$4,BH39*$BD39+1,"Error")))</f>
        <v>2.5625299999999998</v>
      </c>
      <c r="BQ39" s="229">
        <f>IF($BC39=Lookup!$A$2,$BD39*ROUNDUP(BI39/10,0)+1,
IF($BC39=Lookup!$A$3,($BD39+1)^BH39,
IF($BC39=Lookup!$A$4,BI39*$BD39+1,"Error")))</f>
        <v>2.5625299999999998</v>
      </c>
      <c r="BR39" s="229">
        <f>IF($BC39=Lookup!$A$2,$BD39*ROUNDUP(BJ39/10,0)+1,
IF($BC39=Lookup!$A$3,($BD39+1)^BI39,
IF($BC39=Lookup!$A$4,BJ39*$BD39+1,"Error")))</f>
        <v>2.5625299999999998</v>
      </c>
      <c r="BS39" s="229">
        <f>IF($BC39=Lookup!$A$2,$BD39*ROUNDUP(BK39/10,0)+1,
IF($BC39=Lookup!$A$3,($BD39+1)^BJ39,
IF($BC39=Lookup!$A$4,BK39*$BD39+1,"Error")))</f>
        <v>2.5625299999999998</v>
      </c>
      <c r="BT39" s="249">
        <f>IF($BC39=Lookup!$A$2,$BD39*ROUNDUP(BL39/10,0)+1,
IF($BC39=Lookup!$A$3,($BD39+1)^BK39,
IF($BC39=Lookup!$A$4,BL39*$BD39+1,"Error")))</f>
        <v>2.5625299999999998</v>
      </c>
      <c r="BU39" s="398"/>
      <c r="BV39" s="356"/>
      <c r="BW39" s="356"/>
      <c r="BX39" s="356"/>
      <c r="BY39" s="356"/>
      <c r="BZ39" s="356"/>
      <c r="CA39" s="356"/>
      <c r="CB39" s="399"/>
      <c r="CC39" s="382" t="s">
        <v>292</v>
      </c>
      <c r="CD39" s="383">
        <f>HLOOKUP($CC39,$AK$6:$AM$132,ROWS(CD$6:CD39),0)</f>
        <v>0.2644620104</v>
      </c>
      <c r="CE39" s="362">
        <f t="shared" ref="CE39:CE70" si="75">IFERROR(IF(BU39&lt;&gt;"",BU39,BM39*$CD39),"")</f>
        <v>0.2644620104</v>
      </c>
      <c r="CF39" s="363">
        <f t="shared" ref="CF39:CF70" si="76">IFERROR(IF(BV39&lt;&gt;"",BV39,BN39*$CD39),"")</f>
        <v>0.2644620104</v>
      </c>
      <c r="CG39" s="363">
        <f t="shared" ref="CG39:CG70" si="77">IFERROR(IF(BW39&lt;&gt;"",BW39,BO39*$CD39),"")</f>
        <v>0.2644620104</v>
      </c>
      <c r="CH39" s="363">
        <f t="shared" ref="CH39:CH70" si="78">IFERROR(IF(BX39&lt;&gt;"",BX39,BP39*$CD39),"")</f>
        <v>0.67769183551031198</v>
      </c>
      <c r="CI39" s="363">
        <f t="shared" ref="CI39:CI70" si="79">IFERROR(IF(BY39&lt;&gt;"",BY39,BQ39*$CD39),"")</f>
        <v>0.67769183551031198</v>
      </c>
      <c r="CJ39" s="363">
        <f t="shared" ref="CJ39:CJ70" si="80">IFERROR(IF(BZ39&lt;&gt;"",BZ39,BR39*$CD39),"")</f>
        <v>0.67769183551031198</v>
      </c>
      <c r="CK39" s="363">
        <f t="shared" ref="CK39:CK70" si="81">IFERROR(IF(CA39&lt;&gt;"",CA39,BS39*$CD39),"")</f>
        <v>0.67769183551031198</v>
      </c>
      <c r="CL39" s="364">
        <f t="shared" ref="CL39:CL70" si="82">IFERROR(IF(CB39&lt;&gt;"",CB39,BT39*$CD39),"")</f>
        <v>0.67769183551031198</v>
      </c>
      <c r="CM39" s="305" t="s">
        <v>292</v>
      </c>
      <c r="CN39" s="315">
        <v>0.05</v>
      </c>
      <c r="CO39" s="306"/>
      <c r="CP39" s="307">
        <f>IF($CO39&lt;&gt;"",$CO39,HLOOKUP($CM39,$AY$6:$BA$132,ROWS(CP$6:CP39),0))</f>
        <v>36672.009145455675</v>
      </c>
      <c r="CQ39" s="784">
        <f t="shared" ref="CQ39:CQ70" si="83">IFERROR(CE39*$CP39,"")</f>
        <v>9698.3532640143931</v>
      </c>
      <c r="CR39" s="784">
        <f t="shared" ref="CR39:CR70" si="84">IFERROR(CF39*$CP39,"")</f>
        <v>9698.3532640143931</v>
      </c>
      <c r="CS39" s="97">
        <f t="shared" ref="CS39:CS70" si="85">IFERROR(CG39*$CP39,"")</f>
        <v>9698.3532640143931</v>
      </c>
      <c r="CT39" s="97">
        <f t="shared" ref="CT39:CT70" si="86">IFERROR(CH39*$CP39,"")</f>
        <v>24852.321189634804</v>
      </c>
      <c r="CU39" s="97">
        <f t="shared" ref="CU39:CU70" si="87">IFERROR(CI39*$CP39,"")</f>
        <v>24852.321189634804</v>
      </c>
      <c r="CV39" s="97">
        <f t="shared" ref="CV39:CV70" si="88">IFERROR(CJ39*$CP39,"")</f>
        <v>24852.321189634804</v>
      </c>
      <c r="CW39" s="97">
        <f t="shared" ref="CW39:CW70" si="89">IFERROR(CK39*$CP39,"")</f>
        <v>24852.321189634804</v>
      </c>
      <c r="CX39" s="98">
        <f t="shared" ref="CX39:CX70" si="90">IFERROR(CL39*$CP39,"")</f>
        <v>24852.321189634804</v>
      </c>
      <c r="CY39" s="392"/>
    </row>
    <row r="40" spans="1:103" x14ac:dyDescent="0.25">
      <c r="A40" s="81" t="s">
        <v>81</v>
      </c>
      <c r="B40" s="82" t="s">
        <v>90</v>
      </c>
      <c r="C40" s="83" t="s">
        <v>76</v>
      </c>
      <c r="D40" s="84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654">
        <f>'2022-23 Input'!E40</f>
        <v>0</v>
      </c>
      <c r="N40" s="1065">
        <v>0</v>
      </c>
      <c r="O40" s="560">
        <f t="shared" si="48"/>
        <v>0</v>
      </c>
      <c r="P40" s="561">
        <f t="shared" si="49"/>
        <v>0</v>
      </c>
      <c r="Q40" s="561">
        <f t="shared" si="50"/>
        <v>0</v>
      </c>
      <c r="R40" s="561">
        <f t="shared" si="51"/>
        <v>0</v>
      </c>
      <c r="S40" s="561">
        <f t="shared" si="52"/>
        <v>0</v>
      </c>
      <c r="T40" s="561">
        <f t="shared" si="53"/>
        <v>0</v>
      </c>
      <c r="U40" s="561">
        <f t="shared" si="54"/>
        <v>0</v>
      </c>
      <c r="V40" s="561">
        <f t="shared" si="55"/>
        <v>0</v>
      </c>
      <c r="W40" s="675">
        <f t="shared" si="56"/>
        <v>0</v>
      </c>
      <c r="X40" s="675">
        <f t="shared" si="57"/>
        <v>0</v>
      </c>
      <c r="Y40" s="675">
        <f t="shared" si="58"/>
        <v>0</v>
      </c>
      <c r="Z40" s="125">
        <v>0</v>
      </c>
      <c r="AA40" s="126">
        <v>0</v>
      </c>
      <c r="AB40" s="126">
        <v>0</v>
      </c>
      <c r="AC40" s="126">
        <v>0</v>
      </c>
      <c r="AD40" s="126">
        <v>0</v>
      </c>
      <c r="AE40" s="126">
        <v>0</v>
      </c>
      <c r="AF40" s="126">
        <v>0</v>
      </c>
      <c r="AG40" s="126">
        <v>0</v>
      </c>
      <c r="AH40" s="126">
        <v>0</v>
      </c>
      <c r="AI40" s="1097">
        <f>'2022-23 Input'!L40</f>
        <v>0</v>
      </c>
      <c r="AJ40" s="668">
        <v>0</v>
      </c>
      <c r="AK40" s="127">
        <f t="shared" si="59"/>
        <v>0</v>
      </c>
      <c r="AL40" s="128">
        <f t="shared" si="60"/>
        <v>0</v>
      </c>
      <c r="AM40" s="129">
        <f t="shared" si="61"/>
        <v>0</v>
      </c>
      <c r="AN40" s="91" t="str">
        <f t="shared" si="62"/>
        <v/>
      </c>
      <c r="AO40" s="92" t="str">
        <f t="shared" si="63"/>
        <v/>
      </c>
      <c r="AP40" s="92" t="str">
        <f t="shared" si="64"/>
        <v/>
      </c>
      <c r="AQ40" s="92" t="str">
        <f t="shared" si="65"/>
        <v/>
      </c>
      <c r="AR40" s="92" t="str">
        <f t="shared" si="66"/>
        <v/>
      </c>
      <c r="AS40" s="92" t="str">
        <f t="shared" si="67"/>
        <v/>
      </c>
      <c r="AT40" s="92" t="str">
        <f t="shared" si="68"/>
        <v/>
      </c>
      <c r="AU40" s="92" t="str">
        <f t="shared" si="69"/>
        <v/>
      </c>
      <c r="AV40" s="92" t="str">
        <f t="shared" si="70"/>
        <v/>
      </c>
      <c r="AW40" s="92" t="str">
        <f t="shared" si="70"/>
        <v/>
      </c>
      <c r="AX40" s="92" t="str">
        <f t="shared" si="70"/>
        <v/>
      </c>
      <c r="AY40" s="93" t="str">
        <f t="shared" si="71"/>
        <v/>
      </c>
      <c r="AZ40" s="94" t="str">
        <f t="shared" si="72"/>
        <v/>
      </c>
      <c r="BA40" s="95" t="str">
        <f t="shared" si="73"/>
        <v/>
      </c>
      <c r="BB40" s="248" t="s">
        <v>422</v>
      </c>
      <c r="BC40" s="229" t="s">
        <v>433</v>
      </c>
      <c r="BD40" s="249">
        <v>1.56253</v>
      </c>
      <c r="BE40" s="267">
        <f t="shared" si="74"/>
        <v>0</v>
      </c>
      <c r="BF40" s="268">
        <f t="shared" si="47"/>
        <v>0</v>
      </c>
      <c r="BG40" s="268">
        <f t="shared" si="47"/>
        <v>0</v>
      </c>
      <c r="BH40" s="268">
        <f t="shared" si="47"/>
        <v>1</v>
      </c>
      <c r="BI40" s="268">
        <f t="shared" si="47"/>
        <v>2</v>
      </c>
      <c r="BJ40" s="268">
        <f t="shared" si="47"/>
        <v>3</v>
      </c>
      <c r="BK40" s="268">
        <f t="shared" si="47"/>
        <v>4</v>
      </c>
      <c r="BL40" s="269">
        <f t="shared" si="47"/>
        <v>5</v>
      </c>
      <c r="BM40" s="256">
        <f>IF($BC40=Lookup!$A$2,$BD40*ROUNDUP(BE40/10,0)+1,
IF($BC40=Lookup!$A$3,($BD40+1)^BD40,
IF($BC40=Lookup!$A$4,BE40*$BD40+1,"Error")))</f>
        <v>1</v>
      </c>
      <c r="BN40" s="229">
        <f>IF($BC40=Lookup!$A$2,$BD40*ROUNDUP(BF40/10,0)+1,
IF($BC40=Lookup!$A$3,($BD40+1)^BE40,
IF($BC40=Lookup!$A$4,BF40*$BD40+1,"Error")))</f>
        <v>1</v>
      </c>
      <c r="BO40" s="229">
        <f>IF($BC40=Lookup!$A$2,$BD40*ROUNDUP(BG40/10,0)+1,
IF($BC40=Lookup!$A$3,($BD40+1)^BF40,
IF($BC40=Lookup!$A$4,BG40*$BD40+1,"Error")))</f>
        <v>1</v>
      </c>
      <c r="BP40" s="229">
        <f>IF($BC40=Lookup!$A$2,$BD40*ROUNDUP(BH40/10,0)+1,
IF($BC40=Lookup!$A$3,($BD40+1)^BG40,
IF($BC40=Lookup!$A$4,BH40*$BD40+1,"Error")))</f>
        <v>2.5625299999999998</v>
      </c>
      <c r="BQ40" s="229">
        <f>IF($BC40=Lookup!$A$2,$BD40*ROUNDUP(BI40/10,0)+1,
IF($BC40=Lookup!$A$3,($BD40+1)^BH40,
IF($BC40=Lookup!$A$4,BI40*$BD40+1,"Error")))</f>
        <v>2.5625299999999998</v>
      </c>
      <c r="BR40" s="229">
        <f>IF($BC40=Lookup!$A$2,$BD40*ROUNDUP(BJ40/10,0)+1,
IF($BC40=Lookup!$A$3,($BD40+1)^BI40,
IF($BC40=Lookup!$A$4,BJ40*$BD40+1,"Error")))</f>
        <v>2.5625299999999998</v>
      </c>
      <c r="BS40" s="229">
        <f>IF($BC40=Lookup!$A$2,$BD40*ROUNDUP(BK40/10,0)+1,
IF($BC40=Lookup!$A$3,($BD40+1)^BJ40,
IF($BC40=Lookup!$A$4,BK40*$BD40+1,"Error")))</f>
        <v>2.5625299999999998</v>
      </c>
      <c r="BT40" s="249">
        <f>IF($BC40=Lookup!$A$2,$BD40*ROUNDUP(BL40/10,0)+1,
IF($BC40=Lookup!$A$3,($BD40+1)^BK40,
IF($BC40=Lookup!$A$4,BL40*$BD40+1,"Error")))</f>
        <v>2.5625299999999998</v>
      </c>
      <c r="BU40" s="398"/>
      <c r="BV40" s="356"/>
      <c r="BW40" s="356"/>
      <c r="BX40" s="356"/>
      <c r="BY40" s="356"/>
      <c r="BZ40" s="356"/>
      <c r="CA40" s="356"/>
      <c r="CB40" s="399"/>
      <c r="CC40" s="382" t="s">
        <v>292</v>
      </c>
      <c r="CD40" s="383">
        <f>HLOOKUP($CC40,$AK$6:$AM$132,ROWS(CD$6:CD40),0)</f>
        <v>0</v>
      </c>
      <c r="CE40" s="362">
        <f t="shared" si="75"/>
        <v>0</v>
      </c>
      <c r="CF40" s="363">
        <f t="shared" si="76"/>
        <v>0</v>
      </c>
      <c r="CG40" s="363">
        <f t="shared" si="77"/>
        <v>0</v>
      </c>
      <c r="CH40" s="363">
        <f t="shared" si="78"/>
        <v>0</v>
      </c>
      <c r="CI40" s="363">
        <f t="shared" si="79"/>
        <v>0</v>
      </c>
      <c r="CJ40" s="363">
        <f t="shared" si="80"/>
        <v>0</v>
      </c>
      <c r="CK40" s="363">
        <f t="shared" si="81"/>
        <v>0</v>
      </c>
      <c r="CL40" s="364">
        <f t="shared" si="82"/>
        <v>0</v>
      </c>
      <c r="CM40" s="305" t="s">
        <v>293</v>
      </c>
      <c r="CN40" s="315">
        <v>0.05</v>
      </c>
      <c r="CO40" s="306"/>
      <c r="CP40" s="307" t="str">
        <f>IF($CO40&lt;&gt;"",$CO40,HLOOKUP($CM40,$AY$6:$BA$132,ROWS(CP$6:CP40),0))</f>
        <v/>
      </c>
      <c r="CQ40" s="784" t="str">
        <f t="shared" si="83"/>
        <v/>
      </c>
      <c r="CR40" s="784" t="str">
        <f t="shared" si="84"/>
        <v/>
      </c>
      <c r="CS40" s="97" t="str">
        <f t="shared" si="85"/>
        <v/>
      </c>
      <c r="CT40" s="97" t="str">
        <f t="shared" si="86"/>
        <v/>
      </c>
      <c r="CU40" s="97" t="str">
        <f t="shared" si="87"/>
        <v/>
      </c>
      <c r="CV40" s="97" t="str">
        <f t="shared" si="88"/>
        <v/>
      </c>
      <c r="CW40" s="97" t="str">
        <f t="shared" si="89"/>
        <v/>
      </c>
      <c r="CX40" s="98" t="str">
        <f t="shared" si="90"/>
        <v/>
      </c>
      <c r="CY40" s="392"/>
    </row>
    <row r="41" spans="1:103" x14ac:dyDescent="0.25">
      <c r="A41" s="81" t="s">
        <v>81</v>
      </c>
      <c r="B41" s="82" t="s">
        <v>91</v>
      </c>
      <c r="C41" s="83" t="s">
        <v>78</v>
      </c>
      <c r="D41" s="84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654">
        <f>'2022-23 Input'!E41</f>
        <v>0</v>
      </c>
      <c r="N41" s="1065">
        <v>0</v>
      </c>
      <c r="O41" s="560">
        <f t="shared" si="48"/>
        <v>0</v>
      </c>
      <c r="P41" s="561">
        <f t="shared" si="49"/>
        <v>0</v>
      </c>
      <c r="Q41" s="561">
        <f t="shared" si="50"/>
        <v>0</v>
      </c>
      <c r="R41" s="561">
        <f t="shared" si="51"/>
        <v>0</v>
      </c>
      <c r="S41" s="561">
        <f t="shared" si="52"/>
        <v>0</v>
      </c>
      <c r="T41" s="561">
        <f t="shared" si="53"/>
        <v>0</v>
      </c>
      <c r="U41" s="561">
        <f t="shared" si="54"/>
        <v>0</v>
      </c>
      <c r="V41" s="561">
        <f t="shared" si="55"/>
        <v>0</v>
      </c>
      <c r="W41" s="675">
        <f t="shared" si="56"/>
        <v>0</v>
      </c>
      <c r="X41" s="675">
        <f t="shared" si="57"/>
        <v>0</v>
      </c>
      <c r="Y41" s="675">
        <f t="shared" si="58"/>
        <v>0</v>
      </c>
      <c r="Z41" s="125">
        <v>0</v>
      </c>
      <c r="AA41" s="126">
        <v>0</v>
      </c>
      <c r="AB41" s="126">
        <v>0</v>
      </c>
      <c r="AC41" s="126">
        <v>0</v>
      </c>
      <c r="AD41" s="126">
        <v>0</v>
      </c>
      <c r="AE41" s="126">
        <v>0</v>
      </c>
      <c r="AF41" s="126">
        <v>0</v>
      </c>
      <c r="AG41" s="126">
        <v>0</v>
      </c>
      <c r="AH41" s="126">
        <v>0</v>
      </c>
      <c r="AI41" s="1097">
        <f>'2022-23 Input'!L41</f>
        <v>0</v>
      </c>
      <c r="AJ41" s="668">
        <v>0</v>
      </c>
      <c r="AK41" s="127">
        <f t="shared" si="59"/>
        <v>0</v>
      </c>
      <c r="AL41" s="128">
        <f t="shared" si="60"/>
        <v>0</v>
      </c>
      <c r="AM41" s="129">
        <f t="shared" si="61"/>
        <v>0</v>
      </c>
      <c r="AN41" s="91" t="str">
        <f t="shared" si="62"/>
        <v/>
      </c>
      <c r="AO41" s="92" t="str">
        <f t="shared" si="63"/>
        <v/>
      </c>
      <c r="AP41" s="92" t="str">
        <f t="shared" si="64"/>
        <v/>
      </c>
      <c r="AQ41" s="92" t="str">
        <f t="shared" si="65"/>
        <v/>
      </c>
      <c r="AR41" s="92" t="str">
        <f t="shared" si="66"/>
        <v/>
      </c>
      <c r="AS41" s="92" t="str">
        <f t="shared" si="67"/>
        <v/>
      </c>
      <c r="AT41" s="92" t="str">
        <f t="shared" si="68"/>
        <v/>
      </c>
      <c r="AU41" s="92" t="str">
        <f t="shared" si="69"/>
        <v/>
      </c>
      <c r="AV41" s="92" t="str">
        <f t="shared" si="70"/>
        <v/>
      </c>
      <c r="AW41" s="92" t="str">
        <f t="shared" si="70"/>
        <v/>
      </c>
      <c r="AX41" s="92" t="str">
        <f t="shared" si="70"/>
        <v/>
      </c>
      <c r="AY41" s="93" t="str">
        <f t="shared" si="71"/>
        <v/>
      </c>
      <c r="AZ41" s="94" t="str">
        <f t="shared" si="72"/>
        <v/>
      </c>
      <c r="BA41" s="95" t="str">
        <f t="shared" si="73"/>
        <v/>
      </c>
      <c r="BB41" s="248" t="s">
        <v>422</v>
      </c>
      <c r="BC41" s="229" t="s">
        <v>433</v>
      </c>
      <c r="BD41" s="249">
        <v>1.56253</v>
      </c>
      <c r="BE41" s="267">
        <f t="shared" si="74"/>
        <v>0</v>
      </c>
      <c r="BF41" s="268">
        <f t="shared" si="47"/>
        <v>0</v>
      </c>
      <c r="BG41" s="268">
        <f t="shared" si="47"/>
        <v>0</v>
      </c>
      <c r="BH41" s="268">
        <f t="shared" si="47"/>
        <v>1</v>
      </c>
      <c r="BI41" s="268">
        <f t="shared" si="47"/>
        <v>2</v>
      </c>
      <c r="BJ41" s="268">
        <f t="shared" si="47"/>
        <v>3</v>
      </c>
      <c r="BK41" s="268">
        <f t="shared" si="47"/>
        <v>4</v>
      </c>
      <c r="BL41" s="269">
        <f t="shared" si="47"/>
        <v>5</v>
      </c>
      <c r="BM41" s="256">
        <f>IF($BC41=Lookup!$A$2,$BD41*ROUNDUP(BE41/10,0)+1,
IF($BC41=Lookup!$A$3,($BD41+1)^BD41,
IF($BC41=Lookup!$A$4,BE41*$BD41+1,"Error")))</f>
        <v>1</v>
      </c>
      <c r="BN41" s="229">
        <f>IF($BC41=Lookup!$A$2,$BD41*ROUNDUP(BF41/10,0)+1,
IF($BC41=Lookup!$A$3,($BD41+1)^BE41,
IF($BC41=Lookup!$A$4,BF41*$BD41+1,"Error")))</f>
        <v>1</v>
      </c>
      <c r="BO41" s="229">
        <f>IF($BC41=Lookup!$A$2,$BD41*ROUNDUP(BG41/10,0)+1,
IF($BC41=Lookup!$A$3,($BD41+1)^BF41,
IF($BC41=Lookup!$A$4,BG41*$BD41+1,"Error")))</f>
        <v>1</v>
      </c>
      <c r="BP41" s="229">
        <f>IF($BC41=Lookup!$A$2,$BD41*ROUNDUP(BH41/10,0)+1,
IF($BC41=Lookup!$A$3,($BD41+1)^BG41,
IF($BC41=Lookup!$A$4,BH41*$BD41+1,"Error")))</f>
        <v>2.5625299999999998</v>
      </c>
      <c r="BQ41" s="229">
        <f>IF($BC41=Lookup!$A$2,$BD41*ROUNDUP(BI41/10,0)+1,
IF($BC41=Lookup!$A$3,($BD41+1)^BH41,
IF($BC41=Lookup!$A$4,BI41*$BD41+1,"Error")))</f>
        <v>2.5625299999999998</v>
      </c>
      <c r="BR41" s="229">
        <f>IF($BC41=Lookup!$A$2,$BD41*ROUNDUP(BJ41/10,0)+1,
IF($BC41=Lookup!$A$3,($BD41+1)^BI41,
IF($BC41=Lookup!$A$4,BJ41*$BD41+1,"Error")))</f>
        <v>2.5625299999999998</v>
      </c>
      <c r="BS41" s="229">
        <f>IF($BC41=Lookup!$A$2,$BD41*ROUNDUP(BK41/10,0)+1,
IF($BC41=Lookup!$A$3,($BD41+1)^BJ41,
IF($BC41=Lookup!$A$4,BK41*$BD41+1,"Error")))</f>
        <v>2.5625299999999998</v>
      </c>
      <c r="BT41" s="249">
        <f>IF($BC41=Lookup!$A$2,$BD41*ROUNDUP(BL41/10,0)+1,
IF($BC41=Lookup!$A$3,($BD41+1)^BK41,
IF($BC41=Lookup!$A$4,BL41*$BD41+1,"Error")))</f>
        <v>2.5625299999999998</v>
      </c>
      <c r="BU41" s="398"/>
      <c r="BV41" s="356"/>
      <c r="BW41" s="356"/>
      <c r="BX41" s="356"/>
      <c r="BY41" s="356"/>
      <c r="BZ41" s="356"/>
      <c r="CA41" s="356"/>
      <c r="CB41" s="399"/>
      <c r="CC41" s="382" t="s">
        <v>292</v>
      </c>
      <c r="CD41" s="383">
        <f>HLOOKUP($CC41,$AK$6:$AM$132,ROWS(CD$6:CD41),0)</f>
        <v>0</v>
      </c>
      <c r="CE41" s="362">
        <f t="shared" si="75"/>
        <v>0</v>
      </c>
      <c r="CF41" s="363">
        <f t="shared" si="76"/>
        <v>0</v>
      </c>
      <c r="CG41" s="363">
        <f t="shared" si="77"/>
        <v>0</v>
      </c>
      <c r="CH41" s="363">
        <f t="shared" si="78"/>
        <v>0</v>
      </c>
      <c r="CI41" s="363">
        <f t="shared" si="79"/>
        <v>0</v>
      </c>
      <c r="CJ41" s="363">
        <f t="shared" si="80"/>
        <v>0</v>
      </c>
      <c r="CK41" s="363">
        <f t="shared" si="81"/>
        <v>0</v>
      </c>
      <c r="CL41" s="364">
        <f t="shared" si="82"/>
        <v>0</v>
      </c>
      <c r="CM41" s="305" t="s">
        <v>293</v>
      </c>
      <c r="CN41" s="315">
        <v>0.05</v>
      </c>
      <c r="CO41" s="306"/>
      <c r="CP41" s="307" t="str">
        <f>IF($CO41&lt;&gt;"",$CO41,HLOOKUP($CM41,$AY$6:$BA$132,ROWS(CP$6:CP41),0))</f>
        <v/>
      </c>
      <c r="CQ41" s="784" t="str">
        <f t="shared" si="83"/>
        <v/>
      </c>
      <c r="CR41" s="784" t="str">
        <f t="shared" si="84"/>
        <v/>
      </c>
      <c r="CS41" s="97" t="str">
        <f t="shared" si="85"/>
        <v/>
      </c>
      <c r="CT41" s="97" t="str">
        <f t="shared" si="86"/>
        <v/>
      </c>
      <c r="CU41" s="97" t="str">
        <f t="shared" si="87"/>
        <v/>
      </c>
      <c r="CV41" s="97" t="str">
        <f t="shared" si="88"/>
        <v/>
      </c>
      <c r="CW41" s="97" t="str">
        <f t="shared" si="89"/>
        <v/>
      </c>
      <c r="CX41" s="98" t="str">
        <f t="shared" si="90"/>
        <v/>
      </c>
      <c r="CY41" s="392"/>
    </row>
    <row r="42" spans="1:103" ht="15.75" thickBot="1" x14ac:dyDescent="0.3">
      <c r="A42" s="100" t="s">
        <v>81</v>
      </c>
      <c r="B42" s="101" t="s">
        <v>460</v>
      </c>
      <c r="C42" s="102" t="s">
        <v>320</v>
      </c>
      <c r="D42" s="103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655">
        <f>'2022-23 Input'!E42</f>
        <v>0</v>
      </c>
      <c r="N42" s="1066">
        <v>0</v>
      </c>
      <c r="O42" s="563">
        <f t="shared" si="48"/>
        <v>0</v>
      </c>
      <c r="P42" s="564">
        <f t="shared" si="49"/>
        <v>0</v>
      </c>
      <c r="Q42" s="564">
        <f t="shared" si="50"/>
        <v>0</v>
      </c>
      <c r="R42" s="564">
        <f t="shared" si="51"/>
        <v>0</v>
      </c>
      <c r="S42" s="564">
        <f t="shared" si="52"/>
        <v>0</v>
      </c>
      <c r="T42" s="564">
        <f t="shared" si="53"/>
        <v>0</v>
      </c>
      <c r="U42" s="564">
        <f t="shared" si="54"/>
        <v>0</v>
      </c>
      <c r="V42" s="564">
        <f t="shared" si="55"/>
        <v>0</v>
      </c>
      <c r="W42" s="676">
        <f t="shared" si="56"/>
        <v>0</v>
      </c>
      <c r="X42" s="676">
        <f t="shared" si="57"/>
        <v>0</v>
      </c>
      <c r="Y42" s="676">
        <f t="shared" si="58"/>
        <v>0</v>
      </c>
      <c r="Z42" s="131">
        <v>0</v>
      </c>
      <c r="AA42" s="132">
        <v>0</v>
      </c>
      <c r="AB42" s="132">
        <v>0</v>
      </c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098">
        <f>'2022-23 Input'!L42</f>
        <v>0</v>
      </c>
      <c r="AJ42" s="669">
        <v>0</v>
      </c>
      <c r="AK42" s="133">
        <f t="shared" si="59"/>
        <v>0</v>
      </c>
      <c r="AL42" s="134">
        <f t="shared" si="60"/>
        <v>0</v>
      </c>
      <c r="AM42" s="135">
        <f t="shared" si="61"/>
        <v>0</v>
      </c>
      <c r="AN42" s="110" t="str">
        <f t="shared" si="62"/>
        <v/>
      </c>
      <c r="AO42" s="111" t="str">
        <f t="shared" si="63"/>
        <v/>
      </c>
      <c r="AP42" s="111" t="str">
        <f t="shared" si="64"/>
        <v/>
      </c>
      <c r="AQ42" s="111" t="str">
        <f t="shared" si="65"/>
        <v/>
      </c>
      <c r="AR42" s="111" t="str">
        <f t="shared" si="66"/>
        <v/>
      </c>
      <c r="AS42" s="111" t="str">
        <f t="shared" si="67"/>
        <v/>
      </c>
      <c r="AT42" s="111" t="str">
        <f t="shared" si="68"/>
        <v/>
      </c>
      <c r="AU42" s="111" t="str">
        <f t="shared" si="69"/>
        <v/>
      </c>
      <c r="AV42" s="111" t="str">
        <f t="shared" si="70"/>
        <v/>
      </c>
      <c r="AW42" s="111" t="str">
        <f t="shared" si="70"/>
        <v/>
      </c>
      <c r="AX42" s="111" t="str">
        <f t="shared" si="70"/>
        <v/>
      </c>
      <c r="AY42" s="112" t="str">
        <f t="shared" si="71"/>
        <v/>
      </c>
      <c r="AZ42" s="113" t="str">
        <f t="shared" si="72"/>
        <v/>
      </c>
      <c r="BA42" s="114" t="str">
        <f t="shared" si="73"/>
        <v/>
      </c>
      <c r="BB42" s="250" t="s">
        <v>422</v>
      </c>
      <c r="BC42" s="230" t="s">
        <v>433</v>
      </c>
      <c r="BD42" s="251">
        <v>1.56253</v>
      </c>
      <c r="BE42" s="270">
        <f t="shared" si="74"/>
        <v>0</v>
      </c>
      <c r="BF42" s="271">
        <f t="shared" si="47"/>
        <v>0</v>
      </c>
      <c r="BG42" s="271">
        <f t="shared" si="47"/>
        <v>0</v>
      </c>
      <c r="BH42" s="271">
        <f t="shared" si="47"/>
        <v>1</v>
      </c>
      <c r="BI42" s="271">
        <f t="shared" si="47"/>
        <v>2</v>
      </c>
      <c r="BJ42" s="271">
        <f t="shared" si="47"/>
        <v>3</v>
      </c>
      <c r="BK42" s="271">
        <f t="shared" si="47"/>
        <v>4</v>
      </c>
      <c r="BL42" s="272">
        <f t="shared" si="47"/>
        <v>5</v>
      </c>
      <c r="BM42" s="257">
        <f>IF($BC42=Lookup!$A$2,$BD42*ROUNDUP(BE42/10,0)+1,
IF($BC42=Lookup!$A$3,($BD42+1)^BD42,
IF($BC42=Lookup!$A$4,BE42*$BD42+1,"Error")))</f>
        <v>1</v>
      </c>
      <c r="BN42" s="230">
        <f>IF($BC42=Lookup!$A$2,$BD42*ROUNDUP(BF42/10,0)+1,
IF($BC42=Lookup!$A$3,($BD42+1)^BE42,
IF($BC42=Lookup!$A$4,BF42*$BD42+1,"Error")))</f>
        <v>1</v>
      </c>
      <c r="BO42" s="230">
        <f>IF($BC42=Lookup!$A$2,$BD42*ROUNDUP(BG42/10,0)+1,
IF($BC42=Lookup!$A$3,($BD42+1)^BF42,
IF($BC42=Lookup!$A$4,BG42*$BD42+1,"Error")))</f>
        <v>1</v>
      </c>
      <c r="BP42" s="230">
        <f>IF($BC42=Lookup!$A$2,$BD42*ROUNDUP(BH42/10,0)+1,
IF($BC42=Lookup!$A$3,($BD42+1)^BG42,
IF($BC42=Lookup!$A$4,BH42*$BD42+1,"Error")))</f>
        <v>2.5625299999999998</v>
      </c>
      <c r="BQ42" s="230">
        <f>IF($BC42=Lookup!$A$2,$BD42*ROUNDUP(BI42/10,0)+1,
IF($BC42=Lookup!$A$3,($BD42+1)^BH42,
IF($BC42=Lookup!$A$4,BI42*$BD42+1,"Error")))</f>
        <v>2.5625299999999998</v>
      </c>
      <c r="BR42" s="230">
        <f>IF($BC42=Lookup!$A$2,$BD42*ROUNDUP(BJ42/10,0)+1,
IF($BC42=Lookup!$A$3,($BD42+1)^BI42,
IF($BC42=Lookup!$A$4,BJ42*$BD42+1,"Error")))</f>
        <v>2.5625299999999998</v>
      </c>
      <c r="BS42" s="230">
        <f>IF($BC42=Lookup!$A$2,$BD42*ROUNDUP(BK42/10,0)+1,
IF($BC42=Lookup!$A$3,($BD42+1)^BJ42,
IF($BC42=Lookup!$A$4,BK42*$BD42+1,"Error")))</f>
        <v>2.5625299999999998</v>
      </c>
      <c r="BT42" s="251">
        <f>IF($BC42=Lookup!$A$2,$BD42*ROUNDUP(BL42/10,0)+1,
IF($BC42=Lookup!$A$3,($BD42+1)^BK42,
IF($BC42=Lookup!$A$4,BL42*$BD42+1,"Error")))</f>
        <v>2.5625299999999998</v>
      </c>
      <c r="BU42" s="400"/>
      <c r="BV42" s="358"/>
      <c r="BW42" s="358"/>
      <c r="BX42" s="358"/>
      <c r="BY42" s="358"/>
      <c r="BZ42" s="358"/>
      <c r="CA42" s="358"/>
      <c r="CB42" s="401"/>
      <c r="CC42" s="384" t="s">
        <v>292</v>
      </c>
      <c r="CD42" s="385">
        <f>HLOOKUP($CC42,$AK$6:$AM$132,ROWS(CD$6:CD42),0)</f>
        <v>0</v>
      </c>
      <c r="CE42" s="365">
        <f t="shared" si="75"/>
        <v>0</v>
      </c>
      <c r="CF42" s="366">
        <f t="shared" si="76"/>
        <v>0</v>
      </c>
      <c r="CG42" s="366">
        <f t="shared" si="77"/>
        <v>0</v>
      </c>
      <c r="CH42" s="366">
        <f t="shared" si="78"/>
        <v>0</v>
      </c>
      <c r="CI42" s="366">
        <f t="shared" si="79"/>
        <v>0</v>
      </c>
      <c r="CJ42" s="366">
        <f t="shared" si="80"/>
        <v>0</v>
      </c>
      <c r="CK42" s="366">
        <f t="shared" si="81"/>
        <v>0</v>
      </c>
      <c r="CL42" s="367">
        <f t="shared" si="82"/>
        <v>0</v>
      </c>
      <c r="CM42" s="308" t="s">
        <v>293</v>
      </c>
      <c r="CN42" s="316">
        <v>0.05</v>
      </c>
      <c r="CO42" s="309"/>
      <c r="CP42" s="310" t="str">
        <f>IF($CO42&lt;&gt;"",$CO42,HLOOKUP($CM42,$AY$6:$BA$132,ROWS(CP$6:CP42),0))</f>
        <v/>
      </c>
      <c r="CQ42" s="785" t="str">
        <f t="shared" si="83"/>
        <v/>
      </c>
      <c r="CR42" s="785" t="str">
        <f t="shared" si="84"/>
        <v/>
      </c>
      <c r="CS42" s="117" t="str">
        <f t="shared" si="85"/>
        <v/>
      </c>
      <c r="CT42" s="117" t="str">
        <f t="shared" si="86"/>
        <v/>
      </c>
      <c r="CU42" s="117" t="str">
        <f t="shared" si="87"/>
        <v/>
      </c>
      <c r="CV42" s="117" t="str">
        <f t="shared" si="88"/>
        <v/>
      </c>
      <c r="CW42" s="117" t="str">
        <f t="shared" si="89"/>
        <v/>
      </c>
      <c r="CX42" s="118" t="str">
        <f t="shared" si="90"/>
        <v/>
      </c>
      <c r="CY42" s="393"/>
    </row>
    <row r="43" spans="1:103" x14ac:dyDescent="0.25">
      <c r="A43" s="63" t="s">
        <v>94</v>
      </c>
      <c r="B43" s="334" t="s">
        <v>92</v>
      </c>
      <c r="C43" s="65" t="s">
        <v>305</v>
      </c>
      <c r="D43" s="66">
        <v>224798.41709706615</v>
      </c>
      <c r="E43" s="67">
        <v>624462.64403399918</v>
      </c>
      <c r="F43" s="67">
        <v>110857.19320750519</v>
      </c>
      <c r="G43" s="67">
        <v>337501.10146034358</v>
      </c>
      <c r="H43" s="67">
        <v>97238.621558558603</v>
      </c>
      <c r="I43" s="67">
        <v>211712.19543444994</v>
      </c>
      <c r="J43" s="67">
        <v>316435.94309808448</v>
      </c>
      <c r="K43" s="67">
        <v>69326.937387307</v>
      </c>
      <c r="L43" s="67">
        <v>0</v>
      </c>
      <c r="M43" s="653">
        <f>'2022-23 Input'!E43</f>
        <v>0</v>
      </c>
      <c r="N43" s="1064">
        <v>0</v>
      </c>
      <c r="O43" s="557">
        <f t="shared" si="48"/>
        <v>302456.4508308834</v>
      </c>
      <c r="P43" s="558">
        <f t="shared" si="49"/>
        <v>827682.09855340177</v>
      </c>
      <c r="Q43" s="558">
        <f t="shared" si="50"/>
        <v>145445.27466597079</v>
      </c>
      <c r="R43" s="558">
        <f t="shared" si="51"/>
        <v>434403.32076896145</v>
      </c>
      <c r="S43" s="558">
        <f t="shared" si="52"/>
        <v>122610.00584058995</v>
      </c>
      <c r="T43" s="558">
        <f t="shared" si="53"/>
        <v>262766.23027979163</v>
      </c>
      <c r="U43" s="558">
        <f t="shared" si="54"/>
        <v>394117.16161020088</v>
      </c>
      <c r="V43" s="558">
        <f t="shared" si="55"/>
        <v>83147.871711221698</v>
      </c>
      <c r="W43" s="674">
        <f t="shared" si="56"/>
        <v>0</v>
      </c>
      <c r="X43" s="674">
        <f t="shared" si="57"/>
        <v>0</v>
      </c>
      <c r="Y43" s="674">
        <f t="shared" si="58"/>
        <v>0</v>
      </c>
      <c r="Z43" s="119">
        <v>0</v>
      </c>
      <c r="AA43" s="120">
        <v>1</v>
      </c>
      <c r="AB43" s="120">
        <v>0</v>
      </c>
      <c r="AC43" s="120">
        <v>2</v>
      </c>
      <c r="AD43" s="120">
        <v>0</v>
      </c>
      <c r="AE43" s="120">
        <v>0.51568000699999994</v>
      </c>
      <c r="AF43" s="120">
        <v>1.3129999990000001</v>
      </c>
      <c r="AG43" s="120">
        <v>0.2153333333333331</v>
      </c>
      <c r="AH43" s="120">
        <v>0</v>
      </c>
      <c r="AI43" s="1096">
        <f>'2022-23 Input'!L43</f>
        <v>0</v>
      </c>
      <c r="AJ43" s="667">
        <v>0</v>
      </c>
      <c r="AK43" s="121">
        <f t="shared" si="59"/>
        <v>0.40880266786666664</v>
      </c>
      <c r="AL43" s="122">
        <f t="shared" si="60"/>
        <v>7.1777777777777704E-2</v>
      </c>
      <c r="AM43" s="123">
        <f t="shared" si="61"/>
        <v>0</v>
      </c>
      <c r="AN43" s="73" t="str">
        <f t="shared" si="62"/>
        <v/>
      </c>
      <c r="AO43" s="74">
        <f t="shared" si="63"/>
        <v>624462.64403399918</v>
      </c>
      <c r="AP43" s="74" t="str">
        <f t="shared" si="64"/>
        <v/>
      </c>
      <c r="AQ43" s="74">
        <f t="shared" si="65"/>
        <v>168750.55073017179</v>
      </c>
      <c r="AR43" s="74" t="str">
        <f t="shared" si="66"/>
        <v/>
      </c>
      <c r="AS43" s="74">
        <f t="shared" si="67"/>
        <v>410549.5511957088</v>
      </c>
      <c r="AT43" s="74">
        <f t="shared" si="68"/>
        <v>241002.24169008888</v>
      </c>
      <c r="AU43" s="74">
        <f t="shared" si="69"/>
        <v>321951.72161288117</v>
      </c>
      <c r="AV43" s="74" t="str">
        <f t="shared" si="70"/>
        <v/>
      </c>
      <c r="AW43" s="74" t="str">
        <f t="shared" si="70"/>
        <v/>
      </c>
      <c r="AX43" s="74" t="str">
        <f t="shared" si="70"/>
        <v/>
      </c>
      <c r="AY43" s="75">
        <f t="shared" si="71"/>
        <v>292304.88100176072</v>
      </c>
      <c r="AZ43" s="76">
        <f t="shared" si="72"/>
        <v>321951.72161288117</v>
      </c>
      <c r="BA43" s="77" t="str">
        <f t="shared" si="73"/>
        <v/>
      </c>
      <c r="BB43" s="246" t="s">
        <v>422</v>
      </c>
      <c r="BC43" s="228" t="s">
        <v>433</v>
      </c>
      <c r="BD43" s="247">
        <v>0</v>
      </c>
      <c r="BE43" s="264">
        <f t="shared" si="74"/>
        <v>0</v>
      </c>
      <c r="BF43" s="265">
        <f t="shared" si="47"/>
        <v>0</v>
      </c>
      <c r="BG43" s="265">
        <f t="shared" si="47"/>
        <v>0</v>
      </c>
      <c r="BH43" s="265">
        <f t="shared" si="47"/>
        <v>1</v>
      </c>
      <c r="BI43" s="265">
        <f t="shared" si="47"/>
        <v>2</v>
      </c>
      <c r="BJ43" s="265">
        <f t="shared" si="47"/>
        <v>3</v>
      </c>
      <c r="BK43" s="265">
        <f t="shared" si="47"/>
        <v>4</v>
      </c>
      <c r="BL43" s="266">
        <f t="shared" si="47"/>
        <v>5</v>
      </c>
      <c r="BM43" s="255">
        <f>IF($BC43=Lookup!$A$2,$BD43*ROUNDUP(BE43/10,0)+1,
IF($BC43=Lookup!$A$3,($BD43+1)^BD43,
IF($BC43=Lookup!$A$4,BE43*$BD43+1,"Error")))</f>
        <v>1</v>
      </c>
      <c r="BN43" s="228">
        <f>IF($BC43=Lookup!$A$2,$BD43*ROUNDUP(BF43/10,0)+1,
IF($BC43=Lookup!$A$3,($BD43+1)^BE43,
IF($BC43=Lookup!$A$4,BF43*$BD43+1,"Error")))</f>
        <v>1</v>
      </c>
      <c r="BO43" s="228">
        <f>IF($BC43=Lookup!$A$2,$BD43*ROUNDUP(BG43/10,0)+1,
IF($BC43=Lookup!$A$3,($BD43+1)^BF43,
IF($BC43=Lookup!$A$4,BG43*$BD43+1,"Error")))</f>
        <v>1</v>
      </c>
      <c r="BP43" s="228">
        <f>IF($BC43=Lookup!$A$2,$BD43*ROUNDUP(BH43/10,0)+1,
IF($BC43=Lookup!$A$3,($BD43+1)^BG43,
IF($BC43=Lookup!$A$4,BH43*$BD43+1,"Error")))</f>
        <v>1</v>
      </c>
      <c r="BQ43" s="228">
        <f>IF($BC43=Lookup!$A$2,$BD43*ROUNDUP(BI43/10,0)+1,
IF($BC43=Lookup!$A$3,($BD43+1)^BH43,
IF($BC43=Lookup!$A$4,BI43*$BD43+1,"Error")))</f>
        <v>1</v>
      </c>
      <c r="BR43" s="228">
        <f>IF($BC43=Lookup!$A$2,$BD43*ROUNDUP(BJ43/10,0)+1,
IF($BC43=Lookup!$A$3,($BD43+1)^BI43,
IF($BC43=Lookup!$A$4,BJ43*$BD43+1,"Error")))</f>
        <v>1</v>
      </c>
      <c r="BS43" s="228">
        <f>IF($BC43=Lookup!$A$2,$BD43*ROUNDUP(BK43/10,0)+1,
IF($BC43=Lookup!$A$3,($BD43+1)^BJ43,
IF($BC43=Lookup!$A$4,BK43*$BD43+1,"Error")))</f>
        <v>1</v>
      </c>
      <c r="BT43" s="247">
        <f>IF($BC43=Lookup!$A$2,$BD43*ROUNDUP(BL43/10,0)+1,
IF($BC43=Lookup!$A$3,($BD43+1)^BK43,
IF($BC43=Lookup!$A$4,BL43*$BD43+1,"Error")))</f>
        <v>1</v>
      </c>
      <c r="BU43" s="396"/>
      <c r="BV43" s="354"/>
      <c r="BW43" s="354"/>
      <c r="BX43" s="354"/>
      <c r="BY43" s="354"/>
      <c r="BZ43" s="354"/>
      <c r="CA43" s="354"/>
      <c r="CB43" s="397"/>
      <c r="CC43" s="380" t="s">
        <v>292</v>
      </c>
      <c r="CD43" s="381">
        <f>HLOOKUP($CC43,$AK$6:$AM$132,ROWS(CD$6:CD43),0)</f>
        <v>0.40880266786666664</v>
      </c>
      <c r="CE43" s="238">
        <f t="shared" si="75"/>
        <v>0.40880266786666664</v>
      </c>
      <c r="CF43" s="137">
        <f t="shared" si="76"/>
        <v>0.40880266786666664</v>
      </c>
      <c r="CG43" s="137">
        <f t="shared" si="77"/>
        <v>0.40880266786666664</v>
      </c>
      <c r="CH43" s="137">
        <f t="shared" si="78"/>
        <v>0.40880266786666664</v>
      </c>
      <c r="CI43" s="137">
        <f t="shared" si="79"/>
        <v>0.40880266786666664</v>
      </c>
      <c r="CJ43" s="137">
        <f t="shared" si="80"/>
        <v>0.40880266786666664</v>
      </c>
      <c r="CK43" s="137">
        <f t="shared" si="81"/>
        <v>0.40880266786666664</v>
      </c>
      <c r="CL43" s="290">
        <f t="shared" si="82"/>
        <v>0.40880266786666664</v>
      </c>
      <c r="CM43" s="302" t="s">
        <v>293</v>
      </c>
      <c r="CN43" s="314">
        <v>0.05</v>
      </c>
      <c r="CO43" s="303"/>
      <c r="CP43" s="304">
        <f>IF($CO43&lt;&gt;"",$CO43,HLOOKUP($CM43,$AY$6:$BA$132,ROWS(CP$6:CP43),0))</f>
        <v>321951.72161288117</v>
      </c>
      <c r="CQ43" s="783">
        <f t="shared" si="83"/>
        <v>131614.72271961218</v>
      </c>
      <c r="CR43" s="783">
        <f t="shared" si="84"/>
        <v>131614.72271961218</v>
      </c>
      <c r="CS43" s="79">
        <f t="shared" si="85"/>
        <v>131614.72271961218</v>
      </c>
      <c r="CT43" s="79">
        <f t="shared" si="86"/>
        <v>131614.72271961218</v>
      </c>
      <c r="CU43" s="79">
        <f t="shared" si="87"/>
        <v>131614.72271961218</v>
      </c>
      <c r="CV43" s="79">
        <f t="shared" si="88"/>
        <v>131614.72271961218</v>
      </c>
      <c r="CW43" s="79">
        <f t="shared" si="89"/>
        <v>131614.72271961218</v>
      </c>
      <c r="CX43" s="80">
        <f t="shared" si="90"/>
        <v>131614.72271961218</v>
      </c>
      <c r="CY43" s="391"/>
    </row>
    <row r="44" spans="1:103" x14ac:dyDescent="0.25">
      <c r="A44" s="81" t="s">
        <v>94</v>
      </c>
      <c r="B44" s="82" t="s">
        <v>95</v>
      </c>
      <c r="C44" s="83" t="s">
        <v>70</v>
      </c>
      <c r="D44" s="84">
        <v>0</v>
      </c>
      <c r="E44" s="85">
        <v>0</v>
      </c>
      <c r="F44" s="85">
        <v>0</v>
      </c>
      <c r="G44" s="85">
        <v>76207.360932958443</v>
      </c>
      <c r="H44" s="85">
        <v>31058.238916629962</v>
      </c>
      <c r="I44" s="85">
        <v>151119.02238836401</v>
      </c>
      <c r="J44" s="85">
        <v>165783.86463978095</v>
      </c>
      <c r="K44" s="85">
        <v>0</v>
      </c>
      <c r="L44" s="85">
        <v>0</v>
      </c>
      <c r="M44" s="654">
        <f>'2022-23 Input'!E44</f>
        <v>0</v>
      </c>
      <c r="N44" s="1065">
        <v>0</v>
      </c>
      <c r="O44" s="560">
        <f t="shared" si="48"/>
        <v>0</v>
      </c>
      <c r="P44" s="561">
        <f t="shared" si="49"/>
        <v>0</v>
      </c>
      <c r="Q44" s="561">
        <f t="shared" si="50"/>
        <v>0</v>
      </c>
      <c r="R44" s="561">
        <f t="shared" si="51"/>
        <v>98087.770715633596</v>
      </c>
      <c r="S44" s="561">
        <f t="shared" si="52"/>
        <v>39161.917290992962</v>
      </c>
      <c r="T44" s="561">
        <f t="shared" si="53"/>
        <v>187561.11689773909</v>
      </c>
      <c r="U44" s="561">
        <f t="shared" si="54"/>
        <v>206481.80966075513</v>
      </c>
      <c r="V44" s="561">
        <f t="shared" si="55"/>
        <v>0</v>
      </c>
      <c r="W44" s="675">
        <f t="shared" si="56"/>
        <v>0</v>
      </c>
      <c r="X44" s="675">
        <f t="shared" si="57"/>
        <v>0</v>
      </c>
      <c r="Y44" s="675">
        <f t="shared" si="58"/>
        <v>0</v>
      </c>
      <c r="Z44" s="125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9.0000003999999995E-2</v>
      </c>
      <c r="AF44" s="126">
        <v>0.27100000000000002</v>
      </c>
      <c r="AG44" s="126">
        <v>0</v>
      </c>
      <c r="AH44" s="126">
        <v>0</v>
      </c>
      <c r="AI44" s="1097">
        <f>'2022-23 Input'!L44</f>
        <v>0</v>
      </c>
      <c r="AJ44" s="668">
        <v>0</v>
      </c>
      <c r="AK44" s="127">
        <f t="shared" si="59"/>
        <v>7.2200000799999997E-2</v>
      </c>
      <c r="AL44" s="128">
        <f t="shared" si="60"/>
        <v>0</v>
      </c>
      <c r="AM44" s="129">
        <f t="shared" si="61"/>
        <v>0</v>
      </c>
      <c r="AN44" s="91" t="str">
        <f t="shared" si="62"/>
        <v/>
      </c>
      <c r="AO44" s="92" t="str">
        <f t="shared" si="63"/>
        <v/>
      </c>
      <c r="AP44" s="92" t="str">
        <f t="shared" si="64"/>
        <v/>
      </c>
      <c r="AQ44" s="92" t="str">
        <f t="shared" si="65"/>
        <v/>
      </c>
      <c r="AR44" s="92" t="str">
        <f t="shared" si="66"/>
        <v/>
      </c>
      <c r="AS44" s="92">
        <f t="shared" si="67"/>
        <v>1679100.1741329259</v>
      </c>
      <c r="AT44" s="92">
        <f t="shared" si="68"/>
        <v>611748.57800657174</v>
      </c>
      <c r="AU44" s="92" t="str">
        <f t="shared" si="69"/>
        <v/>
      </c>
      <c r="AV44" s="92" t="str">
        <f t="shared" si="70"/>
        <v/>
      </c>
      <c r="AW44" s="92" t="str">
        <f t="shared" si="70"/>
        <v/>
      </c>
      <c r="AX44" s="92" t="str">
        <f t="shared" si="70"/>
        <v/>
      </c>
      <c r="AY44" s="93">
        <f t="shared" si="71"/>
        <v>877847.32276109606</v>
      </c>
      <c r="AZ44" s="94" t="str">
        <f t="shared" si="72"/>
        <v/>
      </c>
      <c r="BA44" s="95" t="str">
        <f t="shared" si="73"/>
        <v/>
      </c>
      <c r="BB44" s="248" t="s">
        <v>422</v>
      </c>
      <c r="BC44" s="229" t="s">
        <v>433</v>
      </c>
      <c r="BD44" s="249">
        <v>0</v>
      </c>
      <c r="BE44" s="267">
        <f t="shared" si="74"/>
        <v>0</v>
      </c>
      <c r="BF44" s="268">
        <f t="shared" si="47"/>
        <v>0</v>
      </c>
      <c r="BG44" s="268">
        <f t="shared" si="47"/>
        <v>0</v>
      </c>
      <c r="BH44" s="268">
        <f t="shared" si="47"/>
        <v>1</v>
      </c>
      <c r="BI44" s="268">
        <f t="shared" si="47"/>
        <v>2</v>
      </c>
      <c r="BJ44" s="268">
        <f t="shared" si="47"/>
        <v>3</v>
      </c>
      <c r="BK44" s="268">
        <f t="shared" si="47"/>
        <v>4</v>
      </c>
      <c r="BL44" s="269">
        <f t="shared" si="47"/>
        <v>5</v>
      </c>
      <c r="BM44" s="256">
        <f>IF($BC44=Lookup!$A$2,$BD44*ROUNDUP(BE44/10,0)+1,
IF($BC44=Lookup!$A$3,($BD44+1)^BD44,
IF($BC44=Lookup!$A$4,BE44*$BD44+1,"Error")))</f>
        <v>1</v>
      </c>
      <c r="BN44" s="229">
        <f>IF($BC44=Lookup!$A$2,$BD44*ROUNDUP(BF44/10,0)+1,
IF($BC44=Lookup!$A$3,($BD44+1)^BE44,
IF($BC44=Lookup!$A$4,BF44*$BD44+1,"Error")))</f>
        <v>1</v>
      </c>
      <c r="BO44" s="229">
        <f>IF($BC44=Lookup!$A$2,$BD44*ROUNDUP(BG44/10,0)+1,
IF($BC44=Lookup!$A$3,($BD44+1)^BF44,
IF($BC44=Lookup!$A$4,BG44*$BD44+1,"Error")))</f>
        <v>1</v>
      </c>
      <c r="BP44" s="229">
        <f>IF($BC44=Lookup!$A$2,$BD44*ROUNDUP(BH44/10,0)+1,
IF($BC44=Lookup!$A$3,($BD44+1)^BG44,
IF($BC44=Lookup!$A$4,BH44*$BD44+1,"Error")))</f>
        <v>1</v>
      </c>
      <c r="BQ44" s="229">
        <f>IF($BC44=Lookup!$A$2,$BD44*ROUNDUP(BI44/10,0)+1,
IF($BC44=Lookup!$A$3,($BD44+1)^BH44,
IF($BC44=Lookup!$A$4,BI44*$BD44+1,"Error")))</f>
        <v>1</v>
      </c>
      <c r="BR44" s="229">
        <f>IF($BC44=Lookup!$A$2,$BD44*ROUNDUP(BJ44/10,0)+1,
IF($BC44=Lookup!$A$3,($BD44+1)^BI44,
IF($BC44=Lookup!$A$4,BJ44*$BD44+1,"Error")))</f>
        <v>1</v>
      </c>
      <c r="BS44" s="229">
        <f>IF($BC44=Lookup!$A$2,$BD44*ROUNDUP(BK44/10,0)+1,
IF($BC44=Lookup!$A$3,($BD44+1)^BJ44,
IF($BC44=Lookup!$A$4,BK44*$BD44+1,"Error")))</f>
        <v>1</v>
      </c>
      <c r="BT44" s="249">
        <f>IF($BC44=Lookup!$A$2,$BD44*ROUNDUP(BL44/10,0)+1,
IF($BC44=Lookup!$A$3,($BD44+1)^BK44,
IF($BC44=Lookup!$A$4,BL44*$BD44+1,"Error")))</f>
        <v>1</v>
      </c>
      <c r="BU44" s="398"/>
      <c r="BV44" s="356"/>
      <c r="BW44" s="356"/>
      <c r="BX44" s="356"/>
      <c r="BY44" s="356"/>
      <c r="BZ44" s="356"/>
      <c r="CA44" s="356"/>
      <c r="CB44" s="399"/>
      <c r="CC44" s="382" t="s">
        <v>292</v>
      </c>
      <c r="CD44" s="383">
        <f>HLOOKUP($CC44,$AK$6:$AM$132,ROWS(CD$6:CD44),0)</f>
        <v>7.2200000799999997E-2</v>
      </c>
      <c r="CE44" s="236">
        <f t="shared" si="75"/>
        <v>7.2200000799999997E-2</v>
      </c>
      <c r="CF44" s="130">
        <f t="shared" si="76"/>
        <v>7.2200000799999997E-2</v>
      </c>
      <c r="CG44" s="130">
        <f t="shared" si="77"/>
        <v>7.2200000799999997E-2</v>
      </c>
      <c r="CH44" s="130">
        <f t="shared" si="78"/>
        <v>7.2200000799999997E-2</v>
      </c>
      <c r="CI44" s="130">
        <f t="shared" si="79"/>
        <v>7.2200000799999997E-2</v>
      </c>
      <c r="CJ44" s="130">
        <f t="shared" si="80"/>
        <v>7.2200000799999997E-2</v>
      </c>
      <c r="CK44" s="130">
        <f t="shared" si="81"/>
        <v>7.2200000799999997E-2</v>
      </c>
      <c r="CL44" s="288">
        <f t="shared" si="82"/>
        <v>7.2200000799999997E-2</v>
      </c>
      <c r="CM44" s="305" t="s">
        <v>293</v>
      </c>
      <c r="CN44" s="315">
        <v>0.05</v>
      </c>
      <c r="CO44" s="306"/>
      <c r="CP44" s="307" t="str">
        <f>IF($CO44&lt;&gt;"",$CO44,HLOOKUP($CM44,$AY$6:$BA$132,ROWS(CP$6:CP44),0))</f>
        <v/>
      </c>
      <c r="CQ44" s="784" t="str">
        <f t="shared" si="83"/>
        <v/>
      </c>
      <c r="CR44" s="784" t="str">
        <f t="shared" si="84"/>
        <v/>
      </c>
      <c r="CS44" s="97" t="str">
        <f t="shared" si="85"/>
        <v/>
      </c>
      <c r="CT44" s="97" t="str">
        <f t="shared" si="86"/>
        <v/>
      </c>
      <c r="CU44" s="97" t="str">
        <f t="shared" si="87"/>
        <v/>
      </c>
      <c r="CV44" s="97" t="str">
        <f t="shared" si="88"/>
        <v/>
      </c>
      <c r="CW44" s="97" t="str">
        <f t="shared" si="89"/>
        <v/>
      </c>
      <c r="CX44" s="98" t="str">
        <f t="shared" si="90"/>
        <v/>
      </c>
      <c r="CY44" s="392"/>
    </row>
    <row r="45" spans="1:103" x14ac:dyDescent="0.25">
      <c r="A45" s="81" t="s">
        <v>94</v>
      </c>
      <c r="B45" s="82" t="s">
        <v>96</v>
      </c>
      <c r="C45" s="83" t="s">
        <v>72</v>
      </c>
      <c r="D45" s="84">
        <v>0</v>
      </c>
      <c r="E45" s="85">
        <v>-558.80999999999995</v>
      </c>
      <c r="F45" s="85">
        <v>0</v>
      </c>
      <c r="G45" s="85">
        <v>0</v>
      </c>
      <c r="H45" s="85">
        <v>0</v>
      </c>
      <c r="I45" s="85">
        <v>0</v>
      </c>
      <c r="J45" s="85">
        <v>39701.171807681974</v>
      </c>
      <c r="K45" s="85">
        <v>0</v>
      </c>
      <c r="L45" s="85">
        <v>0</v>
      </c>
      <c r="M45" s="654">
        <f>'2022-23 Input'!E45</f>
        <v>0</v>
      </c>
      <c r="N45" s="1065">
        <v>0</v>
      </c>
      <c r="O45" s="560">
        <f t="shared" si="48"/>
        <v>0</v>
      </c>
      <c r="P45" s="561">
        <f t="shared" si="49"/>
        <v>-740.6640539853405</v>
      </c>
      <c r="Q45" s="561">
        <f t="shared" si="50"/>
        <v>0</v>
      </c>
      <c r="R45" s="561">
        <f t="shared" si="51"/>
        <v>0</v>
      </c>
      <c r="S45" s="561">
        <f t="shared" si="52"/>
        <v>0</v>
      </c>
      <c r="T45" s="561">
        <f t="shared" si="53"/>
        <v>0</v>
      </c>
      <c r="U45" s="561">
        <f t="shared" si="54"/>
        <v>49447.332032671562</v>
      </c>
      <c r="V45" s="561">
        <f t="shared" si="55"/>
        <v>0</v>
      </c>
      <c r="W45" s="675">
        <f t="shared" si="56"/>
        <v>0</v>
      </c>
      <c r="X45" s="675">
        <f t="shared" si="57"/>
        <v>0</v>
      </c>
      <c r="Y45" s="675">
        <f t="shared" si="58"/>
        <v>0</v>
      </c>
      <c r="Z45" s="125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5.7333333E-2</v>
      </c>
      <c r="AG45" s="126">
        <v>0</v>
      </c>
      <c r="AH45" s="126">
        <v>0</v>
      </c>
      <c r="AI45" s="1097">
        <f>'2022-23 Input'!L45</f>
        <v>0</v>
      </c>
      <c r="AJ45" s="668">
        <v>0</v>
      </c>
      <c r="AK45" s="127">
        <f t="shared" si="59"/>
        <v>1.14666666E-2</v>
      </c>
      <c r="AL45" s="128">
        <f t="shared" si="60"/>
        <v>0</v>
      </c>
      <c r="AM45" s="129">
        <f t="shared" si="61"/>
        <v>0</v>
      </c>
      <c r="AN45" s="91" t="str">
        <f t="shared" si="62"/>
        <v/>
      </c>
      <c r="AO45" s="92" t="str">
        <f t="shared" si="63"/>
        <v/>
      </c>
      <c r="AP45" s="92" t="str">
        <f t="shared" si="64"/>
        <v/>
      </c>
      <c r="AQ45" s="92" t="str">
        <f t="shared" si="65"/>
        <v/>
      </c>
      <c r="AR45" s="92" t="str">
        <f t="shared" si="66"/>
        <v/>
      </c>
      <c r="AS45" s="92" t="str">
        <f t="shared" si="67"/>
        <v/>
      </c>
      <c r="AT45" s="92">
        <f t="shared" si="68"/>
        <v>692462.3029971408</v>
      </c>
      <c r="AU45" s="92" t="str">
        <f t="shared" si="69"/>
        <v/>
      </c>
      <c r="AV45" s="92" t="str">
        <f t="shared" si="70"/>
        <v/>
      </c>
      <c r="AW45" s="92" t="str">
        <f t="shared" si="70"/>
        <v/>
      </c>
      <c r="AX45" s="92" t="str">
        <f t="shared" si="70"/>
        <v/>
      </c>
      <c r="AY45" s="93">
        <f t="shared" si="71"/>
        <v>692462.3029971408</v>
      </c>
      <c r="AZ45" s="94" t="str">
        <f t="shared" si="72"/>
        <v/>
      </c>
      <c r="BA45" s="95" t="str">
        <f t="shared" si="73"/>
        <v/>
      </c>
      <c r="BB45" s="248" t="s">
        <v>422</v>
      </c>
      <c r="BC45" s="229" t="s">
        <v>433</v>
      </c>
      <c r="BD45" s="249">
        <v>0</v>
      </c>
      <c r="BE45" s="267">
        <f t="shared" si="74"/>
        <v>0</v>
      </c>
      <c r="BF45" s="268">
        <f t="shared" si="47"/>
        <v>0</v>
      </c>
      <c r="BG45" s="268">
        <f t="shared" si="47"/>
        <v>0</v>
      </c>
      <c r="BH45" s="268">
        <f t="shared" si="47"/>
        <v>1</v>
      </c>
      <c r="BI45" s="268">
        <f t="shared" si="47"/>
        <v>2</v>
      </c>
      <c r="BJ45" s="268">
        <f t="shared" si="47"/>
        <v>3</v>
      </c>
      <c r="BK45" s="268">
        <f t="shared" si="47"/>
        <v>4</v>
      </c>
      <c r="BL45" s="269">
        <f t="shared" si="47"/>
        <v>5</v>
      </c>
      <c r="BM45" s="256">
        <f>IF($BC45=Lookup!$A$2,$BD45*ROUNDUP(BE45/10,0)+1,
IF($BC45=Lookup!$A$3,($BD45+1)^BD45,
IF($BC45=Lookup!$A$4,BE45*$BD45+1,"Error")))</f>
        <v>1</v>
      </c>
      <c r="BN45" s="229">
        <f>IF($BC45=Lookup!$A$2,$BD45*ROUNDUP(BF45/10,0)+1,
IF($BC45=Lookup!$A$3,($BD45+1)^BE45,
IF($BC45=Lookup!$A$4,BF45*$BD45+1,"Error")))</f>
        <v>1</v>
      </c>
      <c r="BO45" s="229">
        <f>IF($BC45=Lookup!$A$2,$BD45*ROUNDUP(BG45/10,0)+1,
IF($BC45=Lookup!$A$3,($BD45+1)^BF45,
IF($BC45=Lookup!$A$4,BG45*$BD45+1,"Error")))</f>
        <v>1</v>
      </c>
      <c r="BP45" s="229">
        <f>IF($BC45=Lookup!$A$2,$BD45*ROUNDUP(BH45/10,0)+1,
IF($BC45=Lookup!$A$3,($BD45+1)^BG45,
IF($BC45=Lookup!$A$4,BH45*$BD45+1,"Error")))</f>
        <v>1</v>
      </c>
      <c r="BQ45" s="229">
        <f>IF($BC45=Lookup!$A$2,$BD45*ROUNDUP(BI45/10,0)+1,
IF($BC45=Lookup!$A$3,($BD45+1)^BH45,
IF($BC45=Lookup!$A$4,BI45*$BD45+1,"Error")))</f>
        <v>1</v>
      </c>
      <c r="BR45" s="229">
        <f>IF($BC45=Lookup!$A$2,$BD45*ROUNDUP(BJ45/10,0)+1,
IF($BC45=Lookup!$A$3,($BD45+1)^BI45,
IF($BC45=Lookup!$A$4,BJ45*$BD45+1,"Error")))</f>
        <v>1</v>
      </c>
      <c r="BS45" s="229">
        <f>IF($BC45=Lookup!$A$2,$BD45*ROUNDUP(BK45/10,0)+1,
IF($BC45=Lookup!$A$3,($BD45+1)^BJ45,
IF($BC45=Lookup!$A$4,BK45*$BD45+1,"Error")))</f>
        <v>1</v>
      </c>
      <c r="BT45" s="249">
        <f>IF($BC45=Lookup!$A$2,$BD45*ROUNDUP(BL45/10,0)+1,
IF($BC45=Lookup!$A$3,($BD45+1)^BK45,
IF($BC45=Lookup!$A$4,BL45*$BD45+1,"Error")))</f>
        <v>1</v>
      </c>
      <c r="BU45" s="398"/>
      <c r="BV45" s="356"/>
      <c r="BW45" s="356"/>
      <c r="BX45" s="356"/>
      <c r="BY45" s="356"/>
      <c r="BZ45" s="356"/>
      <c r="CA45" s="356"/>
      <c r="CB45" s="399"/>
      <c r="CC45" s="382" t="s">
        <v>292</v>
      </c>
      <c r="CD45" s="383">
        <f>HLOOKUP($CC45,$AK$6:$AM$132,ROWS(CD$6:CD45),0)</f>
        <v>1.14666666E-2</v>
      </c>
      <c r="CE45" s="236">
        <f t="shared" si="75"/>
        <v>1.14666666E-2</v>
      </c>
      <c r="CF45" s="130">
        <f t="shared" si="76"/>
        <v>1.14666666E-2</v>
      </c>
      <c r="CG45" s="130">
        <f t="shared" si="77"/>
        <v>1.14666666E-2</v>
      </c>
      <c r="CH45" s="130">
        <f t="shared" si="78"/>
        <v>1.14666666E-2</v>
      </c>
      <c r="CI45" s="130">
        <f t="shared" si="79"/>
        <v>1.14666666E-2</v>
      </c>
      <c r="CJ45" s="130">
        <f t="shared" si="80"/>
        <v>1.14666666E-2</v>
      </c>
      <c r="CK45" s="130">
        <f t="shared" si="81"/>
        <v>1.14666666E-2</v>
      </c>
      <c r="CL45" s="288">
        <f t="shared" si="82"/>
        <v>1.14666666E-2</v>
      </c>
      <c r="CM45" s="305" t="s">
        <v>293</v>
      </c>
      <c r="CN45" s="315">
        <v>0.05</v>
      </c>
      <c r="CO45" s="306"/>
      <c r="CP45" s="307" t="str">
        <f>IF($CO45&lt;&gt;"",$CO45,HLOOKUP($CM45,$AY$6:$BA$132,ROWS(CP$6:CP45),0))</f>
        <v/>
      </c>
      <c r="CQ45" s="784" t="str">
        <f t="shared" si="83"/>
        <v/>
      </c>
      <c r="CR45" s="784" t="str">
        <f t="shared" si="84"/>
        <v/>
      </c>
      <c r="CS45" s="97" t="str">
        <f t="shared" si="85"/>
        <v/>
      </c>
      <c r="CT45" s="97" t="str">
        <f t="shared" si="86"/>
        <v/>
      </c>
      <c r="CU45" s="97" t="str">
        <f t="shared" si="87"/>
        <v/>
      </c>
      <c r="CV45" s="97" t="str">
        <f t="shared" si="88"/>
        <v/>
      </c>
      <c r="CW45" s="97" t="str">
        <f t="shared" si="89"/>
        <v/>
      </c>
      <c r="CX45" s="98" t="str">
        <f t="shared" si="90"/>
        <v/>
      </c>
      <c r="CY45" s="392"/>
    </row>
    <row r="46" spans="1:103" x14ac:dyDescent="0.25">
      <c r="A46" s="81" t="s">
        <v>94</v>
      </c>
      <c r="B46" s="82" t="s">
        <v>97</v>
      </c>
      <c r="C46" s="83" t="s">
        <v>98</v>
      </c>
      <c r="D46" s="84">
        <v>0</v>
      </c>
      <c r="E46" s="85">
        <v>0</v>
      </c>
      <c r="F46" s="85">
        <v>0</v>
      </c>
      <c r="G46" s="85">
        <v>0</v>
      </c>
      <c r="H46" s="85">
        <v>0</v>
      </c>
      <c r="I46" s="85">
        <v>0</v>
      </c>
      <c r="J46" s="85">
        <v>0</v>
      </c>
      <c r="K46" s="85">
        <v>0</v>
      </c>
      <c r="L46" s="85">
        <v>0</v>
      </c>
      <c r="M46" s="654">
        <f>'2022-23 Input'!E46</f>
        <v>0</v>
      </c>
      <c r="N46" s="1065">
        <v>0</v>
      </c>
      <c r="O46" s="560">
        <f t="shared" si="48"/>
        <v>0</v>
      </c>
      <c r="P46" s="561">
        <f t="shared" si="49"/>
        <v>0</v>
      </c>
      <c r="Q46" s="561">
        <f t="shared" si="50"/>
        <v>0</v>
      </c>
      <c r="R46" s="561">
        <f t="shared" si="51"/>
        <v>0</v>
      </c>
      <c r="S46" s="561">
        <f t="shared" si="52"/>
        <v>0</v>
      </c>
      <c r="T46" s="561">
        <f t="shared" si="53"/>
        <v>0</v>
      </c>
      <c r="U46" s="561">
        <f t="shared" si="54"/>
        <v>0</v>
      </c>
      <c r="V46" s="561">
        <f t="shared" si="55"/>
        <v>0</v>
      </c>
      <c r="W46" s="675">
        <f t="shared" si="56"/>
        <v>0</v>
      </c>
      <c r="X46" s="675">
        <f t="shared" si="57"/>
        <v>0</v>
      </c>
      <c r="Y46" s="675">
        <f t="shared" si="58"/>
        <v>0</v>
      </c>
      <c r="Z46" s="125">
        <v>0</v>
      </c>
      <c r="AA46" s="126">
        <v>0</v>
      </c>
      <c r="AB46" s="126">
        <v>0</v>
      </c>
      <c r="AC46" s="126">
        <v>0</v>
      </c>
      <c r="AD46" s="126">
        <v>0</v>
      </c>
      <c r="AE46" s="126">
        <v>0</v>
      </c>
      <c r="AF46" s="126">
        <v>0</v>
      </c>
      <c r="AG46" s="126">
        <v>0</v>
      </c>
      <c r="AH46" s="126">
        <v>0</v>
      </c>
      <c r="AI46" s="1097">
        <f>'2022-23 Input'!L46</f>
        <v>0</v>
      </c>
      <c r="AJ46" s="668">
        <v>0</v>
      </c>
      <c r="AK46" s="127">
        <f t="shared" si="59"/>
        <v>0</v>
      </c>
      <c r="AL46" s="128">
        <f t="shared" si="60"/>
        <v>0</v>
      </c>
      <c r="AM46" s="129">
        <f t="shared" si="61"/>
        <v>0</v>
      </c>
      <c r="AN46" s="91" t="str">
        <f t="shared" si="62"/>
        <v/>
      </c>
      <c r="AO46" s="92" t="str">
        <f t="shared" si="63"/>
        <v/>
      </c>
      <c r="AP46" s="92" t="str">
        <f t="shared" si="64"/>
        <v/>
      </c>
      <c r="AQ46" s="92" t="str">
        <f t="shared" si="65"/>
        <v/>
      </c>
      <c r="AR46" s="92" t="str">
        <f t="shared" si="66"/>
        <v/>
      </c>
      <c r="AS46" s="92" t="str">
        <f t="shared" si="67"/>
        <v/>
      </c>
      <c r="AT46" s="92" t="str">
        <f t="shared" si="68"/>
        <v/>
      </c>
      <c r="AU46" s="92" t="str">
        <f t="shared" si="69"/>
        <v/>
      </c>
      <c r="AV46" s="92" t="str">
        <f t="shared" si="70"/>
        <v/>
      </c>
      <c r="AW46" s="92" t="str">
        <f t="shared" si="70"/>
        <v/>
      </c>
      <c r="AX46" s="92" t="str">
        <f t="shared" si="70"/>
        <v/>
      </c>
      <c r="AY46" s="93" t="str">
        <f t="shared" si="71"/>
        <v/>
      </c>
      <c r="AZ46" s="94" t="str">
        <f t="shared" si="72"/>
        <v/>
      </c>
      <c r="BA46" s="95" t="str">
        <f t="shared" si="73"/>
        <v/>
      </c>
      <c r="BB46" s="248" t="s">
        <v>422</v>
      </c>
      <c r="BC46" s="229" t="s">
        <v>433</v>
      </c>
      <c r="BD46" s="249">
        <v>0</v>
      </c>
      <c r="BE46" s="267">
        <f t="shared" si="74"/>
        <v>0</v>
      </c>
      <c r="BF46" s="268">
        <f t="shared" si="47"/>
        <v>0</v>
      </c>
      <c r="BG46" s="268">
        <f t="shared" si="47"/>
        <v>0</v>
      </c>
      <c r="BH46" s="268">
        <f t="shared" si="47"/>
        <v>1</v>
      </c>
      <c r="BI46" s="268">
        <f t="shared" si="47"/>
        <v>2</v>
      </c>
      <c r="BJ46" s="268">
        <f t="shared" si="47"/>
        <v>3</v>
      </c>
      <c r="BK46" s="268">
        <f t="shared" si="47"/>
        <v>4</v>
      </c>
      <c r="BL46" s="269">
        <f t="shared" si="47"/>
        <v>5</v>
      </c>
      <c r="BM46" s="256">
        <f>IF($BC46=Lookup!$A$2,$BD46*ROUNDUP(BE46/10,0)+1,
IF($BC46=Lookup!$A$3,($BD46+1)^BD46,
IF($BC46=Lookup!$A$4,BE46*$BD46+1,"Error")))</f>
        <v>1</v>
      </c>
      <c r="BN46" s="229">
        <f>IF($BC46=Lookup!$A$2,$BD46*ROUNDUP(BF46/10,0)+1,
IF($BC46=Lookup!$A$3,($BD46+1)^BE46,
IF($BC46=Lookup!$A$4,BF46*$BD46+1,"Error")))</f>
        <v>1</v>
      </c>
      <c r="BO46" s="229">
        <f>IF($BC46=Lookup!$A$2,$BD46*ROUNDUP(BG46/10,0)+1,
IF($BC46=Lookup!$A$3,($BD46+1)^BF46,
IF($BC46=Lookup!$A$4,BG46*$BD46+1,"Error")))</f>
        <v>1</v>
      </c>
      <c r="BP46" s="229">
        <f>IF($BC46=Lookup!$A$2,$BD46*ROUNDUP(BH46/10,0)+1,
IF($BC46=Lookup!$A$3,($BD46+1)^BG46,
IF($BC46=Lookup!$A$4,BH46*$BD46+1,"Error")))</f>
        <v>1</v>
      </c>
      <c r="BQ46" s="229">
        <f>IF($BC46=Lookup!$A$2,$BD46*ROUNDUP(BI46/10,0)+1,
IF($BC46=Lookup!$A$3,($BD46+1)^BH46,
IF($BC46=Lookup!$A$4,BI46*$BD46+1,"Error")))</f>
        <v>1</v>
      </c>
      <c r="BR46" s="229">
        <f>IF($BC46=Lookup!$A$2,$BD46*ROUNDUP(BJ46/10,0)+1,
IF($BC46=Lookup!$A$3,($BD46+1)^BI46,
IF($BC46=Lookup!$A$4,BJ46*$BD46+1,"Error")))</f>
        <v>1</v>
      </c>
      <c r="BS46" s="229">
        <f>IF($BC46=Lookup!$A$2,$BD46*ROUNDUP(BK46/10,0)+1,
IF($BC46=Lookup!$A$3,($BD46+1)^BJ46,
IF($BC46=Lookup!$A$4,BK46*$BD46+1,"Error")))</f>
        <v>1</v>
      </c>
      <c r="BT46" s="249">
        <f>IF($BC46=Lookup!$A$2,$BD46*ROUNDUP(BL46/10,0)+1,
IF($BC46=Lookup!$A$3,($BD46+1)^BK46,
IF($BC46=Lookup!$A$4,BL46*$BD46+1,"Error")))</f>
        <v>1</v>
      </c>
      <c r="BU46" s="398"/>
      <c r="BV46" s="356"/>
      <c r="BW46" s="356"/>
      <c r="BX46" s="356"/>
      <c r="BY46" s="356"/>
      <c r="BZ46" s="356"/>
      <c r="CA46" s="356"/>
      <c r="CB46" s="399"/>
      <c r="CC46" s="382" t="s">
        <v>292</v>
      </c>
      <c r="CD46" s="383">
        <f>HLOOKUP($CC46,$AK$6:$AM$132,ROWS(CD$6:CD46),0)</f>
        <v>0</v>
      </c>
      <c r="CE46" s="236">
        <f t="shared" si="75"/>
        <v>0</v>
      </c>
      <c r="CF46" s="130">
        <f t="shared" si="76"/>
        <v>0</v>
      </c>
      <c r="CG46" s="130">
        <f t="shared" si="77"/>
        <v>0</v>
      </c>
      <c r="CH46" s="130">
        <f t="shared" si="78"/>
        <v>0</v>
      </c>
      <c r="CI46" s="130">
        <f t="shared" si="79"/>
        <v>0</v>
      </c>
      <c r="CJ46" s="130">
        <f t="shared" si="80"/>
        <v>0</v>
      </c>
      <c r="CK46" s="130">
        <f t="shared" si="81"/>
        <v>0</v>
      </c>
      <c r="CL46" s="288">
        <f t="shared" si="82"/>
        <v>0</v>
      </c>
      <c r="CM46" s="305" t="s">
        <v>293</v>
      </c>
      <c r="CN46" s="315">
        <v>0.05</v>
      </c>
      <c r="CO46" s="306"/>
      <c r="CP46" s="307" t="str">
        <f>IF($CO46&lt;&gt;"",$CO46,HLOOKUP($CM46,$AY$6:$BA$132,ROWS(CP$6:CP46),0))</f>
        <v/>
      </c>
      <c r="CQ46" s="784" t="str">
        <f t="shared" si="83"/>
        <v/>
      </c>
      <c r="CR46" s="784" t="str">
        <f t="shared" si="84"/>
        <v/>
      </c>
      <c r="CS46" s="97" t="str">
        <f t="shared" si="85"/>
        <v/>
      </c>
      <c r="CT46" s="97" t="str">
        <f t="shared" si="86"/>
        <v/>
      </c>
      <c r="CU46" s="97" t="str">
        <f t="shared" si="87"/>
        <v/>
      </c>
      <c r="CV46" s="97" t="str">
        <f t="shared" si="88"/>
        <v/>
      </c>
      <c r="CW46" s="97" t="str">
        <f t="shared" si="89"/>
        <v/>
      </c>
      <c r="CX46" s="98" t="str">
        <f t="shared" si="90"/>
        <v/>
      </c>
      <c r="CY46" s="392"/>
    </row>
    <row r="47" spans="1:103" x14ac:dyDescent="0.25">
      <c r="A47" s="81" t="s">
        <v>94</v>
      </c>
      <c r="B47" s="82" t="s">
        <v>99</v>
      </c>
      <c r="C47" s="83" t="s">
        <v>100</v>
      </c>
      <c r="D47" s="84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654">
        <f>'2022-23 Input'!E47</f>
        <v>0</v>
      </c>
      <c r="N47" s="1065">
        <v>0</v>
      </c>
      <c r="O47" s="560">
        <f t="shared" si="48"/>
        <v>0</v>
      </c>
      <c r="P47" s="561">
        <f t="shared" si="49"/>
        <v>0</v>
      </c>
      <c r="Q47" s="561">
        <f t="shared" si="50"/>
        <v>0</v>
      </c>
      <c r="R47" s="561">
        <f t="shared" si="51"/>
        <v>0</v>
      </c>
      <c r="S47" s="561">
        <f t="shared" si="52"/>
        <v>0</v>
      </c>
      <c r="T47" s="561">
        <f t="shared" si="53"/>
        <v>0</v>
      </c>
      <c r="U47" s="561">
        <f t="shared" si="54"/>
        <v>0</v>
      </c>
      <c r="V47" s="561">
        <f t="shared" si="55"/>
        <v>0</v>
      </c>
      <c r="W47" s="675">
        <f t="shared" si="56"/>
        <v>0</v>
      </c>
      <c r="X47" s="675">
        <f t="shared" si="57"/>
        <v>0</v>
      </c>
      <c r="Y47" s="675">
        <f t="shared" si="58"/>
        <v>0</v>
      </c>
      <c r="Z47" s="125">
        <v>0</v>
      </c>
      <c r="AA47" s="126">
        <v>0</v>
      </c>
      <c r="AB47" s="126">
        <v>0</v>
      </c>
      <c r="AC47" s="126">
        <v>0</v>
      </c>
      <c r="AD47" s="126">
        <v>0</v>
      </c>
      <c r="AE47" s="126">
        <v>0</v>
      </c>
      <c r="AF47" s="126">
        <v>0</v>
      </c>
      <c r="AG47" s="126">
        <v>0</v>
      </c>
      <c r="AH47" s="126">
        <v>0</v>
      </c>
      <c r="AI47" s="1097">
        <f>'2022-23 Input'!L47</f>
        <v>0</v>
      </c>
      <c r="AJ47" s="668">
        <v>0</v>
      </c>
      <c r="AK47" s="127">
        <f t="shared" si="59"/>
        <v>0</v>
      </c>
      <c r="AL47" s="128">
        <f t="shared" si="60"/>
        <v>0</v>
      </c>
      <c r="AM47" s="129">
        <f t="shared" si="61"/>
        <v>0</v>
      </c>
      <c r="AN47" s="91" t="str">
        <f t="shared" si="62"/>
        <v/>
      </c>
      <c r="AO47" s="92" t="str">
        <f t="shared" si="63"/>
        <v/>
      </c>
      <c r="AP47" s="92" t="str">
        <f t="shared" si="64"/>
        <v/>
      </c>
      <c r="AQ47" s="92" t="str">
        <f t="shared" si="65"/>
        <v/>
      </c>
      <c r="AR47" s="92" t="str">
        <f t="shared" si="66"/>
        <v/>
      </c>
      <c r="AS47" s="92" t="str">
        <f t="shared" si="67"/>
        <v/>
      </c>
      <c r="AT47" s="92" t="str">
        <f t="shared" si="68"/>
        <v/>
      </c>
      <c r="AU47" s="92" t="str">
        <f t="shared" si="69"/>
        <v/>
      </c>
      <c r="AV47" s="92" t="str">
        <f t="shared" si="70"/>
        <v/>
      </c>
      <c r="AW47" s="92" t="str">
        <f t="shared" si="70"/>
        <v/>
      </c>
      <c r="AX47" s="92" t="str">
        <f t="shared" si="70"/>
        <v/>
      </c>
      <c r="AY47" s="93" t="str">
        <f t="shared" si="71"/>
        <v/>
      </c>
      <c r="AZ47" s="94" t="str">
        <f t="shared" si="72"/>
        <v/>
      </c>
      <c r="BA47" s="95" t="str">
        <f t="shared" si="73"/>
        <v/>
      </c>
      <c r="BB47" s="248" t="s">
        <v>422</v>
      </c>
      <c r="BC47" s="229" t="s">
        <v>433</v>
      </c>
      <c r="BD47" s="249">
        <v>0</v>
      </c>
      <c r="BE47" s="267">
        <f t="shared" si="74"/>
        <v>0</v>
      </c>
      <c r="BF47" s="268">
        <f t="shared" ref="BF47:BL56" si="91">IF(BF$6=$BB47,1,
IF(BE47&lt;&gt;0,BE47+1,0
))</f>
        <v>0</v>
      </c>
      <c r="BG47" s="268">
        <f t="shared" si="91"/>
        <v>0</v>
      </c>
      <c r="BH47" s="268">
        <f t="shared" si="91"/>
        <v>1</v>
      </c>
      <c r="BI47" s="268">
        <f t="shared" si="91"/>
        <v>2</v>
      </c>
      <c r="BJ47" s="268">
        <f t="shared" si="91"/>
        <v>3</v>
      </c>
      <c r="BK47" s="268">
        <f t="shared" si="91"/>
        <v>4</v>
      </c>
      <c r="BL47" s="269">
        <f t="shared" si="91"/>
        <v>5</v>
      </c>
      <c r="BM47" s="256">
        <f>IF($BC47=Lookup!$A$2,$BD47*ROUNDUP(BE47/10,0)+1,
IF($BC47=Lookup!$A$3,($BD47+1)^BD47,
IF($BC47=Lookup!$A$4,BE47*$BD47+1,"Error")))</f>
        <v>1</v>
      </c>
      <c r="BN47" s="229">
        <f>IF($BC47=Lookup!$A$2,$BD47*ROUNDUP(BF47/10,0)+1,
IF($BC47=Lookup!$A$3,($BD47+1)^BE47,
IF($BC47=Lookup!$A$4,BF47*$BD47+1,"Error")))</f>
        <v>1</v>
      </c>
      <c r="BO47" s="229">
        <f>IF($BC47=Lookup!$A$2,$BD47*ROUNDUP(BG47/10,0)+1,
IF($BC47=Lookup!$A$3,($BD47+1)^BF47,
IF($BC47=Lookup!$A$4,BG47*$BD47+1,"Error")))</f>
        <v>1</v>
      </c>
      <c r="BP47" s="229">
        <f>IF($BC47=Lookup!$A$2,$BD47*ROUNDUP(BH47/10,0)+1,
IF($BC47=Lookup!$A$3,($BD47+1)^BG47,
IF($BC47=Lookup!$A$4,BH47*$BD47+1,"Error")))</f>
        <v>1</v>
      </c>
      <c r="BQ47" s="229">
        <f>IF($BC47=Lookup!$A$2,$BD47*ROUNDUP(BI47/10,0)+1,
IF($BC47=Lookup!$A$3,($BD47+1)^BH47,
IF($BC47=Lookup!$A$4,BI47*$BD47+1,"Error")))</f>
        <v>1</v>
      </c>
      <c r="BR47" s="229">
        <f>IF($BC47=Lookup!$A$2,$BD47*ROUNDUP(BJ47/10,0)+1,
IF($BC47=Lookup!$A$3,($BD47+1)^BI47,
IF($BC47=Lookup!$A$4,BJ47*$BD47+1,"Error")))</f>
        <v>1</v>
      </c>
      <c r="BS47" s="229">
        <f>IF($BC47=Lookup!$A$2,$BD47*ROUNDUP(BK47/10,0)+1,
IF($BC47=Lookup!$A$3,($BD47+1)^BJ47,
IF($BC47=Lookup!$A$4,BK47*$BD47+1,"Error")))</f>
        <v>1</v>
      </c>
      <c r="BT47" s="249">
        <f>IF($BC47=Lookup!$A$2,$BD47*ROUNDUP(BL47/10,0)+1,
IF($BC47=Lookup!$A$3,($BD47+1)^BK47,
IF($BC47=Lookup!$A$4,BL47*$BD47+1,"Error")))</f>
        <v>1</v>
      </c>
      <c r="BU47" s="398"/>
      <c r="BV47" s="356"/>
      <c r="BW47" s="356"/>
      <c r="BX47" s="356"/>
      <c r="BY47" s="356"/>
      <c r="BZ47" s="356"/>
      <c r="CA47" s="356"/>
      <c r="CB47" s="399"/>
      <c r="CC47" s="382" t="s">
        <v>292</v>
      </c>
      <c r="CD47" s="383">
        <f>HLOOKUP($CC47,$AK$6:$AM$132,ROWS(CD$6:CD47),0)</f>
        <v>0</v>
      </c>
      <c r="CE47" s="236">
        <f t="shared" si="75"/>
        <v>0</v>
      </c>
      <c r="CF47" s="130">
        <f t="shared" si="76"/>
        <v>0</v>
      </c>
      <c r="CG47" s="130">
        <f t="shared" si="77"/>
        <v>0</v>
      </c>
      <c r="CH47" s="130">
        <f t="shared" si="78"/>
        <v>0</v>
      </c>
      <c r="CI47" s="130">
        <f t="shared" si="79"/>
        <v>0</v>
      </c>
      <c r="CJ47" s="130">
        <f t="shared" si="80"/>
        <v>0</v>
      </c>
      <c r="CK47" s="130">
        <f t="shared" si="81"/>
        <v>0</v>
      </c>
      <c r="CL47" s="288">
        <f t="shared" si="82"/>
        <v>0</v>
      </c>
      <c r="CM47" s="305" t="s">
        <v>293</v>
      </c>
      <c r="CN47" s="315">
        <v>0.05</v>
      </c>
      <c r="CO47" s="306"/>
      <c r="CP47" s="307" t="str">
        <f>IF($CO47&lt;&gt;"",$CO47,HLOOKUP($CM47,$AY$6:$BA$132,ROWS(CP$6:CP47),0))</f>
        <v/>
      </c>
      <c r="CQ47" s="784" t="str">
        <f t="shared" si="83"/>
        <v/>
      </c>
      <c r="CR47" s="784" t="str">
        <f t="shared" si="84"/>
        <v/>
      </c>
      <c r="CS47" s="97" t="str">
        <f t="shared" si="85"/>
        <v/>
      </c>
      <c r="CT47" s="97" t="str">
        <f t="shared" si="86"/>
        <v/>
      </c>
      <c r="CU47" s="97" t="str">
        <f t="shared" si="87"/>
        <v/>
      </c>
      <c r="CV47" s="97" t="str">
        <f t="shared" si="88"/>
        <v/>
      </c>
      <c r="CW47" s="97" t="str">
        <f t="shared" si="89"/>
        <v/>
      </c>
      <c r="CX47" s="98" t="str">
        <f t="shared" si="90"/>
        <v/>
      </c>
      <c r="CY47" s="392"/>
    </row>
    <row r="48" spans="1:103" x14ac:dyDescent="0.25">
      <c r="A48" s="81" t="s">
        <v>94</v>
      </c>
      <c r="B48" s="82" t="s">
        <v>101</v>
      </c>
      <c r="C48" s="83" t="s">
        <v>76</v>
      </c>
      <c r="D48" s="84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654">
        <f>'2022-23 Input'!E48</f>
        <v>0</v>
      </c>
      <c r="N48" s="1065">
        <v>0</v>
      </c>
      <c r="O48" s="560">
        <f t="shared" si="48"/>
        <v>0</v>
      </c>
      <c r="P48" s="561">
        <f t="shared" si="49"/>
        <v>0</v>
      </c>
      <c r="Q48" s="561">
        <f t="shared" si="50"/>
        <v>0</v>
      </c>
      <c r="R48" s="561">
        <f t="shared" si="51"/>
        <v>0</v>
      </c>
      <c r="S48" s="561">
        <f t="shared" si="52"/>
        <v>0</v>
      </c>
      <c r="T48" s="561">
        <f t="shared" si="53"/>
        <v>0</v>
      </c>
      <c r="U48" s="561">
        <f t="shared" si="54"/>
        <v>0</v>
      </c>
      <c r="V48" s="561">
        <f t="shared" si="55"/>
        <v>0</v>
      </c>
      <c r="W48" s="675">
        <f t="shared" si="56"/>
        <v>0</v>
      </c>
      <c r="X48" s="675">
        <f t="shared" si="57"/>
        <v>0</v>
      </c>
      <c r="Y48" s="675">
        <f t="shared" si="58"/>
        <v>0</v>
      </c>
      <c r="Z48" s="125">
        <v>0</v>
      </c>
      <c r="AA48" s="126">
        <v>0</v>
      </c>
      <c r="AB48" s="126">
        <v>0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6">
        <v>0</v>
      </c>
      <c r="AI48" s="1097">
        <f>'2022-23 Input'!L48</f>
        <v>0</v>
      </c>
      <c r="AJ48" s="668">
        <v>0</v>
      </c>
      <c r="AK48" s="127">
        <f t="shared" si="59"/>
        <v>0</v>
      </c>
      <c r="AL48" s="128">
        <f t="shared" si="60"/>
        <v>0</v>
      </c>
      <c r="AM48" s="129">
        <f t="shared" si="61"/>
        <v>0</v>
      </c>
      <c r="AN48" s="91" t="str">
        <f t="shared" si="62"/>
        <v/>
      </c>
      <c r="AO48" s="92" t="str">
        <f t="shared" si="63"/>
        <v/>
      </c>
      <c r="AP48" s="92" t="str">
        <f t="shared" si="64"/>
        <v/>
      </c>
      <c r="AQ48" s="92" t="str">
        <f t="shared" si="65"/>
        <v/>
      </c>
      <c r="AR48" s="92" t="str">
        <f t="shared" si="66"/>
        <v/>
      </c>
      <c r="AS48" s="92" t="str">
        <f t="shared" si="67"/>
        <v/>
      </c>
      <c r="AT48" s="92" t="str">
        <f t="shared" si="68"/>
        <v/>
      </c>
      <c r="AU48" s="92" t="str">
        <f t="shared" si="69"/>
        <v/>
      </c>
      <c r="AV48" s="92" t="str">
        <f t="shared" si="70"/>
        <v/>
      </c>
      <c r="AW48" s="92" t="str">
        <f t="shared" si="70"/>
        <v/>
      </c>
      <c r="AX48" s="92" t="str">
        <f t="shared" si="70"/>
        <v/>
      </c>
      <c r="AY48" s="93" t="str">
        <f t="shared" si="71"/>
        <v/>
      </c>
      <c r="AZ48" s="94" t="str">
        <f t="shared" si="72"/>
        <v/>
      </c>
      <c r="BA48" s="95" t="str">
        <f t="shared" si="73"/>
        <v/>
      </c>
      <c r="BB48" s="248" t="s">
        <v>422</v>
      </c>
      <c r="BC48" s="229" t="s">
        <v>433</v>
      </c>
      <c r="BD48" s="249">
        <v>0</v>
      </c>
      <c r="BE48" s="267">
        <f t="shared" si="74"/>
        <v>0</v>
      </c>
      <c r="BF48" s="268">
        <f t="shared" si="91"/>
        <v>0</v>
      </c>
      <c r="BG48" s="268">
        <f t="shared" si="91"/>
        <v>0</v>
      </c>
      <c r="BH48" s="268">
        <f t="shared" si="91"/>
        <v>1</v>
      </c>
      <c r="BI48" s="268">
        <f t="shared" si="91"/>
        <v>2</v>
      </c>
      <c r="BJ48" s="268">
        <f t="shared" si="91"/>
        <v>3</v>
      </c>
      <c r="BK48" s="268">
        <f t="shared" si="91"/>
        <v>4</v>
      </c>
      <c r="BL48" s="269">
        <f t="shared" si="91"/>
        <v>5</v>
      </c>
      <c r="BM48" s="256">
        <f>IF($BC48=Lookup!$A$2,$BD48*ROUNDUP(BE48/10,0)+1,
IF($BC48=Lookup!$A$3,($BD48+1)^BD48,
IF($BC48=Lookup!$A$4,BE48*$BD48+1,"Error")))</f>
        <v>1</v>
      </c>
      <c r="BN48" s="229">
        <f>IF($BC48=Lookup!$A$2,$BD48*ROUNDUP(BF48/10,0)+1,
IF($BC48=Lookup!$A$3,($BD48+1)^BE48,
IF($BC48=Lookup!$A$4,BF48*$BD48+1,"Error")))</f>
        <v>1</v>
      </c>
      <c r="BO48" s="229">
        <f>IF($BC48=Lookup!$A$2,$BD48*ROUNDUP(BG48/10,0)+1,
IF($BC48=Lookup!$A$3,($BD48+1)^BF48,
IF($BC48=Lookup!$A$4,BG48*$BD48+1,"Error")))</f>
        <v>1</v>
      </c>
      <c r="BP48" s="229">
        <f>IF($BC48=Lookup!$A$2,$BD48*ROUNDUP(BH48/10,0)+1,
IF($BC48=Lookup!$A$3,($BD48+1)^BG48,
IF($BC48=Lookup!$A$4,BH48*$BD48+1,"Error")))</f>
        <v>1</v>
      </c>
      <c r="BQ48" s="229">
        <f>IF($BC48=Lookup!$A$2,$BD48*ROUNDUP(BI48/10,0)+1,
IF($BC48=Lookup!$A$3,($BD48+1)^BH48,
IF($BC48=Lookup!$A$4,BI48*$BD48+1,"Error")))</f>
        <v>1</v>
      </c>
      <c r="BR48" s="229">
        <f>IF($BC48=Lookup!$A$2,$BD48*ROUNDUP(BJ48/10,0)+1,
IF($BC48=Lookup!$A$3,($BD48+1)^BI48,
IF($BC48=Lookup!$A$4,BJ48*$BD48+1,"Error")))</f>
        <v>1</v>
      </c>
      <c r="BS48" s="229">
        <f>IF($BC48=Lookup!$A$2,$BD48*ROUNDUP(BK48/10,0)+1,
IF($BC48=Lookup!$A$3,($BD48+1)^BJ48,
IF($BC48=Lookup!$A$4,BK48*$BD48+1,"Error")))</f>
        <v>1</v>
      </c>
      <c r="BT48" s="249">
        <f>IF($BC48=Lookup!$A$2,$BD48*ROUNDUP(BL48/10,0)+1,
IF($BC48=Lookup!$A$3,($BD48+1)^BK48,
IF($BC48=Lookup!$A$4,BL48*$BD48+1,"Error")))</f>
        <v>1</v>
      </c>
      <c r="BU48" s="398"/>
      <c r="BV48" s="356"/>
      <c r="BW48" s="356"/>
      <c r="BX48" s="356"/>
      <c r="BY48" s="356"/>
      <c r="BZ48" s="356"/>
      <c r="CA48" s="356"/>
      <c r="CB48" s="399"/>
      <c r="CC48" s="382" t="s">
        <v>292</v>
      </c>
      <c r="CD48" s="383">
        <f>HLOOKUP($CC48,$AK$6:$AM$132,ROWS(CD$6:CD48),0)</f>
        <v>0</v>
      </c>
      <c r="CE48" s="236">
        <f t="shared" si="75"/>
        <v>0</v>
      </c>
      <c r="CF48" s="130">
        <f t="shared" si="76"/>
        <v>0</v>
      </c>
      <c r="CG48" s="130">
        <f t="shared" si="77"/>
        <v>0</v>
      </c>
      <c r="CH48" s="130">
        <f t="shared" si="78"/>
        <v>0</v>
      </c>
      <c r="CI48" s="130">
        <f t="shared" si="79"/>
        <v>0</v>
      </c>
      <c r="CJ48" s="130">
        <f t="shared" si="80"/>
        <v>0</v>
      </c>
      <c r="CK48" s="130">
        <f t="shared" si="81"/>
        <v>0</v>
      </c>
      <c r="CL48" s="288">
        <f t="shared" si="82"/>
        <v>0</v>
      </c>
      <c r="CM48" s="305" t="s">
        <v>293</v>
      </c>
      <c r="CN48" s="315">
        <v>0.05</v>
      </c>
      <c r="CO48" s="306"/>
      <c r="CP48" s="307" t="str">
        <f>IF($CO48&lt;&gt;"",$CO48,HLOOKUP($CM48,$AY$6:$BA$132,ROWS(CP$6:CP48),0))</f>
        <v/>
      </c>
      <c r="CQ48" s="784" t="str">
        <f t="shared" si="83"/>
        <v/>
      </c>
      <c r="CR48" s="784" t="str">
        <f t="shared" si="84"/>
        <v/>
      </c>
      <c r="CS48" s="97" t="str">
        <f t="shared" si="85"/>
        <v/>
      </c>
      <c r="CT48" s="97" t="str">
        <f t="shared" si="86"/>
        <v/>
      </c>
      <c r="CU48" s="97" t="str">
        <f t="shared" si="87"/>
        <v/>
      </c>
      <c r="CV48" s="97" t="str">
        <f t="shared" si="88"/>
        <v/>
      </c>
      <c r="CW48" s="97" t="str">
        <f t="shared" si="89"/>
        <v/>
      </c>
      <c r="CX48" s="98" t="str">
        <f t="shared" si="90"/>
        <v/>
      </c>
      <c r="CY48" s="392"/>
    </row>
    <row r="49" spans="1:103" x14ac:dyDescent="0.25">
      <c r="A49" s="81" t="s">
        <v>94</v>
      </c>
      <c r="B49" s="82" t="s">
        <v>102</v>
      </c>
      <c r="C49" s="83" t="s">
        <v>323</v>
      </c>
      <c r="D49" s="84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  <c r="M49" s="654">
        <f>'2022-23 Input'!E49</f>
        <v>0</v>
      </c>
      <c r="N49" s="1065">
        <v>0</v>
      </c>
      <c r="O49" s="560">
        <f t="shared" si="48"/>
        <v>0</v>
      </c>
      <c r="P49" s="561">
        <f t="shared" si="49"/>
        <v>0</v>
      </c>
      <c r="Q49" s="561">
        <f t="shared" si="50"/>
        <v>0</v>
      </c>
      <c r="R49" s="561">
        <f t="shared" si="51"/>
        <v>0</v>
      </c>
      <c r="S49" s="561">
        <f t="shared" si="52"/>
        <v>0</v>
      </c>
      <c r="T49" s="561">
        <f t="shared" si="53"/>
        <v>0</v>
      </c>
      <c r="U49" s="561">
        <f t="shared" si="54"/>
        <v>0</v>
      </c>
      <c r="V49" s="561">
        <f t="shared" si="55"/>
        <v>0</v>
      </c>
      <c r="W49" s="675">
        <f t="shared" si="56"/>
        <v>0</v>
      </c>
      <c r="X49" s="675">
        <f t="shared" si="57"/>
        <v>0</v>
      </c>
      <c r="Y49" s="675">
        <f t="shared" si="58"/>
        <v>0</v>
      </c>
      <c r="Z49" s="125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097">
        <f>'2022-23 Input'!L49</f>
        <v>0</v>
      </c>
      <c r="AJ49" s="668">
        <v>0</v>
      </c>
      <c r="AK49" s="127">
        <f t="shared" si="59"/>
        <v>0</v>
      </c>
      <c r="AL49" s="128">
        <f t="shared" si="60"/>
        <v>0</v>
      </c>
      <c r="AM49" s="129">
        <f t="shared" si="61"/>
        <v>0</v>
      </c>
      <c r="AN49" s="91" t="str">
        <f t="shared" si="62"/>
        <v/>
      </c>
      <c r="AO49" s="92" t="str">
        <f t="shared" si="63"/>
        <v/>
      </c>
      <c r="AP49" s="92" t="str">
        <f t="shared" si="64"/>
        <v/>
      </c>
      <c r="AQ49" s="92" t="str">
        <f t="shared" si="65"/>
        <v/>
      </c>
      <c r="AR49" s="92" t="str">
        <f t="shared" si="66"/>
        <v/>
      </c>
      <c r="AS49" s="92" t="str">
        <f t="shared" si="67"/>
        <v/>
      </c>
      <c r="AT49" s="92" t="str">
        <f t="shared" si="68"/>
        <v/>
      </c>
      <c r="AU49" s="92" t="str">
        <f t="shared" si="69"/>
        <v/>
      </c>
      <c r="AV49" s="92" t="str">
        <f t="shared" si="70"/>
        <v/>
      </c>
      <c r="AW49" s="92" t="str">
        <f t="shared" si="70"/>
        <v/>
      </c>
      <c r="AX49" s="92" t="str">
        <f t="shared" si="70"/>
        <v/>
      </c>
      <c r="AY49" s="93" t="str">
        <f t="shared" si="71"/>
        <v/>
      </c>
      <c r="AZ49" s="94" t="str">
        <f t="shared" si="72"/>
        <v/>
      </c>
      <c r="BA49" s="95" t="str">
        <f t="shared" si="73"/>
        <v/>
      </c>
      <c r="BB49" s="248" t="s">
        <v>422</v>
      </c>
      <c r="BC49" s="229" t="s">
        <v>433</v>
      </c>
      <c r="BD49" s="249">
        <v>0</v>
      </c>
      <c r="BE49" s="267">
        <f t="shared" si="74"/>
        <v>0</v>
      </c>
      <c r="BF49" s="268">
        <f t="shared" si="91"/>
        <v>0</v>
      </c>
      <c r="BG49" s="268">
        <f t="shared" si="91"/>
        <v>0</v>
      </c>
      <c r="BH49" s="268">
        <f t="shared" si="91"/>
        <v>1</v>
      </c>
      <c r="BI49" s="268">
        <f t="shared" si="91"/>
        <v>2</v>
      </c>
      <c r="BJ49" s="268">
        <f t="shared" si="91"/>
        <v>3</v>
      </c>
      <c r="BK49" s="268">
        <f t="shared" si="91"/>
        <v>4</v>
      </c>
      <c r="BL49" s="269">
        <f t="shared" si="91"/>
        <v>5</v>
      </c>
      <c r="BM49" s="256">
        <f>IF($BC49=Lookup!$A$2,$BD49*ROUNDUP(BE49/10,0)+1,
IF($BC49=Lookup!$A$3,($BD49+1)^BD49,
IF($BC49=Lookup!$A$4,BE49*$BD49+1,"Error")))</f>
        <v>1</v>
      </c>
      <c r="BN49" s="229">
        <f>IF($BC49=Lookup!$A$2,$BD49*ROUNDUP(BF49/10,0)+1,
IF($BC49=Lookup!$A$3,($BD49+1)^BE49,
IF($BC49=Lookup!$A$4,BF49*$BD49+1,"Error")))</f>
        <v>1</v>
      </c>
      <c r="BO49" s="229">
        <f>IF($BC49=Lookup!$A$2,$BD49*ROUNDUP(BG49/10,0)+1,
IF($BC49=Lookup!$A$3,($BD49+1)^BF49,
IF($BC49=Lookup!$A$4,BG49*$BD49+1,"Error")))</f>
        <v>1</v>
      </c>
      <c r="BP49" s="229">
        <f>IF($BC49=Lookup!$A$2,$BD49*ROUNDUP(BH49/10,0)+1,
IF($BC49=Lookup!$A$3,($BD49+1)^BG49,
IF($BC49=Lookup!$A$4,BH49*$BD49+1,"Error")))</f>
        <v>1</v>
      </c>
      <c r="BQ49" s="229">
        <f>IF($BC49=Lookup!$A$2,$BD49*ROUNDUP(BI49/10,0)+1,
IF($BC49=Lookup!$A$3,($BD49+1)^BH49,
IF($BC49=Lookup!$A$4,BI49*$BD49+1,"Error")))</f>
        <v>1</v>
      </c>
      <c r="BR49" s="229">
        <f>IF($BC49=Lookup!$A$2,$BD49*ROUNDUP(BJ49/10,0)+1,
IF($BC49=Lookup!$A$3,($BD49+1)^BI49,
IF($BC49=Lookup!$A$4,BJ49*$BD49+1,"Error")))</f>
        <v>1</v>
      </c>
      <c r="BS49" s="229">
        <f>IF($BC49=Lookup!$A$2,$BD49*ROUNDUP(BK49/10,0)+1,
IF($BC49=Lookup!$A$3,($BD49+1)^BJ49,
IF($BC49=Lookup!$A$4,BK49*$BD49+1,"Error")))</f>
        <v>1</v>
      </c>
      <c r="BT49" s="249">
        <f>IF($BC49=Lookup!$A$2,$BD49*ROUNDUP(BL49/10,0)+1,
IF($BC49=Lookup!$A$3,($BD49+1)^BK49,
IF($BC49=Lookup!$A$4,BL49*$BD49+1,"Error")))</f>
        <v>1</v>
      </c>
      <c r="BU49" s="398"/>
      <c r="BV49" s="356"/>
      <c r="BW49" s="356"/>
      <c r="BX49" s="356"/>
      <c r="BY49" s="356"/>
      <c r="BZ49" s="356"/>
      <c r="CA49" s="356"/>
      <c r="CB49" s="399"/>
      <c r="CC49" s="382" t="s">
        <v>292</v>
      </c>
      <c r="CD49" s="383">
        <f>HLOOKUP($CC49,$AK$6:$AM$132,ROWS(CD$6:CD49),0)</f>
        <v>0</v>
      </c>
      <c r="CE49" s="236">
        <f t="shared" si="75"/>
        <v>0</v>
      </c>
      <c r="CF49" s="130">
        <f t="shared" si="76"/>
        <v>0</v>
      </c>
      <c r="CG49" s="130">
        <f t="shared" si="77"/>
        <v>0</v>
      </c>
      <c r="CH49" s="130">
        <f t="shared" si="78"/>
        <v>0</v>
      </c>
      <c r="CI49" s="130">
        <f t="shared" si="79"/>
        <v>0</v>
      </c>
      <c r="CJ49" s="130">
        <f t="shared" si="80"/>
        <v>0</v>
      </c>
      <c r="CK49" s="130">
        <f t="shared" si="81"/>
        <v>0</v>
      </c>
      <c r="CL49" s="288">
        <f t="shared" si="82"/>
        <v>0</v>
      </c>
      <c r="CM49" s="305" t="s">
        <v>293</v>
      </c>
      <c r="CN49" s="315">
        <v>0.05</v>
      </c>
      <c r="CO49" s="306"/>
      <c r="CP49" s="307" t="str">
        <f>IF($CO49&lt;&gt;"",$CO49,HLOOKUP($CM49,$AY$6:$BA$132,ROWS(CP$6:CP49),0))</f>
        <v/>
      </c>
      <c r="CQ49" s="784" t="str">
        <f t="shared" si="83"/>
        <v/>
      </c>
      <c r="CR49" s="784" t="str">
        <f t="shared" si="84"/>
        <v/>
      </c>
      <c r="CS49" s="97" t="str">
        <f t="shared" si="85"/>
        <v/>
      </c>
      <c r="CT49" s="97" t="str">
        <f t="shared" si="86"/>
        <v/>
      </c>
      <c r="CU49" s="97" t="str">
        <f t="shared" si="87"/>
        <v/>
      </c>
      <c r="CV49" s="97" t="str">
        <f t="shared" si="88"/>
        <v/>
      </c>
      <c r="CW49" s="97" t="str">
        <f t="shared" si="89"/>
        <v/>
      </c>
      <c r="CX49" s="98" t="str">
        <f t="shared" si="90"/>
        <v/>
      </c>
      <c r="CY49" s="392"/>
    </row>
    <row r="50" spans="1:103" ht="15.75" thickBot="1" x14ac:dyDescent="0.3">
      <c r="A50" s="138" t="s">
        <v>94</v>
      </c>
      <c r="B50" s="139" t="s">
        <v>461</v>
      </c>
      <c r="C50" s="102" t="s">
        <v>325</v>
      </c>
      <c r="D50" s="103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655">
        <f>'2022-23 Input'!E50</f>
        <v>0</v>
      </c>
      <c r="N50" s="1066">
        <v>0</v>
      </c>
      <c r="O50" s="563">
        <f t="shared" si="48"/>
        <v>0</v>
      </c>
      <c r="P50" s="564">
        <f t="shared" si="49"/>
        <v>0</v>
      </c>
      <c r="Q50" s="564">
        <f t="shared" si="50"/>
        <v>0</v>
      </c>
      <c r="R50" s="564">
        <f t="shared" si="51"/>
        <v>0</v>
      </c>
      <c r="S50" s="564">
        <f t="shared" si="52"/>
        <v>0</v>
      </c>
      <c r="T50" s="564">
        <f t="shared" si="53"/>
        <v>0</v>
      </c>
      <c r="U50" s="564">
        <f t="shared" si="54"/>
        <v>0</v>
      </c>
      <c r="V50" s="564">
        <f t="shared" si="55"/>
        <v>0</v>
      </c>
      <c r="W50" s="676">
        <f t="shared" si="56"/>
        <v>0</v>
      </c>
      <c r="X50" s="676">
        <f t="shared" si="57"/>
        <v>0</v>
      </c>
      <c r="Y50" s="676">
        <f t="shared" si="58"/>
        <v>0</v>
      </c>
      <c r="Z50" s="131">
        <v>0</v>
      </c>
      <c r="AA50" s="132">
        <v>0</v>
      </c>
      <c r="AB50" s="132">
        <v>0</v>
      </c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098">
        <f>'2022-23 Input'!L50</f>
        <v>0</v>
      </c>
      <c r="AJ50" s="669">
        <v>0</v>
      </c>
      <c r="AK50" s="133">
        <f t="shared" si="59"/>
        <v>0</v>
      </c>
      <c r="AL50" s="134">
        <f t="shared" si="60"/>
        <v>0</v>
      </c>
      <c r="AM50" s="135">
        <f t="shared" si="61"/>
        <v>0</v>
      </c>
      <c r="AN50" s="110" t="str">
        <f t="shared" si="62"/>
        <v/>
      </c>
      <c r="AO50" s="111" t="str">
        <f t="shared" si="63"/>
        <v/>
      </c>
      <c r="AP50" s="111" t="str">
        <f t="shared" si="64"/>
        <v/>
      </c>
      <c r="AQ50" s="111" t="str">
        <f t="shared" si="65"/>
        <v/>
      </c>
      <c r="AR50" s="111" t="str">
        <f t="shared" si="66"/>
        <v/>
      </c>
      <c r="AS50" s="111" t="str">
        <f t="shared" si="67"/>
        <v/>
      </c>
      <c r="AT50" s="111" t="str">
        <f t="shared" si="68"/>
        <v/>
      </c>
      <c r="AU50" s="111" t="str">
        <f t="shared" si="69"/>
        <v/>
      </c>
      <c r="AV50" s="111" t="str">
        <f t="shared" si="70"/>
        <v/>
      </c>
      <c r="AW50" s="111" t="str">
        <f t="shared" si="70"/>
        <v/>
      </c>
      <c r="AX50" s="111" t="str">
        <f t="shared" si="70"/>
        <v/>
      </c>
      <c r="AY50" s="112" t="str">
        <f t="shared" si="71"/>
        <v/>
      </c>
      <c r="AZ50" s="113" t="str">
        <f t="shared" si="72"/>
        <v/>
      </c>
      <c r="BA50" s="114" t="str">
        <f t="shared" si="73"/>
        <v/>
      </c>
      <c r="BB50" s="250" t="s">
        <v>422</v>
      </c>
      <c r="BC50" s="230" t="s">
        <v>433</v>
      </c>
      <c r="BD50" s="251">
        <v>0</v>
      </c>
      <c r="BE50" s="270">
        <f t="shared" si="74"/>
        <v>0</v>
      </c>
      <c r="BF50" s="271">
        <f t="shared" si="91"/>
        <v>0</v>
      </c>
      <c r="BG50" s="271">
        <f t="shared" si="91"/>
        <v>0</v>
      </c>
      <c r="BH50" s="271">
        <f t="shared" si="91"/>
        <v>1</v>
      </c>
      <c r="BI50" s="271">
        <f t="shared" si="91"/>
        <v>2</v>
      </c>
      <c r="BJ50" s="271">
        <f t="shared" si="91"/>
        <v>3</v>
      </c>
      <c r="BK50" s="271">
        <f t="shared" si="91"/>
        <v>4</v>
      </c>
      <c r="BL50" s="272">
        <f t="shared" si="91"/>
        <v>5</v>
      </c>
      <c r="BM50" s="257">
        <f>IF($BC50=Lookup!$A$2,$BD50*ROUNDUP(BE50/10,0)+1,
IF($BC50=Lookup!$A$3,($BD50+1)^BD50,
IF($BC50=Lookup!$A$4,BE50*$BD50+1,"Error")))</f>
        <v>1</v>
      </c>
      <c r="BN50" s="230">
        <f>IF($BC50=Lookup!$A$2,$BD50*ROUNDUP(BF50/10,0)+1,
IF($BC50=Lookup!$A$3,($BD50+1)^BE50,
IF($BC50=Lookup!$A$4,BF50*$BD50+1,"Error")))</f>
        <v>1</v>
      </c>
      <c r="BO50" s="230">
        <f>IF($BC50=Lookup!$A$2,$BD50*ROUNDUP(BG50/10,0)+1,
IF($BC50=Lookup!$A$3,($BD50+1)^BF50,
IF($BC50=Lookup!$A$4,BG50*$BD50+1,"Error")))</f>
        <v>1</v>
      </c>
      <c r="BP50" s="230">
        <f>IF($BC50=Lookup!$A$2,$BD50*ROUNDUP(BH50/10,0)+1,
IF($BC50=Lookup!$A$3,($BD50+1)^BG50,
IF($BC50=Lookup!$A$4,BH50*$BD50+1,"Error")))</f>
        <v>1</v>
      </c>
      <c r="BQ50" s="230">
        <f>IF($BC50=Lookup!$A$2,$BD50*ROUNDUP(BI50/10,0)+1,
IF($BC50=Lookup!$A$3,($BD50+1)^BH50,
IF($BC50=Lookup!$A$4,BI50*$BD50+1,"Error")))</f>
        <v>1</v>
      </c>
      <c r="BR50" s="230">
        <f>IF($BC50=Lookup!$A$2,$BD50*ROUNDUP(BJ50/10,0)+1,
IF($BC50=Lookup!$A$3,($BD50+1)^BI50,
IF($BC50=Lookup!$A$4,BJ50*$BD50+1,"Error")))</f>
        <v>1</v>
      </c>
      <c r="BS50" s="230">
        <f>IF($BC50=Lookup!$A$2,$BD50*ROUNDUP(BK50/10,0)+1,
IF($BC50=Lookup!$A$3,($BD50+1)^BJ50,
IF($BC50=Lookup!$A$4,BK50*$BD50+1,"Error")))</f>
        <v>1</v>
      </c>
      <c r="BT50" s="251">
        <f>IF($BC50=Lookup!$A$2,$BD50*ROUNDUP(BL50/10,0)+1,
IF($BC50=Lookup!$A$3,($BD50+1)^BK50,
IF($BC50=Lookup!$A$4,BL50*$BD50+1,"Error")))</f>
        <v>1</v>
      </c>
      <c r="BU50" s="400"/>
      <c r="BV50" s="358"/>
      <c r="BW50" s="358"/>
      <c r="BX50" s="358"/>
      <c r="BY50" s="358"/>
      <c r="BZ50" s="358"/>
      <c r="CA50" s="358"/>
      <c r="CB50" s="401"/>
      <c r="CC50" s="384" t="s">
        <v>292</v>
      </c>
      <c r="CD50" s="385">
        <f>HLOOKUP($CC50,$AK$6:$AM$132,ROWS(CD$6:CD50),0)</f>
        <v>0</v>
      </c>
      <c r="CE50" s="237">
        <f t="shared" si="75"/>
        <v>0</v>
      </c>
      <c r="CF50" s="136">
        <f t="shared" si="76"/>
        <v>0</v>
      </c>
      <c r="CG50" s="136">
        <f t="shared" si="77"/>
        <v>0</v>
      </c>
      <c r="CH50" s="136">
        <f t="shared" si="78"/>
        <v>0</v>
      </c>
      <c r="CI50" s="136">
        <f t="shared" si="79"/>
        <v>0</v>
      </c>
      <c r="CJ50" s="136">
        <f t="shared" si="80"/>
        <v>0</v>
      </c>
      <c r="CK50" s="136">
        <f t="shared" si="81"/>
        <v>0</v>
      </c>
      <c r="CL50" s="289">
        <f t="shared" si="82"/>
        <v>0</v>
      </c>
      <c r="CM50" s="308" t="s">
        <v>293</v>
      </c>
      <c r="CN50" s="316">
        <v>0.05</v>
      </c>
      <c r="CO50" s="309"/>
      <c r="CP50" s="310" t="str">
        <f>IF($CO50&lt;&gt;"",$CO50,HLOOKUP($CM50,$AY$6:$BA$132,ROWS(CP$6:CP50),0))</f>
        <v/>
      </c>
      <c r="CQ50" s="785" t="str">
        <f t="shared" si="83"/>
        <v/>
      </c>
      <c r="CR50" s="785" t="str">
        <f t="shared" si="84"/>
        <v/>
      </c>
      <c r="CS50" s="117" t="str">
        <f t="shared" si="85"/>
        <v/>
      </c>
      <c r="CT50" s="117" t="str">
        <f t="shared" si="86"/>
        <v/>
      </c>
      <c r="CU50" s="117" t="str">
        <f t="shared" si="87"/>
        <v/>
      </c>
      <c r="CV50" s="117" t="str">
        <f t="shared" si="88"/>
        <v/>
      </c>
      <c r="CW50" s="117" t="str">
        <f t="shared" si="89"/>
        <v/>
      </c>
      <c r="CX50" s="118" t="str">
        <f t="shared" si="90"/>
        <v/>
      </c>
      <c r="CY50" s="393"/>
    </row>
    <row r="51" spans="1:103" x14ac:dyDescent="0.25">
      <c r="A51" s="63" t="s">
        <v>106</v>
      </c>
      <c r="B51" s="64" t="s">
        <v>103</v>
      </c>
      <c r="C51" s="65" t="s">
        <v>326</v>
      </c>
      <c r="D51" s="66">
        <v>228302.52077725116</v>
      </c>
      <c r="E51" s="67">
        <v>455575.57911534718</v>
      </c>
      <c r="F51" s="67">
        <v>464925.45821890794</v>
      </c>
      <c r="G51" s="67">
        <v>277659.38987939991</v>
      </c>
      <c r="H51" s="67">
        <v>404877.00381775666</v>
      </c>
      <c r="I51" s="67">
        <v>285003.02711558307</v>
      </c>
      <c r="J51" s="67">
        <v>305940.06008473178</v>
      </c>
      <c r="K51" s="67">
        <v>0</v>
      </c>
      <c r="L51" s="67">
        <v>0</v>
      </c>
      <c r="M51" s="653">
        <f>'2022-23 Input'!E51</f>
        <v>0</v>
      </c>
      <c r="N51" s="1064">
        <v>0</v>
      </c>
      <c r="O51" s="557">
        <f t="shared" si="48"/>
        <v>307171.06927054335</v>
      </c>
      <c r="P51" s="558">
        <f t="shared" si="49"/>
        <v>603833.96024461312</v>
      </c>
      <c r="Q51" s="558">
        <f t="shared" si="50"/>
        <v>609984.87345134537</v>
      </c>
      <c r="R51" s="558">
        <f t="shared" si="51"/>
        <v>357380.05145582469</v>
      </c>
      <c r="S51" s="558">
        <f t="shared" si="52"/>
        <v>510517.02509913238</v>
      </c>
      <c r="T51" s="558">
        <f t="shared" si="53"/>
        <v>353731.02102036489</v>
      </c>
      <c r="U51" s="558">
        <f t="shared" si="54"/>
        <v>381044.66554254311</v>
      </c>
      <c r="V51" s="558">
        <f t="shared" si="55"/>
        <v>0</v>
      </c>
      <c r="W51" s="674">
        <f t="shared" si="56"/>
        <v>0</v>
      </c>
      <c r="X51" s="674">
        <f t="shared" si="57"/>
        <v>0</v>
      </c>
      <c r="Y51" s="674">
        <f t="shared" si="58"/>
        <v>0</v>
      </c>
      <c r="Z51" s="68">
        <v>309</v>
      </c>
      <c r="AA51" s="69">
        <v>645</v>
      </c>
      <c r="AB51" s="69">
        <v>482</v>
      </c>
      <c r="AC51" s="69">
        <v>429</v>
      </c>
      <c r="AD51" s="69">
        <v>531</v>
      </c>
      <c r="AE51" s="69">
        <v>528.44998894200023</v>
      </c>
      <c r="AF51" s="69">
        <v>445.29969706600002</v>
      </c>
      <c r="AG51" s="69">
        <v>0</v>
      </c>
      <c r="AH51" s="69">
        <v>0</v>
      </c>
      <c r="AI51" s="1093">
        <f>'2022-23 Input'!L51</f>
        <v>0</v>
      </c>
      <c r="AJ51" s="664">
        <v>0</v>
      </c>
      <c r="AK51" s="121">
        <f t="shared" si="59"/>
        <v>194.74993720160006</v>
      </c>
      <c r="AL51" s="122">
        <f t="shared" si="60"/>
        <v>0</v>
      </c>
      <c r="AM51" s="123">
        <f t="shared" si="61"/>
        <v>0</v>
      </c>
      <c r="AN51" s="73">
        <f t="shared" si="62"/>
        <v>738.84310931149241</v>
      </c>
      <c r="AO51" s="74">
        <f t="shared" si="63"/>
        <v>706.31872731061583</v>
      </c>
      <c r="AP51" s="74">
        <f t="shared" si="64"/>
        <v>964.57563945831521</v>
      </c>
      <c r="AQ51" s="74">
        <f t="shared" si="65"/>
        <v>647.22468503356617</v>
      </c>
      <c r="AR51" s="74">
        <f t="shared" si="66"/>
        <v>762.48023317844945</v>
      </c>
      <c r="AS51" s="74">
        <f t="shared" si="67"/>
        <v>539.31882501536666</v>
      </c>
      <c r="AT51" s="74">
        <f t="shared" si="68"/>
        <v>687.04304561740344</v>
      </c>
      <c r="AU51" s="74" t="str">
        <f t="shared" si="69"/>
        <v/>
      </c>
      <c r="AV51" s="74" t="str">
        <f t="shared" si="70"/>
        <v/>
      </c>
      <c r="AW51" s="74" t="str">
        <f t="shared" si="70"/>
        <v/>
      </c>
      <c r="AX51" s="74" t="str">
        <f t="shared" si="70"/>
        <v/>
      </c>
      <c r="AY51" s="75">
        <f t="shared" si="71"/>
        <v>606.8737127125089</v>
      </c>
      <c r="AZ51" s="76" t="str">
        <f t="shared" si="72"/>
        <v/>
      </c>
      <c r="BA51" s="77" t="str">
        <f t="shared" si="73"/>
        <v/>
      </c>
      <c r="BB51" s="246" t="s">
        <v>422</v>
      </c>
      <c r="BC51" s="228" t="s">
        <v>433</v>
      </c>
      <c r="BD51" s="247">
        <v>0</v>
      </c>
      <c r="BE51" s="264">
        <f t="shared" si="74"/>
        <v>0</v>
      </c>
      <c r="BF51" s="265">
        <f t="shared" si="91"/>
        <v>0</v>
      </c>
      <c r="BG51" s="265">
        <f t="shared" si="91"/>
        <v>0</v>
      </c>
      <c r="BH51" s="265">
        <f t="shared" si="91"/>
        <v>1</v>
      </c>
      <c r="BI51" s="265">
        <f t="shared" si="91"/>
        <v>2</v>
      </c>
      <c r="BJ51" s="265">
        <f t="shared" si="91"/>
        <v>3</v>
      </c>
      <c r="BK51" s="265">
        <f t="shared" si="91"/>
        <v>4</v>
      </c>
      <c r="BL51" s="266">
        <f t="shared" si="91"/>
        <v>5</v>
      </c>
      <c r="BM51" s="255">
        <f>IF($BC51=Lookup!$A$2,$BD51*ROUNDUP(BE51/10,0)+1,
IF($BC51=Lookup!$A$3,($BD51+1)^BD51,
IF($BC51=Lookup!$A$4,BE51*$BD51+1,"Error")))</f>
        <v>1</v>
      </c>
      <c r="BN51" s="228">
        <f>IF($BC51=Lookup!$A$2,$BD51*ROUNDUP(BF51/10,0)+1,
IF($BC51=Lookup!$A$3,($BD51+1)^BE51,
IF($BC51=Lookup!$A$4,BF51*$BD51+1,"Error")))</f>
        <v>1</v>
      </c>
      <c r="BO51" s="228">
        <f>IF($BC51=Lookup!$A$2,$BD51*ROUNDUP(BG51/10,0)+1,
IF($BC51=Lookup!$A$3,($BD51+1)^BF51,
IF($BC51=Lookup!$A$4,BG51*$BD51+1,"Error")))</f>
        <v>1</v>
      </c>
      <c r="BP51" s="228">
        <f>IF($BC51=Lookup!$A$2,$BD51*ROUNDUP(BH51/10,0)+1,
IF($BC51=Lookup!$A$3,($BD51+1)^BG51,
IF($BC51=Lookup!$A$4,BH51*$BD51+1,"Error")))</f>
        <v>1</v>
      </c>
      <c r="BQ51" s="228">
        <f>IF($BC51=Lookup!$A$2,$BD51*ROUNDUP(BI51/10,0)+1,
IF($BC51=Lookup!$A$3,($BD51+1)^BH51,
IF($BC51=Lookup!$A$4,BI51*$BD51+1,"Error")))</f>
        <v>1</v>
      </c>
      <c r="BR51" s="228">
        <f>IF($BC51=Lookup!$A$2,$BD51*ROUNDUP(BJ51/10,0)+1,
IF($BC51=Lookup!$A$3,($BD51+1)^BI51,
IF($BC51=Lookup!$A$4,BJ51*$BD51+1,"Error")))</f>
        <v>1</v>
      </c>
      <c r="BS51" s="228">
        <f>IF($BC51=Lookup!$A$2,$BD51*ROUNDUP(BK51/10,0)+1,
IF($BC51=Lookup!$A$3,($BD51+1)^BJ51,
IF($BC51=Lookup!$A$4,BK51*$BD51+1,"Error")))</f>
        <v>1</v>
      </c>
      <c r="BT51" s="247">
        <f>IF($BC51=Lookup!$A$2,$BD51*ROUNDUP(BL51/10,0)+1,
IF($BC51=Lookup!$A$3,($BD51+1)^BK51,
IF($BC51=Lookup!$A$4,BL51*$BD51+1,"Error")))</f>
        <v>1</v>
      </c>
      <c r="BU51" s="318"/>
      <c r="BV51" s="319"/>
      <c r="BW51" s="319"/>
      <c r="BX51" s="319"/>
      <c r="BY51" s="319"/>
      <c r="BZ51" s="319"/>
      <c r="CA51" s="319"/>
      <c r="CB51" s="276"/>
      <c r="CC51" s="380" t="s">
        <v>292</v>
      </c>
      <c r="CD51" s="381">
        <f>HLOOKUP($CC51,$AK$6:$AM$132,ROWS(CD$6:CD51),0)</f>
        <v>194.74993720160006</v>
      </c>
      <c r="CE51" s="233">
        <f t="shared" si="75"/>
        <v>194.74993720160006</v>
      </c>
      <c r="CF51" s="78">
        <f t="shared" si="76"/>
        <v>194.74993720160006</v>
      </c>
      <c r="CG51" s="78">
        <f t="shared" si="77"/>
        <v>194.74993720160006</v>
      </c>
      <c r="CH51" s="78">
        <f t="shared" si="78"/>
        <v>194.74993720160006</v>
      </c>
      <c r="CI51" s="78">
        <f t="shared" si="79"/>
        <v>194.74993720160006</v>
      </c>
      <c r="CJ51" s="78">
        <f t="shared" si="80"/>
        <v>194.74993720160006</v>
      </c>
      <c r="CK51" s="78">
        <f t="shared" si="81"/>
        <v>194.74993720160006</v>
      </c>
      <c r="CL51" s="285">
        <f t="shared" si="82"/>
        <v>194.74993720160006</v>
      </c>
      <c r="CM51" s="302" t="s">
        <v>293</v>
      </c>
      <c r="CN51" s="314">
        <v>0.05</v>
      </c>
      <c r="CO51" s="303"/>
      <c r="CP51" s="304" t="str">
        <f>IF($CO51&lt;&gt;"",$CO51,HLOOKUP($CM51,$AY$6:$BA$132,ROWS(CP$6:CP51),0))</f>
        <v/>
      </c>
      <c r="CQ51" s="783" t="str">
        <f t="shared" si="83"/>
        <v/>
      </c>
      <c r="CR51" s="783" t="str">
        <f t="shared" si="84"/>
        <v/>
      </c>
      <c r="CS51" s="79" t="str">
        <f t="shared" si="85"/>
        <v/>
      </c>
      <c r="CT51" s="79" t="str">
        <f t="shared" si="86"/>
        <v/>
      </c>
      <c r="CU51" s="79" t="str">
        <f t="shared" si="87"/>
        <v/>
      </c>
      <c r="CV51" s="79" t="str">
        <f t="shared" si="88"/>
        <v/>
      </c>
      <c r="CW51" s="79" t="str">
        <f t="shared" si="89"/>
        <v/>
      </c>
      <c r="CX51" s="80" t="str">
        <f t="shared" si="90"/>
        <v/>
      </c>
      <c r="CY51" s="391"/>
    </row>
    <row r="52" spans="1:103" x14ac:dyDescent="0.25">
      <c r="A52" s="81" t="s">
        <v>106</v>
      </c>
      <c r="B52" s="82" t="s">
        <v>107</v>
      </c>
      <c r="C52" s="83" t="s">
        <v>328</v>
      </c>
      <c r="D52" s="84">
        <v>182654.62324686514</v>
      </c>
      <c r="E52" s="85">
        <v>158293.61867199512</v>
      </c>
      <c r="F52" s="85">
        <v>187956.19344614854</v>
      </c>
      <c r="G52" s="85">
        <v>289769.13100838353</v>
      </c>
      <c r="H52" s="85">
        <v>332417.91959959129</v>
      </c>
      <c r="I52" s="85">
        <v>0</v>
      </c>
      <c r="J52" s="85">
        <v>0</v>
      </c>
      <c r="K52" s="85">
        <v>11790.729485974</v>
      </c>
      <c r="L52" s="85">
        <v>0</v>
      </c>
      <c r="M52" s="654">
        <f>'2022-23 Input'!E52</f>
        <v>0</v>
      </c>
      <c r="N52" s="1065">
        <v>0</v>
      </c>
      <c r="O52" s="560">
        <f t="shared" si="48"/>
        <v>245753.81707979119</v>
      </c>
      <c r="P52" s="561">
        <f t="shared" si="49"/>
        <v>209807.25707415669</v>
      </c>
      <c r="Q52" s="561">
        <f t="shared" si="50"/>
        <v>246599.60612366142</v>
      </c>
      <c r="R52" s="561">
        <f t="shared" si="51"/>
        <v>372966.70209880359</v>
      </c>
      <c r="S52" s="561">
        <f t="shared" si="52"/>
        <v>419152.00370336068</v>
      </c>
      <c r="T52" s="561">
        <f t="shared" si="53"/>
        <v>0</v>
      </c>
      <c r="U52" s="561">
        <f t="shared" si="54"/>
        <v>0</v>
      </c>
      <c r="V52" s="561">
        <f t="shared" si="55"/>
        <v>14141.315044748837</v>
      </c>
      <c r="W52" s="675">
        <f t="shared" si="56"/>
        <v>0</v>
      </c>
      <c r="X52" s="675">
        <f t="shared" si="57"/>
        <v>0</v>
      </c>
      <c r="Y52" s="675">
        <f t="shared" si="58"/>
        <v>0</v>
      </c>
      <c r="Z52" s="86">
        <v>116</v>
      </c>
      <c r="AA52" s="87">
        <v>114</v>
      </c>
      <c r="AB52" s="87">
        <v>104</v>
      </c>
      <c r="AC52" s="87">
        <v>203</v>
      </c>
      <c r="AD52" s="87">
        <v>241</v>
      </c>
      <c r="AE52" s="87">
        <v>0</v>
      </c>
      <c r="AF52" s="87">
        <v>0</v>
      </c>
      <c r="AG52" s="87">
        <v>1.984848596</v>
      </c>
      <c r="AH52" s="87">
        <v>0</v>
      </c>
      <c r="AI52" s="1094">
        <f>'2022-23 Input'!L52</f>
        <v>0</v>
      </c>
      <c r="AJ52" s="665">
        <v>0</v>
      </c>
      <c r="AK52" s="127">
        <f t="shared" si="59"/>
        <v>0.39696971920000002</v>
      </c>
      <c r="AL52" s="128">
        <f t="shared" si="60"/>
        <v>0.66161619866666666</v>
      </c>
      <c r="AM52" s="129">
        <f t="shared" si="61"/>
        <v>0</v>
      </c>
      <c r="AN52" s="91">
        <f t="shared" si="62"/>
        <v>1574.608821093665</v>
      </c>
      <c r="AO52" s="92">
        <f t="shared" si="63"/>
        <v>1388.5405146666239</v>
      </c>
      <c r="AP52" s="92">
        <f t="shared" si="64"/>
        <v>1807.2710908283514</v>
      </c>
      <c r="AQ52" s="92">
        <f t="shared" si="65"/>
        <v>1427.434142898441</v>
      </c>
      <c r="AR52" s="92">
        <f t="shared" si="66"/>
        <v>1379.327467218221</v>
      </c>
      <c r="AS52" s="92" t="str">
        <f t="shared" si="67"/>
        <v/>
      </c>
      <c r="AT52" s="92" t="str">
        <f t="shared" si="68"/>
        <v/>
      </c>
      <c r="AU52" s="92">
        <f t="shared" si="69"/>
        <v>5940.3671946240474</v>
      </c>
      <c r="AV52" s="92" t="str">
        <f t="shared" si="70"/>
        <v/>
      </c>
      <c r="AW52" s="92" t="str">
        <f t="shared" si="70"/>
        <v/>
      </c>
      <c r="AX52" s="92" t="str">
        <f t="shared" si="70"/>
        <v/>
      </c>
      <c r="AY52" s="93">
        <f t="shared" si="71"/>
        <v>5940.3671946240474</v>
      </c>
      <c r="AZ52" s="94">
        <f t="shared" si="72"/>
        <v>5940.3671946240474</v>
      </c>
      <c r="BA52" s="95" t="str">
        <f t="shared" si="73"/>
        <v/>
      </c>
      <c r="BB52" s="248" t="s">
        <v>422</v>
      </c>
      <c r="BC52" s="229" t="s">
        <v>433</v>
      </c>
      <c r="BD52" s="249">
        <v>0</v>
      </c>
      <c r="BE52" s="267">
        <f t="shared" si="74"/>
        <v>0</v>
      </c>
      <c r="BF52" s="268">
        <f t="shared" si="91"/>
        <v>0</v>
      </c>
      <c r="BG52" s="268">
        <f t="shared" si="91"/>
        <v>0</v>
      </c>
      <c r="BH52" s="268">
        <f t="shared" si="91"/>
        <v>1</v>
      </c>
      <c r="BI52" s="268">
        <f t="shared" si="91"/>
        <v>2</v>
      </c>
      <c r="BJ52" s="268">
        <f t="shared" si="91"/>
        <v>3</v>
      </c>
      <c r="BK52" s="268">
        <f t="shared" si="91"/>
        <v>4</v>
      </c>
      <c r="BL52" s="269">
        <f t="shared" si="91"/>
        <v>5</v>
      </c>
      <c r="BM52" s="256">
        <f>IF($BC52=Lookup!$A$2,$BD52*ROUNDUP(BE52/10,0)+1,
IF($BC52=Lookup!$A$3,($BD52+1)^BD52,
IF($BC52=Lookup!$A$4,BE52*$BD52+1,"Error")))</f>
        <v>1</v>
      </c>
      <c r="BN52" s="229">
        <f>IF($BC52=Lookup!$A$2,$BD52*ROUNDUP(BF52/10,0)+1,
IF($BC52=Lookup!$A$3,($BD52+1)^BE52,
IF($BC52=Lookup!$A$4,BF52*$BD52+1,"Error")))</f>
        <v>1</v>
      </c>
      <c r="BO52" s="229">
        <f>IF($BC52=Lookup!$A$2,$BD52*ROUNDUP(BG52/10,0)+1,
IF($BC52=Lookup!$A$3,($BD52+1)^BF52,
IF($BC52=Lookup!$A$4,BG52*$BD52+1,"Error")))</f>
        <v>1</v>
      </c>
      <c r="BP52" s="229">
        <f>IF($BC52=Lookup!$A$2,$BD52*ROUNDUP(BH52/10,0)+1,
IF($BC52=Lookup!$A$3,($BD52+1)^BG52,
IF($BC52=Lookup!$A$4,BH52*$BD52+1,"Error")))</f>
        <v>1</v>
      </c>
      <c r="BQ52" s="229">
        <f>IF($BC52=Lookup!$A$2,$BD52*ROUNDUP(BI52/10,0)+1,
IF($BC52=Lookup!$A$3,($BD52+1)^BH52,
IF($BC52=Lookup!$A$4,BI52*$BD52+1,"Error")))</f>
        <v>1</v>
      </c>
      <c r="BR52" s="229">
        <f>IF($BC52=Lookup!$A$2,$BD52*ROUNDUP(BJ52/10,0)+1,
IF($BC52=Lookup!$A$3,($BD52+1)^BI52,
IF($BC52=Lookup!$A$4,BJ52*$BD52+1,"Error")))</f>
        <v>1</v>
      </c>
      <c r="BS52" s="229">
        <f>IF($BC52=Lookup!$A$2,$BD52*ROUNDUP(BK52/10,0)+1,
IF($BC52=Lookup!$A$3,($BD52+1)^BJ52,
IF($BC52=Lookup!$A$4,BK52*$BD52+1,"Error")))</f>
        <v>1</v>
      </c>
      <c r="BT52" s="249">
        <f>IF($BC52=Lookup!$A$2,$BD52*ROUNDUP(BL52/10,0)+1,
IF($BC52=Lookup!$A$3,($BD52+1)^BK52,
IF($BC52=Lookup!$A$4,BL52*$BD52+1,"Error")))</f>
        <v>1</v>
      </c>
      <c r="BU52" s="320"/>
      <c r="BV52" s="321"/>
      <c r="BW52" s="321"/>
      <c r="BX52" s="321"/>
      <c r="BY52" s="321"/>
      <c r="BZ52" s="321"/>
      <c r="CA52" s="321"/>
      <c r="CB52" s="277"/>
      <c r="CC52" s="382" t="s">
        <v>292</v>
      </c>
      <c r="CD52" s="383">
        <f>HLOOKUP($CC52,$AK$6:$AM$132,ROWS(CD$6:CD52),0)</f>
        <v>0.39696971920000002</v>
      </c>
      <c r="CE52" s="234">
        <f t="shared" si="75"/>
        <v>0.39696971920000002</v>
      </c>
      <c r="CF52" s="96">
        <f t="shared" si="76"/>
        <v>0.39696971920000002</v>
      </c>
      <c r="CG52" s="96">
        <f t="shared" si="77"/>
        <v>0.39696971920000002</v>
      </c>
      <c r="CH52" s="96">
        <f t="shared" si="78"/>
        <v>0.39696971920000002</v>
      </c>
      <c r="CI52" s="96">
        <f t="shared" si="79"/>
        <v>0.39696971920000002</v>
      </c>
      <c r="CJ52" s="96">
        <f t="shared" si="80"/>
        <v>0.39696971920000002</v>
      </c>
      <c r="CK52" s="96">
        <f t="shared" si="81"/>
        <v>0.39696971920000002</v>
      </c>
      <c r="CL52" s="286">
        <f t="shared" si="82"/>
        <v>0.39696971920000002</v>
      </c>
      <c r="CM52" s="305" t="s">
        <v>293</v>
      </c>
      <c r="CN52" s="315">
        <v>0.05</v>
      </c>
      <c r="CO52" s="306"/>
      <c r="CP52" s="307">
        <f>IF($CO52&lt;&gt;"",$CO52,HLOOKUP($CM52,$AY$6:$BA$132,ROWS(CP$6:CP52),0))</f>
        <v>5940.3671946240474</v>
      </c>
      <c r="CQ52" s="784">
        <f t="shared" si="83"/>
        <v>2358.1458971948</v>
      </c>
      <c r="CR52" s="784">
        <f t="shared" si="84"/>
        <v>2358.1458971948</v>
      </c>
      <c r="CS52" s="97">
        <f t="shared" si="85"/>
        <v>2358.1458971948</v>
      </c>
      <c r="CT52" s="97">
        <f t="shared" si="86"/>
        <v>2358.1458971948</v>
      </c>
      <c r="CU52" s="97">
        <f t="shared" si="87"/>
        <v>2358.1458971948</v>
      </c>
      <c r="CV52" s="97">
        <f t="shared" si="88"/>
        <v>2358.1458971948</v>
      </c>
      <c r="CW52" s="97">
        <f t="shared" si="89"/>
        <v>2358.1458971948</v>
      </c>
      <c r="CX52" s="98">
        <f t="shared" si="90"/>
        <v>2358.1458971948</v>
      </c>
      <c r="CY52" s="392"/>
    </row>
    <row r="53" spans="1:103" x14ac:dyDescent="0.25">
      <c r="A53" s="81" t="s">
        <v>106</v>
      </c>
      <c r="B53" s="82" t="s">
        <v>109</v>
      </c>
      <c r="C53" s="83" t="s">
        <v>329</v>
      </c>
      <c r="D53" s="84">
        <v>0</v>
      </c>
      <c r="E53" s="85">
        <v>0</v>
      </c>
      <c r="F53" s="85">
        <v>0</v>
      </c>
      <c r="G53" s="85">
        <v>44797.41356388299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  <c r="M53" s="654">
        <f>'2022-23 Input'!E53</f>
        <v>0</v>
      </c>
      <c r="N53" s="1065">
        <v>0</v>
      </c>
      <c r="O53" s="560">
        <f t="shared" si="48"/>
        <v>0</v>
      </c>
      <c r="P53" s="561">
        <f t="shared" si="49"/>
        <v>0</v>
      </c>
      <c r="Q53" s="561">
        <f t="shared" si="50"/>
        <v>0</v>
      </c>
      <c r="R53" s="561">
        <f t="shared" si="51"/>
        <v>57659.501346243334</v>
      </c>
      <c r="S53" s="561">
        <f t="shared" si="52"/>
        <v>0</v>
      </c>
      <c r="T53" s="561">
        <f t="shared" si="53"/>
        <v>0</v>
      </c>
      <c r="U53" s="561">
        <f t="shared" si="54"/>
        <v>0</v>
      </c>
      <c r="V53" s="561">
        <f t="shared" si="55"/>
        <v>0</v>
      </c>
      <c r="W53" s="675">
        <f t="shared" si="56"/>
        <v>0</v>
      </c>
      <c r="X53" s="675">
        <f t="shared" si="57"/>
        <v>0</v>
      </c>
      <c r="Y53" s="675">
        <f t="shared" si="58"/>
        <v>0</v>
      </c>
      <c r="Z53" s="86">
        <v>0</v>
      </c>
      <c r="AA53" s="87">
        <v>0</v>
      </c>
      <c r="AB53" s="87">
        <v>0</v>
      </c>
      <c r="AC53" s="87">
        <v>15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1094">
        <f>'2022-23 Input'!L53</f>
        <v>0</v>
      </c>
      <c r="AJ53" s="665">
        <v>0</v>
      </c>
      <c r="AK53" s="127">
        <f t="shared" si="59"/>
        <v>0</v>
      </c>
      <c r="AL53" s="128">
        <f t="shared" si="60"/>
        <v>0</v>
      </c>
      <c r="AM53" s="129">
        <f t="shared" si="61"/>
        <v>0</v>
      </c>
      <c r="AN53" s="91" t="str">
        <f t="shared" si="62"/>
        <v/>
      </c>
      <c r="AO53" s="92" t="str">
        <f t="shared" si="63"/>
        <v/>
      </c>
      <c r="AP53" s="92" t="str">
        <f t="shared" si="64"/>
        <v/>
      </c>
      <c r="AQ53" s="92">
        <f t="shared" si="65"/>
        <v>2986.4942375921992</v>
      </c>
      <c r="AR53" s="92" t="str">
        <f t="shared" si="66"/>
        <v/>
      </c>
      <c r="AS53" s="92" t="str">
        <f t="shared" si="67"/>
        <v/>
      </c>
      <c r="AT53" s="92" t="str">
        <f t="shared" si="68"/>
        <v/>
      </c>
      <c r="AU53" s="92" t="str">
        <f t="shared" si="69"/>
        <v/>
      </c>
      <c r="AV53" s="92" t="str">
        <f t="shared" si="70"/>
        <v/>
      </c>
      <c r="AW53" s="92" t="str">
        <f t="shared" si="70"/>
        <v/>
      </c>
      <c r="AX53" s="92" t="str">
        <f t="shared" si="70"/>
        <v/>
      </c>
      <c r="AY53" s="93" t="str">
        <f t="shared" si="71"/>
        <v/>
      </c>
      <c r="AZ53" s="94" t="str">
        <f t="shared" si="72"/>
        <v/>
      </c>
      <c r="BA53" s="95" t="str">
        <f t="shared" si="73"/>
        <v/>
      </c>
      <c r="BB53" s="248" t="s">
        <v>422</v>
      </c>
      <c r="BC53" s="229" t="s">
        <v>433</v>
      </c>
      <c r="BD53" s="249">
        <v>0</v>
      </c>
      <c r="BE53" s="267">
        <f t="shared" si="74"/>
        <v>0</v>
      </c>
      <c r="BF53" s="268">
        <f t="shared" si="91"/>
        <v>0</v>
      </c>
      <c r="BG53" s="268">
        <f t="shared" si="91"/>
        <v>0</v>
      </c>
      <c r="BH53" s="268">
        <f t="shared" si="91"/>
        <v>1</v>
      </c>
      <c r="BI53" s="268">
        <f t="shared" si="91"/>
        <v>2</v>
      </c>
      <c r="BJ53" s="268">
        <f t="shared" si="91"/>
        <v>3</v>
      </c>
      <c r="BK53" s="268">
        <f t="shared" si="91"/>
        <v>4</v>
      </c>
      <c r="BL53" s="269">
        <f t="shared" si="91"/>
        <v>5</v>
      </c>
      <c r="BM53" s="256">
        <f>IF($BC53=Lookup!$A$2,$BD53*ROUNDUP(BE53/10,0)+1,
IF($BC53=Lookup!$A$3,($BD53+1)^BD53,
IF($BC53=Lookup!$A$4,BE53*$BD53+1,"Error")))</f>
        <v>1</v>
      </c>
      <c r="BN53" s="229">
        <f>IF($BC53=Lookup!$A$2,$BD53*ROUNDUP(BF53/10,0)+1,
IF($BC53=Lookup!$A$3,($BD53+1)^BE53,
IF($BC53=Lookup!$A$4,BF53*$BD53+1,"Error")))</f>
        <v>1</v>
      </c>
      <c r="BO53" s="229">
        <f>IF($BC53=Lookup!$A$2,$BD53*ROUNDUP(BG53/10,0)+1,
IF($BC53=Lookup!$A$3,($BD53+1)^BF53,
IF($BC53=Lookup!$A$4,BG53*$BD53+1,"Error")))</f>
        <v>1</v>
      </c>
      <c r="BP53" s="229">
        <f>IF($BC53=Lookup!$A$2,$BD53*ROUNDUP(BH53/10,0)+1,
IF($BC53=Lookup!$A$3,($BD53+1)^BG53,
IF($BC53=Lookup!$A$4,BH53*$BD53+1,"Error")))</f>
        <v>1</v>
      </c>
      <c r="BQ53" s="229">
        <f>IF($BC53=Lookup!$A$2,$BD53*ROUNDUP(BI53/10,0)+1,
IF($BC53=Lookup!$A$3,($BD53+1)^BH53,
IF($BC53=Lookup!$A$4,BI53*$BD53+1,"Error")))</f>
        <v>1</v>
      </c>
      <c r="BR53" s="229">
        <f>IF($BC53=Lookup!$A$2,$BD53*ROUNDUP(BJ53/10,0)+1,
IF($BC53=Lookup!$A$3,($BD53+1)^BI53,
IF($BC53=Lookup!$A$4,BJ53*$BD53+1,"Error")))</f>
        <v>1</v>
      </c>
      <c r="BS53" s="229">
        <f>IF($BC53=Lookup!$A$2,$BD53*ROUNDUP(BK53/10,0)+1,
IF($BC53=Lookup!$A$3,($BD53+1)^BJ53,
IF($BC53=Lookup!$A$4,BK53*$BD53+1,"Error")))</f>
        <v>1</v>
      </c>
      <c r="BT53" s="249">
        <f>IF($BC53=Lookup!$A$2,$BD53*ROUNDUP(BL53/10,0)+1,
IF($BC53=Lookup!$A$3,($BD53+1)^BK53,
IF($BC53=Lookup!$A$4,BL53*$BD53+1,"Error")))</f>
        <v>1</v>
      </c>
      <c r="BU53" s="320"/>
      <c r="BV53" s="321"/>
      <c r="BW53" s="321"/>
      <c r="BX53" s="321"/>
      <c r="BY53" s="321"/>
      <c r="BZ53" s="321"/>
      <c r="CA53" s="321"/>
      <c r="CB53" s="277"/>
      <c r="CC53" s="382" t="s">
        <v>292</v>
      </c>
      <c r="CD53" s="383">
        <f>HLOOKUP($CC53,$AK$6:$AM$132,ROWS(CD$6:CD53),0)</f>
        <v>0</v>
      </c>
      <c r="CE53" s="234">
        <f t="shared" si="75"/>
        <v>0</v>
      </c>
      <c r="CF53" s="96">
        <f t="shared" si="76"/>
        <v>0</v>
      </c>
      <c r="CG53" s="96">
        <f t="shared" si="77"/>
        <v>0</v>
      </c>
      <c r="CH53" s="96">
        <f t="shared" si="78"/>
        <v>0</v>
      </c>
      <c r="CI53" s="96">
        <f t="shared" si="79"/>
        <v>0</v>
      </c>
      <c r="CJ53" s="96">
        <f t="shared" si="80"/>
        <v>0</v>
      </c>
      <c r="CK53" s="96">
        <f t="shared" si="81"/>
        <v>0</v>
      </c>
      <c r="CL53" s="286">
        <f t="shared" si="82"/>
        <v>0</v>
      </c>
      <c r="CM53" s="305" t="s">
        <v>293</v>
      </c>
      <c r="CN53" s="315">
        <v>0.05</v>
      </c>
      <c r="CO53" s="306"/>
      <c r="CP53" s="307" t="str">
        <f>IF($CO53&lt;&gt;"",$CO53,HLOOKUP($CM53,$AY$6:$BA$132,ROWS(CP$6:CP53),0))</f>
        <v/>
      </c>
      <c r="CQ53" s="784" t="str">
        <f t="shared" si="83"/>
        <v/>
      </c>
      <c r="CR53" s="784" t="str">
        <f t="shared" si="84"/>
        <v/>
      </c>
      <c r="CS53" s="97" t="str">
        <f t="shared" si="85"/>
        <v/>
      </c>
      <c r="CT53" s="97" t="str">
        <f t="shared" si="86"/>
        <v/>
      </c>
      <c r="CU53" s="97" t="str">
        <f t="shared" si="87"/>
        <v/>
      </c>
      <c r="CV53" s="97" t="str">
        <f t="shared" si="88"/>
        <v/>
      </c>
      <c r="CW53" s="97" t="str">
        <f t="shared" si="89"/>
        <v/>
      </c>
      <c r="CX53" s="98" t="str">
        <f t="shared" si="90"/>
        <v/>
      </c>
      <c r="CY53" s="392"/>
    </row>
    <row r="54" spans="1:103" x14ac:dyDescent="0.25">
      <c r="A54" s="81" t="s">
        <v>106</v>
      </c>
      <c r="B54" s="82" t="s">
        <v>111</v>
      </c>
      <c r="C54" s="83" t="s">
        <v>331</v>
      </c>
      <c r="D54" s="84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654">
        <f>'2022-23 Input'!E54</f>
        <v>0</v>
      </c>
      <c r="N54" s="1065">
        <v>0</v>
      </c>
      <c r="O54" s="560">
        <f t="shared" si="48"/>
        <v>0</v>
      </c>
      <c r="P54" s="561">
        <f t="shared" si="49"/>
        <v>0</v>
      </c>
      <c r="Q54" s="561">
        <f t="shared" si="50"/>
        <v>0</v>
      </c>
      <c r="R54" s="561">
        <f t="shared" si="51"/>
        <v>0</v>
      </c>
      <c r="S54" s="561">
        <f t="shared" si="52"/>
        <v>0</v>
      </c>
      <c r="T54" s="561">
        <f t="shared" si="53"/>
        <v>0</v>
      </c>
      <c r="U54" s="561">
        <f t="shared" si="54"/>
        <v>0</v>
      </c>
      <c r="V54" s="561">
        <f t="shared" si="55"/>
        <v>0</v>
      </c>
      <c r="W54" s="675">
        <f t="shared" si="56"/>
        <v>0</v>
      </c>
      <c r="X54" s="675">
        <f t="shared" si="57"/>
        <v>0</v>
      </c>
      <c r="Y54" s="675">
        <f t="shared" si="58"/>
        <v>0</v>
      </c>
      <c r="Z54" s="86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1094">
        <f>'2022-23 Input'!L54</f>
        <v>0</v>
      </c>
      <c r="AJ54" s="665">
        <v>0</v>
      </c>
      <c r="AK54" s="127">
        <f t="shared" si="59"/>
        <v>0</v>
      </c>
      <c r="AL54" s="128">
        <f t="shared" si="60"/>
        <v>0</v>
      </c>
      <c r="AM54" s="129">
        <f t="shared" si="61"/>
        <v>0</v>
      </c>
      <c r="AN54" s="91" t="str">
        <f t="shared" si="62"/>
        <v/>
      </c>
      <c r="AO54" s="92" t="str">
        <f t="shared" si="63"/>
        <v/>
      </c>
      <c r="AP54" s="92" t="str">
        <f t="shared" si="64"/>
        <v/>
      </c>
      <c r="AQ54" s="92" t="str">
        <f t="shared" si="65"/>
        <v/>
      </c>
      <c r="AR54" s="92" t="str">
        <f t="shared" si="66"/>
        <v/>
      </c>
      <c r="AS54" s="92" t="str">
        <f t="shared" si="67"/>
        <v/>
      </c>
      <c r="AT54" s="92" t="str">
        <f t="shared" si="68"/>
        <v/>
      </c>
      <c r="AU54" s="92" t="str">
        <f t="shared" si="69"/>
        <v/>
      </c>
      <c r="AV54" s="92" t="str">
        <f t="shared" si="70"/>
        <v/>
      </c>
      <c r="AW54" s="92" t="str">
        <f t="shared" si="70"/>
        <v/>
      </c>
      <c r="AX54" s="92" t="str">
        <f t="shared" si="70"/>
        <v/>
      </c>
      <c r="AY54" s="93" t="str">
        <f t="shared" si="71"/>
        <v/>
      </c>
      <c r="AZ54" s="94" t="str">
        <f t="shared" si="72"/>
        <v/>
      </c>
      <c r="BA54" s="95" t="str">
        <f t="shared" si="73"/>
        <v/>
      </c>
      <c r="BB54" s="248" t="s">
        <v>422</v>
      </c>
      <c r="BC54" s="229" t="s">
        <v>433</v>
      </c>
      <c r="BD54" s="249">
        <v>0</v>
      </c>
      <c r="BE54" s="267">
        <f t="shared" si="74"/>
        <v>0</v>
      </c>
      <c r="BF54" s="268">
        <f t="shared" si="91"/>
        <v>0</v>
      </c>
      <c r="BG54" s="268">
        <f t="shared" si="91"/>
        <v>0</v>
      </c>
      <c r="BH54" s="268">
        <f t="shared" si="91"/>
        <v>1</v>
      </c>
      <c r="BI54" s="268">
        <f t="shared" si="91"/>
        <v>2</v>
      </c>
      <c r="BJ54" s="268">
        <f t="shared" si="91"/>
        <v>3</v>
      </c>
      <c r="BK54" s="268">
        <f t="shared" si="91"/>
        <v>4</v>
      </c>
      <c r="BL54" s="269">
        <f t="shared" si="91"/>
        <v>5</v>
      </c>
      <c r="BM54" s="256">
        <f>IF($BC54=Lookup!$A$2,$BD54*ROUNDUP(BE54/10,0)+1,
IF($BC54=Lookup!$A$3,($BD54+1)^BD54,
IF($BC54=Lookup!$A$4,BE54*$BD54+1,"Error")))</f>
        <v>1</v>
      </c>
      <c r="BN54" s="229">
        <f>IF($BC54=Lookup!$A$2,$BD54*ROUNDUP(BF54/10,0)+1,
IF($BC54=Lookup!$A$3,($BD54+1)^BE54,
IF($BC54=Lookup!$A$4,BF54*$BD54+1,"Error")))</f>
        <v>1</v>
      </c>
      <c r="BO54" s="229">
        <f>IF($BC54=Lookup!$A$2,$BD54*ROUNDUP(BG54/10,0)+1,
IF($BC54=Lookup!$A$3,($BD54+1)^BF54,
IF($BC54=Lookup!$A$4,BG54*$BD54+1,"Error")))</f>
        <v>1</v>
      </c>
      <c r="BP54" s="229">
        <f>IF($BC54=Lookup!$A$2,$BD54*ROUNDUP(BH54/10,0)+1,
IF($BC54=Lookup!$A$3,($BD54+1)^BG54,
IF($BC54=Lookup!$A$4,BH54*$BD54+1,"Error")))</f>
        <v>1</v>
      </c>
      <c r="BQ54" s="229">
        <f>IF($BC54=Lookup!$A$2,$BD54*ROUNDUP(BI54/10,0)+1,
IF($BC54=Lookup!$A$3,($BD54+1)^BH54,
IF($BC54=Lookup!$A$4,BI54*$BD54+1,"Error")))</f>
        <v>1</v>
      </c>
      <c r="BR54" s="229">
        <f>IF($BC54=Lookup!$A$2,$BD54*ROUNDUP(BJ54/10,0)+1,
IF($BC54=Lookup!$A$3,($BD54+1)^BI54,
IF($BC54=Lookup!$A$4,BJ54*$BD54+1,"Error")))</f>
        <v>1</v>
      </c>
      <c r="BS54" s="229">
        <f>IF($BC54=Lookup!$A$2,$BD54*ROUNDUP(BK54/10,0)+1,
IF($BC54=Lookup!$A$3,($BD54+1)^BJ54,
IF($BC54=Lookup!$A$4,BK54*$BD54+1,"Error")))</f>
        <v>1</v>
      </c>
      <c r="BT54" s="249">
        <f>IF($BC54=Lookup!$A$2,$BD54*ROUNDUP(BL54/10,0)+1,
IF($BC54=Lookup!$A$3,($BD54+1)^BK54,
IF($BC54=Lookup!$A$4,BL54*$BD54+1,"Error")))</f>
        <v>1</v>
      </c>
      <c r="BU54" s="320"/>
      <c r="BV54" s="321"/>
      <c r="BW54" s="321"/>
      <c r="BX54" s="321"/>
      <c r="BY54" s="321"/>
      <c r="BZ54" s="321"/>
      <c r="CA54" s="321"/>
      <c r="CB54" s="277"/>
      <c r="CC54" s="382" t="s">
        <v>292</v>
      </c>
      <c r="CD54" s="383">
        <f>HLOOKUP($CC54,$AK$6:$AM$132,ROWS(CD$6:CD54),0)</f>
        <v>0</v>
      </c>
      <c r="CE54" s="234">
        <f t="shared" si="75"/>
        <v>0</v>
      </c>
      <c r="CF54" s="96">
        <f t="shared" si="76"/>
        <v>0</v>
      </c>
      <c r="CG54" s="96">
        <f t="shared" si="77"/>
        <v>0</v>
      </c>
      <c r="CH54" s="96">
        <f t="shared" si="78"/>
        <v>0</v>
      </c>
      <c r="CI54" s="96">
        <f t="shared" si="79"/>
        <v>0</v>
      </c>
      <c r="CJ54" s="96">
        <f t="shared" si="80"/>
        <v>0</v>
      </c>
      <c r="CK54" s="96">
        <f t="shared" si="81"/>
        <v>0</v>
      </c>
      <c r="CL54" s="286">
        <f t="shared" si="82"/>
        <v>0</v>
      </c>
      <c r="CM54" s="305" t="s">
        <v>293</v>
      </c>
      <c r="CN54" s="315">
        <v>0.05</v>
      </c>
      <c r="CO54" s="306"/>
      <c r="CP54" s="307" t="str">
        <f>IF($CO54&lt;&gt;"",$CO54,HLOOKUP($CM54,$AY$6:$BA$132,ROWS(CP$6:CP54),0))</f>
        <v/>
      </c>
      <c r="CQ54" s="784" t="str">
        <f t="shared" si="83"/>
        <v/>
      </c>
      <c r="CR54" s="784" t="str">
        <f t="shared" si="84"/>
        <v/>
      </c>
      <c r="CS54" s="97" t="str">
        <f t="shared" si="85"/>
        <v/>
      </c>
      <c r="CT54" s="97" t="str">
        <f t="shared" si="86"/>
        <v/>
      </c>
      <c r="CU54" s="97" t="str">
        <f t="shared" si="87"/>
        <v/>
      </c>
      <c r="CV54" s="97" t="str">
        <f t="shared" si="88"/>
        <v/>
      </c>
      <c r="CW54" s="97" t="str">
        <f t="shared" si="89"/>
        <v/>
      </c>
      <c r="CX54" s="98" t="str">
        <f t="shared" si="90"/>
        <v/>
      </c>
      <c r="CY54" s="392"/>
    </row>
    <row r="55" spans="1:103" x14ac:dyDescent="0.25">
      <c r="A55" s="81" t="s">
        <v>106</v>
      </c>
      <c r="B55" s="82" t="s">
        <v>113</v>
      </c>
      <c r="C55" s="83" t="s">
        <v>333</v>
      </c>
      <c r="D55" s="84">
        <v>0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654">
        <f>'2022-23 Input'!E55</f>
        <v>0</v>
      </c>
      <c r="N55" s="1065">
        <v>0</v>
      </c>
      <c r="O55" s="560">
        <f t="shared" si="48"/>
        <v>0</v>
      </c>
      <c r="P55" s="561">
        <f t="shared" si="49"/>
        <v>0</v>
      </c>
      <c r="Q55" s="561">
        <f t="shared" si="50"/>
        <v>0</v>
      </c>
      <c r="R55" s="561">
        <f t="shared" si="51"/>
        <v>0</v>
      </c>
      <c r="S55" s="561">
        <f t="shared" si="52"/>
        <v>0</v>
      </c>
      <c r="T55" s="561">
        <f t="shared" si="53"/>
        <v>0</v>
      </c>
      <c r="U55" s="561">
        <f t="shared" si="54"/>
        <v>0</v>
      </c>
      <c r="V55" s="561">
        <f t="shared" si="55"/>
        <v>0</v>
      </c>
      <c r="W55" s="675">
        <f t="shared" si="56"/>
        <v>0</v>
      </c>
      <c r="X55" s="675">
        <f t="shared" si="57"/>
        <v>0</v>
      </c>
      <c r="Y55" s="675">
        <f t="shared" si="58"/>
        <v>0</v>
      </c>
      <c r="Z55" s="86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1094">
        <f>'2022-23 Input'!L55</f>
        <v>0</v>
      </c>
      <c r="AJ55" s="665">
        <v>0</v>
      </c>
      <c r="AK55" s="127">
        <f t="shared" si="59"/>
        <v>0</v>
      </c>
      <c r="AL55" s="128">
        <f t="shared" si="60"/>
        <v>0</v>
      </c>
      <c r="AM55" s="129">
        <f t="shared" si="61"/>
        <v>0</v>
      </c>
      <c r="AN55" s="91" t="str">
        <f t="shared" si="62"/>
        <v/>
      </c>
      <c r="AO55" s="92" t="str">
        <f t="shared" si="63"/>
        <v/>
      </c>
      <c r="AP55" s="92" t="str">
        <f t="shared" si="64"/>
        <v/>
      </c>
      <c r="AQ55" s="92" t="str">
        <f t="shared" si="65"/>
        <v/>
      </c>
      <c r="AR55" s="92" t="str">
        <f t="shared" si="66"/>
        <v/>
      </c>
      <c r="AS55" s="92" t="str">
        <f t="shared" si="67"/>
        <v/>
      </c>
      <c r="AT55" s="92" t="str">
        <f t="shared" si="68"/>
        <v/>
      </c>
      <c r="AU55" s="92" t="str">
        <f t="shared" si="69"/>
        <v/>
      </c>
      <c r="AV55" s="92" t="str">
        <f t="shared" ref="AV55:AX70" si="92">IFERROR(L55/AH55,"")</f>
        <v/>
      </c>
      <c r="AW55" s="92" t="str">
        <f t="shared" si="92"/>
        <v/>
      </c>
      <c r="AX55" s="92" t="str">
        <f t="shared" si="92"/>
        <v/>
      </c>
      <c r="AY55" s="93" t="str">
        <f t="shared" si="71"/>
        <v/>
      </c>
      <c r="AZ55" s="94" t="str">
        <f t="shared" si="72"/>
        <v/>
      </c>
      <c r="BA55" s="95" t="str">
        <f t="shared" si="73"/>
        <v/>
      </c>
      <c r="BB55" s="248" t="s">
        <v>422</v>
      </c>
      <c r="BC55" s="229" t="s">
        <v>433</v>
      </c>
      <c r="BD55" s="249">
        <v>0</v>
      </c>
      <c r="BE55" s="267">
        <f t="shared" si="74"/>
        <v>0</v>
      </c>
      <c r="BF55" s="268">
        <f t="shared" si="91"/>
        <v>0</v>
      </c>
      <c r="BG55" s="268">
        <f t="shared" si="91"/>
        <v>0</v>
      </c>
      <c r="BH55" s="268">
        <f t="shared" si="91"/>
        <v>1</v>
      </c>
      <c r="BI55" s="268">
        <f t="shared" si="91"/>
        <v>2</v>
      </c>
      <c r="BJ55" s="268">
        <f t="shared" si="91"/>
        <v>3</v>
      </c>
      <c r="BK55" s="268">
        <f t="shared" si="91"/>
        <v>4</v>
      </c>
      <c r="BL55" s="269">
        <f t="shared" si="91"/>
        <v>5</v>
      </c>
      <c r="BM55" s="256">
        <f>IF($BC55=Lookup!$A$2,$BD55*ROUNDUP(BE55/10,0)+1,
IF($BC55=Lookup!$A$3,($BD55+1)^BD55,
IF($BC55=Lookup!$A$4,BE55*$BD55+1,"Error")))</f>
        <v>1</v>
      </c>
      <c r="BN55" s="229">
        <f>IF($BC55=Lookup!$A$2,$BD55*ROUNDUP(BF55/10,0)+1,
IF($BC55=Lookup!$A$3,($BD55+1)^BE55,
IF($BC55=Lookup!$A$4,BF55*$BD55+1,"Error")))</f>
        <v>1</v>
      </c>
      <c r="BO55" s="229">
        <f>IF($BC55=Lookup!$A$2,$BD55*ROUNDUP(BG55/10,0)+1,
IF($BC55=Lookup!$A$3,($BD55+1)^BF55,
IF($BC55=Lookup!$A$4,BG55*$BD55+1,"Error")))</f>
        <v>1</v>
      </c>
      <c r="BP55" s="229">
        <f>IF($BC55=Lookup!$A$2,$BD55*ROUNDUP(BH55/10,0)+1,
IF($BC55=Lookup!$A$3,($BD55+1)^BG55,
IF($BC55=Lookup!$A$4,BH55*$BD55+1,"Error")))</f>
        <v>1</v>
      </c>
      <c r="BQ55" s="229">
        <f>IF($BC55=Lookup!$A$2,$BD55*ROUNDUP(BI55/10,0)+1,
IF($BC55=Lookup!$A$3,($BD55+1)^BH55,
IF($BC55=Lookup!$A$4,BI55*$BD55+1,"Error")))</f>
        <v>1</v>
      </c>
      <c r="BR55" s="229">
        <f>IF($BC55=Lookup!$A$2,$BD55*ROUNDUP(BJ55/10,0)+1,
IF($BC55=Lookup!$A$3,($BD55+1)^BI55,
IF($BC55=Lookup!$A$4,BJ55*$BD55+1,"Error")))</f>
        <v>1</v>
      </c>
      <c r="BS55" s="229">
        <f>IF($BC55=Lookup!$A$2,$BD55*ROUNDUP(BK55/10,0)+1,
IF($BC55=Lookup!$A$3,($BD55+1)^BJ55,
IF($BC55=Lookup!$A$4,BK55*$BD55+1,"Error")))</f>
        <v>1</v>
      </c>
      <c r="BT55" s="249">
        <f>IF($BC55=Lookup!$A$2,$BD55*ROUNDUP(BL55/10,0)+1,
IF($BC55=Lookup!$A$3,($BD55+1)^BK55,
IF($BC55=Lookup!$A$4,BL55*$BD55+1,"Error")))</f>
        <v>1</v>
      </c>
      <c r="BU55" s="320"/>
      <c r="BV55" s="321"/>
      <c r="BW55" s="321"/>
      <c r="BX55" s="321"/>
      <c r="BY55" s="321"/>
      <c r="BZ55" s="321"/>
      <c r="CA55" s="321"/>
      <c r="CB55" s="277"/>
      <c r="CC55" s="382" t="s">
        <v>292</v>
      </c>
      <c r="CD55" s="383">
        <f>HLOOKUP($CC55,$AK$6:$AM$132,ROWS(CD$6:CD55),0)</f>
        <v>0</v>
      </c>
      <c r="CE55" s="234">
        <f t="shared" si="75"/>
        <v>0</v>
      </c>
      <c r="CF55" s="96">
        <f t="shared" si="76"/>
        <v>0</v>
      </c>
      <c r="CG55" s="96">
        <f t="shared" si="77"/>
        <v>0</v>
      </c>
      <c r="CH55" s="96">
        <f t="shared" si="78"/>
        <v>0</v>
      </c>
      <c r="CI55" s="96">
        <f t="shared" si="79"/>
        <v>0</v>
      </c>
      <c r="CJ55" s="96">
        <f t="shared" si="80"/>
        <v>0</v>
      </c>
      <c r="CK55" s="96">
        <f t="shared" si="81"/>
        <v>0</v>
      </c>
      <c r="CL55" s="286">
        <f t="shared" si="82"/>
        <v>0</v>
      </c>
      <c r="CM55" s="305" t="s">
        <v>293</v>
      </c>
      <c r="CN55" s="315">
        <v>0.05</v>
      </c>
      <c r="CO55" s="306"/>
      <c r="CP55" s="307" t="str">
        <f>IF($CO55&lt;&gt;"",$CO55,HLOOKUP($CM55,$AY$6:$BA$132,ROWS(CP$6:CP55),0))</f>
        <v/>
      </c>
      <c r="CQ55" s="784" t="str">
        <f t="shared" si="83"/>
        <v/>
      </c>
      <c r="CR55" s="784" t="str">
        <f t="shared" si="84"/>
        <v/>
      </c>
      <c r="CS55" s="97" t="str">
        <f t="shared" si="85"/>
        <v/>
      </c>
      <c r="CT55" s="97" t="str">
        <f t="shared" si="86"/>
        <v/>
      </c>
      <c r="CU55" s="97" t="str">
        <f t="shared" si="87"/>
        <v/>
      </c>
      <c r="CV55" s="97" t="str">
        <f t="shared" si="88"/>
        <v/>
      </c>
      <c r="CW55" s="97" t="str">
        <f t="shared" si="89"/>
        <v/>
      </c>
      <c r="CX55" s="98" t="str">
        <f t="shared" si="90"/>
        <v/>
      </c>
      <c r="CY55" s="392"/>
    </row>
    <row r="56" spans="1:103" x14ac:dyDescent="0.25">
      <c r="A56" s="81" t="s">
        <v>106</v>
      </c>
      <c r="B56" s="82" t="s">
        <v>115</v>
      </c>
      <c r="C56" s="83" t="s">
        <v>335</v>
      </c>
      <c r="D56" s="84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654">
        <f>'2022-23 Input'!E56</f>
        <v>0</v>
      </c>
      <c r="N56" s="1065">
        <v>0</v>
      </c>
      <c r="O56" s="560">
        <f t="shared" si="48"/>
        <v>0</v>
      </c>
      <c r="P56" s="561">
        <f t="shared" si="49"/>
        <v>0</v>
      </c>
      <c r="Q56" s="561">
        <f t="shared" si="50"/>
        <v>0</v>
      </c>
      <c r="R56" s="561">
        <f t="shared" si="51"/>
        <v>0</v>
      </c>
      <c r="S56" s="561">
        <f t="shared" si="52"/>
        <v>0</v>
      </c>
      <c r="T56" s="561">
        <f t="shared" si="53"/>
        <v>0</v>
      </c>
      <c r="U56" s="561">
        <f t="shared" si="54"/>
        <v>0</v>
      </c>
      <c r="V56" s="561">
        <f t="shared" si="55"/>
        <v>0</v>
      </c>
      <c r="W56" s="675">
        <f t="shared" si="56"/>
        <v>0</v>
      </c>
      <c r="X56" s="675">
        <f t="shared" si="57"/>
        <v>0</v>
      </c>
      <c r="Y56" s="675">
        <f t="shared" si="58"/>
        <v>0</v>
      </c>
      <c r="Z56" s="86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1094">
        <f>'2022-23 Input'!L56</f>
        <v>0</v>
      </c>
      <c r="AJ56" s="665">
        <v>0</v>
      </c>
      <c r="AK56" s="127">
        <f t="shared" si="59"/>
        <v>0</v>
      </c>
      <c r="AL56" s="128">
        <f t="shared" si="60"/>
        <v>0</v>
      </c>
      <c r="AM56" s="129">
        <f t="shared" si="61"/>
        <v>0</v>
      </c>
      <c r="AN56" s="91" t="str">
        <f t="shared" si="62"/>
        <v/>
      </c>
      <c r="AO56" s="92" t="str">
        <f t="shared" si="63"/>
        <v/>
      </c>
      <c r="AP56" s="92" t="str">
        <f t="shared" si="64"/>
        <v/>
      </c>
      <c r="AQ56" s="92" t="str">
        <f t="shared" si="65"/>
        <v/>
      </c>
      <c r="AR56" s="92" t="str">
        <f t="shared" si="66"/>
        <v/>
      </c>
      <c r="AS56" s="92" t="str">
        <f t="shared" si="67"/>
        <v/>
      </c>
      <c r="AT56" s="92" t="str">
        <f t="shared" si="68"/>
        <v/>
      </c>
      <c r="AU56" s="92" t="str">
        <f t="shared" si="69"/>
        <v/>
      </c>
      <c r="AV56" s="92" t="str">
        <f t="shared" si="92"/>
        <v/>
      </c>
      <c r="AW56" s="92" t="str">
        <f t="shared" si="92"/>
        <v/>
      </c>
      <c r="AX56" s="92" t="str">
        <f t="shared" si="92"/>
        <v/>
      </c>
      <c r="AY56" s="93" t="str">
        <f t="shared" si="71"/>
        <v/>
      </c>
      <c r="AZ56" s="94" t="str">
        <f t="shared" si="72"/>
        <v/>
      </c>
      <c r="BA56" s="95" t="str">
        <f t="shared" si="73"/>
        <v/>
      </c>
      <c r="BB56" s="248" t="s">
        <v>422</v>
      </c>
      <c r="BC56" s="229" t="s">
        <v>433</v>
      </c>
      <c r="BD56" s="249">
        <v>0</v>
      </c>
      <c r="BE56" s="267">
        <f t="shared" si="74"/>
        <v>0</v>
      </c>
      <c r="BF56" s="268">
        <f t="shared" si="91"/>
        <v>0</v>
      </c>
      <c r="BG56" s="268">
        <f t="shared" si="91"/>
        <v>0</v>
      </c>
      <c r="BH56" s="268">
        <f t="shared" si="91"/>
        <v>1</v>
      </c>
      <c r="BI56" s="268">
        <f t="shared" si="91"/>
        <v>2</v>
      </c>
      <c r="BJ56" s="268">
        <f t="shared" si="91"/>
        <v>3</v>
      </c>
      <c r="BK56" s="268">
        <f t="shared" si="91"/>
        <v>4</v>
      </c>
      <c r="BL56" s="269">
        <f t="shared" si="91"/>
        <v>5</v>
      </c>
      <c r="BM56" s="256">
        <f>IF($BC56=Lookup!$A$2,$BD56*ROUNDUP(BE56/10,0)+1,
IF($BC56=Lookup!$A$3,($BD56+1)^BD56,
IF($BC56=Lookup!$A$4,BE56*$BD56+1,"Error")))</f>
        <v>1</v>
      </c>
      <c r="BN56" s="229">
        <f>IF($BC56=Lookup!$A$2,$BD56*ROUNDUP(BF56/10,0)+1,
IF($BC56=Lookup!$A$3,($BD56+1)^BE56,
IF($BC56=Lookup!$A$4,BF56*$BD56+1,"Error")))</f>
        <v>1</v>
      </c>
      <c r="BO56" s="229">
        <f>IF($BC56=Lookup!$A$2,$BD56*ROUNDUP(BG56/10,0)+1,
IF($BC56=Lookup!$A$3,($BD56+1)^BF56,
IF($BC56=Lookup!$A$4,BG56*$BD56+1,"Error")))</f>
        <v>1</v>
      </c>
      <c r="BP56" s="229">
        <f>IF($BC56=Lookup!$A$2,$BD56*ROUNDUP(BH56/10,0)+1,
IF($BC56=Lookup!$A$3,($BD56+1)^BG56,
IF($BC56=Lookup!$A$4,BH56*$BD56+1,"Error")))</f>
        <v>1</v>
      </c>
      <c r="BQ56" s="229">
        <f>IF($BC56=Lookup!$A$2,$BD56*ROUNDUP(BI56/10,0)+1,
IF($BC56=Lookup!$A$3,($BD56+1)^BH56,
IF($BC56=Lookup!$A$4,BI56*$BD56+1,"Error")))</f>
        <v>1</v>
      </c>
      <c r="BR56" s="229">
        <f>IF($BC56=Lookup!$A$2,$BD56*ROUNDUP(BJ56/10,0)+1,
IF($BC56=Lookup!$A$3,($BD56+1)^BI56,
IF($BC56=Lookup!$A$4,BJ56*$BD56+1,"Error")))</f>
        <v>1</v>
      </c>
      <c r="BS56" s="229">
        <f>IF($BC56=Lookup!$A$2,$BD56*ROUNDUP(BK56/10,0)+1,
IF($BC56=Lookup!$A$3,($BD56+1)^BJ56,
IF($BC56=Lookup!$A$4,BK56*$BD56+1,"Error")))</f>
        <v>1</v>
      </c>
      <c r="BT56" s="249">
        <f>IF($BC56=Lookup!$A$2,$BD56*ROUNDUP(BL56/10,0)+1,
IF($BC56=Lookup!$A$3,($BD56+1)^BK56,
IF($BC56=Lookup!$A$4,BL56*$BD56+1,"Error")))</f>
        <v>1</v>
      </c>
      <c r="BU56" s="320"/>
      <c r="BV56" s="321"/>
      <c r="BW56" s="321"/>
      <c r="BX56" s="321"/>
      <c r="BY56" s="321"/>
      <c r="BZ56" s="321"/>
      <c r="CA56" s="321"/>
      <c r="CB56" s="277"/>
      <c r="CC56" s="382" t="s">
        <v>292</v>
      </c>
      <c r="CD56" s="383">
        <f>HLOOKUP($CC56,$AK$6:$AM$132,ROWS(CD$6:CD56),0)</f>
        <v>0</v>
      </c>
      <c r="CE56" s="239">
        <f t="shared" si="75"/>
        <v>0</v>
      </c>
      <c r="CF56" s="140">
        <f t="shared" si="76"/>
        <v>0</v>
      </c>
      <c r="CG56" s="140">
        <f t="shared" si="77"/>
        <v>0</v>
      </c>
      <c r="CH56" s="140">
        <f t="shared" si="78"/>
        <v>0</v>
      </c>
      <c r="CI56" s="140">
        <f t="shared" si="79"/>
        <v>0</v>
      </c>
      <c r="CJ56" s="140">
        <f t="shared" si="80"/>
        <v>0</v>
      </c>
      <c r="CK56" s="140">
        <f t="shared" si="81"/>
        <v>0</v>
      </c>
      <c r="CL56" s="291">
        <f t="shared" si="82"/>
        <v>0</v>
      </c>
      <c r="CM56" s="305" t="s">
        <v>293</v>
      </c>
      <c r="CN56" s="315">
        <v>0.05</v>
      </c>
      <c r="CO56" s="306"/>
      <c r="CP56" s="307" t="str">
        <f>IF($CO56&lt;&gt;"",$CO56,HLOOKUP($CM56,$AY$6:$BA$132,ROWS(CP$6:CP56),0))</f>
        <v/>
      </c>
      <c r="CQ56" s="784" t="str">
        <f t="shared" si="83"/>
        <v/>
      </c>
      <c r="CR56" s="784" t="str">
        <f t="shared" si="84"/>
        <v/>
      </c>
      <c r="CS56" s="97" t="str">
        <f t="shared" si="85"/>
        <v/>
      </c>
      <c r="CT56" s="97" t="str">
        <f t="shared" si="86"/>
        <v/>
      </c>
      <c r="CU56" s="97" t="str">
        <f t="shared" si="87"/>
        <v/>
      </c>
      <c r="CV56" s="97" t="str">
        <f t="shared" si="88"/>
        <v/>
      </c>
      <c r="CW56" s="97" t="str">
        <f t="shared" si="89"/>
        <v/>
      </c>
      <c r="CX56" s="98" t="str">
        <f t="shared" si="90"/>
        <v/>
      </c>
      <c r="CY56" s="392"/>
    </row>
    <row r="57" spans="1:103" x14ac:dyDescent="0.25">
      <c r="A57" s="81" t="s">
        <v>106</v>
      </c>
      <c r="B57" s="82" t="s">
        <v>117</v>
      </c>
      <c r="C57" s="83" t="s">
        <v>337</v>
      </c>
      <c r="D57" s="84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654">
        <f>'2022-23 Input'!E57</f>
        <v>0</v>
      </c>
      <c r="N57" s="1065">
        <v>0</v>
      </c>
      <c r="O57" s="560">
        <f t="shared" si="48"/>
        <v>0</v>
      </c>
      <c r="P57" s="561">
        <f t="shared" si="49"/>
        <v>0</v>
      </c>
      <c r="Q57" s="561">
        <f t="shared" si="50"/>
        <v>0</v>
      </c>
      <c r="R57" s="561">
        <f t="shared" si="51"/>
        <v>0</v>
      </c>
      <c r="S57" s="561">
        <f t="shared" si="52"/>
        <v>0</v>
      </c>
      <c r="T57" s="561">
        <f t="shared" si="53"/>
        <v>0</v>
      </c>
      <c r="U57" s="561">
        <f t="shared" si="54"/>
        <v>0</v>
      </c>
      <c r="V57" s="561">
        <f t="shared" si="55"/>
        <v>0</v>
      </c>
      <c r="W57" s="675">
        <f t="shared" si="56"/>
        <v>0</v>
      </c>
      <c r="X57" s="675">
        <f t="shared" si="57"/>
        <v>0</v>
      </c>
      <c r="Y57" s="675">
        <f t="shared" si="58"/>
        <v>0</v>
      </c>
      <c r="Z57" s="86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1094">
        <f>'2022-23 Input'!L57</f>
        <v>0</v>
      </c>
      <c r="AJ57" s="665">
        <v>0</v>
      </c>
      <c r="AK57" s="127">
        <f t="shared" si="59"/>
        <v>0</v>
      </c>
      <c r="AL57" s="128">
        <f t="shared" si="60"/>
        <v>0</v>
      </c>
      <c r="AM57" s="129">
        <f t="shared" si="61"/>
        <v>0</v>
      </c>
      <c r="AN57" s="91" t="str">
        <f t="shared" si="62"/>
        <v/>
      </c>
      <c r="AO57" s="92" t="str">
        <f t="shared" si="63"/>
        <v/>
      </c>
      <c r="AP57" s="92" t="str">
        <f t="shared" si="64"/>
        <v/>
      </c>
      <c r="AQ57" s="92" t="str">
        <f t="shared" si="65"/>
        <v/>
      </c>
      <c r="AR57" s="92" t="str">
        <f t="shared" si="66"/>
        <v/>
      </c>
      <c r="AS57" s="92" t="str">
        <f t="shared" si="67"/>
        <v/>
      </c>
      <c r="AT57" s="92" t="str">
        <f t="shared" si="68"/>
        <v/>
      </c>
      <c r="AU57" s="92" t="str">
        <f t="shared" si="69"/>
        <v/>
      </c>
      <c r="AV57" s="92" t="str">
        <f t="shared" si="92"/>
        <v/>
      </c>
      <c r="AW57" s="92" t="str">
        <f t="shared" si="92"/>
        <v/>
      </c>
      <c r="AX57" s="92" t="str">
        <f t="shared" si="92"/>
        <v/>
      </c>
      <c r="AY57" s="93" t="str">
        <f t="shared" si="71"/>
        <v/>
      </c>
      <c r="AZ57" s="94" t="str">
        <f t="shared" si="72"/>
        <v/>
      </c>
      <c r="BA57" s="95" t="str">
        <f t="shared" si="73"/>
        <v/>
      </c>
      <c r="BB57" s="248" t="s">
        <v>422</v>
      </c>
      <c r="BC57" s="229" t="s">
        <v>433</v>
      </c>
      <c r="BD57" s="249">
        <v>0</v>
      </c>
      <c r="BE57" s="267">
        <f t="shared" si="74"/>
        <v>0</v>
      </c>
      <c r="BF57" s="268">
        <f t="shared" ref="BF57:BL66" si="93">IF(BF$6=$BB57,1,
IF(BE57&lt;&gt;0,BE57+1,0
))</f>
        <v>0</v>
      </c>
      <c r="BG57" s="268">
        <f t="shared" si="93"/>
        <v>0</v>
      </c>
      <c r="BH57" s="268">
        <f t="shared" si="93"/>
        <v>1</v>
      </c>
      <c r="BI57" s="268">
        <f t="shared" si="93"/>
        <v>2</v>
      </c>
      <c r="BJ57" s="268">
        <f t="shared" si="93"/>
        <v>3</v>
      </c>
      <c r="BK57" s="268">
        <f t="shared" si="93"/>
        <v>4</v>
      </c>
      <c r="BL57" s="269">
        <f t="shared" si="93"/>
        <v>5</v>
      </c>
      <c r="BM57" s="256">
        <f>IF($BC57=Lookup!$A$2,$BD57*ROUNDUP(BE57/10,0)+1,
IF($BC57=Lookup!$A$3,($BD57+1)^BD57,
IF($BC57=Lookup!$A$4,BE57*$BD57+1,"Error")))</f>
        <v>1</v>
      </c>
      <c r="BN57" s="229">
        <f>IF($BC57=Lookup!$A$2,$BD57*ROUNDUP(BF57/10,0)+1,
IF($BC57=Lookup!$A$3,($BD57+1)^BE57,
IF($BC57=Lookup!$A$4,BF57*$BD57+1,"Error")))</f>
        <v>1</v>
      </c>
      <c r="BO57" s="229">
        <f>IF($BC57=Lookup!$A$2,$BD57*ROUNDUP(BG57/10,0)+1,
IF($BC57=Lookup!$A$3,($BD57+1)^BF57,
IF($BC57=Lookup!$A$4,BG57*$BD57+1,"Error")))</f>
        <v>1</v>
      </c>
      <c r="BP57" s="229">
        <f>IF($BC57=Lookup!$A$2,$BD57*ROUNDUP(BH57/10,0)+1,
IF($BC57=Lookup!$A$3,($BD57+1)^BG57,
IF($BC57=Lookup!$A$4,BH57*$BD57+1,"Error")))</f>
        <v>1</v>
      </c>
      <c r="BQ57" s="229">
        <f>IF($BC57=Lookup!$A$2,$BD57*ROUNDUP(BI57/10,0)+1,
IF($BC57=Lookup!$A$3,($BD57+1)^BH57,
IF($BC57=Lookup!$A$4,BI57*$BD57+1,"Error")))</f>
        <v>1</v>
      </c>
      <c r="BR57" s="229">
        <f>IF($BC57=Lookup!$A$2,$BD57*ROUNDUP(BJ57/10,0)+1,
IF($BC57=Lookup!$A$3,($BD57+1)^BI57,
IF($BC57=Lookup!$A$4,BJ57*$BD57+1,"Error")))</f>
        <v>1</v>
      </c>
      <c r="BS57" s="229">
        <f>IF($BC57=Lookup!$A$2,$BD57*ROUNDUP(BK57/10,0)+1,
IF($BC57=Lookup!$A$3,($BD57+1)^BJ57,
IF($BC57=Lookup!$A$4,BK57*$BD57+1,"Error")))</f>
        <v>1</v>
      </c>
      <c r="BT57" s="249">
        <f>IF($BC57=Lookup!$A$2,$BD57*ROUNDUP(BL57/10,0)+1,
IF($BC57=Lookup!$A$3,($BD57+1)^BK57,
IF($BC57=Lookup!$A$4,BL57*$BD57+1,"Error")))</f>
        <v>1</v>
      </c>
      <c r="BU57" s="320"/>
      <c r="BV57" s="321"/>
      <c r="BW57" s="321"/>
      <c r="BX57" s="321"/>
      <c r="BY57" s="321"/>
      <c r="BZ57" s="321"/>
      <c r="CA57" s="321"/>
      <c r="CB57" s="277"/>
      <c r="CC57" s="382" t="s">
        <v>292</v>
      </c>
      <c r="CD57" s="383">
        <f>HLOOKUP($CC57,$AK$6:$AM$132,ROWS(CD$6:CD57),0)</f>
        <v>0</v>
      </c>
      <c r="CE57" s="239">
        <f t="shared" si="75"/>
        <v>0</v>
      </c>
      <c r="CF57" s="140">
        <f t="shared" si="76"/>
        <v>0</v>
      </c>
      <c r="CG57" s="140">
        <f t="shared" si="77"/>
        <v>0</v>
      </c>
      <c r="CH57" s="140">
        <f t="shared" si="78"/>
        <v>0</v>
      </c>
      <c r="CI57" s="140">
        <f t="shared" si="79"/>
        <v>0</v>
      </c>
      <c r="CJ57" s="140">
        <f t="shared" si="80"/>
        <v>0</v>
      </c>
      <c r="CK57" s="140">
        <f t="shared" si="81"/>
        <v>0</v>
      </c>
      <c r="CL57" s="291">
        <f t="shared" si="82"/>
        <v>0</v>
      </c>
      <c r="CM57" s="305" t="s">
        <v>293</v>
      </c>
      <c r="CN57" s="315">
        <v>0.05</v>
      </c>
      <c r="CO57" s="306"/>
      <c r="CP57" s="307" t="str">
        <f>IF($CO57&lt;&gt;"",$CO57,HLOOKUP($CM57,$AY$6:$BA$132,ROWS(CP$6:CP57),0))</f>
        <v/>
      </c>
      <c r="CQ57" s="784" t="str">
        <f t="shared" si="83"/>
        <v/>
      </c>
      <c r="CR57" s="784" t="str">
        <f t="shared" si="84"/>
        <v/>
      </c>
      <c r="CS57" s="97" t="str">
        <f t="shared" si="85"/>
        <v/>
      </c>
      <c r="CT57" s="97" t="str">
        <f t="shared" si="86"/>
        <v/>
      </c>
      <c r="CU57" s="97" t="str">
        <f t="shared" si="87"/>
        <v/>
      </c>
      <c r="CV57" s="97" t="str">
        <f t="shared" si="88"/>
        <v/>
      </c>
      <c r="CW57" s="97" t="str">
        <f t="shared" si="89"/>
        <v/>
      </c>
      <c r="CX57" s="98" t="str">
        <f t="shared" si="90"/>
        <v/>
      </c>
      <c r="CY57" s="392"/>
    </row>
    <row r="58" spans="1:103" x14ac:dyDescent="0.25">
      <c r="A58" s="81" t="s">
        <v>106</v>
      </c>
      <c r="B58" s="82" t="s">
        <v>119</v>
      </c>
      <c r="C58" s="83" t="s">
        <v>339</v>
      </c>
      <c r="D58" s="84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654">
        <f>'2022-23 Input'!E58</f>
        <v>0</v>
      </c>
      <c r="N58" s="1065">
        <v>0</v>
      </c>
      <c r="O58" s="560">
        <f t="shared" si="48"/>
        <v>0</v>
      </c>
      <c r="P58" s="561">
        <f t="shared" si="49"/>
        <v>0</v>
      </c>
      <c r="Q58" s="561">
        <f t="shared" si="50"/>
        <v>0</v>
      </c>
      <c r="R58" s="561">
        <f t="shared" si="51"/>
        <v>0</v>
      </c>
      <c r="S58" s="561">
        <f t="shared" si="52"/>
        <v>0</v>
      </c>
      <c r="T58" s="561">
        <f t="shared" si="53"/>
        <v>0</v>
      </c>
      <c r="U58" s="561">
        <f t="shared" si="54"/>
        <v>0</v>
      </c>
      <c r="V58" s="561">
        <f t="shared" si="55"/>
        <v>0</v>
      </c>
      <c r="W58" s="675">
        <f t="shared" si="56"/>
        <v>0</v>
      </c>
      <c r="X58" s="675">
        <f t="shared" si="57"/>
        <v>0</v>
      </c>
      <c r="Y58" s="675">
        <f t="shared" si="58"/>
        <v>0</v>
      </c>
      <c r="Z58" s="86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1094">
        <f>'2022-23 Input'!L58</f>
        <v>0</v>
      </c>
      <c r="AJ58" s="665">
        <v>0</v>
      </c>
      <c r="AK58" s="127">
        <f t="shared" si="59"/>
        <v>0</v>
      </c>
      <c r="AL58" s="128">
        <f t="shared" si="60"/>
        <v>0</v>
      </c>
      <c r="AM58" s="129">
        <f t="shared" si="61"/>
        <v>0</v>
      </c>
      <c r="AN58" s="91" t="str">
        <f t="shared" si="62"/>
        <v/>
      </c>
      <c r="AO58" s="92" t="str">
        <f t="shared" si="63"/>
        <v/>
      </c>
      <c r="AP58" s="92" t="str">
        <f t="shared" si="64"/>
        <v/>
      </c>
      <c r="AQ58" s="92" t="str">
        <f t="shared" si="65"/>
        <v/>
      </c>
      <c r="AR58" s="92" t="str">
        <f t="shared" si="66"/>
        <v/>
      </c>
      <c r="AS58" s="92" t="str">
        <f t="shared" si="67"/>
        <v/>
      </c>
      <c r="AT58" s="92" t="str">
        <f t="shared" si="68"/>
        <v/>
      </c>
      <c r="AU58" s="92" t="str">
        <f t="shared" si="69"/>
        <v/>
      </c>
      <c r="AV58" s="92" t="str">
        <f t="shared" si="92"/>
        <v/>
      </c>
      <c r="AW58" s="92" t="str">
        <f t="shared" si="92"/>
        <v/>
      </c>
      <c r="AX58" s="92" t="str">
        <f t="shared" si="92"/>
        <v/>
      </c>
      <c r="AY58" s="93" t="str">
        <f t="shared" si="71"/>
        <v/>
      </c>
      <c r="AZ58" s="94" t="str">
        <f t="shared" si="72"/>
        <v/>
      </c>
      <c r="BA58" s="95" t="str">
        <f t="shared" si="73"/>
        <v/>
      </c>
      <c r="BB58" s="248" t="s">
        <v>422</v>
      </c>
      <c r="BC58" s="229" t="s">
        <v>433</v>
      </c>
      <c r="BD58" s="249">
        <v>0</v>
      </c>
      <c r="BE58" s="267">
        <f t="shared" si="74"/>
        <v>0</v>
      </c>
      <c r="BF58" s="268">
        <f t="shared" si="93"/>
        <v>0</v>
      </c>
      <c r="BG58" s="268">
        <f t="shared" si="93"/>
        <v>0</v>
      </c>
      <c r="BH58" s="268">
        <f t="shared" si="93"/>
        <v>1</v>
      </c>
      <c r="BI58" s="268">
        <f t="shared" si="93"/>
        <v>2</v>
      </c>
      <c r="BJ58" s="268">
        <f t="shared" si="93"/>
        <v>3</v>
      </c>
      <c r="BK58" s="268">
        <f t="shared" si="93"/>
        <v>4</v>
      </c>
      <c r="BL58" s="269">
        <f t="shared" si="93"/>
        <v>5</v>
      </c>
      <c r="BM58" s="256">
        <f>IF($BC58=Lookup!$A$2,$BD58*ROUNDUP(BE58/10,0)+1,
IF($BC58=Lookup!$A$3,($BD58+1)^BD58,
IF($BC58=Lookup!$A$4,BE58*$BD58+1,"Error")))</f>
        <v>1</v>
      </c>
      <c r="BN58" s="229">
        <f>IF($BC58=Lookup!$A$2,$BD58*ROUNDUP(BF58/10,0)+1,
IF($BC58=Lookup!$A$3,($BD58+1)^BE58,
IF($BC58=Lookup!$A$4,BF58*$BD58+1,"Error")))</f>
        <v>1</v>
      </c>
      <c r="BO58" s="229">
        <f>IF($BC58=Lookup!$A$2,$BD58*ROUNDUP(BG58/10,0)+1,
IF($BC58=Lookup!$A$3,($BD58+1)^BF58,
IF($BC58=Lookup!$A$4,BG58*$BD58+1,"Error")))</f>
        <v>1</v>
      </c>
      <c r="BP58" s="229">
        <f>IF($BC58=Lookup!$A$2,$BD58*ROUNDUP(BH58/10,0)+1,
IF($BC58=Lookup!$A$3,($BD58+1)^BG58,
IF($BC58=Lookup!$A$4,BH58*$BD58+1,"Error")))</f>
        <v>1</v>
      </c>
      <c r="BQ58" s="229">
        <f>IF($BC58=Lookup!$A$2,$BD58*ROUNDUP(BI58/10,0)+1,
IF($BC58=Lookup!$A$3,($BD58+1)^BH58,
IF($BC58=Lookup!$A$4,BI58*$BD58+1,"Error")))</f>
        <v>1</v>
      </c>
      <c r="BR58" s="229">
        <f>IF($BC58=Lookup!$A$2,$BD58*ROUNDUP(BJ58/10,0)+1,
IF($BC58=Lookup!$A$3,($BD58+1)^BI58,
IF($BC58=Lookup!$A$4,BJ58*$BD58+1,"Error")))</f>
        <v>1</v>
      </c>
      <c r="BS58" s="229">
        <f>IF($BC58=Lookup!$A$2,$BD58*ROUNDUP(BK58/10,0)+1,
IF($BC58=Lookup!$A$3,($BD58+1)^BJ58,
IF($BC58=Lookup!$A$4,BK58*$BD58+1,"Error")))</f>
        <v>1</v>
      </c>
      <c r="BT58" s="249">
        <f>IF($BC58=Lookup!$A$2,$BD58*ROUNDUP(BL58/10,0)+1,
IF($BC58=Lookup!$A$3,($BD58+1)^BK58,
IF($BC58=Lookup!$A$4,BL58*$BD58+1,"Error")))</f>
        <v>1</v>
      </c>
      <c r="BU58" s="320"/>
      <c r="BV58" s="321"/>
      <c r="BW58" s="321"/>
      <c r="BX58" s="321"/>
      <c r="BY58" s="321"/>
      <c r="BZ58" s="321"/>
      <c r="CA58" s="321"/>
      <c r="CB58" s="277"/>
      <c r="CC58" s="382" t="s">
        <v>292</v>
      </c>
      <c r="CD58" s="383">
        <f>HLOOKUP($CC58,$AK$6:$AM$132,ROWS(CD$6:CD58),0)</f>
        <v>0</v>
      </c>
      <c r="CE58" s="239">
        <f t="shared" si="75"/>
        <v>0</v>
      </c>
      <c r="CF58" s="140">
        <f t="shared" si="76"/>
        <v>0</v>
      </c>
      <c r="CG58" s="140">
        <f t="shared" si="77"/>
        <v>0</v>
      </c>
      <c r="CH58" s="140">
        <f t="shared" si="78"/>
        <v>0</v>
      </c>
      <c r="CI58" s="140">
        <f t="shared" si="79"/>
        <v>0</v>
      </c>
      <c r="CJ58" s="140">
        <f t="shared" si="80"/>
        <v>0</v>
      </c>
      <c r="CK58" s="140">
        <f t="shared" si="81"/>
        <v>0</v>
      </c>
      <c r="CL58" s="291">
        <f t="shared" si="82"/>
        <v>0</v>
      </c>
      <c r="CM58" s="305" t="s">
        <v>293</v>
      </c>
      <c r="CN58" s="315">
        <v>0.05</v>
      </c>
      <c r="CO58" s="306"/>
      <c r="CP58" s="307" t="str">
        <f>IF($CO58&lt;&gt;"",$CO58,HLOOKUP($CM58,$AY$6:$BA$132,ROWS(CP$6:CP58),0))</f>
        <v/>
      </c>
      <c r="CQ58" s="784" t="str">
        <f t="shared" si="83"/>
        <v/>
      </c>
      <c r="CR58" s="784" t="str">
        <f t="shared" si="84"/>
        <v/>
      </c>
      <c r="CS58" s="97" t="str">
        <f t="shared" si="85"/>
        <v/>
      </c>
      <c r="CT58" s="97" t="str">
        <f t="shared" si="86"/>
        <v/>
      </c>
      <c r="CU58" s="97" t="str">
        <f t="shared" si="87"/>
        <v/>
      </c>
      <c r="CV58" s="97" t="str">
        <f t="shared" si="88"/>
        <v/>
      </c>
      <c r="CW58" s="97" t="str">
        <f t="shared" si="89"/>
        <v/>
      </c>
      <c r="CX58" s="98" t="str">
        <f t="shared" si="90"/>
        <v/>
      </c>
      <c r="CY58" s="392"/>
    </row>
    <row r="59" spans="1:103" x14ac:dyDescent="0.25">
      <c r="A59" s="81" t="s">
        <v>106</v>
      </c>
      <c r="B59" s="82" t="s">
        <v>121</v>
      </c>
      <c r="C59" s="83" t="s">
        <v>341</v>
      </c>
      <c r="D59" s="84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654">
        <f>'2022-23 Input'!E59</f>
        <v>0</v>
      </c>
      <c r="N59" s="1065">
        <v>0</v>
      </c>
      <c r="O59" s="560">
        <f t="shared" si="48"/>
        <v>0</v>
      </c>
      <c r="P59" s="561">
        <f t="shared" si="49"/>
        <v>0</v>
      </c>
      <c r="Q59" s="561">
        <f t="shared" si="50"/>
        <v>0</v>
      </c>
      <c r="R59" s="561">
        <f t="shared" si="51"/>
        <v>0</v>
      </c>
      <c r="S59" s="561">
        <f t="shared" si="52"/>
        <v>0</v>
      </c>
      <c r="T59" s="561">
        <f t="shared" si="53"/>
        <v>0</v>
      </c>
      <c r="U59" s="561">
        <f t="shared" si="54"/>
        <v>0</v>
      </c>
      <c r="V59" s="561">
        <f t="shared" si="55"/>
        <v>0</v>
      </c>
      <c r="W59" s="675">
        <f t="shared" si="56"/>
        <v>0</v>
      </c>
      <c r="X59" s="675">
        <f t="shared" si="57"/>
        <v>0</v>
      </c>
      <c r="Y59" s="675">
        <f t="shared" si="58"/>
        <v>0</v>
      </c>
      <c r="Z59" s="86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1094">
        <f>'2022-23 Input'!L59</f>
        <v>0</v>
      </c>
      <c r="AJ59" s="665">
        <v>0</v>
      </c>
      <c r="AK59" s="127">
        <f t="shared" si="59"/>
        <v>0</v>
      </c>
      <c r="AL59" s="128">
        <f t="shared" si="60"/>
        <v>0</v>
      </c>
      <c r="AM59" s="129">
        <f t="shared" si="61"/>
        <v>0</v>
      </c>
      <c r="AN59" s="91" t="str">
        <f t="shared" si="62"/>
        <v/>
      </c>
      <c r="AO59" s="92" t="str">
        <f t="shared" si="63"/>
        <v/>
      </c>
      <c r="AP59" s="92" t="str">
        <f t="shared" si="64"/>
        <v/>
      </c>
      <c r="AQ59" s="92" t="str">
        <f t="shared" si="65"/>
        <v/>
      </c>
      <c r="AR59" s="92" t="str">
        <f t="shared" si="66"/>
        <v/>
      </c>
      <c r="AS59" s="92" t="str">
        <f t="shared" si="67"/>
        <v/>
      </c>
      <c r="AT59" s="92" t="str">
        <f t="shared" si="68"/>
        <v/>
      </c>
      <c r="AU59" s="92" t="str">
        <f t="shared" si="69"/>
        <v/>
      </c>
      <c r="AV59" s="92" t="str">
        <f t="shared" si="92"/>
        <v/>
      </c>
      <c r="AW59" s="92" t="str">
        <f t="shared" si="92"/>
        <v/>
      </c>
      <c r="AX59" s="92" t="str">
        <f t="shared" si="92"/>
        <v/>
      </c>
      <c r="AY59" s="93" t="str">
        <f t="shared" si="71"/>
        <v/>
      </c>
      <c r="AZ59" s="94" t="str">
        <f t="shared" si="72"/>
        <v/>
      </c>
      <c r="BA59" s="95" t="str">
        <f t="shared" si="73"/>
        <v/>
      </c>
      <c r="BB59" s="248" t="s">
        <v>422</v>
      </c>
      <c r="BC59" s="229" t="s">
        <v>433</v>
      </c>
      <c r="BD59" s="249">
        <v>0</v>
      </c>
      <c r="BE59" s="267">
        <f t="shared" si="74"/>
        <v>0</v>
      </c>
      <c r="BF59" s="268">
        <f t="shared" si="93"/>
        <v>0</v>
      </c>
      <c r="BG59" s="268">
        <f t="shared" si="93"/>
        <v>0</v>
      </c>
      <c r="BH59" s="268">
        <f t="shared" si="93"/>
        <v>1</v>
      </c>
      <c r="BI59" s="268">
        <f t="shared" si="93"/>
        <v>2</v>
      </c>
      <c r="BJ59" s="268">
        <f t="shared" si="93"/>
        <v>3</v>
      </c>
      <c r="BK59" s="268">
        <f t="shared" si="93"/>
        <v>4</v>
      </c>
      <c r="BL59" s="269">
        <f t="shared" si="93"/>
        <v>5</v>
      </c>
      <c r="BM59" s="256">
        <f>IF($BC59=Lookup!$A$2,$BD59*ROUNDUP(BE59/10,0)+1,
IF($BC59=Lookup!$A$3,($BD59+1)^BD59,
IF($BC59=Lookup!$A$4,BE59*$BD59+1,"Error")))</f>
        <v>1</v>
      </c>
      <c r="BN59" s="229">
        <f>IF($BC59=Lookup!$A$2,$BD59*ROUNDUP(BF59/10,0)+1,
IF($BC59=Lookup!$A$3,($BD59+1)^BE59,
IF($BC59=Lookup!$A$4,BF59*$BD59+1,"Error")))</f>
        <v>1</v>
      </c>
      <c r="BO59" s="229">
        <f>IF($BC59=Lookup!$A$2,$BD59*ROUNDUP(BG59/10,0)+1,
IF($BC59=Lookup!$A$3,($BD59+1)^BF59,
IF($BC59=Lookup!$A$4,BG59*$BD59+1,"Error")))</f>
        <v>1</v>
      </c>
      <c r="BP59" s="229">
        <f>IF($BC59=Lookup!$A$2,$BD59*ROUNDUP(BH59/10,0)+1,
IF($BC59=Lookup!$A$3,($BD59+1)^BG59,
IF($BC59=Lookup!$A$4,BH59*$BD59+1,"Error")))</f>
        <v>1</v>
      </c>
      <c r="BQ59" s="229">
        <f>IF($BC59=Lookup!$A$2,$BD59*ROUNDUP(BI59/10,0)+1,
IF($BC59=Lookup!$A$3,($BD59+1)^BH59,
IF($BC59=Lookup!$A$4,BI59*$BD59+1,"Error")))</f>
        <v>1</v>
      </c>
      <c r="BR59" s="229">
        <f>IF($BC59=Lookup!$A$2,$BD59*ROUNDUP(BJ59/10,0)+1,
IF($BC59=Lookup!$A$3,($BD59+1)^BI59,
IF($BC59=Lookup!$A$4,BJ59*$BD59+1,"Error")))</f>
        <v>1</v>
      </c>
      <c r="BS59" s="229">
        <f>IF($BC59=Lookup!$A$2,$BD59*ROUNDUP(BK59/10,0)+1,
IF($BC59=Lookup!$A$3,($BD59+1)^BJ59,
IF($BC59=Lookup!$A$4,BK59*$BD59+1,"Error")))</f>
        <v>1</v>
      </c>
      <c r="BT59" s="249">
        <f>IF($BC59=Lookup!$A$2,$BD59*ROUNDUP(BL59/10,0)+1,
IF($BC59=Lookup!$A$3,($BD59+1)^BK59,
IF($BC59=Lookup!$A$4,BL59*$BD59+1,"Error")))</f>
        <v>1</v>
      </c>
      <c r="BU59" s="320"/>
      <c r="BV59" s="321"/>
      <c r="BW59" s="321"/>
      <c r="BX59" s="321"/>
      <c r="BY59" s="321"/>
      <c r="BZ59" s="321"/>
      <c r="CA59" s="321"/>
      <c r="CB59" s="277"/>
      <c r="CC59" s="382" t="s">
        <v>292</v>
      </c>
      <c r="CD59" s="383">
        <f>HLOOKUP($CC59,$AK$6:$AM$132,ROWS(CD$6:CD59),0)</f>
        <v>0</v>
      </c>
      <c r="CE59" s="239">
        <f t="shared" si="75"/>
        <v>0</v>
      </c>
      <c r="CF59" s="140">
        <f t="shared" si="76"/>
        <v>0</v>
      </c>
      <c r="CG59" s="140">
        <f t="shared" si="77"/>
        <v>0</v>
      </c>
      <c r="CH59" s="140">
        <f t="shared" si="78"/>
        <v>0</v>
      </c>
      <c r="CI59" s="140">
        <f t="shared" si="79"/>
        <v>0</v>
      </c>
      <c r="CJ59" s="140">
        <f t="shared" si="80"/>
        <v>0</v>
      </c>
      <c r="CK59" s="140">
        <f t="shared" si="81"/>
        <v>0</v>
      </c>
      <c r="CL59" s="291">
        <f t="shared" si="82"/>
        <v>0</v>
      </c>
      <c r="CM59" s="305" t="s">
        <v>293</v>
      </c>
      <c r="CN59" s="315">
        <v>0.05</v>
      </c>
      <c r="CO59" s="306"/>
      <c r="CP59" s="307" t="str">
        <f>IF($CO59&lt;&gt;"",$CO59,HLOOKUP($CM59,$AY$6:$BA$132,ROWS(CP$6:CP59),0))</f>
        <v/>
      </c>
      <c r="CQ59" s="784" t="str">
        <f t="shared" si="83"/>
        <v/>
      </c>
      <c r="CR59" s="784" t="str">
        <f t="shared" si="84"/>
        <v/>
      </c>
      <c r="CS59" s="97" t="str">
        <f t="shared" si="85"/>
        <v/>
      </c>
      <c r="CT59" s="97" t="str">
        <f t="shared" si="86"/>
        <v/>
      </c>
      <c r="CU59" s="97" t="str">
        <f t="shared" si="87"/>
        <v/>
      </c>
      <c r="CV59" s="97" t="str">
        <f t="shared" si="88"/>
        <v/>
      </c>
      <c r="CW59" s="97" t="str">
        <f t="shared" si="89"/>
        <v/>
      </c>
      <c r="CX59" s="98" t="str">
        <f t="shared" si="90"/>
        <v/>
      </c>
      <c r="CY59" s="392"/>
    </row>
    <row r="60" spans="1:103" x14ac:dyDescent="0.25">
      <c r="A60" s="81" t="s">
        <v>106</v>
      </c>
      <c r="B60" s="82" t="s">
        <v>123</v>
      </c>
      <c r="C60" s="83" t="s">
        <v>343</v>
      </c>
      <c r="D60" s="84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654">
        <f>'2022-23 Input'!E60</f>
        <v>0</v>
      </c>
      <c r="N60" s="1065">
        <v>0</v>
      </c>
      <c r="O60" s="560">
        <f t="shared" si="48"/>
        <v>0</v>
      </c>
      <c r="P60" s="561">
        <f t="shared" si="49"/>
        <v>0</v>
      </c>
      <c r="Q60" s="561">
        <f t="shared" si="50"/>
        <v>0</v>
      </c>
      <c r="R60" s="561">
        <f t="shared" si="51"/>
        <v>0</v>
      </c>
      <c r="S60" s="561">
        <f t="shared" si="52"/>
        <v>0</v>
      </c>
      <c r="T60" s="561">
        <f t="shared" si="53"/>
        <v>0</v>
      </c>
      <c r="U60" s="561">
        <f t="shared" si="54"/>
        <v>0</v>
      </c>
      <c r="V60" s="561">
        <f t="shared" si="55"/>
        <v>0</v>
      </c>
      <c r="W60" s="675">
        <f t="shared" si="56"/>
        <v>0</v>
      </c>
      <c r="X60" s="675">
        <f t="shared" si="57"/>
        <v>0</v>
      </c>
      <c r="Y60" s="675">
        <f t="shared" si="58"/>
        <v>0</v>
      </c>
      <c r="Z60" s="86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1094">
        <f>'2022-23 Input'!L60</f>
        <v>0</v>
      </c>
      <c r="AJ60" s="665">
        <v>0</v>
      </c>
      <c r="AK60" s="127">
        <f t="shared" si="59"/>
        <v>0</v>
      </c>
      <c r="AL60" s="128">
        <f t="shared" si="60"/>
        <v>0</v>
      </c>
      <c r="AM60" s="129">
        <f t="shared" si="61"/>
        <v>0</v>
      </c>
      <c r="AN60" s="91" t="str">
        <f t="shared" si="62"/>
        <v/>
      </c>
      <c r="AO60" s="92" t="str">
        <f t="shared" si="63"/>
        <v/>
      </c>
      <c r="AP60" s="92" t="str">
        <f t="shared" si="64"/>
        <v/>
      </c>
      <c r="AQ60" s="92" t="str">
        <f t="shared" si="65"/>
        <v/>
      </c>
      <c r="AR60" s="92" t="str">
        <f t="shared" si="66"/>
        <v/>
      </c>
      <c r="AS60" s="92" t="str">
        <f t="shared" si="67"/>
        <v/>
      </c>
      <c r="AT60" s="92" t="str">
        <f t="shared" si="68"/>
        <v/>
      </c>
      <c r="AU60" s="92" t="str">
        <f t="shared" si="69"/>
        <v/>
      </c>
      <c r="AV60" s="92" t="str">
        <f t="shared" si="92"/>
        <v/>
      </c>
      <c r="AW60" s="92" t="str">
        <f t="shared" si="92"/>
        <v/>
      </c>
      <c r="AX60" s="92" t="str">
        <f t="shared" si="92"/>
        <v/>
      </c>
      <c r="AY60" s="93" t="str">
        <f t="shared" si="71"/>
        <v/>
      </c>
      <c r="AZ60" s="94" t="str">
        <f t="shared" si="72"/>
        <v/>
      </c>
      <c r="BA60" s="95" t="str">
        <f t="shared" si="73"/>
        <v/>
      </c>
      <c r="BB60" s="248" t="s">
        <v>422</v>
      </c>
      <c r="BC60" s="229" t="s">
        <v>433</v>
      </c>
      <c r="BD60" s="249">
        <v>0</v>
      </c>
      <c r="BE60" s="267">
        <f t="shared" si="74"/>
        <v>0</v>
      </c>
      <c r="BF60" s="268">
        <f t="shared" si="93"/>
        <v>0</v>
      </c>
      <c r="BG60" s="268">
        <f t="shared" si="93"/>
        <v>0</v>
      </c>
      <c r="BH60" s="268">
        <f t="shared" si="93"/>
        <v>1</v>
      </c>
      <c r="BI60" s="268">
        <f t="shared" si="93"/>
        <v>2</v>
      </c>
      <c r="BJ60" s="268">
        <f t="shared" si="93"/>
        <v>3</v>
      </c>
      <c r="BK60" s="268">
        <f t="shared" si="93"/>
        <v>4</v>
      </c>
      <c r="BL60" s="269">
        <f t="shared" si="93"/>
        <v>5</v>
      </c>
      <c r="BM60" s="256">
        <f>IF($BC60=Lookup!$A$2,$BD60*ROUNDUP(BE60/10,0)+1,
IF($BC60=Lookup!$A$3,($BD60+1)^BD60,
IF($BC60=Lookup!$A$4,BE60*$BD60+1,"Error")))</f>
        <v>1</v>
      </c>
      <c r="BN60" s="229">
        <f>IF($BC60=Lookup!$A$2,$BD60*ROUNDUP(BF60/10,0)+1,
IF($BC60=Lookup!$A$3,($BD60+1)^BE60,
IF($BC60=Lookup!$A$4,BF60*$BD60+1,"Error")))</f>
        <v>1</v>
      </c>
      <c r="BO60" s="229">
        <f>IF($BC60=Lookup!$A$2,$BD60*ROUNDUP(BG60/10,0)+1,
IF($BC60=Lookup!$A$3,($BD60+1)^BF60,
IF($BC60=Lookup!$A$4,BG60*$BD60+1,"Error")))</f>
        <v>1</v>
      </c>
      <c r="BP60" s="229">
        <f>IF($BC60=Lookup!$A$2,$BD60*ROUNDUP(BH60/10,0)+1,
IF($BC60=Lookup!$A$3,($BD60+1)^BG60,
IF($BC60=Lookup!$A$4,BH60*$BD60+1,"Error")))</f>
        <v>1</v>
      </c>
      <c r="BQ60" s="229">
        <f>IF($BC60=Lookup!$A$2,$BD60*ROUNDUP(BI60/10,0)+1,
IF($BC60=Lookup!$A$3,($BD60+1)^BH60,
IF($BC60=Lookup!$A$4,BI60*$BD60+1,"Error")))</f>
        <v>1</v>
      </c>
      <c r="BR60" s="229">
        <f>IF($BC60=Lookup!$A$2,$BD60*ROUNDUP(BJ60/10,0)+1,
IF($BC60=Lookup!$A$3,($BD60+1)^BI60,
IF($BC60=Lookup!$A$4,BJ60*$BD60+1,"Error")))</f>
        <v>1</v>
      </c>
      <c r="BS60" s="229">
        <f>IF($BC60=Lookup!$A$2,$BD60*ROUNDUP(BK60/10,0)+1,
IF($BC60=Lookup!$A$3,($BD60+1)^BJ60,
IF($BC60=Lookup!$A$4,BK60*$BD60+1,"Error")))</f>
        <v>1</v>
      </c>
      <c r="BT60" s="249">
        <f>IF($BC60=Lookup!$A$2,$BD60*ROUNDUP(BL60/10,0)+1,
IF($BC60=Lookup!$A$3,($BD60+1)^BK60,
IF($BC60=Lookup!$A$4,BL60*$BD60+1,"Error")))</f>
        <v>1</v>
      </c>
      <c r="BU60" s="320"/>
      <c r="BV60" s="321"/>
      <c r="BW60" s="321"/>
      <c r="BX60" s="321"/>
      <c r="BY60" s="321"/>
      <c r="BZ60" s="321"/>
      <c r="CA60" s="321"/>
      <c r="CB60" s="277"/>
      <c r="CC60" s="382" t="s">
        <v>292</v>
      </c>
      <c r="CD60" s="383">
        <f>HLOOKUP($CC60,$AK$6:$AM$132,ROWS(CD$6:CD60),0)</f>
        <v>0</v>
      </c>
      <c r="CE60" s="239">
        <f t="shared" si="75"/>
        <v>0</v>
      </c>
      <c r="CF60" s="140">
        <f t="shared" si="76"/>
        <v>0</v>
      </c>
      <c r="CG60" s="140">
        <f t="shared" si="77"/>
        <v>0</v>
      </c>
      <c r="CH60" s="140">
        <f t="shared" si="78"/>
        <v>0</v>
      </c>
      <c r="CI60" s="140">
        <f t="shared" si="79"/>
        <v>0</v>
      </c>
      <c r="CJ60" s="140">
        <f t="shared" si="80"/>
        <v>0</v>
      </c>
      <c r="CK60" s="140">
        <f t="shared" si="81"/>
        <v>0</v>
      </c>
      <c r="CL60" s="291">
        <f t="shared" si="82"/>
        <v>0</v>
      </c>
      <c r="CM60" s="305" t="s">
        <v>293</v>
      </c>
      <c r="CN60" s="315">
        <v>0.05</v>
      </c>
      <c r="CO60" s="306"/>
      <c r="CP60" s="307" t="str">
        <f>IF($CO60&lt;&gt;"",$CO60,HLOOKUP($CM60,$AY$6:$BA$132,ROWS(CP$6:CP60),0))</f>
        <v/>
      </c>
      <c r="CQ60" s="784" t="str">
        <f t="shared" si="83"/>
        <v/>
      </c>
      <c r="CR60" s="784" t="str">
        <f t="shared" si="84"/>
        <v/>
      </c>
      <c r="CS60" s="97" t="str">
        <f t="shared" si="85"/>
        <v/>
      </c>
      <c r="CT60" s="97" t="str">
        <f t="shared" si="86"/>
        <v/>
      </c>
      <c r="CU60" s="97" t="str">
        <f t="shared" si="87"/>
        <v/>
      </c>
      <c r="CV60" s="97" t="str">
        <f t="shared" si="88"/>
        <v/>
      </c>
      <c r="CW60" s="97" t="str">
        <f t="shared" si="89"/>
        <v/>
      </c>
      <c r="CX60" s="98" t="str">
        <f t="shared" si="90"/>
        <v/>
      </c>
      <c r="CY60" s="392"/>
    </row>
    <row r="61" spans="1:103" x14ac:dyDescent="0.25">
      <c r="A61" s="81" t="s">
        <v>106</v>
      </c>
      <c r="B61" s="82" t="s">
        <v>125</v>
      </c>
      <c r="C61" s="83" t="s">
        <v>345</v>
      </c>
      <c r="D61" s="84">
        <v>0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654">
        <f>'2022-23 Input'!E61</f>
        <v>0</v>
      </c>
      <c r="N61" s="1065">
        <v>0</v>
      </c>
      <c r="O61" s="560">
        <f t="shared" si="48"/>
        <v>0</v>
      </c>
      <c r="P61" s="561">
        <f t="shared" si="49"/>
        <v>0</v>
      </c>
      <c r="Q61" s="561">
        <f t="shared" si="50"/>
        <v>0</v>
      </c>
      <c r="R61" s="561">
        <f t="shared" si="51"/>
        <v>0</v>
      </c>
      <c r="S61" s="561">
        <f t="shared" si="52"/>
        <v>0</v>
      </c>
      <c r="T61" s="561">
        <f t="shared" si="53"/>
        <v>0</v>
      </c>
      <c r="U61" s="561">
        <f t="shared" si="54"/>
        <v>0</v>
      </c>
      <c r="V61" s="561">
        <f t="shared" si="55"/>
        <v>0</v>
      </c>
      <c r="W61" s="675">
        <f t="shared" si="56"/>
        <v>0</v>
      </c>
      <c r="X61" s="675">
        <f t="shared" si="57"/>
        <v>0</v>
      </c>
      <c r="Y61" s="675">
        <f t="shared" si="58"/>
        <v>0</v>
      </c>
      <c r="Z61" s="86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1094">
        <f>'2022-23 Input'!L61</f>
        <v>0</v>
      </c>
      <c r="AJ61" s="665">
        <v>0</v>
      </c>
      <c r="AK61" s="127">
        <f t="shared" si="59"/>
        <v>0</v>
      </c>
      <c r="AL61" s="128">
        <f t="shared" si="60"/>
        <v>0</v>
      </c>
      <c r="AM61" s="129">
        <f t="shared" si="61"/>
        <v>0</v>
      </c>
      <c r="AN61" s="91" t="str">
        <f t="shared" si="62"/>
        <v/>
      </c>
      <c r="AO61" s="92" t="str">
        <f t="shared" si="63"/>
        <v/>
      </c>
      <c r="AP61" s="92" t="str">
        <f t="shared" si="64"/>
        <v/>
      </c>
      <c r="AQ61" s="92" t="str">
        <f t="shared" si="65"/>
        <v/>
      </c>
      <c r="AR61" s="92" t="str">
        <f t="shared" si="66"/>
        <v/>
      </c>
      <c r="AS61" s="92" t="str">
        <f t="shared" si="67"/>
        <v/>
      </c>
      <c r="AT61" s="92" t="str">
        <f t="shared" si="68"/>
        <v/>
      </c>
      <c r="AU61" s="92" t="str">
        <f t="shared" si="69"/>
        <v/>
      </c>
      <c r="AV61" s="92" t="str">
        <f t="shared" si="92"/>
        <v/>
      </c>
      <c r="AW61" s="92" t="str">
        <f t="shared" si="92"/>
        <v/>
      </c>
      <c r="AX61" s="92" t="str">
        <f t="shared" si="92"/>
        <v/>
      </c>
      <c r="AY61" s="93" t="str">
        <f t="shared" si="71"/>
        <v/>
      </c>
      <c r="AZ61" s="94" t="str">
        <f t="shared" si="72"/>
        <v/>
      </c>
      <c r="BA61" s="95" t="str">
        <f t="shared" si="73"/>
        <v/>
      </c>
      <c r="BB61" s="248" t="s">
        <v>422</v>
      </c>
      <c r="BC61" s="229" t="s">
        <v>433</v>
      </c>
      <c r="BD61" s="249">
        <v>0</v>
      </c>
      <c r="BE61" s="267">
        <f t="shared" si="74"/>
        <v>0</v>
      </c>
      <c r="BF61" s="268">
        <f t="shared" si="93"/>
        <v>0</v>
      </c>
      <c r="BG61" s="268">
        <f t="shared" si="93"/>
        <v>0</v>
      </c>
      <c r="BH61" s="268">
        <f t="shared" si="93"/>
        <v>1</v>
      </c>
      <c r="BI61" s="268">
        <f t="shared" si="93"/>
        <v>2</v>
      </c>
      <c r="BJ61" s="268">
        <f t="shared" si="93"/>
        <v>3</v>
      </c>
      <c r="BK61" s="268">
        <f t="shared" si="93"/>
        <v>4</v>
      </c>
      <c r="BL61" s="269">
        <f t="shared" si="93"/>
        <v>5</v>
      </c>
      <c r="BM61" s="256">
        <f>IF($BC61=Lookup!$A$2,$BD61*ROUNDUP(BE61/10,0)+1,
IF($BC61=Lookup!$A$3,($BD61+1)^BD61,
IF($BC61=Lookup!$A$4,BE61*$BD61+1,"Error")))</f>
        <v>1</v>
      </c>
      <c r="BN61" s="229">
        <f>IF($BC61=Lookup!$A$2,$BD61*ROUNDUP(BF61/10,0)+1,
IF($BC61=Lookup!$A$3,($BD61+1)^BE61,
IF($BC61=Lookup!$A$4,BF61*$BD61+1,"Error")))</f>
        <v>1</v>
      </c>
      <c r="BO61" s="229">
        <f>IF($BC61=Lookup!$A$2,$BD61*ROUNDUP(BG61/10,0)+1,
IF($BC61=Lookup!$A$3,($BD61+1)^BF61,
IF($BC61=Lookup!$A$4,BG61*$BD61+1,"Error")))</f>
        <v>1</v>
      </c>
      <c r="BP61" s="229">
        <f>IF($BC61=Lookup!$A$2,$BD61*ROUNDUP(BH61/10,0)+1,
IF($BC61=Lookup!$A$3,($BD61+1)^BG61,
IF($BC61=Lookup!$A$4,BH61*$BD61+1,"Error")))</f>
        <v>1</v>
      </c>
      <c r="BQ61" s="229">
        <f>IF($BC61=Lookup!$A$2,$BD61*ROUNDUP(BI61/10,0)+1,
IF($BC61=Lookup!$A$3,($BD61+1)^BH61,
IF($BC61=Lookup!$A$4,BI61*$BD61+1,"Error")))</f>
        <v>1</v>
      </c>
      <c r="BR61" s="229">
        <f>IF($BC61=Lookup!$A$2,$BD61*ROUNDUP(BJ61/10,0)+1,
IF($BC61=Lookup!$A$3,($BD61+1)^BI61,
IF($BC61=Lookup!$A$4,BJ61*$BD61+1,"Error")))</f>
        <v>1</v>
      </c>
      <c r="BS61" s="229">
        <f>IF($BC61=Lookup!$A$2,$BD61*ROUNDUP(BK61/10,0)+1,
IF($BC61=Lookup!$A$3,($BD61+1)^BJ61,
IF($BC61=Lookup!$A$4,BK61*$BD61+1,"Error")))</f>
        <v>1</v>
      </c>
      <c r="BT61" s="249">
        <f>IF($BC61=Lookup!$A$2,$BD61*ROUNDUP(BL61/10,0)+1,
IF($BC61=Lookup!$A$3,($BD61+1)^BK61,
IF($BC61=Lookup!$A$4,BL61*$BD61+1,"Error")))</f>
        <v>1</v>
      </c>
      <c r="BU61" s="320"/>
      <c r="BV61" s="321"/>
      <c r="BW61" s="321"/>
      <c r="BX61" s="321"/>
      <c r="BY61" s="321"/>
      <c r="BZ61" s="321"/>
      <c r="CA61" s="321"/>
      <c r="CB61" s="277"/>
      <c r="CC61" s="382" t="s">
        <v>292</v>
      </c>
      <c r="CD61" s="383">
        <f>HLOOKUP($CC61,$AK$6:$AM$132,ROWS(CD$6:CD61),0)</f>
        <v>0</v>
      </c>
      <c r="CE61" s="239">
        <f t="shared" si="75"/>
        <v>0</v>
      </c>
      <c r="CF61" s="140">
        <f t="shared" si="76"/>
        <v>0</v>
      </c>
      <c r="CG61" s="140">
        <f t="shared" si="77"/>
        <v>0</v>
      </c>
      <c r="CH61" s="140">
        <f t="shared" si="78"/>
        <v>0</v>
      </c>
      <c r="CI61" s="140">
        <f t="shared" si="79"/>
        <v>0</v>
      </c>
      <c r="CJ61" s="140">
        <f t="shared" si="80"/>
        <v>0</v>
      </c>
      <c r="CK61" s="140">
        <f t="shared" si="81"/>
        <v>0</v>
      </c>
      <c r="CL61" s="291">
        <f t="shared" si="82"/>
        <v>0</v>
      </c>
      <c r="CM61" s="305" t="s">
        <v>293</v>
      </c>
      <c r="CN61" s="315">
        <v>0.05</v>
      </c>
      <c r="CO61" s="306"/>
      <c r="CP61" s="307" t="str">
        <f>IF($CO61&lt;&gt;"",$CO61,HLOOKUP($CM61,$AY$6:$BA$132,ROWS(CP$6:CP61),0))</f>
        <v/>
      </c>
      <c r="CQ61" s="784" t="str">
        <f t="shared" si="83"/>
        <v/>
      </c>
      <c r="CR61" s="784" t="str">
        <f t="shared" si="84"/>
        <v/>
      </c>
      <c r="CS61" s="97" t="str">
        <f t="shared" si="85"/>
        <v/>
      </c>
      <c r="CT61" s="97" t="str">
        <f t="shared" si="86"/>
        <v/>
      </c>
      <c r="CU61" s="97" t="str">
        <f t="shared" si="87"/>
        <v/>
      </c>
      <c r="CV61" s="97" t="str">
        <f t="shared" si="88"/>
        <v/>
      </c>
      <c r="CW61" s="97" t="str">
        <f t="shared" si="89"/>
        <v/>
      </c>
      <c r="CX61" s="98" t="str">
        <f t="shared" si="90"/>
        <v/>
      </c>
      <c r="CY61" s="392"/>
    </row>
    <row r="62" spans="1:103" x14ac:dyDescent="0.25">
      <c r="A62" s="81" t="s">
        <v>106</v>
      </c>
      <c r="B62" s="82" t="s">
        <v>127</v>
      </c>
      <c r="C62" s="83" t="s">
        <v>347</v>
      </c>
      <c r="D62" s="84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654">
        <f>'2022-23 Input'!E62</f>
        <v>0</v>
      </c>
      <c r="N62" s="1065">
        <v>0</v>
      </c>
      <c r="O62" s="560">
        <f t="shared" si="48"/>
        <v>0</v>
      </c>
      <c r="P62" s="561">
        <f t="shared" si="49"/>
        <v>0</v>
      </c>
      <c r="Q62" s="561">
        <f t="shared" si="50"/>
        <v>0</v>
      </c>
      <c r="R62" s="561">
        <f t="shared" si="51"/>
        <v>0</v>
      </c>
      <c r="S62" s="561">
        <f t="shared" si="52"/>
        <v>0</v>
      </c>
      <c r="T62" s="561">
        <f t="shared" si="53"/>
        <v>0</v>
      </c>
      <c r="U62" s="561">
        <f t="shared" si="54"/>
        <v>0</v>
      </c>
      <c r="V62" s="561">
        <f t="shared" si="55"/>
        <v>0</v>
      </c>
      <c r="W62" s="675">
        <f t="shared" si="56"/>
        <v>0</v>
      </c>
      <c r="X62" s="675">
        <f t="shared" si="57"/>
        <v>0</v>
      </c>
      <c r="Y62" s="675">
        <f t="shared" si="58"/>
        <v>0</v>
      </c>
      <c r="Z62" s="86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1094">
        <f>'2022-23 Input'!L62</f>
        <v>0</v>
      </c>
      <c r="AJ62" s="665">
        <v>0</v>
      </c>
      <c r="AK62" s="127">
        <f t="shared" si="59"/>
        <v>0</v>
      </c>
      <c r="AL62" s="128">
        <f t="shared" si="60"/>
        <v>0</v>
      </c>
      <c r="AM62" s="129">
        <f t="shared" si="61"/>
        <v>0</v>
      </c>
      <c r="AN62" s="91" t="str">
        <f t="shared" si="62"/>
        <v/>
      </c>
      <c r="AO62" s="92" t="str">
        <f t="shared" si="63"/>
        <v/>
      </c>
      <c r="AP62" s="92" t="str">
        <f t="shared" si="64"/>
        <v/>
      </c>
      <c r="AQ62" s="92" t="str">
        <f t="shared" si="65"/>
        <v/>
      </c>
      <c r="AR62" s="92" t="str">
        <f t="shared" si="66"/>
        <v/>
      </c>
      <c r="AS62" s="92" t="str">
        <f t="shared" si="67"/>
        <v/>
      </c>
      <c r="AT62" s="92" t="str">
        <f t="shared" si="68"/>
        <v/>
      </c>
      <c r="AU62" s="92" t="str">
        <f t="shared" si="69"/>
        <v/>
      </c>
      <c r="AV62" s="92" t="str">
        <f t="shared" si="92"/>
        <v/>
      </c>
      <c r="AW62" s="92" t="str">
        <f t="shared" si="92"/>
        <v/>
      </c>
      <c r="AX62" s="92" t="str">
        <f t="shared" si="92"/>
        <v/>
      </c>
      <c r="AY62" s="93" t="str">
        <f t="shared" si="71"/>
        <v/>
      </c>
      <c r="AZ62" s="94" t="str">
        <f t="shared" si="72"/>
        <v/>
      </c>
      <c r="BA62" s="95" t="str">
        <f t="shared" si="73"/>
        <v/>
      </c>
      <c r="BB62" s="248" t="s">
        <v>422</v>
      </c>
      <c r="BC62" s="229" t="s">
        <v>433</v>
      </c>
      <c r="BD62" s="249">
        <v>0</v>
      </c>
      <c r="BE62" s="267">
        <f t="shared" si="74"/>
        <v>0</v>
      </c>
      <c r="BF62" s="268">
        <f t="shared" si="93"/>
        <v>0</v>
      </c>
      <c r="BG62" s="268">
        <f t="shared" si="93"/>
        <v>0</v>
      </c>
      <c r="BH62" s="268">
        <f t="shared" si="93"/>
        <v>1</v>
      </c>
      <c r="BI62" s="268">
        <f t="shared" si="93"/>
        <v>2</v>
      </c>
      <c r="BJ62" s="268">
        <f t="shared" si="93"/>
        <v>3</v>
      </c>
      <c r="BK62" s="268">
        <f t="shared" si="93"/>
        <v>4</v>
      </c>
      <c r="BL62" s="269">
        <f t="shared" si="93"/>
        <v>5</v>
      </c>
      <c r="BM62" s="256">
        <f>IF($BC62=Lookup!$A$2,$BD62*ROUNDUP(BE62/10,0)+1,
IF($BC62=Lookup!$A$3,($BD62+1)^BD62,
IF($BC62=Lookup!$A$4,BE62*$BD62+1,"Error")))</f>
        <v>1</v>
      </c>
      <c r="BN62" s="229">
        <f>IF($BC62=Lookup!$A$2,$BD62*ROUNDUP(BF62/10,0)+1,
IF($BC62=Lookup!$A$3,($BD62+1)^BE62,
IF($BC62=Lookup!$A$4,BF62*$BD62+1,"Error")))</f>
        <v>1</v>
      </c>
      <c r="BO62" s="229">
        <f>IF($BC62=Lookup!$A$2,$BD62*ROUNDUP(BG62/10,0)+1,
IF($BC62=Lookup!$A$3,($BD62+1)^BF62,
IF($BC62=Lookup!$A$4,BG62*$BD62+1,"Error")))</f>
        <v>1</v>
      </c>
      <c r="BP62" s="229">
        <f>IF($BC62=Lookup!$A$2,$BD62*ROUNDUP(BH62/10,0)+1,
IF($BC62=Lookup!$A$3,($BD62+1)^BG62,
IF($BC62=Lookup!$A$4,BH62*$BD62+1,"Error")))</f>
        <v>1</v>
      </c>
      <c r="BQ62" s="229">
        <f>IF($BC62=Lookup!$A$2,$BD62*ROUNDUP(BI62/10,0)+1,
IF($BC62=Lookup!$A$3,($BD62+1)^BH62,
IF($BC62=Lookup!$A$4,BI62*$BD62+1,"Error")))</f>
        <v>1</v>
      </c>
      <c r="BR62" s="229">
        <f>IF($BC62=Lookup!$A$2,$BD62*ROUNDUP(BJ62/10,0)+1,
IF($BC62=Lookup!$A$3,($BD62+1)^BI62,
IF($BC62=Lookup!$A$4,BJ62*$BD62+1,"Error")))</f>
        <v>1</v>
      </c>
      <c r="BS62" s="229">
        <f>IF($BC62=Lookup!$A$2,$BD62*ROUNDUP(BK62/10,0)+1,
IF($BC62=Lookup!$A$3,($BD62+1)^BJ62,
IF($BC62=Lookup!$A$4,BK62*$BD62+1,"Error")))</f>
        <v>1</v>
      </c>
      <c r="BT62" s="249">
        <f>IF($BC62=Lookup!$A$2,$BD62*ROUNDUP(BL62/10,0)+1,
IF($BC62=Lookup!$A$3,($BD62+1)^BK62,
IF($BC62=Lookup!$A$4,BL62*$BD62+1,"Error")))</f>
        <v>1</v>
      </c>
      <c r="BU62" s="320"/>
      <c r="BV62" s="321"/>
      <c r="BW62" s="321"/>
      <c r="BX62" s="321"/>
      <c r="BY62" s="321"/>
      <c r="BZ62" s="321"/>
      <c r="CA62" s="321"/>
      <c r="CB62" s="277"/>
      <c r="CC62" s="382" t="s">
        <v>292</v>
      </c>
      <c r="CD62" s="383">
        <f>HLOOKUP($CC62,$AK$6:$AM$132,ROWS(CD$6:CD62),0)</f>
        <v>0</v>
      </c>
      <c r="CE62" s="239">
        <f t="shared" si="75"/>
        <v>0</v>
      </c>
      <c r="CF62" s="140">
        <f t="shared" si="76"/>
        <v>0</v>
      </c>
      <c r="CG62" s="140">
        <f t="shared" si="77"/>
        <v>0</v>
      </c>
      <c r="CH62" s="140">
        <f t="shared" si="78"/>
        <v>0</v>
      </c>
      <c r="CI62" s="140">
        <f t="shared" si="79"/>
        <v>0</v>
      </c>
      <c r="CJ62" s="140">
        <f t="shared" si="80"/>
        <v>0</v>
      </c>
      <c r="CK62" s="140">
        <f t="shared" si="81"/>
        <v>0</v>
      </c>
      <c r="CL62" s="291">
        <f t="shared" si="82"/>
        <v>0</v>
      </c>
      <c r="CM62" s="305" t="s">
        <v>293</v>
      </c>
      <c r="CN62" s="315">
        <v>0.05</v>
      </c>
      <c r="CO62" s="306"/>
      <c r="CP62" s="307" t="str">
        <f>IF($CO62&lt;&gt;"",$CO62,HLOOKUP($CM62,$AY$6:$BA$132,ROWS(CP$6:CP62),0))</f>
        <v/>
      </c>
      <c r="CQ62" s="784" t="str">
        <f t="shared" si="83"/>
        <v/>
      </c>
      <c r="CR62" s="784" t="str">
        <f t="shared" si="84"/>
        <v/>
      </c>
      <c r="CS62" s="97" t="str">
        <f t="shared" si="85"/>
        <v/>
      </c>
      <c r="CT62" s="97" t="str">
        <f t="shared" si="86"/>
        <v/>
      </c>
      <c r="CU62" s="97" t="str">
        <f t="shared" si="87"/>
        <v/>
      </c>
      <c r="CV62" s="97" t="str">
        <f t="shared" si="88"/>
        <v/>
      </c>
      <c r="CW62" s="97" t="str">
        <f t="shared" si="89"/>
        <v/>
      </c>
      <c r="CX62" s="98" t="str">
        <f t="shared" si="90"/>
        <v/>
      </c>
      <c r="CY62" s="392"/>
    </row>
    <row r="63" spans="1:103" x14ac:dyDescent="0.25">
      <c r="A63" s="81" t="s">
        <v>106</v>
      </c>
      <c r="B63" s="82" t="s">
        <v>129</v>
      </c>
      <c r="C63" s="83" t="s">
        <v>349</v>
      </c>
      <c r="D63" s="84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654">
        <f>'2022-23 Input'!E63</f>
        <v>0</v>
      </c>
      <c r="N63" s="1065">
        <v>0</v>
      </c>
      <c r="O63" s="560">
        <f t="shared" si="48"/>
        <v>0</v>
      </c>
      <c r="P63" s="561">
        <f t="shared" si="49"/>
        <v>0</v>
      </c>
      <c r="Q63" s="561">
        <f t="shared" si="50"/>
        <v>0</v>
      </c>
      <c r="R63" s="561">
        <f t="shared" si="51"/>
        <v>0</v>
      </c>
      <c r="S63" s="561">
        <f t="shared" si="52"/>
        <v>0</v>
      </c>
      <c r="T63" s="561">
        <f t="shared" si="53"/>
        <v>0</v>
      </c>
      <c r="U63" s="561">
        <f t="shared" si="54"/>
        <v>0</v>
      </c>
      <c r="V63" s="561">
        <f t="shared" si="55"/>
        <v>0</v>
      </c>
      <c r="W63" s="675">
        <f t="shared" si="56"/>
        <v>0</v>
      </c>
      <c r="X63" s="675">
        <f t="shared" si="57"/>
        <v>0</v>
      </c>
      <c r="Y63" s="675">
        <f t="shared" si="58"/>
        <v>0</v>
      </c>
      <c r="Z63" s="86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1094">
        <f>'2022-23 Input'!L63</f>
        <v>0</v>
      </c>
      <c r="AJ63" s="665">
        <v>0</v>
      </c>
      <c r="AK63" s="127">
        <f t="shared" si="59"/>
        <v>0</v>
      </c>
      <c r="AL63" s="128">
        <f t="shared" si="60"/>
        <v>0</v>
      </c>
      <c r="AM63" s="129">
        <f t="shared" si="61"/>
        <v>0</v>
      </c>
      <c r="AN63" s="91" t="str">
        <f t="shared" si="62"/>
        <v/>
      </c>
      <c r="AO63" s="92" t="str">
        <f t="shared" si="63"/>
        <v/>
      </c>
      <c r="AP63" s="92" t="str">
        <f t="shared" si="64"/>
        <v/>
      </c>
      <c r="AQ63" s="92" t="str">
        <f t="shared" si="65"/>
        <v/>
      </c>
      <c r="AR63" s="92" t="str">
        <f t="shared" si="66"/>
        <v/>
      </c>
      <c r="AS63" s="92" t="str">
        <f t="shared" si="67"/>
        <v/>
      </c>
      <c r="AT63" s="92" t="str">
        <f t="shared" si="68"/>
        <v/>
      </c>
      <c r="AU63" s="92" t="str">
        <f t="shared" si="69"/>
        <v/>
      </c>
      <c r="AV63" s="92" t="str">
        <f t="shared" si="92"/>
        <v/>
      </c>
      <c r="AW63" s="92" t="str">
        <f t="shared" si="92"/>
        <v/>
      </c>
      <c r="AX63" s="92" t="str">
        <f t="shared" si="92"/>
        <v/>
      </c>
      <c r="AY63" s="93" t="str">
        <f t="shared" si="71"/>
        <v/>
      </c>
      <c r="AZ63" s="94" t="str">
        <f t="shared" si="72"/>
        <v/>
      </c>
      <c r="BA63" s="95" t="str">
        <f t="shared" si="73"/>
        <v/>
      </c>
      <c r="BB63" s="248" t="s">
        <v>422</v>
      </c>
      <c r="BC63" s="229" t="s">
        <v>433</v>
      </c>
      <c r="BD63" s="249">
        <v>0</v>
      </c>
      <c r="BE63" s="267">
        <f t="shared" si="74"/>
        <v>0</v>
      </c>
      <c r="BF63" s="268">
        <f t="shared" si="93"/>
        <v>0</v>
      </c>
      <c r="BG63" s="268">
        <f t="shared" si="93"/>
        <v>0</v>
      </c>
      <c r="BH63" s="268">
        <f t="shared" si="93"/>
        <v>1</v>
      </c>
      <c r="BI63" s="268">
        <f t="shared" si="93"/>
        <v>2</v>
      </c>
      <c r="BJ63" s="268">
        <f t="shared" si="93"/>
        <v>3</v>
      </c>
      <c r="BK63" s="268">
        <f t="shared" si="93"/>
        <v>4</v>
      </c>
      <c r="BL63" s="269">
        <f t="shared" si="93"/>
        <v>5</v>
      </c>
      <c r="BM63" s="256">
        <f>IF($BC63=Lookup!$A$2,$BD63*ROUNDUP(BE63/10,0)+1,
IF($BC63=Lookup!$A$3,($BD63+1)^BD63,
IF($BC63=Lookup!$A$4,BE63*$BD63+1,"Error")))</f>
        <v>1</v>
      </c>
      <c r="BN63" s="229">
        <f>IF($BC63=Lookup!$A$2,$BD63*ROUNDUP(BF63/10,0)+1,
IF($BC63=Lookup!$A$3,($BD63+1)^BE63,
IF($BC63=Lookup!$A$4,BF63*$BD63+1,"Error")))</f>
        <v>1</v>
      </c>
      <c r="BO63" s="229">
        <f>IF($BC63=Lookup!$A$2,$BD63*ROUNDUP(BG63/10,0)+1,
IF($BC63=Lookup!$A$3,($BD63+1)^BF63,
IF($BC63=Lookup!$A$4,BG63*$BD63+1,"Error")))</f>
        <v>1</v>
      </c>
      <c r="BP63" s="229">
        <f>IF($BC63=Lookup!$A$2,$BD63*ROUNDUP(BH63/10,0)+1,
IF($BC63=Lookup!$A$3,($BD63+1)^BG63,
IF($BC63=Lookup!$A$4,BH63*$BD63+1,"Error")))</f>
        <v>1</v>
      </c>
      <c r="BQ63" s="229">
        <f>IF($BC63=Lookup!$A$2,$BD63*ROUNDUP(BI63/10,0)+1,
IF($BC63=Lookup!$A$3,($BD63+1)^BH63,
IF($BC63=Lookup!$A$4,BI63*$BD63+1,"Error")))</f>
        <v>1</v>
      </c>
      <c r="BR63" s="229">
        <f>IF($BC63=Lookup!$A$2,$BD63*ROUNDUP(BJ63/10,0)+1,
IF($BC63=Lookup!$A$3,($BD63+1)^BI63,
IF($BC63=Lookup!$A$4,BJ63*$BD63+1,"Error")))</f>
        <v>1</v>
      </c>
      <c r="BS63" s="229">
        <f>IF($BC63=Lookup!$A$2,$BD63*ROUNDUP(BK63/10,0)+1,
IF($BC63=Lookup!$A$3,($BD63+1)^BJ63,
IF($BC63=Lookup!$A$4,BK63*$BD63+1,"Error")))</f>
        <v>1</v>
      </c>
      <c r="BT63" s="249">
        <f>IF($BC63=Lookup!$A$2,$BD63*ROUNDUP(BL63/10,0)+1,
IF($BC63=Lookup!$A$3,($BD63+1)^BK63,
IF($BC63=Lookup!$A$4,BL63*$BD63+1,"Error")))</f>
        <v>1</v>
      </c>
      <c r="BU63" s="320"/>
      <c r="BV63" s="321"/>
      <c r="BW63" s="321"/>
      <c r="BX63" s="321"/>
      <c r="BY63" s="321"/>
      <c r="BZ63" s="321"/>
      <c r="CA63" s="321"/>
      <c r="CB63" s="277"/>
      <c r="CC63" s="382" t="s">
        <v>292</v>
      </c>
      <c r="CD63" s="383">
        <f>HLOOKUP($CC63,$AK$6:$AM$132,ROWS(CD$6:CD63),0)</f>
        <v>0</v>
      </c>
      <c r="CE63" s="239">
        <f t="shared" si="75"/>
        <v>0</v>
      </c>
      <c r="CF63" s="140">
        <f t="shared" si="76"/>
        <v>0</v>
      </c>
      <c r="CG63" s="140">
        <f t="shared" si="77"/>
        <v>0</v>
      </c>
      <c r="CH63" s="140">
        <f t="shared" si="78"/>
        <v>0</v>
      </c>
      <c r="CI63" s="140">
        <f t="shared" si="79"/>
        <v>0</v>
      </c>
      <c r="CJ63" s="140">
        <f t="shared" si="80"/>
        <v>0</v>
      </c>
      <c r="CK63" s="140">
        <f t="shared" si="81"/>
        <v>0</v>
      </c>
      <c r="CL63" s="291">
        <f t="shared" si="82"/>
        <v>0</v>
      </c>
      <c r="CM63" s="305" t="s">
        <v>293</v>
      </c>
      <c r="CN63" s="315">
        <v>0.05</v>
      </c>
      <c r="CO63" s="306"/>
      <c r="CP63" s="307" t="str">
        <f>IF($CO63&lt;&gt;"",$CO63,HLOOKUP($CM63,$AY$6:$BA$132,ROWS(CP$6:CP63),0))</f>
        <v/>
      </c>
      <c r="CQ63" s="784" t="str">
        <f t="shared" si="83"/>
        <v/>
      </c>
      <c r="CR63" s="784" t="str">
        <f t="shared" si="84"/>
        <v/>
      </c>
      <c r="CS63" s="97" t="str">
        <f t="shared" si="85"/>
        <v/>
      </c>
      <c r="CT63" s="97" t="str">
        <f t="shared" si="86"/>
        <v/>
      </c>
      <c r="CU63" s="97" t="str">
        <f t="shared" si="87"/>
        <v/>
      </c>
      <c r="CV63" s="97" t="str">
        <f t="shared" si="88"/>
        <v/>
      </c>
      <c r="CW63" s="97" t="str">
        <f t="shared" si="89"/>
        <v/>
      </c>
      <c r="CX63" s="98" t="str">
        <f t="shared" si="90"/>
        <v/>
      </c>
      <c r="CY63" s="392"/>
    </row>
    <row r="64" spans="1:103" x14ac:dyDescent="0.25">
      <c r="A64" s="81" t="s">
        <v>106</v>
      </c>
      <c r="B64" s="82" t="s">
        <v>131</v>
      </c>
      <c r="C64" s="83" t="s">
        <v>351</v>
      </c>
      <c r="D64" s="84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654">
        <f>'2022-23 Input'!E64</f>
        <v>0</v>
      </c>
      <c r="N64" s="1065">
        <v>0</v>
      </c>
      <c r="O64" s="560">
        <f t="shared" si="48"/>
        <v>0</v>
      </c>
      <c r="P64" s="561">
        <f t="shared" si="49"/>
        <v>0</v>
      </c>
      <c r="Q64" s="561">
        <f t="shared" si="50"/>
        <v>0</v>
      </c>
      <c r="R64" s="561">
        <f t="shared" si="51"/>
        <v>0</v>
      </c>
      <c r="S64" s="561">
        <f t="shared" si="52"/>
        <v>0</v>
      </c>
      <c r="T64" s="561">
        <f t="shared" si="53"/>
        <v>0</v>
      </c>
      <c r="U64" s="561">
        <f t="shared" si="54"/>
        <v>0</v>
      </c>
      <c r="V64" s="561">
        <f t="shared" si="55"/>
        <v>0</v>
      </c>
      <c r="W64" s="675">
        <f t="shared" si="56"/>
        <v>0</v>
      </c>
      <c r="X64" s="675">
        <f t="shared" si="57"/>
        <v>0</v>
      </c>
      <c r="Y64" s="675">
        <f t="shared" si="58"/>
        <v>0</v>
      </c>
      <c r="Z64" s="86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1094">
        <f>'2022-23 Input'!L64</f>
        <v>0</v>
      </c>
      <c r="AJ64" s="665">
        <v>0</v>
      </c>
      <c r="AK64" s="127">
        <f t="shared" si="59"/>
        <v>0</v>
      </c>
      <c r="AL64" s="128">
        <f t="shared" si="60"/>
        <v>0</v>
      </c>
      <c r="AM64" s="129">
        <f t="shared" si="61"/>
        <v>0</v>
      </c>
      <c r="AN64" s="91" t="str">
        <f t="shared" si="62"/>
        <v/>
      </c>
      <c r="AO64" s="92" t="str">
        <f t="shared" si="63"/>
        <v/>
      </c>
      <c r="AP64" s="92" t="str">
        <f t="shared" si="64"/>
        <v/>
      </c>
      <c r="AQ64" s="92" t="str">
        <f t="shared" si="65"/>
        <v/>
      </c>
      <c r="AR64" s="92" t="str">
        <f t="shared" si="66"/>
        <v/>
      </c>
      <c r="AS64" s="92" t="str">
        <f t="shared" si="67"/>
        <v/>
      </c>
      <c r="AT64" s="92" t="str">
        <f t="shared" si="68"/>
        <v/>
      </c>
      <c r="AU64" s="92" t="str">
        <f t="shared" si="69"/>
        <v/>
      </c>
      <c r="AV64" s="92" t="str">
        <f t="shared" si="92"/>
        <v/>
      </c>
      <c r="AW64" s="92" t="str">
        <f t="shared" si="92"/>
        <v/>
      </c>
      <c r="AX64" s="92" t="str">
        <f t="shared" si="92"/>
        <v/>
      </c>
      <c r="AY64" s="93" t="str">
        <f t="shared" si="71"/>
        <v/>
      </c>
      <c r="AZ64" s="94" t="str">
        <f t="shared" si="72"/>
        <v/>
      </c>
      <c r="BA64" s="95" t="str">
        <f t="shared" si="73"/>
        <v/>
      </c>
      <c r="BB64" s="248" t="s">
        <v>422</v>
      </c>
      <c r="BC64" s="229" t="s">
        <v>433</v>
      </c>
      <c r="BD64" s="249">
        <v>0</v>
      </c>
      <c r="BE64" s="267">
        <f t="shared" si="74"/>
        <v>0</v>
      </c>
      <c r="BF64" s="268">
        <f t="shared" si="93"/>
        <v>0</v>
      </c>
      <c r="BG64" s="268">
        <f t="shared" si="93"/>
        <v>0</v>
      </c>
      <c r="BH64" s="268">
        <f t="shared" si="93"/>
        <v>1</v>
      </c>
      <c r="BI64" s="268">
        <f t="shared" si="93"/>
        <v>2</v>
      </c>
      <c r="BJ64" s="268">
        <f t="shared" si="93"/>
        <v>3</v>
      </c>
      <c r="BK64" s="268">
        <f t="shared" si="93"/>
        <v>4</v>
      </c>
      <c r="BL64" s="269">
        <f t="shared" si="93"/>
        <v>5</v>
      </c>
      <c r="BM64" s="256">
        <f>IF($BC64=Lookup!$A$2,$BD64*ROUNDUP(BE64/10,0)+1,
IF($BC64=Lookup!$A$3,($BD64+1)^BD64,
IF($BC64=Lookup!$A$4,BE64*$BD64+1,"Error")))</f>
        <v>1</v>
      </c>
      <c r="BN64" s="229">
        <f>IF($BC64=Lookup!$A$2,$BD64*ROUNDUP(BF64/10,0)+1,
IF($BC64=Lookup!$A$3,($BD64+1)^BE64,
IF($BC64=Lookup!$A$4,BF64*$BD64+1,"Error")))</f>
        <v>1</v>
      </c>
      <c r="BO64" s="229">
        <f>IF($BC64=Lookup!$A$2,$BD64*ROUNDUP(BG64/10,0)+1,
IF($BC64=Lookup!$A$3,($BD64+1)^BF64,
IF($BC64=Lookup!$A$4,BG64*$BD64+1,"Error")))</f>
        <v>1</v>
      </c>
      <c r="BP64" s="229">
        <f>IF($BC64=Lookup!$A$2,$BD64*ROUNDUP(BH64/10,0)+1,
IF($BC64=Lookup!$A$3,($BD64+1)^BG64,
IF($BC64=Lookup!$A$4,BH64*$BD64+1,"Error")))</f>
        <v>1</v>
      </c>
      <c r="BQ64" s="229">
        <f>IF($BC64=Lookup!$A$2,$BD64*ROUNDUP(BI64/10,0)+1,
IF($BC64=Lookup!$A$3,($BD64+1)^BH64,
IF($BC64=Lookup!$A$4,BI64*$BD64+1,"Error")))</f>
        <v>1</v>
      </c>
      <c r="BR64" s="229">
        <f>IF($BC64=Lookup!$A$2,$BD64*ROUNDUP(BJ64/10,0)+1,
IF($BC64=Lookup!$A$3,($BD64+1)^BI64,
IF($BC64=Lookup!$A$4,BJ64*$BD64+1,"Error")))</f>
        <v>1</v>
      </c>
      <c r="BS64" s="229">
        <f>IF($BC64=Lookup!$A$2,$BD64*ROUNDUP(BK64/10,0)+1,
IF($BC64=Lookup!$A$3,($BD64+1)^BJ64,
IF($BC64=Lookup!$A$4,BK64*$BD64+1,"Error")))</f>
        <v>1</v>
      </c>
      <c r="BT64" s="249">
        <f>IF($BC64=Lookup!$A$2,$BD64*ROUNDUP(BL64/10,0)+1,
IF($BC64=Lookup!$A$3,($BD64+1)^BK64,
IF($BC64=Lookup!$A$4,BL64*$BD64+1,"Error")))</f>
        <v>1</v>
      </c>
      <c r="BU64" s="320"/>
      <c r="BV64" s="321"/>
      <c r="BW64" s="321"/>
      <c r="BX64" s="321"/>
      <c r="BY64" s="321"/>
      <c r="BZ64" s="321"/>
      <c r="CA64" s="321"/>
      <c r="CB64" s="277"/>
      <c r="CC64" s="382" t="s">
        <v>292</v>
      </c>
      <c r="CD64" s="383">
        <f>HLOOKUP($CC64,$AK$6:$AM$132,ROWS(CD$6:CD64),0)</f>
        <v>0</v>
      </c>
      <c r="CE64" s="239">
        <f t="shared" si="75"/>
        <v>0</v>
      </c>
      <c r="CF64" s="140">
        <f t="shared" si="76"/>
        <v>0</v>
      </c>
      <c r="CG64" s="140">
        <f t="shared" si="77"/>
        <v>0</v>
      </c>
      <c r="CH64" s="140">
        <f t="shared" si="78"/>
        <v>0</v>
      </c>
      <c r="CI64" s="140">
        <f t="shared" si="79"/>
        <v>0</v>
      </c>
      <c r="CJ64" s="140">
        <f t="shared" si="80"/>
        <v>0</v>
      </c>
      <c r="CK64" s="140">
        <f t="shared" si="81"/>
        <v>0</v>
      </c>
      <c r="CL64" s="291">
        <f t="shared" si="82"/>
        <v>0</v>
      </c>
      <c r="CM64" s="305" t="s">
        <v>293</v>
      </c>
      <c r="CN64" s="315">
        <v>0.05</v>
      </c>
      <c r="CO64" s="306"/>
      <c r="CP64" s="307" t="str">
        <f>IF($CO64&lt;&gt;"",$CO64,HLOOKUP($CM64,$AY$6:$BA$132,ROWS(CP$6:CP64),0))</f>
        <v/>
      </c>
      <c r="CQ64" s="784" t="str">
        <f t="shared" si="83"/>
        <v/>
      </c>
      <c r="CR64" s="784" t="str">
        <f t="shared" si="84"/>
        <v/>
      </c>
      <c r="CS64" s="97" t="str">
        <f t="shared" si="85"/>
        <v/>
      </c>
      <c r="CT64" s="97" t="str">
        <f t="shared" si="86"/>
        <v/>
      </c>
      <c r="CU64" s="97" t="str">
        <f t="shared" si="87"/>
        <v/>
      </c>
      <c r="CV64" s="97" t="str">
        <f t="shared" si="88"/>
        <v/>
      </c>
      <c r="CW64" s="97" t="str">
        <f t="shared" si="89"/>
        <v/>
      </c>
      <c r="CX64" s="98" t="str">
        <f t="shared" si="90"/>
        <v/>
      </c>
      <c r="CY64" s="392"/>
    </row>
    <row r="65" spans="1:103" x14ac:dyDescent="0.25">
      <c r="A65" s="81" t="s">
        <v>106</v>
      </c>
      <c r="B65" s="82" t="s">
        <v>133</v>
      </c>
      <c r="C65" s="83" t="s">
        <v>353</v>
      </c>
      <c r="D65" s="84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654">
        <f>'2022-23 Input'!E65</f>
        <v>0</v>
      </c>
      <c r="N65" s="1065">
        <v>0</v>
      </c>
      <c r="O65" s="560">
        <f t="shared" si="48"/>
        <v>0</v>
      </c>
      <c r="P65" s="561">
        <f t="shared" si="49"/>
        <v>0</v>
      </c>
      <c r="Q65" s="561">
        <f t="shared" si="50"/>
        <v>0</v>
      </c>
      <c r="R65" s="561">
        <f t="shared" si="51"/>
        <v>0</v>
      </c>
      <c r="S65" s="561">
        <f t="shared" si="52"/>
        <v>0</v>
      </c>
      <c r="T65" s="561">
        <f t="shared" si="53"/>
        <v>0</v>
      </c>
      <c r="U65" s="561">
        <f t="shared" si="54"/>
        <v>0</v>
      </c>
      <c r="V65" s="561">
        <f t="shared" si="55"/>
        <v>0</v>
      </c>
      <c r="W65" s="675">
        <f t="shared" si="56"/>
        <v>0</v>
      </c>
      <c r="X65" s="675">
        <f t="shared" si="57"/>
        <v>0</v>
      </c>
      <c r="Y65" s="675">
        <f t="shared" si="58"/>
        <v>0</v>
      </c>
      <c r="Z65" s="86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1094">
        <f>'2022-23 Input'!L65</f>
        <v>0</v>
      </c>
      <c r="AJ65" s="665">
        <v>0</v>
      </c>
      <c r="AK65" s="127">
        <f t="shared" si="59"/>
        <v>0</v>
      </c>
      <c r="AL65" s="128">
        <f t="shared" si="60"/>
        <v>0</v>
      </c>
      <c r="AM65" s="129">
        <f t="shared" si="61"/>
        <v>0</v>
      </c>
      <c r="AN65" s="91" t="str">
        <f t="shared" si="62"/>
        <v/>
      </c>
      <c r="AO65" s="92" t="str">
        <f t="shared" si="63"/>
        <v/>
      </c>
      <c r="AP65" s="92" t="str">
        <f t="shared" si="64"/>
        <v/>
      </c>
      <c r="AQ65" s="92" t="str">
        <f t="shared" si="65"/>
        <v/>
      </c>
      <c r="AR65" s="92" t="str">
        <f t="shared" si="66"/>
        <v/>
      </c>
      <c r="AS65" s="92" t="str">
        <f t="shared" si="67"/>
        <v/>
      </c>
      <c r="AT65" s="92" t="str">
        <f t="shared" si="68"/>
        <v/>
      </c>
      <c r="AU65" s="92" t="str">
        <f t="shared" si="69"/>
        <v/>
      </c>
      <c r="AV65" s="92" t="str">
        <f t="shared" si="92"/>
        <v/>
      </c>
      <c r="AW65" s="92" t="str">
        <f t="shared" si="92"/>
        <v/>
      </c>
      <c r="AX65" s="92" t="str">
        <f t="shared" si="92"/>
        <v/>
      </c>
      <c r="AY65" s="93" t="str">
        <f t="shared" si="71"/>
        <v/>
      </c>
      <c r="AZ65" s="94" t="str">
        <f t="shared" si="72"/>
        <v/>
      </c>
      <c r="BA65" s="95" t="str">
        <f t="shared" si="73"/>
        <v/>
      </c>
      <c r="BB65" s="248" t="s">
        <v>422</v>
      </c>
      <c r="BC65" s="229" t="s">
        <v>433</v>
      </c>
      <c r="BD65" s="249">
        <v>0</v>
      </c>
      <c r="BE65" s="267">
        <f t="shared" si="74"/>
        <v>0</v>
      </c>
      <c r="BF65" s="268">
        <f t="shared" si="93"/>
        <v>0</v>
      </c>
      <c r="BG65" s="268">
        <f t="shared" si="93"/>
        <v>0</v>
      </c>
      <c r="BH65" s="268">
        <f t="shared" si="93"/>
        <v>1</v>
      </c>
      <c r="BI65" s="268">
        <f t="shared" si="93"/>
        <v>2</v>
      </c>
      <c r="BJ65" s="268">
        <f t="shared" si="93"/>
        <v>3</v>
      </c>
      <c r="BK65" s="268">
        <f t="shared" si="93"/>
        <v>4</v>
      </c>
      <c r="BL65" s="269">
        <f t="shared" si="93"/>
        <v>5</v>
      </c>
      <c r="BM65" s="256">
        <f>IF($BC65=Lookup!$A$2,$BD65*ROUNDUP(BE65/10,0)+1,
IF($BC65=Lookup!$A$3,($BD65+1)^BD65,
IF($BC65=Lookup!$A$4,BE65*$BD65+1,"Error")))</f>
        <v>1</v>
      </c>
      <c r="BN65" s="229">
        <f>IF($BC65=Lookup!$A$2,$BD65*ROUNDUP(BF65/10,0)+1,
IF($BC65=Lookup!$A$3,($BD65+1)^BE65,
IF($BC65=Lookup!$A$4,BF65*$BD65+1,"Error")))</f>
        <v>1</v>
      </c>
      <c r="BO65" s="229">
        <f>IF($BC65=Lookup!$A$2,$BD65*ROUNDUP(BG65/10,0)+1,
IF($BC65=Lookup!$A$3,($BD65+1)^BF65,
IF($BC65=Lookup!$A$4,BG65*$BD65+1,"Error")))</f>
        <v>1</v>
      </c>
      <c r="BP65" s="229">
        <f>IF($BC65=Lookup!$A$2,$BD65*ROUNDUP(BH65/10,0)+1,
IF($BC65=Lookup!$A$3,($BD65+1)^BG65,
IF($BC65=Lookup!$A$4,BH65*$BD65+1,"Error")))</f>
        <v>1</v>
      </c>
      <c r="BQ65" s="229">
        <f>IF($BC65=Lookup!$A$2,$BD65*ROUNDUP(BI65/10,0)+1,
IF($BC65=Lookup!$A$3,($BD65+1)^BH65,
IF($BC65=Lookup!$A$4,BI65*$BD65+1,"Error")))</f>
        <v>1</v>
      </c>
      <c r="BR65" s="229">
        <f>IF($BC65=Lookup!$A$2,$BD65*ROUNDUP(BJ65/10,0)+1,
IF($BC65=Lookup!$A$3,($BD65+1)^BI65,
IF($BC65=Lookup!$A$4,BJ65*$BD65+1,"Error")))</f>
        <v>1</v>
      </c>
      <c r="BS65" s="229">
        <f>IF($BC65=Lookup!$A$2,$BD65*ROUNDUP(BK65/10,0)+1,
IF($BC65=Lookup!$A$3,($BD65+1)^BJ65,
IF($BC65=Lookup!$A$4,BK65*$BD65+1,"Error")))</f>
        <v>1</v>
      </c>
      <c r="BT65" s="249">
        <f>IF($BC65=Lookup!$A$2,$BD65*ROUNDUP(BL65/10,0)+1,
IF($BC65=Lookup!$A$3,($BD65+1)^BK65,
IF($BC65=Lookup!$A$4,BL65*$BD65+1,"Error")))</f>
        <v>1</v>
      </c>
      <c r="BU65" s="320"/>
      <c r="BV65" s="321"/>
      <c r="BW65" s="321"/>
      <c r="BX65" s="321"/>
      <c r="BY65" s="321"/>
      <c r="BZ65" s="321"/>
      <c r="CA65" s="321"/>
      <c r="CB65" s="277"/>
      <c r="CC65" s="382" t="s">
        <v>292</v>
      </c>
      <c r="CD65" s="383">
        <f>HLOOKUP($CC65,$AK$6:$AM$132,ROWS(CD$6:CD65),0)</f>
        <v>0</v>
      </c>
      <c r="CE65" s="239">
        <f t="shared" si="75"/>
        <v>0</v>
      </c>
      <c r="CF65" s="140">
        <f t="shared" si="76"/>
        <v>0</v>
      </c>
      <c r="CG65" s="140">
        <f t="shared" si="77"/>
        <v>0</v>
      </c>
      <c r="CH65" s="140">
        <f t="shared" si="78"/>
        <v>0</v>
      </c>
      <c r="CI65" s="140">
        <f t="shared" si="79"/>
        <v>0</v>
      </c>
      <c r="CJ65" s="140">
        <f t="shared" si="80"/>
        <v>0</v>
      </c>
      <c r="CK65" s="140">
        <f t="shared" si="81"/>
        <v>0</v>
      </c>
      <c r="CL65" s="291">
        <f t="shared" si="82"/>
        <v>0</v>
      </c>
      <c r="CM65" s="305" t="s">
        <v>293</v>
      </c>
      <c r="CN65" s="315">
        <v>0.05</v>
      </c>
      <c r="CO65" s="306"/>
      <c r="CP65" s="307" t="str">
        <f>IF($CO65&lt;&gt;"",$CO65,HLOOKUP($CM65,$AY$6:$BA$132,ROWS(CP$6:CP65),0))</f>
        <v/>
      </c>
      <c r="CQ65" s="784" t="str">
        <f t="shared" si="83"/>
        <v/>
      </c>
      <c r="CR65" s="784" t="str">
        <f t="shared" si="84"/>
        <v/>
      </c>
      <c r="CS65" s="97" t="str">
        <f t="shared" si="85"/>
        <v/>
      </c>
      <c r="CT65" s="97" t="str">
        <f t="shared" si="86"/>
        <v/>
      </c>
      <c r="CU65" s="97" t="str">
        <f t="shared" si="87"/>
        <v/>
      </c>
      <c r="CV65" s="97" t="str">
        <f t="shared" si="88"/>
        <v/>
      </c>
      <c r="CW65" s="97" t="str">
        <f t="shared" si="89"/>
        <v/>
      </c>
      <c r="CX65" s="98" t="str">
        <f t="shared" si="90"/>
        <v/>
      </c>
      <c r="CY65" s="392"/>
    </row>
    <row r="66" spans="1:103" ht="15.75" thickBot="1" x14ac:dyDescent="0.3">
      <c r="A66" s="100" t="s">
        <v>106</v>
      </c>
      <c r="B66" s="101" t="s">
        <v>827</v>
      </c>
      <c r="C66" s="102" t="s">
        <v>355</v>
      </c>
      <c r="D66" s="103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655">
        <f>'2022-23 Input'!E66</f>
        <v>0</v>
      </c>
      <c r="N66" s="1066">
        <v>0</v>
      </c>
      <c r="O66" s="563">
        <f t="shared" si="48"/>
        <v>0</v>
      </c>
      <c r="P66" s="564">
        <f t="shared" si="49"/>
        <v>0</v>
      </c>
      <c r="Q66" s="564">
        <f t="shared" si="50"/>
        <v>0</v>
      </c>
      <c r="R66" s="564">
        <f t="shared" si="51"/>
        <v>0</v>
      </c>
      <c r="S66" s="564">
        <f t="shared" si="52"/>
        <v>0</v>
      </c>
      <c r="T66" s="564">
        <f t="shared" si="53"/>
        <v>0</v>
      </c>
      <c r="U66" s="564">
        <f t="shared" si="54"/>
        <v>0</v>
      </c>
      <c r="V66" s="564">
        <f t="shared" si="55"/>
        <v>0</v>
      </c>
      <c r="W66" s="676">
        <f t="shared" si="56"/>
        <v>0</v>
      </c>
      <c r="X66" s="676">
        <f t="shared" si="57"/>
        <v>0</v>
      </c>
      <c r="Y66" s="676">
        <f t="shared" si="58"/>
        <v>0</v>
      </c>
      <c r="Z66" s="105">
        <v>0</v>
      </c>
      <c r="AA66" s="106">
        <v>0</v>
      </c>
      <c r="AB66" s="106">
        <v>0</v>
      </c>
      <c r="AC66" s="106">
        <v>0</v>
      </c>
      <c r="AD66" s="106">
        <v>0</v>
      </c>
      <c r="AE66" s="106">
        <v>0</v>
      </c>
      <c r="AF66" s="106">
        <v>0</v>
      </c>
      <c r="AG66" s="106">
        <v>0</v>
      </c>
      <c r="AH66" s="106">
        <v>0</v>
      </c>
      <c r="AI66" s="1095">
        <f>'2022-23 Input'!L66</f>
        <v>0</v>
      </c>
      <c r="AJ66" s="666">
        <v>0</v>
      </c>
      <c r="AK66" s="133">
        <f t="shared" si="59"/>
        <v>0</v>
      </c>
      <c r="AL66" s="134">
        <f t="shared" si="60"/>
        <v>0</v>
      </c>
      <c r="AM66" s="135">
        <f t="shared" si="61"/>
        <v>0</v>
      </c>
      <c r="AN66" s="110" t="str">
        <f t="shared" si="62"/>
        <v/>
      </c>
      <c r="AO66" s="111" t="str">
        <f t="shared" si="63"/>
        <v/>
      </c>
      <c r="AP66" s="111" t="str">
        <f t="shared" si="64"/>
        <v/>
      </c>
      <c r="AQ66" s="111" t="str">
        <f t="shared" si="65"/>
        <v/>
      </c>
      <c r="AR66" s="111" t="str">
        <f t="shared" si="66"/>
        <v/>
      </c>
      <c r="AS66" s="111" t="str">
        <f t="shared" si="67"/>
        <v/>
      </c>
      <c r="AT66" s="111" t="str">
        <f t="shared" si="68"/>
        <v/>
      </c>
      <c r="AU66" s="111" t="str">
        <f t="shared" si="69"/>
        <v/>
      </c>
      <c r="AV66" s="111" t="str">
        <f t="shared" si="92"/>
        <v/>
      </c>
      <c r="AW66" s="111" t="str">
        <f t="shared" si="92"/>
        <v/>
      </c>
      <c r="AX66" s="111" t="str">
        <f t="shared" si="92"/>
        <v/>
      </c>
      <c r="AY66" s="112" t="str">
        <f t="shared" si="71"/>
        <v/>
      </c>
      <c r="AZ66" s="113" t="str">
        <f t="shared" si="72"/>
        <v/>
      </c>
      <c r="BA66" s="114" t="str">
        <f t="shared" si="73"/>
        <v/>
      </c>
      <c r="BB66" s="250" t="s">
        <v>422</v>
      </c>
      <c r="BC66" s="230" t="s">
        <v>433</v>
      </c>
      <c r="BD66" s="251">
        <v>0</v>
      </c>
      <c r="BE66" s="270">
        <f t="shared" si="74"/>
        <v>0</v>
      </c>
      <c r="BF66" s="271">
        <f t="shared" si="93"/>
        <v>0</v>
      </c>
      <c r="BG66" s="271">
        <f t="shared" si="93"/>
        <v>0</v>
      </c>
      <c r="BH66" s="271">
        <f t="shared" si="93"/>
        <v>1</v>
      </c>
      <c r="BI66" s="271">
        <f t="shared" si="93"/>
        <v>2</v>
      </c>
      <c r="BJ66" s="271">
        <f t="shared" si="93"/>
        <v>3</v>
      </c>
      <c r="BK66" s="271">
        <f t="shared" si="93"/>
        <v>4</v>
      </c>
      <c r="BL66" s="272">
        <f t="shared" si="93"/>
        <v>5</v>
      </c>
      <c r="BM66" s="257">
        <f>IF($BC66=Lookup!$A$2,$BD66*ROUNDUP(BE66/10,0)+1,
IF($BC66=Lookup!$A$3,($BD66+1)^BD66,
IF($BC66=Lookup!$A$4,BE66*$BD66+1,"Error")))</f>
        <v>1</v>
      </c>
      <c r="BN66" s="230">
        <f>IF($BC66=Lookup!$A$2,$BD66*ROUNDUP(BF66/10,0)+1,
IF($BC66=Lookup!$A$3,($BD66+1)^BE66,
IF($BC66=Lookup!$A$4,BF66*$BD66+1,"Error")))</f>
        <v>1</v>
      </c>
      <c r="BO66" s="230">
        <f>IF($BC66=Lookup!$A$2,$BD66*ROUNDUP(BG66/10,0)+1,
IF($BC66=Lookup!$A$3,($BD66+1)^BF66,
IF($BC66=Lookup!$A$4,BG66*$BD66+1,"Error")))</f>
        <v>1</v>
      </c>
      <c r="BP66" s="230">
        <f>IF($BC66=Lookup!$A$2,$BD66*ROUNDUP(BH66/10,0)+1,
IF($BC66=Lookup!$A$3,($BD66+1)^BG66,
IF($BC66=Lookup!$A$4,BH66*$BD66+1,"Error")))</f>
        <v>1</v>
      </c>
      <c r="BQ66" s="230">
        <f>IF($BC66=Lookup!$A$2,$BD66*ROUNDUP(BI66/10,0)+1,
IF($BC66=Lookup!$A$3,($BD66+1)^BH66,
IF($BC66=Lookup!$A$4,BI66*$BD66+1,"Error")))</f>
        <v>1</v>
      </c>
      <c r="BR66" s="230">
        <f>IF($BC66=Lookup!$A$2,$BD66*ROUNDUP(BJ66/10,0)+1,
IF($BC66=Lookup!$A$3,($BD66+1)^BI66,
IF($BC66=Lookup!$A$4,BJ66*$BD66+1,"Error")))</f>
        <v>1</v>
      </c>
      <c r="BS66" s="230">
        <f>IF($BC66=Lookup!$A$2,$BD66*ROUNDUP(BK66/10,0)+1,
IF($BC66=Lookup!$A$3,($BD66+1)^BJ66,
IF($BC66=Lookup!$A$4,BK66*$BD66+1,"Error")))</f>
        <v>1</v>
      </c>
      <c r="BT66" s="251">
        <f>IF($BC66=Lookup!$A$2,$BD66*ROUNDUP(BL66/10,0)+1,
IF($BC66=Lookup!$A$3,($BD66+1)^BK66,
IF($BC66=Lookup!$A$4,BL66*$BD66+1,"Error")))</f>
        <v>1</v>
      </c>
      <c r="BU66" s="322"/>
      <c r="BV66" s="323"/>
      <c r="BW66" s="323"/>
      <c r="BX66" s="323"/>
      <c r="BY66" s="323"/>
      <c r="BZ66" s="323"/>
      <c r="CA66" s="323"/>
      <c r="CB66" s="278"/>
      <c r="CC66" s="384" t="s">
        <v>292</v>
      </c>
      <c r="CD66" s="385">
        <f>HLOOKUP($CC66,$AK$6:$AM$132,ROWS(CD$6:CD66),0)</f>
        <v>0</v>
      </c>
      <c r="CE66" s="240">
        <f t="shared" si="75"/>
        <v>0</v>
      </c>
      <c r="CF66" s="141">
        <f t="shared" si="76"/>
        <v>0</v>
      </c>
      <c r="CG66" s="141">
        <f t="shared" si="77"/>
        <v>0</v>
      </c>
      <c r="CH66" s="141">
        <f t="shared" si="78"/>
        <v>0</v>
      </c>
      <c r="CI66" s="141">
        <f t="shared" si="79"/>
        <v>0</v>
      </c>
      <c r="CJ66" s="141">
        <f t="shared" si="80"/>
        <v>0</v>
      </c>
      <c r="CK66" s="141">
        <f t="shared" si="81"/>
        <v>0</v>
      </c>
      <c r="CL66" s="292">
        <f t="shared" si="82"/>
        <v>0</v>
      </c>
      <c r="CM66" s="308" t="s">
        <v>293</v>
      </c>
      <c r="CN66" s="316">
        <v>0.05</v>
      </c>
      <c r="CO66" s="309"/>
      <c r="CP66" s="310" t="str">
        <f>IF($CO66&lt;&gt;"",$CO66,HLOOKUP($CM66,$AY$6:$BA$132,ROWS(CP$6:CP66),0))</f>
        <v/>
      </c>
      <c r="CQ66" s="785" t="str">
        <f t="shared" si="83"/>
        <v/>
      </c>
      <c r="CR66" s="785" t="str">
        <f t="shared" si="84"/>
        <v/>
      </c>
      <c r="CS66" s="117" t="str">
        <f t="shared" si="85"/>
        <v/>
      </c>
      <c r="CT66" s="117" t="str">
        <f t="shared" si="86"/>
        <v/>
      </c>
      <c r="CU66" s="117" t="str">
        <f t="shared" si="87"/>
        <v/>
      </c>
      <c r="CV66" s="117" t="str">
        <f t="shared" si="88"/>
        <v/>
      </c>
      <c r="CW66" s="117" t="str">
        <f t="shared" si="89"/>
        <v/>
      </c>
      <c r="CX66" s="118" t="str">
        <f t="shared" si="90"/>
        <v/>
      </c>
      <c r="CY66" s="393"/>
    </row>
    <row r="67" spans="1:103" x14ac:dyDescent="0.25">
      <c r="A67" s="142" t="s">
        <v>138</v>
      </c>
      <c r="B67" s="143" t="s">
        <v>135</v>
      </c>
      <c r="C67" s="65" t="s">
        <v>356</v>
      </c>
      <c r="D67" s="66">
        <v>184830.03476708528</v>
      </c>
      <c r="E67" s="67">
        <v>384213.39381919859</v>
      </c>
      <c r="F67" s="67">
        <v>921163.58280652761</v>
      </c>
      <c r="G67" s="67">
        <v>628658.4037855136</v>
      </c>
      <c r="H67" s="67">
        <v>605119.02991778171</v>
      </c>
      <c r="I67" s="67">
        <v>771292.11975590885</v>
      </c>
      <c r="J67" s="67">
        <v>624173.08062637039</v>
      </c>
      <c r="K67" s="67">
        <v>174.69900000000001</v>
      </c>
      <c r="L67" s="67">
        <v>0</v>
      </c>
      <c r="M67" s="653">
        <f>'2022-23 Input'!E67</f>
        <v>0</v>
      </c>
      <c r="N67" s="1064">
        <v>0</v>
      </c>
      <c r="O67" s="557">
        <f t="shared" si="48"/>
        <v>248680.73825654617</v>
      </c>
      <c r="P67" s="558">
        <f t="shared" si="49"/>
        <v>509248.31313253846</v>
      </c>
      <c r="Q67" s="558">
        <f t="shared" si="50"/>
        <v>1208571.9152459526</v>
      </c>
      <c r="R67" s="558">
        <f t="shared" si="51"/>
        <v>809156.76142120687</v>
      </c>
      <c r="S67" s="558">
        <f t="shared" si="52"/>
        <v>763005.96001138061</v>
      </c>
      <c r="T67" s="558">
        <f t="shared" si="53"/>
        <v>957287.8989652727</v>
      </c>
      <c r="U67" s="558">
        <f t="shared" si="54"/>
        <v>777400.06549669767</v>
      </c>
      <c r="V67" s="558">
        <f t="shared" si="55"/>
        <v>209.52678118359003</v>
      </c>
      <c r="W67" s="674">
        <f t="shared" si="56"/>
        <v>0</v>
      </c>
      <c r="X67" s="674">
        <f t="shared" si="57"/>
        <v>0</v>
      </c>
      <c r="Y67" s="674">
        <f t="shared" si="58"/>
        <v>0</v>
      </c>
      <c r="Z67" s="68">
        <v>8</v>
      </c>
      <c r="AA67" s="69">
        <v>17</v>
      </c>
      <c r="AB67" s="69">
        <v>33</v>
      </c>
      <c r="AC67" s="69">
        <v>25</v>
      </c>
      <c r="AD67" s="69">
        <v>33</v>
      </c>
      <c r="AE67" s="69">
        <v>54</v>
      </c>
      <c r="AF67" s="69">
        <v>30</v>
      </c>
      <c r="AG67" s="69">
        <v>0</v>
      </c>
      <c r="AH67" s="69">
        <v>0</v>
      </c>
      <c r="AI67" s="1093">
        <f>'2022-23 Input'!L67</f>
        <v>0</v>
      </c>
      <c r="AJ67" s="664">
        <v>0</v>
      </c>
      <c r="AK67" s="70">
        <f t="shared" si="59"/>
        <v>16.8</v>
      </c>
      <c r="AL67" s="71">
        <f t="shared" si="60"/>
        <v>0</v>
      </c>
      <c r="AM67" s="72">
        <f t="shared" si="61"/>
        <v>0</v>
      </c>
      <c r="AN67" s="73">
        <f t="shared" si="62"/>
        <v>23103.75434588566</v>
      </c>
      <c r="AO67" s="74">
        <f t="shared" si="63"/>
        <v>22600.787871717563</v>
      </c>
      <c r="AP67" s="74">
        <f t="shared" si="64"/>
        <v>27914.047963834171</v>
      </c>
      <c r="AQ67" s="74">
        <f t="shared" si="65"/>
        <v>25146.336151420543</v>
      </c>
      <c r="AR67" s="74">
        <f t="shared" si="66"/>
        <v>18336.940300538841</v>
      </c>
      <c r="AS67" s="74">
        <f t="shared" si="67"/>
        <v>14283.187402887201</v>
      </c>
      <c r="AT67" s="74">
        <f t="shared" si="68"/>
        <v>20805.769354212345</v>
      </c>
      <c r="AU67" s="74" t="str">
        <f t="shared" si="69"/>
        <v/>
      </c>
      <c r="AV67" s="74" t="str">
        <f t="shared" si="92"/>
        <v/>
      </c>
      <c r="AW67" s="74" t="str">
        <f t="shared" si="92"/>
        <v/>
      </c>
      <c r="AX67" s="74" t="str">
        <f t="shared" si="92"/>
        <v/>
      </c>
      <c r="AY67" s="75">
        <f t="shared" si="71"/>
        <v>16614.760706931895</v>
      </c>
      <c r="AZ67" s="76" t="str">
        <f t="shared" si="72"/>
        <v/>
      </c>
      <c r="BA67" s="77" t="str">
        <f t="shared" si="73"/>
        <v/>
      </c>
      <c r="BB67" s="246" t="s">
        <v>422</v>
      </c>
      <c r="BC67" s="228" t="s">
        <v>433</v>
      </c>
      <c r="BD67" s="247">
        <v>-0.125</v>
      </c>
      <c r="BE67" s="264">
        <f t="shared" si="74"/>
        <v>0</v>
      </c>
      <c r="BF67" s="265">
        <f t="shared" ref="BF67:BL76" si="94">IF(BF$6=$BB67,1,
IF(BE67&lt;&gt;0,BE67+1,0
))</f>
        <v>0</v>
      </c>
      <c r="BG67" s="265">
        <f t="shared" si="94"/>
        <v>0</v>
      </c>
      <c r="BH67" s="265">
        <f t="shared" si="94"/>
        <v>1</v>
      </c>
      <c r="BI67" s="265">
        <f t="shared" si="94"/>
        <v>2</v>
      </c>
      <c r="BJ67" s="265">
        <f t="shared" si="94"/>
        <v>3</v>
      </c>
      <c r="BK67" s="265">
        <f t="shared" si="94"/>
        <v>4</v>
      </c>
      <c r="BL67" s="266">
        <f t="shared" si="94"/>
        <v>5</v>
      </c>
      <c r="BM67" s="255">
        <f>IF($BC67=Lookup!$A$2,$BD67*ROUNDUP(BE67/10,0)+1,
IF($BC67=Lookup!$A$3,($BD67+1)^BD67,
IF($BC67=Lookup!$A$4,BE67*$BD67+1,"Error")))</f>
        <v>1</v>
      </c>
      <c r="BN67" s="228">
        <f>IF($BC67=Lookup!$A$2,$BD67*ROUNDUP(BF67/10,0)+1,
IF($BC67=Lookup!$A$3,($BD67+1)^BE67,
IF($BC67=Lookup!$A$4,BF67*$BD67+1,"Error")))</f>
        <v>1</v>
      </c>
      <c r="BO67" s="228">
        <f>IF($BC67=Lookup!$A$2,$BD67*ROUNDUP(BG67/10,0)+1,
IF($BC67=Lookup!$A$3,($BD67+1)^BF67,
IF($BC67=Lookup!$A$4,BG67*$BD67+1,"Error")))</f>
        <v>1</v>
      </c>
      <c r="BP67" s="228">
        <f>IF($BC67=Lookup!$A$2,$BD67*ROUNDUP(BH67/10,0)+1,
IF($BC67=Lookup!$A$3,($BD67+1)^BG67,
IF($BC67=Lookup!$A$4,BH67*$BD67+1,"Error")))</f>
        <v>0.875</v>
      </c>
      <c r="BQ67" s="228">
        <f>IF($BC67=Lookup!$A$2,$BD67*ROUNDUP(BI67/10,0)+1,
IF($BC67=Lookup!$A$3,($BD67+1)^BH67,
IF($BC67=Lookup!$A$4,BI67*$BD67+1,"Error")))</f>
        <v>0.875</v>
      </c>
      <c r="BR67" s="228">
        <f>IF($BC67=Lookup!$A$2,$BD67*ROUNDUP(BJ67/10,0)+1,
IF($BC67=Lookup!$A$3,($BD67+1)^BI67,
IF($BC67=Lookup!$A$4,BJ67*$BD67+1,"Error")))</f>
        <v>0.875</v>
      </c>
      <c r="BS67" s="228">
        <f>IF($BC67=Lookup!$A$2,$BD67*ROUNDUP(BK67/10,0)+1,
IF($BC67=Lookup!$A$3,($BD67+1)^BJ67,
IF($BC67=Lookup!$A$4,BK67*$BD67+1,"Error")))</f>
        <v>0.875</v>
      </c>
      <c r="BT67" s="247">
        <f>IF($BC67=Lookup!$A$2,$BD67*ROUNDUP(BL67/10,0)+1,
IF($BC67=Lookup!$A$3,($BD67+1)^BK67,
IF($BC67=Lookup!$A$4,BL67*$BD67+1,"Error")))</f>
        <v>0.875</v>
      </c>
      <c r="BU67" s="318"/>
      <c r="BV67" s="319"/>
      <c r="BW67" s="319"/>
      <c r="BX67" s="319"/>
      <c r="BY67" s="319"/>
      <c r="BZ67" s="319"/>
      <c r="CA67" s="319"/>
      <c r="CB67" s="276"/>
      <c r="CC67" s="380" t="s">
        <v>292</v>
      </c>
      <c r="CD67" s="381">
        <f>HLOOKUP($CC67,$AK$6:$AM$132,ROWS(CD$6:CD67),0)</f>
        <v>16.8</v>
      </c>
      <c r="CE67" s="233">
        <f t="shared" si="75"/>
        <v>16.8</v>
      </c>
      <c r="CF67" s="78">
        <f t="shared" si="76"/>
        <v>16.8</v>
      </c>
      <c r="CG67" s="78">
        <f t="shared" si="77"/>
        <v>16.8</v>
      </c>
      <c r="CH67" s="78">
        <f t="shared" si="78"/>
        <v>14.700000000000001</v>
      </c>
      <c r="CI67" s="78">
        <f t="shared" si="79"/>
        <v>14.700000000000001</v>
      </c>
      <c r="CJ67" s="78">
        <f t="shared" si="80"/>
        <v>14.700000000000001</v>
      </c>
      <c r="CK67" s="78">
        <f t="shared" si="81"/>
        <v>14.700000000000001</v>
      </c>
      <c r="CL67" s="285">
        <f t="shared" si="82"/>
        <v>14.700000000000001</v>
      </c>
      <c r="CM67" s="302" t="s">
        <v>293</v>
      </c>
      <c r="CN67" s="314">
        <v>0.05</v>
      </c>
      <c r="CO67" s="303"/>
      <c r="CP67" s="304" t="str">
        <f>IF($CO67&lt;&gt;"",$CO67,HLOOKUP($CM67,$AY$6:$BA$132,ROWS(CP$6:CP67),0))</f>
        <v/>
      </c>
      <c r="CQ67" s="783" t="str">
        <f t="shared" si="83"/>
        <v/>
      </c>
      <c r="CR67" s="783" t="str">
        <f t="shared" si="84"/>
        <v/>
      </c>
      <c r="CS67" s="79" t="str">
        <f t="shared" si="85"/>
        <v/>
      </c>
      <c r="CT67" s="79" t="str">
        <f t="shared" si="86"/>
        <v/>
      </c>
      <c r="CU67" s="79" t="str">
        <f t="shared" si="87"/>
        <v/>
      </c>
      <c r="CV67" s="79" t="str">
        <f t="shared" si="88"/>
        <v/>
      </c>
      <c r="CW67" s="79" t="str">
        <f t="shared" si="89"/>
        <v/>
      </c>
      <c r="CX67" s="80" t="str">
        <f t="shared" si="90"/>
        <v/>
      </c>
      <c r="CY67" s="391"/>
    </row>
    <row r="68" spans="1:103" x14ac:dyDescent="0.25">
      <c r="A68" s="81" t="s">
        <v>138</v>
      </c>
      <c r="B68" s="82" t="s">
        <v>139</v>
      </c>
      <c r="C68" s="83" t="s">
        <v>357</v>
      </c>
      <c r="D68" s="84">
        <v>0</v>
      </c>
      <c r="E68" s="85">
        <v>0</v>
      </c>
      <c r="F68" s="85">
        <v>205221.10236238583</v>
      </c>
      <c r="G68" s="85">
        <v>0</v>
      </c>
      <c r="H68" s="85">
        <v>250610.61721374709</v>
      </c>
      <c r="I68" s="85">
        <v>0</v>
      </c>
      <c r="J68" s="85">
        <v>0</v>
      </c>
      <c r="K68" s="85">
        <v>0</v>
      </c>
      <c r="L68" s="85">
        <v>0</v>
      </c>
      <c r="M68" s="654">
        <f>'2022-23 Input'!E68</f>
        <v>0</v>
      </c>
      <c r="N68" s="1065">
        <v>0</v>
      </c>
      <c r="O68" s="560">
        <f t="shared" si="48"/>
        <v>0</v>
      </c>
      <c r="P68" s="561">
        <f t="shared" si="49"/>
        <v>0</v>
      </c>
      <c r="Q68" s="561">
        <f t="shared" si="50"/>
        <v>269251.26585587894</v>
      </c>
      <c r="R68" s="561">
        <f t="shared" si="51"/>
        <v>0</v>
      </c>
      <c r="S68" s="561">
        <f t="shared" si="52"/>
        <v>315999.63828967774</v>
      </c>
      <c r="T68" s="561">
        <f t="shared" si="53"/>
        <v>0</v>
      </c>
      <c r="U68" s="561">
        <f t="shared" si="54"/>
        <v>0</v>
      </c>
      <c r="V68" s="561">
        <f t="shared" si="55"/>
        <v>0</v>
      </c>
      <c r="W68" s="675">
        <f t="shared" si="56"/>
        <v>0</v>
      </c>
      <c r="X68" s="675">
        <f t="shared" si="57"/>
        <v>0</v>
      </c>
      <c r="Y68" s="675">
        <f t="shared" si="58"/>
        <v>0</v>
      </c>
      <c r="Z68" s="86">
        <v>0</v>
      </c>
      <c r="AA68" s="87">
        <v>0</v>
      </c>
      <c r="AB68" s="87">
        <v>1</v>
      </c>
      <c r="AC68" s="87">
        <v>0</v>
      </c>
      <c r="AD68" s="87">
        <v>2</v>
      </c>
      <c r="AE68" s="87">
        <v>0</v>
      </c>
      <c r="AF68" s="87">
        <v>0</v>
      </c>
      <c r="AG68" s="87">
        <v>0</v>
      </c>
      <c r="AH68" s="87">
        <v>0</v>
      </c>
      <c r="AI68" s="1094">
        <f>'2022-23 Input'!L68</f>
        <v>0</v>
      </c>
      <c r="AJ68" s="665">
        <v>0</v>
      </c>
      <c r="AK68" s="88">
        <f t="shared" si="59"/>
        <v>0</v>
      </c>
      <c r="AL68" s="89">
        <f t="shared" si="60"/>
        <v>0</v>
      </c>
      <c r="AM68" s="90">
        <f t="shared" si="61"/>
        <v>0</v>
      </c>
      <c r="AN68" s="91" t="str">
        <f t="shared" si="62"/>
        <v/>
      </c>
      <c r="AO68" s="92" t="str">
        <f t="shared" si="63"/>
        <v/>
      </c>
      <c r="AP68" s="92">
        <f t="shared" si="64"/>
        <v>205221.10236238583</v>
      </c>
      <c r="AQ68" s="92" t="str">
        <f t="shared" si="65"/>
        <v/>
      </c>
      <c r="AR68" s="92">
        <f t="shared" si="66"/>
        <v>125305.30860687354</v>
      </c>
      <c r="AS68" s="92" t="str">
        <f t="shared" si="67"/>
        <v/>
      </c>
      <c r="AT68" s="92" t="str">
        <f t="shared" si="68"/>
        <v/>
      </c>
      <c r="AU68" s="92" t="str">
        <f t="shared" si="69"/>
        <v/>
      </c>
      <c r="AV68" s="92" t="str">
        <f t="shared" si="92"/>
        <v/>
      </c>
      <c r="AW68" s="92" t="str">
        <f t="shared" si="92"/>
        <v/>
      </c>
      <c r="AX68" s="92" t="str">
        <f t="shared" si="92"/>
        <v/>
      </c>
      <c r="AY68" s="93" t="str">
        <f t="shared" si="71"/>
        <v/>
      </c>
      <c r="AZ68" s="94" t="str">
        <f t="shared" si="72"/>
        <v/>
      </c>
      <c r="BA68" s="95" t="str">
        <f t="shared" si="73"/>
        <v/>
      </c>
      <c r="BB68" s="248" t="s">
        <v>422</v>
      </c>
      <c r="BC68" s="229" t="s">
        <v>433</v>
      </c>
      <c r="BD68" s="249">
        <v>-0.125</v>
      </c>
      <c r="BE68" s="267">
        <f t="shared" si="74"/>
        <v>0</v>
      </c>
      <c r="BF68" s="268">
        <f t="shared" si="94"/>
        <v>0</v>
      </c>
      <c r="BG68" s="268">
        <f t="shared" si="94"/>
        <v>0</v>
      </c>
      <c r="BH68" s="268">
        <f t="shared" si="94"/>
        <v>1</v>
      </c>
      <c r="BI68" s="268">
        <f t="shared" si="94"/>
        <v>2</v>
      </c>
      <c r="BJ68" s="268">
        <f t="shared" si="94"/>
        <v>3</v>
      </c>
      <c r="BK68" s="268">
        <f t="shared" si="94"/>
        <v>4</v>
      </c>
      <c r="BL68" s="269">
        <f t="shared" si="94"/>
        <v>5</v>
      </c>
      <c r="BM68" s="256">
        <f>IF($BC68=Lookup!$A$2,$BD68*ROUNDUP(BE68/10,0)+1,
IF($BC68=Lookup!$A$3,($BD68+1)^BD68,
IF($BC68=Lookup!$A$4,BE68*$BD68+1,"Error")))</f>
        <v>1</v>
      </c>
      <c r="BN68" s="229">
        <f>IF($BC68=Lookup!$A$2,$BD68*ROUNDUP(BF68/10,0)+1,
IF($BC68=Lookup!$A$3,($BD68+1)^BE68,
IF($BC68=Lookup!$A$4,BF68*$BD68+1,"Error")))</f>
        <v>1</v>
      </c>
      <c r="BO68" s="229">
        <f>IF($BC68=Lookup!$A$2,$BD68*ROUNDUP(BG68/10,0)+1,
IF($BC68=Lookup!$A$3,($BD68+1)^BF68,
IF($BC68=Lookup!$A$4,BG68*$BD68+1,"Error")))</f>
        <v>1</v>
      </c>
      <c r="BP68" s="229">
        <f>IF($BC68=Lookup!$A$2,$BD68*ROUNDUP(BH68/10,0)+1,
IF($BC68=Lookup!$A$3,($BD68+1)^BG68,
IF($BC68=Lookup!$A$4,BH68*$BD68+1,"Error")))</f>
        <v>0.875</v>
      </c>
      <c r="BQ68" s="229">
        <f>IF($BC68=Lookup!$A$2,$BD68*ROUNDUP(BI68/10,0)+1,
IF($BC68=Lookup!$A$3,($BD68+1)^BH68,
IF($BC68=Lookup!$A$4,BI68*$BD68+1,"Error")))</f>
        <v>0.875</v>
      </c>
      <c r="BR68" s="229">
        <f>IF($BC68=Lookup!$A$2,$BD68*ROUNDUP(BJ68/10,0)+1,
IF($BC68=Lookup!$A$3,($BD68+1)^BI68,
IF($BC68=Lookup!$A$4,BJ68*$BD68+1,"Error")))</f>
        <v>0.875</v>
      </c>
      <c r="BS68" s="229">
        <f>IF($BC68=Lookup!$A$2,$BD68*ROUNDUP(BK68/10,0)+1,
IF($BC68=Lookup!$A$3,($BD68+1)^BJ68,
IF($BC68=Lookup!$A$4,BK68*$BD68+1,"Error")))</f>
        <v>0.875</v>
      </c>
      <c r="BT68" s="249">
        <f>IF($BC68=Lookup!$A$2,$BD68*ROUNDUP(BL68/10,0)+1,
IF($BC68=Lookup!$A$3,($BD68+1)^BK68,
IF($BC68=Lookup!$A$4,BL68*$BD68+1,"Error")))</f>
        <v>0.875</v>
      </c>
      <c r="BU68" s="320"/>
      <c r="BV68" s="321"/>
      <c r="BW68" s="321"/>
      <c r="BX68" s="321"/>
      <c r="BY68" s="321"/>
      <c r="BZ68" s="321"/>
      <c r="CA68" s="321"/>
      <c r="CB68" s="277"/>
      <c r="CC68" s="382" t="s">
        <v>292</v>
      </c>
      <c r="CD68" s="383">
        <f>HLOOKUP($CC68,$AK$6:$AM$132,ROWS(CD$6:CD68),0)</f>
        <v>0</v>
      </c>
      <c r="CE68" s="234">
        <f t="shared" si="75"/>
        <v>0</v>
      </c>
      <c r="CF68" s="96">
        <f t="shared" si="76"/>
        <v>0</v>
      </c>
      <c r="CG68" s="96">
        <f t="shared" si="77"/>
        <v>0</v>
      </c>
      <c r="CH68" s="96">
        <f t="shared" si="78"/>
        <v>0</v>
      </c>
      <c r="CI68" s="96">
        <f t="shared" si="79"/>
        <v>0</v>
      </c>
      <c r="CJ68" s="96">
        <f t="shared" si="80"/>
        <v>0</v>
      </c>
      <c r="CK68" s="96">
        <f t="shared" si="81"/>
        <v>0</v>
      </c>
      <c r="CL68" s="286">
        <f t="shared" si="82"/>
        <v>0</v>
      </c>
      <c r="CM68" s="305" t="s">
        <v>293</v>
      </c>
      <c r="CN68" s="315">
        <v>0.05</v>
      </c>
      <c r="CO68" s="306"/>
      <c r="CP68" s="307" t="str">
        <f>IF($CO68&lt;&gt;"",$CO68,HLOOKUP($CM68,$AY$6:$BA$132,ROWS(CP$6:CP68),0))</f>
        <v/>
      </c>
      <c r="CQ68" s="784" t="str">
        <f t="shared" si="83"/>
        <v/>
      </c>
      <c r="CR68" s="784" t="str">
        <f t="shared" si="84"/>
        <v/>
      </c>
      <c r="CS68" s="97" t="str">
        <f t="shared" si="85"/>
        <v/>
      </c>
      <c r="CT68" s="97" t="str">
        <f t="shared" si="86"/>
        <v/>
      </c>
      <c r="CU68" s="97" t="str">
        <f t="shared" si="87"/>
        <v/>
      </c>
      <c r="CV68" s="97" t="str">
        <f t="shared" si="88"/>
        <v/>
      </c>
      <c r="CW68" s="97" t="str">
        <f t="shared" si="89"/>
        <v/>
      </c>
      <c r="CX68" s="98" t="str">
        <f t="shared" si="90"/>
        <v/>
      </c>
      <c r="CY68" s="392"/>
    </row>
    <row r="69" spans="1:103" x14ac:dyDescent="0.25">
      <c r="A69" s="81" t="s">
        <v>138</v>
      </c>
      <c r="B69" s="82" t="s">
        <v>141</v>
      </c>
      <c r="C69" s="83" t="s">
        <v>358</v>
      </c>
      <c r="D69" s="84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85">
        <v>0</v>
      </c>
      <c r="L69" s="85">
        <v>0</v>
      </c>
      <c r="M69" s="654">
        <f>'2022-23 Input'!E69</f>
        <v>0</v>
      </c>
      <c r="N69" s="1065">
        <v>0</v>
      </c>
      <c r="O69" s="560">
        <f t="shared" si="48"/>
        <v>0</v>
      </c>
      <c r="P69" s="561">
        <f t="shared" si="49"/>
        <v>0</v>
      </c>
      <c r="Q69" s="561">
        <f t="shared" si="50"/>
        <v>0</v>
      </c>
      <c r="R69" s="561">
        <f t="shared" si="51"/>
        <v>0</v>
      </c>
      <c r="S69" s="561">
        <f t="shared" si="52"/>
        <v>0</v>
      </c>
      <c r="T69" s="561">
        <f t="shared" si="53"/>
        <v>0</v>
      </c>
      <c r="U69" s="561">
        <f t="shared" si="54"/>
        <v>0</v>
      </c>
      <c r="V69" s="561">
        <f t="shared" si="55"/>
        <v>0</v>
      </c>
      <c r="W69" s="675">
        <f t="shared" si="56"/>
        <v>0</v>
      </c>
      <c r="X69" s="675">
        <f t="shared" si="57"/>
        <v>0</v>
      </c>
      <c r="Y69" s="675">
        <f t="shared" si="58"/>
        <v>0</v>
      </c>
      <c r="Z69" s="86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87">
        <v>0</v>
      </c>
      <c r="AI69" s="1094">
        <f>'2022-23 Input'!L69</f>
        <v>0</v>
      </c>
      <c r="AJ69" s="665">
        <v>0</v>
      </c>
      <c r="AK69" s="88">
        <f t="shared" si="59"/>
        <v>0</v>
      </c>
      <c r="AL69" s="89">
        <f t="shared" si="60"/>
        <v>0</v>
      </c>
      <c r="AM69" s="90">
        <f t="shared" si="61"/>
        <v>0</v>
      </c>
      <c r="AN69" s="91" t="str">
        <f t="shared" si="62"/>
        <v/>
      </c>
      <c r="AO69" s="92" t="str">
        <f t="shared" si="63"/>
        <v/>
      </c>
      <c r="AP69" s="92" t="str">
        <f t="shared" si="64"/>
        <v/>
      </c>
      <c r="AQ69" s="92" t="str">
        <f t="shared" si="65"/>
        <v/>
      </c>
      <c r="AR69" s="92" t="str">
        <f t="shared" si="66"/>
        <v/>
      </c>
      <c r="AS69" s="92" t="str">
        <f t="shared" si="67"/>
        <v/>
      </c>
      <c r="AT69" s="92" t="str">
        <f t="shared" si="68"/>
        <v/>
      </c>
      <c r="AU69" s="92" t="str">
        <f t="shared" si="69"/>
        <v/>
      </c>
      <c r="AV69" s="92" t="str">
        <f t="shared" si="92"/>
        <v/>
      </c>
      <c r="AW69" s="92" t="str">
        <f t="shared" si="92"/>
        <v/>
      </c>
      <c r="AX69" s="92" t="str">
        <f t="shared" si="92"/>
        <v/>
      </c>
      <c r="AY69" s="93" t="str">
        <f t="shared" si="71"/>
        <v/>
      </c>
      <c r="AZ69" s="94" t="str">
        <f t="shared" si="72"/>
        <v/>
      </c>
      <c r="BA69" s="95" t="str">
        <f t="shared" si="73"/>
        <v/>
      </c>
      <c r="BB69" s="248" t="s">
        <v>422</v>
      </c>
      <c r="BC69" s="229" t="s">
        <v>433</v>
      </c>
      <c r="BD69" s="249">
        <v>-0.125</v>
      </c>
      <c r="BE69" s="267">
        <f t="shared" si="74"/>
        <v>0</v>
      </c>
      <c r="BF69" s="268">
        <f t="shared" si="94"/>
        <v>0</v>
      </c>
      <c r="BG69" s="268">
        <f t="shared" si="94"/>
        <v>0</v>
      </c>
      <c r="BH69" s="268">
        <f t="shared" si="94"/>
        <v>1</v>
      </c>
      <c r="BI69" s="268">
        <f t="shared" si="94"/>
        <v>2</v>
      </c>
      <c r="BJ69" s="268">
        <f t="shared" si="94"/>
        <v>3</v>
      </c>
      <c r="BK69" s="268">
        <f t="shared" si="94"/>
        <v>4</v>
      </c>
      <c r="BL69" s="269">
        <f t="shared" si="94"/>
        <v>5</v>
      </c>
      <c r="BM69" s="256">
        <f>IF($BC69=Lookup!$A$2,$BD69*ROUNDUP(BE69/10,0)+1,
IF($BC69=Lookup!$A$3,($BD69+1)^BD69,
IF($BC69=Lookup!$A$4,BE69*$BD69+1,"Error")))</f>
        <v>1</v>
      </c>
      <c r="BN69" s="229">
        <f>IF($BC69=Lookup!$A$2,$BD69*ROUNDUP(BF69/10,0)+1,
IF($BC69=Lookup!$A$3,($BD69+1)^BE69,
IF($BC69=Lookup!$A$4,BF69*$BD69+1,"Error")))</f>
        <v>1</v>
      </c>
      <c r="BO69" s="229">
        <f>IF($BC69=Lookup!$A$2,$BD69*ROUNDUP(BG69/10,0)+1,
IF($BC69=Lookup!$A$3,($BD69+1)^BF69,
IF($BC69=Lookup!$A$4,BG69*$BD69+1,"Error")))</f>
        <v>1</v>
      </c>
      <c r="BP69" s="229">
        <f>IF($BC69=Lookup!$A$2,$BD69*ROUNDUP(BH69/10,0)+1,
IF($BC69=Lookup!$A$3,($BD69+1)^BG69,
IF($BC69=Lookup!$A$4,BH69*$BD69+1,"Error")))</f>
        <v>0.875</v>
      </c>
      <c r="BQ69" s="229">
        <f>IF($BC69=Lookup!$A$2,$BD69*ROUNDUP(BI69/10,0)+1,
IF($BC69=Lookup!$A$3,($BD69+1)^BH69,
IF($BC69=Lookup!$A$4,BI69*$BD69+1,"Error")))</f>
        <v>0.875</v>
      </c>
      <c r="BR69" s="229">
        <f>IF($BC69=Lookup!$A$2,$BD69*ROUNDUP(BJ69/10,0)+1,
IF($BC69=Lookup!$A$3,($BD69+1)^BI69,
IF($BC69=Lookup!$A$4,BJ69*$BD69+1,"Error")))</f>
        <v>0.875</v>
      </c>
      <c r="BS69" s="229">
        <f>IF($BC69=Lookup!$A$2,$BD69*ROUNDUP(BK69/10,0)+1,
IF($BC69=Lookup!$A$3,($BD69+1)^BJ69,
IF($BC69=Lookup!$A$4,BK69*$BD69+1,"Error")))</f>
        <v>0.875</v>
      </c>
      <c r="BT69" s="249">
        <f>IF($BC69=Lookup!$A$2,$BD69*ROUNDUP(BL69/10,0)+1,
IF($BC69=Lookup!$A$3,($BD69+1)^BK69,
IF($BC69=Lookup!$A$4,BL69*$BD69+1,"Error")))</f>
        <v>0.875</v>
      </c>
      <c r="BU69" s="320"/>
      <c r="BV69" s="321"/>
      <c r="BW69" s="321"/>
      <c r="BX69" s="321"/>
      <c r="BY69" s="321"/>
      <c r="BZ69" s="321"/>
      <c r="CA69" s="321"/>
      <c r="CB69" s="277"/>
      <c r="CC69" s="382" t="s">
        <v>292</v>
      </c>
      <c r="CD69" s="383">
        <f>HLOOKUP($CC69,$AK$6:$AM$132,ROWS(CD$6:CD69),0)</f>
        <v>0</v>
      </c>
      <c r="CE69" s="234">
        <f t="shared" si="75"/>
        <v>0</v>
      </c>
      <c r="CF69" s="96">
        <f t="shared" si="76"/>
        <v>0</v>
      </c>
      <c r="CG69" s="96">
        <f t="shared" si="77"/>
        <v>0</v>
      </c>
      <c r="CH69" s="96">
        <f t="shared" si="78"/>
        <v>0</v>
      </c>
      <c r="CI69" s="96">
        <f t="shared" si="79"/>
        <v>0</v>
      </c>
      <c r="CJ69" s="96">
        <f t="shared" si="80"/>
        <v>0</v>
      </c>
      <c r="CK69" s="96">
        <f t="shared" si="81"/>
        <v>0</v>
      </c>
      <c r="CL69" s="286">
        <f t="shared" si="82"/>
        <v>0</v>
      </c>
      <c r="CM69" s="305" t="s">
        <v>293</v>
      </c>
      <c r="CN69" s="315">
        <v>0.05</v>
      </c>
      <c r="CO69" s="306"/>
      <c r="CP69" s="307" t="str">
        <f>IF($CO69&lt;&gt;"",$CO69,HLOOKUP($CM69,$AY$6:$BA$132,ROWS(CP$6:CP69),0))</f>
        <v/>
      </c>
      <c r="CQ69" s="784" t="str">
        <f t="shared" si="83"/>
        <v/>
      </c>
      <c r="CR69" s="784" t="str">
        <f t="shared" si="84"/>
        <v/>
      </c>
      <c r="CS69" s="97" t="str">
        <f t="shared" si="85"/>
        <v/>
      </c>
      <c r="CT69" s="97" t="str">
        <f t="shared" si="86"/>
        <v/>
      </c>
      <c r="CU69" s="97" t="str">
        <f t="shared" si="87"/>
        <v/>
      </c>
      <c r="CV69" s="97" t="str">
        <f t="shared" si="88"/>
        <v/>
      </c>
      <c r="CW69" s="97" t="str">
        <f t="shared" si="89"/>
        <v/>
      </c>
      <c r="CX69" s="98" t="str">
        <f t="shared" si="90"/>
        <v/>
      </c>
      <c r="CY69" s="392"/>
    </row>
    <row r="70" spans="1:103" x14ac:dyDescent="0.25">
      <c r="A70" s="81" t="s">
        <v>138</v>
      </c>
      <c r="B70" s="82" t="s">
        <v>143</v>
      </c>
      <c r="C70" s="83" t="s">
        <v>359</v>
      </c>
      <c r="D70" s="84">
        <v>175749.93370206273</v>
      </c>
      <c r="E70" s="85">
        <v>288078.88754201989</v>
      </c>
      <c r="F70" s="85">
        <v>407261.89741747879</v>
      </c>
      <c r="G70" s="85">
        <v>523031.75109926728</v>
      </c>
      <c r="H70" s="85">
        <v>279608.98758567369</v>
      </c>
      <c r="I70" s="85">
        <v>345748.6211507917</v>
      </c>
      <c r="J70" s="85">
        <v>518726.1706650813</v>
      </c>
      <c r="K70" s="85">
        <v>0</v>
      </c>
      <c r="L70" s="85">
        <v>0</v>
      </c>
      <c r="M70" s="654">
        <f>'2022-23 Input'!E70</f>
        <v>0</v>
      </c>
      <c r="N70" s="1065">
        <v>0</v>
      </c>
      <c r="O70" s="560">
        <f t="shared" si="48"/>
        <v>236463.8588995772</v>
      </c>
      <c r="P70" s="561">
        <f t="shared" si="49"/>
        <v>381828.66576199327</v>
      </c>
      <c r="Q70" s="561">
        <f t="shared" si="50"/>
        <v>534329.95024502731</v>
      </c>
      <c r="R70" s="561">
        <f t="shared" si="51"/>
        <v>673202.92752236675</v>
      </c>
      <c r="S70" s="561">
        <f t="shared" si="52"/>
        <v>352564.22861069889</v>
      </c>
      <c r="T70" s="561">
        <f t="shared" si="53"/>
        <v>429125.31145310693</v>
      </c>
      <c r="U70" s="561">
        <f t="shared" si="54"/>
        <v>646067.20726438251</v>
      </c>
      <c r="V70" s="561">
        <f t="shared" si="55"/>
        <v>0</v>
      </c>
      <c r="W70" s="675">
        <f t="shared" si="56"/>
        <v>0</v>
      </c>
      <c r="X70" s="675">
        <f t="shared" si="57"/>
        <v>0</v>
      </c>
      <c r="Y70" s="675">
        <f t="shared" si="58"/>
        <v>0</v>
      </c>
      <c r="Z70" s="86">
        <v>5</v>
      </c>
      <c r="AA70" s="87">
        <v>9</v>
      </c>
      <c r="AB70" s="87">
        <v>9</v>
      </c>
      <c r="AC70" s="87">
        <v>14</v>
      </c>
      <c r="AD70" s="87">
        <v>10</v>
      </c>
      <c r="AE70" s="87">
        <v>12</v>
      </c>
      <c r="AF70" s="87">
        <v>19</v>
      </c>
      <c r="AG70" s="87">
        <v>0</v>
      </c>
      <c r="AH70" s="87">
        <v>0</v>
      </c>
      <c r="AI70" s="1094">
        <f>'2022-23 Input'!L70</f>
        <v>0</v>
      </c>
      <c r="AJ70" s="665">
        <v>0</v>
      </c>
      <c r="AK70" s="88">
        <f t="shared" si="59"/>
        <v>6.2</v>
      </c>
      <c r="AL70" s="89">
        <f t="shared" si="60"/>
        <v>0</v>
      </c>
      <c r="AM70" s="90">
        <f t="shared" si="61"/>
        <v>0</v>
      </c>
      <c r="AN70" s="91">
        <f t="shared" si="62"/>
        <v>35149.986740412547</v>
      </c>
      <c r="AO70" s="92">
        <f t="shared" si="63"/>
        <v>32008.765282446653</v>
      </c>
      <c r="AP70" s="92">
        <f t="shared" si="64"/>
        <v>45251.321935275424</v>
      </c>
      <c r="AQ70" s="92">
        <f t="shared" si="65"/>
        <v>37359.410792804803</v>
      </c>
      <c r="AR70" s="92">
        <f t="shared" si="66"/>
        <v>27960.898758567368</v>
      </c>
      <c r="AS70" s="92">
        <f t="shared" si="67"/>
        <v>28812.38509589931</v>
      </c>
      <c r="AT70" s="92">
        <f t="shared" si="68"/>
        <v>27301.377403425333</v>
      </c>
      <c r="AU70" s="92" t="str">
        <f t="shared" si="69"/>
        <v/>
      </c>
      <c r="AV70" s="92" t="str">
        <f t="shared" si="92"/>
        <v/>
      </c>
      <c r="AW70" s="92" t="str">
        <f t="shared" si="92"/>
        <v/>
      </c>
      <c r="AX70" s="92" t="str">
        <f t="shared" si="92"/>
        <v/>
      </c>
      <c r="AY70" s="93">
        <f t="shared" si="71"/>
        <v>27886.283606963647</v>
      </c>
      <c r="AZ70" s="94" t="str">
        <f t="shared" si="72"/>
        <v/>
      </c>
      <c r="BA70" s="95" t="str">
        <f t="shared" si="73"/>
        <v/>
      </c>
      <c r="BB70" s="248" t="s">
        <v>422</v>
      </c>
      <c r="BC70" s="229" t="s">
        <v>433</v>
      </c>
      <c r="BD70" s="249">
        <v>-0.125</v>
      </c>
      <c r="BE70" s="267">
        <f t="shared" si="74"/>
        <v>0</v>
      </c>
      <c r="BF70" s="268">
        <f t="shared" si="94"/>
        <v>0</v>
      </c>
      <c r="BG70" s="268">
        <f t="shared" si="94"/>
        <v>0</v>
      </c>
      <c r="BH70" s="268">
        <f t="shared" si="94"/>
        <v>1</v>
      </c>
      <c r="BI70" s="268">
        <f t="shared" si="94"/>
        <v>2</v>
      </c>
      <c r="BJ70" s="268">
        <f t="shared" si="94"/>
        <v>3</v>
      </c>
      <c r="BK70" s="268">
        <f t="shared" si="94"/>
        <v>4</v>
      </c>
      <c r="BL70" s="269">
        <f t="shared" si="94"/>
        <v>5</v>
      </c>
      <c r="BM70" s="256">
        <f>IF($BC70=Lookup!$A$2,$BD70*ROUNDUP(BE70/10,0)+1,
IF($BC70=Lookup!$A$3,($BD70+1)^BD70,
IF($BC70=Lookup!$A$4,BE70*$BD70+1,"Error")))</f>
        <v>1</v>
      </c>
      <c r="BN70" s="229">
        <f>IF($BC70=Lookup!$A$2,$BD70*ROUNDUP(BF70/10,0)+1,
IF($BC70=Lookup!$A$3,($BD70+1)^BE70,
IF($BC70=Lookup!$A$4,BF70*$BD70+1,"Error")))</f>
        <v>1</v>
      </c>
      <c r="BO70" s="229">
        <f>IF($BC70=Lookup!$A$2,$BD70*ROUNDUP(BG70/10,0)+1,
IF($BC70=Lookup!$A$3,($BD70+1)^BF70,
IF($BC70=Lookup!$A$4,BG70*$BD70+1,"Error")))</f>
        <v>1</v>
      </c>
      <c r="BP70" s="229">
        <f>IF($BC70=Lookup!$A$2,$BD70*ROUNDUP(BH70/10,0)+1,
IF($BC70=Lookup!$A$3,($BD70+1)^BG70,
IF($BC70=Lookup!$A$4,BH70*$BD70+1,"Error")))</f>
        <v>0.875</v>
      </c>
      <c r="BQ70" s="229">
        <f>IF($BC70=Lookup!$A$2,$BD70*ROUNDUP(BI70/10,0)+1,
IF($BC70=Lookup!$A$3,($BD70+1)^BH70,
IF($BC70=Lookup!$A$4,BI70*$BD70+1,"Error")))</f>
        <v>0.875</v>
      </c>
      <c r="BR70" s="229">
        <f>IF($BC70=Lookup!$A$2,$BD70*ROUNDUP(BJ70/10,0)+1,
IF($BC70=Lookup!$A$3,($BD70+1)^BI70,
IF($BC70=Lookup!$A$4,BJ70*$BD70+1,"Error")))</f>
        <v>0.875</v>
      </c>
      <c r="BS70" s="229">
        <f>IF($BC70=Lookup!$A$2,$BD70*ROUNDUP(BK70/10,0)+1,
IF($BC70=Lookup!$A$3,($BD70+1)^BJ70,
IF($BC70=Lookup!$A$4,BK70*$BD70+1,"Error")))</f>
        <v>0.875</v>
      </c>
      <c r="BT70" s="249">
        <f>IF($BC70=Lookup!$A$2,$BD70*ROUNDUP(BL70/10,0)+1,
IF($BC70=Lookup!$A$3,($BD70+1)^BK70,
IF($BC70=Lookup!$A$4,BL70*$BD70+1,"Error")))</f>
        <v>0.875</v>
      </c>
      <c r="BU70" s="320"/>
      <c r="BV70" s="321"/>
      <c r="BW70" s="321"/>
      <c r="BX70" s="321"/>
      <c r="BY70" s="321"/>
      <c r="BZ70" s="321"/>
      <c r="CA70" s="321"/>
      <c r="CB70" s="277"/>
      <c r="CC70" s="382" t="s">
        <v>292</v>
      </c>
      <c r="CD70" s="383">
        <f>HLOOKUP($CC70,$AK$6:$AM$132,ROWS(CD$6:CD70),0)</f>
        <v>6.2</v>
      </c>
      <c r="CE70" s="234">
        <f t="shared" si="75"/>
        <v>6.2</v>
      </c>
      <c r="CF70" s="96">
        <f t="shared" si="76"/>
        <v>6.2</v>
      </c>
      <c r="CG70" s="96">
        <f t="shared" si="77"/>
        <v>6.2</v>
      </c>
      <c r="CH70" s="96">
        <f t="shared" si="78"/>
        <v>5.4249999999999998</v>
      </c>
      <c r="CI70" s="96">
        <f t="shared" si="79"/>
        <v>5.4249999999999998</v>
      </c>
      <c r="CJ70" s="96">
        <f t="shared" si="80"/>
        <v>5.4249999999999998</v>
      </c>
      <c r="CK70" s="96">
        <f t="shared" si="81"/>
        <v>5.4249999999999998</v>
      </c>
      <c r="CL70" s="286">
        <f t="shared" si="82"/>
        <v>5.4249999999999998</v>
      </c>
      <c r="CM70" s="305" t="s">
        <v>293</v>
      </c>
      <c r="CN70" s="315">
        <v>0.05</v>
      </c>
      <c r="CO70" s="306"/>
      <c r="CP70" s="307" t="str">
        <f>IF($CO70&lt;&gt;"",$CO70,HLOOKUP($CM70,$AY$6:$BA$132,ROWS(CP$6:CP70),0))</f>
        <v/>
      </c>
      <c r="CQ70" s="784" t="str">
        <f t="shared" si="83"/>
        <v/>
      </c>
      <c r="CR70" s="784" t="str">
        <f t="shared" si="84"/>
        <v/>
      </c>
      <c r="CS70" s="97" t="str">
        <f t="shared" si="85"/>
        <v/>
      </c>
      <c r="CT70" s="97" t="str">
        <f t="shared" si="86"/>
        <v/>
      </c>
      <c r="CU70" s="97" t="str">
        <f t="shared" si="87"/>
        <v/>
      </c>
      <c r="CV70" s="97" t="str">
        <f t="shared" si="88"/>
        <v/>
      </c>
      <c r="CW70" s="97" t="str">
        <f t="shared" si="89"/>
        <v/>
      </c>
      <c r="CX70" s="98" t="str">
        <f t="shared" si="90"/>
        <v/>
      </c>
      <c r="CY70" s="392"/>
    </row>
    <row r="71" spans="1:103" x14ac:dyDescent="0.25">
      <c r="A71" s="81" t="s">
        <v>138</v>
      </c>
      <c r="B71" s="82" t="s">
        <v>145</v>
      </c>
      <c r="C71" s="83" t="s">
        <v>360</v>
      </c>
      <c r="D71" s="84">
        <v>2105958.2404763461</v>
      </c>
      <c r="E71" s="85">
        <v>1776901.4043548682</v>
      </c>
      <c r="F71" s="85">
        <v>2454879.6526913214</v>
      </c>
      <c r="G71" s="85">
        <v>1417011.3179535181</v>
      </c>
      <c r="H71" s="85">
        <v>2538838.5119514233</v>
      </c>
      <c r="I71" s="85">
        <v>2589241.2581236102</v>
      </c>
      <c r="J71" s="85">
        <v>2574749.4283101214</v>
      </c>
      <c r="K71" s="85">
        <v>524.09699999999998</v>
      </c>
      <c r="L71" s="85">
        <v>0</v>
      </c>
      <c r="M71" s="654">
        <f>'2022-23 Input'!E71</f>
        <v>0</v>
      </c>
      <c r="N71" s="1065">
        <v>0</v>
      </c>
      <c r="O71" s="560">
        <f t="shared" ref="O71:O102" si="95">D71*O$4</f>
        <v>2833474.8226340632</v>
      </c>
      <c r="P71" s="561">
        <f t="shared" ref="P71:P102" si="96">E71*P$4</f>
        <v>2355160.0681478884</v>
      </c>
      <c r="Q71" s="561">
        <f t="shared" ref="Q71:Q102" si="97">F71*Q$4</f>
        <v>3220816.2143277088</v>
      </c>
      <c r="R71" s="561">
        <f t="shared" ref="R71:R102" si="98">G71*R$4</f>
        <v>1823859.0020084386</v>
      </c>
      <c r="S71" s="561">
        <f t="shared" ref="S71:S102" si="99">H71*S$4</f>
        <v>3201269.205479397</v>
      </c>
      <c r="T71" s="561">
        <f t="shared" ref="T71:T102" si="100">I71*T$4</f>
        <v>3213632.3714648732</v>
      </c>
      <c r="U71" s="561">
        <f t="shared" ref="U71:U102" si="101">J71*U$4</f>
        <v>3206819.4485369609</v>
      </c>
      <c r="V71" s="561">
        <f t="shared" ref="V71:V102" si="102">K71*V$4</f>
        <v>628.58034355077007</v>
      </c>
      <c r="W71" s="675">
        <f t="shared" ref="W71:W102" si="103">L71*W$4</f>
        <v>0</v>
      </c>
      <c r="X71" s="675">
        <f t="shared" ref="X71:X102" si="104">M71*X$4</f>
        <v>0</v>
      </c>
      <c r="Y71" s="675">
        <f t="shared" ref="Y71:Y102" si="105">N71*Y$4</f>
        <v>0</v>
      </c>
      <c r="Z71" s="86">
        <v>23</v>
      </c>
      <c r="AA71" s="87">
        <v>22</v>
      </c>
      <c r="AB71" s="87">
        <v>26</v>
      </c>
      <c r="AC71" s="87">
        <v>19</v>
      </c>
      <c r="AD71" s="87">
        <v>41</v>
      </c>
      <c r="AE71" s="87">
        <v>43</v>
      </c>
      <c r="AF71" s="87">
        <v>40</v>
      </c>
      <c r="AG71" s="87">
        <v>0</v>
      </c>
      <c r="AH71" s="87">
        <v>0</v>
      </c>
      <c r="AI71" s="1094">
        <f>'2022-23 Input'!L71</f>
        <v>0</v>
      </c>
      <c r="AJ71" s="665">
        <v>0</v>
      </c>
      <c r="AK71" s="88">
        <f t="shared" ref="AK71:AK102" si="106">IFERROR(IF($AM$4="N",SUM(AD71:AH71)/5,SUM(AE71:AI71)/5),"")</f>
        <v>16.600000000000001</v>
      </c>
      <c r="AL71" s="89">
        <f t="shared" ref="AL71:AL102" si="107">IFERROR(IF($AM$4="N",SUM(AF71:AH71)/3,SUM(AG71:AI71)/3),"")</f>
        <v>0</v>
      </c>
      <c r="AM71" s="90">
        <f t="shared" ref="AM71:AM102" si="108">IFERROR(IF($AM$4="N",AH71,AI71),"")</f>
        <v>0</v>
      </c>
      <c r="AN71" s="91">
        <f t="shared" ref="AN71:AN102" si="109">IFERROR(D71/Z71,"")</f>
        <v>91563.40175984113</v>
      </c>
      <c r="AO71" s="92">
        <f t="shared" ref="AO71:AO102" si="110">IFERROR(E71/AA71,"")</f>
        <v>80768.245652494006</v>
      </c>
      <c r="AP71" s="92">
        <f t="shared" ref="AP71:AP102" si="111">IFERROR(F71/AB71,"")</f>
        <v>94418.448180435444</v>
      </c>
      <c r="AQ71" s="92">
        <f t="shared" ref="AQ71:AQ102" si="112">IFERROR(G71/AC71,"")</f>
        <v>74579.543050185166</v>
      </c>
      <c r="AR71" s="92">
        <f t="shared" ref="AR71:AR102" si="113">IFERROR(H71/AD71,"")</f>
        <v>61922.890535400569</v>
      </c>
      <c r="AS71" s="92">
        <f t="shared" ref="AS71:AS102" si="114">IFERROR(I71/AE71,"")</f>
        <v>60214.912979618843</v>
      </c>
      <c r="AT71" s="92">
        <f t="shared" ref="AT71:AT102" si="115">IFERROR(J71/AF71,"")</f>
        <v>64368.735707753032</v>
      </c>
      <c r="AU71" s="92" t="str">
        <f t="shared" ref="AU71:AU102" si="116">IFERROR(K71/AG71,"")</f>
        <v/>
      </c>
      <c r="AV71" s="92" t="str">
        <f t="shared" ref="AV71:AX86" si="117">IFERROR(L71/AH71,"")</f>
        <v/>
      </c>
      <c r="AW71" s="92" t="str">
        <f t="shared" si="117"/>
        <v/>
      </c>
      <c r="AX71" s="92" t="str">
        <f t="shared" si="117"/>
        <v/>
      </c>
      <c r="AY71" s="93">
        <f t="shared" ref="AY71:AY102" si="118">IFERROR(IF($BA$3="N",
IF($BA$4="N",SUM(H71:L71)/SUM(AD71:AH71),SUM(I71:M71)/SUM(AE71:AI71)),
IF($BA$4="N",SUM(S71:W71)/SUM(AD71:AH71),SUM(T71:X71)/SUM(AE71:AI71))),"")</f>
        <v>62223.069679924476</v>
      </c>
      <c r="AZ71" s="94" t="str">
        <f t="shared" ref="AZ71:AZ102" si="119">IFERROR(IF($BA$3="N",
IF($BA$4="N",SUM(J71:L71)/SUM(AF71:AH71),SUM(K71:M71)/SUM(AG71:AI71)),
IF($BA$4="N",SUM(U71:W71)/SUM(AF71:AH71),SUM(V71:X71)/SUM(AG71:AI71))),"")</f>
        <v/>
      </c>
      <c r="BA71" s="95" t="str">
        <f t="shared" ref="BA71:BA102" si="120">IFERROR(IF($BA$3="N",
IF($BA$4="N",L71/AH71,M71/AI71),
IF($BA$4="N",W71/AH71,X71/AI71)),"")</f>
        <v/>
      </c>
      <c r="BB71" s="248" t="s">
        <v>422</v>
      </c>
      <c r="BC71" s="229" t="s">
        <v>433</v>
      </c>
      <c r="BD71" s="249">
        <v>-0.125</v>
      </c>
      <c r="BE71" s="267">
        <f t="shared" ref="BE71:BE102" si="121">IF(BE$6=$BB71,1,0
)</f>
        <v>0</v>
      </c>
      <c r="BF71" s="268">
        <f t="shared" si="94"/>
        <v>0</v>
      </c>
      <c r="BG71" s="268">
        <f t="shared" si="94"/>
        <v>0</v>
      </c>
      <c r="BH71" s="268">
        <f t="shared" si="94"/>
        <v>1</v>
      </c>
      <c r="BI71" s="268">
        <f t="shared" si="94"/>
        <v>2</v>
      </c>
      <c r="BJ71" s="268">
        <f t="shared" si="94"/>
        <v>3</v>
      </c>
      <c r="BK71" s="268">
        <f t="shared" si="94"/>
        <v>4</v>
      </c>
      <c r="BL71" s="269">
        <f t="shared" si="94"/>
        <v>5</v>
      </c>
      <c r="BM71" s="256">
        <f>IF($BC71=Lookup!$A$2,$BD71*ROUNDUP(BE71/10,0)+1,
IF($BC71=Lookup!$A$3,($BD71+1)^BD71,
IF($BC71=Lookup!$A$4,BE71*$BD71+1,"Error")))</f>
        <v>1</v>
      </c>
      <c r="BN71" s="229">
        <f>IF($BC71=Lookup!$A$2,$BD71*ROUNDUP(BF71/10,0)+1,
IF($BC71=Lookup!$A$3,($BD71+1)^BE71,
IF($BC71=Lookup!$A$4,BF71*$BD71+1,"Error")))</f>
        <v>1</v>
      </c>
      <c r="BO71" s="229">
        <f>IF($BC71=Lookup!$A$2,$BD71*ROUNDUP(BG71/10,0)+1,
IF($BC71=Lookup!$A$3,($BD71+1)^BF71,
IF($BC71=Lookup!$A$4,BG71*$BD71+1,"Error")))</f>
        <v>1</v>
      </c>
      <c r="BP71" s="229">
        <f>IF($BC71=Lookup!$A$2,$BD71*ROUNDUP(BH71/10,0)+1,
IF($BC71=Lookup!$A$3,($BD71+1)^BG71,
IF($BC71=Lookup!$A$4,BH71*$BD71+1,"Error")))</f>
        <v>0.875</v>
      </c>
      <c r="BQ71" s="229">
        <f>IF($BC71=Lookup!$A$2,$BD71*ROUNDUP(BI71/10,0)+1,
IF($BC71=Lookup!$A$3,($BD71+1)^BH71,
IF($BC71=Lookup!$A$4,BI71*$BD71+1,"Error")))</f>
        <v>0.875</v>
      </c>
      <c r="BR71" s="229">
        <f>IF($BC71=Lookup!$A$2,$BD71*ROUNDUP(BJ71/10,0)+1,
IF($BC71=Lookup!$A$3,($BD71+1)^BI71,
IF($BC71=Lookup!$A$4,BJ71*$BD71+1,"Error")))</f>
        <v>0.875</v>
      </c>
      <c r="BS71" s="229">
        <f>IF($BC71=Lookup!$A$2,$BD71*ROUNDUP(BK71/10,0)+1,
IF($BC71=Lookup!$A$3,($BD71+1)^BJ71,
IF($BC71=Lookup!$A$4,BK71*$BD71+1,"Error")))</f>
        <v>0.875</v>
      </c>
      <c r="BT71" s="249">
        <f>IF($BC71=Lookup!$A$2,$BD71*ROUNDUP(BL71/10,0)+1,
IF($BC71=Lookup!$A$3,($BD71+1)^BK71,
IF($BC71=Lookup!$A$4,BL71*$BD71+1,"Error")))</f>
        <v>0.875</v>
      </c>
      <c r="BU71" s="320"/>
      <c r="BV71" s="321"/>
      <c r="BW71" s="321"/>
      <c r="BX71" s="321"/>
      <c r="BY71" s="321"/>
      <c r="BZ71" s="321"/>
      <c r="CA71" s="321"/>
      <c r="CB71" s="277"/>
      <c r="CC71" s="382" t="s">
        <v>292</v>
      </c>
      <c r="CD71" s="383">
        <f>HLOOKUP($CC71,$AK$6:$AM$132,ROWS(CD$6:CD71),0)</f>
        <v>16.600000000000001</v>
      </c>
      <c r="CE71" s="234">
        <f t="shared" ref="CE71:CE102" si="122">IFERROR(IF(BU71&lt;&gt;"",BU71,BM71*$CD71),"")</f>
        <v>16.600000000000001</v>
      </c>
      <c r="CF71" s="96">
        <f t="shared" ref="CF71:CF102" si="123">IFERROR(IF(BV71&lt;&gt;"",BV71,BN71*$CD71),"")</f>
        <v>16.600000000000001</v>
      </c>
      <c r="CG71" s="96">
        <f t="shared" ref="CG71:CG102" si="124">IFERROR(IF(BW71&lt;&gt;"",BW71,BO71*$CD71),"")</f>
        <v>16.600000000000001</v>
      </c>
      <c r="CH71" s="96">
        <f t="shared" ref="CH71:CH102" si="125">IFERROR(IF(BX71&lt;&gt;"",BX71,BP71*$CD71),"")</f>
        <v>14.525000000000002</v>
      </c>
      <c r="CI71" s="96">
        <f t="shared" ref="CI71:CI102" si="126">IFERROR(IF(BY71&lt;&gt;"",BY71,BQ71*$CD71),"")</f>
        <v>14.525000000000002</v>
      </c>
      <c r="CJ71" s="96">
        <f t="shared" ref="CJ71:CJ102" si="127">IFERROR(IF(BZ71&lt;&gt;"",BZ71,BR71*$CD71),"")</f>
        <v>14.525000000000002</v>
      </c>
      <c r="CK71" s="96">
        <f t="shared" ref="CK71:CK102" si="128">IFERROR(IF(CA71&lt;&gt;"",CA71,BS71*$CD71),"")</f>
        <v>14.525000000000002</v>
      </c>
      <c r="CL71" s="286">
        <f t="shared" ref="CL71:CL102" si="129">IFERROR(IF(CB71&lt;&gt;"",CB71,BT71*$CD71),"")</f>
        <v>14.525000000000002</v>
      </c>
      <c r="CM71" s="305" t="s">
        <v>293</v>
      </c>
      <c r="CN71" s="315">
        <v>0.05</v>
      </c>
      <c r="CO71" s="306"/>
      <c r="CP71" s="307" t="str">
        <f>IF($CO71&lt;&gt;"",$CO71,HLOOKUP($CM71,$AY$6:$BA$132,ROWS(CP$6:CP71),0))</f>
        <v/>
      </c>
      <c r="CQ71" s="784" t="str">
        <f t="shared" ref="CQ71:CQ102" si="130">IFERROR(CE71*$CP71,"")</f>
        <v/>
      </c>
      <c r="CR71" s="784" t="str">
        <f t="shared" ref="CR71:CR102" si="131">IFERROR(CF71*$CP71,"")</f>
        <v/>
      </c>
      <c r="CS71" s="97" t="str">
        <f t="shared" ref="CS71:CS102" si="132">IFERROR(CG71*$CP71,"")</f>
        <v/>
      </c>
      <c r="CT71" s="97" t="str">
        <f t="shared" ref="CT71:CT102" si="133">IFERROR(CH71*$CP71,"")</f>
        <v/>
      </c>
      <c r="CU71" s="97" t="str">
        <f t="shared" ref="CU71:CU102" si="134">IFERROR(CI71*$CP71,"")</f>
        <v/>
      </c>
      <c r="CV71" s="97" t="str">
        <f t="shared" ref="CV71:CV102" si="135">IFERROR(CJ71*$CP71,"")</f>
        <v/>
      </c>
      <c r="CW71" s="97" t="str">
        <f t="shared" ref="CW71:CW102" si="136">IFERROR(CK71*$CP71,"")</f>
        <v/>
      </c>
      <c r="CX71" s="98" t="str">
        <f t="shared" ref="CX71:CX102" si="137">IFERROR(CL71*$CP71,"")</f>
        <v/>
      </c>
      <c r="CY71" s="392"/>
    </row>
    <row r="72" spans="1:103" x14ac:dyDescent="0.25">
      <c r="A72" s="81" t="s">
        <v>138</v>
      </c>
      <c r="B72" s="82" t="s">
        <v>147</v>
      </c>
      <c r="C72" s="83" t="s">
        <v>362</v>
      </c>
      <c r="D72" s="84">
        <v>0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654">
        <f>'2022-23 Input'!E72</f>
        <v>0</v>
      </c>
      <c r="N72" s="1065">
        <v>0</v>
      </c>
      <c r="O72" s="560">
        <f t="shared" si="95"/>
        <v>0</v>
      </c>
      <c r="P72" s="561">
        <f t="shared" si="96"/>
        <v>0</v>
      </c>
      <c r="Q72" s="561">
        <f t="shared" si="97"/>
        <v>0</v>
      </c>
      <c r="R72" s="561">
        <f t="shared" si="98"/>
        <v>0</v>
      </c>
      <c r="S72" s="561">
        <f t="shared" si="99"/>
        <v>0</v>
      </c>
      <c r="T72" s="561">
        <f t="shared" si="100"/>
        <v>0</v>
      </c>
      <c r="U72" s="561">
        <f t="shared" si="101"/>
        <v>0</v>
      </c>
      <c r="V72" s="561">
        <f t="shared" si="102"/>
        <v>0</v>
      </c>
      <c r="W72" s="675">
        <f t="shared" si="103"/>
        <v>0</v>
      </c>
      <c r="X72" s="675">
        <f t="shared" si="104"/>
        <v>0</v>
      </c>
      <c r="Y72" s="675">
        <f t="shared" si="105"/>
        <v>0</v>
      </c>
      <c r="Z72" s="86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1094">
        <f>'2022-23 Input'!L72</f>
        <v>0</v>
      </c>
      <c r="AJ72" s="665">
        <v>0</v>
      </c>
      <c r="AK72" s="88">
        <f t="shared" si="106"/>
        <v>0</v>
      </c>
      <c r="AL72" s="89">
        <f t="shared" si="107"/>
        <v>0</v>
      </c>
      <c r="AM72" s="90">
        <f t="shared" si="108"/>
        <v>0</v>
      </c>
      <c r="AN72" s="91" t="str">
        <f t="shared" si="109"/>
        <v/>
      </c>
      <c r="AO72" s="92" t="str">
        <f t="shared" si="110"/>
        <v/>
      </c>
      <c r="AP72" s="92" t="str">
        <f t="shared" si="111"/>
        <v/>
      </c>
      <c r="AQ72" s="92" t="str">
        <f t="shared" si="112"/>
        <v/>
      </c>
      <c r="AR72" s="92" t="str">
        <f t="shared" si="113"/>
        <v/>
      </c>
      <c r="AS72" s="92" t="str">
        <f t="shared" si="114"/>
        <v/>
      </c>
      <c r="AT72" s="92" t="str">
        <f t="shared" si="115"/>
        <v/>
      </c>
      <c r="AU72" s="92" t="str">
        <f t="shared" si="116"/>
        <v/>
      </c>
      <c r="AV72" s="92" t="str">
        <f t="shared" si="117"/>
        <v/>
      </c>
      <c r="AW72" s="92" t="str">
        <f t="shared" si="117"/>
        <v/>
      </c>
      <c r="AX72" s="92" t="str">
        <f t="shared" si="117"/>
        <v/>
      </c>
      <c r="AY72" s="93" t="str">
        <f t="shared" si="118"/>
        <v/>
      </c>
      <c r="AZ72" s="94" t="str">
        <f t="shared" si="119"/>
        <v/>
      </c>
      <c r="BA72" s="95" t="str">
        <f t="shared" si="120"/>
        <v/>
      </c>
      <c r="BB72" s="248" t="s">
        <v>422</v>
      </c>
      <c r="BC72" s="229" t="s">
        <v>433</v>
      </c>
      <c r="BD72" s="249">
        <v>-0.125</v>
      </c>
      <c r="BE72" s="267">
        <f t="shared" si="121"/>
        <v>0</v>
      </c>
      <c r="BF72" s="268">
        <f t="shared" si="94"/>
        <v>0</v>
      </c>
      <c r="BG72" s="268">
        <f t="shared" si="94"/>
        <v>0</v>
      </c>
      <c r="BH72" s="268">
        <f t="shared" si="94"/>
        <v>1</v>
      </c>
      <c r="BI72" s="268">
        <f t="shared" si="94"/>
        <v>2</v>
      </c>
      <c r="BJ72" s="268">
        <f t="shared" si="94"/>
        <v>3</v>
      </c>
      <c r="BK72" s="268">
        <f t="shared" si="94"/>
        <v>4</v>
      </c>
      <c r="BL72" s="269">
        <f t="shared" si="94"/>
        <v>5</v>
      </c>
      <c r="BM72" s="256">
        <f>IF($BC72=Lookup!$A$2,$BD72*ROUNDUP(BE72/10,0)+1,
IF($BC72=Lookup!$A$3,($BD72+1)^BD72,
IF($BC72=Lookup!$A$4,BE72*$BD72+1,"Error")))</f>
        <v>1</v>
      </c>
      <c r="BN72" s="229">
        <f>IF($BC72=Lookup!$A$2,$BD72*ROUNDUP(BF72/10,0)+1,
IF($BC72=Lookup!$A$3,($BD72+1)^BE72,
IF($BC72=Lookup!$A$4,BF72*$BD72+1,"Error")))</f>
        <v>1</v>
      </c>
      <c r="BO72" s="229">
        <f>IF($BC72=Lookup!$A$2,$BD72*ROUNDUP(BG72/10,0)+1,
IF($BC72=Lookup!$A$3,($BD72+1)^BF72,
IF($BC72=Lookup!$A$4,BG72*$BD72+1,"Error")))</f>
        <v>1</v>
      </c>
      <c r="BP72" s="229">
        <f>IF($BC72=Lookup!$A$2,$BD72*ROUNDUP(BH72/10,0)+1,
IF($BC72=Lookup!$A$3,($BD72+1)^BG72,
IF($BC72=Lookup!$A$4,BH72*$BD72+1,"Error")))</f>
        <v>0.875</v>
      </c>
      <c r="BQ72" s="229">
        <f>IF($BC72=Lookup!$A$2,$BD72*ROUNDUP(BI72/10,0)+1,
IF($BC72=Lookup!$A$3,($BD72+1)^BH72,
IF($BC72=Lookup!$A$4,BI72*$BD72+1,"Error")))</f>
        <v>0.875</v>
      </c>
      <c r="BR72" s="229">
        <f>IF($BC72=Lookup!$A$2,$BD72*ROUNDUP(BJ72/10,0)+1,
IF($BC72=Lookup!$A$3,($BD72+1)^BI72,
IF($BC72=Lookup!$A$4,BJ72*$BD72+1,"Error")))</f>
        <v>0.875</v>
      </c>
      <c r="BS72" s="229">
        <f>IF($BC72=Lookup!$A$2,$BD72*ROUNDUP(BK72/10,0)+1,
IF($BC72=Lookup!$A$3,($BD72+1)^BJ72,
IF($BC72=Lookup!$A$4,BK72*$BD72+1,"Error")))</f>
        <v>0.875</v>
      </c>
      <c r="BT72" s="249">
        <f>IF($BC72=Lookup!$A$2,$BD72*ROUNDUP(BL72/10,0)+1,
IF($BC72=Lookup!$A$3,($BD72+1)^BK72,
IF($BC72=Lookup!$A$4,BL72*$BD72+1,"Error")))</f>
        <v>0.875</v>
      </c>
      <c r="BU72" s="320"/>
      <c r="BV72" s="321"/>
      <c r="BW72" s="321"/>
      <c r="BX72" s="321"/>
      <c r="BY72" s="321"/>
      <c r="BZ72" s="321"/>
      <c r="CA72" s="321"/>
      <c r="CB72" s="277"/>
      <c r="CC72" s="382" t="s">
        <v>292</v>
      </c>
      <c r="CD72" s="383">
        <f>HLOOKUP($CC72,$AK$6:$AM$132,ROWS(CD$6:CD72),0)</f>
        <v>0</v>
      </c>
      <c r="CE72" s="234">
        <f t="shared" si="122"/>
        <v>0</v>
      </c>
      <c r="CF72" s="96">
        <f t="shared" si="123"/>
        <v>0</v>
      </c>
      <c r="CG72" s="96">
        <f t="shared" si="124"/>
        <v>0</v>
      </c>
      <c r="CH72" s="96">
        <f t="shared" si="125"/>
        <v>0</v>
      </c>
      <c r="CI72" s="96">
        <f t="shared" si="126"/>
        <v>0</v>
      </c>
      <c r="CJ72" s="96">
        <f t="shared" si="127"/>
        <v>0</v>
      </c>
      <c r="CK72" s="96">
        <f t="shared" si="128"/>
        <v>0</v>
      </c>
      <c r="CL72" s="286">
        <f t="shared" si="129"/>
        <v>0</v>
      </c>
      <c r="CM72" s="305" t="s">
        <v>293</v>
      </c>
      <c r="CN72" s="315">
        <v>0.05</v>
      </c>
      <c r="CO72" s="306"/>
      <c r="CP72" s="307" t="str">
        <f>IF($CO72&lt;&gt;"",$CO72,HLOOKUP($CM72,$AY$6:$BA$132,ROWS(CP$6:CP72),0))</f>
        <v/>
      </c>
      <c r="CQ72" s="784" t="str">
        <f t="shared" si="130"/>
        <v/>
      </c>
      <c r="CR72" s="784" t="str">
        <f t="shared" si="131"/>
        <v/>
      </c>
      <c r="CS72" s="97" t="str">
        <f t="shared" si="132"/>
        <v/>
      </c>
      <c r="CT72" s="97" t="str">
        <f t="shared" si="133"/>
        <v/>
      </c>
      <c r="CU72" s="97" t="str">
        <f t="shared" si="134"/>
        <v/>
      </c>
      <c r="CV72" s="97" t="str">
        <f t="shared" si="135"/>
        <v/>
      </c>
      <c r="CW72" s="97" t="str">
        <f t="shared" si="136"/>
        <v/>
      </c>
      <c r="CX72" s="98" t="str">
        <f t="shared" si="137"/>
        <v/>
      </c>
      <c r="CY72" s="392"/>
    </row>
    <row r="73" spans="1:103" x14ac:dyDescent="0.25">
      <c r="A73" s="81" t="s">
        <v>138</v>
      </c>
      <c r="B73" s="82" t="s">
        <v>149</v>
      </c>
      <c r="C73" s="83" t="s">
        <v>363</v>
      </c>
      <c r="D73" s="84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654">
        <f>'2022-23 Input'!E73</f>
        <v>0</v>
      </c>
      <c r="N73" s="1065">
        <v>0</v>
      </c>
      <c r="O73" s="560">
        <f t="shared" si="95"/>
        <v>0</v>
      </c>
      <c r="P73" s="561">
        <f t="shared" si="96"/>
        <v>0</v>
      </c>
      <c r="Q73" s="561">
        <f t="shared" si="97"/>
        <v>0</v>
      </c>
      <c r="R73" s="561">
        <f t="shared" si="98"/>
        <v>0</v>
      </c>
      <c r="S73" s="561">
        <f t="shared" si="99"/>
        <v>0</v>
      </c>
      <c r="T73" s="561">
        <f t="shared" si="100"/>
        <v>0</v>
      </c>
      <c r="U73" s="561">
        <f t="shared" si="101"/>
        <v>0</v>
      </c>
      <c r="V73" s="561">
        <f t="shared" si="102"/>
        <v>0</v>
      </c>
      <c r="W73" s="675">
        <f t="shared" si="103"/>
        <v>0</v>
      </c>
      <c r="X73" s="675">
        <f t="shared" si="104"/>
        <v>0</v>
      </c>
      <c r="Y73" s="675">
        <f t="shared" si="105"/>
        <v>0</v>
      </c>
      <c r="Z73" s="86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1094">
        <f>'2022-23 Input'!L73</f>
        <v>0</v>
      </c>
      <c r="AJ73" s="665">
        <v>0</v>
      </c>
      <c r="AK73" s="88">
        <f t="shared" si="106"/>
        <v>0</v>
      </c>
      <c r="AL73" s="89">
        <f t="shared" si="107"/>
        <v>0</v>
      </c>
      <c r="AM73" s="90">
        <f t="shared" si="108"/>
        <v>0</v>
      </c>
      <c r="AN73" s="91" t="str">
        <f t="shared" si="109"/>
        <v/>
      </c>
      <c r="AO73" s="92" t="str">
        <f t="shared" si="110"/>
        <v/>
      </c>
      <c r="AP73" s="92" t="str">
        <f t="shared" si="111"/>
        <v/>
      </c>
      <c r="AQ73" s="92" t="str">
        <f t="shared" si="112"/>
        <v/>
      </c>
      <c r="AR73" s="92" t="str">
        <f t="shared" si="113"/>
        <v/>
      </c>
      <c r="AS73" s="92" t="str">
        <f t="shared" si="114"/>
        <v/>
      </c>
      <c r="AT73" s="92" t="str">
        <f t="shared" si="115"/>
        <v/>
      </c>
      <c r="AU73" s="92" t="str">
        <f t="shared" si="116"/>
        <v/>
      </c>
      <c r="AV73" s="92" t="str">
        <f t="shared" si="117"/>
        <v/>
      </c>
      <c r="AW73" s="92" t="str">
        <f t="shared" si="117"/>
        <v/>
      </c>
      <c r="AX73" s="92" t="str">
        <f t="shared" si="117"/>
        <v/>
      </c>
      <c r="AY73" s="93" t="str">
        <f t="shared" si="118"/>
        <v/>
      </c>
      <c r="AZ73" s="94" t="str">
        <f t="shared" si="119"/>
        <v/>
      </c>
      <c r="BA73" s="95" t="str">
        <f t="shared" si="120"/>
        <v/>
      </c>
      <c r="BB73" s="248" t="s">
        <v>422</v>
      </c>
      <c r="BC73" s="229" t="s">
        <v>433</v>
      </c>
      <c r="BD73" s="249">
        <v>-0.125</v>
      </c>
      <c r="BE73" s="267">
        <f t="shared" si="121"/>
        <v>0</v>
      </c>
      <c r="BF73" s="268">
        <f t="shared" si="94"/>
        <v>0</v>
      </c>
      <c r="BG73" s="268">
        <f t="shared" si="94"/>
        <v>0</v>
      </c>
      <c r="BH73" s="268">
        <f t="shared" si="94"/>
        <v>1</v>
      </c>
      <c r="BI73" s="268">
        <f t="shared" si="94"/>
        <v>2</v>
      </c>
      <c r="BJ73" s="268">
        <f t="shared" si="94"/>
        <v>3</v>
      </c>
      <c r="BK73" s="268">
        <f t="shared" si="94"/>
        <v>4</v>
      </c>
      <c r="BL73" s="269">
        <f t="shared" si="94"/>
        <v>5</v>
      </c>
      <c r="BM73" s="256">
        <f>IF($BC73=Lookup!$A$2,$BD73*ROUNDUP(BE73/10,0)+1,
IF($BC73=Lookup!$A$3,($BD73+1)^BD73,
IF($BC73=Lookup!$A$4,BE73*$BD73+1,"Error")))</f>
        <v>1</v>
      </c>
      <c r="BN73" s="229">
        <f>IF($BC73=Lookup!$A$2,$BD73*ROUNDUP(BF73/10,0)+1,
IF($BC73=Lookup!$A$3,($BD73+1)^BE73,
IF($BC73=Lookup!$A$4,BF73*$BD73+1,"Error")))</f>
        <v>1</v>
      </c>
      <c r="BO73" s="229">
        <f>IF($BC73=Lookup!$A$2,$BD73*ROUNDUP(BG73/10,0)+1,
IF($BC73=Lookup!$A$3,($BD73+1)^BF73,
IF($BC73=Lookup!$A$4,BG73*$BD73+1,"Error")))</f>
        <v>1</v>
      </c>
      <c r="BP73" s="229">
        <f>IF($BC73=Lookup!$A$2,$BD73*ROUNDUP(BH73/10,0)+1,
IF($BC73=Lookup!$A$3,($BD73+1)^BG73,
IF($BC73=Lookup!$A$4,BH73*$BD73+1,"Error")))</f>
        <v>0.875</v>
      </c>
      <c r="BQ73" s="229">
        <f>IF($BC73=Lookup!$A$2,$BD73*ROUNDUP(BI73/10,0)+1,
IF($BC73=Lookup!$A$3,($BD73+1)^BH73,
IF($BC73=Lookup!$A$4,BI73*$BD73+1,"Error")))</f>
        <v>0.875</v>
      </c>
      <c r="BR73" s="229">
        <f>IF($BC73=Lookup!$A$2,$BD73*ROUNDUP(BJ73/10,0)+1,
IF($BC73=Lookup!$A$3,($BD73+1)^BI73,
IF($BC73=Lookup!$A$4,BJ73*$BD73+1,"Error")))</f>
        <v>0.875</v>
      </c>
      <c r="BS73" s="229">
        <f>IF($BC73=Lookup!$A$2,$BD73*ROUNDUP(BK73/10,0)+1,
IF($BC73=Lookup!$A$3,($BD73+1)^BJ73,
IF($BC73=Lookup!$A$4,BK73*$BD73+1,"Error")))</f>
        <v>0.875</v>
      </c>
      <c r="BT73" s="249">
        <f>IF($BC73=Lookup!$A$2,$BD73*ROUNDUP(BL73/10,0)+1,
IF($BC73=Lookup!$A$3,($BD73+1)^BK73,
IF($BC73=Lookup!$A$4,BL73*$BD73+1,"Error")))</f>
        <v>0.875</v>
      </c>
      <c r="BU73" s="320"/>
      <c r="BV73" s="321"/>
      <c r="BW73" s="321"/>
      <c r="BX73" s="321"/>
      <c r="BY73" s="321"/>
      <c r="BZ73" s="321"/>
      <c r="CA73" s="321"/>
      <c r="CB73" s="277"/>
      <c r="CC73" s="382" t="s">
        <v>292</v>
      </c>
      <c r="CD73" s="383">
        <f>HLOOKUP($CC73,$AK$6:$AM$132,ROWS(CD$6:CD73),0)</f>
        <v>0</v>
      </c>
      <c r="CE73" s="234">
        <f t="shared" si="122"/>
        <v>0</v>
      </c>
      <c r="CF73" s="96">
        <f t="shared" si="123"/>
        <v>0</v>
      </c>
      <c r="CG73" s="96">
        <f t="shared" si="124"/>
        <v>0</v>
      </c>
      <c r="CH73" s="96">
        <f t="shared" si="125"/>
        <v>0</v>
      </c>
      <c r="CI73" s="96">
        <f t="shared" si="126"/>
        <v>0</v>
      </c>
      <c r="CJ73" s="96">
        <f t="shared" si="127"/>
        <v>0</v>
      </c>
      <c r="CK73" s="96">
        <f t="shared" si="128"/>
        <v>0</v>
      </c>
      <c r="CL73" s="286">
        <f t="shared" si="129"/>
        <v>0</v>
      </c>
      <c r="CM73" s="305" t="s">
        <v>293</v>
      </c>
      <c r="CN73" s="315">
        <v>0.05</v>
      </c>
      <c r="CO73" s="306"/>
      <c r="CP73" s="307" t="str">
        <f>IF($CO73&lt;&gt;"",$CO73,HLOOKUP($CM73,$AY$6:$BA$132,ROWS(CP$6:CP73),0))</f>
        <v/>
      </c>
      <c r="CQ73" s="784" t="str">
        <f t="shared" si="130"/>
        <v/>
      </c>
      <c r="CR73" s="784" t="str">
        <f t="shared" si="131"/>
        <v/>
      </c>
      <c r="CS73" s="97" t="str">
        <f t="shared" si="132"/>
        <v/>
      </c>
      <c r="CT73" s="97" t="str">
        <f t="shared" si="133"/>
        <v/>
      </c>
      <c r="CU73" s="97" t="str">
        <f t="shared" si="134"/>
        <v/>
      </c>
      <c r="CV73" s="97" t="str">
        <f t="shared" si="135"/>
        <v/>
      </c>
      <c r="CW73" s="97" t="str">
        <f t="shared" si="136"/>
        <v/>
      </c>
      <c r="CX73" s="98" t="str">
        <f t="shared" si="137"/>
        <v/>
      </c>
      <c r="CY73" s="392"/>
    </row>
    <row r="74" spans="1:103" x14ac:dyDescent="0.25">
      <c r="A74" s="81" t="s">
        <v>138</v>
      </c>
      <c r="B74" s="82" t="s">
        <v>151</v>
      </c>
      <c r="C74" s="83" t="s">
        <v>364</v>
      </c>
      <c r="D74" s="84">
        <v>0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654">
        <f>'2022-23 Input'!E74</f>
        <v>0</v>
      </c>
      <c r="N74" s="1065">
        <v>0</v>
      </c>
      <c r="O74" s="560">
        <f t="shared" si="95"/>
        <v>0</v>
      </c>
      <c r="P74" s="561">
        <f t="shared" si="96"/>
        <v>0</v>
      </c>
      <c r="Q74" s="561">
        <f t="shared" si="97"/>
        <v>0</v>
      </c>
      <c r="R74" s="561">
        <f t="shared" si="98"/>
        <v>0</v>
      </c>
      <c r="S74" s="561">
        <f t="shared" si="99"/>
        <v>0</v>
      </c>
      <c r="T74" s="561">
        <f t="shared" si="100"/>
        <v>0</v>
      </c>
      <c r="U74" s="561">
        <f t="shared" si="101"/>
        <v>0</v>
      </c>
      <c r="V74" s="561">
        <f t="shared" si="102"/>
        <v>0</v>
      </c>
      <c r="W74" s="675">
        <f t="shared" si="103"/>
        <v>0</v>
      </c>
      <c r="X74" s="675">
        <f t="shared" si="104"/>
        <v>0</v>
      </c>
      <c r="Y74" s="675">
        <f t="shared" si="105"/>
        <v>0</v>
      </c>
      <c r="Z74" s="86">
        <v>0</v>
      </c>
      <c r="AA74" s="87">
        <v>0</v>
      </c>
      <c r="AB74" s="87">
        <v>0</v>
      </c>
      <c r="AC74" s="87">
        <v>0</v>
      </c>
      <c r="AD74" s="87">
        <v>0</v>
      </c>
      <c r="AE74" s="87">
        <v>0</v>
      </c>
      <c r="AF74" s="87">
        <v>0</v>
      </c>
      <c r="AG74" s="87">
        <v>0</v>
      </c>
      <c r="AH74" s="87">
        <v>0</v>
      </c>
      <c r="AI74" s="1094">
        <f>'2022-23 Input'!L74</f>
        <v>0</v>
      </c>
      <c r="AJ74" s="665">
        <v>0</v>
      </c>
      <c r="AK74" s="88">
        <f t="shared" si="106"/>
        <v>0</v>
      </c>
      <c r="AL74" s="89">
        <f t="shared" si="107"/>
        <v>0</v>
      </c>
      <c r="AM74" s="90">
        <f t="shared" si="108"/>
        <v>0</v>
      </c>
      <c r="AN74" s="91" t="str">
        <f t="shared" si="109"/>
        <v/>
      </c>
      <c r="AO74" s="92" t="str">
        <f t="shared" si="110"/>
        <v/>
      </c>
      <c r="AP74" s="92" t="str">
        <f t="shared" si="111"/>
        <v/>
      </c>
      <c r="AQ74" s="92" t="str">
        <f t="shared" si="112"/>
        <v/>
      </c>
      <c r="AR74" s="92" t="str">
        <f t="shared" si="113"/>
        <v/>
      </c>
      <c r="AS74" s="92" t="str">
        <f t="shared" si="114"/>
        <v/>
      </c>
      <c r="AT74" s="92" t="str">
        <f t="shared" si="115"/>
        <v/>
      </c>
      <c r="AU74" s="92" t="str">
        <f t="shared" si="116"/>
        <v/>
      </c>
      <c r="AV74" s="92" t="str">
        <f t="shared" si="117"/>
        <v/>
      </c>
      <c r="AW74" s="92" t="str">
        <f t="shared" si="117"/>
        <v/>
      </c>
      <c r="AX74" s="92" t="str">
        <f t="shared" si="117"/>
        <v/>
      </c>
      <c r="AY74" s="93" t="str">
        <f t="shared" si="118"/>
        <v/>
      </c>
      <c r="AZ74" s="94" t="str">
        <f t="shared" si="119"/>
        <v/>
      </c>
      <c r="BA74" s="95" t="str">
        <f t="shared" si="120"/>
        <v/>
      </c>
      <c r="BB74" s="248" t="s">
        <v>422</v>
      </c>
      <c r="BC74" s="229" t="s">
        <v>433</v>
      </c>
      <c r="BD74" s="249">
        <v>-0.125</v>
      </c>
      <c r="BE74" s="267">
        <f t="shared" si="121"/>
        <v>0</v>
      </c>
      <c r="BF74" s="268">
        <f t="shared" si="94"/>
        <v>0</v>
      </c>
      <c r="BG74" s="268">
        <f t="shared" si="94"/>
        <v>0</v>
      </c>
      <c r="BH74" s="268">
        <f t="shared" si="94"/>
        <v>1</v>
      </c>
      <c r="BI74" s="268">
        <f t="shared" si="94"/>
        <v>2</v>
      </c>
      <c r="BJ74" s="268">
        <f t="shared" si="94"/>
        <v>3</v>
      </c>
      <c r="BK74" s="268">
        <f t="shared" si="94"/>
        <v>4</v>
      </c>
      <c r="BL74" s="269">
        <f t="shared" si="94"/>
        <v>5</v>
      </c>
      <c r="BM74" s="256">
        <f>IF($BC74=Lookup!$A$2,$BD74*ROUNDUP(BE74/10,0)+1,
IF($BC74=Lookup!$A$3,($BD74+1)^BD74,
IF($BC74=Lookup!$A$4,BE74*$BD74+1,"Error")))</f>
        <v>1</v>
      </c>
      <c r="BN74" s="229">
        <f>IF($BC74=Lookup!$A$2,$BD74*ROUNDUP(BF74/10,0)+1,
IF($BC74=Lookup!$A$3,($BD74+1)^BE74,
IF($BC74=Lookup!$A$4,BF74*$BD74+1,"Error")))</f>
        <v>1</v>
      </c>
      <c r="BO74" s="229">
        <f>IF($BC74=Lookup!$A$2,$BD74*ROUNDUP(BG74/10,0)+1,
IF($BC74=Lookup!$A$3,($BD74+1)^BF74,
IF($BC74=Lookup!$A$4,BG74*$BD74+1,"Error")))</f>
        <v>1</v>
      </c>
      <c r="BP74" s="229">
        <f>IF($BC74=Lookup!$A$2,$BD74*ROUNDUP(BH74/10,0)+1,
IF($BC74=Lookup!$A$3,($BD74+1)^BG74,
IF($BC74=Lookup!$A$4,BH74*$BD74+1,"Error")))</f>
        <v>0.875</v>
      </c>
      <c r="BQ74" s="229">
        <f>IF($BC74=Lookup!$A$2,$BD74*ROUNDUP(BI74/10,0)+1,
IF($BC74=Lookup!$A$3,($BD74+1)^BH74,
IF($BC74=Lookup!$A$4,BI74*$BD74+1,"Error")))</f>
        <v>0.875</v>
      </c>
      <c r="BR74" s="229">
        <f>IF($BC74=Lookup!$A$2,$BD74*ROUNDUP(BJ74/10,0)+1,
IF($BC74=Lookup!$A$3,($BD74+1)^BI74,
IF($BC74=Lookup!$A$4,BJ74*$BD74+1,"Error")))</f>
        <v>0.875</v>
      </c>
      <c r="BS74" s="229">
        <f>IF($BC74=Lookup!$A$2,$BD74*ROUNDUP(BK74/10,0)+1,
IF($BC74=Lookup!$A$3,($BD74+1)^BJ74,
IF($BC74=Lookup!$A$4,BK74*$BD74+1,"Error")))</f>
        <v>0.875</v>
      </c>
      <c r="BT74" s="249">
        <f>IF($BC74=Lookup!$A$2,$BD74*ROUNDUP(BL74/10,0)+1,
IF($BC74=Lookup!$A$3,($BD74+1)^BK74,
IF($BC74=Lookup!$A$4,BL74*$BD74+1,"Error")))</f>
        <v>0.875</v>
      </c>
      <c r="BU74" s="320"/>
      <c r="BV74" s="321"/>
      <c r="BW74" s="321"/>
      <c r="BX74" s="321"/>
      <c r="BY74" s="321"/>
      <c r="BZ74" s="321"/>
      <c r="CA74" s="321"/>
      <c r="CB74" s="277"/>
      <c r="CC74" s="382" t="s">
        <v>292</v>
      </c>
      <c r="CD74" s="383">
        <f>HLOOKUP($CC74,$AK$6:$AM$132,ROWS(CD$6:CD74),0)</f>
        <v>0</v>
      </c>
      <c r="CE74" s="234">
        <f t="shared" si="122"/>
        <v>0</v>
      </c>
      <c r="CF74" s="96">
        <f t="shared" si="123"/>
        <v>0</v>
      </c>
      <c r="CG74" s="96">
        <f t="shared" si="124"/>
        <v>0</v>
      </c>
      <c r="CH74" s="96">
        <f t="shared" si="125"/>
        <v>0</v>
      </c>
      <c r="CI74" s="96">
        <f t="shared" si="126"/>
        <v>0</v>
      </c>
      <c r="CJ74" s="96">
        <f t="shared" si="127"/>
        <v>0</v>
      </c>
      <c r="CK74" s="96">
        <f t="shared" si="128"/>
        <v>0</v>
      </c>
      <c r="CL74" s="286">
        <f t="shared" si="129"/>
        <v>0</v>
      </c>
      <c r="CM74" s="305" t="s">
        <v>293</v>
      </c>
      <c r="CN74" s="315">
        <v>0.05</v>
      </c>
      <c r="CO74" s="306"/>
      <c r="CP74" s="307" t="str">
        <f>IF($CO74&lt;&gt;"",$CO74,HLOOKUP($CM74,$AY$6:$BA$132,ROWS(CP$6:CP74),0))</f>
        <v/>
      </c>
      <c r="CQ74" s="784" t="str">
        <f t="shared" si="130"/>
        <v/>
      </c>
      <c r="CR74" s="784" t="str">
        <f t="shared" si="131"/>
        <v/>
      </c>
      <c r="CS74" s="97" t="str">
        <f t="shared" si="132"/>
        <v/>
      </c>
      <c r="CT74" s="97" t="str">
        <f t="shared" si="133"/>
        <v/>
      </c>
      <c r="CU74" s="97" t="str">
        <f t="shared" si="134"/>
        <v/>
      </c>
      <c r="CV74" s="97" t="str">
        <f t="shared" si="135"/>
        <v/>
      </c>
      <c r="CW74" s="97" t="str">
        <f t="shared" si="136"/>
        <v/>
      </c>
      <c r="CX74" s="98" t="str">
        <f t="shared" si="137"/>
        <v/>
      </c>
      <c r="CY74" s="392"/>
    </row>
    <row r="75" spans="1:103" x14ac:dyDescent="0.25">
      <c r="A75" s="81" t="s">
        <v>138</v>
      </c>
      <c r="B75" s="82" t="s">
        <v>153</v>
      </c>
      <c r="C75" s="83" t="s">
        <v>365</v>
      </c>
      <c r="D75" s="84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654">
        <f>'2022-23 Input'!E75</f>
        <v>0</v>
      </c>
      <c r="N75" s="1065">
        <v>0</v>
      </c>
      <c r="O75" s="560">
        <f t="shared" si="95"/>
        <v>0</v>
      </c>
      <c r="P75" s="561">
        <f t="shared" si="96"/>
        <v>0</v>
      </c>
      <c r="Q75" s="561">
        <f t="shared" si="97"/>
        <v>0</v>
      </c>
      <c r="R75" s="561">
        <f t="shared" si="98"/>
        <v>0</v>
      </c>
      <c r="S75" s="561">
        <f t="shared" si="99"/>
        <v>0</v>
      </c>
      <c r="T75" s="561">
        <f t="shared" si="100"/>
        <v>0</v>
      </c>
      <c r="U75" s="561">
        <f t="shared" si="101"/>
        <v>0</v>
      </c>
      <c r="V75" s="561">
        <f t="shared" si="102"/>
        <v>0</v>
      </c>
      <c r="W75" s="675">
        <f t="shared" si="103"/>
        <v>0</v>
      </c>
      <c r="X75" s="675">
        <f t="shared" si="104"/>
        <v>0</v>
      </c>
      <c r="Y75" s="675">
        <f t="shared" si="105"/>
        <v>0</v>
      </c>
      <c r="Z75" s="86">
        <v>0</v>
      </c>
      <c r="AA75" s="87">
        <v>0</v>
      </c>
      <c r="AB75" s="87">
        <v>0</v>
      </c>
      <c r="AC75" s="87">
        <v>0</v>
      </c>
      <c r="AD75" s="87">
        <v>0</v>
      </c>
      <c r="AE75" s="87">
        <v>0</v>
      </c>
      <c r="AF75" s="87">
        <v>0</v>
      </c>
      <c r="AG75" s="87">
        <v>0</v>
      </c>
      <c r="AH75" s="87">
        <v>0</v>
      </c>
      <c r="AI75" s="1094">
        <f>'2022-23 Input'!L75</f>
        <v>0</v>
      </c>
      <c r="AJ75" s="665">
        <v>0</v>
      </c>
      <c r="AK75" s="88">
        <f t="shared" si="106"/>
        <v>0</v>
      </c>
      <c r="AL75" s="89">
        <f t="shared" si="107"/>
        <v>0</v>
      </c>
      <c r="AM75" s="90">
        <f t="shared" si="108"/>
        <v>0</v>
      </c>
      <c r="AN75" s="91" t="str">
        <f t="shared" si="109"/>
        <v/>
      </c>
      <c r="AO75" s="92" t="str">
        <f t="shared" si="110"/>
        <v/>
      </c>
      <c r="AP75" s="92" t="str">
        <f t="shared" si="111"/>
        <v/>
      </c>
      <c r="AQ75" s="92" t="str">
        <f t="shared" si="112"/>
        <v/>
      </c>
      <c r="AR75" s="92" t="str">
        <f t="shared" si="113"/>
        <v/>
      </c>
      <c r="AS75" s="92" t="str">
        <f t="shared" si="114"/>
        <v/>
      </c>
      <c r="AT75" s="92" t="str">
        <f t="shared" si="115"/>
        <v/>
      </c>
      <c r="AU75" s="92" t="str">
        <f t="shared" si="116"/>
        <v/>
      </c>
      <c r="AV75" s="92" t="str">
        <f t="shared" si="117"/>
        <v/>
      </c>
      <c r="AW75" s="92" t="str">
        <f t="shared" si="117"/>
        <v/>
      </c>
      <c r="AX75" s="92" t="str">
        <f t="shared" si="117"/>
        <v/>
      </c>
      <c r="AY75" s="93" t="str">
        <f t="shared" si="118"/>
        <v/>
      </c>
      <c r="AZ75" s="94" t="str">
        <f t="shared" si="119"/>
        <v/>
      </c>
      <c r="BA75" s="95" t="str">
        <f t="shared" si="120"/>
        <v/>
      </c>
      <c r="BB75" s="248" t="s">
        <v>422</v>
      </c>
      <c r="BC75" s="229" t="s">
        <v>433</v>
      </c>
      <c r="BD75" s="249">
        <v>-0.125</v>
      </c>
      <c r="BE75" s="267">
        <f t="shared" si="121"/>
        <v>0</v>
      </c>
      <c r="BF75" s="268">
        <f t="shared" si="94"/>
        <v>0</v>
      </c>
      <c r="BG75" s="268">
        <f t="shared" si="94"/>
        <v>0</v>
      </c>
      <c r="BH75" s="268">
        <f t="shared" si="94"/>
        <v>1</v>
      </c>
      <c r="BI75" s="268">
        <f t="shared" si="94"/>
        <v>2</v>
      </c>
      <c r="BJ75" s="268">
        <f t="shared" si="94"/>
        <v>3</v>
      </c>
      <c r="BK75" s="268">
        <f t="shared" si="94"/>
        <v>4</v>
      </c>
      <c r="BL75" s="269">
        <f t="shared" si="94"/>
        <v>5</v>
      </c>
      <c r="BM75" s="256">
        <f>IF($BC75=Lookup!$A$2,$BD75*ROUNDUP(BE75/10,0)+1,
IF($BC75=Lookup!$A$3,($BD75+1)^BD75,
IF($BC75=Lookup!$A$4,BE75*$BD75+1,"Error")))</f>
        <v>1</v>
      </c>
      <c r="BN75" s="229">
        <f>IF($BC75=Lookup!$A$2,$BD75*ROUNDUP(BF75/10,0)+1,
IF($BC75=Lookup!$A$3,($BD75+1)^BE75,
IF($BC75=Lookup!$A$4,BF75*$BD75+1,"Error")))</f>
        <v>1</v>
      </c>
      <c r="BO75" s="229">
        <f>IF($BC75=Lookup!$A$2,$BD75*ROUNDUP(BG75/10,0)+1,
IF($BC75=Lookup!$A$3,($BD75+1)^BF75,
IF($BC75=Lookup!$A$4,BG75*$BD75+1,"Error")))</f>
        <v>1</v>
      </c>
      <c r="BP75" s="229">
        <f>IF($BC75=Lookup!$A$2,$BD75*ROUNDUP(BH75/10,0)+1,
IF($BC75=Lookup!$A$3,($BD75+1)^BG75,
IF($BC75=Lookup!$A$4,BH75*$BD75+1,"Error")))</f>
        <v>0.875</v>
      </c>
      <c r="BQ75" s="229">
        <f>IF($BC75=Lookup!$A$2,$BD75*ROUNDUP(BI75/10,0)+1,
IF($BC75=Lookup!$A$3,($BD75+1)^BH75,
IF($BC75=Lookup!$A$4,BI75*$BD75+1,"Error")))</f>
        <v>0.875</v>
      </c>
      <c r="BR75" s="229">
        <f>IF($BC75=Lookup!$A$2,$BD75*ROUNDUP(BJ75/10,0)+1,
IF($BC75=Lookup!$A$3,($BD75+1)^BI75,
IF($BC75=Lookup!$A$4,BJ75*$BD75+1,"Error")))</f>
        <v>0.875</v>
      </c>
      <c r="BS75" s="229">
        <f>IF($BC75=Lookup!$A$2,$BD75*ROUNDUP(BK75/10,0)+1,
IF($BC75=Lookup!$A$3,($BD75+1)^BJ75,
IF($BC75=Lookup!$A$4,BK75*$BD75+1,"Error")))</f>
        <v>0.875</v>
      </c>
      <c r="BT75" s="249">
        <f>IF($BC75=Lookup!$A$2,$BD75*ROUNDUP(BL75/10,0)+1,
IF($BC75=Lookup!$A$3,($BD75+1)^BK75,
IF($BC75=Lookup!$A$4,BL75*$BD75+1,"Error")))</f>
        <v>0.875</v>
      </c>
      <c r="BU75" s="320"/>
      <c r="BV75" s="321"/>
      <c r="BW75" s="321"/>
      <c r="BX75" s="321"/>
      <c r="BY75" s="321"/>
      <c r="BZ75" s="321"/>
      <c r="CA75" s="321"/>
      <c r="CB75" s="277"/>
      <c r="CC75" s="382" t="s">
        <v>292</v>
      </c>
      <c r="CD75" s="383">
        <f>HLOOKUP($CC75,$AK$6:$AM$132,ROWS(CD$6:CD75),0)</f>
        <v>0</v>
      </c>
      <c r="CE75" s="234">
        <f t="shared" si="122"/>
        <v>0</v>
      </c>
      <c r="CF75" s="96">
        <f t="shared" si="123"/>
        <v>0</v>
      </c>
      <c r="CG75" s="96">
        <f t="shared" si="124"/>
        <v>0</v>
      </c>
      <c r="CH75" s="96">
        <f t="shared" si="125"/>
        <v>0</v>
      </c>
      <c r="CI75" s="96">
        <f t="shared" si="126"/>
        <v>0</v>
      </c>
      <c r="CJ75" s="96">
        <f t="shared" si="127"/>
        <v>0</v>
      </c>
      <c r="CK75" s="96">
        <f t="shared" si="128"/>
        <v>0</v>
      </c>
      <c r="CL75" s="286">
        <f t="shared" si="129"/>
        <v>0</v>
      </c>
      <c r="CM75" s="305" t="s">
        <v>293</v>
      </c>
      <c r="CN75" s="315">
        <v>0.05</v>
      </c>
      <c r="CO75" s="306"/>
      <c r="CP75" s="307" t="str">
        <f>IF($CO75&lt;&gt;"",$CO75,HLOOKUP($CM75,$AY$6:$BA$132,ROWS(CP$6:CP75),0))</f>
        <v/>
      </c>
      <c r="CQ75" s="784" t="str">
        <f t="shared" si="130"/>
        <v/>
      </c>
      <c r="CR75" s="784" t="str">
        <f t="shared" si="131"/>
        <v/>
      </c>
      <c r="CS75" s="97" t="str">
        <f t="shared" si="132"/>
        <v/>
      </c>
      <c r="CT75" s="97" t="str">
        <f t="shared" si="133"/>
        <v/>
      </c>
      <c r="CU75" s="97" t="str">
        <f t="shared" si="134"/>
        <v/>
      </c>
      <c r="CV75" s="97" t="str">
        <f t="shared" si="135"/>
        <v/>
      </c>
      <c r="CW75" s="97" t="str">
        <f t="shared" si="136"/>
        <v/>
      </c>
      <c r="CX75" s="98" t="str">
        <f t="shared" si="137"/>
        <v/>
      </c>
      <c r="CY75" s="392"/>
    </row>
    <row r="76" spans="1:103" x14ac:dyDescent="0.25">
      <c r="A76" s="81" t="s">
        <v>138</v>
      </c>
      <c r="B76" s="82" t="s">
        <v>155</v>
      </c>
      <c r="C76" s="83" t="s">
        <v>366</v>
      </c>
      <c r="D76" s="84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654">
        <f>'2022-23 Input'!E76</f>
        <v>0</v>
      </c>
      <c r="N76" s="1065">
        <v>0</v>
      </c>
      <c r="O76" s="560">
        <f t="shared" si="95"/>
        <v>0</v>
      </c>
      <c r="P76" s="561">
        <f t="shared" si="96"/>
        <v>0</v>
      </c>
      <c r="Q76" s="561">
        <f t="shared" si="97"/>
        <v>0</v>
      </c>
      <c r="R76" s="561">
        <f t="shared" si="98"/>
        <v>0</v>
      </c>
      <c r="S76" s="561">
        <f t="shared" si="99"/>
        <v>0</v>
      </c>
      <c r="T76" s="561">
        <f t="shared" si="100"/>
        <v>0</v>
      </c>
      <c r="U76" s="561">
        <f t="shared" si="101"/>
        <v>0</v>
      </c>
      <c r="V76" s="561">
        <f t="shared" si="102"/>
        <v>0</v>
      </c>
      <c r="W76" s="675">
        <f t="shared" si="103"/>
        <v>0</v>
      </c>
      <c r="X76" s="675">
        <f t="shared" si="104"/>
        <v>0</v>
      </c>
      <c r="Y76" s="675">
        <f t="shared" si="105"/>
        <v>0</v>
      </c>
      <c r="Z76" s="86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1094">
        <f>'2022-23 Input'!L76</f>
        <v>0</v>
      </c>
      <c r="AJ76" s="665">
        <v>0</v>
      </c>
      <c r="AK76" s="88">
        <f t="shared" si="106"/>
        <v>0</v>
      </c>
      <c r="AL76" s="89">
        <f t="shared" si="107"/>
        <v>0</v>
      </c>
      <c r="AM76" s="90">
        <f t="shared" si="108"/>
        <v>0</v>
      </c>
      <c r="AN76" s="91" t="str">
        <f t="shared" si="109"/>
        <v/>
      </c>
      <c r="AO76" s="92" t="str">
        <f t="shared" si="110"/>
        <v/>
      </c>
      <c r="AP76" s="92" t="str">
        <f t="shared" si="111"/>
        <v/>
      </c>
      <c r="AQ76" s="92" t="str">
        <f t="shared" si="112"/>
        <v/>
      </c>
      <c r="AR76" s="92" t="str">
        <f t="shared" si="113"/>
        <v/>
      </c>
      <c r="AS76" s="92" t="str">
        <f t="shared" si="114"/>
        <v/>
      </c>
      <c r="AT76" s="92" t="str">
        <f t="shared" si="115"/>
        <v/>
      </c>
      <c r="AU76" s="92" t="str">
        <f t="shared" si="116"/>
        <v/>
      </c>
      <c r="AV76" s="92" t="str">
        <f t="shared" si="117"/>
        <v/>
      </c>
      <c r="AW76" s="92" t="str">
        <f t="shared" si="117"/>
        <v/>
      </c>
      <c r="AX76" s="92" t="str">
        <f t="shared" si="117"/>
        <v/>
      </c>
      <c r="AY76" s="93" t="str">
        <f t="shared" si="118"/>
        <v/>
      </c>
      <c r="AZ76" s="94" t="str">
        <f t="shared" si="119"/>
        <v/>
      </c>
      <c r="BA76" s="95" t="str">
        <f t="shared" si="120"/>
        <v/>
      </c>
      <c r="BB76" s="248" t="s">
        <v>422</v>
      </c>
      <c r="BC76" s="229" t="s">
        <v>433</v>
      </c>
      <c r="BD76" s="249">
        <v>-0.125</v>
      </c>
      <c r="BE76" s="267">
        <f t="shared" si="121"/>
        <v>0</v>
      </c>
      <c r="BF76" s="268">
        <f t="shared" si="94"/>
        <v>0</v>
      </c>
      <c r="BG76" s="268">
        <f t="shared" si="94"/>
        <v>0</v>
      </c>
      <c r="BH76" s="268">
        <f t="shared" si="94"/>
        <v>1</v>
      </c>
      <c r="BI76" s="268">
        <f t="shared" si="94"/>
        <v>2</v>
      </c>
      <c r="BJ76" s="268">
        <f t="shared" si="94"/>
        <v>3</v>
      </c>
      <c r="BK76" s="268">
        <f t="shared" si="94"/>
        <v>4</v>
      </c>
      <c r="BL76" s="269">
        <f t="shared" si="94"/>
        <v>5</v>
      </c>
      <c r="BM76" s="256">
        <f>IF($BC76=Lookup!$A$2,$BD76*ROUNDUP(BE76/10,0)+1,
IF($BC76=Lookup!$A$3,($BD76+1)^BD76,
IF($BC76=Lookup!$A$4,BE76*$BD76+1,"Error")))</f>
        <v>1</v>
      </c>
      <c r="BN76" s="229">
        <f>IF($BC76=Lookup!$A$2,$BD76*ROUNDUP(BF76/10,0)+1,
IF($BC76=Lookup!$A$3,($BD76+1)^BE76,
IF($BC76=Lookup!$A$4,BF76*$BD76+1,"Error")))</f>
        <v>1</v>
      </c>
      <c r="BO76" s="229">
        <f>IF($BC76=Lookup!$A$2,$BD76*ROUNDUP(BG76/10,0)+1,
IF($BC76=Lookup!$A$3,($BD76+1)^BF76,
IF($BC76=Lookup!$A$4,BG76*$BD76+1,"Error")))</f>
        <v>1</v>
      </c>
      <c r="BP76" s="229">
        <f>IF($BC76=Lookup!$A$2,$BD76*ROUNDUP(BH76/10,0)+1,
IF($BC76=Lookup!$A$3,($BD76+1)^BG76,
IF($BC76=Lookup!$A$4,BH76*$BD76+1,"Error")))</f>
        <v>0.875</v>
      </c>
      <c r="BQ76" s="229">
        <f>IF($BC76=Lookup!$A$2,$BD76*ROUNDUP(BI76/10,0)+1,
IF($BC76=Lookup!$A$3,($BD76+1)^BH76,
IF($BC76=Lookup!$A$4,BI76*$BD76+1,"Error")))</f>
        <v>0.875</v>
      </c>
      <c r="BR76" s="229">
        <f>IF($BC76=Lookup!$A$2,$BD76*ROUNDUP(BJ76/10,0)+1,
IF($BC76=Lookup!$A$3,($BD76+1)^BI76,
IF($BC76=Lookup!$A$4,BJ76*$BD76+1,"Error")))</f>
        <v>0.875</v>
      </c>
      <c r="BS76" s="229">
        <f>IF($BC76=Lookup!$A$2,$BD76*ROUNDUP(BK76/10,0)+1,
IF($BC76=Lookup!$A$3,($BD76+1)^BJ76,
IF($BC76=Lookup!$A$4,BK76*$BD76+1,"Error")))</f>
        <v>0.875</v>
      </c>
      <c r="BT76" s="249">
        <f>IF($BC76=Lookup!$A$2,$BD76*ROUNDUP(BL76/10,0)+1,
IF($BC76=Lookup!$A$3,($BD76+1)^BK76,
IF($BC76=Lookup!$A$4,BL76*$BD76+1,"Error")))</f>
        <v>0.875</v>
      </c>
      <c r="BU76" s="320"/>
      <c r="BV76" s="321"/>
      <c r="BW76" s="321"/>
      <c r="BX76" s="321"/>
      <c r="BY76" s="321"/>
      <c r="BZ76" s="321"/>
      <c r="CA76" s="321"/>
      <c r="CB76" s="277"/>
      <c r="CC76" s="382" t="s">
        <v>292</v>
      </c>
      <c r="CD76" s="383">
        <f>HLOOKUP($CC76,$AK$6:$AM$132,ROWS(CD$6:CD76),0)</f>
        <v>0</v>
      </c>
      <c r="CE76" s="234">
        <f t="shared" si="122"/>
        <v>0</v>
      </c>
      <c r="CF76" s="96">
        <f t="shared" si="123"/>
        <v>0</v>
      </c>
      <c r="CG76" s="96">
        <f t="shared" si="124"/>
        <v>0</v>
      </c>
      <c r="CH76" s="96">
        <f t="shared" si="125"/>
        <v>0</v>
      </c>
      <c r="CI76" s="96">
        <f t="shared" si="126"/>
        <v>0</v>
      </c>
      <c r="CJ76" s="96">
        <f t="shared" si="127"/>
        <v>0</v>
      </c>
      <c r="CK76" s="96">
        <f t="shared" si="128"/>
        <v>0</v>
      </c>
      <c r="CL76" s="286">
        <f t="shared" si="129"/>
        <v>0</v>
      </c>
      <c r="CM76" s="305" t="s">
        <v>293</v>
      </c>
      <c r="CN76" s="315">
        <v>0.05</v>
      </c>
      <c r="CO76" s="306"/>
      <c r="CP76" s="307" t="str">
        <f>IF($CO76&lt;&gt;"",$CO76,HLOOKUP($CM76,$AY$6:$BA$132,ROWS(CP$6:CP76),0))</f>
        <v/>
      </c>
      <c r="CQ76" s="784" t="str">
        <f t="shared" si="130"/>
        <v/>
      </c>
      <c r="CR76" s="784" t="str">
        <f t="shared" si="131"/>
        <v/>
      </c>
      <c r="CS76" s="97" t="str">
        <f t="shared" si="132"/>
        <v/>
      </c>
      <c r="CT76" s="97" t="str">
        <f t="shared" si="133"/>
        <v/>
      </c>
      <c r="CU76" s="97" t="str">
        <f t="shared" si="134"/>
        <v/>
      </c>
      <c r="CV76" s="97" t="str">
        <f t="shared" si="135"/>
        <v/>
      </c>
      <c r="CW76" s="97" t="str">
        <f t="shared" si="136"/>
        <v/>
      </c>
      <c r="CX76" s="98" t="str">
        <f t="shared" si="137"/>
        <v/>
      </c>
      <c r="CY76" s="392"/>
    </row>
    <row r="77" spans="1:103" x14ac:dyDescent="0.25">
      <c r="A77" s="81" t="s">
        <v>138</v>
      </c>
      <c r="B77" s="82" t="s">
        <v>157</v>
      </c>
      <c r="C77" s="83" t="s">
        <v>367</v>
      </c>
      <c r="D77" s="84">
        <v>0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266334.08802508604</v>
      </c>
      <c r="K77" s="85">
        <v>0</v>
      </c>
      <c r="L77" s="85">
        <v>0</v>
      </c>
      <c r="M77" s="654">
        <f>'2022-23 Input'!E77</f>
        <v>0</v>
      </c>
      <c r="N77" s="1065">
        <v>0</v>
      </c>
      <c r="O77" s="560">
        <f t="shared" si="95"/>
        <v>0</v>
      </c>
      <c r="P77" s="561">
        <f t="shared" si="96"/>
        <v>0</v>
      </c>
      <c r="Q77" s="561">
        <f t="shared" si="97"/>
        <v>0</v>
      </c>
      <c r="R77" s="561">
        <f t="shared" si="98"/>
        <v>0</v>
      </c>
      <c r="S77" s="561">
        <f t="shared" si="99"/>
        <v>0</v>
      </c>
      <c r="T77" s="561">
        <f t="shared" si="100"/>
        <v>0</v>
      </c>
      <c r="U77" s="561">
        <f t="shared" si="101"/>
        <v>331715.90365116054</v>
      </c>
      <c r="V77" s="561">
        <f t="shared" si="102"/>
        <v>0</v>
      </c>
      <c r="W77" s="675">
        <f t="shared" si="103"/>
        <v>0</v>
      </c>
      <c r="X77" s="675">
        <f t="shared" si="104"/>
        <v>0</v>
      </c>
      <c r="Y77" s="675">
        <f t="shared" si="105"/>
        <v>0</v>
      </c>
      <c r="Z77" s="86">
        <v>0</v>
      </c>
      <c r="AA77" s="87">
        <v>0</v>
      </c>
      <c r="AB77" s="87">
        <v>0</v>
      </c>
      <c r="AC77" s="87">
        <v>0</v>
      </c>
      <c r="AD77" s="87">
        <v>0</v>
      </c>
      <c r="AE77" s="87">
        <v>0</v>
      </c>
      <c r="AF77" s="87">
        <v>1</v>
      </c>
      <c r="AG77" s="87">
        <v>0</v>
      </c>
      <c r="AH77" s="87">
        <v>0</v>
      </c>
      <c r="AI77" s="1094">
        <f>'2022-23 Input'!L77</f>
        <v>0</v>
      </c>
      <c r="AJ77" s="665">
        <v>0</v>
      </c>
      <c r="AK77" s="88">
        <f t="shared" si="106"/>
        <v>0.2</v>
      </c>
      <c r="AL77" s="89">
        <f t="shared" si="107"/>
        <v>0</v>
      </c>
      <c r="AM77" s="90">
        <f t="shared" si="108"/>
        <v>0</v>
      </c>
      <c r="AN77" s="91" t="str">
        <f t="shared" si="109"/>
        <v/>
      </c>
      <c r="AO77" s="92" t="str">
        <f t="shared" si="110"/>
        <v/>
      </c>
      <c r="AP77" s="92" t="str">
        <f t="shared" si="111"/>
        <v/>
      </c>
      <c r="AQ77" s="92" t="str">
        <f t="shared" si="112"/>
        <v/>
      </c>
      <c r="AR77" s="92" t="str">
        <f t="shared" si="113"/>
        <v/>
      </c>
      <c r="AS77" s="92" t="str">
        <f t="shared" si="114"/>
        <v/>
      </c>
      <c r="AT77" s="92">
        <f t="shared" si="115"/>
        <v>266334.08802508604</v>
      </c>
      <c r="AU77" s="92" t="str">
        <f t="shared" si="116"/>
        <v/>
      </c>
      <c r="AV77" s="92" t="str">
        <f t="shared" si="117"/>
        <v/>
      </c>
      <c r="AW77" s="92" t="str">
        <f t="shared" si="117"/>
        <v/>
      </c>
      <c r="AX77" s="92" t="str">
        <f t="shared" si="117"/>
        <v/>
      </c>
      <c r="AY77" s="93">
        <f t="shared" si="118"/>
        <v>266334.08802508604</v>
      </c>
      <c r="AZ77" s="94" t="str">
        <f t="shared" si="119"/>
        <v/>
      </c>
      <c r="BA77" s="95" t="str">
        <f t="shared" si="120"/>
        <v/>
      </c>
      <c r="BB77" s="248" t="s">
        <v>422</v>
      </c>
      <c r="BC77" s="229" t="s">
        <v>433</v>
      </c>
      <c r="BD77" s="249">
        <v>-0.125</v>
      </c>
      <c r="BE77" s="267">
        <f t="shared" si="121"/>
        <v>0</v>
      </c>
      <c r="BF77" s="268">
        <f t="shared" ref="BF77:BL86" si="138">IF(BF$6=$BB77,1,
IF(BE77&lt;&gt;0,BE77+1,0
))</f>
        <v>0</v>
      </c>
      <c r="BG77" s="268">
        <f t="shared" si="138"/>
        <v>0</v>
      </c>
      <c r="BH77" s="268">
        <f t="shared" si="138"/>
        <v>1</v>
      </c>
      <c r="BI77" s="268">
        <f t="shared" si="138"/>
        <v>2</v>
      </c>
      <c r="BJ77" s="268">
        <f t="shared" si="138"/>
        <v>3</v>
      </c>
      <c r="BK77" s="268">
        <f t="shared" si="138"/>
        <v>4</v>
      </c>
      <c r="BL77" s="269">
        <f t="shared" si="138"/>
        <v>5</v>
      </c>
      <c r="BM77" s="256">
        <f>IF($BC77=Lookup!$A$2,$BD77*ROUNDUP(BE77/10,0)+1,
IF($BC77=Lookup!$A$3,($BD77+1)^BD77,
IF($BC77=Lookup!$A$4,BE77*$BD77+1,"Error")))</f>
        <v>1</v>
      </c>
      <c r="BN77" s="229">
        <f>IF($BC77=Lookup!$A$2,$BD77*ROUNDUP(BF77/10,0)+1,
IF($BC77=Lookup!$A$3,($BD77+1)^BE77,
IF($BC77=Lookup!$A$4,BF77*$BD77+1,"Error")))</f>
        <v>1</v>
      </c>
      <c r="BO77" s="229">
        <f>IF($BC77=Lookup!$A$2,$BD77*ROUNDUP(BG77/10,0)+1,
IF($BC77=Lookup!$A$3,($BD77+1)^BF77,
IF($BC77=Lookup!$A$4,BG77*$BD77+1,"Error")))</f>
        <v>1</v>
      </c>
      <c r="BP77" s="229">
        <f>IF($BC77=Lookup!$A$2,$BD77*ROUNDUP(BH77/10,0)+1,
IF($BC77=Lookup!$A$3,($BD77+1)^BG77,
IF($BC77=Lookup!$A$4,BH77*$BD77+1,"Error")))</f>
        <v>0.875</v>
      </c>
      <c r="BQ77" s="229">
        <f>IF($BC77=Lookup!$A$2,$BD77*ROUNDUP(BI77/10,0)+1,
IF($BC77=Lookup!$A$3,($BD77+1)^BH77,
IF($BC77=Lookup!$A$4,BI77*$BD77+1,"Error")))</f>
        <v>0.875</v>
      </c>
      <c r="BR77" s="229">
        <f>IF($BC77=Lookup!$A$2,$BD77*ROUNDUP(BJ77/10,0)+1,
IF($BC77=Lookup!$A$3,($BD77+1)^BI77,
IF($BC77=Lookup!$A$4,BJ77*$BD77+1,"Error")))</f>
        <v>0.875</v>
      </c>
      <c r="BS77" s="229">
        <f>IF($BC77=Lookup!$A$2,$BD77*ROUNDUP(BK77/10,0)+1,
IF($BC77=Lookup!$A$3,($BD77+1)^BJ77,
IF($BC77=Lookup!$A$4,BK77*$BD77+1,"Error")))</f>
        <v>0.875</v>
      </c>
      <c r="BT77" s="249">
        <f>IF($BC77=Lookup!$A$2,$BD77*ROUNDUP(BL77/10,0)+1,
IF($BC77=Lookup!$A$3,($BD77+1)^BK77,
IF($BC77=Lookup!$A$4,BL77*$BD77+1,"Error")))</f>
        <v>0.875</v>
      </c>
      <c r="BU77" s="320"/>
      <c r="BV77" s="321"/>
      <c r="BW77" s="321"/>
      <c r="BX77" s="321"/>
      <c r="BY77" s="321"/>
      <c r="BZ77" s="321"/>
      <c r="CA77" s="321"/>
      <c r="CB77" s="277"/>
      <c r="CC77" s="382" t="s">
        <v>292</v>
      </c>
      <c r="CD77" s="383">
        <f>HLOOKUP($CC77,$AK$6:$AM$132,ROWS(CD$6:CD77),0)</f>
        <v>0.2</v>
      </c>
      <c r="CE77" s="234">
        <f t="shared" si="122"/>
        <v>0.2</v>
      </c>
      <c r="CF77" s="96">
        <f t="shared" si="123"/>
        <v>0.2</v>
      </c>
      <c r="CG77" s="96">
        <f t="shared" si="124"/>
        <v>0.2</v>
      </c>
      <c r="CH77" s="96">
        <f t="shared" si="125"/>
        <v>0.17500000000000002</v>
      </c>
      <c r="CI77" s="96">
        <f t="shared" si="126"/>
        <v>0.17500000000000002</v>
      </c>
      <c r="CJ77" s="96">
        <f t="shared" si="127"/>
        <v>0.17500000000000002</v>
      </c>
      <c r="CK77" s="96">
        <f t="shared" si="128"/>
        <v>0.17500000000000002</v>
      </c>
      <c r="CL77" s="286">
        <f t="shared" si="129"/>
        <v>0.17500000000000002</v>
      </c>
      <c r="CM77" s="305" t="s">
        <v>293</v>
      </c>
      <c r="CN77" s="315">
        <v>0.05</v>
      </c>
      <c r="CO77" s="306"/>
      <c r="CP77" s="307" t="str">
        <f>IF($CO77&lt;&gt;"",$CO77,HLOOKUP($CM77,$AY$6:$BA$132,ROWS(CP$6:CP77),0))</f>
        <v/>
      </c>
      <c r="CQ77" s="784" t="str">
        <f t="shared" si="130"/>
        <v/>
      </c>
      <c r="CR77" s="784" t="str">
        <f t="shared" si="131"/>
        <v/>
      </c>
      <c r="CS77" s="97" t="str">
        <f t="shared" si="132"/>
        <v/>
      </c>
      <c r="CT77" s="97" t="str">
        <f t="shared" si="133"/>
        <v/>
      </c>
      <c r="CU77" s="97" t="str">
        <f t="shared" si="134"/>
        <v/>
      </c>
      <c r="CV77" s="97" t="str">
        <f t="shared" si="135"/>
        <v/>
      </c>
      <c r="CW77" s="97" t="str">
        <f t="shared" si="136"/>
        <v/>
      </c>
      <c r="CX77" s="98" t="str">
        <f t="shared" si="137"/>
        <v/>
      </c>
      <c r="CY77" s="392"/>
    </row>
    <row r="78" spans="1:103" x14ac:dyDescent="0.25">
      <c r="A78" s="81" t="s">
        <v>138</v>
      </c>
      <c r="B78" s="82" t="s">
        <v>159</v>
      </c>
      <c r="C78" s="83" t="s">
        <v>368</v>
      </c>
      <c r="D78" s="84">
        <v>0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654">
        <f>'2022-23 Input'!E78</f>
        <v>0</v>
      </c>
      <c r="N78" s="1065">
        <v>0</v>
      </c>
      <c r="O78" s="560">
        <f t="shared" si="95"/>
        <v>0</v>
      </c>
      <c r="P78" s="561">
        <f t="shared" si="96"/>
        <v>0</v>
      </c>
      <c r="Q78" s="561">
        <f t="shared" si="97"/>
        <v>0</v>
      </c>
      <c r="R78" s="561">
        <f t="shared" si="98"/>
        <v>0</v>
      </c>
      <c r="S78" s="561">
        <f t="shared" si="99"/>
        <v>0</v>
      </c>
      <c r="T78" s="561">
        <f t="shared" si="100"/>
        <v>0</v>
      </c>
      <c r="U78" s="561">
        <f t="shared" si="101"/>
        <v>0</v>
      </c>
      <c r="V78" s="561">
        <f t="shared" si="102"/>
        <v>0</v>
      </c>
      <c r="W78" s="675">
        <f t="shared" si="103"/>
        <v>0</v>
      </c>
      <c r="X78" s="675">
        <f t="shared" si="104"/>
        <v>0</v>
      </c>
      <c r="Y78" s="675">
        <f t="shared" si="105"/>
        <v>0</v>
      </c>
      <c r="Z78" s="86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87">
        <v>0</v>
      </c>
      <c r="AI78" s="1094">
        <f>'2022-23 Input'!L78</f>
        <v>0</v>
      </c>
      <c r="AJ78" s="665">
        <v>0</v>
      </c>
      <c r="AK78" s="88">
        <f t="shared" si="106"/>
        <v>0</v>
      </c>
      <c r="AL78" s="89">
        <f t="shared" si="107"/>
        <v>0</v>
      </c>
      <c r="AM78" s="90">
        <f t="shared" si="108"/>
        <v>0</v>
      </c>
      <c r="AN78" s="91" t="str">
        <f t="shared" si="109"/>
        <v/>
      </c>
      <c r="AO78" s="92" t="str">
        <f t="shared" si="110"/>
        <v/>
      </c>
      <c r="AP78" s="92" t="str">
        <f t="shared" si="111"/>
        <v/>
      </c>
      <c r="AQ78" s="92" t="str">
        <f t="shared" si="112"/>
        <v/>
      </c>
      <c r="AR78" s="92" t="str">
        <f t="shared" si="113"/>
        <v/>
      </c>
      <c r="AS78" s="92" t="str">
        <f t="shared" si="114"/>
        <v/>
      </c>
      <c r="AT78" s="92" t="str">
        <f t="shared" si="115"/>
        <v/>
      </c>
      <c r="AU78" s="92" t="str">
        <f t="shared" si="116"/>
        <v/>
      </c>
      <c r="AV78" s="92" t="str">
        <f t="shared" si="117"/>
        <v/>
      </c>
      <c r="AW78" s="92" t="str">
        <f t="shared" si="117"/>
        <v/>
      </c>
      <c r="AX78" s="92" t="str">
        <f t="shared" si="117"/>
        <v/>
      </c>
      <c r="AY78" s="93" t="str">
        <f t="shared" si="118"/>
        <v/>
      </c>
      <c r="AZ78" s="94" t="str">
        <f t="shared" si="119"/>
        <v/>
      </c>
      <c r="BA78" s="95" t="str">
        <f t="shared" si="120"/>
        <v/>
      </c>
      <c r="BB78" s="248" t="s">
        <v>422</v>
      </c>
      <c r="BC78" s="229" t="s">
        <v>433</v>
      </c>
      <c r="BD78" s="249">
        <v>-0.125</v>
      </c>
      <c r="BE78" s="267">
        <f t="shared" si="121"/>
        <v>0</v>
      </c>
      <c r="BF78" s="268">
        <f t="shared" si="138"/>
        <v>0</v>
      </c>
      <c r="BG78" s="268">
        <f t="shared" si="138"/>
        <v>0</v>
      </c>
      <c r="BH78" s="268">
        <f t="shared" si="138"/>
        <v>1</v>
      </c>
      <c r="BI78" s="268">
        <f t="shared" si="138"/>
        <v>2</v>
      </c>
      <c r="BJ78" s="268">
        <f t="shared" si="138"/>
        <v>3</v>
      </c>
      <c r="BK78" s="268">
        <f t="shared" si="138"/>
        <v>4</v>
      </c>
      <c r="BL78" s="269">
        <f t="shared" si="138"/>
        <v>5</v>
      </c>
      <c r="BM78" s="256">
        <f>IF($BC78=Lookup!$A$2,$BD78*ROUNDUP(BE78/10,0)+1,
IF($BC78=Lookup!$A$3,($BD78+1)^BD78,
IF($BC78=Lookup!$A$4,BE78*$BD78+1,"Error")))</f>
        <v>1</v>
      </c>
      <c r="BN78" s="229">
        <f>IF($BC78=Lookup!$A$2,$BD78*ROUNDUP(BF78/10,0)+1,
IF($BC78=Lookup!$A$3,($BD78+1)^BE78,
IF($BC78=Lookup!$A$4,BF78*$BD78+1,"Error")))</f>
        <v>1</v>
      </c>
      <c r="BO78" s="229">
        <f>IF($BC78=Lookup!$A$2,$BD78*ROUNDUP(BG78/10,0)+1,
IF($BC78=Lookup!$A$3,($BD78+1)^BF78,
IF($BC78=Lookup!$A$4,BG78*$BD78+1,"Error")))</f>
        <v>1</v>
      </c>
      <c r="BP78" s="229">
        <f>IF($BC78=Lookup!$A$2,$BD78*ROUNDUP(BH78/10,0)+1,
IF($BC78=Lookup!$A$3,($BD78+1)^BG78,
IF($BC78=Lookup!$A$4,BH78*$BD78+1,"Error")))</f>
        <v>0.875</v>
      </c>
      <c r="BQ78" s="229">
        <f>IF($BC78=Lookup!$A$2,$BD78*ROUNDUP(BI78/10,0)+1,
IF($BC78=Lookup!$A$3,($BD78+1)^BH78,
IF($BC78=Lookup!$A$4,BI78*$BD78+1,"Error")))</f>
        <v>0.875</v>
      </c>
      <c r="BR78" s="229">
        <f>IF($BC78=Lookup!$A$2,$BD78*ROUNDUP(BJ78/10,0)+1,
IF($BC78=Lookup!$A$3,($BD78+1)^BI78,
IF($BC78=Lookup!$A$4,BJ78*$BD78+1,"Error")))</f>
        <v>0.875</v>
      </c>
      <c r="BS78" s="229">
        <f>IF($BC78=Lookup!$A$2,$BD78*ROUNDUP(BK78/10,0)+1,
IF($BC78=Lookup!$A$3,($BD78+1)^BJ78,
IF($BC78=Lookup!$A$4,BK78*$BD78+1,"Error")))</f>
        <v>0.875</v>
      </c>
      <c r="BT78" s="249">
        <f>IF($BC78=Lookup!$A$2,$BD78*ROUNDUP(BL78/10,0)+1,
IF($BC78=Lookup!$A$3,($BD78+1)^BK78,
IF($BC78=Lookup!$A$4,BL78*$BD78+1,"Error")))</f>
        <v>0.875</v>
      </c>
      <c r="BU78" s="320"/>
      <c r="BV78" s="321"/>
      <c r="BW78" s="321"/>
      <c r="BX78" s="321"/>
      <c r="BY78" s="321"/>
      <c r="BZ78" s="321"/>
      <c r="CA78" s="321"/>
      <c r="CB78" s="277"/>
      <c r="CC78" s="382" t="s">
        <v>292</v>
      </c>
      <c r="CD78" s="383">
        <f>HLOOKUP($CC78,$AK$6:$AM$132,ROWS(CD$6:CD78),0)</f>
        <v>0</v>
      </c>
      <c r="CE78" s="234">
        <f t="shared" si="122"/>
        <v>0</v>
      </c>
      <c r="CF78" s="96">
        <f t="shared" si="123"/>
        <v>0</v>
      </c>
      <c r="CG78" s="96">
        <f t="shared" si="124"/>
        <v>0</v>
      </c>
      <c r="CH78" s="96">
        <f t="shared" si="125"/>
        <v>0</v>
      </c>
      <c r="CI78" s="96">
        <f t="shared" si="126"/>
        <v>0</v>
      </c>
      <c r="CJ78" s="96">
        <f t="shared" si="127"/>
        <v>0</v>
      </c>
      <c r="CK78" s="96">
        <f t="shared" si="128"/>
        <v>0</v>
      </c>
      <c r="CL78" s="286">
        <f t="shared" si="129"/>
        <v>0</v>
      </c>
      <c r="CM78" s="305" t="s">
        <v>293</v>
      </c>
      <c r="CN78" s="315">
        <v>0.05</v>
      </c>
      <c r="CO78" s="306"/>
      <c r="CP78" s="307" t="str">
        <f>IF($CO78&lt;&gt;"",$CO78,HLOOKUP($CM78,$AY$6:$BA$132,ROWS(CP$6:CP78),0))</f>
        <v/>
      </c>
      <c r="CQ78" s="784" t="str">
        <f t="shared" si="130"/>
        <v/>
      </c>
      <c r="CR78" s="784" t="str">
        <f t="shared" si="131"/>
        <v/>
      </c>
      <c r="CS78" s="97" t="str">
        <f t="shared" si="132"/>
        <v/>
      </c>
      <c r="CT78" s="97" t="str">
        <f t="shared" si="133"/>
        <v/>
      </c>
      <c r="CU78" s="97" t="str">
        <f t="shared" si="134"/>
        <v/>
      </c>
      <c r="CV78" s="97" t="str">
        <f t="shared" si="135"/>
        <v/>
      </c>
      <c r="CW78" s="97" t="str">
        <f t="shared" si="136"/>
        <v/>
      </c>
      <c r="CX78" s="98" t="str">
        <f t="shared" si="137"/>
        <v/>
      </c>
      <c r="CY78" s="392"/>
    </row>
    <row r="79" spans="1:103" x14ac:dyDescent="0.25">
      <c r="A79" s="81" t="s">
        <v>138</v>
      </c>
      <c r="B79" s="82" t="s">
        <v>161</v>
      </c>
      <c r="C79" s="83" t="s">
        <v>369</v>
      </c>
      <c r="D79" s="84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654">
        <f>'2022-23 Input'!E79</f>
        <v>0</v>
      </c>
      <c r="N79" s="1065">
        <v>0</v>
      </c>
      <c r="O79" s="560">
        <f t="shared" si="95"/>
        <v>0</v>
      </c>
      <c r="P79" s="561">
        <f t="shared" si="96"/>
        <v>0</v>
      </c>
      <c r="Q79" s="561">
        <f t="shared" si="97"/>
        <v>0</v>
      </c>
      <c r="R79" s="561">
        <f t="shared" si="98"/>
        <v>0</v>
      </c>
      <c r="S79" s="561">
        <f t="shared" si="99"/>
        <v>0</v>
      </c>
      <c r="T79" s="561">
        <f t="shared" si="100"/>
        <v>0</v>
      </c>
      <c r="U79" s="561">
        <f t="shared" si="101"/>
        <v>0</v>
      </c>
      <c r="V79" s="561">
        <f t="shared" si="102"/>
        <v>0</v>
      </c>
      <c r="W79" s="675">
        <f t="shared" si="103"/>
        <v>0</v>
      </c>
      <c r="X79" s="675">
        <f t="shared" si="104"/>
        <v>0</v>
      </c>
      <c r="Y79" s="675">
        <f t="shared" si="105"/>
        <v>0</v>
      </c>
      <c r="Z79" s="86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1094">
        <f>'2022-23 Input'!L79</f>
        <v>0</v>
      </c>
      <c r="AJ79" s="665">
        <v>0</v>
      </c>
      <c r="AK79" s="88">
        <f t="shared" si="106"/>
        <v>0</v>
      </c>
      <c r="AL79" s="89">
        <f t="shared" si="107"/>
        <v>0</v>
      </c>
      <c r="AM79" s="90">
        <f t="shared" si="108"/>
        <v>0</v>
      </c>
      <c r="AN79" s="91" t="str">
        <f t="shared" si="109"/>
        <v/>
      </c>
      <c r="AO79" s="92" t="str">
        <f t="shared" si="110"/>
        <v/>
      </c>
      <c r="AP79" s="92" t="str">
        <f t="shared" si="111"/>
        <v/>
      </c>
      <c r="AQ79" s="92" t="str">
        <f t="shared" si="112"/>
        <v/>
      </c>
      <c r="AR79" s="92" t="str">
        <f t="shared" si="113"/>
        <v/>
      </c>
      <c r="AS79" s="92" t="str">
        <f t="shared" si="114"/>
        <v/>
      </c>
      <c r="AT79" s="92" t="str">
        <f t="shared" si="115"/>
        <v/>
      </c>
      <c r="AU79" s="92" t="str">
        <f t="shared" si="116"/>
        <v/>
      </c>
      <c r="AV79" s="92" t="str">
        <f t="shared" si="117"/>
        <v/>
      </c>
      <c r="AW79" s="92" t="str">
        <f t="shared" si="117"/>
        <v/>
      </c>
      <c r="AX79" s="92" t="str">
        <f t="shared" si="117"/>
        <v/>
      </c>
      <c r="AY79" s="93" t="str">
        <f t="shared" si="118"/>
        <v/>
      </c>
      <c r="AZ79" s="94" t="str">
        <f t="shared" si="119"/>
        <v/>
      </c>
      <c r="BA79" s="95" t="str">
        <f t="shared" si="120"/>
        <v/>
      </c>
      <c r="BB79" s="248" t="s">
        <v>422</v>
      </c>
      <c r="BC79" s="229" t="s">
        <v>433</v>
      </c>
      <c r="BD79" s="249">
        <v>-0.125</v>
      </c>
      <c r="BE79" s="267">
        <f t="shared" si="121"/>
        <v>0</v>
      </c>
      <c r="BF79" s="268">
        <f t="shared" si="138"/>
        <v>0</v>
      </c>
      <c r="BG79" s="268">
        <f t="shared" si="138"/>
        <v>0</v>
      </c>
      <c r="BH79" s="268">
        <f t="shared" si="138"/>
        <v>1</v>
      </c>
      <c r="BI79" s="268">
        <f t="shared" si="138"/>
        <v>2</v>
      </c>
      <c r="BJ79" s="268">
        <f t="shared" si="138"/>
        <v>3</v>
      </c>
      <c r="BK79" s="268">
        <f t="shared" si="138"/>
        <v>4</v>
      </c>
      <c r="BL79" s="269">
        <f t="shared" si="138"/>
        <v>5</v>
      </c>
      <c r="BM79" s="256">
        <f>IF($BC79=Lookup!$A$2,$BD79*ROUNDUP(BE79/10,0)+1,
IF($BC79=Lookup!$A$3,($BD79+1)^BD79,
IF($BC79=Lookup!$A$4,BE79*$BD79+1,"Error")))</f>
        <v>1</v>
      </c>
      <c r="BN79" s="229">
        <f>IF($BC79=Lookup!$A$2,$BD79*ROUNDUP(BF79/10,0)+1,
IF($BC79=Lookup!$A$3,($BD79+1)^BE79,
IF($BC79=Lookup!$A$4,BF79*$BD79+1,"Error")))</f>
        <v>1</v>
      </c>
      <c r="BO79" s="229">
        <f>IF($BC79=Lookup!$A$2,$BD79*ROUNDUP(BG79/10,0)+1,
IF($BC79=Lookup!$A$3,($BD79+1)^BF79,
IF($BC79=Lookup!$A$4,BG79*$BD79+1,"Error")))</f>
        <v>1</v>
      </c>
      <c r="BP79" s="229">
        <f>IF($BC79=Lookup!$A$2,$BD79*ROUNDUP(BH79/10,0)+1,
IF($BC79=Lookup!$A$3,($BD79+1)^BG79,
IF($BC79=Lookup!$A$4,BH79*$BD79+1,"Error")))</f>
        <v>0.875</v>
      </c>
      <c r="BQ79" s="229">
        <f>IF($BC79=Lookup!$A$2,$BD79*ROUNDUP(BI79/10,0)+1,
IF($BC79=Lookup!$A$3,($BD79+1)^BH79,
IF($BC79=Lookup!$A$4,BI79*$BD79+1,"Error")))</f>
        <v>0.875</v>
      </c>
      <c r="BR79" s="229">
        <f>IF($BC79=Lookup!$A$2,$BD79*ROUNDUP(BJ79/10,0)+1,
IF($BC79=Lookup!$A$3,($BD79+1)^BI79,
IF($BC79=Lookup!$A$4,BJ79*$BD79+1,"Error")))</f>
        <v>0.875</v>
      </c>
      <c r="BS79" s="229">
        <f>IF($BC79=Lookup!$A$2,$BD79*ROUNDUP(BK79/10,0)+1,
IF($BC79=Lookup!$A$3,($BD79+1)^BJ79,
IF($BC79=Lookup!$A$4,BK79*$BD79+1,"Error")))</f>
        <v>0.875</v>
      </c>
      <c r="BT79" s="249">
        <f>IF($BC79=Lookup!$A$2,$BD79*ROUNDUP(BL79/10,0)+1,
IF($BC79=Lookup!$A$3,($BD79+1)^BK79,
IF($BC79=Lookup!$A$4,BL79*$BD79+1,"Error")))</f>
        <v>0.875</v>
      </c>
      <c r="BU79" s="320"/>
      <c r="BV79" s="321"/>
      <c r="BW79" s="321"/>
      <c r="BX79" s="321"/>
      <c r="BY79" s="321"/>
      <c r="BZ79" s="321"/>
      <c r="CA79" s="321"/>
      <c r="CB79" s="277"/>
      <c r="CC79" s="382" t="s">
        <v>292</v>
      </c>
      <c r="CD79" s="383">
        <f>HLOOKUP($CC79,$AK$6:$AM$132,ROWS(CD$6:CD79),0)</f>
        <v>0</v>
      </c>
      <c r="CE79" s="234">
        <f t="shared" si="122"/>
        <v>0</v>
      </c>
      <c r="CF79" s="96">
        <f t="shared" si="123"/>
        <v>0</v>
      </c>
      <c r="CG79" s="96">
        <f t="shared" si="124"/>
        <v>0</v>
      </c>
      <c r="CH79" s="96">
        <f t="shared" si="125"/>
        <v>0</v>
      </c>
      <c r="CI79" s="96">
        <f t="shared" si="126"/>
        <v>0</v>
      </c>
      <c r="CJ79" s="96">
        <f t="shared" si="127"/>
        <v>0</v>
      </c>
      <c r="CK79" s="96">
        <f t="shared" si="128"/>
        <v>0</v>
      </c>
      <c r="CL79" s="286">
        <f t="shared" si="129"/>
        <v>0</v>
      </c>
      <c r="CM79" s="305" t="s">
        <v>293</v>
      </c>
      <c r="CN79" s="315">
        <v>0.05</v>
      </c>
      <c r="CO79" s="306"/>
      <c r="CP79" s="307" t="str">
        <f>IF($CO79&lt;&gt;"",$CO79,HLOOKUP($CM79,$AY$6:$BA$132,ROWS(CP$6:CP79),0))</f>
        <v/>
      </c>
      <c r="CQ79" s="784" t="str">
        <f t="shared" si="130"/>
        <v/>
      </c>
      <c r="CR79" s="784" t="str">
        <f t="shared" si="131"/>
        <v/>
      </c>
      <c r="CS79" s="97" t="str">
        <f t="shared" si="132"/>
        <v/>
      </c>
      <c r="CT79" s="97" t="str">
        <f t="shared" si="133"/>
        <v/>
      </c>
      <c r="CU79" s="97" t="str">
        <f t="shared" si="134"/>
        <v/>
      </c>
      <c r="CV79" s="97" t="str">
        <f t="shared" si="135"/>
        <v/>
      </c>
      <c r="CW79" s="97" t="str">
        <f t="shared" si="136"/>
        <v/>
      </c>
      <c r="CX79" s="98" t="str">
        <f t="shared" si="137"/>
        <v/>
      </c>
      <c r="CY79" s="392"/>
    </row>
    <row r="80" spans="1:103" x14ac:dyDescent="0.25">
      <c r="A80" s="81" t="s">
        <v>138</v>
      </c>
      <c r="B80" s="82" t="s">
        <v>163</v>
      </c>
      <c r="C80" s="83" t="s">
        <v>370</v>
      </c>
      <c r="D80" s="84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85">
        <v>0</v>
      </c>
      <c r="L80" s="85">
        <v>0</v>
      </c>
      <c r="M80" s="654">
        <f>'2022-23 Input'!E80</f>
        <v>0</v>
      </c>
      <c r="N80" s="1065">
        <v>0</v>
      </c>
      <c r="O80" s="560">
        <f t="shared" si="95"/>
        <v>0</v>
      </c>
      <c r="P80" s="561">
        <f t="shared" si="96"/>
        <v>0</v>
      </c>
      <c r="Q80" s="561">
        <f t="shared" si="97"/>
        <v>0</v>
      </c>
      <c r="R80" s="561">
        <f t="shared" si="98"/>
        <v>0</v>
      </c>
      <c r="S80" s="561">
        <f t="shared" si="99"/>
        <v>0</v>
      </c>
      <c r="T80" s="561">
        <f t="shared" si="100"/>
        <v>0</v>
      </c>
      <c r="U80" s="561">
        <f t="shared" si="101"/>
        <v>0</v>
      </c>
      <c r="V80" s="561">
        <f t="shared" si="102"/>
        <v>0</v>
      </c>
      <c r="W80" s="675">
        <f t="shared" si="103"/>
        <v>0</v>
      </c>
      <c r="X80" s="675">
        <f t="shared" si="104"/>
        <v>0</v>
      </c>
      <c r="Y80" s="675">
        <f t="shared" si="105"/>
        <v>0</v>
      </c>
      <c r="Z80" s="86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87">
        <v>0</v>
      </c>
      <c r="AI80" s="1094">
        <f>'2022-23 Input'!L80</f>
        <v>0</v>
      </c>
      <c r="AJ80" s="665">
        <v>0</v>
      </c>
      <c r="AK80" s="88">
        <f t="shared" si="106"/>
        <v>0</v>
      </c>
      <c r="AL80" s="89">
        <f t="shared" si="107"/>
        <v>0</v>
      </c>
      <c r="AM80" s="90">
        <f t="shared" si="108"/>
        <v>0</v>
      </c>
      <c r="AN80" s="91" t="str">
        <f t="shared" si="109"/>
        <v/>
      </c>
      <c r="AO80" s="92" t="str">
        <f t="shared" si="110"/>
        <v/>
      </c>
      <c r="AP80" s="92" t="str">
        <f t="shared" si="111"/>
        <v/>
      </c>
      <c r="AQ80" s="92" t="str">
        <f t="shared" si="112"/>
        <v/>
      </c>
      <c r="AR80" s="92" t="str">
        <f t="shared" si="113"/>
        <v/>
      </c>
      <c r="AS80" s="92" t="str">
        <f t="shared" si="114"/>
        <v/>
      </c>
      <c r="AT80" s="92" t="str">
        <f t="shared" si="115"/>
        <v/>
      </c>
      <c r="AU80" s="92" t="str">
        <f t="shared" si="116"/>
        <v/>
      </c>
      <c r="AV80" s="92" t="str">
        <f t="shared" si="117"/>
        <v/>
      </c>
      <c r="AW80" s="92" t="str">
        <f t="shared" si="117"/>
        <v/>
      </c>
      <c r="AX80" s="92" t="str">
        <f t="shared" si="117"/>
        <v/>
      </c>
      <c r="AY80" s="93" t="str">
        <f t="shared" si="118"/>
        <v/>
      </c>
      <c r="AZ80" s="94" t="str">
        <f t="shared" si="119"/>
        <v/>
      </c>
      <c r="BA80" s="95" t="str">
        <f t="shared" si="120"/>
        <v/>
      </c>
      <c r="BB80" s="248" t="s">
        <v>422</v>
      </c>
      <c r="BC80" s="229" t="s">
        <v>433</v>
      </c>
      <c r="BD80" s="249">
        <v>-0.125</v>
      </c>
      <c r="BE80" s="267">
        <f t="shared" si="121"/>
        <v>0</v>
      </c>
      <c r="BF80" s="268">
        <f t="shared" si="138"/>
        <v>0</v>
      </c>
      <c r="BG80" s="268">
        <f t="shared" si="138"/>
        <v>0</v>
      </c>
      <c r="BH80" s="268">
        <f t="shared" si="138"/>
        <v>1</v>
      </c>
      <c r="BI80" s="268">
        <f t="shared" si="138"/>
        <v>2</v>
      </c>
      <c r="BJ80" s="268">
        <f t="shared" si="138"/>
        <v>3</v>
      </c>
      <c r="BK80" s="268">
        <f t="shared" si="138"/>
        <v>4</v>
      </c>
      <c r="BL80" s="269">
        <f t="shared" si="138"/>
        <v>5</v>
      </c>
      <c r="BM80" s="256">
        <f>IF($BC80=Lookup!$A$2,$BD80*ROUNDUP(BE80/10,0)+1,
IF($BC80=Lookup!$A$3,($BD80+1)^BD80,
IF($BC80=Lookup!$A$4,BE80*$BD80+1,"Error")))</f>
        <v>1</v>
      </c>
      <c r="BN80" s="229">
        <f>IF($BC80=Lookup!$A$2,$BD80*ROUNDUP(BF80/10,0)+1,
IF($BC80=Lookup!$A$3,($BD80+1)^BE80,
IF($BC80=Lookup!$A$4,BF80*$BD80+1,"Error")))</f>
        <v>1</v>
      </c>
      <c r="BO80" s="229">
        <f>IF($BC80=Lookup!$A$2,$BD80*ROUNDUP(BG80/10,0)+1,
IF($BC80=Lookup!$A$3,($BD80+1)^BF80,
IF($BC80=Lookup!$A$4,BG80*$BD80+1,"Error")))</f>
        <v>1</v>
      </c>
      <c r="BP80" s="229">
        <f>IF($BC80=Lookup!$A$2,$BD80*ROUNDUP(BH80/10,0)+1,
IF($BC80=Lookup!$A$3,($BD80+1)^BG80,
IF($BC80=Lookup!$A$4,BH80*$BD80+1,"Error")))</f>
        <v>0.875</v>
      </c>
      <c r="BQ80" s="229">
        <f>IF($BC80=Lookup!$A$2,$BD80*ROUNDUP(BI80/10,0)+1,
IF($BC80=Lookup!$A$3,($BD80+1)^BH80,
IF($BC80=Lookup!$A$4,BI80*$BD80+1,"Error")))</f>
        <v>0.875</v>
      </c>
      <c r="BR80" s="229">
        <f>IF($BC80=Lookup!$A$2,$BD80*ROUNDUP(BJ80/10,0)+1,
IF($BC80=Lookup!$A$3,($BD80+1)^BI80,
IF($BC80=Lookup!$A$4,BJ80*$BD80+1,"Error")))</f>
        <v>0.875</v>
      </c>
      <c r="BS80" s="229">
        <f>IF($BC80=Lookup!$A$2,$BD80*ROUNDUP(BK80/10,0)+1,
IF($BC80=Lookup!$A$3,($BD80+1)^BJ80,
IF($BC80=Lookup!$A$4,BK80*$BD80+1,"Error")))</f>
        <v>0.875</v>
      </c>
      <c r="BT80" s="249">
        <f>IF($BC80=Lookup!$A$2,$BD80*ROUNDUP(BL80/10,0)+1,
IF($BC80=Lookup!$A$3,($BD80+1)^BK80,
IF($BC80=Lookup!$A$4,BL80*$BD80+1,"Error")))</f>
        <v>0.875</v>
      </c>
      <c r="BU80" s="320"/>
      <c r="BV80" s="321"/>
      <c r="BW80" s="321"/>
      <c r="BX80" s="321"/>
      <c r="BY80" s="321"/>
      <c r="BZ80" s="321"/>
      <c r="CA80" s="321"/>
      <c r="CB80" s="277"/>
      <c r="CC80" s="382" t="s">
        <v>292</v>
      </c>
      <c r="CD80" s="383">
        <f>HLOOKUP($CC80,$AK$6:$AM$132,ROWS(CD$6:CD80),0)</f>
        <v>0</v>
      </c>
      <c r="CE80" s="234">
        <f t="shared" si="122"/>
        <v>0</v>
      </c>
      <c r="CF80" s="96">
        <f t="shared" si="123"/>
        <v>0</v>
      </c>
      <c r="CG80" s="96">
        <f t="shared" si="124"/>
        <v>0</v>
      </c>
      <c r="CH80" s="96">
        <f t="shared" si="125"/>
        <v>0</v>
      </c>
      <c r="CI80" s="96">
        <f t="shared" si="126"/>
        <v>0</v>
      </c>
      <c r="CJ80" s="96">
        <f t="shared" si="127"/>
        <v>0</v>
      </c>
      <c r="CK80" s="96">
        <f t="shared" si="128"/>
        <v>0</v>
      </c>
      <c r="CL80" s="286">
        <f t="shared" si="129"/>
        <v>0</v>
      </c>
      <c r="CM80" s="305" t="s">
        <v>293</v>
      </c>
      <c r="CN80" s="315">
        <v>0.05</v>
      </c>
      <c r="CO80" s="306"/>
      <c r="CP80" s="307" t="str">
        <f>IF($CO80&lt;&gt;"",$CO80,HLOOKUP($CM80,$AY$6:$BA$132,ROWS(CP$6:CP80),0))</f>
        <v/>
      </c>
      <c r="CQ80" s="784" t="str">
        <f t="shared" si="130"/>
        <v/>
      </c>
      <c r="CR80" s="784" t="str">
        <f t="shared" si="131"/>
        <v/>
      </c>
      <c r="CS80" s="97" t="str">
        <f t="shared" si="132"/>
        <v/>
      </c>
      <c r="CT80" s="97" t="str">
        <f t="shared" si="133"/>
        <v/>
      </c>
      <c r="CU80" s="97" t="str">
        <f t="shared" si="134"/>
        <v/>
      </c>
      <c r="CV80" s="97" t="str">
        <f t="shared" si="135"/>
        <v/>
      </c>
      <c r="CW80" s="97" t="str">
        <f t="shared" si="136"/>
        <v/>
      </c>
      <c r="CX80" s="98" t="str">
        <f t="shared" si="137"/>
        <v/>
      </c>
      <c r="CY80" s="392"/>
    </row>
    <row r="81" spans="1:103" x14ac:dyDescent="0.25">
      <c r="A81" s="81" t="s">
        <v>138</v>
      </c>
      <c r="B81" s="82" t="s">
        <v>165</v>
      </c>
      <c r="C81" s="83" t="s">
        <v>371</v>
      </c>
      <c r="D81" s="84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85">
        <v>0</v>
      </c>
      <c r="L81" s="85">
        <v>0</v>
      </c>
      <c r="M81" s="654">
        <f>'2022-23 Input'!E81</f>
        <v>0</v>
      </c>
      <c r="N81" s="1065">
        <v>0</v>
      </c>
      <c r="O81" s="560">
        <f t="shared" si="95"/>
        <v>0</v>
      </c>
      <c r="P81" s="561">
        <f t="shared" si="96"/>
        <v>0</v>
      </c>
      <c r="Q81" s="561">
        <f t="shared" si="97"/>
        <v>0</v>
      </c>
      <c r="R81" s="561">
        <f t="shared" si="98"/>
        <v>0</v>
      </c>
      <c r="S81" s="561">
        <f t="shared" si="99"/>
        <v>0</v>
      </c>
      <c r="T81" s="561">
        <f t="shared" si="100"/>
        <v>0</v>
      </c>
      <c r="U81" s="561">
        <f t="shared" si="101"/>
        <v>0</v>
      </c>
      <c r="V81" s="561">
        <f t="shared" si="102"/>
        <v>0</v>
      </c>
      <c r="W81" s="675">
        <f t="shared" si="103"/>
        <v>0</v>
      </c>
      <c r="X81" s="675">
        <f t="shared" si="104"/>
        <v>0</v>
      </c>
      <c r="Y81" s="675">
        <f t="shared" si="105"/>
        <v>0</v>
      </c>
      <c r="Z81" s="86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87">
        <v>0</v>
      </c>
      <c r="AI81" s="1094">
        <f>'2022-23 Input'!L81</f>
        <v>0</v>
      </c>
      <c r="AJ81" s="665">
        <v>0</v>
      </c>
      <c r="AK81" s="88">
        <f t="shared" si="106"/>
        <v>0</v>
      </c>
      <c r="AL81" s="89">
        <f t="shared" si="107"/>
        <v>0</v>
      </c>
      <c r="AM81" s="90">
        <f t="shared" si="108"/>
        <v>0</v>
      </c>
      <c r="AN81" s="91" t="str">
        <f t="shared" si="109"/>
        <v/>
      </c>
      <c r="AO81" s="92" t="str">
        <f t="shared" si="110"/>
        <v/>
      </c>
      <c r="AP81" s="92" t="str">
        <f t="shared" si="111"/>
        <v/>
      </c>
      <c r="AQ81" s="92" t="str">
        <f t="shared" si="112"/>
        <v/>
      </c>
      <c r="AR81" s="92" t="str">
        <f t="shared" si="113"/>
        <v/>
      </c>
      <c r="AS81" s="92" t="str">
        <f t="shared" si="114"/>
        <v/>
      </c>
      <c r="AT81" s="92" t="str">
        <f t="shared" si="115"/>
        <v/>
      </c>
      <c r="AU81" s="92" t="str">
        <f t="shared" si="116"/>
        <v/>
      </c>
      <c r="AV81" s="92" t="str">
        <f t="shared" si="117"/>
        <v/>
      </c>
      <c r="AW81" s="92" t="str">
        <f t="shared" si="117"/>
        <v/>
      </c>
      <c r="AX81" s="92" t="str">
        <f t="shared" si="117"/>
        <v/>
      </c>
      <c r="AY81" s="93" t="str">
        <f t="shared" si="118"/>
        <v/>
      </c>
      <c r="AZ81" s="94" t="str">
        <f t="shared" si="119"/>
        <v/>
      </c>
      <c r="BA81" s="95" t="str">
        <f t="shared" si="120"/>
        <v/>
      </c>
      <c r="BB81" s="248" t="s">
        <v>422</v>
      </c>
      <c r="BC81" s="229" t="s">
        <v>433</v>
      </c>
      <c r="BD81" s="249">
        <v>-0.125</v>
      </c>
      <c r="BE81" s="267">
        <f t="shared" si="121"/>
        <v>0</v>
      </c>
      <c r="BF81" s="268">
        <f t="shared" si="138"/>
        <v>0</v>
      </c>
      <c r="BG81" s="268">
        <f t="shared" si="138"/>
        <v>0</v>
      </c>
      <c r="BH81" s="268">
        <f t="shared" si="138"/>
        <v>1</v>
      </c>
      <c r="BI81" s="268">
        <f t="shared" si="138"/>
        <v>2</v>
      </c>
      <c r="BJ81" s="268">
        <f t="shared" si="138"/>
        <v>3</v>
      </c>
      <c r="BK81" s="268">
        <f t="shared" si="138"/>
        <v>4</v>
      </c>
      <c r="BL81" s="269">
        <f t="shared" si="138"/>
        <v>5</v>
      </c>
      <c r="BM81" s="256">
        <f>IF($BC81=Lookup!$A$2,$BD81*ROUNDUP(BE81/10,0)+1,
IF($BC81=Lookup!$A$3,($BD81+1)^BD81,
IF($BC81=Lookup!$A$4,BE81*$BD81+1,"Error")))</f>
        <v>1</v>
      </c>
      <c r="BN81" s="229">
        <f>IF($BC81=Lookup!$A$2,$BD81*ROUNDUP(BF81/10,0)+1,
IF($BC81=Lookup!$A$3,($BD81+1)^BE81,
IF($BC81=Lookup!$A$4,BF81*$BD81+1,"Error")))</f>
        <v>1</v>
      </c>
      <c r="BO81" s="229">
        <f>IF($BC81=Lookup!$A$2,$BD81*ROUNDUP(BG81/10,0)+1,
IF($BC81=Lookup!$A$3,($BD81+1)^BF81,
IF($BC81=Lookup!$A$4,BG81*$BD81+1,"Error")))</f>
        <v>1</v>
      </c>
      <c r="BP81" s="229">
        <f>IF($BC81=Lookup!$A$2,$BD81*ROUNDUP(BH81/10,0)+1,
IF($BC81=Lookup!$A$3,($BD81+1)^BG81,
IF($BC81=Lookup!$A$4,BH81*$BD81+1,"Error")))</f>
        <v>0.875</v>
      </c>
      <c r="BQ81" s="229">
        <f>IF($BC81=Lookup!$A$2,$BD81*ROUNDUP(BI81/10,0)+1,
IF($BC81=Lookup!$A$3,($BD81+1)^BH81,
IF($BC81=Lookup!$A$4,BI81*$BD81+1,"Error")))</f>
        <v>0.875</v>
      </c>
      <c r="BR81" s="229">
        <f>IF($BC81=Lookup!$A$2,$BD81*ROUNDUP(BJ81/10,0)+1,
IF($BC81=Lookup!$A$3,($BD81+1)^BI81,
IF($BC81=Lookup!$A$4,BJ81*$BD81+1,"Error")))</f>
        <v>0.875</v>
      </c>
      <c r="BS81" s="229">
        <f>IF($BC81=Lookup!$A$2,$BD81*ROUNDUP(BK81/10,0)+1,
IF($BC81=Lookup!$A$3,($BD81+1)^BJ81,
IF($BC81=Lookup!$A$4,BK81*$BD81+1,"Error")))</f>
        <v>0.875</v>
      </c>
      <c r="BT81" s="249">
        <f>IF($BC81=Lookup!$A$2,$BD81*ROUNDUP(BL81/10,0)+1,
IF($BC81=Lookup!$A$3,($BD81+1)^BK81,
IF($BC81=Lookup!$A$4,BL81*$BD81+1,"Error")))</f>
        <v>0.875</v>
      </c>
      <c r="BU81" s="320"/>
      <c r="BV81" s="321"/>
      <c r="BW81" s="321"/>
      <c r="BX81" s="321"/>
      <c r="BY81" s="321"/>
      <c r="BZ81" s="321"/>
      <c r="CA81" s="321"/>
      <c r="CB81" s="277"/>
      <c r="CC81" s="382" t="s">
        <v>292</v>
      </c>
      <c r="CD81" s="383">
        <f>HLOOKUP($CC81,$AK$6:$AM$132,ROWS(CD$6:CD81),0)</f>
        <v>0</v>
      </c>
      <c r="CE81" s="234">
        <f t="shared" si="122"/>
        <v>0</v>
      </c>
      <c r="CF81" s="96">
        <f t="shared" si="123"/>
        <v>0</v>
      </c>
      <c r="CG81" s="96">
        <f t="shared" si="124"/>
        <v>0</v>
      </c>
      <c r="CH81" s="96">
        <f t="shared" si="125"/>
        <v>0</v>
      </c>
      <c r="CI81" s="96">
        <f t="shared" si="126"/>
        <v>0</v>
      </c>
      <c r="CJ81" s="96">
        <f t="shared" si="127"/>
        <v>0</v>
      </c>
      <c r="CK81" s="96">
        <f t="shared" si="128"/>
        <v>0</v>
      </c>
      <c r="CL81" s="286">
        <f t="shared" si="129"/>
        <v>0</v>
      </c>
      <c r="CM81" s="305" t="s">
        <v>293</v>
      </c>
      <c r="CN81" s="315">
        <v>0.05</v>
      </c>
      <c r="CO81" s="306"/>
      <c r="CP81" s="307" t="str">
        <f>IF($CO81&lt;&gt;"",$CO81,HLOOKUP($CM81,$AY$6:$BA$132,ROWS(CP$6:CP81),0))</f>
        <v/>
      </c>
      <c r="CQ81" s="784" t="str">
        <f t="shared" si="130"/>
        <v/>
      </c>
      <c r="CR81" s="784" t="str">
        <f t="shared" si="131"/>
        <v/>
      </c>
      <c r="CS81" s="97" t="str">
        <f t="shared" si="132"/>
        <v/>
      </c>
      <c r="CT81" s="97" t="str">
        <f t="shared" si="133"/>
        <v/>
      </c>
      <c r="CU81" s="97" t="str">
        <f t="shared" si="134"/>
        <v/>
      </c>
      <c r="CV81" s="97" t="str">
        <f t="shared" si="135"/>
        <v/>
      </c>
      <c r="CW81" s="97" t="str">
        <f t="shared" si="136"/>
        <v/>
      </c>
      <c r="CX81" s="98" t="str">
        <f t="shared" si="137"/>
        <v/>
      </c>
      <c r="CY81" s="392"/>
    </row>
    <row r="82" spans="1:103" x14ac:dyDescent="0.25">
      <c r="A82" s="81" t="s">
        <v>138</v>
      </c>
      <c r="B82" s="82" t="s">
        <v>167</v>
      </c>
      <c r="C82" s="83" t="s">
        <v>372</v>
      </c>
      <c r="D82" s="84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85">
        <v>0</v>
      </c>
      <c r="L82" s="85">
        <v>0</v>
      </c>
      <c r="M82" s="654">
        <f>'2022-23 Input'!E82</f>
        <v>0</v>
      </c>
      <c r="N82" s="1065">
        <v>0</v>
      </c>
      <c r="O82" s="560">
        <f t="shared" si="95"/>
        <v>0</v>
      </c>
      <c r="P82" s="561">
        <f t="shared" si="96"/>
        <v>0</v>
      </c>
      <c r="Q82" s="561">
        <f t="shared" si="97"/>
        <v>0</v>
      </c>
      <c r="R82" s="561">
        <f t="shared" si="98"/>
        <v>0</v>
      </c>
      <c r="S82" s="561">
        <f t="shared" si="99"/>
        <v>0</v>
      </c>
      <c r="T82" s="561">
        <f t="shared" si="100"/>
        <v>0</v>
      </c>
      <c r="U82" s="561">
        <f t="shared" si="101"/>
        <v>0</v>
      </c>
      <c r="V82" s="561">
        <f t="shared" si="102"/>
        <v>0</v>
      </c>
      <c r="W82" s="675">
        <f t="shared" si="103"/>
        <v>0</v>
      </c>
      <c r="X82" s="675">
        <f t="shared" si="104"/>
        <v>0</v>
      </c>
      <c r="Y82" s="675">
        <f t="shared" si="105"/>
        <v>0</v>
      </c>
      <c r="Z82" s="86">
        <v>0</v>
      </c>
      <c r="AA82" s="87">
        <v>0</v>
      </c>
      <c r="AB82" s="87">
        <v>0</v>
      </c>
      <c r="AC82" s="87">
        <v>0</v>
      </c>
      <c r="AD82" s="87">
        <v>0</v>
      </c>
      <c r="AE82" s="87">
        <v>0</v>
      </c>
      <c r="AF82" s="87">
        <v>0</v>
      </c>
      <c r="AG82" s="87">
        <v>0</v>
      </c>
      <c r="AH82" s="87">
        <v>0</v>
      </c>
      <c r="AI82" s="1094">
        <f>'2022-23 Input'!L82</f>
        <v>0</v>
      </c>
      <c r="AJ82" s="665">
        <v>0</v>
      </c>
      <c r="AK82" s="88">
        <f t="shared" si="106"/>
        <v>0</v>
      </c>
      <c r="AL82" s="89">
        <f t="shared" si="107"/>
        <v>0</v>
      </c>
      <c r="AM82" s="90">
        <f t="shared" si="108"/>
        <v>0</v>
      </c>
      <c r="AN82" s="91" t="str">
        <f t="shared" si="109"/>
        <v/>
      </c>
      <c r="AO82" s="92" t="str">
        <f t="shared" si="110"/>
        <v/>
      </c>
      <c r="AP82" s="92" t="str">
        <f t="shared" si="111"/>
        <v/>
      </c>
      <c r="AQ82" s="92" t="str">
        <f t="shared" si="112"/>
        <v/>
      </c>
      <c r="AR82" s="92" t="str">
        <f t="shared" si="113"/>
        <v/>
      </c>
      <c r="AS82" s="92" t="str">
        <f t="shared" si="114"/>
        <v/>
      </c>
      <c r="AT82" s="92" t="str">
        <f t="shared" si="115"/>
        <v/>
      </c>
      <c r="AU82" s="92" t="str">
        <f t="shared" si="116"/>
        <v/>
      </c>
      <c r="AV82" s="92" t="str">
        <f t="shared" si="117"/>
        <v/>
      </c>
      <c r="AW82" s="92" t="str">
        <f t="shared" si="117"/>
        <v/>
      </c>
      <c r="AX82" s="92" t="str">
        <f t="shared" si="117"/>
        <v/>
      </c>
      <c r="AY82" s="93" t="str">
        <f t="shared" si="118"/>
        <v/>
      </c>
      <c r="AZ82" s="94" t="str">
        <f t="shared" si="119"/>
        <v/>
      </c>
      <c r="BA82" s="95" t="str">
        <f t="shared" si="120"/>
        <v/>
      </c>
      <c r="BB82" s="248" t="s">
        <v>422</v>
      </c>
      <c r="BC82" s="229" t="s">
        <v>433</v>
      </c>
      <c r="BD82" s="249">
        <v>-0.125</v>
      </c>
      <c r="BE82" s="267">
        <f t="shared" si="121"/>
        <v>0</v>
      </c>
      <c r="BF82" s="268">
        <f t="shared" si="138"/>
        <v>0</v>
      </c>
      <c r="BG82" s="268">
        <f t="shared" si="138"/>
        <v>0</v>
      </c>
      <c r="BH82" s="268">
        <f t="shared" si="138"/>
        <v>1</v>
      </c>
      <c r="BI82" s="268">
        <f t="shared" si="138"/>
        <v>2</v>
      </c>
      <c r="BJ82" s="268">
        <f t="shared" si="138"/>
        <v>3</v>
      </c>
      <c r="BK82" s="268">
        <f t="shared" si="138"/>
        <v>4</v>
      </c>
      <c r="BL82" s="269">
        <f t="shared" si="138"/>
        <v>5</v>
      </c>
      <c r="BM82" s="256">
        <f>IF($BC82=Lookup!$A$2,$BD82*ROUNDUP(BE82/10,0)+1,
IF($BC82=Lookup!$A$3,($BD82+1)^BD82,
IF($BC82=Lookup!$A$4,BE82*$BD82+1,"Error")))</f>
        <v>1</v>
      </c>
      <c r="BN82" s="229">
        <f>IF($BC82=Lookup!$A$2,$BD82*ROUNDUP(BF82/10,0)+1,
IF($BC82=Lookup!$A$3,($BD82+1)^BE82,
IF($BC82=Lookup!$A$4,BF82*$BD82+1,"Error")))</f>
        <v>1</v>
      </c>
      <c r="BO82" s="229">
        <f>IF($BC82=Lookup!$A$2,$BD82*ROUNDUP(BG82/10,0)+1,
IF($BC82=Lookup!$A$3,($BD82+1)^BF82,
IF($BC82=Lookup!$A$4,BG82*$BD82+1,"Error")))</f>
        <v>1</v>
      </c>
      <c r="BP82" s="229">
        <f>IF($BC82=Lookup!$A$2,$BD82*ROUNDUP(BH82/10,0)+1,
IF($BC82=Lookup!$A$3,($BD82+1)^BG82,
IF($BC82=Lookup!$A$4,BH82*$BD82+1,"Error")))</f>
        <v>0.875</v>
      </c>
      <c r="BQ82" s="229">
        <f>IF($BC82=Lookup!$A$2,$BD82*ROUNDUP(BI82/10,0)+1,
IF($BC82=Lookup!$A$3,($BD82+1)^BH82,
IF($BC82=Lookup!$A$4,BI82*$BD82+1,"Error")))</f>
        <v>0.875</v>
      </c>
      <c r="BR82" s="229">
        <f>IF($BC82=Lookup!$A$2,$BD82*ROUNDUP(BJ82/10,0)+1,
IF($BC82=Lookup!$A$3,($BD82+1)^BI82,
IF($BC82=Lookup!$A$4,BJ82*$BD82+1,"Error")))</f>
        <v>0.875</v>
      </c>
      <c r="BS82" s="229">
        <f>IF($BC82=Lookup!$A$2,$BD82*ROUNDUP(BK82/10,0)+1,
IF($BC82=Lookup!$A$3,($BD82+1)^BJ82,
IF($BC82=Lookup!$A$4,BK82*$BD82+1,"Error")))</f>
        <v>0.875</v>
      </c>
      <c r="BT82" s="249">
        <f>IF($BC82=Lookup!$A$2,$BD82*ROUNDUP(BL82/10,0)+1,
IF($BC82=Lookup!$A$3,($BD82+1)^BK82,
IF($BC82=Lookup!$A$4,BL82*$BD82+1,"Error")))</f>
        <v>0.875</v>
      </c>
      <c r="BU82" s="320"/>
      <c r="BV82" s="321"/>
      <c r="BW82" s="321"/>
      <c r="BX82" s="321"/>
      <c r="BY82" s="321"/>
      <c r="BZ82" s="321"/>
      <c r="CA82" s="321"/>
      <c r="CB82" s="277"/>
      <c r="CC82" s="382" t="s">
        <v>292</v>
      </c>
      <c r="CD82" s="383">
        <f>HLOOKUP($CC82,$AK$6:$AM$132,ROWS(CD$6:CD82),0)</f>
        <v>0</v>
      </c>
      <c r="CE82" s="234">
        <f t="shared" si="122"/>
        <v>0</v>
      </c>
      <c r="CF82" s="96">
        <f t="shared" si="123"/>
        <v>0</v>
      </c>
      <c r="CG82" s="96">
        <f t="shared" si="124"/>
        <v>0</v>
      </c>
      <c r="CH82" s="96">
        <f t="shared" si="125"/>
        <v>0</v>
      </c>
      <c r="CI82" s="96">
        <f t="shared" si="126"/>
        <v>0</v>
      </c>
      <c r="CJ82" s="96">
        <f t="shared" si="127"/>
        <v>0</v>
      </c>
      <c r="CK82" s="96">
        <f t="shared" si="128"/>
        <v>0</v>
      </c>
      <c r="CL82" s="286">
        <f t="shared" si="129"/>
        <v>0</v>
      </c>
      <c r="CM82" s="305" t="s">
        <v>293</v>
      </c>
      <c r="CN82" s="315">
        <v>0.05</v>
      </c>
      <c r="CO82" s="306"/>
      <c r="CP82" s="307" t="str">
        <f>IF($CO82&lt;&gt;"",$CO82,HLOOKUP($CM82,$AY$6:$BA$132,ROWS(CP$6:CP82),0))</f>
        <v/>
      </c>
      <c r="CQ82" s="784" t="str">
        <f t="shared" si="130"/>
        <v/>
      </c>
      <c r="CR82" s="784" t="str">
        <f t="shared" si="131"/>
        <v/>
      </c>
      <c r="CS82" s="97" t="str">
        <f t="shared" si="132"/>
        <v/>
      </c>
      <c r="CT82" s="97" t="str">
        <f t="shared" si="133"/>
        <v/>
      </c>
      <c r="CU82" s="97" t="str">
        <f t="shared" si="134"/>
        <v/>
      </c>
      <c r="CV82" s="97" t="str">
        <f t="shared" si="135"/>
        <v/>
      </c>
      <c r="CW82" s="97" t="str">
        <f t="shared" si="136"/>
        <v/>
      </c>
      <c r="CX82" s="98" t="str">
        <f t="shared" si="137"/>
        <v/>
      </c>
      <c r="CY82" s="392"/>
    </row>
    <row r="83" spans="1:103" x14ac:dyDescent="0.25">
      <c r="A83" s="81" t="s">
        <v>138</v>
      </c>
      <c r="B83" s="82" t="s">
        <v>169</v>
      </c>
      <c r="C83" s="83" t="s">
        <v>373</v>
      </c>
      <c r="D83" s="84">
        <v>0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654">
        <f>'2022-23 Input'!E83</f>
        <v>0</v>
      </c>
      <c r="N83" s="1065">
        <v>0</v>
      </c>
      <c r="O83" s="560">
        <f t="shared" si="95"/>
        <v>0</v>
      </c>
      <c r="P83" s="561">
        <f t="shared" si="96"/>
        <v>0</v>
      </c>
      <c r="Q83" s="561">
        <f t="shared" si="97"/>
        <v>0</v>
      </c>
      <c r="R83" s="561">
        <f t="shared" si="98"/>
        <v>0</v>
      </c>
      <c r="S83" s="561">
        <f t="shared" si="99"/>
        <v>0</v>
      </c>
      <c r="T83" s="561">
        <f t="shared" si="100"/>
        <v>0</v>
      </c>
      <c r="U83" s="561">
        <f t="shared" si="101"/>
        <v>0</v>
      </c>
      <c r="V83" s="561">
        <f t="shared" si="102"/>
        <v>0</v>
      </c>
      <c r="W83" s="675">
        <f t="shared" si="103"/>
        <v>0</v>
      </c>
      <c r="X83" s="675">
        <f t="shared" si="104"/>
        <v>0</v>
      </c>
      <c r="Y83" s="675">
        <f t="shared" si="105"/>
        <v>0</v>
      </c>
      <c r="Z83" s="86">
        <v>0</v>
      </c>
      <c r="AA83" s="87">
        <v>0</v>
      </c>
      <c r="AB83" s="87">
        <v>0</v>
      </c>
      <c r="AC83" s="87">
        <v>0</v>
      </c>
      <c r="AD83" s="87">
        <v>0</v>
      </c>
      <c r="AE83" s="87">
        <v>0</v>
      </c>
      <c r="AF83" s="87">
        <v>0</v>
      </c>
      <c r="AG83" s="87">
        <v>0</v>
      </c>
      <c r="AH83" s="87">
        <v>0</v>
      </c>
      <c r="AI83" s="1094">
        <f>'2022-23 Input'!L83</f>
        <v>0</v>
      </c>
      <c r="AJ83" s="665">
        <v>0</v>
      </c>
      <c r="AK83" s="88">
        <f t="shared" si="106"/>
        <v>0</v>
      </c>
      <c r="AL83" s="89">
        <f t="shared" si="107"/>
        <v>0</v>
      </c>
      <c r="AM83" s="90">
        <f t="shared" si="108"/>
        <v>0</v>
      </c>
      <c r="AN83" s="91" t="str">
        <f t="shared" si="109"/>
        <v/>
      </c>
      <c r="AO83" s="92" t="str">
        <f t="shared" si="110"/>
        <v/>
      </c>
      <c r="AP83" s="92" t="str">
        <f t="shared" si="111"/>
        <v/>
      </c>
      <c r="AQ83" s="92" t="str">
        <f t="shared" si="112"/>
        <v/>
      </c>
      <c r="AR83" s="92" t="str">
        <f t="shared" si="113"/>
        <v/>
      </c>
      <c r="AS83" s="92" t="str">
        <f t="shared" si="114"/>
        <v/>
      </c>
      <c r="AT83" s="92" t="str">
        <f t="shared" si="115"/>
        <v/>
      </c>
      <c r="AU83" s="92" t="str">
        <f t="shared" si="116"/>
        <v/>
      </c>
      <c r="AV83" s="92" t="str">
        <f t="shared" si="117"/>
        <v/>
      </c>
      <c r="AW83" s="92" t="str">
        <f t="shared" si="117"/>
        <v/>
      </c>
      <c r="AX83" s="92" t="str">
        <f t="shared" si="117"/>
        <v/>
      </c>
      <c r="AY83" s="93" t="str">
        <f t="shared" si="118"/>
        <v/>
      </c>
      <c r="AZ83" s="94" t="str">
        <f t="shared" si="119"/>
        <v/>
      </c>
      <c r="BA83" s="95" t="str">
        <f t="shared" si="120"/>
        <v/>
      </c>
      <c r="BB83" s="248" t="s">
        <v>422</v>
      </c>
      <c r="BC83" s="229" t="s">
        <v>433</v>
      </c>
      <c r="BD83" s="249">
        <v>-0.125</v>
      </c>
      <c r="BE83" s="267">
        <f t="shared" si="121"/>
        <v>0</v>
      </c>
      <c r="BF83" s="268">
        <f t="shared" si="138"/>
        <v>0</v>
      </c>
      <c r="BG83" s="268">
        <f t="shared" si="138"/>
        <v>0</v>
      </c>
      <c r="BH83" s="268">
        <f t="shared" si="138"/>
        <v>1</v>
      </c>
      <c r="BI83" s="268">
        <f t="shared" si="138"/>
        <v>2</v>
      </c>
      <c r="BJ83" s="268">
        <f t="shared" si="138"/>
        <v>3</v>
      </c>
      <c r="BK83" s="268">
        <f t="shared" si="138"/>
        <v>4</v>
      </c>
      <c r="BL83" s="269">
        <f t="shared" si="138"/>
        <v>5</v>
      </c>
      <c r="BM83" s="256">
        <f>IF($BC83=Lookup!$A$2,$BD83*ROUNDUP(BE83/10,0)+1,
IF($BC83=Lookup!$A$3,($BD83+1)^BD83,
IF($BC83=Lookup!$A$4,BE83*$BD83+1,"Error")))</f>
        <v>1</v>
      </c>
      <c r="BN83" s="229">
        <f>IF($BC83=Lookup!$A$2,$BD83*ROUNDUP(BF83/10,0)+1,
IF($BC83=Lookup!$A$3,($BD83+1)^BE83,
IF($BC83=Lookup!$A$4,BF83*$BD83+1,"Error")))</f>
        <v>1</v>
      </c>
      <c r="BO83" s="229">
        <f>IF($BC83=Lookup!$A$2,$BD83*ROUNDUP(BG83/10,0)+1,
IF($BC83=Lookup!$A$3,($BD83+1)^BF83,
IF($BC83=Lookup!$A$4,BG83*$BD83+1,"Error")))</f>
        <v>1</v>
      </c>
      <c r="BP83" s="229">
        <f>IF($BC83=Lookup!$A$2,$BD83*ROUNDUP(BH83/10,0)+1,
IF($BC83=Lookup!$A$3,($BD83+1)^BG83,
IF($BC83=Lookup!$A$4,BH83*$BD83+1,"Error")))</f>
        <v>0.875</v>
      </c>
      <c r="BQ83" s="229">
        <f>IF($BC83=Lookup!$A$2,$BD83*ROUNDUP(BI83/10,0)+1,
IF($BC83=Lookup!$A$3,($BD83+1)^BH83,
IF($BC83=Lookup!$A$4,BI83*$BD83+1,"Error")))</f>
        <v>0.875</v>
      </c>
      <c r="BR83" s="229">
        <f>IF($BC83=Lookup!$A$2,$BD83*ROUNDUP(BJ83/10,0)+1,
IF($BC83=Lookup!$A$3,($BD83+1)^BI83,
IF($BC83=Lookup!$A$4,BJ83*$BD83+1,"Error")))</f>
        <v>0.875</v>
      </c>
      <c r="BS83" s="229">
        <f>IF($BC83=Lookup!$A$2,$BD83*ROUNDUP(BK83/10,0)+1,
IF($BC83=Lookup!$A$3,($BD83+1)^BJ83,
IF($BC83=Lookup!$A$4,BK83*$BD83+1,"Error")))</f>
        <v>0.875</v>
      </c>
      <c r="BT83" s="249">
        <f>IF($BC83=Lookup!$A$2,$BD83*ROUNDUP(BL83/10,0)+1,
IF($BC83=Lookup!$A$3,($BD83+1)^BK83,
IF($BC83=Lookup!$A$4,BL83*$BD83+1,"Error")))</f>
        <v>0.875</v>
      </c>
      <c r="BU83" s="320"/>
      <c r="BV83" s="321"/>
      <c r="BW83" s="321"/>
      <c r="BX83" s="321"/>
      <c r="BY83" s="321"/>
      <c r="BZ83" s="321"/>
      <c r="CA83" s="321"/>
      <c r="CB83" s="277"/>
      <c r="CC83" s="382" t="s">
        <v>292</v>
      </c>
      <c r="CD83" s="383">
        <f>HLOOKUP($CC83,$AK$6:$AM$132,ROWS(CD$6:CD83),0)</f>
        <v>0</v>
      </c>
      <c r="CE83" s="234">
        <f t="shared" si="122"/>
        <v>0</v>
      </c>
      <c r="CF83" s="96">
        <f t="shared" si="123"/>
        <v>0</v>
      </c>
      <c r="CG83" s="96">
        <f t="shared" si="124"/>
        <v>0</v>
      </c>
      <c r="CH83" s="96">
        <f t="shared" si="125"/>
        <v>0</v>
      </c>
      <c r="CI83" s="96">
        <f t="shared" si="126"/>
        <v>0</v>
      </c>
      <c r="CJ83" s="96">
        <f t="shared" si="127"/>
        <v>0</v>
      </c>
      <c r="CK83" s="96">
        <f t="shared" si="128"/>
        <v>0</v>
      </c>
      <c r="CL83" s="286">
        <f t="shared" si="129"/>
        <v>0</v>
      </c>
      <c r="CM83" s="305" t="s">
        <v>293</v>
      </c>
      <c r="CN83" s="315">
        <v>0.05</v>
      </c>
      <c r="CO83" s="306"/>
      <c r="CP83" s="307" t="str">
        <f>IF($CO83&lt;&gt;"",$CO83,HLOOKUP($CM83,$AY$6:$BA$132,ROWS(CP$6:CP83),0))</f>
        <v/>
      </c>
      <c r="CQ83" s="784" t="str">
        <f t="shared" si="130"/>
        <v/>
      </c>
      <c r="CR83" s="784" t="str">
        <f t="shared" si="131"/>
        <v/>
      </c>
      <c r="CS83" s="97" t="str">
        <f t="shared" si="132"/>
        <v/>
      </c>
      <c r="CT83" s="97" t="str">
        <f t="shared" si="133"/>
        <v/>
      </c>
      <c r="CU83" s="97" t="str">
        <f t="shared" si="134"/>
        <v/>
      </c>
      <c r="CV83" s="97" t="str">
        <f t="shared" si="135"/>
        <v/>
      </c>
      <c r="CW83" s="97" t="str">
        <f t="shared" si="136"/>
        <v/>
      </c>
      <c r="CX83" s="98" t="str">
        <f t="shared" si="137"/>
        <v/>
      </c>
      <c r="CY83" s="392"/>
    </row>
    <row r="84" spans="1:103" x14ac:dyDescent="0.25">
      <c r="A84" s="81" t="s">
        <v>138</v>
      </c>
      <c r="B84" s="82" t="s">
        <v>171</v>
      </c>
      <c r="C84" s="83" t="s">
        <v>374</v>
      </c>
      <c r="D84" s="84">
        <v>0</v>
      </c>
      <c r="E84" s="85">
        <v>0</v>
      </c>
      <c r="F84" s="85">
        <v>0</v>
      </c>
      <c r="G84" s="85">
        <v>0</v>
      </c>
      <c r="H84" s="85">
        <v>0</v>
      </c>
      <c r="I84" s="85">
        <v>0</v>
      </c>
      <c r="J84" s="85">
        <v>0</v>
      </c>
      <c r="K84" s="85">
        <v>0</v>
      </c>
      <c r="L84" s="85">
        <v>0</v>
      </c>
      <c r="M84" s="654">
        <f>'2022-23 Input'!E84</f>
        <v>0</v>
      </c>
      <c r="N84" s="1065">
        <v>0</v>
      </c>
      <c r="O84" s="560">
        <f t="shared" si="95"/>
        <v>0</v>
      </c>
      <c r="P84" s="561">
        <f t="shared" si="96"/>
        <v>0</v>
      </c>
      <c r="Q84" s="561">
        <f t="shared" si="97"/>
        <v>0</v>
      </c>
      <c r="R84" s="561">
        <f t="shared" si="98"/>
        <v>0</v>
      </c>
      <c r="S84" s="561">
        <f t="shared" si="99"/>
        <v>0</v>
      </c>
      <c r="T84" s="561">
        <f t="shared" si="100"/>
        <v>0</v>
      </c>
      <c r="U84" s="561">
        <f t="shared" si="101"/>
        <v>0</v>
      </c>
      <c r="V84" s="561">
        <f t="shared" si="102"/>
        <v>0</v>
      </c>
      <c r="W84" s="675">
        <f t="shared" si="103"/>
        <v>0</v>
      </c>
      <c r="X84" s="675">
        <f t="shared" si="104"/>
        <v>0</v>
      </c>
      <c r="Y84" s="675">
        <f t="shared" si="105"/>
        <v>0</v>
      </c>
      <c r="Z84" s="86">
        <v>0</v>
      </c>
      <c r="AA84" s="87">
        <v>0</v>
      </c>
      <c r="AB84" s="87">
        <v>0</v>
      </c>
      <c r="AC84" s="87">
        <v>0</v>
      </c>
      <c r="AD84" s="87">
        <v>0</v>
      </c>
      <c r="AE84" s="87">
        <v>0</v>
      </c>
      <c r="AF84" s="87">
        <v>0</v>
      </c>
      <c r="AG84" s="87">
        <v>0</v>
      </c>
      <c r="AH84" s="87">
        <v>0</v>
      </c>
      <c r="AI84" s="1094">
        <f>'2022-23 Input'!L84</f>
        <v>0</v>
      </c>
      <c r="AJ84" s="665">
        <v>0</v>
      </c>
      <c r="AK84" s="88">
        <f t="shared" si="106"/>
        <v>0</v>
      </c>
      <c r="AL84" s="89">
        <f t="shared" si="107"/>
        <v>0</v>
      </c>
      <c r="AM84" s="90">
        <f t="shared" si="108"/>
        <v>0</v>
      </c>
      <c r="AN84" s="91" t="str">
        <f t="shared" si="109"/>
        <v/>
      </c>
      <c r="AO84" s="92" t="str">
        <f t="shared" si="110"/>
        <v/>
      </c>
      <c r="AP84" s="92" t="str">
        <f t="shared" si="111"/>
        <v/>
      </c>
      <c r="AQ84" s="92" t="str">
        <f t="shared" si="112"/>
        <v/>
      </c>
      <c r="AR84" s="92" t="str">
        <f t="shared" si="113"/>
        <v/>
      </c>
      <c r="AS84" s="92" t="str">
        <f t="shared" si="114"/>
        <v/>
      </c>
      <c r="AT84" s="92" t="str">
        <f t="shared" si="115"/>
        <v/>
      </c>
      <c r="AU84" s="92" t="str">
        <f t="shared" si="116"/>
        <v/>
      </c>
      <c r="AV84" s="92" t="str">
        <f t="shared" si="117"/>
        <v/>
      </c>
      <c r="AW84" s="92" t="str">
        <f t="shared" si="117"/>
        <v/>
      </c>
      <c r="AX84" s="92" t="str">
        <f t="shared" si="117"/>
        <v/>
      </c>
      <c r="AY84" s="93" t="str">
        <f t="shared" si="118"/>
        <v/>
      </c>
      <c r="AZ84" s="94" t="str">
        <f t="shared" si="119"/>
        <v/>
      </c>
      <c r="BA84" s="95" t="str">
        <f t="shared" si="120"/>
        <v/>
      </c>
      <c r="BB84" s="248" t="s">
        <v>422</v>
      </c>
      <c r="BC84" s="229" t="s">
        <v>433</v>
      </c>
      <c r="BD84" s="249">
        <v>-0.125</v>
      </c>
      <c r="BE84" s="267">
        <f t="shared" si="121"/>
        <v>0</v>
      </c>
      <c r="BF84" s="268">
        <f t="shared" si="138"/>
        <v>0</v>
      </c>
      <c r="BG84" s="268">
        <f t="shared" si="138"/>
        <v>0</v>
      </c>
      <c r="BH84" s="268">
        <f t="shared" si="138"/>
        <v>1</v>
      </c>
      <c r="BI84" s="268">
        <f t="shared" si="138"/>
        <v>2</v>
      </c>
      <c r="BJ84" s="268">
        <f t="shared" si="138"/>
        <v>3</v>
      </c>
      <c r="BK84" s="268">
        <f t="shared" si="138"/>
        <v>4</v>
      </c>
      <c r="BL84" s="269">
        <f t="shared" si="138"/>
        <v>5</v>
      </c>
      <c r="BM84" s="256">
        <f>IF($BC84=Lookup!$A$2,$BD84*ROUNDUP(BE84/10,0)+1,
IF($BC84=Lookup!$A$3,($BD84+1)^BD84,
IF($BC84=Lookup!$A$4,BE84*$BD84+1,"Error")))</f>
        <v>1</v>
      </c>
      <c r="BN84" s="229">
        <f>IF($BC84=Lookup!$A$2,$BD84*ROUNDUP(BF84/10,0)+1,
IF($BC84=Lookup!$A$3,($BD84+1)^BE84,
IF($BC84=Lookup!$A$4,BF84*$BD84+1,"Error")))</f>
        <v>1</v>
      </c>
      <c r="BO84" s="229">
        <f>IF($BC84=Lookup!$A$2,$BD84*ROUNDUP(BG84/10,0)+1,
IF($BC84=Lookup!$A$3,($BD84+1)^BF84,
IF($BC84=Lookup!$A$4,BG84*$BD84+1,"Error")))</f>
        <v>1</v>
      </c>
      <c r="BP84" s="229">
        <f>IF($BC84=Lookup!$A$2,$BD84*ROUNDUP(BH84/10,0)+1,
IF($BC84=Lookup!$A$3,($BD84+1)^BG84,
IF($BC84=Lookup!$A$4,BH84*$BD84+1,"Error")))</f>
        <v>0.875</v>
      </c>
      <c r="BQ84" s="229">
        <f>IF($BC84=Lookup!$A$2,$BD84*ROUNDUP(BI84/10,0)+1,
IF($BC84=Lookup!$A$3,($BD84+1)^BH84,
IF($BC84=Lookup!$A$4,BI84*$BD84+1,"Error")))</f>
        <v>0.875</v>
      </c>
      <c r="BR84" s="229">
        <f>IF($BC84=Lookup!$A$2,$BD84*ROUNDUP(BJ84/10,0)+1,
IF($BC84=Lookup!$A$3,($BD84+1)^BI84,
IF($BC84=Lookup!$A$4,BJ84*$BD84+1,"Error")))</f>
        <v>0.875</v>
      </c>
      <c r="BS84" s="229">
        <f>IF($BC84=Lookup!$A$2,$BD84*ROUNDUP(BK84/10,0)+1,
IF($BC84=Lookup!$A$3,($BD84+1)^BJ84,
IF($BC84=Lookup!$A$4,BK84*$BD84+1,"Error")))</f>
        <v>0.875</v>
      </c>
      <c r="BT84" s="249">
        <f>IF($BC84=Lookup!$A$2,$BD84*ROUNDUP(BL84/10,0)+1,
IF($BC84=Lookup!$A$3,($BD84+1)^BK84,
IF($BC84=Lookup!$A$4,BL84*$BD84+1,"Error")))</f>
        <v>0.875</v>
      </c>
      <c r="BU84" s="320"/>
      <c r="BV84" s="321"/>
      <c r="BW84" s="321"/>
      <c r="BX84" s="321"/>
      <c r="BY84" s="321"/>
      <c r="BZ84" s="321"/>
      <c r="CA84" s="321"/>
      <c r="CB84" s="277"/>
      <c r="CC84" s="382" t="s">
        <v>292</v>
      </c>
      <c r="CD84" s="383">
        <f>HLOOKUP($CC84,$AK$6:$AM$132,ROWS(CD$6:CD84),0)</f>
        <v>0</v>
      </c>
      <c r="CE84" s="234">
        <f t="shared" si="122"/>
        <v>0</v>
      </c>
      <c r="CF84" s="96">
        <f t="shared" si="123"/>
        <v>0</v>
      </c>
      <c r="CG84" s="96">
        <f t="shared" si="124"/>
        <v>0</v>
      </c>
      <c r="CH84" s="96">
        <f t="shared" si="125"/>
        <v>0</v>
      </c>
      <c r="CI84" s="96">
        <f t="shared" si="126"/>
        <v>0</v>
      </c>
      <c r="CJ84" s="96">
        <f t="shared" si="127"/>
        <v>0</v>
      </c>
      <c r="CK84" s="96">
        <f t="shared" si="128"/>
        <v>0</v>
      </c>
      <c r="CL84" s="286">
        <f t="shared" si="129"/>
        <v>0</v>
      </c>
      <c r="CM84" s="305" t="s">
        <v>293</v>
      </c>
      <c r="CN84" s="315">
        <v>0.05</v>
      </c>
      <c r="CO84" s="306"/>
      <c r="CP84" s="307" t="str">
        <f>IF($CO84&lt;&gt;"",$CO84,HLOOKUP($CM84,$AY$6:$BA$132,ROWS(CP$6:CP84),0))</f>
        <v/>
      </c>
      <c r="CQ84" s="784" t="str">
        <f t="shared" si="130"/>
        <v/>
      </c>
      <c r="CR84" s="784" t="str">
        <f t="shared" si="131"/>
        <v/>
      </c>
      <c r="CS84" s="97" t="str">
        <f t="shared" si="132"/>
        <v/>
      </c>
      <c r="CT84" s="97" t="str">
        <f t="shared" si="133"/>
        <v/>
      </c>
      <c r="CU84" s="97" t="str">
        <f t="shared" si="134"/>
        <v/>
      </c>
      <c r="CV84" s="97" t="str">
        <f t="shared" si="135"/>
        <v/>
      </c>
      <c r="CW84" s="97" t="str">
        <f t="shared" si="136"/>
        <v/>
      </c>
      <c r="CX84" s="98" t="str">
        <f t="shared" si="137"/>
        <v/>
      </c>
      <c r="CY84" s="392"/>
    </row>
    <row r="85" spans="1:103" x14ac:dyDescent="0.25">
      <c r="A85" s="81" t="s">
        <v>138</v>
      </c>
      <c r="B85" s="82" t="s">
        <v>173</v>
      </c>
      <c r="C85" s="83" t="s">
        <v>375</v>
      </c>
      <c r="D85" s="84">
        <v>0</v>
      </c>
      <c r="E85" s="85">
        <v>0</v>
      </c>
      <c r="F85" s="85">
        <v>0</v>
      </c>
      <c r="G85" s="85">
        <v>0</v>
      </c>
      <c r="H85" s="85">
        <v>0</v>
      </c>
      <c r="I85" s="85">
        <v>0</v>
      </c>
      <c r="J85" s="85">
        <v>0</v>
      </c>
      <c r="K85" s="85">
        <v>0</v>
      </c>
      <c r="L85" s="85">
        <v>0</v>
      </c>
      <c r="M85" s="654">
        <f>'2022-23 Input'!E85</f>
        <v>0</v>
      </c>
      <c r="N85" s="1065">
        <v>0</v>
      </c>
      <c r="O85" s="560">
        <f t="shared" si="95"/>
        <v>0</v>
      </c>
      <c r="P85" s="561">
        <f t="shared" si="96"/>
        <v>0</v>
      </c>
      <c r="Q85" s="561">
        <f t="shared" si="97"/>
        <v>0</v>
      </c>
      <c r="R85" s="561">
        <f t="shared" si="98"/>
        <v>0</v>
      </c>
      <c r="S85" s="561">
        <f t="shared" si="99"/>
        <v>0</v>
      </c>
      <c r="T85" s="561">
        <f t="shared" si="100"/>
        <v>0</v>
      </c>
      <c r="U85" s="561">
        <f t="shared" si="101"/>
        <v>0</v>
      </c>
      <c r="V85" s="561">
        <f t="shared" si="102"/>
        <v>0</v>
      </c>
      <c r="W85" s="675">
        <f t="shared" si="103"/>
        <v>0</v>
      </c>
      <c r="X85" s="675">
        <f t="shared" si="104"/>
        <v>0</v>
      </c>
      <c r="Y85" s="675">
        <f t="shared" si="105"/>
        <v>0</v>
      </c>
      <c r="Z85" s="86">
        <v>0</v>
      </c>
      <c r="AA85" s="87">
        <v>0</v>
      </c>
      <c r="AB85" s="87">
        <v>1</v>
      </c>
      <c r="AC85" s="87">
        <v>0</v>
      </c>
      <c r="AD85" s="87">
        <v>0</v>
      </c>
      <c r="AE85" s="87">
        <v>0</v>
      </c>
      <c r="AF85" s="87">
        <v>0</v>
      </c>
      <c r="AG85" s="87">
        <v>0</v>
      </c>
      <c r="AH85" s="87">
        <v>0</v>
      </c>
      <c r="AI85" s="1094">
        <f>'2022-23 Input'!L85</f>
        <v>0</v>
      </c>
      <c r="AJ85" s="665">
        <v>0</v>
      </c>
      <c r="AK85" s="88">
        <f t="shared" si="106"/>
        <v>0</v>
      </c>
      <c r="AL85" s="89">
        <f t="shared" si="107"/>
        <v>0</v>
      </c>
      <c r="AM85" s="90">
        <f t="shared" si="108"/>
        <v>0</v>
      </c>
      <c r="AN85" s="91" t="str">
        <f t="shared" si="109"/>
        <v/>
      </c>
      <c r="AO85" s="92" t="str">
        <f t="shared" si="110"/>
        <v/>
      </c>
      <c r="AP85" s="92">
        <f t="shared" si="111"/>
        <v>0</v>
      </c>
      <c r="AQ85" s="92" t="str">
        <f t="shared" si="112"/>
        <v/>
      </c>
      <c r="AR85" s="92" t="str">
        <f t="shared" si="113"/>
        <v/>
      </c>
      <c r="AS85" s="92" t="str">
        <f t="shared" si="114"/>
        <v/>
      </c>
      <c r="AT85" s="92" t="str">
        <f t="shared" si="115"/>
        <v/>
      </c>
      <c r="AU85" s="92" t="str">
        <f t="shared" si="116"/>
        <v/>
      </c>
      <c r="AV85" s="92" t="str">
        <f t="shared" si="117"/>
        <v/>
      </c>
      <c r="AW85" s="92" t="str">
        <f t="shared" si="117"/>
        <v/>
      </c>
      <c r="AX85" s="92" t="str">
        <f t="shared" si="117"/>
        <v/>
      </c>
      <c r="AY85" s="93" t="str">
        <f t="shared" si="118"/>
        <v/>
      </c>
      <c r="AZ85" s="94" t="str">
        <f t="shared" si="119"/>
        <v/>
      </c>
      <c r="BA85" s="95" t="str">
        <f t="shared" si="120"/>
        <v/>
      </c>
      <c r="BB85" s="248" t="s">
        <v>422</v>
      </c>
      <c r="BC85" s="229" t="s">
        <v>433</v>
      </c>
      <c r="BD85" s="249">
        <v>-0.125</v>
      </c>
      <c r="BE85" s="267">
        <f t="shared" si="121"/>
        <v>0</v>
      </c>
      <c r="BF85" s="268">
        <f t="shared" si="138"/>
        <v>0</v>
      </c>
      <c r="BG85" s="268">
        <f t="shared" si="138"/>
        <v>0</v>
      </c>
      <c r="BH85" s="268">
        <f t="shared" si="138"/>
        <v>1</v>
      </c>
      <c r="BI85" s="268">
        <f t="shared" si="138"/>
        <v>2</v>
      </c>
      <c r="BJ85" s="268">
        <f t="shared" si="138"/>
        <v>3</v>
      </c>
      <c r="BK85" s="268">
        <f t="shared" si="138"/>
        <v>4</v>
      </c>
      <c r="BL85" s="269">
        <f t="shared" si="138"/>
        <v>5</v>
      </c>
      <c r="BM85" s="256">
        <f>IF($BC85=Lookup!$A$2,$BD85*ROUNDUP(BE85/10,0)+1,
IF($BC85=Lookup!$A$3,($BD85+1)^BD85,
IF($BC85=Lookup!$A$4,BE85*$BD85+1,"Error")))</f>
        <v>1</v>
      </c>
      <c r="BN85" s="229">
        <f>IF($BC85=Lookup!$A$2,$BD85*ROUNDUP(BF85/10,0)+1,
IF($BC85=Lookup!$A$3,($BD85+1)^BE85,
IF($BC85=Lookup!$A$4,BF85*$BD85+1,"Error")))</f>
        <v>1</v>
      </c>
      <c r="BO85" s="229">
        <f>IF($BC85=Lookup!$A$2,$BD85*ROUNDUP(BG85/10,0)+1,
IF($BC85=Lookup!$A$3,($BD85+1)^BF85,
IF($BC85=Lookup!$A$4,BG85*$BD85+1,"Error")))</f>
        <v>1</v>
      </c>
      <c r="BP85" s="229">
        <f>IF($BC85=Lookup!$A$2,$BD85*ROUNDUP(BH85/10,0)+1,
IF($BC85=Lookup!$A$3,($BD85+1)^BG85,
IF($BC85=Lookup!$A$4,BH85*$BD85+1,"Error")))</f>
        <v>0.875</v>
      </c>
      <c r="BQ85" s="229">
        <f>IF($BC85=Lookup!$A$2,$BD85*ROUNDUP(BI85/10,0)+1,
IF($BC85=Lookup!$A$3,($BD85+1)^BH85,
IF($BC85=Lookup!$A$4,BI85*$BD85+1,"Error")))</f>
        <v>0.875</v>
      </c>
      <c r="BR85" s="229">
        <f>IF($BC85=Lookup!$A$2,$BD85*ROUNDUP(BJ85/10,0)+1,
IF($BC85=Lookup!$A$3,($BD85+1)^BI85,
IF($BC85=Lookup!$A$4,BJ85*$BD85+1,"Error")))</f>
        <v>0.875</v>
      </c>
      <c r="BS85" s="229">
        <f>IF($BC85=Lookup!$A$2,$BD85*ROUNDUP(BK85/10,0)+1,
IF($BC85=Lookup!$A$3,($BD85+1)^BJ85,
IF($BC85=Lookup!$A$4,BK85*$BD85+1,"Error")))</f>
        <v>0.875</v>
      </c>
      <c r="BT85" s="249">
        <f>IF($BC85=Lookup!$A$2,$BD85*ROUNDUP(BL85/10,0)+1,
IF($BC85=Lookup!$A$3,($BD85+1)^BK85,
IF($BC85=Lookup!$A$4,BL85*$BD85+1,"Error")))</f>
        <v>0.875</v>
      </c>
      <c r="BU85" s="320"/>
      <c r="BV85" s="321"/>
      <c r="BW85" s="321"/>
      <c r="BX85" s="321"/>
      <c r="BY85" s="321"/>
      <c r="BZ85" s="321"/>
      <c r="CA85" s="321"/>
      <c r="CB85" s="277"/>
      <c r="CC85" s="382" t="s">
        <v>292</v>
      </c>
      <c r="CD85" s="383">
        <f>HLOOKUP($CC85,$AK$6:$AM$132,ROWS(CD$6:CD85),0)</f>
        <v>0</v>
      </c>
      <c r="CE85" s="234">
        <f t="shared" si="122"/>
        <v>0</v>
      </c>
      <c r="CF85" s="96">
        <f t="shared" si="123"/>
        <v>0</v>
      </c>
      <c r="CG85" s="96">
        <f t="shared" si="124"/>
        <v>0</v>
      </c>
      <c r="CH85" s="96">
        <f t="shared" si="125"/>
        <v>0</v>
      </c>
      <c r="CI85" s="96">
        <f t="shared" si="126"/>
        <v>0</v>
      </c>
      <c r="CJ85" s="96">
        <f t="shared" si="127"/>
        <v>0</v>
      </c>
      <c r="CK85" s="96">
        <f t="shared" si="128"/>
        <v>0</v>
      </c>
      <c r="CL85" s="286">
        <f t="shared" si="129"/>
        <v>0</v>
      </c>
      <c r="CM85" s="305" t="s">
        <v>293</v>
      </c>
      <c r="CN85" s="315">
        <v>0.05</v>
      </c>
      <c r="CO85" s="306"/>
      <c r="CP85" s="307" t="str">
        <f>IF($CO85&lt;&gt;"",$CO85,HLOOKUP($CM85,$AY$6:$BA$132,ROWS(CP$6:CP85),0))</f>
        <v/>
      </c>
      <c r="CQ85" s="784" t="str">
        <f t="shared" si="130"/>
        <v/>
      </c>
      <c r="CR85" s="784" t="str">
        <f t="shared" si="131"/>
        <v/>
      </c>
      <c r="CS85" s="97" t="str">
        <f t="shared" si="132"/>
        <v/>
      </c>
      <c r="CT85" s="97" t="str">
        <f t="shared" si="133"/>
        <v/>
      </c>
      <c r="CU85" s="97" t="str">
        <f t="shared" si="134"/>
        <v/>
      </c>
      <c r="CV85" s="97" t="str">
        <f t="shared" si="135"/>
        <v/>
      </c>
      <c r="CW85" s="97" t="str">
        <f t="shared" si="136"/>
        <v/>
      </c>
      <c r="CX85" s="98" t="str">
        <f t="shared" si="137"/>
        <v/>
      </c>
      <c r="CY85" s="392"/>
    </row>
    <row r="86" spans="1:103" x14ac:dyDescent="0.25">
      <c r="A86" s="81" t="s">
        <v>138</v>
      </c>
      <c r="B86" s="82" t="s">
        <v>175</v>
      </c>
      <c r="C86" s="83" t="s">
        <v>376</v>
      </c>
      <c r="D86" s="84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654">
        <f>'2022-23 Input'!E86</f>
        <v>0</v>
      </c>
      <c r="N86" s="1065">
        <v>0</v>
      </c>
      <c r="O86" s="560">
        <f t="shared" si="95"/>
        <v>0</v>
      </c>
      <c r="P86" s="561">
        <f t="shared" si="96"/>
        <v>0</v>
      </c>
      <c r="Q86" s="561">
        <f t="shared" si="97"/>
        <v>0</v>
      </c>
      <c r="R86" s="561">
        <f t="shared" si="98"/>
        <v>0</v>
      </c>
      <c r="S86" s="561">
        <f t="shared" si="99"/>
        <v>0</v>
      </c>
      <c r="T86" s="561">
        <f t="shared" si="100"/>
        <v>0</v>
      </c>
      <c r="U86" s="561">
        <f t="shared" si="101"/>
        <v>0</v>
      </c>
      <c r="V86" s="561">
        <f t="shared" si="102"/>
        <v>0</v>
      </c>
      <c r="W86" s="675">
        <f t="shared" si="103"/>
        <v>0</v>
      </c>
      <c r="X86" s="675">
        <f t="shared" si="104"/>
        <v>0</v>
      </c>
      <c r="Y86" s="675">
        <f t="shared" si="105"/>
        <v>0</v>
      </c>
      <c r="Z86" s="86">
        <v>0</v>
      </c>
      <c r="AA86" s="87">
        <v>0</v>
      </c>
      <c r="AB86" s="87">
        <v>0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87">
        <v>0</v>
      </c>
      <c r="AI86" s="1094">
        <f>'2022-23 Input'!L86</f>
        <v>0</v>
      </c>
      <c r="AJ86" s="665">
        <v>0</v>
      </c>
      <c r="AK86" s="88">
        <f t="shared" si="106"/>
        <v>0</v>
      </c>
      <c r="AL86" s="89">
        <f t="shared" si="107"/>
        <v>0</v>
      </c>
      <c r="AM86" s="90">
        <f t="shared" si="108"/>
        <v>0</v>
      </c>
      <c r="AN86" s="91" t="str">
        <f t="shared" si="109"/>
        <v/>
      </c>
      <c r="AO86" s="92" t="str">
        <f t="shared" si="110"/>
        <v/>
      </c>
      <c r="AP86" s="92" t="str">
        <f t="shared" si="111"/>
        <v/>
      </c>
      <c r="AQ86" s="92" t="str">
        <f t="shared" si="112"/>
        <v/>
      </c>
      <c r="AR86" s="92" t="str">
        <f t="shared" si="113"/>
        <v/>
      </c>
      <c r="AS86" s="92" t="str">
        <f t="shared" si="114"/>
        <v/>
      </c>
      <c r="AT86" s="92" t="str">
        <f t="shared" si="115"/>
        <v/>
      </c>
      <c r="AU86" s="92" t="str">
        <f t="shared" si="116"/>
        <v/>
      </c>
      <c r="AV86" s="92" t="str">
        <f t="shared" si="117"/>
        <v/>
      </c>
      <c r="AW86" s="92" t="str">
        <f t="shared" si="117"/>
        <v/>
      </c>
      <c r="AX86" s="92" t="str">
        <f t="shared" si="117"/>
        <v/>
      </c>
      <c r="AY86" s="93" t="str">
        <f t="shared" si="118"/>
        <v/>
      </c>
      <c r="AZ86" s="94" t="str">
        <f t="shared" si="119"/>
        <v/>
      </c>
      <c r="BA86" s="95" t="str">
        <f t="shared" si="120"/>
        <v/>
      </c>
      <c r="BB86" s="248" t="s">
        <v>422</v>
      </c>
      <c r="BC86" s="229" t="s">
        <v>433</v>
      </c>
      <c r="BD86" s="249">
        <v>-0.125</v>
      </c>
      <c r="BE86" s="267">
        <f t="shared" si="121"/>
        <v>0</v>
      </c>
      <c r="BF86" s="268">
        <f t="shared" si="138"/>
        <v>0</v>
      </c>
      <c r="BG86" s="268">
        <f t="shared" si="138"/>
        <v>0</v>
      </c>
      <c r="BH86" s="268">
        <f t="shared" si="138"/>
        <v>1</v>
      </c>
      <c r="BI86" s="268">
        <f t="shared" si="138"/>
        <v>2</v>
      </c>
      <c r="BJ86" s="268">
        <f t="shared" si="138"/>
        <v>3</v>
      </c>
      <c r="BK86" s="268">
        <f t="shared" si="138"/>
        <v>4</v>
      </c>
      <c r="BL86" s="269">
        <f t="shared" si="138"/>
        <v>5</v>
      </c>
      <c r="BM86" s="256">
        <f>IF($BC86=Lookup!$A$2,$BD86*ROUNDUP(BE86/10,0)+1,
IF($BC86=Lookup!$A$3,($BD86+1)^BD86,
IF($BC86=Lookup!$A$4,BE86*$BD86+1,"Error")))</f>
        <v>1</v>
      </c>
      <c r="BN86" s="229">
        <f>IF($BC86=Lookup!$A$2,$BD86*ROUNDUP(BF86/10,0)+1,
IF($BC86=Lookup!$A$3,($BD86+1)^BE86,
IF($BC86=Lookup!$A$4,BF86*$BD86+1,"Error")))</f>
        <v>1</v>
      </c>
      <c r="BO86" s="229">
        <f>IF($BC86=Lookup!$A$2,$BD86*ROUNDUP(BG86/10,0)+1,
IF($BC86=Lookup!$A$3,($BD86+1)^BF86,
IF($BC86=Lookup!$A$4,BG86*$BD86+1,"Error")))</f>
        <v>1</v>
      </c>
      <c r="BP86" s="229">
        <f>IF($BC86=Lookup!$A$2,$BD86*ROUNDUP(BH86/10,0)+1,
IF($BC86=Lookup!$A$3,($BD86+1)^BG86,
IF($BC86=Lookup!$A$4,BH86*$BD86+1,"Error")))</f>
        <v>0.875</v>
      </c>
      <c r="BQ86" s="229">
        <f>IF($BC86=Lookup!$A$2,$BD86*ROUNDUP(BI86/10,0)+1,
IF($BC86=Lookup!$A$3,($BD86+1)^BH86,
IF($BC86=Lookup!$A$4,BI86*$BD86+1,"Error")))</f>
        <v>0.875</v>
      </c>
      <c r="BR86" s="229">
        <f>IF($BC86=Lookup!$A$2,$BD86*ROUNDUP(BJ86/10,0)+1,
IF($BC86=Lookup!$A$3,($BD86+1)^BI86,
IF($BC86=Lookup!$A$4,BJ86*$BD86+1,"Error")))</f>
        <v>0.875</v>
      </c>
      <c r="BS86" s="229">
        <f>IF($BC86=Lookup!$A$2,$BD86*ROUNDUP(BK86/10,0)+1,
IF($BC86=Lookup!$A$3,($BD86+1)^BJ86,
IF($BC86=Lookup!$A$4,BK86*$BD86+1,"Error")))</f>
        <v>0.875</v>
      </c>
      <c r="BT86" s="249">
        <f>IF($BC86=Lookup!$A$2,$BD86*ROUNDUP(BL86/10,0)+1,
IF($BC86=Lookup!$A$3,($BD86+1)^BK86,
IF($BC86=Lookup!$A$4,BL86*$BD86+1,"Error")))</f>
        <v>0.875</v>
      </c>
      <c r="BU86" s="320"/>
      <c r="BV86" s="321"/>
      <c r="BW86" s="321"/>
      <c r="BX86" s="321"/>
      <c r="BY86" s="321"/>
      <c r="BZ86" s="321"/>
      <c r="CA86" s="321"/>
      <c r="CB86" s="277"/>
      <c r="CC86" s="382" t="s">
        <v>292</v>
      </c>
      <c r="CD86" s="383">
        <f>HLOOKUP($CC86,$AK$6:$AM$132,ROWS(CD$6:CD86),0)</f>
        <v>0</v>
      </c>
      <c r="CE86" s="234">
        <f t="shared" si="122"/>
        <v>0</v>
      </c>
      <c r="CF86" s="96">
        <f t="shared" si="123"/>
        <v>0</v>
      </c>
      <c r="CG86" s="96">
        <f t="shared" si="124"/>
        <v>0</v>
      </c>
      <c r="CH86" s="96">
        <f t="shared" si="125"/>
        <v>0</v>
      </c>
      <c r="CI86" s="96">
        <f t="shared" si="126"/>
        <v>0</v>
      </c>
      <c r="CJ86" s="96">
        <f t="shared" si="127"/>
        <v>0</v>
      </c>
      <c r="CK86" s="96">
        <f t="shared" si="128"/>
        <v>0</v>
      </c>
      <c r="CL86" s="286">
        <f t="shared" si="129"/>
        <v>0</v>
      </c>
      <c r="CM86" s="305" t="s">
        <v>293</v>
      </c>
      <c r="CN86" s="315">
        <v>0.05</v>
      </c>
      <c r="CO86" s="306"/>
      <c r="CP86" s="307" t="str">
        <f>IF($CO86&lt;&gt;"",$CO86,HLOOKUP($CM86,$AY$6:$BA$132,ROWS(CP$6:CP86),0))</f>
        <v/>
      </c>
      <c r="CQ86" s="784" t="str">
        <f t="shared" si="130"/>
        <v/>
      </c>
      <c r="CR86" s="784" t="str">
        <f t="shared" si="131"/>
        <v/>
      </c>
      <c r="CS86" s="97" t="str">
        <f t="shared" si="132"/>
        <v/>
      </c>
      <c r="CT86" s="97" t="str">
        <f t="shared" si="133"/>
        <v/>
      </c>
      <c r="CU86" s="97" t="str">
        <f t="shared" si="134"/>
        <v/>
      </c>
      <c r="CV86" s="97" t="str">
        <f t="shared" si="135"/>
        <v/>
      </c>
      <c r="CW86" s="97" t="str">
        <f t="shared" si="136"/>
        <v/>
      </c>
      <c r="CX86" s="98" t="str">
        <f t="shared" si="137"/>
        <v/>
      </c>
      <c r="CY86" s="392"/>
    </row>
    <row r="87" spans="1:103" x14ac:dyDescent="0.25">
      <c r="A87" s="81" t="s">
        <v>138</v>
      </c>
      <c r="B87" s="82" t="s">
        <v>177</v>
      </c>
      <c r="C87" s="83" t="s">
        <v>377</v>
      </c>
      <c r="D87" s="84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654">
        <f>'2022-23 Input'!E87</f>
        <v>0</v>
      </c>
      <c r="N87" s="1065">
        <v>0</v>
      </c>
      <c r="O87" s="560">
        <f t="shared" si="95"/>
        <v>0</v>
      </c>
      <c r="P87" s="561">
        <f t="shared" si="96"/>
        <v>0</v>
      </c>
      <c r="Q87" s="561">
        <f t="shared" si="97"/>
        <v>0</v>
      </c>
      <c r="R87" s="561">
        <f t="shared" si="98"/>
        <v>0</v>
      </c>
      <c r="S87" s="561">
        <f t="shared" si="99"/>
        <v>0</v>
      </c>
      <c r="T87" s="561">
        <f t="shared" si="100"/>
        <v>0</v>
      </c>
      <c r="U87" s="561">
        <f t="shared" si="101"/>
        <v>0</v>
      </c>
      <c r="V87" s="561">
        <f t="shared" si="102"/>
        <v>0</v>
      </c>
      <c r="W87" s="675">
        <f t="shared" si="103"/>
        <v>0</v>
      </c>
      <c r="X87" s="675">
        <f t="shared" si="104"/>
        <v>0</v>
      </c>
      <c r="Y87" s="675">
        <f t="shared" si="105"/>
        <v>0</v>
      </c>
      <c r="Z87" s="86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87">
        <v>0</v>
      </c>
      <c r="AI87" s="1094">
        <f>'2022-23 Input'!L87</f>
        <v>0</v>
      </c>
      <c r="AJ87" s="665">
        <v>0</v>
      </c>
      <c r="AK87" s="88">
        <f t="shared" si="106"/>
        <v>0</v>
      </c>
      <c r="AL87" s="89">
        <f t="shared" si="107"/>
        <v>0</v>
      </c>
      <c r="AM87" s="90">
        <f t="shared" si="108"/>
        <v>0</v>
      </c>
      <c r="AN87" s="91" t="str">
        <f t="shared" si="109"/>
        <v/>
      </c>
      <c r="AO87" s="92" t="str">
        <f t="shared" si="110"/>
        <v/>
      </c>
      <c r="AP87" s="92" t="str">
        <f t="shared" si="111"/>
        <v/>
      </c>
      <c r="AQ87" s="92" t="str">
        <f t="shared" si="112"/>
        <v/>
      </c>
      <c r="AR87" s="92" t="str">
        <f t="shared" si="113"/>
        <v/>
      </c>
      <c r="AS87" s="92" t="str">
        <f t="shared" si="114"/>
        <v/>
      </c>
      <c r="AT87" s="92" t="str">
        <f t="shared" si="115"/>
        <v/>
      </c>
      <c r="AU87" s="92" t="str">
        <f t="shared" si="116"/>
        <v/>
      </c>
      <c r="AV87" s="92" t="str">
        <f t="shared" ref="AV87:AX102" si="139">IFERROR(L87/AH87,"")</f>
        <v/>
      </c>
      <c r="AW87" s="92" t="str">
        <f t="shared" si="139"/>
        <v/>
      </c>
      <c r="AX87" s="92" t="str">
        <f t="shared" si="139"/>
        <v/>
      </c>
      <c r="AY87" s="93" t="str">
        <f t="shared" si="118"/>
        <v/>
      </c>
      <c r="AZ87" s="94" t="str">
        <f t="shared" si="119"/>
        <v/>
      </c>
      <c r="BA87" s="95" t="str">
        <f t="shared" si="120"/>
        <v/>
      </c>
      <c r="BB87" s="248" t="s">
        <v>422</v>
      </c>
      <c r="BC87" s="229" t="s">
        <v>433</v>
      </c>
      <c r="BD87" s="249">
        <v>-0.125</v>
      </c>
      <c r="BE87" s="267">
        <f t="shared" si="121"/>
        <v>0</v>
      </c>
      <c r="BF87" s="268">
        <f t="shared" ref="BF87:BL96" si="140">IF(BF$6=$BB87,1,
IF(BE87&lt;&gt;0,BE87+1,0
))</f>
        <v>0</v>
      </c>
      <c r="BG87" s="268">
        <f t="shared" si="140"/>
        <v>0</v>
      </c>
      <c r="BH87" s="268">
        <f t="shared" si="140"/>
        <v>1</v>
      </c>
      <c r="BI87" s="268">
        <f t="shared" si="140"/>
        <v>2</v>
      </c>
      <c r="BJ87" s="268">
        <f t="shared" si="140"/>
        <v>3</v>
      </c>
      <c r="BK87" s="268">
        <f t="shared" si="140"/>
        <v>4</v>
      </c>
      <c r="BL87" s="269">
        <f t="shared" si="140"/>
        <v>5</v>
      </c>
      <c r="BM87" s="256">
        <f>IF($BC87=Lookup!$A$2,$BD87*ROUNDUP(BE87/10,0)+1,
IF($BC87=Lookup!$A$3,($BD87+1)^BD87,
IF($BC87=Lookup!$A$4,BE87*$BD87+1,"Error")))</f>
        <v>1</v>
      </c>
      <c r="BN87" s="229">
        <f>IF($BC87=Lookup!$A$2,$BD87*ROUNDUP(BF87/10,0)+1,
IF($BC87=Lookup!$A$3,($BD87+1)^BE87,
IF($BC87=Lookup!$A$4,BF87*$BD87+1,"Error")))</f>
        <v>1</v>
      </c>
      <c r="BO87" s="229">
        <f>IF($BC87=Lookup!$A$2,$BD87*ROUNDUP(BG87/10,0)+1,
IF($BC87=Lookup!$A$3,($BD87+1)^BF87,
IF($BC87=Lookup!$A$4,BG87*$BD87+1,"Error")))</f>
        <v>1</v>
      </c>
      <c r="BP87" s="229">
        <f>IF($BC87=Lookup!$A$2,$BD87*ROUNDUP(BH87/10,0)+1,
IF($BC87=Lookup!$A$3,($BD87+1)^BG87,
IF($BC87=Lookup!$A$4,BH87*$BD87+1,"Error")))</f>
        <v>0.875</v>
      </c>
      <c r="BQ87" s="229">
        <f>IF($BC87=Lookup!$A$2,$BD87*ROUNDUP(BI87/10,0)+1,
IF($BC87=Lookup!$A$3,($BD87+1)^BH87,
IF($BC87=Lookup!$A$4,BI87*$BD87+1,"Error")))</f>
        <v>0.875</v>
      </c>
      <c r="BR87" s="229">
        <f>IF($BC87=Lookup!$A$2,$BD87*ROUNDUP(BJ87/10,0)+1,
IF($BC87=Lookup!$A$3,($BD87+1)^BI87,
IF($BC87=Lookup!$A$4,BJ87*$BD87+1,"Error")))</f>
        <v>0.875</v>
      </c>
      <c r="BS87" s="229">
        <f>IF($BC87=Lookup!$A$2,$BD87*ROUNDUP(BK87/10,0)+1,
IF($BC87=Lookup!$A$3,($BD87+1)^BJ87,
IF($BC87=Lookup!$A$4,BK87*$BD87+1,"Error")))</f>
        <v>0.875</v>
      </c>
      <c r="BT87" s="249">
        <f>IF($BC87=Lookup!$A$2,$BD87*ROUNDUP(BL87/10,0)+1,
IF($BC87=Lookup!$A$3,($BD87+1)^BK87,
IF($BC87=Lookup!$A$4,BL87*$BD87+1,"Error")))</f>
        <v>0.875</v>
      </c>
      <c r="BU87" s="320"/>
      <c r="BV87" s="321"/>
      <c r="BW87" s="321"/>
      <c r="BX87" s="321"/>
      <c r="BY87" s="321"/>
      <c r="BZ87" s="321"/>
      <c r="CA87" s="321"/>
      <c r="CB87" s="277"/>
      <c r="CC87" s="382" t="s">
        <v>292</v>
      </c>
      <c r="CD87" s="383">
        <f>HLOOKUP($CC87,$AK$6:$AM$132,ROWS(CD$6:CD87),0)</f>
        <v>0</v>
      </c>
      <c r="CE87" s="234">
        <f t="shared" si="122"/>
        <v>0</v>
      </c>
      <c r="CF87" s="96">
        <f t="shared" si="123"/>
        <v>0</v>
      </c>
      <c r="CG87" s="96">
        <f t="shared" si="124"/>
        <v>0</v>
      </c>
      <c r="CH87" s="96">
        <f t="shared" si="125"/>
        <v>0</v>
      </c>
      <c r="CI87" s="96">
        <f t="shared" si="126"/>
        <v>0</v>
      </c>
      <c r="CJ87" s="96">
        <f t="shared" si="127"/>
        <v>0</v>
      </c>
      <c r="CK87" s="96">
        <f t="shared" si="128"/>
        <v>0</v>
      </c>
      <c r="CL87" s="286">
        <f t="shared" si="129"/>
        <v>0</v>
      </c>
      <c r="CM87" s="305" t="s">
        <v>293</v>
      </c>
      <c r="CN87" s="315">
        <v>0.05</v>
      </c>
      <c r="CO87" s="306"/>
      <c r="CP87" s="307" t="str">
        <f>IF($CO87&lt;&gt;"",$CO87,HLOOKUP($CM87,$AY$6:$BA$132,ROWS(CP$6:CP87),0))</f>
        <v/>
      </c>
      <c r="CQ87" s="784" t="str">
        <f t="shared" si="130"/>
        <v/>
      </c>
      <c r="CR87" s="784" t="str">
        <f t="shared" si="131"/>
        <v/>
      </c>
      <c r="CS87" s="97" t="str">
        <f t="shared" si="132"/>
        <v/>
      </c>
      <c r="CT87" s="97" t="str">
        <f t="shared" si="133"/>
        <v/>
      </c>
      <c r="CU87" s="97" t="str">
        <f t="shared" si="134"/>
        <v/>
      </c>
      <c r="CV87" s="97" t="str">
        <f t="shared" si="135"/>
        <v/>
      </c>
      <c r="CW87" s="97" t="str">
        <f t="shared" si="136"/>
        <v/>
      </c>
      <c r="CX87" s="98" t="str">
        <f t="shared" si="137"/>
        <v/>
      </c>
      <c r="CY87" s="392"/>
    </row>
    <row r="88" spans="1:103" x14ac:dyDescent="0.25">
      <c r="A88" s="81" t="s">
        <v>138</v>
      </c>
      <c r="B88" s="82" t="s">
        <v>179</v>
      </c>
      <c r="C88" s="83" t="s">
        <v>378</v>
      </c>
      <c r="D88" s="84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654">
        <f>'2022-23 Input'!E88</f>
        <v>0</v>
      </c>
      <c r="N88" s="1065">
        <v>0</v>
      </c>
      <c r="O88" s="560">
        <f t="shared" si="95"/>
        <v>0</v>
      </c>
      <c r="P88" s="561">
        <f t="shared" si="96"/>
        <v>0</v>
      </c>
      <c r="Q88" s="561">
        <f t="shared" si="97"/>
        <v>0</v>
      </c>
      <c r="R88" s="561">
        <f t="shared" si="98"/>
        <v>0</v>
      </c>
      <c r="S88" s="561">
        <f t="shared" si="99"/>
        <v>0</v>
      </c>
      <c r="T88" s="561">
        <f t="shared" si="100"/>
        <v>0</v>
      </c>
      <c r="U88" s="561">
        <f t="shared" si="101"/>
        <v>0</v>
      </c>
      <c r="V88" s="561">
        <f t="shared" si="102"/>
        <v>0</v>
      </c>
      <c r="W88" s="675">
        <f t="shared" si="103"/>
        <v>0</v>
      </c>
      <c r="X88" s="675">
        <f t="shared" si="104"/>
        <v>0</v>
      </c>
      <c r="Y88" s="675">
        <f t="shared" si="105"/>
        <v>0</v>
      </c>
      <c r="Z88" s="86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87">
        <v>0</v>
      </c>
      <c r="AI88" s="1094">
        <f>'2022-23 Input'!L88</f>
        <v>0</v>
      </c>
      <c r="AJ88" s="665">
        <v>0</v>
      </c>
      <c r="AK88" s="88">
        <f t="shared" si="106"/>
        <v>0</v>
      </c>
      <c r="AL88" s="89">
        <f t="shared" si="107"/>
        <v>0</v>
      </c>
      <c r="AM88" s="90">
        <f t="shared" si="108"/>
        <v>0</v>
      </c>
      <c r="AN88" s="91" t="str">
        <f t="shared" si="109"/>
        <v/>
      </c>
      <c r="AO88" s="92" t="str">
        <f t="shared" si="110"/>
        <v/>
      </c>
      <c r="AP88" s="92" t="str">
        <f t="shared" si="111"/>
        <v/>
      </c>
      <c r="AQ88" s="92" t="str">
        <f t="shared" si="112"/>
        <v/>
      </c>
      <c r="AR88" s="92" t="str">
        <f t="shared" si="113"/>
        <v/>
      </c>
      <c r="AS88" s="92" t="str">
        <f t="shared" si="114"/>
        <v/>
      </c>
      <c r="AT88" s="92" t="str">
        <f t="shared" si="115"/>
        <v/>
      </c>
      <c r="AU88" s="92" t="str">
        <f t="shared" si="116"/>
        <v/>
      </c>
      <c r="AV88" s="92" t="str">
        <f t="shared" si="139"/>
        <v/>
      </c>
      <c r="AW88" s="92" t="str">
        <f t="shared" si="139"/>
        <v/>
      </c>
      <c r="AX88" s="92" t="str">
        <f t="shared" si="139"/>
        <v/>
      </c>
      <c r="AY88" s="93" t="str">
        <f t="shared" si="118"/>
        <v/>
      </c>
      <c r="AZ88" s="94" t="str">
        <f t="shared" si="119"/>
        <v/>
      </c>
      <c r="BA88" s="95" t="str">
        <f t="shared" si="120"/>
        <v/>
      </c>
      <c r="BB88" s="248" t="s">
        <v>422</v>
      </c>
      <c r="BC88" s="229" t="s">
        <v>433</v>
      </c>
      <c r="BD88" s="249">
        <v>-0.125</v>
      </c>
      <c r="BE88" s="267">
        <f t="shared" si="121"/>
        <v>0</v>
      </c>
      <c r="BF88" s="268">
        <f t="shared" si="140"/>
        <v>0</v>
      </c>
      <c r="BG88" s="268">
        <f t="shared" si="140"/>
        <v>0</v>
      </c>
      <c r="BH88" s="268">
        <f t="shared" si="140"/>
        <v>1</v>
      </c>
      <c r="BI88" s="268">
        <f t="shared" si="140"/>
        <v>2</v>
      </c>
      <c r="BJ88" s="268">
        <f t="shared" si="140"/>
        <v>3</v>
      </c>
      <c r="BK88" s="268">
        <f t="shared" si="140"/>
        <v>4</v>
      </c>
      <c r="BL88" s="269">
        <f t="shared" si="140"/>
        <v>5</v>
      </c>
      <c r="BM88" s="256">
        <f>IF($BC88=Lookup!$A$2,$BD88*ROUNDUP(BE88/10,0)+1,
IF($BC88=Lookup!$A$3,($BD88+1)^BD88,
IF($BC88=Lookup!$A$4,BE88*$BD88+1,"Error")))</f>
        <v>1</v>
      </c>
      <c r="BN88" s="229">
        <f>IF($BC88=Lookup!$A$2,$BD88*ROUNDUP(BF88/10,0)+1,
IF($BC88=Lookup!$A$3,($BD88+1)^BE88,
IF($BC88=Lookup!$A$4,BF88*$BD88+1,"Error")))</f>
        <v>1</v>
      </c>
      <c r="BO88" s="229">
        <f>IF($BC88=Lookup!$A$2,$BD88*ROUNDUP(BG88/10,0)+1,
IF($BC88=Lookup!$A$3,($BD88+1)^BF88,
IF($BC88=Lookup!$A$4,BG88*$BD88+1,"Error")))</f>
        <v>1</v>
      </c>
      <c r="BP88" s="229">
        <f>IF($BC88=Lookup!$A$2,$BD88*ROUNDUP(BH88/10,0)+1,
IF($BC88=Lookup!$A$3,($BD88+1)^BG88,
IF($BC88=Lookup!$A$4,BH88*$BD88+1,"Error")))</f>
        <v>0.875</v>
      </c>
      <c r="BQ88" s="229">
        <f>IF($BC88=Lookup!$A$2,$BD88*ROUNDUP(BI88/10,0)+1,
IF($BC88=Lookup!$A$3,($BD88+1)^BH88,
IF($BC88=Lookup!$A$4,BI88*$BD88+1,"Error")))</f>
        <v>0.875</v>
      </c>
      <c r="BR88" s="229">
        <f>IF($BC88=Lookup!$A$2,$BD88*ROUNDUP(BJ88/10,0)+1,
IF($BC88=Lookup!$A$3,($BD88+1)^BI88,
IF($BC88=Lookup!$A$4,BJ88*$BD88+1,"Error")))</f>
        <v>0.875</v>
      </c>
      <c r="BS88" s="229">
        <f>IF($BC88=Lookup!$A$2,$BD88*ROUNDUP(BK88/10,0)+1,
IF($BC88=Lookup!$A$3,($BD88+1)^BJ88,
IF($BC88=Lookup!$A$4,BK88*$BD88+1,"Error")))</f>
        <v>0.875</v>
      </c>
      <c r="BT88" s="249">
        <f>IF($BC88=Lookup!$A$2,$BD88*ROUNDUP(BL88/10,0)+1,
IF($BC88=Lookup!$A$3,($BD88+1)^BK88,
IF($BC88=Lookup!$A$4,BL88*$BD88+1,"Error")))</f>
        <v>0.875</v>
      </c>
      <c r="BU88" s="320"/>
      <c r="BV88" s="321"/>
      <c r="BW88" s="321"/>
      <c r="BX88" s="321"/>
      <c r="BY88" s="321"/>
      <c r="BZ88" s="321"/>
      <c r="CA88" s="321"/>
      <c r="CB88" s="277"/>
      <c r="CC88" s="382" t="s">
        <v>292</v>
      </c>
      <c r="CD88" s="383">
        <f>HLOOKUP($CC88,$AK$6:$AM$132,ROWS(CD$6:CD88),0)</f>
        <v>0</v>
      </c>
      <c r="CE88" s="234">
        <f t="shared" si="122"/>
        <v>0</v>
      </c>
      <c r="CF88" s="96">
        <f t="shared" si="123"/>
        <v>0</v>
      </c>
      <c r="CG88" s="96">
        <f t="shared" si="124"/>
        <v>0</v>
      </c>
      <c r="CH88" s="96">
        <f t="shared" si="125"/>
        <v>0</v>
      </c>
      <c r="CI88" s="96">
        <f t="shared" si="126"/>
        <v>0</v>
      </c>
      <c r="CJ88" s="96">
        <f t="shared" si="127"/>
        <v>0</v>
      </c>
      <c r="CK88" s="96">
        <f t="shared" si="128"/>
        <v>0</v>
      </c>
      <c r="CL88" s="286">
        <f t="shared" si="129"/>
        <v>0</v>
      </c>
      <c r="CM88" s="305" t="s">
        <v>293</v>
      </c>
      <c r="CN88" s="315">
        <v>0.05</v>
      </c>
      <c r="CO88" s="306"/>
      <c r="CP88" s="307" t="str">
        <f>IF($CO88&lt;&gt;"",$CO88,HLOOKUP($CM88,$AY$6:$BA$132,ROWS(CP$6:CP88),0))</f>
        <v/>
      </c>
      <c r="CQ88" s="784" t="str">
        <f t="shared" si="130"/>
        <v/>
      </c>
      <c r="CR88" s="784" t="str">
        <f t="shared" si="131"/>
        <v/>
      </c>
      <c r="CS88" s="97" t="str">
        <f t="shared" si="132"/>
        <v/>
      </c>
      <c r="CT88" s="97" t="str">
        <f t="shared" si="133"/>
        <v/>
      </c>
      <c r="CU88" s="97" t="str">
        <f t="shared" si="134"/>
        <v/>
      </c>
      <c r="CV88" s="97" t="str">
        <f t="shared" si="135"/>
        <v/>
      </c>
      <c r="CW88" s="97" t="str">
        <f t="shared" si="136"/>
        <v/>
      </c>
      <c r="CX88" s="98" t="str">
        <f t="shared" si="137"/>
        <v/>
      </c>
      <c r="CY88" s="392"/>
    </row>
    <row r="89" spans="1:103" x14ac:dyDescent="0.25">
      <c r="A89" s="81" t="s">
        <v>138</v>
      </c>
      <c r="B89" s="82" t="s">
        <v>181</v>
      </c>
      <c r="C89" s="83" t="s">
        <v>379</v>
      </c>
      <c r="D89" s="84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654">
        <f>'2022-23 Input'!E89</f>
        <v>0</v>
      </c>
      <c r="N89" s="1065">
        <v>0</v>
      </c>
      <c r="O89" s="560">
        <f t="shared" si="95"/>
        <v>0</v>
      </c>
      <c r="P89" s="561">
        <f t="shared" si="96"/>
        <v>0</v>
      </c>
      <c r="Q89" s="561">
        <f t="shared" si="97"/>
        <v>0</v>
      </c>
      <c r="R89" s="561">
        <f t="shared" si="98"/>
        <v>0</v>
      </c>
      <c r="S89" s="561">
        <f t="shared" si="99"/>
        <v>0</v>
      </c>
      <c r="T89" s="561">
        <f t="shared" si="100"/>
        <v>0</v>
      </c>
      <c r="U89" s="561">
        <f t="shared" si="101"/>
        <v>0</v>
      </c>
      <c r="V89" s="561">
        <f t="shared" si="102"/>
        <v>0</v>
      </c>
      <c r="W89" s="675">
        <f t="shared" si="103"/>
        <v>0</v>
      </c>
      <c r="X89" s="675">
        <f t="shared" si="104"/>
        <v>0</v>
      </c>
      <c r="Y89" s="675">
        <f t="shared" si="105"/>
        <v>0</v>
      </c>
      <c r="Z89" s="86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0</v>
      </c>
      <c r="AF89" s="87">
        <v>0</v>
      </c>
      <c r="AG89" s="87">
        <v>0</v>
      </c>
      <c r="AH89" s="87">
        <v>0</v>
      </c>
      <c r="AI89" s="1094">
        <f>'2022-23 Input'!L89</f>
        <v>0</v>
      </c>
      <c r="AJ89" s="665">
        <v>0</v>
      </c>
      <c r="AK89" s="88">
        <f t="shared" si="106"/>
        <v>0</v>
      </c>
      <c r="AL89" s="89">
        <f t="shared" si="107"/>
        <v>0</v>
      </c>
      <c r="AM89" s="90">
        <f t="shared" si="108"/>
        <v>0</v>
      </c>
      <c r="AN89" s="91" t="str">
        <f t="shared" si="109"/>
        <v/>
      </c>
      <c r="AO89" s="92" t="str">
        <f t="shared" si="110"/>
        <v/>
      </c>
      <c r="AP89" s="92" t="str">
        <f t="shared" si="111"/>
        <v/>
      </c>
      <c r="AQ89" s="92" t="str">
        <f t="shared" si="112"/>
        <v/>
      </c>
      <c r="AR89" s="92" t="str">
        <f t="shared" si="113"/>
        <v/>
      </c>
      <c r="AS89" s="92" t="str">
        <f t="shared" si="114"/>
        <v/>
      </c>
      <c r="AT89" s="92" t="str">
        <f t="shared" si="115"/>
        <v/>
      </c>
      <c r="AU89" s="92" t="str">
        <f t="shared" si="116"/>
        <v/>
      </c>
      <c r="AV89" s="92" t="str">
        <f t="shared" si="139"/>
        <v/>
      </c>
      <c r="AW89" s="92" t="str">
        <f t="shared" si="139"/>
        <v/>
      </c>
      <c r="AX89" s="92" t="str">
        <f t="shared" si="139"/>
        <v/>
      </c>
      <c r="AY89" s="93" t="str">
        <f t="shared" si="118"/>
        <v/>
      </c>
      <c r="AZ89" s="94" t="str">
        <f t="shared" si="119"/>
        <v/>
      </c>
      <c r="BA89" s="95" t="str">
        <f t="shared" si="120"/>
        <v/>
      </c>
      <c r="BB89" s="248" t="s">
        <v>422</v>
      </c>
      <c r="BC89" s="229" t="s">
        <v>433</v>
      </c>
      <c r="BD89" s="249">
        <v>-0.125</v>
      </c>
      <c r="BE89" s="267">
        <f t="shared" si="121"/>
        <v>0</v>
      </c>
      <c r="BF89" s="268">
        <f t="shared" si="140"/>
        <v>0</v>
      </c>
      <c r="BG89" s="268">
        <f t="shared" si="140"/>
        <v>0</v>
      </c>
      <c r="BH89" s="268">
        <f t="shared" si="140"/>
        <v>1</v>
      </c>
      <c r="BI89" s="268">
        <f t="shared" si="140"/>
        <v>2</v>
      </c>
      <c r="BJ89" s="268">
        <f t="shared" si="140"/>
        <v>3</v>
      </c>
      <c r="BK89" s="268">
        <f t="shared" si="140"/>
        <v>4</v>
      </c>
      <c r="BL89" s="269">
        <f t="shared" si="140"/>
        <v>5</v>
      </c>
      <c r="BM89" s="256">
        <f>IF($BC89=Lookup!$A$2,$BD89*ROUNDUP(BE89/10,0)+1,
IF($BC89=Lookup!$A$3,($BD89+1)^BD89,
IF($BC89=Lookup!$A$4,BE89*$BD89+1,"Error")))</f>
        <v>1</v>
      </c>
      <c r="BN89" s="229">
        <f>IF($BC89=Lookup!$A$2,$BD89*ROUNDUP(BF89/10,0)+1,
IF($BC89=Lookup!$A$3,($BD89+1)^BE89,
IF($BC89=Lookup!$A$4,BF89*$BD89+1,"Error")))</f>
        <v>1</v>
      </c>
      <c r="BO89" s="229">
        <f>IF($BC89=Lookup!$A$2,$BD89*ROUNDUP(BG89/10,0)+1,
IF($BC89=Lookup!$A$3,($BD89+1)^BF89,
IF($BC89=Lookup!$A$4,BG89*$BD89+1,"Error")))</f>
        <v>1</v>
      </c>
      <c r="BP89" s="229">
        <f>IF($BC89=Lookup!$A$2,$BD89*ROUNDUP(BH89/10,0)+1,
IF($BC89=Lookup!$A$3,($BD89+1)^BG89,
IF($BC89=Lookup!$A$4,BH89*$BD89+1,"Error")))</f>
        <v>0.875</v>
      </c>
      <c r="BQ89" s="229">
        <f>IF($BC89=Lookup!$A$2,$BD89*ROUNDUP(BI89/10,0)+1,
IF($BC89=Lookup!$A$3,($BD89+1)^BH89,
IF($BC89=Lookup!$A$4,BI89*$BD89+1,"Error")))</f>
        <v>0.875</v>
      </c>
      <c r="BR89" s="229">
        <f>IF($BC89=Lookup!$A$2,$BD89*ROUNDUP(BJ89/10,0)+1,
IF($BC89=Lookup!$A$3,($BD89+1)^BI89,
IF($BC89=Lookup!$A$4,BJ89*$BD89+1,"Error")))</f>
        <v>0.875</v>
      </c>
      <c r="BS89" s="229">
        <f>IF($BC89=Lookup!$A$2,$BD89*ROUNDUP(BK89/10,0)+1,
IF($BC89=Lookup!$A$3,($BD89+1)^BJ89,
IF($BC89=Lookup!$A$4,BK89*$BD89+1,"Error")))</f>
        <v>0.875</v>
      </c>
      <c r="BT89" s="249">
        <f>IF($BC89=Lookup!$A$2,$BD89*ROUNDUP(BL89/10,0)+1,
IF($BC89=Lookup!$A$3,($BD89+1)^BK89,
IF($BC89=Lookup!$A$4,BL89*$BD89+1,"Error")))</f>
        <v>0.875</v>
      </c>
      <c r="BU89" s="320"/>
      <c r="BV89" s="321"/>
      <c r="BW89" s="321"/>
      <c r="BX89" s="321"/>
      <c r="BY89" s="321"/>
      <c r="BZ89" s="321"/>
      <c r="CA89" s="321"/>
      <c r="CB89" s="277"/>
      <c r="CC89" s="382" t="s">
        <v>292</v>
      </c>
      <c r="CD89" s="383">
        <f>HLOOKUP($CC89,$AK$6:$AM$132,ROWS(CD$6:CD89),0)</f>
        <v>0</v>
      </c>
      <c r="CE89" s="234">
        <f t="shared" si="122"/>
        <v>0</v>
      </c>
      <c r="CF89" s="96">
        <f t="shared" si="123"/>
        <v>0</v>
      </c>
      <c r="CG89" s="96">
        <f t="shared" si="124"/>
        <v>0</v>
      </c>
      <c r="CH89" s="96">
        <f t="shared" si="125"/>
        <v>0</v>
      </c>
      <c r="CI89" s="96">
        <f t="shared" si="126"/>
        <v>0</v>
      </c>
      <c r="CJ89" s="96">
        <f t="shared" si="127"/>
        <v>0</v>
      </c>
      <c r="CK89" s="96">
        <f t="shared" si="128"/>
        <v>0</v>
      </c>
      <c r="CL89" s="286">
        <f t="shared" si="129"/>
        <v>0</v>
      </c>
      <c r="CM89" s="305" t="s">
        <v>293</v>
      </c>
      <c r="CN89" s="315">
        <v>0.05</v>
      </c>
      <c r="CO89" s="306"/>
      <c r="CP89" s="307" t="str">
        <f>IF($CO89&lt;&gt;"",$CO89,HLOOKUP($CM89,$AY$6:$BA$132,ROWS(CP$6:CP89),0))</f>
        <v/>
      </c>
      <c r="CQ89" s="784" t="str">
        <f t="shared" si="130"/>
        <v/>
      </c>
      <c r="CR89" s="784" t="str">
        <f t="shared" si="131"/>
        <v/>
      </c>
      <c r="CS89" s="97" t="str">
        <f t="shared" si="132"/>
        <v/>
      </c>
      <c r="CT89" s="97" t="str">
        <f t="shared" si="133"/>
        <v/>
      </c>
      <c r="CU89" s="97" t="str">
        <f t="shared" si="134"/>
        <v/>
      </c>
      <c r="CV89" s="97" t="str">
        <f t="shared" si="135"/>
        <v/>
      </c>
      <c r="CW89" s="97" t="str">
        <f t="shared" si="136"/>
        <v/>
      </c>
      <c r="CX89" s="98" t="str">
        <f t="shared" si="137"/>
        <v/>
      </c>
      <c r="CY89" s="392"/>
    </row>
    <row r="90" spans="1:103" x14ac:dyDescent="0.25">
      <c r="A90" s="81" t="s">
        <v>138</v>
      </c>
      <c r="B90" s="82" t="s">
        <v>183</v>
      </c>
      <c r="C90" s="83" t="s">
        <v>380</v>
      </c>
      <c r="D90" s="84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654">
        <f>'2022-23 Input'!E90</f>
        <v>0</v>
      </c>
      <c r="N90" s="1065">
        <v>0</v>
      </c>
      <c r="O90" s="560">
        <f t="shared" si="95"/>
        <v>0</v>
      </c>
      <c r="P90" s="561">
        <f t="shared" si="96"/>
        <v>0</v>
      </c>
      <c r="Q90" s="561">
        <f t="shared" si="97"/>
        <v>0</v>
      </c>
      <c r="R90" s="561">
        <f t="shared" si="98"/>
        <v>0</v>
      </c>
      <c r="S90" s="561">
        <f t="shared" si="99"/>
        <v>0</v>
      </c>
      <c r="T90" s="561">
        <f t="shared" si="100"/>
        <v>0</v>
      </c>
      <c r="U90" s="561">
        <f t="shared" si="101"/>
        <v>0</v>
      </c>
      <c r="V90" s="561">
        <f t="shared" si="102"/>
        <v>0</v>
      </c>
      <c r="W90" s="675">
        <f t="shared" si="103"/>
        <v>0</v>
      </c>
      <c r="X90" s="675">
        <f t="shared" si="104"/>
        <v>0</v>
      </c>
      <c r="Y90" s="675">
        <f t="shared" si="105"/>
        <v>0</v>
      </c>
      <c r="Z90" s="86">
        <v>0</v>
      </c>
      <c r="AA90" s="87">
        <v>0</v>
      </c>
      <c r="AB90" s="87">
        <v>0</v>
      </c>
      <c r="AC90" s="87">
        <v>0</v>
      </c>
      <c r="AD90" s="87">
        <v>0</v>
      </c>
      <c r="AE90" s="87">
        <v>0</v>
      </c>
      <c r="AF90" s="87">
        <v>0</v>
      </c>
      <c r="AG90" s="87">
        <v>0</v>
      </c>
      <c r="AH90" s="87">
        <v>0</v>
      </c>
      <c r="AI90" s="1094">
        <f>'2022-23 Input'!L90</f>
        <v>0</v>
      </c>
      <c r="AJ90" s="665">
        <v>0</v>
      </c>
      <c r="AK90" s="88">
        <f t="shared" si="106"/>
        <v>0</v>
      </c>
      <c r="AL90" s="89">
        <f t="shared" si="107"/>
        <v>0</v>
      </c>
      <c r="AM90" s="90">
        <f t="shared" si="108"/>
        <v>0</v>
      </c>
      <c r="AN90" s="91" t="str">
        <f t="shared" si="109"/>
        <v/>
      </c>
      <c r="AO90" s="92" t="str">
        <f t="shared" si="110"/>
        <v/>
      </c>
      <c r="AP90" s="92" t="str">
        <f t="shared" si="111"/>
        <v/>
      </c>
      <c r="AQ90" s="92" t="str">
        <f t="shared" si="112"/>
        <v/>
      </c>
      <c r="AR90" s="92" t="str">
        <f t="shared" si="113"/>
        <v/>
      </c>
      <c r="AS90" s="92" t="str">
        <f t="shared" si="114"/>
        <v/>
      </c>
      <c r="AT90" s="92" t="str">
        <f t="shared" si="115"/>
        <v/>
      </c>
      <c r="AU90" s="92" t="str">
        <f t="shared" si="116"/>
        <v/>
      </c>
      <c r="AV90" s="92" t="str">
        <f t="shared" si="139"/>
        <v/>
      </c>
      <c r="AW90" s="92" t="str">
        <f t="shared" si="139"/>
        <v/>
      </c>
      <c r="AX90" s="92" t="str">
        <f t="shared" si="139"/>
        <v/>
      </c>
      <c r="AY90" s="93" t="str">
        <f t="shared" si="118"/>
        <v/>
      </c>
      <c r="AZ90" s="94" t="str">
        <f t="shared" si="119"/>
        <v/>
      </c>
      <c r="BA90" s="95" t="str">
        <f t="shared" si="120"/>
        <v/>
      </c>
      <c r="BB90" s="248" t="s">
        <v>422</v>
      </c>
      <c r="BC90" s="229" t="s">
        <v>433</v>
      </c>
      <c r="BD90" s="249">
        <v>-0.125</v>
      </c>
      <c r="BE90" s="267">
        <f t="shared" si="121"/>
        <v>0</v>
      </c>
      <c r="BF90" s="268">
        <f t="shared" si="140"/>
        <v>0</v>
      </c>
      <c r="BG90" s="268">
        <f t="shared" si="140"/>
        <v>0</v>
      </c>
      <c r="BH90" s="268">
        <f t="shared" si="140"/>
        <v>1</v>
      </c>
      <c r="BI90" s="268">
        <f t="shared" si="140"/>
        <v>2</v>
      </c>
      <c r="BJ90" s="268">
        <f t="shared" si="140"/>
        <v>3</v>
      </c>
      <c r="BK90" s="268">
        <f t="shared" si="140"/>
        <v>4</v>
      </c>
      <c r="BL90" s="269">
        <f t="shared" si="140"/>
        <v>5</v>
      </c>
      <c r="BM90" s="256">
        <f>IF($BC90=Lookup!$A$2,$BD90*ROUNDUP(BE90/10,0)+1,
IF($BC90=Lookup!$A$3,($BD90+1)^BD90,
IF($BC90=Lookup!$A$4,BE90*$BD90+1,"Error")))</f>
        <v>1</v>
      </c>
      <c r="BN90" s="229">
        <f>IF($BC90=Lookup!$A$2,$BD90*ROUNDUP(BF90/10,0)+1,
IF($BC90=Lookup!$A$3,($BD90+1)^BE90,
IF($BC90=Lookup!$A$4,BF90*$BD90+1,"Error")))</f>
        <v>1</v>
      </c>
      <c r="BO90" s="229">
        <f>IF($BC90=Lookup!$A$2,$BD90*ROUNDUP(BG90/10,0)+1,
IF($BC90=Lookup!$A$3,($BD90+1)^BF90,
IF($BC90=Lookup!$A$4,BG90*$BD90+1,"Error")))</f>
        <v>1</v>
      </c>
      <c r="BP90" s="229">
        <f>IF($BC90=Lookup!$A$2,$BD90*ROUNDUP(BH90/10,0)+1,
IF($BC90=Lookup!$A$3,($BD90+1)^BG90,
IF($BC90=Lookup!$A$4,BH90*$BD90+1,"Error")))</f>
        <v>0.875</v>
      </c>
      <c r="BQ90" s="229">
        <f>IF($BC90=Lookup!$A$2,$BD90*ROUNDUP(BI90/10,0)+1,
IF($BC90=Lookup!$A$3,($BD90+1)^BH90,
IF($BC90=Lookup!$A$4,BI90*$BD90+1,"Error")))</f>
        <v>0.875</v>
      </c>
      <c r="BR90" s="229">
        <f>IF($BC90=Lookup!$A$2,$BD90*ROUNDUP(BJ90/10,0)+1,
IF($BC90=Lookup!$A$3,($BD90+1)^BI90,
IF($BC90=Lookup!$A$4,BJ90*$BD90+1,"Error")))</f>
        <v>0.875</v>
      </c>
      <c r="BS90" s="229">
        <f>IF($BC90=Lookup!$A$2,$BD90*ROUNDUP(BK90/10,0)+1,
IF($BC90=Lookup!$A$3,($BD90+1)^BJ90,
IF($BC90=Lookup!$A$4,BK90*$BD90+1,"Error")))</f>
        <v>0.875</v>
      </c>
      <c r="BT90" s="249">
        <f>IF($BC90=Lookup!$A$2,$BD90*ROUNDUP(BL90/10,0)+1,
IF($BC90=Lookup!$A$3,($BD90+1)^BK90,
IF($BC90=Lookup!$A$4,BL90*$BD90+1,"Error")))</f>
        <v>0.875</v>
      </c>
      <c r="BU90" s="320"/>
      <c r="BV90" s="321"/>
      <c r="BW90" s="321"/>
      <c r="BX90" s="321"/>
      <c r="BY90" s="321"/>
      <c r="BZ90" s="321"/>
      <c r="CA90" s="321"/>
      <c r="CB90" s="277"/>
      <c r="CC90" s="382" t="s">
        <v>292</v>
      </c>
      <c r="CD90" s="383">
        <f>HLOOKUP($CC90,$AK$6:$AM$132,ROWS(CD$6:CD90),0)</f>
        <v>0</v>
      </c>
      <c r="CE90" s="234">
        <f t="shared" si="122"/>
        <v>0</v>
      </c>
      <c r="CF90" s="96">
        <f t="shared" si="123"/>
        <v>0</v>
      </c>
      <c r="CG90" s="96">
        <f t="shared" si="124"/>
        <v>0</v>
      </c>
      <c r="CH90" s="96">
        <f t="shared" si="125"/>
        <v>0</v>
      </c>
      <c r="CI90" s="96">
        <f t="shared" si="126"/>
        <v>0</v>
      </c>
      <c r="CJ90" s="96">
        <f t="shared" si="127"/>
        <v>0</v>
      </c>
      <c r="CK90" s="96">
        <f t="shared" si="128"/>
        <v>0</v>
      </c>
      <c r="CL90" s="286">
        <f t="shared" si="129"/>
        <v>0</v>
      </c>
      <c r="CM90" s="305" t="s">
        <v>293</v>
      </c>
      <c r="CN90" s="315">
        <v>0.05</v>
      </c>
      <c r="CO90" s="306"/>
      <c r="CP90" s="307" t="str">
        <f>IF($CO90&lt;&gt;"",$CO90,HLOOKUP($CM90,$AY$6:$BA$132,ROWS(CP$6:CP90),0))</f>
        <v/>
      </c>
      <c r="CQ90" s="784" t="str">
        <f t="shared" si="130"/>
        <v/>
      </c>
      <c r="CR90" s="784" t="str">
        <f t="shared" si="131"/>
        <v/>
      </c>
      <c r="CS90" s="97" t="str">
        <f t="shared" si="132"/>
        <v/>
      </c>
      <c r="CT90" s="97" t="str">
        <f t="shared" si="133"/>
        <v/>
      </c>
      <c r="CU90" s="97" t="str">
        <f t="shared" si="134"/>
        <v/>
      </c>
      <c r="CV90" s="97" t="str">
        <f t="shared" si="135"/>
        <v/>
      </c>
      <c r="CW90" s="97" t="str">
        <f t="shared" si="136"/>
        <v/>
      </c>
      <c r="CX90" s="98" t="str">
        <f t="shared" si="137"/>
        <v/>
      </c>
      <c r="CY90" s="392"/>
    </row>
    <row r="91" spans="1:103" x14ac:dyDescent="0.25">
      <c r="A91" s="81" t="s">
        <v>138</v>
      </c>
      <c r="B91" s="82" t="s">
        <v>185</v>
      </c>
      <c r="C91" s="83" t="s">
        <v>381</v>
      </c>
      <c r="D91" s="84">
        <v>0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654">
        <f>'2022-23 Input'!E91</f>
        <v>0</v>
      </c>
      <c r="N91" s="1065">
        <v>0</v>
      </c>
      <c r="O91" s="560">
        <f t="shared" si="95"/>
        <v>0</v>
      </c>
      <c r="P91" s="561">
        <f t="shared" si="96"/>
        <v>0</v>
      </c>
      <c r="Q91" s="561">
        <f t="shared" si="97"/>
        <v>0</v>
      </c>
      <c r="R91" s="561">
        <f t="shared" si="98"/>
        <v>0</v>
      </c>
      <c r="S91" s="561">
        <f t="shared" si="99"/>
        <v>0</v>
      </c>
      <c r="T91" s="561">
        <f t="shared" si="100"/>
        <v>0</v>
      </c>
      <c r="U91" s="561">
        <f t="shared" si="101"/>
        <v>0</v>
      </c>
      <c r="V91" s="561">
        <f t="shared" si="102"/>
        <v>0</v>
      </c>
      <c r="W91" s="675">
        <f t="shared" si="103"/>
        <v>0</v>
      </c>
      <c r="X91" s="675">
        <f t="shared" si="104"/>
        <v>0</v>
      </c>
      <c r="Y91" s="675">
        <f t="shared" si="105"/>
        <v>0</v>
      </c>
      <c r="Z91" s="86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87">
        <v>0</v>
      </c>
      <c r="AI91" s="1094">
        <f>'2022-23 Input'!L91</f>
        <v>0</v>
      </c>
      <c r="AJ91" s="665">
        <v>0</v>
      </c>
      <c r="AK91" s="88">
        <f t="shared" si="106"/>
        <v>0</v>
      </c>
      <c r="AL91" s="89">
        <f t="shared" si="107"/>
        <v>0</v>
      </c>
      <c r="AM91" s="90">
        <f t="shared" si="108"/>
        <v>0</v>
      </c>
      <c r="AN91" s="91" t="str">
        <f t="shared" si="109"/>
        <v/>
      </c>
      <c r="AO91" s="92" t="str">
        <f t="shared" si="110"/>
        <v/>
      </c>
      <c r="AP91" s="92" t="str">
        <f t="shared" si="111"/>
        <v/>
      </c>
      <c r="AQ91" s="92" t="str">
        <f t="shared" si="112"/>
        <v/>
      </c>
      <c r="AR91" s="92" t="str">
        <f t="shared" si="113"/>
        <v/>
      </c>
      <c r="AS91" s="92" t="str">
        <f t="shared" si="114"/>
        <v/>
      </c>
      <c r="AT91" s="92" t="str">
        <f t="shared" si="115"/>
        <v/>
      </c>
      <c r="AU91" s="92" t="str">
        <f t="shared" si="116"/>
        <v/>
      </c>
      <c r="AV91" s="92" t="str">
        <f t="shared" si="139"/>
        <v/>
      </c>
      <c r="AW91" s="92" t="str">
        <f t="shared" si="139"/>
        <v/>
      </c>
      <c r="AX91" s="92" t="str">
        <f t="shared" si="139"/>
        <v/>
      </c>
      <c r="AY91" s="93" t="str">
        <f t="shared" si="118"/>
        <v/>
      </c>
      <c r="AZ91" s="94" t="str">
        <f t="shared" si="119"/>
        <v/>
      </c>
      <c r="BA91" s="95" t="str">
        <f t="shared" si="120"/>
        <v/>
      </c>
      <c r="BB91" s="248" t="s">
        <v>422</v>
      </c>
      <c r="BC91" s="229" t="s">
        <v>433</v>
      </c>
      <c r="BD91" s="249">
        <v>-0.125</v>
      </c>
      <c r="BE91" s="267">
        <f t="shared" si="121"/>
        <v>0</v>
      </c>
      <c r="BF91" s="268">
        <f t="shared" si="140"/>
        <v>0</v>
      </c>
      <c r="BG91" s="268">
        <f t="shared" si="140"/>
        <v>0</v>
      </c>
      <c r="BH91" s="268">
        <f t="shared" si="140"/>
        <v>1</v>
      </c>
      <c r="BI91" s="268">
        <f t="shared" si="140"/>
        <v>2</v>
      </c>
      <c r="BJ91" s="268">
        <f t="shared" si="140"/>
        <v>3</v>
      </c>
      <c r="BK91" s="268">
        <f t="shared" si="140"/>
        <v>4</v>
      </c>
      <c r="BL91" s="269">
        <f t="shared" si="140"/>
        <v>5</v>
      </c>
      <c r="BM91" s="256">
        <f>IF($BC91=Lookup!$A$2,$BD91*ROUNDUP(BE91/10,0)+1,
IF($BC91=Lookup!$A$3,($BD91+1)^BD91,
IF($BC91=Lookup!$A$4,BE91*$BD91+1,"Error")))</f>
        <v>1</v>
      </c>
      <c r="BN91" s="229">
        <f>IF($BC91=Lookup!$A$2,$BD91*ROUNDUP(BF91/10,0)+1,
IF($BC91=Lookup!$A$3,($BD91+1)^BE91,
IF($BC91=Lookup!$A$4,BF91*$BD91+1,"Error")))</f>
        <v>1</v>
      </c>
      <c r="BO91" s="229">
        <f>IF($BC91=Lookup!$A$2,$BD91*ROUNDUP(BG91/10,0)+1,
IF($BC91=Lookup!$A$3,($BD91+1)^BF91,
IF($BC91=Lookup!$A$4,BG91*$BD91+1,"Error")))</f>
        <v>1</v>
      </c>
      <c r="BP91" s="229">
        <f>IF($BC91=Lookup!$A$2,$BD91*ROUNDUP(BH91/10,0)+1,
IF($BC91=Lookup!$A$3,($BD91+1)^BG91,
IF($BC91=Lookup!$A$4,BH91*$BD91+1,"Error")))</f>
        <v>0.875</v>
      </c>
      <c r="BQ91" s="229">
        <f>IF($BC91=Lookup!$A$2,$BD91*ROUNDUP(BI91/10,0)+1,
IF($BC91=Lookup!$A$3,($BD91+1)^BH91,
IF($BC91=Lookup!$A$4,BI91*$BD91+1,"Error")))</f>
        <v>0.875</v>
      </c>
      <c r="BR91" s="229">
        <f>IF($BC91=Lookup!$A$2,$BD91*ROUNDUP(BJ91/10,0)+1,
IF($BC91=Lookup!$A$3,($BD91+1)^BI91,
IF($BC91=Lookup!$A$4,BJ91*$BD91+1,"Error")))</f>
        <v>0.875</v>
      </c>
      <c r="BS91" s="229">
        <f>IF($BC91=Lookup!$A$2,$BD91*ROUNDUP(BK91/10,0)+1,
IF($BC91=Lookup!$A$3,($BD91+1)^BJ91,
IF($BC91=Lookup!$A$4,BK91*$BD91+1,"Error")))</f>
        <v>0.875</v>
      </c>
      <c r="BT91" s="249">
        <f>IF($BC91=Lookup!$A$2,$BD91*ROUNDUP(BL91/10,0)+1,
IF($BC91=Lookup!$A$3,($BD91+1)^BK91,
IF($BC91=Lookup!$A$4,BL91*$BD91+1,"Error")))</f>
        <v>0.875</v>
      </c>
      <c r="BU91" s="320"/>
      <c r="BV91" s="321"/>
      <c r="BW91" s="321"/>
      <c r="BX91" s="321"/>
      <c r="BY91" s="321"/>
      <c r="BZ91" s="321"/>
      <c r="CA91" s="321"/>
      <c r="CB91" s="277"/>
      <c r="CC91" s="382" t="s">
        <v>292</v>
      </c>
      <c r="CD91" s="383">
        <f>HLOOKUP($CC91,$AK$6:$AM$132,ROWS(CD$6:CD91),0)</f>
        <v>0</v>
      </c>
      <c r="CE91" s="234">
        <f t="shared" si="122"/>
        <v>0</v>
      </c>
      <c r="CF91" s="96">
        <f t="shared" si="123"/>
        <v>0</v>
      </c>
      <c r="CG91" s="96">
        <f t="shared" si="124"/>
        <v>0</v>
      </c>
      <c r="CH91" s="96">
        <f t="shared" si="125"/>
        <v>0</v>
      </c>
      <c r="CI91" s="96">
        <f t="shared" si="126"/>
        <v>0</v>
      </c>
      <c r="CJ91" s="96">
        <f t="shared" si="127"/>
        <v>0</v>
      </c>
      <c r="CK91" s="96">
        <f t="shared" si="128"/>
        <v>0</v>
      </c>
      <c r="CL91" s="286">
        <f t="shared" si="129"/>
        <v>0</v>
      </c>
      <c r="CM91" s="305" t="s">
        <v>293</v>
      </c>
      <c r="CN91" s="315">
        <v>0.05</v>
      </c>
      <c r="CO91" s="306"/>
      <c r="CP91" s="307" t="str">
        <f>IF($CO91&lt;&gt;"",$CO91,HLOOKUP($CM91,$AY$6:$BA$132,ROWS(CP$6:CP91),0))</f>
        <v/>
      </c>
      <c r="CQ91" s="784" t="str">
        <f t="shared" si="130"/>
        <v/>
      </c>
      <c r="CR91" s="784" t="str">
        <f t="shared" si="131"/>
        <v/>
      </c>
      <c r="CS91" s="97" t="str">
        <f t="shared" si="132"/>
        <v/>
      </c>
      <c r="CT91" s="97" t="str">
        <f t="shared" si="133"/>
        <v/>
      </c>
      <c r="CU91" s="97" t="str">
        <f t="shared" si="134"/>
        <v/>
      </c>
      <c r="CV91" s="97" t="str">
        <f t="shared" si="135"/>
        <v/>
      </c>
      <c r="CW91" s="97" t="str">
        <f t="shared" si="136"/>
        <v/>
      </c>
      <c r="CX91" s="98" t="str">
        <f t="shared" si="137"/>
        <v/>
      </c>
      <c r="CY91" s="392"/>
    </row>
    <row r="92" spans="1:103" x14ac:dyDescent="0.25">
      <c r="A92" s="81" t="s">
        <v>138</v>
      </c>
      <c r="B92" s="82" t="s">
        <v>187</v>
      </c>
      <c r="C92" s="83" t="s">
        <v>382</v>
      </c>
      <c r="D92" s="84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654">
        <f>'2022-23 Input'!E92</f>
        <v>0</v>
      </c>
      <c r="N92" s="1065">
        <v>0</v>
      </c>
      <c r="O92" s="560">
        <f t="shared" si="95"/>
        <v>0</v>
      </c>
      <c r="P92" s="561">
        <f t="shared" si="96"/>
        <v>0</v>
      </c>
      <c r="Q92" s="561">
        <f t="shared" si="97"/>
        <v>0</v>
      </c>
      <c r="R92" s="561">
        <f t="shared" si="98"/>
        <v>0</v>
      </c>
      <c r="S92" s="561">
        <f t="shared" si="99"/>
        <v>0</v>
      </c>
      <c r="T92" s="561">
        <f t="shared" si="100"/>
        <v>0</v>
      </c>
      <c r="U92" s="561">
        <f t="shared" si="101"/>
        <v>0</v>
      </c>
      <c r="V92" s="561">
        <f t="shared" si="102"/>
        <v>0</v>
      </c>
      <c r="W92" s="675">
        <f t="shared" si="103"/>
        <v>0</v>
      </c>
      <c r="X92" s="675">
        <f t="shared" si="104"/>
        <v>0</v>
      </c>
      <c r="Y92" s="675">
        <f t="shared" si="105"/>
        <v>0</v>
      </c>
      <c r="Z92" s="86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1094">
        <f>'2022-23 Input'!L92</f>
        <v>0</v>
      </c>
      <c r="AJ92" s="665">
        <v>0</v>
      </c>
      <c r="AK92" s="88">
        <f t="shared" si="106"/>
        <v>0</v>
      </c>
      <c r="AL92" s="89">
        <f t="shared" si="107"/>
        <v>0</v>
      </c>
      <c r="AM92" s="90">
        <f t="shared" si="108"/>
        <v>0</v>
      </c>
      <c r="AN92" s="91" t="str">
        <f t="shared" si="109"/>
        <v/>
      </c>
      <c r="AO92" s="92" t="str">
        <f t="shared" si="110"/>
        <v/>
      </c>
      <c r="AP92" s="92" t="str">
        <f t="shared" si="111"/>
        <v/>
      </c>
      <c r="AQ92" s="92" t="str">
        <f t="shared" si="112"/>
        <v/>
      </c>
      <c r="AR92" s="92" t="str">
        <f t="shared" si="113"/>
        <v/>
      </c>
      <c r="AS92" s="92" t="str">
        <f t="shared" si="114"/>
        <v/>
      </c>
      <c r="AT92" s="92" t="str">
        <f t="shared" si="115"/>
        <v/>
      </c>
      <c r="AU92" s="92" t="str">
        <f t="shared" si="116"/>
        <v/>
      </c>
      <c r="AV92" s="92" t="str">
        <f t="shared" si="139"/>
        <v/>
      </c>
      <c r="AW92" s="92" t="str">
        <f t="shared" si="139"/>
        <v/>
      </c>
      <c r="AX92" s="92" t="str">
        <f t="shared" si="139"/>
        <v/>
      </c>
      <c r="AY92" s="93" t="str">
        <f t="shared" si="118"/>
        <v/>
      </c>
      <c r="AZ92" s="94" t="str">
        <f t="shared" si="119"/>
        <v/>
      </c>
      <c r="BA92" s="95" t="str">
        <f t="shared" si="120"/>
        <v/>
      </c>
      <c r="BB92" s="248" t="s">
        <v>422</v>
      </c>
      <c r="BC92" s="229" t="s">
        <v>433</v>
      </c>
      <c r="BD92" s="249">
        <v>-0.125</v>
      </c>
      <c r="BE92" s="267">
        <f t="shared" si="121"/>
        <v>0</v>
      </c>
      <c r="BF92" s="268">
        <f t="shared" si="140"/>
        <v>0</v>
      </c>
      <c r="BG92" s="268">
        <f t="shared" si="140"/>
        <v>0</v>
      </c>
      <c r="BH92" s="268">
        <f t="shared" si="140"/>
        <v>1</v>
      </c>
      <c r="BI92" s="268">
        <f t="shared" si="140"/>
        <v>2</v>
      </c>
      <c r="BJ92" s="268">
        <f t="shared" si="140"/>
        <v>3</v>
      </c>
      <c r="BK92" s="268">
        <f t="shared" si="140"/>
        <v>4</v>
      </c>
      <c r="BL92" s="269">
        <f t="shared" si="140"/>
        <v>5</v>
      </c>
      <c r="BM92" s="256">
        <f>IF($BC92=Lookup!$A$2,$BD92*ROUNDUP(BE92/10,0)+1,
IF($BC92=Lookup!$A$3,($BD92+1)^BD92,
IF($BC92=Lookup!$A$4,BE92*$BD92+1,"Error")))</f>
        <v>1</v>
      </c>
      <c r="BN92" s="229">
        <f>IF($BC92=Lookup!$A$2,$BD92*ROUNDUP(BF92/10,0)+1,
IF($BC92=Lookup!$A$3,($BD92+1)^BE92,
IF($BC92=Lookup!$A$4,BF92*$BD92+1,"Error")))</f>
        <v>1</v>
      </c>
      <c r="BO92" s="229">
        <f>IF($BC92=Lookup!$A$2,$BD92*ROUNDUP(BG92/10,0)+1,
IF($BC92=Lookup!$A$3,($BD92+1)^BF92,
IF($BC92=Lookup!$A$4,BG92*$BD92+1,"Error")))</f>
        <v>1</v>
      </c>
      <c r="BP92" s="229">
        <f>IF($BC92=Lookup!$A$2,$BD92*ROUNDUP(BH92/10,0)+1,
IF($BC92=Lookup!$A$3,($BD92+1)^BG92,
IF($BC92=Lookup!$A$4,BH92*$BD92+1,"Error")))</f>
        <v>0.875</v>
      </c>
      <c r="BQ92" s="229">
        <f>IF($BC92=Lookup!$A$2,$BD92*ROUNDUP(BI92/10,0)+1,
IF($BC92=Lookup!$A$3,($BD92+1)^BH92,
IF($BC92=Lookup!$A$4,BI92*$BD92+1,"Error")))</f>
        <v>0.875</v>
      </c>
      <c r="BR92" s="229">
        <f>IF($BC92=Lookup!$A$2,$BD92*ROUNDUP(BJ92/10,0)+1,
IF($BC92=Lookup!$A$3,($BD92+1)^BI92,
IF($BC92=Lookup!$A$4,BJ92*$BD92+1,"Error")))</f>
        <v>0.875</v>
      </c>
      <c r="BS92" s="229">
        <f>IF($BC92=Lookup!$A$2,$BD92*ROUNDUP(BK92/10,0)+1,
IF($BC92=Lookup!$A$3,($BD92+1)^BJ92,
IF($BC92=Lookup!$A$4,BK92*$BD92+1,"Error")))</f>
        <v>0.875</v>
      </c>
      <c r="BT92" s="249">
        <f>IF($BC92=Lookup!$A$2,$BD92*ROUNDUP(BL92/10,0)+1,
IF($BC92=Lookup!$A$3,($BD92+1)^BK92,
IF($BC92=Lookup!$A$4,BL92*$BD92+1,"Error")))</f>
        <v>0.875</v>
      </c>
      <c r="BU92" s="320"/>
      <c r="BV92" s="321"/>
      <c r="BW92" s="321"/>
      <c r="BX92" s="321"/>
      <c r="BY92" s="321"/>
      <c r="BZ92" s="321"/>
      <c r="CA92" s="321"/>
      <c r="CB92" s="277"/>
      <c r="CC92" s="382" t="s">
        <v>292</v>
      </c>
      <c r="CD92" s="383">
        <f>HLOOKUP($CC92,$AK$6:$AM$132,ROWS(CD$6:CD92),0)</f>
        <v>0</v>
      </c>
      <c r="CE92" s="234">
        <f t="shared" si="122"/>
        <v>0</v>
      </c>
      <c r="CF92" s="96">
        <f t="shared" si="123"/>
        <v>0</v>
      </c>
      <c r="CG92" s="96">
        <f t="shared" si="124"/>
        <v>0</v>
      </c>
      <c r="CH92" s="96">
        <f t="shared" si="125"/>
        <v>0</v>
      </c>
      <c r="CI92" s="96">
        <f t="shared" si="126"/>
        <v>0</v>
      </c>
      <c r="CJ92" s="96">
        <f t="shared" si="127"/>
        <v>0</v>
      </c>
      <c r="CK92" s="96">
        <f t="shared" si="128"/>
        <v>0</v>
      </c>
      <c r="CL92" s="286">
        <f t="shared" si="129"/>
        <v>0</v>
      </c>
      <c r="CM92" s="305" t="s">
        <v>293</v>
      </c>
      <c r="CN92" s="315">
        <v>0.05</v>
      </c>
      <c r="CO92" s="306"/>
      <c r="CP92" s="307" t="str">
        <f>IF($CO92&lt;&gt;"",$CO92,HLOOKUP($CM92,$AY$6:$BA$132,ROWS(CP$6:CP92),0))</f>
        <v/>
      </c>
      <c r="CQ92" s="784" t="str">
        <f t="shared" si="130"/>
        <v/>
      </c>
      <c r="CR92" s="784" t="str">
        <f t="shared" si="131"/>
        <v/>
      </c>
      <c r="CS92" s="97" t="str">
        <f t="shared" si="132"/>
        <v/>
      </c>
      <c r="CT92" s="97" t="str">
        <f t="shared" si="133"/>
        <v/>
      </c>
      <c r="CU92" s="97" t="str">
        <f t="shared" si="134"/>
        <v/>
      </c>
      <c r="CV92" s="97" t="str">
        <f t="shared" si="135"/>
        <v/>
      </c>
      <c r="CW92" s="97" t="str">
        <f t="shared" si="136"/>
        <v/>
      </c>
      <c r="CX92" s="98" t="str">
        <f t="shared" si="137"/>
        <v/>
      </c>
      <c r="CY92" s="392"/>
    </row>
    <row r="93" spans="1:103" x14ac:dyDescent="0.25">
      <c r="A93" s="81" t="s">
        <v>138</v>
      </c>
      <c r="B93" s="82" t="s">
        <v>189</v>
      </c>
      <c r="C93" s="83" t="s">
        <v>383</v>
      </c>
      <c r="D93" s="84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654">
        <f>'2022-23 Input'!E93</f>
        <v>0</v>
      </c>
      <c r="N93" s="1065">
        <v>0</v>
      </c>
      <c r="O93" s="560">
        <f t="shared" si="95"/>
        <v>0</v>
      </c>
      <c r="P93" s="561">
        <f t="shared" si="96"/>
        <v>0</v>
      </c>
      <c r="Q93" s="561">
        <f t="shared" si="97"/>
        <v>0</v>
      </c>
      <c r="R93" s="561">
        <f t="shared" si="98"/>
        <v>0</v>
      </c>
      <c r="S93" s="561">
        <f t="shared" si="99"/>
        <v>0</v>
      </c>
      <c r="T93" s="561">
        <f t="shared" si="100"/>
        <v>0</v>
      </c>
      <c r="U93" s="561">
        <f t="shared" si="101"/>
        <v>0</v>
      </c>
      <c r="V93" s="561">
        <f t="shared" si="102"/>
        <v>0</v>
      </c>
      <c r="W93" s="675">
        <f t="shared" si="103"/>
        <v>0</v>
      </c>
      <c r="X93" s="675">
        <f t="shared" si="104"/>
        <v>0</v>
      </c>
      <c r="Y93" s="675">
        <f t="shared" si="105"/>
        <v>0</v>
      </c>
      <c r="Z93" s="86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87">
        <v>0</v>
      </c>
      <c r="AI93" s="1094">
        <f>'2022-23 Input'!L93</f>
        <v>0</v>
      </c>
      <c r="AJ93" s="665">
        <v>0</v>
      </c>
      <c r="AK93" s="88">
        <f t="shared" si="106"/>
        <v>0</v>
      </c>
      <c r="AL93" s="89">
        <f t="shared" si="107"/>
        <v>0</v>
      </c>
      <c r="AM93" s="90">
        <f t="shared" si="108"/>
        <v>0</v>
      </c>
      <c r="AN93" s="91" t="str">
        <f t="shared" si="109"/>
        <v/>
      </c>
      <c r="AO93" s="92" t="str">
        <f t="shared" si="110"/>
        <v/>
      </c>
      <c r="AP93" s="92" t="str">
        <f t="shared" si="111"/>
        <v/>
      </c>
      <c r="AQ93" s="92" t="str">
        <f t="shared" si="112"/>
        <v/>
      </c>
      <c r="AR93" s="92" t="str">
        <f t="shared" si="113"/>
        <v/>
      </c>
      <c r="AS93" s="92" t="str">
        <f t="shared" si="114"/>
        <v/>
      </c>
      <c r="AT93" s="92" t="str">
        <f t="shared" si="115"/>
        <v/>
      </c>
      <c r="AU93" s="92" t="str">
        <f t="shared" si="116"/>
        <v/>
      </c>
      <c r="AV93" s="92" t="str">
        <f t="shared" si="139"/>
        <v/>
      </c>
      <c r="AW93" s="92" t="str">
        <f t="shared" si="139"/>
        <v/>
      </c>
      <c r="AX93" s="92" t="str">
        <f t="shared" si="139"/>
        <v/>
      </c>
      <c r="AY93" s="93" t="str">
        <f t="shared" si="118"/>
        <v/>
      </c>
      <c r="AZ93" s="94" t="str">
        <f t="shared" si="119"/>
        <v/>
      </c>
      <c r="BA93" s="95" t="str">
        <f t="shared" si="120"/>
        <v/>
      </c>
      <c r="BB93" s="248" t="s">
        <v>422</v>
      </c>
      <c r="BC93" s="229" t="s">
        <v>433</v>
      </c>
      <c r="BD93" s="249">
        <v>-0.125</v>
      </c>
      <c r="BE93" s="267">
        <f t="shared" si="121"/>
        <v>0</v>
      </c>
      <c r="BF93" s="268">
        <f t="shared" si="140"/>
        <v>0</v>
      </c>
      <c r="BG93" s="268">
        <f t="shared" si="140"/>
        <v>0</v>
      </c>
      <c r="BH93" s="268">
        <f t="shared" si="140"/>
        <v>1</v>
      </c>
      <c r="BI93" s="268">
        <f t="shared" si="140"/>
        <v>2</v>
      </c>
      <c r="BJ93" s="268">
        <f t="shared" si="140"/>
        <v>3</v>
      </c>
      <c r="BK93" s="268">
        <f t="shared" si="140"/>
        <v>4</v>
      </c>
      <c r="BL93" s="269">
        <f t="shared" si="140"/>
        <v>5</v>
      </c>
      <c r="BM93" s="256">
        <f>IF($BC93=Lookup!$A$2,$BD93*ROUNDUP(BE93/10,0)+1,
IF($BC93=Lookup!$A$3,($BD93+1)^BD93,
IF($BC93=Lookup!$A$4,BE93*$BD93+1,"Error")))</f>
        <v>1</v>
      </c>
      <c r="BN93" s="229">
        <f>IF($BC93=Lookup!$A$2,$BD93*ROUNDUP(BF93/10,0)+1,
IF($BC93=Lookup!$A$3,($BD93+1)^BE93,
IF($BC93=Lookup!$A$4,BF93*$BD93+1,"Error")))</f>
        <v>1</v>
      </c>
      <c r="BO93" s="229">
        <f>IF($BC93=Lookup!$A$2,$BD93*ROUNDUP(BG93/10,0)+1,
IF($BC93=Lookup!$A$3,($BD93+1)^BF93,
IF($BC93=Lookup!$A$4,BG93*$BD93+1,"Error")))</f>
        <v>1</v>
      </c>
      <c r="BP93" s="229">
        <f>IF($BC93=Lookup!$A$2,$BD93*ROUNDUP(BH93/10,0)+1,
IF($BC93=Lookup!$A$3,($BD93+1)^BG93,
IF($BC93=Lookup!$A$4,BH93*$BD93+1,"Error")))</f>
        <v>0.875</v>
      </c>
      <c r="BQ93" s="229">
        <f>IF($BC93=Lookup!$A$2,$BD93*ROUNDUP(BI93/10,0)+1,
IF($BC93=Lookup!$A$3,($BD93+1)^BH93,
IF($BC93=Lookup!$A$4,BI93*$BD93+1,"Error")))</f>
        <v>0.875</v>
      </c>
      <c r="BR93" s="229">
        <f>IF($BC93=Lookup!$A$2,$BD93*ROUNDUP(BJ93/10,0)+1,
IF($BC93=Lookup!$A$3,($BD93+1)^BI93,
IF($BC93=Lookup!$A$4,BJ93*$BD93+1,"Error")))</f>
        <v>0.875</v>
      </c>
      <c r="BS93" s="229">
        <f>IF($BC93=Lookup!$A$2,$BD93*ROUNDUP(BK93/10,0)+1,
IF($BC93=Lookup!$A$3,($BD93+1)^BJ93,
IF($BC93=Lookup!$A$4,BK93*$BD93+1,"Error")))</f>
        <v>0.875</v>
      </c>
      <c r="BT93" s="249">
        <f>IF($BC93=Lookup!$A$2,$BD93*ROUNDUP(BL93/10,0)+1,
IF($BC93=Lookup!$A$3,($BD93+1)^BK93,
IF($BC93=Lookup!$A$4,BL93*$BD93+1,"Error")))</f>
        <v>0.875</v>
      </c>
      <c r="BU93" s="320"/>
      <c r="BV93" s="321"/>
      <c r="BW93" s="321"/>
      <c r="BX93" s="321"/>
      <c r="BY93" s="321"/>
      <c r="BZ93" s="321"/>
      <c r="CA93" s="321"/>
      <c r="CB93" s="277"/>
      <c r="CC93" s="382" t="s">
        <v>292</v>
      </c>
      <c r="CD93" s="383">
        <f>HLOOKUP($CC93,$AK$6:$AM$132,ROWS(CD$6:CD93),0)</f>
        <v>0</v>
      </c>
      <c r="CE93" s="234">
        <f t="shared" si="122"/>
        <v>0</v>
      </c>
      <c r="CF93" s="96">
        <f t="shared" si="123"/>
        <v>0</v>
      </c>
      <c r="CG93" s="96">
        <f t="shared" si="124"/>
        <v>0</v>
      </c>
      <c r="CH93" s="96">
        <f t="shared" si="125"/>
        <v>0</v>
      </c>
      <c r="CI93" s="96">
        <f t="shared" si="126"/>
        <v>0</v>
      </c>
      <c r="CJ93" s="96">
        <f t="shared" si="127"/>
        <v>0</v>
      </c>
      <c r="CK93" s="96">
        <f t="shared" si="128"/>
        <v>0</v>
      </c>
      <c r="CL93" s="286">
        <f t="shared" si="129"/>
        <v>0</v>
      </c>
      <c r="CM93" s="305" t="s">
        <v>293</v>
      </c>
      <c r="CN93" s="315">
        <v>0.05</v>
      </c>
      <c r="CO93" s="306"/>
      <c r="CP93" s="307" t="str">
        <f>IF($CO93&lt;&gt;"",$CO93,HLOOKUP($CM93,$AY$6:$BA$132,ROWS(CP$6:CP93),0))</f>
        <v/>
      </c>
      <c r="CQ93" s="784" t="str">
        <f t="shared" si="130"/>
        <v/>
      </c>
      <c r="CR93" s="784" t="str">
        <f t="shared" si="131"/>
        <v/>
      </c>
      <c r="CS93" s="97" t="str">
        <f t="shared" si="132"/>
        <v/>
      </c>
      <c r="CT93" s="97" t="str">
        <f t="shared" si="133"/>
        <v/>
      </c>
      <c r="CU93" s="97" t="str">
        <f t="shared" si="134"/>
        <v/>
      </c>
      <c r="CV93" s="97" t="str">
        <f t="shared" si="135"/>
        <v/>
      </c>
      <c r="CW93" s="97" t="str">
        <f t="shared" si="136"/>
        <v/>
      </c>
      <c r="CX93" s="98" t="str">
        <f t="shared" si="137"/>
        <v/>
      </c>
      <c r="CY93" s="392"/>
    </row>
    <row r="94" spans="1:103" x14ac:dyDescent="0.25">
      <c r="A94" s="81" t="s">
        <v>138</v>
      </c>
      <c r="B94" s="82" t="s">
        <v>191</v>
      </c>
      <c r="C94" s="83" t="s">
        <v>384</v>
      </c>
      <c r="D94" s="84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654">
        <f>'2022-23 Input'!E94</f>
        <v>0</v>
      </c>
      <c r="N94" s="1065">
        <v>0</v>
      </c>
      <c r="O94" s="560">
        <f t="shared" si="95"/>
        <v>0</v>
      </c>
      <c r="P94" s="561">
        <f t="shared" si="96"/>
        <v>0</v>
      </c>
      <c r="Q94" s="561">
        <f t="shared" si="97"/>
        <v>0</v>
      </c>
      <c r="R94" s="561">
        <f t="shared" si="98"/>
        <v>0</v>
      </c>
      <c r="S94" s="561">
        <f t="shared" si="99"/>
        <v>0</v>
      </c>
      <c r="T94" s="561">
        <f t="shared" si="100"/>
        <v>0</v>
      </c>
      <c r="U94" s="561">
        <f t="shared" si="101"/>
        <v>0</v>
      </c>
      <c r="V94" s="561">
        <f t="shared" si="102"/>
        <v>0</v>
      </c>
      <c r="W94" s="675">
        <f t="shared" si="103"/>
        <v>0</v>
      </c>
      <c r="X94" s="675">
        <f t="shared" si="104"/>
        <v>0</v>
      </c>
      <c r="Y94" s="675">
        <f t="shared" si="105"/>
        <v>0</v>
      </c>
      <c r="Z94" s="86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87">
        <v>0</v>
      </c>
      <c r="AI94" s="1094">
        <f>'2022-23 Input'!L94</f>
        <v>0</v>
      </c>
      <c r="AJ94" s="665">
        <v>0</v>
      </c>
      <c r="AK94" s="88">
        <f t="shared" si="106"/>
        <v>0</v>
      </c>
      <c r="AL94" s="89">
        <f t="shared" si="107"/>
        <v>0</v>
      </c>
      <c r="AM94" s="90">
        <f t="shared" si="108"/>
        <v>0</v>
      </c>
      <c r="AN94" s="91" t="str">
        <f t="shared" si="109"/>
        <v/>
      </c>
      <c r="AO94" s="92" t="str">
        <f t="shared" si="110"/>
        <v/>
      </c>
      <c r="AP94" s="92" t="str">
        <f t="shared" si="111"/>
        <v/>
      </c>
      <c r="AQ94" s="92" t="str">
        <f t="shared" si="112"/>
        <v/>
      </c>
      <c r="AR94" s="92" t="str">
        <f t="shared" si="113"/>
        <v/>
      </c>
      <c r="AS94" s="92" t="str">
        <f t="shared" si="114"/>
        <v/>
      </c>
      <c r="AT94" s="92" t="str">
        <f t="shared" si="115"/>
        <v/>
      </c>
      <c r="AU94" s="92" t="str">
        <f t="shared" si="116"/>
        <v/>
      </c>
      <c r="AV94" s="92" t="str">
        <f t="shared" si="139"/>
        <v/>
      </c>
      <c r="AW94" s="92" t="str">
        <f t="shared" si="139"/>
        <v/>
      </c>
      <c r="AX94" s="92" t="str">
        <f t="shared" si="139"/>
        <v/>
      </c>
      <c r="AY94" s="93" t="str">
        <f t="shared" si="118"/>
        <v/>
      </c>
      <c r="AZ94" s="94" t="str">
        <f t="shared" si="119"/>
        <v/>
      </c>
      <c r="BA94" s="95" t="str">
        <f t="shared" si="120"/>
        <v/>
      </c>
      <c r="BB94" s="248" t="s">
        <v>422</v>
      </c>
      <c r="BC94" s="229" t="s">
        <v>433</v>
      </c>
      <c r="BD94" s="249">
        <v>-0.125</v>
      </c>
      <c r="BE94" s="267">
        <f t="shared" si="121"/>
        <v>0</v>
      </c>
      <c r="BF94" s="268">
        <f t="shared" si="140"/>
        <v>0</v>
      </c>
      <c r="BG94" s="268">
        <f t="shared" si="140"/>
        <v>0</v>
      </c>
      <c r="BH94" s="268">
        <f t="shared" si="140"/>
        <v>1</v>
      </c>
      <c r="BI94" s="268">
        <f t="shared" si="140"/>
        <v>2</v>
      </c>
      <c r="BJ94" s="268">
        <f t="shared" si="140"/>
        <v>3</v>
      </c>
      <c r="BK94" s="268">
        <f t="shared" si="140"/>
        <v>4</v>
      </c>
      <c r="BL94" s="269">
        <f t="shared" si="140"/>
        <v>5</v>
      </c>
      <c r="BM94" s="256">
        <f>IF($BC94=Lookup!$A$2,$BD94*ROUNDUP(BE94/10,0)+1,
IF($BC94=Lookup!$A$3,($BD94+1)^BD94,
IF($BC94=Lookup!$A$4,BE94*$BD94+1,"Error")))</f>
        <v>1</v>
      </c>
      <c r="BN94" s="229">
        <f>IF($BC94=Lookup!$A$2,$BD94*ROUNDUP(BF94/10,0)+1,
IF($BC94=Lookup!$A$3,($BD94+1)^BE94,
IF($BC94=Lookup!$A$4,BF94*$BD94+1,"Error")))</f>
        <v>1</v>
      </c>
      <c r="BO94" s="229">
        <f>IF($BC94=Lookup!$A$2,$BD94*ROUNDUP(BG94/10,0)+1,
IF($BC94=Lookup!$A$3,($BD94+1)^BF94,
IF($BC94=Lookup!$A$4,BG94*$BD94+1,"Error")))</f>
        <v>1</v>
      </c>
      <c r="BP94" s="229">
        <f>IF($BC94=Lookup!$A$2,$BD94*ROUNDUP(BH94/10,0)+1,
IF($BC94=Lookup!$A$3,($BD94+1)^BG94,
IF($BC94=Lookup!$A$4,BH94*$BD94+1,"Error")))</f>
        <v>0.875</v>
      </c>
      <c r="BQ94" s="229">
        <f>IF($BC94=Lookup!$A$2,$BD94*ROUNDUP(BI94/10,0)+1,
IF($BC94=Lookup!$A$3,($BD94+1)^BH94,
IF($BC94=Lookup!$A$4,BI94*$BD94+1,"Error")))</f>
        <v>0.875</v>
      </c>
      <c r="BR94" s="229">
        <f>IF($BC94=Lookup!$A$2,$BD94*ROUNDUP(BJ94/10,0)+1,
IF($BC94=Lookup!$A$3,($BD94+1)^BI94,
IF($BC94=Lookup!$A$4,BJ94*$BD94+1,"Error")))</f>
        <v>0.875</v>
      </c>
      <c r="BS94" s="229">
        <f>IF($BC94=Lookup!$A$2,$BD94*ROUNDUP(BK94/10,0)+1,
IF($BC94=Lookup!$A$3,($BD94+1)^BJ94,
IF($BC94=Lookup!$A$4,BK94*$BD94+1,"Error")))</f>
        <v>0.875</v>
      </c>
      <c r="BT94" s="249">
        <f>IF($BC94=Lookup!$A$2,$BD94*ROUNDUP(BL94/10,0)+1,
IF($BC94=Lookup!$A$3,($BD94+1)^BK94,
IF($BC94=Lookup!$A$4,BL94*$BD94+1,"Error")))</f>
        <v>0.875</v>
      </c>
      <c r="BU94" s="320"/>
      <c r="BV94" s="321"/>
      <c r="BW94" s="321"/>
      <c r="BX94" s="321"/>
      <c r="BY94" s="321"/>
      <c r="BZ94" s="321"/>
      <c r="CA94" s="321"/>
      <c r="CB94" s="277"/>
      <c r="CC94" s="382" t="s">
        <v>292</v>
      </c>
      <c r="CD94" s="383">
        <f>HLOOKUP($CC94,$AK$6:$AM$132,ROWS(CD$6:CD94),0)</f>
        <v>0</v>
      </c>
      <c r="CE94" s="234">
        <f t="shared" si="122"/>
        <v>0</v>
      </c>
      <c r="CF94" s="96">
        <f t="shared" si="123"/>
        <v>0</v>
      </c>
      <c r="CG94" s="96">
        <f t="shared" si="124"/>
        <v>0</v>
      </c>
      <c r="CH94" s="96">
        <f t="shared" si="125"/>
        <v>0</v>
      </c>
      <c r="CI94" s="96">
        <f t="shared" si="126"/>
        <v>0</v>
      </c>
      <c r="CJ94" s="96">
        <f t="shared" si="127"/>
        <v>0</v>
      </c>
      <c r="CK94" s="96">
        <f t="shared" si="128"/>
        <v>0</v>
      </c>
      <c r="CL94" s="286">
        <f t="shared" si="129"/>
        <v>0</v>
      </c>
      <c r="CM94" s="305" t="s">
        <v>293</v>
      </c>
      <c r="CN94" s="315">
        <v>0.05</v>
      </c>
      <c r="CO94" s="306"/>
      <c r="CP94" s="307" t="str">
        <f>IF($CO94&lt;&gt;"",$CO94,HLOOKUP($CM94,$AY$6:$BA$132,ROWS(CP$6:CP94),0))</f>
        <v/>
      </c>
      <c r="CQ94" s="784" t="str">
        <f t="shared" si="130"/>
        <v/>
      </c>
      <c r="CR94" s="784" t="str">
        <f t="shared" si="131"/>
        <v/>
      </c>
      <c r="CS94" s="97" t="str">
        <f t="shared" si="132"/>
        <v/>
      </c>
      <c r="CT94" s="97" t="str">
        <f t="shared" si="133"/>
        <v/>
      </c>
      <c r="CU94" s="97" t="str">
        <f t="shared" si="134"/>
        <v/>
      </c>
      <c r="CV94" s="97" t="str">
        <f t="shared" si="135"/>
        <v/>
      </c>
      <c r="CW94" s="97" t="str">
        <f t="shared" si="136"/>
        <v/>
      </c>
      <c r="CX94" s="98" t="str">
        <f t="shared" si="137"/>
        <v/>
      </c>
      <c r="CY94" s="392"/>
    </row>
    <row r="95" spans="1:103" ht="15.75" thickBot="1" x14ac:dyDescent="0.3">
      <c r="A95" s="100" t="s">
        <v>138</v>
      </c>
      <c r="B95" s="101" t="s">
        <v>385</v>
      </c>
      <c r="C95" s="102" t="s">
        <v>386</v>
      </c>
      <c r="D95" s="103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655">
        <f>'2022-23 Input'!E95</f>
        <v>0</v>
      </c>
      <c r="N95" s="1066">
        <v>0</v>
      </c>
      <c r="O95" s="563">
        <f t="shared" si="95"/>
        <v>0</v>
      </c>
      <c r="P95" s="564">
        <f t="shared" si="96"/>
        <v>0</v>
      </c>
      <c r="Q95" s="564">
        <f t="shared" si="97"/>
        <v>0</v>
      </c>
      <c r="R95" s="564">
        <f t="shared" si="98"/>
        <v>0</v>
      </c>
      <c r="S95" s="564">
        <f t="shared" si="99"/>
        <v>0</v>
      </c>
      <c r="T95" s="564">
        <f t="shared" si="100"/>
        <v>0</v>
      </c>
      <c r="U95" s="564">
        <f t="shared" si="101"/>
        <v>0</v>
      </c>
      <c r="V95" s="564">
        <f t="shared" si="102"/>
        <v>0</v>
      </c>
      <c r="W95" s="676">
        <f t="shared" si="103"/>
        <v>0</v>
      </c>
      <c r="X95" s="676">
        <f t="shared" si="104"/>
        <v>0</v>
      </c>
      <c r="Y95" s="676">
        <f t="shared" si="105"/>
        <v>0</v>
      </c>
      <c r="Z95" s="105">
        <v>0</v>
      </c>
      <c r="AA95" s="106">
        <v>0</v>
      </c>
      <c r="AB95" s="106">
        <v>0</v>
      </c>
      <c r="AC95" s="106">
        <v>0</v>
      </c>
      <c r="AD95" s="106">
        <v>0</v>
      </c>
      <c r="AE95" s="106">
        <v>0</v>
      </c>
      <c r="AF95" s="106">
        <v>0</v>
      </c>
      <c r="AG95" s="106">
        <v>0</v>
      </c>
      <c r="AH95" s="106">
        <v>0</v>
      </c>
      <c r="AI95" s="1095">
        <f>'2022-23 Input'!L95</f>
        <v>0</v>
      </c>
      <c r="AJ95" s="666">
        <v>0</v>
      </c>
      <c r="AK95" s="107">
        <f t="shared" si="106"/>
        <v>0</v>
      </c>
      <c r="AL95" s="108">
        <f t="shared" si="107"/>
        <v>0</v>
      </c>
      <c r="AM95" s="109">
        <f t="shared" si="108"/>
        <v>0</v>
      </c>
      <c r="AN95" s="110" t="str">
        <f t="shared" si="109"/>
        <v/>
      </c>
      <c r="AO95" s="111" t="str">
        <f t="shared" si="110"/>
        <v/>
      </c>
      <c r="AP95" s="111" t="str">
        <f t="shared" si="111"/>
        <v/>
      </c>
      <c r="AQ95" s="111" t="str">
        <f t="shared" si="112"/>
        <v/>
      </c>
      <c r="AR95" s="111" t="str">
        <f t="shared" si="113"/>
        <v/>
      </c>
      <c r="AS95" s="111" t="str">
        <f t="shared" si="114"/>
        <v/>
      </c>
      <c r="AT95" s="111" t="str">
        <f t="shared" si="115"/>
        <v/>
      </c>
      <c r="AU95" s="111" t="str">
        <f t="shared" si="116"/>
        <v/>
      </c>
      <c r="AV95" s="111" t="str">
        <f t="shared" si="139"/>
        <v/>
      </c>
      <c r="AW95" s="111" t="str">
        <f t="shared" si="139"/>
        <v/>
      </c>
      <c r="AX95" s="111" t="str">
        <f t="shared" si="139"/>
        <v/>
      </c>
      <c r="AY95" s="112" t="str">
        <f t="shared" si="118"/>
        <v/>
      </c>
      <c r="AZ95" s="113" t="str">
        <f t="shared" si="119"/>
        <v/>
      </c>
      <c r="BA95" s="114" t="str">
        <f t="shared" si="120"/>
        <v/>
      </c>
      <c r="BB95" s="250" t="s">
        <v>422</v>
      </c>
      <c r="BC95" s="230" t="s">
        <v>433</v>
      </c>
      <c r="BD95" s="251">
        <v>-0.125</v>
      </c>
      <c r="BE95" s="270">
        <f t="shared" si="121"/>
        <v>0</v>
      </c>
      <c r="BF95" s="271">
        <f t="shared" si="140"/>
        <v>0</v>
      </c>
      <c r="BG95" s="271">
        <f t="shared" si="140"/>
        <v>0</v>
      </c>
      <c r="BH95" s="271">
        <f t="shared" si="140"/>
        <v>1</v>
      </c>
      <c r="BI95" s="271">
        <f t="shared" si="140"/>
        <v>2</v>
      </c>
      <c r="BJ95" s="271">
        <f t="shared" si="140"/>
        <v>3</v>
      </c>
      <c r="BK95" s="271">
        <f t="shared" si="140"/>
        <v>4</v>
      </c>
      <c r="BL95" s="272">
        <f t="shared" si="140"/>
        <v>5</v>
      </c>
      <c r="BM95" s="257">
        <f>IF($BC95=Lookup!$A$2,$BD95*ROUNDUP(BE95/10,0)+1,
IF($BC95=Lookup!$A$3,($BD95+1)^BD95,
IF($BC95=Lookup!$A$4,BE95*$BD95+1,"Error")))</f>
        <v>1</v>
      </c>
      <c r="BN95" s="230">
        <f>IF($BC95=Lookup!$A$2,$BD95*ROUNDUP(BF95/10,0)+1,
IF($BC95=Lookup!$A$3,($BD95+1)^BE95,
IF($BC95=Lookup!$A$4,BF95*$BD95+1,"Error")))</f>
        <v>1</v>
      </c>
      <c r="BO95" s="230">
        <f>IF($BC95=Lookup!$A$2,$BD95*ROUNDUP(BG95/10,0)+1,
IF($BC95=Lookup!$A$3,($BD95+1)^BF95,
IF($BC95=Lookup!$A$4,BG95*$BD95+1,"Error")))</f>
        <v>1</v>
      </c>
      <c r="BP95" s="230">
        <f>IF($BC95=Lookup!$A$2,$BD95*ROUNDUP(BH95/10,0)+1,
IF($BC95=Lookup!$A$3,($BD95+1)^BG95,
IF($BC95=Lookup!$A$4,BH95*$BD95+1,"Error")))</f>
        <v>0.875</v>
      </c>
      <c r="BQ95" s="230">
        <f>IF($BC95=Lookup!$A$2,$BD95*ROUNDUP(BI95/10,0)+1,
IF($BC95=Lookup!$A$3,($BD95+1)^BH95,
IF($BC95=Lookup!$A$4,BI95*$BD95+1,"Error")))</f>
        <v>0.875</v>
      </c>
      <c r="BR95" s="230">
        <f>IF($BC95=Lookup!$A$2,$BD95*ROUNDUP(BJ95/10,0)+1,
IF($BC95=Lookup!$A$3,($BD95+1)^BI95,
IF($BC95=Lookup!$A$4,BJ95*$BD95+1,"Error")))</f>
        <v>0.875</v>
      </c>
      <c r="BS95" s="230">
        <f>IF($BC95=Lookup!$A$2,$BD95*ROUNDUP(BK95/10,0)+1,
IF($BC95=Lookup!$A$3,($BD95+1)^BJ95,
IF($BC95=Lookup!$A$4,BK95*$BD95+1,"Error")))</f>
        <v>0.875</v>
      </c>
      <c r="BT95" s="251">
        <f>IF($BC95=Lookup!$A$2,$BD95*ROUNDUP(BL95/10,0)+1,
IF($BC95=Lookup!$A$3,($BD95+1)^BK95,
IF($BC95=Lookup!$A$4,BL95*$BD95+1,"Error")))</f>
        <v>0.875</v>
      </c>
      <c r="BU95" s="322"/>
      <c r="BV95" s="323"/>
      <c r="BW95" s="323"/>
      <c r="BX95" s="323"/>
      <c r="BY95" s="323"/>
      <c r="BZ95" s="323"/>
      <c r="CA95" s="323"/>
      <c r="CB95" s="278"/>
      <c r="CC95" s="384" t="s">
        <v>292</v>
      </c>
      <c r="CD95" s="385">
        <f>HLOOKUP($CC95,$AK$6:$AM$132,ROWS(CD$6:CD95),0)</f>
        <v>0</v>
      </c>
      <c r="CE95" s="240">
        <f t="shared" si="122"/>
        <v>0</v>
      </c>
      <c r="CF95" s="141">
        <f t="shared" si="123"/>
        <v>0</v>
      </c>
      <c r="CG95" s="141">
        <f t="shared" si="124"/>
        <v>0</v>
      </c>
      <c r="CH95" s="141">
        <f t="shared" si="125"/>
        <v>0</v>
      </c>
      <c r="CI95" s="141">
        <f t="shared" si="126"/>
        <v>0</v>
      </c>
      <c r="CJ95" s="141">
        <f t="shared" si="127"/>
        <v>0</v>
      </c>
      <c r="CK95" s="141">
        <f t="shared" si="128"/>
        <v>0</v>
      </c>
      <c r="CL95" s="292">
        <f t="shared" si="129"/>
        <v>0</v>
      </c>
      <c r="CM95" s="308" t="s">
        <v>293</v>
      </c>
      <c r="CN95" s="316">
        <v>0.05</v>
      </c>
      <c r="CO95" s="309"/>
      <c r="CP95" s="310" t="str">
        <f>IF($CO95&lt;&gt;"",$CO95,HLOOKUP($CM95,$AY$6:$BA$132,ROWS(CP$6:CP95),0))</f>
        <v/>
      </c>
      <c r="CQ95" s="785" t="str">
        <f t="shared" si="130"/>
        <v/>
      </c>
      <c r="CR95" s="785" t="str">
        <f t="shared" si="131"/>
        <v/>
      </c>
      <c r="CS95" s="117" t="str">
        <f t="shared" si="132"/>
        <v/>
      </c>
      <c r="CT95" s="117" t="str">
        <f t="shared" si="133"/>
        <v/>
      </c>
      <c r="CU95" s="117" t="str">
        <f t="shared" si="134"/>
        <v/>
      </c>
      <c r="CV95" s="117" t="str">
        <f t="shared" si="135"/>
        <v/>
      </c>
      <c r="CW95" s="117" t="str">
        <f t="shared" si="136"/>
        <v/>
      </c>
      <c r="CX95" s="118" t="str">
        <f t="shared" si="137"/>
        <v/>
      </c>
      <c r="CY95" s="393"/>
    </row>
    <row r="96" spans="1:103" x14ac:dyDescent="0.25">
      <c r="A96" s="63" t="s">
        <v>196</v>
      </c>
      <c r="B96" s="64" t="s">
        <v>193</v>
      </c>
      <c r="C96" s="65" t="s">
        <v>387</v>
      </c>
      <c r="D96" s="66">
        <v>187471.91703790147</v>
      </c>
      <c r="E96" s="67">
        <v>236912.01212954565</v>
      </c>
      <c r="F96" s="67">
        <v>370621.08704470296</v>
      </c>
      <c r="G96" s="67">
        <v>284933.93219905341</v>
      </c>
      <c r="H96" s="67">
        <v>298762.95967337186</v>
      </c>
      <c r="I96" s="67">
        <v>1605404.4858244048</v>
      </c>
      <c r="J96" s="67">
        <v>2030803.2915047843</v>
      </c>
      <c r="K96" s="67">
        <v>113144.86342344902</v>
      </c>
      <c r="L96" s="67">
        <v>0</v>
      </c>
      <c r="M96" s="653">
        <f>'2022-23 Input'!E96</f>
        <v>0</v>
      </c>
      <c r="N96" s="1064">
        <v>0</v>
      </c>
      <c r="O96" s="557">
        <f t="shared" si="95"/>
        <v>252235.27545241563</v>
      </c>
      <c r="P96" s="558">
        <f t="shared" si="96"/>
        <v>314010.50686582818</v>
      </c>
      <c r="Q96" s="558">
        <f t="shared" si="97"/>
        <v>486256.99643429217</v>
      </c>
      <c r="R96" s="558">
        <f t="shared" si="98"/>
        <v>366743.23672265303</v>
      </c>
      <c r="S96" s="558">
        <f t="shared" si="99"/>
        <v>376715.83207752596</v>
      </c>
      <c r="T96" s="558">
        <f t="shared" si="100"/>
        <v>1992545.0394989527</v>
      </c>
      <c r="U96" s="558">
        <f t="shared" si="101"/>
        <v>2529341.0767449695</v>
      </c>
      <c r="V96" s="558">
        <f t="shared" si="102"/>
        <v>135701.28644452561</v>
      </c>
      <c r="W96" s="674">
        <f t="shared" si="103"/>
        <v>0</v>
      </c>
      <c r="X96" s="674">
        <f t="shared" si="104"/>
        <v>0</v>
      </c>
      <c r="Y96" s="674">
        <f t="shared" si="105"/>
        <v>0</v>
      </c>
      <c r="Z96" s="68">
        <v>110</v>
      </c>
      <c r="AA96" s="69">
        <v>130</v>
      </c>
      <c r="AB96" s="69">
        <v>166</v>
      </c>
      <c r="AC96" s="69">
        <v>143</v>
      </c>
      <c r="AD96" s="69">
        <v>174</v>
      </c>
      <c r="AE96" s="69">
        <v>10204</v>
      </c>
      <c r="AF96" s="69">
        <v>174</v>
      </c>
      <c r="AG96" s="69">
        <v>5</v>
      </c>
      <c r="AH96" s="69">
        <v>0</v>
      </c>
      <c r="AI96" s="1093">
        <f>'2022-23 Input'!L96</f>
        <v>0</v>
      </c>
      <c r="AJ96" s="664">
        <v>0</v>
      </c>
      <c r="AK96" s="70">
        <f t="shared" si="106"/>
        <v>2076.6</v>
      </c>
      <c r="AL96" s="71">
        <f t="shared" si="107"/>
        <v>1.6666666666666667</v>
      </c>
      <c r="AM96" s="72">
        <f t="shared" si="108"/>
        <v>0</v>
      </c>
      <c r="AN96" s="73">
        <f t="shared" si="109"/>
        <v>1704.2901548900134</v>
      </c>
      <c r="AO96" s="74">
        <f t="shared" si="110"/>
        <v>1822.4000933041973</v>
      </c>
      <c r="AP96" s="74">
        <f t="shared" si="111"/>
        <v>2232.6571508717047</v>
      </c>
      <c r="AQ96" s="74">
        <f t="shared" si="112"/>
        <v>1992.544980412961</v>
      </c>
      <c r="AR96" s="74">
        <f t="shared" si="113"/>
        <v>1717.0285038699533</v>
      </c>
      <c r="AS96" s="74">
        <f t="shared" si="114"/>
        <v>157.33089825797774</v>
      </c>
      <c r="AT96" s="74">
        <f t="shared" si="115"/>
        <v>11671.283284510255</v>
      </c>
      <c r="AU96" s="74">
        <f t="shared" si="116"/>
        <v>22628.972684689805</v>
      </c>
      <c r="AV96" s="74" t="str">
        <f t="shared" si="139"/>
        <v/>
      </c>
      <c r="AW96" s="74" t="str">
        <f t="shared" si="139"/>
        <v/>
      </c>
      <c r="AX96" s="74" t="str">
        <f t="shared" si="139"/>
        <v/>
      </c>
      <c r="AY96" s="75">
        <f t="shared" si="118"/>
        <v>361.1049446935026</v>
      </c>
      <c r="AZ96" s="76">
        <f t="shared" si="119"/>
        <v>22628.972684689805</v>
      </c>
      <c r="BA96" s="77" t="str">
        <f t="shared" si="120"/>
        <v/>
      </c>
      <c r="BB96" s="246" t="s">
        <v>422</v>
      </c>
      <c r="BC96" s="228" t="s">
        <v>433</v>
      </c>
      <c r="BD96" s="247">
        <v>-0.45359127389999998</v>
      </c>
      <c r="BE96" s="264">
        <f t="shared" si="121"/>
        <v>0</v>
      </c>
      <c r="BF96" s="265">
        <f t="shared" si="140"/>
        <v>0</v>
      </c>
      <c r="BG96" s="265">
        <f t="shared" si="140"/>
        <v>0</v>
      </c>
      <c r="BH96" s="265">
        <f t="shared" si="140"/>
        <v>1</v>
      </c>
      <c r="BI96" s="265">
        <f t="shared" si="140"/>
        <v>2</v>
      </c>
      <c r="BJ96" s="265">
        <f t="shared" si="140"/>
        <v>3</v>
      </c>
      <c r="BK96" s="265">
        <f t="shared" si="140"/>
        <v>4</v>
      </c>
      <c r="BL96" s="266">
        <f t="shared" si="140"/>
        <v>5</v>
      </c>
      <c r="BM96" s="255">
        <f>IF($BC96=Lookup!$A$2,$BD96*ROUNDUP(BE96/10,0)+1,
IF($BC96=Lookup!$A$3,($BD96+1)^BD96,
IF($BC96=Lookup!$A$4,BE96*$BD96+1,"Error")))</f>
        <v>1</v>
      </c>
      <c r="BN96" s="228">
        <f>IF($BC96=Lookup!$A$2,$BD96*ROUNDUP(BF96/10,0)+1,
IF($BC96=Lookup!$A$3,($BD96+1)^BE96,
IF($BC96=Lookup!$A$4,BF96*$BD96+1,"Error")))</f>
        <v>1</v>
      </c>
      <c r="BO96" s="228">
        <f>IF($BC96=Lookup!$A$2,$BD96*ROUNDUP(BG96/10,0)+1,
IF($BC96=Lookup!$A$3,($BD96+1)^BF96,
IF($BC96=Lookup!$A$4,BG96*$BD96+1,"Error")))</f>
        <v>1</v>
      </c>
      <c r="BP96" s="228">
        <f>IF($BC96=Lookup!$A$2,$BD96*ROUNDUP(BH96/10,0)+1,
IF($BC96=Lookup!$A$3,($BD96+1)^BG96,
IF($BC96=Lookup!$A$4,BH96*$BD96+1,"Error")))</f>
        <v>0.54640872610000002</v>
      </c>
      <c r="BQ96" s="228">
        <f>IF($BC96=Lookup!$A$2,$BD96*ROUNDUP(BI96/10,0)+1,
IF($BC96=Lookup!$A$3,($BD96+1)^BH96,
IF($BC96=Lookup!$A$4,BI96*$BD96+1,"Error")))</f>
        <v>0.54640872610000002</v>
      </c>
      <c r="BR96" s="228">
        <f>IF($BC96=Lookup!$A$2,$BD96*ROUNDUP(BJ96/10,0)+1,
IF($BC96=Lookup!$A$3,($BD96+1)^BI96,
IF($BC96=Lookup!$A$4,BJ96*$BD96+1,"Error")))</f>
        <v>0.54640872610000002</v>
      </c>
      <c r="BS96" s="228">
        <f>IF($BC96=Lookup!$A$2,$BD96*ROUNDUP(BK96/10,0)+1,
IF($BC96=Lookup!$A$3,($BD96+1)^BJ96,
IF($BC96=Lookup!$A$4,BK96*$BD96+1,"Error")))</f>
        <v>0.54640872610000002</v>
      </c>
      <c r="BT96" s="247">
        <f>IF($BC96=Lookup!$A$2,$BD96*ROUNDUP(BL96/10,0)+1,
IF($BC96=Lookup!$A$3,($BD96+1)^BK96,
IF($BC96=Lookup!$A$4,BL96*$BD96+1,"Error")))</f>
        <v>0.54640872610000002</v>
      </c>
      <c r="BU96" s="318"/>
      <c r="BV96" s="319"/>
      <c r="BW96" s="319"/>
      <c r="BX96" s="319"/>
      <c r="BY96" s="319"/>
      <c r="BZ96" s="319"/>
      <c r="CA96" s="319"/>
      <c r="CB96" s="276"/>
      <c r="CC96" s="380" t="s">
        <v>293</v>
      </c>
      <c r="CD96" s="381">
        <f>HLOOKUP($CC96,$AK$6:$AM$132,ROWS(CD$6:CD96),0)</f>
        <v>1.6666666666666667</v>
      </c>
      <c r="CE96" s="233">
        <f t="shared" si="122"/>
        <v>1.6666666666666667</v>
      </c>
      <c r="CF96" s="78">
        <f t="shared" si="123"/>
        <v>1.6666666666666667</v>
      </c>
      <c r="CG96" s="78">
        <f t="shared" si="124"/>
        <v>1.6666666666666667</v>
      </c>
      <c r="CH96" s="78">
        <f t="shared" si="125"/>
        <v>0.9106812101666667</v>
      </c>
      <c r="CI96" s="78">
        <f t="shared" si="126"/>
        <v>0.9106812101666667</v>
      </c>
      <c r="CJ96" s="78">
        <f t="shared" si="127"/>
        <v>0.9106812101666667</v>
      </c>
      <c r="CK96" s="78">
        <f t="shared" si="128"/>
        <v>0.9106812101666667</v>
      </c>
      <c r="CL96" s="285">
        <f t="shared" si="129"/>
        <v>0.9106812101666667</v>
      </c>
      <c r="CM96" s="302" t="s">
        <v>293</v>
      </c>
      <c r="CN96" s="314">
        <v>0.05</v>
      </c>
      <c r="CO96" s="303"/>
      <c r="CP96" s="304">
        <f>IF($CO96&lt;&gt;"",$CO96,HLOOKUP($CM96,$AY$6:$BA$132,ROWS(CP$6:CP96),0))</f>
        <v>22628.972684689805</v>
      </c>
      <c r="CQ96" s="783">
        <f t="shared" si="130"/>
        <v>37714.954474483013</v>
      </c>
      <c r="CR96" s="783">
        <f t="shared" si="131"/>
        <v>37714.954474483013</v>
      </c>
      <c r="CS96" s="79">
        <f t="shared" si="132"/>
        <v>37714.954474483013</v>
      </c>
      <c r="CT96" s="79">
        <f t="shared" si="133"/>
        <v>20607.780229321757</v>
      </c>
      <c r="CU96" s="79">
        <f t="shared" si="134"/>
        <v>20607.780229321757</v>
      </c>
      <c r="CV96" s="79">
        <f t="shared" si="135"/>
        <v>20607.780229321757</v>
      </c>
      <c r="CW96" s="79">
        <f t="shared" si="136"/>
        <v>20607.780229321757</v>
      </c>
      <c r="CX96" s="80">
        <f t="shared" si="137"/>
        <v>20607.780229321757</v>
      </c>
      <c r="CY96" s="391"/>
    </row>
    <row r="97" spans="1:103" x14ac:dyDescent="0.25">
      <c r="A97" s="81" t="s">
        <v>196</v>
      </c>
      <c r="B97" s="82" t="s">
        <v>197</v>
      </c>
      <c r="C97" s="83" t="s">
        <v>388</v>
      </c>
      <c r="D97" s="84">
        <v>678476.64615572465</v>
      </c>
      <c r="E97" s="85">
        <v>222987.94057271318</v>
      </c>
      <c r="F97" s="85">
        <v>333093.68191459577</v>
      </c>
      <c r="G97" s="85">
        <v>441591.58485351328</v>
      </c>
      <c r="H97" s="85">
        <v>304688.27863103966</v>
      </c>
      <c r="I97" s="85">
        <v>816787.12966950121</v>
      </c>
      <c r="J97" s="85">
        <v>581105.16695779643</v>
      </c>
      <c r="K97" s="85">
        <v>174.69900000000001</v>
      </c>
      <c r="L97" s="85">
        <v>0</v>
      </c>
      <c r="M97" s="654">
        <f>'2022-23 Input'!E97</f>
        <v>0</v>
      </c>
      <c r="N97" s="1065">
        <v>0</v>
      </c>
      <c r="O97" s="560">
        <f t="shared" si="95"/>
        <v>912860.69100430422</v>
      </c>
      <c r="P97" s="561">
        <f t="shared" si="96"/>
        <v>295555.11185273697</v>
      </c>
      <c r="Q97" s="561">
        <f t="shared" si="97"/>
        <v>437020.82520602702</v>
      </c>
      <c r="R97" s="561">
        <f t="shared" si="98"/>
        <v>568379.92544013879</v>
      </c>
      <c r="S97" s="561">
        <f t="shared" si="99"/>
        <v>384187.17813696695</v>
      </c>
      <c r="T97" s="561">
        <f t="shared" si="100"/>
        <v>1013753.9529259562</v>
      </c>
      <c r="U97" s="561">
        <f t="shared" si="101"/>
        <v>723759.49696535908</v>
      </c>
      <c r="V97" s="561">
        <f t="shared" si="102"/>
        <v>209.52678118359003</v>
      </c>
      <c r="W97" s="675">
        <f t="shared" si="103"/>
        <v>0</v>
      </c>
      <c r="X97" s="675">
        <f t="shared" si="104"/>
        <v>0</v>
      </c>
      <c r="Y97" s="675">
        <f t="shared" si="105"/>
        <v>0</v>
      </c>
      <c r="Z97" s="86">
        <v>15</v>
      </c>
      <c r="AA97" s="87">
        <v>6</v>
      </c>
      <c r="AB97" s="87">
        <v>5</v>
      </c>
      <c r="AC97" s="87">
        <v>9</v>
      </c>
      <c r="AD97" s="87">
        <v>9</v>
      </c>
      <c r="AE97" s="87">
        <v>22</v>
      </c>
      <c r="AF97" s="87">
        <v>11</v>
      </c>
      <c r="AG97" s="87">
        <v>0</v>
      </c>
      <c r="AH97" s="87">
        <v>0</v>
      </c>
      <c r="AI97" s="1094">
        <f>'2022-23 Input'!L97</f>
        <v>0</v>
      </c>
      <c r="AJ97" s="665">
        <v>0</v>
      </c>
      <c r="AK97" s="88">
        <f t="shared" si="106"/>
        <v>6.6</v>
      </c>
      <c r="AL97" s="89">
        <f t="shared" si="107"/>
        <v>0</v>
      </c>
      <c r="AM97" s="90">
        <f t="shared" si="108"/>
        <v>0</v>
      </c>
      <c r="AN97" s="91">
        <f t="shared" si="109"/>
        <v>45231.776410381644</v>
      </c>
      <c r="AO97" s="92">
        <f t="shared" si="110"/>
        <v>37164.656762118866</v>
      </c>
      <c r="AP97" s="92">
        <f t="shared" si="111"/>
        <v>66618.73638291916</v>
      </c>
      <c r="AQ97" s="92">
        <f t="shared" si="112"/>
        <v>49065.731650390364</v>
      </c>
      <c r="AR97" s="92">
        <f t="shared" si="113"/>
        <v>33854.253181226632</v>
      </c>
      <c r="AS97" s="92">
        <f t="shared" si="114"/>
        <v>37126.687712250052</v>
      </c>
      <c r="AT97" s="92">
        <f t="shared" si="115"/>
        <v>52827.742450708763</v>
      </c>
      <c r="AU97" s="92" t="str">
        <f t="shared" si="116"/>
        <v/>
      </c>
      <c r="AV97" s="92" t="str">
        <f t="shared" si="139"/>
        <v/>
      </c>
      <c r="AW97" s="92" t="str">
        <f t="shared" si="139"/>
        <v/>
      </c>
      <c r="AX97" s="92" t="str">
        <f t="shared" si="139"/>
        <v/>
      </c>
      <c r="AY97" s="93">
        <f t="shared" si="118"/>
        <v>42365.666534160533</v>
      </c>
      <c r="AZ97" s="94" t="str">
        <f t="shared" si="119"/>
        <v/>
      </c>
      <c r="BA97" s="95" t="str">
        <f t="shared" si="120"/>
        <v/>
      </c>
      <c r="BB97" s="248" t="s">
        <v>422</v>
      </c>
      <c r="BC97" s="229" t="s">
        <v>433</v>
      </c>
      <c r="BD97" s="249">
        <v>-0.22178571429999999</v>
      </c>
      <c r="BE97" s="267">
        <f t="shared" si="121"/>
        <v>0</v>
      </c>
      <c r="BF97" s="268">
        <f t="shared" ref="BF97:BL106" si="141">IF(BF$6=$BB97,1,
IF(BE97&lt;&gt;0,BE97+1,0
))</f>
        <v>0</v>
      </c>
      <c r="BG97" s="268">
        <f t="shared" si="141"/>
        <v>0</v>
      </c>
      <c r="BH97" s="268">
        <f t="shared" si="141"/>
        <v>1</v>
      </c>
      <c r="BI97" s="268">
        <f t="shared" si="141"/>
        <v>2</v>
      </c>
      <c r="BJ97" s="268">
        <f t="shared" si="141"/>
        <v>3</v>
      </c>
      <c r="BK97" s="268">
        <f t="shared" si="141"/>
        <v>4</v>
      </c>
      <c r="BL97" s="269">
        <f t="shared" si="141"/>
        <v>5</v>
      </c>
      <c r="BM97" s="256">
        <f>IF($BC97=Lookup!$A$2,$BD97*ROUNDUP(BE97/10,0)+1,
IF($BC97=Lookup!$A$3,($BD97+1)^BD97,
IF($BC97=Lookup!$A$4,BE97*$BD97+1,"Error")))</f>
        <v>1</v>
      </c>
      <c r="BN97" s="229">
        <f>IF($BC97=Lookup!$A$2,$BD97*ROUNDUP(BF97/10,0)+1,
IF($BC97=Lookup!$A$3,($BD97+1)^BE97,
IF($BC97=Lookup!$A$4,BF97*$BD97+1,"Error")))</f>
        <v>1</v>
      </c>
      <c r="BO97" s="229">
        <f>IF($BC97=Lookup!$A$2,$BD97*ROUNDUP(BG97/10,0)+1,
IF($BC97=Lookup!$A$3,($BD97+1)^BF97,
IF($BC97=Lookup!$A$4,BG97*$BD97+1,"Error")))</f>
        <v>1</v>
      </c>
      <c r="BP97" s="229">
        <f>IF($BC97=Lookup!$A$2,$BD97*ROUNDUP(BH97/10,0)+1,
IF($BC97=Lookup!$A$3,($BD97+1)^BG97,
IF($BC97=Lookup!$A$4,BH97*$BD97+1,"Error")))</f>
        <v>0.77821428570000006</v>
      </c>
      <c r="BQ97" s="229">
        <f>IF($BC97=Lookup!$A$2,$BD97*ROUNDUP(BI97/10,0)+1,
IF($BC97=Lookup!$A$3,($BD97+1)^BH97,
IF($BC97=Lookup!$A$4,BI97*$BD97+1,"Error")))</f>
        <v>0.77821428570000006</v>
      </c>
      <c r="BR97" s="229">
        <f>IF($BC97=Lookup!$A$2,$BD97*ROUNDUP(BJ97/10,0)+1,
IF($BC97=Lookup!$A$3,($BD97+1)^BI97,
IF($BC97=Lookup!$A$4,BJ97*$BD97+1,"Error")))</f>
        <v>0.77821428570000006</v>
      </c>
      <c r="BS97" s="229">
        <f>IF($BC97=Lookup!$A$2,$BD97*ROUNDUP(BK97/10,0)+1,
IF($BC97=Lookup!$A$3,($BD97+1)^BJ97,
IF($BC97=Lookup!$A$4,BK97*$BD97+1,"Error")))</f>
        <v>0.77821428570000006</v>
      </c>
      <c r="BT97" s="249">
        <f>IF($BC97=Lookup!$A$2,$BD97*ROUNDUP(BL97/10,0)+1,
IF($BC97=Lookup!$A$3,($BD97+1)^BK97,
IF($BC97=Lookup!$A$4,BL97*$BD97+1,"Error")))</f>
        <v>0.77821428570000006</v>
      </c>
      <c r="BU97" s="320"/>
      <c r="BV97" s="321"/>
      <c r="BW97" s="321"/>
      <c r="BX97" s="321"/>
      <c r="BY97" s="321"/>
      <c r="BZ97" s="321"/>
      <c r="CA97" s="321"/>
      <c r="CB97" s="277"/>
      <c r="CC97" s="382" t="s">
        <v>292</v>
      </c>
      <c r="CD97" s="383">
        <f>HLOOKUP($CC97,$AK$6:$AM$132,ROWS(CD$6:CD97),0)</f>
        <v>6.6</v>
      </c>
      <c r="CE97" s="234">
        <f t="shared" si="122"/>
        <v>6.6</v>
      </c>
      <c r="CF97" s="96">
        <f t="shared" si="123"/>
        <v>6.6</v>
      </c>
      <c r="CG97" s="96">
        <f t="shared" si="124"/>
        <v>6.6</v>
      </c>
      <c r="CH97" s="96">
        <f t="shared" si="125"/>
        <v>5.1362142856200004</v>
      </c>
      <c r="CI97" s="96">
        <f t="shared" si="126"/>
        <v>5.1362142856200004</v>
      </c>
      <c r="CJ97" s="96">
        <f t="shared" si="127"/>
        <v>5.1362142856200004</v>
      </c>
      <c r="CK97" s="96">
        <f t="shared" si="128"/>
        <v>5.1362142856200004</v>
      </c>
      <c r="CL97" s="286">
        <f t="shared" si="129"/>
        <v>5.1362142856200004</v>
      </c>
      <c r="CM97" s="305" t="s">
        <v>293</v>
      </c>
      <c r="CN97" s="315">
        <v>0.05</v>
      </c>
      <c r="CO97" s="306"/>
      <c r="CP97" s="307" t="str">
        <f>IF($CO97&lt;&gt;"",$CO97,HLOOKUP($CM97,$AY$6:$BA$132,ROWS(CP$6:CP97),0))</f>
        <v/>
      </c>
      <c r="CQ97" s="784" t="str">
        <f t="shared" si="130"/>
        <v/>
      </c>
      <c r="CR97" s="784" t="str">
        <f t="shared" si="131"/>
        <v/>
      </c>
      <c r="CS97" s="97" t="str">
        <f t="shared" si="132"/>
        <v/>
      </c>
      <c r="CT97" s="97" t="str">
        <f t="shared" si="133"/>
        <v/>
      </c>
      <c r="CU97" s="97" t="str">
        <f t="shared" si="134"/>
        <v/>
      </c>
      <c r="CV97" s="97" t="str">
        <f t="shared" si="135"/>
        <v/>
      </c>
      <c r="CW97" s="97" t="str">
        <f t="shared" si="136"/>
        <v/>
      </c>
      <c r="CX97" s="98" t="str">
        <f t="shared" si="137"/>
        <v/>
      </c>
      <c r="CY97" s="392"/>
    </row>
    <row r="98" spans="1:103" x14ac:dyDescent="0.25">
      <c r="A98" s="81" t="s">
        <v>196</v>
      </c>
      <c r="B98" s="82" t="s">
        <v>199</v>
      </c>
      <c r="C98" s="83" t="s">
        <v>389</v>
      </c>
      <c r="D98" s="84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654">
        <f>'2022-23 Input'!E98</f>
        <v>0</v>
      </c>
      <c r="N98" s="1065">
        <v>0</v>
      </c>
      <c r="O98" s="560">
        <f t="shared" si="95"/>
        <v>0</v>
      </c>
      <c r="P98" s="561">
        <f t="shared" si="96"/>
        <v>0</v>
      </c>
      <c r="Q98" s="561">
        <f t="shared" si="97"/>
        <v>0</v>
      </c>
      <c r="R98" s="561">
        <f t="shared" si="98"/>
        <v>0</v>
      </c>
      <c r="S98" s="561">
        <f t="shared" si="99"/>
        <v>0</v>
      </c>
      <c r="T98" s="561">
        <f t="shared" si="100"/>
        <v>0</v>
      </c>
      <c r="U98" s="561">
        <f t="shared" si="101"/>
        <v>0</v>
      </c>
      <c r="V98" s="561">
        <f t="shared" si="102"/>
        <v>0</v>
      </c>
      <c r="W98" s="675">
        <f t="shared" si="103"/>
        <v>0</v>
      </c>
      <c r="X98" s="675">
        <f t="shared" si="104"/>
        <v>0</v>
      </c>
      <c r="Y98" s="675">
        <f t="shared" si="105"/>
        <v>0</v>
      </c>
      <c r="Z98" s="86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87">
        <v>0</v>
      </c>
      <c r="AI98" s="1094">
        <f>'2022-23 Input'!L98</f>
        <v>0</v>
      </c>
      <c r="AJ98" s="665">
        <v>0</v>
      </c>
      <c r="AK98" s="88">
        <f t="shared" si="106"/>
        <v>0</v>
      </c>
      <c r="AL98" s="89">
        <f t="shared" si="107"/>
        <v>0</v>
      </c>
      <c r="AM98" s="90">
        <f t="shared" si="108"/>
        <v>0</v>
      </c>
      <c r="AN98" s="91" t="str">
        <f t="shared" si="109"/>
        <v/>
      </c>
      <c r="AO98" s="92" t="str">
        <f t="shared" si="110"/>
        <v/>
      </c>
      <c r="AP98" s="92" t="str">
        <f t="shared" si="111"/>
        <v/>
      </c>
      <c r="AQ98" s="92" t="str">
        <f t="shared" si="112"/>
        <v/>
      </c>
      <c r="AR98" s="92" t="str">
        <f t="shared" si="113"/>
        <v/>
      </c>
      <c r="AS98" s="92" t="str">
        <f t="shared" si="114"/>
        <v/>
      </c>
      <c r="AT98" s="92" t="str">
        <f t="shared" si="115"/>
        <v/>
      </c>
      <c r="AU98" s="92" t="str">
        <f t="shared" si="116"/>
        <v/>
      </c>
      <c r="AV98" s="92" t="str">
        <f t="shared" si="139"/>
        <v/>
      </c>
      <c r="AW98" s="92" t="str">
        <f t="shared" si="139"/>
        <v/>
      </c>
      <c r="AX98" s="92" t="str">
        <f t="shared" si="139"/>
        <v/>
      </c>
      <c r="AY98" s="93" t="str">
        <f t="shared" si="118"/>
        <v/>
      </c>
      <c r="AZ98" s="94" t="str">
        <f t="shared" si="119"/>
        <v/>
      </c>
      <c r="BA98" s="95" t="str">
        <f t="shared" si="120"/>
        <v/>
      </c>
      <c r="BB98" s="248" t="s">
        <v>422</v>
      </c>
      <c r="BC98" s="229" t="s">
        <v>433</v>
      </c>
      <c r="BD98" s="249">
        <v>-0.22178571429999999</v>
      </c>
      <c r="BE98" s="267">
        <f t="shared" si="121"/>
        <v>0</v>
      </c>
      <c r="BF98" s="268">
        <f t="shared" si="141"/>
        <v>0</v>
      </c>
      <c r="BG98" s="268">
        <f t="shared" si="141"/>
        <v>0</v>
      </c>
      <c r="BH98" s="268">
        <f t="shared" si="141"/>
        <v>1</v>
      </c>
      <c r="BI98" s="268">
        <f t="shared" si="141"/>
        <v>2</v>
      </c>
      <c r="BJ98" s="268">
        <f t="shared" si="141"/>
        <v>3</v>
      </c>
      <c r="BK98" s="268">
        <f t="shared" si="141"/>
        <v>4</v>
      </c>
      <c r="BL98" s="269">
        <f t="shared" si="141"/>
        <v>5</v>
      </c>
      <c r="BM98" s="256">
        <f>IF($BC98=Lookup!$A$2,$BD98*ROUNDUP(BE98/10,0)+1,
IF($BC98=Lookup!$A$3,($BD98+1)^BD98,
IF($BC98=Lookup!$A$4,BE98*$BD98+1,"Error")))</f>
        <v>1</v>
      </c>
      <c r="BN98" s="229">
        <f>IF($BC98=Lookup!$A$2,$BD98*ROUNDUP(BF98/10,0)+1,
IF($BC98=Lookup!$A$3,($BD98+1)^BE98,
IF($BC98=Lookup!$A$4,BF98*$BD98+1,"Error")))</f>
        <v>1</v>
      </c>
      <c r="BO98" s="229">
        <f>IF($BC98=Lookup!$A$2,$BD98*ROUNDUP(BG98/10,0)+1,
IF($BC98=Lookup!$A$3,($BD98+1)^BF98,
IF($BC98=Lookup!$A$4,BG98*$BD98+1,"Error")))</f>
        <v>1</v>
      </c>
      <c r="BP98" s="229">
        <f>IF($BC98=Lookup!$A$2,$BD98*ROUNDUP(BH98/10,0)+1,
IF($BC98=Lookup!$A$3,($BD98+1)^BG98,
IF($BC98=Lookup!$A$4,BH98*$BD98+1,"Error")))</f>
        <v>0.77821428570000006</v>
      </c>
      <c r="BQ98" s="229">
        <f>IF($BC98=Lookup!$A$2,$BD98*ROUNDUP(BI98/10,0)+1,
IF($BC98=Lookup!$A$3,($BD98+1)^BH98,
IF($BC98=Lookup!$A$4,BI98*$BD98+1,"Error")))</f>
        <v>0.77821428570000006</v>
      </c>
      <c r="BR98" s="229">
        <f>IF($BC98=Lookup!$A$2,$BD98*ROUNDUP(BJ98/10,0)+1,
IF($BC98=Lookup!$A$3,($BD98+1)^BI98,
IF($BC98=Lookup!$A$4,BJ98*$BD98+1,"Error")))</f>
        <v>0.77821428570000006</v>
      </c>
      <c r="BS98" s="229">
        <f>IF($BC98=Lookup!$A$2,$BD98*ROUNDUP(BK98/10,0)+1,
IF($BC98=Lookup!$A$3,($BD98+1)^BJ98,
IF($BC98=Lookup!$A$4,BK98*$BD98+1,"Error")))</f>
        <v>0.77821428570000006</v>
      </c>
      <c r="BT98" s="249">
        <f>IF($BC98=Lookup!$A$2,$BD98*ROUNDUP(BL98/10,0)+1,
IF($BC98=Lookup!$A$3,($BD98+1)^BK98,
IF($BC98=Lookup!$A$4,BL98*$BD98+1,"Error")))</f>
        <v>0.77821428570000006</v>
      </c>
      <c r="BU98" s="320"/>
      <c r="BV98" s="321"/>
      <c r="BW98" s="321"/>
      <c r="BX98" s="321"/>
      <c r="BY98" s="321"/>
      <c r="BZ98" s="321"/>
      <c r="CA98" s="321"/>
      <c r="CB98" s="277"/>
      <c r="CC98" s="382" t="s">
        <v>292</v>
      </c>
      <c r="CD98" s="383">
        <f>HLOOKUP($CC98,$AK$6:$AM$132,ROWS(CD$6:CD98),0)</f>
        <v>0</v>
      </c>
      <c r="CE98" s="234">
        <f t="shared" si="122"/>
        <v>0</v>
      </c>
      <c r="CF98" s="96">
        <f t="shared" si="123"/>
        <v>0</v>
      </c>
      <c r="CG98" s="96">
        <f t="shared" si="124"/>
        <v>0</v>
      </c>
      <c r="CH98" s="96">
        <f t="shared" si="125"/>
        <v>0</v>
      </c>
      <c r="CI98" s="96">
        <f t="shared" si="126"/>
        <v>0</v>
      </c>
      <c r="CJ98" s="96">
        <f t="shared" si="127"/>
        <v>0</v>
      </c>
      <c r="CK98" s="96">
        <f t="shared" si="128"/>
        <v>0</v>
      </c>
      <c r="CL98" s="286">
        <f t="shared" si="129"/>
        <v>0</v>
      </c>
      <c r="CM98" s="305" t="s">
        <v>293</v>
      </c>
      <c r="CN98" s="315">
        <v>0.05</v>
      </c>
      <c r="CO98" s="306"/>
      <c r="CP98" s="307" t="str">
        <f>IF($CO98&lt;&gt;"",$CO98,HLOOKUP($CM98,$AY$6:$BA$132,ROWS(CP$6:CP98),0))</f>
        <v/>
      </c>
      <c r="CQ98" s="784" t="str">
        <f t="shared" si="130"/>
        <v/>
      </c>
      <c r="CR98" s="784" t="str">
        <f t="shared" si="131"/>
        <v/>
      </c>
      <c r="CS98" s="97" t="str">
        <f t="shared" si="132"/>
        <v/>
      </c>
      <c r="CT98" s="97" t="str">
        <f t="shared" si="133"/>
        <v/>
      </c>
      <c r="CU98" s="97" t="str">
        <f t="shared" si="134"/>
        <v/>
      </c>
      <c r="CV98" s="97" t="str">
        <f t="shared" si="135"/>
        <v/>
      </c>
      <c r="CW98" s="97" t="str">
        <f t="shared" si="136"/>
        <v/>
      </c>
      <c r="CX98" s="98" t="str">
        <f t="shared" si="137"/>
        <v/>
      </c>
      <c r="CY98" s="392"/>
    </row>
    <row r="99" spans="1:103" x14ac:dyDescent="0.25">
      <c r="A99" s="81" t="s">
        <v>196</v>
      </c>
      <c r="B99" s="82" t="s">
        <v>201</v>
      </c>
      <c r="C99" s="83" t="s">
        <v>390</v>
      </c>
      <c r="D99" s="84">
        <v>117129.76773419906</v>
      </c>
      <c r="E99" s="85">
        <v>232146.31403978623</v>
      </c>
      <c r="F99" s="85">
        <v>454467.30395812949</v>
      </c>
      <c r="G99" s="85">
        <v>486003.26488590933</v>
      </c>
      <c r="H99" s="85">
        <v>302181.35225198837</v>
      </c>
      <c r="I99" s="85">
        <v>301552.16424100229</v>
      </c>
      <c r="J99" s="85">
        <v>1444915.9005891127</v>
      </c>
      <c r="K99" s="85">
        <v>39744.164085237004</v>
      </c>
      <c r="L99" s="85">
        <v>0</v>
      </c>
      <c r="M99" s="654">
        <f>'2022-23 Input'!E99</f>
        <v>0</v>
      </c>
      <c r="N99" s="1065">
        <v>0</v>
      </c>
      <c r="O99" s="560">
        <f t="shared" si="95"/>
        <v>157592.98616517673</v>
      </c>
      <c r="P99" s="561">
        <f t="shared" si="96"/>
        <v>307693.9032488002</v>
      </c>
      <c r="Q99" s="561">
        <f t="shared" si="97"/>
        <v>596263.71495050902</v>
      </c>
      <c r="R99" s="561">
        <f t="shared" si="98"/>
        <v>625542.9426970419</v>
      </c>
      <c r="S99" s="561">
        <f t="shared" si="99"/>
        <v>381026.14753975405</v>
      </c>
      <c r="T99" s="561">
        <f t="shared" si="100"/>
        <v>374270.95433835906</v>
      </c>
      <c r="U99" s="561">
        <f t="shared" si="101"/>
        <v>1799625.3773520063</v>
      </c>
      <c r="V99" s="561">
        <f t="shared" si="102"/>
        <v>47667.512530765212</v>
      </c>
      <c r="W99" s="675">
        <f t="shared" si="103"/>
        <v>0</v>
      </c>
      <c r="X99" s="675">
        <f t="shared" si="104"/>
        <v>0</v>
      </c>
      <c r="Y99" s="675">
        <f t="shared" si="105"/>
        <v>0</v>
      </c>
      <c r="Z99" s="86">
        <v>42</v>
      </c>
      <c r="AA99" s="87">
        <v>49</v>
      </c>
      <c r="AB99" s="87">
        <v>120</v>
      </c>
      <c r="AC99" s="87">
        <v>120</v>
      </c>
      <c r="AD99" s="87">
        <v>111</v>
      </c>
      <c r="AE99" s="87">
        <v>170</v>
      </c>
      <c r="AF99" s="87">
        <v>187</v>
      </c>
      <c r="AG99" s="87">
        <v>14</v>
      </c>
      <c r="AH99" s="87">
        <v>0</v>
      </c>
      <c r="AI99" s="1094">
        <f>'2022-23 Input'!L99</f>
        <v>0</v>
      </c>
      <c r="AJ99" s="665">
        <v>0</v>
      </c>
      <c r="AK99" s="88">
        <f t="shared" si="106"/>
        <v>74.2</v>
      </c>
      <c r="AL99" s="89">
        <f t="shared" si="107"/>
        <v>4.666666666666667</v>
      </c>
      <c r="AM99" s="90">
        <f t="shared" si="108"/>
        <v>0</v>
      </c>
      <c r="AN99" s="91">
        <f t="shared" si="109"/>
        <v>2788.8039936714063</v>
      </c>
      <c r="AO99" s="92">
        <f t="shared" si="110"/>
        <v>4737.6798783629847</v>
      </c>
      <c r="AP99" s="92">
        <f t="shared" si="111"/>
        <v>3787.2275329844124</v>
      </c>
      <c r="AQ99" s="92">
        <f t="shared" si="112"/>
        <v>4050.0272073825777</v>
      </c>
      <c r="AR99" s="92">
        <f t="shared" si="113"/>
        <v>2722.3545247926882</v>
      </c>
      <c r="AS99" s="92">
        <f t="shared" si="114"/>
        <v>1773.8362602411898</v>
      </c>
      <c r="AT99" s="92">
        <f t="shared" si="115"/>
        <v>7726.8229978027412</v>
      </c>
      <c r="AU99" s="92">
        <f t="shared" si="116"/>
        <v>2838.8688632312146</v>
      </c>
      <c r="AV99" s="92" t="str">
        <f t="shared" si="139"/>
        <v/>
      </c>
      <c r="AW99" s="92" t="str">
        <f t="shared" si="139"/>
        <v/>
      </c>
      <c r="AX99" s="92" t="str">
        <f t="shared" si="139"/>
        <v/>
      </c>
      <c r="AY99" s="93">
        <f t="shared" si="118"/>
        <v>4814.58821810068</v>
      </c>
      <c r="AZ99" s="94">
        <f t="shared" si="119"/>
        <v>2838.8688632312146</v>
      </c>
      <c r="BA99" s="95" t="str">
        <f t="shared" si="120"/>
        <v/>
      </c>
      <c r="BB99" s="248" t="s">
        <v>422</v>
      </c>
      <c r="BC99" s="229" t="s">
        <v>433</v>
      </c>
      <c r="BD99" s="249">
        <v>-0.22178571429999999</v>
      </c>
      <c r="BE99" s="267">
        <f t="shared" si="121"/>
        <v>0</v>
      </c>
      <c r="BF99" s="268">
        <f t="shared" si="141"/>
        <v>0</v>
      </c>
      <c r="BG99" s="268">
        <f t="shared" si="141"/>
        <v>0</v>
      </c>
      <c r="BH99" s="268">
        <f t="shared" si="141"/>
        <v>1</v>
      </c>
      <c r="BI99" s="268">
        <f t="shared" si="141"/>
        <v>2</v>
      </c>
      <c r="BJ99" s="268">
        <f t="shared" si="141"/>
        <v>3</v>
      </c>
      <c r="BK99" s="268">
        <f t="shared" si="141"/>
        <v>4</v>
      </c>
      <c r="BL99" s="269">
        <f t="shared" si="141"/>
        <v>5</v>
      </c>
      <c r="BM99" s="256">
        <f>IF($BC99=Lookup!$A$2,$BD99*ROUNDUP(BE99/10,0)+1,
IF($BC99=Lookup!$A$3,($BD99+1)^BD99,
IF($BC99=Lookup!$A$4,BE99*$BD99+1,"Error")))</f>
        <v>1</v>
      </c>
      <c r="BN99" s="229">
        <f>IF($BC99=Lookup!$A$2,$BD99*ROUNDUP(BF99/10,0)+1,
IF($BC99=Lookup!$A$3,($BD99+1)^BE99,
IF($BC99=Lookup!$A$4,BF99*$BD99+1,"Error")))</f>
        <v>1</v>
      </c>
      <c r="BO99" s="229">
        <f>IF($BC99=Lookup!$A$2,$BD99*ROUNDUP(BG99/10,0)+1,
IF($BC99=Lookup!$A$3,($BD99+1)^BF99,
IF($BC99=Lookup!$A$4,BG99*$BD99+1,"Error")))</f>
        <v>1</v>
      </c>
      <c r="BP99" s="229">
        <f>IF($BC99=Lookup!$A$2,$BD99*ROUNDUP(BH99/10,0)+1,
IF($BC99=Lookup!$A$3,($BD99+1)^BG99,
IF($BC99=Lookup!$A$4,BH99*$BD99+1,"Error")))</f>
        <v>0.77821428570000006</v>
      </c>
      <c r="BQ99" s="229">
        <f>IF($BC99=Lookup!$A$2,$BD99*ROUNDUP(BI99/10,0)+1,
IF($BC99=Lookup!$A$3,($BD99+1)^BH99,
IF($BC99=Lookup!$A$4,BI99*$BD99+1,"Error")))</f>
        <v>0.77821428570000006</v>
      </c>
      <c r="BR99" s="229">
        <f>IF($BC99=Lookup!$A$2,$BD99*ROUNDUP(BJ99/10,0)+1,
IF($BC99=Lookup!$A$3,($BD99+1)^BI99,
IF($BC99=Lookup!$A$4,BJ99*$BD99+1,"Error")))</f>
        <v>0.77821428570000006</v>
      </c>
      <c r="BS99" s="229">
        <f>IF($BC99=Lookup!$A$2,$BD99*ROUNDUP(BK99/10,0)+1,
IF($BC99=Lookup!$A$3,($BD99+1)^BJ99,
IF($BC99=Lookup!$A$4,BK99*$BD99+1,"Error")))</f>
        <v>0.77821428570000006</v>
      </c>
      <c r="BT99" s="249">
        <f>IF($BC99=Lookup!$A$2,$BD99*ROUNDUP(BL99/10,0)+1,
IF($BC99=Lookup!$A$3,($BD99+1)^BK99,
IF($BC99=Lookup!$A$4,BL99*$BD99+1,"Error")))</f>
        <v>0.77821428570000006</v>
      </c>
      <c r="BU99" s="320"/>
      <c r="BV99" s="321"/>
      <c r="BW99" s="321"/>
      <c r="BX99" s="321"/>
      <c r="BY99" s="321"/>
      <c r="BZ99" s="321"/>
      <c r="CA99" s="321"/>
      <c r="CB99" s="277"/>
      <c r="CC99" s="382" t="s">
        <v>292</v>
      </c>
      <c r="CD99" s="383">
        <f>HLOOKUP($CC99,$AK$6:$AM$132,ROWS(CD$6:CD99),0)</f>
        <v>74.2</v>
      </c>
      <c r="CE99" s="234">
        <f t="shared" si="122"/>
        <v>74.2</v>
      </c>
      <c r="CF99" s="96">
        <f t="shared" si="123"/>
        <v>74.2</v>
      </c>
      <c r="CG99" s="96">
        <f t="shared" si="124"/>
        <v>74.2</v>
      </c>
      <c r="CH99" s="96">
        <f t="shared" si="125"/>
        <v>57.74349999894001</v>
      </c>
      <c r="CI99" s="96">
        <f t="shared" si="126"/>
        <v>57.74349999894001</v>
      </c>
      <c r="CJ99" s="96">
        <f t="shared" si="127"/>
        <v>57.74349999894001</v>
      </c>
      <c r="CK99" s="96">
        <f t="shared" si="128"/>
        <v>57.74349999894001</v>
      </c>
      <c r="CL99" s="286">
        <f t="shared" si="129"/>
        <v>57.74349999894001</v>
      </c>
      <c r="CM99" s="305" t="s">
        <v>293</v>
      </c>
      <c r="CN99" s="315">
        <v>0.05</v>
      </c>
      <c r="CO99" s="306"/>
      <c r="CP99" s="307">
        <f>IF($CO99&lt;&gt;"",$CO99,HLOOKUP($CM99,$AY$6:$BA$132,ROWS(CP$6:CP99),0))</f>
        <v>2838.8688632312146</v>
      </c>
      <c r="CQ99" s="784">
        <f t="shared" si="130"/>
        <v>210644.06965175614</v>
      </c>
      <c r="CR99" s="784">
        <f t="shared" si="131"/>
        <v>210644.06965175614</v>
      </c>
      <c r="CS99" s="97">
        <f t="shared" si="132"/>
        <v>210644.06965175614</v>
      </c>
      <c r="CT99" s="97">
        <f t="shared" si="133"/>
        <v>163926.22420098245</v>
      </c>
      <c r="CU99" s="97">
        <f t="shared" si="134"/>
        <v>163926.22420098245</v>
      </c>
      <c r="CV99" s="97">
        <f t="shared" si="135"/>
        <v>163926.22420098245</v>
      </c>
      <c r="CW99" s="97">
        <f t="shared" si="136"/>
        <v>163926.22420098245</v>
      </c>
      <c r="CX99" s="98">
        <f t="shared" si="137"/>
        <v>163926.22420098245</v>
      </c>
      <c r="CY99" s="392"/>
    </row>
    <row r="100" spans="1:103" x14ac:dyDescent="0.25">
      <c r="A100" s="81" t="s">
        <v>196</v>
      </c>
      <c r="B100" s="82" t="s">
        <v>203</v>
      </c>
      <c r="C100" s="83" t="s">
        <v>391</v>
      </c>
      <c r="D100" s="84">
        <v>0</v>
      </c>
      <c r="E100" s="85">
        <v>0</v>
      </c>
      <c r="F100" s="85">
        <v>55661.221127719342</v>
      </c>
      <c r="G100" s="85">
        <v>47727.138428480401</v>
      </c>
      <c r="H100" s="85">
        <v>0</v>
      </c>
      <c r="I100" s="85">
        <v>20457.438520468986</v>
      </c>
      <c r="J100" s="85">
        <v>0</v>
      </c>
      <c r="K100" s="85">
        <v>0</v>
      </c>
      <c r="L100" s="85">
        <v>0</v>
      </c>
      <c r="M100" s="654">
        <f>'2022-23 Input'!E100</f>
        <v>0</v>
      </c>
      <c r="N100" s="1065">
        <v>0</v>
      </c>
      <c r="O100" s="560">
        <f t="shared" si="95"/>
        <v>0</v>
      </c>
      <c r="P100" s="561">
        <f t="shared" si="96"/>
        <v>0</v>
      </c>
      <c r="Q100" s="561">
        <f t="shared" si="97"/>
        <v>73027.842045493788</v>
      </c>
      <c r="R100" s="561">
        <f t="shared" si="98"/>
        <v>61430.399291801747</v>
      </c>
      <c r="S100" s="561">
        <f t="shared" si="99"/>
        <v>0</v>
      </c>
      <c r="T100" s="561">
        <f t="shared" si="100"/>
        <v>25390.714928694775</v>
      </c>
      <c r="U100" s="561">
        <f t="shared" si="101"/>
        <v>0</v>
      </c>
      <c r="V100" s="561">
        <f t="shared" si="102"/>
        <v>0</v>
      </c>
      <c r="W100" s="675">
        <f t="shared" si="103"/>
        <v>0</v>
      </c>
      <c r="X100" s="675">
        <f t="shared" si="104"/>
        <v>0</v>
      </c>
      <c r="Y100" s="675">
        <f t="shared" si="105"/>
        <v>0</v>
      </c>
      <c r="Z100" s="86">
        <v>0</v>
      </c>
      <c r="AA100" s="87">
        <v>0</v>
      </c>
      <c r="AB100" s="87">
        <v>1</v>
      </c>
      <c r="AC100" s="87">
        <v>1</v>
      </c>
      <c r="AD100" s="87">
        <v>0</v>
      </c>
      <c r="AE100" s="87">
        <v>1</v>
      </c>
      <c r="AF100" s="87">
        <v>0</v>
      </c>
      <c r="AG100" s="87">
        <v>0</v>
      </c>
      <c r="AH100" s="87">
        <v>0</v>
      </c>
      <c r="AI100" s="1094">
        <f>'2022-23 Input'!L100</f>
        <v>0</v>
      </c>
      <c r="AJ100" s="665">
        <v>0</v>
      </c>
      <c r="AK100" s="88">
        <f t="shared" si="106"/>
        <v>0.2</v>
      </c>
      <c r="AL100" s="89">
        <f t="shared" si="107"/>
        <v>0</v>
      </c>
      <c r="AM100" s="90">
        <f t="shared" si="108"/>
        <v>0</v>
      </c>
      <c r="AN100" s="91" t="str">
        <f t="shared" si="109"/>
        <v/>
      </c>
      <c r="AO100" s="92" t="str">
        <f t="shared" si="110"/>
        <v/>
      </c>
      <c r="AP100" s="92">
        <f t="shared" si="111"/>
        <v>55661.221127719342</v>
      </c>
      <c r="AQ100" s="92">
        <f t="shared" si="112"/>
        <v>47727.138428480401</v>
      </c>
      <c r="AR100" s="92" t="str">
        <f t="shared" si="113"/>
        <v/>
      </c>
      <c r="AS100" s="92">
        <f t="shared" si="114"/>
        <v>20457.438520468986</v>
      </c>
      <c r="AT100" s="92" t="str">
        <f t="shared" si="115"/>
        <v/>
      </c>
      <c r="AU100" s="92" t="str">
        <f t="shared" si="116"/>
        <v/>
      </c>
      <c r="AV100" s="92" t="str">
        <f t="shared" si="139"/>
        <v/>
      </c>
      <c r="AW100" s="92" t="str">
        <f t="shared" si="139"/>
        <v/>
      </c>
      <c r="AX100" s="92" t="str">
        <f t="shared" si="139"/>
        <v/>
      </c>
      <c r="AY100" s="93">
        <f t="shared" si="118"/>
        <v>20457.438520468986</v>
      </c>
      <c r="AZ100" s="94" t="str">
        <f t="shared" si="119"/>
        <v/>
      </c>
      <c r="BA100" s="95" t="str">
        <f t="shared" si="120"/>
        <v/>
      </c>
      <c r="BB100" s="248" t="s">
        <v>422</v>
      </c>
      <c r="BC100" s="229" t="s">
        <v>433</v>
      </c>
      <c r="BD100" s="249">
        <v>-0.22178571429999999</v>
      </c>
      <c r="BE100" s="267">
        <f t="shared" si="121"/>
        <v>0</v>
      </c>
      <c r="BF100" s="268">
        <f t="shared" si="141"/>
        <v>0</v>
      </c>
      <c r="BG100" s="268">
        <f t="shared" si="141"/>
        <v>0</v>
      </c>
      <c r="BH100" s="268">
        <f t="shared" si="141"/>
        <v>1</v>
      </c>
      <c r="BI100" s="268">
        <f t="shared" si="141"/>
        <v>2</v>
      </c>
      <c r="BJ100" s="268">
        <f t="shared" si="141"/>
        <v>3</v>
      </c>
      <c r="BK100" s="268">
        <f t="shared" si="141"/>
        <v>4</v>
      </c>
      <c r="BL100" s="269">
        <f t="shared" si="141"/>
        <v>5</v>
      </c>
      <c r="BM100" s="256">
        <f>IF($BC100=Lookup!$A$2,$BD100*ROUNDUP(BE100/10,0)+1,
IF($BC100=Lookup!$A$3,($BD100+1)^BD100,
IF($BC100=Lookup!$A$4,BE100*$BD100+1,"Error")))</f>
        <v>1</v>
      </c>
      <c r="BN100" s="229">
        <f>IF($BC100=Lookup!$A$2,$BD100*ROUNDUP(BF100/10,0)+1,
IF($BC100=Lookup!$A$3,($BD100+1)^BE100,
IF($BC100=Lookup!$A$4,BF100*$BD100+1,"Error")))</f>
        <v>1</v>
      </c>
      <c r="BO100" s="229">
        <f>IF($BC100=Lookup!$A$2,$BD100*ROUNDUP(BG100/10,0)+1,
IF($BC100=Lookup!$A$3,($BD100+1)^BF100,
IF($BC100=Lookup!$A$4,BG100*$BD100+1,"Error")))</f>
        <v>1</v>
      </c>
      <c r="BP100" s="229">
        <f>IF($BC100=Lookup!$A$2,$BD100*ROUNDUP(BH100/10,0)+1,
IF($BC100=Lookup!$A$3,($BD100+1)^BG100,
IF($BC100=Lookup!$A$4,BH100*$BD100+1,"Error")))</f>
        <v>0.77821428570000006</v>
      </c>
      <c r="BQ100" s="229">
        <f>IF($BC100=Lookup!$A$2,$BD100*ROUNDUP(BI100/10,0)+1,
IF($BC100=Lookup!$A$3,($BD100+1)^BH100,
IF($BC100=Lookup!$A$4,BI100*$BD100+1,"Error")))</f>
        <v>0.77821428570000006</v>
      </c>
      <c r="BR100" s="229">
        <f>IF($BC100=Lookup!$A$2,$BD100*ROUNDUP(BJ100/10,0)+1,
IF($BC100=Lookup!$A$3,($BD100+1)^BI100,
IF($BC100=Lookup!$A$4,BJ100*$BD100+1,"Error")))</f>
        <v>0.77821428570000006</v>
      </c>
      <c r="BS100" s="229">
        <f>IF($BC100=Lookup!$A$2,$BD100*ROUNDUP(BK100/10,0)+1,
IF($BC100=Lookup!$A$3,($BD100+1)^BJ100,
IF($BC100=Lookup!$A$4,BK100*$BD100+1,"Error")))</f>
        <v>0.77821428570000006</v>
      </c>
      <c r="BT100" s="249">
        <f>IF($BC100=Lookup!$A$2,$BD100*ROUNDUP(BL100/10,0)+1,
IF($BC100=Lookup!$A$3,($BD100+1)^BK100,
IF($BC100=Lookup!$A$4,BL100*$BD100+1,"Error")))</f>
        <v>0.77821428570000006</v>
      </c>
      <c r="BU100" s="320"/>
      <c r="BV100" s="321"/>
      <c r="BW100" s="321"/>
      <c r="BX100" s="321"/>
      <c r="BY100" s="321"/>
      <c r="BZ100" s="321"/>
      <c r="CA100" s="321"/>
      <c r="CB100" s="277"/>
      <c r="CC100" s="382" t="s">
        <v>292</v>
      </c>
      <c r="CD100" s="383">
        <f>HLOOKUP($CC100,$AK$6:$AM$132,ROWS(CD$6:CD100),0)</f>
        <v>0.2</v>
      </c>
      <c r="CE100" s="234">
        <f t="shared" si="122"/>
        <v>0.2</v>
      </c>
      <c r="CF100" s="96">
        <f t="shared" si="123"/>
        <v>0.2</v>
      </c>
      <c r="CG100" s="96">
        <f t="shared" si="124"/>
        <v>0.2</v>
      </c>
      <c r="CH100" s="96">
        <f t="shared" si="125"/>
        <v>0.15564285714000003</v>
      </c>
      <c r="CI100" s="96">
        <f t="shared" si="126"/>
        <v>0.15564285714000003</v>
      </c>
      <c r="CJ100" s="96">
        <f t="shared" si="127"/>
        <v>0.15564285714000003</v>
      </c>
      <c r="CK100" s="96">
        <f t="shared" si="128"/>
        <v>0.15564285714000003</v>
      </c>
      <c r="CL100" s="286">
        <f t="shared" si="129"/>
        <v>0.15564285714000003</v>
      </c>
      <c r="CM100" s="305" t="s">
        <v>293</v>
      </c>
      <c r="CN100" s="315">
        <v>0.05</v>
      </c>
      <c r="CO100" s="306"/>
      <c r="CP100" s="307" t="str">
        <f>IF($CO100&lt;&gt;"",$CO100,HLOOKUP($CM100,$AY$6:$BA$132,ROWS(CP$6:CP100),0))</f>
        <v/>
      </c>
      <c r="CQ100" s="784" t="str">
        <f t="shared" si="130"/>
        <v/>
      </c>
      <c r="CR100" s="784" t="str">
        <f t="shared" si="131"/>
        <v/>
      </c>
      <c r="CS100" s="97" t="str">
        <f t="shared" si="132"/>
        <v/>
      </c>
      <c r="CT100" s="97" t="str">
        <f t="shared" si="133"/>
        <v/>
      </c>
      <c r="CU100" s="97" t="str">
        <f t="shared" si="134"/>
        <v/>
      </c>
      <c r="CV100" s="97" t="str">
        <f t="shared" si="135"/>
        <v/>
      </c>
      <c r="CW100" s="97" t="str">
        <f t="shared" si="136"/>
        <v/>
      </c>
      <c r="CX100" s="98" t="str">
        <f t="shared" si="137"/>
        <v/>
      </c>
      <c r="CY100" s="392"/>
    </row>
    <row r="101" spans="1:103" x14ac:dyDescent="0.25">
      <c r="A101" s="81" t="s">
        <v>196</v>
      </c>
      <c r="B101" s="82" t="s">
        <v>205</v>
      </c>
      <c r="C101" s="83" t="s">
        <v>206</v>
      </c>
      <c r="D101" s="84">
        <v>0</v>
      </c>
      <c r="E101" s="85">
        <v>0</v>
      </c>
      <c r="F101" s="85">
        <v>10428.464233279481</v>
      </c>
      <c r="G101" s="85">
        <v>9331.4656860187279</v>
      </c>
      <c r="H101" s="85">
        <v>44024.718765277459</v>
      </c>
      <c r="I101" s="85">
        <v>13424.294413971993</v>
      </c>
      <c r="J101" s="85">
        <v>21225.297669736032</v>
      </c>
      <c r="K101" s="85">
        <v>0</v>
      </c>
      <c r="L101" s="85">
        <v>0</v>
      </c>
      <c r="M101" s="654">
        <f>'2022-23 Input'!E101</f>
        <v>0</v>
      </c>
      <c r="N101" s="1065">
        <v>0</v>
      </c>
      <c r="O101" s="560">
        <f t="shared" si="95"/>
        <v>0</v>
      </c>
      <c r="P101" s="561">
        <f t="shared" si="96"/>
        <v>0</v>
      </c>
      <c r="Q101" s="561">
        <f t="shared" si="97"/>
        <v>13682.205014107276</v>
      </c>
      <c r="R101" s="561">
        <f t="shared" si="98"/>
        <v>12010.685784752768</v>
      </c>
      <c r="S101" s="561">
        <f t="shared" si="99"/>
        <v>55511.595479480522</v>
      </c>
      <c r="T101" s="561">
        <f t="shared" si="100"/>
        <v>16661.540116226563</v>
      </c>
      <c r="U101" s="561">
        <f t="shared" si="101"/>
        <v>26435.852988214519</v>
      </c>
      <c r="V101" s="561">
        <f t="shared" si="102"/>
        <v>0</v>
      </c>
      <c r="W101" s="675">
        <f t="shared" si="103"/>
        <v>0</v>
      </c>
      <c r="X101" s="675">
        <f t="shared" si="104"/>
        <v>0</v>
      </c>
      <c r="Y101" s="675">
        <f t="shared" si="105"/>
        <v>0</v>
      </c>
      <c r="Z101" s="86">
        <v>0</v>
      </c>
      <c r="AA101" s="87">
        <v>0</v>
      </c>
      <c r="AB101" s="87">
        <v>1</v>
      </c>
      <c r="AC101" s="87">
        <v>1</v>
      </c>
      <c r="AD101" s="87">
        <v>6</v>
      </c>
      <c r="AE101" s="87">
        <v>2</v>
      </c>
      <c r="AF101" s="87">
        <v>4</v>
      </c>
      <c r="AG101" s="87">
        <v>0</v>
      </c>
      <c r="AH101" s="87">
        <v>0</v>
      </c>
      <c r="AI101" s="1094">
        <f>'2022-23 Input'!L101</f>
        <v>0</v>
      </c>
      <c r="AJ101" s="665">
        <v>0</v>
      </c>
      <c r="AK101" s="88">
        <f t="shared" si="106"/>
        <v>1.2</v>
      </c>
      <c r="AL101" s="89">
        <f t="shared" si="107"/>
        <v>0</v>
      </c>
      <c r="AM101" s="90">
        <f t="shared" si="108"/>
        <v>0</v>
      </c>
      <c r="AN101" s="91" t="str">
        <f t="shared" si="109"/>
        <v/>
      </c>
      <c r="AO101" s="92" t="str">
        <f t="shared" si="110"/>
        <v/>
      </c>
      <c r="AP101" s="92">
        <f t="shared" si="111"/>
        <v>10428.464233279481</v>
      </c>
      <c r="AQ101" s="92">
        <f t="shared" si="112"/>
        <v>9331.4656860187279</v>
      </c>
      <c r="AR101" s="92">
        <f t="shared" si="113"/>
        <v>7337.4531275462432</v>
      </c>
      <c r="AS101" s="92">
        <f t="shared" si="114"/>
        <v>6712.1472069859965</v>
      </c>
      <c r="AT101" s="92">
        <f t="shared" si="115"/>
        <v>5306.324417434008</v>
      </c>
      <c r="AU101" s="92" t="str">
        <f t="shared" si="116"/>
        <v/>
      </c>
      <c r="AV101" s="92" t="str">
        <f t="shared" si="139"/>
        <v/>
      </c>
      <c r="AW101" s="92" t="str">
        <f t="shared" si="139"/>
        <v/>
      </c>
      <c r="AX101" s="92" t="str">
        <f t="shared" si="139"/>
        <v/>
      </c>
      <c r="AY101" s="93">
        <f t="shared" si="118"/>
        <v>5774.9320139513375</v>
      </c>
      <c r="AZ101" s="94" t="str">
        <f t="shared" si="119"/>
        <v/>
      </c>
      <c r="BA101" s="95" t="str">
        <f t="shared" si="120"/>
        <v/>
      </c>
      <c r="BB101" s="248" t="s">
        <v>422</v>
      </c>
      <c r="BC101" s="229" t="s">
        <v>433</v>
      </c>
      <c r="BD101" s="249">
        <v>-0.22178571429999999</v>
      </c>
      <c r="BE101" s="267">
        <f t="shared" si="121"/>
        <v>0</v>
      </c>
      <c r="BF101" s="268">
        <f t="shared" si="141"/>
        <v>0</v>
      </c>
      <c r="BG101" s="268">
        <f t="shared" si="141"/>
        <v>0</v>
      </c>
      <c r="BH101" s="268">
        <f t="shared" si="141"/>
        <v>1</v>
      </c>
      <c r="BI101" s="268">
        <f t="shared" si="141"/>
        <v>2</v>
      </c>
      <c r="BJ101" s="268">
        <f t="shared" si="141"/>
        <v>3</v>
      </c>
      <c r="BK101" s="268">
        <f t="shared" si="141"/>
        <v>4</v>
      </c>
      <c r="BL101" s="269">
        <f t="shared" si="141"/>
        <v>5</v>
      </c>
      <c r="BM101" s="256">
        <f>IF($BC101=Lookup!$A$2,$BD101*ROUNDUP(BE101/10,0)+1,
IF($BC101=Lookup!$A$3,($BD101+1)^BD101,
IF($BC101=Lookup!$A$4,BE101*$BD101+1,"Error")))</f>
        <v>1</v>
      </c>
      <c r="BN101" s="229">
        <f>IF($BC101=Lookup!$A$2,$BD101*ROUNDUP(BF101/10,0)+1,
IF($BC101=Lookup!$A$3,($BD101+1)^BE101,
IF($BC101=Lookup!$A$4,BF101*$BD101+1,"Error")))</f>
        <v>1</v>
      </c>
      <c r="BO101" s="229">
        <f>IF($BC101=Lookup!$A$2,$BD101*ROUNDUP(BG101/10,0)+1,
IF($BC101=Lookup!$A$3,($BD101+1)^BF101,
IF($BC101=Lookup!$A$4,BG101*$BD101+1,"Error")))</f>
        <v>1</v>
      </c>
      <c r="BP101" s="229">
        <f>IF($BC101=Lookup!$A$2,$BD101*ROUNDUP(BH101/10,0)+1,
IF($BC101=Lookup!$A$3,($BD101+1)^BG101,
IF($BC101=Lookup!$A$4,BH101*$BD101+1,"Error")))</f>
        <v>0.77821428570000006</v>
      </c>
      <c r="BQ101" s="229">
        <f>IF($BC101=Lookup!$A$2,$BD101*ROUNDUP(BI101/10,0)+1,
IF($BC101=Lookup!$A$3,($BD101+1)^BH101,
IF($BC101=Lookup!$A$4,BI101*$BD101+1,"Error")))</f>
        <v>0.77821428570000006</v>
      </c>
      <c r="BR101" s="229">
        <f>IF($BC101=Lookup!$A$2,$BD101*ROUNDUP(BJ101/10,0)+1,
IF($BC101=Lookup!$A$3,($BD101+1)^BI101,
IF($BC101=Lookup!$A$4,BJ101*$BD101+1,"Error")))</f>
        <v>0.77821428570000006</v>
      </c>
      <c r="BS101" s="229">
        <f>IF($BC101=Lookup!$A$2,$BD101*ROUNDUP(BK101/10,0)+1,
IF($BC101=Lookup!$A$3,($BD101+1)^BJ101,
IF($BC101=Lookup!$A$4,BK101*$BD101+1,"Error")))</f>
        <v>0.77821428570000006</v>
      </c>
      <c r="BT101" s="249">
        <f>IF($BC101=Lookup!$A$2,$BD101*ROUNDUP(BL101/10,0)+1,
IF($BC101=Lookup!$A$3,($BD101+1)^BK101,
IF($BC101=Lookup!$A$4,BL101*$BD101+1,"Error")))</f>
        <v>0.77821428570000006</v>
      </c>
      <c r="BU101" s="320"/>
      <c r="BV101" s="321"/>
      <c r="BW101" s="321"/>
      <c r="BX101" s="321"/>
      <c r="BY101" s="321"/>
      <c r="BZ101" s="321"/>
      <c r="CA101" s="321"/>
      <c r="CB101" s="277"/>
      <c r="CC101" s="382" t="s">
        <v>292</v>
      </c>
      <c r="CD101" s="383">
        <f>HLOOKUP($CC101,$AK$6:$AM$132,ROWS(CD$6:CD101),0)</f>
        <v>1.2</v>
      </c>
      <c r="CE101" s="234">
        <f t="shared" si="122"/>
        <v>1.2</v>
      </c>
      <c r="CF101" s="96">
        <f t="shared" si="123"/>
        <v>1.2</v>
      </c>
      <c r="CG101" s="96">
        <f t="shared" si="124"/>
        <v>1.2</v>
      </c>
      <c r="CH101" s="96">
        <f t="shared" si="125"/>
        <v>0.93385714283999999</v>
      </c>
      <c r="CI101" s="96">
        <f t="shared" si="126"/>
        <v>0.93385714283999999</v>
      </c>
      <c r="CJ101" s="96">
        <f t="shared" si="127"/>
        <v>0.93385714283999999</v>
      </c>
      <c r="CK101" s="96">
        <f t="shared" si="128"/>
        <v>0.93385714283999999</v>
      </c>
      <c r="CL101" s="286">
        <f t="shared" si="129"/>
        <v>0.93385714283999999</v>
      </c>
      <c r="CM101" s="305" t="s">
        <v>293</v>
      </c>
      <c r="CN101" s="315">
        <v>0.05</v>
      </c>
      <c r="CO101" s="306"/>
      <c r="CP101" s="307" t="str">
        <f>IF($CO101&lt;&gt;"",$CO101,HLOOKUP($CM101,$AY$6:$BA$132,ROWS(CP$6:CP101),0))</f>
        <v/>
      </c>
      <c r="CQ101" s="784" t="str">
        <f t="shared" si="130"/>
        <v/>
      </c>
      <c r="CR101" s="784" t="str">
        <f t="shared" si="131"/>
        <v/>
      </c>
      <c r="CS101" s="97" t="str">
        <f t="shared" si="132"/>
        <v/>
      </c>
      <c r="CT101" s="97" t="str">
        <f t="shared" si="133"/>
        <v/>
      </c>
      <c r="CU101" s="97" t="str">
        <f t="shared" si="134"/>
        <v/>
      </c>
      <c r="CV101" s="97" t="str">
        <f t="shared" si="135"/>
        <v/>
      </c>
      <c r="CW101" s="97" t="str">
        <f t="shared" si="136"/>
        <v/>
      </c>
      <c r="CX101" s="98" t="str">
        <f t="shared" si="137"/>
        <v/>
      </c>
      <c r="CY101" s="392"/>
    </row>
    <row r="102" spans="1:103" x14ac:dyDescent="0.25">
      <c r="A102" s="81" t="s">
        <v>196</v>
      </c>
      <c r="B102" s="82" t="s">
        <v>207</v>
      </c>
      <c r="C102" s="83" t="s">
        <v>208</v>
      </c>
      <c r="D102" s="84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654">
        <f>'2022-23 Input'!E102</f>
        <v>0</v>
      </c>
      <c r="N102" s="1065">
        <v>0</v>
      </c>
      <c r="O102" s="560">
        <f t="shared" si="95"/>
        <v>0</v>
      </c>
      <c r="P102" s="561">
        <f t="shared" si="96"/>
        <v>0</v>
      </c>
      <c r="Q102" s="561">
        <f t="shared" si="97"/>
        <v>0</v>
      </c>
      <c r="R102" s="561">
        <f t="shared" si="98"/>
        <v>0</v>
      </c>
      <c r="S102" s="561">
        <f t="shared" si="99"/>
        <v>0</v>
      </c>
      <c r="T102" s="561">
        <f t="shared" si="100"/>
        <v>0</v>
      </c>
      <c r="U102" s="561">
        <f t="shared" si="101"/>
        <v>0</v>
      </c>
      <c r="V102" s="561">
        <f t="shared" si="102"/>
        <v>0</v>
      </c>
      <c r="W102" s="675">
        <f t="shared" si="103"/>
        <v>0</v>
      </c>
      <c r="X102" s="675">
        <f t="shared" si="104"/>
        <v>0</v>
      </c>
      <c r="Y102" s="675">
        <f t="shared" si="105"/>
        <v>0</v>
      </c>
      <c r="Z102" s="86">
        <v>0</v>
      </c>
      <c r="AA102" s="87">
        <v>0</v>
      </c>
      <c r="AB102" s="87">
        <v>0</v>
      </c>
      <c r="AC102" s="87">
        <v>0</v>
      </c>
      <c r="AD102" s="87">
        <v>0</v>
      </c>
      <c r="AE102" s="87">
        <v>0</v>
      </c>
      <c r="AF102" s="87">
        <v>0</v>
      </c>
      <c r="AG102" s="87">
        <v>0</v>
      </c>
      <c r="AH102" s="87">
        <v>0</v>
      </c>
      <c r="AI102" s="1094">
        <f>'2022-23 Input'!L102</f>
        <v>0</v>
      </c>
      <c r="AJ102" s="665">
        <v>0</v>
      </c>
      <c r="AK102" s="88">
        <f t="shared" si="106"/>
        <v>0</v>
      </c>
      <c r="AL102" s="89">
        <f t="shared" si="107"/>
        <v>0</v>
      </c>
      <c r="AM102" s="90">
        <f t="shared" si="108"/>
        <v>0</v>
      </c>
      <c r="AN102" s="91" t="str">
        <f t="shared" si="109"/>
        <v/>
      </c>
      <c r="AO102" s="92" t="str">
        <f t="shared" si="110"/>
        <v/>
      </c>
      <c r="AP102" s="92" t="str">
        <f t="shared" si="111"/>
        <v/>
      </c>
      <c r="AQ102" s="92" t="str">
        <f t="shared" si="112"/>
        <v/>
      </c>
      <c r="AR102" s="92" t="str">
        <f t="shared" si="113"/>
        <v/>
      </c>
      <c r="AS102" s="92" t="str">
        <f t="shared" si="114"/>
        <v/>
      </c>
      <c r="AT102" s="92" t="str">
        <f t="shared" si="115"/>
        <v/>
      </c>
      <c r="AU102" s="92" t="str">
        <f t="shared" si="116"/>
        <v/>
      </c>
      <c r="AV102" s="92" t="str">
        <f t="shared" si="139"/>
        <v/>
      </c>
      <c r="AW102" s="92" t="str">
        <f t="shared" si="139"/>
        <v/>
      </c>
      <c r="AX102" s="92" t="str">
        <f t="shared" si="139"/>
        <v/>
      </c>
      <c r="AY102" s="93" t="str">
        <f t="shared" si="118"/>
        <v/>
      </c>
      <c r="AZ102" s="94" t="str">
        <f t="shared" si="119"/>
        <v/>
      </c>
      <c r="BA102" s="95" t="str">
        <f t="shared" si="120"/>
        <v/>
      </c>
      <c r="BB102" s="248" t="s">
        <v>422</v>
      </c>
      <c r="BC102" s="229" t="s">
        <v>433</v>
      </c>
      <c r="BD102" s="249">
        <v>-0.22178571429999999</v>
      </c>
      <c r="BE102" s="267">
        <f t="shared" si="121"/>
        <v>0</v>
      </c>
      <c r="BF102" s="268">
        <f t="shared" si="141"/>
        <v>0</v>
      </c>
      <c r="BG102" s="268">
        <f t="shared" si="141"/>
        <v>0</v>
      </c>
      <c r="BH102" s="268">
        <f t="shared" si="141"/>
        <v>1</v>
      </c>
      <c r="BI102" s="268">
        <f t="shared" si="141"/>
        <v>2</v>
      </c>
      <c r="BJ102" s="268">
        <f t="shared" si="141"/>
        <v>3</v>
      </c>
      <c r="BK102" s="268">
        <f t="shared" si="141"/>
        <v>4</v>
      </c>
      <c r="BL102" s="269">
        <f t="shared" si="141"/>
        <v>5</v>
      </c>
      <c r="BM102" s="256">
        <f>IF($BC102=Lookup!$A$2,$BD102*ROUNDUP(BE102/10,0)+1,
IF($BC102=Lookup!$A$3,($BD102+1)^BD102,
IF($BC102=Lookup!$A$4,BE102*$BD102+1,"Error")))</f>
        <v>1</v>
      </c>
      <c r="BN102" s="229">
        <f>IF($BC102=Lookup!$A$2,$BD102*ROUNDUP(BF102/10,0)+1,
IF($BC102=Lookup!$A$3,($BD102+1)^BE102,
IF($BC102=Lookup!$A$4,BF102*$BD102+1,"Error")))</f>
        <v>1</v>
      </c>
      <c r="BO102" s="229">
        <f>IF($BC102=Lookup!$A$2,$BD102*ROUNDUP(BG102/10,0)+1,
IF($BC102=Lookup!$A$3,($BD102+1)^BF102,
IF($BC102=Lookup!$A$4,BG102*$BD102+1,"Error")))</f>
        <v>1</v>
      </c>
      <c r="BP102" s="229">
        <f>IF($BC102=Lookup!$A$2,$BD102*ROUNDUP(BH102/10,0)+1,
IF($BC102=Lookup!$A$3,($BD102+1)^BG102,
IF($BC102=Lookup!$A$4,BH102*$BD102+1,"Error")))</f>
        <v>0.77821428570000006</v>
      </c>
      <c r="BQ102" s="229">
        <f>IF($BC102=Lookup!$A$2,$BD102*ROUNDUP(BI102/10,0)+1,
IF($BC102=Lookup!$A$3,($BD102+1)^BH102,
IF($BC102=Lookup!$A$4,BI102*$BD102+1,"Error")))</f>
        <v>0.77821428570000006</v>
      </c>
      <c r="BR102" s="229">
        <f>IF($BC102=Lookup!$A$2,$BD102*ROUNDUP(BJ102/10,0)+1,
IF($BC102=Lookup!$A$3,($BD102+1)^BI102,
IF($BC102=Lookup!$A$4,BJ102*$BD102+1,"Error")))</f>
        <v>0.77821428570000006</v>
      </c>
      <c r="BS102" s="229">
        <f>IF($BC102=Lookup!$A$2,$BD102*ROUNDUP(BK102/10,0)+1,
IF($BC102=Lookup!$A$3,($BD102+1)^BJ102,
IF($BC102=Lookup!$A$4,BK102*$BD102+1,"Error")))</f>
        <v>0.77821428570000006</v>
      </c>
      <c r="BT102" s="249">
        <f>IF($BC102=Lookup!$A$2,$BD102*ROUNDUP(BL102/10,0)+1,
IF($BC102=Lookup!$A$3,($BD102+1)^BK102,
IF($BC102=Lookup!$A$4,BL102*$BD102+1,"Error")))</f>
        <v>0.77821428570000006</v>
      </c>
      <c r="BU102" s="320"/>
      <c r="BV102" s="321"/>
      <c r="BW102" s="321"/>
      <c r="BX102" s="321"/>
      <c r="BY102" s="321"/>
      <c r="BZ102" s="321"/>
      <c r="CA102" s="321"/>
      <c r="CB102" s="277"/>
      <c r="CC102" s="382" t="s">
        <v>292</v>
      </c>
      <c r="CD102" s="383">
        <f>HLOOKUP($CC102,$AK$6:$AM$132,ROWS(CD$6:CD102),0)</f>
        <v>0</v>
      </c>
      <c r="CE102" s="234">
        <f t="shared" si="122"/>
        <v>0</v>
      </c>
      <c r="CF102" s="96">
        <f t="shared" si="123"/>
        <v>0</v>
      </c>
      <c r="CG102" s="96">
        <f t="shared" si="124"/>
        <v>0</v>
      </c>
      <c r="CH102" s="96">
        <f t="shared" si="125"/>
        <v>0</v>
      </c>
      <c r="CI102" s="96">
        <f t="shared" si="126"/>
        <v>0</v>
      </c>
      <c r="CJ102" s="96">
        <f t="shared" si="127"/>
        <v>0</v>
      </c>
      <c r="CK102" s="96">
        <f t="shared" si="128"/>
        <v>0</v>
      </c>
      <c r="CL102" s="286">
        <f t="shared" si="129"/>
        <v>0</v>
      </c>
      <c r="CM102" s="305" t="s">
        <v>293</v>
      </c>
      <c r="CN102" s="315">
        <v>0.05</v>
      </c>
      <c r="CO102" s="306"/>
      <c r="CP102" s="307" t="str">
        <f>IF($CO102&lt;&gt;"",$CO102,HLOOKUP($CM102,$AY$6:$BA$132,ROWS(CP$6:CP102),0))</f>
        <v/>
      </c>
      <c r="CQ102" s="784" t="str">
        <f t="shared" si="130"/>
        <v/>
      </c>
      <c r="CR102" s="784" t="str">
        <f t="shared" si="131"/>
        <v/>
      </c>
      <c r="CS102" s="97" t="str">
        <f t="shared" si="132"/>
        <v/>
      </c>
      <c r="CT102" s="97" t="str">
        <f t="shared" si="133"/>
        <v/>
      </c>
      <c r="CU102" s="97" t="str">
        <f t="shared" si="134"/>
        <v/>
      </c>
      <c r="CV102" s="97" t="str">
        <f t="shared" si="135"/>
        <v/>
      </c>
      <c r="CW102" s="97" t="str">
        <f t="shared" si="136"/>
        <v/>
      </c>
      <c r="CX102" s="98" t="str">
        <f t="shared" si="137"/>
        <v/>
      </c>
      <c r="CY102" s="392"/>
    </row>
    <row r="103" spans="1:103" x14ac:dyDescent="0.25">
      <c r="A103" s="81" t="s">
        <v>196</v>
      </c>
      <c r="B103" s="82" t="s">
        <v>209</v>
      </c>
      <c r="C103" s="83" t="s">
        <v>210</v>
      </c>
      <c r="D103" s="84">
        <v>0</v>
      </c>
      <c r="E103" s="85">
        <v>0</v>
      </c>
      <c r="F103" s="85">
        <v>0</v>
      </c>
      <c r="G103" s="85">
        <v>0</v>
      </c>
      <c r="H103" s="85">
        <v>0</v>
      </c>
      <c r="I103" s="85">
        <v>0</v>
      </c>
      <c r="J103" s="85">
        <v>0</v>
      </c>
      <c r="K103" s="85">
        <v>0</v>
      </c>
      <c r="L103" s="85">
        <v>0</v>
      </c>
      <c r="M103" s="654">
        <f>'2022-23 Input'!E103</f>
        <v>0</v>
      </c>
      <c r="N103" s="1065">
        <v>0</v>
      </c>
      <c r="O103" s="560">
        <f t="shared" ref="O103:O132" si="142">D103*O$4</f>
        <v>0</v>
      </c>
      <c r="P103" s="561">
        <f t="shared" ref="P103:P132" si="143">E103*P$4</f>
        <v>0</v>
      </c>
      <c r="Q103" s="561">
        <f t="shared" ref="Q103:Q132" si="144">F103*Q$4</f>
        <v>0</v>
      </c>
      <c r="R103" s="561">
        <f t="shared" ref="R103:R132" si="145">G103*R$4</f>
        <v>0</v>
      </c>
      <c r="S103" s="561">
        <f t="shared" ref="S103:S132" si="146">H103*S$4</f>
        <v>0</v>
      </c>
      <c r="T103" s="561">
        <f t="shared" ref="T103:T132" si="147">I103*T$4</f>
        <v>0</v>
      </c>
      <c r="U103" s="561">
        <f t="shared" ref="U103:U132" si="148">J103*U$4</f>
        <v>0</v>
      </c>
      <c r="V103" s="561">
        <f t="shared" ref="V103:V132" si="149">K103*V$4</f>
        <v>0</v>
      </c>
      <c r="W103" s="675">
        <f t="shared" ref="W103:W132" si="150">L103*W$4</f>
        <v>0</v>
      </c>
      <c r="X103" s="675">
        <f t="shared" ref="X103:X132" si="151">M103*X$4</f>
        <v>0</v>
      </c>
      <c r="Y103" s="675">
        <f t="shared" ref="Y103:Y132" si="152">N103*Y$4</f>
        <v>0</v>
      </c>
      <c r="Z103" s="86">
        <v>0</v>
      </c>
      <c r="AA103" s="87">
        <v>0</v>
      </c>
      <c r="AB103" s="87">
        <v>0</v>
      </c>
      <c r="AC103" s="87">
        <v>0</v>
      </c>
      <c r="AD103" s="87">
        <v>0</v>
      </c>
      <c r="AE103" s="87">
        <v>0</v>
      </c>
      <c r="AF103" s="87">
        <v>0</v>
      </c>
      <c r="AG103" s="87">
        <v>0</v>
      </c>
      <c r="AH103" s="87">
        <v>0</v>
      </c>
      <c r="AI103" s="1094">
        <f>'2022-23 Input'!L103</f>
        <v>0</v>
      </c>
      <c r="AJ103" s="665">
        <v>0</v>
      </c>
      <c r="AK103" s="88">
        <f t="shared" ref="AK103:AK132" si="153">IFERROR(IF($AM$4="N",SUM(AD103:AH103)/5,SUM(AE103:AI103)/5),"")</f>
        <v>0</v>
      </c>
      <c r="AL103" s="89">
        <f t="shared" ref="AL103:AL132" si="154">IFERROR(IF($AM$4="N",SUM(AF103:AH103)/3,SUM(AG103:AI103)/3),"")</f>
        <v>0</v>
      </c>
      <c r="AM103" s="90">
        <f t="shared" ref="AM103:AM132" si="155">IFERROR(IF($AM$4="N",AH103,AI103),"")</f>
        <v>0</v>
      </c>
      <c r="AN103" s="91" t="str">
        <f t="shared" ref="AN103:AN132" si="156">IFERROR(D103/Z103,"")</f>
        <v/>
      </c>
      <c r="AO103" s="92" t="str">
        <f t="shared" ref="AO103:AO132" si="157">IFERROR(E103/AA103,"")</f>
        <v/>
      </c>
      <c r="AP103" s="92" t="str">
        <f t="shared" ref="AP103:AP132" si="158">IFERROR(F103/AB103,"")</f>
        <v/>
      </c>
      <c r="AQ103" s="92" t="str">
        <f t="shared" ref="AQ103:AQ132" si="159">IFERROR(G103/AC103,"")</f>
        <v/>
      </c>
      <c r="AR103" s="92" t="str">
        <f t="shared" ref="AR103:AR132" si="160">IFERROR(H103/AD103,"")</f>
        <v/>
      </c>
      <c r="AS103" s="92" t="str">
        <f t="shared" ref="AS103:AS132" si="161">IFERROR(I103/AE103,"")</f>
        <v/>
      </c>
      <c r="AT103" s="92" t="str">
        <f t="shared" ref="AT103:AT132" si="162">IFERROR(J103/AF103,"")</f>
        <v/>
      </c>
      <c r="AU103" s="92" t="str">
        <f t="shared" ref="AU103:AU132" si="163">IFERROR(K103/AG103,"")</f>
        <v/>
      </c>
      <c r="AV103" s="92" t="str">
        <f t="shared" ref="AV103:AX118" si="164">IFERROR(L103/AH103,"")</f>
        <v/>
      </c>
      <c r="AW103" s="92" t="str">
        <f t="shared" si="164"/>
        <v/>
      </c>
      <c r="AX103" s="92" t="str">
        <f t="shared" si="164"/>
        <v/>
      </c>
      <c r="AY103" s="93" t="str">
        <f t="shared" ref="AY103:AY132" si="165">IFERROR(IF($BA$3="N",
IF($BA$4="N",SUM(H103:L103)/SUM(AD103:AH103),SUM(I103:M103)/SUM(AE103:AI103)),
IF($BA$4="N",SUM(S103:W103)/SUM(AD103:AH103),SUM(T103:X103)/SUM(AE103:AI103))),"")</f>
        <v/>
      </c>
      <c r="AZ103" s="94" t="str">
        <f t="shared" ref="AZ103:AZ132" si="166">IFERROR(IF($BA$3="N",
IF($BA$4="N",SUM(J103:L103)/SUM(AF103:AH103),SUM(K103:M103)/SUM(AG103:AI103)),
IF($BA$4="N",SUM(U103:W103)/SUM(AF103:AH103),SUM(V103:X103)/SUM(AG103:AI103))),"")</f>
        <v/>
      </c>
      <c r="BA103" s="95" t="str">
        <f t="shared" ref="BA103:BA132" si="167">IFERROR(IF($BA$3="N",
IF($BA$4="N",L103/AH103,M103/AI103),
IF($BA$4="N",W103/AH103,X103/AI103)),"")</f>
        <v/>
      </c>
      <c r="BB103" s="248" t="s">
        <v>422</v>
      </c>
      <c r="BC103" s="229" t="s">
        <v>433</v>
      </c>
      <c r="BD103" s="249">
        <v>-0.22178571429999999</v>
      </c>
      <c r="BE103" s="267">
        <f t="shared" ref="BE103:BE132" si="168">IF(BE$6=$BB103,1,0
)</f>
        <v>0</v>
      </c>
      <c r="BF103" s="268">
        <f t="shared" si="141"/>
        <v>0</v>
      </c>
      <c r="BG103" s="268">
        <f t="shared" si="141"/>
        <v>0</v>
      </c>
      <c r="BH103" s="268">
        <f t="shared" si="141"/>
        <v>1</v>
      </c>
      <c r="BI103" s="268">
        <f t="shared" si="141"/>
        <v>2</v>
      </c>
      <c r="BJ103" s="268">
        <f t="shared" si="141"/>
        <v>3</v>
      </c>
      <c r="BK103" s="268">
        <f t="shared" si="141"/>
        <v>4</v>
      </c>
      <c r="BL103" s="269">
        <f t="shared" si="141"/>
        <v>5</v>
      </c>
      <c r="BM103" s="256">
        <f>IF($BC103=Lookup!$A$2,$BD103*ROUNDUP(BE103/10,0)+1,
IF($BC103=Lookup!$A$3,($BD103+1)^BD103,
IF($BC103=Lookup!$A$4,BE103*$BD103+1,"Error")))</f>
        <v>1</v>
      </c>
      <c r="BN103" s="229">
        <f>IF($BC103=Lookup!$A$2,$BD103*ROUNDUP(BF103/10,0)+1,
IF($BC103=Lookup!$A$3,($BD103+1)^BE103,
IF($BC103=Lookup!$A$4,BF103*$BD103+1,"Error")))</f>
        <v>1</v>
      </c>
      <c r="BO103" s="229">
        <f>IF($BC103=Lookup!$A$2,$BD103*ROUNDUP(BG103/10,0)+1,
IF($BC103=Lookup!$A$3,($BD103+1)^BF103,
IF($BC103=Lookup!$A$4,BG103*$BD103+1,"Error")))</f>
        <v>1</v>
      </c>
      <c r="BP103" s="229">
        <f>IF($BC103=Lookup!$A$2,$BD103*ROUNDUP(BH103/10,0)+1,
IF($BC103=Lookup!$A$3,($BD103+1)^BG103,
IF($BC103=Lookup!$A$4,BH103*$BD103+1,"Error")))</f>
        <v>0.77821428570000006</v>
      </c>
      <c r="BQ103" s="229">
        <f>IF($BC103=Lookup!$A$2,$BD103*ROUNDUP(BI103/10,0)+1,
IF($BC103=Lookup!$A$3,($BD103+1)^BH103,
IF($BC103=Lookup!$A$4,BI103*$BD103+1,"Error")))</f>
        <v>0.77821428570000006</v>
      </c>
      <c r="BR103" s="229">
        <f>IF($BC103=Lookup!$A$2,$BD103*ROUNDUP(BJ103/10,0)+1,
IF($BC103=Lookup!$A$3,($BD103+1)^BI103,
IF($BC103=Lookup!$A$4,BJ103*$BD103+1,"Error")))</f>
        <v>0.77821428570000006</v>
      </c>
      <c r="BS103" s="229">
        <f>IF($BC103=Lookup!$A$2,$BD103*ROUNDUP(BK103/10,0)+1,
IF($BC103=Lookup!$A$3,($BD103+1)^BJ103,
IF($BC103=Lookup!$A$4,BK103*$BD103+1,"Error")))</f>
        <v>0.77821428570000006</v>
      </c>
      <c r="BT103" s="249">
        <f>IF($BC103=Lookup!$A$2,$BD103*ROUNDUP(BL103/10,0)+1,
IF($BC103=Lookup!$A$3,($BD103+1)^BK103,
IF($BC103=Lookup!$A$4,BL103*$BD103+1,"Error")))</f>
        <v>0.77821428570000006</v>
      </c>
      <c r="BU103" s="320"/>
      <c r="BV103" s="321"/>
      <c r="BW103" s="321"/>
      <c r="BX103" s="321"/>
      <c r="BY103" s="321"/>
      <c r="BZ103" s="321"/>
      <c r="CA103" s="321"/>
      <c r="CB103" s="277"/>
      <c r="CC103" s="382" t="s">
        <v>292</v>
      </c>
      <c r="CD103" s="383">
        <f>HLOOKUP($CC103,$AK$6:$AM$132,ROWS(CD$6:CD103),0)</f>
        <v>0</v>
      </c>
      <c r="CE103" s="234">
        <f t="shared" ref="CE103:CE132" si="169">IFERROR(IF(BU103&lt;&gt;"",BU103,BM103*$CD103),"")</f>
        <v>0</v>
      </c>
      <c r="CF103" s="96">
        <f t="shared" ref="CF103:CF132" si="170">IFERROR(IF(BV103&lt;&gt;"",BV103,BN103*$CD103),"")</f>
        <v>0</v>
      </c>
      <c r="CG103" s="96">
        <f t="shared" ref="CG103:CG132" si="171">IFERROR(IF(BW103&lt;&gt;"",BW103,BO103*$CD103),"")</f>
        <v>0</v>
      </c>
      <c r="CH103" s="96">
        <f t="shared" ref="CH103:CH132" si="172">IFERROR(IF(BX103&lt;&gt;"",BX103,BP103*$CD103),"")</f>
        <v>0</v>
      </c>
      <c r="CI103" s="96">
        <f t="shared" ref="CI103:CI132" si="173">IFERROR(IF(BY103&lt;&gt;"",BY103,BQ103*$CD103),"")</f>
        <v>0</v>
      </c>
      <c r="CJ103" s="96">
        <f t="shared" ref="CJ103:CJ132" si="174">IFERROR(IF(BZ103&lt;&gt;"",BZ103,BR103*$CD103),"")</f>
        <v>0</v>
      </c>
      <c r="CK103" s="96">
        <f t="shared" ref="CK103:CK132" si="175">IFERROR(IF(CA103&lt;&gt;"",CA103,BS103*$CD103),"")</f>
        <v>0</v>
      </c>
      <c r="CL103" s="286">
        <f t="shared" ref="CL103:CL132" si="176">IFERROR(IF(CB103&lt;&gt;"",CB103,BT103*$CD103),"")</f>
        <v>0</v>
      </c>
      <c r="CM103" s="305" t="s">
        <v>293</v>
      </c>
      <c r="CN103" s="315">
        <v>0.05</v>
      </c>
      <c r="CO103" s="306"/>
      <c r="CP103" s="307" t="str">
        <f>IF($CO103&lt;&gt;"",$CO103,HLOOKUP($CM103,$AY$6:$BA$132,ROWS(CP$6:CP103),0))</f>
        <v/>
      </c>
      <c r="CQ103" s="784" t="str">
        <f t="shared" ref="CQ103:CQ132" si="177">IFERROR(CE103*$CP103,"")</f>
        <v/>
      </c>
      <c r="CR103" s="784" t="str">
        <f t="shared" ref="CR103:CR132" si="178">IFERROR(CF103*$CP103,"")</f>
        <v/>
      </c>
      <c r="CS103" s="97" t="str">
        <f t="shared" ref="CS103:CS132" si="179">IFERROR(CG103*$CP103,"")</f>
        <v/>
      </c>
      <c r="CT103" s="97" t="str">
        <f t="shared" ref="CT103:CT132" si="180">IFERROR(CH103*$CP103,"")</f>
        <v/>
      </c>
      <c r="CU103" s="97" t="str">
        <f t="shared" ref="CU103:CU132" si="181">IFERROR(CI103*$CP103,"")</f>
        <v/>
      </c>
      <c r="CV103" s="97" t="str">
        <f t="shared" ref="CV103:CV132" si="182">IFERROR(CJ103*$CP103,"")</f>
        <v/>
      </c>
      <c r="CW103" s="97" t="str">
        <f t="shared" ref="CW103:CW132" si="183">IFERROR(CK103*$CP103,"")</f>
        <v/>
      </c>
      <c r="CX103" s="98" t="str">
        <f t="shared" ref="CX103:CX132" si="184">IFERROR(CL103*$CP103,"")</f>
        <v/>
      </c>
      <c r="CY103" s="392"/>
    </row>
    <row r="104" spans="1:103" x14ac:dyDescent="0.25">
      <c r="A104" s="81" t="s">
        <v>196</v>
      </c>
      <c r="B104" s="82" t="s">
        <v>211</v>
      </c>
      <c r="C104" s="83" t="s">
        <v>212</v>
      </c>
      <c r="D104" s="84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654">
        <f>'2022-23 Input'!E104</f>
        <v>0</v>
      </c>
      <c r="N104" s="1065">
        <v>0</v>
      </c>
      <c r="O104" s="560">
        <f t="shared" si="142"/>
        <v>0</v>
      </c>
      <c r="P104" s="561">
        <f t="shared" si="143"/>
        <v>0</v>
      </c>
      <c r="Q104" s="561">
        <f t="shared" si="144"/>
        <v>0</v>
      </c>
      <c r="R104" s="561">
        <f t="shared" si="145"/>
        <v>0</v>
      </c>
      <c r="S104" s="561">
        <f t="shared" si="146"/>
        <v>0</v>
      </c>
      <c r="T104" s="561">
        <f t="shared" si="147"/>
        <v>0</v>
      </c>
      <c r="U104" s="561">
        <f t="shared" si="148"/>
        <v>0</v>
      </c>
      <c r="V104" s="561">
        <f t="shared" si="149"/>
        <v>0</v>
      </c>
      <c r="W104" s="675">
        <f t="shared" si="150"/>
        <v>0</v>
      </c>
      <c r="X104" s="675">
        <f t="shared" si="151"/>
        <v>0</v>
      </c>
      <c r="Y104" s="675">
        <f t="shared" si="152"/>
        <v>0</v>
      </c>
      <c r="Z104" s="86">
        <v>0</v>
      </c>
      <c r="AA104" s="87">
        <v>0</v>
      </c>
      <c r="AB104" s="87">
        <v>0</v>
      </c>
      <c r="AC104" s="87">
        <v>0</v>
      </c>
      <c r="AD104" s="87">
        <v>0</v>
      </c>
      <c r="AE104" s="87">
        <v>0</v>
      </c>
      <c r="AF104" s="87">
        <v>0</v>
      </c>
      <c r="AG104" s="87">
        <v>0</v>
      </c>
      <c r="AH104" s="87">
        <v>0</v>
      </c>
      <c r="AI104" s="1094">
        <f>'2022-23 Input'!L104</f>
        <v>0</v>
      </c>
      <c r="AJ104" s="665">
        <v>0</v>
      </c>
      <c r="AK104" s="88">
        <f t="shared" si="153"/>
        <v>0</v>
      </c>
      <c r="AL104" s="89">
        <f t="shared" si="154"/>
        <v>0</v>
      </c>
      <c r="AM104" s="90">
        <f t="shared" si="155"/>
        <v>0</v>
      </c>
      <c r="AN104" s="91" t="str">
        <f t="shared" si="156"/>
        <v/>
      </c>
      <c r="AO104" s="92" t="str">
        <f t="shared" si="157"/>
        <v/>
      </c>
      <c r="AP104" s="92" t="str">
        <f t="shared" si="158"/>
        <v/>
      </c>
      <c r="AQ104" s="92" t="str">
        <f t="shared" si="159"/>
        <v/>
      </c>
      <c r="AR104" s="92" t="str">
        <f t="shared" si="160"/>
        <v/>
      </c>
      <c r="AS104" s="92" t="str">
        <f t="shared" si="161"/>
        <v/>
      </c>
      <c r="AT104" s="92" t="str">
        <f t="shared" si="162"/>
        <v/>
      </c>
      <c r="AU104" s="92" t="str">
        <f t="shared" si="163"/>
        <v/>
      </c>
      <c r="AV104" s="92" t="str">
        <f t="shared" si="164"/>
        <v/>
      </c>
      <c r="AW104" s="92" t="str">
        <f t="shared" si="164"/>
        <v/>
      </c>
      <c r="AX104" s="92" t="str">
        <f t="shared" si="164"/>
        <v/>
      </c>
      <c r="AY104" s="93" t="str">
        <f t="shared" si="165"/>
        <v/>
      </c>
      <c r="AZ104" s="94" t="str">
        <f t="shared" si="166"/>
        <v/>
      </c>
      <c r="BA104" s="95" t="str">
        <f t="shared" si="167"/>
        <v/>
      </c>
      <c r="BB104" s="248" t="s">
        <v>422</v>
      </c>
      <c r="BC104" s="229" t="s">
        <v>433</v>
      </c>
      <c r="BD104" s="249">
        <v>-0.22178571429999999</v>
      </c>
      <c r="BE104" s="267">
        <f t="shared" si="168"/>
        <v>0</v>
      </c>
      <c r="BF104" s="268">
        <f t="shared" si="141"/>
        <v>0</v>
      </c>
      <c r="BG104" s="268">
        <f t="shared" si="141"/>
        <v>0</v>
      </c>
      <c r="BH104" s="268">
        <f t="shared" si="141"/>
        <v>1</v>
      </c>
      <c r="BI104" s="268">
        <f t="shared" si="141"/>
        <v>2</v>
      </c>
      <c r="BJ104" s="268">
        <f t="shared" si="141"/>
        <v>3</v>
      </c>
      <c r="BK104" s="268">
        <f t="shared" si="141"/>
        <v>4</v>
      </c>
      <c r="BL104" s="269">
        <f t="shared" si="141"/>
        <v>5</v>
      </c>
      <c r="BM104" s="256">
        <f>IF($BC104=Lookup!$A$2,$BD104*ROUNDUP(BE104/10,0)+1,
IF($BC104=Lookup!$A$3,($BD104+1)^BD104,
IF($BC104=Lookup!$A$4,BE104*$BD104+1,"Error")))</f>
        <v>1</v>
      </c>
      <c r="BN104" s="229">
        <f>IF($BC104=Lookup!$A$2,$BD104*ROUNDUP(BF104/10,0)+1,
IF($BC104=Lookup!$A$3,($BD104+1)^BE104,
IF($BC104=Lookup!$A$4,BF104*$BD104+1,"Error")))</f>
        <v>1</v>
      </c>
      <c r="BO104" s="229">
        <f>IF($BC104=Lookup!$A$2,$BD104*ROUNDUP(BG104/10,0)+1,
IF($BC104=Lookup!$A$3,($BD104+1)^BF104,
IF($BC104=Lookup!$A$4,BG104*$BD104+1,"Error")))</f>
        <v>1</v>
      </c>
      <c r="BP104" s="229">
        <f>IF($BC104=Lookup!$A$2,$BD104*ROUNDUP(BH104/10,0)+1,
IF($BC104=Lookup!$A$3,($BD104+1)^BG104,
IF($BC104=Lookup!$A$4,BH104*$BD104+1,"Error")))</f>
        <v>0.77821428570000006</v>
      </c>
      <c r="BQ104" s="229">
        <f>IF($BC104=Lookup!$A$2,$BD104*ROUNDUP(BI104/10,0)+1,
IF($BC104=Lookup!$A$3,($BD104+1)^BH104,
IF($BC104=Lookup!$A$4,BI104*$BD104+1,"Error")))</f>
        <v>0.77821428570000006</v>
      </c>
      <c r="BR104" s="229">
        <f>IF($BC104=Lookup!$A$2,$BD104*ROUNDUP(BJ104/10,0)+1,
IF($BC104=Lookup!$A$3,($BD104+1)^BI104,
IF($BC104=Lookup!$A$4,BJ104*$BD104+1,"Error")))</f>
        <v>0.77821428570000006</v>
      </c>
      <c r="BS104" s="229">
        <f>IF($BC104=Lookup!$A$2,$BD104*ROUNDUP(BK104/10,0)+1,
IF($BC104=Lookup!$A$3,($BD104+1)^BJ104,
IF($BC104=Lookup!$A$4,BK104*$BD104+1,"Error")))</f>
        <v>0.77821428570000006</v>
      </c>
      <c r="BT104" s="249">
        <f>IF($BC104=Lookup!$A$2,$BD104*ROUNDUP(BL104/10,0)+1,
IF($BC104=Lookup!$A$3,($BD104+1)^BK104,
IF($BC104=Lookup!$A$4,BL104*$BD104+1,"Error")))</f>
        <v>0.77821428570000006</v>
      </c>
      <c r="BU104" s="320"/>
      <c r="BV104" s="321"/>
      <c r="BW104" s="321"/>
      <c r="BX104" s="321"/>
      <c r="BY104" s="321"/>
      <c r="BZ104" s="321"/>
      <c r="CA104" s="321"/>
      <c r="CB104" s="277"/>
      <c r="CC104" s="382" t="s">
        <v>292</v>
      </c>
      <c r="CD104" s="383">
        <f>HLOOKUP($CC104,$AK$6:$AM$132,ROWS(CD$6:CD104),0)</f>
        <v>0</v>
      </c>
      <c r="CE104" s="234">
        <f t="shared" si="169"/>
        <v>0</v>
      </c>
      <c r="CF104" s="96">
        <f t="shared" si="170"/>
        <v>0</v>
      </c>
      <c r="CG104" s="96">
        <f t="shared" si="171"/>
        <v>0</v>
      </c>
      <c r="CH104" s="96">
        <f t="shared" si="172"/>
        <v>0</v>
      </c>
      <c r="CI104" s="96">
        <f t="shared" si="173"/>
        <v>0</v>
      </c>
      <c r="CJ104" s="96">
        <f t="shared" si="174"/>
        <v>0</v>
      </c>
      <c r="CK104" s="96">
        <f t="shared" si="175"/>
        <v>0</v>
      </c>
      <c r="CL104" s="286">
        <f t="shared" si="176"/>
        <v>0</v>
      </c>
      <c r="CM104" s="305" t="s">
        <v>293</v>
      </c>
      <c r="CN104" s="315">
        <v>0.05</v>
      </c>
      <c r="CO104" s="306"/>
      <c r="CP104" s="307" t="str">
        <f>IF($CO104&lt;&gt;"",$CO104,HLOOKUP($CM104,$AY$6:$BA$132,ROWS(CP$6:CP104),0))</f>
        <v/>
      </c>
      <c r="CQ104" s="784" t="str">
        <f t="shared" si="177"/>
        <v/>
      </c>
      <c r="CR104" s="784" t="str">
        <f t="shared" si="178"/>
        <v/>
      </c>
      <c r="CS104" s="97" t="str">
        <f t="shared" si="179"/>
        <v/>
      </c>
      <c r="CT104" s="97" t="str">
        <f t="shared" si="180"/>
        <v/>
      </c>
      <c r="CU104" s="97" t="str">
        <f t="shared" si="181"/>
        <v/>
      </c>
      <c r="CV104" s="97" t="str">
        <f t="shared" si="182"/>
        <v/>
      </c>
      <c r="CW104" s="97" t="str">
        <f t="shared" si="183"/>
        <v/>
      </c>
      <c r="CX104" s="98" t="str">
        <f t="shared" si="184"/>
        <v/>
      </c>
      <c r="CY104" s="392"/>
    </row>
    <row r="105" spans="1:103" x14ac:dyDescent="0.25">
      <c r="A105" s="81" t="s">
        <v>196</v>
      </c>
      <c r="B105" s="82" t="s">
        <v>213</v>
      </c>
      <c r="C105" s="83" t="s">
        <v>214</v>
      </c>
      <c r="D105" s="84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654">
        <f>'2022-23 Input'!E105</f>
        <v>0</v>
      </c>
      <c r="N105" s="1065">
        <v>0</v>
      </c>
      <c r="O105" s="560">
        <f t="shared" si="142"/>
        <v>0</v>
      </c>
      <c r="P105" s="561">
        <f t="shared" si="143"/>
        <v>0</v>
      </c>
      <c r="Q105" s="561">
        <f t="shared" si="144"/>
        <v>0</v>
      </c>
      <c r="R105" s="561">
        <f t="shared" si="145"/>
        <v>0</v>
      </c>
      <c r="S105" s="561">
        <f t="shared" si="146"/>
        <v>0</v>
      </c>
      <c r="T105" s="561">
        <f t="shared" si="147"/>
        <v>0</v>
      </c>
      <c r="U105" s="561">
        <f t="shared" si="148"/>
        <v>0</v>
      </c>
      <c r="V105" s="561">
        <f t="shared" si="149"/>
        <v>0</v>
      </c>
      <c r="W105" s="675">
        <f t="shared" si="150"/>
        <v>0</v>
      </c>
      <c r="X105" s="675">
        <f t="shared" si="151"/>
        <v>0</v>
      </c>
      <c r="Y105" s="675">
        <f t="shared" si="152"/>
        <v>0</v>
      </c>
      <c r="Z105" s="86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87">
        <v>0</v>
      </c>
      <c r="AI105" s="1094">
        <f>'2022-23 Input'!L105</f>
        <v>0</v>
      </c>
      <c r="AJ105" s="665">
        <v>0</v>
      </c>
      <c r="AK105" s="88">
        <f t="shared" si="153"/>
        <v>0</v>
      </c>
      <c r="AL105" s="89">
        <f t="shared" si="154"/>
        <v>0</v>
      </c>
      <c r="AM105" s="90">
        <f t="shared" si="155"/>
        <v>0</v>
      </c>
      <c r="AN105" s="91" t="str">
        <f t="shared" si="156"/>
        <v/>
      </c>
      <c r="AO105" s="92" t="str">
        <f t="shared" si="157"/>
        <v/>
      </c>
      <c r="AP105" s="92" t="str">
        <f t="shared" si="158"/>
        <v/>
      </c>
      <c r="AQ105" s="92" t="str">
        <f t="shared" si="159"/>
        <v/>
      </c>
      <c r="AR105" s="92" t="str">
        <f t="shared" si="160"/>
        <v/>
      </c>
      <c r="AS105" s="92" t="str">
        <f t="shared" si="161"/>
        <v/>
      </c>
      <c r="AT105" s="92" t="str">
        <f t="shared" si="162"/>
        <v/>
      </c>
      <c r="AU105" s="92" t="str">
        <f t="shared" si="163"/>
        <v/>
      </c>
      <c r="AV105" s="92" t="str">
        <f t="shared" si="164"/>
        <v/>
      </c>
      <c r="AW105" s="92" t="str">
        <f t="shared" si="164"/>
        <v/>
      </c>
      <c r="AX105" s="92" t="str">
        <f t="shared" si="164"/>
        <v/>
      </c>
      <c r="AY105" s="93" t="str">
        <f t="shared" si="165"/>
        <v/>
      </c>
      <c r="AZ105" s="94" t="str">
        <f t="shared" si="166"/>
        <v/>
      </c>
      <c r="BA105" s="95" t="str">
        <f t="shared" si="167"/>
        <v/>
      </c>
      <c r="BB105" s="248" t="s">
        <v>422</v>
      </c>
      <c r="BC105" s="229" t="s">
        <v>433</v>
      </c>
      <c r="BD105" s="249">
        <v>-0.22178571429999999</v>
      </c>
      <c r="BE105" s="267">
        <f t="shared" si="168"/>
        <v>0</v>
      </c>
      <c r="BF105" s="268">
        <f t="shared" si="141"/>
        <v>0</v>
      </c>
      <c r="BG105" s="268">
        <f t="shared" si="141"/>
        <v>0</v>
      </c>
      <c r="BH105" s="268">
        <f t="shared" si="141"/>
        <v>1</v>
      </c>
      <c r="BI105" s="268">
        <f t="shared" si="141"/>
        <v>2</v>
      </c>
      <c r="BJ105" s="268">
        <f t="shared" si="141"/>
        <v>3</v>
      </c>
      <c r="BK105" s="268">
        <f t="shared" si="141"/>
        <v>4</v>
      </c>
      <c r="BL105" s="269">
        <f t="shared" si="141"/>
        <v>5</v>
      </c>
      <c r="BM105" s="256">
        <f>IF($BC105=Lookup!$A$2,$BD105*ROUNDUP(BE105/10,0)+1,
IF($BC105=Lookup!$A$3,($BD105+1)^BD105,
IF($BC105=Lookup!$A$4,BE105*$BD105+1,"Error")))</f>
        <v>1</v>
      </c>
      <c r="BN105" s="229">
        <f>IF($BC105=Lookup!$A$2,$BD105*ROUNDUP(BF105/10,0)+1,
IF($BC105=Lookup!$A$3,($BD105+1)^BE105,
IF($BC105=Lookup!$A$4,BF105*$BD105+1,"Error")))</f>
        <v>1</v>
      </c>
      <c r="BO105" s="229">
        <f>IF($BC105=Lookup!$A$2,$BD105*ROUNDUP(BG105/10,0)+1,
IF($BC105=Lookup!$A$3,($BD105+1)^BF105,
IF($BC105=Lookup!$A$4,BG105*$BD105+1,"Error")))</f>
        <v>1</v>
      </c>
      <c r="BP105" s="229">
        <f>IF($BC105=Lookup!$A$2,$BD105*ROUNDUP(BH105/10,0)+1,
IF($BC105=Lookup!$A$3,($BD105+1)^BG105,
IF($BC105=Lookup!$A$4,BH105*$BD105+1,"Error")))</f>
        <v>0.77821428570000006</v>
      </c>
      <c r="BQ105" s="229">
        <f>IF($BC105=Lookup!$A$2,$BD105*ROUNDUP(BI105/10,0)+1,
IF($BC105=Lookup!$A$3,($BD105+1)^BH105,
IF($BC105=Lookup!$A$4,BI105*$BD105+1,"Error")))</f>
        <v>0.77821428570000006</v>
      </c>
      <c r="BR105" s="229">
        <f>IF($BC105=Lookup!$A$2,$BD105*ROUNDUP(BJ105/10,0)+1,
IF($BC105=Lookup!$A$3,($BD105+1)^BI105,
IF($BC105=Lookup!$A$4,BJ105*$BD105+1,"Error")))</f>
        <v>0.77821428570000006</v>
      </c>
      <c r="BS105" s="229">
        <f>IF($BC105=Lookup!$A$2,$BD105*ROUNDUP(BK105/10,0)+1,
IF($BC105=Lookup!$A$3,($BD105+1)^BJ105,
IF($BC105=Lookup!$A$4,BK105*$BD105+1,"Error")))</f>
        <v>0.77821428570000006</v>
      </c>
      <c r="BT105" s="249">
        <f>IF($BC105=Lookup!$A$2,$BD105*ROUNDUP(BL105/10,0)+1,
IF($BC105=Lookup!$A$3,($BD105+1)^BK105,
IF($BC105=Lookup!$A$4,BL105*$BD105+1,"Error")))</f>
        <v>0.77821428570000006</v>
      </c>
      <c r="BU105" s="320"/>
      <c r="BV105" s="321"/>
      <c r="BW105" s="321"/>
      <c r="BX105" s="321"/>
      <c r="BY105" s="321"/>
      <c r="BZ105" s="321"/>
      <c r="CA105" s="321"/>
      <c r="CB105" s="277"/>
      <c r="CC105" s="382" t="s">
        <v>292</v>
      </c>
      <c r="CD105" s="383">
        <f>HLOOKUP($CC105,$AK$6:$AM$132,ROWS(CD$6:CD105),0)</f>
        <v>0</v>
      </c>
      <c r="CE105" s="234">
        <f t="shared" si="169"/>
        <v>0</v>
      </c>
      <c r="CF105" s="96">
        <f t="shared" si="170"/>
        <v>0</v>
      </c>
      <c r="CG105" s="96">
        <f t="shared" si="171"/>
        <v>0</v>
      </c>
      <c r="CH105" s="96">
        <f t="shared" si="172"/>
        <v>0</v>
      </c>
      <c r="CI105" s="96">
        <f t="shared" si="173"/>
        <v>0</v>
      </c>
      <c r="CJ105" s="96">
        <f t="shared" si="174"/>
        <v>0</v>
      </c>
      <c r="CK105" s="96">
        <f t="shared" si="175"/>
        <v>0</v>
      </c>
      <c r="CL105" s="286">
        <f t="shared" si="176"/>
        <v>0</v>
      </c>
      <c r="CM105" s="305" t="s">
        <v>293</v>
      </c>
      <c r="CN105" s="315">
        <v>0.05</v>
      </c>
      <c r="CO105" s="306"/>
      <c r="CP105" s="307" t="str">
        <f>IF($CO105&lt;&gt;"",$CO105,HLOOKUP($CM105,$AY$6:$BA$132,ROWS(CP$6:CP105),0))</f>
        <v/>
      </c>
      <c r="CQ105" s="784" t="str">
        <f t="shared" si="177"/>
        <v/>
      </c>
      <c r="CR105" s="784" t="str">
        <f t="shared" si="178"/>
        <v/>
      </c>
      <c r="CS105" s="97" t="str">
        <f t="shared" si="179"/>
        <v/>
      </c>
      <c r="CT105" s="97" t="str">
        <f t="shared" si="180"/>
        <v/>
      </c>
      <c r="CU105" s="97" t="str">
        <f t="shared" si="181"/>
        <v/>
      </c>
      <c r="CV105" s="97" t="str">
        <f t="shared" si="182"/>
        <v/>
      </c>
      <c r="CW105" s="97" t="str">
        <f t="shared" si="183"/>
        <v/>
      </c>
      <c r="CX105" s="98" t="str">
        <f t="shared" si="184"/>
        <v/>
      </c>
      <c r="CY105" s="392"/>
    </row>
    <row r="106" spans="1:103" x14ac:dyDescent="0.25">
      <c r="A106" s="81" t="s">
        <v>196</v>
      </c>
      <c r="B106" s="82" t="s">
        <v>215</v>
      </c>
      <c r="C106" s="83" t="s">
        <v>392</v>
      </c>
      <c r="D106" s="84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654">
        <f>'2022-23 Input'!E106</f>
        <v>0</v>
      </c>
      <c r="N106" s="1065">
        <v>0</v>
      </c>
      <c r="O106" s="560">
        <f t="shared" si="142"/>
        <v>0</v>
      </c>
      <c r="P106" s="561">
        <f t="shared" si="143"/>
        <v>0</v>
      </c>
      <c r="Q106" s="561">
        <f t="shared" si="144"/>
        <v>0</v>
      </c>
      <c r="R106" s="561">
        <f t="shared" si="145"/>
        <v>0</v>
      </c>
      <c r="S106" s="561">
        <f t="shared" si="146"/>
        <v>0</v>
      </c>
      <c r="T106" s="561">
        <f t="shared" si="147"/>
        <v>0</v>
      </c>
      <c r="U106" s="561">
        <f t="shared" si="148"/>
        <v>0</v>
      </c>
      <c r="V106" s="561">
        <f t="shared" si="149"/>
        <v>0</v>
      </c>
      <c r="W106" s="675">
        <f t="shared" si="150"/>
        <v>0</v>
      </c>
      <c r="X106" s="675">
        <f t="shared" si="151"/>
        <v>0</v>
      </c>
      <c r="Y106" s="675">
        <f t="shared" si="152"/>
        <v>0</v>
      </c>
      <c r="Z106" s="86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87">
        <v>0</v>
      </c>
      <c r="AI106" s="1094">
        <f>'2022-23 Input'!L106</f>
        <v>0</v>
      </c>
      <c r="AJ106" s="665">
        <v>0</v>
      </c>
      <c r="AK106" s="88">
        <f t="shared" si="153"/>
        <v>0</v>
      </c>
      <c r="AL106" s="89">
        <f t="shared" si="154"/>
        <v>0</v>
      </c>
      <c r="AM106" s="90">
        <f t="shared" si="155"/>
        <v>0</v>
      </c>
      <c r="AN106" s="91" t="str">
        <f t="shared" si="156"/>
        <v/>
      </c>
      <c r="AO106" s="92" t="str">
        <f t="shared" si="157"/>
        <v/>
      </c>
      <c r="AP106" s="92" t="str">
        <f t="shared" si="158"/>
        <v/>
      </c>
      <c r="AQ106" s="92" t="str">
        <f t="shared" si="159"/>
        <v/>
      </c>
      <c r="AR106" s="92" t="str">
        <f t="shared" si="160"/>
        <v/>
      </c>
      <c r="AS106" s="92" t="str">
        <f t="shared" si="161"/>
        <v/>
      </c>
      <c r="AT106" s="92" t="str">
        <f t="shared" si="162"/>
        <v/>
      </c>
      <c r="AU106" s="92" t="str">
        <f t="shared" si="163"/>
        <v/>
      </c>
      <c r="AV106" s="92" t="str">
        <f t="shared" si="164"/>
        <v/>
      </c>
      <c r="AW106" s="92" t="str">
        <f t="shared" si="164"/>
        <v/>
      </c>
      <c r="AX106" s="92" t="str">
        <f t="shared" si="164"/>
        <v/>
      </c>
      <c r="AY106" s="93" t="str">
        <f t="shared" si="165"/>
        <v/>
      </c>
      <c r="AZ106" s="94" t="str">
        <f t="shared" si="166"/>
        <v/>
      </c>
      <c r="BA106" s="95" t="str">
        <f t="shared" si="167"/>
        <v/>
      </c>
      <c r="BB106" s="248" t="s">
        <v>422</v>
      </c>
      <c r="BC106" s="229" t="s">
        <v>433</v>
      </c>
      <c r="BD106" s="249">
        <v>-0.22178571429999999</v>
      </c>
      <c r="BE106" s="267">
        <f t="shared" si="168"/>
        <v>0</v>
      </c>
      <c r="BF106" s="268">
        <f t="shared" si="141"/>
        <v>0</v>
      </c>
      <c r="BG106" s="268">
        <f t="shared" si="141"/>
        <v>0</v>
      </c>
      <c r="BH106" s="268">
        <f t="shared" si="141"/>
        <v>1</v>
      </c>
      <c r="BI106" s="268">
        <f t="shared" si="141"/>
        <v>2</v>
      </c>
      <c r="BJ106" s="268">
        <f t="shared" si="141"/>
        <v>3</v>
      </c>
      <c r="BK106" s="268">
        <f t="shared" si="141"/>
        <v>4</v>
      </c>
      <c r="BL106" s="269">
        <f t="shared" si="141"/>
        <v>5</v>
      </c>
      <c r="BM106" s="256">
        <f>IF($BC106=Lookup!$A$2,$BD106*ROUNDUP(BE106/10,0)+1,
IF($BC106=Lookup!$A$3,($BD106+1)^BD106,
IF($BC106=Lookup!$A$4,BE106*$BD106+1,"Error")))</f>
        <v>1</v>
      </c>
      <c r="BN106" s="229">
        <f>IF($BC106=Lookup!$A$2,$BD106*ROUNDUP(BF106/10,0)+1,
IF($BC106=Lookup!$A$3,($BD106+1)^BE106,
IF($BC106=Lookup!$A$4,BF106*$BD106+1,"Error")))</f>
        <v>1</v>
      </c>
      <c r="BO106" s="229">
        <f>IF($BC106=Lookup!$A$2,$BD106*ROUNDUP(BG106/10,0)+1,
IF($BC106=Lookup!$A$3,($BD106+1)^BF106,
IF($BC106=Lookup!$A$4,BG106*$BD106+1,"Error")))</f>
        <v>1</v>
      </c>
      <c r="BP106" s="229">
        <f>IF($BC106=Lookup!$A$2,$BD106*ROUNDUP(BH106/10,0)+1,
IF($BC106=Lookup!$A$3,($BD106+1)^BG106,
IF($BC106=Lookup!$A$4,BH106*$BD106+1,"Error")))</f>
        <v>0.77821428570000006</v>
      </c>
      <c r="BQ106" s="229">
        <f>IF($BC106=Lookup!$A$2,$BD106*ROUNDUP(BI106/10,0)+1,
IF($BC106=Lookup!$A$3,($BD106+1)^BH106,
IF($BC106=Lookup!$A$4,BI106*$BD106+1,"Error")))</f>
        <v>0.77821428570000006</v>
      </c>
      <c r="BR106" s="229">
        <f>IF($BC106=Lookup!$A$2,$BD106*ROUNDUP(BJ106/10,0)+1,
IF($BC106=Lookup!$A$3,($BD106+1)^BI106,
IF($BC106=Lookup!$A$4,BJ106*$BD106+1,"Error")))</f>
        <v>0.77821428570000006</v>
      </c>
      <c r="BS106" s="229">
        <f>IF($BC106=Lookup!$A$2,$BD106*ROUNDUP(BK106/10,0)+1,
IF($BC106=Lookup!$A$3,($BD106+1)^BJ106,
IF($BC106=Lookup!$A$4,BK106*$BD106+1,"Error")))</f>
        <v>0.77821428570000006</v>
      </c>
      <c r="BT106" s="249">
        <f>IF($BC106=Lookup!$A$2,$BD106*ROUNDUP(BL106/10,0)+1,
IF($BC106=Lookup!$A$3,($BD106+1)^BK106,
IF($BC106=Lookup!$A$4,BL106*$BD106+1,"Error")))</f>
        <v>0.77821428570000006</v>
      </c>
      <c r="BU106" s="320"/>
      <c r="BV106" s="321"/>
      <c r="BW106" s="321"/>
      <c r="BX106" s="321"/>
      <c r="BY106" s="321"/>
      <c r="BZ106" s="321"/>
      <c r="CA106" s="321"/>
      <c r="CB106" s="277"/>
      <c r="CC106" s="382" t="s">
        <v>292</v>
      </c>
      <c r="CD106" s="383">
        <f>HLOOKUP($CC106,$AK$6:$AM$132,ROWS(CD$6:CD106),0)</f>
        <v>0</v>
      </c>
      <c r="CE106" s="234">
        <f t="shared" si="169"/>
        <v>0</v>
      </c>
      <c r="CF106" s="96">
        <f t="shared" si="170"/>
        <v>0</v>
      </c>
      <c r="CG106" s="96">
        <f t="shared" si="171"/>
        <v>0</v>
      </c>
      <c r="CH106" s="96">
        <f t="shared" si="172"/>
        <v>0</v>
      </c>
      <c r="CI106" s="96">
        <f t="shared" si="173"/>
        <v>0</v>
      </c>
      <c r="CJ106" s="96">
        <f t="shared" si="174"/>
        <v>0</v>
      </c>
      <c r="CK106" s="96">
        <f t="shared" si="175"/>
        <v>0</v>
      </c>
      <c r="CL106" s="286">
        <f t="shared" si="176"/>
        <v>0</v>
      </c>
      <c r="CM106" s="305" t="s">
        <v>293</v>
      </c>
      <c r="CN106" s="315">
        <v>0.05</v>
      </c>
      <c r="CO106" s="306"/>
      <c r="CP106" s="307" t="str">
        <f>IF($CO106&lt;&gt;"",$CO106,HLOOKUP($CM106,$AY$6:$BA$132,ROWS(CP$6:CP106),0))</f>
        <v/>
      </c>
      <c r="CQ106" s="784" t="str">
        <f t="shared" si="177"/>
        <v/>
      </c>
      <c r="CR106" s="784" t="str">
        <f t="shared" si="178"/>
        <v/>
      </c>
      <c r="CS106" s="97" t="str">
        <f t="shared" si="179"/>
        <v/>
      </c>
      <c r="CT106" s="97" t="str">
        <f t="shared" si="180"/>
        <v/>
      </c>
      <c r="CU106" s="97" t="str">
        <f t="shared" si="181"/>
        <v/>
      </c>
      <c r="CV106" s="97" t="str">
        <f t="shared" si="182"/>
        <v/>
      </c>
      <c r="CW106" s="97" t="str">
        <f t="shared" si="183"/>
        <v/>
      </c>
      <c r="CX106" s="98" t="str">
        <f t="shared" si="184"/>
        <v/>
      </c>
      <c r="CY106" s="392"/>
    </row>
    <row r="107" spans="1:103" x14ac:dyDescent="0.25">
      <c r="A107" s="81" t="s">
        <v>196</v>
      </c>
      <c r="B107" s="82" t="s">
        <v>217</v>
      </c>
      <c r="C107" s="83" t="s">
        <v>218</v>
      </c>
      <c r="D107" s="84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654">
        <f>'2022-23 Input'!E107</f>
        <v>0</v>
      </c>
      <c r="N107" s="1065">
        <v>0</v>
      </c>
      <c r="O107" s="560">
        <f t="shared" si="142"/>
        <v>0</v>
      </c>
      <c r="P107" s="561">
        <f t="shared" si="143"/>
        <v>0</v>
      </c>
      <c r="Q107" s="561">
        <f t="shared" si="144"/>
        <v>0</v>
      </c>
      <c r="R107" s="561">
        <f t="shared" si="145"/>
        <v>0</v>
      </c>
      <c r="S107" s="561">
        <f t="shared" si="146"/>
        <v>0</v>
      </c>
      <c r="T107" s="561">
        <f t="shared" si="147"/>
        <v>0</v>
      </c>
      <c r="U107" s="561">
        <f t="shared" si="148"/>
        <v>0</v>
      </c>
      <c r="V107" s="561">
        <f t="shared" si="149"/>
        <v>0</v>
      </c>
      <c r="W107" s="675">
        <f t="shared" si="150"/>
        <v>0</v>
      </c>
      <c r="X107" s="675">
        <f t="shared" si="151"/>
        <v>0</v>
      </c>
      <c r="Y107" s="675">
        <f t="shared" si="152"/>
        <v>0</v>
      </c>
      <c r="Z107" s="86">
        <v>0</v>
      </c>
      <c r="AA107" s="87">
        <v>0</v>
      </c>
      <c r="AB107" s="87">
        <v>0</v>
      </c>
      <c r="AC107" s="87">
        <v>0</v>
      </c>
      <c r="AD107" s="87">
        <v>0</v>
      </c>
      <c r="AE107" s="87">
        <v>0</v>
      </c>
      <c r="AF107" s="87">
        <v>0</v>
      </c>
      <c r="AG107" s="87">
        <v>0</v>
      </c>
      <c r="AH107" s="87">
        <v>0</v>
      </c>
      <c r="AI107" s="1094">
        <f>'2022-23 Input'!L107</f>
        <v>0</v>
      </c>
      <c r="AJ107" s="665">
        <v>0</v>
      </c>
      <c r="AK107" s="88">
        <f t="shared" si="153"/>
        <v>0</v>
      </c>
      <c r="AL107" s="89">
        <f t="shared" si="154"/>
        <v>0</v>
      </c>
      <c r="AM107" s="90">
        <f t="shared" si="155"/>
        <v>0</v>
      </c>
      <c r="AN107" s="91" t="str">
        <f t="shared" si="156"/>
        <v/>
      </c>
      <c r="AO107" s="92" t="str">
        <f t="shared" si="157"/>
        <v/>
      </c>
      <c r="AP107" s="92" t="str">
        <f t="shared" si="158"/>
        <v/>
      </c>
      <c r="AQ107" s="92" t="str">
        <f t="shared" si="159"/>
        <v/>
      </c>
      <c r="AR107" s="92" t="str">
        <f t="shared" si="160"/>
        <v/>
      </c>
      <c r="AS107" s="92" t="str">
        <f t="shared" si="161"/>
        <v/>
      </c>
      <c r="AT107" s="92" t="str">
        <f t="shared" si="162"/>
        <v/>
      </c>
      <c r="AU107" s="92" t="str">
        <f t="shared" si="163"/>
        <v/>
      </c>
      <c r="AV107" s="92" t="str">
        <f t="shared" si="164"/>
        <v/>
      </c>
      <c r="AW107" s="92" t="str">
        <f t="shared" si="164"/>
        <v/>
      </c>
      <c r="AX107" s="92" t="str">
        <f t="shared" si="164"/>
        <v/>
      </c>
      <c r="AY107" s="93" t="str">
        <f t="shared" si="165"/>
        <v/>
      </c>
      <c r="AZ107" s="94" t="str">
        <f t="shared" si="166"/>
        <v/>
      </c>
      <c r="BA107" s="95" t="str">
        <f t="shared" si="167"/>
        <v/>
      </c>
      <c r="BB107" s="248" t="s">
        <v>422</v>
      </c>
      <c r="BC107" s="229" t="s">
        <v>433</v>
      </c>
      <c r="BD107" s="249">
        <v>-0.22178571429999999</v>
      </c>
      <c r="BE107" s="267">
        <f t="shared" si="168"/>
        <v>0</v>
      </c>
      <c r="BF107" s="268">
        <f t="shared" ref="BF107:BL116" si="185">IF(BF$6=$BB107,1,
IF(BE107&lt;&gt;0,BE107+1,0
))</f>
        <v>0</v>
      </c>
      <c r="BG107" s="268">
        <f t="shared" si="185"/>
        <v>0</v>
      </c>
      <c r="BH107" s="268">
        <f t="shared" si="185"/>
        <v>1</v>
      </c>
      <c r="BI107" s="268">
        <f t="shared" si="185"/>
        <v>2</v>
      </c>
      <c r="BJ107" s="268">
        <f t="shared" si="185"/>
        <v>3</v>
      </c>
      <c r="BK107" s="268">
        <f t="shared" si="185"/>
        <v>4</v>
      </c>
      <c r="BL107" s="269">
        <f t="shared" si="185"/>
        <v>5</v>
      </c>
      <c r="BM107" s="256">
        <f>IF($BC107=Lookup!$A$2,$BD107*ROUNDUP(BE107/10,0)+1,
IF($BC107=Lookup!$A$3,($BD107+1)^BD107,
IF($BC107=Lookup!$A$4,BE107*$BD107+1,"Error")))</f>
        <v>1</v>
      </c>
      <c r="BN107" s="229">
        <f>IF($BC107=Lookup!$A$2,$BD107*ROUNDUP(BF107/10,0)+1,
IF($BC107=Lookup!$A$3,($BD107+1)^BE107,
IF($BC107=Lookup!$A$4,BF107*$BD107+1,"Error")))</f>
        <v>1</v>
      </c>
      <c r="BO107" s="229">
        <f>IF($BC107=Lookup!$A$2,$BD107*ROUNDUP(BG107/10,0)+1,
IF($BC107=Lookup!$A$3,($BD107+1)^BF107,
IF($BC107=Lookup!$A$4,BG107*$BD107+1,"Error")))</f>
        <v>1</v>
      </c>
      <c r="BP107" s="229">
        <f>IF($BC107=Lookup!$A$2,$BD107*ROUNDUP(BH107/10,0)+1,
IF($BC107=Lookup!$A$3,($BD107+1)^BG107,
IF($BC107=Lookup!$A$4,BH107*$BD107+1,"Error")))</f>
        <v>0.77821428570000006</v>
      </c>
      <c r="BQ107" s="229">
        <f>IF($BC107=Lookup!$A$2,$BD107*ROUNDUP(BI107/10,0)+1,
IF($BC107=Lookup!$A$3,($BD107+1)^BH107,
IF($BC107=Lookup!$A$4,BI107*$BD107+1,"Error")))</f>
        <v>0.77821428570000006</v>
      </c>
      <c r="BR107" s="229">
        <f>IF($BC107=Lookup!$A$2,$BD107*ROUNDUP(BJ107/10,0)+1,
IF($BC107=Lookup!$A$3,($BD107+1)^BI107,
IF($BC107=Lookup!$A$4,BJ107*$BD107+1,"Error")))</f>
        <v>0.77821428570000006</v>
      </c>
      <c r="BS107" s="229">
        <f>IF($BC107=Lookup!$A$2,$BD107*ROUNDUP(BK107/10,0)+1,
IF($BC107=Lookup!$A$3,($BD107+1)^BJ107,
IF($BC107=Lookup!$A$4,BK107*$BD107+1,"Error")))</f>
        <v>0.77821428570000006</v>
      </c>
      <c r="BT107" s="249">
        <f>IF($BC107=Lookup!$A$2,$BD107*ROUNDUP(BL107/10,0)+1,
IF($BC107=Lookup!$A$3,($BD107+1)^BK107,
IF($BC107=Lookup!$A$4,BL107*$BD107+1,"Error")))</f>
        <v>0.77821428570000006</v>
      </c>
      <c r="BU107" s="320"/>
      <c r="BV107" s="321"/>
      <c r="BW107" s="321"/>
      <c r="BX107" s="321"/>
      <c r="BY107" s="321"/>
      <c r="BZ107" s="321"/>
      <c r="CA107" s="321"/>
      <c r="CB107" s="277"/>
      <c r="CC107" s="382" t="s">
        <v>292</v>
      </c>
      <c r="CD107" s="383">
        <f>HLOOKUP($CC107,$AK$6:$AM$132,ROWS(CD$6:CD107),0)</f>
        <v>0</v>
      </c>
      <c r="CE107" s="234">
        <f t="shared" si="169"/>
        <v>0</v>
      </c>
      <c r="CF107" s="96">
        <f t="shared" si="170"/>
        <v>0</v>
      </c>
      <c r="CG107" s="96">
        <f t="shared" si="171"/>
        <v>0</v>
      </c>
      <c r="CH107" s="96">
        <f t="shared" si="172"/>
        <v>0</v>
      </c>
      <c r="CI107" s="96">
        <f t="shared" si="173"/>
        <v>0</v>
      </c>
      <c r="CJ107" s="96">
        <f t="shared" si="174"/>
        <v>0</v>
      </c>
      <c r="CK107" s="96">
        <f t="shared" si="175"/>
        <v>0</v>
      </c>
      <c r="CL107" s="286">
        <f t="shared" si="176"/>
        <v>0</v>
      </c>
      <c r="CM107" s="305" t="s">
        <v>293</v>
      </c>
      <c r="CN107" s="315">
        <v>0.05</v>
      </c>
      <c r="CO107" s="306"/>
      <c r="CP107" s="307" t="str">
        <f>IF($CO107&lt;&gt;"",$CO107,HLOOKUP($CM107,$AY$6:$BA$132,ROWS(CP$6:CP107),0))</f>
        <v/>
      </c>
      <c r="CQ107" s="784" t="str">
        <f t="shared" si="177"/>
        <v/>
      </c>
      <c r="CR107" s="784" t="str">
        <f t="shared" si="178"/>
        <v/>
      </c>
      <c r="CS107" s="97" t="str">
        <f t="shared" si="179"/>
        <v/>
      </c>
      <c r="CT107" s="97" t="str">
        <f t="shared" si="180"/>
        <v/>
      </c>
      <c r="CU107" s="97" t="str">
        <f t="shared" si="181"/>
        <v/>
      </c>
      <c r="CV107" s="97" t="str">
        <f t="shared" si="182"/>
        <v/>
      </c>
      <c r="CW107" s="97" t="str">
        <f t="shared" si="183"/>
        <v/>
      </c>
      <c r="CX107" s="98" t="str">
        <f t="shared" si="184"/>
        <v/>
      </c>
      <c r="CY107" s="392"/>
    </row>
    <row r="108" spans="1:103" x14ac:dyDescent="0.25">
      <c r="A108" s="81" t="s">
        <v>196</v>
      </c>
      <c r="B108" s="82" t="s">
        <v>219</v>
      </c>
      <c r="C108" s="83" t="s">
        <v>220</v>
      </c>
      <c r="D108" s="84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654">
        <f>'2022-23 Input'!E108</f>
        <v>0</v>
      </c>
      <c r="N108" s="1065">
        <v>0</v>
      </c>
      <c r="O108" s="560">
        <f t="shared" si="142"/>
        <v>0</v>
      </c>
      <c r="P108" s="561">
        <f t="shared" si="143"/>
        <v>0</v>
      </c>
      <c r="Q108" s="561">
        <f t="shared" si="144"/>
        <v>0</v>
      </c>
      <c r="R108" s="561">
        <f t="shared" si="145"/>
        <v>0</v>
      </c>
      <c r="S108" s="561">
        <f t="shared" si="146"/>
        <v>0</v>
      </c>
      <c r="T108" s="561">
        <f t="shared" si="147"/>
        <v>0</v>
      </c>
      <c r="U108" s="561">
        <f t="shared" si="148"/>
        <v>0</v>
      </c>
      <c r="V108" s="561">
        <f t="shared" si="149"/>
        <v>0</v>
      </c>
      <c r="W108" s="675">
        <f t="shared" si="150"/>
        <v>0</v>
      </c>
      <c r="X108" s="675">
        <f t="shared" si="151"/>
        <v>0</v>
      </c>
      <c r="Y108" s="675">
        <f t="shared" si="152"/>
        <v>0</v>
      </c>
      <c r="Z108" s="86">
        <v>0</v>
      </c>
      <c r="AA108" s="87">
        <v>0</v>
      </c>
      <c r="AB108" s="87">
        <v>0</v>
      </c>
      <c r="AC108" s="87">
        <v>0</v>
      </c>
      <c r="AD108" s="87">
        <v>0</v>
      </c>
      <c r="AE108" s="87">
        <v>0</v>
      </c>
      <c r="AF108" s="87">
        <v>0</v>
      </c>
      <c r="AG108" s="87">
        <v>0</v>
      </c>
      <c r="AH108" s="87">
        <v>0</v>
      </c>
      <c r="AI108" s="1094">
        <f>'2022-23 Input'!L108</f>
        <v>0</v>
      </c>
      <c r="AJ108" s="665">
        <v>0</v>
      </c>
      <c r="AK108" s="88">
        <f t="shared" si="153"/>
        <v>0</v>
      </c>
      <c r="AL108" s="89">
        <f t="shared" si="154"/>
        <v>0</v>
      </c>
      <c r="AM108" s="90">
        <f t="shared" si="155"/>
        <v>0</v>
      </c>
      <c r="AN108" s="91" t="str">
        <f t="shared" si="156"/>
        <v/>
      </c>
      <c r="AO108" s="92" t="str">
        <f t="shared" si="157"/>
        <v/>
      </c>
      <c r="AP108" s="92" t="str">
        <f t="shared" si="158"/>
        <v/>
      </c>
      <c r="AQ108" s="92" t="str">
        <f t="shared" si="159"/>
        <v/>
      </c>
      <c r="AR108" s="92" t="str">
        <f t="shared" si="160"/>
        <v/>
      </c>
      <c r="AS108" s="92" t="str">
        <f t="shared" si="161"/>
        <v/>
      </c>
      <c r="AT108" s="92" t="str">
        <f t="shared" si="162"/>
        <v/>
      </c>
      <c r="AU108" s="92" t="str">
        <f t="shared" si="163"/>
        <v/>
      </c>
      <c r="AV108" s="92" t="str">
        <f t="shared" si="164"/>
        <v/>
      </c>
      <c r="AW108" s="92" t="str">
        <f t="shared" si="164"/>
        <v/>
      </c>
      <c r="AX108" s="92" t="str">
        <f t="shared" si="164"/>
        <v/>
      </c>
      <c r="AY108" s="93" t="str">
        <f t="shared" si="165"/>
        <v/>
      </c>
      <c r="AZ108" s="94" t="str">
        <f t="shared" si="166"/>
        <v/>
      </c>
      <c r="BA108" s="95" t="str">
        <f t="shared" si="167"/>
        <v/>
      </c>
      <c r="BB108" s="248" t="s">
        <v>422</v>
      </c>
      <c r="BC108" s="229" t="s">
        <v>433</v>
      </c>
      <c r="BD108" s="249">
        <v>-0.22178571429999999</v>
      </c>
      <c r="BE108" s="267">
        <f t="shared" si="168"/>
        <v>0</v>
      </c>
      <c r="BF108" s="268">
        <f t="shared" si="185"/>
        <v>0</v>
      </c>
      <c r="BG108" s="268">
        <f t="shared" si="185"/>
        <v>0</v>
      </c>
      <c r="BH108" s="268">
        <f t="shared" si="185"/>
        <v>1</v>
      </c>
      <c r="BI108" s="268">
        <f t="shared" si="185"/>
        <v>2</v>
      </c>
      <c r="BJ108" s="268">
        <f t="shared" si="185"/>
        <v>3</v>
      </c>
      <c r="BK108" s="268">
        <f t="shared" si="185"/>
        <v>4</v>
      </c>
      <c r="BL108" s="269">
        <f t="shared" si="185"/>
        <v>5</v>
      </c>
      <c r="BM108" s="256">
        <f>IF($BC108=Lookup!$A$2,$BD108*ROUNDUP(BE108/10,0)+1,
IF($BC108=Lookup!$A$3,($BD108+1)^BD108,
IF($BC108=Lookup!$A$4,BE108*$BD108+1,"Error")))</f>
        <v>1</v>
      </c>
      <c r="BN108" s="229">
        <f>IF($BC108=Lookup!$A$2,$BD108*ROUNDUP(BF108/10,0)+1,
IF($BC108=Lookup!$A$3,($BD108+1)^BE108,
IF($BC108=Lookup!$A$4,BF108*$BD108+1,"Error")))</f>
        <v>1</v>
      </c>
      <c r="BO108" s="229">
        <f>IF($BC108=Lookup!$A$2,$BD108*ROUNDUP(BG108/10,0)+1,
IF($BC108=Lookup!$A$3,($BD108+1)^BF108,
IF($BC108=Lookup!$A$4,BG108*$BD108+1,"Error")))</f>
        <v>1</v>
      </c>
      <c r="BP108" s="229">
        <f>IF($BC108=Lookup!$A$2,$BD108*ROUNDUP(BH108/10,0)+1,
IF($BC108=Lookup!$A$3,($BD108+1)^BG108,
IF($BC108=Lookup!$A$4,BH108*$BD108+1,"Error")))</f>
        <v>0.77821428570000006</v>
      </c>
      <c r="BQ108" s="229">
        <f>IF($BC108=Lookup!$A$2,$BD108*ROUNDUP(BI108/10,0)+1,
IF($BC108=Lookup!$A$3,($BD108+1)^BH108,
IF($BC108=Lookup!$A$4,BI108*$BD108+1,"Error")))</f>
        <v>0.77821428570000006</v>
      </c>
      <c r="BR108" s="229">
        <f>IF($BC108=Lookup!$A$2,$BD108*ROUNDUP(BJ108/10,0)+1,
IF($BC108=Lookup!$A$3,($BD108+1)^BI108,
IF($BC108=Lookup!$A$4,BJ108*$BD108+1,"Error")))</f>
        <v>0.77821428570000006</v>
      </c>
      <c r="BS108" s="229">
        <f>IF($BC108=Lookup!$A$2,$BD108*ROUNDUP(BK108/10,0)+1,
IF($BC108=Lookup!$A$3,($BD108+1)^BJ108,
IF($BC108=Lookup!$A$4,BK108*$BD108+1,"Error")))</f>
        <v>0.77821428570000006</v>
      </c>
      <c r="BT108" s="249">
        <f>IF($BC108=Lookup!$A$2,$BD108*ROUNDUP(BL108/10,0)+1,
IF($BC108=Lookup!$A$3,($BD108+1)^BK108,
IF($BC108=Lookup!$A$4,BL108*$BD108+1,"Error")))</f>
        <v>0.77821428570000006</v>
      </c>
      <c r="BU108" s="320"/>
      <c r="BV108" s="321"/>
      <c r="BW108" s="321"/>
      <c r="BX108" s="321"/>
      <c r="BY108" s="321"/>
      <c r="BZ108" s="321"/>
      <c r="CA108" s="321"/>
      <c r="CB108" s="277"/>
      <c r="CC108" s="382" t="s">
        <v>292</v>
      </c>
      <c r="CD108" s="383">
        <f>HLOOKUP($CC108,$AK$6:$AM$132,ROWS(CD$6:CD108),0)</f>
        <v>0</v>
      </c>
      <c r="CE108" s="234">
        <f t="shared" si="169"/>
        <v>0</v>
      </c>
      <c r="CF108" s="96">
        <f t="shared" si="170"/>
        <v>0</v>
      </c>
      <c r="CG108" s="96">
        <f t="shared" si="171"/>
        <v>0</v>
      </c>
      <c r="CH108" s="96">
        <f t="shared" si="172"/>
        <v>0</v>
      </c>
      <c r="CI108" s="96">
        <f t="shared" si="173"/>
        <v>0</v>
      </c>
      <c r="CJ108" s="96">
        <f t="shared" si="174"/>
        <v>0</v>
      </c>
      <c r="CK108" s="96">
        <f t="shared" si="175"/>
        <v>0</v>
      </c>
      <c r="CL108" s="286">
        <f t="shared" si="176"/>
        <v>0</v>
      </c>
      <c r="CM108" s="305" t="s">
        <v>293</v>
      </c>
      <c r="CN108" s="315">
        <v>0.05</v>
      </c>
      <c r="CO108" s="306"/>
      <c r="CP108" s="307" t="str">
        <f>IF($CO108&lt;&gt;"",$CO108,HLOOKUP($CM108,$AY$6:$BA$132,ROWS(CP$6:CP108),0))</f>
        <v/>
      </c>
      <c r="CQ108" s="784" t="str">
        <f t="shared" si="177"/>
        <v/>
      </c>
      <c r="CR108" s="784" t="str">
        <f t="shared" si="178"/>
        <v/>
      </c>
      <c r="CS108" s="97" t="str">
        <f t="shared" si="179"/>
        <v/>
      </c>
      <c r="CT108" s="97" t="str">
        <f t="shared" si="180"/>
        <v/>
      </c>
      <c r="CU108" s="97" t="str">
        <f t="shared" si="181"/>
        <v/>
      </c>
      <c r="CV108" s="97" t="str">
        <f t="shared" si="182"/>
        <v/>
      </c>
      <c r="CW108" s="97" t="str">
        <f t="shared" si="183"/>
        <v/>
      </c>
      <c r="CX108" s="98" t="str">
        <f t="shared" si="184"/>
        <v/>
      </c>
      <c r="CY108" s="392"/>
    </row>
    <row r="109" spans="1:103" ht="15.75" thickBot="1" x14ac:dyDescent="0.3">
      <c r="A109" s="100" t="s">
        <v>196</v>
      </c>
      <c r="B109" s="101" t="s">
        <v>393</v>
      </c>
      <c r="C109" s="102" t="s">
        <v>394</v>
      </c>
      <c r="D109" s="103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655">
        <f>'2022-23 Input'!E109</f>
        <v>0</v>
      </c>
      <c r="N109" s="1066">
        <v>0</v>
      </c>
      <c r="O109" s="563">
        <f t="shared" si="142"/>
        <v>0</v>
      </c>
      <c r="P109" s="564">
        <f t="shared" si="143"/>
        <v>0</v>
      </c>
      <c r="Q109" s="564">
        <f t="shared" si="144"/>
        <v>0</v>
      </c>
      <c r="R109" s="564">
        <f t="shared" si="145"/>
        <v>0</v>
      </c>
      <c r="S109" s="564">
        <f t="shared" si="146"/>
        <v>0</v>
      </c>
      <c r="T109" s="564">
        <f t="shared" si="147"/>
        <v>0</v>
      </c>
      <c r="U109" s="564">
        <f t="shared" si="148"/>
        <v>0</v>
      </c>
      <c r="V109" s="564">
        <f t="shared" si="149"/>
        <v>0</v>
      </c>
      <c r="W109" s="676">
        <f t="shared" si="150"/>
        <v>0</v>
      </c>
      <c r="X109" s="676">
        <f t="shared" si="151"/>
        <v>0</v>
      </c>
      <c r="Y109" s="676">
        <f t="shared" si="152"/>
        <v>0</v>
      </c>
      <c r="Z109" s="105">
        <v>0</v>
      </c>
      <c r="AA109" s="106">
        <v>0</v>
      </c>
      <c r="AB109" s="106">
        <v>0</v>
      </c>
      <c r="AC109" s="106">
        <v>0</v>
      </c>
      <c r="AD109" s="106">
        <v>0</v>
      </c>
      <c r="AE109" s="106">
        <v>0</v>
      </c>
      <c r="AF109" s="106">
        <v>0</v>
      </c>
      <c r="AG109" s="106">
        <v>0</v>
      </c>
      <c r="AH109" s="106">
        <v>0</v>
      </c>
      <c r="AI109" s="1095">
        <f>'2022-23 Input'!L109</f>
        <v>0</v>
      </c>
      <c r="AJ109" s="666">
        <v>0</v>
      </c>
      <c r="AK109" s="107">
        <f t="shared" si="153"/>
        <v>0</v>
      </c>
      <c r="AL109" s="108">
        <f t="shared" si="154"/>
        <v>0</v>
      </c>
      <c r="AM109" s="109">
        <f t="shared" si="155"/>
        <v>0</v>
      </c>
      <c r="AN109" s="110" t="str">
        <f t="shared" si="156"/>
        <v/>
      </c>
      <c r="AO109" s="111" t="str">
        <f t="shared" si="157"/>
        <v/>
      </c>
      <c r="AP109" s="111" t="str">
        <f t="shared" si="158"/>
        <v/>
      </c>
      <c r="AQ109" s="111" t="str">
        <f t="shared" si="159"/>
        <v/>
      </c>
      <c r="AR109" s="111" t="str">
        <f t="shared" si="160"/>
        <v/>
      </c>
      <c r="AS109" s="111" t="str">
        <f t="shared" si="161"/>
        <v/>
      </c>
      <c r="AT109" s="111" t="str">
        <f t="shared" si="162"/>
        <v/>
      </c>
      <c r="AU109" s="111" t="str">
        <f t="shared" si="163"/>
        <v/>
      </c>
      <c r="AV109" s="111" t="str">
        <f t="shared" si="164"/>
        <v/>
      </c>
      <c r="AW109" s="111" t="str">
        <f t="shared" si="164"/>
        <v/>
      </c>
      <c r="AX109" s="111" t="str">
        <f t="shared" si="164"/>
        <v/>
      </c>
      <c r="AY109" s="112" t="str">
        <f t="shared" si="165"/>
        <v/>
      </c>
      <c r="AZ109" s="113" t="str">
        <f t="shared" si="166"/>
        <v/>
      </c>
      <c r="BA109" s="114" t="str">
        <f t="shared" si="167"/>
        <v/>
      </c>
      <c r="BB109" s="250" t="s">
        <v>422</v>
      </c>
      <c r="BC109" s="230" t="s">
        <v>433</v>
      </c>
      <c r="BD109" s="251">
        <v>-0.22178571429999999</v>
      </c>
      <c r="BE109" s="270">
        <f t="shared" si="168"/>
        <v>0</v>
      </c>
      <c r="BF109" s="271">
        <f t="shared" si="185"/>
        <v>0</v>
      </c>
      <c r="BG109" s="271">
        <f t="shared" si="185"/>
        <v>0</v>
      </c>
      <c r="BH109" s="271">
        <f t="shared" si="185"/>
        <v>1</v>
      </c>
      <c r="BI109" s="271">
        <f t="shared" si="185"/>
        <v>2</v>
      </c>
      <c r="BJ109" s="271">
        <f t="shared" si="185"/>
        <v>3</v>
      </c>
      <c r="BK109" s="271">
        <f t="shared" si="185"/>
        <v>4</v>
      </c>
      <c r="BL109" s="272">
        <f t="shared" si="185"/>
        <v>5</v>
      </c>
      <c r="BM109" s="257">
        <f>IF($BC109=Lookup!$A$2,$BD109*ROUNDUP(BE109/10,0)+1,
IF($BC109=Lookup!$A$3,($BD109+1)^BD109,
IF($BC109=Lookup!$A$4,BE109*$BD109+1,"Error")))</f>
        <v>1</v>
      </c>
      <c r="BN109" s="230">
        <f>IF($BC109=Lookup!$A$2,$BD109*ROUNDUP(BF109/10,0)+1,
IF($BC109=Lookup!$A$3,($BD109+1)^BE109,
IF($BC109=Lookup!$A$4,BF109*$BD109+1,"Error")))</f>
        <v>1</v>
      </c>
      <c r="BO109" s="230">
        <f>IF($BC109=Lookup!$A$2,$BD109*ROUNDUP(BG109/10,0)+1,
IF($BC109=Lookup!$A$3,($BD109+1)^BF109,
IF($BC109=Lookup!$A$4,BG109*$BD109+1,"Error")))</f>
        <v>1</v>
      </c>
      <c r="BP109" s="230">
        <f>IF($BC109=Lookup!$A$2,$BD109*ROUNDUP(BH109/10,0)+1,
IF($BC109=Lookup!$A$3,($BD109+1)^BG109,
IF($BC109=Lookup!$A$4,BH109*$BD109+1,"Error")))</f>
        <v>0.77821428570000006</v>
      </c>
      <c r="BQ109" s="230">
        <f>IF($BC109=Lookup!$A$2,$BD109*ROUNDUP(BI109/10,0)+1,
IF($BC109=Lookup!$A$3,($BD109+1)^BH109,
IF($BC109=Lookup!$A$4,BI109*$BD109+1,"Error")))</f>
        <v>0.77821428570000006</v>
      </c>
      <c r="BR109" s="230">
        <f>IF($BC109=Lookup!$A$2,$BD109*ROUNDUP(BJ109/10,0)+1,
IF($BC109=Lookup!$A$3,($BD109+1)^BI109,
IF($BC109=Lookup!$A$4,BJ109*$BD109+1,"Error")))</f>
        <v>0.77821428570000006</v>
      </c>
      <c r="BS109" s="230">
        <f>IF($BC109=Lookup!$A$2,$BD109*ROUNDUP(BK109/10,0)+1,
IF($BC109=Lookup!$A$3,($BD109+1)^BJ109,
IF($BC109=Lookup!$A$4,BK109*$BD109+1,"Error")))</f>
        <v>0.77821428570000006</v>
      </c>
      <c r="BT109" s="251">
        <f>IF($BC109=Lookup!$A$2,$BD109*ROUNDUP(BL109/10,0)+1,
IF($BC109=Lookup!$A$3,($BD109+1)^BK109,
IF($BC109=Lookup!$A$4,BL109*$BD109+1,"Error")))</f>
        <v>0.77821428570000006</v>
      </c>
      <c r="BU109" s="322"/>
      <c r="BV109" s="323"/>
      <c r="BW109" s="323"/>
      <c r="BX109" s="323"/>
      <c r="BY109" s="323"/>
      <c r="BZ109" s="323"/>
      <c r="CA109" s="323"/>
      <c r="CB109" s="278"/>
      <c r="CC109" s="384" t="s">
        <v>292</v>
      </c>
      <c r="CD109" s="385">
        <f>HLOOKUP($CC109,$AK$6:$AM$132,ROWS(CD$6:CD109),0)</f>
        <v>0</v>
      </c>
      <c r="CE109" s="235">
        <f t="shared" si="169"/>
        <v>0</v>
      </c>
      <c r="CF109" s="115">
        <f t="shared" si="170"/>
        <v>0</v>
      </c>
      <c r="CG109" s="115">
        <f t="shared" si="171"/>
        <v>0</v>
      </c>
      <c r="CH109" s="115">
        <f t="shared" si="172"/>
        <v>0</v>
      </c>
      <c r="CI109" s="115">
        <f t="shared" si="173"/>
        <v>0</v>
      </c>
      <c r="CJ109" s="115">
        <f t="shared" si="174"/>
        <v>0</v>
      </c>
      <c r="CK109" s="115">
        <f t="shared" si="175"/>
        <v>0</v>
      </c>
      <c r="CL109" s="287">
        <f t="shared" si="176"/>
        <v>0</v>
      </c>
      <c r="CM109" s="308" t="s">
        <v>293</v>
      </c>
      <c r="CN109" s="316">
        <v>0.05</v>
      </c>
      <c r="CO109" s="309"/>
      <c r="CP109" s="310" t="str">
        <f>IF($CO109&lt;&gt;"",$CO109,HLOOKUP($CM109,$AY$6:$BA$132,ROWS(CP$6:CP109),0))</f>
        <v/>
      </c>
      <c r="CQ109" s="785" t="str">
        <f t="shared" si="177"/>
        <v/>
      </c>
      <c r="CR109" s="785" t="str">
        <f t="shared" si="178"/>
        <v/>
      </c>
      <c r="CS109" s="117" t="str">
        <f t="shared" si="179"/>
        <v/>
      </c>
      <c r="CT109" s="117" t="str">
        <f t="shared" si="180"/>
        <v/>
      </c>
      <c r="CU109" s="117" t="str">
        <f t="shared" si="181"/>
        <v/>
      </c>
      <c r="CV109" s="117" t="str">
        <f t="shared" si="182"/>
        <v/>
      </c>
      <c r="CW109" s="117" t="str">
        <f t="shared" si="183"/>
        <v/>
      </c>
      <c r="CX109" s="118" t="str">
        <f t="shared" si="184"/>
        <v/>
      </c>
      <c r="CY109" s="393"/>
    </row>
    <row r="110" spans="1:103" x14ac:dyDescent="0.25">
      <c r="A110" s="63" t="s">
        <v>224</v>
      </c>
      <c r="B110" s="64" t="s">
        <v>221</v>
      </c>
      <c r="C110" s="65" t="s">
        <v>395</v>
      </c>
      <c r="D110" s="66">
        <v>48971.869962194745</v>
      </c>
      <c r="E110" s="67">
        <v>34337.60434227348</v>
      </c>
      <c r="F110" s="67">
        <v>473.30325752095149</v>
      </c>
      <c r="G110" s="67">
        <v>11101.228799881137</v>
      </c>
      <c r="H110" s="67">
        <v>66849.454789691808</v>
      </c>
      <c r="I110" s="67">
        <v>116221.51269014081</v>
      </c>
      <c r="J110" s="67">
        <v>69049.244030376154</v>
      </c>
      <c r="K110" s="67">
        <v>13000.810565315</v>
      </c>
      <c r="L110" s="67">
        <v>0</v>
      </c>
      <c r="M110" s="653">
        <f>'2022-23 Input'!E110</f>
        <v>0</v>
      </c>
      <c r="N110" s="1064">
        <v>0</v>
      </c>
      <c r="O110" s="557">
        <f t="shared" si="142"/>
        <v>65889.511903997656</v>
      </c>
      <c r="P110" s="558">
        <f t="shared" si="143"/>
        <v>45512.12261107158</v>
      </c>
      <c r="Q110" s="558">
        <f t="shared" si="144"/>
        <v>620.97659428899328</v>
      </c>
      <c r="R110" s="558">
        <f t="shared" si="145"/>
        <v>14288.577531801131</v>
      </c>
      <c r="S110" s="558">
        <f t="shared" si="146"/>
        <v>84291.734198107282</v>
      </c>
      <c r="T110" s="558">
        <f t="shared" si="147"/>
        <v>144248.13225489762</v>
      </c>
      <c r="U110" s="558">
        <f t="shared" si="148"/>
        <v>86000.003040573341</v>
      </c>
      <c r="V110" s="558">
        <f t="shared" si="149"/>
        <v>15592.636423379992</v>
      </c>
      <c r="W110" s="674">
        <f t="shared" si="150"/>
        <v>0</v>
      </c>
      <c r="X110" s="674">
        <f t="shared" si="151"/>
        <v>0</v>
      </c>
      <c r="Y110" s="674">
        <f t="shared" si="152"/>
        <v>0</v>
      </c>
      <c r="Z110" s="68">
        <v>15</v>
      </c>
      <c r="AA110" s="69">
        <v>10</v>
      </c>
      <c r="AB110" s="69">
        <v>0</v>
      </c>
      <c r="AC110" s="69">
        <v>3</v>
      </c>
      <c r="AD110" s="69">
        <v>21</v>
      </c>
      <c r="AE110" s="69">
        <v>28</v>
      </c>
      <c r="AF110" s="69">
        <v>21</v>
      </c>
      <c r="AG110" s="69">
        <v>0</v>
      </c>
      <c r="AH110" s="69">
        <v>0</v>
      </c>
      <c r="AI110" s="1093">
        <f>'2022-23 Input'!L110</f>
        <v>0</v>
      </c>
      <c r="AJ110" s="664">
        <v>0</v>
      </c>
      <c r="AK110" s="70">
        <f t="shared" si="153"/>
        <v>9.8000000000000007</v>
      </c>
      <c r="AL110" s="71">
        <f t="shared" si="154"/>
        <v>0</v>
      </c>
      <c r="AM110" s="72">
        <f t="shared" si="155"/>
        <v>0</v>
      </c>
      <c r="AN110" s="73">
        <f t="shared" si="156"/>
        <v>3264.7913308129832</v>
      </c>
      <c r="AO110" s="74">
        <f t="shared" si="157"/>
        <v>3433.760434227348</v>
      </c>
      <c r="AP110" s="74" t="str">
        <f t="shared" si="158"/>
        <v/>
      </c>
      <c r="AQ110" s="74">
        <f t="shared" si="159"/>
        <v>3700.4095999603792</v>
      </c>
      <c r="AR110" s="74">
        <f t="shared" si="160"/>
        <v>3183.3073709377049</v>
      </c>
      <c r="AS110" s="74">
        <f t="shared" si="161"/>
        <v>4150.7683103621721</v>
      </c>
      <c r="AT110" s="74">
        <f t="shared" si="162"/>
        <v>3288.0592395417216</v>
      </c>
      <c r="AU110" s="74" t="str">
        <f t="shared" si="163"/>
        <v/>
      </c>
      <c r="AV110" s="74" t="str">
        <f t="shared" si="164"/>
        <v/>
      </c>
      <c r="AW110" s="74" t="str">
        <f t="shared" si="164"/>
        <v/>
      </c>
      <c r="AX110" s="74" t="str">
        <f t="shared" si="164"/>
        <v/>
      </c>
      <c r="AY110" s="75">
        <f t="shared" si="165"/>
        <v>4046.3585160373868</v>
      </c>
      <c r="AZ110" s="76" t="str">
        <f t="shared" si="166"/>
        <v/>
      </c>
      <c r="BA110" s="77" t="str">
        <f t="shared" si="167"/>
        <v/>
      </c>
      <c r="BB110" s="246" t="s">
        <v>422</v>
      </c>
      <c r="BC110" s="228" t="s">
        <v>433</v>
      </c>
      <c r="BD110" s="247">
        <v>0</v>
      </c>
      <c r="BE110" s="264">
        <f t="shared" si="168"/>
        <v>0</v>
      </c>
      <c r="BF110" s="265">
        <f t="shared" si="185"/>
        <v>0</v>
      </c>
      <c r="BG110" s="265">
        <f t="shared" si="185"/>
        <v>0</v>
      </c>
      <c r="BH110" s="265">
        <f t="shared" si="185"/>
        <v>1</v>
      </c>
      <c r="BI110" s="265">
        <f t="shared" si="185"/>
        <v>2</v>
      </c>
      <c r="BJ110" s="265">
        <f t="shared" si="185"/>
        <v>3</v>
      </c>
      <c r="BK110" s="265">
        <f t="shared" si="185"/>
        <v>4</v>
      </c>
      <c r="BL110" s="266">
        <f t="shared" si="185"/>
        <v>5</v>
      </c>
      <c r="BM110" s="255">
        <f>IF($BC110=Lookup!$A$2,$BD110*ROUNDUP(BE110/10,0)+1,
IF($BC110=Lookup!$A$3,($BD110+1)^BD110,
IF($BC110=Lookup!$A$4,BE110*$BD110+1,"Error")))</f>
        <v>1</v>
      </c>
      <c r="BN110" s="228">
        <f>IF($BC110=Lookup!$A$2,$BD110*ROUNDUP(BF110/10,0)+1,
IF($BC110=Lookup!$A$3,($BD110+1)^BE110,
IF($BC110=Lookup!$A$4,BF110*$BD110+1,"Error")))</f>
        <v>1</v>
      </c>
      <c r="BO110" s="228">
        <f>IF($BC110=Lookup!$A$2,$BD110*ROUNDUP(BG110/10,0)+1,
IF($BC110=Lookup!$A$3,($BD110+1)^BF110,
IF($BC110=Lookup!$A$4,BG110*$BD110+1,"Error")))</f>
        <v>1</v>
      </c>
      <c r="BP110" s="228">
        <f>IF($BC110=Lookup!$A$2,$BD110*ROUNDUP(BH110/10,0)+1,
IF($BC110=Lookup!$A$3,($BD110+1)^BG110,
IF($BC110=Lookup!$A$4,BH110*$BD110+1,"Error")))</f>
        <v>1</v>
      </c>
      <c r="BQ110" s="228">
        <f>IF($BC110=Lookup!$A$2,$BD110*ROUNDUP(BI110/10,0)+1,
IF($BC110=Lookup!$A$3,($BD110+1)^BH110,
IF($BC110=Lookup!$A$4,BI110*$BD110+1,"Error")))</f>
        <v>1</v>
      </c>
      <c r="BR110" s="228">
        <f>IF($BC110=Lookup!$A$2,$BD110*ROUNDUP(BJ110/10,0)+1,
IF($BC110=Lookup!$A$3,($BD110+1)^BI110,
IF($BC110=Lookup!$A$4,BJ110*$BD110+1,"Error")))</f>
        <v>1</v>
      </c>
      <c r="BS110" s="228">
        <f>IF($BC110=Lookup!$A$2,$BD110*ROUNDUP(BK110/10,0)+1,
IF($BC110=Lookup!$A$3,($BD110+1)^BJ110,
IF($BC110=Lookup!$A$4,BK110*$BD110+1,"Error")))</f>
        <v>1</v>
      </c>
      <c r="BT110" s="247">
        <f>IF($BC110=Lookup!$A$2,$BD110*ROUNDUP(BL110/10,0)+1,
IF($BC110=Lookup!$A$3,($BD110+1)^BK110,
IF($BC110=Lookup!$A$4,BL110*$BD110+1,"Error")))</f>
        <v>1</v>
      </c>
      <c r="BU110" s="318">
        <v>0</v>
      </c>
      <c r="BV110" s="319">
        <v>0</v>
      </c>
      <c r="BW110" s="319">
        <v>0</v>
      </c>
      <c r="BX110" s="319">
        <v>0</v>
      </c>
      <c r="BY110" s="319">
        <v>0</v>
      </c>
      <c r="BZ110" s="319">
        <v>0</v>
      </c>
      <c r="CA110" s="319">
        <v>0</v>
      </c>
      <c r="CB110" s="276">
        <v>0</v>
      </c>
      <c r="CC110" s="380" t="s">
        <v>292</v>
      </c>
      <c r="CD110" s="381">
        <f>HLOOKUP($CC110,$AK$6:$AM$132,ROWS(CD$6:CD110),0)</f>
        <v>9.8000000000000007</v>
      </c>
      <c r="CE110" s="233">
        <f t="shared" si="169"/>
        <v>0</v>
      </c>
      <c r="CF110" s="78">
        <f t="shared" si="170"/>
        <v>0</v>
      </c>
      <c r="CG110" s="78">
        <f t="shared" si="171"/>
        <v>0</v>
      </c>
      <c r="CH110" s="78">
        <f t="shared" si="172"/>
        <v>0</v>
      </c>
      <c r="CI110" s="78">
        <f t="shared" si="173"/>
        <v>0</v>
      </c>
      <c r="CJ110" s="78">
        <f t="shared" si="174"/>
        <v>0</v>
      </c>
      <c r="CK110" s="78">
        <f t="shared" si="175"/>
        <v>0</v>
      </c>
      <c r="CL110" s="285">
        <f t="shared" si="176"/>
        <v>0</v>
      </c>
      <c r="CM110" s="302" t="s">
        <v>293</v>
      </c>
      <c r="CN110" s="314">
        <v>0.05</v>
      </c>
      <c r="CO110" s="303"/>
      <c r="CP110" s="304" t="str">
        <f>IF($CO110&lt;&gt;"",$CO110,HLOOKUP($CM110,$AY$6:$BA$132,ROWS(CP$6:CP110),0))</f>
        <v/>
      </c>
      <c r="CQ110" s="783" t="str">
        <f t="shared" si="177"/>
        <v/>
      </c>
      <c r="CR110" s="783" t="str">
        <f t="shared" si="178"/>
        <v/>
      </c>
      <c r="CS110" s="79" t="str">
        <f t="shared" si="179"/>
        <v/>
      </c>
      <c r="CT110" s="79" t="str">
        <f t="shared" si="180"/>
        <v/>
      </c>
      <c r="CU110" s="79" t="str">
        <f t="shared" si="181"/>
        <v/>
      </c>
      <c r="CV110" s="79" t="str">
        <f t="shared" si="182"/>
        <v/>
      </c>
      <c r="CW110" s="79" t="str">
        <f t="shared" si="183"/>
        <v/>
      </c>
      <c r="CX110" s="80" t="str">
        <f t="shared" si="184"/>
        <v/>
      </c>
      <c r="CY110" s="391"/>
    </row>
    <row r="111" spans="1:103" x14ac:dyDescent="0.25">
      <c r="A111" s="81" t="s">
        <v>224</v>
      </c>
      <c r="B111" s="82" t="s">
        <v>225</v>
      </c>
      <c r="C111" s="83" t="s">
        <v>396</v>
      </c>
      <c r="D111" s="84">
        <v>118852.67315963606</v>
      </c>
      <c r="E111" s="85">
        <v>226422.67674680345</v>
      </c>
      <c r="F111" s="85">
        <v>226728.05292035494</v>
      </c>
      <c r="G111" s="85">
        <v>73215.510052194571</v>
      </c>
      <c r="H111" s="85">
        <v>120668.09756757769</v>
      </c>
      <c r="I111" s="85">
        <v>181674.96984973841</v>
      </c>
      <c r="J111" s="85">
        <v>275886.12485393515</v>
      </c>
      <c r="K111" s="85">
        <v>-723.47</v>
      </c>
      <c r="L111" s="85">
        <v>0</v>
      </c>
      <c r="M111" s="654">
        <f>'2022-23 Input'!E111</f>
        <v>0</v>
      </c>
      <c r="N111" s="1065">
        <v>0</v>
      </c>
      <c r="O111" s="560">
        <f t="shared" si="142"/>
        <v>159911.08015722624</v>
      </c>
      <c r="P111" s="561">
        <f t="shared" si="143"/>
        <v>300107.61738963105</v>
      </c>
      <c r="Q111" s="561">
        <f t="shared" si="144"/>
        <v>297468.50860417803</v>
      </c>
      <c r="R111" s="561">
        <f t="shared" si="145"/>
        <v>94236.909334068347</v>
      </c>
      <c r="S111" s="561">
        <f t="shared" si="146"/>
        <v>152152.67257386746</v>
      </c>
      <c r="T111" s="561">
        <f t="shared" si="147"/>
        <v>225485.5789750249</v>
      </c>
      <c r="U111" s="561">
        <f t="shared" si="148"/>
        <v>343612.85064689169</v>
      </c>
      <c r="V111" s="561">
        <f t="shared" si="149"/>
        <v>-867.70010350884604</v>
      </c>
      <c r="W111" s="675">
        <f t="shared" si="150"/>
        <v>0</v>
      </c>
      <c r="X111" s="675">
        <f t="shared" si="151"/>
        <v>0</v>
      </c>
      <c r="Y111" s="675">
        <f t="shared" si="152"/>
        <v>0</v>
      </c>
      <c r="Z111" s="86">
        <v>67</v>
      </c>
      <c r="AA111" s="87">
        <v>113</v>
      </c>
      <c r="AB111" s="87">
        <v>90</v>
      </c>
      <c r="AC111" s="87">
        <v>28</v>
      </c>
      <c r="AD111" s="87">
        <v>58</v>
      </c>
      <c r="AE111" s="87">
        <v>56</v>
      </c>
      <c r="AF111" s="87">
        <v>35</v>
      </c>
      <c r="AG111" s="87">
        <v>8</v>
      </c>
      <c r="AH111" s="87">
        <v>0</v>
      </c>
      <c r="AI111" s="1094">
        <f>'2022-23 Input'!L111</f>
        <v>0</v>
      </c>
      <c r="AJ111" s="665">
        <v>0</v>
      </c>
      <c r="AK111" s="88">
        <f t="shared" si="153"/>
        <v>19.8</v>
      </c>
      <c r="AL111" s="89">
        <f t="shared" si="154"/>
        <v>2.6666666666666665</v>
      </c>
      <c r="AM111" s="90">
        <f t="shared" si="155"/>
        <v>0</v>
      </c>
      <c r="AN111" s="91">
        <f t="shared" si="156"/>
        <v>1773.9204949199411</v>
      </c>
      <c r="AO111" s="92">
        <f t="shared" si="157"/>
        <v>2003.7405021841014</v>
      </c>
      <c r="AP111" s="92">
        <f t="shared" si="158"/>
        <v>2519.2005880039437</v>
      </c>
      <c r="AQ111" s="92">
        <f t="shared" si="159"/>
        <v>2614.8396447212349</v>
      </c>
      <c r="AR111" s="92">
        <f t="shared" si="160"/>
        <v>2080.4844408203048</v>
      </c>
      <c r="AS111" s="92">
        <f t="shared" si="161"/>
        <v>3244.1958901739004</v>
      </c>
      <c r="AT111" s="92">
        <f t="shared" si="162"/>
        <v>7882.4607101124329</v>
      </c>
      <c r="AU111" s="92">
        <f t="shared" si="163"/>
        <v>-90.433750000000003</v>
      </c>
      <c r="AV111" s="92" t="str">
        <f t="shared" si="164"/>
        <v/>
      </c>
      <c r="AW111" s="92" t="str">
        <f t="shared" si="164"/>
        <v/>
      </c>
      <c r="AX111" s="92" t="str">
        <f t="shared" si="164"/>
        <v/>
      </c>
      <c r="AY111" s="93">
        <f t="shared" si="165"/>
        <v>4614.5214616532685</v>
      </c>
      <c r="AZ111" s="94">
        <f t="shared" si="166"/>
        <v>-90.433750000000003</v>
      </c>
      <c r="BA111" s="95" t="str">
        <f t="shared" si="167"/>
        <v/>
      </c>
      <c r="BB111" s="248" t="s">
        <v>422</v>
      </c>
      <c r="BC111" s="229" t="s">
        <v>433</v>
      </c>
      <c r="BD111" s="249">
        <v>0</v>
      </c>
      <c r="BE111" s="267">
        <f t="shared" si="168"/>
        <v>0</v>
      </c>
      <c r="BF111" s="268">
        <f t="shared" si="185"/>
        <v>0</v>
      </c>
      <c r="BG111" s="268">
        <f t="shared" si="185"/>
        <v>0</v>
      </c>
      <c r="BH111" s="268">
        <f t="shared" si="185"/>
        <v>1</v>
      </c>
      <c r="BI111" s="268">
        <f t="shared" si="185"/>
        <v>2</v>
      </c>
      <c r="BJ111" s="268">
        <f t="shared" si="185"/>
        <v>3</v>
      </c>
      <c r="BK111" s="268">
        <f t="shared" si="185"/>
        <v>4</v>
      </c>
      <c r="BL111" s="269">
        <f t="shared" si="185"/>
        <v>5</v>
      </c>
      <c r="BM111" s="256">
        <f>IF($BC111=Lookup!$A$2,$BD111*ROUNDUP(BE111/10,0)+1,
IF($BC111=Lookup!$A$3,($BD111+1)^BD111,
IF($BC111=Lookup!$A$4,BE111*$BD111+1,"Error")))</f>
        <v>1</v>
      </c>
      <c r="BN111" s="229">
        <f>IF($BC111=Lookup!$A$2,$BD111*ROUNDUP(BF111/10,0)+1,
IF($BC111=Lookup!$A$3,($BD111+1)^BE111,
IF($BC111=Lookup!$A$4,BF111*$BD111+1,"Error")))</f>
        <v>1</v>
      </c>
      <c r="BO111" s="229">
        <f>IF($BC111=Lookup!$A$2,$BD111*ROUNDUP(BG111/10,0)+1,
IF($BC111=Lookup!$A$3,($BD111+1)^BF111,
IF($BC111=Lookup!$A$4,BG111*$BD111+1,"Error")))</f>
        <v>1</v>
      </c>
      <c r="BP111" s="229">
        <f>IF($BC111=Lookup!$A$2,$BD111*ROUNDUP(BH111/10,0)+1,
IF($BC111=Lookup!$A$3,($BD111+1)^BG111,
IF($BC111=Lookup!$A$4,BH111*$BD111+1,"Error")))</f>
        <v>1</v>
      </c>
      <c r="BQ111" s="229">
        <f>IF($BC111=Lookup!$A$2,$BD111*ROUNDUP(BI111/10,0)+1,
IF($BC111=Lookup!$A$3,($BD111+1)^BH111,
IF($BC111=Lookup!$A$4,BI111*$BD111+1,"Error")))</f>
        <v>1</v>
      </c>
      <c r="BR111" s="229">
        <f>IF($BC111=Lookup!$A$2,$BD111*ROUNDUP(BJ111/10,0)+1,
IF($BC111=Lookup!$A$3,($BD111+1)^BI111,
IF($BC111=Lookup!$A$4,BJ111*$BD111+1,"Error")))</f>
        <v>1</v>
      </c>
      <c r="BS111" s="229">
        <f>IF($BC111=Lookup!$A$2,$BD111*ROUNDUP(BK111/10,0)+1,
IF($BC111=Lookup!$A$3,($BD111+1)^BJ111,
IF($BC111=Lookup!$A$4,BK111*$BD111+1,"Error")))</f>
        <v>1</v>
      </c>
      <c r="BT111" s="249">
        <f>IF($BC111=Lookup!$A$2,$BD111*ROUNDUP(BL111/10,0)+1,
IF($BC111=Lookup!$A$3,($BD111+1)^BK111,
IF($BC111=Lookup!$A$4,BL111*$BD111+1,"Error")))</f>
        <v>1</v>
      </c>
      <c r="BU111" s="320">
        <v>0</v>
      </c>
      <c r="BV111" s="321">
        <v>0</v>
      </c>
      <c r="BW111" s="321">
        <v>0</v>
      </c>
      <c r="BX111" s="321">
        <v>0</v>
      </c>
      <c r="BY111" s="321">
        <v>0</v>
      </c>
      <c r="BZ111" s="321">
        <v>0</v>
      </c>
      <c r="CA111" s="321">
        <v>0</v>
      </c>
      <c r="CB111" s="277">
        <v>0</v>
      </c>
      <c r="CC111" s="382" t="s">
        <v>292</v>
      </c>
      <c r="CD111" s="383">
        <f>HLOOKUP($CC111,$AK$6:$AM$132,ROWS(CD$6:CD111),0)</f>
        <v>19.8</v>
      </c>
      <c r="CE111" s="234">
        <f t="shared" si="169"/>
        <v>0</v>
      </c>
      <c r="CF111" s="96">
        <f t="shared" si="170"/>
        <v>0</v>
      </c>
      <c r="CG111" s="96">
        <f t="shared" si="171"/>
        <v>0</v>
      </c>
      <c r="CH111" s="96">
        <f t="shared" si="172"/>
        <v>0</v>
      </c>
      <c r="CI111" s="96">
        <f t="shared" si="173"/>
        <v>0</v>
      </c>
      <c r="CJ111" s="96">
        <f t="shared" si="174"/>
        <v>0</v>
      </c>
      <c r="CK111" s="96">
        <f t="shared" si="175"/>
        <v>0</v>
      </c>
      <c r="CL111" s="286">
        <f t="shared" si="176"/>
        <v>0</v>
      </c>
      <c r="CM111" s="305" t="s">
        <v>293</v>
      </c>
      <c r="CN111" s="315">
        <v>0.05</v>
      </c>
      <c r="CO111" s="306"/>
      <c r="CP111" s="307">
        <f>IF($CO111&lt;&gt;"",$CO111,HLOOKUP($CM111,$AY$6:$BA$132,ROWS(CP$6:CP111),0))</f>
        <v>-90.433750000000003</v>
      </c>
      <c r="CQ111" s="784">
        <f t="shared" si="177"/>
        <v>0</v>
      </c>
      <c r="CR111" s="784">
        <f t="shared" si="178"/>
        <v>0</v>
      </c>
      <c r="CS111" s="97">
        <f t="shared" si="179"/>
        <v>0</v>
      </c>
      <c r="CT111" s="97">
        <f t="shared" si="180"/>
        <v>0</v>
      </c>
      <c r="CU111" s="97">
        <f t="shared" si="181"/>
        <v>0</v>
      </c>
      <c r="CV111" s="97">
        <f t="shared" si="182"/>
        <v>0</v>
      </c>
      <c r="CW111" s="97">
        <f t="shared" si="183"/>
        <v>0</v>
      </c>
      <c r="CX111" s="98">
        <f t="shared" si="184"/>
        <v>0</v>
      </c>
      <c r="CY111" s="392"/>
    </row>
    <row r="112" spans="1:103" x14ac:dyDescent="0.25">
      <c r="A112" s="81" t="s">
        <v>224</v>
      </c>
      <c r="B112" s="82" t="s">
        <v>227</v>
      </c>
      <c r="C112" s="83" t="s">
        <v>228</v>
      </c>
      <c r="D112" s="84">
        <v>12453.910662989349</v>
      </c>
      <c r="E112" s="85">
        <v>4352.0635019395058</v>
      </c>
      <c r="F112" s="85">
        <v>35351.663061750187</v>
      </c>
      <c r="G112" s="85">
        <v>28697.939676688125</v>
      </c>
      <c r="H112" s="85">
        <v>43512.878104631636</v>
      </c>
      <c r="I112" s="85">
        <v>56999.159811771839</v>
      </c>
      <c r="J112" s="85">
        <v>12280.01027448099</v>
      </c>
      <c r="K112" s="85">
        <v>2540.8938800810001</v>
      </c>
      <c r="L112" s="85">
        <v>0</v>
      </c>
      <c r="M112" s="654">
        <f>'2022-23 Input'!E112</f>
        <v>0</v>
      </c>
      <c r="N112" s="1065">
        <v>0</v>
      </c>
      <c r="O112" s="560">
        <f t="shared" si="142"/>
        <v>16756.192800353187</v>
      </c>
      <c r="P112" s="561">
        <f t="shared" si="143"/>
        <v>5768.35954358038</v>
      </c>
      <c r="Q112" s="561">
        <f t="shared" si="144"/>
        <v>46381.585128992854</v>
      </c>
      <c r="R112" s="561">
        <f t="shared" si="145"/>
        <v>36937.598842904728</v>
      </c>
      <c r="S112" s="561">
        <f t="shared" si="146"/>
        <v>54866.205968755683</v>
      </c>
      <c r="T112" s="561">
        <f t="shared" si="147"/>
        <v>70744.409986017956</v>
      </c>
      <c r="U112" s="561">
        <f t="shared" si="148"/>
        <v>15294.605115141387</v>
      </c>
      <c r="V112" s="561">
        <f t="shared" si="149"/>
        <v>3047.4434085052276</v>
      </c>
      <c r="W112" s="675">
        <f t="shared" si="150"/>
        <v>0</v>
      </c>
      <c r="X112" s="675">
        <f t="shared" si="151"/>
        <v>0</v>
      </c>
      <c r="Y112" s="675">
        <f t="shared" si="152"/>
        <v>0</v>
      </c>
      <c r="Z112" s="86">
        <v>4</v>
      </c>
      <c r="AA112" s="87">
        <v>2</v>
      </c>
      <c r="AB112" s="87">
        <v>6</v>
      </c>
      <c r="AC112" s="87">
        <v>13</v>
      </c>
      <c r="AD112" s="87">
        <v>12</v>
      </c>
      <c r="AE112" s="87">
        <v>32</v>
      </c>
      <c r="AF112" s="87">
        <v>6</v>
      </c>
      <c r="AG112" s="87">
        <v>1</v>
      </c>
      <c r="AH112" s="87">
        <v>0</v>
      </c>
      <c r="AI112" s="1094">
        <f>'2022-23 Input'!L112</f>
        <v>0</v>
      </c>
      <c r="AJ112" s="665">
        <v>0</v>
      </c>
      <c r="AK112" s="88">
        <f t="shared" si="153"/>
        <v>7.8</v>
      </c>
      <c r="AL112" s="89">
        <f t="shared" si="154"/>
        <v>0.33333333333333331</v>
      </c>
      <c r="AM112" s="90">
        <f t="shared" si="155"/>
        <v>0</v>
      </c>
      <c r="AN112" s="91">
        <f t="shared" si="156"/>
        <v>3113.4776657473371</v>
      </c>
      <c r="AO112" s="92">
        <f t="shared" si="157"/>
        <v>2176.0317509697529</v>
      </c>
      <c r="AP112" s="92">
        <f t="shared" si="158"/>
        <v>5891.9438436250311</v>
      </c>
      <c r="AQ112" s="92">
        <f t="shared" si="159"/>
        <v>2207.5338212837019</v>
      </c>
      <c r="AR112" s="92">
        <f t="shared" si="160"/>
        <v>3626.0731753859695</v>
      </c>
      <c r="AS112" s="92">
        <f t="shared" si="161"/>
        <v>1781.22374411787</v>
      </c>
      <c r="AT112" s="92">
        <f t="shared" si="162"/>
        <v>2046.6683790801651</v>
      </c>
      <c r="AU112" s="92">
        <f t="shared" si="163"/>
        <v>2540.8938800810001</v>
      </c>
      <c r="AV112" s="92" t="str">
        <f t="shared" si="164"/>
        <v/>
      </c>
      <c r="AW112" s="92" t="str">
        <f t="shared" si="164"/>
        <v/>
      </c>
      <c r="AX112" s="92" t="str">
        <f t="shared" si="164"/>
        <v/>
      </c>
      <c r="AY112" s="93">
        <f t="shared" si="165"/>
        <v>1841.5401017008674</v>
      </c>
      <c r="AZ112" s="94">
        <f t="shared" si="166"/>
        <v>2540.8938800810001</v>
      </c>
      <c r="BA112" s="95" t="str">
        <f t="shared" si="167"/>
        <v/>
      </c>
      <c r="BB112" s="248" t="s">
        <v>422</v>
      </c>
      <c r="BC112" s="229" t="s">
        <v>433</v>
      </c>
      <c r="BD112" s="249">
        <v>0</v>
      </c>
      <c r="BE112" s="267">
        <f t="shared" si="168"/>
        <v>0</v>
      </c>
      <c r="BF112" s="268">
        <f t="shared" si="185"/>
        <v>0</v>
      </c>
      <c r="BG112" s="268">
        <f t="shared" si="185"/>
        <v>0</v>
      </c>
      <c r="BH112" s="268">
        <f t="shared" si="185"/>
        <v>1</v>
      </c>
      <c r="BI112" s="268">
        <f t="shared" si="185"/>
        <v>2</v>
      </c>
      <c r="BJ112" s="268">
        <f t="shared" si="185"/>
        <v>3</v>
      </c>
      <c r="BK112" s="268">
        <f t="shared" si="185"/>
        <v>4</v>
      </c>
      <c r="BL112" s="269">
        <f t="shared" si="185"/>
        <v>5</v>
      </c>
      <c r="BM112" s="256">
        <f>IF($BC112=Lookup!$A$2,$BD112*ROUNDUP(BE112/10,0)+1,
IF($BC112=Lookup!$A$3,($BD112+1)^BD112,
IF($BC112=Lookup!$A$4,BE112*$BD112+1,"Error")))</f>
        <v>1</v>
      </c>
      <c r="BN112" s="229">
        <f>IF($BC112=Lookup!$A$2,$BD112*ROUNDUP(BF112/10,0)+1,
IF($BC112=Lookup!$A$3,($BD112+1)^BE112,
IF($BC112=Lookup!$A$4,BF112*$BD112+1,"Error")))</f>
        <v>1</v>
      </c>
      <c r="BO112" s="229">
        <f>IF($BC112=Lookup!$A$2,$BD112*ROUNDUP(BG112/10,0)+1,
IF($BC112=Lookup!$A$3,($BD112+1)^BF112,
IF($BC112=Lookup!$A$4,BG112*$BD112+1,"Error")))</f>
        <v>1</v>
      </c>
      <c r="BP112" s="229">
        <f>IF($BC112=Lookup!$A$2,$BD112*ROUNDUP(BH112/10,0)+1,
IF($BC112=Lookup!$A$3,($BD112+1)^BG112,
IF($BC112=Lookup!$A$4,BH112*$BD112+1,"Error")))</f>
        <v>1</v>
      </c>
      <c r="BQ112" s="229">
        <f>IF($BC112=Lookup!$A$2,$BD112*ROUNDUP(BI112/10,0)+1,
IF($BC112=Lookup!$A$3,($BD112+1)^BH112,
IF($BC112=Lookup!$A$4,BI112*$BD112+1,"Error")))</f>
        <v>1</v>
      </c>
      <c r="BR112" s="229">
        <f>IF($BC112=Lookup!$A$2,$BD112*ROUNDUP(BJ112/10,0)+1,
IF($BC112=Lookup!$A$3,($BD112+1)^BI112,
IF($BC112=Lookup!$A$4,BJ112*$BD112+1,"Error")))</f>
        <v>1</v>
      </c>
      <c r="BS112" s="229">
        <f>IF($BC112=Lookup!$A$2,$BD112*ROUNDUP(BK112/10,0)+1,
IF($BC112=Lookup!$A$3,($BD112+1)^BJ112,
IF($BC112=Lookup!$A$4,BK112*$BD112+1,"Error")))</f>
        <v>1</v>
      </c>
      <c r="BT112" s="249">
        <f>IF($BC112=Lookup!$A$2,$BD112*ROUNDUP(BL112/10,0)+1,
IF($BC112=Lookup!$A$3,($BD112+1)^BK112,
IF($BC112=Lookup!$A$4,BL112*$BD112+1,"Error")))</f>
        <v>1</v>
      </c>
      <c r="BU112" s="320">
        <v>0</v>
      </c>
      <c r="BV112" s="321">
        <v>0</v>
      </c>
      <c r="BW112" s="321">
        <v>0</v>
      </c>
      <c r="BX112" s="321">
        <v>0</v>
      </c>
      <c r="BY112" s="321">
        <v>0</v>
      </c>
      <c r="BZ112" s="321">
        <v>0</v>
      </c>
      <c r="CA112" s="321">
        <v>0</v>
      </c>
      <c r="CB112" s="277">
        <v>0</v>
      </c>
      <c r="CC112" s="382" t="s">
        <v>292</v>
      </c>
      <c r="CD112" s="383">
        <f>HLOOKUP($CC112,$AK$6:$AM$132,ROWS(CD$6:CD112),0)</f>
        <v>7.8</v>
      </c>
      <c r="CE112" s="234">
        <f t="shared" si="169"/>
        <v>0</v>
      </c>
      <c r="CF112" s="96">
        <f t="shared" si="170"/>
        <v>0</v>
      </c>
      <c r="CG112" s="96">
        <f t="shared" si="171"/>
        <v>0</v>
      </c>
      <c r="CH112" s="96">
        <f t="shared" si="172"/>
        <v>0</v>
      </c>
      <c r="CI112" s="96">
        <f t="shared" si="173"/>
        <v>0</v>
      </c>
      <c r="CJ112" s="96">
        <f t="shared" si="174"/>
        <v>0</v>
      </c>
      <c r="CK112" s="96">
        <f t="shared" si="175"/>
        <v>0</v>
      </c>
      <c r="CL112" s="286">
        <f t="shared" si="176"/>
        <v>0</v>
      </c>
      <c r="CM112" s="305" t="s">
        <v>293</v>
      </c>
      <c r="CN112" s="315">
        <v>0.05</v>
      </c>
      <c r="CO112" s="306"/>
      <c r="CP112" s="307">
        <f>IF($CO112&lt;&gt;"",$CO112,HLOOKUP($CM112,$AY$6:$BA$132,ROWS(CP$6:CP112),0))</f>
        <v>2540.8938800810001</v>
      </c>
      <c r="CQ112" s="784">
        <f t="shared" si="177"/>
        <v>0</v>
      </c>
      <c r="CR112" s="784">
        <f t="shared" si="178"/>
        <v>0</v>
      </c>
      <c r="CS112" s="97">
        <f t="shared" si="179"/>
        <v>0</v>
      </c>
      <c r="CT112" s="97">
        <f t="shared" si="180"/>
        <v>0</v>
      </c>
      <c r="CU112" s="97">
        <f t="shared" si="181"/>
        <v>0</v>
      </c>
      <c r="CV112" s="97">
        <f t="shared" si="182"/>
        <v>0</v>
      </c>
      <c r="CW112" s="97">
        <f t="shared" si="183"/>
        <v>0</v>
      </c>
      <c r="CX112" s="98">
        <f t="shared" si="184"/>
        <v>0</v>
      </c>
      <c r="CY112" s="392"/>
    </row>
    <row r="113" spans="1:103" x14ac:dyDescent="0.25">
      <c r="A113" s="81" t="s">
        <v>224</v>
      </c>
      <c r="B113" s="82" t="s">
        <v>229</v>
      </c>
      <c r="C113" s="83" t="s">
        <v>230</v>
      </c>
      <c r="D113" s="84">
        <v>25314.589970071687</v>
      </c>
      <c r="E113" s="85">
        <v>50772.096338220828</v>
      </c>
      <c r="F113" s="85">
        <v>22502.198181892058</v>
      </c>
      <c r="G113" s="85">
        <v>38459.041278951481</v>
      </c>
      <c r="H113" s="85">
        <v>15857.821885661264</v>
      </c>
      <c r="I113" s="85">
        <v>18530.792498550989</v>
      </c>
      <c r="J113" s="85">
        <v>17116.337098566008</v>
      </c>
      <c r="K113" s="85">
        <v>1328.2238813179999</v>
      </c>
      <c r="L113" s="85">
        <v>0</v>
      </c>
      <c r="M113" s="654">
        <f>'2022-23 Input'!E113</f>
        <v>0</v>
      </c>
      <c r="N113" s="1065">
        <v>0</v>
      </c>
      <c r="O113" s="560">
        <f t="shared" si="142"/>
        <v>34059.675043356379</v>
      </c>
      <c r="P113" s="561">
        <f t="shared" si="143"/>
        <v>67294.906503464328</v>
      </c>
      <c r="Q113" s="561">
        <f t="shared" si="144"/>
        <v>29523.013351305228</v>
      </c>
      <c r="R113" s="561">
        <f t="shared" si="145"/>
        <v>49501.276211775963</v>
      </c>
      <c r="S113" s="561">
        <f t="shared" si="146"/>
        <v>19995.425715172838</v>
      </c>
      <c r="T113" s="561">
        <f t="shared" si="147"/>
        <v>22999.461504563638</v>
      </c>
      <c r="U113" s="561">
        <f t="shared" si="148"/>
        <v>21318.192011958745</v>
      </c>
      <c r="V113" s="561">
        <f t="shared" si="149"/>
        <v>1593.0169866097415</v>
      </c>
      <c r="W113" s="675">
        <f t="shared" si="150"/>
        <v>0</v>
      </c>
      <c r="X113" s="675">
        <f t="shared" si="151"/>
        <v>0</v>
      </c>
      <c r="Y113" s="675">
        <f t="shared" si="152"/>
        <v>0</v>
      </c>
      <c r="Z113" s="86">
        <v>23</v>
      </c>
      <c r="AA113" s="87">
        <v>48</v>
      </c>
      <c r="AB113" s="87">
        <v>18</v>
      </c>
      <c r="AC113" s="87">
        <v>32</v>
      </c>
      <c r="AD113" s="87">
        <v>15</v>
      </c>
      <c r="AE113" s="87">
        <v>18</v>
      </c>
      <c r="AF113" s="87">
        <v>16</v>
      </c>
      <c r="AG113" s="87">
        <v>6</v>
      </c>
      <c r="AH113" s="87">
        <v>0</v>
      </c>
      <c r="AI113" s="1094">
        <f>'2022-23 Input'!L113</f>
        <v>0</v>
      </c>
      <c r="AJ113" s="665">
        <v>0</v>
      </c>
      <c r="AK113" s="88">
        <f t="shared" si="153"/>
        <v>8</v>
      </c>
      <c r="AL113" s="89">
        <f t="shared" si="154"/>
        <v>2</v>
      </c>
      <c r="AM113" s="90">
        <f t="shared" si="155"/>
        <v>0</v>
      </c>
      <c r="AN113" s="91">
        <f t="shared" si="156"/>
        <v>1100.634346524856</v>
      </c>
      <c r="AO113" s="92">
        <f t="shared" si="157"/>
        <v>1057.7520070462672</v>
      </c>
      <c r="AP113" s="92">
        <f t="shared" si="158"/>
        <v>1250.1221212162254</v>
      </c>
      <c r="AQ113" s="92">
        <f t="shared" si="159"/>
        <v>1201.8450399672338</v>
      </c>
      <c r="AR113" s="92">
        <f t="shared" si="160"/>
        <v>1057.1881257107509</v>
      </c>
      <c r="AS113" s="92">
        <f t="shared" si="161"/>
        <v>1029.4884721417216</v>
      </c>
      <c r="AT113" s="92">
        <f t="shared" si="162"/>
        <v>1069.7710686603755</v>
      </c>
      <c r="AU113" s="92">
        <f t="shared" si="163"/>
        <v>221.37064688633333</v>
      </c>
      <c r="AV113" s="92" t="str">
        <f t="shared" si="164"/>
        <v/>
      </c>
      <c r="AW113" s="92" t="str">
        <f t="shared" si="164"/>
        <v/>
      </c>
      <c r="AX113" s="92" t="str">
        <f t="shared" si="164"/>
        <v/>
      </c>
      <c r="AY113" s="93">
        <f t="shared" si="165"/>
        <v>924.38383696087499</v>
      </c>
      <c r="AZ113" s="94">
        <f t="shared" si="166"/>
        <v>221.37064688633333</v>
      </c>
      <c r="BA113" s="95" t="str">
        <f t="shared" si="167"/>
        <v/>
      </c>
      <c r="BB113" s="248" t="s">
        <v>422</v>
      </c>
      <c r="BC113" s="229" t="s">
        <v>433</v>
      </c>
      <c r="BD113" s="249">
        <v>0</v>
      </c>
      <c r="BE113" s="267">
        <f t="shared" si="168"/>
        <v>0</v>
      </c>
      <c r="BF113" s="268">
        <f t="shared" si="185"/>
        <v>0</v>
      </c>
      <c r="BG113" s="268">
        <f t="shared" si="185"/>
        <v>0</v>
      </c>
      <c r="BH113" s="268">
        <f t="shared" si="185"/>
        <v>1</v>
      </c>
      <c r="BI113" s="268">
        <f t="shared" si="185"/>
        <v>2</v>
      </c>
      <c r="BJ113" s="268">
        <f t="shared" si="185"/>
        <v>3</v>
      </c>
      <c r="BK113" s="268">
        <f t="shared" si="185"/>
        <v>4</v>
      </c>
      <c r="BL113" s="269">
        <f t="shared" si="185"/>
        <v>5</v>
      </c>
      <c r="BM113" s="256">
        <f>IF($BC113=Lookup!$A$2,$BD113*ROUNDUP(BE113/10,0)+1,
IF($BC113=Lookup!$A$3,($BD113+1)^BD113,
IF($BC113=Lookup!$A$4,BE113*$BD113+1,"Error")))</f>
        <v>1</v>
      </c>
      <c r="BN113" s="229">
        <f>IF($BC113=Lookup!$A$2,$BD113*ROUNDUP(BF113/10,0)+1,
IF($BC113=Lookup!$A$3,($BD113+1)^BE113,
IF($BC113=Lookup!$A$4,BF113*$BD113+1,"Error")))</f>
        <v>1</v>
      </c>
      <c r="BO113" s="229">
        <f>IF($BC113=Lookup!$A$2,$BD113*ROUNDUP(BG113/10,0)+1,
IF($BC113=Lookup!$A$3,($BD113+1)^BF113,
IF($BC113=Lookup!$A$4,BG113*$BD113+1,"Error")))</f>
        <v>1</v>
      </c>
      <c r="BP113" s="229">
        <f>IF($BC113=Lookup!$A$2,$BD113*ROUNDUP(BH113/10,0)+1,
IF($BC113=Lookup!$A$3,($BD113+1)^BG113,
IF($BC113=Lookup!$A$4,BH113*$BD113+1,"Error")))</f>
        <v>1</v>
      </c>
      <c r="BQ113" s="229">
        <f>IF($BC113=Lookup!$A$2,$BD113*ROUNDUP(BI113/10,0)+1,
IF($BC113=Lookup!$A$3,($BD113+1)^BH113,
IF($BC113=Lookup!$A$4,BI113*$BD113+1,"Error")))</f>
        <v>1</v>
      </c>
      <c r="BR113" s="229">
        <f>IF($BC113=Lookup!$A$2,$BD113*ROUNDUP(BJ113/10,0)+1,
IF($BC113=Lookup!$A$3,($BD113+1)^BI113,
IF($BC113=Lookup!$A$4,BJ113*$BD113+1,"Error")))</f>
        <v>1</v>
      </c>
      <c r="BS113" s="229">
        <f>IF($BC113=Lookup!$A$2,$BD113*ROUNDUP(BK113/10,0)+1,
IF($BC113=Lookup!$A$3,($BD113+1)^BJ113,
IF($BC113=Lookup!$A$4,BK113*$BD113+1,"Error")))</f>
        <v>1</v>
      </c>
      <c r="BT113" s="249">
        <f>IF($BC113=Lookup!$A$2,$BD113*ROUNDUP(BL113/10,0)+1,
IF($BC113=Lookup!$A$3,($BD113+1)^BK113,
IF($BC113=Lookup!$A$4,BL113*$BD113+1,"Error")))</f>
        <v>1</v>
      </c>
      <c r="BU113" s="320">
        <v>0</v>
      </c>
      <c r="BV113" s="321">
        <v>0</v>
      </c>
      <c r="BW113" s="321">
        <v>0</v>
      </c>
      <c r="BX113" s="321">
        <v>0</v>
      </c>
      <c r="BY113" s="321">
        <v>0</v>
      </c>
      <c r="BZ113" s="321">
        <v>0</v>
      </c>
      <c r="CA113" s="321">
        <v>0</v>
      </c>
      <c r="CB113" s="277">
        <v>0</v>
      </c>
      <c r="CC113" s="382" t="s">
        <v>292</v>
      </c>
      <c r="CD113" s="383">
        <f>HLOOKUP($CC113,$AK$6:$AM$132,ROWS(CD$6:CD113),0)</f>
        <v>8</v>
      </c>
      <c r="CE113" s="234">
        <f t="shared" si="169"/>
        <v>0</v>
      </c>
      <c r="CF113" s="96">
        <f t="shared" si="170"/>
        <v>0</v>
      </c>
      <c r="CG113" s="96">
        <f t="shared" si="171"/>
        <v>0</v>
      </c>
      <c r="CH113" s="96">
        <f t="shared" si="172"/>
        <v>0</v>
      </c>
      <c r="CI113" s="96">
        <f t="shared" si="173"/>
        <v>0</v>
      </c>
      <c r="CJ113" s="96">
        <f t="shared" si="174"/>
        <v>0</v>
      </c>
      <c r="CK113" s="96">
        <f t="shared" si="175"/>
        <v>0</v>
      </c>
      <c r="CL113" s="286">
        <f t="shared" si="176"/>
        <v>0</v>
      </c>
      <c r="CM113" s="305" t="s">
        <v>293</v>
      </c>
      <c r="CN113" s="315">
        <v>0.05</v>
      </c>
      <c r="CO113" s="306"/>
      <c r="CP113" s="307">
        <f>IF($CO113&lt;&gt;"",$CO113,HLOOKUP($CM113,$AY$6:$BA$132,ROWS(CP$6:CP113),0))</f>
        <v>221.37064688633333</v>
      </c>
      <c r="CQ113" s="784">
        <f t="shared" si="177"/>
        <v>0</v>
      </c>
      <c r="CR113" s="784">
        <f t="shared" si="178"/>
        <v>0</v>
      </c>
      <c r="CS113" s="97">
        <f t="shared" si="179"/>
        <v>0</v>
      </c>
      <c r="CT113" s="97">
        <f t="shared" si="180"/>
        <v>0</v>
      </c>
      <c r="CU113" s="97">
        <f t="shared" si="181"/>
        <v>0</v>
      </c>
      <c r="CV113" s="97">
        <f t="shared" si="182"/>
        <v>0</v>
      </c>
      <c r="CW113" s="97">
        <f t="shared" si="183"/>
        <v>0</v>
      </c>
      <c r="CX113" s="98">
        <f t="shared" si="184"/>
        <v>0</v>
      </c>
      <c r="CY113" s="392"/>
    </row>
    <row r="114" spans="1:103" x14ac:dyDescent="0.25">
      <c r="A114" s="81" t="s">
        <v>224</v>
      </c>
      <c r="B114" s="82" t="s">
        <v>231</v>
      </c>
      <c r="C114" s="83" t="s">
        <v>232</v>
      </c>
      <c r="D114" s="84">
        <v>7940.8926293453806</v>
      </c>
      <c r="E114" s="85">
        <v>7813.8303073663919</v>
      </c>
      <c r="F114" s="85">
        <v>6828.0746220139872</v>
      </c>
      <c r="G114" s="85">
        <v>5263.7302630651438</v>
      </c>
      <c r="H114" s="85">
        <v>9793.473349468959</v>
      </c>
      <c r="I114" s="85">
        <v>7364.7146622389828</v>
      </c>
      <c r="J114" s="85">
        <v>1971.1112604509954</v>
      </c>
      <c r="K114" s="85">
        <v>-346.15999999999997</v>
      </c>
      <c r="L114" s="85">
        <v>0</v>
      </c>
      <c r="M114" s="654">
        <f>'2022-23 Input'!E114</f>
        <v>0</v>
      </c>
      <c r="N114" s="1065">
        <v>0</v>
      </c>
      <c r="O114" s="560">
        <f t="shared" si="142"/>
        <v>10684.124168293671</v>
      </c>
      <c r="P114" s="561">
        <f t="shared" si="143"/>
        <v>10356.692315111597</v>
      </c>
      <c r="Q114" s="561">
        <f t="shared" si="144"/>
        <v>8958.4731500430407</v>
      </c>
      <c r="R114" s="561">
        <f t="shared" si="145"/>
        <v>6775.0353880733965</v>
      </c>
      <c r="S114" s="561">
        <f t="shared" si="146"/>
        <v>12348.774646655434</v>
      </c>
      <c r="T114" s="561">
        <f t="shared" si="147"/>
        <v>9140.703042220448</v>
      </c>
      <c r="U114" s="561">
        <f t="shared" si="148"/>
        <v>2454.995369935124</v>
      </c>
      <c r="V114" s="561">
        <f t="shared" si="149"/>
        <v>-415.17003860646895</v>
      </c>
      <c r="W114" s="675">
        <f t="shared" si="150"/>
        <v>0</v>
      </c>
      <c r="X114" s="675">
        <f t="shared" si="151"/>
        <v>0</v>
      </c>
      <c r="Y114" s="675">
        <f t="shared" si="152"/>
        <v>0</v>
      </c>
      <c r="Z114" s="86">
        <v>54</v>
      </c>
      <c r="AA114" s="87">
        <v>55</v>
      </c>
      <c r="AB114" s="87">
        <v>15</v>
      </c>
      <c r="AC114" s="87">
        <v>28</v>
      </c>
      <c r="AD114" s="87">
        <v>23</v>
      </c>
      <c r="AE114" s="87">
        <v>27</v>
      </c>
      <c r="AF114" s="87">
        <v>-30</v>
      </c>
      <c r="AG114" s="87">
        <v>-50</v>
      </c>
      <c r="AH114" s="87">
        <v>0</v>
      </c>
      <c r="AI114" s="1094">
        <f>'2022-23 Input'!L114</f>
        <v>0</v>
      </c>
      <c r="AJ114" s="665">
        <v>0</v>
      </c>
      <c r="AK114" s="88">
        <f t="shared" si="153"/>
        <v>-10.6</v>
      </c>
      <c r="AL114" s="89">
        <f t="shared" si="154"/>
        <v>-16.666666666666668</v>
      </c>
      <c r="AM114" s="90">
        <f t="shared" si="155"/>
        <v>0</v>
      </c>
      <c r="AN114" s="91">
        <f t="shared" si="156"/>
        <v>147.05356721009963</v>
      </c>
      <c r="AO114" s="92">
        <f t="shared" si="157"/>
        <v>142.06964195211623</v>
      </c>
      <c r="AP114" s="92">
        <f t="shared" si="158"/>
        <v>455.20497480093246</v>
      </c>
      <c r="AQ114" s="92">
        <f t="shared" si="159"/>
        <v>187.99036653804086</v>
      </c>
      <c r="AR114" s="92">
        <f t="shared" si="160"/>
        <v>425.80318910734604</v>
      </c>
      <c r="AS114" s="92">
        <f t="shared" si="161"/>
        <v>272.76720971255492</v>
      </c>
      <c r="AT114" s="92">
        <f t="shared" si="162"/>
        <v>-65.703708681699851</v>
      </c>
      <c r="AU114" s="92">
        <f t="shared" si="163"/>
        <v>6.9231999999999996</v>
      </c>
      <c r="AV114" s="92" t="str">
        <f t="shared" si="164"/>
        <v/>
      </c>
      <c r="AW114" s="92" t="str">
        <f t="shared" si="164"/>
        <v/>
      </c>
      <c r="AX114" s="92" t="str">
        <f t="shared" si="164"/>
        <v/>
      </c>
      <c r="AY114" s="93">
        <f t="shared" si="165"/>
        <v>-169.61633816396187</v>
      </c>
      <c r="AZ114" s="94">
        <f t="shared" si="166"/>
        <v>6.9231999999999996</v>
      </c>
      <c r="BA114" s="95" t="str">
        <f t="shared" si="167"/>
        <v/>
      </c>
      <c r="BB114" s="248" t="s">
        <v>422</v>
      </c>
      <c r="BC114" s="229" t="s">
        <v>433</v>
      </c>
      <c r="BD114" s="249">
        <v>0</v>
      </c>
      <c r="BE114" s="267">
        <f t="shared" si="168"/>
        <v>0</v>
      </c>
      <c r="BF114" s="268">
        <f t="shared" si="185"/>
        <v>0</v>
      </c>
      <c r="BG114" s="268">
        <f t="shared" si="185"/>
        <v>0</v>
      </c>
      <c r="BH114" s="268">
        <f t="shared" si="185"/>
        <v>1</v>
      </c>
      <c r="BI114" s="268">
        <f t="shared" si="185"/>
        <v>2</v>
      </c>
      <c r="BJ114" s="268">
        <f t="shared" si="185"/>
        <v>3</v>
      </c>
      <c r="BK114" s="268">
        <f t="shared" si="185"/>
        <v>4</v>
      </c>
      <c r="BL114" s="269">
        <f t="shared" si="185"/>
        <v>5</v>
      </c>
      <c r="BM114" s="256">
        <f>IF($BC114=Lookup!$A$2,$BD114*ROUNDUP(BE114/10,0)+1,
IF($BC114=Lookup!$A$3,($BD114+1)^BD114,
IF($BC114=Lookup!$A$4,BE114*$BD114+1,"Error")))</f>
        <v>1</v>
      </c>
      <c r="BN114" s="229">
        <f>IF($BC114=Lookup!$A$2,$BD114*ROUNDUP(BF114/10,0)+1,
IF($BC114=Lookup!$A$3,($BD114+1)^BE114,
IF($BC114=Lookup!$A$4,BF114*$BD114+1,"Error")))</f>
        <v>1</v>
      </c>
      <c r="BO114" s="229">
        <f>IF($BC114=Lookup!$A$2,$BD114*ROUNDUP(BG114/10,0)+1,
IF($BC114=Lookup!$A$3,($BD114+1)^BF114,
IF($BC114=Lookup!$A$4,BG114*$BD114+1,"Error")))</f>
        <v>1</v>
      </c>
      <c r="BP114" s="229">
        <f>IF($BC114=Lookup!$A$2,$BD114*ROUNDUP(BH114/10,0)+1,
IF($BC114=Lookup!$A$3,($BD114+1)^BG114,
IF($BC114=Lookup!$A$4,BH114*$BD114+1,"Error")))</f>
        <v>1</v>
      </c>
      <c r="BQ114" s="229">
        <f>IF($BC114=Lookup!$A$2,$BD114*ROUNDUP(BI114/10,0)+1,
IF($BC114=Lookup!$A$3,($BD114+1)^BH114,
IF($BC114=Lookup!$A$4,BI114*$BD114+1,"Error")))</f>
        <v>1</v>
      </c>
      <c r="BR114" s="229">
        <f>IF($BC114=Lookup!$A$2,$BD114*ROUNDUP(BJ114/10,0)+1,
IF($BC114=Lookup!$A$3,($BD114+1)^BI114,
IF($BC114=Lookup!$A$4,BJ114*$BD114+1,"Error")))</f>
        <v>1</v>
      </c>
      <c r="BS114" s="229">
        <f>IF($BC114=Lookup!$A$2,$BD114*ROUNDUP(BK114/10,0)+1,
IF($BC114=Lookup!$A$3,($BD114+1)^BJ114,
IF($BC114=Lookup!$A$4,BK114*$BD114+1,"Error")))</f>
        <v>1</v>
      </c>
      <c r="BT114" s="249">
        <f>IF($BC114=Lookup!$A$2,$BD114*ROUNDUP(BL114/10,0)+1,
IF($BC114=Lookup!$A$3,($BD114+1)^BK114,
IF($BC114=Lookup!$A$4,BL114*$BD114+1,"Error")))</f>
        <v>1</v>
      </c>
      <c r="BU114" s="320">
        <v>0</v>
      </c>
      <c r="BV114" s="321">
        <v>0</v>
      </c>
      <c r="BW114" s="321">
        <v>0</v>
      </c>
      <c r="BX114" s="321">
        <v>0</v>
      </c>
      <c r="BY114" s="321">
        <v>0</v>
      </c>
      <c r="BZ114" s="321">
        <v>0</v>
      </c>
      <c r="CA114" s="321">
        <v>0</v>
      </c>
      <c r="CB114" s="277">
        <v>0</v>
      </c>
      <c r="CC114" s="382" t="s">
        <v>292</v>
      </c>
      <c r="CD114" s="383">
        <f>HLOOKUP($CC114,$AK$6:$AM$132,ROWS(CD$6:CD114),0)</f>
        <v>-10.6</v>
      </c>
      <c r="CE114" s="234">
        <f t="shared" si="169"/>
        <v>0</v>
      </c>
      <c r="CF114" s="96">
        <f t="shared" si="170"/>
        <v>0</v>
      </c>
      <c r="CG114" s="96">
        <f t="shared" si="171"/>
        <v>0</v>
      </c>
      <c r="CH114" s="96">
        <f t="shared" si="172"/>
        <v>0</v>
      </c>
      <c r="CI114" s="96">
        <f t="shared" si="173"/>
        <v>0</v>
      </c>
      <c r="CJ114" s="96">
        <f t="shared" si="174"/>
        <v>0</v>
      </c>
      <c r="CK114" s="96">
        <f t="shared" si="175"/>
        <v>0</v>
      </c>
      <c r="CL114" s="286">
        <f t="shared" si="176"/>
        <v>0</v>
      </c>
      <c r="CM114" s="305" t="s">
        <v>293</v>
      </c>
      <c r="CN114" s="315">
        <v>0.05</v>
      </c>
      <c r="CO114" s="306"/>
      <c r="CP114" s="307">
        <f>IF($CO114&lt;&gt;"",$CO114,HLOOKUP($CM114,$AY$6:$BA$132,ROWS(CP$6:CP114),0))</f>
        <v>6.9231999999999996</v>
      </c>
      <c r="CQ114" s="784">
        <f t="shared" si="177"/>
        <v>0</v>
      </c>
      <c r="CR114" s="784">
        <f t="shared" si="178"/>
        <v>0</v>
      </c>
      <c r="CS114" s="97">
        <f t="shared" si="179"/>
        <v>0</v>
      </c>
      <c r="CT114" s="97">
        <f t="shared" si="180"/>
        <v>0</v>
      </c>
      <c r="CU114" s="97">
        <f t="shared" si="181"/>
        <v>0</v>
      </c>
      <c r="CV114" s="97">
        <f t="shared" si="182"/>
        <v>0</v>
      </c>
      <c r="CW114" s="97">
        <f t="shared" si="183"/>
        <v>0</v>
      </c>
      <c r="CX114" s="98">
        <f t="shared" si="184"/>
        <v>0</v>
      </c>
      <c r="CY114" s="392"/>
    </row>
    <row r="115" spans="1:103" x14ac:dyDescent="0.25">
      <c r="A115" s="81" t="s">
        <v>224</v>
      </c>
      <c r="B115" s="82" t="s">
        <v>233</v>
      </c>
      <c r="C115" s="83" t="s">
        <v>234</v>
      </c>
      <c r="D115" s="84">
        <v>2076.505884554063</v>
      </c>
      <c r="E115" s="85">
        <v>5856.2851716397381</v>
      </c>
      <c r="F115" s="85">
        <v>4766.1969676284143</v>
      </c>
      <c r="G115" s="85">
        <v>16182.722748857941</v>
      </c>
      <c r="H115" s="85">
        <v>3956.1463697814552</v>
      </c>
      <c r="I115" s="85">
        <v>6853.9810125730528</v>
      </c>
      <c r="J115" s="85">
        <v>3663.7759792433089</v>
      </c>
      <c r="K115" s="85">
        <v>376.10006335600002</v>
      </c>
      <c r="L115" s="85">
        <v>0</v>
      </c>
      <c r="M115" s="654">
        <f>'2022-23 Input'!E115</f>
        <v>0</v>
      </c>
      <c r="N115" s="1065">
        <v>0</v>
      </c>
      <c r="O115" s="560">
        <f t="shared" si="142"/>
        <v>2793.8479642429061</v>
      </c>
      <c r="P115" s="561">
        <f t="shared" si="143"/>
        <v>7762.1014593885657</v>
      </c>
      <c r="Q115" s="561">
        <f t="shared" si="144"/>
        <v>6253.2778163636549</v>
      </c>
      <c r="R115" s="561">
        <f t="shared" si="145"/>
        <v>20829.053507587774</v>
      </c>
      <c r="S115" s="561">
        <f t="shared" si="146"/>
        <v>4988.3793263463776</v>
      </c>
      <c r="T115" s="561">
        <f t="shared" si="147"/>
        <v>8506.806844014387</v>
      </c>
      <c r="U115" s="561">
        <f t="shared" si="148"/>
        <v>4563.1889208851007</v>
      </c>
      <c r="V115" s="561">
        <f t="shared" si="149"/>
        <v>451.07891675354159</v>
      </c>
      <c r="W115" s="675">
        <f t="shared" si="150"/>
        <v>0</v>
      </c>
      <c r="X115" s="675">
        <f t="shared" si="151"/>
        <v>0</v>
      </c>
      <c r="Y115" s="675">
        <f t="shared" si="152"/>
        <v>0</v>
      </c>
      <c r="Z115" s="86">
        <v>61</v>
      </c>
      <c r="AA115" s="87">
        <v>141</v>
      </c>
      <c r="AB115" s="87">
        <v>54</v>
      </c>
      <c r="AC115" s="87">
        <v>148</v>
      </c>
      <c r="AD115" s="87">
        <v>56</v>
      </c>
      <c r="AE115" s="87">
        <v>8</v>
      </c>
      <c r="AF115" s="87">
        <v>44</v>
      </c>
      <c r="AG115" s="87">
        <v>41</v>
      </c>
      <c r="AH115" s="87">
        <v>0</v>
      </c>
      <c r="AI115" s="1094">
        <f>'2022-23 Input'!L115</f>
        <v>0</v>
      </c>
      <c r="AJ115" s="665">
        <v>0</v>
      </c>
      <c r="AK115" s="88">
        <f t="shared" si="153"/>
        <v>18.600000000000001</v>
      </c>
      <c r="AL115" s="89">
        <f t="shared" si="154"/>
        <v>13.666666666666666</v>
      </c>
      <c r="AM115" s="90">
        <f t="shared" si="155"/>
        <v>0</v>
      </c>
      <c r="AN115" s="91">
        <f t="shared" si="156"/>
        <v>34.041080074656769</v>
      </c>
      <c r="AO115" s="92">
        <f t="shared" si="157"/>
        <v>41.53393738751587</v>
      </c>
      <c r="AP115" s="92">
        <f t="shared" si="158"/>
        <v>88.262906807933604</v>
      </c>
      <c r="AQ115" s="92">
        <f t="shared" si="159"/>
        <v>109.34272127606717</v>
      </c>
      <c r="AR115" s="92">
        <f t="shared" si="160"/>
        <v>70.645470888954563</v>
      </c>
      <c r="AS115" s="92">
        <f t="shared" si="161"/>
        <v>856.7476265716316</v>
      </c>
      <c r="AT115" s="92">
        <f t="shared" si="162"/>
        <v>83.267635891893391</v>
      </c>
      <c r="AU115" s="92">
        <f t="shared" si="163"/>
        <v>9.1731722769756097</v>
      </c>
      <c r="AV115" s="92" t="str">
        <f t="shared" si="164"/>
        <v/>
      </c>
      <c r="AW115" s="92" t="str">
        <f t="shared" si="164"/>
        <v/>
      </c>
      <c r="AX115" s="92" t="str">
        <f t="shared" si="164"/>
        <v/>
      </c>
      <c r="AY115" s="93">
        <f t="shared" si="165"/>
        <v>117.13824790507914</v>
      </c>
      <c r="AZ115" s="94">
        <f t="shared" si="166"/>
        <v>9.1731722769756097</v>
      </c>
      <c r="BA115" s="95" t="str">
        <f t="shared" si="167"/>
        <v/>
      </c>
      <c r="BB115" s="248" t="s">
        <v>422</v>
      </c>
      <c r="BC115" s="229" t="s">
        <v>433</v>
      </c>
      <c r="BD115" s="249">
        <v>0</v>
      </c>
      <c r="BE115" s="267">
        <f t="shared" si="168"/>
        <v>0</v>
      </c>
      <c r="BF115" s="268">
        <f t="shared" si="185"/>
        <v>0</v>
      </c>
      <c r="BG115" s="268">
        <f t="shared" si="185"/>
        <v>0</v>
      </c>
      <c r="BH115" s="268">
        <f t="shared" si="185"/>
        <v>1</v>
      </c>
      <c r="BI115" s="268">
        <f t="shared" si="185"/>
        <v>2</v>
      </c>
      <c r="BJ115" s="268">
        <f t="shared" si="185"/>
        <v>3</v>
      </c>
      <c r="BK115" s="268">
        <f t="shared" si="185"/>
        <v>4</v>
      </c>
      <c r="BL115" s="269">
        <f t="shared" si="185"/>
        <v>5</v>
      </c>
      <c r="BM115" s="256">
        <f>IF($BC115=Lookup!$A$2,$BD115*ROUNDUP(BE115/10,0)+1,
IF($BC115=Lookup!$A$3,($BD115+1)^BD115,
IF($BC115=Lookup!$A$4,BE115*$BD115+1,"Error")))</f>
        <v>1</v>
      </c>
      <c r="BN115" s="229">
        <f>IF($BC115=Lookup!$A$2,$BD115*ROUNDUP(BF115/10,0)+1,
IF($BC115=Lookup!$A$3,($BD115+1)^BE115,
IF($BC115=Lookup!$A$4,BF115*$BD115+1,"Error")))</f>
        <v>1</v>
      </c>
      <c r="BO115" s="229">
        <f>IF($BC115=Lookup!$A$2,$BD115*ROUNDUP(BG115/10,0)+1,
IF($BC115=Lookup!$A$3,($BD115+1)^BF115,
IF($BC115=Lookup!$A$4,BG115*$BD115+1,"Error")))</f>
        <v>1</v>
      </c>
      <c r="BP115" s="229">
        <f>IF($BC115=Lookup!$A$2,$BD115*ROUNDUP(BH115/10,0)+1,
IF($BC115=Lookup!$A$3,($BD115+1)^BG115,
IF($BC115=Lookup!$A$4,BH115*$BD115+1,"Error")))</f>
        <v>1</v>
      </c>
      <c r="BQ115" s="229">
        <f>IF($BC115=Lookup!$A$2,$BD115*ROUNDUP(BI115/10,0)+1,
IF($BC115=Lookup!$A$3,($BD115+1)^BH115,
IF($BC115=Lookup!$A$4,BI115*$BD115+1,"Error")))</f>
        <v>1</v>
      </c>
      <c r="BR115" s="229">
        <f>IF($BC115=Lookup!$A$2,$BD115*ROUNDUP(BJ115/10,0)+1,
IF($BC115=Lookup!$A$3,($BD115+1)^BI115,
IF($BC115=Lookup!$A$4,BJ115*$BD115+1,"Error")))</f>
        <v>1</v>
      </c>
      <c r="BS115" s="229">
        <f>IF($BC115=Lookup!$A$2,$BD115*ROUNDUP(BK115/10,0)+1,
IF($BC115=Lookup!$A$3,($BD115+1)^BJ115,
IF($BC115=Lookup!$A$4,BK115*$BD115+1,"Error")))</f>
        <v>1</v>
      </c>
      <c r="BT115" s="249">
        <f>IF($BC115=Lookup!$A$2,$BD115*ROUNDUP(BL115/10,0)+1,
IF($BC115=Lookup!$A$3,($BD115+1)^BK115,
IF($BC115=Lookup!$A$4,BL115*$BD115+1,"Error")))</f>
        <v>1</v>
      </c>
      <c r="BU115" s="320">
        <v>0</v>
      </c>
      <c r="BV115" s="321">
        <v>0</v>
      </c>
      <c r="BW115" s="321">
        <v>0</v>
      </c>
      <c r="BX115" s="321">
        <v>0</v>
      </c>
      <c r="BY115" s="321">
        <v>0</v>
      </c>
      <c r="BZ115" s="321">
        <v>0</v>
      </c>
      <c r="CA115" s="321">
        <v>0</v>
      </c>
      <c r="CB115" s="277">
        <v>0</v>
      </c>
      <c r="CC115" s="382" t="s">
        <v>292</v>
      </c>
      <c r="CD115" s="383">
        <f>HLOOKUP($CC115,$AK$6:$AM$132,ROWS(CD$6:CD115),0)</f>
        <v>18.600000000000001</v>
      </c>
      <c r="CE115" s="234">
        <f t="shared" si="169"/>
        <v>0</v>
      </c>
      <c r="CF115" s="96">
        <f t="shared" si="170"/>
        <v>0</v>
      </c>
      <c r="CG115" s="96">
        <f t="shared" si="171"/>
        <v>0</v>
      </c>
      <c r="CH115" s="96">
        <f t="shared" si="172"/>
        <v>0</v>
      </c>
      <c r="CI115" s="96">
        <f t="shared" si="173"/>
        <v>0</v>
      </c>
      <c r="CJ115" s="96">
        <f t="shared" si="174"/>
        <v>0</v>
      </c>
      <c r="CK115" s="96">
        <f t="shared" si="175"/>
        <v>0</v>
      </c>
      <c r="CL115" s="286">
        <f t="shared" si="176"/>
        <v>0</v>
      </c>
      <c r="CM115" s="305" t="s">
        <v>293</v>
      </c>
      <c r="CN115" s="315">
        <v>0.05</v>
      </c>
      <c r="CO115" s="306"/>
      <c r="CP115" s="307">
        <f>IF($CO115&lt;&gt;"",$CO115,HLOOKUP($CM115,$AY$6:$BA$132,ROWS(CP$6:CP115),0))</f>
        <v>9.1731722769756097</v>
      </c>
      <c r="CQ115" s="784">
        <f t="shared" si="177"/>
        <v>0</v>
      </c>
      <c r="CR115" s="784">
        <f t="shared" si="178"/>
        <v>0</v>
      </c>
      <c r="CS115" s="97">
        <f t="shared" si="179"/>
        <v>0</v>
      </c>
      <c r="CT115" s="97">
        <f t="shared" si="180"/>
        <v>0</v>
      </c>
      <c r="CU115" s="97">
        <f t="shared" si="181"/>
        <v>0</v>
      </c>
      <c r="CV115" s="97">
        <f t="shared" si="182"/>
        <v>0</v>
      </c>
      <c r="CW115" s="97">
        <f t="shared" si="183"/>
        <v>0</v>
      </c>
      <c r="CX115" s="98">
        <f t="shared" si="184"/>
        <v>0</v>
      </c>
      <c r="CY115" s="392"/>
    </row>
    <row r="116" spans="1:103" x14ac:dyDescent="0.25">
      <c r="A116" s="81" t="s">
        <v>224</v>
      </c>
      <c r="B116" s="82" t="s">
        <v>235</v>
      </c>
      <c r="C116" s="83" t="s">
        <v>236</v>
      </c>
      <c r="D116" s="84">
        <v>15247.866754447581</v>
      </c>
      <c r="E116" s="85">
        <v>7295.5014693937737</v>
      </c>
      <c r="F116" s="85">
        <v>63676.423072651254</v>
      </c>
      <c r="G116" s="85">
        <v>38706.440881107759</v>
      </c>
      <c r="H116" s="85">
        <v>32447.40804402659</v>
      </c>
      <c r="I116" s="85">
        <v>40366.300612851046</v>
      </c>
      <c r="J116" s="85">
        <v>46282.131964953136</v>
      </c>
      <c r="K116" s="85">
        <v>9865.5191885460008</v>
      </c>
      <c r="L116" s="85">
        <v>0</v>
      </c>
      <c r="M116" s="654">
        <f>'2022-23 Input'!E116</f>
        <v>0</v>
      </c>
      <c r="N116" s="1065">
        <v>0</v>
      </c>
      <c r="O116" s="560">
        <f t="shared" si="142"/>
        <v>20515.338679191373</v>
      </c>
      <c r="P116" s="561">
        <f t="shared" si="143"/>
        <v>9669.6832450693455</v>
      </c>
      <c r="Q116" s="561">
        <f t="shared" si="144"/>
        <v>83543.833066497929</v>
      </c>
      <c r="R116" s="561">
        <f t="shared" si="145"/>
        <v>49819.708383607656</v>
      </c>
      <c r="S116" s="561">
        <f t="shared" si="146"/>
        <v>40913.54675769715</v>
      </c>
      <c r="T116" s="561">
        <f t="shared" si="147"/>
        <v>50100.56515928865</v>
      </c>
      <c r="U116" s="561">
        <f t="shared" si="148"/>
        <v>57643.838764682027</v>
      </c>
      <c r="V116" s="561">
        <f t="shared" si="149"/>
        <v>11832.297152708295</v>
      </c>
      <c r="W116" s="675">
        <f t="shared" si="150"/>
        <v>0</v>
      </c>
      <c r="X116" s="675">
        <f t="shared" si="151"/>
        <v>0</v>
      </c>
      <c r="Y116" s="675">
        <f t="shared" si="152"/>
        <v>0</v>
      </c>
      <c r="Z116" s="86">
        <v>2</v>
      </c>
      <c r="AA116" s="87">
        <v>1</v>
      </c>
      <c r="AB116" s="87">
        <v>6</v>
      </c>
      <c r="AC116" s="87">
        <v>4</v>
      </c>
      <c r="AD116" s="87">
        <v>5</v>
      </c>
      <c r="AE116" s="87">
        <v>6</v>
      </c>
      <c r="AF116" s="87">
        <v>7</v>
      </c>
      <c r="AG116" s="87">
        <v>1</v>
      </c>
      <c r="AH116" s="87">
        <v>0</v>
      </c>
      <c r="AI116" s="1094">
        <f>'2022-23 Input'!L116</f>
        <v>0</v>
      </c>
      <c r="AJ116" s="665">
        <v>0</v>
      </c>
      <c r="AK116" s="88">
        <f t="shared" si="153"/>
        <v>2.8</v>
      </c>
      <c r="AL116" s="89">
        <f t="shared" si="154"/>
        <v>0.33333333333333331</v>
      </c>
      <c r="AM116" s="90">
        <f t="shared" si="155"/>
        <v>0</v>
      </c>
      <c r="AN116" s="91">
        <f t="shared" si="156"/>
        <v>7623.9333772237906</v>
      </c>
      <c r="AO116" s="92">
        <f t="shared" si="157"/>
        <v>7295.5014693937737</v>
      </c>
      <c r="AP116" s="92">
        <f t="shared" si="158"/>
        <v>10612.737178775209</v>
      </c>
      <c r="AQ116" s="92">
        <f t="shared" si="159"/>
        <v>9676.6102202769398</v>
      </c>
      <c r="AR116" s="92">
        <f t="shared" si="160"/>
        <v>6489.4816088053176</v>
      </c>
      <c r="AS116" s="92">
        <f t="shared" si="161"/>
        <v>6727.7167688085074</v>
      </c>
      <c r="AT116" s="92">
        <f t="shared" si="162"/>
        <v>6611.7331378504477</v>
      </c>
      <c r="AU116" s="92">
        <f t="shared" si="163"/>
        <v>9865.5191885460008</v>
      </c>
      <c r="AV116" s="92" t="str">
        <f t="shared" si="164"/>
        <v/>
      </c>
      <c r="AW116" s="92" t="str">
        <f t="shared" si="164"/>
        <v/>
      </c>
      <c r="AX116" s="92" t="str">
        <f t="shared" si="164"/>
        <v/>
      </c>
      <c r="AY116" s="93">
        <f t="shared" si="165"/>
        <v>6893.8536975964425</v>
      </c>
      <c r="AZ116" s="94">
        <f t="shared" si="166"/>
        <v>9865.5191885460008</v>
      </c>
      <c r="BA116" s="95" t="str">
        <f t="shared" si="167"/>
        <v/>
      </c>
      <c r="BB116" s="248" t="s">
        <v>422</v>
      </c>
      <c r="BC116" s="229" t="s">
        <v>433</v>
      </c>
      <c r="BD116" s="249">
        <v>0</v>
      </c>
      <c r="BE116" s="267">
        <f t="shared" si="168"/>
        <v>0</v>
      </c>
      <c r="BF116" s="268">
        <f t="shared" si="185"/>
        <v>0</v>
      </c>
      <c r="BG116" s="268">
        <f t="shared" si="185"/>
        <v>0</v>
      </c>
      <c r="BH116" s="268">
        <f t="shared" si="185"/>
        <v>1</v>
      </c>
      <c r="BI116" s="268">
        <f t="shared" si="185"/>
        <v>2</v>
      </c>
      <c r="BJ116" s="268">
        <f t="shared" si="185"/>
        <v>3</v>
      </c>
      <c r="BK116" s="268">
        <f t="shared" si="185"/>
        <v>4</v>
      </c>
      <c r="BL116" s="269">
        <f t="shared" si="185"/>
        <v>5</v>
      </c>
      <c r="BM116" s="256">
        <f>IF($BC116=Lookup!$A$2,$BD116*ROUNDUP(BE116/10,0)+1,
IF($BC116=Lookup!$A$3,($BD116+1)^BD116,
IF($BC116=Lookup!$A$4,BE116*$BD116+1,"Error")))</f>
        <v>1</v>
      </c>
      <c r="BN116" s="229">
        <f>IF($BC116=Lookup!$A$2,$BD116*ROUNDUP(BF116/10,0)+1,
IF($BC116=Lookup!$A$3,($BD116+1)^BE116,
IF($BC116=Lookup!$A$4,BF116*$BD116+1,"Error")))</f>
        <v>1</v>
      </c>
      <c r="BO116" s="229">
        <f>IF($BC116=Lookup!$A$2,$BD116*ROUNDUP(BG116/10,0)+1,
IF($BC116=Lookup!$A$3,($BD116+1)^BF116,
IF($BC116=Lookup!$A$4,BG116*$BD116+1,"Error")))</f>
        <v>1</v>
      </c>
      <c r="BP116" s="229">
        <f>IF($BC116=Lookup!$A$2,$BD116*ROUNDUP(BH116/10,0)+1,
IF($BC116=Lookup!$A$3,($BD116+1)^BG116,
IF($BC116=Lookup!$A$4,BH116*$BD116+1,"Error")))</f>
        <v>1</v>
      </c>
      <c r="BQ116" s="229">
        <f>IF($BC116=Lookup!$A$2,$BD116*ROUNDUP(BI116/10,0)+1,
IF($BC116=Lookup!$A$3,($BD116+1)^BH116,
IF($BC116=Lookup!$A$4,BI116*$BD116+1,"Error")))</f>
        <v>1</v>
      </c>
      <c r="BR116" s="229">
        <f>IF($BC116=Lookup!$A$2,$BD116*ROUNDUP(BJ116/10,0)+1,
IF($BC116=Lookup!$A$3,($BD116+1)^BI116,
IF($BC116=Lookup!$A$4,BJ116*$BD116+1,"Error")))</f>
        <v>1</v>
      </c>
      <c r="BS116" s="229">
        <f>IF($BC116=Lookup!$A$2,$BD116*ROUNDUP(BK116/10,0)+1,
IF($BC116=Lookup!$A$3,($BD116+1)^BJ116,
IF($BC116=Lookup!$A$4,BK116*$BD116+1,"Error")))</f>
        <v>1</v>
      </c>
      <c r="BT116" s="249">
        <f>IF($BC116=Lookup!$A$2,$BD116*ROUNDUP(BL116/10,0)+1,
IF($BC116=Lookup!$A$3,($BD116+1)^BK116,
IF($BC116=Lookup!$A$4,BL116*$BD116+1,"Error")))</f>
        <v>1</v>
      </c>
      <c r="BU116" s="320">
        <v>0</v>
      </c>
      <c r="BV116" s="321">
        <v>0</v>
      </c>
      <c r="BW116" s="321">
        <v>0</v>
      </c>
      <c r="BX116" s="321">
        <v>0</v>
      </c>
      <c r="BY116" s="321">
        <v>0</v>
      </c>
      <c r="BZ116" s="321">
        <v>0</v>
      </c>
      <c r="CA116" s="321">
        <v>0</v>
      </c>
      <c r="CB116" s="277">
        <v>0</v>
      </c>
      <c r="CC116" s="382" t="s">
        <v>292</v>
      </c>
      <c r="CD116" s="383">
        <f>HLOOKUP($CC116,$AK$6:$AM$132,ROWS(CD$6:CD116),0)</f>
        <v>2.8</v>
      </c>
      <c r="CE116" s="234">
        <f t="shared" si="169"/>
        <v>0</v>
      </c>
      <c r="CF116" s="96">
        <f t="shared" si="170"/>
        <v>0</v>
      </c>
      <c r="CG116" s="96">
        <f t="shared" si="171"/>
        <v>0</v>
      </c>
      <c r="CH116" s="96">
        <f t="shared" si="172"/>
        <v>0</v>
      </c>
      <c r="CI116" s="96">
        <f t="shared" si="173"/>
        <v>0</v>
      </c>
      <c r="CJ116" s="96">
        <f t="shared" si="174"/>
        <v>0</v>
      </c>
      <c r="CK116" s="96">
        <f t="shared" si="175"/>
        <v>0</v>
      </c>
      <c r="CL116" s="286">
        <f t="shared" si="176"/>
        <v>0</v>
      </c>
      <c r="CM116" s="305" t="s">
        <v>293</v>
      </c>
      <c r="CN116" s="315">
        <v>0.05</v>
      </c>
      <c r="CO116" s="306"/>
      <c r="CP116" s="307">
        <f>IF($CO116&lt;&gt;"",$CO116,HLOOKUP($CM116,$AY$6:$BA$132,ROWS(CP$6:CP116),0))</f>
        <v>9865.5191885460008</v>
      </c>
      <c r="CQ116" s="784">
        <f t="shared" si="177"/>
        <v>0</v>
      </c>
      <c r="CR116" s="784">
        <f t="shared" si="178"/>
        <v>0</v>
      </c>
      <c r="CS116" s="97">
        <f t="shared" si="179"/>
        <v>0</v>
      </c>
      <c r="CT116" s="97">
        <f t="shared" si="180"/>
        <v>0</v>
      </c>
      <c r="CU116" s="97">
        <f t="shared" si="181"/>
        <v>0</v>
      </c>
      <c r="CV116" s="97">
        <f t="shared" si="182"/>
        <v>0</v>
      </c>
      <c r="CW116" s="97">
        <f t="shared" si="183"/>
        <v>0</v>
      </c>
      <c r="CX116" s="98">
        <f t="shared" si="184"/>
        <v>0</v>
      </c>
      <c r="CY116" s="392"/>
    </row>
    <row r="117" spans="1:103" x14ac:dyDescent="0.25">
      <c r="A117" s="81" t="s">
        <v>224</v>
      </c>
      <c r="B117" s="82" t="s">
        <v>237</v>
      </c>
      <c r="C117" s="83" t="s">
        <v>238</v>
      </c>
      <c r="D117" s="84">
        <v>82107.179651955375</v>
      </c>
      <c r="E117" s="85">
        <v>54675.187646495418</v>
      </c>
      <c r="F117" s="85">
        <v>102594.04794782256</v>
      </c>
      <c r="G117" s="85">
        <v>67371.246682507102</v>
      </c>
      <c r="H117" s="85">
        <v>66611.166654700428</v>
      </c>
      <c r="I117" s="85">
        <v>99399.561900877103</v>
      </c>
      <c r="J117" s="85">
        <v>28539.132495033995</v>
      </c>
      <c r="K117" s="85">
        <v>0</v>
      </c>
      <c r="L117" s="85">
        <v>0</v>
      </c>
      <c r="M117" s="654">
        <f>'2022-23 Input'!E117</f>
        <v>0</v>
      </c>
      <c r="N117" s="1065">
        <v>0</v>
      </c>
      <c r="O117" s="560">
        <f t="shared" si="142"/>
        <v>110471.62371495301</v>
      </c>
      <c r="P117" s="561">
        <f t="shared" si="143"/>
        <v>72468.184418071454</v>
      </c>
      <c r="Q117" s="561">
        <f t="shared" si="144"/>
        <v>134603.98059090134</v>
      </c>
      <c r="R117" s="561">
        <f t="shared" si="145"/>
        <v>86714.660060642083</v>
      </c>
      <c r="S117" s="561">
        <f t="shared" si="146"/>
        <v>83991.272209293078</v>
      </c>
      <c r="T117" s="561">
        <f t="shared" si="147"/>
        <v>123369.59672331753</v>
      </c>
      <c r="U117" s="561">
        <f t="shared" si="148"/>
        <v>35545.146305563088</v>
      </c>
      <c r="V117" s="561">
        <f t="shared" si="149"/>
        <v>0</v>
      </c>
      <c r="W117" s="675">
        <f t="shared" si="150"/>
        <v>0</v>
      </c>
      <c r="X117" s="675">
        <f t="shared" si="151"/>
        <v>0</v>
      </c>
      <c r="Y117" s="675">
        <f t="shared" si="152"/>
        <v>0</v>
      </c>
      <c r="Z117" s="86">
        <v>18</v>
      </c>
      <c r="AA117" s="87">
        <v>14</v>
      </c>
      <c r="AB117" s="87">
        <v>21</v>
      </c>
      <c r="AC117" s="87">
        <v>18</v>
      </c>
      <c r="AD117" s="87">
        <v>17</v>
      </c>
      <c r="AE117" s="87">
        <v>23</v>
      </c>
      <c r="AF117" s="87">
        <v>12</v>
      </c>
      <c r="AG117" s="87">
        <v>0</v>
      </c>
      <c r="AH117" s="87">
        <v>0</v>
      </c>
      <c r="AI117" s="1094">
        <f>'2022-23 Input'!L117</f>
        <v>0</v>
      </c>
      <c r="AJ117" s="665">
        <v>0</v>
      </c>
      <c r="AK117" s="88">
        <f t="shared" si="153"/>
        <v>7</v>
      </c>
      <c r="AL117" s="89">
        <f t="shared" si="154"/>
        <v>0</v>
      </c>
      <c r="AM117" s="90">
        <f t="shared" si="155"/>
        <v>0</v>
      </c>
      <c r="AN117" s="91">
        <f t="shared" si="156"/>
        <v>4561.5099806641874</v>
      </c>
      <c r="AO117" s="92">
        <f t="shared" si="157"/>
        <v>3905.3705461782442</v>
      </c>
      <c r="AP117" s="92">
        <f t="shared" si="158"/>
        <v>4885.430854658217</v>
      </c>
      <c r="AQ117" s="92">
        <f t="shared" si="159"/>
        <v>3742.8470379170612</v>
      </c>
      <c r="AR117" s="92">
        <f t="shared" si="160"/>
        <v>3918.303920864731</v>
      </c>
      <c r="AS117" s="92">
        <f t="shared" si="161"/>
        <v>4321.7200826468306</v>
      </c>
      <c r="AT117" s="92">
        <f t="shared" si="162"/>
        <v>2378.2610412528329</v>
      </c>
      <c r="AU117" s="92" t="str">
        <f t="shared" si="163"/>
        <v/>
      </c>
      <c r="AV117" s="92" t="str">
        <f t="shared" si="164"/>
        <v/>
      </c>
      <c r="AW117" s="92" t="str">
        <f t="shared" si="164"/>
        <v/>
      </c>
      <c r="AX117" s="92" t="str">
        <f t="shared" si="164"/>
        <v/>
      </c>
      <c r="AY117" s="93">
        <f t="shared" si="165"/>
        <v>3655.3912684546026</v>
      </c>
      <c r="AZ117" s="94" t="str">
        <f t="shared" si="166"/>
        <v/>
      </c>
      <c r="BA117" s="95" t="str">
        <f t="shared" si="167"/>
        <v/>
      </c>
      <c r="BB117" s="248" t="s">
        <v>422</v>
      </c>
      <c r="BC117" s="229" t="s">
        <v>433</v>
      </c>
      <c r="BD117" s="249">
        <v>0</v>
      </c>
      <c r="BE117" s="267">
        <f t="shared" si="168"/>
        <v>0</v>
      </c>
      <c r="BF117" s="268">
        <f t="shared" ref="BF117:BL126" si="186">IF(BF$6=$BB117,1,
IF(BE117&lt;&gt;0,BE117+1,0
))</f>
        <v>0</v>
      </c>
      <c r="BG117" s="268">
        <f t="shared" si="186"/>
        <v>0</v>
      </c>
      <c r="BH117" s="268">
        <f t="shared" si="186"/>
        <v>1</v>
      </c>
      <c r="BI117" s="268">
        <f t="shared" si="186"/>
        <v>2</v>
      </c>
      <c r="BJ117" s="268">
        <f t="shared" si="186"/>
        <v>3</v>
      </c>
      <c r="BK117" s="268">
        <f t="shared" si="186"/>
        <v>4</v>
      </c>
      <c r="BL117" s="269">
        <f t="shared" si="186"/>
        <v>5</v>
      </c>
      <c r="BM117" s="256">
        <f>IF($BC117=Lookup!$A$2,$BD117*ROUNDUP(BE117/10,0)+1,
IF($BC117=Lookup!$A$3,($BD117+1)^BD117,
IF($BC117=Lookup!$A$4,BE117*$BD117+1,"Error")))</f>
        <v>1</v>
      </c>
      <c r="BN117" s="229">
        <f>IF($BC117=Lookup!$A$2,$BD117*ROUNDUP(BF117/10,0)+1,
IF($BC117=Lookup!$A$3,($BD117+1)^BE117,
IF($BC117=Lookup!$A$4,BF117*$BD117+1,"Error")))</f>
        <v>1</v>
      </c>
      <c r="BO117" s="229">
        <f>IF($BC117=Lookup!$A$2,$BD117*ROUNDUP(BG117/10,0)+1,
IF($BC117=Lookup!$A$3,($BD117+1)^BF117,
IF($BC117=Lookup!$A$4,BG117*$BD117+1,"Error")))</f>
        <v>1</v>
      </c>
      <c r="BP117" s="229">
        <f>IF($BC117=Lookup!$A$2,$BD117*ROUNDUP(BH117/10,0)+1,
IF($BC117=Lookup!$A$3,($BD117+1)^BG117,
IF($BC117=Lookup!$A$4,BH117*$BD117+1,"Error")))</f>
        <v>1</v>
      </c>
      <c r="BQ117" s="229">
        <f>IF($BC117=Lookup!$A$2,$BD117*ROUNDUP(BI117/10,0)+1,
IF($BC117=Lookup!$A$3,($BD117+1)^BH117,
IF($BC117=Lookup!$A$4,BI117*$BD117+1,"Error")))</f>
        <v>1</v>
      </c>
      <c r="BR117" s="229">
        <f>IF($BC117=Lookup!$A$2,$BD117*ROUNDUP(BJ117/10,0)+1,
IF($BC117=Lookup!$A$3,($BD117+1)^BI117,
IF($BC117=Lookup!$A$4,BJ117*$BD117+1,"Error")))</f>
        <v>1</v>
      </c>
      <c r="BS117" s="229">
        <f>IF($BC117=Lookup!$A$2,$BD117*ROUNDUP(BK117/10,0)+1,
IF($BC117=Lookup!$A$3,($BD117+1)^BJ117,
IF($BC117=Lookup!$A$4,BK117*$BD117+1,"Error")))</f>
        <v>1</v>
      </c>
      <c r="BT117" s="249">
        <f>IF($BC117=Lookup!$A$2,$BD117*ROUNDUP(BL117/10,0)+1,
IF($BC117=Lookup!$A$3,($BD117+1)^BK117,
IF($BC117=Lookup!$A$4,BL117*$BD117+1,"Error")))</f>
        <v>1</v>
      </c>
      <c r="BU117" s="320">
        <v>0</v>
      </c>
      <c r="BV117" s="321">
        <v>0</v>
      </c>
      <c r="BW117" s="321">
        <v>0</v>
      </c>
      <c r="BX117" s="321">
        <v>0</v>
      </c>
      <c r="BY117" s="321">
        <v>0</v>
      </c>
      <c r="BZ117" s="321">
        <v>0</v>
      </c>
      <c r="CA117" s="321">
        <v>0</v>
      </c>
      <c r="CB117" s="277">
        <v>0</v>
      </c>
      <c r="CC117" s="382" t="s">
        <v>292</v>
      </c>
      <c r="CD117" s="383">
        <f>HLOOKUP($CC117,$AK$6:$AM$132,ROWS(CD$6:CD117),0)</f>
        <v>7</v>
      </c>
      <c r="CE117" s="234">
        <f t="shared" si="169"/>
        <v>0</v>
      </c>
      <c r="CF117" s="96">
        <f t="shared" si="170"/>
        <v>0</v>
      </c>
      <c r="CG117" s="96">
        <f t="shared" si="171"/>
        <v>0</v>
      </c>
      <c r="CH117" s="96">
        <f t="shared" si="172"/>
        <v>0</v>
      </c>
      <c r="CI117" s="96">
        <f t="shared" si="173"/>
        <v>0</v>
      </c>
      <c r="CJ117" s="96">
        <f t="shared" si="174"/>
        <v>0</v>
      </c>
      <c r="CK117" s="96">
        <f t="shared" si="175"/>
        <v>0</v>
      </c>
      <c r="CL117" s="286">
        <f t="shared" si="176"/>
        <v>0</v>
      </c>
      <c r="CM117" s="305" t="s">
        <v>293</v>
      </c>
      <c r="CN117" s="315">
        <v>0.05</v>
      </c>
      <c r="CO117" s="306"/>
      <c r="CP117" s="307" t="str">
        <f>IF($CO117&lt;&gt;"",$CO117,HLOOKUP($CM117,$AY$6:$BA$132,ROWS(CP$6:CP117),0))</f>
        <v/>
      </c>
      <c r="CQ117" s="784" t="str">
        <f t="shared" si="177"/>
        <v/>
      </c>
      <c r="CR117" s="784" t="str">
        <f t="shared" si="178"/>
        <v/>
      </c>
      <c r="CS117" s="97" t="str">
        <f t="shared" si="179"/>
        <v/>
      </c>
      <c r="CT117" s="97" t="str">
        <f t="shared" si="180"/>
        <v/>
      </c>
      <c r="CU117" s="97" t="str">
        <f t="shared" si="181"/>
        <v/>
      </c>
      <c r="CV117" s="97" t="str">
        <f t="shared" si="182"/>
        <v/>
      </c>
      <c r="CW117" s="97" t="str">
        <f t="shared" si="183"/>
        <v/>
      </c>
      <c r="CX117" s="98" t="str">
        <f t="shared" si="184"/>
        <v/>
      </c>
      <c r="CY117" s="392"/>
    </row>
    <row r="118" spans="1:103" ht="15.75" thickBot="1" x14ac:dyDescent="0.3">
      <c r="A118" s="100" t="s">
        <v>224</v>
      </c>
      <c r="B118" s="101" t="s">
        <v>397</v>
      </c>
      <c r="C118" s="102" t="s">
        <v>398</v>
      </c>
      <c r="D118" s="103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655">
        <f>'2022-23 Input'!E118</f>
        <v>0</v>
      </c>
      <c r="N118" s="1066">
        <v>0</v>
      </c>
      <c r="O118" s="563">
        <f t="shared" si="142"/>
        <v>0</v>
      </c>
      <c r="P118" s="564">
        <f t="shared" si="143"/>
        <v>0</v>
      </c>
      <c r="Q118" s="564">
        <f t="shared" si="144"/>
        <v>0</v>
      </c>
      <c r="R118" s="564">
        <f t="shared" si="145"/>
        <v>0</v>
      </c>
      <c r="S118" s="564">
        <f t="shared" si="146"/>
        <v>0</v>
      </c>
      <c r="T118" s="564">
        <f t="shared" si="147"/>
        <v>0</v>
      </c>
      <c r="U118" s="564">
        <f t="shared" si="148"/>
        <v>0</v>
      </c>
      <c r="V118" s="564">
        <f t="shared" si="149"/>
        <v>0</v>
      </c>
      <c r="W118" s="676">
        <f t="shared" si="150"/>
        <v>0</v>
      </c>
      <c r="X118" s="676">
        <f t="shared" si="151"/>
        <v>0</v>
      </c>
      <c r="Y118" s="676">
        <f t="shared" si="152"/>
        <v>0</v>
      </c>
      <c r="Z118" s="105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0</v>
      </c>
      <c r="AF118" s="106">
        <v>0</v>
      </c>
      <c r="AG118" s="106">
        <v>0</v>
      </c>
      <c r="AH118" s="106">
        <v>0</v>
      </c>
      <c r="AI118" s="1095">
        <f>'2022-23 Input'!L118</f>
        <v>0</v>
      </c>
      <c r="AJ118" s="666">
        <v>0</v>
      </c>
      <c r="AK118" s="107">
        <f t="shared" si="153"/>
        <v>0</v>
      </c>
      <c r="AL118" s="108">
        <f t="shared" si="154"/>
        <v>0</v>
      </c>
      <c r="AM118" s="109">
        <f t="shared" si="155"/>
        <v>0</v>
      </c>
      <c r="AN118" s="110" t="str">
        <f t="shared" si="156"/>
        <v/>
      </c>
      <c r="AO118" s="111" t="str">
        <f t="shared" si="157"/>
        <v/>
      </c>
      <c r="AP118" s="111" t="str">
        <f t="shared" si="158"/>
        <v/>
      </c>
      <c r="AQ118" s="111" t="str">
        <f t="shared" si="159"/>
        <v/>
      </c>
      <c r="AR118" s="111" t="str">
        <f t="shared" si="160"/>
        <v/>
      </c>
      <c r="AS118" s="111" t="str">
        <f t="shared" si="161"/>
        <v/>
      </c>
      <c r="AT118" s="111" t="str">
        <f t="shared" si="162"/>
        <v/>
      </c>
      <c r="AU118" s="111" t="str">
        <f t="shared" si="163"/>
        <v/>
      </c>
      <c r="AV118" s="111" t="str">
        <f t="shared" si="164"/>
        <v/>
      </c>
      <c r="AW118" s="111" t="str">
        <f t="shared" si="164"/>
        <v/>
      </c>
      <c r="AX118" s="111" t="str">
        <f t="shared" si="164"/>
        <v/>
      </c>
      <c r="AY118" s="112" t="str">
        <f t="shared" si="165"/>
        <v/>
      </c>
      <c r="AZ118" s="113" t="str">
        <f t="shared" si="166"/>
        <v/>
      </c>
      <c r="BA118" s="114" t="str">
        <f t="shared" si="167"/>
        <v/>
      </c>
      <c r="BB118" s="250" t="s">
        <v>422</v>
      </c>
      <c r="BC118" s="230" t="s">
        <v>433</v>
      </c>
      <c r="BD118" s="251">
        <v>0</v>
      </c>
      <c r="BE118" s="270">
        <f t="shared" si="168"/>
        <v>0</v>
      </c>
      <c r="BF118" s="271">
        <f t="shared" si="186"/>
        <v>0</v>
      </c>
      <c r="BG118" s="271">
        <f t="shared" si="186"/>
        <v>0</v>
      </c>
      <c r="BH118" s="271">
        <f t="shared" si="186"/>
        <v>1</v>
      </c>
      <c r="BI118" s="271">
        <f t="shared" si="186"/>
        <v>2</v>
      </c>
      <c r="BJ118" s="271">
        <f t="shared" si="186"/>
        <v>3</v>
      </c>
      <c r="BK118" s="271">
        <f t="shared" si="186"/>
        <v>4</v>
      </c>
      <c r="BL118" s="272">
        <f t="shared" si="186"/>
        <v>5</v>
      </c>
      <c r="BM118" s="257">
        <f>IF($BC118=Lookup!$A$2,$BD118*ROUNDUP(BE118/10,0)+1,
IF($BC118=Lookup!$A$3,($BD118+1)^BD118,
IF($BC118=Lookup!$A$4,BE118*$BD118+1,"Error")))</f>
        <v>1</v>
      </c>
      <c r="BN118" s="230">
        <f>IF($BC118=Lookup!$A$2,$BD118*ROUNDUP(BF118/10,0)+1,
IF($BC118=Lookup!$A$3,($BD118+1)^BE118,
IF($BC118=Lookup!$A$4,BF118*$BD118+1,"Error")))</f>
        <v>1</v>
      </c>
      <c r="BO118" s="230">
        <f>IF($BC118=Lookup!$A$2,$BD118*ROUNDUP(BG118/10,0)+1,
IF($BC118=Lookup!$A$3,($BD118+1)^BF118,
IF($BC118=Lookup!$A$4,BG118*$BD118+1,"Error")))</f>
        <v>1</v>
      </c>
      <c r="BP118" s="230">
        <f>IF($BC118=Lookup!$A$2,$BD118*ROUNDUP(BH118/10,0)+1,
IF($BC118=Lookup!$A$3,($BD118+1)^BG118,
IF($BC118=Lookup!$A$4,BH118*$BD118+1,"Error")))</f>
        <v>1</v>
      </c>
      <c r="BQ118" s="230">
        <f>IF($BC118=Lookup!$A$2,$BD118*ROUNDUP(BI118/10,0)+1,
IF($BC118=Lookup!$A$3,($BD118+1)^BH118,
IF($BC118=Lookup!$A$4,BI118*$BD118+1,"Error")))</f>
        <v>1</v>
      </c>
      <c r="BR118" s="230">
        <f>IF($BC118=Lookup!$A$2,$BD118*ROUNDUP(BJ118/10,0)+1,
IF($BC118=Lookup!$A$3,($BD118+1)^BI118,
IF($BC118=Lookup!$A$4,BJ118*$BD118+1,"Error")))</f>
        <v>1</v>
      </c>
      <c r="BS118" s="230">
        <f>IF($BC118=Lookup!$A$2,$BD118*ROUNDUP(BK118/10,0)+1,
IF($BC118=Lookup!$A$3,($BD118+1)^BJ118,
IF($BC118=Lookup!$A$4,BK118*$BD118+1,"Error")))</f>
        <v>1</v>
      </c>
      <c r="BT118" s="251">
        <f>IF($BC118=Lookup!$A$2,$BD118*ROUNDUP(BL118/10,0)+1,
IF($BC118=Lookup!$A$3,($BD118+1)^BK118,
IF($BC118=Lookup!$A$4,BL118*$BD118+1,"Error")))</f>
        <v>1</v>
      </c>
      <c r="BU118" s="322">
        <v>0</v>
      </c>
      <c r="BV118" s="323">
        <v>0</v>
      </c>
      <c r="BW118" s="323">
        <v>0</v>
      </c>
      <c r="BX118" s="323">
        <v>0</v>
      </c>
      <c r="BY118" s="323">
        <v>0</v>
      </c>
      <c r="BZ118" s="323">
        <v>0</v>
      </c>
      <c r="CA118" s="323">
        <v>0</v>
      </c>
      <c r="CB118" s="278">
        <v>0</v>
      </c>
      <c r="CC118" s="384" t="s">
        <v>292</v>
      </c>
      <c r="CD118" s="385">
        <f>HLOOKUP($CC118,$AK$6:$AM$132,ROWS(CD$6:CD118),0)</f>
        <v>0</v>
      </c>
      <c r="CE118" s="235">
        <f t="shared" si="169"/>
        <v>0</v>
      </c>
      <c r="CF118" s="115">
        <f t="shared" si="170"/>
        <v>0</v>
      </c>
      <c r="CG118" s="115">
        <f t="shared" si="171"/>
        <v>0</v>
      </c>
      <c r="CH118" s="115">
        <f t="shared" si="172"/>
        <v>0</v>
      </c>
      <c r="CI118" s="115">
        <f t="shared" si="173"/>
        <v>0</v>
      </c>
      <c r="CJ118" s="115">
        <f t="shared" si="174"/>
        <v>0</v>
      </c>
      <c r="CK118" s="115">
        <f t="shared" si="175"/>
        <v>0</v>
      </c>
      <c r="CL118" s="287">
        <f t="shared" si="176"/>
        <v>0</v>
      </c>
      <c r="CM118" s="308" t="s">
        <v>293</v>
      </c>
      <c r="CN118" s="316">
        <v>0.05</v>
      </c>
      <c r="CO118" s="309"/>
      <c r="CP118" s="310" t="str">
        <f>IF($CO118&lt;&gt;"",$CO118,HLOOKUP($CM118,$AY$6:$BA$132,ROWS(CP$6:CP118),0))</f>
        <v/>
      </c>
      <c r="CQ118" s="785" t="str">
        <f t="shared" si="177"/>
        <v/>
      </c>
      <c r="CR118" s="785" t="str">
        <f t="shared" si="178"/>
        <v/>
      </c>
      <c r="CS118" s="117" t="str">
        <f t="shared" si="179"/>
        <v/>
      </c>
      <c r="CT118" s="117" t="str">
        <f t="shared" si="180"/>
        <v/>
      </c>
      <c r="CU118" s="117" t="str">
        <f t="shared" si="181"/>
        <v/>
      </c>
      <c r="CV118" s="117" t="str">
        <f t="shared" si="182"/>
        <v/>
      </c>
      <c r="CW118" s="117" t="str">
        <f t="shared" si="183"/>
        <v/>
      </c>
      <c r="CX118" s="118" t="str">
        <f t="shared" si="184"/>
        <v/>
      </c>
      <c r="CY118" s="393"/>
    </row>
    <row r="119" spans="1:103" x14ac:dyDescent="0.25">
      <c r="A119" s="63" t="s">
        <v>242</v>
      </c>
      <c r="B119" s="64" t="s">
        <v>239</v>
      </c>
      <c r="C119" s="65" t="s">
        <v>241</v>
      </c>
      <c r="D119" s="66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53">
        <f>'2022-23 Input'!E119</f>
        <v>0</v>
      </c>
      <c r="N119" s="1064">
        <v>0</v>
      </c>
      <c r="O119" s="557">
        <f t="shared" si="142"/>
        <v>0</v>
      </c>
      <c r="P119" s="558">
        <f t="shared" si="143"/>
        <v>0</v>
      </c>
      <c r="Q119" s="558">
        <f t="shared" si="144"/>
        <v>0</v>
      </c>
      <c r="R119" s="558">
        <f t="shared" si="145"/>
        <v>0</v>
      </c>
      <c r="S119" s="558">
        <f t="shared" si="146"/>
        <v>0</v>
      </c>
      <c r="T119" s="558">
        <f t="shared" si="147"/>
        <v>0</v>
      </c>
      <c r="U119" s="558">
        <f t="shared" si="148"/>
        <v>0</v>
      </c>
      <c r="V119" s="558">
        <f t="shared" si="149"/>
        <v>0</v>
      </c>
      <c r="W119" s="674">
        <f t="shared" si="150"/>
        <v>0</v>
      </c>
      <c r="X119" s="674">
        <f t="shared" si="151"/>
        <v>0</v>
      </c>
      <c r="Y119" s="674">
        <f t="shared" si="152"/>
        <v>0</v>
      </c>
      <c r="Z119" s="68">
        <v>0</v>
      </c>
      <c r="AA119" s="69">
        <v>0</v>
      </c>
      <c r="AB119" s="69">
        <v>0</v>
      </c>
      <c r="AC119" s="69">
        <v>0</v>
      </c>
      <c r="AD119" s="69">
        <v>0</v>
      </c>
      <c r="AE119" s="69">
        <v>0</v>
      </c>
      <c r="AF119" s="69">
        <v>0</v>
      </c>
      <c r="AG119" s="69">
        <v>0</v>
      </c>
      <c r="AH119" s="69">
        <v>0</v>
      </c>
      <c r="AI119" s="1093">
        <f>'2022-23 Input'!L119</f>
        <v>0</v>
      </c>
      <c r="AJ119" s="664">
        <v>0</v>
      </c>
      <c r="AK119" s="70">
        <f t="shared" si="153"/>
        <v>0</v>
      </c>
      <c r="AL119" s="71">
        <f t="shared" si="154"/>
        <v>0</v>
      </c>
      <c r="AM119" s="72">
        <f t="shared" si="155"/>
        <v>0</v>
      </c>
      <c r="AN119" s="73" t="str">
        <f t="shared" si="156"/>
        <v/>
      </c>
      <c r="AO119" s="74" t="str">
        <f t="shared" si="157"/>
        <v/>
      </c>
      <c r="AP119" s="74" t="str">
        <f t="shared" si="158"/>
        <v/>
      </c>
      <c r="AQ119" s="74" t="str">
        <f t="shared" si="159"/>
        <v/>
      </c>
      <c r="AR119" s="74" t="str">
        <f t="shared" si="160"/>
        <v/>
      </c>
      <c r="AS119" s="74" t="str">
        <f t="shared" si="161"/>
        <v/>
      </c>
      <c r="AT119" s="74" t="str">
        <f t="shared" si="162"/>
        <v/>
      </c>
      <c r="AU119" s="74" t="str">
        <f t="shared" si="163"/>
        <v/>
      </c>
      <c r="AV119" s="74" t="str">
        <f t="shared" ref="AV119:AX132" si="187">IFERROR(L119/AH119,"")</f>
        <v/>
      </c>
      <c r="AW119" s="74" t="str">
        <f t="shared" si="187"/>
        <v/>
      </c>
      <c r="AX119" s="74" t="str">
        <f t="shared" si="187"/>
        <v/>
      </c>
      <c r="AY119" s="75" t="str">
        <f t="shared" si="165"/>
        <v/>
      </c>
      <c r="AZ119" s="76" t="str">
        <f t="shared" si="166"/>
        <v/>
      </c>
      <c r="BA119" s="77" t="str">
        <f t="shared" si="167"/>
        <v/>
      </c>
      <c r="BB119" s="252" t="s">
        <v>422</v>
      </c>
      <c r="BC119" s="231" t="s">
        <v>433</v>
      </c>
      <c r="BD119" s="253">
        <v>0</v>
      </c>
      <c r="BE119" s="273">
        <f t="shared" si="168"/>
        <v>0</v>
      </c>
      <c r="BF119" s="274">
        <f t="shared" si="186"/>
        <v>0</v>
      </c>
      <c r="BG119" s="274">
        <f t="shared" si="186"/>
        <v>0</v>
      </c>
      <c r="BH119" s="274">
        <f t="shared" si="186"/>
        <v>1</v>
      </c>
      <c r="BI119" s="274">
        <f t="shared" si="186"/>
        <v>2</v>
      </c>
      <c r="BJ119" s="274">
        <f t="shared" si="186"/>
        <v>3</v>
      </c>
      <c r="BK119" s="274">
        <f t="shared" si="186"/>
        <v>4</v>
      </c>
      <c r="BL119" s="275">
        <f t="shared" si="186"/>
        <v>5</v>
      </c>
      <c r="BM119" s="258">
        <f>IF($BC119=Lookup!$A$2,$BD119*ROUNDUP(BE119/10,0)+1,
IF($BC119=Lookup!$A$3,($BD119+1)^BD119,
IF($BC119=Lookup!$A$4,BE119*$BD119+1,"Error")))</f>
        <v>1</v>
      </c>
      <c r="BN119" s="231">
        <f>IF($BC119=Lookup!$A$2,$BD119*ROUNDUP(BF119/10,0)+1,
IF($BC119=Lookup!$A$3,($BD119+1)^BE119,
IF($BC119=Lookup!$A$4,BF119*$BD119+1,"Error")))</f>
        <v>1</v>
      </c>
      <c r="BO119" s="231">
        <f>IF($BC119=Lookup!$A$2,$BD119*ROUNDUP(BG119/10,0)+1,
IF($BC119=Lookup!$A$3,($BD119+1)^BF119,
IF($BC119=Lookup!$A$4,BG119*$BD119+1,"Error")))</f>
        <v>1</v>
      </c>
      <c r="BP119" s="231">
        <f>IF($BC119=Lookup!$A$2,$BD119*ROUNDUP(BH119/10,0)+1,
IF($BC119=Lookup!$A$3,($BD119+1)^BG119,
IF($BC119=Lookup!$A$4,BH119*$BD119+1,"Error")))</f>
        <v>1</v>
      </c>
      <c r="BQ119" s="231">
        <f>IF($BC119=Lookup!$A$2,$BD119*ROUNDUP(BI119/10,0)+1,
IF($BC119=Lookup!$A$3,($BD119+1)^BH119,
IF($BC119=Lookup!$A$4,BI119*$BD119+1,"Error")))</f>
        <v>1</v>
      </c>
      <c r="BR119" s="231">
        <f>IF($BC119=Lookup!$A$2,$BD119*ROUNDUP(BJ119/10,0)+1,
IF($BC119=Lookup!$A$3,($BD119+1)^BI119,
IF($BC119=Lookup!$A$4,BJ119*$BD119+1,"Error")))</f>
        <v>1</v>
      </c>
      <c r="BS119" s="231">
        <f>IF($BC119=Lookup!$A$2,$BD119*ROUNDUP(BK119/10,0)+1,
IF($BC119=Lookup!$A$3,($BD119+1)^BJ119,
IF($BC119=Lookup!$A$4,BK119*$BD119+1,"Error")))</f>
        <v>1</v>
      </c>
      <c r="BT119" s="253">
        <f>IF($BC119=Lookup!$A$2,$BD119*ROUNDUP(BL119/10,0)+1,
IF($BC119=Lookup!$A$3,($BD119+1)^BK119,
IF($BC119=Lookup!$A$4,BL119*$BD119+1,"Error")))</f>
        <v>1</v>
      </c>
      <c r="BU119" s="324"/>
      <c r="BV119" s="325"/>
      <c r="BW119" s="325"/>
      <c r="BX119" s="325"/>
      <c r="BY119" s="325"/>
      <c r="BZ119" s="325"/>
      <c r="CA119" s="325"/>
      <c r="CB119" s="279"/>
      <c r="CC119" s="386" t="s">
        <v>292</v>
      </c>
      <c r="CD119" s="387">
        <f>HLOOKUP($CC119,$AK$6:$AM$132,ROWS(CD$6:CD119),0)</f>
        <v>0</v>
      </c>
      <c r="CE119" s="241">
        <f t="shared" si="169"/>
        <v>0</v>
      </c>
      <c r="CF119" s="144">
        <f t="shared" si="170"/>
        <v>0</v>
      </c>
      <c r="CG119" s="144">
        <f t="shared" si="171"/>
        <v>0</v>
      </c>
      <c r="CH119" s="144">
        <f t="shared" si="172"/>
        <v>0</v>
      </c>
      <c r="CI119" s="144">
        <f t="shared" si="173"/>
        <v>0</v>
      </c>
      <c r="CJ119" s="144">
        <f t="shared" si="174"/>
        <v>0</v>
      </c>
      <c r="CK119" s="144">
        <f t="shared" si="175"/>
        <v>0</v>
      </c>
      <c r="CL119" s="293">
        <f t="shared" si="176"/>
        <v>0</v>
      </c>
      <c r="CM119" s="302" t="s">
        <v>293</v>
      </c>
      <c r="CN119" s="314">
        <v>0.05</v>
      </c>
      <c r="CO119" s="303"/>
      <c r="CP119" s="304" t="str">
        <f>IF($CO119&lt;&gt;"",$CO119,HLOOKUP($CM119,$AY$6:$BA$132,ROWS(CP$6:CP119),0))</f>
        <v/>
      </c>
      <c r="CQ119" s="783" t="str">
        <f t="shared" si="177"/>
        <v/>
      </c>
      <c r="CR119" s="783" t="str">
        <f t="shared" si="178"/>
        <v/>
      </c>
      <c r="CS119" s="79" t="str">
        <f t="shared" si="179"/>
        <v/>
      </c>
      <c r="CT119" s="79" t="str">
        <f t="shared" si="180"/>
        <v/>
      </c>
      <c r="CU119" s="79" t="str">
        <f t="shared" si="181"/>
        <v/>
      </c>
      <c r="CV119" s="79" t="str">
        <f t="shared" si="182"/>
        <v/>
      </c>
      <c r="CW119" s="79" t="str">
        <f t="shared" si="183"/>
        <v/>
      </c>
      <c r="CX119" s="80" t="str">
        <f t="shared" si="184"/>
        <v/>
      </c>
      <c r="CY119" s="394"/>
    </row>
    <row r="120" spans="1:103" x14ac:dyDescent="0.25">
      <c r="A120" s="81" t="s">
        <v>242</v>
      </c>
      <c r="B120" s="82" t="s">
        <v>243</v>
      </c>
      <c r="C120" s="83" t="s">
        <v>244</v>
      </c>
      <c r="D120" s="84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85">
        <v>0</v>
      </c>
      <c r="K120" s="85">
        <v>0</v>
      </c>
      <c r="L120" s="85">
        <v>0</v>
      </c>
      <c r="M120" s="654">
        <f>'2022-23 Input'!E120</f>
        <v>0</v>
      </c>
      <c r="N120" s="1065">
        <v>0</v>
      </c>
      <c r="O120" s="560">
        <f t="shared" si="142"/>
        <v>0</v>
      </c>
      <c r="P120" s="561">
        <f t="shared" si="143"/>
        <v>0</v>
      </c>
      <c r="Q120" s="561">
        <f t="shared" si="144"/>
        <v>0</v>
      </c>
      <c r="R120" s="561">
        <f t="shared" si="145"/>
        <v>0</v>
      </c>
      <c r="S120" s="561">
        <f t="shared" si="146"/>
        <v>0</v>
      </c>
      <c r="T120" s="561">
        <f t="shared" si="147"/>
        <v>0</v>
      </c>
      <c r="U120" s="561">
        <f t="shared" si="148"/>
        <v>0</v>
      </c>
      <c r="V120" s="561">
        <f t="shared" si="149"/>
        <v>0</v>
      </c>
      <c r="W120" s="675">
        <f t="shared" si="150"/>
        <v>0</v>
      </c>
      <c r="X120" s="675">
        <f t="shared" si="151"/>
        <v>0</v>
      </c>
      <c r="Y120" s="675">
        <f t="shared" si="152"/>
        <v>0</v>
      </c>
      <c r="Z120" s="86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87">
        <v>0</v>
      </c>
      <c r="AI120" s="1094">
        <f>'2022-23 Input'!L120</f>
        <v>0</v>
      </c>
      <c r="AJ120" s="665">
        <v>0</v>
      </c>
      <c r="AK120" s="88">
        <f t="shared" si="153"/>
        <v>0</v>
      </c>
      <c r="AL120" s="89">
        <f t="shared" si="154"/>
        <v>0</v>
      </c>
      <c r="AM120" s="90">
        <f t="shared" si="155"/>
        <v>0</v>
      </c>
      <c r="AN120" s="91" t="str">
        <f t="shared" si="156"/>
        <v/>
      </c>
      <c r="AO120" s="92" t="str">
        <f t="shared" si="157"/>
        <v/>
      </c>
      <c r="AP120" s="92" t="str">
        <f t="shared" si="158"/>
        <v/>
      </c>
      <c r="AQ120" s="92" t="str">
        <f t="shared" si="159"/>
        <v/>
      </c>
      <c r="AR120" s="92" t="str">
        <f t="shared" si="160"/>
        <v/>
      </c>
      <c r="AS120" s="92" t="str">
        <f t="shared" si="161"/>
        <v/>
      </c>
      <c r="AT120" s="92" t="str">
        <f t="shared" si="162"/>
        <v/>
      </c>
      <c r="AU120" s="92" t="str">
        <f t="shared" si="163"/>
        <v/>
      </c>
      <c r="AV120" s="92" t="str">
        <f t="shared" si="187"/>
        <v/>
      </c>
      <c r="AW120" s="92" t="str">
        <f t="shared" si="187"/>
        <v/>
      </c>
      <c r="AX120" s="92" t="str">
        <f t="shared" si="187"/>
        <v/>
      </c>
      <c r="AY120" s="93" t="str">
        <f t="shared" si="165"/>
        <v/>
      </c>
      <c r="AZ120" s="94" t="str">
        <f t="shared" si="166"/>
        <v/>
      </c>
      <c r="BA120" s="95" t="str">
        <f t="shared" si="167"/>
        <v/>
      </c>
      <c r="BB120" s="248" t="s">
        <v>422</v>
      </c>
      <c r="BC120" s="229" t="s">
        <v>433</v>
      </c>
      <c r="BD120" s="249">
        <v>0</v>
      </c>
      <c r="BE120" s="267">
        <f t="shared" si="168"/>
        <v>0</v>
      </c>
      <c r="BF120" s="268">
        <f t="shared" si="186"/>
        <v>0</v>
      </c>
      <c r="BG120" s="268">
        <f t="shared" si="186"/>
        <v>0</v>
      </c>
      <c r="BH120" s="268">
        <f t="shared" si="186"/>
        <v>1</v>
      </c>
      <c r="BI120" s="268">
        <f t="shared" si="186"/>
        <v>2</v>
      </c>
      <c r="BJ120" s="268">
        <f t="shared" si="186"/>
        <v>3</v>
      </c>
      <c r="BK120" s="268">
        <f t="shared" si="186"/>
        <v>4</v>
      </c>
      <c r="BL120" s="269">
        <f t="shared" si="186"/>
        <v>5</v>
      </c>
      <c r="BM120" s="256">
        <f>IF($BC120=Lookup!$A$2,$BD120*ROUNDUP(BE120/10,0)+1,
IF($BC120=Lookup!$A$3,($BD120+1)^BD120,
IF($BC120=Lookup!$A$4,BE120*$BD120+1,"Error")))</f>
        <v>1</v>
      </c>
      <c r="BN120" s="229">
        <f>IF($BC120=Lookup!$A$2,$BD120*ROUNDUP(BF120/10,0)+1,
IF($BC120=Lookup!$A$3,($BD120+1)^BE120,
IF($BC120=Lookup!$A$4,BF120*$BD120+1,"Error")))</f>
        <v>1</v>
      </c>
      <c r="BO120" s="229">
        <f>IF($BC120=Lookup!$A$2,$BD120*ROUNDUP(BG120/10,0)+1,
IF($BC120=Lookup!$A$3,($BD120+1)^BF120,
IF($BC120=Lookup!$A$4,BG120*$BD120+1,"Error")))</f>
        <v>1</v>
      </c>
      <c r="BP120" s="229">
        <f>IF($BC120=Lookup!$A$2,$BD120*ROUNDUP(BH120/10,0)+1,
IF($BC120=Lookup!$A$3,($BD120+1)^BG120,
IF($BC120=Lookup!$A$4,BH120*$BD120+1,"Error")))</f>
        <v>1</v>
      </c>
      <c r="BQ120" s="229">
        <f>IF($BC120=Lookup!$A$2,$BD120*ROUNDUP(BI120/10,0)+1,
IF($BC120=Lookup!$A$3,($BD120+1)^BH120,
IF($BC120=Lookup!$A$4,BI120*$BD120+1,"Error")))</f>
        <v>1</v>
      </c>
      <c r="BR120" s="229">
        <f>IF($BC120=Lookup!$A$2,$BD120*ROUNDUP(BJ120/10,0)+1,
IF($BC120=Lookup!$A$3,($BD120+1)^BI120,
IF($BC120=Lookup!$A$4,BJ120*$BD120+1,"Error")))</f>
        <v>1</v>
      </c>
      <c r="BS120" s="229">
        <f>IF($BC120=Lookup!$A$2,$BD120*ROUNDUP(BK120/10,0)+1,
IF($BC120=Lookup!$A$3,($BD120+1)^BJ120,
IF($BC120=Lookup!$A$4,BK120*$BD120+1,"Error")))</f>
        <v>1</v>
      </c>
      <c r="BT120" s="249">
        <f>IF($BC120=Lookup!$A$2,$BD120*ROUNDUP(BL120/10,0)+1,
IF($BC120=Lookup!$A$3,($BD120+1)^BK120,
IF($BC120=Lookup!$A$4,BL120*$BD120+1,"Error")))</f>
        <v>1</v>
      </c>
      <c r="BU120" s="320"/>
      <c r="BV120" s="321"/>
      <c r="BW120" s="321"/>
      <c r="BX120" s="321"/>
      <c r="BY120" s="321"/>
      <c r="BZ120" s="321"/>
      <c r="CA120" s="321"/>
      <c r="CB120" s="277"/>
      <c r="CC120" s="382" t="s">
        <v>292</v>
      </c>
      <c r="CD120" s="383">
        <f>HLOOKUP($CC120,$AK$6:$AM$132,ROWS(CD$6:CD120),0)</f>
        <v>0</v>
      </c>
      <c r="CE120" s="234">
        <f t="shared" si="169"/>
        <v>0</v>
      </c>
      <c r="CF120" s="96">
        <f t="shared" si="170"/>
        <v>0</v>
      </c>
      <c r="CG120" s="96">
        <f t="shared" si="171"/>
        <v>0</v>
      </c>
      <c r="CH120" s="96">
        <f t="shared" si="172"/>
        <v>0</v>
      </c>
      <c r="CI120" s="96">
        <f t="shared" si="173"/>
        <v>0</v>
      </c>
      <c r="CJ120" s="96">
        <f t="shared" si="174"/>
        <v>0</v>
      </c>
      <c r="CK120" s="96">
        <f t="shared" si="175"/>
        <v>0</v>
      </c>
      <c r="CL120" s="286">
        <f t="shared" si="176"/>
        <v>0</v>
      </c>
      <c r="CM120" s="305" t="s">
        <v>293</v>
      </c>
      <c r="CN120" s="315">
        <v>0.05</v>
      </c>
      <c r="CO120" s="306"/>
      <c r="CP120" s="307" t="str">
        <f>IF($CO120&lt;&gt;"",$CO120,HLOOKUP($CM120,$AY$6:$BA$132,ROWS(CP$6:CP120),0))</f>
        <v/>
      </c>
      <c r="CQ120" s="784" t="str">
        <f t="shared" si="177"/>
        <v/>
      </c>
      <c r="CR120" s="784" t="str">
        <f t="shared" si="178"/>
        <v/>
      </c>
      <c r="CS120" s="97" t="str">
        <f t="shared" si="179"/>
        <v/>
      </c>
      <c r="CT120" s="97" t="str">
        <f t="shared" si="180"/>
        <v/>
      </c>
      <c r="CU120" s="97" t="str">
        <f t="shared" si="181"/>
        <v/>
      </c>
      <c r="CV120" s="97" t="str">
        <f t="shared" si="182"/>
        <v/>
      </c>
      <c r="CW120" s="97" t="str">
        <f t="shared" si="183"/>
        <v/>
      </c>
      <c r="CX120" s="98" t="str">
        <f t="shared" si="184"/>
        <v/>
      </c>
      <c r="CY120" s="392"/>
    </row>
    <row r="121" spans="1:103" x14ac:dyDescent="0.25">
      <c r="A121" s="81" t="s">
        <v>242</v>
      </c>
      <c r="B121" s="82" t="s">
        <v>245</v>
      </c>
      <c r="C121" s="83" t="s">
        <v>246</v>
      </c>
      <c r="D121" s="84">
        <v>0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  <c r="K121" s="85">
        <v>0</v>
      </c>
      <c r="L121" s="85">
        <v>0</v>
      </c>
      <c r="M121" s="654">
        <f>'2022-23 Input'!E121</f>
        <v>0</v>
      </c>
      <c r="N121" s="1065">
        <v>0</v>
      </c>
      <c r="O121" s="560">
        <f t="shared" si="142"/>
        <v>0</v>
      </c>
      <c r="P121" s="561">
        <f t="shared" si="143"/>
        <v>0</v>
      </c>
      <c r="Q121" s="561">
        <f t="shared" si="144"/>
        <v>0</v>
      </c>
      <c r="R121" s="561">
        <f t="shared" si="145"/>
        <v>0</v>
      </c>
      <c r="S121" s="561">
        <f t="shared" si="146"/>
        <v>0</v>
      </c>
      <c r="T121" s="561">
        <f t="shared" si="147"/>
        <v>0</v>
      </c>
      <c r="U121" s="561">
        <f t="shared" si="148"/>
        <v>0</v>
      </c>
      <c r="V121" s="561">
        <f t="shared" si="149"/>
        <v>0</v>
      </c>
      <c r="W121" s="675">
        <f t="shared" si="150"/>
        <v>0</v>
      </c>
      <c r="X121" s="675">
        <f t="shared" si="151"/>
        <v>0</v>
      </c>
      <c r="Y121" s="675">
        <f t="shared" si="152"/>
        <v>0</v>
      </c>
      <c r="Z121" s="86">
        <v>0</v>
      </c>
      <c r="AA121" s="87">
        <v>0</v>
      </c>
      <c r="AB121" s="87">
        <v>0</v>
      </c>
      <c r="AC121" s="87">
        <v>0</v>
      </c>
      <c r="AD121" s="87">
        <v>0</v>
      </c>
      <c r="AE121" s="87">
        <v>0</v>
      </c>
      <c r="AF121" s="87">
        <v>0</v>
      </c>
      <c r="AG121" s="87">
        <v>0</v>
      </c>
      <c r="AH121" s="87">
        <v>0</v>
      </c>
      <c r="AI121" s="1094">
        <f>'2022-23 Input'!L121</f>
        <v>0</v>
      </c>
      <c r="AJ121" s="665">
        <v>0</v>
      </c>
      <c r="AK121" s="88">
        <f t="shared" si="153"/>
        <v>0</v>
      </c>
      <c r="AL121" s="89">
        <f t="shared" si="154"/>
        <v>0</v>
      </c>
      <c r="AM121" s="90">
        <f t="shared" si="155"/>
        <v>0</v>
      </c>
      <c r="AN121" s="91" t="str">
        <f t="shared" si="156"/>
        <v/>
      </c>
      <c r="AO121" s="92" t="str">
        <f t="shared" si="157"/>
        <v/>
      </c>
      <c r="AP121" s="92" t="str">
        <f t="shared" si="158"/>
        <v/>
      </c>
      <c r="AQ121" s="92" t="str">
        <f t="shared" si="159"/>
        <v/>
      </c>
      <c r="AR121" s="92" t="str">
        <f t="shared" si="160"/>
        <v/>
      </c>
      <c r="AS121" s="92" t="str">
        <f t="shared" si="161"/>
        <v/>
      </c>
      <c r="AT121" s="92" t="str">
        <f t="shared" si="162"/>
        <v/>
      </c>
      <c r="AU121" s="92" t="str">
        <f t="shared" si="163"/>
        <v/>
      </c>
      <c r="AV121" s="92" t="str">
        <f t="shared" si="187"/>
        <v/>
      </c>
      <c r="AW121" s="92" t="str">
        <f t="shared" si="187"/>
        <v/>
      </c>
      <c r="AX121" s="92" t="str">
        <f t="shared" si="187"/>
        <v/>
      </c>
      <c r="AY121" s="93" t="str">
        <f t="shared" si="165"/>
        <v/>
      </c>
      <c r="AZ121" s="94" t="str">
        <f t="shared" si="166"/>
        <v/>
      </c>
      <c r="BA121" s="95" t="str">
        <f t="shared" si="167"/>
        <v/>
      </c>
      <c r="BB121" s="248" t="s">
        <v>422</v>
      </c>
      <c r="BC121" s="229" t="s">
        <v>433</v>
      </c>
      <c r="BD121" s="249">
        <v>0</v>
      </c>
      <c r="BE121" s="267">
        <f t="shared" si="168"/>
        <v>0</v>
      </c>
      <c r="BF121" s="268">
        <f t="shared" si="186"/>
        <v>0</v>
      </c>
      <c r="BG121" s="268">
        <f t="shared" si="186"/>
        <v>0</v>
      </c>
      <c r="BH121" s="268">
        <f t="shared" si="186"/>
        <v>1</v>
      </c>
      <c r="BI121" s="268">
        <f t="shared" si="186"/>
        <v>2</v>
      </c>
      <c r="BJ121" s="268">
        <f t="shared" si="186"/>
        <v>3</v>
      </c>
      <c r="BK121" s="268">
        <f t="shared" si="186"/>
        <v>4</v>
      </c>
      <c r="BL121" s="269">
        <f t="shared" si="186"/>
        <v>5</v>
      </c>
      <c r="BM121" s="256">
        <f>IF($BC121=Lookup!$A$2,$BD121*ROUNDUP(BE121/10,0)+1,
IF($BC121=Lookup!$A$3,($BD121+1)^BD121,
IF($BC121=Lookup!$A$4,BE121*$BD121+1,"Error")))</f>
        <v>1</v>
      </c>
      <c r="BN121" s="229">
        <f>IF($BC121=Lookup!$A$2,$BD121*ROUNDUP(BF121/10,0)+1,
IF($BC121=Lookup!$A$3,($BD121+1)^BE121,
IF($BC121=Lookup!$A$4,BF121*$BD121+1,"Error")))</f>
        <v>1</v>
      </c>
      <c r="BO121" s="229">
        <f>IF($BC121=Lookup!$A$2,$BD121*ROUNDUP(BG121/10,0)+1,
IF($BC121=Lookup!$A$3,($BD121+1)^BF121,
IF($BC121=Lookup!$A$4,BG121*$BD121+1,"Error")))</f>
        <v>1</v>
      </c>
      <c r="BP121" s="229">
        <f>IF($BC121=Lookup!$A$2,$BD121*ROUNDUP(BH121/10,0)+1,
IF($BC121=Lookup!$A$3,($BD121+1)^BG121,
IF($BC121=Lookup!$A$4,BH121*$BD121+1,"Error")))</f>
        <v>1</v>
      </c>
      <c r="BQ121" s="229">
        <f>IF($BC121=Lookup!$A$2,$BD121*ROUNDUP(BI121/10,0)+1,
IF($BC121=Lookup!$A$3,($BD121+1)^BH121,
IF($BC121=Lookup!$A$4,BI121*$BD121+1,"Error")))</f>
        <v>1</v>
      </c>
      <c r="BR121" s="229">
        <f>IF($BC121=Lookup!$A$2,$BD121*ROUNDUP(BJ121/10,0)+1,
IF($BC121=Lookup!$A$3,($BD121+1)^BI121,
IF($BC121=Lookup!$A$4,BJ121*$BD121+1,"Error")))</f>
        <v>1</v>
      </c>
      <c r="BS121" s="229">
        <f>IF($BC121=Lookup!$A$2,$BD121*ROUNDUP(BK121/10,0)+1,
IF($BC121=Lookup!$A$3,($BD121+1)^BJ121,
IF($BC121=Lookup!$A$4,BK121*$BD121+1,"Error")))</f>
        <v>1</v>
      </c>
      <c r="BT121" s="249">
        <f>IF($BC121=Lookup!$A$2,$BD121*ROUNDUP(BL121/10,0)+1,
IF($BC121=Lookup!$A$3,($BD121+1)^BK121,
IF($BC121=Lookup!$A$4,BL121*$BD121+1,"Error")))</f>
        <v>1</v>
      </c>
      <c r="BU121" s="320"/>
      <c r="BV121" s="321"/>
      <c r="BW121" s="321"/>
      <c r="BX121" s="321"/>
      <c r="BY121" s="321"/>
      <c r="BZ121" s="321"/>
      <c r="CA121" s="321"/>
      <c r="CB121" s="277"/>
      <c r="CC121" s="382" t="s">
        <v>292</v>
      </c>
      <c r="CD121" s="383">
        <f>HLOOKUP($CC121,$AK$6:$AM$132,ROWS(CD$6:CD121),0)</f>
        <v>0</v>
      </c>
      <c r="CE121" s="234">
        <f t="shared" si="169"/>
        <v>0</v>
      </c>
      <c r="CF121" s="96">
        <f t="shared" si="170"/>
        <v>0</v>
      </c>
      <c r="CG121" s="96">
        <f t="shared" si="171"/>
        <v>0</v>
      </c>
      <c r="CH121" s="96">
        <f t="shared" si="172"/>
        <v>0</v>
      </c>
      <c r="CI121" s="96">
        <f t="shared" si="173"/>
        <v>0</v>
      </c>
      <c r="CJ121" s="96">
        <f t="shared" si="174"/>
        <v>0</v>
      </c>
      <c r="CK121" s="96">
        <f t="shared" si="175"/>
        <v>0</v>
      </c>
      <c r="CL121" s="286">
        <f t="shared" si="176"/>
        <v>0</v>
      </c>
      <c r="CM121" s="305" t="s">
        <v>293</v>
      </c>
      <c r="CN121" s="315">
        <v>0.05</v>
      </c>
      <c r="CO121" s="306"/>
      <c r="CP121" s="307" t="str">
        <f>IF($CO121&lt;&gt;"",$CO121,HLOOKUP($CM121,$AY$6:$BA$132,ROWS(CP$6:CP121),0))</f>
        <v/>
      </c>
      <c r="CQ121" s="784" t="str">
        <f t="shared" si="177"/>
        <v/>
      </c>
      <c r="CR121" s="784" t="str">
        <f t="shared" si="178"/>
        <v/>
      </c>
      <c r="CS121" s="97" t="str">
        <f t="shared" si="179"/>
        <v/>
      </c>
      <c r="CT121" s="97" t="str">
        <f t="shared" si="180"/>
        <v/>
      </c>
      <c r="CU121" s="97" t="str">
        <f t="shared" si="181"/>
        <v/>
      </c>
      <c r="CV121" s="97" t="str">
        <f t="shared" si="182"/>
        <v/>
      </c>
      <c r="CW121" s="97" t="str">
        <f t="shared" si="183"/>
        <v/>
      </c>
      <c r="CX121" s="98" t="str">
        <f t="shared" si="184"/>
        <v/>
      </c>
      <c r="CY121" s="392"/>
    </row>
    <row r="122" spans="1:103" x14ac:dyDescent="0.25">
      <c r="A122" s="81" t="s">
        <v>242</v>
      </c>
      <c r="B122" s="82" t="s">
        <v>247</v>
      </c>
      <c r="C122" s="83" t="s">
        <v>248</v>
      </c>
      <c r="D122" s="84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654">
        <f>'2022-23 Input'!E122</f>
        <v>0</v>
      </c>
      <c r="N122" s="1065">
        <v>0</v>
      </c>
      <c r="O122" s="560">
        <f t="shared" si="142"/>
        <v>0</v>
      </c>
      <c r="P122" s="561">
        <f t="shared" si="143"/>
        <v>0</v>
      </c>
      <c r="Q122" s="561">
        <f t="shared" si="144"/>
        <v>0</v>
      </c>
      <c r="R122" s="561">
        <f t="shared" si="145"/>
        <v>0</v>
      </c>
      <c r="S122" s="561">
        <f t="shared" si="146"/>
        <v>0</v>
      </c>
      <c r="T122" s="561">
        <f t="shared" si="147"/>
        <v>0</v>
      </c>
      <c r="U122" s="561">
        <f t="shared" si="148"/>
        <v>0</v>
      </c>
      <c r="V122" s="561">
        <f t="shared" si="149"/>
        <v>0</v>
      </c>
      <c r="W122" s="675">
        <f t="shared" si="150"/>
        <v>0</v>
      </c>
      <c r="X122" s="675">
        <f t="shared" si="151"/>
        <v>0</v>
      </c>
      <c r="Y122" s="675">
        <f t="shared" si="152"/>
        <v>0</v>
      </c>
      <c r="Z122" s="86">
        <v>0</v>
      </c>
      <c r="AA122" s="87">
        <v>0</v>
      </c>
      <c r="AB122" s="87">
        <v>0</v>
      </c>
      <c r="AC122" s="87">
        <v>0</v>
      </c>
      <c r="AD122" s="87">
        <v>0</v>
      </c>
      <c r="AE122" s="87">
        <v>0</v>
      </c>
      <c r="AF122" s="87">
        <v>0</v>
      </c>
      <c r="AG122" s="87">
        <v>0</v>
      </c>
      <c r="AH122" s="87">
        <v>0</v>
      </c>
      <c r="AI122" s="1094">
        <f>'2022-23 Input'!L122</f>
        <v>0</v>
      </c>
      <c r="AJ122" s="665">
        <v>0</v>
      </c>
      <c r="AK122" s="88">
        <f t="shared" si="153"/>
        <v>0</v>
      </c>
      <c r="AL122" s="89">
        <f t="shared" si="154"/>
        <v>0</v>
      </c>
      <c r="AM122" s="90">
        <f t="shared" si="155"/>
        <v>0</v>
      </c>
      <c r="AN122" s="91" t="str">
        <f t="shared" si="156"/>
        <v/>
      </c>
      <c r="AO122" s="92" t="str">
        <f t="shared" si="157"/>
        <v/>
      </c>
      <c r="AP122" s="92" t="str">
        <f t="shared" si="158"/>
        <v/>
      </c>
      <c r="AQ122" s="92" t="str">
        <f t="shared" si="159"/>
        <v/>
      </c>
      <c r="AR122" s="92" t="str">
        <f t="shared" si="160"/>
        <v/>
      </c>
      <c r="AS122" s="92" t="str">
        <f t="shared" si="161"/>
        <v/>
      </c>
      <c r="AT122" s="92" t="str">
        <f t="shared" si="162"/>
        <v/>
      </c>
      <c r="AU122" s="92" t="str">
        <f t="shared" si="163"/>
        <v/>
      </c>
      <c r="AV122" s="92" t="str">
        <f t="shared" si="187"/>
        <v/>
      </c>
      <c r="AW122" s="92" t="str">
        <f t="shared" si="187"/>
        <v/>
      </c>
      <c r="AX122" s="92" t="str">
        <f t="shared" si="187"/>
        <v/>
      </c>
      <c r="AY122" s="93" t="str">
        <f t="shared" si="165"/>
        <v/>
      </c>
      <c r="AZ122" s="94" t="str">
        <f t="shared" si="166"/>
        <v/>
      </c>
      <c r="BA122" s="95" t="str">
        <f t="shared" si="167"/>
        <v/>
      </c>
      <c r="BB122" s="248" t="s">
        <v>422</v>
      </c>
      <c r="BC122" s="229" t="s">
        <v>433</v>
      </c>
      <c r="BD122" s="249">
        <v>0</v>
      </c>
      <c r="BE122" s="267">
        <f t="shared" si="168"/>
        <v>0</v>
      </c>
      <c r="BF122" s="268">
        <f t="shared" si="186"/>
        <v>0</v>
      </c>
      <c r="BG122" s="268">
        <f t="shared" si="186"/>
        <v>0</v>
      </c>
      <c r="BH122" s="268">
        <f t="shared" si="186"/>
        <v>1</v>
      </c>
      <c r="BI122" s="268">
        <f t="shared" si="186"/>
        <v>2</v>
      </c>
      <c r="BJ122" s="268">
        <f t="shared" si="186"/>
        <v>3</v>
      </c>
      <c r="BK122" s="268">
        <f t="shared" si="186"/>
        <v>4</v>
      </c>
      <c r="BL122" s="269">
        <f t="shared" si="186"/>
        <v>5</v>
      </c>
      <c r="BM122" s="256">
        <f>IF($BC122=Lookup!$A$2,$BD122*ROUNDUP(BE122/10,0)+1,
IF($BC122=Lookup!$A$3,($BD122+1)^BD122,
IF($BC122=Lookup!$A$4,BE122*$BD122+1,"Error")))</f>
        <v>1</v>
      </c>
      <c r="BN122" s="229">
        <f>IF($BC122=Lookup!$A$2,$BD122*ROUNDUP(BF122/10,0)+1,
IF($BC122=Lookup!$A$3,($BD122+1)^BE122,
IF($BC122=Lookup!$A$4,BF122*$BD122+1,"Error")))</f>
        <v>1</v>
      </c>
      <c r="BO122" s="229">
        <f>IF($BC122=Lookup!$A$2,$BD122*ROUNDUP(BG122/10,0)+1,
IF($BC122=Lookup!$A$3,($BD122+1)^BF122,
IF($BC122=Lookup!$A$4,BG122*$BD122+1,"Error")))</f>
        <v>1</v>
      </c>
      <c r="BP122" s="229">
        <f>IF($BC122=Lookup!$A$2,$BD122*ROUNDUP(BH122/10,0)+1,
IF($BC122=Lookup!$A$3,($BD122+1)^BG122,
IF($BC122=Lookup!$A$4,BH122*$BD122+1,"Error")))</f>
        <v>1</v>
      </c>
      <c r="BQ122" s="229">
        <f>IF($BC122=Lookup!$A$2,$BD122*ROUNDUP(BI122/10,0)+1,
IF($BC122=Lookup!$A$3,($BD122+1)^BH122,
IF($BC122=Lookup!$A$4,BI122*$BD122+1,"Error")))</f>
        <v>1</v>
      </c>
      <c r="BR122" s="229">
        <f>IF($BC122=Lookup!$A$2,$BD122*ROUNDUP(BJ122/10,0)+1,
IF($BC122=Lookup!$A$3,($BD122+1)^BI122,
IF($BC122=Lookup!$A$4,BJ122*$BD122+1,"Error")))</f>
        <v>1</v>
      </c>
      <c r="BS122" s="229">
        <f>IF($BC122=Lookup!$A$2,$BD122*ROUNDUP(BK122/10,0)+1,
IF($BC122=Lookup!$A$3,($BD122+1)^BJ122,
IF($BC122=Lookup!$A$4,BK122*$BD122+1,"Error")))</f>
        <v>1</v>
      </c>
      <c r="BT122" s="249">
        <f>IF($BC122=Lookup!$A$2,$BD122*ROUNDUP(BL122/10,0)+1,
IF($BC122=Lookup!$A$3,($BD122+1)^BK122,
IF($BC122=Lookup!$A$4,BL122*$BD122+1,"Error")))</f>
        <v>1</v>
      </c>
      <c r="BU122" s="320"/>
      <c r="BV122" s="321"/>
      <c r="BW122" s="321"/>
      <c r="BX122" s="321"/>
      <c r="BY122" s="321"/>
      <c r="BZ122" s="321"/>
      <c r="CA122" s="321"/>
      <c r="CB122" s="277"/>
      <c r="CC122" s="382" t="s">
        <v>292</v>
      </c>
      <c r="CD122" s="383">
        <f>HLOOKUP($CC122,$AK$6:$AM$132,ROWS(CD$6:CD122),0)</f>
        <v>0</v>
      </c>
      <c r="CE122" s="234">
        <f t="shared" si="169"/>
        <v>0</v>
      </c>
      <c r="CF122" s="96">
        <f t="shared" si="170"/>
        <v>0</v>
      </c>
      <c r="CG122" s="96">
        <f t="shared" si="171"/>
        <v>0</v>
      </c>
      <c r="CH122" s="96">
        <f t="shared" si="172"/>
        <v>0</v>
      </c>
      <c r="CI122" s="96">
        <f t="shared" si="173"/>
        <v>0</v>
      </c>
      <c r="CJ122" s="96">
        <f t="shared" si="174"/>
        <v>0</v>
      </c>
      <c r="CK122" s="96">
        <f t="shared" si="175"/>
        <v>0</v>
      </c>
      <c r="CL122" s="286">
        <f t="shared" si="176"/>
        <v>0</v>
      </c>
      <c r="CM122" s="305" t="s">
        <v>293</v>
      </c>
      <c r="CN122" s="315">
        <v>0.05</v>
      </c>
      <c r="CO122" s="306"/>
      <c r="CP122" s="307" t="str">
        <f>IF($CO122&lt;&gt;"",$CO122,HLOOKUP($CM122,$AY$6:$BA$132,ROWS(CP$6:CP122),0))</f>
        <v/>
      </c>
      <c r="CQ122" s="784" t="str">
        <f t="shared" si="177"/>
        <v/>
      </c>
      <c r="CR122" s="784" t="str">
        <f t="shared" si="178"/>
        <v/>
      </c>
      <c r="CS122" s="97" t="str">
        <f t="shared" si="179"/>
        <v/>
      </c>
      <c r="CT122" s="97" t="str">
        <f t="shared" si="180"/>
        <v/>
      </c>
      <c r="CU122" s="97" t="str">
        <f t="shared" si="181"/>
        <v/>
      </c>
      <c r="CV122" s="97" t="str">
        <f t="shared" si="182"/>
        <v/>
      </c>
      <c r="CW122" s="97" t="str">
        <f t="shared" si="183"/>
        <v/>
      </c>
      <c r="CX122" s="98" t="str">
        <f t="shared" si="184"/>
        <v/>
      </c>
      <c r="CY122" s="392"/>
    </row>
    <row r="123" spans="1:103" x14ac:dyDescent="0.25">
      <c r="A123" s="81" t="s">
        <v>242</v>
      </c>
      <c r="B123" s="82" t="s">
        <v>249</v>
      </c>
      <c r="C123" s="83" t="s">
        <v>250</v>
      </c>
      <c r="D123" s="84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654">
        <f>'2022-23 Input'!E123</f>
        <v>0</v>
      </c>
      <c r="N123" s="1065">
        <v>0</v>
      </c>
      <c r="O123" s="560">
        <f t="shared" si="142"/>
        <v>0</v>
      </c>
      <c r="P123" s="561">
        <f t="shared" si="143"/>
        <v>0</v>
      </c>
      <c r="Q123" s="561">
        <f t="shared" si="144"/>
        <v>0</v>
      </c>
      <c r="R123" s="561">
        <f t="shared" si="145"/>
        <v>0</v>
      </c>
      <c r="S123" s="561">
        <f t="shared" si="146"/>
        <v>0</v>
      </c>
      <c r="T123" s="561">
        <f t="shared" si="147"/>
        <v>0</v>
      </c>
      <c r="U123" s="561">
        <f t="shared" si="148"/>
        <v>0</v>
      </c>
      <c r="V123" s="561">
        <f t="shared" si="149"/>
        <v>0</v>
      </c>
      <c r="W123" s="675">
        <f t="shared" si="150"/>
        <v>0</v>
      </c>
      <c r="X123" s="675">
        <f t="shared" si="151"/>
        <v>0</v>
      </c>
      <c r="Y123" s="675">
        <f t="shared" si="152"/>
        <v>0</v>
      </c>
      <c r="Z123" s="86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87">
        <v>0</v>
      </c>
      <c r="AI123" s="1094">
        <f>'2022-23 Input'!L123</f>
        <v>0</v>
      </c>
      <c r="AJ123" s="665">
        <v>0</v>
      </c>
      <c r="AK123" s="88">
        <f t="shared" si="153"/>
        <v>0</v>
      </c>
      <c r="AL123" s="89">
        <f t="shared" si="154"/>
        <v>0</v>
      </c>
      <c r="AM123" s="90">
        <f t="shared" si="155"/>
        <v>0</v>
      </c>
      <c r="AN123" s="91" t="str">
        <f t="shared" si="156"/>
        <v/>
      </c>
      <c r="AO123" s="92" t="str">
        <f t="shared" si="157"/>
        <v/>
      </c>
      <c r="AP123" s="92" t="str">
        <f t="shared" si="158"/>
        <v/>
      </c>
      <c r="AQ123" s="92" t="str">
        <f t="shared" si="159"/>
        <v/>
      </c>
      <c r="AR123" s="92" t="str">
        <f t="shared" si="160"/>
        <v/>
      </c>
      <c r="AS123" s="92" t="str">
        <f t="shared" si="161"/>
        <v/>
      </c>
      <c r="AT123" s="92" t="str">
        <f t="shared" si="162"/>
        <v/>
      </c>
      <c r="AU123" s="92" t="str">
        <f t="shared" si="163"/>
        <v/>
      </c>
      <c r="AV123" s="92" t="str">
        <f t="shared" si="187"/>
        <v/>
      </c>
      <c r="AW123" s="92" t="str">
        <f t="shared" si="187"/>
        <v/>
      </c>
      <c r="AX123" s="92" t="str">
        <f t="shared" si="187"/>
        <v/>
      </c>
      <c r="AY123" s="93" t="str">
        <f t="shared" si="165"/>
        <v/>
      </c>
      <c r="AZ123" s="94" t="str">
        <f t="shared" si="166"/>
        <v/>
      </c>
      <c r="BA123" s="95" t="str">
        <f t="shared" si="167"/>
        <v/>
      </c>
      <c r="BB123" s="248" t="s">
        <v>422</v>
      </c>
      <c r="BC123" s="229" t="s">
        <v>433</v>
      </c>
      <c r="BD123" s="249">
        <v>0</v>
      </c>
      <c r="BE123" s="267">
        <f t="shared" si="168"/>
        <v>0</v>
      </c>
      <c r="BF123" s="268">
        <f t="shared" si="186"/>
        <v>0</v>
      </c>
      <c r="BG123" s="268">
        <f t="shared" si="186"/>
        <v>0</v>
      </c>
      <c r="BH123" s="268">
        <f t="shared" si="186"/>
        <v>1</v>
      </c>
      <c r="BI123" s="268">
        <f t="shared" si="186"/>
        <v>2</v>
      </c>
      <c r="BJ123" s="268">
        <f t="shared" si="186"/>
        <v>3</v>
      </c>
      <c r="BK123" s="268">
        <f t="shared" si="186"/>
        <v>4</v>
      </c>
      <c r="BL123" s="269">
        <f t="shared" si="186"/>
        <v>5</v>
      </c>
      <c r="BM123" s="256">
        <f>IF($BC123=Lookup!$A$2,$BD123*ROUNDUP(BE123/10,0)+1,
IF($BC123=Lookup!$A$3,($BD123+1)^BD123,
IF($BC123=Lookup!$A$4,BE123*$BD123+1,"Error")))</f>
        <v>1</v>
      </c>
      <c r="BN123" s="229">
        <f>IF($BC123=Lookup!$A$2,$BD123*ROUNDUP(BF123/10,0)+1,
IF($BC123=Lookup!$A$3,($BD123+1)^BE123,
IF($BC123=Lookup!$A$4,BF123*$BD123+1,"Error")))</f>
        <v>1</v>
      </c>
      <c r="BO123" s="229">
        <f>IF($BC123=Lookup!$A$2,$BD123*ROUNDUP(BG123/10,0)+1,
IF($BC123=Lookup!$A$3,($BD123+1)^BF123,
IF($BC123=Lookup!$A$4,BG123*$BD123+1,"Error")))</f>
        <v>1</v>
      </c>
      <c r="BP123" s="229">
        <f>IF($BC123=Lookup!$A$2,$BD123*ROUNDUP(BH123/10,0)+1,
IF($BC123=Lookup!$A$3,($BD123+1)^BG123,
IF($BC123=Lookup!$A$4,BH123*$BD123+1,"Error")))</f>
        <v>1</v>
      </c>
      <c r="BQ123" s="229">
        <f>IF($BC123=Lookup!$A$2,$BD123*ROUNDUP(BI123/10,0)+1,
IF($BC123=Lookup!$A$3,($BD123+1)^BH123,
IF($BC123=Lookup!$A$4,BI123*$BD123+1,"Error")))</f>
        <v>1</v>
      </c>
      <c r="BR123" s="229">
        <f>IF($BC123=Lookup!$A$2,$BD123*ROUNDUP(BJ123/10,0)+1,
IF($BC123=Lookup!$A$3,($BD123+1)^BI123,
IF($BC123=Lookup!$A$4,BJ123*$BD123+1,"Error")))</f>
        <v>1</v>
      </c>
      <c r="BS123" s="229">
        <f>IF($BC123=Lookup!$A$2,$BD123*ROUNDUP(BK123/10,0)+1,
IF($BC123=Lookup!$A$3,($BD123+1)^BJ123,
IF($BC123=Lookup!$A$4,BK123*$BD123+1,"Error")))</f>
        <v>1</v>
      </c>
      <c r="BT123" s="249">
        <f>IF($BC123=Lookup!$A$2,$BD123*ROUNDUP(BL123/10,0)+1,
IF($BC123=Lookup!$A$3,($BD123+1)^BK123,
IF($BC123=Lookup!$A$4,BL123*$BD123+1,"Error")))</f>
        <v>1</v>
      </c>
      <c r="BU123" s="320"/>
      <c r="BV123" s="321"/>
      <c r="BW123" s="321"/>
      <c r="BX123" s="321"/>
      <c r="BY123" s="321"/>
      <c r="BZ123" s="321"/>
      <c r="CA123" s="321"/>
      <c r="CB123" s="277"/>
      <c r="CC123" s="382" t="s">
        <v>292</v>
      </c>
      <c r="CD123" s="383">
        <f>HLOOKUP($CC123,$AK$6:$AM$132,ROWS(CD$6:CD123),0)</f>
        <v>0</v>
      </c>
      <c r="CE123" s="234">
        <f t="shared" si="169"/>
        <v>0</v>
      </c>
      <c r="CF123" s="96">
        <f t="shared" si="170"/>
        <v>0</v>
      </c>
      <c r="CG123" s="96">
        <f t="shared" si="171"/>
        <v>0</v>
      </c>
      <c r="CH123" s="96">
        <f t="shared" si="172"/>
        <v>0</v>
      </c>
      <c r="CI123" s="96">
        <f t="shared" si="173"/>
        <v>0</v>
      </c>
      <c r="CJ123" s="96">
        <f t="shared" si="174"/>
        <v>0</v>
      </c>
      <c r="CK123" s="96">
        <f t="shared" si="175"/>
        <v>0</v>
      </c>
      <c r="CL123" s="286">
        <f t="shared" si="176"/>
        <v>0</v>
      </c>
      <c r="CM123" s="305" t="s">
        <v>293</v>
      </c>
      <c r="CN123" s="315">
        <v>0.05</v>
      </c>
      <c r="CO123" s="306"/>
      <c r="CP123" s="307" t="str">
        <f>IF($CO123&lt;&gt;"",$CO123,HLOOKUP($CM123,$AY$6:$BA$132,ROWS(CP$6:CP123),0))</f>
        <v/>
      </c>
      <c r="CQ123" s="784" t="str">
        <f t="shared" si="177"/>
        <v/>
      </c>
      <c r="CR123" s="784" t="str">
        <f t="shared" si="178"/>
        <v/>
      </c>
      <c r="CS123" s="97" t="str">
        <f t="shared" si="179"/>
        <v/>
      </c>
      <c r="CT123" s="97" t="str">
        <f t="shared" si="180"/>
        <v/>
      </c>
      <c r="CU123" s="97" t="str">
        <f t="shared" si="181"/>
        <v/>
      </c>
      <c r="CV123" s="97" t="str">
        <f t="shared" si="182"/>
        <v/>
      </c>
      <c r="CW123" s="97" t="str">
        <f t="shared" si="183"/>
        <v/>
      </c>
      <c r="CX123" s="98" t="str">
        <f t="shared" si="184"/>
        <v/>
      </c>
      <c r="CY123" s="392"/>
    </row>
    <row r="124" spans="1:103" x14ac:dyDescent="0.25">
      <c r="A124" s="81" t="s">
        <v>242</v>
      </c>
      <c r="B124" s="82" t="s">
        <v>251</v>
      </c>
      <c r="C124" s="83" t="s">
        <v>252</v>
      </c>
      <c r="D124" s="84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654">
        <f>'2022-23 Input'!E124</f>
        <v>0</v>
      </c>
      <c r="N124" s="1065">
        <v>0</v>
      </c>
      <c r="O124" s="560">
        <f t="shared" si="142"/>
        <v>0</v>
      </c>
      <c r="P124" s="561">
        <f t="shared" si="143"/>
        <v>0</v>
      </c>
      <c r="Q124" s="561">
        <f t="shared" si="144"/>
        <v>0</v>
      </c>
      <c r="R124" s="561">
        <f t="shared" si="145"/>
        <v>0</v>
      </c>
      <c r="S124" s="561">
        <f t="shared" si="146"/>
        <v>0</v>
      </c>
      <c r="T124" s="561">
        <f t="shared" si="147"/>
        <v>0</v>
      </c>
      <c r="U124" s="561">
        <f t="shared" si="148"/>
        <v>0</v>
      </c>
      <c r="V124" s="561">
        <f t="shared" si="149"/>
        <v>0</v>
      </c>
      <c r="W124" s="675">
        <f t="shared" si="150"/>
        <v>0</v>
      </c>
      <c r="X124" s="675">
        <f t="shared" si="151"/>
        <v>0</v>
      </c>
      <c r="Y124" s="675">
        <f t="shared" si="152"/>
        <v>0</v>
      </c>
      <c r="Z124" s="86">
        <v>0</v>
      </c>
      <c r="AA124" s="87">
        <v>0</v>
      </c>
      <c r="AB124" s="87">
        <v>0</v>
      </c>
      <c r="AC124" s="87">
        <v>0</v>
      </c>
      <c r="AD124" s="87">
        <v>0</v>
      </c>
      <c r="AE124" s="87">
        <v>0</v>
      </c>
      <c r="AF124" s="87">
        <v>0</v>
      </c>
      <c r="AG124" s="87">
        <v>0</v>
      </c>
      <c r="AH124" s="87">
        <v>0</v>
      </c>
      <c r="AI124" s="1094">
        <f>'2022-23 Input'!L124</f>
        <v>0</v>
      </c>
      <c r="AJ124" s="665">
        <v>0</v>
      </c>
      <c r="AK124" s="88">
        <f t="shared" si="153"/>
        <v>0</v>
      </c>
      <c r="AL124" s="89">
        <f t="shared" si="154"/>
        <v>0</v>
      </c>
      <c r="AM124" s="90">
        <f t="shared" si="155"/>
        <v>0</v>
      </c>
      <c r="AN124" s="91" t="str">
        <f t="shared" si="156"/>
        <v/>
      </c>
      <c r="AO124" s="92" t="str">
        <f t="shared" si="157"/>
        <v/>
      </c>
      <c r="AP124" s="92" t="str">
        <f t="shared" si="158"/>
        <v/>
      </c>
      <c r="AQ124" s="92" t="str">
        <f t="shared" si="159"/>
        <v/>
      </c>
      <c r="AR124" s="92" t="str">
        <f t="shared" si="160"/>
        <v/>
      </c>
      <c r="AS124" s="92" t="str">
        <f t="shared" si="161"/>
        <v/>
      </c>
      <c r="AT124" s="92" t="str">
        <f t="shared" si="162"/>
        <v/>
      </c>
      <c r="AU124" s="92" t="str">
        <f t="shared" si="163"/>
        <v/>
      </c>
      <c r="AV124" s="92" t="str">
        <f t="shared" si="187"/>
        <v/>
      </c>
      <c r="AW124" s="92" t="str">
        <f t="shared" si="187"/>
        <v/>
      </c>
      <c r="AX124" s="92" t="str">
        <f t="shared" si="187"/>
        <v/>
      </c>
      <c r="AY124" s="93" t="str">
        <f t="shared" si="165"/>
        <v/>
      </c>
      <c r="AZ124" s="94" t="str">
        <f t="shared" si="166"/>
        <v/>
      </c>
      <c r="BA124" s="95" t="str">
        <f t="shared" si="167"/>
        <v/>
      </c>
      <c r="BB124" s="248" t="s">
        <v>422</v>
      </c>
      <c r="BC124" s="229" t="s">
        <v>433</v>
      </c>
      <c r="BD124" s="249">
        <v>0</v>
      </c>
      <c r="BE124" s="267">
        <f t="shared" si="168"/>
        <v>0</v>
      </c>
      <c r="BF124" s="268">
        <f t="shared" si="186"/>
        <v>0</v>
      </c>
      <c r="BG124" s="268">
        <f t="shared" si="186"/>
        <v>0</v>
      </c>
      <c r="BH124" s="268">
        <f t="shared" si="186"/>
        <v>1</v>
      </c>
      <c r="BI124" s="268">
        <f t="shared" si="186"/>
        <v>2</v>
      </c>
      <c r="BJ124" s="268">
        <f t="shared" si="186"/>
        <v>3</v>
      </c>
      <c r="BK124" s="268">
        <f t="shared" si="186"/>
        <v>4</v>
      </c>
      <c r="BL124" s="269">
        <f t="shared" si="186"/>
        <v>5</v>
      </c>
      <c r="BM124" s="256">
        <f>IF($BC124=Lookup!$A$2,$BD124*ROUNDUP(BE124/10,0)+1,
IF($BC124=Lookup!$A$3,($BD124+1)^BD124,
IF($BC124=Lookup!$A$4,BE124*$BD124+1,"Error")))</f>
        <v>1</v>
      </c>
      <c r="BN124" s="229">
        <f>IF($BC124=Lookup!$A$2,$BD124*ROUNDUP(BF124/10,0)+1,
IF($BC124=Lookup!$A$3,($BD124+1)^BE124,
IF($BC124=Lookup!$A$4,BF124*$BD124+1,"Error")))</f>
        <v>1</v>
      </c>
      <c r="BO124" s="229">
        <f>IF($BC124=Lookup!$A$2,$BD124*ROUNDUP(BG124/10,0)+1,
IF($BC124=Lookup!$A$3,($BD124+1)^BF124,
IF($BC124=Lookup!$A$4,BG124*$BD124+1,"Error")))</f>
        <v>1</v>
      </c>
      <c r="BP124" s="229">
        <f>IF($BC124=Lookup!$A$2,$BD124*ROUNDUP(BH124/10,0)+1,
IF($BC124=Lookup!$A$3,($BD124+1)^BG124,
IF($BC124=Lookup!$A$4,BH124*$BD124+1,"Error")))</f>
        <v>1</v>
      </c>
      <c r="BQ124" s="229">
        <f>IF($BC124=Lookup!$A$2,$BD124*ROUNDUP(BI124/10,0)+1,
IF($BC124=Lookup!$A$3,($BD124+1)^BH124,
IF($BC124=Lookup!$A$4,BI124*$BD124+1,"Error")))</f>
        <v>1</v>
      </c>
      <c r="BR124" s="229">
        <f>IF($BC124=Lookup!$A$2,$BD124*ROUNDUP(BJ124/10,0)+1,
IF($BC124=Lookup!$A$3,($BD124+1)^BI124,
IF($BC124=Lookup!$A$4,BJ124*$BD124+1,"Error")))</f>
        <v>1</v>
      </c>
      <c r="BS124" s="229">
        <f>IF($BC124=Lookup!$A$2,$BD124*ROUNDUP(BK124/10,0)+1,
IF($BC124=Lookup!$A$3,($BD124+1)^BJ124,
IF($BC124=Lookup!$A$4,BK124*$BD124+1,"Error")))</f>
        <v>1</v>
      </c>
      <c r="BT124" s="249">
        <f>IF($BC124=Lookup!$A$2,$BD124*ROUNDUP(BL124/10,0)+1,
IF($BC124=Lookup!$A$3,($BD124+1)^BK124,
IF($BC124=Lookup!$A$4,BL124*$BD124+1,"Error")))</f>
        <v>1</v>
      </c>
      <c r="BU124" s="320"/>
      <c r="BV124" s="321"/>
      <c r="BW124" s="321"/>
      <c r="BX124" s="321"/>
      <c r="BY124" s="321"/>
      <c r="BZ124" s="321"/>
      <c r="CA124" s="321"/>
      <c r="CB124" s="277"/>
      <c r="CC124" s="382" t="s">
        <v>292</v>
      </c>
      <c r="CD124" s="383">
        <f>HLOOKUP($CC124,$AK$6:$AM$132,ROWS(CD$6:CD124),0)</f>
        <v>0</v>
      </c>
      <c r="CE124" s="234">
        <f t="shared" si="169"/>
        <v>0</v>
      </c>
      <c r="CF124" s="96">
        <f t="shared" si="170"/>
        <v>0</v>
      </c>
      <c r="CG124" s="96">
        <f t="shared" si="171"/>
        <v>0</v>
      </c>
      <c r="CH124" s="96">
        <f t="shared" si="172"/>
        <v>0</v>
      </c>
      <c r="CI124" s="96">
        <f t="shared" si="173"/>
        <v>0</v>
      </c>
      <c r="CJ124" s="96">
        <f t="shared" si="174"/>
        <v>0</v>
      </c>
      <c r="CK124" s="96">
        <f t="shared" si="175"/>
        <v>0</v>
      </c>
      <c r="CL124" s="286">
        <f t="shared" si="176"/>
        <v>0</v>
      </c>
      <c r="CM124" s="305" t="s">
        <v>293</v>
      </c>
      <c r="CN124" s="315">
        <v>0.05</v>
      </c>
      <c r="CO124" s="306"/>
      <c r="CP124" s="307" t="str">
        <f>IF($CO124&lt;&gt;"",$CO124,HLOOKUP($CM124,$AY$6:$BA$132,ROWS(CP$6:CP124),0))</f>
        <v/>
      </c>
      <c r="CQ124" s="784" t="str">
        <f t="shared" si="177"/>
        <v/>
      </c>
      <c r="CR124" s="784" t="str">
        <f t="shared" si="178"/>
        <v/>
      </c>
      <c r="CS124" s="97" t="str">
        <f t="shared" si="179"/>
        <v/>
      </c>
      <c r="CT124" s="97" t="str">
        <f t="shared" si="180"/>
        <v/>
      </c>
      <c r="CU124" s="97" t="str">
        <f t="shared" si="181"/>
        <v/>
      </c>
      <c r="CV124" s="97" t="str">
        <f t="shared" si="182"/>
        <v/>
      </c>
      <c r="CW124" s="97" t="str">
        <f t="shared" si="183"/>
        <v/>
      </c>
      <c r="CX124" s="98" t="str">
        <f t="shared" si="184"/>
        <v/>
      </c>
      <c r="CY124" s="392"/>
    </row>
    <row r="125" spans="1:103" x14ac:dyDescent="0.25">
      <c r="A125" s="81" t="s">
        <v>242</v>
      </c>
      <c r="B125" s="82" t="s">
        <v>253</v>
      </c>
      <c r="C125" s="83" t="s">
        <v>254</v>
      </c>
      <c r="D125" s="84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654">
        <f>'2022-23 Input'!E125</f>
        <v>0</v>
      </c>
      <c r="N125" s="1065">
        <v>0</v>
      </c>
      <c r="O125" s="560">
        <f t="shared" si="142"/>
        <v>0</v>
      </c>
      <c r="P125" s="561">
        <f t="shared" si="143"/>
        <v>0</v>
      </c>
      <c r="Q125" s="561">
        <f t="shared" si="144"/>
        <v>0</v>
      </c>
      <c r="R125" s="561">
        <f t="shared" si="145"/>
        <v>0</v>
      </c>
      <c r="S125" s="561">
        <f t="shared" si="146"/>
        <v>0</v>
      </c>
      <c r="T125" s="561">
        <f t="shared" si="147"/>
        <v>0</v>
      </c>
      <c r="U125" s="561">
        <f t="shared" si="148"/>
        <v>0</v>
      </c>
      <c r="V125" s="561">
        <f t="shared" si="149"/>
        <v>0</v>
      </c>
      <c r="W125" s="675">
        <f t="shared" si="150"/>
        <v>0</v>
      </c>
      <c r="X125" s="675">
        <f t="shared" si="151"/>
        <v>0</v>
      </c>
      <c r="Y125" s="675">
        <f t="shared" si="152"/>
        <v>0</v>
      </c>
      <c r="Z125" s="86">
        <v>0</v>
      </c>
      <c r="AA125" s="87">
        <v>0</v>
      </c>
      <c r="AB125" s="87">
        <v>0</v>
      </c>
      <c r="AC125" s="87">
        <v>0</v>
      </c>
      <c r="AD125" s="87">
        <v>0</v>
      </c>
      <c r="AE125" s="87">
        <v>0</v>
      </c>
      <c r="AF125" s="87">
        <v>0</v>
      </c>
      <c r="AG125" s="87">
        <v>0</v>
      </c>
      <c r="AH125" s="87">
        <v>0</v>
      </c>
      <c r="AI125" s="1094">
        <f>'2022-23 Input'!L125</f>
        <v>0</v>
      </c>
      <c r="AJ125" s="665">
        <v>0</v>
      </c>
      <c r="AK125" s="88">
        <f t="shared" si="153"/>
        <v>0</v>
      </c>
      <c r="AL125" s="89">
        <f t="shared" si="154"/>
        <v>0</v>
      </c>
      <c r="AM125" s="90">
        <f t="shared" si="155"/>
        <v>0</v>
      </c>
      <c r="AN125" s="91" t="str">
        <f t="shared" si="156"/>
        <v/>
      </c>
      <c r="AO125" s="92" t="str">
        <f t="shared" si="157"/>
        <v/>
      </c>
      <c r="AP125" s="92" t="str">
        <f t="shared" si="158"/>
        <v/>
      </c>
      <c r="AQ125" s="92" t="str">
        <f t="shared" si="159"/>
        <v/>
      </c>
      <c r="AR125" s="92" t="str">
        <f t="shared" si="160"/>
        <v/>
      </c>
      <c r="AS125" s="92" t="str">
        <f t="shared" si="161"/>
        <v/>
      </c>
      <c r="AT125" s="92" t="str">
        <f t="shared" si="162"/>
        <v/>
      </c>
      <c r="AU125" s="92" t="str">
        <f t="shared" si="163"/>
        <v/>
      </c>
      <c r="AV125" s="92" t="str">
        <f t="shared" si="187"/>
        <v/>
      </c>
      <c r="AW125" s="92" t="str">
        <f t="shared" si="187"/>
        <v/>
      </c>
      <c r="AX125" s="92" t="str">
        <f t="shared" si="187"/>
        <v/>
      </c>
      <c r="AY125" s="93" t="str">
        <f t="shared" si="165"/>
        <v/>
      </c>
      <c r="AZ125" s="94" t="str">
        <f t="shared" si="166"/>
        <v/>
      </c>
      <c r="BA125" s="95" t="str">
        <f t="shared" si="167"/>
        <v/>
      </c>
      <c r="BB125" s="248" t="s">
        <v>422</v>
      </c>
      <c r="BC125" s="229" t="s">
        <v>433</v>
      </c>
      <c r="BD125" s="249">
        <v>0</v>
      </c>
      <c r="BE125" s="267">
        <f t="shared" si="168"/>
        <v>0</v>
      </c>
      <c r="BF125" s="268">
        <f t="shared" si="186"/>
        <v>0</v>
      </c>
      <c r="BG125" s="268">
        <f t="shared" si="186"/>
        <v>0</v>
      </c>
      <c r="BH125" s="268">
        <f t="shared" si="186"/>
        <v>1</v>
      </c>
      <c r="BI125" s="268">
        <f t="shared" si="186"/>
        <v>2</v>
      </c>
      <c r="BJ125" s="268">
        <f t="shared" si="186"/>
        <v>3</v>
      </c>
      <c r="BK125" s="268">
        <f t="shared" si="186"/>
        <v>4</v>
      </c>
      <c r="BL125" s="269">
        <f t="shared" si="186"/>
        <v>5</v>
      </c>
      <c r="BM125" s="256">
        <f>IF($BC125=Lookup!$A$2,$BD125*ROUNDUP(BE125/10,0)+1,
IF($BC125=Lookup!$A$3,($BD125+1)^BD125,
IF($BC125=Lookup!$A$4,BE125*$BD125+1,"Error")))</f>
        <v>1</v>
      </c>
      <c r="BN125" s="229">
        <f>IF($BC125=Lookup!$A$2,$BD125*ROUNDUP(BF125/10,0)+1,
IF($BC125=Lookup!$A$3,($BD125+1)^BE125,
IF($BC125=Lookup!$A$4,BF125*$BD125+1,"Error")))</f>
        <v>1</v>
      </c>
      <c r="BO125" s="229">
        <f>IF($BC125=Lookup!$A$2,$BD125*ROUNDUP(BG125/10,0)+1,
IF($BC125=Lookup!$A$3,($BD125+1)^BF125,
IF($BC125=Lookup!$A$4,BG125*$BD125+1,"Error")))</f>
        <v>1</v>
      </c>
      <c r="BP125" s="229">
        <f>IF($BC125=Lookup!$A$2,$BD125*ROUNDUP(BH125/10,0)+1,
IF($BC125=Lookup!$A$3,($BD125+1)^BG125,
IF($BC125=Lookup!$A$4,BH125*$BD125+1,"Error")))</f>
        <v>1</v>
      </c>
      <c r="BQ125" s="229">
        <f>IF($BC125=Lookup!$A$2,$BD125*ROUNDUP(BI125/10,0)+1,
IF($BC125=Lookup!$A$3,($BD125+1)^BH125,
IF($BC125=Lookup!$A$4,BI125*$BD125+1,"Error")))</f>
        <v>1</v>
      </c>
      <c r="BR125" s="229">
        <f>IF($BC125=Lookup!$A$2,$BD125*ROUNDUP(BJ125/10,0)+1,
IF($BC125=Lookup!$A$3,($BD125+1)^BI125,
IF($BC125=Lookup!$A$4,BJ125*$BD125+1,"Error")))</f>
        <v>1</v>
      </c>
      <c r="BS125" s="229">
        <f>IF($BC125=Lookup!$A$2,$BD125*ROUNDUP(BK125/10,0)+1,
IF($BC125=Lookup!$A$3,($BD125+1)^BJ125,
IF($BC125=Lookup!$A$4,BK125*$BD125+1,"Error")))</f>
        <v>1</v>
      </c>
      <c r="BT125" s="249">
        <f>IF($BC125=Lookup!$A$2,$BD125*ROUNDUP(BL125/10,0)+1,
IF($BC125=Lookup!$A$3,($BD125+1)^BK125,
IF($BC125=Lookup!$A$4,BL125*$BD125+1,"Error")))</f>
        <v>1</v>
      </c>
      <c r="BU125" s="320"/>
      <c r="BV125" s="321"/>
      <c r="BW125" s="321"/>
      <c r="BX125" s="321"/>
      <c r="BY125" s="321"/>
      <c r="BZ125" s="321"/>
      <c r="CA125" s="321"/>
      <c r="CB125" s="277"/>
      <c r="CC125" s="382" t="s">
        <v>292</v>
      </c>
      <c r="CD125" s="383">
        <f>HLOOKUP($CC125,$AK$6:$AM$132,ROWS(CD$6:CD125),0)</f>
        <v>0</v>
      </c>
      <c r="CE125" s="234">
        <f t="shared" si="169"/>
        <v>0</v>
      </c>
      <c r="CF125" s="96">
        <f t="shared" si="170"/>
        <v>0</v>
      </c>
      <c r="CG125" s="96">
        <f t="shared" si="171"/>
        <v>0</v>
      </c>
      <c r="CH125" s="96">
        <f t="shared" si="172"/>
        <v>0</v>
      </c>
      <c r="CI125" s="96">
        <f t="shared" si="173"/>
        <v>0</v>
      </c>
      <c r="CJ125" s="96">
        <f t="shared" si="174"/>
        <v>0</v>
      </c>
      <c r="CK125" s="96">
        <f t="shared" si="175"/>
        <v>0</v>
      </c>
      <c r="CL125" s="286">
        <f t="shared" si="176"/>
        <v>0</v>
      </c>
      <c r="CM125" s="305" t="s">
        <v>293</v>
      </c>
      <c r="CN125" s="315">
        <v>0.05</v>
      </c>
      <c r="CO125" s="306"/>
      <c r="CP125" s="307" t="str">
        <f>IF($CO125&lt;&gt;"",$CO125,HLOOKUP($CM125,$AY$6:$BA$132,ROWS(CP$6:CP125),0))</f>
        <v/>
      </c>
      <c r="CQ125" s="784" t="str">
        <f t="shared" si="177"/>
        <v/>
      </c>
      <c r="CR125" s="784" t="str">
        <f t="shared" si="178"/>
        <v/>
      </c>
      <c r="CS125" s="97" t="str">
        <f t="shared" si="179"/>
        <v/>
      </c>
      <c r="CT125" s="97" t="str">
        <f t="shared" si="180"/>
        <v/>
      </c>
      <c r="CU125" s="97" t="str">
        <f t="shared" si="181"/>
        <v/>
      </c>
      <c r="CV125" s="97" t="str">
        <f t="shared" si="182"/>
        <v/>
      </c>
      <c r="CW125" s="97" t="str">
        <f t="shared" si="183"/>
        <v/>
      </c>
      <c r="CX125" s="98" t="str">
        <f t="shared" si="184"/>
        <v/>
      </c>
      <c r="CY125" s="392"/>
    </row>
    <row r="126" spans="1:103" ht="15.75" thickBot="1" x14ac:dyDescent="0.3">
      <c r="A126" s="81" t="s">
        <v>242</v>
      </c>
      <c r="B126" s="82" t="s">
        <v>399</v>
      </c>
      <c r="C126" s="102" t="s">
        <v>400</v>
      </c>
      <c r="D126" s="103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655">
        <f>'2022-23 Input'!E126</f>
        <v>0</v>
      </c>
      <c r="N126" s="1066">
        <v>0</v>
      </c>
      <c r="O126" s="563">
        <f t="shared" si="142"/>
        <v>0</v>
      </c>
      <c r="P126" s="564">
        <f t="shared" si="143"/>
        <v>0</v>
      </c>
      <c r="Q126" s="564">
        <f t="shared" si="144"/>
        <v>0</v>
      </c>
      <c r="R126" s="564">
        <f t="shared" si="145"/>
        <v>0</v>
      </c>
      <c r="S126" s="564">
        <f t="shared" si="146"/>
        <v>0</v>
      </c>
      <c r="T126" s="564">
        <f t="shared" si="147"/>
        <v>0</v>
      </c>
      <c r="U126" s="564">
        <f t="shared" si="148"/>
        <v>0</v>
      </c>
      <c r="V126" s="564">
        <f t="shared" si="149"/>
        <v>0</v>
      </c>
      <c r="W126" s="676">
        <f t="shared" si="150"/>
        <v>0</v>
      </c>
      <c r="X126" s="676">
        <f t="shared" si="151"/>
        <v>0</v>
      </c>
      <c r="Y126" s="676">
        <f t="shared" si="152"/>
        <v>0</v>
      </c>
      <c r="Z126" s="105">
        <v>0</v>
      </c>
      <c r="AA126" s="106">
        <v>0</v>
      </c>
      <c r="AB126" s="106">
        <v>0</v>
      </c>
      <c r="AC126" s="106">
        <v>0</v>
      </c>
      <c r="AD126" s="106">
        <v>0</v>
      </c>
      <c r="AE126" s="106">
        <v>0</v>
      </c>
      <c r="AF126" s="106">
        <v>0</v>
      </c>
      <c r="AG126" s="106">
        <v>0</v>
      </c>
      <c r="AH126" s="106">
        <v>0</v>
      </c>
      <c r="AI126" s="1095">
        <f>'2022-23 Input'!L126</f>
        <v>0</v>
      </c>
      <c r="AJ126" s="666">
        <v>0</v>
      </c>
      <c r="AK126" s="107">
        <f t="shared" si="153"/>
        <v>0</v>
      </c>
      <c r="AL126" s="108">
        <f t="shared" si="154"/>
        <v>0</v>
      </c>
      <c r="AM126" s="109">
        <f t="shared" si="155"/>
        <v>0</v>
      </c>
      <c r="AN126" s="110" t="str">
        <f t="shared" si="156"/>
        <v/>
      </c>
      <c r="AO126" s="111" t="str">
        <f t="shared" si="157"/>
        <v/>
      </c>
      <c r="AP126" s="111" t="str">
        <f t="shared" si="158"/>
        <v/>
      </c>
      <c r="AQ126" s="111" t="str">
        <f t="shared" si="159"/>
        <v/>
      </c>
      <c r="AR126" s="111" t="str">
        <f t="shared" si="160"/>
        <v/>
      </c>
      <c r="AS126" s="111" t="str">
        <f t="shared" si="161"/>
        <v/>
      </c>
      <c r="AT126" s="111" t="str">
        <f t="shared" si="162"/>
        <v/>
      </c>
      <c r="AU126" s="111" t="str">
        <f t="shared" si="163"/>
        <v/>
      </c>
      <c r="AV126" s="111" t="str">
        <f t="shared" si="187"/>
        <v/>
      </c>
      <c r="AW126" s="111" t="str">
        <f t="shared" si="187"/>
        <v/>
      </c>
      <c r="AX126" s="111" t="str">
        <f t="shared" si="187"/>
        <v/>
      </c>
      <c r="AY126" s="112" t="str">
        <f t="shared" si="165"/>
        <v/>
      </c>
      <c r="AZ126" s="113" t="str">
        <f t="shared" si="166"/>
        <v/>
      </c>
      <c r="BA126" s="114" t="str">
        <f t="shared" si="167"/>
        <v/>
      </c>
      <c r="BB126" s="250" t="s">
        <v>422</v>
      </c>
      <c r="BC126" s="230" t="s">
        <v>433</v>
      </c>
      <c r="BD126" s="251">
        <v>0</v>
      </c>
      <c r="BE126" s="270">
        <f t="shared" si="168"/>
        <v>0</v>
      </c>
      <c r="BF126" s="271">
        <f t="shared" si="186"/>
        <v>0</v>
      </c>
      <c r="BG126" s="271">
        <f t="shared" si="186"/>
        <v>0</v>
      </c>
      <c r="BH126" s="271">
        <f t="shared" si="186"/>
        <v>1</v>
      </c>
      <c r="BI126" s="271">
        <f t="shared" si="186"/>
        <v>2</v>
      </c>
      <c r="BJ126" s="271">
        <f t="shared" si="186"/>
        <v>3</v>
      </c>
      <c r="BK126" s="271">
        <f t="shared" si="186"/>
        <v>4</v>
      </c>
      <c r="BL126" s="272">
        <f t="shared" si="186"/>
        <v>5</v>
      </c>
      <c r="BM126" s="257">
        <f>IF($BC126=Lookup!$A$2,$BD126*ROUNDUP(BE126/10,0)+1,
IF($BC126=Lookup!$A$3,($BD126+1)^BD126,
IF($BC126=Lookup!$A$4,BE126*$BD126+1,"Error")))</f>
        <v>1</v>
      </c>
      <c r="BN126" s="230">
        <f>IF($BC126=Lookup!$A$2,$BD126*ROUNDUP(BF126/10,0)+1,
IF($BC126=Lookup!$A$3,($BD126+1)^BE126,
IF($BC126=Lookup!$A$4,BF126*$BD126+1,"Error")))</f>
        <v>1</v>
      </c>
      <c r="BO126" s="230">
        <f>IF($BC126=Lookup!$A$2,$BD126*ROUNDUP(BG126/10,0)+1,
IF($BC126=Lookup!$A$3,($BD126+1)^BF126,
IF($BC126=Lookup!$A$4,BG126*$BD126+1,"Error")))</f>
        <v>1</v>
      </c>
      <c r="BP126" s="230">
        <f>IF($BC126=Lookup!$A$2,$BD126*ROUNDUP(BH126/10,0)+1,
IF($BC126=Lookup!$A$3,($BD126+1)^BG126,
IF($BC126=Lookup!$A$4,BH126*$BD126+1,"Error")))</f>
        <v>1</v>
      </c>
      <c r="BQ126" s="230">
        <f>IF($BC126=Lookup!$A$2,$BD126*ROUNDUP(BI126/10,0)+1,
IF($BC126=Lookup!$A$3,($BD126+1)^BH126,
IF($BC126=Lookup!$A$4,BI126*$BD126+1,"Error")))</f>
        <v>1</v>
      </c>
      <c r="BR126" s="230">
        <f>IF($BC126=Lookup!$A$2,$BD126*ROUNDUP(BJ126/10,0)+1,
IF($BC126=Lookup!$A$3,($BD126+1)^BI126,
IF($BC126=Lookup!$A$4,BJ126*$BD126+1,"Error")))</f>
        <v>1</v>
      </c>
      <c r="BS126" s="230">
        <f>IF($BC126=Lookup!$A$2,$BD126*ROUNDUP(BK126/10,0)+1,
IF($BC126=Lookup!$A$3,($BD126+1)^BJ126,
IF($BC126=Lookup!$A$4,BK126*$BD126+1,"Error")))</f>
        <v>1</v>
      </c>
      <c r="BT126" s="251">
        <f>IF($BC126=Lookup!$A$2,$BD126*ROUNDUP(BL126/10,0)+1,
IF($BC126=Lookup!$A$3,($BD126+1)^BK126,
IF($BC126=Lookup!$A$4,BL126*$BD126+1,"Error")))</f>
        <v>1</v>
      </c>
      <c r="BU126" s="322"/>
      <c r="BV126" s="323"/>
      <c r="BW126" s="323"/>
      <c r="BX126" s="323"/>
      <c r="BY126" s="323"/>
      <c r="BZ126" s="323"/>
      <c r="CA126" s="323"/>
      <c r="CB126" s="278"/>
      <c r="CC126" s="384" t="s">
        <v>292</v>
      </c>
      <c r="CD126" s="385">
        <f>HLOOKUP($CC126,$AK$6:$AM$132,ROWS(CD$6:CD126),0)</f>
        <v>0</v>
      </c>
      <c r="CE126" s="235">
        <f t="shared" si="169"/>
        <v>0</v>
      </c>
      <c r="CF126" s="115">
        <f t="shared" si="170"/>
        <v>0</v>
      </c>
      <c r="CG126" s="115">
        <f t="shared" si="171"/>
        <v>0</v>
      </c>
      <c r="CH126" s="115">
        <f t="shared" si="172"/>
        <v>0</v>
      </c>
      <c r="CI126" s="115">
        <f t="shared" si="173"/>
        <v>0</v>
      </c>
      <c r="CJ126" s="115">
        <f t="shared" si="174"/>
        <v>0</v>
      </c>
      <c r="CK126" s="115">
        <f t="shared" si="175"/>
        <v>0</v>
      </c>
      <c r="CL126" s="287">
        <f t="shared" si="176"/>
        <v>0</v>
      </c>
      <c r="CM126" s="308" t="s">
        <v>293</v>
      </c>
      <c r="CN126" s="316">
        <v>0.05</v>
      </c>
      <c r="CO126" s="309"/>
      <c r="CP126" s="310" t="str">
        <f>IF($CO126&lt;&gt;"",$CO126,HLOOKUP($CM126,$AY$6:$BA$132,ROWS(CP$6:CP126),0))</f>
        <v/>
      </c>
      <c r="CQ126" s="785" t="str">
        <f t="shared" si="177"/>
        <v/>
      </c>
      <c r="CR126" s="785" t="str">
        <f t="shared" si="178"/>
        <v/>
      </c>
      <c r="CS126" s="117" t="str">
        <f t="shared" si="179"/>
        <v/>
      </c>
      <c r="CT126" s="117" t="str">
        <f t="shared" si="180"/>
        <v/>
      </c>
      <c r="CU126" s="117" t="str">
        <f t="shared" si="181"/>
        <v/>
      </c>
      <c r="CV126" s="117" t="str">
        <f t="shared" si="182"/>
        <v/>
      </c>
      <c r="CW126" s="117" t="str">
        <f t="shared" si="183"/>
        <v/>
      </c>
      <c r="CX126" s="118" t="str">
        <f t="shared" si="184"/>
        <v/>
      </c>
      <c r="CY126" s="393"/>
    </row>
    <row r="127" spans="1:103" x14ac:dyDescent="0.25">
      <c r="A127" s="81" t="s">
        <v>258</v>
      </c>
      <c r="B127" s="82" t="s">
        <v>255</v>
      </c>
      <c r="C127" s="145" t="s">
        <v>401</v>
      </c>
      <c r="D127" s="146">
        <v>0</v>
      </c>
      <c r="E127" s="147">
        <v>0</v>
      </c>
      <c r="F127" s="147">
        <v>0</v>
      </c>
      <c r="G127" s="147">
        <v>0</v>
      </c>
      <c r="H127" s="147">
        <v>0</v>
      </c>
      <c r="I127" s="147">
        <v>0</v>
      </c>
      <c r="J127" s="147">
        <v>0</v>
      </c>
      <c r="K127" s="147">
        <v>0</v>
      </c>
      <c r="L127" s="147">
        <v>0</v>
      </c>
      <c r="M127" s="656">
        <f>'2022-23 Input'!E127</f>
        <v>0</v>
      </c>
      <c r="N127" s="1067">
        <v>0</v>
      </c>
      <c r="O127" s="566">
        <f t="shared" si="142"/>
        <v>0</v>
      </c>
      <c r="P127" s="567">
        <f t="shared" si="143"/>
        <v>0</v>
      </c>
      <c r="Q127" s="567">
        <f t="shared" si="144"/>
        <v>0</v>
      </c>
      <c r="R127" s="567">
        <f t="shared" si="145"/>
        <v>0</v>
      </c>
      <c r="S127" s="567">
        <f t="shared" si="146"/>
        <v>0</v>
      </c>
      <c r="T127" s="567">
        <f t="shared" si="147"/>
        <v>0</v>
      </c>
      <c r="U127" s="567">
        <f t="shared" si="148"/>
        <v>0</v>
      </c>
      <c r="V127" s="567">
        <f t="shared" si="149"/>
        <v>0</v>
      </c>
      <c r="W127" s="677">
        <f t="shared" si="150"/>
        <v>0</v>
      </c>
      <c r="X127" s="677">
        <f t="shared" si="151"/>
        <v>0</v>
      </c>
      <c r="Y127" s="677">
        <f t="shared" si="152"/>
        <v>0</v>
      </c>
      <c r="Z127" s="148">
        <v>0</v>
      </c>
      <c r="AA127" s="149">
        <v>0</v>
      </c>
      <c r="AB127" s="149">
        <v>0</v>
      </c>
      <c r="AC127" s="149">
        <v>0</v>
      </c>
      <c r="AD127" s="149">
        <v>0</v>
      </c>
      <c r="AE127" s="149">
        <v>0</v>
      </c>
      <c r="AF127" s="149">
        <v>0</v>
      </c>
      <c r="AG127" s="149">
        <v>0</v>
      </c>
      <c r="AH127" s="149">
        <v>0</v>
      </c>
      <c r="AI127" s="1099">
        <f>'2022-23 Input'!L127</f>
        <v>0</v>
      </c>
      <c r="AJ127" s="670">
        <v>0</v>
      </c>
      <c r="AK127" s="150">
        <f t="shared" si="153"/>
        <v>0</v>
      </c>
      <c r="AL127" s="151">
        <f t="shared" si="154"/>
        <v>0</v>
      </c>
      <c r="AM127" s="152">
        <f t="shared" si="155"/>
        <v>0</v>
      </c>
      <c r="AN127" s="153" t="str">
        <f t="shared" si="156"/>
        <v/>
      </c>
      <c r="AO127" s="154" t="str">
        <f t="shared" si="157"/>
        <v/>
      </c>
      <c r="AP127" s="154" t="str">
        <f t="shared" si="158"/>
        <v/>
      </c>
      <c r="AQ127" s="154" t="str">
        <f t="shared" si="159"/>
        <v/>
      </c>
      <c r="AR127" s="154" t="str">
        <f t="shared" si="160"/>
        <v/>
      </c>
      <c r="AS127" s="154" t="str">
        <f t="shared" si="161"/>
        <v/>
      </c>
      <c r="AT127" s="154" t="str">
        <f t="shared" si="162"/>
        <v/>
      </c>
      <c r="AU127" s="154" t="str">
        <f t="shared" si="163"/>
        <v/>
      </c>
      <c r="AV127" s="154" t="str">
        <f t="shared" si="187"/>
        <v/>
      </c>
      <c r="AW127" s="154" t="str">
        <f t="shared" si="187"/>
        <v/>
      </c>
      <c r="AX127" s="154" t="str">
        <f t="shared" si="187"/>
        <v/>
      </c>
      <c r="AY127" s="155" t="str">
        <f t="shared" si="165"/>
        <v/>
      </c>
      <c r="AZ127" s="156" t="str">
        <f t="shared" si="166"/>
        <v/>
      </c>
      <c r="BA127" s="157" t="str">
        <f t="shared" si="167"/>
        <v/>
      </c>
      <c r="BB127" s="246" t="s">
        <v>422</v>
      </c>
      <c r="BC127" s="228" t="s">
        <v>433</v>
      </c>
      <c r="BD127" s="247">
        <v>0</v>
      </c>
      <c r="BE127" s="264">
        <f t="shared" si="168"/>
        <v>0</v>
      </c>
      <c r="BF127" s="265">
        <f t="shared" ref="BF127:BL132" si="188">IF(BF$6=$BB127,1,
IF(BE127&lt;&gt;0,BE127+1,0
))</f>
        <v>0</v>
      </c>
      <c r="BG127" s="265">
        <f t="shared" si="188"/>
        <v>0</v>
      </c>
      <c r="BH127" s="265">
        <f t="shared" si="188"/>
        <v>1</v>
      </c>
      <c r="BI127" s="265">
        <f t="shared" si="188"/>
        <v>2</v>
      </c>
      <c r="BJ127" s="265">
        <f t="shared" si="188"/>
        <v>3</v>
      </c>
      <c r="BK127" s="265">
        <f t="shared" si="188"/>
        <v>4</v>
      </c>
      <c r="BL127" s="266">
        <f t="shared" si="188"/>
        <v>5</v>
      </c>
      <c r="BM127" s="255">
        <f>IF($BC127=Lookup!$A$2,$BD127*ROUNDUP(BE127/10,0)+1,
IF($BC127=Lookup!$A$3,($BD127+1)^BD127,
IF($BC127=Lookup!$A$4,BE127*$BD127+1,"Error")))</f>
        <v>1</v>
      </c>
      <c r="BN127" s="228">
        <f>IF($BC127=Lookup!$A$2,$BD127*ROUNDUP(BF127/10,0)+1,
IF($BC127=Lookup!$A$3,($BD127+1)^BE127,
IF($BC127=Lookup!$A$4,BF127*$BD127+1,"Error")))</f>
        <v>1</v>
      </c>
      <c r="BO127" s="228">
        <f>IF($BC127=Lookup!$A$2,$BD127*ROUNDUP(BG127/10,0)+1,
IF($BC127=Lookup!$A$3,($BD127+1)^BF127,
IF($BC127=Lookup!$A$4,BG127*$BD127+1,"Error")))</f>
        <v>1</v>
      </c>
      <c r="BP127" s="228">
        <f>IF($BC127=Lookup!$A$2,$BD127*ROUNDUP(BH127/10,0)+1,
IF($BC127=Lookup!$A$3,($BD127+1)^BG127,
IF($BC127=Lookup!$A$4,BH127*$BD127+1,"Error")))</f>
        <v>1</v>
      </c>
      <c r="BQ127" s="228">
        <f>IF($BC127=Lookup!$A$2,$BD127*ROUNDUP(BI127/10,0)+1,
IF($BC127=Lookup!$A$3,($BD127+1)^BH127,
IF($BC127=Lookup!$A$4,BI127*$BD127+1,"Error")))</f>
        <v>1</v>
      </c>
      <c r="BR127" s="228">
        <f>IF($BC127=Lookup!$A$2,$BD127*ROUNDUP(BJ127/10,0)+1,
IF($BC127=Lookup!$A$3,($BD127+1)^BI127,
IF($BC127=Lookup!$A$4,BJ127*$BD127+1,"Error")))</f>
        <v>1</v>
      </c>
      <c r="BS127" s="228">
        <f>IF($BC127=Lookup!$A$2,$BD127*ROUNDUP(BK127/10,0)+1,
IF($BC127=Lookup!$A$3,($BD127+1)^BJ127,
IF($BC127=Lookup!$A$4,BK127*$BD127+1,"Error")))</f>
        <v>1</v>
      </c>
      <c r="BT127" s="247">
        <f>IF($BC127=Lookup!$A$2,$BD127*ROUNDUP(BL127/10,0)+1,
IF($BC127=Lookup!$A$3,($BD127+1)^BK127,
IF($BC127=Lookup!$A$4,BL127*$BD127+1,"Error")))</f>
        <v>1</v>
      </c>
      <c r="BU127" s="318"/>
      <c r="BV127" s="319"/>
      <c r="BW127" s="319"/>
      <c r="BX127" s="319"/>
      <c r="BY127" s="319"/>
      <c r="BZ127" s="319"/>
      <c r="CA127" s="319"/>
      <c r="CB127" s="276"/>
      <c r="CC127" s="380" t="s">
        <v>292</v>
      </c>
      <c r="CD127" s="381">
        <f>HLOOKUP($CC127,$AK$6:$AM$132,ROWS(CD$6:CD127),0)</f>
        <v>0</v>
      </c>
      <c r="CE127" s="233">
        <f t="shared" si="169"/>
        <v>0</v>
      </c>
      <c r="CF127" s="78">
        <f t="shared" si="170"/>
        <v>0</v>
      </c>
      <c r="CG127" s="78">
        <f t="shared" si="171"/>
        <v>0</v>
      </c>
      <c r="CH127" s="78">
        <f t="shared" si="172"/>
        <v>0</v>
      </c>
      <c r="CI127" s="78">
        <f t="shared" si="173"/>
        <v>0</v>
      </c>
      <c r="CJ127" s="78">
        <f t="shared" si="174"/>
        <v>0</v>
      </c>
      <c r="CK127" s="78">
        <f t="shared" si="175"/>
        <v>0</v>
      </c>
      <c r="CL127" s="285">
        <f t="shared" si="176"/>
        <v>0</v>
      </c>
      <c r="CM127" s="311" t="s">
        <v>293</v>
      </c>
      <c r="CN127" s="317">
        <v>0.05</v>
      </c>
      <c r="CO127" s="312"/>
      <c r="CP127" s="313" t="str">
        <f>IF($CO127&lt;&gt;"",$CO127,HLOOKUP($CM127,$AY$6:$BA$132,ROWS(CP$6:CP127),0))</f>
        <v/>
      </c>
      <c r="CQ127" s="783" t="str">
        <f t="shared" si="177"/>
        <v/>
      </c>
      <c r="CR127" s="783" t="str">
        <f t="shared" si="178"/>
        <v/>
      </c>
      <c r="CS127" s="79" t="str">
        <f t="shared" si="179"/>
        <v/>
      </c>
      <c r="CT127" s="79" t="str">
        <f t="shared" si="180"/>
        <v/>
      </c>
      <c r="CU127" s="79" t="str">
        <f t="shared" si="181"/>
        <v/>
      </c>
      <c r="CV127" s="79" t="str">
        <f t="shared" si="182"/>
        <v/>
      </c>
      <c r="CW127" s="79" t="str">
        <f t="shared" si="183"/>
        <v/>
      </c>
      <c r="CX127" s="80" t="str">
        <f t="shared" si="184"/>
        <v/>
      </c>
      <c r="CY127" s="391"/>
    </row>
    <row r="128" spans="1:103" x14ac:dyDescent="0.25">
      <c r="A128" s="81" t="s">
        <v>258</v>
      </c>
      <c r="B128" s="82" t="s">
        <v>259</v>
      </c>
      <c r="C128" s="83" t="s">
        <v>257</v>
      </c>
      <c r="D128" s="84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654">
        <f>'2022-23 Input'!E128</f>
        <v>0</v>
      </c>
      <c r="N128" s="1065">
        <v>0</v>
      </c>
      <c r="O128" s="560">
        <f t="shared" si="142"/>
        <v>0</v>
      </c>
      <c r="P128" s="561">
        <f t="shared" si="143"/>
        <v>0</v>
      </c>
      <c r="Q128" s="561">
        <f t="shared" si="144"/>
        <v>0</v>
      </c>
      <c r="R128" s="561">
        <f t="shared" si="145"/>
        <v>0</v>
      </c>
      <c r="S128" s="561">
        <f t="shared" si="146"/>
        <v>0</v>
      </c>
      <c r="T128" s="561">
        <f t="shared" si="147"/>
        <v>0</v>
      </c>
      <c r="U128" s="561">
        <f t="shared" si="148"/>
        <v>0</v>
      </c>
      <c r="V128" s="561">
        <f t="shared" si="149"/>
        <v>0</v>
      </c>
      <c r="W128" s="675">
        <f t="shared" si="150"/>
        <v>0</v>
      </c>
      <c r="X128" s="675">
        <f t="shared" si="151"/>
        <v>0</v>
      </c>
      <c r="Y128" s="675">
        <f t="shared" si="152"/>
        <v>0</v>
      </c>
      <c r="Z128" s="86">
        <v>0</v>
      </c>
      <c r="AA128" s="87">
        <v>0</v>
      </c>
      <c r="AB128" s="87">
        <v>0</v>
      </c>
      <c r="AC128" s="87">
        <v>0</v>
      </c>
      <c r="AD128" s="87">
        <v>0</v>
      </c>
      <c r="AE128" s="87">
        <v>0</v>
      </c>
      <c r="AF128" s="87">
        <v>0</v>
      </c>
      <c r="AG128" s="87">
        <v>0</v>
      </c>
      <c r="AH128" s="87">
        <v>0</v>
      </c>
      <c r="AI128" s="1094">
        <f>'2022-23 Input'!L128</f>
        <v>0</v>
      </c>
      <c r="AJ128" s="665">
        <v>0</v>
      </c>
      <c r="AK128" s="88">
        <f t="shared" si="153"/>
        <v>0</v>
      </c>
      <c r="AL128" s="89">
        <f t="shared" si="154"/>
        <v>0</v>
      </c>
      <c r="AM128" s="90">
        <f t="shared" si="155"/>
        <v>0</v>
      </c>
      <c r="AN128" s="91" t="str">
        <f t="shared" si="156"/>
        <v/>
      </c>
      <c r="AO128" s="92" t="str">
        <f t="shared" si="157"/>
        <v/>
      </c>
      <c r="AP128" s="92" t="str">
        <f t="shared" si="158"/>
        <v/>
      </c>
      <c r="AQ128" s="92" t="str">
        <f t="shared" si="159"/>
        <v/>
      </c>
      <c r="AR128" s="92" t="str">
        <f t="shared" si="160"/>
        <v/>
      </c>
      <c r="AS128" s="92" t="str">
        <f t="shared" si="161"/>
        <v/>
      </c>
      <c r="AT128" s="92" t="str">
        <f t="shared" si="162"/>
        <v/>
      </c>
      <c r="AU128" s="92" t="str">
        <f t="shared" si="163"/>
        <v/>
      </c>
      <c r="AV128" s="92" t="str">
        <f t="shared" si="187"/>
        <v/>
      </c>
      <c r="AW128" s="92" t="str">
        <f t="shared" si="187"/>
        <v/>
      </c>
      <c r="AX128" s="92" t="str">
        <f t="shared" si="187"/>
        <v/>
      </c>
      <c r="AY128" s="93" t="str">
        <f t="shared" si="165"/>
        <v/>
      </c>
      <c r="AZ128" s="94" t="str">
        <f t="shared" si="166"/>
        <v/>
      </c>
      <c r="BA128" s="95" t="str">
        <f t="shared" si="167"/>
        <v/>
      </c>
      <c r="BB128" s="248" t="s">
        <v>422</v>
      </c>
      <c r="BC128" s="229" t="s">
        <v>433</v>
      </c>
      <c r="BD128" s="249">
        <v>0</v>
      </c>
      <c r="BE128" s="267">
        <f t="shared" si="168"/>
        <v>0</v>
      </c>
      <c r="BF128" s="268">
        <f t="shared" si="188"/>
        <v>0</v>
      </c>
      <c r="BG128" s="268">
        <f t="shared" si="188"/>
        <v>0</v>
      </c>
      <c r="BH128" s="268">
        <f t="shared" si="188"/>
        <v>1</v>
      </c>
      <c r="BI128" s="268">
        <f t="shared" si="188"/>
        <v>2</v>
      </c>
      <c r="BJ128" s="268">
        <f t="shared" si="188"/>
        <v>3</v>
      </c>
      <c r="BK128" s="268">
        <f t="shared" si="188"/>
        <v>4</v>
      </c>
      <c r="BL128" s="269">
        <f t="shared" si="188"/>
        <v>5</v>
      </c>
      <c r="BM128" s="256">
        <f>IF($BC128=Lookup!$A$2,$BD128*ROUNDUP(BE128/10,0)+1,
IF($BC128=Lookup!$A$3,($BD128+1)^BD128,
IF($BC128=Lookup!$A$4,BE128*$BD128+1,"Error")))</f>
        <v>1</v>
      </c>
      <c r="BN128" s="229">
        <f>IF($BC128=Lookup!$A$2,$BD128*ROUNDUP(BF128/10,0)+1,
IF($BC128=Lookup!$A$3,($BD128+1)^BE128,
IF($BC128=Lookup!$A$4,BF128*$BD128+1,"Error")))</f>
        <v>1</v>
      </c>
      <c r="BO128" s="229">
        <f>IF($BC128=Lookup!$A$2,$BD128*ROUNDUP(BG128/10,0)+1,
IF($BC128=Lookup!$A$3,($BD128+1)^BF128,
IF($BC128=Lookup!$A$4,BG128*$BD128+1,"Error")))</f>
        <v>1</v>
      </c>
      <c r="BP128" s="229">
        <f>IF($BC128=Lookup!$A$2,$BD128*ROUNDUP(BH128/10,0)+1,
IF($BC128=Lookup!$A$3,($BD128+1)^BG128,
IF($BC128=Lookup!$A$4,BH128*$BD128+1,"Error")))</f>
        <v>1</v>
      </c>
      <c r="BQ128" s="229">
        <f>IF($BC128=Lookup!$A$2,$BD128*ROUNDUP(BI128/10,0)+1,
IF($BC128=Lookup!$A$3,($BD128+1)^BH128,
IF($BC128=Lookup!$A$4,BI128*$BD128+1,"Error")))</f>
        <v>1</v>
      </c>
      <c r="BR128" s="229">
        <f>IF($BC128=Lookup!$A$2,$BD128*ROUNDUP(BJ128/10,0)+1,
IF($BC128=Lookup!$A$3,($BD128+1)^BI128,
IF($BC128=Lookup!$A$4,BJ128*$BD128+1,"Error")))</f>
        <v>1</v>
      </c>
      <c r="BS128" s="229">
        <f>IF($BC128=Lookup!$A$2,$BD128*ROUNDUP(BK128/10,0)+1,
IF($BC128=Lookup!$A$3,($BD128+1)^BJ128,
IF($BC128=Lookup!$A$4,BK128*$BD128+1,"Error")))</f>
        <v>1</v>
      </c>
      <c r="BT128" s="249">
        <f>IF($BC128=Lookup!$A$2,$BD128*ROUNDUP(BL128/10,0)+1,
IF($BC128=Lookup!$A$3,($BD128+1)^BK128,
IF($BC128=Lookup!$A$4,BL128*$BD128+1,"Error")))</f>
        <v>1</v>
      </c>
      <c r="BU128" s="320"/>
      <c r="BV128" s="321"/>
      <c r="BW128" s="321"/>
      <c r="BX128" s="321"/>
      <c r="BY128" s="321"/>
      <c r="BZ128" s="321"/>
      <c r="CA128" s="321"/>
      <c r="CB128" s="277"/>
      <c r="CC128" s="382" t="s">
        <v>292</v>
      </c>
      <c r="CD128" s="383">
        <f>HLOOKUP($CC128,$AK$6:$AM$132,ROWS(CD$6:CD128),0)</f>
        <v>0</v>
      </c>
      <c r="CE128" s="234">
        <f t="shared" si="169"/>
        <v>0</v>
      </c>
      <c r="CF128" s="96">
        <f t="shared" si="170"/>
        <v>0</v>
      </c>
      <c r="CG128" s="96">
        <f t="shared" si="171"/>
        <v>0</v>
      </c>
      <c r="CH128" s="96">
        <f t="shared" si="172"/>
        <v>0</v>
      </c>
      <c r="CI128" s="96">
        <f t="shared" si="173"/>
        <v>0</v>
      </c>
      <c r="CJ128" s="96">
        <f t="shared" si="174"/>
        <v>0</v>
      </c>
      <c r="CK128" s="96">
        <f t="shared" si="175"/>
        <v>0</v>
      </c>
      <c r="CL128" s="286">
        <f t="shared" si="176"/>
        <v>0</v>
      </c>
      <c r="CM128" s="305" t="s">
        <v>293</v>
      </c>
      <c r="CN128" s="315">
        <v>0.05</v>
      </c>
      <c r="CO128" s="306"/>
      <c r="CP128" s="307" t="str">
        <f>IF($CO128&lt;&gt;"",$CO128,HLOOKUP($CM128,$AY$6:$BA$132,ROWS(CP$6:CP128),0))</f>
        <v/>
      </c>
      <c r="CQ128" s="784" t="str">
        <f t="shared" si="177"/>
        <v/>
      </c>
      <c r="CR128" s="784" t="str">
        <f t="shared" si="178"/>
        <v/>
      </c>
      <c r="CS128" s="97" t="str">
        <f t="shared" si="179"/>
        <v/>
      </c>
      <c r="CT128" s="97" t="str">
        <f t="shared" si="180"/>
        <v/>
      </c>
      <c r="CU128" s="97" t="str">
        <f t="shared" si="181"/>
        <v/>
      </c>
      <c r="CV128" s="97" t="str">
        <f t="shared" si="182"/>
        <v/>
      </c>
      <c r="CW128" s="97" t="str">
        <f t="shared" si="183"/>
        <v/>
      </c>
      <c r="CX128" s="98" t="str">
        <f t="shared" si="184"/>
        <v/>
      </c>
      <c r="CY128" s="392"/>
    </row>
    <row r="129" spans="1:103" x14ac:dyDescent="0.25">
      <c r="A129" s="81" t="s">
        <v>258</v>
      </c>
      <c r="B129" s="82" t="s">
        <v>261</v>
      </c>
      <c r="C129" s="83" t="s">
        <v>402</v>
      </c>
      <c r="D129" s="84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654">
        <f>'2022-23 Input'!E129</f>
        <v>0</v>
      </c>
      <c r="N129" s="1065">
        <v>0</v>
      </c>
      <c r="O129" s="560">
        <f t="shared" si="142"/>
        <v>0</v>
      </c>
      <c r="P129" s="561">
        <f t="shared" si="143"/>
        <v>0</v>
      </c>
      <c r="Q129" s="561">
        <f t="shared" si="144"/>
        <v>0</v>
      </c>
      <c r="R129" s="561">
        <f t="shared" si="145"/>
        <v>0</v>
      </c>
      <c r="S129" s="561">
        <f t="shared" si="146"/>
        <v>0</v>
      </c>
      <c r="T129" s="561">
        <f t="shared" si="147"/>
        <v>0</v>
      </c>
      <c r="U129" s="561">
        <f t="shared" si="148"/>
        <v>0</v>
      </c>
      <c r="V129" s="561">
        <f t="shared" si="149"/>
        <v>0</v>
      </c>
      <c r="W129" s="675">
        <f t="shared" si="150"/>
        <v>0</v>
      </c>
      <c r="X129" s="675">
        <f t="shared" si="151"/>
        <v>0</v>
      </c>
      <c r="Y129" s="675">
        <f t="shared" si="152"/>
        <v>0</v>
      </c>
      <c r="Z129" s="86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87">
        <v>0</v>
      </c>
      <c r="AI129" s="1094">
        <f>'2022-23 Input'!L129</f>
        <v>0</v>
      </c>
      <c r="AJ129" s="665">
        <v>0</v>
      </c>
      <c r="AK129" s="88">
        <f t="shared" si="153"/>
        <v>0</v>
      </c>
      <c r="AL129" s="89">
        <f t="shared" si="154"/>
        <v>0</v>
      </c>
      <c r="AM129" s="90">
        <f t="shared" si="155"/>
        <v>0</v>
      </c>
      <c r="AN129" s="91" t="str">
        <f t="shared" si="156"/>
        <v/>
      </c>
      <c r="AO129" s="92" t="str">
        <f t="shared" si="157"/>
        <v/>
      </c>
      <c r="AP129" s="92" t="str">
        <f t="shared" si="158"/>
        <v/>
      </c>
      <c r="AQ129" s="92" t="str">
        <f t="shared" si="159"/>
        <v/>
      </c>
      <c r="AR129" s="92" t="str">
        <f t="shared" si="160"/>
        <v/>
      </c>
      <c r="AS129" s="92" t="str">
        <f t="shared" si="161"/>
        <v/>
      </c>
      <c r="AT129" s="92" t="str">
        <f t="shared" si="162"/>
        <v/>
      </c>
      <c r="AU129" s="92" t="str">
        <f t="shared" si="163"/>
        <v/>
      </c>
      <c r="AV129" s="92" t="str">
        <f t="shared" si="187"/>
        <v/>
      </c>
      <c r="AW129" s="92" t="str">
        <f t="shared" si="187"/>
        <v/>
      </c>
      <c r="AX129" s="92" t="str">
        <f t="shared" si="187"/>
        <v/>
      </c>
      <c r="AY129" s="93" t="str">
        <f t="shared" si="165"/>
        <v/>
      </c>
      <c r="AZ129" s="94" t="str">
        <f t="shared" si="166"/>
        <v/>
      </c>
      <c r="BA129" s="95" t="str">
        <f t="shared" si="167"/>
        <v/>
      </c>
      <c r="BB129" s="248" t="s">
        <v>422</v>
      </c>
      <c r="BC129" s="229" t="s">
        <v>433</v>
      </c>
      <c r="BD129" s="249">
        <v>0</v>
      </c>
      <c r="BE129" s="267">
        <f t="shared" si="168"/>
        <v>0</v>
      </c>
      <c r="BF129" s="268">
        <f t="shared" si="188"/>
        <v>0</v>
      </c>
      <c r="BG129" s="268">
        <f t="shared" si="188"/>
        <v>0</v>
      </c>
      <c r="BH129" s="268">
        <f t="shared" si="188"/>
        <v>1</v>
      </c>
      <c r="BI129" s="268">
        <f t="shared" si="188"/>
        <v>2</v>
      </c>
      <c r="BJ129" s="268">
        <f t="shared" si="188"/>
        <v>3</v>
      </c>
      <c r="BK129" s="268">
        <f t="shared" si="188"/>
        <v>4</v>
      </c>
      <c r="BL129" s="269">
        <f t="shared" si="188"/>
        <v>5</v>
      </c>
      <c r="BM129" s="256">
        <f>IF($BC129=Lookup!$A$2,$BD129*ROUNDUP(BE129/10,0)+1,
IF($BC129=Lookup!$A$3,($BD129+1)^BD129,
IF($BC129=Lookup!$A$4,BE129*$BD129+1,"Error")))</f>
        <v>1</v>
      </c>
      <c r="BN129" s="229">
        <f>IF($BC129=Lookup!$A$2,$BD129*ROUNDUP(BF129/10,0)+1,
IF($BC129=Lookup!$A$3,($BD129+1)^BE129,
IF($BC129=Lookup!$A$4,BF129*$BD129+1,"Error")))</f>
        <v>1</v>
      </c>
      <c r="BO129" s="229">
        <f>IF($BC129=Lookup!$A$2,$BD129*ROUNDUP(BG129/10,0)+1,
IF($BC129=Lookup!$A$3,($BD129+1)^BF129,
IF($BC129=Lookup!$A$4,BG129*$BD129+1,"Error")))</f>
        <v>1</v>
      </c>
      <c r="BP129" s="229">
        <f>IF($BC129=Lookup!$A$2,$BD129*ROUNDUP(BH129/10,0)+1,
IF($BC129=Lookup!$A$3,($BD129+1)^BG129,
IF($BC129=Lookup!$A$4,BH129*$BD129+1,"Error")))</f>
        <v>1</v>
      </c>
      <c r="BQ129" s="229">
        <f>IF($BC129=Lookup!$A$2,$BD129*ROUNDUP(BI129/10,0)+1,
IF($BC129=Lookup!$A$3,($BD129+1)^BH129,
IF($BC129=Lookup!$A$4,BI129*$BD129+1,"Error")))</f>
        <v>1</v>
      </c>
      <c r="BR129" s="229">
        <f>IF($BC129=Lookup!$A$2,$BD129*ROUNDUP(BJ129/10,0)+1,
IF($BC129=Lookup!$A$3,($BD129+1)^BI129,
IF($BC129=Lookup!$A$4,BJ129*$BD129+1,"Error")))</f>
        <v>1</v>
      </c>
      <c r="BS129" s="229">
        <f>IF($BC129=Lookup!$A$2,$BD129*ROUNDUP(BK129/10,0)+1,
IF($BC129=Lookup!$A$3,($BD129+1)^BJ129,
IF($BC129=Lookup!$A$4,BK129*$BD129+1,"Error")))</f>
        <v>1</v>
      </c>
      <c r="BT129" s="249">
        <f>IF($BC129=Lookup!$A$2,$BD129*ROUNDUP(BL129/10,0)+1,
IF($BC129=Lookup!$A$3,($BD129+1)^BK129,
IF($BC129=Lookup!$A$4,BL129*$BD129+1,"Error")))</f>
        <v>1</v>
      </c>
      <c r="BU129" s="320"/>
      <c r="BV129" s="321"/>
      <c r="BW129" s="321"/>
      <c r="BX129" s="321"/>
      <c r="BY129" s="321"/>
      <c r="BZ129" s="321"/>
      <c r="CA129" s="321"/>
      <c r="CB129" s="277"/>
      <c r="CC129" s="382" t="s">
        <v>292</v>
      </c>
      <c r="CD129" s="383">
        <f>HLOOKUP($CC129,$AK$6:$AM$132,ROWS(CD$6:CD129),0)</f>
        <v>0</v>
      </c>
      <c r="CE129" s="234">
        <f t="shared" si="169"/>
        <v>0</v>
      </c>
      <c r="CF129" s="96">
        <f t="shared" si="170"/>
        <v>0</v>
      </c>
      <c r="CG129" s="96">
        <f t="shared" si="171"/>
        <v>0</v>
      </c>
      <c r="CH129" s="96">
        <f t="shared" si="172"/>
        <v>0</v>
      </c>
      <c r="CI129" s="96">
        <f t="shared" si="173"/>
        <v>0</v>
      </c>
      <c r="CJ129" s="96">
        <f t="shared" si="174"/>
        <v>0</v>
      </c>
      <c r="CK129" s="96">
        <f t="shared" si="175"/>
        <v>0</v>
      </c>
      <c r="CL129" s="286">
        <f t="shared" si="176"/>
        <v>0</v>
      </c>
      <c r="CM129" s="305" t="s">
        <v>293</v>
      </c>
      <c r="CN129" s="315">
        <v>0.05</v>
      </c>
      <c r="CO129" s="306"/>
      <c r="CP129" s="307" t="str">
        <f>IF($CO129&lt;&gt;"",$CO129,HLOOKUP($CM129,$AY$6:$BA$132,ROWS(CP$6:CP129),0))</f>
        <v/>
      </c>
      <c r="CQ129" s="784" t="str">
        <f t="shared" si="177"/>
        <v/>
      </c>
      <c r="CR129" s="784" t="str">
        <f t="shared" si="178"/>
        <v/>
      </c>
      <c r="CS129" s="97" t="str">
        <f t="shared" si="179"/>
        <v/>
      </c>
      <c r="CT129" s="97" t="str">
        <f t="shared" si="180"/>
        <v/>
      </c>
      <c r="CU129" s="97" t="str">
        <f t="shared" si="181"/>
        <v/>
      </c>
      <c r="CV129" s="97" t="str">
        <f t="shared" si="182"/>
        <v/>
      </c>
      <c r="CW129" s="97" t="str">
        <f t="shared" si="183"/>
        <v/>
      </c>
      <c r="CX129" s="98" t="str">
        <f t="shared" si="184"/>
        <v/>
      </c>
      <c r="CY129" s="392"/>
    </row>
    <row r="130" spans="1:103" x14ac:dyDescent="0.25">
      <c r="A130" s="81" t="s">
        <v>258</v>
      </c>
      <c r="B130" s="82" t="s">
        <v>263</v>
      </c>
      <c r="C130" s="83" t="s">
        <v>403</v>
      </c>
      <c r="D130" s="84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654">
        <f>'2022-23 Input'!E130</f>
        <v>0</v>
      </c>
      <c r="N130" s="1065">
        <v>0</v>
      </c>
      <c r="O130" s="560">
        <f t="shared" si="142"/>
        <v>0</v>
      </c>
      <c r="P130" s="561">
        <f t="shared" si="143"/>
        <v>0</v>
      </c>
      <c r="Q130" s="561">
        <f t="shared" si="144"/>
        <v>0</v>
      </c>
      <c r="R130" s="561">
        <f t="shared" si="145"/>
        <v>0</v>
      </c>
      <c r="S130" s="561">
        <f t="shared" si="146"/>
        <v>0</v>
      </c>
      <c r="T130" s="561">
        <f t="shared" si="147"/>
        <v>0</v>
      </c>
      <c r="U130" s="561">
        <f t="shared" si="148"/>
        <v>0</v>
      </c>
      <c r="V130" s="561">
        <f t="shared" si="149"/>
        <v>0</v>
      </c>
      <c r="W130" s="675">
        <f t="shared" si="150"/>
        <v>0</v>
      </c>
      <c r="X130" s="675">
        <f t="shared" si="151"/>
        <v>0</v>
      </c>
      <c r="Y130" s="675">
        <f t="shared" si="152"/>
        <v>0</v>
      </c>
      <c r="Z130" s="86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87">
        <v>0</v>
      </c>
      <c r="AI130" s="1094">
        <f>'2022-23 Input'!L130</f>
        <v>0</v>
      </c>
      <c r="AJ130" s="665">
        <v>0</v>
      </c>
      <c r="AK130" s="88">
        <f t="shared" si="153"/>
        <v>0</v>
      </c>
      <c r="AL130" s="89">
        <f t="shared" si="154"/>
        <v>0</v>
      </c>
      <c r="AM130" s="90">
        <f t="shared" si="155"/>
        <v>0</v>
      </c>
      <c r="AN130" s="91" t="str">
        <f t="shared" si="156"/>
        <v/>
      </c>
      <c r="AO130" s="92" t="str">
        <f t="shared" si="157"/>
        <v/>
      </c>
      <c r="AP130" s="92" t="str">
        <f t="shared" si="158"/>
        <v/>
      </c>
      <c r="AQ130" s="92" t="str">
        <f t="shared" si="159"/>
        <v/>
      </c>
      <c r="AR130" s="92" t="str">
        <f t="shared" si="160"/>
        <v/>
      </c>
      <c r="AS130" s="92" t="str">
        <f t="shared" si="161"/>
        <v/>
      </c>
      <c r="AT130" s="92" t="str">
        <f t="shared" si="162"/>
        <v/>
      </c>
      <c r="AU130" s="92" t="str">
        <f t="shared" si="163"/>
        <v/>
      </c>
      <c r="AV130" s="92" t="str">
        <f t="shared" si="187"/>
        <v/>
      </c>
      <c r="AW130" s="92" t="str">
        <f t="shared" si="187"/>
        <v/>
      </c>
      <c r="AX130" s="92" t="str">
        <f t="shared" si="187"/>
        <v/>
      </c>
      <c r="AY130" s="93" t="str">
        <f t="shared" si="165"/>
        <v/>
      </c>
      <c r="AZ130" s="94" t="str">
        <f t="shared" si="166"/>
        <v/>
      </c>
      <c r="BA130" s="95" t="str">
        <f t="shared" si="167"/>
        <v/>
      </c>
      <c r="BB130" s="248" t="s">
        <v>422</v>
      </c>
      <c r="BC130" s="229" t="s">
        <v>433</v>
      </c>
      <c r="BD130" s="249">
        <v>0</v>
      </c>
      <c r="BE130" s="267">
        <f t="shared" si="168"/>
        <v>0</v>
      </c>
      <c r="BF130" s="268">
        <f t="shared" si="188"/>
        <v>0</v>
      </c>
      <c r="BG130" s="268">
        <f t="shared" si="188"/>
        <v>0</v>
      </c>
      <c r="BH130" s="268">
        <f t="shared" si="188"/>
        <v>1</v>
      </c>
      <c r="BI130" s="268">
        <f t="shared" si="188"/>
        <v>2</v>
      </c>
      <c r="BJ130" s="268">
        <f t="shared" si="188"/>
        <v>3</v>
      </c>
      <c r="BK130" s="268">
        <f t="shared" si="188"/>
        <v>4</v>
      </c>
      <c r="BL130" s="269">
        <f t="shared" si="188"/>
        <v>5</v>
      </c>
      <c r="BM130" s="256">
        <f>IF($BC130=Lookup!$A$2,$BD130*ROUNDUP(BE130/10,0)+1,
IF($BC130=Lookup!$A$3,($BD130+1)^BD130,
IF($BC130=Lookup!$A$4,BE130*$BD130+1,"Error")))</f>
        <v>1</v>
      </c>
      <c r="BN130" s="229">
        <f>IF($BC130=Lookup!$A$2,$BD130*ROUNDUP(BF130/10,0)+1,
IF($BC130=Lookup!$A$3,($BD130+1)^BE130,
IF($BC130=Lookup!$A$4,BF130*$BD130+1,"Error")))</f>
        <v>1</v>
      </c>
      <c r="BO130" s="229">
        <f>IF($BC130=Lookup!$A$2,$BD130*ROUNDUP(BG130/10,0)+1,
IF($BC130=Lookup!$A$3,($BD130+1)^BF130,
IF($BC130=Lookup!$A$4,BG130*$BD130+1,"Error")))</f>
        <v>1</v>
      </c>
      <c r="BP130" s="229">
        <f>IF($BC130=Lookup!$A$2,$BD130*ROUNDUP(BH130/10,0)+1,
IF($BC130=Lookup!$A$3,($BD130+1)^BG130,
IF($BC130=Lookup!$A$4,BH130*$BD130+1,"Error")))</f>
        <v>1</v>
      </c>
      <c r="BQ130" s="229">
        <f>IF($BC130=Lookup!$A$2,$BD130*ROUNDUP(BI130/10,0)+1,
IF($BC130=Lookup!$A$3,($BD130+1)^BH130,
IF($BC130=Lookup!$A$4,BI130*$BD130+1,"Error")))</f>
        <v>1</v>
      </c>
      <c r="BR130" s="229">
        <f>IF($BC130=Lookup!$A$2,$BD130*ROUNDUP(BJ130/10,0)+1,
IF($BC130=Lookup!$A$3,($BD130+1)^BI130,
IF($BC130=Lookup!$A$4,BJ130*$BD130+1,"Error")))</f>
        <v>1</v>
      </c>
      <c r="BS130" s="229">
        <f>IF($BC130=Lookup!$A$2,$BD130*ROUNDUP(BK130/10,0)+1,
IF($BC130=Lookup!$A$3,($BD130+1)^BJ130,
IF($BC130=Lookup!$A$4,BK130*$BD130+1,"Error")))</f>
        <v>1</v>
      </c>
      <c r="BT130" s="249">
        <f>IF($BC130=Lookup!$A$2,$BD130*ROUNDUP(BL130/10,0)+1,
IF($BC130=Lookup!$A$3,($BD130+1)^BK130,
IF($BC130=Lookup!$A$4,BL130*$BD130+1,"Error")))</f>
        <v>1</v>
      </c>
      <c r="BU130" s="320"/>
      <c r="BV130" s="321"/>
      <c r="BW130" s="321"/>
      <c r="BX130" s="321"/>
      <c r="BY130" s="321"/>
      <c r="BZ130" s="321"/>
      <c r="CA130" s="321"/>
      <c r="CB130" s="277"/>
      <c r="CC130" s="382" t="s">
        <v>292</v>
      </c>
      <c r="CD130" s="383">
        <f>HLOOKUP($CC130,$AK$6:$AM$132,ROWS(CD$6:CD130),0)</f>
        <v>0</v>
      </c>
      <c r="CE130" s="234">
        <f t="shared" si="169"/>
        <v>0</v>
      </c>
      <c r="CF130" s="96">
        <f t="shared" si="170"/>
        <v>0</v>
      </c>
      <c r="CG130" s="96">
        <f t="shared" si="171"/>
        <v>0</v>
      </c>
      <c r="CH130" s="96">
        <f t="shared" si="172"/>
        <v>0</v>
      </c>
      <c r="CI130" s="96">
        <f t="shared" si="173"/>
        <v>0</v>
      </c>
      <c r="CJ130" s="96">
        <f t="shared" si="174"/>
        <v>0</v>
      </c>
      <c r="CK130" s="96">
        <f t="shared" si="175"/>
        <v>0</v>
      </c>
      <c r="CL130" s="286">
        <f t="shared" si="176"/>
        <v>0</v>
      </c>
      <c r="CM130" s="305" t="s">
        <v>293</v>
      </c>
      <c r="CN130" s="315">
        <v>0.05</v>
      </c>
      <c r="CO130" s="306"/>
      <c r="CP130" s="307" t="str">
        <f>IF($CO130&lt;&gt;"",$CO130,HLOOKUP($CM130,$AY$6:$BA$132,ROWS(CP$6:CP130),0))</f>
        <v/>
      </c>
      <c r="CQ130" s="784" t="str">
        <f t="shared" si="177"/>
        <v/>
      </c>
      <c r="CR130" s="784" t="str">
        <f t="shared" si="178"/>
        <v/>
      </c>
      <c r="CS130" s="97" t="str">
        <f t="shared" si="179"/>
        <v/>
      </c>
      <c r="CT130" s="97" t="str">
        <f t="shared" si="180"/>
        <v/>
      </c>
      <c r="CU130" s="97" t="str">
        <f t="shared" si="181"/>
        <v/>
      </c>
      <c r="CV130" s="97" t="str">
        <f t="shared" si="182"/>
        <v/>
      </c>
      <c r="CW130" s="97" t="str">
        <f t="shared" si="183"/>
        <v/>
      </c>
      <c r="CX130" s="98" t="str">
        <f t="shared" si="184"/>
        <v/>
      </c>
      <c r="CY130" s="392"/>
    </row>
    <row r="131" spans="1:103" x14ac:dyDescent="0.25">
      <c r="A131" s="81" t="s">
        <v>258</v>
      </c>
      <c r="B131" s="82" t="s">
        <v>404</v>
      </c>
      <c r="C131" s="83" t="s">
        <v>405</v>
      </c>
      <c r="D131" s="84">
        <v>0</v>
      </c>
      <c r="E131" s="85">
        <v>0</v>
      </c>
      <c r="F131" s="85">
        <v>0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654">
        <f>'2022-23 Input'!E131</f>
        <v>0</v>
      </c>
      <c r="N131" s="1065">
        <v>0</v>
      </c>
      <c r="O131" s="560">
        <f t="shared" si="142"/>
        <v>0</v>
      </c>
      <c r="P131" s="561">
        <f t="shared" si="143"/>
        <v>0</v>
      </c>
      <c r="Q131" s="561">
        <f t="shared" si="144"/>
        <v>0</v>
      </c>
      <c r="R131" s="561">
        <f t="shared" si="145"/>
        <v>0</v>
      </c>
      <c r="S131" s="561">
        <f t="shared" si="146"/>
        <v>0</v>
      </c>
      <c r="T131" s="561">
        <f t="shared" si="147"/>
        <v>0</v>
      </c>
      <c r="U131" s="561">
        <f t="shared" si="148"/>
        <v>0</v>
      </c>
      <c r="V131" s="561">
        <f t="shared" si="149"/>
        <v>0</v>
      </c>
      <c r="W131" s="675">
        <f t="shared" si="150"/>
        <v>0</v>
      </c>
      <c r="X131" s="675">
        <f t="shared" si="151"/>
        <v>0</v>
      </c>
      <c r="Y131" s="675">
        <f t="shared" si="152"/>
        <v>0</v>
      </c>
      <c r="Z131" s="86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  <c r="AG131" s="87">
        <v>0</v>
      </c>
      <c r="AH131" s="87">
        <v>0</v>
      </c>
      <c r="AI131" s="1094">
        <f>'2022-23 Input'!L131</f>
        <v>0</v>
      </c>
      <c r="AJ131" s="665">
        <v>0</v>
      </c>
      <c r="AK131" s="88">
        <f t="shared" si="153"/>
        <v>0</v>
      </c>
      <c r="AL131" s="89">
        <f t="shared" si="154"/>
        <v>0</v>
      </c>
      <c r="AM131" s="90">
        <f t="shared" si="155"/>
        <v>0</v>
      </c>
      <c r="AN131" s="91" t="str">
        <f t="shared" si="156"/>
        <v/>
      </c>
      <c r="AO131" s="92" t="str">
        <f t="shared" si="157"/>
        <v/>
      </c>
      <c r="AP131" s="92" t="str">
        <f t="shared" si="158"/>
        <v/>
      </c>
      <c r="AQ131" s="92" t="str">
        <f t="shared" si="159"/>
        <v/>
      </c>
      <c r="AR131" s="92" t="str">
        <f t="shared" si="160"/>
        <v/>
      </c>
      <c r="AS131" s="92" t="str">
        <f t="shared" si="161"/>
        <v/>
      </c>
      <c r="AT131" s="92" t="str">
        <f t="shared" si="162"/>
        <v/>
      </c>
      <c r="AU131" s="92" t="str">
        <f t="shared" si="163"/>
        <v/>
      </c>
      <c r="AV131" s="92" t="str">
        <f t="shared" si="187"/>
        <v/>
      </c>
      <c r="AW131" s="92" t="str">
        <f t="shared" si="187"/>
        <v/>
      </c>
      <c r="AX131" s="92" t="str">
        <f t="shared" si="187"/>
        <v/>
      </c>
      <c r="AY131" s="93" t="str">
        <f t="shared" si="165"/>
        <v/>
      </c>
      <c r="AZ131" s="94" t="str">
        <f t="shared" si="166"/>
        <v/>
      </c>
      <c r="BA131" s="95" t="str">
        <f t="shared" si="167"/>
        <v/>
      </c>
      <c r="BB131" s="248" t="s">
        <v>422</v>
      </c>
      <c r="BC131" s="229" t="s">
        <v>433</v>
      </c>
      <c r="BD131" s="249">
        <v>0</v>
      </c>
      <c r="BE131" s="267">
        <f t="shared" si="168"/>
        <v>0</v>
      </c>
      <c r="BF131" s="268">
        <f t="shared" si="188"/>
        <v>0</v>
      </c>
      <c r="BG131" s="268">
        <f t="shared" si="188"/>
        <v>0</v>
      </c>
      <c r="BH131" s="268">
        <f t="shared" si="188"/>
        <v>1</v>
      </c>
      <c r="BI131" s="268">
        <f t="shared" si="188"/>
        <v>2</v>
      </c>
      <c r="BJ131" s="268">
        <f t="shared" si="188"/>
        <v>3</v>
      </c>
      <c r="BK131" s="268">
        <f t="shared" si="188"/>
        <v>4</v>
      </c>
      <c r="BL131" s="269">
        <f t="shared" si="188"/>
        <v>5</v>
      </c>
      <c r="BM131" s="256">
        <f>IF($BC131=Lookup!$A$2,$BD131*ROUNDUP(BE131/10,0)+1,
IF($BC131=Lookup!$A$3,($BD131+1)^BD131,
IF($BC131=Lookup!$A$4,BE131*$BD131+1,"Error")))</f>
        <v>1</v>
      </c>
      <c r="BN131" s="229">
        <f>IF($BC131=Lookup!$A$2,$BD131*ROUNDUP(BF131/10,0)+1,
IF($BC131=Lookup!$A$3,($BD131+1)^BE131,
IF($BC131=Lookup!$A$4,BF131*$BD131+1,"Error")))</f>
        <v>1</v>
      </c>
      <c r="BO131" s="229">
        <f>IF($BC131=Lookup!$A$2,$BD131*ROUNDUP(BG131/10,0)+1,
IF($BC131=Lookup!$A$3,($BD131+1)^BF131,
IF($BC131=Lookup!$A$4,BG131*$BD131+1,"Error")))</f>
        <v>1</v>
      </c>
      <c r="BP131" s="229">
        <f>IF($BC131=Lookup!$A$2,$BD131*ROUNDUP(BH131/10,0)+1,
IF($BC131=Lookup!$A$3,($BD131+1)^BG131,
IF($BC131=Lookup!$A$4,BH131*$BD131+1,"Error")))</f>
        <v>1</v>
      </c>
      <c r="BQ131" s="229">
        <f>IF($BC131=Lookup!$A$2,$BD131*ROUNDUP(BI131/10,0)+1,
IF($BC131=Lookup!$A$3,($BD131+1)^BH131,
IF($BC131=Lookup!$A$4,BI131*$BD131+1,"Error")))</f>
        <v>1</v>
      </c>
      <c r="BR131" s="229">
        <f>IF($BC131=Lookup!$A$2,$BD131*ROUNDUP(BJ131/10,0)+1,
IF($BC131=Lookup!$A$3,($BD131+1)^BI131,
IF($BC131=Lookup!$A$4,BJ131*$BD131+1,"Error")))</f>
        <v>1</v>
      </c>
      <c r="BS131" s="229">
        <f>IF($BC131=Lookup!$A$2,$BD131*ROUNDUP(BK131/10,0)+1,
IF($BC131=Lookup!$A$3,($BD131+1)^BJ131,
IF($BC131=Lookup!$A$4,BK131*$BD131+1,"Error")))</f>
        <v>1</v>
      </c>
      <c r="BT131" s="249">
        <f>IF($BC131=Lookup!$A$2,$BD131*ROUNDUP(BL131/10,0)+1,
IF($BC131=Lookup!$A$3,($BD131+1)^BK131,
IF($BC131=Lookup!$A$4,BL131*$BD131+1,"Error")))</f>
        <v>1</v>
      </c>
      <c r="BU131" s="320"/>
      <c r="BV131" s="321"/>
      <c r="BW131" s="321"/>
      <c r="BX131" s="321"/>
      <c r="BY131" s="321"/>
      <c r="BZ131" s="321"/>
      <c r="CA131" s="321"/>
      <c r="CB131" s="277"/>
      <c r="CC131" s="382" t="s">
        <v>292</v>
      </c>
      <c r="CD131" s="383">
        <f>HLOOKUP($CC131,$AK$6:$AM$132,ROWS(CD$6:CD131),0)</f>
        <v>0</v>
      </c>
      <c r="CE131" s="234">
        <f t="shared" si="169"/>
        <v>0</v>
      </c>
      <c r="CF131" s="96">
        <f t="shared" si="170"/>
        <v>0</v>
      </c>
      <c r="CG131" s="96">
        <f t="shared" si="171"/>
        <v>0</v>
      </c>
      <c r="CH131" s="96">
        <f t="shared" si="172"/>
        <v>0</v>
      </c>
      <c r="CI131" s="96">
        <f t="shared" si="173"/>
        <v>0</v>
      </c>
      <c r="CJ131" s="96">
        <f t="shared" si="174"/>
        <v>0</v>
      </c>
      <c r="CK131" s="96">
        <f t="shared" si="175"/>
        <v>0</v>
      </c>
      <c r="CL131" s="286">
        <f t="shared" si="176"/>
        <v>0</v>
      </c>
      <c r="CM131" s="305" t="s">
        <v>293</v>
      </c>
      <c r="CN131" s="315">
        <v>0.05</v>
      </c>
      <c r="CO131" s="306"/>
      <c r="CP131" s="307" t="str">
        <f>IF($CO131&lt;&gt;"",$CO131,HLOOKUP($CM131,$AY$6:$BA$132,ROWS(CP$6:CP131),0))</f>
        <v/>
      </c>
      <c r="CQ131" s="784" t="str">
        <f t="shared" si="177"/>
        <v/>
      </c>
      <c r="CR131" s="784" t="str">
        <f t="shared" si="178"/>
        <v/>
      </c>
      <c r="CS131" s="97" t="str">
        <f t="shared" si="179"/>
        <v/>
      </c>
      <c r="CT131" s="97" t="str">
        <f t="shared" si="180"/>
        <v/>
      </c>
      <c r="CU131" s="97" t="str">
        <f t="shared" si="181"/>
        <v/>
      </c>
      <c r="CV131" s="97" t="str">
        <f t="shared" si="182"/>
        <v/>
      </c>
      <c r="CW131" s="97" t="str">
        <f t="shared" si="183"/>
        <v/>
      </c>
      <c r="CX131" s="98" t="str">
        <f t="shared" si="184"/>
        <v/>
      </c>
      <c r="CY131" s="392"/>
    </row>
    <row r="132" spans="1:103" ht="15.75" thickBot="1" x14ac:dyDescent="0.3">
      <c r="A132" s="100" t="s">
        <v>258</v>
      </c>
      <c r="B132" s="101" t="s">
        <v>265</v>
      </c>
      <c r="C132" s="159" t="s">
        <v>406</v>
      </c>
      <c r="D132" s="103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655">
        <f>'2022-23 Input'!E132</f>
        <v>0</v>
      </c>
      <c r="N132" s="1066">
        <v>0</v>
      </c>
      <c r="O132" s="563">
        <f t="shared" si="142"/>
        <v>0</v>
      </c>
      <c r="P132" s="564">
        <f t="shared" si="143"/>
        <v>0</v>
      </c>
      <c r="Q132" s="564">
        <f t="shared" si="144"/>
        <v>0</v>
      </c>
      <c r="R132" s="564">
        <f t="shared" si="145"/>
        <v>0</v>
      </c>
      <c r="S132" s="564">
        <f t="shared" si="146"/>
        <v>0</v>
      </c>
      <c r="T132" s="564">
        <f t="shared" si="147"/>
        <v>0</v>
      </c>
      <c r="U132" s="564">
        <f t="shared" si="148"/>
        <v>0</v>
      </c>
      <c r="V132" s="564">
        <f t="shared" si="149"/>
        <v>0</v>
      </c>
      <c r="W132" s="676">
        <f t="shared" si="150"/>
        <v>0</v>
      </c>
      <c r="X132" s="676">
        <f t="shared" si="151"/>
        <v>0</v>
      </c>
      <c r="Y132" s="676">
        <f t="shared" si="152"/>
        <v>0</v>
      </c>
      <c r="Z132" s="105">
        <v>0</v>
      </c>
      <c r="AA132" s="106">
        <v>0</v>
      </c>
      <c r="AB132" s="106">
        <v>0</v>
      </c>
      <c r="AC132" s="106">
        <v>0</v>
      </c>
      <c r="AD132" s="106">
        <v>0</v>
      </c>
      <c r="AE132" s="106">
        <v>419</v>
      </c>
      <c r="AF132" s="106">
        <v>361</v>
      </c>
      <c r="AG132" s="106">
        <v>35</v>
      </c>
      <c r="AH132" s="106">
        <v>0</v>
      </c>
      <c r="AI132" s="1095">
        <f>'2022-23 Input'!L132</f>
        <v>0</v>
      </c>
      <c r="AJ132" s="666">
        <v>0</v>
      </c>
      <c r="AK132" s="107">
        <f t="shared" si="153"/>
        <v>163</v>
      </c>
      <c r="AL132" s="108">
        <f t="shared" si="154"/>
        <v>11.666666666666666</v>
      </c>
      <c r="AM132" s="109">
        <f t="shared" si="155"/>
        <v>0</v>
      </c>
      <c r="AN132" s="110" t="str">
        <f t="shared" si="156"/>
        <v/>
      </c>
      <c r="AO132" s="111" t="str">
        <f t="shared" si="157"/>
        <v/>
      </c>
      <c r="AP132" s="111" t="str">
        <f t="shared" si="158"/>
        <v/>
      </c>
      <c r="AQ132" s="111" t="str">
        <f t="shared" si="159"/>
        <v/>
      </c>
      <c r="AR132" s="111" t="str">
        <f t="shared" si="160"/>
        <v/>
      </c>
      <c r="AS132" s="111">
        <f t="shared" si="161"/>
        <v>0</v>
      </c>
      <c r="AT132" s="111">
        <f t="shared" si="162"/>
        <v>0</v>
      </c>
      <c r="AU132" s="111">
        <f t="shared" si="163"/>
        <v>0</v>
      </c>
      <c r="AV132" s="111" t="str">
        <f t="shared" si="187"/>
        <v/>
      </c>
      <c r="AW132" s="111" t="str">
        <f t="shared" si="187"/>
        <v/>
      </c>
      <c r="AX132" s="111" t="str">
        <f t="shared" si="187"/>
        <v/>
      </c>
      <c r="AY132" s="112">
        <f t="shared" si="165"/>
        <v>0</v>
      </c>
      <c r="AZ132" s="113">
        <f t="shared" si="166"/>
        <v>0</v>
      </c>
      <c r="BA132" s="114" t="str">
        <f t="shared" si="167"/>
        <v/>
      </c>
      <c r="BB132" s="250" t="s">
        <v>422</v>
      </c>
      <c r="BC132" s="230" t="s">
        <v>433</v>
      </c>
      <c r="BD132" s="251">
        <v>0</v>
      </c>
      <c r="BE132" s="270">
        <f t="shared" si="168"/>
        <v>0</v>
      </c>
      <c r="BF132" s="271">
        <f t="shared" si="188"/>
        <v>0</v>
      </c>
      <c r="BG132" s="271">
        <f t="shared" si="188"/>
        <v>0</v>
      </c>
      <c r="BH132" s="271">
        <f t="shared" si="188"/>
        <v>1</v>
      </c>
      <c r="BI132" s="271">
        <f t="shared" si="188"/>
        <v>2</v>
      </c>
      <c r="BJ132" s="271">
        <f t="shared" si="188"/>
        <v>3</v>
      </c>
      <c r="BK132" s="271">
        <f t="shared" si="188"/>
        <v>4</v>
      </c>
      <c r="BL132" s="272">
        <f t="shared" si="188"/>
        <v>5</v>
      </c>
      <c r="BM132" s="257">
        <f>IF($BC132=Lookup!$A$2,$BD132*ROUNDUP(BE132/10,0)+1,
IF($BC132=Lookup!$A$3,($BD132+1)^BD132,
IF($BC132=Lookup!$A$4,BE132*$BD132+1,"Error")))</f>
        <v>1</v>
      </c>
      <c r="BN132" s="230">
        <f>IF($BC132=Lookup!$A$2,$BD132*ROUNDUP(BF132/10,0)+1,
IF($BC132=Lookup!$A$3,($BD132+1)^BE132,
IF($BC132=Lookup!$A$4,BF132*$BD132+1,"Error")))</f>
        <v>1</v>
      </c>
      <c r="BO132" s="230">
        <f>IF($BC132=Lookup!$A$2,$BD132*ROUNDUP(BG132/10,0)+1,
IF($BC132=Lookup!$A$3,($BD132+1)^BF132,
IF($BC132=Lookup!$A$4,BG132*$BD132+1,"Error")))</f>
        <v>1</v>
      </c>
      <c r="BP132" s="230">
        <f>IF($BC132=Lookup!$A$2,$BD132*ROUNDUP(BH132/10,0)+1,
IF($BC132=Lookup!$A$3,($BD132+1)^BG132,
IF($BC132=Lookup!$A$4,BH132*$BD132+1,"Error")))</f>
        <v>1</v>
      </c>
      <c r="BQ132" s="230">
        <f>IF($BC132=Lookup!$A$2,$BD132*ROUNDUP(BI132/10,0)+1,
IF($BC132=Lookup!$A$3,($BD132+1)^BH132,
IF($BC132=Lookup!$A$4,BI132*$BD132+1,"Error")))</f>
        <v>1</v>
      </c>
      <c r="BR132" s="230">
        <f>IF($BC132=Lookup!$A$2,$BD132*ROUNDUP(BJ132/10,0)+1,
IF($BC132=Lookup!$A$3,($BD132+1)^BI132,
IF($BC132=Lookup!$A$4,BJ132*$BD132+1,"Error")))</f>
        <v>1</v>
      </c>
      <c r="BS132" s="230">
        <f>IF($BC132=Lookup!$A$2,$BD132*ROUNDUP(BK132/10,0)+1,
IF($BC132=Lookup!$A$3,($BD132+1)^BJ132,
IF($BC132=Lookup!$A$4,BK132*$BD132+1,"Error")))</f>
        <v>1</v>
      </c>
      <c r="BT132" s="251">
        <f>IF($BC132=Lookup!$A$2,$BD132*ROUNDUP(BL132/10,0)+1,
IF($BC132=Lookup!$A$3,($BD132+1)^BK132,
IF($BC132=Lookup!$A$4,BL132*$BD132+1,"Error")))</f>
        <v>1</v>
      </c>
      <c r="BU132" s="322"/>
      <c r="BV132" s="323"/>
      <c r="BW132" s="323"/>
      <c r="BX132" s="323"/>
      <c r="BY132" s="323"/>
      <c r="BZ132" s="323"/>
      <c r="CA132" s="323"/>
      <c r="CB132" s="278"/>
      <c r="CC132" s="384" t="s">
        <v>292</v>
      </c>
      <c r="CD132" s="385">
        <f>HLOOKUP($CC132,$AK$6:$AM$132,ROWS(CD$6:CD132),0)</f>
        <v>163</v>
      </c>
      <c r="CE132" s="235">
        <f t="shared" si="169"/>
        <v>163</v>
      </c>
      <c r="CF132" s="115">
        <f t="shared" si="170"/>
        <v>163</v>
      </c>
      <c r="CG132" s="115">
        <f t="shared" si="171"/>
        <v>163</v>
      </c>
      <c r="CH132" s="115">
        <f t="shared" si="172"/>
        <v>163</v>
      </c>
      <c r="CI132" s="115">
        <f t="shared" si="173"/>
        <v>163</v>
      </c>
      <c r="CJ132" s="115">
        <f t="shared" si="174"/>
        <v>163</v>
      </c>
      <c r="CK132" s="115">
        <f t="shared" si="175"/>
        <v>163</v>
      </c>
      <c r="CL132" s="287">
        <f t="shared" si="176"/>
        <v>163</v>
      </c>
      <c r="CM132" s="308" t="s">
        <v>293</v>
      </c>
      <c r="CN132" s="316">
        <v>0.05</v>
      </c>
      <c r="CO132" s="309"/>
      <c r="CP132" s="310">
        <f>IF($CO132&lt;&gt;"",$CO132,HLOOKUP($CM132,$AY$6:$BA$132,ROWS(CP$6:CP132),0))</f>
        <v>0</v>
      </c>
      <c r="CQ132" s="785">
        <f t="shared" si="177"/>
        <v>0</v>
      </c>
      <c r="CR132" s="785">
        <f t="shared" si="178"/>
        <v>0</v>
      </c>
      <c r="CS132" s="117">
        <f t="shared" si="179"/>
        <v>0</v>
      </c>
      <c r="CT132" s="117">
        <f t="shared" si="180"/>
        <v>0</v>
      </c>
      <c r="CU132" s="117">
        <f t="shared" si="181"/>
        <v>0</v>
      </c>
      <c r="CV132" s="117">
        <f t="shared" si="182"/>
        <v>0</v>
      </c>
      <c r="CW132" s="117">
        <f t="shared" si="183"/>
        <v>0</v>
      </c>
      <c r="CX132" s="118">
        <f t="shared" si="184"/>
        <v>0</v>
      </c>
      <c r="CY132" s="393"/>
    </row>
    <row r="133" spans="1:103" ht="15.75" thickBot="1" x14ac:dyDescent="0.3">
      <c r="A133" s="19"/>
      <c r="B133" s="19"/>
      <c r="C133" s="160" t="s">
        <v>407</v>
      </c>
      <c r="D133" s="161">
        <f t="shared" ref="D133:N133" si="189">SUM(D7:D132)</f>
        <v>8770730.1300000064</v>
      </c>
      <c r="E133" s="162">
        <f t="shared" si="189"/>
        <v>11695140.209999997</v>
      </c>
      <c r="F133" s="162">
        <f t="shared" si="189"/>
        <v>14221620.769999994</v>
      </c>
      <c r="G133" s="162">
        <f t="shared" si="189"/>
        <v>15071938.710000006</v>
      </c>
      <c r="H133" s="162">
        <f t="shared" si="189"/>
        <v>16621255.599999996</v>
      </c>
      <c r="I133" s="162">
        <f t="shared" si="189"/>
        <v>16914631.444441814</v>
      </c>
      <c r="J133" s="162">
        <f t="shared" si="189"/>
        <v>17690477.444550715</v>
      </c>
      <c r="K133" s="162">
        <f t="shared" si="189"/>
        <v>579050.72730836493</v>
      </c>
      <c r="L133" s="162">
        <f t="shared" si="189"/>
        <v>0</v>
      </c>
      <c r="M133" s="162">
        <f t="shared" si="189"/>
        <v>0</v>
      </c>
      <c r="N133" s="162">
        <f t="shared" si="189"/>
        <v>0</v>
      </c>
      <c r="O133" s="569">
        <f t="shared" ref="O133:X133" si="190">SUM(O7:O132)</f>
        <v>11800634.277464023</v>
      </c>
      <c r="P133" s="570">
        <f t="shared" si="190"/>
        <v>15501100.4811395</v>
      </c>
      <c r="Q133" s="570">
        <f t="shared" si="190"/>
        <v>18658848.192341626</v>
      </c>
      <c r="R133" s="570">
        <f t="shared" si="190"/>
        <v>19399344.765752029</v>
      </c>
      <c r="S133" s="570">
        <f t="shared" si="190"/>
        <v>20958053.636812042</v>
      </c>
      <c r="T133" s="570">
        <f t="shared" si="190"/>
        <v>20993565.968683805</v>
      </c>
      <c r="U133" s="570">
        <f t="shared" si="190"/>
        <v>22033276.908162378</v>
      </c>
      <c r="V133" s="570">
        <f t="shared" si="190"/>
        <v>694489.57941910613</v>
      </c>
      <c r="W133" s="1106">
        <f t="shared" si="190"/>
        <v>0</v>
      </c>
      <c r="X133" s="1106">
        <f t="shared" si="190"/>
        <v>0</v>
      </c>
      <c r="Y133" s="678">
        <f t="shared" ref="Y133" si="191">SUM(Y7:Y132)</f>
        <v>0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82"/>
      <c r="AJ133" s="282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19"/>
      <c r="BC133" s="19"/>
      <c r="BD133" s="326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282"/>
      <c r="CM133" s="282"/>
      <c r="CN133" s="282"/>
      <c r="CO133" s="282"/>
      <c r="CP133" s="19"/>
      <c r="CQ133" s="787">
        <f t="shared" ref="CQ133:CX133" si="192">SUM(CQ7:CQ132)</f>
        <v>2799091.2818203182</v>
      </c>
      <c r="CR133" s="1110">
        <f t="shared" si="192"/>
        <v>2799091.2818203182</v>
      </c>
      <c r="CS133" s="163">
        <f t="shared" si="192"/>
        <v>2799091.2818203182</v>
      </c>
      <c r="CT133" s="163">
        <f t="shared" si="192"/>
        <v>2919919.619966628</v>
      </c>
      <c r="CU133" s="163">
        <f t="shared" si="192"/>
        <v>2919919.619966628</v>
      </c>
      <c r="CV133" s="163">
        <f t="shared" si="192"/>
        <v>2919919.619966628</v>
      </c>
      <c r="CW133" s="163">
        <f t="shared" si="192"/>
        <v>2919919.619966628</v>
      </c>
      <c r="CX133" s="164">
        <f t="shared" si="192"/>
        <v>2919919.619966628</v>
      </c>
    </row>
    <row r="134" spans="1:103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82"/>
      <c r="N134" s="282"/>
      <c r="O134" s="19"/>
      <c r="P134" s="19"/>
      <c r="Q134" s="19"/>
      <c r="R134" s="19"/>
      <c r="S134" s="19"/>
      <c r="T134" s="19"/>
      <c r="U134" s="19"/>
      <c r="V134" s="19"/>
      <c r="W134" s="19"/>
      <c r="X134" s="282"/>
      <c r="Y134" s="282"/>
      <c r="Z134" s="19"/>
      <c r="AA134" s="19"/>
      <c r="AB134" s="19"/>
      <c r="AC134" s="19"/>
      <c r="AD134" s="19"/>
      <c r="AE134" s="19"/>
      <c r="AF134" s="19"/>
      <c r="AG134" s="19"/>
      <c r="AH134" s="19"/>
      <c r="AI134" s="282"/>
      <c r="AJ134" s="282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/>
      <c r="AX134" s="282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282"/>
      <c r="CM134" s="282"/>
      <c r="CN134" s="282"/>
      <c r="CO134" s="282"/>
      <c r="CP134" s="19"/>
      <c r="CQ134" s="780"/>
      <c r="CR134" s="780"/>
      <c r="CS134" s="19"/>
      <c r="CT134" s="19"/>
      <c r="CU134" s="19"/>
      <c r="CV134" s="19"/>
      <c r="CW134" s="19"/>
      <c r="CX134" s="19"/>
    </row>
    <row r="135" spans="1:103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82"/>
      <c r="N135" s="282"/>
      <c r="O135" s="19"/>
      <c r="P135" s="19"/>
      <c r="Q135" s="19"/>
      <c r="R135" s="19"/>
      <c r="S135" s="19"/>
      <c r="T135" s="19"/>
      <c r="U135" s="19"/>
      <c r="V135" s="19"/>
      <c r="W135" s="19"/>
      <c r="X135" s="282"/>
      <c r="Y135" s="282"/>
      <c r="Z135" s="165">
        <f t="shared" ref="Z135:AF135" si="193">Z136/(Z136+Z137)</f>
        <v>1.7676767676767676E-2</v>
      </c>
      <c r="AA135" s="165">
        <f t="shared" si="193"/>
        <v>5.3803339517625233E-2</v>
      </c>
      <c r="AB135" s="165">
        <f t="shared" si="193"/>
        <v>1.9955654101995568E-2</v>
      </c>
      <c r="AC135" s="165">
        <f t="shared" si="193"/>
        <v>2.3529411764705882E-2</v>
      </c>
      <c r="AD135" s="165">
        <f t="shared" si="193"/>
        <v>1.4531043593130779E-2</v>
      </c>
      <c r="AE135" s="165">
        <f t="shared" si="193"/>
        <v>0</v>
      </c>
      <c r="AF135" s="165">
        <f t="shared" si="193"/>
        <v>4.7961630695443645E-2</v>
      </c>
      <c r="AG135" s="165"/>
      <c r="AH135" s="165"/>
      <c r="AI135" s="294"/>
      <c r="AJ135" s="294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282"/>
      <c r="AX135" s="282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65"/>
      <c r="CF135" s="165"/>
      <c r="CG135" s="165"/>
      <c r="CH135" s="165"/>
      <c r="CI135" s="165"/>
      <c r="CJ135" s="165"/>
      <c r="CK135" s="165"/>
      <c r="CL135" s="294"/>
      <c r="CM135" s="294"/>
      <c r="CN135" s="294"/>
      <c r="CO135" s="294"/>
      <c r="CP135" s="19"/>
      <c r="CQ135" s="780"/>
      <c r="CR135" s="780"/>
      <c r="CS135" s="19"/>
      <c r="CT135" s="19"/>
      <c r="CU135" s="19"/>
      <c r="CV135" s="19"/>
      <c r="CW135" s="19"/>
      <c r="CX135" s="19"/>
    </row>
    <row r="136" spans="1:103" x14ac:dyDescent="0.25">
      <c r="A136" s="63" t="s">
        <v>296</v>
      </c>
      <c r="B136" s="166"/>
      <c r="C136" s="64" t="s">
        <v>409</v>
      </c>
      <c r="D136" s="167">
        <f t="shared" ref="D136:T146" si="194">SUMIF($A$7:$A$132,$A136,D$7:D$132)</f>
        <v>40146.335604514854</v>
      </c>
      <c r="E136" s="168">
        <f t="shared" si="194"/>
        <v>183118.55049157809</v>
      </c>
      <c r="F136" s="168">
        <f t="shared" si="194"/>
        <v>48215.49917832316</v>
      </c>
      <c r="G136" s="168">
        <f t="shared" si="194"/>
        <v>82296.814979782954</v>
      </c>
      <c r="H136" s="168">
        <f t="shared" si="194"/>
        <v>58927.810789985022</v>
      </c>
      <c r="I136" s="168">
        <f t="shared" si="194"/>
        <v>0</v>
      </c>
      <c r="J136" s="168">
        <f t="shared" si="194"/>
        <v>24322.750866586004</v>
      </c>
      <c r="K136" s="168">
        <f t="shared" si="194"/>
        <v>0</v>
      </c>
      <c r="L136" s="168">
        <f t="shared" si="194"/>
        <v>0</v>
      </c>
      <c r="M136" s="658">
        <f t="shared" si="194"/>
        <v>0</v>
      </c>
      <c r="N136" s="658">
        <f t="shared" si="194"/>
        <v>0</v>
      </c>
      <c r="O136" s="578">
        <f t="shared" si="194"/>
        <v>54015.14093208249</v>
      </c>
      <c r="P136" s="575">
        <f t="shared" si="194"/>
        <v>242710.989364921</v>
      </c>
      <c r="Q136" s="575">
        <f t="shared" si="194"/>
        <v>63259.012051852405</v>
      </c>
      <c r="R136" s="575">
        <f t="shared" si="194"/>
        <v>105925.60901650022</v>
      </c>
      <c r="S136" s="575">
        <f t="shared" si="194"/>
        <v>74303.184365711641</v>
      </c>
      <c r="T136" s="575">
        <f t="shared" si="194"/>
        <v>0</v>
      </c>
      <c r="U136" s="575">
        <f t="shared" ref="O136:Y146" si="195">SUMIF($A$7:$A$132,$A136,U$7:U$132)</f>
        <v>30293.693694333542</v>
      </c>
      <c r="V136" s="575">
        <f t="shared" si="195"/>
        <v>0</v>
      </c>
      <c r="W136" s="575">
        <f t="shared" si="195"/>
        <v>0</v>
      </c>
      <c r="X136" s="679">
        <f t="shared" si="195"/>
        <v>0</v>
      </c>
      <c r="Y136" s="679">
        <f t="shared" si="195"/>
        <v>0</v>
      </c>
      <c r="Z136" s="169">
        <f t="shared" ref="Z136:AJ146" si="196">SUMIF($A$7:$A$132,$A136,Z$7:Z$132)</f>
        <v>7</v>
      </c>
      <c r="AA136" s="170">
        <f t="shared" si="196"/>
        <v>29</v>
      </c>
      <c r="AB136" s="170">
        <f t="shared" si="196"/>
        <v>9</v>
      </c>
      <c r="AC136" s="170">
        <f t="shared" si="196"/>
        <v>16</v>
      </c>
      <c r="AD136" s="170">
        <f t="shared" si="196"/>
        <v>11</v>
      </c>
      <c r="AE136" s="170">
        <f t="shared" si="196"/>
        <v>0</v>
      </c>
      <c r="AF136" s="170">
        <f t="shared" si="196"/>
        <v>20</v>
      </c>
      <c r="AG136" s="170">
        <f t="shared" si="196"/>
        <v>0</v>
      </c>
      <c r="AH136" s="170">
        <f t="shared" si="196"/>
        <v>0</v>
      </c>
      <c r="AI136" s="170">
        <f t="shared" si="196"/>
        <v>0</v>
      </c>
      <c r="AJ136" s="613">
        <f t="shared" si="196"/>
        <v>0</v>
      </c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282"/>
      <c r="AX136" s="282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420">
        <f t="shared" ref="CE136:CL146" si="197">SUMIF($A$7:$A$132,$A136,CE$7:CE$132)</f>
        <v>0</v>
      </c>
      <c r="CF136" s="144">
        <f t="shared" si="197"/>
        <v>0</v>
      </c>
      <c r="CG136" s="144">
        <f t="shared" si="197"/>
        <v>0</v>
      </c>
      <c r="CH136" s="144">
        <f t="shared" si="197"/>
        <v>0</v>
      </c>
      <c r="CI136" s="144">
        <f t="shared" si="197"/>
        <v>0</v>
      </c>
      <c r="CJ136" s="144">
        <f t="shared" si="197"/>
        <v>0</v>
      </c>
      <c r="CK136" s="144">
        <f t="shared" si="197"/>
        <v>0</v>
      </c>
      <c r="CL136" s="293">
        <f t="shared" si="197"/>
        <v>0</v>
      </c>
      <c r="CM136" s="294"/>
      <c r="CN136" s="294"/>
      <c r="CO136" s="294"/>
      <c r="CP136" s="19"/>
      <c r="CQ136" s="788">
        <f t="shared" ref="CQ136:CX146" si="198">SUMIF($A$7:$A$132,$A136,CQ$7:CQ$132)</f>
        <v>0</v>
      </c>
      <c r="CR136" s="783">
        <f t="shared" si="198"/>
        <v>0</v>
      </c>
      <c r="CS136" s="79">
        <f t="shared" si="198"/>
        <v>0</v>
      </c>
      <c r="CT136" s="79">
        <f t="shared" si="198"/>
        <v>0</v>
      </c>
      <c r="CU136" s="79">
        <f t="shared" si="198"/>
        <v>0</v>
      </c>
      <c r="CV136" s="79">
        <f t="shared" si="198"/>
        <v>0</v>
      </c>
      <c r="CW136" s="79">
        <f t="shared" si="198"/>
        <v>0</v>
      </c>
      <c r="CX136" s="80">
        <f t="shared" si="198"/>
        <v>0</v>
      </c>
    </row>
    <row r="137" spans="1:103" x14ac:dyDescent="0.25">
      <c r="A137" s="81" t="s">
        <v>27</v>
      </c>
      <c r="B137" s="171"/>
      <c r="C137" s="82" t="s">
        <v>410</v>
      </c>
      <c r="D137" s="172">
        <f t="shared" si="194"/>
        <v>2675029.2390718455</v>
      </c>
      <c r="E137" s="173">
        <f t="shared" si="194"/>
        <v>4244271.4095788896</v>
      </c>
      <c r="F137" s="173">
        <f t="shared" si="194"/>
        <v>3897343.8968355507</v>
      </c>
      <c r="G137" s="173">
        <f t="shared" si="194"/>
        <v>6283767.1062243329</v>
      </c>
      <c r="H137" s="173">
        <f t="shared" si="194"/>
        <v>6115375.8841501391</v>
      </c>
      <c r="I137" s="173">
        <f t="shared" si="194"/>
        <v>5445944.5098889573</v>
      </c>
      <c r="J137" s="173">
        <f t="shared" si="194"/>
        <v>3519050.1785957138</v>
      </c>
      <c r="K137" s="173">
        <f t="shared" si="194"/>
        <v>14464.950824510001</v>
      </c>
      <c r="L137" s="173">
        <f t="shared" si="194"/>
        <v>0</v>
      </c>
      <c r="M137" s="659">
        <f t="shared" si="194"/>
        <v>0</v>
      </c>
      <c r="N137" s="659">
        <f t="shared" si="194"/>
        <v>0</v>
      </c>
      <c r="O137" s="580">
        <f t="shared" si="195"/>
        <v>3599134.9937715754</v>
      </c>
      <c r="P137" s="576">
        <f t="shared" si="195"/>
        <v>5625488.5711293211</v>
      </c>
      <c r="Q137" s="576">
        <f t="shared" si="195"/>
        <v>5113337.5935465684</v>
      </c>
      <c r="R137" s="576">
        <f t="shared" si="195"/>
        <v>8087941.8943269942</v>
      </c>
      <c r="S137" s="576">
        <f t="shared" si="195"/>
        <v>7710992.4107830599</v>
      </c>
      <c r="T137" s="576">
        <f t="shared" si="195"/>
        <v>6759224.7401709855</v>
      </c>
      <c r="U137" s="576">
        <f t="shared" si="195"/>
        <v>4382934.6766783549</v>
      </c>
      <c r="V137" s="576">
        <f t="shared" si="195"/>
        <v>17348.665912446533</v>
      </c>
      <c r="W137" s="576">
        <f t="shared" si="195"/>
        <v>0</v>
      </c>
      <c r="X137" s="680">
        <f t="shared" si="195"/>
        <v>0</v>
      </c>
      <c r="Y137" s="680">
        <f t="shared" si="195"/>
        <v>0</v>
      </c>
      <c r="Z137" s="174">
        <f t="shared" si="196"/>
        <v>389</v>
      </c>
      <c r="AA137" s="175">
        <f t="shared" si="196"/>
        <v>510</v>
      </c>
      <c r="AB137" s="175">
        <f t="shared" si="196"/>
        <v>441.99999999999994</v>
      </c>
      <c r="AC137" s="175">
        <f t="shared" si="196"/>
        <v>664</v>
      </c>
      <c r="AD137" s="175">
        <f t="shared" si="196"/>
        <v>746</v>
      </c>
      <c r="AE137" s="175">
        <f t="shared" si="196"/>
        <v>713</v>
      </c>
      <c r="AF137" s="175">
        <f t="shared" si="196"/>
        <v>397</v>
      </c>
      <c r="AG137" s="175">
        <f t="shared" si="196"/>
        <v>2</v>
      </c>
      <c r="AH137" s="175">
        <f t="shared" si="196"/>
        <v>0</v>
      </c>
      <c r="AI137" s="175">
        <f t="shared" si="196"/>
        <v>0</v>
      </c>
      <c r="AJ137" s="614">
        <f t="shared" si="196"/>
        <v>0</v>
      </c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282"/>
      <c r="AX137" s="282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421">
        <f t="shared" si="197"/>
        <v>222.39999999999998</v>
      </c>
      <c r="CF137" s="96">
        <f t="shared" si="197"/>
        <v>222.39999999999998</v>
      </c>
      <c r="CG137" s="96">
        <f t="shared" si="197"/>
        <v>222.39999999999998</v>
      </c>
      <c r="CH137" s="96">
        <f t="shared" si="197"/>
        <v>222.39999999999998</v>
      </c>
      <c r="CI137" s="96">
        <f t="shared" si="197"/>
        <v>222.39999999999998</v>
      </c>
      <c r="CJ137" s="96">
        <f t="shared" si="197"/>
        <v>222.39999999999998</v>
      </c>
      <c r="CK137" s="96">
        <f t="shared" si="197"/>
        <v>222.39999999999998</v>
      </c>
      <c r="CL137" s="286">
        <f t="shared" si="197"/>
        <v>222.39999999999998</v>
      </c>
      <c r="CM137" s="294"/>
      <c r="CN137" s="294"/>
      <c r="CO137" s="294"/>
      <c r="CP137" s="19"/>
      <c r="CQ137" s="789">
        <f t="shared" si="198"/>
        <v>513617.64410564757</v>
      </c>
      <c r="CR137" s="784">
        <f t="shared" si="198"/>
        <v>513617.64410564757</v>
      </c>
      <c r="CS137" s="97">
        <f t="shared" si="198"/>
        <v>513617.64410564757</v>
      </c>
      <c r="CT137" s="97">
        <f t="shared" si="198"/>
        <v>513617.64410564757</v>
      </c>
      <c r="CU137" s="97">
        <f t="shared" si="198"/>
        <v>513617.64410564757</v>
      </c>
      <c r="CV137" s="97">
        <f t="shared" si="198"/>
        <v>513617.64410564757</v>
      </c>
      <c r="CW137" s="97">
        <f t="shared" si="198"/>
        <v>513617.64410564757</v>
      </c>
      <c r="CX137" s="98">
        <f t="shared" si="198"/>
        <v>513617.64410564757</v>
      </c>
    </row>
    <row r="138" spans="1:103" x14ac:dyDescent="0.25">
      <c r="A138" s="81" t="s">
        <v>68</v>
      </c>
      <c r="B138" s="171"/>
      <c r="C138" s="82" t="s">
        <v>411</v>
      </c>
      <c r="D138" s="172">
        <f t="shared" si="194"/>
        <v>1470587.6682608328</v>
      </c>
      <c r="E138" s="173">
        <f t="shared" si="194"/>
        <v>2168372.3249028511</v>
      </c>
      <c r="F138" s="173">
        <f t="shared" si="194"/>
        <v>3228439.4217131836</v>
      </c>
      <c r="G138" s="173">
        <f t="shared" si="194"/>
        <v>3296897.2133210478</v>
      </c>
      <c r="H138" s="173">
        <f t="shared" si="194"/>
        <v>4239972.5503604449</v>
      </c>
      <c r="I138" s="173">
        <f t="shared" si="194"/>
        <v>3567582.2064260365</v>
      </c>
      <c r="J138" s="173">
        <f t="shared" si="194"/>
        <v>4669943.5328898616</v>
      </c>
      <c r="K138" s="173">
        <f t="shared" si="194"/>
        <v>306497.16952327196</v>
      </c>
      <c r="L138" s="173">
        <f t="shared" si="194"/>
        <v>0</v>
      </c>
      <c r="M138" s="659">
        <f t="shared" si="194"/>
        <v>0</v>
      </c>
      <c r="N138" s="659">
        <f t="shared" si="194"/>
        <v>0</v>
      </c>
      <c r="O138" s="580">
        <f t="shared" si="195"/>
        <v>1978611.4712088024</v>
      </c>
      <c r="P138" s="576">
        <f t="shared" si="195"/>
        <v>2874027.7316300063</v>
      </c>
      <c r="Q138" s="576">
        <f t="shared" si="195"/>
        <v>4235731.0775006339</v>
      </c>
      <c r="R138" s="576">
        <f t="shared" si="195"/>
        <v>4243491.6256677173</v>
      </c>
      <c r="S138" s="576">
        <f t="shared" si="195"/>
        <v>5346261.0928782616</v>
      </c>
      <c r="T138" s="576">
        <f t="shared" si="195"/>
        <v>4427898.57085054</v>
      </c>
      <c r="U138" s="576">
        <f t="shared" si="195"/>
        <v>5816358.5085906992</v>
      </c>
      <c r="V138" s="576">
        <f t="shared" si="195"/>
        <v>367600.07425395853</v>
      </c>
      <c r="W138" s="576">
        <f t="shared" si="195"/>
        <v>0</v>
      </c>
      <c r="X138" s="680">
        <f t="shared" si="195"/>
        <v>0</v>
      </c>
      <c r="Y138" s="680">
        <f t="shared" si="195"/>
        <v>0</v>
      </c>
      <c r="Z138" s="174">
        <f t="shared" si="196"/>
        <v>1032</v>
      </c>
      <c r="AA138" s="175">
        <f t="shared" si="196"/>
        <v>1348</v>
      </c>
      <c r="AB138" s="175">
        <f t="shared" si="196"/>
        <v>1490</v>
      </c>
      <c r="AC138" s="175">
        <f t="shared" si="196"/>
        <v>1661</v>
      </c>
      <c r="AD138" s="175">
        <f t="shared" si="196"/>
        <v>2242</v>
      </c>
      <c r="AE138" s="175">
        <f t="shared" si="196"/>
        <v>1663</v>
      </c>
      <c r="AF138" s="175">
        <f t="shared" si="196"/>
        <v>1911</v>
      </c>
      <c r="AG138" s="175">
        <f t="shared" si="196"/>
        <v>98</v>
      </c>
      <c r="AH138" s="175">
        <f t="shared" si="196"/>
        <v>0</v>
      </c>
      <c r="AI138" s="175">
        <f t="shared" si="196"/>
        <v>0</v>
      </c>
      <c r="AJ138" s="614">
        <f t="shared" si="196"/>
        <v>0</v>
      </c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282"/>
      <c r="AX138" s="282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421">
        <f t="shared" si="197"/>
        <v>734.40000000000009</v>
      </c>
      <c r="CF138" s="96">
        <f t="shared" si="197"/>
        <v>734.40000000000009</v>
      </c>
      <c r="CG138" s="96">
        <f t="shared" si="197"/>
        <v>734.40000000000009</v>
      </c>
      <c r="CH138" s="96">
        <f t="shared" si="197"/>
        <v>800.43596720640016</v>
      </c>
      <c r="CI138" s="96">
        <f t="shared" si="197"/>
        <v>800.43596720640016</v>
      </c>
      <c r="CJ138" s="96">
        <f t="shared" si="197"/>
        <v>800.43596720640016</v>
      </c>
      <c r="CK138" s="96">
        <f t="shared" si="197"/>
        <v>800.43596720640016</v>
      </c>
      <c r="CL138" s="286">
        <f t="shared" si="197"/>
        <v>800.43596720640016</v>
      </c>
      <c r="CM138" s="294"/>
      <c r="CN138" s="294"/>
      <c r="CO138" s="294"/>
      <c r="CP138" s="19"/>
      <c r="CQ138" s="789">
        <f t="shared" si="198"/>
        <v>1893956.5871941531</v>
      </c>
      <c r="CR138" s="784">
        <f t="shared" si="198"/>
        <v>1893956.5871941531</v>
      </c>
      <c r="CS138" s="97">
        <f t="shared" si="198"/>
        <v>1893956.5871941531</v>
      </c>
      <c r="CT138" s="97">
        <f t="shared" si="198"/>
        <v>2064257.860454363</v>
      </c>
      <c r="CU138" s="97">
        <f t="shared" si="198"/>
        <v>2064257.860454363</v>
      </c>
      <c r="CV138" s="97">
        <f t="shared" si="198"/>
        <v>2064257.860454363</v>
      </c>
      <c r="CW138" s="97">
        <f t="shared" si="198"/>
        <v>2064257.860454363</v>
      </c>
      <c r="CX138" s="98">
        <f t="shared" si="198"/>
        <v>2064257.860454363</v>
      </c>
    </row>
    <row r="139" spans="1:103" x14ac:dyDescent="0.25">
      <c r="A139" s="81" t="s">
        <v>81</v>
      </c>
      <c r="B139" s="171"/>
      <c r="C139" s="82" t="s">
        <v>270</v>
      </c>
      <c r="D139" s="172">
        <f t="shared" si="194"/>
        <v>186629.29739311419</v>
      </c>
      <c r="E139" s="173">
        <f t="shared" si="194"/>
        <v>328839.69522307569</v>
      </c>
      <c r="F139" s="173">
        <f t="shared" si="194"/>
        <v>608165.15381260379</v>
      </c>
      <c r="G139" s="173">
        <f t="shared" si="194"/>
        <v>265756.45935534383</v>
      </c>
      <c r="H139" s="173">
        <f t="shared" si="194"/>
        <v>357856.66805105348</v>
      </c>
      <c r="I139" s="173">
        <f t="shared" si="194"/>
        <v>261951.97845001894</v>
      </c>
      <c r="J139" s="173">
        <f t="shared" si="194"/>
        <v>132479.65026315025</v>
      </c>
      <c r="K139" s="173">
        <f t="shared" si="194"/>
        <v>-2833.5</v>
      </c>
      <c r="L139" s="173">
        <f t="shared" si="194"/>
        <v>0</v>
      </c>
      <c r="M139" s="659">
        <f t="shared" si="194"/>
        <v>0</v>
      </c>
      <c r="N139" s="659">
        <f t="shared" si="194"/>
        <v>0</v>
      </c>
      <c r="O139" s="580">
        <f t="shared" si="195"/>
        <v>251101.56752664896</v>
      </c>
      <c r="P139" s="576">
        <f t="shared" si="195"/>
        <v>435854.30070189701</v>
      </c>
      <c r="Q139" s="576">
        <f t="shared" si="195"/>
        <v>797916.17737402744</v>
      </c>
      <c r="R139" s="576">
        <f t="shared" si="195"/>
        <v>342059.59020648635</v>
      </c>
      <c r="S139" s="576">
        <f t="shared" si="195"/>
        <v>451228.19983015122</v>
      </c>
      <c r="T139" s="576">
        <f t="shared" si="195"/>
        <v>325121.25128359179</v>
      </c>
      <c r="U139" s="576">
        <f t="shared" si="195"/>
        <v>165001.81117743871</v>
      </c>
      <c r="V139" s="576">
        <f t="shared" si="195"/>
        <v>-3398.3831303195911</v>
      </c>
      <c r="W139" s="576">
        <f t="shared" si="195"/>
        <v>0</v>
      </c>
      <c r="X139" s="680">
        <f t="shared" si="195"/>
        <v>0</v>
      </c>
      <c r="Y139" s="680">
        <f t="shared" si="195"/>
        <v>0</v>
      </c>
      <c r="Z139" s="174">
        <f t="shared" si="196"/>
        <v>2</v>
      </c>
      <c r="AA139" s="175">
        <f t="shared" si="196"/>
        <v>6</v>
      </c>
      <c r="AB139" s="175">
        <f t="shared" si="196"/>
        <v>5</v>
      </c>
      <c r="AC139" s="175">
        <f t="shared" si="196"/>
        <v>6</v>
      </c>
      <c r="AD139" s="175">
        <f t="shared" si="196"/>
        <v>7</v>
      </c>
      <c r="AE139" s="175">
        <f t="shared" si="196"/>
        <v>4.7011967960000005</v>
      </c>
      <c r="AF139" s="175">
        <f t="shared" si="196"/>
        <v>-1.2718333340000001</v>
      </c>
      <c r="AG139" s="175">
        <f t="shared" si="196"/>
        <v>-1.1113333333333324</v>
      </c>
      <c r="AH139" s="175">
        <f t="shared" si="196"/>
        <v>0</v>
      </c>
      <c r="AI139" s="175">
        <f t="shared" si="196"/>
        <v>0</v>
      </c>
      <c r="AJ139" s="614">
        <f t="shared" si="196"/>
        <v>0</v>
      </c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282"/>
      <c r="AX139" s="282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421">
        <f t="shared" si="197"/>
        <v>0.46360602573333354</v>
      </c>
      <c r="CF139" s="96">
        <f t="shared" si="197"/>
        <v>0.46360602573333354</v>
      </c>
      <c r="CG139" s="96">
        <f t="shared" si="197"/>
        <v>0.46360602573333354</v>
      </c>
      <c r="CH139" s="96">
        <f t="shared" si="197"/>
        <v>1.1430409827173791</v>
      </c>
      <c r="CI139" s="96">
        <f t="shared" si="197"/>
        <v>1.1430409827173791</v>
      </c>
      <c r="CJ139" s="96">
        <f t="shared" si="197"/>
        <v>1.1430409827173791</v>
      </c>
      <c r="CK139" s="96">
        <f t="shared" si="197"/>
        <v>1.1430409827173791</v>
      </c>
      <c r="CL139" s="286">
        <f t="shared" si="197"/>
        <v>1.1430409827173791</v>
      </c>
      <c r="CM139" s="294"/>
      <c r="CN139" s="294"/>
      <c r="CO139" s="294"/>
      <c r="CP139" s="19"/>
      <c r="CQ139" s="789">
        <f t="shared" si="198"/>
        <v>9185.1577774723482</v>
      </c>
      <c r="CR139" s="784">
        <f t="shared" si="198"/>
        <v>9185.1577774723482</v>
      </c>
      <c r="CS139" s="97">
        <f t="shared" si="198"/>
        <v>9185.1577774723482</v>
      </c>
      <c r="CT139" s="97">
        <f t="shared" si="198"/>
        <v>23537.242359506221</v>
      </c>
      <c r="CU139" s="97">
        <f t="shared" si="198"/>
        <v>23537.242359506221</v>
      </c>
      <c r="CV139" s="97">
        <f t="shared" si="198"/>
        <v>23537.242359506221</v>
      </c>
      <c r="CW139" s="97">
        <f t="shared" si="198"/>
        <v>23537.242359506221</v>
      </c>
      <c r="CX139" s="98">
        <f t="shared" si="198"/>
        <v>23537.242359506221</v>
      </c>
    </row>
    <row r="140" spans="1:103" x14ac:dyDescent="0.25">
      <c r="A140" s="81" t="s">
        <v>94</v>
      </c>
      <c r="B140" s="171"/>
      <c r="C140" s="82" t="s">
        <v>412</v>
      </c>
      <c r="D140" s="172">
        <f t="shared" si="194"/>
        <v>224798.41709706615</v>
      </c>
      <c r="E140" s="173">
        <f t="shared" si="194"/>
        <v>623903.83403399913</v>
      </c>
      <c r="F140" s="173">
        <f t="shared" si="194"/>
        <v>110857.19320750519</v>
      </c>
      <c r="G140" s="173">
        <f t="shared" si="194"/>
        <v>413708.462393302</v>
      </c>
      <c r="H140" s="173">
        <f t="shared" si="194"/>
        <v>128296.86047518856</v>
      </c>
      <c r="I140" s="173">
        <f t="shared" si="194"/>
        <v>362831.21782281395</v>
      </c>
      <c r="J140" s="173">
        <f t="shared" si="194"/>
        <v>521920.97954554739</v>
      </c>
      <c r="K140" s="173">
        <f t="shared" si="194"/>
        <v>69326.937387307</v>
      </c>
      <c r="L140" s="173">
        <f t="shared" si="194"/>
        <v>0</v>
      </c>
      <c r="M140" s="659">
        <f t="shared" si="194"/>
        <v>0</v>
      </c>
      <c r="N140" s="659">
        <f t="shared" si="194"/>
        <v>0</v>
      </c>
      <c r="O140" s="580">
        <f t="shared" si="195"/>
        <v>302456.4508308834</v>
      </c>
      <c r="P140" s="576">
        <f t="shared" si="195"/>
        <v>826941.43449941638</v>
      </c>
      <c r="Q140" s="576">
        <f t="shared" si="195"/>
        <v>145445.27466597079</v>
      </c>
      <c r="R140" s="576">
        <f t="shared" si="195"/>
        <v>532491.09148459509</v>
      </c>
      <c r="S140" s="576">
        <f t="shared" si="195"/>
        <v>161771.92313158291</v>
      </c>
      <c r="T140" s="576">
        <f t="shared" si="195"/>
        <v>450327.34717753076</v>
      </c>
      <c r="U140" s="576">
        <f t="shared" si="195"/>
        <v>650046.30330362753</v>
      </c>
      <c r="V140" s="576">
        <f t="shared" si="195"/>
        <v>83147.871711221698</v>
      </c>
      <c r="W140" s="576">
        <f t="shared" si="195"/>
        <v>0</v>
      </c>
      <c r="X140" s="680">
        <f t="shared" si="195"/>
        <v>0</v>
      </c>
      <c r="Y140" s="680">
        <f t="shared" si="195"/>
        <v>0</v>
      </c>
      <c r="Z140" s="174">
        <f t="shared" si="196"/>
        <v>0</v>
      </c>
      <c r="AA140" s="175">
        <f t="shared" si="196"/>
        <v>1</v>
      </c>
      <c r="AB140" s="175">
        <f t="shared" si="196"/>
        <v>0</v>
      </c>
      <c r="AC140" s="175">
        <f t="shared" si="196"/>
        <v>2</v>
      </c>
      <c r="AD140" s="175">
        <f t="shared" si="196"/>
        <v>0</v>
      </c>
      <c r="AE140" s="175">
        <f t="shared" si="196"/>
        <v>0.60568001099999991</v>
      </c>
      <c r="AF140" s="175">
        <f t="shared" si="196"/>
        <v>1.6413333320000001</v>
      </c>
      <c r="AG140" s="175">
        <f t="shared" si="196"/>
        <v>0.2153333333333331</v>
      </c>
      <c r="AH140" s="175">
        <f t="shared" si="196"/>
        <v>0</v>
      </c>
      <c r="AI140" s="175">
        <f t="shared" si="196"/>
        <v>0</v>
      </c>
      <c r="AJ140" s="614">
        <f t="shared" si="196"/>
        <v>0</v>
      </c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282"/>
      <c r="AX140" s="282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421">
        <f t="shared" si="197"/>
        <v>0.49246933526666664</v>
      </c>
      <c r="CF140" s="96">
        <f t="shared" si="197"/>
        <v>0.49246933526666664</v>
      </c>
      <c r="CG140" s="96">
        <f t="shared" si="197"/>
        <v>0.49246933526666664</v>
      </c>
      <c r="CH140" s="96">
        <f t="shared" si="197"/>
        <v>0.49246933526666664</v>
      </c>
      <c r="CI140" s="96">
        <f t="shared" si="197"/>
        <v>0.49246933526666664</v>
      </c>
      <c r="CJ140" s="96">
        <f t="shared" si="197"/>
        <v>0.49246933526666664</v>
      </c>
      <c r="CK140" s="96">
        <f t="shared" si="197"/>
        <v>0.49246933526666664</v>
      </c>
      <c r="CL140" s="286">
        <f t="shared" si="197"/>
        <v>0.49246933526666664</v>
      </c>
      <c r="CM140" s="294"/>
      <c r="CN140" s="294"/>
      <c r="CO140" s="294"/>
      <c r="CP140" s="19"/>
      <c r="CQ140" s="789">
        <f t="shared" si="198"/>
        <v>131614.72271961218</v>
      </c>
      <c r="CR140" s="784">
        <f t="shared" si="198"/>
        <v>131614.72271961218</v>
      </c>
      <c r="CS140" s="97">
        <f t="shared" si="198"/>
        <v>131614.72271961218</v>
      </c>
      <c r="CT140" s="97">
        <f t="shared" si="198"/>
        <v>131614.72271961218</v>
      </c>
      <c r="CU140" s="97">
        <f t="shared" si="198"/>
        <v>131614.72271961218</v>
      </c>
      <c r="CV140" s="97">
        <f t="shared" si="198"/>
        <v>131614.72271961218</v>
      </c>
      <c r="CW140" s="97">
        <f t="shared" si="198"/>
        <v>131614.72271961218</v>
      </c>
      <c r="CX140" s="98">
        <f t="shared" si="198"/>
        <v>131614.72271961218</v>
      </c>
    </row>
    <row r="141" spans="1:103" x14ac:dyDescent="0.25">
      <c r="A141" s="81" t="s">
        <v>106</v>
      </c>
      <c r="B141" s="171"/>
      <c r="C141" s="82" t="s">
        <v>272</v>
      </c>
      <c r="D141" s="172">
        <f t="shared" si="194"/>
        <v>410957.14402411634</v>
      </c>
      <c r="E141" s="173">
        <f t="shared" si="194"/>
        <v>613869.19778734236</v>
      </c>
      <c r="F141" s="173">
        <f t="shared" si="194"/>
        <v>652881.65166505647</v>
      </c>
      <c r="G141" s="173">
        <f t="shared" si="194"/>
        <v>612225.93445166643</v>
      </c>
      <c r="H141" s="173">
        <f t="shared" si="194"/>
        <v>737294.92341734795</v>
      </c>
      <c r="I141" s="173">
        <f t="shared" si="194"/>
        <v>285003.02711558307</v>
      </c>
      <c r="J141" s="173">
        <f t="shared" si="194"/>
        <v>305940.06008473178</v>
      </c>
      <c r="K141" s="173">
        <f t="shared" si="194"/>
        <v>11790.729485974</v>
      </c>
      <c r="L141" s="173">
        <f t="shared" si="194"/>
        <v>0</v>
      </c>
      <c r="M141" s="659">
        <f t="shared" si="194"/>
        <v>0</v>
      </c>
      <c r="N141" s="659">
        <f t="shared" si="194"/>
        <v>0</v>
      </c>
      <c r="O141" s="580">
        <f t="shared" si="195"/>
        <v>552924.88635033451</v>
      </c>
      <c r="P141" s="576">
        <f t="shared" si="195"/>
        <v>813641.21731876978</v>
      </c>
      <c r="Q141" s="576">
        <f t="shared" si="195"/>
        <v>856584.47957500676</v>
      </c>
      <c r="R141" s="576">
        <f t="shared" si="195"/>
        <v>788006.25490087154</v>
      </c>
      <c r="S141" s="576">
        <f t="shared" si="195"/>
        <v>929669.02880249312</v>
      </c>
      <c r="T141" s="576">
        <f t="shared" si="195"/>
        <v>353731.02102036489</v>
      </c>
      <c r="U141" s="576">
        <f t="shared" si="195"/>
        <v>381044.66554254311</v>
      </c>
      <c r="V141" s="576">
        <f t="shared" si="195"/>
        <v>14141.315044748837</v>
      </c>
      <c r="W141" s="576">
        <f t="shared" si="195"/>
        <v>0</v>
      </c>
      <c r="X141" s="680">
        <f t="shared" si="195"/>
        <v>0</v>
      </c>
      <c r="Y141" s="680">
        <f t="shared" si="195"/>
        <v>0</v>
      </c>
      <c r="Z141" s="174">
        <f t="shared" si="196"/>
        <v>425</v>
      </c>
      <c r="AA141" s="175">
        <f t="shared" si="196"/>
        <v>759</v>
      </c>
      <c r="AB141" s="175">
        <f t="shared" si="196"/>
        <v>586</v>
      </c>
      <c r="AC141" s="175">
        <f t="shared" si="196"/>
        <v>647</v>
      </c>
      <c r="AD141" s="175">
        <f t="shared" si="196"/>
        <v>772</v>
      </c>
      <c r="AE141" s="175">
        <f t="shared" si="196"/>
        <v>528.44998894200023</v>
      </c>
      <c r="AF141" s="175">
        <f t="shared" si="196"/>
        <v>445.29969706600002</v>
      </c>
      <c r="AG141" s="175">
        <f t="shared" si="196"/>
        <v>1.984848596</v>
      </c>
      <c r="AH141" s="175">
        <f t="shared" si="196"/>
        <v>0</v>
      </c>
      <c r="AI141" s="175">
        <f t="shared" si="196"/>
        <v>0</v>
      </c>
      <c r="AJ141" s="614">
        <f t="shared" si="196"/>
        <v>0</v>
      </c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282"/>
      <c r="AX141" s="282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421">
        <f t="shared" si="197"/>
        <v>195.14690692080006</v>
      </c>
      <c r="CF141" s="96">
        <f t="shared" si="197"/>
        <v>195.14690692080006</v>
      </c>
      <c r="CG141" s="96">
        <f t="shared" si="197"/>
        <v>195.14690692080006</v>
      </c>
      <c r="CH141" s="96">
        <f t="shared" si="197"/>
        <v>195.14690692080006</v>
      </c>
      <c r="CI141" s="96">
        <f t="shared" si="197"/>
        <v>195.14690692080006</v>
      </c>
      <c r="CJ141" s="96">
        <f t="shared" si="197"/>
        <v>195.14690692080006</v>
      </c>
      <c r="CK141" s="96">
        <f t="shared" si="197"/>
        <v>195.14690692080006</v>
      </c>
      <c r="CL141" s="286">
        <f t="shared" si="197"/>
        <v>195.14690692080006</v>
      </c>
      <c r="CM141" s="294"/>
      <c r="CN141" s="294"/>
      <c r="CO141" s="294"/>
      <c r="CP141" s="19"/>
      <c r="CQ141" s="789">
        <f t="shared" si="198"/>
        <v>2358.1458971948</v>
      </c>
      <c r="CR141" s="784">
        <f t="shared" si="198"/>
        <v>2358.1458971948</v>
      </c>
      <c r="CS141" s="97">
        <f t="shared" si="198"/>
        <v>2358.1458971948</v>
      </c>
      <c r="CT141" s="97">
        <f t="shared" si="198"/>
        <v>2358.1458971948</v>
      </c>
      <c r="CU141" s="97">
        <f t="shared" si="198"/>
        <v>2358.1458971948</v>
      </c>
      <c r="CV141" s="97">
        <f t="shared" si="198"/>
        <v>2358.1458971948</v>
      </c>
      <c r="CW141" s="97">
        <f t="shared" si="198"/>
        <v>2358.1458971948</v>
      </c>
      <c r="CX141" s="98">
        <f t="shared" si="198"/>
        <v>2358.1458971948</v>
      </c>
    </row>
    <row r="142" spans="1:103" x14ac:dyDescent="0.25">
      <c r="A142" s="81" t="s">
        <v>138</v>
      </c>
      <c r="B142" s="171"/>
      <c r="C142" s="82" t="s">
        <v>413</v>
      </c>
      <c r="D142" s="172">
        <f t="shared" si="194"/>
        <v>2466538.2089454941</v>
      </c>
      <c r="E142" s="173">
        <f t="shared" si="194"/>
        <v>2449193.685716087</v>
      </c>
      <c r="F142" s="173">
        <f t="shared" si="194"/>
        <v>3988526.2352777137</v>
      </c>
      <c r="G142" s="173">
        <f t="shared" si="194"/>
        <v>2568701.4728382989</v>
      </c>
      <c r="H142" s="173">
        <f t="shared" si="194"/>
        <v>3674177.146668626</v>
      </c>
      <c r="I142" s="173">
        <f t="shared" si="194"/>
        <v>3706281.9990303107</v>
      </c>
      <c r="J142" s="173">
        <f t="shared" si="194"/>
        <v>3983982.7676266595</v>
      </c>
      <c r="K142" s="173">
        <f t="shared" si="194"/>
        <v>698.79600000000005</v>
      </c>
      <c r="L142" s="173">
        <f t="shared" si="194"/>
        <v>0</v>
      </c>
      <c r="M142" s="659">
        <f t="shared" si="194"/>
        <v>0</v>
      </c>
      <c r="N142" s="659">
        <f t="shared" si="194"/>
        <v>0</v>
      </c>
      <c r="O142" s="580">
        <f t="shared" si="195"/>
        <v>3318619.4197901865</v>
      </c>
      <c r="P142" s="576">
        <f t="shared" si="195"/>
        <v>3246237.0470424201</v>
      </c>
      <c r="Q142" s="576">
        <f t="shared" si="195"/>
        <v>5232969.3456745679</v>
      </c>
      <c r="R142" s="576">
        <f t="shared" si="195"/>
        <v>3306218.6909520123</v>
      </c>
      <c r="S142" s="576">
        <f t="shared" si="195"/>
        <v>4632839.0323911542</v>
      </c>
      <c r="T142" s="576">
        <f t="shared" si="195"/>
        <v>4600045.5818832526</v>
      </c>
      <c r="U142" s="576">
        <f t="shared" si="195"/>
        <v>4962002.624949201</v>
      </c>
      <c r="V142" s="576">
        <f t="shared" si="195"/>
        <v>838.10712473436013</v>
      </c>
      <c r="W142" s="576">
        <f t="shared" si="195"/>
        <v>0</v>
      </c>
      <c r="X142" s="680">
        <f t="shared" si="195"/>
        <v>0</v>
      </c>
      <c r="Y142" s="680">
        <f t="shared" si="195"/>
        <v>0</v>
      </c>
      <c r="Z142" s="174">
        <f t="shared" si="196"/>
        <v>36</v>
      </c>
      <c r="AA142" s="175">
        <f t="shared" si="196"/>
        <v>48</v>
      </c>
      <c r="AB142" s="175">
        <f t="shared" si="196"/>
        <v>70</v>
      </c>
      <c r="AC142" s="175">
        <f t="shared" si="196"/>
        <v>58</v>
      </c>
      <c r="AD142" s="175">
        <f t="shared" si="196"/>
        <v>86</v>
      </c>
      <c r="AE142" s="175">
        <f t="shared" si="196"/>
        <v>109</v>
      </c>
      <c r="AF142" s="175">
        <f t="shared" si="196"/>
        <v>90</v>
      </c>
      <c r="AG142" s="175">
        <f t="shared" si="196"/>
        <v>0</v>
      </c>
      <c r="AH142" s="175">
        <f t="shared" si="196"/>
        <v>0</v>
      </c>
      <c r="AI142" s="175">
        <f t="shared" si="196"/>
        <v>0</v>
      </c>
      <c r="AJ142" s="614">
        <f t="shared" si="196"/>
        <v>0</v>
      </c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282"/>
      <c r="AX142" s="282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421">
        <f t="shared" si="197"/>
        <v>39.800000000000004</v>
      </c>
      <c r="CF142" s="96">
        <f t="shared" si="197"/>
        <v>39.800000000000004</v>
      </c>
      <c r="CG142" s="96">
        <f t="shared" si="197"/>
        <v>39.800000000000004</v>
      </c>
      <c r="CH142" s="96">
        <f t="shared" si="197"/>
        <v>34.825000000000003</v>
      </c>
      <c r="CI142" s="96">
        <f t="shared" si="197"/>
        <v>34.825000000000003</v>
      </c>
      <c r="CJ142" s="96">
        <f t="shared" si="197"/>
        <v>34.825000000000003</v>
      </c>
      <c r="CK142" s="96">
        <f t="shared" si="197"/>
        <v>34.825000000000003</v>
      </c>
      <c r="CL142" s="286">
        <f t="shared" si="197"/>
        <v>34.825000000000003</v>
      </c>
      <c r="CM142" s="294"/>
      <c r="CN142" s="294"/>
      <c r="CO142" s="294"/>
      <c r="CP142" s="19"/>
      <c r="CQ142" s="789">
        <f t="shared" si="198"/>
        <v>0</v>
      </c>
      <c r="CR142" s="784">
        <f t="shared" si="198"/>
        <v>0</v>
      </c>
      <c r="CS142" s="97">
        <f t="shared" si="198"/>
        <v>0</v>
      </c>
      <c r="CT142" s="97">
        <f t="shared" si="198"/>
        <v>0</v>
      </c>
      <c r="CU142" s="97">
        <f t="shared" si="198"/>
        <v>0</v>
      </c>
      <c r="CV142" s="97">
        <f t="shared" si="198"/>
        <v>0</v>
      </c>
      <c r="CW142" s="97">
        <f t="shared" si="198"/>
        <v>0</v>
      </c>
      <c r="CX142" s="98">
        <f t="shared" si="198"/>
        <v>0</v>
      </c>
    </row>
    <row r="143" spans="1:103" x14ac:dyDescent="0.25">
      <c r="A143" s="81" t="s">
        <v>196</v>
      </c>
      <c r="B143" s="171"/>
      <c r="C143" s="82" t="s">
        <v>274</v>
      </c>
      <c r="D143" s="172">
        <f t="shared" si="194"/>
        <v>983078.33092782518</v>
      </c>
      <c r="E143" s="173">
        <f t="shared" si="194"/>
        <v>692046.26674204506</v>
      </c>
      <c r="F143" s="173">
        <f t="shared" si="194"/>
        <v>1224271.7582784272</v>
      </c>
      <c r="G143" s="173">
        <f t="shared" si="194"/>
        <v>1269587.3860529752</v>
      </c>
      <c r="H143" s="173">
        <f t="shared" si="194"/>
        <v>949657.30932167731</v>
      </c>
      <c r="I143" s="173">
        <f t="shared" si="194"/>
        <v>2757625.5126693491</v>
      </c>
      <c r="J143" s="173">
        <f t="shared" si="194"/>
        <v>4078049.6567214294</v>
      </c>
      <c r="K143" s="173">
        <f t="shared" si="194"/>
        <v>153063.72650868603</v>
      </c>
      <c r="L143" s="173">
        <f t="shared" si="194"/>
        <v>0</v>
      </c>
      <c r="M143" s="659">
        <f t="shared" si="194"/>
        <v>0</v>
      </c>
      <c r="N143" s="659">
        <f t="shared" si="194"/>
        <v>0</v>
      </c>
      <c r="O143" s="580">
        <f t="shared" si="195"/>
        <v>1322688.9526218968</v>
      </c>
      <c r="P143" s="576">
        <f t="shared" si="195"/>
        <v>917259.52196736541</v>
      </c>
      <c r="Q143" s="576">
        <f t="shared" si="195"/>
        <v>1606251.5836504293</v>
      </c>
      <c r="R143" s="576">
        <f t="shared" si="195"/>
        <v>1634107.1899363881</v>
      </c>
      <c r="S143" s="576">
        <f t="shared" si="195"/>
        <v>1197440.7532337275</v>
      </c>
      <c r="T143" s="576">
        <f t="shared" si="195"/>
        <v>3422622.20180819</v>
      </c>
      <c r="U143" s="576">
        <f t="shared" si="195"/>
        <v>5079161.8040505489</v>
      </c>
      <c r="V143" s="576">
        <f t="shared" si="195"/>
        <v>183578.3257564744</v>
      </c>
      <c r="W143" s="576">
        <f t="shared" si="195"/>
        <v>0</v>
      </c>
      <c r="X143" s="680">
        <f t="shared" si="195"/>
        <v>0</v>
      </c>
      <c r="Y143" s="680">
        <f t="shared" si="195"/>
        <v>0</v>
      </c>
      <c r="Z143" s="174">
        <f t="shared" si="196"/>
        <v>167</v>
      </c>
      <c r="AA143" s="175">
        <f t="shared" si="196"/>
        <v>185</v>
      </c>
      <c r="AB143" s="175">
        <f t="shared" si="196"/>
        <v>293</v>
      </c>
      <c r="AC143" s="175">
        <f t="shared" si="196"/>
        <v>274</v>
      </c>
      <c r="AD143" s="175">
        <f t="shared" si="196"/>
        <v>300</v>
      </c>
      <c r="AE143" s="175">
        <f t="shared" si="196"/>
        <v>10399</v>
      </c>
      <c r="AF143" s="175">
        <f t="shared" si="196"/>
        <v>376</v>
      </c>
      <c r="AG143" s="175">
        <f t="shared" si="196"/>
        <v>19</v>
      </c>
      <c r="AH143" s="175">
        <f t="shared" si="196"/>
        <v>0</v>
      </c>
      <c r="AI143" s="175">
        <f t="shared" si="196"/>
        <v>0</v>
      </c>
      <c r="AJ143" s="614">
        <f t="shared" si="196"/>
        <v>0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282"/>
      <c r="AX143" s="282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421">
        <f t="shared" si="197"/>
        <v>83.866666666666674</v>
      </c>
      <c r="CF143" s="96">
        <f t="shared" si="197"/>
        <v>83.866666666666674</v>
      </c>
      <c r="CG143" s="96">
        <f t="shared" si="197"/>
        <v>83.866666666666674</v>
      </c>
      <c r="CH143" s="96">
        <f t="shared" si="197"/>
        <v>64.879895494706673</v>
      </c>
      <c r="CI143" s="96">
        <f t="shared" si="197"/>
        <v>64.879895494706673</v>
      </c>
      <c r="CJ143" s="96">
        <f t="shared" si="197"/>
        <v>64.879895494706673</v>
      </c>
      <c r="CK143" s="96">
        <f t="shared" si="197"/>
        <v>64.879895494706673</v>
      </c>
      <c r="CL143" s="286">
        <f t="shared" si="197"/>
        <v>64.879895494706673</v>
      </c>
      <c r="CM143" s="294"/>
      <c r="CN143" s="294"/>
      <c r="CO143" s="294"/>
      <c r="CP143" s="19"/>
      <c r="CQ143" s="789">
        <f t="shared" si="198"/>
        <v>248359.02412623915</v>
      </c>
      <c r="CR143" s="784">
        <f t="shared" si="198"/>
        <v>248359.02412623915</v>
      </c>
      <c r="CS143" s="97">
        <f t="shared" si="198"/>
        <v>248359.02412623915</v>
      </c>
      <c r="CT143" s="97">
        <f t="shared" si="198"/>
        <v>184534.00443030422</v>
      </c>
      <c r="CU143" s="97">
        <f t="shared" si="198"/>
        <v>184534.00443030422</v>
      </c>
      <c r="CV143" s="97">
        <f t="shared" si="198"/>
        <v>184534.00443030422</v>
      </c>
      <c r="CW143" s="97">
        <f t="shared" si="198"/>
        <v>184534.00443030422</v>
      </c>
      <c r="CX143" s="98">
        <f t="shared" si="198"/>
        <v>184534.00443030422</v>
      </c>
    </row>
    <row r="144" spans="1:103" x14ac:dyDescent="0.25">
      <c r="A144" s="81" t="s">
        <v>224</v>
      </c>
      <c r="B144" s="171"/>
      <c r="C144" s="82" t="s">
        <v>414</v>
      </c>
      <c r="D144" s="172">
        <f t="shared" si="194"/>
        <v>312965.48867519421</v>
      </c>
      <c r="E144" s="173">
        <f t="shared" si="194"/>
        <v>391525.24552413262</v>
      </c>
      <c r="F144" s="173">
        <f t="shared" si="194"/>
        <v>462919.96003163437</v>
      </c>
      <c r="G144" s="173">
        <f t="shared" si="194"/>
        <v>278997.86038325331</v>
      </c>
      <c r="H144" s="173">
        <f t="shared" si="194"/>
        <v>359696.44676553982</v>
      </c>
      <c r="I144" s="173">
        <f t="shared" si="194"/>
        <v>527410.99303874222</v>
      </c>
      <c r="J144" s="173">
        <f t="shared" si="194"/>
        <v>454787.86795703974</v>
      </c>
      <c r="K144" s="173">
        <f t="shared" si="194"/>
        <v>26041.917578615998</v>
      </c>
      <c r="L144" s="173">
        <f t="shared" si="194"/>
        <v>0</v>
      </c>
      <c r="M144" s="659">
        <f t="shared" si="194"/>
        <v>0</v>
      </c>
      <c r="N144" s="659">
        <f t="shared" si="194"/>
        <v>0</v>
      </c>
      <c r="O144" s="580">
        <f t="shared" si="195"/>
        <v>421081.39443161443</v>
      </c>
      <c r="P144" s="576">
        <f t="shared" si="195"/>
        <v>518939.66748538829</v>
      </c>
      <c r="Q144" s="576">
        <f t="shared" si="195"/>
        <v>607353.64830257115</v>
      </c>
      <c r="R144" s="576">
        <f t="shared" si="195"/>
        <v>359102.81926046114</v>
      </c>
      <c r="S144" s="576">
        <f t="shared" si="195"/>
        <v>453548.01139589533</v>
      </c>
      <c r="T144" s="576">
        <f t="shared" si="195"/>
        <v>654595.25448934513</v>
      </c>
      <c r="U144" s="576">
        <f t="shared" si="195"/>
        <v>566432.82017563039</v>
      </c>
      <c r="V144" s="576">
        <f t="shared" si="195"/>
        <v>31233.602745841483</v>
      </c>
      <c r="W144" s="576">
        <f t="shared" si="195"/>
        <v>0</v>
      </c>
      <c r="X144" s="680">
        <f t="shared" si="195"/>
        <v>0</v>
      </c>
      <c r="Y144" s="680">
        <f t="shared" si="195"/>
        <v>0</v>
      </c>
      <c r="Z144" s="174">
        <f t="shared" si="196"/>
        <v>244</v>
      </c>
      <c r="AA144" s="175">
        <f t="shared" si="196"/>
        <v>384</v>
      </c>
      <c r="AB144" s="175">
        <f t="shared" si="196"/>
        <v>210</v>
      </c>
      <c r="AC144" s="175">
        <f t="shared" si="196"/>
        <v>274</v>
      </c>
      <c r="AD144" s="175">
        <f t="shared" si="196"/>
        <v>207</v>
      </c>
      <c r="AE144" s="175">
        <f t="shared" si="196"/>
        <v>198</v>
      </c>
      <c r="AF144" s="175">
        <f t="shared" si="196"/>
        <v>111</v>
      </c>
      <c r="AG144" s="175">
        <f t="shared" si="196"/>
        <v>7</v>
      </c>
      <c r="AH144" s="175">
        <f t="shared" si="196"/>
        <v>0</v>
      </c>
      <c r="AI144" s="175">
        <f t="shared" si="196"/>
        <v>0</v>
      </c>
      <c r="AJ144" s="614">
        <f t="shared" si="196"/>
        <v>0</v>
      </c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282"/>
      <c r="AX144" s="282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421">
        <f t="shared" si="197"/>
        <v>0</v>
      </c>
      <c r="CF144" s="96">
        <f t="shared" si="197"/>
        <v>0</v>
      </c>
      <c r="CG144" s="96">
        <f t="shared" si="197"/>
        <v>0</v>
      </c>
      <c r="CH144" s="96">
        <f t="shared" si="197"/>
        <v>0</v>
      </c>
      <c r="CI144" s="96">
        <f t="shared" si="197"/>
        <v>0</v>
      </c>
      <c r="CJ144" s="96">
        <f t="shared" si="197"/>
        <v>0</v>
      </c>
      <c r="CK144" s="96">
        <f t="shared" si="197"/>
        <v>0</v>
      </c>
      <c r="CL144" s="286">
        <f t="shared" si="197"/>
        <v>0</v>
      </c>
      <c r="CM144" s="294"/>
      <c r="CN144" s="294"/>
      <c r="CO144" s="294"/>
      <c r="CP144" s="19"/>
      <c r="CQ144" s="789">
        <f t="shared" si="198"/>
        <v>0</v>
      </c>
      <c r="CR144" s="784">
        <f t="shared" si="198"/>
        <v>0</v>
      </c>
      <c r="CS144" s="97">
        <f t="shared" si="198"/>
        <v>0</v>
      </c>
      <c r="CT144" s="97">
        <f t="shared" si="198"/>
        <v>0</v>
      </c>
      <c r="CU144" s="97">
        <f t="shared" si="198"/>
        <v>0</v>
      </c>
      <c r="CV144" s="97">
        <f t="shared" si="198"/>
        <v>0</v>
      </c>
      <c r="CW144" s="97">
        <f t="shared" si="198"/>
        <v>0</v>
      </c>
      <c r="CX144" s="98">
        <f t="shared" si="198"/>
        <v>0</v>
      </c>
    </row>
    <row r="145" spans="1:102" x14ac:dyDescent="0.25">
      <c r="A145" s="81" t="s">
        <v>242</v>
      </c>
      <c r="B145" s="171"/>
      <c r="C145" s="82" t="s">
        <v>415</v>
      </c>
      <c r="D145" s="172">
        <f t="shared" si="194"/>
        <v>0</v>
      </c>
      <c r="E145" s="173">
        <f t="shared" si="194"/>
        <v>0</v>
      </c>
      <c r="F145" s="173">
        <f t="shared" si="194"/>
        <v>0</v>
      </c>
      <c r="G145" s="173">
        <f t="shared" si="194"/>
        <v>0</v>
      </c>
      <c r="H145" s="173">
        <f t="shared" si="194"/>
        <v>0</v>
      </c>
      <c r="I145" s="173">
        <f t="shared" si="194"/>
        <v>0</v>
      </c>
      <c r="J145" s="173">
        <f t="shared" si="194"/>
        <v>0</v>
      </c>
      <c r="K145" s="173">
        <f t="shared" si="194"/>
        <v>0</v>
      </c>
      <c r="L145" s="173">
        <f t="shared" si="194"/>
        <v>0</v>
      </c>
      <c r="M145" s="659">
        <f t="shared" si="194"/>
        <v>0</v>
      </c>
      <c r="N145" s="659">
        <f t="shared" si="194"/>
        <v>0</v>
      </c>
      <c r="O145" s="580">
        <f t="shared" si="195"/>
        <v>0</v>
      </c>
      <c r="P145" s="576">
        <f t="shared" si="195"/>
        <v>0</v>
      </c>
      <c r="Q145" s="576">
        <f t="shared" si="195"/>
        <v>0</v>
      </c>
      <c r="R145" s="576">
        <f t="shared" si="195"/>
        <v>0</v>
      </c>
      <c r="S145" s="576">
        <f t="shared" si="195"/>
        <v>0</v>
      </c>
      <c r="T145" s="576">
        <f t="shared" si="195"/>
        <v>0</v>
      </c>
      <c r="U145" s="576">
        <f t="shared" si="195"/>
        <v>0</v>
      </c>
      <c r="V145" s="576">
        <f t="shared" si="195"/>
        <v>0</v>
      </c>
      <c r="W145" s="576">
        <f t="shared" si="195"/>
        <v>0</v>
      </c>
      <c r="X145" s="680">
        <f t="shared" si="195"/>
        <v>0</v>
      </c>
      <c r="Y145" s="680">
        <f t="shared" si="195"/>
        <v>0</v>
      </c>
      <c r="Z145" s="174">
        <f t="shared" si="196"/>
        <v>0</v>
      </c>
      <c r="AA145" s="175">
        <f t="shared" si="196"/>
        <v>0</v>
      </c>
      <c r="AB145" s="175">
        <f t="shared" si="196"/>
        <v>0</v>
      </c>
      <c r="AC145" s="175">
        <f t="shared" si="196"/>
        <v>0</v>
      </c>
      <c r="AD145" s="175">
        <f t="shared" si="196"/>
        <v>0</v>
      </c>
      <c r="AE145" s="175">
        <f t="shared" si="196"/>
        <v>0</v>
      </c>
      <c r="AF145" s="175">
        <f t="shared" si="196"/>
        <v>0</v>
      </c>
      <c r="AG145" s="175">
        <f t="shared" si="196"/>
        <v>0</v>
      </c>
      <c r="AH145" s="175">
        <f t="shared" si="196"/>
        <v>0</v>
      </c>
      <c r="AI145" s="175">
        <f t="shared" si="196"/>
        <v>0</v>
      </c>
      <c r="AJ145" s="614">
        <f t="shared" si="196"/>
        <v>0</v>
      </c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282"/>
      <c r="AX145" s="282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421">
        <f t="shared" si="197"/>
        <v>0</v>
      </c>
      <c r="CF145" s="96">
        <f t="shared" si="197"/>
        <v>0</v>
      </c>
      <c r="CG145" s="96">
        <f t="shared" si="197"/>
        <v>0</v>
      </c>
      <c r="CH145" s="96">
        <f t="shared" si="197"/>
        <v>0</v>
      </c>
      <c r="CI145" s="96">
        <f t="shared" si="197"/>
        <v>0</v>
      </c>
      <c r="CJ145" s="96">
        <f t="shared" si="197"/>
        <v>0</v>
      </c>
      <c r="CK145" s="96">
        <f t="shared" si="197"/>
        <v>0</v>
      </c>
      <c r="CL145" s="286">
        <f t="shared" si="197"/>
        <v>0</v>
      </c>
      <c r="CM145" s="294"/>
      <c r="CN145" s="294"/>
      <c r="CO145" s="294"/>
      <c r="CP145" s="19"/>
      <c r="CQ145" s="789">
        <f t="shared" si="198"/>
        <v>0</v>
      </c>
      <c r="CR145" s="784">
        <f t="shared" si="198"/>
        <v>0</v>
      </c>
      <c r="CS145" s="97">
        <f t="shared" si="198"/>
        <v>0</v>
      </c>
      <c r="CT145" s="97">
        <f t="shared" si="198"/>
        <v>0</v>
      </c>
      <c r="CU145" s="97">
        <f t="shared" si="198"/>
        <v>0</v>
      </c>
      <c r="CV145" s="97">
        <f t="shared" si="198"/>
        <v>0</v>
      </c>
      <c r="CW145" s="97">
        <f t="shared" si="198"/>
        <v>0</v>
      </c>
      <c r="CX145" s="98">
        <f t="shared" si="198"/>
        <v>0</v>
      </c>
    </row>
    <row r="146" spans="1:102" ht="15.75" thickBot="1" x14ac:dyDescent="0.3">
      <c r="A146" s="100" t="s">
        <v>258</v>
      </c>
      <c r="B146" s="176"/>
      <c r="C146" s="101" t="s">
        <v>64</v>
      </c>
      <c r="D146" s="177">
        <f t="shared" si="194"/>
        <v>0</v>
      </c>
      <c r="E146" s="178">
        <f t="shared" si="194"/>
        <v>0</v>
      </c>
      <c r="F146" s="178">
        <f t="shared" si="194"/>
        <v>0</v>
      </c>
      <c r="G146" s="178">
        <f t="shared" si="194"/>
        <v>0</v>
      </c>
      <c r="H146" s="178">
        <f t="shared" si="194"/>
        <v>0</v>
      </c>
      <c r="I146" s="178">
        <f t="shared" si="194"/>
        <v>0</v>
      </c>
      <c r="J146" s="178">
        <f t="shared" si="194"/>
        <v>0</v>
      </c>
      <c r="K146" s="178">
        <f t="shared" si="194"/>
        <v>0</v>
      </c>
      <c r="L146" s="178">
        <f t="shared" si="194"/>
        <v>0</v>
      </c>
      <c r="M146" s="660">
        <f t="shared" si="194"/>
        <v>0</v>
      </c>
      <c r="N146" s="660">
        <f t="shared" si="194"/>
        <v>0</v>
      </c>
      <c r="O146" s="582">
        <f t="shared" si="195"/>
        <v>0</v>
      </c>
      <c r="P146" s="577">
        <f t="shared" si="195"/>
        <v>0</v>
      </c>
      <c r="Q146" s="577">
        <f t="shared" si="195"/>
        <v>0</v>
      </c>
      <c r="R146" s="577">
        <f t="shared" si="195"/>
        <v>0</v>
      </c>
      <c r="S146" s="577">
        <f t="shared" si="195"/>
        <v>0</v>
      </c>
      <c r="T146" s="577">
        <f t="shared" si="195"/>
        <v>0</v>
      </c>
      <c r="U146" s="577">
        <f t="shared" si="195"/>
        <v>0</v>
      </c>
      <c r="V146" s="577">
        <f t="shared" si="195"/>
        <v>0</v>
      </c>
      <c r="W146" s="577">
        <f t="shared" si="195"/>
        <v>0</v>
      </c>
      <c r="X146" s="681">
        <f t="shared" si="195"/>
        <v>0</v>
      </c>
      <c r="Y146" s="681">
        <f t="shared" si="195"/>
        <v>0</v>
      </c>
      <c r="Z146" s="179">
        <f t="shared" si="196"/>
        <v>0</v>
      </c>
      <c r="AA146" s="180">
        <f t="shared" si="196"/>
        <v>0</v>
      </c>
      <c r="AB146" s="180">
        <f t="shared" si="196"/>
        <v>0</v>
      </c>
      <c r="AC146" s="180">
        <f t="shared" si="196"/>
        <v>0</v>
      </c>
      <c r="AD146" s="180">
        <f t="shared" si="196"/>
        <v>0</v>
      </c>
      <c r="AE146" s="180">
        <f t="shared" si="196"/>
        <v>419</v>
      </c>
      <c r="AF146" s="180">
        <f t="shared" si="196"/>
        <v>361</v>
      </c>
      <c r="AG146" s="180">
        <f t="shared" si="196"/>
        <v>35</v>
      </c>
      <c r="AH146" s="180">
        <f t="shared" si="196"/>
        <v>0</v>
      </c>
      <c r="AI146" s="180">
        <f t="shared" si="196"/>
        <v>0</v>
      </c>
      <c r="AJ146" s="615">
        <f t="shared" si="196"/>
        <v>0</v>
      </c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282"/>
      <c r="AX146" s="282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422">
        <f t="shared" si="197"/>
        <v>163</v>
      </c>
      <c r="CF146" s="115">
        <f t="shared" si="197"/>
        <v>163</v>
      </c>
      <c r="CG146" s="115">
        <f t="shared" si="197"/>
        <v>163</v>
      </c>
      <c r="CH146" s="115">
        <f t="shared" si="197"/>
        <v>163</v>
      </c>
      <c r="CI146" s="115">
        <f t="shared" si="197"/>
        <v>163</v>
      </c>
      <c r="CJ146" s="115">
        <f t="shared" si="197"/>
        <v>163</v>
      </c>
      <c r="CK146" s="115">
        <f t="shared" si="197"/>
        <v>163</v>
      </c>
      <c r="CL146" s="287">
        <f t="shared" si="197"/>
        <v>163</v>
      </c>
      <c r="CM146" s="294"/>
      <c r="CN146" s="294"/>
      <c r="CO146" s="294"/>
      <c r="CP146" s="19"/>
      <c r="CQ146" s="790">
        <f t="shared" si="198"/>
        <v>0</v>
      </c>
      <c r="CR146" s="1111">
        <f t="shared" si="198"/>
        <v>0</v>
      </c>
      <c r="CS146" s="181">
        <f t="shared" si="198"/>
        <v>0</v>
      </c>
      <c r="CT146" s="181">
        <f t="shared" si="198"/>
        <v>0</v>
      </c>
      <c r="CU146" s="181">
        <f t="shared" si="198"/>
        <v>0</v>
      </c>
      <c r="CV146" s="181">
        <f t="shared" si="198"/>
        <v>0</v>
      </c>
      <c r="CW146" s="181">
        <f t="shared" si="198"/>
        <v>0</v>
      </c>
      <c r="CX146" s="182">
        <f t="shared" si="198"/>
        <v>0</v>
      </c>
    </row>
    <row r="147" spans="1:102" ht="15.75" thickBot="1" x14ac:dyDescent="0.3">
      <c r="D147" s="183">
        <f t="shared" ref="D147:M147" si="199">SUM(D136:D146)</f>
        <v>8770730.1300000027</v>
      </c>
      <c r="E147" s="184">
        <f t="shared" si="199"/>
        <v>11695140.210000001</v>
      </c>
      <c r="F147" s="184">
        <f t="shared" si="199"/>
        <v>14221620.77</v>
      </c>
      <c r="G147" s="184">
        <f t="shared" si="199"/>
        <v>15071938.710000005</v>
      </c>
      <c r="H147" s="184">
        <f t="shared" si="199"/>
        <v>16621255.600000001</v>
      </c>
      <c r="I147" s="184">
        <f t="shared" si="199"/>
        <v>16914631.444441814</v>
      </c>
      <c r="J147" s="184">
        <f t="shared" si="199"/>
        <v>17690477.444550719</v>
      </c>
      <c r="K147" s="184">
        <f t="shared" si="199"/>
        <v>579050.72730836493</v>
      </c>
      <c r="L147" s="184">
        <f t="shared" si="199"/>
        <v>0</v>
      </c>
      <c r="M147" s="661">
        <f t="shared" si="199"/>
        <v>0</v>
      </c>
      <c r="N147" s="661">
        <f t="shared" ref="N147" si="200">SUM(N136:N146)</f>
        <v>0</v>
      </c>
      <c r="O147" s="183">
        <f t="shared" ref="O147:X147" si="201">SUM(O136:O146)</f>
        <v>11800634.277464027</v>
      </c>
      <c r="P147" s="184">
        <f t="shared" si="201"/>
        <v>15501100.481139505</v>
      </c>
      <c r="Q147" s="184">
        <f t="shared" si="201"/>
        <v>18658848.192341626</v>
      </c>
      <c r="R147" s="184">
        <f t="shared" si="201"/>
        <v>19399344.765752025</v>
      </c>
      <c r="S147" s="184">
        <f t="shared" si="201"/>
        <v>20958053.636812039</v>
      </c>
      <c r="T147" s="184">
        <f t="shared" si="201"/>
        <v>20993565.968683798</v>
      </c>
      <c r="U147" s="184">
        <f t="shared" si="201"/>
        <v>22033276.908162378</v>
      </c>
      <c r="V147" s="184">
        <f t="shared" si="201"/>
        <v>694489.57941910625</v>
      </c>
      <c r="W147" s="184">
        <f t="shared" si="201"/>
        <v>0</v>
      </c>
      <c r="X147" s="661">
        <f t="shared" si="201"/>
        <v>0</v>
      </c>
      <c r="Y147" s="661">
        <f t="shared" ref="Y147" si="202">SUM(Y136:Y146)</f>
        <v>0</v>
      </c>
      <c r="CE147" s="19"/>
      <c r="CF147" s="19"/>
      <c r="CG147" s="19"/>
      <c r="CH147" s="19"/>
      <c r="CI147" s="19"/>
      <c r="CJ147" s="19"/>
      <c r="CK147" s="19"/>
      <c r="CL147" s="282"/>
      <c r="CM147" s="294"/>
      <c r="CN147" s="294"/>
      <c r="CO147" s="294"/>
      <c r="CP147" s="19"/>
      <c r="CQ147" s="791">
        <f t="shared" ref="CQ147:CX147" si="203">SUM(CQ136:CQ146)</f>
        <v>2799091.2818203191</v>
      </c>
      <c r="CR147" s="1112">
        <f t="shared" si="203"/>
        <v>2799091.2818203191</v>
      </c>
      <c r="CS147" s="184">
        <f t="shared" si="203"/>
        <v>2799091.2818203191</v>
      </c>
      <c r="CT147" s="184">
        <f t="shared" si="203"/>
        <v>2919919.619966628</v>
      </c>
      <c r="CU147" s="184">
        <f t="shared" si="203"/>
        <v>2919919.619966628</v>
      </c>
      <c r="CV147" s="184">
        <f t="shared" si="203"/>
        <v>2919919.619966628</v>
      </c>
      <c r="CW147" s="184">
        <f t="shared" si="203"/>
        <v>2919919.619966628</v>
      </c>
      <c r="CX147" s="185">
        <f t="shared" si="203"/>
        <v>2919919.619966628</v>
      </c>
    </row>
  </sheetData>
  <autoFilter ref="A6:CZ133" xr:uid="{EAD34CF0-D49C-46DB-BCE4-5A9DC4DCECBB}"/>
  <phoneticPr fontId="17" type="noConversion"/>
  <dataValidations disablePrompts="1" count="1">
    <dataValidation type="list" allowBlank="1" showInputMessage="1" showErrorMessage="1" sqref="CC7:CC132 CM7:CM132" xr:uid="{B7113010-7CE2-42BE-B1DC-5A5294F84B58}">
      <formula1>$AY$6:$BA$6</formula1>
    </dataValidation>
  </dataValidations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87CCE92-8AED-42CB-BFA3-82A082FBEFFD}">
          <x14:formula1>
            <xm:f>'Financial Escalation'!$G$7:$W$7</xm:f>
          </x14:formula1>
          <xm:sqref>P2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069F4-6A58-4EE0-9CAB-3A36B38C8C07}">
  <sheetPr codeName="Sheet6"/>
  <dimension ref="A1:DA163"/>
  <sheetViews>
    <sheetView zoomScaleNormal="100" workbookViewId="0">
      <pane xSplit="3" ySplit="7" topLeftCell="E91" activePane="bottomRight" state="frozen"/>
      <selection activeCell="BE1" sqref="BE1:BL1048576"/>
      <selection pane="topRight" activeCell="BE1" sqref="BE1:BL1048576"/>
      <selection pane="bottomLeft" activeCell="BE1" sqref="BE1:BL1048576"/>
      <selection pane="bottomRight" activeCell="BE1" sqref="BE1:BL1048576"/>
    </sheetView>
  </sheetViews>
  <sheetFormatPr defaultRowHeight="15" x14ac:dyDescent="0.25"/>
  <cols>
    <col min="1" max="1" width="5.7109375" bestFit="1" customWidth="1"/>
    <col min="3" max="3" width="37" customWidth="1"/>
    <col min="4" max="12" width="9.7109375" customWidth="1"/>
    <col min="13" max="14" width="9.7109375" style="280" customWidth="1"/>
    <col min="15" max="23" width="9.7109375" hidden="1" customWidth="1"/>
    <col min="24" max="25" width="9.7109375" style="280" hidden="1" customWidth="1"/>
    <col min="35" max="36" width="9.140625" style="280"/>
    <col min="49" max="50" width="9.140625" style="280"/>
    <col min="56" max="56" width="7.85546875" customWidth="1"/>
    <col min="57" max="64" width="9.140625" hidden="1" customWidth="1"/>
    <col min="65" max="82" width="9.140625" customWidth="1"/>
    <col min="90" max="93" width="9.140625" customWidth="1"/>
    <col min="95" max="95" width="13.7109375" style="778" hidden="1" customWidth="1"/>
    <col min="96" max="96" width="13.7109375" style="778" customWidth="1"/>
    <col min="97" max="102" width="13.7109375" customWidth="1"/>
    <col min="103" max="103" width="39.42578125" bestFit="1" customWidth="1"/>
  </cols>
  <sheetData>
    <row r="1" spans="1:104" ht="15.75" thickBot="1" x14ac:dyDescent="0.3">
      <c r="A1" t="s">
        <v>417</v>
      </c>
      <c r="J1" s="22"/>
      <c r="N1" s="280">
        <v>1.0233248425996433</v>
      </c>
      <c r="U1" s="22"/>
      <c r="AT1" t="s">
        <v>279</v>
      </c>
      <c r="AW1" s="701"/>
      <c r="AX1" s="701"/>
    </row>
    <row r="2" spans="1:104" ht="15.75" thickBot="1" x14ac:dyDescent="0.3">
      <c r="O2" s="593" t="s">
        <v>583</v>
      </c>
      <c r="P2" s="594" t="str">
        <f>'Defect P1'!P2</f>
        <v>2024/25</v>
      </c>
      <c r="Q2" s="584"/>
      <c r="R2" s="584"/>
      <c r="S2" s="584"/>
      <c r="T2" s="584"/>
      <c r="U2" s="584"/>
      <c r="V2" s="584"/>
      <c r="W2" s="1100"/>
      <c r="X2" s="1100"/>
      <c r="Y2" s="1100"/>
      <c r="BD2" s="395">
        <f>'Business Case Split'!AD209</f>
        <v>-3839.9406817313284</v>
      </c>
    </row>
    <row r="3" spans="1:104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388"/>
      <c r="N3" s="388"/>
      <c r="O3" s="586" t="s">
        <v>584</v>
      </c>
      <c r="P3" s="587"/>
      <c r="Q3" s="587"/>
      <c r="R3" s="587"/>
      <c r="S3" s="587"/>
      <c r="T3" s="587"/>
      <c r="U3" s="587"/>
      <c r="V3" s="587"/>
      <c r="W3" s="1102"/>
      <c r="X3" s="1102"/>
      <c r="Y3" s="1102"/>
      <c r="AY3" s="607" t="str">
        <f>"Escalated to "&amp;P2</f>
        <v>Escalated to 2024/25</v>
      </c>
      <c r="AZ3" s="604"/>
      <c r="BA3" s="605" t="str">
        <f>'Defect P1'!BA3</f>
        <v>N</v>
      </c>
      <c r="CE3" s="19"/>
      <c r="CF3" s="19"/>
      <c r="CG3" s="19"/>
      <c r="CH3" s="19"/>
      <c r="CI3" s="19"/>
      <c r="CJ3" s="19"/>
      <c r="CK3" s="19"/>
      <c r="CL3" s="26"/>
      <c r="CM3" s="26"/>
      <c r="CN3" s="26"/>
      <c r="CO3" s="26"/>
      <c r="CP3" s="26"/>
      <c r="CQ3" s="779"/>
      <c r="CR3" s="779"/>
      <c r="CS3" s="26"/>
      <c r="CT3" s="26"/>
      <c r="CU3" s="26"/>
      <c r="CV3" s="26"/>
      <c r="CW3" s="26"/>
      <c r="CX3" s="26"/>
    </row>
    <row r="4" spans="1:104" ht="15.75" thickBot="1" x14ac:dyDescent="0.3">
      <c r="O4" s="589">
        <f>VLOOKUP(O$6,'Financial Escalation'!$C$31:$W$52,VLOOKUP($P$2,Lookup!$D$2:$E$19,2,0),0)</f>
        <v>1.3454563192065767</v>
      </c>
      <c r="P4" s="590">
        <f>VLOOKUP(P$6,'Financial Escalation'!$C$31:$W$52,VLOOKUP($P$2,Lookup!$D$2:$E$19,2,0),0)</f>
        <v>1.3254309228276884</v>
      </c>
      <c r="Q4" s="590">
        <f>VLOOKUP(Q$6,'Financial Escalation'!$C$31:$W$52,VLOOKUP($P$2,Lookup!$D$2:$E$19,2,0),0)</f>
        <v>1.3120057477345903</v>
      </c>
      <c r="R4" s="590">
        <f>VLOOKUP(R$6,'Financial Escalation'!$C$31:$W$52,VLOOKUP($P$2,Lookup!$D$2:$E$19,2,0),0)</f>
        <v>1.2871167498100859</v>
      </c>
      <c r="S4" s="590">
        <f>VLOOKUP(S$6,'Financial Escalation'!$C$31:$W$52,VLOOKUP($P$2,Lookup!$D$2:$E$19,2,0),0)</f>
        <v>1.2609187982652788</v>
      </c>
      <c r="T4" s="590">
        <f>VLOOKUP(T$6,'Financial Escalation'!$C$31:$W$52,VLOOKUP($P$2,Lookup!$D$2:$E$19,2,0),0)</f>
        <v>1.2411482944597256</v>
      </c>
      <c r="U4" s="590">
        <f>VLOOKUP(U$6,'Financial Escalation'!$C$31:$W$52,VLOOKUP($P$2,Lookup!$D$2:$E$19,2,0),0)</f>
        <v>1.2454879738109834</v>
      </c>
      <c r="V4" s="590">
        <f>VLOOKUP(V$6,'Financial Escalation'!$C$31:$W$52,VLOOKUP($P$2,Lookup!$D$2:$E$19,2,0),0)</f>
        <v>1.199358789595762</v>
      </c>
      <c r="W4" s="1104">
        <f>VLOOKUP(W$6,'Financial Escalation'!$C$31:$W$52,VLOOKUP($P$2,Lookup!$D$2:$E$19,2,0),0)</f>
        <v>1.129927233972851</v>
      </c>
      <c r="X4" s="1104">
        <f>VLOOKUP(X$6,'Financial Escalation'!$C$31:$W$52,VLOOKUP($P$2,Lookup!$D$2:$E$19,2,0),0)</f>
        <v>1.0634609260920951</v>
      </c>
      <c r="Y4" s="1104">
        <f>VLOOKUP(Y$6,'Financial Escalation'!$C$31:$W$52,VLOOKUP($P$2,Lookup!$D$2:$E$19,2,0),0)</f>
        <v>1.027498479316034</v>
      </c>
      <c r="AK4" s="220" t="s">
        <v>427</v>
      </c>
      <c r="AL4" s="374"/>
      <c r="AM4" s="375" t="s">
        <v>588</v>
      </c>
      <c r="AY4" s="595" t="s">
        <v>427</v>
      </c>
      <c r="AZ4" s="597"/>
      <c r="BA4" s="602" t="s">
        <v>588</v>
      </c>
      <c r="BB4" s="19"/>
      <c r="BC4" s="19"/>
      <c r="BD4" s="896">
        <v>0.77351611024569922</v>
      </c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780"/>
      <c r="CR4" s="780"/>
      <c r="CS4" s="19"/>
      <c r="CT4" s="19"/>
      <c r="CU4" s="19"/>
      <c r="CV4" s="19"/>
      <c r="CW4" s="19"/>
      <c r="CX4" s="19"/>
    </row>
    <row r="5" spans="1:104" s="186" customFormat="1" ht="15.75" thickBot="1" x14ac:dyDescent="0.3">
      <c r="A5" s="27" t="s">
        <v>281</v>
      </c>
      <c r="B5" s="27" t="s">
        <v>282</v>
      </c>
      <c r="C5" s="28" t="s">
        <v>416</v>
      </c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35"/>
      <c r="N5" s="335"/>
      <c r="O5" s="552" t="s">
        <v>582</v>
      </c>
      <c r="P5" s="553"/>
      <c r="Q5" s="553"/>
      <c r="R5" s="553"/>
      <c r="S5" s="553"/>
      <c r="T5" s="553"/>
      <c r="U5" s="553"/>
      <c r="V5" s="553"/>
      <c r="W5" s="554"/>
      <c r="X5" s="554"/>
      <c r="Y5" s="554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662"/>
      <c r="AJ5" s="662"/>
      <c r="AK5" s="33" t="s">
        <v>586</v>
      </c>
      <c r="AL5" s="34"/>
      <c r="AM5" s="35"/>
      <c r="AN5" s="36" t="s">
        <v>463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462</v>
      </c>
      <c r="AZ5" s="40"/>
      <c r="BA5" s="41"/>
      <c r="BB5" s="259" t="s">
        <v>429</v>
      </c>
      <c r="BC5" s="260"/>
      <c r="BD5" s="260"/>
      <c r="BE5" s="242" t="s">
        <v>439</v>
      </c>
      <c r="BF5" s="226"/>
      <c r="BG5" s="226"/>
      <c r="BH5" s="226"/>
      <c r="BI5" s="226"/>
      <c r="BJ5" s="226"/>
      <c r="BK5" s="226"/>
      <c r="BL5" s="243"/>
      <c r="BM5" s="226" t="s">
        <v>440</v>
      </c>
      <c r="BN5" s="226"/>
      <c r="BO5" s="226"/>
      <c r="BP5" s="226"/>
      <c r="BQ5" s="226"/>
      <c r="BR5" s="226"/>
      <c r="BS5" s="226"/>
      <c r="BT5" s="243"/>
      <c r="BU5" s="242" t="s">
        <v>430</v>
      </c>
      <c r="BV5" s="226"/>
      <c r="BW5" s="226"/>
      <c r="BX5" s="226"/>
      <c r="BY5" s="226"/>
      <c r="BZ5" s="226"/>
      <c r="CA5" s="226"/>
      <c r="CB5" s="243"/>
      <c r="CC5" s="376" t="s">
        <v>442</v>
      </c>
      <c r="CD5" s="377"/>
      <c r="CE5" s="189" t="s">
        <v>441</v>
      </c>
      <c r="CF5" s="189"/>
      <c r="CG5" s="189"/>
      <c r="CH5" s="189"/>
      <c r="CI5" s="189"/>
      <c r="CJ5" s="189"/>
      <c r="CK5" s="189"/>
      <c r="CL5" s="283"/>
      <c r="CM5" s="412" t="s">
        <v>484</v>
      </c>
      <c r="CN5" s="296"/>
      <c r="CO5" s="296"/>
      <c r="CP5" s="297"/>
      <c r="CQ5" s="1113"/>
      <c r="CR5" s="781"/>
      <c r="CS5" s="191"/>
      <c r="CT5" s="191"/>
      <c r="CU5" s="191"/>
      <c r="CV5" s="191"/>
      <c r="CW5" s="191"/>
      <c r="CX5" s="192"/>
      <c r="CY5" s="389" t="s">
        <v>464</v>
      </c>
    </row>
    <row r="6" spans="1:104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657" t="s">
        <v>14</v>
      </c>
      <c r="N6" s="1063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673" t="s">
        <v>13</v>
      </c>
      <c r="X6" s="673" t="s">
        <v>14</v>
      </c>
      <c r="Y6" s="1085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1092" t="s">
        <v>14</v>
      </c>
      <c r="AJ6" s="663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261" t="s">
        <v>431</v>
      </c>
      <c r="BC6" s="262" t="s">
        <v>438</v>
      </c>
      <c r="BD6" s="263" t="s">
        <v>432</v>
      </c>
      <c r="BE6" s="254" t="s">
        <v>14</v>
      </c>
      <c r="BF6" s="227" t="s">
        <v>15</v>
      </c>
      <c r="BG6" s="227" t="s">
        <v>280</v>
      </c>
      <c r="BH6" s="227" t="s">
        <v>422</v>
      </c>
      <c r="BI6" s="227" t="s">
        <v>423</v>
      </c>
      <c r="BJ6" s="227" t="s">
        <v>424</v>
      </c>
      <c r="BK6" s="227" t="s">
        <v>425</v>
      </c>
      <c r="BL6" s="245" t="s">
        <v>426</v>
      </c>
      <c r="BM6" s="254" t="s">
        <v>14</v>
      </c>
      <c r="BN6" s="227" t="s">
        <v>15</v>
      </c>
      <c r="BO6" s="227" t="s">
        <v>280</v>
      </c>
      <c r="BP6" s="227" t="s">
        <v>422</v>
      </c>
      <c r="BQ6" s="227" t="s">
        <v>423</v>
      </c>
      <c r="BR6" s="227" t="s">
        <v>424</v>
      </c>
      <c r="BS6" s="227" t="s">
        <v>425</v>
      </c>
      <c r="BT6" s="245" t="s">
        <v>426</v>
      </c>
      <c r="BU6" s="244" t="s">
        <v>14</v>
      </c>
      <c r="BV6" s="227" t="s">
        <v>15</v>
      </c>
      <c r="BW6" s="227" t="s">
        <v>280</v>
      </c>
      <c r="BX6" s="227" t="s">
        <v>422</v>
      </c>
      <c r="BY6" s="227" t="s">
        <v>423</v>
      </c>
      <c r="BZ6" s="227" t="s">
        <v>424</v>
      </c>
      <c r="CA6" s="227" t="s">
        <v>425</v>
      </c>
      <c r="CB6" s="245" t="s">
        <v>426</v>
      </c>
      <c r="CC6" s="378"/>
      <c r="CD6" s="379"/>
      <c r="CE6" s="232" t="s">
        <v>14</v>
      </c>
      <c r="CF6" s="59" t="s">
        <v>15</v>
      </c>
      <c r="CG6" s="59" t="s">
        <v>280</v>
      </c>
      <c r="CH6" s="59" t="s">
        <v>422</v>
      </c>
      <c r="CI6" s="59" t="s">
        <v>423</v>
      </c>
      <c r="CJ6" s="59" t="s">
        <v>424</v>
      </c>
      <c r="CK6" s="59" t="s">
        <v>425</v>
      </c>
      <c r="CL6" s="284" t="s">
        <v>426</v>
      </c>
      <c r="CM6" s="298" t="s">
        <v>444</v>
      </c>
      <c r="CN6" s="301" t="s">
        <v>445</v>
      </c>
      <c r="CO6" s="299" t="s">
        <v>443</v>
      </c>
      <c r="CP6" s="300" t="s">
        <v>295</v>
      </c>
      <c r="CQ6" s="1109" t="s">
        <v>14</v>
      </c>
      <c r="CR6" s="1109" t="s">
        <v>15</v>
      </c>
      <c r="CS6" s="61" t="s">
        <v>280</v>
      </c>
      <c r="CT6" s="61" t="s">
        <v>422</v>
      </c>
      <c r="CU6" s="61" t="s">
        <v>423</v>
      </c>
      <c r="CV6" s="61" t="s">
        <v>424</v>
      </c>
      <c r="CW6" s="61" t="s">
        <v>425</v>
      </c>
      <c r="CX6" s="62" t="s">
        <v>426</v>
      </c>
      <c r="CY6" s="390"/>
    </row>
    <row r="7" spans="1:104" x14ac:dyDescent="0.25">
      <c r="A7" s="63" t="s">
        <v>296</v>
      </c>
      <c r="B7" s="64" t="s">
        <v>22</v>
      </c>
      <c r="C7" s="65" t="s">
        <v>24</v>
      </c>
      <c r="D7" s="66">
        <v>7846576.7908609947</v>
      </c>
      <c r="E7" s="67">
        <v>4131765.6832346846</v>
      </c>
      <c r="F7" s="67">
        <v>5957465.6198742418</v>
      </c>
      <c r="G7" s="67">
        <v>4088118.4082247261</v>
      </c>
      <c r="H7" s="67">
        <v>6362039.3392579546</v>
      </c>
      <c r="I7" s="67">
        <v>3689144.5943493401</v>
      </c>
      <c r="J7" s="67">
        <v>7909721.9379401384</v>
      </c>
      <c r="K7" s="67">
        <v>5804194.2899999982</v>
      </c>
      <c r="L7" s="67">
        <v>6724282.7699999986</v>
      </c>
      <c r="M7" s="653">
        <f>'2022-23 Input'!F7</f>
        <v>7067323.7300000042</v>
      </c>
      <c r="N7" s="1064">
        <v>6456776.9100000234</v>
      </c>
      <c r="O7" s="557">
        <f>D7*O$4</f>
        <v>10557226.327403586</v>
      </c>
      <c r="P7" s="558">
        <f t="shared" ref="P7:P70" si="0">E7*P$4</f>
        <v>5476370.0024375226</v>
      </c>
      <c r="Q7" s="558">
        <f t="shared" ref="Q7:Q70" si="1">F7*Q$4</f>
        <v>7816229.1352062188</v>
      </c>
      <c r="R7" s="558">
        <f t="shared" ref="R7:R70" si="2">G7*R$4</f>
        <v>5261885.6784329917</v>
      </c>
      <c r="S7" s="558">
        <f t="shared" ref="S7:S70" si="3">H7*S$4</f>
        <v>8022014.9981735684</v>
      </c>
      <c r="T7" s="558">
        <f t="shared" ref="T7:T70" si="4">I7*T$4</f>
        <v>4578775.5212920001</v>
      </c>
      <c r="U7" s="558">
        <f t="shared" ref="U7:U70" si="5">J7*U$4</f>
        <v>9851463.5498933475</v>
      </c>
      <c r="V7" s="558">
        <f t="shared" ref="V7:V70" si="6">K7*V$4</f>
        <v>6961311.438233031</v>
      </c>
      <c r="W7" s="674">
        <f t="shared" ref="W7:W70" si="7">L7*W$4</f>
        <v>7597950.2307573995</v>
      </c>
      <c r="X7" s="674">
        <f t="shared" ref="X7:Y70" si="8">M7*X$4</f>
        <v>7515822.6388984444</v>
      </c>
      <c r="Y7" s="674">
        <f t="shared" si="8"/>
        <v>6634328.4563079048</v>
      </c>
      <c r="Z7" s="68">
        <v>2415</v>
      </c>
      <c r="AA7" s="69">
        <v>1139</v>
      </c>
      <c r="AB7" s="69">
        <v>1478</v>
      </c>
      <c r="AC7" s="69">
        <v>1269</v>
      </c>
      <c r="AD7" s="69">
        <v>1552</v>
      </c>
      <c r="AE7" s="69">
        <f>'RIN BackCast (Rosetta)'!AD3</f>
        <v>1101</v>
      </c>
      <c r="AF7" s="69">
        <f>'RIN BackCast (Rosetta)'!AE3</f>
        <v>4997</v>
      </c>
      <c r="AG7" s="69">
        <f>'RIN BackCast (Rosetta)'!AF3</f>
        <v>4542</v>
      </c>
      <c r="AH7" s="69">
        <f>'RIN BackCast (Rosetta)'!AG3</f>
        <v>5172</v>
      </c>
      <c r="AI7" s="1093">
        <v>4260</v>
      </c>
      <c r="AJ7" s="664">
        <v>4039</v>
      </c>
      <c r="AK7" s="70">
        <f t="shared" ref="AK7:AK38" si="9">IFERROR(IF($AM$4="N",SUM(AD7:AH7)/5,SUM(AE7:AI7)/5),"")</f>
        <v>4014.4</v>
      </c>
      <c r="AL7" s="71">
        <f t="shared" ref="AL7:AL38" si="10">IFERROR(IF($AM$4="N",SUM(AF7:AH7)/3,SUM(AG7:AI7)/3),"")</f>
        <v>4658</v>
      </c>
      <c r="AM7" s="72">
        <f t="shared" ref="AM7:AM38" si="11">IFERROR(IF($AM$4="N",AH7,AI7),"")</f>
        <v>4260</v>
      </c>
      <c r="AN7" s="73">
        <f t="shared" ref="AN7:AN38" si="12">IFERROR(D7/Z7,"")</f>
        <v>3249.1001204393351</v>
      </c>
      <c r="AO7" s="74">
        <f t="shared" ref="AO7:AO38" si="13">IFERROR(E7/AA7,"")</f>
        <v>3627.5379132876951</v>
      </c>
      <c r="AP7" s="74">
        <f t="shared" ref="AP7:AP38" si="14">IFERROR(F7/AB7,"")</f>
        <v>4030.7615831354815</v>
      </c>
      <c r="AQ7" s="74">
        <f t="shared" ref="AQ7:AQ38" si="15">IFERROR(G7/AC7,"")</f>
        <v>3221.527508451321</v>
      </c>
      <c r="AR7" s="74">
        <f t="shared" ref="AR7:AR38" si="16">IFERROR(H7/AD7,"")</f>
        <v>4099.2521515837334</v>
      </c>
      <c r="AS7" s="74">
        <f t="shared" ref="AS7:AS38" si="17">IFERROR(I7/AE7,"")</f>
        <v>3350.7217024063034</v>
      </c>
      <c r="AT7" s="74">
        <f t="shared" ref="AT7:AT38" si="18">IFERROR(J7/AF7,"")</f>
        <v>1582.8941240624652</v>
      </c>
      <c r="AU7" s="74">
        <f t="shared" ref="AU7:AU38" si="19">IFERROR(K7/AG7,"")</f>
        <v>1277.8939431968292</v>
      </c>
      <c r="AV7" s="74">
        <f t="shared" ref="AV7:AX22" si="20">IFERROR(L7/AH7,"")</f>
        <v>1300.1320127610206</v>
      </c>
      <c r="AW7" s="74">
        <f t="shared" si="20"/>
        <v>1658.9961807511747</v>
      </c>
      <c r="AX7" s="74">
        <f t="shared" si="20"/>
        <v>1598.6078014360048</v>
      </c>
      <c r="AY7" s="75">
        <f t="shared" ref="AY7:AY38" si="21">IFERROR(IF($BA$3="N",
IF($BA$4="N",SUM(H7:L7)/SUM(AD7:AH7),SUM(I7:M7)/SUM(AE7:AI7)),
IF($BA$4="N",SUM(S7:W7)/SUM(AD7:AH7),SUM(T7:X7)/SUM(AE7:AI7))),"")</f>
        <v>1554.1384676310024</v>
      </c>
      <c r="AZ7" s="76">
        <f t="shared" ref="AZ7:AZ38" si="22">IFERROR(IF($BA$3="N",
IF($BA$4="N",SUM(J7:L7)/SUM(AF7:AH7),SUM(K7:M7)/SUM(AG7:AI7)),
IF($BA$4="N",SUM(U7:W7)/SUM(AF7:AH7),SUM(V7:X7)/SUM(AG7:AI7))),"")</f>
        <v>1402.3043359095461</v>
      </c>
      <c r="BA7" s="77">
        <f t="shared" ref="BA7:BA38" si="23">IFERROR(IF($BA$3="N",
IF($BA$4="N",L7/AH7,M7/AI7),
IF($BA$4="N",W7/AH7,X7/AI7)),"")</f>
        <v>1658.9961807511747</v>
      </c>
      <c r="BB7" s="246" t="s">
        <v>422</v>
      </c>
      <c r="BC7" s="228" t="s">
        <v>433</v>
      </c>
      <c r="BD7" s="247">
        <v>0</v>
      </c>
      <c r="BE7" s="264">
        <f>IF(BE$6=$BB7,1,0
)</f>
        <v>0</v>
      </c>
      <c r="BF7" s="265">
        <f t="shared" ref="BF7:BL7" si="24">IF(BF$6=$BB7,1,
IF(BE7&lt;&gt;0,BE7+1,0
))</f>
        <v>0</v>
      </c>
      <c r="BG7" s="265">
        <f t="shared" si="24"/>
        <v>0</v>
      </c>
      <c r="BH7" s="265">
        <f t="shared" si="24"/>
        <v>1</v>
      </c>
      <c r="BI7" s="265">
        <f t="shared" si="24"/>
        <v>2</v>
      </c>
      <c r="BJ7" s="265">
        <f t="shared" si="24"/>
        <v>3</v>
      </c>
      <c r="BK7" s="265">
        <f t="shared" si="24"/>
        <v>4</v>
      </c>
      <c r="BL7" s="266">
        <f t="shared" si="24"/>
        <v>5</v>
      </c>
      <c r="BM7" s="255">
        <f>IF($BC7=Lookup!$A$2,$BD7*ROUNDUP(BE7/10,0)+1,
IF($BC7=Lookup!$A$3,($BD7+1)^BD7,
IF($BC7=Lookup!$A$4,BE7*$BD7+1,"Error")))</f>
        <v>1</v>
      </c>
      <c r="BN7" s="228">
        <f>IF($BC7=Lookup!$A$2,$BD7*ROUNDUP(BF7/10,0)+1,
IF($BC7=Lookup!$A$3,($BD7+1)^BE7,
IF($BC7=Lookup!$A$4,BF7*$BD7+1,"Error")))</f>
        <v>1</v>
      </c>
      <c r="BO7" s="228">
        <f>IF($BC7=Lookup!$A$2,$BD7*ROUNDUP(BG7/10,0)+1,
IF($BC7=Lookup!$A$3,($BD7+1)^BF7,
IF($BC7=Lookup!$A$4,BG7*$BD7+1,"Error")))</f>
        <v>1</v>
      </c>
      <c r="BP7" s="228">
        <f>IF($BC7=Lookup!$A$2,$BD7*ROUNDUP(BH7/10,0)+1,
IF($BC7=Lookup!$A$3,($BD7+1)^BG7,
IF($BC7=Lookup!$A$4,BH7*$BD7+1,"Error")))</f>
        <v>1</v>
      </c>
      <c r="BQ7" s="228">
        <f>IF($BC7=Lookup!$A$2,$BD7*ROUNDUP(BI7/10,0)+1,
IF($BC7=Lookup!$A$3,($BD7+1)^BH7,
IF($BC7=Lookup!$A$4,BI7*$BD7+1,"Error")))</f>
        <v>1</v>
      </c>
      <c r="BR7" s="228">
        <f>IF($BC7=Lookup!$A$2,$BD7*ROUNDUP(BJ7/10,0)+1,
IF($BC7=Lookup!$A$3,($BD7+1)^BI7,
IF($BC7=Lookup!$A$4,BJ7*$BD7+1,"Error")))</f>
        <v>1</v>
      </c>
      <c r="BS7" s="228">
        <f>IF($BC7=Lookup!$A$2,$BD7*ROUNDUP(BK7/10,0)+1,
IF($BC7=Lookup!$A$3,($BD7+1)^BJ7,
IF($BC7=Lookup!$A$4,BK7*$BD7+1,"Error")))</f>
        <v>1</v>
      </c>
      <c r="BT7" s="247">
        <f>IF($BC7=Lookup!$A$2,$BD7*ROUNDUP(BL7/10,0)+1,
IF($BC7=Lookup!$A$3,($BD7+1)^BK7,
IF($BC7=Lookup!$A$4,BL7*$BD7+1,"Error")))</f>
        <v>1</v>
      </c>
      <c r="BU7" s="318"/>
      <c r="BV7" s="319"/>
      <c r="BW7" s="319"/>
      <c r="BX7" s="319"/>
      <c r="BY7" s="319"/>
      <c r="BZ7" s="319"/>
      <c r="CA7" s="319"/>
      <c r="CB7" s="276"/>
      <c r="CC7" s="380" t="s">
        <v>293</v>
      </c>
      <c r="CD7" s="381">
        <f>HLOOKUP($CC7,$AK$6:$AM$132,ROWS(CD$6:CD7),0)</f>
        <v>4658</v>
      </c>
      <c r="CE7" s="233">
        <f>IFERROR(IF(BU7&lt;&gt;"",BU7,BM7*$CD7),"")</f>
        <v>4658</v>
      </c>
      <c r="CF7" s="78">
        <f t="shared" ref="CF7:CL43" si="25">IFERROR(IF(BV7&lt;&gt;"",BV7,BN7*$CD7),"")</f>
        <v>4658</v>
      </c>
      <c r="CG7" s="78">
        <f t="shared" si="25"/>
        <v>4658</v>
      </c>
      <c r="CH7" s="78">
        <f t="shared" si="25"/>
        <v>4658</v>
      </c>
      <c r="CI7" s="78">
        <f t="shared" si="25"/>
        <v>4658</v>
      </c>
      <c r="CJ7" s="78">
        <f t="shared" si="25"/>
        <v>4658</v>
      </c>
      <c r="CK7" s="78">
        <f t="shared" si="25"/>
        <v>4658</v>
      </c>
      <c r="CL7" s="285">
        <f t="shared" si="25"/>
        <v>4658</v>
      </c>
      <c r="CM7" s="302" t="s">
        <v>293</v>
      </c>
      <c r="CN7" s="314">
        <v>0</v>
      </c>
      <c r="CO7" s="303">
        <v>1800</v>
      </c>
      <c r="CP7" s="304">
        <f>IF($CO7&lt;&gt;"",$CO7,HLOOKUP($CM7,$AY$6:$BA$132,ROWS(CP$6:CP7),0))</f>
        <v>1800</v>
      </c>
      <c r="CQ7" s="783">
        <f t="shared" ref="CQ7:CX38" si="26">IFERROR(CE7*$CP7,"")</f>
        <v>8384400</v>
      </c>
      <c r="CR7" s="783">
        <f t="shared" si="26"/>
        <v>8384400</v>
      </c>
      <c r="CS7" s="79">
        <f t="shared" si="26"/>
        <v>8384400</v>
      </c>
      <c r="CT7" s="79">
        <f t="shared" si="26"/>
        <v>8384400</v>
      </c>
      <c r="CU7" s="79">
        <f t="shared" si="26"/>
        <v>8384400</v>
      </c>
      <c r="CV7" s="79">
        <f t="shared" si="26"/>
        <v>8384400</v>
      </c>
      <c r="CW7" s="79">
        <f t="shared" si="26"/>
        <v>8384400</v>
      </c>
      <c r="CX7" s="80">
        <f t="shared" si="26"/>
        <v>8384400</v>
      </c>
      <c r="CY7" s="391" t="s">
        <v>473</v>
      </c>
      <c r="CZ7" s="187"/>
    </row>
    <row r="8" spans="1:104" x14ac:dyDescent="0.25">
      <c r="A8" s="81" t="s">
        <v>27</v>
      </c>
      <c r="B8" s="82" t="s">
        <v>25</v>
      </c>
      <c r="C8" s="83" t="s">
        <v>297</v>
      </c>
      <c r="D8" s="84">
        <v>5041546.705635258</v>
      </c>
      <c r="E8" s="85">
        <v>6250344.1072801407</v>
      </c>
      <c r="F8" s="85">
        <v>7877052.2531055342</v>
      </c>
      <c r="G8" s="85">
        <v>6018617.7533772523</v>
      </c>
      <c r="H8" s="85">
        <v>6398562.4174817111</v>
      </c>
      <c r="I8" s="85">
        <v>4823495.9979127673</v>
      </c>
      <c r="J8" s="85">
        <v>12347346.323747071</v>
      </c>
      <c r="K8" s="85">
        <v>7847046.3248987924</v>
      </c>
      <c r="L8" s="85">
        <v>9771894.0008405931</v>
      </c>
      <c r="M8" s="654">
        <f>'2022-23 Input'!F8</f>
        <v>13897976.358397307</v>
      </c>
      <c r="N8" s="1065">
        <v>12690594.486258414</v>
      </c>
      <c r="O8" s="560">
        <f t="shared" ref="O8:O71" si="27">D8*O$4</f>
        <v>6783180.8736720569</v>
      </c>
      <c r="P8" s="561">
        <f t="shared" si="0"/>
        <v>8284399.3581029214</v>
      </c>
      <c r="Q8" s="561">
        <f t="shared" si="1"/>
        <v>10334737.831280166</v>
      </c>
      <c r="R8" s="561">
        <f t="shared" si="2"/>
        <v>7746663.72107621</v>
      </c>
      <c r="S8" s="561">
        <f t="shared" si="3"/>
        <v>8068067.6340764165</v>
      </c>
      <c r="T8" s="561">
        <f t="shared" si="4"/>
        <v>5986673.8311427431</v>
      </c>
      <c r="U8" s="561">
        <f t="shared" si="5"/>
        <v>15378471.354706233</v>
      </c>
      <c r="V8" s="561">
        <f t="shared" si="6"/>
        <v>9411423.9821324889</v>
      </c>
      <c r="W8" s="675">
        <f t="shared" si="7"/>
        <v>11041529.159045707</v>
      </c>
      <c r="X8" s="675">
        <f t="shared" si="8"/>
        <v>14779954.808907242</v>
      </c>
      <c r="Y8" s="675">
        <f t="shared" si="8"/>
        <v>13039566.536246967</v>
      </c>
      <c r="Z8" s="86">
        <v>955.8</v>
      </c>
      <c r="AA8" s="87">
        <v>1188.4000000000001</v>
      </c>
      <c r="AB8" s="87">
        <v>1299.8</v>
      </c>
      <c r="AC8" s="87">
        <v>1135</v>
      </c>
      <c r="AD8" s="87">
        <v>1158.5999999999999</v>
      </c>
      <c r="AE8" s="87">
        <v>1054</v>
      </c>
      <c r="AF8" s="87">
        <v>3202</v>
      </c>
      <c r="AG8" s="87">
        <v>2253</v>
      </c>
      <c r="AH8" s="87">
        <v>2816</v>
      </c>
      <c r="AI8" s="1094">
        <f>'2022-23 Input'!M8</f>
        <v>2517</v>
      </c>
      <c r="AJ8" s="665">
        <v>2329</v>
      </c>
      <c r="AK8" s="88">
        <f t="shared" si="9"/>
        <v>2368.4</v>
      </c>
      <c r="AL8" s="89">
        <f t="shared" si="10"/>
        <v>2528.6666666666665</v>
      </c>
      <c r="AM8" s="90">
        <f t="shared" si="11"/>
        <v>2517</v>
      </c>
      <c r="AN8" s="91">
        <f t="shared" si="12"/>
        <v>5274.6879113153991</v>
      </c>
      <c r="AO8" s="92">
        <f t="shared" si="13"/>
        <v>5259.4615510603671</v>
      </c>
      <c r="AP8" s="92">
        <f t="shared" si="14"/>
        <v>6060.2033028970109</v>
      </c>
      <c r="AQ8" s="92">
        <f t="shared" si="15"/>
        <v>5302.7469192751123</v>
      </c>
      <c r="AR8" s="92">
        <f t="shared" si="16"/>
        <v>5522.6673722438391</v>
      </c>
      <c r="AS8" s="92">
        <f t="shared" si="17"/>
        <v>4576.3719145282421</v>
      </c>
      <c r="AT8" s="92">
        <f t="shared" si="18"/>
        <v>3856.1356413950875</v>
      </c>
      <c r="AU8" s="92">
        <f t="shared" si="19"/>
        <v>3482.9322347531256</v>
      </c>
      <c r="AV8" s="92">
        <f t="shared" si="20"/>
        <v>3470.1328127985062</v>
      </c>
      <c r="AW8" s="92">
        <f t="shared" si="20"/>
        <v>5521.6433684534395</v>
      </c>
      <c r="AX8" s="92">
        <f t="shared" si="20"/>
        <v>5448.9456789430715</v>
      </c>
      <c r="AY8" s="93">
        <f t="shared" si="21"/>
        <v>4111.4473066877654</v>
      </c>
      <c r="AZ8" s="94">
        <f t="shared" si="22"/>
        <v>4154.6159615260594</v>
      </c>
      <c r="BA8" s="95">
        <f t="shared" si="23"/>
        <v>5521.6433684534395</v>
      </c>
      <c r="BB8" s="248" t="s">
        <v>422</v>
      </c>
      <c r="BC8" s="229" t="s">
        <v>433</v>
      </c>
      <c r="BD8" s="249">
        <v>0</v>
      </c>
      <c r="BE8" s="267">
        <f t="shared" ref="BE8:BE71" si="28">IF(BE$6=$BB8,1,0
)</f>
        <v>0</v>
      </c>
      <c r="BF8" s="268">
        <f t="shared" ref="BF8:BL8" si="29">IF(BF$6=$BB8,1,
IF(BE8&lt;&gt;0,BE8+1,0
))</f>
        <v>0</v>
      </c>
      <c r="BG8" s="268">
        <f t="shared" si="29"/>
        <v>0</v>
      </c>
      <c r="BH8" s="268">
        <f t="shared" si="29"/>
        <v>1</v>
      </c>
      <c r="BI8" s="268">
        <f t="shared" si="29"/>
        <v>2</v>
      </c>
      <c r="BJ8" s="268">
        <f t="shared" si="29"/>
        <v>3</v>
      </c>
      <c r="BK8" s="268">
        <f t="shared" si="29"/>
        <v>4</v>
      </c>
      <c r="BL8" s="269">
        <f t="shared" si="29"/>
        <v>5</v>
      </c>
      <c r="BM8" s="256">
        <f>IF($BC8=Lookup!$A$2,$BD8*ROUNDUP(BE8/10,0)+1,
IF($BC8=Lookup!$A$3,($BD8+1)^BD8,
IF($BC8=Lookup!$A$4,BE8*$BD8+1,"Error")))</f>
        <v>1</v>
      </c>
      <c r="BN8" s="229">
        <f>IF($BC8=Lookup!$A$2,$BD8*ROUNDUP(BF8/10,0)+1,
IF($BC8=Lookup!$A$3,($BD8+1)^BE8,
IF($BC8=Lookup!$A$4,BF8*$BD8+1,"Error")))</f>
        <v>1</v>
      </c>
      <c r="BO8" s="229">
        <f>IF($BC8=Lookup!$A$2,$BD8*ROUNDUP(BG8/10,0)+1,
IF($BC8=Lookup!$A$3,($BD8+1)^BF8,
IF($BC8=Lookup!$A$4,BG8*$BD8+1,"Error")))</f>
        <v>1</v>
      </c>
      <c r="BP8" s="229">
        <f>IF($BC8=Lookup!$A$2,$BD8*ROUNDUP(BH8/10,0)+1,
IF($BC8=Lookup!$A$3,($BD8+1)^BG8,
IF($BC8=Lookup!$A$4,BH8*$BD8+1,"Error")))</f>
        <v>1</v>
      </c>
      <c r="BQ8" s="229">
        <f>IF($BC8=Lookup!$A$2,$BD8*ROUNDUP(BI8/10,0)+1,
IF($BC8=Lookup!$A$3,($BD8+1)^BH8,
IF($BC8=Lookup!$A$4,BI8*$BD8+1,"Error")))</f>
        <v>1</v>
      </c>
      <c r="BR8" s="229">
        <f>IF($BC8=Lookup!$A$2,$BD8*ROUNDUP(BJ8/10,0)+1,
IF($BC8=Lookup!$A$3,($BD8+1)^BI8,
IF($BC8=Lookup!$A$4,BJ8*$BD8+1,"Error")))</f>
        <v>1</v>
      </c>
      <c r="BS8" s="229">
        <f>IF($BC8=Lookup!$A$2,$BD8*ROUNDUP(BK8/10,0)+1,
IF($BC8=Lookup!$A$3,($BD8+1)^BJ8,
IF($BC8=Lookup!$A$4,BK8*$BD8+1,"Error")))</f>
        <v>1</v>
      </c>
      <c r="BT8" s="249">
        <f>IF($BC8=Lookup!$A$2,$BD8*ROUNDUP(BL8/10,0)+1,
IF($BC8=Lookup!$A$3,($BD8+1)^BK8,
IF($BC8=Lookup!$A$4,BL8*$BD8+1,"Error")))</f>
        <v>1</v>
      </c>
      <c r="BU8" s="320"/>
      <c r="BV8" s="321"/>
      <c r="BW8" s="321"/>
      <c r="BX8" s="321"/>
      <c r="BY8" s="321"/>
      <c r="BZ8" s="321"/>
      <c r="CA8" s="321"/>
      <c r="CB8" s="277"/>
      <c r="CC8" s="382" t="s">
        <v>293</v>
      </c>
      <c r="CD8" s="383">
        <f>HLOOKUP($CC8,$AK$6:$AM$132,ROWS(CD$6:CD8),0)</f>
        <v>2528.6666666666665</v>
      </c>
      <c r="CE8" s="234">
        <f t="shared" ref="CE8:CH71" si="30">IFERROR(IF(BU8&lt;&gt;"",BU8,BM8*$CD8),"")</f>
        <v>2528.6666666666665</v>
      </c>
      <c r="CF8" s="96">
        <f t="shared" si="25"/>
        <v>2528.6666666666665</v>
      </c>
      <c r="CG8" s="96">
        <f t="shared" si="25"/>
        <v>2528.6666666666665</v>
      </c>
      <c r="CH8" s="96">
        <f t="shared" si="25"/>
        <v>2528.6666666666665</v>
      </c>
      <c r="CI8" s="96">
        <f t="shared" si="25"/>
        <v>2528.6666666666665</v>
      </c>
      <c r="CJ8" s="96">
        <f t="shared" si="25"/>
        <v>2528.6666666666665</v>
      </c>
      <c r="CK8" s="96">
        <f t="shared" si="25"/>
        <v>2528.6666666666665</v>
      </c>
      <c r="CL8" s="286">
        <f t="shared" si="25"/>
        <v>2528.6666666666665</v>
      </c>
      <c r="CM8" s="305" t="s">
        <v>293</v>
      </c>
      <c r="CN8" s="315">
        <v>0</v>
      </c>
      <c r="CO8" s="306"/>
      <c r="CP8" s="307">
        <f>IF($CO8&lt;&gt;"",$CO8,HLOOKUP($CM8,$AY$6:$BA$132,ROWS(CP$6:CP8),0))</f>
        <v>4154.6159615260594</v>
      </c>
      <c r="CQ8" s="784">
        <f t="shared" si="26"/>
        <v>10505638.894712228</v>
      </c>
      <c r="CR8" s="784">
        <f t="shared" si="26"/>
        <v>10505638.894712228</v>
      </c>
      <c r="CS8" s="97">
        <f t="shared" si="26"/>
        <v>10505638.894712228</v>
      </c>
      <c r="CT8" s="97">
        <f t="shared" si="26"/>
        <v>10505638.894712228</v>
      </c>
      <c r="CU8" s="97">
        <f t="shared" si="26"/>
        <v>10505638.894712228</v>
      </c>
      <c r="CV8" s="97">
        <f t="shared" si="26"/>
        <v>10505638.894712228</v>
      </c>
      <c r="CW8" s="97">
        <f t="shared" si="26"/>
        <v>10505638.894712228</v>
      </c>
      <c r="CX8" s="98">
        <f t="shared" si="26"/>
        <v>10505638.894712228</v>
      </c>
      <c r="CY8" s="391" t="s">
        <v>471</v>
      </c>
      <c r="CZ8" s="187"/>
    </row>
    <row r="9" spans="1:104" x14ac:dyDescent="0.25">
      <c r="A9" s="81" t="s">
        <v>27</v>
      </c>
      <c r="B9" s="82" t="s">
        <v>28</v>
      </c>
      <c r="C9" s="83" t="s">
        <v>29</v>
      </c>
      <c r="D9" s="84">
        <v>5244638.2501243027</v>
      </c>
      <c r="E9" s="85">
        <v>5643247.1270529777</v>
      </c>
      <c r="F9" s="85">
        <v>6326075.8219104782</v>
      </c>
      <c r="G9" s="85">
        <v>5256280.5160606354</v>
      </c>
      <c r="H9" s="85">
        <v>6984178.2171989176</v>
      </c>
      <c r="I9" s="85">
        <v>22549166.278062236</v>
      </c>
      <c r="J9" s="85">
        <v>36032968.200173341</v>
      </c>
      <c r="K9" s="85">
        <v>78136259.926765919</v>
      </c>
      <c r="L9" s="85">
        <v>41901129.593573324</v>
      </c>
      <c r="M9" s="654">
        <f>'2022-23 Input'!F9</f>
        <v>50158432.623420626</v>
      </c>
      <c r="N9" s="1065">
        <v>65362508.904471099</v>
      </c>
      <c r="O9" s="560">
        <f t="shared" si="27"/>
        <v>7056431.6755822655</v>
      </c>
      <c r="P9" s="561">
        <f t="shared" si="0"/>
        <v>7479734.2473545298</v>
      </c>
      <c r="Q9" s="561">
        <f t="shared" si="1"/>
        <v>8299847.8389513697</v>
      </c>
      <c r="R9" s="561">
        <f t="shared" si="2"/>
        <v>6765446.6939220466</v>
      </c>
      <c r="S9" s="561">
        <f t="shared" si="3"/>
        <v>8806481.6045009959</v>
      </c>
      <c r="T9" s="561">
        <f t="shared" si="4"/>
        <v>27986859.267505702</v>
      </c>
      <c r="U9" s="561">
        <f t="shared" si="5"/>
        <v>44878628.554029495</v>
      </c>
      <c r="V9" s="561">
        <f t="shared" si="6"/>
        <v>93713410.129305825</v>
      </c>
      <c r="W9" s="675">
        <f t="shared" si="7"/>
        <v>47345227.462004274</v>
      </c>
      <c r="X9" s="675">
        <f t="shared" si="8"/>
        <v>53341533.209030852</v>
      </c>
      <c r="Y9" s="675">
        <f t="shared" si="8"/>
        <v>67159878.503624782</v>
      </c>
      <c r="Z9" s="86">
        <v>607.59999999999991</v>
      </c>
      <c r="AA9" s="87">
        <v>678.8</v>
      </c>
      <c r="AB9" s="87">
        <v>721.59999999999991</v>
      </c>
      <c r="AC9" s="87">
        <v>676</v>
      </c>
      <c r="AD9" s="87">
        <v>865.19999999999982</v>
      </c>
      <c r="AE9" s="87">
        <v>3106</v>
      </c>
      <c r="AF9" s="87">
        <v>6332</v>
      </c>
      <c r="AG9" s="87">
        <v>11776</v>
      </c>
      <c r="AH9" s="87">
        <v>7328</v>
      </c>
      <c r="AI9" s="1094">
        <f>'2022-23 Input'!M9</f>
        <v>7499</v>
      </c>
      <c r="AJ9" s="665">
        <v>8151</v>
      </c>
      <c r="AK9" s="88">
        <f t="shared" si="9"/>
        <v>7208.2</v>
      </c>
      <c r="AL9" s="89">
        <f t="shared" si="10"/>
        <v>8867.6666666666661</v>
      </c>
      <c r="AM9" s="90">
        <f t="shared" si="11"/>
        <v>7499</v>
      </c>
      <c r="AN9" s="91">
        <f t="shared" si="12"/>
        <v>8631.7285222585633</v>
      </c>
      <c r="AO9" s="92">
        <f t="shared" si="13"/>
        <v>8313.5638288936043</v>
      </c>
      <c r="AP9" s="92">
        <f t="shared" si="14"/>
        <v>8766.7347864613075</v>
      </c>
      <c r="AQ9" s="92">
        <f t="shared" si="15"/>
        <v>7775.5628935808218</v>
      </c>
      <c r="AR9" s="92">
        <f t="shared" si="16"/>
        <v>8072.328036522098</v>
      </c>
      <c r="AS9" s="92">
        <f t="shared" si="17"/>
        <v>7259.8732382685885</v>
      </c>
      <c r="AT9" s="92">
        <f t="shared" si="18"/>
        <v>5690.6140556180262</v>
      </c>
      <c r="AU9" s="92">
        <f t="shared" si="19"/>
        <v>6635.2122899767255</v>
      </c>
      <c r="AV9" s="92">
        <f t="shared" si="20"/>
        <v>5717.948907419941</v>
      </c>
      <c r="AW9" s="92">
        <f t="shared" si="20"/>
        <v>6688.6828408348611</v>
      </c>
      <c r="AX9" s="92">
        <f t="shared" si="20"/>
        <v>8018.9558219201444</v>
      </c>
      <c r="AY9" s="93">
        <f t="shared" si="21"/>
        <v>6347.7138986708314</v>
      </c>
      <c r="AZ9" s="94">
        <f t="shared" si="22"/>
        <v>6397.6176425124941</v>
      </c>
      <c r="BA9" s="95">
        <f t="shared" si="23"/>
        <v>6688.6828408348611</v>
      </c>
      <c r="BB9" s="248" t="s">
        <v>422</v>
      </c>
      <c r="BC9" s="229" t="s">
        <v>433</v>
      </c>
      <c r="BD9" s="249">
        <v>0</v>
      </c>
      <c r="BE9" s="267">
        <f t="shared" si="28"/>
        <v>0</v>
      </c>
      <c r="BF9" s="268">
        <f t="shared" ref="BF9:BL9" si="31">IF(BF$6=$BB9,1,
IF(BE9&lt;&gt;0,BE9+1,0
))</f>
        <v>0</v>
      </c>
      <c r="BG9" s="268">
        <f t="shared" si="31"/>
        <v>0</v>
      </c>
      <c r="BH9" s="268">
        <f t="shared" si="31"/>
        <v>1</v>
      </c>
      <c r="BI9" s="268">
        <f t="shared" si="31"/>
        <v>2</v>
      </c>
      <c r="BJ9" s="268">
        <f t="shared" si="31"/>
        <v>3</v>
      </c>
      <c r="BK9" s="268">
        <f t="shared" si="31"/>
        <v>4</v>
      </c>
      <c r="BL9" s="269">
        <f t="shared" si="31"/>
        <v>5</v>
      </c>
      <c r="BM9" s="256">
        <f>IF($BC9=Lookup!$A$2,$BD9*ROUNDUP(BE9/10,0)+1,
IF($BC9=Lookup!$A$3,($BD9+1)^BD9,
IF($BC9=Lookup!$A$4,BE9*$BD9+1,"Error")))</f>
        <v>1</v>
      </c>
      <c r="BN9" s="229">
        <f>IF($BC9=Lookup!$A$2,$BD9*ROUNDUP(BF9/10,0)+1,
IF($BC9=Lookup!$A$3,($BD9+1)^BE9,
IF($BC9=Lookup!$A$4,BF9*$BD9+1,"Error")))</f>
        <v>1</v>
      </c>
      <c r="BO9" s="229">
        <f>IF($BC9=Lookup!$A$2,$BD9*ROUNDUP(BG9/10,0)+1,
IF($BC9=Lookup!$A$3,($BD9+1)^BF9,
IF($BC9=Lookup!$A$4,BG9*$BD9+1,"Error")))</f>
        <v>1</v>
      </c>
      <c r="BP9" s="229">
        <f>IF($BC9=Lookup!$A$2,$BD9*ROUNDUP(BH9/10,0)+1,
IF($BC9=Lookup!$A$3,($BD9+1)^BG9,
IF($BC9=Lookup!$A$4,BH9*$BD9+1,"Error")))</f>
        <v>1</v>
      </c>
      <c r="BQ9" s="229">
        <f>IF($BC9=Lookup!$A$2,$BD9*ROUNDUP(BI9/10,0)+1,
IF($BC9=Lookup!$A$3,($BD9+1)^BH9,
IF($BC9=Lookup!$A$4,BI9*$BD9+1,"Error")))</f>
        <v>1</v>
      </c>
      <c r="BR9" s="229">
        <f>IF($BC9=Lookup!$A$2,$BD9*ROUNDUP(BJ9/10,0)+1,
IF($BC9=Lookup!$A$3,($BD9+1)^BI9,
IF($BC9=Lookup!$A$4,BJ9*$BD9+1,"Error")))</f>
        <v>1</v>
      </c>
      <c r="BS9" s="229">
        <f>IF($BC9=Lookup!$A$2,$BD9*ROUNDUP(BK9/10,0)+1,
IF($BC9=Lookup!$A$3,($BD9+1)^BJ9,
IF($BC9=Lookup!$A$4,BK9*$BD9+1,"Error")))</f>
        <v>1</v>
      </c>
      <c r="BT9" s="249">
        <f>IF($BC9=Lookup!$A$2,$BD9*ROUNDUP(BL9/10,0)+1,
IF($BC9=Lookup!$A$3,($BD9+1)^BK9,
IF($BC9=Lookup!$A$4,BL9*$BD9+1,"Error")))</f>
        <v>1</v>
      </c>
      <c r="BU9" s="320"/>
      <c r="BV9" s="321"/>
      <c r="BW9" s="321"/>
      <c r="BX9" s="321"/>
      <c r="BY9" s="321"/>
      <c r="BZ9" s="321"/>
      <c r="CA9" s="321"/>
      <c r="CB9" s="277"/>
      <c r="CC9" s="382" t="s">
        <v>293</v>
      </c>
      <c r="CD9" s="383">
        <f>HLOOKUP($CC9,$AK$6:$AM$132,ROWS(CD$6:CD9),0)</f>
        <v>8867.6666666666661</v>
      </c>
      <c r="CE9" s="234">
        <f t="shared" si="30"/>
        <v>8867.6666666666661</v>
      </c>
      <c r="CF9" s="96">
        <f t="shared" si="25"/>
        <v>8867.6666666666661</v>
      </c>
      <c r="CG9" s="96">
        <f t="shared" si="25"/>
        <v>8867.6666666666661</v>
      </c>
      <c r="CH9" s="96">
        <f t="shared" si="25"/>
        <v>8867.6666666666661</v>
      </c>
      <c r="CI9" s="96">
        <f t="shared" si="25"/>
        <v>8867.6666666666661</v>
      </c>
      <c r="CJ9" s="96">
        <f t="shared" si="25"/>
        <v>8867.6666666666661</v>
      </c>
      <c r="CK9" s="96">
        <f t="shared" si="25"/>
        <v>8867.6666666666661</v>
      </c>
      <c r="CL9" s="286">
        <f t="shared" si="25"/>
        <v>8867.6666666666661</v>
      </c>
      <c r="CM9" s="305" t="s">
        <v>293</v>
      </c>
      <c r="CN9" s="315">
        <v>0</v>
      </c>
      <c r="CO9" s="306"/>
      <c r="CP9" s="307">
        <f>IF($CO9&lt;&gt;"",$CO9,HLOOKUP($CM9,$AY$6:$BA$132,ROWS(CP$6:CP9),0))</f>
        <v>6397.6176425124941</v>
      </c>
      <c r="CQ9" s="784">
        <f t="shared" si="26"/>
        <v>56731940.714586623</v>
      </c>
      <c r="CR9" s="784">
        <f t="shared" si="26"/>
        <v>56731940.714586623</v>
      </c>
      <c r="CS9" s="97">
        <f t="shared" si="26"/>
        <v>56731940.714586623</v>
      </c>
      <c r="CT9" s="97">
        <f t="shared" si="26"/>
        <v>56731940.714586623</v>
      </c>
      <c r="CU9" s="97">
        <f t="shared" si="26"/>
        <v>56731940.714586623</v>
      </c>
      <c r="CV9" s="97">
        <f t="shared" si="26"/>
        <v>56731940.714586623</v>
      </c>
      <c r="CW9" s="97">
        <f t="shared" si="26"/>
        <v>56731940.714586623</v>
      </c>
      <c r="CX9" s="98">
        <f t="shared" si="26"/>
        <v>56731940.714586623</v>
      </c>
      <c r="CY9" s="392"/>
    </row>
    <row r="10" spans="1:104" x14ac:dyDescent="0.25">
      <c r="A10" s="81" t="s">
        <v>27</v>
      </c>
      <c r="B10" s="82" t="s">
        <v>30</v>
      </c>
      <c r="C10" s="83" t="s">
        <v>298</v>
      </c>
      <c r="D10" s="84">
        <v>5244638.2501243036</v>
      </c>
      <c r="E10" s="85">
        <v>5643247.1270529795</v>
      </c>
      <c r="F10" s="85">
        <v>6326075.8219104791</v>
      </c>
      <c r="G10" s="85">
        <v>5256280.5160606364</v>
      </c>
      <c r="H10" s="85">
        <v>6984178.2171989195</v>
      </c>
      <c r="I10" s="85">
        <v>4605841.829620312</v>
      </c>
      <c r="J10" s="85">
        <v>0</v>
      </c>
      <c r="K10" s="85">
        <v>0</v>
      </c>
      <c r="L10" s="85">
        <v>0</v>
      </c>
      <c r="M10" s="654">
        <f>'2022-23 Input'!F10</f>
        <v>0</v>
      </c>
      <c r="N10" s="1065">
        <v>0</v>
      </c>
      <c r="O10" s="560">
        <f t="shared" si="27"/>
        <v>7056431.6755822673</v>
      </c>
      <c r="P10" s="561">
        <f t="shared" si="0"/>
        <v>7479734.2473545317</v>
      </c>
      <c r="Q10" s="561">
        <f t="shared" si="1"/>
        <v>8299847.8389513716</v>
      </c>
      <c r="R10" s="561">
        <f t="shared" si="2"/>
        <v>6765446.6939220475</v>
      </c>
      <c r="S10" s="561">
        <f t="shared" si="3"/>
        <v>8806481.6045009978</v>
      </c>
      <c r="T10" s="561">
        <f t="shared" si="4"/>
        <v>5716532.731384512</v>
      </c>
      <c r="U10" s="561">
        <f t="shared" si="5"/>
        <v>0</v>
      </c>
      <c r="V10" s="561">
        <f t="shared" si="6"/>
        <v>0</v>
      </c>
      <c r="W10" s="675">
        <f t="shared" si="7"/>
        <v>0</v>
      </c>
      <c r="X10" s="675">
        <f t="shared" si="8"/>
        <v>0</v>
      </c>
      <c r="Y10" s="675">
        <f t="shared" si="8"/>
        <v>0</v>
      </c>
      <c r="Z10" s="86">
        <v>607.6</v>
      </c>
      <c r="AA10" s="87">
        <v>678.80000000000007</v>
      </c>
      <c r="AB10" s="87">
        <v>721.6</v>
      </c>
      <c r="AC10" s="87">
        <v>676</v>
      </c>
      <c r="AD10" s="87">
        <v>865.2</v>
      </c>
      <c r="AE10" s="87">
        <v>356</v>
      </c>
      <c r="AF10" s="87">
        <v>0</v>
      </c>
      <c r="AG10" s="87">
        <v>0</v>
      </c>
      <c r="AH10" s="87">
        <v>0</v>
      </c>
      <c r="AI10" s="1094">
        <f>'2022-23 Input'!M10</f>
        <v>0</v>
      </c>
      <c r="AJ10" s="665">
        <v>0</v>
      </c>
      <c r="AK10" s="88">
        <f t="shared" si="9"/>
        <v>71.2</v>
      </c>
      <c r="AL10" s="89">
        <f t="shared" si="10"/>
        <v>0</v>
      </c>
      <c r="AM10" s="90">
        <f t="shared" si="11"/>
        <v>0</v>
      </c>
      <c r="AN10" s="91">
        <f t="shared" si="12"/>
        <v>8631.7285222585633</v>
      </c>
      <c r="AO10" s="92">
        <f t="shared" si="13"/>
        <v>8313.5638288936043</v>
      </c>
      <c r="AP10" s="92">
        <f t="shared" si="14"/>
        <v>8766.7347864613075</v>
      </c>
      <c r="AQ10" s="92">
        <f t="shared" si="15"/>
        <v>7775.5628935808227</v>
      </c>
      <c r="AR10" s="92">
        <f t="shared" si="16"/>
        <v>8072.328036522098</v>
      </c>
      <c r="AS10" s="92">
        <f t="shared" si="17"/>
        <v>12937.757948371664</v>
      </c>
      <c r="AT10" s="92" t="str">
        <f t="shared" si="18"/>
        <v/>
      </c>
      <c r="AU10" s="92" t="str">
        <f t="shared" si="19"/>
        <v/>
      </c>
      <c r="AV10" s="92" t="str">
        <f t="shared" si="20"/>
        <v/>
      </c>
      <c r="AW10" s="92" t="str">
        <f t="shared" si="20"/>
        <v/>
      </c>
      <c r="AX10" s="92" t="str">
        <f t="shared" si="20"/>
        <v/>
      </c>
      <c r="AY10" s="93">
        <f t="shared" si="21"/>
        <v>12937.757948371664</v>
      </c>
      <c r="AZ10" s="94" t="str">
        <f t="shared" si="22"/>
        <v/>
      </c>
      <c r="BA10" s="95" t="str">
        <f t="shared" si="23"/>
        <v/>
      </c>
      <c r="BB10" s="248" t="s">
        <v>422</v>
      </c>
      <c r="BC10" s="229" t="s">
        <v>433</v>
      </c>
      <c r="BD10" s="249">
        <v>0</v>
      </c>
      <c r="BE10" s="267">
        <f t="shared" si="28"/>
        <v>0</v>
      </c>
      <c r="BF10" s="268">
        <f t="shared" ref="BF10:BL10" si="32">IF(BF$6=$BB10,1,
IF(BE10&lt;&gt;0,BE10+1,0
))</f>
        <v>0</v>
      </c>
      <c r="BG10" s="268">
        <f t="shared" si="32"/>
        <v>0</v>
      </c>
      <c r="BH10" s="268">
        <f t="shared" si="32"/>
        <v>1</v>
      </c>
      <c r="BI10" s="268">
        <f t="shared" si="32"/>
        <v>2</v>
      </c>
      <c r="BJ10" s="268">
        <f t="shared" si="32"/>
        <v>3</v>
      </c>
      <c r="BK10" s="268">
        <f t="shared" si="32"/>
        <v>4</v>
      </c>
      <c r="BL10" s="269">
        <f t="shared" si="32"/>
        <v>5</v>
      </c>
      <c r="BM10" s="256">
        <f>IF($BC10=Lookup!$A$2,$BD10*ROUNDUP(BE10/10,0)+1,
IF($BC10=Lookup!$A$3,($BD10+1)^BD10,
IF($BC10=Lookup!$A$4,BE10*$BD10+1,"Error")))</f>
        <v>1</v>
      </c>
      <c r="BN10" s="229">
        <f>IF($BC10=Lookup!$A$2,$BD10*ROUNDUP(BF10/10,0)+1,
IF($BC10=Lookup!$A$3,($BD10+1)^BE10,
IF($BC10=Lookup!$A$4,BF10*$BD10+1,"Error")))</f>
        <v>1</v>
      </c>
      <c r="BO10" s="229">
        <f>IF($BC10=Lookup!$A$2,$BD10*ROUNDUP(BG10/10,0)+1,
IF($BC10=Lookup!$A$3,($BD10+1)^BF10,
IF($BC10=Lookup!$A$4,BG10*$BD10+1,"Error")))</f>
        <v>1</v>
      </c>
      <c r="BP10" s="229">
        <f>IF($BC10=Lookup!$A$2,$BD10*ROUNDUP(BH10/10,0)+1,
IF($BC10=Lookup!$A$3,($BD10+1)^BG10,
IF($BC10=Lookup!$A$4,BH10*$BD10+1,"Error")))</f>
        <v>1</v>
      </c>
      <c r="BQ10" s="229">
        <f>IF($BC10=Lookup!$A$2,$BD10*ROUNDUP(BI10/10,0)+1,
IF($BC10=Lookup!$A$3,($BD10+1)^BH10,
IF($BC10=Lookup!$A$4,BI10*$BD10+1,"Error")))</f>
        <v>1</v>
      </c>
      <c r="BR10" s="229">
        <f>IF($BC10=Lookup!$A$2,$BD10*ROUNDUP(BJ10/10,0)+1,
IF($BC10=Lookup!$A$3,($BD10+1)^BI10,
IF($BC10=Lookup!$A$4,BJ10*$BD10+1,"Error")))</f>
        <v>1</v>
      </c>
      <c r="BS10" s="229">
        <f>IF($BC10=Lookup!$A$2,$BD10*ROUNDUP(BK10/10,0)+1,
IF($BC10=Lookup!$A$3,($BD10+1)^BJ10,
IF($BC10=Lookup!$A$4,BK10*$BD10+1,"Error")))</f>
        <v>1</v>
      </c>
      <c r="BT10" s="249">
        <f>IF($BC10=Lookup!$A$2,$BD10*ROUNDUP(BL10/10,0)+1,
IF($BC10=Lookup!$A$3,($BD10+1)^BK10,
IF($BC10=Lookup!$A$4,BL10*$BD10+1,"Error")))</f>
        <v>1</v>
      </c>
      <c r="BU10" s="320"/>
      <c r="BV10" s="321"/>
      <c r="BW10" s="321"/>
      <c r="BX10" s="321"/>
      <c r="BY10" s="321"/>
      <c r="BZ10" s="321"/>
      <c r="CA10" s="321"/>
      <c r="CB10" s="277"/>
      <c r="CC10" s="382" t="s">
        <v>293</v>
      </c>
      <c r="CD10" s="383">
        <f>HLOOKUP($CC10,$AK$6:$AM$132,ROWS(CD$6:CD10),0)</f>
        <v>0</v>
      </c>
      <c r="CE10" s="234">
        <f t="shared" si="30"/>
        <v>0</v>
      </c>
      <c r="CF10" s="96">
        <f t="shared" si="25"/>
        <v>0</v>
      </c>
      <c r="CG10" s="96">
        <f t="shared" si="25"/>
        <v>0</v>
      </c>
      <c r="CH10" s="96">
        <f t="shared" si="25"/>
        <v>0</v>
      </c>
      <c r="CI10" s="96">
        <f t="shared" si="25"/>
        <v>0</v>
      </c>
      <c r="CJ10" s="96">
        <f t="shared" si="25"/>
        <v>0</v>
      </c>
      <c r="CK10" s="96">
        <f t="shared" si="25"/>
        <v>0</v>
      </c>
      <c r="CL10" s="286">
        <f t="shared" si="25"/>
        <v>0</v>
      </c>
      <c r="CM10" s="305" t="s">
        <v>292</v>
      </c>
      <c r="CN10" s="315">
        <v>0</v>
      </c>
      <c r="CO10" s="306"/>
      <c r="CP10" s="307">
        <f>IF($CO10&lt;&gt;"",$CO10,HLOOKUP($CM10,$AY$6:$BA$132,ROWS(CP$6:CP10),0))</f>
        <v>12937.757948371664</v>
      </c>
      <c r="CQ10" s="784">
        <f t="shared" si="26"/>
        <v>0</v>
      </c>
      <c r="CR10" s="784">
        <f t="shared" si="26"/>
        <v>0</v>
      </c>
      <c r="CS10" s="97">
        <f t="shared" si="26"/>
        <v>0</v>
      </c>
      <c r="CT10" s="97">
        <f t="shared" si="26"/>
        <v>0</v>
      </c>
      <c r="CU10" s="97">
        <f t="shared" si="26"/>
        <v>0</v>
      </c>
      <c r="CV10" s="97">
        <f t="shared" si="26"/>
        <v>0</v>
      </c>
      <c r="CW10" s="97">
        <f t="shared" si="26"/>
        <v>0</v>
      </c>
      <c r="CX10" s="98">
        <f t="shared" si="26"/>
        <v>0</v>
      </c>
      <c r="CY10" s="392"/>
    </row>
    <row r="11" spans="1:104" x14ac:dyDescent="0.25">
      <c r="A11" s="81" t="s">
        <v>27</v>
      </c>
      <c r="B11" s="82" t="s">
        <v>32</v>
      </c>
      <c r="C11" s="83" t="s">
        <v>33</v>
      </c>
      <c r="D11" s="84">
        <v>1310120.9879491958</v>
      </c>
      <c r="E11" s="85">
        <v>2175765.165667661</v>
      </c>
      <c r="F11" s="85">
        <v>2394719.5528837699</v>
      </c>
      <c r="G11" s="85">
        <v>1635433.0366918442</v>
      </c>
      <c r="H11" s="85">
        <v>1959200.4129327671</v>
      </c>
      <c r="I11" s="85">
        <v>89746.423908826124</v>
      </c>
      <c r="J11" s="85">
        <v>4430723.8670122717</v>
      </c>
      <c r="K11" s="85">
        <v>4763818.0464736745</v>
      </c>
      <c r="L11" s="85">
        <v>6486281.5746713616</v>
      </c>
      <c r="M11" s="654">
        <f>'2022-23 Input'!F11</f>
        <v>7924083.4068963053</v>
      </c>
      <c r="N11" s="1065">
        <v>10616809.642504018</v>
      </c>
      <c r="O11" s="560">
        <f t="shared" si="27"/>
        <v>1762710.5621614088</v>
      </c>
      <c r="P11" s="561">
        <f t="shared" si="0"/>
        <v>2883826.4313872261</v>
      </c>
      <c r="Q11" s="561">
        <f t="shared" si="1"/>
        <v>3141885.8175959145</v>
      </c>
      <c r="R11" s="561">
        <f t="shared" si="2"/>
        <v>2104993.2547188457</v>
      </c>
      <c r="S11" s="561">
        <f t="shared" si="3"/>
        <v>2470392.6302360226</v>
      </c>
      <c r="T11" s="561">
        <f t="shared" si="4"/>
        <v>111388.62096829909</v>
      </c>
      <c r="U11" s="561">
        <f t="shared" si="5"/>
        <v>5518413.2916410798</v>
      </c>
      <c r="V11" s="561">
        <f t="shared" si="6"/>
        <v>5713527.0460731136</v>
      </c>
      <c r="W11" s="675">
        <f t="shared" si="7"/>
        <v>7329026.1984374803</v>
      </c>
      <c r="X11" s="675">
        <f t="shared" si="8"/>
        <v>8426953.0783289485</v>
      </c>
      <c r="Y11" s="675">
        <f t="shared" si="8"/>
        <v>10908755.762860686</v>
      </c>
      <c r="Z11" s="86">
        <v>106</v>
      </c>
      <c r="AA11" s="87">
        <v>146</v>
      </c>
      <c r="AB11" s="87">
        <v>147</v>
      </c>
      <c r="AC11" s="87">
        <v>113</v>
      </c>
      <c r="AD11" s="87">
        <v>129</v>
      </c>
      <c r="AE11" s="87">
        <v>5</v>
      </c>
      <c r="AF11" s="87">
        <v>363</v>
      </c>
      <c r="AG11" s="87">
        <v>597</v>
      </c>
      <c r="AH11" s="87">
        <v>639</v>
      </c>
      <c r="AI11" s="1094">
        <f>'2022-23 Input'!M11</f>
        <v>506</v>
      </c>
      <c r="AJ11" s="665">
        <v>604</v>
      </c>
      <c r="AK11" s="88">
        <f t="shared" si="9"/>
        <v>422</v>
      </c>
      <c r="AL11" s="89">
        <f t="shared" si="10"/>
        <v>580.66666666666663</v>
      </c>
      <c r="AM11" s="90">
        <f t="shared" si="11"/>
        <v>506</v>
      </c>
      <c r="AN11" s="91">
        <f t="shared" si="12"/>
        <v>12359.631961784866</v>
      </c>
      <c r="AO11" s="92">
        <f t="shared" si="13"/>
        <v>14902.501134710006</v>
      </c>
      <c r="AP11" s="92">
        <f t="shared" si="14"/>
        <v>16290.609203290951</v>
      </c>
      <c r="AQ11" s="92">
        <f t="shared" si="15"/>
        <v>14472.858731786233</v>
      </c>
      <c r="AR11" s="92">
        <f t="shared" si="16"/>
        <v>15187.600100254009</v>
      </c>
      <c r="AS11" s="92">
        <f t="shared" si="17"/>
        <v>17949.284781765225</v>
      </c>
      <c r="AT11" s="92">
        <f t="shared" si="18"/>
        <v>12205.850873312043</v>
      </c>
      <c r="AU11" s="92">
        <f t="shared" si="19"/>
        <v>7979.5947177113476</v>
      </c>
      <c r="AV11" s="92">
        <f t="shared" si="20"/>
        <v>10150.675390722006</v>
      </c>
      <c r="AW11" s="92">
        <f t="shared" si="20"/>
        <v>15660.243887146848</v>
      </c>
      <c r="AX11" s="92">
        <f t="shared" si="20"/>
        <v>17577.499408119234</v>
      </c>
      <c r="AY11" s="93">
        <f t="shared" si="21"/>
        <v>11229.693516095944</v>
      </c>
      <c r="AZ11" s="94">
        <f t="shared" si="22"/>
        <v>11006.993701516269</v>
      </c>
      <c r="BA11" s="95">
        <f t="shared" si="23"/>
        <v>15660.243887146848</v>
      </c>
      <c r="BB11" s="248" t="s">
        <v>422</v>
      </c>
      <c r="BC11" s="229" t="s">
        <v>433</v>
      </c>
      <c r="BD11" s="249">
        <v>0</v>
      </c>
      <c r="BE11" s="267">
        <f t="shared" si="28"/>
        <v>0</v>
      </c>
      <c r="BF11" s="268">
        <f t="shared" ref="BF11:BL11" si="33">IF(BF$6=$BB11,1,
IF(BE11&lt;&gt;0,BE11+1,0
))</f>
        <v>0</v>
      </c>
      <c r="BG11" s="268">
        <f t="shared" si="33"/>
        <v>0</v>
      </c>
      <c r="BH11" s="268">
        <f t="shared" si="33"/>
        <v>1</v>
      </c>
      <c r="BI11" s="268">
        <f t="shared" si="33"/>
        <v>2</v>
      </c>
      <c r="BJ11" s="268">
        <f t="shared" si="33"/>
        <v>3</v>
      </c>
      <c r="BK11" s="268">
        <f t="shared" si="33"/>
        <v>4</v>
      </c>
      <c r="BL11" s="269">
        <f t="shared" si="33"/>
        <v>5</v>
      </c>
      <c r="BM11" s="256">
        <f>IF($BC11=Lookup!$A$2,$BD11*ROUNDUP(BE11/10,0)+1,
IF($BC11=Lookup!$A$3,($BD11+1)^BD11,
IF($BC11=Lookup!$A$4,BE11*$BD11+1,"Error")))</f>
        <v>1</v>
      </c>
      <c r="BN11" s="229">
        <f>IF($BC11=Lookup!$A$2,$BD11*ROUNDUP(BF11/10,0)+1,
IF($BC11=Lookup!$A$3,($BD11+1)^BE11,
IF($BC11=Lookup!$A$4,BF11*$BD11+1,"Error")))</f>
        <v>1</v>
      </c>
      <c r="BO11" s="229">
        <f>IF($BC11=Lookup!$A$2,$BD11*ROUNDUP(BG11/10,0)+1,
IF($BC11=Lookup!$A$3,($BD11+1)^BF11,
IF($BC11=Lookup!$A$4,BG11*$BD11+1,"Error")))</f>
        <v>1</v>
      </c>
      <c r="BP11" s="229">
        <f>IF($BC11=Lookup!$A$2,$BD11*ROUNDUP(BH11/10,0)+1,
IF($BC11=Lookup!$A$3,($BD11+1)^BG11,
IF($BC11=Lookup!$A$4,BH11*$BD11+1,"Error")))</f>
        <v>1</v>
      </c>
      <c r="BQ11" s="229">
        <f>IF($BC11=Lookup!$A$2,$BD11*ROUNDUP(BI11/10,0)+1,
IF($BC11=Lookup!$A$3,($BD11+1)^BH11,
IF($BC11=Lookup!$A$4,BI11*$BD11+1,"Error")))</f>
        <v>1</v>
      </c>
      <c r="BR11" s="229">
        <f>IF($BC11=Lookup!$A$2,$BD11*ROUNDUP(BJ11/10,0)+1,
IF($BC11=Lookup!$A$3,($BD11+1)^BI11,
IF($BC11=Lookup!$A$4,BJ11*$BD11+1,"Error")))</f>
        <v>1</v>
      </c>
      <c r="BS11" s="229">
        <f>IF($BC11=Lookup!$A$2,$BD11*ROUNDUP(BK11/10,0)+1,
IF($BC11=Lookup!$A$3,($BD11+1)^BJ11,
IF($BC11=Lookup!$A$4,BK11*$BD11+1,"Error")))</f>
        <v>1</v>
      </c>
      <c r="BT11" s="249">
        <f>IF($BC11=Lookup!$A$2,$BD11*ROUNDUP(BL11/10,0)+1,
IF($BC11=Lookup!$A$3,($BD11+1)^BK11,
IF($BC11=Lookup!$A$4,BL11*$BD11+1,"Error")))</f>
        <v>1</v>
      </c>
      <c r="BU11" s="320"/>
      <c r="BV11" s="321"/>
      <c r="BW11" s="321"/>
      <c r="BX11" s="321"/>
      <c r="BY11" s="321"/>
      <c r="BZ11" s="321"/>
      <c r="CA11" s="321"/>
      <c r="CB11" s="277"/>
      <c r="CC11" s="382" t="s">
        <v>293</v>
      </c>
      <c r="CD11" s="383">
        <f>HLOOKUP($CC11,$AK$6:$AM$132,ROWS(CD$6:CD11),0)</f>
        <v>580.66666666666663</v>
      </c>
      <c r="CE11" s="234">
        <f t="shared" si="30"/>
        <v>580.66666666666663</v>
      </c>
      <c r="CF11" s="96">
        <f t="shared" si="25"/>
        <v>580.66666666666663</v>
      </c>
      <c r="CG11" s="96">
        <f t="shared" si="25"/>
        <v>580.66666666666663</v>
      </c>
      <c r="CH11" s="96">
        <f t="shared" si="25"/>
        <v>580.66666666666663</v>
      </c>
      <c r="CI11" s="96">
        <f t="shared" si="25"/>
        <v>580.66666666666663</v>
      </c>
      <c r="CJ11" s="96">
        <f t="shared" si="25"/>
        <v>580.66666666666663</v>
      </c>
      <c r="CK11" s="96">
        <f t="shared" si="25"/>
        <v>580.66666666666663</v>
      </c>
      <c r="CL11" s="286">
        <f t="shared" si="25"/>
        <v>580.66666666666663</v>
      </c>
      <c r="CM11" s="305" t="s">
        <v>293</v>
      </c>
      <c r="CN11" s="315">
        <v>0</v>
      </c>
      <c r="CO11" s="306"/>
      <c r="CP11" s="307">
        <f>IF($CO11&lt;&gt;"",$CO11,HLOOKUP($CM11,$AY$6:$BA$132,ROWS(CP$6:CP11),0))</f>
        <v>11006.993701516269</v>
      </c>
      <c r="CQ11" s="784">
        <f t="shared" si="26"/>
        <v>6391394.3426804459</v>
      </c>
      <c r="CR11" s="784">
        <f t="shared" si="26"/>
        <v>6391394.3426804459</v>
      </c>
      <c r="CS11" s="97">
        <f t="shared" si="26"/>
        <v>6391394.3426804459</v>
      </c>
      <c r="CT11" s="97">
        <f t="shared" si="26"/>
        <v>6391394.3426804459</v>
      </c>
      <c r="CU11" s="97">
        <f t="shared" si="26"/>
        <v>6391394.3426804459</v>
      </c>
      <c r="CV11" s="97">
        <f t="shared" si="26"/>
        <v>6391394.3426804459</v>
      </c>
      <c r="CW11" s="97">
        <f t="shared" si="26"/>
        <v>6391394.3426804459</v>
      </c>
      <c r="CX11" s="98">
        <f t="shared" si="26"/>
        <v>6391394.3426804459</v>
      </c>
      <c r="CY11" s="392"/>
    </row>
    <row r="12" spans="1:104" x14ac:dyDescent="0.25">
      <c r="A12" s="81" t="s">
        <v>27</v>
      </c>
      <c r="B12" s="82" t="s">
        <v>34</v>
      </c>
      <c r="C12" s="83" t="s">
        <v>35</v>
      </c>
      <c r="D12" s="84">
        <v>24395.191390579541</v>
      </c>
      <c r="E12" s="85">
        <v>47440.164383061659</v>
      </c>
      <c r="F12" s="85">
        <v>0</v>
      </c>
      <c r="G12" s="85">
        <v>0</v>
      </c>
      <c r="H12" s="85">
        <v>22149.027489887732</v>
      </c>
      <c r="I12" s="85">
        <v>5990645.1529431222</v>
      </c>
      <c r="J12" s="85">
        <v>108789.64225470406</v>
      </c>
      <c r="K12" s="85">
        <v>175102.39200178496</v>
      </c>
      <c r="L12" s="85">
        <v>121625.33933916573</v>
      </c>
      <c r="M12" s="654">
        <f>'2022-23 Input'!F12</f>
        <v>50954.985998544988</v>
      </c>
      <c r="N12" s="1065">
        <v>323665.71093854663</v>
      </c>
      <c r="O12" s="560">
        <f t="shared" si="27"/>
        <v>32822.664414709121</v>
      </c>
      <c r="P12" s="561">
        <f t="shared" si="0"/>
        <v>62878.660857338647</v>
      </c>
      <c r="Q12" s="561">
        <f t="shared" si="1"/>
        <v>0</v>
      </c>
      <c r="R12" s="561">
        <f t="shared" si="2"/>
        <v>0</v>
      </c>
      <c r="S12" s="561">
        <f t="shared" si="3"/>
        <v>27928.125125293864</v>
      </c>
      <c r="T12" s="561">
        <f t="shared" si="4"/>
        <v>7435279.0142887784</v>
      </c>
      <c r="U12" s="561">
        <f t="shared" si="5"/>
        <v>135496.19110343311</v>
      </c>
      <c r="V12" s="561">
        <f t="shared" si="6"/>
        <v>210010.59292658346</v>
      </c>
      <c r="W12" s="675">
        <f t="shared" si="7"/>
        <v>137427.78326051292</v>
      </c>
      <c r="X12" s="675">
        <f t="shared" si="8"/>
        <v>54188.636599022393</v>
      </c>
      <c r="Y12" s="675">
        <f t="shared" si="8"/>
        <v>332566.02579609968</v>
      </c>
      <c r="Z12" s="86">
        <v>1</v>
      </c>
      <c r="AA12" s="87">
        <v>2</v>
      </c>
      <c r="AB12" s="87">
        <v>0</v>
      </c>
      <c r="AC12" s="87">
        <v>0</v>
      </c>
      <c r="AD12" s="87">
        <v>1</v>
      </c>
      <c r="AE12" s="87">
        <v>7</v>
      </c>
      <c r="AF12" s="87">
        <v>7</v>
      </c>
      <c r="AG12" s="87">
        <v>9</v>
      </c>
      <c r="AH12" s="87">
        <v>13</v>
      </c>
      <c r="AI12" s="1094">
        <f>'2022-23 Input'!M12</f>
        <v>4</v>
      </c>
      <c r="AJ12" s="665">
        <v>16</v>
      </c>
      <c r="AK12" s="88">
        <f t="shared" si="9"/>
        <v>8</v>
      </c>
      <c r="AL12" s="89">
        <f t="shared" si="10"/>
        <v>8.6666666666666661</v>
      </c>
      <c r="AM12" s="90">
        <f t="shared" si="11"/>
        <v>4</v>
      </c>
      <c r="AN12" s="91">
        <f t="shared" si="12"/>
        <v>24395.191390579541</v>
      </c>
      <c r="AO12" s="92">
        <f t="shared" si="13"/>
        <v>23720.08219153083</v>
      </c>
      <c r="AP12" s="92" t="str">
        <f t="shared" si="14"/>
        <v/>
      </c>
      <c r="AQ12" s="92" t="str">
        <f t="shared" si="15"/>
        <v/>
      </c>
      <c r="AR12" s="92">
        <f t="shared" si="16"/>
        <v>22149.027489887732</v>
      </c>
      <c r="AS12" s="92">
        <f t="shared" si="17"/>
        <v>855806.450420446</v>
      </c>
      <c r="AT12" s="92">
        <f t="shared" si="18"/>
        <v>15541.377464957723</v>
      </c>
      <c r="AU12" s="92">
        <f t="shared" si="19"/>
        <v>19455.821333531661</v>
      </c>
      <c r="AV12" s="92">
        <f t="shared" si="20"/>
        <v>9355.7953337819799</v>
      </c>
      <c r="AW12" s="92">
        <f t="shared" si="20"/>
        <v>12738.746499636247</v>
      </c>
      <c r="AX12" s="92">
        <f t="shared" si="20"/>
        <v>20229.106933659164</v>
      </c>
      <c r="AY12" s="93">
        <f t="shared" si="21"/>
        <v>161177.93781343306</v>
      </c>
      <c r="AZ12" s="94">
        <f t="shared" si="22"/>
        <v>13372.412205365217</v>
      </c>
      <c r="BA12" s="95">
        <f t="shared" si="23"/>
        <v>12738.746499636247</v>
      </c>
      <c r="BB12" s="248" t="s">
        <v>422</v>
      </c>
      <c r="BC12" s="229" t="s">
        <v>433</v>
      </c>
      <c r="BD12" s="249">
        <v>0</v>
      </c>
      <c r="BE12" s="267">
        <f t="shared" si="28"/>
        <v>0</v>
      </c>
      <c r="BF12" s="268">
        <f t="shared" ref="BF12:BL12" si="34">IF(BF$6=$BB12,1,
IF(BE12&lt;&gt;0,BE12+1,0
))</f>
        <v>0</v>
      </c>
      <c r="BG12" s="268">
        <f t="shared" si="34"/>
        <v>0</v>
      </c>
      <c r="BH12" s="268">
        <f t="shared" si="34"/>
        <v>1</v>
      </c>
      <c r="BI12" s="268">
        <f t="shared" si="34"/>
        <v>2</v>
      </c>
      <c r="BJ12" s="268">
        <f t="shared" si="34"/>
        <v>3</v>
      </c>
      <c r="BK12" s="268">
        <f t="shared" si="34"/>
        <v>4</v>
      </c>
      <c r="BL12" s="269">
        <f t="shared" si="34"/>
        <v>5</v>
      </c>
      <c r="BM12" s="256">
        <f>IF($BC12=Lookup!$A$2,$BD12*ROUNDUP(BE12/10,0)+1,
IF($BC12=Lookup!$A$3,($BD12+1)^BD12,
IF($BC12=Lookup!$A$4,BE12*$BD12+1,"Error")))</f>
        <v>1</v>
      </c>
      <c r="BN12" s="229">
        <f>IF($BC12=Lookup!$A$2,$BD12*ROUNDUP(BF12/10,0)+1,
IF($BC12=Lookup!$A$3,($BD12+1)^BE12,
IF($BC12=Lookup!$A$4,BF12*$BD12+1,"Error")))</f>
        <v>1</v>
      </c>
      <c r="BO12" s="229">
        <f>IF($BC12=Lookup!$A$2,$BD12*ROUNDUP(BG12/10,0)+1,
IF($BC12=Lookup!$A$3,($BD12+1)^BF12,
IF($BC12=Lookup!$A$4,BG12*$BD12+1,"Error")))</f>
        <v>1</v>
      </c>
      <c r="BP12" s="229">
        <f>IF($BC12=Lookup!$A$2,$BD12*ROUNDUP(BH12/10,0)+1,
IF($BC12=Lookup!$A$3,($BD12+1)^BG12,
IF($BC12=Lookup!$A$4,BH12*$BD12+1,"Error")))</f>
        <v>1</v>
      </c>
      <c r="BQ12" s="229">
        <f>IF($BC12=Lookup!$A$2,$BD12*ROUNDUP(BI12/10,0)+1,
IF($BC12=Lookup!$A$3,($BD12+1)^BH12,
IF($BC12=Lookup!$A$4,BI12*$BD12+1,"Error")))</f>
        <v>1</v>
      </c>
      <c r="BR12" s="229">
        <f>IF($BC12=Lookup!$A$2,$BD12*ROUNDUP(BJ12/10,0)+1,
IF($BC12=Lookup!$A$3,($BD12+1)^BI12,
IF($BC12=Lookup!$A$4,BJ12*$BD12+1,"Error")))</f>
        <v>1</v>
      </c>
      <c r="BS12" s="229">
        <f>IF($BC12=Lookup!$A$2,$BD12*ROUNDUP(BK12/10,0)+1,
IF($BC12=Lookup!$A$3,($BD12+1)^BJ12,
IF($BC12=Lookup!$A$4,BK12*$BD12+1,"Error")))</f>
        <v>1</v>
      </c>
      <c r="BT12" s="249">
        <f>IF($BC12=Lookup!$A$2,$BD12*ROUNDUP(BL12/10,0)+1,
IF($BC12=Lookup!$A$3,($BD12+1)^BK12,
IF($BC12=Lookup!$A$4,BL12*$BD12+1,"Error")))</f>
        <v>1</v>
      </c>
      <c r="BU12" s="320"/>
      <c r="BV12" s="321"/>
      <c r="BW12" s="321"/>
      <c r="BX12" s="321"/>
      <c r="BY12" s="321"/>
      <c r="BZ12" s="321"/>
      <c r="CA12" s="321"/>
      <c r="CB12" s="277"/>
      <c r="CC12" s="382" t="s">
        <v>293</v>
      </c>
      <c r="CD12" s="383">
        <f>HLOOKUP($CC12,$AK$6:$AM$132,ROWS(CD$6:CD12),0)</f>
        <v>8.6666666666666661</v>
      </c>
      <c r="CE12" s="234">
        <f t="shared" si="30"/>
        <v>8.6666666666666661</v>
      </c>
      <c r="CF12" s="96">
        <f t="shared" si="25"/>
        <v>8.6666666666666661</v>
      </c>
      <c r="CG12" s="96">
        <f t="shared" si="25"/>
        <v>8.6666666666666661</v>
      </c>
      <c r="CH12" s="96">
        <f t="shared" si="25"/>
        <v>8.6666666666666661</v>
      </c>
      <c r="CI12" s="96">
        <f t="shared" si="25"/>
        <v>8.6666666666666661</v>
      </c>
      <c r="CJ12" s="96">
        <f t="shared" si="25"/>
        <v>8.6666666666666661</v>
      </c>
      <c r="CK12" s="96">
        <f t="shared" si="25"/>
        <v>8.6666666666666661</v>
      </c>
      <c r="CL12" s="286">
        <f t="shared" si="25"/>
        <v>8.6666666666666661</v>
      </c>
      <c r="CM12" s="305" t="s">
        <v>293</v>
      </c>
      <c r="CN12" s="315">
        <v>0</v>
      </c>
      <c r="CO12" s="306"/>
      <c r="CP12" s="307">
        <f>IF($CO12&lt;&gt;"",$CO12,HLOOKUP($CM12,$AY$6:$BA$132,ROWS(CP$6:CP12),0))</f>
        <v>13372.412205365217</v>
      </c>
      <c r="CQ12" s="784">
        <f t="shared" si="26"/>
        <v>115894.23911316521</v>
      </c>
      <c r="CR12" s="784">
        <f t="shared" si="26"/>
        <v>115894.23911316521</v>
      </c>
      <c r="CS12" s="97">
        <f t="shared" si="26"/>
        <v>115894.23911316521</v>
      </c>
      <c r="CT12" s="97">
        <f t="shared" si="26"/>
        <v>115894.23911316521</v>
      </c>
      <c r="CU12" s="97">
        <f t="shared" si="26"/>
        <v>115894.23911316521</v>
      </c>
      <c r="CV12" s="97">
        <f t="shared" si="26"/>
        <v>115894.23911316521</v>
      </c>
      <c r="CW12" s="97">
        <f t="shared" si="26"/>
        <v>115894.23911316521</v>
      </c>
      <c r="CX12" s="98">
        <f t="shared" si="26"/>
        <v>115894.23911316521</v>
      </c>
      <c r="CY12" s="392"/>
    </row>
    <row r="13" spans="1:104" x14ac:dyDescent="0.25">
      <c r="A13" s="81" t="s">
        <v>27</v>
      </c>
      <c r="B13" s="82" t="s">
        <v>36</v>
      </c>
      <c r="C13" s="83" t="s">
        <v>37</v>
      </c>
      <c r="D13" s="84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654">
        <f>'2022-23 Input'!F13</f>
        <v>0</v>
      </c>
      <c r="N13" s="1065">
        <v>0</v>
      </c>
      <c r="O13" s="560">
        <f t="shared" si="27"/>
        <v>0</v>
      </c>
      <c r="P13" s="561">
        <f t="shared" si="0"/>
        <v>0</v>
      </c>
      <c r="Q13" s="561">
        <f t="shared" si="1"/>
        <v>0</v>
      </c>
      <c r="R13" s="561">
        <f t="shared" si="2"/>
        <v>0</v>
      </c>
      <c r="S13" s="561">
        <f t="shared" si="3"/>
        <v>0</v>
      </c>
      <c r="T13" s="561">
        <f t="shared" si="4"/>
        <v>0</v>
      </c>
      <c r="U13" s="561">
        <f t="shared" si="5"/>
        <v>0</v>
      </c>
      <c r="V13" s="561">
        <f t="shared" si="6"/>
        <v>0</v>
      </c>
      <c r="W13" s="675">
        <f t="shared" si="7"/>
        <v>0</v>
      </c>
      <c r="X13" s="675">
        <f t="shared" si="8"/>
        <v>0</v>
      </c>
      <c r="Y13" s="675">
        <f t="shared" si="8"/>
        <v>0</v>
      </c>
      <c r="Z13" s="86">
        <v>0</v>
      </c>
      <c r="AA13" s="87">
        <v>0</v>
      </c>
      <c r="AB13" s="87">
        <v>0</v>
      </c>
      <c r="AC13" s="87">
        <v>0</v>
      </c>
      <c r="AD13" s="87">
        <v>0</v>
      </c>
      <c r="AE13" s="87">
        <v>0</v>
      </c>
      <c r="AF13" s="87">
        <v>0</v>
      </c>
      <c r="AG13" s="87">
        <v>0</v>
      </c>
      <c r="AH13" s="87">
        <v>0</v>
      </c>
      <c r="AI13" s="1094">
        <f>'2022-23 Input'!M13</f>
        <v>0</v>
      </c>
      <c r="AJ13" s="665">
        <v>0</v>
      </c>
      <c r="AK13" s="88">
        <f t="shared" si="9"/>
        <v>0</v>
      </c>
      <c r="AL13" s="89">
        <f t="shared" si="10"/>
        <v>0</v>
      </c>
      <c r="AM13" s="90">
        <f t="shared" si="11"/>
        <v>0</v>
      </c>
      <c r="AN13" s="91" t="str">
        <f t="shared" si="12"/>
        <v/>
      </c>
      <c r="AO13" s="92" t="str">
        <f t="shared" si="13"/>
        <v/>
      </c>
      <c r="AP13" s="92" t="str">
        <f t="shared" si="14"/>
        <v/>
      </c>
      <c r="AQ13" s="92" t="str">
        <f t="shared" si="15"/>
        <v/>
      </c>
      <c r="AR13" s="92" t="str">
        <f t="shared" si="16"/>
        <v/>
      </c>
      <c r="AS13" s="92" t="str">
        <f t="shared" si="17"/>
        <v/>
      </c>
      <c r="AT13" s="92" t="str">
        <f t="shared" si="18"/>
        <v/>
      </c>
      <c r="AU13" s="92" t="str">
        <f t="shared" si="19"/>
        <v/>
      </c>
      <c r="AV13" s="92" t="str">
        <f t="shared" si="20"/>
        <v/>
      </c>
      <c r="AW13" s="92" t="str">
        <f t="shared" si="20"/>
        <v/>
      </c>
      <c r="AX13" s="92" t="str">
        <f t="shared" si="20"/>
        <v/>
      </c>
      <c r="AY13" s="93" t="str">
        <f t="shared" si="21"/>
        <v/>
      </c>
      <c r="AZ13" s="94" t="str">
        <f t="shared" si="22"/>
        <v/>
      </c>
      <c r="BA13" s="95" t="str">
        <f t="shared" si="23"/>
        <v/>
      </c>
      <c r="BB13" s="248" t="s">
        <v>422</v>
      </c>
      <c r="BC13" s="229" t="s">
        <v>433</v>
      </c>
      <c r="BD13" s="249">
        <v>0</v>
      </c>
      <c r="BE13" s="267">
        <f t="shared" si="28"/>
        <v>0</v>
      </c>
      <c r="BF13" s="268">
        <f t="shared" ref="BF13:BL13" si="35">IF(BF$6=$BB13,1,
IF(BE13&lt;&gt;0,BE13+1,0
))</f>
        <v>0</v>
      </c>
      <c r="BG13" s="268">
        <f t="shared" si="35"/>
        <v>0</v>
      </c>
      <c r="BH13" s="268">
        <f t="shared" si="35"/>
        <v>1</v>
      </c>
      <c r="BI13" s="268">
        <f t="shared" si="35"/>
        <v>2</v>
      </c>
      <c r="BJ13" s="268">
        <f t="shared" si="35"/>
        <v>3</v>
      </c>
      <c r="BK13" s="268">
        <f t="shared" si="35"/>
        <v>4</v>
      </c>
      <c r="BL13" s="269">
        <f t="shared" si="35"/>
        <v>5</v>
      </c>
      <c r="BM13" s="256">
        <f>IF($BC13=Lookup!$A$2,$BD13*ROUNDUP(BE13/10,0)+1,
IF($BC13=Lookup!$A$3,($BD13+1)^BD13,
IF($BC13=Lookup!$A$4,BE13*$BD13+1,"Error")))</f>
        <v>1</v>
      </c>
      <c r="BN13" s="229">
        <f>IF($BC13=Lookup!$A$2,$BD13*ROUNDUP(BF13/10,0)+1,
IF($BC13=Lookup!$A$3,($BD13+1)^BE13,
IF($BC13=Lookup!$A$4,BF13*$BD13+1,"Error")))</f>
        <v>1</v>
      </c>
      <c r="BO13" s="229">
        <f>IF($BC13=Lookup!$A$2,$BD13*ROUNDUP(BG13/10,0)+1,
IF($BC13=Lookup!$A$3,($BD13+1)^BF13,
IF($BC13=Lookup!$A$4,BG13*$BD13+1,"Error")))</f>
        <v>1</v>
      </c>
      <c r="BP13" s="229">
        <f>IF($BC13=Lookup!$A$2,$BD13*ROUNDUP(BH13/10,0)+1,
IF($BC13=Lookup!$A$3,($BD13+1)^BG13,
IF($BC13=Lookup!$A$4,BH13*$BD13+1,"Error")))</f>
        <v>1</v>
      </c>
      <c r="BQ13" s="229">
        <f>IF($BC13=Lookup!$A$2,$BD13*ROUNDUP(BI13/10,0)+1,
IF($BC13=Lookup!$A$3,($BD13+1)^BH13,
IF($BC13=Lookup!$A$4,BI13*$BD13+1,"Error")))</f>
        <v>1</v>
      </c>
      <c r="BR13" s="229">
        <f>IF($BC13=Lookup!$A$2,$BD13*ROUNDUP(BJ13/10,0)+1,
IF($BC13=Lookup!$A$3,($BD13+1)^BI13,
IF($BC13=Lookup!$A$4,BJ13*$BD13+1,"Error")))</f>
        <v>1</v>
      </c>
      <c r="BS13" s="229">
        <f>IF($BC13=Lookup!$A$2,$BD13*ROUNDUP(BK13/10,0)+1,
IF($BC13=Lookup!$A$3,($BD13+1)^BJ13,
IF($BC13=Lookup!$A$4,BK13*$BD13+1,"Error")))</f>
        <v>1</v>
      </c>
      <c r="BT13" s="249">
        <f>IF($BC13=Lookup!$A$2,$BD13*ROUNDUP(BL13/10,0)+1,
IF($BC13=Lookup!$A$3,($BD13+1)^BK13,
IF($BC13=Lookup!$A$4,BL13*$BD13+1,"Error")))</f>
        <v>1</v>
      </c>
      <c r="BU13" s="320"/>
      <c r="BV13" s="321"/>
      <c r="BW13" s="321"/>
      <c r="BX13" s="321"/>
      <c r="BY13" s="321"/>
      <c r="BZ13" s="321"/>
      <c r="CA13" s="321"/>
      <c r="CB13" s="277"/>
      <c r="CC13" s="382" t="s">
        <v>293</v>
      </c>
      <c r="CD13" s="383">
        <f>HLOOKUP($CC13,$AK$6:$AM$132,ROWS(CD$6:CD13),0)</f>
        <v>0</v>
      </c>
      <c r="CE13" s="234">
        <f t="shared" si="30"/>
        <v>0</v>
      </c>
      <c r="CF13" s="96">
        <f t="shared" si="25"/>
        <v>0</v>
      </c>
      <c r="CG13" s="96">
        <f t="shared" si="25"/>
        <v>0</v>
      </c>
      <c r="CH13" s="96">
        <f t="shared" si="25"/>
        <v>0</v>
      </c>
      <c r="CI13" s="96">
        <f t="shared" si="25"/>
        <v>0</v>
      </c>
      <c r="CJ13" s="96">
        <f t="shared" si="25"/>
        <v>0</v>
      </c>
      <c r="CK13" s="96">
        <f t="shared" si="25"/>
        <v>0</v>
      </c>
      <c r="CL13" s="286">
        <f t="shared" si="25"/>
        <v>0</v>
      </c>
      <c r="CM13" s="305" t="s">
        <v>293</v>
      </c>
      <c r="CN13" s="315">
        <v>0</v>
      </c>
      <c r="CO13" s="306"/>
      <c r="CP13" s="307" t="str">
        <f>IF($CO13&lt;&gt;"",$CO13,HLOOKUP($CM13,$AY$6:$BA$132,ROWS(CP$6:CP13),0))</f>
        <v/>
      </c>
      <c r="CQ13" s="784" t="str">
        <f t="shared" si="26"/>
        <v/>
      </c>
      <c r="CR13" s="784" t="str">
        <f t="shared" si="26"/>
        <v/>
      </c>
      <c r="CS13" s="97" t="str">
        <f t="shared" si="26"/>
        <v/>
      </c>
      <c r="CT13" s="97" t="str">
        <f t="shared" si="26"/>
        <v/>
      </c>
      <c r="CU13" s="97" t="str">
        <f t="shared" si="26"/>
        <v/>
      </c>
      <c r="CV13" s="97" t="str">
        <f t="shared" si="26"/>
        <v/>
      </c>
      <c r="CW13" s="97" t="str">
        <f t="shared" si="26"/>
        <v/>
      </c>
      <c r="CX13" s="98" t="str">
        <f t="shared" si="26"/>
        <v/>
      </c>
      <c r="CY13" s="392"/>
    </row>
    <row r="14" spans="1:104" x14ac:dyDescent="0.25">
      <c r="A14" s="81" t="s">
        <v>27</v>
      </c>
      <c r="B14" s="82" t="s">
        <v>39</v>
      </c>
      <c r="C14" s="83" t="s">
        <v>299</v>
      </c>
      <c r="D14" s="84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654">
        <f>'2022-23 Input'!F14</f>
        <v>0</v>
      </c>
      <c r="N14" s="1065">
        <v>0</v>
      </c>
      <c r="O14" s="560">
        <f t="shared" si="27"/>
        <v>0</v>
      </c>
      <c r="P14" s="561">
        <f t="shared" si="0"/>
        <v>0</v>
      </c>
      <c r="Q14" s="561">
        <f t="shared" si="1"/>
        <v>0</v>
      </c>
      <c r="R14" s="561">
        <f t="shared" si="2"/>
        <v>0</v>
      </c>
      <c r="S14" s="561">
        <f t="shared" si="3"/>
        <v>0</v>
      </c>
      <c r="T14" s="561">
        <f t="shared" si="4"/>
        <v>0</v>
      </c>
      <c r="U14" s="561">
        <f t="shared" si="5"/>
        <v>0</v>
      </c>
      <c r="V14" s="561">
        <f t="shared" si="6"/>
        <v>0</v>
      </c>
      <c r="W14" s="675">
        <f t="shared" si="7"/>
        <v>0</v>
      </c>
      <c r="X14" s="675">
        <f t="shared" si="8"/>
        <v>0</v>
      </c>
      <c r="Y14" s="675">
        <f t="shared" si="8"/>
        <v>0</v>
      </c>
      <c r="Z14" s="86">
        <v>0</v>
      </c>
      <c r="AA14" s="87">
        <v>0</v>
      </c>
      <c r="AB14" s="87">
        <v>0</v>
      </c>
      <c r="AC14" s="87">
        <v>0</v>
      </c>
      <c r="AD14" s="87">
        <v>0</v>
      </c>
      <c r="AE14" s="87">
        <v>0</v>
      </c>
      <c r="AF14" s="87">
        <v>0</v>
      </c>
      <c r="AG14" s="87">
        <v>0</v>
      </c>
      <c r="AH14" s="87">
        <v>0</v>
      </c>
      <c r="AI14" s="1094">
        <f>'2022-23 Input'!M14</f>
        <v>0</v>
      </c>
      <c r="AJ14" s="665">
        <v>0</v>
      </c>
      <c r="AK14" s="88">
        <f t="shared" si="9"/>
        <v>0</v>
      </c>
      <c r="AL14" s="89">
        <f t="shared" si="10"/>
        <v>0</v>
      </c>
      <c r="AM14" s="90">
        <f t="shared" si="11"/>
        <v>0</v>
      </c>
      <c r="AN14" s="91" t="str">
        <f t="shared" si="12"/>
        <v/>
      </c>
      <c r="AO14" s="92" t="str">
        <f t="shared" si="13"/>
        <v/>
      </c>
      <c r="AP14" s="92" t="str">
        <f t="shared" si="14"/>
        <v/>
      </c>
      <c r="AQ14" s="92" t="str">
        <f t="shared" si="15"/>
        <v/>
      </c>
      <c r="AR14" s="92" t="str">
        <f t="shared" si="16"/>
        <v/>
      </c>
      <c r="AS14" s="92" t="str">
        <f t="shared" si="17"/>
        <v/>
      </c>
      <c r="AT14" s="92" t="str">
        <f t="shared" si="18"/>
        <v/>
      </c>
      <c r="AU14" s="92" t="str">
        <f t="shared" si="19"/>
        <v/>
      </c>
      <c r="AV14" s="92" t="str">
        <f t="shared" si="20"/>
        <v/>
      </c>
      <c r="AW14" s="92" t="str">
        <f t="shared" si="20"/>
        <v/>
      </c>
      <c r="AX14" s="92" t="str">
        <f t="shared" si="20"/>
        <v/>
      </c>
      <c r="AY14" s="93" t="str">
        <f t="shared" si="21"/>
        <v/>
      </c>
      <c r="AZ14" s="94" t="str">
        <f t="shared" si="22"/>
        <v/>
      </c>
      <c r="BA14" s="95" t="str">
        <f t="shared" si="23"/>
        <v/>
      </c>
      <c r="BB14" s="248" t="s">
        <v>422</v>
      </c>
      <c r="BC14" s="229" t="s">
        <v>433</v>
      </c>
      <c r="BD14" s="249">
        <v>0</v>
      </c>
      <c r="BE14" s="267">
        <f t="shared" si="28"/>
        <v>0</v>
      </c>
      <c r="BF14" s="268">
        <f t="shared" ref="BF14:BL14" si="36">IF(BF$6=$BB14,1,
IF(BE14&lt;&gt;0,BE14+1,0
))</f>
        <v>0</v>
      </c>
      <c r="BG14" s="268">
        <f t="shared" si="36"/>
        <v>0</v>
      </c>
      <c r="BH14" s="268">
        <f t="shared" si="36"/>
        <v>1</v>
      </c>
      <c r="BI14" s="268">
        <f t="shared" si="36"/>
        <v>2</v>
      </c>
      <c r="BJ14" s="268">
        <f t="shared" si="36"/>
        <v>3</v>
      </c>
      <c r="BK14" s="268">
        <f t="shared" si="36"/>
        <v>4</v>
      </c>
      <c r="BL14" s="269">
        <f t="shared" si="36"/>
        <v>5</v>
      </c>
      <c r="BM14" s="256">
        <f>IF($BC14=Lookup!$A$2,$BD14*ROUNDUP(BE14/10,0)+1,
IF($BC14=Lookup!$A$3,($BD14+1)^BD14,
IF($BC14=Lookup!$A$4,BE14*$BD14+1,"Error")))</f>
        <v>1</v>
      </c>
      <c r="BN14" s="229">
        <f>IF($BC14=Lookup!$A$2,$BD14*ROUNDUP(BF14/10,0)+1,
IF($BC14=Lookup!$A$3,($BD14+1)^BE14,
IF($BC14=Lookup!$A$4,BF14*$BD14+1,"Error")))</f>
        <v>1</v>
      </c>
      <c r="BO14" s="229">
        <f>IF($BC14=Lookup!$A$2,$BD14*ROUNDUP(BG14/10,0)+1,
IF($BC14=Lookup!$A$3,($BD14+1)^BF14,
IF($BC14=Lookup!$A$4,BG14*$BD14+1,"Error")))</f>
        <v>1</v>
      </c>
      <c r="BP14" s="229">
        <f>IF($BC14=Lookup!$A$2,$BD14*ROUNDUP(BH14/10,0)+1,
IF($BC14=Lookup!$A$3,($BD14+1)^BG14,
IF($BC14=Lookup!$A$4,BH14*$BD14+1,"Error")))</f>
        <v>1</v>
      </c>
      <c r="BQ14" s="229">
        <f>IF($BC14=Lookup!$A$2,$BD14*ROUNDUP(BI14/10,0)+1,
IF($BC14=Lookup!$A$3,($BD14+1)^BH14,
IF($BC14=Lookup!$A$4,BI14*$BD14+1,"Error")))</f>
        <v>1</v>
      </c>
      <c r="BR14" s="229">
        <f>IF($BC14=Lookup!$A$2,$BD14*ROUNDUP(BJ14/10,0)+1,
IF($BC14=Lookup!$A$3,($BD14+1)^BI14,
IF($BC14=Lookup!$A$4,BJ14*$BD14+1,"Error")))</f>
        <v>1</v>
      </c>
      <c r="BS14" s="229">
        <f>IF($BC14=Lookup!$A$2,$BD14*ROUNDUP(BK14/10,0)+1,
IF($BC14=Lookup!$A$3,($BD14+1)^BJ14,
IF($BC14=Lookup!$A$4,BK14*$BD14+1,"Error")))</f>
        <v>1</v>
      </c>
      <c r="BT14" s="249">
        <f>IF($BC14=Lookup!$A$2,$BD14*ROUNDUP(BL14/10,0)+1,
IF($BC14=Lookup!$A$3,($BD14+1)^BK14,
IF($BC14=Lookup!$A$4,BL14*$BD14+1,"Error")))</f>
        <v>1</v>
      </c>
      <c r="BU14" s="320"/>
      <c r="BV14" s="321"/>
      <c r="BW14" s="321"/>
      <c r="BX14" s="321"/>
      <c r="BY14" s="321"/>
      <c r="BZ14" s="321"/>
      <c r="CA14" s="321"/>
      <c r="CB14" s="277"/>
      <c r="CC14" s="382" t="s">
        <v>293</v>
      </c>
      <c r="CD14" s="383">
        <f>HLOOKUP($CC14,$AK$6:$AM$132,ROWS(CD$6:CD14),0)</f>
        <v>0</v>
      </c>
      <c r="CE14" s="234">
        <f t="shared" si="30"/>
        <v>0</v>
      </c>
      <c r="CF14" s="96">
        <f t="shared" si="25"/>
        <v>0</v>
      </c>
      <c r="CG14" s="96">
        <f t="shared" si="25"/>
        <v>0</v>
      </c>
      <c r="CH14" s="96">
        <f t="shared" si="25"/>
        <v>0</v>
      </c>
      <c r="CI14" s="96">
        <f t="shared" si="25"/>
        <v>0</v>
      </c>
      <c r="CJ14" s="96">
        <f t="shared" si="25"/>
        <v>0</v>
      </c>
      <c r="CK14" s="96">
        <f t="shared" si="25"/>
        <v>0</v>
      </c>
      <c r="CL14" s="286">
        <f t="shared" si="25"/>
        <v>0</v>
      </c>
      <c r="CM14" s="305" t="s">
        <v>293</v>
      </c>
      <c r="CN14" s="315">
        <v>0</v>
      </c>
      <c r="CO14" s="306"/>
      <c r="CP14" s="307" t="str">
        <f>IF($CO14&lt;&gt;"",$CO14,HLOOKUP($CM14,$AY$6:$BA$132,ROWS(CP$6:CP14),0))</f>
        <v/>
      </c>
      <c r="CQ14" s="784" t="str">
        <f t="shared" si="26"/>
        <v/>
      </c>
      <c r="CR14" s="784" t="str">
        <f t="shared" si="26"/>
        <v/>
      </c>
      <c r="CS14" s="97" t="str">
        <f t="shared" si="26"/>
        <v/>
      </c>
      <c r="CT14" s="97" t="str">
        <f t="shared" si="26"/>
        <v/>
      </c>
      <c r="CU14" s="97" t="str">
        <f t="shared" si="26"/>
        <v/>
      </c>
      <c r="CV14" s="97" t="str">
        <f t="shared" si="26"/>
        <v/>
      </c>
      <c r="CW14" s="97" t="str">
        <f t="shared" si="26"/>
        <v/>
      </c>
      <c r="CX14" s="98" t="str">
        <f t="shared" si="26"/>
        <v/>
      </c>
      <c r="CY14" s="392"/>
    </row>
    <row r="15" spans="1:104" x14ac:dyDescent="0.25">
      <c r="A15" s="81" t="s">
        <v>27</v>
      </c>
      <c r="B15" s="82" t="s">
        <v>41</v>
      </c>
      <c r="C15" s="83" t="s">
        <v>42</v>
      </c>
      <c r="D15" s="84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64127.299805579001</v>
      </c>
      <c r="L15" s="85">
        <v>107354.770183375</v>
      </c>
      <c r="M15" s="654">
        <f>'2022-23 Input'!F15</f>
        <v>0</v>
      </c>
      <c r="N15" s="1065">
        <v>0</v>
      </c>
      <c r="O15" s="560">
        <f t="shared" si="27"/>
        <v>0</v>
      </c>
      <c r="P15" s="561">
        <f t="shared" si="0"/>
        <v>0</v>
      </c>
      <c r="Q15" s="561">
        <f t="shared" si="1"/>
        <v>0</v>
      </c>
      <c r="R15" s="561">
        <f t="shared" si="2"/>
        <v>0</v>
      </c>
      <c r="S15" s="561">
        <f t="shared" si="3"/>
        <v>0</v>
      </c>
      <c r="T15" s="561">
        <f t="shared" si="4"/>
        <v>0</v>
      </c>
      <c r="U15" s="561">
        <f t="shared" si="5"/>
        <v>0</v>
      </c>
      <c r="V15" s="561">
        <f t="shared" si="6"/>
        <v>76911.640674863782</v>
      </c>
      <c r="W15" s="675">
        <f t="shared" si="7"/>
        <v>121303.07852709202</v>
      </c>
      <c r="X15" s="675">
        <f t="shared" si="8"/>
        <v>0</v>
      </c>
      <c r="Y15" s="675">
        <f t="shared" si="8"/>
        <v>0</v>
      </c>
      <c r="Z15" s="86">
        <v>0</v>
      </c>
      <c r="AA15" s="87">
        <v>0</v>
      </c>
      <c r="AB15" s="87">
        <v>0</v>
      </c>
      <c r="AC15" s="87">
        <v>0</v>
      </c>
      <c r="AD15" s="87">
        <v>0</v>
      </c>
      <c r="AE15" s="87">
        <v>0</v>
      </c>
      <c r="AF15" s="87">
        <v>0</v>
      </c>
      <c r="AG15" s="87">
        <v>12</v>
      </c>
      <c r="AH15" s="87">
        <v>14</v>
      </c>
      <c r="AI15" s="1094">
        <f>'2022-23 Input'!M15</f>
        <v>0</v>
      </c>
      <c r="AJ15" s="665">
        <v>0</v>
      </c>
      <c r="AK15" s="88">
        <f t="shared" si="9"/>
        <v>5.2</v>
      </c>
      <c r="AL15" s="89">
        <f t="shared" si="10"/>
        <v>8.6666666666666661</v>
      </c>
      <c r="AM15" s="90">
        <f t="shared" si="11"/>
        <v>0</v>
      </c>
      <c r="AN15" s="91" t="str">
        <f t="shared" si="12"/>
        <v/>
      </c>
      <c r="AO15" s="92" t="str">
        <f t="shared" si="13"/>
        <v/>
      </c>
      <c r="AP15" s="92" t="str">
        <f t="shared" si="14"/>
        <v/>
      </c>
      <c r="AQ15" s="92" t="str">
        <f t="shared" si="15"/>
        <v/>
      </c>
      <c r="AR15" s="92" t="str">
        <f t="shared" si="16"/>
        <v/>
      </c>
      <c r="AS15" s="92" t="str">
        <f t="shared" si="17"/>
        <v/>
      </c>
      <c r="AT15" s="92" t="str">
        <f t="shared" si="18"/>
        <v/>
      </c>
      <c r="AU15" s="92">
        <f t="shared" si="19"/>
        <v>5343.9416504649171</v>
      </c>
      <c r="AV15" s="92">
        <f t="shared" si="20"/>
        <v>7668.1978702410715</v>
      </c>
      <c r="AW15" s="92" t="str">
        <f t="shared" si="20"/>
        <v/>
      </c>
      <c r="AX15" s="92" t="str">
        <f t="shared" si="20"/>
        <v/>
      </c>
      <c r="AY15" s="93">
        <f t="shared" si="21"/>
        <v>6595.4642303443843</v>
      </c>
      <c r="AZ15" s="94">
        <f t="shared" si="22"/>
        <v>6595.4642303443843</v>
      </c>
      <c r="BA15" s="95" t="str">
        <f t="shared" si="23"/>
        <v/>
      </c>
      <c r="BB15" s="248" t="s">
        <v>422</v>
      </c>
      <c r="BC15" s="229" t="s">
        <v>433</v>
      </c>
      <c r="BD15" s="249">
        <v>0</v>
      </c>
      <c r="BE15" s="267">
        <f t="shared" si="28"/>
        <v>0</v>
      </c>
      <c r="BF15" s="268">
        <f t="shared" ref="BF15:BL15" si="37">IF(BF$6=$BB15,1,
IF(BE15&lt;&gt;0,BE15+1,0
))</f>
        <v>0</v>
      </c>
      <c r="BG15" s="268">
        <f t="shared" si="37"/>
        <v>0</v>
      </c>
      <c r="BH15" s="268">
        <f t="shared" si="37"/>
        <v>1</v>
      </c>
      <c r="BI15" s="268">
        <f t="shared" si="37"/>
        <v>2</v>
      </c>
      <c r="BJ15" s="268">
        <f t="shared" si="37"/>
        <v>3</v>
      </c>
      <c r="BK15" s="268">
        <f t="shared" si="37"/>
        <v>4</v>
      </c>
      <c r="BL15" s="269">
        <f t="shared" si="37"/>
        <v>5</v>
      </c>
      <c r="BM15" s="256">
        <f>IF($BC15=Lookup!$A$2,$BD15*ROUNDUP(BE15/10,0)+1,
IF($BC15=Lookup!$A$3,($BD15+1)^BD15,
IF($BC15=Lookup!$A$4,BE15*$BD15+1,"Error")))</f>
        <v>1</v>
      </c>
      <c r="BN15" s="229">
        <f>IF($BC15=Lookup!$A$2,$BD15*ROUNDUP(BF15/10,0)+1,
IF($BC15=Lookup!$A$3,($BD15+1)^BE15,
IF($BC15=Lookup!$A$4,BF15*$BD15+1,"Error")))</f>
        <v>1</v>
      </c>
      <c r="BO15" s="229">
        <f>IF($BC15=Lookup!$A$2,$BD15*ROUNDUP(BG15/10,0)+1,
IF($BC15=Lookup!$A$3,($BD15+1)^BF15,
IF($BC15=Lookup!$A$4,BG15*$BD15+1,"Error")))</f>
        <v>1</v>
      </c>
      <c r="BP15" s="229">
        <f>IF($BC15=Lookup!$A$2,$BD15*ROUNDUP(BH15/10,0)+1,
IF($BC15=Lookup!$A$3,($BD15+1)^BG15,
IF($BC15=Lookup!$A$4,BH15*$BD15+1,"Error")))</f>
        <v>1</v>
      </c>
      <c r="BQ15" s="229">
        <f>IF($BC15=Lookup!$A$2,$BD15*ROUNDUP(BI15/10,0)+1,
IF($BC15=Lookup!$A$3,($BD15+1)^BH15,
IF($BC15=Lookup!$A$4,BI15*$BD15+1,"Error")))</f>
        <v>1</v>
      </c>
      <c r="BR15" s="229">
        <f>IF($BC15=Lookup!$A$2,$BD15*ROUNDUP(BJ15/10,0)+1,
IF($BC15=Lookup!$A$3,($BD15+1)^BI15,
IF($BC15=Lookup!$A$4,BJ15*$BD15+1,"Error")))</f>
        <v>1</v>
      </c>
      <c r="BS15" s="229">
        <f>IF($BC15=Lookup!$A$2,$BD15*ROUNDUP(BK15/10,0)+1,
IF($BC15=Lookup!$A$3,($BD15+1)^BJ15,
IF($BC15=Lookup!$A$4,BK15*$BD15+1,"Error")))</f>
        <v>1</v>
      </c>
      <c r="BT15" s="249">
        <f>IF($BC15=Lookup!$A$2,$BD15*ROUNDUP(BL15/10,0)+1,
IF($BC15=Lookup!$A$3,($BD15+1)^BK15,
IF($BC15=Lookup!$A$4,BL15*$BD15+1,"Error")))</f>
        <v>1</v>
      </c>
      <c r="BU15" s="320"/>
      <c r="BV15" s="321"/>
      <c r="BW15" s="321"/>
      <c r="BX15" s="321"/>
      <c r="BY15" s="321"/>
      <c r="BZ15" s="321"/>
      <c r="CA15" s="321"/>
      <c r="CB15" s="277"/>
      <c r="CC15" s="382" t="s">
        <v>293</v>
      </c>
      <c r="CD15" s="383">
        <f>HLOOKUP($CC15,$AK$6:$AM$132,ROWS(CD$6:CD15),0)</f>
        <v>8.6666666666666661</v>
      </c>
      <c r="CE15" s="234">
        <f t="shared" si="30"/>
        <v>8.6666666666666661</v>
      </c>
      <c r="CF15" s="96">
        <f t="shared" si="25"/>
        <v>8.6666666666666661</v>
      </c>
      <c r="CG15" s="96">
        <f t="shared" si="25"/>
        <v>8.6666666666666661</v>
      </c>
      <c r="CH15" s="96">
        <f t="shared" si="25"/>
        <v>8.6666666666666661</v>
      </c>
      <c r="CI15" s="96">
        <f t="shared" si="25"/>
        <v>8.6666666666666661</v>
      </c>
      <c r="CJ15" s="96">
        <f t="shared" si="25"/>
        <v>8.6666666666666661</v>
      </c>
      <c r="CK15" s="96">
        <f t="shared" si="25"/>
        <v>8.6666666666666661</v>
      </c>
      <c r="CL15" s="286">
        <f t="shared" si="25"/>
        <v>8.6666666666666661</v>
      </c>
      <c r="CM15" s="305" t="s">
        <v>293</v>
      </c>
      <c r="CN15" s="315">
        <v>0</v>
      </c>
      <c r="CO15" s="306"/>
      <c r="CP15" s="307">
        <f>IF($CO15&lt;&gt;"",$CO15,HLOOKUP($CM15,$AY$6:$BA$132,ROWS(CP$6:CP15),0))</f>
        <v>6595.4642303443843</v>
      </c>
      <c r="CQ15" s="784">
        <f t="shared" si="26"/>
        <v>57160.689996317997</v>
      </c>
      <c r="CR15" s="784">
        <f t="shared" si="26"/>
        <v>57160.689996317997</v>
      </c>
      <c r="CS15" s="97">
        <f t="shared" si="26"/>
        <v>57160.689996317997</v>
      </c>
      <c r="CT15" s="97">
        <f t="shared" si="26"/>
        <v>57160.689996317997</v>
      </c>
      <c r="CU15" s="97">
        <f t="shared" si="26"/>
        <v>57160.689996317997</v>
      </c>
      <c r="CV15" s="97">
        <f t="shared" si="26"/>
        <v>57160.689996317997</v>
      </c>
      <c r="CW15" s="97">
        <f t="shared" si="26"/>
        <v>57160.689996317997</v>
      </c>
      <c r="CX15" s="98">
        <f t="shared" si="26"/>
        <v>57160.689996317997</v>
      </c>
      <c r="CY15" s="392"/>
    </row>
    <row r="16" spans="1:104" x14ac:dyDescent="0.25">
      <c r="A16" s="81" t="s">
        <v>27</v>
      </c>
      <c r="B16" s="82" t="s">
        <v>43</v>
      </c>
      <c r="C16" s="83" t="s">
        <v>300</v>
      </c>
      <c r="D16" s="84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  <c r="M16" s="654">
        <f>'2022-23 Input'!F16</f>
        <v>0</v>
      </c>
      <c r="N16" s="1065">
        <v>0</v>
      </c>
      <c r="O16" s="560">
        <f t="shared" si="27"/>
        <v>0</v>
      </c>
      <c r="P16" s="561">
        <f t="shared" si="0"/>
        <v>0</v>
      </c>
      <c r="Q16" s="561">
        <f t="shared" si="1"/>
        <v>0</v>
      </c>
      <c r="R16" s="561">
        <f t="shared" si="2"/>
        <v>0</v>
      </c>
      <c r="S16" s="561">
        <f t="shared" si="3"/>
        <v>0</v>
      </c>
      <c r="T16" s="561">
        <f t="shared" si="4"/>
        <v>0</v>
      </c>
      <c r="U16" s="561">
        <f t="shared" si="5"/>
        <v>0</v>
      </c>
      <c r="V16" s="561">
        <f t="shared" si="6"/>
        <v>0</v>
      </c>
      <c r="W16" s="675">
        <f t="shared" si="7"/>
        <v>0</v>
      </c>
      <c r="X16" s="675">
        <f t="shared" si="8"/>
        <v>0</v>
      </c>
      <c r="Y16" s="675">
        <f t="shared" si="8"/>
        <v>0</v>
      </c>
      <c r="Z16" s="86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87">
        <v>0</v>
      </c>
      <c r="AI16" s="1094">
        <f>'2022-23 Input'!M16</f>
        <v>0</v>
      </c>
      <c r="AJ16" s="665">
        <v>0</v>
      </c>
      <c r="AK16" s="88">
        <f t="shared" si="9"/>
        <v>0</v>
      </c>
      <c r="AL16" s="89">
        <f t="shared" si="10"/>
        <v>0</v>
      </c>
      <c r="AM16" s="90">
        <f t="shared" si="11"/>
        <v>0</v>
      </c>
      <c r="AN16" s="91" t="str">
        <f t="shared" si="12"/>
        <v/>
      </c>
      <c r="AO16" s="92" t="str">
        <f t="shared" si="13"/>
        <v/>
      </c>
      <c r="AP16" s="92" t="str">
        <f t="shared" si="14"/>
        <v/>
      </c>
      <c r="AQ16" s="92" t="str">
        <f t="shared" si="15"/>
        <v/>
      </c>
      <c r="AR16" s="92" t="str">
        <f t="shared" si="16"/>
        <v/>
      </c>
      <c r="AS16" s="92" t="str">
        <f t="shared" si="17"/>
        <v/>
      </c>
      <c r="AT16" s="92" t="str">
        <f t="shared" si="18"/>
        <v/>
      </c>
      <c r="AU16" s="92" t="str">
        <f t="shared" si="19"/>
        <v/>
      </c>
      <c r="AV16" s="92" t="str">
        <f t="shared" si="20"/>
        <v/>
      </c>
      <c r="AW16" s="92" t="str">
        <f t="shared" si="20"/>
        <v/>
      </c>
      <c r="AX16" s="92" t="str">
        <f t="shared" si="20"/>
        <v/>
      </c>
      <c r="AY16" s="93" t="str">
        <f t="shared" si="21"/>
        <v/>
      </c>
      <c r="AZ16" s="94" t="str">
        <f t="shared" si="22"/>
        <v/>
      </c>
      <c r="BA16" s="95" t="str">
        <f t="shared" si="23"/>
        <v/>
      </c>
      <c r="BB16" s="248" t="s">
        <v>422</v>
      </c>
      <c r="BC16" s="229" t="s">
        <v>433</v>
      </c>
      <c r="BD16" s="249">
        <v>0</v>
      </c>
      <c r="BE16" s="267">
        <f t="shared" si="28"/>
        <v>0</v>
      </c>
      <c r="BF16" s="268">
        <f t="shared" ref="BF16:BL16" si="38">IF(BF$6=$BB16,1,
IF(BE16&lt;&gt;0,BE16+1,0
))</f>
        <v>0</v>
      </c>
      <c r="BG16" s="268">
        <f t="shared" si="38"/>
        <v>0</v>
      </c>
      <c r="BH16" s="268">
        <f t="shared" si="38"/>
        <v>1</v>
      </c>
      <c r="BI16" s="268">
        <f t="shared" si="38"/>
        <v>2</v>
      </c>
      <c r="BJ16" s="268">
        <f t="shared" si="38"/>
        <v>3</v>
      </c>
      <c r="BK16" s="268">
        <f t="shared" si="38"/>
        <v>4</v>
      </c>
      <c r="BL16" s="269">
        <f t="shared" si="38"/>
        <v>5</v>
      </c>
      <c r="BM16" s="256">
        <f>IF($BC16=Lookup!$A$2,$BD16*ROUNDUP(BE16/10,0)+1,
IF($BC16=Lookup!$A$3,($BD16+1)^BD16,
IF($BC16=Lookup!$A$4,BE16*$BD16+1,"Error")))</f>
        <v>1</v>
      </c>
      <c r="BN16" s="229">
        <f>IF($BC16=Lookup!$A$2,$BD16*ROUNDUP(BF16/10,0)+1,
IF($BC16=Lookup!$A$3,($BD16+1)^BE16,
IF($BC16=Lookup!$A$4,BF16*$BD16+1,"Error")))</f>
        <v>1</v>
      </c>
      <c r="BO16" s="229">
        <f>IF($BC16=Lookup!$A$2,$BD16*ROUNDUP(BG16/10,0)+1,
IF($BC16=Lookup!$A$3,($BD16+1)^BF16,
IF($BC16=Lookup!$A$4,BG16*$BD16+1,"Error")))</f>
        <v>1</v>
      </c>
      <c r="BP16" s="229">
        <f>IF($BC16=Lookup!$A$2,$BD16*ROUNDUP(BH16/10,0)+1,
IF($BC16=Lookup!$A$3,($BD16+1)^BG16,
IF($BC16=Lookup!$A$4,BH16*$BD16+1,"Error")))</f>
        <v>1</v>
      </c>
      <c r="BQ16" s="229">
        <f>IF($BC16=Lookup!$A$2,$BD16*ROUNDUP(BI16/10,0)+1,
IF($BC16=Lookup!$A$3,($BD16+1)^BH16,
IF($BC16=Lookup!$A$4,BI16*$BD16+1,"Error")))</f>
        <v>1</v>
      </c>
      <c r="BR16" s="229">
        <f>IF($BC16=Lookup!$A$2,$BD16*ROUNDUP(BJ16/10,0)+1,
IF($BC16=Lookup!$A$3,($BD16+1)^BI16,
IF($BC16=Lookup!$A$4,BJ16*$BD16+1,"Error")))</f>
        <v>1</v>
      </c>
      <c r="BS16" s="229">
        <f>IF($BC16=Lookup!$A$2,$BD16*ROUNDUP(BK16/10,0)+1,
IF($BC16=Lookup!$A$3,($BD16+1)^BJ16,
IF($BC16=Lookup!$A$4,BK16*$BD16+1,"Error")))</f>
        <v>1</v>
      </c>
      <c r="BT16" s="249">
        <f>IF($BC16=Lookup!$A$2,$BD16*ROUNDUP(BL16/10,0)+1,
IF($BC16=Lookup!$A$3,($BD16+1)^BK16,
IF($BC16=Lookup!$A$4,BL16*$BD16+1,"Error")))</f>
        <v>1</v>
      </c>
      <c r="BU16" s="320"/>
      <c r="BV16" s="321"/>
      <c r="BW16" s="321"/>
      <c r="BX16" s="321"/>
      <c r="BY16" s="321"/>
      <c r="BZ16" s="321"/>
      <c r="CA16" s="321"/>
      <c r="CB16" s="277"/>
      <c r="CC16" s="382" t="s">
        <v>293</v>
      </c>
      <c r="CD16" s="383">
        <f>HLOOKUP($CC16,$AK$6:$AM$132,ROWS(CD$6:CD16),0)</f>
        <v>0</v>
      </c>
      <c r="CE16" s="234">
        <f t="shared" si="30"/>
        <v>0</v>
      </c>
      <c r="CF16" s="96">
        <f t="shared" si="25"/>
        <v>0</v>
      </c>
      <c r="CG16" s="96">
        <f t="shared" si="25"/>
        <v>0</v>
      </c>
      <c r="CH16" s="96">
        <f t="shared" si="25"/>
        <v>0</v>
      </c>
      <c r="CI16" s="96">
        <f t="shared" si="25"/>
        <v>0</v>
      </c>
      <c r="CJ16" s="96">
        <f t="shared" si="25"/>
        <v>0</v>
      </c>
      <c r="CK16" s="96">
        <f t="shared" si="25"/>
        <v>0</v>
      </c>
      <c r="CL16" s="286">
        <f t="shared" si="25"/>
        <v>0</v>
      </c>
      <c r="CM16" s="305" t="s">
        <v>293</v>
      </c>
      <c r="CN16" s="315">
        <v>0</v>
      </c>
      <c r="CO16" s="306"/>
      <c r="CP16" s="307" t="str">
        <f>IF($CO16&lt;&gt;"",$CO16,HLOOKUP($CM16,$AY$6:$BA$132,ROWS(CP$6:CP16),0))</f>
        <v/>
      </c>
      <c r="CQ16" s="784" t="str">
        <f t="shared" si="26"/>
        <v/>
      </c>
      <c r="CR16" s="784" t="str">
        <f t="shared" si="26"/>
        <v/>
      </c>
      <c r="CS16" s="97" t="str">
        <f t="shared" si="26"/>
        <v/>
      </c>
      <c r="CT16" s="97" t="str">
        <f t="shared" si="26"/>
        <v/>
      </c>
      <c r="CU16" s="97" t="str">
        <f t="shared" si="26"/>
        <v/>
      </c>
      <c r="CV16" s="97" t="str">
        <f t="shared" si="26"/>
        <v/>
      </c>
      <c r="CW16" s="97" t="str">
        <f t="shared" si="26"/>
        <v/>
      </c>
      <c r="CX16" s="98" t="str">
        <f t="shared" si="26"/>
        <v/>
      </c>
      <c r="CY16" s="392"/>
    </row>
    <row r="17" spans="1:103" x14ac:dyDescent="0.25">
      <c r="A17" s="81" t="s">
        <v>27</v>
      </c>
      <c r="B17" s="82" t="s">
        <v>45</v>
      </c>
      <c r="C17" s="83" t="s">
        <v>46</v>
      </c>
      <c r="D17" s="84">
        <v>163151.50180883301</v>
      </c>
      <c r="E17" s="85">
        <v>447309.72330555256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  <c r="M17" s="654">
        <f>'2022-23 Input'!F17</f>
        <v>0</v>
      </c>
      <c r="N17" s="1065">
        <v>0</v>
      </c>
      <c r="O17" s="560">
        <f t="shared" si="27"/>
        <v>219513.21909673759</v>
      </c>
      <c r="P17" s="561">
        <f t="shared" si="0"/>
        <v>592878.13935067644</v>
      </c>
      <c r="Q17" s="561">
        <f t="shared" si="1"/>
        <v>0</v>
      </c>
      <c r="R17" s="561">
        <f t="shared" si="2"/>
        <v>0</v>
      </c>
      <c r="S17" s="561">
        <f t="shared" si="3"/>
        <v>0</v>
      </c>
      <c r="T17" s="561">
        <f t="shared" si="4"/>
        <v>0</v>
      </c>
      <c r="U17" s="561">
        <f t="shared" si="5"/>
        <v>0</v>
      </c>
      <c r="V17" s="561">
        <f t="shared" si="6"/>
        <v>0</v>
      </c>
      <c r="W17" s="675">
        <f t="shared" si="7"/>
        <v>0</v>
      </c>
      <c r="X17" s="675">
        <f t="shared" si="8"/>
        <v>0</v>
      </c>
      <c r="Y17" s="675">
        <f t="shared" si="8"/>
        <v>0</v>
      </c>
      <c r="Z17" s="86">
        <v>3</v>
      </c>
      <c r="AA17" s="87">
        <v>8</v>
      </c>
      <c r="AB17" s="87">
        <v>0</v>
      </c>
      <c r="AC17" s="87">
        <v>0</v>
      </c>
      <c r="AD17" s="87">
        <v>0</v>
      </c>
      <c r="AE17" s="87">
        <v>0</v>
      </c>
      <c r="AF17" s="87">
        <v>0</v>
      </c>
      <c r="AG17" s="87">
        <v>0</v>
      </c>
      <c r="AH17" s="87">
        <v>0</v>
      </c>
      <c r="AI17" s="1094">
        <f>'2022-23 Input'!M17</f>
        <v>0</v>
      </c>
      <c r="AJ17" s="665">
        <v>0</v>
      </c>
      <c r="AK17" s="88">
        <f t="shared" si="9"/>
        <v>0</v>
      </c>
      <c r="AL17" s="89">
        <f t="shared" si="10"/>
        <v>0</v>
      </c>
      <c r="AM17" s="90">
        <f t="shared" si="11"/>
        <v>0</v>
      </c>
      <c r="AN17" s="91">
        <f t="shared" si="12"/>
        <v>54383.833936277668</v>
      </c>
      <c r="AO17" s="92">
        <f t="shared" si="13"/>
        <v>55913.71541319407</v>
      </c>
      <c r="AP17" s="92" t="str">
        <f t="shared" si="14"/>
        <v/>
      </c>
      <c r="AQ17" s="92" t="str">
        <f t="shared" si="15"/>
        <v/>
      </c>
      <c r="AR17" s="92" t="str">
        <f t="shared" si="16"/>
        <v/>
      </c>
      <c r="AS17" s="92" t="str">
        <f t="shared" si="17"/>
        <v/>
      </c>
      <c r="AT17" s="92" t="str">
        <f t="shared" si="18"/>
        <v/>
      </c>
      <c r="AU17" s="92" t="str">
        <f t="shared" si="19"/>
        <v/>
      </c>
      <c r="AV17" s="92" t="str">
        <f t="shared" si="20"/>
        <v/>
      </c>
      <c r="AW17" s="92" t="str">
        <f t="shared" si="20"/>
        <v/>
      </c>
      <c r="AX17" s="92" t="str">
        <f t="shared" si="20"/>
        <v/>
      </c>
      <c r="AY17" s="93" t="str">
        <f t="shared" si="21"/>
        <v/>
      </c>
      <c r="AZ17" s="94" t="str">
        <f t="shared" si="22"/>
        <v/>
      </c>
      <c r="BA17" s="95" t="str">
        <f t="shared" si="23"/>
        <v/>
      </c>
      <c r="BB17" s="248" t="s">
        <v>422</v>
      </c>
      <c r="BC17" s="229" t="s">
        <v>433</v>
      </c>
      <c r="BD17" s="249">
        <v>0</v>
      </c>
      <c r="BE17" s="267">
        <f t="shared" si="28"/>
        <v>0</v>
      </c>
      <c r="BF17" s="268">
        <f t="shared" ref="BF17:BL17" si="39">IF(BF$6=$BB17,1,
IF(BE17&lt;&gt;0,BE17+1,0
))</f>
        <v>0</v>
      </c>
      <c r="BG17" s="268">
        <f t="shared" si="39"/>
        <v>0</v>
      </c>
      <c r="BH17" s="268">
        <f t="shared" si="39"/>
        <v>1</v>
      </c>
      <c r="BI17" s="268">
        <f t="shared" si="39"/>
        <v>2</v>
      </c>
      <c r="BJ17" s="268">
        <f t="shared" si="39"/>
        <v>3</v>
      </c>
      <c r="BK17" s="268">
        <f t="shared" si="39"/>
        <v>4</v>
      </c>
      <c r="BL17" s="269">
        <f t="shared" si="39"/>
        <v>5</v>
      </c>
      <c r="BM17" s="256">
        <f>IF($BC17=Lookup!$A$2,$BD17*ROUNDUP(BE17/10,0)+1,
IF($BC17=Lookup!$A$3,($BD17+1)^BD17,
IF($BC17=Lookup!$A$4,BE17*$BD17+1,"Error")))</f>
        <v>1</v>
      </c>
      <c r="BN17" s="229">
        <f>IF($BC17=Lookup!$A$2,$BD17*ROUNDUP(BF17/10,0)+1,
IF($BC17=Lookup!$A$3,($BD17+1)^BE17,
IF($BC17=Lookup!$A$4,BF17*$BD17+1,"Error")))</f>
        <v>1</v>
      </c>
      <c r="BO17" s="229">
        <f>IF($BC17=Lookup!$A$2,$BD17*ROUNDUP(BG17/10,0)+1,
IF($BC17=Lookup!$A$3,($BD17+1)^BF17,
IF($BC17=Lookup!$A$4,BG17*$BD17+1,"Error")))</f>
        <v>1</v>
      </c>
      <c r="BP17" s="229">
        <f>IF($BC17=Lookup!$A$2,$BD17*ROUNDUP(BH17/10,0)+1,
IF($BC17=Lookup!$A$3,($BD17+1)^BG17,
IF($BC17=Lookup!$A$4,BH17*$BD17+1,"Error")))</f>
        <v>1</v>
      </c>
      <c r="BQ17" s="229">
        <f>IF($BC17=Lookup!$A$2,$BD17*ROUNDUP(BI17/10,0)+1,
IF($BC17=Lookup!$A$3,($BD17+1)^BH17,
IF($BC17=Lookup!$A$4,BI17*$BD17+1,"Error")))</f>
        <v>1</v>
      </c>
      <c r="BR17" s="229">
        <f>IF($BC17=Lookup!$A$2,$BD17*ROUNDUP(BJ17/10,0)+1,
IF($BC17=Lookup!$A$3,($BD17+1)^BI17,
IF($BC17=Lookup!$A$4,BJ17*$BD17+1,"Error")))</f>
        <v>1</v>
      </c>
      <c r="BS17" s="229">
        <f>IF($BC17=Lookup!$A$2,$BD17*ROUNDUP(BK17/10,0)+1,
IF($BC17=Lookup!$A$3,($BD17+1)^BJ17,
IF($BC17=Lookup!$A$4,BK17*$BD17+1,"Error")))</f>
        <v>1</v>
      </c>
      <c r="BT17" s="249">
        <f>IF($BC17=Lookup!$A$2,$BD17*ROUNDUP(BL17/10,0)+1,
IF($BC17=Lookup!$A$3,($BD17+1)^BK17,
IF($BC17=Lookup!$A$4,BL17*$BD17+1,"Error")))</f>
        <v>1</v>
      </c>
      <c r="BU17" s="320"/>
      <c r="BV17" s="321"/>
      <c r="BW17" s="321"/>
      <c r="BX17" s="321"/>
      <c r="BY17" s="321"/>
      <c r="BZ17" s="321"/>
      <c r="CA17" s="321"/>
      <c r="CB17" s="277"/>
      <c r="CC17" s="382" t="s">
        <v>293</v>
      </c>
      <c r="CD17" s="383">
        <f>HLOOKUP($CC17,$AK$6:$AM$132,ROWS(CD$6:CD17),0)</f>
        <v>0</v>
      </c>
      <c r="CE17" s="234">
        <f t="shared" si="30"/>
        <v>0</v>
      </c>
      <c r="CF17" s="96">
        <f t="shared" si="25"/>
        <v>0</v>
      </c>
      <c r="CG17" s="96">
        <f t="shared" si="25"/>
        <v>0</v>
      </c>
      <c r="CH17" s="96">
        <f t="shared" si="25"/>
        <v>0</v>
      </c>
      <c r="CI17" s="96">
        <f t="shared" si="25"/>
        <v>0</v>
      </c>
      <c r="CJ17" s="96">
        <f t="shared" si="25"/>
        <v>0</v>
      </c>
      <c r="CK17" s="96">
        <f t="shared" si="25"/>
        <v>0</v>
      </c>
      <c r="CL17" s="286">
        <f t="shared" si="25"/>
        <v>0</v>
      </c>
      <c r="CM17" s="305" t="s">
        <v>293</v>
      </c>
      <c r="CN17" s="315">
        <v>0</v>
      </c>
      <c r="CO17" s="306"/>
      <c r="CP17" s="307" t="str">
        <f>IF($CO17&lt;&gt;"",$CO17,HLOOKUP($CM17,$AY$6:$BA$132,ROWS(CP$6:CP17),0))</f>
        <v/>
      </c>
      <c r="CQ17" s="784" t="str">
        <f t="shared" si="26"/>
        <v/>
      </c>
      <c r="CR17" s="784" t="str">
        <f t="shared" si="26"/>
        <v/>
      </c>
      <c r="CS17" s="97" t="str">
        <f t="shared" si="26"/>
        <v/>
      </c>
      <c r="CT17" s="97" t="str">
        <f t="shared" si="26"/>
        <v/>
      </c>
      <c r="CU17" s="97" t="str">
        <f t="shared" si="26"/>
        <v/>
      </c>
      <c r="CV17" s="97" t="str">
        <f t="shared" si="26"/>
        <v/>
      </c>
      <c r="CW17" s="97" t="str">
        <f t="shared" si="26"/>
        <v/>
      </c>
      <c r="CX17" s="98" t="str">
        <f t="shared" si="26"/>
        <v/>
      </c>
      <c r="CY17" s="392"/>
    </row>
    <row r="18" spans="1:103" x14ac:dyDescent="0.25">
      <c r="A18" s="81" t="s">
        <v>27</v>
      </c>
      <c r="B18" s="82" t="s">
        <v>47</v>
      </c>
      <c r="C18" s="83" t="s">
        <v>48</v>
      </c>
      <c r="D18" s="84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654">
        <f>'2022-23 Input'!F18</f>
        <v>0</v>
      </c>
      <c r="N18" s="1065">
        <v>0</v>
      </c>
      <c r="O18" s="560">
        <f t="shared" si="27"/>
        <v>0</v>
      </c>
      <c r="P18" s="561">
        <f t="shared" si="0"/>
        <v>0</v>
      </c>
      <c r="Q18" s="561">
        <f t="shared" si="1"/>
        <v>0</v>
      </c>
      <c r="R18" s="561">
        <f t="shared" si="2"/>
        <v>0</v>
      </c>
      <c r="S18" s="561">
        <f t="shared" si="3"/>
        <v>0</v>
      </c>
      <c r="T18" s="561">
        <f t="shared" si="4"/>
        <v>0</v>
      </c>
      <c r="U18" s="561">
        <f t="shared" si="5"/>
        <v>0</v>
      </c>
      <c r="V18" s="561">
        <f t="shared" si="6"/>
        <v>0</v>
      </c>
      <c r="W18" s="675">
        <f t="shared" si="7"/>
        <v>0</v>
      </c>
      <c r="X18" s="675">
        <f t="shared" si="8"/>
        <v>0</v>
      </c>
      <c r="Y18" s="675">
        <f t="shared" si="8"/>
        <v>0</v>
      </c>
      <c r="Z18" s="86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87">
        <v>0</v>
      </c>
      <c r="AI18" s="1094">
        <f>'2022-23 Input'!M18</f>
        <v>0</v>
      </c>
      <c r="AJ18" s="665">
        <v>0</v>
      </c>
      <c r="AK18" s="88">
        <f t="shared" si="9"/>
        <v>0</v>
      </c>
      <c r="AL18" s="89">
        <f t="shared" si="10"/>
        <v>0</v>
      </c>
      <c r="AM18" s="90">
        <f t="shared" si="11"/>
        <v>0</v>
      </c>
      <c r="AN18" s="91" t="str">
        <f t="shared" si="12"/>
        <v/>
      </c>
      <c r="AO18" s="92" t="str">
        <f t="shared" si="13"/>
        <v/>
      </c>
      <c r="AP18" s="92" t="str">
        <f t="shared" si="14"/>
        <v/>
      </c>
      <c r="AQ18" s="92" t="str">
        <f t="shared" si="15"/>
        <v/>
      </c>
      <c r="AR18" s="92" t="str">
        <f t="shared" si="16"/>
        <v/>
      </c>
      <c r="AS18" s="92" t="str">
        <f t="shared" si="17"/>
        <v/>
      </c>
      <c r="AT18" s="92" t="str">
        <f t="shared" si="18"/>
        <v/>
      </c>
      <c r="AU18" s="92" t="str">
        <f t="shared" si="19"/>
        <v/>
      </c>
      <c r="AV18" s="92" t="str">
        <f t="shared" si="20"/>
        <v/>
      </c>
      <c r="AW18" s="92" t="str">
        <f t="shared" si="20"/>
        <v/>
      </c>
      <c r="AX18" s="92" t="str">
        <f t="shared" si="20"/>
        <v/>
      </c>
      <c r="AY18" s="93" t="str">
        <f t="shared" si="21"/>
        <v/>
      </c>
      <c r="AZ18" s="94" t="str">
        <f t="shared" si="22"/>
        <v/>
      </c>
      <c r="BA18" s="95" t="str">
        <f t="shared" si="23"/>
        <v/>
      </c>
      <c r="BB18" s="248" t="s">
        <v>422</v>
      </c>
      <c r="BC18" s="229" t="s">
        <v>433</v>
      </c>
      <c r="BD18" s="249">
        <v>0</v>
      </c>
      <c r="BE18" s="267">
        <f t="shared" si="28"/>
        <v>0</v>
      </c>
      <c r="BF18" s="268">
        <f t="shared" ref="BF18:BL18" si="40">IF(BF$6=$BB18,1,
IF(BE18&lt;&gt;0,BE18+1,0
))</f>
        <v>0</v>
      </c>
      <c r="BG18" s="268">
        <f t="shared" si="40"/>
        <v>0</v>
      </c>
      <c r="BH18" s="268">
        <f t="shared" si="40"/>
        <v>1</v>
      </c>
      <c r="BI18" s="268">
        <f t="shared" si="40"/>
        <v>2</v>
      </c>
      <c r="BJ18" s="268">
        <f t="shared" si="40"/>
        <v>3</v>
      </c>
      <c r="BK18" s="268">
        <f t="shared" si="40"/>
        <v>4</v>
      </c>
      <c r="BL18" s="269">
        <f t="shared" si="40"/>
        <v>5</v>
      </c>
      <c r="BM18" s="256">
        <f>IF($BC18=Lookup!$A$2,$BD18*ROUNDUP(BE18/10,0)+1,
IF($BC18=Lookup!$A$3,($BD18+1)^BD18,
IF($BC18=Lookup!$A$4,BE18*$BD18+1,"Error")))</f>
        <v>1</v>
      </c>
      <c r="BN18" s="229">
        <f>IF($BC18=Lookup!$A$2,$BD18*ROUNDUP(BF18/10,0)+1,
IF($BC18=Lookup!$A$3,($BD18+1)^BE18,
IF($BC18=Lookup!$A$4,BF18*$BD18+1,"Error")))</f>
        <v>1</v>
      </c>
      <c r="BO18" s="229">
        <f>IF($BC18=Lookup!$A$2,$BD18*ROUNDUP(BG18/10,0)+1,
IF($BC18=Lookup!$A$3,($BD18+1)^BF18,
IF($BC18=Lookup!$A$4,BG18*$BD18+1,"Error")))</f>
        <v>1</v>
      </c>
      <c r="BP18" s="229">
        <f>IF($BC18=Lookup!$A$2,$BD18*ROUNDUP(BH18/10,0)+1,
IF($BC18=Lookup!$A$3,($BD18+1)^BG18,
IF($BC18=Lookup!$A$4,BH18*$BD18+1,"Error")))</f>
        <v>1</v>
      </c>
      <c r="BQ18" s="229">
        <f>IF($BC18=Lookup!$A$2,$BD18*ROUNDUP(BI18/10,0)+1,
IF($BC18=Lookup!$A$3,($BD18+1)^BH18,
IF($BC18=Lookup!$A$4,BI18*$BD18+1,"Error")))</f>
        <v>1</v>
      </c>
      <c r="BR18" s="229">
        <f>IF($BC18=Lookup!$A$2,$BD18*ROUNDUP(BJ18/10,0)+1,
IF($BC18=Lookup!$A$3,($BD18+1)^BI18,
IF($BC18=Lookup!$A$4,BJ18*$BD18+1,"Error")))</f>
        <v>1</v>
      </c>
      <c r="BS18" s="229">
        <f>IF($BC18=Lookup!$A$2,$BD18*ROUNDUP(BK18/10,0)+1,
IF($BC18=Lookup!$A$3,($BD18+1)^BJ18,
IF($BC18=Lookup!$A$4,BK18*$BD18+1,"Error")))</f>
        <v>1</v>
      </c>
      <c r="BT18" s="249">
        <f>IF($BC18=Lookup!$A$2,$BD18*ROUNDUP(BL18/10,0)+1,
IF($BC18=Lookup!$A$3,($BD18+1)^BK18,
IF($BC18=Lookup!$A$4,BL18*$BD18+1,"Error")))</f>
        <v>1</v>
      </c>
      <c r="BU18" s="320"/>
      <c r="BV18" s="321"/>
      <c r="BW18" s="321"/>
      <c r="BX18" s="321"/>
      <c r="BY18" s="321"/>
      <c r="BZ18" s="321"/>
      <c r="CA18" s="321"/>
      <c r="CB18" s="277"/>
      <c r="CC18" s="382" t="s">
        <v>293</v>
      </c>
      <c r="CD18" s="383">
        <f>HLOOKUP($CC18,$AK$6:$AM$132,ROWS(CD$6:CD18),0)</f>
        <v>0</v>
      </c>
      <c r="CE18" s="234">
        <f t="shared" si="30"/>
        <v>0</v>
      </c>
      <c r="CF18" s="96">
        <f t="shared" si="25"/>
        <v>0</v>
      </c>
      <c r="CG18" s="96">
        <f t="shared" si="25"/>
        <v>0</v>
      </c>
      <c r="CH18" s="96">
        <f t="shared" si="25"/>
        <v>0</v>
      </c>
      <c r="CI18" s="96">
        <f t="shared" si="25"/>
        <v>0</v>
      </c>
      <c r="CJ18" s="96">
        <f t="shared" si="25"/>
        <v>0</v>
      </c>
      <c r="CK18" s="96">
        <f t="shared" si="25"/>
        <v>0</v>
      </c>
      <c r="CL18" s="286">
        <f t="shared" si="25"/>
        <v>0</v>
      </c>
      <c r="CM18" s="305" t="s">
        <v>293</v>
      </c>
      <c r="CN18" s="315">
        <v>0</v>
      </c>
      <c r="CO18" s="306"/>
      <c r="CP18" s="307" t="str">
        <f>IF($CO18&lt;&gt;"",$CO18,HLOOKUP($CM18,$AY$6:$BA$132,ROWS(CP$6:CP18),0))</f>
        <v/>
      </c>
      <c r="CQ18" s="784" t="str">
        <f t="shared" si="26"/>
        <v/>
      </c>
      <c r="CR18" s="784" t="str">
        <f t="shared" si="26"/>
        <v/>
      </c>
      <c r="CS18" s="97" t="str">
        <f t="shared" si="26"/>
        <v/>
      </c>
      <c r="CT18" s="97" t="str">
        <f t="shared" si="26"/>
        <v/>
      </c>
      <c r="CU18" s="97" t="str">
        <f t="shared" si="26"/>
        <v/>
      </c>
      <c r="CV18" s="97" t="str">
        <f t="shared" si="26"/>
        <v/>
      </c>
      <c r="CW18" s="97" t="str">
        <f t="shared" si="26"/>
        <v/>
      </c>
      <c r="CX18" s="98" t="str">
        <f t="shared" si="26"/>
        <v/>
      </c>
      <c r="CY18" s="392"/>
    </row>
    <row r="19" spans="1:103" x14ac:dyDescent="0.25">
      <c r="A19" s="81" t="s">
        <v>27</v>
      </c>
      <c r="B19" s="82" t="s">
        <v>49</v>
      </c>
      <c r="C19" s="83" t="s">
        <v>50</v>
      </c>
      <c r="D19" s="84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654">
        <f>'2022-23 Input'!F19</f>
        <v>0</v>
      </c>
      <c r="N19" s="1065">
        <v>0</v>
      </c>
      <c r="O19" s="560">
        <f t="shared" si="27"/>
        <v>0</v>
      </c>
      <c r="P19" s="561">
        <f t="shared" si="0"/>
        <v>0</v>
      </c>
      <c r="Q19" s="561">
        <f t="shared" si="1"/>
        <v>0</v>
      </c>
      <c r="R19" s="561">
        <f t="shared" si="2"/>
        <v>0</v>
      </c>
      <c r="S19" s="561">
        <f t="shared" si="3"/>
        <v>0</v>
      </c>
      <c r="T19" s="561">
        <f t="shared" si="4"/>
        <v>0</v>
      </c>
      <c r="U19" s="561">
        <f t="shared" si="5"/>
        <v>0</v>
      </c>
      <c r="V19" s="561">
        <f t="shared" si="6"/>
        <v>0</v>
      </c>
      <c r="W19" s="675">
        <f t="shared" si="7"/>
        <v>0</v>
      </c>
      <c r="X19" s="675">
        <f t="shared" si="8"/>
        <v>0</v>
      </c>
      <c r="Y19" s="675">
        <f t="shared" si="8"/>
        <v>0</v>
      </c>
      <c r="Z19" s="86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87">
        <v>0</v>
      </c>
      <c r="AI19" s="1094">
        <f>'2022-23 Input'!M19</f>
        <v>0</v>
      </c>
      <c r="AJ19" s="665">
        <v>0</v>
      </c>
      <c r="AK19" s="88">
        <f t="shared" si="9"/>
        <v>0</v>
      </c>
      <c r="AL19" s="89">
        <f t="shared" si="10"/>
        <v>0</v>
      </c>
      <c r="AM19" s="90">
        <f t="shared" si="11"/>
        <v>0</v>
      </c>
      <c r="AN19" s="91" t="str">
        <f t="shared" si="12"/>
        <v/>
      </c>
      <c r="AO19" s="92" t="str">
        <f t="shared" si="13"/>
        <v/>
      </c>
      <c r="AP19" s="92" t="str">
        <f t="shared" si="14"/>
        <v/>
      </c>
      <c r="AQ19" s="92" t="str">
        <f t="shared" si="15"/>
        <v/>
      </c>
      <c r="AR19" s="92" t="str">
        <f t="shared" si="16"/>
        <v/>
      </c>
      <c r="AS19" s="92" t="str">
        <f t="shared" si="17"/>
        <v/>
      </c>
      <c r="AT19" s="92" t="str">
        <f t="shared" si="18"/>
        <v/>
      </c>
      <c r="AU19" s="92" t="str">
        <f t="shared" si="19"/>
        <v/>
      </c>
      <c r="AV19" s="92" t="str">
        <f t="shared" si="20"/>
        <v/>
      </c>
      <c r="AW19" s="92" t="str">
        <f t="shared" si="20"/>
        <v/>
      </c>
      <c r="AX19" s="92" t="str">
        <f t="shared" si="20"/>
        <v/>
      </c>
      <c r="AY19" s="93" t="str">
        <f t="shared" si="21"/>
        <v/>
      </c>
      <c r="AZ19" s="94" t="str">
        <f t="shared" si="22"/>
        <v/>
      </c>
      <c r="BA19" s="95" t="str">
        <f t="shared" si="23"/>
        <v/>
      </c>
      <c r="BB19" s="248" t="s">
        <v>422</v>
      </c>
      <c r="BC19" s="229" t="s">
        <v>433</v>
      </c>
      <c r="BD19" s="249">
        <v>0</v>
      </c>
      <c r="BE19" s="267">
        <f t="shared" si="28"/>
        <v>0</v>
      </c>
      <c r="BF19" s="268">
        <f t="shared" ref="BF19:BL19" si="41">IF(BF$6=$BB19,1,
IF(BE19&lt;&gt;0,BE19+1,0
))</f>
        <v>0</v>
      </c>
      <c r="BG19" s="268">
        <f t="shared" si="41"/>
        <v>0</v>
      </c>
      <c r="BH19" s="268">
        <f t="shared" si="41"/>
        <v>1</v>
      </c>
      <c r="BI19" s="268">
        <f t="shared" si="41"/>
        <v>2</v>
      </c>
      <c r="BJ19" s="268">
        <f t="shared" si="41"/>
        <v>3</v>
      </c>
      <c r="BK19" s="268">
        <f t="shared" si="41"/>
        <v>4</v>
      </c>
      <c r="BL19" s="269">
        <f t="shared" si="41"/>
        <v>5</v>
      </c>
      <c r="BM19" s="256">
        <f>IF($BC19=Lookup!$A$2,$BD19*ROUNDUP(BE19/10,0)+1,
IF($BC19=Lookup!$A$3,($BD19+1)^BD19,
IF($BC19=Lookup!$A$4,BE19*$BD19+1,"Error")))</f>
        <v>1</v>
      </c>
      <c r="BN19" s="229">
        <f>IF($BC19=Lookup!$A$2,$BD19*ROUNDUP(BF19/10,0)+1,
IF($BC19=Lookup!$A$3,($BD19+1)^BE19,
IF($BC19=Lookup!$A$4,BF19*$BD19+1,"Error")))</f>
        <v>1</v>
      </c>
      <c r="BO19" s="229">
        <f>IF($BC19=Lookup!$A$2,$BD19*ROUNDUP(BG19/10,0)+1,
IF($BC19=Lookup!$A$3,($BD19+1)^BF19,
IF($BC19=Lookup!$A$4,BG19*$BD19+1,"Error")))</f>
        <v>1</v>
      </c>
      <c r="BP19" s="229">
        <f>IF($BC19=Lookup!$A$2,$BD19*ROUNDUP(BH19/10,0)+1,
IF($BC19=Lookup!$A$3,($BD19+1)^BG19,
IF($BC19=Lookup!$A$4,BH19*$BD19+1,"Error")))</f>
        <v>1</v>
      </c>
      <c r="BQ19" s="229">
        <f>IF($BC19=Lookup!$A$2,$BD19*ROUNDUP(BI19/10,0)+1,
IF($BC19=Lookup!$A$3,($BD19+1)^BH19,
IF($BC19=Lookup!$A$4,BI19*$BD19+1,"Error")))</f>
        <v>1</v>
      </c>
      <c r="BR19" s="229">
        <f>IF($BC19=Lookup!$A$2,$BD19*ROUNDUP(BJ19/10,0)+1,
IF($BC19=Lookup!$A$3,($BD19+1)^BI19,
IF($BC19=Lookup!$A$4,BJ19*$BD19+1,"Error")))</f>
        <v>1</v>
      </c>
      <c r="BS19" s="229">
        <f>IF($BC19=Lookup!$A$2,$BD19*ROUNDUP(BK19/10,0)+1,
IF($BC19=Lookup!$A$3,($BD19+1)^BJ19,
IF($BC19=Lookup!$A$4,BK19*$BD19+1,"Error")))</f>
        <v>1</v>
      </c>
      <c r="BT19" s="249">
        <f>IF($BC19=Lookup!$A$2,$BD19*ROUNDUP(BL19/10,0)+1,
IF($BC19=Lookup!$A$3,($BD19+1)^BK19,
IF($BC19=Lookup!$A$4,BL19*$BD19+1,"Error")))</f>
        <v>1</v>
      </c>
      <c r="BU19" s="320"/>
      <c r="BV19" s="321"/>
      <c r="BW19" s="321"/>
      <c r="BX19" s="321"/>
      <c r="BY19" s="321"/>
      <c r="BZ19" s="321"/>
      <c r="CA19" s="321"/>
      <c r="CB19" s="277"/>
      <c r="CC19" s="382" t="s">
        <v>293</v>
      </c>
      <c r="CD19" s="383">
        <f>HLOOKUP($CC19,$AK$6:$AM$132,ROWS(CD$6:CD19),0)</f>
        <v>0</v>
      </c>
      <c r="CE19" s="234">
        <f t="shared" si="30"/>
        <v>0</v>
      </c>
      <c r="CF19" s="96">
        <f t="shared" si="25"/>
        <v>0</v>
      </c>
      <c r="CG19" s="96">
        <f t="shared" si="25"/>
        <v>0</v>
      </c>
      <c r="CH19" s="96">
        <f t="shared" si="25"/>
        <v>0</v>
      </c>
      <c r="CI19" s="96">
        <f t="shared" si="25"/>
        <v>0</v>
      </c>
      <c r="CJ19" s="96">
        <f t="shared" si="25"/>
        <v>0</v>
      </c>
      <c r="CK19" s="96">
        <f t="shared" si="25"/>
        <v>0</v>
      </c>
      <c r="CL19" s="286">
        <f t="shared" si="25"/>
        <v>0</v>
      </c>
      <c r="CM19" s="305" t="s">
        <v>293</v>
      </c>
      <c r="CN19" s="315">
        <v>0</v>
      </c>
      <c r="CO19" s="306"/>
      <c r="CP19" s="307" t="str">
        <f>IF($CO19&lt;&gt;"",$CO19,HLOOKUP($CM19,$AY$6:$BA$132,ROWS(CP$6:CP19),0))</f>
        <v/>
      </c>
      <c r="CQ19" s="784" t="str">
        <f t="shared" si="26"/>
        <v/>
      </c>
      <c r="CR19" s="784" t="str">
        <f t="shared" si="26"/>
        <v/>
      </c>
      <c r="CS19" s="97" t="str">
        <f t="shared" si="26"/>
        <v/>
      </c>
      <c r="CT19" s="97" t="str">
        <f t="shared" si="26"/>
        <v/>
      </c>
      <c r="CU19" s="97" t="str">
        <f t="shared" si="26"/>
        <v/>
      </c>
      <c r="CV19" s="97" t="str">
        <f t="shared" si="26"/>
        <v/>
      </c>
      <c r="CW19" s="97" t="str">
        <f t="shared" si="26"/>
        <v/>
      </c>
      <c r="CX19" s="98" t="str">
        <f t="shared" si="26"/>
        <v/>
      </c>
      <c r="CY19" s="392"/>
    </row>
    <row r="20" spans="1:103" x14ac:dyDescent="0.25">
      <c r="A20" s="81" t="s">
        <v>27</v>
      </c>
      <c r="B20" s="82" t="s">
        <v>51</v>
      </c>
      <c r="C20" s="83" t="s">
        <v>301</v>
      </c>
      <c r="D20" s="84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654">
        <f>'2022-23 Input'!F20</f>
        <v>0</v>
      </c>
      <c r="N20" s="1065">
        <v>0</v>
      </c>
      <c r="O20" s="560">
        <f t="shared" si="27"/>
        <v>0</v>
      </c>
      <c r="P20" s="561">
        <f t="shared" si="0"/>
        <v>0</v>
      </c>
      <c r="Q20" s="561">
        <f t="shared" si="1"/>
        <v>0</v>
      </c>
      <c r="R20" s="561">
        <f t="shared" si="2"/>
        <v>0</v>
      </c>
      <c r="S20" s="561">
        <f t="shared" si="3"/>
        <v>0</v>
      </c>
      <c r="T20" s="561">
        <f t="shared" si="4"/>
        <v>0</v>
      </c>
      <c r="U20" s="561">
        <f t="shared" si="5"/>
        <v>0</v>
      </c>
      <c r="V20" s="561">
        <f t="shared" si="6"/>
        <v>0</v>
      </c>
      <c r="W20" s="675">
        <f t="shared" si="7"/>
        <v>0</v>
      </c>
      <c r="X20" s="675">
        <f t="shared" si="8"/>
        <v>0</v>
      </c>
      <c r="Y20" s="675">
        <f t="shared" si="8"/>
        <v>0</v>
      </c>
      <c r="Z20" s="86">
        <v>0</v>
      </c>
      <c r="AA20" s="87">
        <v>0</v>
      </c>
      <c r="AB20" s="87">
        <v>0</v>
      </c>
      <c r="AC20" s="87">
        <v>0</v>
      </c>
      <c r="AD20" s="87">
        <v>0</v>
      </c>
      <c r="AE20" s="87">
        <v>0</v>
      </c>
      <c r="AF20" s="87">
        <v>0</v>
      </c>
      <c r="AG20" s="87">
        <v>0</v>
      </c>
      <c r="AH20" s="87">
        <v>0</v>
      </c>
      <c r="AI20" s="1094">
        <f>'2022-23 Input'!M20</f>
        <v>0</v>
      </c>
      <c r="AJ20" s="665">
        <v>0</v>
      </c>
      <c r="AK20" s="88">
        <f t="shared" si="9"/>
        <v>0</v>
      </c>
      <c r="AL20" s="89">
        <f t="shared" si="10"/>
        <v>0</v>
      </c>
      <c r="AM20" s="90">
        <f t="shared" si="11"/>
        <v>0</v>
      </c>
      <c r="AN20" s="91" t="str">
        <f t="shared" si="12"/>
        <v/>
      </c>
      <c r="AO20" s="92" t="str">
        <f t="shared" si="13"/>
        <v/>
      </c>
      <c r="AP20" s="92" t="str">
        <f t="shared" si="14"/>
        <v/>
      </c>
      <c r="AQ20" s="92" t="str">
        <f t="shared" si="15"/>
        <v/>
      </c>
      <c r="AR20" s="92" t="str">
        <f t="shared" si="16"/>
        <v/>
      </c>
      <c r="AS20" s="92" t="str">
        <f t="shared" si="17"/>
        <v/>
      </c>
      <c r="AT20" s="92" t="str">
        <f t="shared" si="18"/>
        <v/>
      </c>
      <c r="AU20" s="92" t="str">
        <f t="shared" si="19"/>
        <v/>
      </c>
      <c r="AV20" s="92" t="str">
        <f t="shared" si="20"/>
        <v/>
      </c>
      <c r="AW20" s="92" t="str">
        <f t="shared" si="20"/>
        <v/>
      </c>
      <c r="AX20" s="92" t="str">
        <f t="shared" si="20"/>
        <v/>
      </c>
      <c r="AY20" s="93" t="str">
        <f t="shared" si="21"/>
        <v/>
      </c>
      <c r="AZ20" s="94" t="str">
        <f t="shared" si="22"/>
        <v/>
      </c>
      <c r="BA20" s="95" t="str">
        <f t="shared" si="23"/>
        <v/>
      </c>
      <c r="BB20" s="248" t="s">
        <v>422</v>
      </c>
      <c r="BC20" s="229" t="s">
        <v>433</v>
      </c>
      <c r="BD20" s="249">
        <v>0</v>
      </c>
      <c r="BE20" s="267">
        <f t="shared" si="28"/>
        <v>0</v>
      </c>
      <c r="BF20" s="268">
        <f t="shared" ref="BF20:BL20" si="42">IF(BF$6=$BB20,1,
IF(BE20&lt;&gt;0,BE20+1,0
))</f>
        <v>0</v>
      </c>
      <c r="BG20" s="268">
        <f t="shared" si="42"/>
        <v>0</v>
      </c>
      <c r="BH20" s="268">
        <f t="shared" si="42"/>
        <v>1</v>
      </c>
      <c r="BI20" s="268">
        <f t="shared" si="42"/>
        <v>2</v>
      </c>
      <c r="BJ20" s="268">
        <f t="shared" si="42"/>
        <v>3</v>
      </c>
      <c r="BK20" s="268">
        <f t="shared" si="42"/>
        <v>4</v>
      </c>
      <c r="BL20" s="269">
        <f t="shared" si="42"/>
        <v>5</v>
      </c>
      <c r="BM20" s="256">
        <f>IF($BC20=Lookup!$A$2,$BD20*ROUNDUP(BE20/10,0)+1,
IF($BC20=Lookup!$A$3,($BD20+1)^BD20,
IF($BC20=Lookup!$A$4,BE20*$BD20+1,"Error")))</f>
        <v>1</v>
      </c>
      <c r="BN20" s="229">
        <f>IF($BC20=Lookup!$A$2,$BD20*ROUNDUP(BF20/10,0)+1,
IF($BC20=Lookup!$A$3,($BD20+1)^BE20,
IF($BC20=Lookup!$A$4,BF20*$BD20+1,"Error")))</f>
        <v>1</v>
      </c>
      <c r="BO20" s="229">
        <f>IF($BC20=Lookup!$A$2,$BD20*ROUNDUP(BG20/10,0)+1,
IF($BC20=Lookup!$A$3,($BD20+1)^BF20,
IF($BC20=Lookup!$A$4,BG20*$BD20+1,"Error")))</f>
        <v>1</v>
      </c>
      <c r="BP20" s="229">
        <f>IF($BC20=Lookup!$A$2,$BD20*ROUNDUP(BH20/10,0)+1,
IF($BC20=Lookup!$A$3,($BD20+1)^BG20,
IF($BC20=Lookup!$A$4,BH20*$BD20+1,"Error")))</f>
        <v>1</v>
      </c>
      <c r="BQ20" s="229">
        <f>IF($BC20=Lookup!$A$2,$BD20*ROUNDUP(BI20/10,0)+1,
IF($BC20=Lookup!$A$3,($BD20+1)^BH20,
IF($BC20=Lookup!$A$4,BI20*$BD20+1,"Error")))</f>
        <v>1</v>
      </c>
      <c r="BR20" s="229">
        <f>IF($BC20=Lookup!$A$2,$BD20*ROUNDUP(BJ20/10,0)+1,
IF($BC20=Lookup!$A$3,($BD20+1)^BI20,
IF($BC20=Lookup!$A$4,BJ20*$BD20+1,"Error")))</f>
        <v>1</v>
      </c>
      <c r="BS20" s="229">
        <f>IF($BC20=Lookup!$A$2,$BD20*ROUNDUP(BK20/10,0)+1,
IF($BC20=Lookup!$A$3,($BD20+1)^BJ20,
IF($BC20=Lookup!$A$4,BK20*$BD20+1,"Error")))</f>
        <v>1</v>
      </c>
      <c r="BT20" s="249">
        <f>IF($BC20=Lookup!$A$2,$BD20*ROUNDUP(BL20/10,0)+1,
IF($BC20=Lookup!$A$3,($BD20+1)^BK20,
IF($BC20=Lookup!$A$4,BL20*$BD20+1,"Error")))</f>
        <v>1</v>
      </c>
      <c r="BU20" s="320"/>
      <c r="BV20" s="321"/>
      <c r="BW20" s="321"/>
      <c r="BX20" s="321"/>
      <c r="BY20" s="321"/>
      <c r="BZ20" s="321"/>
      <c r="CA20" s="321"/>
      <c r="CB20" s="277"/>
      <c r="CC20" s="382" t="s">
        <v>293</v>
      </c>
      <c r="CD20" s="383">
        <f>HLOOKUP($CC20,$AK$6:$AM$132,ROWS(CD$6:CD20),0)</f>
        <v>0</v>
      </c>
      <c r="CE20" s="234">
        <f t="shared" si="30"/>
        <v>0</v>
      </c>
      <c r="CF20" s="96">
        <f t="shared" si="25"/>
        <v>0</v>
      </c>
      <c r="CG20" s="96">
        <f t="shared" si="25"/>
        <v>0</v>
      </c>
      <c r="CH20" s="96">
        <f t="shared" si="25"/>
        <v>0</v>
      </c>
      <c r="CI20" s="96">
        <f t="shared" si="25"/>
        <v>0</v>
      </c>
      <c r="CJ20" s="96">
        <f t="shared" si="25"/>
        <v>0</v>
      </c>
      <c r="CK20" s="96">
        <f t="shared" si="25"/>
        <v>0</v>
      </c>
      <c r="CL20" s="286">
        <f t="shared" si="25"/>
        <v>0</v>
      </c>
      <c r="CM20" s="305" t="s">
        <v>293</v>
      </c>
      <c r="CN20" s="315">
        <v>0</v>
      </c>
      <c r="CO20" s="306"/>
      <c r="CP20" s="307" t="str">
        <f>IF($CO20&lt;&gt;"",$CO20,HLOOKUP($CM20,$AY$6:$BA$132,ROWS(CP$6:CP20),0))</f>
        <v/>
      </c>
      <c r="CQ20" s="784" t="str">
        <f t="shared" si="26"/>
        <v/>
      </c>
      <c r="CR20" s="784" t="str">
        <f t="shared" si="26"/>
        <v/>
      </c>
      <c r="CS20" s="97" t="str">
        <f t="shared" si="26"/>
        <v/>
      </c>
      <c r="CT20" s="97" t="str">
        <f t="shared" si="26"/>
        <v/>
      </c>
      <c r="CU20" s="97" t="str">
        <f t="shared" si="26"/>
        <v/>
      </c>
      <c r="CV20" s="97" t="str">
        <f t="shared" si="26"/>
        <v/>
      </c>
      <c r="CW20" s="97" t="str">
        <f t="shared" si="26"/>
        <v/>
      </c>
      <c r="CX20" s="98" t="str">
        <f t="shared" si="26"/>
        <v/>
      </c>
      <c r="CY20" s="392"/>
    </row>
    <row r="21" spans="1:103" x14ac:dyDescent="0.25">
      <c r="A21" s="81" t="s">
        <v>27</v>
      </c>
      <c r="B21" s="82" t="s">
        <v>53</v>
      </c>
      <c r="C21" s="83" t="s">
        <v>54</v>
      </c>
      <c r="D21" s="84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654">
        <f>'2022-23 Input'!F21</f>
        <v>0</v>
      </c>
      <c r="N21" s="1065">
        <v>0</v>
      </c>
      <c r="O21" s="560">
        <f t="shared" si="27"/>
        <v>0</v>
      </c>
      <c r="P21" s="561">
        <f t="shared" si="0"/>
        <v>0</v>
      </c>
      <c r="Q21" s="561">
        <f t="shared" si="1"/>
        <v>0</v>
      </c>
      <c r="R21" s="561">
        <f t="shared" si="2"/>
        <v>0</v>
      </c>
      <c r="S21" s="561">
        <f t="shared" si="3"/>
        <v>0</v>
      </c>
      <c r="T21" s="561">
        <f t="shared" si="4"/>
        <v>0</v>
      </c>
      <c r="U21" s="561">
        <f t="shared" si="5"/>
        <v>0</v>
      </c>
      <c r="V21" s="561">
        <f t="shared" si="6"/>
        <v>0</v>
      </c>
      <c r="W21" s="675">
        <f t="shared" si="7"/>
        <v>0</v>
      </c>
      <c r="X21" s="675">
        <f t="shared" si="8"/>
        <v>0</v>
      </c>
      <c r="Y21" s="675">
        <f t="shared" si="8"/>
        <v>0</v>
      </c>
      <c r="Z21" s="86">
        <v>0</v>
      </c>
      <c r="AA21" s="87">
        <v>0</v>
      </c>
      <c r="AB21" s="87">
        <v>0</v>
      </c>
      <c r="AC21" s="87">
        <v>0</v>
      </c>
      <c r="AD21" s="87">
        <v>0</v>
      </c>
      <c r="AE21" s="87">
        <v>0</v>
      </c>
      <c r="AF21" s="87">
        <v>0</v>
      </c>
      <c r="AG21" s="87">
        <v>0</v>
      </c>
      <c r="AH21" s="87">
        <v>0</v>
      </c>
      <c r="AI21" s="1094">
        <f>'2022-23 Input'!M21</f>
        <v>0</v>
      </c>
      <c r="AJ21" s="665">
        <v>0</v>
      </c>
      <c r="AK21" s="88">
        <f t="shared" si="9"/>
        <v>0</v>
      </c>
      <c r="AL21" s="89">
        <f t="shared" si="10"/>
        <v>0</v>
      </c>
      <c r="AM21" s="90">
        <f t="shared" si="11"/>
        <v>0</v>
      </c>
      <c r="AN21" s="91" t="str">
        <f t="shared" si="12"/>
        <v/>
      </c>
      <c r="AO21" s="92" t="str">
        <f t="shared" si="13"/>
        <v/>
      </c>
      <c r="AP21" s="92" t="str">
        <f t="shared" si="14"/>
        <v/>
      </c>
      <c r="AQ21" s="92" t="str">
        <f t="shared" si="15"/>
        <v/>
      </c>
      <c r="AR21" s="92" t="str">
        <f t="shared" si="16"/>
        <v/>
      </c>
      <c r="AS21" s="92" t="str">
        <f t="shared" si="17"/>
        <v/>
      </c>
      <c r="AT21" s="92" t="str">
        <f t="shared" si="18"/>
        <v/>
      </c>
      <c r="AU21" s="92" t="str">
        <f t="shared" si="19"/>
        <v/>
      </c>
      <c r="AV21" s="92" t="str">
        <f t="shared" si="20"/>
        <v/>
      </c>
      <c r="AW21" s="92" t="str">
        <f t="shared" si="20"/>
        <v/>
      </c>
      <c r="AX21" s="92" t="str">
        <f t="shared" si="20"/>
        <v/>
      </c>
      <c r="AY21" s="93" t="str">
        <f t="shared" si="21"/>
        <v/>
      </c>
      <c r="AZ21" s="94" t="str">
        <f t="shared" si="22"/>
        <v/>
      </c>
      <c r="BA21" s="95" t="str">
        <f t="shared" si="23"/>
        <v/>
      </c>
      <c r="BB21" s="248" t="s">
        <v>422</v>
      </c>
      <c r="BC21" s="229" t="s">
        <v>433</v>
      </c>
      <c r="BD21" s="249">
        <v>0</v>
      </c>
      <c r="BE21" s="267">
        <f t="shared" si="28"/>
        <v>0</v>
      </c>
      <c r="BF21" s="268">
        <f t="shared" ref="BF21:BL21" si="43">IF(BF$6=$BB21,1,
IF(BE21&lt;&gt;0,BE21+1,0
))</f>
        <v>0</v>
      </c>
      <c r="BG21" s="268">
        <f t="shared" si="43"/>
        <v>0</v>
      </c>
      <c r="BH21" s="268">
        <f t="shared" si="43"/>
        <v>1</v>
      </c>
      <c r="BI21" s="268">
        <f t="shared" si="43"/>
        <v>2</v>
      </c>
      <c r="BJ21" s="268">
        <f t="shared" si="43"/>
        <v>3</v>
      </c>
      <c r="BK21" s="268">
        <f t="shared" si="43"/>
        <v>4</v>
      </c>
      <c r="BL21" s="269">
        <f t="shared" si="43"/>
        <v>5</v>
      </c>
      <c r="BM21" s="256">
        <f>IF($BC21=Lookup!$A$2,$BD21*ROUNDUP(BE21/10,0)+1,
IF($BC21=Lookup!$A$3,($BD21+1)^BD21,
IF($BC21=Lookup!$A$4,BE21*$BD21+1,"Error")))</f>
        <v>1</v>
      </c>
      <c r="BN21" s="229">
        <f>IF($BC21=Lookup!$A$2,$BD21*ROUNDUP(BF21/10,0)+1,
IF($BC21=Lookup!$A$3,($BD21+1)^BE21,
IF($BC21=Lookup!$A$4,BF21*$BD21+1,"Error")))</f>
        <v>1</v>
      </c>
      <c r="BO21" s="229">
        <f>IF($BC21=Lookup!$A$2,$BD21*ROUNDUP(BG21/10,0)+1,
IF($BC21=Lookup!$A$3,($BD21+1)^BF21,
IF($BC21=Lookup!$A$4,BG21*$BD21+1,"Error")))</f>
        <v>1</v>
      </c>
      <c r="BP21" s="229">
        <f>IF($BC21=Lookup!$A$2,$BD21*ROUNDUP(BH21/10,0)+1,
IF($BC21=Lookup!$A$3,($BD21+1)^BG21,
IF($BC21=Lookup!$A$4,BH21*$BD21+1,"Error")))</f>
        <v>1</v>
      </c>
      <c r="BQ21" s="229">
        <f>IF($BC21=Lookup!$A$2,$BD21*ROUNDUP(BI21/10,0)+1,
IF($BC21=Lookup!$A$3,($BD21+1)^BH21,
IF($BC21=Lookup!$A$4,BI21*$BD21+1,"Error")))</f>
        <v>1</v>
      </c>
      <c r="BR21" s="229">
        <f>IF($BC21=Lookup!$A$2,$BD21*ROUNDUP(BJ21/10,0)+1,
IF($BC21=Lookup!$A$3,($BD21+1)^BI21,
IF($BC21=Lookup!$A$4,BJ21*$BD21+1,"Error")))</f>
        <v>1</v>
      </c>
      <c r="BS21" s="229">
        <f>IF($BC21=Lookup!$A$2,$BD21*ROUNDUP(BK21/10,0)+1,
IF($BC21=Lookup!$A$3,($BD21+1)^BJ21,
IF($BC21=Lookup!$A$4,BK21*$BD21+1,"Error")))</f>
        <v>1</v>
      </c>
      <c r="BT21" s="249">
        <f>IF($BC21=Lookup!$A$2,$BD21*ROUNDUP(BL21/10,0)+1,
IF($BC21=Lookup!$A$3,($BD21+1)^BK21,
IF($BC21=Lookup!$A$4,BL21*$BD21+1,"Error")))</f>
        <v>1</v>
      </c>
      <c r="BU21" s="320"/>
      <c r="BV21" s="321"/>
      <c r="BW21" s="321"/>
      <c r="BX21" s="321"/>
      <c r="BY21" s="321"/>
      <c r="BZ21" s="321"/>
      <c r="CA21" s="321"/>
      <c r="CB21" s="277"/>
      <c r="CC21" s="382" t="s">
        <v>293</v>
      </c>
      <c r="CD21" s="383">
        <f>HLOOKUP($CC21,$AK$6:$AM$132,ROWS(CD$6:CD21),0)</f>
        <v>0</v>
      </c>
      <c r="CE21" s="234">
        <f t="shared" si="30"/>
        <v>0</v>
      </c>
      <c r="CF21" s="96">
        <f t="shared" si="25"/>
        <v>0</v>
      </c>
      <c r="CG21" s="96">
        <f t="shared" si="25"/>
        <v>0</v>
      </c>
      <c r="CH21" s="96">
        <f t="shared" si="25"/>
        <v>0</v>
      </c>
      <c r="CI21" s="96">
        <f t="shared" si="25"/>
        <v>0</v>
      </c>
      <c r="CJ21" s="96">
        <f t="shared" si="25"/>
        <v>0</v>
      </c>
      <c r="CK21" s="96">
        <f t="shared" si="25"/>
        <v>0</v>
      </c>
      <c r="CL21" s="286">
        <f t="shared" si="25"/>
        <v>0</v>
      </c>
      <c r="CM21" s="305" t="s">
        <v>293</v>
      </c>
      <c r="CN21" s="315">
        <v>0</v>
      </c>
      <c r="CO21" s="306"/>
      <c r="CP21" s="307" t="str">
        <f>IF($CO21&lt;&gt;"",$CO21,HLOOKUP($CM21,$AY$6:$BA$132,ROWS(CP$6:CP21),0))</f>
        <v/>
      </c>
      <c r="CQ21" s="784" t="str">
        <f t="shared" si="26"/>
        <v/>
      </c>
      <c r="CR21" s="784" t="str">
        <f t="shared" si="26"/>
        <v/>
      </c>
      <c r="CS21" s="97" t="str">
        <f t="shared" si="26"/>
        <v/>
      </c>
      <c r="CT21" s="97" t="str">
        <f t="shared" si="26"/>
        <v/>
      </c>
      <c r="CU21" s="97" t="str">
        <f t="shared" si="26"/>
        <v/>
      </c>
      <c r="CV21" s="97" t="str">
        <f t="shared" si="26"/>
        <v/>
      </c>
      <c r="CW21" s="97" t="str">
        <f t="shared" si="26"/>
        <v/>
      </c>
      <c r="CX21" s="98" t="str">
        <f t="shared" si="26"/>
        <v/>
      </c>
      <c r="CY21" s="392"/>
    </row>
    <row r="22" spans="1:103" x14ac:dyDescent="0.25">
      <c r="A22" s="81" t="s">
        <v>27</v>
      </c>
      <c r="B22" s="82" t="s">
        <v>55</v>
      </c>
      <c r="C22" s="83" t="s">
        <v>302</v>
      </c>
      <c r="D22" s="84">
        <v>31623.191973714209</v>
      </c>
      <c r="E22" s="85">
        <v>0</v>
      </c>
      <c r="F22" s="85">
        <v>282688.3243127134</v>
      </c>
      <c r="G22" s="85">
        <v>0</v>
      </c>
      <c r="H22" s="85">
        <v>0</v>
      </c>
      <c r="I22" s="85">
        <v>0</v>
      </c>
      <c r="J22" s="85">
        <v>15674.699498721004</v>
      </c>
      <c r="K22" s="85">
        <v>0</v>
      </c>
      <c r="L22" s="85">
        <v>0</v>
      </c>
      <c r="M22" s="654">
        <f>'2022-23 Input'!F22</f>
        <v>0</v>
      </c>
      <c r="N22" s="1065">
        <v>0</v>
      </c>
      <c r="O22" s="560">
        <f t="shared" si="27"/>
        <v>42547.623474516477</v>
      </c>
      <c r="P22" s="561">
        <f t="shared" si="0"/>
        <v>0</v>
      </c>
      <c r="Q22" s="561">
        <f t="shared" si="1"/>
        <v>370888.7063157399</v>
      </c>
      <c r="R22" s="561">
        <f t="shared" si="2"/>
        <v>0</v>
      </c>
      <c r="S22" s="561">
        <f t="shared" si="3"/>
        <v>0</v>
      </c>
      <c r="T22" s="561">
        <f t="shared" si="4"/>
        <v>0</v>
      </c>
      <c r="U22" s="561">
        <f t="shared" si="5"/>
        <v>19522.649718758061</v>
      </c>
      <c r="V22" s="561">
        <f t="shared" si="6"/>
        <v>0</v>
      </c>
      <c r="W22" s="675">
        <f t="shared" si="7"/>
        <v>0</v>
      </c>
      <c r="X22" s="675">
        <f t="shared" si="8"/>
        <v>0</v>
      </c>
      <c r="Y22" s="675">
        <f t="shared" si="8"/>
        <v>0</v>
      </c>
      <c r="Z22" s="86">
        <v>2</v>
      </c>
      <c r="AA22" s="87">
        <v>0</v>
      </c>
      <c r="AB22" s="87">
        <v>15</v>
      </c>
      <c r="AC22" s="87">
        <v>0</v>
      </c>
      <c r="AD22" s="87">
        <v>0</v>
      </c>
      <c r="AE22" s="87">
        <v>0</v>
      </c>
      <c r="AF22" s="87">
        <v>1</v>
      </c>
      <c r="AG22" s="87">
        <v>0</v>
      </c>
      <c r="AH22" s="87">
        <v>0</v>
      </c>
      <c r="AI22" s="1094">
        <f>'2022-23 Input'!M22</f>
        <v>0</v>
      </c>
      <c r="AJ22" s="665">
        <v>0</v>
      </c>
      <c r="AK22" s="88">
        <f t="shared" si="9"/>
        <v>0.2</v>
      </c>
      <c r="AL22" s="89">
        <f t="shared" si="10"/>
        <v>0</v>
      </c>
      <c r="AM22" s="90">
        <f t="shared" si="11"/>
        <v>0</v>
      </c>
      <c r="AN22" s="91">
        <f t="shared" si="12"/>
        <v>15811.595986857104</v>
      </c>
      <c r="AO22" s="92" t="str">
        <f t="shared" si="13"/>
        <v/>
      </c>
      <c r="AP22" s="92">
        <f t="shared" si="14"/>
        <v>18845.888287514226</v>
      </c>
      <c r="AQ22" s="92" t="str">
        <f t="shared" si="15"/>
        <v/>
      </c>
      <c r="AR22" s="92" t="str">
        <f t="shared" si="16"/>
        <v/>
      </c>
      <c r="AS22" s="92" t="str">
        <f t="shared" si="17"/>
        <v/>
      </c>
      <c r="AT22" s="92">
        <f t="shared" si="18"/>
        <v>15674.699498721004</v>
      </c>
      <c r="AU22" s="92" t="str">
        <f t="shared" si="19"/>
        <v/>
      </c>
      <c r="AV22" s="92" t="str">
        <f t="shared" si="20"/>
        <v/>
      </c>
      <c r="AW22" s="92" t="str">
        <f t="shared" si="20"/>
        <v/>
      </c>
      <c r="AX22" s="92" t="str">
        <f t="shared" si="20"/>
        <v/>
      </c>
      <c r="AY22" s="93">
        <f t="shared" si="21"/>
        <v>15674.699498721004</v>
      </c>
      <c r="AZ22" s="94" t="str">
        <f t="shared" si="22"/>
        <v/>
      </c>
      <c r="BA22" s="95" t="str">
        <f t="shared" si="23"/>
        <v/>
      </c>
      <c r="BB22" s="248" t="s">
        <v>422</v>
      </c>
      <c r="BC22" s="229" t="s">
        <v>433</v>
      </c>
      <c r="BD22" s="249">
        <v>0</v>
      </c>
      <c r="BE22" s="267">
        <f t="shared" si="28"/>
        <v>0</v>
      </c>
      <c r="BF22" s="268">
        <f t="shared" ref="BF22:BL22" si="44">IF(BF$6=$BB22,1,
IF(BE22&lt;&gt;0,BE22+1,0
))</f>
        <v>0</v>
      </c>
      <c r="BG22" s="268">
        <f t="shared" si="44"/>
        <v>0</v>
      </c>
      <c r="BH22" s="268">
        <f t="shared" si="44"/>
        <v>1</v>
      </c>
      <c r="BI22" s="268">
        <f t="shared" si="44"/>
        <v>2</v>
      </c>
      <c r="BJ22" s="268">
        <f t="shared" si="44"/>
        <v>3</v>
      </c>
      <c r="BK22" s="268">
        <f t="shared" si="44"/>
        <v>4</v>
      </c>
      <c r="BL22" s="269">
        <f t="shared" si="44"/>
        <v>5</v>
      </c>
      <c r="BM22" s="256">
        <f>IF($BC22=Lookup!$A$2,$BD22*ROUNDUP(BE22/10,0)+1,
IF($BC22=Lookup!$A$3,($BD22+1)^BD22,
IF($BC22=Lookup!$A$4,BE22*$BD22+1,"Error")))</f>
        <v>1</v>
      </c>
      <c r="BN22" s="229">
        <f>IF($BC22=Lookup!$A$2,$BD22*ROUNDUP(BF22/10,0)+1,
IF($BC22=Lookup!$A$3,($BD22+1)^BE22,
IF($BC22=Lookup!$A$4,BF22*$BD22+1,"Error")))</f>
        <v>1</v>
      </c>
      <c r="BO22" s="229">
        <f>IF($BC22=Lookup!$A$2,$BD22*ROUNDUP(BG22/10,0)+1,
IF($BC22=Lookup!$A$3,($BD22+1)^BF22,
IF($BC22=Lookup!$A$4,BG22*$BD22+1,"Error")))</f>
        <v>1</v>
      </c>
      <c r="BP22" s="229">
        <f>IF($BC22=Lookup!$A$2,$BD22*ROUNDUP(BH22/10,0)+1,
IF($BC22=Lookup!$A$3,($BD22+1)^BG22,
IF($BC22=Lookup!$A$4,BH22*$BD22+1,"Error")))</f>
        <v>1</v>
      </c>
      <c r="BQ22" s="229">
        <f>IF($BC22=Lookup!$A$2,$BD22*ROUNDUP(BI22/10,0)+1,
IF($BC22=Lookup!$A$3,($BD22+1)^BH22,
IF($BC22=Lookup!$A$4,BI22*$BD22+1,"Error")))</f>
        <v>1</v>
      </c>
      <c r="BR22" s="229">
        <f>IF($BC22=Lookup!$A$2,$BD22*ROUNDUP(BJ22/10,0)+1,
IF($BC22=Lookup!$A$3,($BD22+1)^BI22,
IF($BC22=Lookup!$A$4,BJ22*$BD22+1,"Error")))</f>
        <v>1</v>
      </c>
      <c r="BS22" s="229">
        <f>IF($BC22=Lookup!$A$2,$BD22*ROUNDUP(BK22/10,0)+1,
IF($BC22=Lookup!$A$3,($BD22+1)^BJ22,
IF($BC22=Lookup!$A$4,BK22*$BD22+1,"Error")))</f>
        <v>1</v>
      </c>
      <c r="BT22" s="249">
        <f>IF($BC22=Lookup!$A$2,$BD22*ROUNDUP(BL22/10,0)+1,
IF($BC22=Lookup!$A$3,($BD22+1)^BK22,
IF($BC22=Lookup!$A$4,BL22*$BD22+1,"Error")))</f>
        <v>1</v>
      </c>
      <c r="BU22" s="320"/>
      <c r="BV22" s="321"/>
      <c r="BW22" s="321"/>
      <c r="BX22" s="321"/>
      <c r="BY22" s="321"/>
      <c r="BZ22" s="321"/>
      <c r="CA22" s="321"/>
      <c r="CB22" s="277"/>
      <c r="CC22" s="382" t="s">
        <v>293</v>
      </c>
      <c r="CD22" s="383">
        <f>HLOOKUP($CC22,$AK$6:$AM$132,ROWS(CD$6:CD22),0)</f>
        <v>0</v>
      </c>
      <c r="CE22" s="234">
        <f t="shared" si="30"/>
        <v>0</v>
      </c>
      <c r="CF22" s="96">
        <f t="shared" si="25"/>
        <v>0</v>
      </c>
      <c r="CG22" s="96">
        <f t="shared" si="25"/>
        <v>0</v>
      </c>
      <c r="CH22" s="96">
        <f t="shared" si="25"/>
        <v>0</v>
      </c>
      <c r="CI22" s="96">
        <f t="shared" si="25"/>
        <v>0</v>
      </c>
      <c r="CJ22" s="96">
        <f t="shared" si="25"/>
        <v>0</v>
      </c>
      <c r="CK22" s="96">
        <f t="shared" si="25"/>
        <v>0</v>
      </c>
      <c r="CL22" s="286">
        <f t="shared" si="25"/>
        <v>0</v>
      </c>
      <c r="CM22" s="305" t="s">
        <v>293</v>
      </c>
      <c r="CN22" s="315">
        <v>0</v>
      </c>
      <c r="CO22" s="306"/>
      <c r="CP22" s="307" t="str">
        <f>IF($CO22&lt;&gt;"",$CO22,HLOOKUP($CM22,$AY$6:$BA$132,ROWS(CP$6:CP22),0))</f>
        <v/>
      </c>
      <c r="CQ22" s="784" t="str">
        <f t="shared" si="26"/>
        <v/>
      </c>
      <c r="CR22" s="784" t="str">
        <f t="shared" si="26"/>
        <v/>
      </c>
      <c r="CS22" s="97" t="str">
        <f t="shared" si="26"/>
        <v/>
      </c>
      <c r="CT22" s="97" t="str">
        <f t="shared" si="26"/>
        <v/>
      </c>
      <c r="CU22" s="97" t="str">
        <f t="shared" si="26"/>
        <v/>
      </c>
      <c r="CV22" s="97" t="str">
        <f t="shared" si="26"/>
        <v/>
      </c>
      <c r="CW22" s="97" t="str">
        <f t="shared" si="26"/>
        <v/>
      </c>
      <c r="CX22" s="98" t="str">
        <f t="shared" si="26"/>
        <v/>
      </c>
      <c r="CY22" s="392"/>
    </row>
    <row r="23" spans="1:103" x14ac:dyDescent="0.25">
      <c r="A23" s="81" t="s">
        <v>27</v>
      </c>
      <c r="B23" s="82" t="s">
        <v>57</v>
      </c>
      <c r="C23" s="83" t="s">
        <v>58</v>
      </c>
      <c r="D23" s="84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654">
        <f>'2022-23 Input'!F23</f>
        <v>0</v>
      </c>
      <c r="N23" s="1065">
        <v>0</v>
      </c>
      <c r="O23" s="560">
        <f t="shared" si="27"/>
        <v>0</v>
      </c>
      <c r="P23" s="561">
        <f t="shared" si="0"/>
        <v>0</v>
      </c>
      <c r="Q23" s="561">
        <f t="shared" si="1"/>
        <v>0</v>
      </c>
      <c r="R23" s="561">
        <f t="shared" si="2"/>
        <v>0</v>
      </c>
      <c r="S23" s="561">
        <f t="shared" si="3"/>
        <v>0</v>
      </c>
      <c r="T23" s="561">
        <f t="shared" si="4"/>
        <v>0</v>
      </c>
      <c r="U23" s="561">
        <f t="shared" si="5"/>
        <v>0</v>
      </c>
      <c r="V23" s="561">
        <f t="shared" si="6"/>
        <v>0</v>
      </c>
      <c r="W23" s="675">
        <f t="shared" si="7"/>
        <v>0</v>
      </c>
      <c r="X23" s="675">
        <f t="shared" si="8"/>
        <v>0</v>
      </c>
      <c r="Y23" s="675">
        <f t="shared" si="8"/>
        <v>0</v>
      </c>
      <c r="Z23" s="86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1094">
        <f>'2022-23 Input'!M23</f>
        <v>0</v>
      </c>
      <c r="AJ23" s="665">
        <v>0</v>
      </c>
      <c r="AK23" s="88">
        <f t="shared" si="9"/>
        <v>0</v>
      </c>
      <c r="AL23" s="89">
        <f t="shared" si="10"/>
        <v>0</v>
      </c>
      <c r="AM23" s="90">
        <f t="shared" si="11"/>
        <v>0</v>
      </c>
      <c r="AN23" s="91" t="str">
        <f t="shared" si="12"/>
        <v/>
      </c>
      <c r="AO23" s="92" t="str">
        <f t="shared" si="13"/>
        <v/>
      </c>
      <c r="AP23" s="92" t="str">
        <f t="shared" si="14"/>
        <v/>
      </c>
      <c r="AQ23" s="92" t="str">
        <f t="shared" si="15"/>
        <v/>
      </c>
      <c r="AR23" s="92" t="str">
        <f t="shared" si="16"/>
        <v/>
      </c>
      <c r="AS23" s="92" t="str">
        <f t="shared" si="17"/>
        <v/>
      </c>
      <c r="AT23" s="92" t="str">
        <f t="shared" si="18"/>
        <v/>
      </c>
      <c r="AU23" s="92" t="str">
        <f t="shared" si="19"/>
        <v/>
      </c>
      <c r="AV23" s="92" t="str">
        <f t="shared" ref="AV23:AX38" si="45">IFERROR(L23/AH23,"")</f>
        <v/>
      </c>
      <c r="AW23" s="92" t="str">
        <f t="shared" si="45"/>
        <v/>
      </c>
      <c r="AX23" s="92" t="str">
        <f t="shared" si="45"/>
        <v/>
      </c>
      <c r="AY23" s="93" t="str">
        <f t="shared" si="21"/>
        <v/>
      </c>
      <c r="AZ23" s="94" t="str">
        <f t="shared" si="22"/>
        <v/>
      </c>
      <c r="BA23" s="95" t="str">
        <f t="shared" si="23"/>
        <v/>
      </c>
      <c r="BB23" s="248" t="s">
        <v>422</v>
      </c>
      <c r="BC23" s="229" t="s">
        <v>433</v>
      </c>
      <c r="BD23" s="249">
        <v>0</v>
      </c>
      <c r="BE23" s="267">
        <f t="shared" si="28"/>
        <v>0</v>
      </c>
      <c r="BF23" s="268">
        <f t="shared" ref="BF23:BL23" si="46">IF(BF$6=$BB23,1,
IF(BE23&lt;&gt;0,BE23+1,0
))</f>
        <v>0</v>
      </c>
      <c r="BG23" s="268">
        <f t="shared" si="46"/>
        <v>0</v>
      </c>
      <c r="BH23" s="268">
        <f t="shared" si="46"/>
        <v>1</v>
      </c>
      <c r="BI23" s="268">
        <f t="shared" si="46"/>
        <v>2</v>
      </c>
      <c r="BJ23" s="268">
        <f t="shared" si="46"/>
        <v>3</v>
      </c>
      <c r="BK23" s="268">
        <f t="shared" si="46"/>
        <v>4</v>
      </c>
      <c r="BL23" s="269">
        <f t="shared" si="46"/>
        <v>5</v>
      </c>
      <c r="BM23" s="256">
        <f>IF($BC23=Lookup!$A$2,$BD23*ROUNDUP(BE23/10,0)+1,
IF($BC23=Lookup!$A$3,($BD23+1)^BD23,
IF($BC23=Lookup!$A$4,BE23*$BD23+1,"Error")))</f>
        <v>1</v>
      </c>
      <c r="BN23" s="229">
        <f>IF($BC23=Lookup!$A$2,$BD23*ROUNDUP(BF23/10,0)+1,
IF($BC23=Lookup!$A$3,($BD23+1)^BE23,
IF($BC23=Lookup!$A$4,BF23*$BD23+1,"Error")))</f>
        <v>1</v>
      </c>
      <c r="BO23" s="229">
        <f>IF($BC23=Lookup!$A$2,$BD23*ROUNDUP(BG23/10,0)+1,
IF($BC23=Lookup!$A$3,($BD23+1)^BF23,
IF($BC23=Lookup!$A$4,BG23*$BD23+1,"Error")))</f>
        <v>1</v>
      </c>
      <c r="BP23" s="229">
        <f>IF($BC23=Lookup!$A$2,$BD23*ROUNDUP(BH23/10,0)+1,
IF($BC23=Lookup!$A$3,($BD23+1)^BG23,
IF($BC23=Lookup!$A$4,BH23*$BD23+1,"Error")))</f>
        <v>1</v>
      </c>
      <c r="BQ23" s="229">
        <f>IF($BC23=Lookup!$A$2,$BD23*ROUNDUP(BI23/10,0)+1,
IF($BC23=Lookup!$A$3,($BD23+1)^BH23,
IF($BC23=Lookup!$A$4,BI23*$BD23+1,"Error")))</f>
        <v>1</v>
      </c>
      <c r="BR23" s="229">
        <f>IF($BC23=Lookup!$A$2,$BD23*ROUNDUP(BJ23/10,0)+1,
IF($BC23=Lookup!$A$3,($BD23+1)^BI23,
IF($BC23=Lookup!$A$4,BJ23*$BD23+1,"Error")))</f>
        <v>1</v>
      </c>
      <c r="BS23" s="229">
        <f>IF($BC23=Lookup!$A$2,$BD23*ROUNDUP(BK23/10,0)+1,
IF($BC23=Lookup!$A$3,($BD23+1)^BJ23,
IF($BC23=Lookup!$A$4,BK23*$BD23+1,"Error")))</f>
        <v>1</v>
      </c>
      <c r="BT23" s="249">
        <f>IF($BC23=Lookup!$A$2,$BD23*ROUNDUP(BL23/10,0)+1,
IF($BC23=Lookup!$A$3,($BD23+1)^BK23,
IF($BC23=Lookup!$A$4,BL23*$BD23+1,"Error")))</f>
        <v>1</v>
      </c>
      <c r="BU23" s="320"/>
      <c r="BV23" s="321"/>
      <c r="BW23" s="321"/>
      <c r="BX23" s="321"/>
      <c r="BY23" s="321"/>
      <c r="BZ23" s="321"/>
      <c r="CA23" s="321"/>
      <c r="CB23" s="277"/>
      <c r="CC23" s="382" t="s">
        <v>293</v>
      </c>
      <c r="CD23" s="383">
        <f>HLOOKUP($CC23,$AK$6:$AM$132,ROWS(CD$6:CD23),0)</f>
        <v>0</v>
      </c>
      <c r="CE23" s="234">
        <f t="shared" si="30"/>
        <v>0</v>
      </c>
      <c r="CF23" s="96">
        <f t="shared" si="25"/>
        <v>0</v>
      </c>
      <c r="CG23" s="96">
        <f t="shared" si="25"/>
        <v>0</v>
      </c>
      <c r="CH23" s="96">
        <f t="shared" si="25"/>
        <v>0</v>
      </c>
      <c r="CI23" s="96">
        <f t="shared" si="25"/>
        <v>0</v>
      </c>
      <c r="CJ23" s="96">
        <f t="shared" si="25"/>
        <v>0</v>
      </c>
      <c r="CK23" s="96">
        <f t="shared" si="25"/>
        <v>0</v>
      </c>
      <c r="CL23" s="286">
        <f t="shared" si="25"/>
        <v>0</v>
      </c>
      <c r="CM23" s="305" t="s">
        <v>293</v>
      </c>
      <c r="CN23" s="315">
        <v>0</v>
      </c>
      <c r="CO23" s="306"/>
      <c r="CP23" s="307" t="str">
        <f>IF($CO23&lt;&gt;"",$CO23,HLOOKUP($CM23,$AY$6:$BA$132,ROWS(CP$6:CP23),0))</f>
        <v/>
      </c>
      <c r="CQ23" s="784" t="str">
        <f t="shared" si="26"/>
        <v/>
      </c>
      <c r="CR23" s="784" t="str">
        <f t="shared" si="26"/>
        <v/>
      </c>
      <c r="CS23" s="97" t="str">
        <f t="shared" si="26"/>
        <v/>
      </c>
      <c r="CT23" s="97" t="str">
        <f t="shared" si="26"/>
        <v/>
      </c>
      <c r="CU23" s="97" t="str">
        <f t="shared" si="26"/>
        <v/>
      </c>
      <c r="CV23" s="97" t="str">
        <f t="shared" si="26"/>
        <v/>
      </c>
      <c r="CW23" s="97" t="str">
        <f t="shared" si="26"/>
        <v/>
      </c>
      <c r="CX23" s="98" t="str">
        <f t="shared" si="26"/>
        <v/>
      </c>
      <c r="CY23" s="392"/>
    </row>
    <row r="24" spans="1:103" x14ac:dyDescent="0.25">
      <c r="A24" s="81" t="s">
        <v>27</v>
      </c>
      <c r="B24" s="82" t="s">
        <v>59</v>
      </c>
      <c r="C24" s="83" t="s">
        <v>60</v>
      </c>
      <c r="D24" s="84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654">
        <f>'2022-23 Input'!F24</f>
        <v>0</v>
      </c>
      <c r="N24" s="1065">
        <v>0</v>
      </c>
      <c r="O24" s="560">
        <f t="shared" si="27"/>
        <v>0</v>
      </c>
      <c r="P24" s="561">
        <f t="shared" si="0"/>
        <v>0</v>
      </c>
      <c r="Q24" s="561">
        <f t="shared" si="1"/>
        <v>0</v>
      </c>
      <c r="R24" s="561">
        <f t="shared" si="2"/>
        <v>0</v>
      </c>
      <c r="S24" s="561">
        <f t="shared" si="3"/>
        <v>0</v>
      </c>
      <c r="T24" s="561">
        <f t="shared" si="4"/>
        <v>0</v>
      </c>
      <c r="U24" s="561">
        <f t="shared" si="5"/>
        <v>0</v>
      </c>
      <c r="V24" s="561">
        <f t="shared" si="6"/>
        <v>0</v>
      </c>
      <c r="W24" s="675">
        <f t="shared" si="7"/>
        <v>0</v>
      </c>
      <c r="X24" s="675">
        <f t="shared" si="8"/>
        <v>0</v>
      </c>
      <c r="Y24" s="675">
        <f t="shared" si="8"/>
        <v>0</v>
      </c>
      <c r="Z24" s="86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1094">
        <f>'2022-23 Input'!M24</f>
        <v>0</v>
      </c>
      <c r="AJ24" s="665">
        <v>0</v>
      </c>
      <c r="AK24" s="88">
        <f t="shared" si="9"/>
        <v>0</v>
      </c>
      <c r="AL24" s="89">
        <f t="shared" si="10"/>
        <v>0</v>
      </c>
      <c r="AM24" s="90">
        <f t="shared" si="11"/>
        <v>0</v>
      </c>
      <c r="AN24" s="91" t="str">
        <f t="shared" si="12"/>
        <v/>
      </c>
      <c r="AO24" s="92" t="str">
        <f t="shared" si="13"/>
        <v/>
      </c>
      <c r="AP24" s="92" t="str">
        <f t="shared" si="14"/>
        <v/>
      </c>
      <c r="AQ24" s="92" t="str">
        <f t="shared" si="15"/>
        <v/>
      </c>
      <c r="AR24" s="92" t="str">
        <f t="shared" si="16"/>
        <v/>
      </c>
      <c r="AS24" s="92" t="str">
        <f t="shared" si="17"/>
        <v/>
      </c>
      <c r="AT24" s="92" t="str">
        <f t="shared" si="18"/>
        <v/>
      </c>
      <c r="AU24" s="92" t="str">
        <f t="shared" si="19"/>
        <v/>
      </c>
      <c r="AV24" s="92" t="str">
        <f t="shared" si="45"/>
        <v/>
      </c>
      <c r="AW24" s="92" t="str">
        <f t="shared" si="45"/>
        <v/>
      </c>
      <c r="AX24" s="92" t="str">
        <f t="shared" si="45"/>
        <v/>
      </c>
      <c r="AY24" s="93" t="str">
        <f t="shared" si="21"/>
        <v/>
      </c>
      <c r="AZ24" s="94" t="str">
        <f t="shared" si="22"/>
        <v/>
      </c>
      <c r="BA24" s="95" t="str">
        <f t="shared" si="23"/>
        <v/>
      </c>
      <c r="BB24" s="248" t="s">
        <v>422</v>
      </c>
      <c r="BC24" s="229" t="s">
        <v>433</v>
      </c>
      <c r="BD24" s="249">
        <v>0</v>
      </c>
      <c r="BE24" s="267">
        <f t="shared" si="28"/>
        <v>0</v>
      </c>
      <c r="BF24" s="268">
        <f t="shared" ref="BF24:BL24" si="47">IF(BF$6=$BB24,1,
IF(BE24&lt;&gt;0,BE24+1,0
))</f>
        <v>0</v>
      </c>
      <c r="BG24" s="268">
        <f t="shared" si="47"/>
        <v>0</v>
      </c>
      <c r="BH24" s="268">
        <f t="shared" si="47"/>
        <v>1</v>
      </c>
      <c r="BI24" s="268">
        <f t="shared" si="47"/>
        <v>2</v>
      </c>
      <c r="BJ24" s="268">
        <f t="shared" si="47"/>
        <v>3</v>
      </c>
      <c r="BK24" s="268">
        <f t="shared" si="47"/>
        <v>4</v>
      </c>
      <c r="BL24" s="269">
        <f t="shared" si="47"/>
        <v>5</v>
      </c>
      <c r="BM24" s="256">
        <f>IF($BC24=Lookup!$A$2,$BD24*ROUNDUP(BE24/10,0)+1,
IF($BC24=Lookup!$A$3,($BD24+1)^BD24,
IF($BC24=Lookup!$A$4,BE24*$BD24+1,"Error")))</f>
        <v>1</v>
      </c>
      <c r="BN24" s="229">
        <f>IF($BC24=Lookup!$A$2,$BD24*ROUNDUP(BF24/10,0)+1,
IF($BC24=Lookup!$A$3,($BD24+1)^BE24,
IF($BC24=Lookup!$A$4,BF24*$BD24+1,"Error")))</f>
        <v>1</v>
      </c>
      <c r="BO24" s="229">
        <f>IF($BC24=Lookup!$A$2,$BD24*ROUNDUP(BG24/10,0)+1,
IF($BC24=Lookup!$A$3,($BD24+1)^BF24,
IF($BC24=Lookup!$A$4,BG24*$BD24+1,"Error")))</f>
        <v>1</v>
      </c>
      <c r="BP24" s="229">
        <f>IF($BC24=Lookup!$A$2,$BD24*ROUNDUP(BH24/10,0)+1,
IF($BC24=Lookup!$A$3,($BD24+1)^BG24,
IF($BC24=Lookup!$A$4,BH24*$BD24+1,"Error")))</f>
        <v>1</v>
      </c>
      <c r="BQ24" s="229">
        <f>IF($BC24=Lookup!$A$2,$BD24*ROUNDUP(BI24/10,0)+1,
IF($BC24=Lookup!$A$3,($BD24+1)^BH24,
IF($BC24=Lookup!$A$4,BI24*$BD24+1,"Error")))</f>
        <v>1</v>
      </c>
      <c r="BR24" s="229">
        <f>IF($BC24=Lookup!$A$2,$BD24*ROUNDUP(BJ24/10,0)+1,
IF($BC24=Lookup!$A$3,($BD24+1)^BI24,
IF($BC24=Lookup!$A$4,BJ24*$BD24+1,"Error")))</f>
        <v>1</v>
      </c>
      <c r="BS24" s="229">
        <f>IF($BC24=Lookup!$A$2,$BD24*ROUNDUP(BK24/10,0)+1,
IF($BC24=Lookup!$A$3,($BD24+1)^BJ24,
IF($BC24=Lookup!$A$4,BK24*$BD24+1,"Error")))</f>
        <v>1</v>
      </c>
      <c r="BT24" s="249">
        <f>IF($BC24=Lookup!$A$2,$BD24*ROUNDUP(BL24/10,0)+1,
IF($BC24=Lookup!$A$3,($BD24+1)^BK24,
IF($BC24=Lookup!$A$4,BL24*$BD24+1,"Error")))</f>
        <v>1</v>
      </c>
      <c r="BU24" s="320"/>
      <c r="BV24" s="321"/>
      <c r="BW24" s="321"/>
      <c r="BX24" s="321"/>
      <c r="BY24" s="321"/>
      <c r="BZ24" s="321"/>
      <c r="CA24" s="321"/>
      <c r="CB24" s="277"/>
      <c r="CC24" s="382" t="s">
        <v>293</v>
      </c>
      <c r="CD24" s="383">
        <f>HLOOKUP($CC24,$AK$6:$AM$132,ROWS(CD$6:CD24),0)</f>
        <v>0</v>
      </c>
      <c r="CE24" s="234">
        <f t="shared" si="30"/>
        <v>0</v>
      </c>
      <c r="CF24" s="96">
        <f t="shared" si="25"/>
        <v>0</v>
      </c>
      <c r="CG24" s="96">
        <f t="shared" si="25"/>
        <v>0</v>
      </c>
      <c r="CH24" s="96">
        <f t="shared" si="25"/>
        <v>0</v>
      </c>
      <c r="CI24" s="96">
        <f t="shared" si="25"/>
        <v>0</v>
      </c>
      <c r="CJ24" s="96">
        <f t="shared" si="25"/>
        <v>0</v>
      </c>
      <c r="CK24" s="96">
        <f t="shared" si="25"/>
        <v>0</v>
      </c>
      <c r="CL24" s="286">
        <f t="shared" si="25"/>
        <v>0</v>
      </c>
      <c r="CM24" s="305" t="s">
        <v>293</v>
      </c>
      <c r="CN24" s="315">
        <v>0</v>
      </c>
      <c r="CO24" s="306"/>
      <c r="CP24" s="307" t="str">
        <f>IF($CO24&lt;&gt;"",$CO24,HLOOKUP($CM24,$AY$6:$BA$132,ROWS(CP$6:CP24),0))</f>
        <v/>
      </c>
      <c r="CQ24" s="784" t="str">
        <f t="shared" si="26"/>
        <v/>
      </c>
      <c r="CR24" s="784" t="str">
        <f t="shared" si="26"/>
        <v/>
      </c>
      <c r="CS24" s="97" t="str">
        <f t="shared" si="26"/>
        <v/>
      </c>
      <c r="CT24" s="97" t="str">
        <f t="shared" si="26"/>
        <v/>
      </c>
      <c r="CU24" s="97" t="str">
        <f t="shared" si="26"/>
        <v/>
      </c>
      <c r="CV24" s="97" t="str">
        <f t="shared" si="26"/>
        <v/>
      </c>
      <c r="CW24" s="97" t="str">
        <f t="shared" si="26"/>
        <v/>
      </c>
      <c r="CX24" s="98" t="str">
        <f t="shared" si="26"/>
        <v/>
      </c>
      <c r="CY24" s="392"/>
    </row>
    <row r="25" spans="1:103" x14ac:dyDescent="0.25">
      <c r="A25" s="81" t="s">
        <v>27</v>
      </c>
      <c r="B25" s="82" t="s">
        <v>61</v>
      </c>
      <c r="C25" s="83" t="s">
        <v>62</v>
      </c>
      <c r="D25" s="84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654">
        <f>'2022-23 Input'!F25</f>
        <v>0</v>
      </c>
      <c r="N25" s="1065">
        <v>0</v>
      </c>
      <c r="O25" s="560">
        <f t="shared" si="27"/>
        <v>0</v>
      </c>
      <c r="P25" s="561">
        <f t="shared" si="0"/>
        <v>0</v>
      </c>
      <c r="Q25" s="561">
        <f t="shared" si="1"/>
        <v>0</v>
      </c>
      <c r="R25" s="561">
        <f t="shared" si="2"/>
        <v>0</v>
      </c>
      <c r="S25" s="561">
        <f t="shared" si="3"/>
        <v>0</v>
      </c>
      <c r="T25" s="561">
        <f t="shared" si="4"/>
        <v>0</v>
      </c>
      <c r="U25" s="561">
        <f t="shared" si="5"/>
        <v>0</v>
      </c>
      <c r="V25" s="561">
        <f t="shared" si="6"/>
        <v>0</v>
      </c>
      <c r="W25" s="675">
        <f t="shared" si="7"/>
        <v>0</v>
      </c>
      <c r="X25" s="675">
        <f t="shared" si="8"/>
        <v>0</v>
      </c>
      <c r="Y25" s="675">
        <f t="shared" si="8"/>
        <v>0</v>
      </c>
      <c r="Z25" s="86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1094">
        <f>'2022-23 Input'!M25</f>
        <v>0</v>
      </c>
      <c r="AJ25" s="665">
        <v>0</v>
      </c>
      <c r="AK25" s="88">
        <f t="shared" si="9"/>
        <v>0</v>
      </c>
      <c r="AL25" s="89">
        <f t="shared" si="10"/>
        <v>0</v>
      </c>
      <c r="AM25" s="90">
        <f t="shared" si="11"/>
        <v>0</v>
      </c>
      <c r="AN25" s="91" t="str">
        <f t="shared" si="12"/>
        <v/>
      </c>
      <c r="AO25" s="92" t="str">
        <f t="shared" si="13"/>
        <v/>
      </c>
      <c r="AP25" s="92" t="str">
        <f t="shared" si="14"/>
        <v/>
      </c>
      <c r="AQ25" s="92" t="str">
        <f t="shared" si="15"/>
        <v/>
      </c>
      <c r="AR25" s="92" t="str">
        <f t="shared" si="16"/>
        <v/>
      </c>
      <c r="AS25" s="92" t="str">
        <f t="shared" si="17"/>
        <v/>
      </c>
      <c r="AT25" s="92" t="str">
        <f t="shared" si="18"/>
        <v/>
      </c>
      <c r="AU25" s="92" t="str">
        <f t="shared" si="19"/>
        <v/>
      </c>
      <c r="AV25" s="92" t="str">
        <f t="shared" si="45"/>
        <v/>
      </c>
      <c r="AW25" s="92" t="str">
        <f t="shared" si="45"/>
        <v/>
      </c>
      <c r="AX25" s="92" t="str">
        <f t="shared" si="45"/>
        <v/>
      </c>
      <c r="AY25" s="93" t="str">
        <f t="shared" si="21"/>
        <v/>
      </c>
      <c r="AZ25" s="94" t="str">
        <f t="shared" si="22"/>
        <v/>
      </c>
      <c r="BA25" s="95" t="str">
        <f t="shared" si="23"/>
        <v/>
      </c>
      <c r="BB25" s="248" t="s">
        <v>422</v>
      </c>
      <c r="BC25" s="229" t="s">
        <v>433</v>
      </c>
      <c r="BD25" s="249">
        <v>0</v>
      </c>
      <c r="BE25" s="267">
        <f t="shared" si="28"/>
        <v>0</v>
      </c>
      <c r="BF25" s="268">
        <f t="shared" ref="BF25:BL25" si="48">IF(BF$6=$BB25,1,
IF(BE25&lt;&gt;0,BE25+1,0
))</f>
        <v>0</v>
      </c>
      <c r="BG25" s="268">
        <f t="shared" si="48"/>
        <v>0</v>
      </c>
      <c r="BH25" s="268">
        <f t="shared" si="48"/>
        <v>1</v>
      </c>
      <c r="BI25" s="268">
        <f t="shared" si="48"/>
        <v>2</v>
      </c>
      <c r="BJ25" s="268">
        <f t="shared" si="48"/>
        <v>3</v>
      </c>
      <c r="BK25" s="268">
        <f t="shared" si="48"/>
        <v>4</v>
      </c>
      <c r="BL25" s="269">
        <f t="shared" si="48"/>
        <v>5</v>
      </c>
      <c r="BM25" s="256">
        <f>IF($BC25=Lookup!$A$2,$BD25*ROUNDUP(BE25/10,0)+1,
IF($BC25=Lookup!$A$3,($BD25+1)^BD25,
IF($BC25=Lookup!$A$4,BE25*$BD25+1,"Error")))</f>
        <v>1</v>
      </c>
      <c r="BN25" s="229">
        <f>IF($BC25=Lookup!$A$2,$BD25*ROUNDUP(BF25/10,0)+1,
IF($BC25=Lookup!$A$3,($BD25+1)^BE25,
IF($BC25=Lookup!$A$4,BF25*$BD25+1,"Error")))</f>
        <v>1</v>
      </c>
      <c r="BO25" s="229">
        <f>IF($BC25=Lookup!$A$2,$BD25*ROUNDUP(BG25/10,0)+1,
IF($BC25=Lookup!$A$3,($BD25+1)^BF25,
IF($BC25=Lookup!$A$4,BG25*$BD25+1,"Error")))</f>
        <v>1</v>
      </c>
      <c r="BP25" s="229">
        <f>IF($BC25=Lookup!$A$2,$BD25*ROUNDUP(BH25/10,0)+1,
IF($BC25=Lookup!$A$3,($BD25+1)^BG25,
IF($BC25=Lookup!$A$4,BH25*$BD25+1,"Error")))</f>
        <v>1</v>
      </c>
      <c r="BQ25" s="229">
        <f>IF($BC25=Lookup!$A$2,$BD25*ROUNDUP(BI25/10,0)+1,
IF($BC25=Lookup!$A$3,($BD25+1)^BH25,
IF($BC25=Lookup!$A$4,BI25*$BD25+1,"Error")))</f>
        <v>1</v>
      </c>
      <c r="BR25" s="229">
        <f>IF($BC25=Lookup!$A$2,$BD25*ROUNDUP(BJ25/10,0)+1,
IF($BC25=Lookup!$A$3,($BD25+1)^BI25,
IF($BC25=Lookup!$A$4,BJ25*$BD25+1,"Error")))</f>
        <v>1</v>
      </c>
      <c r="BS25" s="229">
        <f>IF($BC25=Lookup!$A$2,$BD25*ROUNDUP(BK25/10,0)+1,
IF($BC25=Lookup!$A$3,($BD25+1)^BJ25,
IF($BC25=Lookup!$A$4,BK25*$BD25+1,"Error")))</f>
        <v>1</v>
      </c>
      <c r="BT25" s="249">
        <f>IF($BC25=Lookup!$A$2,$BD25*ROUNDUP(BL25/10,0)+1,
IF($BC25=Lookup!$A$3,($BD25+1)^BK25,
IF($BC25=Lookup!$A$4,BL25*$BD25+1,"Error")))</f>
        <v>1</v>
      </c>
      <c r="BU25" s="320"/>
      <c r="BV25" s="321"/>
      <c r="BW25" s="321"/>
      <c r="BX25" s="321"/>
      <c r="BY25" s="321"/>
      <c r="BZ25" s="321"/>
      <c r="CA25" s="321"/>
      <c r="CB25" s="277"/>
      <c r="CC25" s="382" t="s">
        <v>293</v>
      </c>
      <c r="CD25" s="383">
        <f>HLOOKUP($CC25,$AK$6:$AM$132,ROWS(CD$6:CD25),0)</f>
        <v>0</v>
      </c>
      <c r="CE25" s="234">
        <f t="shared" si="30"/>
        <v>0</v>
      </c>
      <c r="CF25" s="96">
        <f t="shared" si="25"/>
        <v>0</v>
      </c>
      <c r="CG25" s="96">
        <f t="shared" si="25"/>
        <v>0</v>
      </c>
      <c r="CH25" s="96">
        <f t="shared" si="25"/>
        <v>0</v>
      </c>
      <c r="CI25" s="96">
        <f t="shared" si="25"/>
        <v>0</v>
      </c>
      <c r="CJ25" s="96">
        <f t="shared" si="25"/>
        <v>0</v>
      </c>
      <c r="CK25" s="96">
        <f t="shared" si="25"/>
        <v>0</v>
      </c>
      <c r="CL25" s="286">
        <f t="shared" si="25"/>
        <v>0</v>
      </c>
      <c r="CM25" s="305" t="s">
        <v>293</v>
      </c>
      <c r="CN25" s="315">
        <v>0</v>
      </c>
      <c r="CO25" s="306"/>
      <c r="CP25" s="307" t="str">
        <f>IF($CO25&lt;&gt;"",$CO25,HLOOKUP($CM25,$AY$6:$BA$132,ROWS(CP$6:CP25),0))</f>
        <v/>
      </c>
      <c r="CQ25" s="784" t="str">
        <f t="shared" si="26"/>
        <v/>
      </c>
      <c r="CR25" s="784" t="str">
        <f t="shared" si="26"/>
        <v/>
      </c>
      <c r="CS25" s="97" t="str">
        <f t="shared" si="26"/>
        <v/>
      </c>
      <c r="CT25" s="97" t="str">
        <f t="shared" si="26"/>
        <v/>
      </c>
      <c r="CU25" s="97" t="str">
        <f t="shared" si="26"/>
        <v/>
      </c>
      <c r="CV25" s="97" t="str">
        <f t="shared" si="26"/>
        <v/>
      </c>
      <c r="CW25" s="97" t="str">
        <f t="shared" si="26"/>
        <v/>
      </c>
      <c r="CX25" s="98" t="str">
        <f t="shared" si="26"/>
        <v/>
      </c>
      <c r="CY25" s="392"/>
    </row>
    <row r="26" spans="1:103" ht="15.75" thickBot="1" x14ac:dyDescent="0.3">
      <c r="A26" s="100" t="s">
        <v>27</v>
      </c>
      <c r="B26" s="101" t="s">
        <v>303</v>
      </c>
      <c r="C26" s="102" t="s">
        <v>304</v>
      </c>
      <c r="D26" s="103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655">
        <f>'2022-23 Input'!F26</f>
        <v>0</v>
      </c>
      <c r="N26" s="1066">
        <v>0</v>
      </c>
      <c r="O26" s="563">
        <f t="shared" si="27"/>
        <v>0</v>
      </c>
      <c r="P26" s="564">
        <f t="shared" si="0"/>
        <v>0</v>
      </c>
      <c r="Q26" s="564">
        <f t="shared" si="1"/>
        <v>0</v>
      </c>
      <c r="R26" s="564">
        <f t="shared" si="2"/>
        <v>0</v>
      </c>
      <c r="S26" s="564">
        <f t="shared" si="3"/>
        <v>0</v>
      </c>
      <c r="T26" s="564">
        <f t="shared" si="4"/>
        <v>0</v>
      </c>
      <c r="U26" s="564">
        <f t="shared" si="5"/>
        <v>0</v>
      </c>
      <c r="V26" s="564">
        <f t="shared" si="6"/>
        <v>0</v>
      </c>
      <c r="W26" s="676">
        <f t="shared" si="7"/>
        <v>0</v>
      </c>
      <c r="X26" s="676">
        <f t="shared" si="8"/>
        <v>0</v>
      </c>
      <c r="Y26" s="676">
        <f t="shared" si="8"/>
        <v>0</v>
      </c>
      <c r="Z26" s="105">
        <v>0</v>
      </c>
      <c r="AA26" s="106">
        <v>0</v>
      </c>
      <c r="AB26" s="106">
        <v>0</v>
      </c>
      <c r="AC26" s="106">
        <v>0</v>
      </c>
      <c r="AD26" s="106">
        <v>0</v>
      </c>
      <c r="AE26" s="106">
        <v>0</v>
      </c>
      <c r="AF26" s="106">
        <v>0</v>
      </c>
      <c r="AG26" s="106">
        <v>0</v>
      </c>
      <c r="AH26" s="106">
        <v>0</v>
      </c>
      <c r="AI26" s="1095">
        <f>'2022-23 Input'!M26</f>
        <v>0</v>
      </c>
      <c r="AJ26" s="666">
        <v>0</v>
      </c>
      <c r="AK26" s="107">
        <f t="shared" si="9"/>
        <v>0</v>
      </c>
      <c r="AL26" s="108">
        <f t="shared" si="10"/>
        <v>0</v>
      </c>
      <c r="AM26" s="109">
        <f t="shared" si="11"/>
        <v>0</v>
      </c>
      <c r="AN26" s="110" t="str">
        <f t="shared" si="12"/>
        <v/>
      </c>
      <c r="AO26" s="111" t="str">
        <f t="shared" si="13"/>
        <v/>
      </c>
      <c r="AP26" s="111" t="str">
        <f t="shared" si="14"/>
        <v/>
      </c>
      <c r="AQ26" s="111" t="str">
        <f t="shared" si="15"/>
        <v/>
      </c>
      <c r="AR26" s="111" t="str">
        <f t="shared" si="16"/>
        <v/>
      </c>
      <c r="AS26" s="111" t="str">
        <f t="shared" si="17"/>
        <v/>
      </c>
      <c r="AT26" s="111" t="str">
        <f t="shared" si="18"/>
        <v/>
      </c>
      <c r="AU26" s="111" t="str">
        <f t="shared" si="19"/>
        <v/>
      </c>
      <c r="AV26" s="111" t="str">
        <f t="shared" si="45"/>
        <v/>
      </c>
      <c r="AW26" s="111" t="str">
        <f t="shared" si="45"/>
        <v/>
      </c>
      <c r="AX26" s="111" t="str">
        <f t="shared" si="45"/>
        <v/>
      </c>
      <c r="AY26" s="112" t="str">
        <f t="shared" si="21"/>
        <v/>
      </c>
      <c r="AZ26" s="113" t="str">
        <f t="shared" si="22"/>
        <v/>
      </c>
      <c r="BA26" s="114" t="str">
        <f t="shared" si="23"/>
        <v/>
      </c>
      <c r="BB26" s="250" t="s">
        <v>422</v>
      </c>
      <c r="BC26" s="230" t="s">
        <v>433</v>
      </c>
      <c r="BD26" s="251">
        <v>0</v>
      </c>
      <c r="BE26" s="270">
        <f t="shared" si="28"/>
        <v>0</v>
      </c>
      <c r="BF26" s="271">
        <f t="shared" ref="BF26:BL26" si="49">IF(BF$6=$BB26,1,
IF(BE26&lt;&gt;0,BE26+1,0
))</f>
        <v>0</v>
      </c>
      <c r="BG26" s="271">
        <f t="shared" si="49"/>
        <v>0</v>
      </c>
      <c r="BH26" s="271">
        <f t="shared" si="49"/>
        <v>1</v>
      </c>
      <c r="BI26" s="271">
        <f t="shared" si="49"/>
        <v>2</v>
      </c>
      <c r="BJ26" s="271">
        <f t="shared" si="49"/>
        <v>3</v>
      </c>
      <c r="BK26" s="271">
        <f t="shared" si="49"/>
        <v>4</v>
      </c>
      <c r="BL26" s="272">
        <f t="shared" si="49"/>
        <v>5</v>
      </c>
      <c r="BM26" s="257">
        <f>IF($BC26=Lookup!$A$2,$BD26*ROUNDUP(BE26/10,0)+1,
IF($BC26=Lookup!$A$3,($BD26+1)^BD26,
IF($BC26=Lookup!$A$4,BE26*$BD26+1,"Error")))</f>
        <v>1</v>
      </c>
      <c r="BN26" s="230">
        <f>IF($BC26=Lookup!$A$2,$BD26*ROUNDUP(BF26/10,0)+1,
IF($BC26=Lookup!$A$3,($BD26+1)^BE26,
IF($BC26=Lookup!$A$4,BF26*$BD26+1,"Error")))</f>
        <v>1</v>
      </c>
      <c r="BO26" s="230">
        <f>IF($BC26=Lookup!$A$2,$BD26*ROUNDUP(BG26/10,0)+1,
IF($BC26=Lookup!$A$3,($BD26+1)^BF26,
IF($BC26=Lookup!$A$4,BG26*$BD26+1,"Error")))</f>
        <v>1</v>
      </c>
      <c r="BP26" s="230">
        <f>IF($BC26=Lookup!$A$2,$BD26*ROUNDUP(BH26/10,0)+1,
IF($BC26=Lookup!$A$3,($BD26+1)^BG26,
IF($BC26=Lookup!$A$4,BH26*$BD26+1,"Error")))</f>
        <v>1</v>
      </c>
      <c r="BQ26" s="230">
        <f>IF($BC26=Lookup!$A$2,$BD26*ROUNDUP(BI26/10,0)+1,
IF($BC26=Lookup!$A$3,($BD26+1)^BH26,
IF($BC26=Lookup!$A$4,BI26*$BD26+1,"Error")))</f>
        <v>1</v>
      </c>
      <c r="BR26" s="230">
        <f>IF($BC26=Lookup!$A$2,$BD26*ROUNDUP(BJ26/10,0)+1,
IF($BC26=Lookup!$A$3,($BD26+1)^BI26,
IF($BC26=Lookup!$A$4,BJ26*$BD26+1,"Error")))</f>
        <v>1</v>
      </c>
      <c r="BS26" s="230">
        <f>IF($BC26=Lookup!$A$2,$BD26*ROUNDUP(BK26/10,0)+1,
IF($BC26=Lookup!$A$3,($BD26+1)^BJ26,
IF($BC26=Lookup!$A$4,BK26*$BD26+1,"Error")))</f>
        <v>1</v>
      </c>
      <c r="BT26" s="251">
        <f>IF($BC26=Lookup!$A$2,$BD26*ROUNDUP(BL26/10,0)+1,
IF($BC26=Lookup!$A$3,($BD26+1)^BK26,
IF($BC26=Lookup!$A$4,BL26*$BD26+1,"Error")))</f>
        <v>1</v>
      </c>
      <c r="BU26" s="322"/>
      <c r="BV26" s="323"/>
      <c r="BW26" s="323"/>
      <c r="BX26" s="323"/>
      <c r="BY26" s="323"/>
      <c r="BZ26" s="323"/>
      <c r="CA26" s="323"/>
      <c r="CB26" s="278"/>
      <c r="CC26" s="384" t="s">
        <v>293</v>
      </c>
      <c r="CD26" s="385">
        <f>HLOOKUP($CC26,$AK$6:$AM$132,ROWS(CD$6:CD26),0)</f>
        <v>0</v>
      </c>
      <c r="CE26" s="235">
        <f t="shared" si="30"/>
        <v>0</v>
      </c>
      <c r="CF26" s="115">
        <f t="shared" si="25"/>
        <v>0</v>
      </c>
      <c r="CG26" s="115">
        <f t="shared" si="25"/>
        <v>0</v>
      </c>
      <c r="CH26" s="115">
        <f t="shared" si="25"/>
        <v>0</v>
      </c>
      <c r="CI26" s="115">
        <f t="shared" si="25"/>
        <v>0</v>
      </c>
      <c r="CJ26" s="115">
        <f t="shared" si="25"/>
        <v>0</v>
      </c>
      <c r="CK26" s="115">
        <f t="shared" si="25"/>
        <v>0</v>
      </c>
      <c r="CL26" s="287">
        <f t="shared" si="25"/>
        <v>0</v>
      </c>
      <c r="CM26" s="308" t="s">
        <v>293</v>
      </c>
      <c r="CN26" s="316">
        <v>0</v>
      </c>
      <c r="CO26" s="309"/>
      <c r="CP26" s="310" t="str">
        <f>IF($CO26&lt;&gt;"",$CO26,HLOOKUP($CM26,$AY$6:$BA$132,ROWS(CP$6:CP26),0))</f>
        <v/>
      </c>
      <c r="CQ26" s="785" t="str">
        <f t="shared" si="26"/>
        <v/>
      </c>
      <c r="CR26" s="785" t="str">
        <f t="shared" si="26"/>
        <v/>
      </c>
      <c r="CS26" s="117" t="str">
        <f t="shared" si="26"/>
        <v/>
      </c>
      <c r="CT26" s="117" t="str">
        <f t="shared" si="26"/>
        <v/>
      </c>
      <c r="CU26" s="117" t="str">
        <f t="shared" si="26"/>
        <v/>
      </c>
      <c r="CV26" s="117" t="str">
        <f t="shared" si="26"/>
        <v/>
      </c>
      <c r="CW26" s="117" t="str">
        <f t="shared" si="26"/>
        <v/>
      </c>
      <c r="CX26" s="118" t="str">
        <f t="shared" si="26"/>
        <v/>
      </c>
      <c r="CY26" s="393"/>
    </row>
    <row r="27" spans="1:103" x14ac:dyDescent="0.25">
      <c r="A27" s="63" t="s">
        <v>68</v>
      </c>
      <c r="B27" s="64" t="s">
        <v>65</v>
      </c>
      <c r="C27" s="65" t="s">
        <v>305</v>
      </c>
      <c r="D27" s="66">
        <v>2313528.4609286413</v>
      </c>
      <c r="E27" s="67">
        <v>3001225.0673800944</v>
      </c>
      <c r="F27" s="67">
        <v>3874398.3362390925</v>
      </c>
      <c r="G27" s="67">
        <v>2950945.2854054081</v>
      </c>
      <c r="H27" s="67">
        <v>4704169.6173548261</v>
      </c>
      <c r="I27" s="67">
        <v>8919512.7925006133</v>
      </c>
      <c r="J27" s="67">
        <v>9980337.2259792276</v>
      </c>
      <c r="K27" s="67">
        <v>8055759.7877158755</v>
      </c>
      <c r="L27" s="67">
        <v>11600878.319489772</v>
      </c>
      <c r="M27" s="653">
        <f>'2022-23 Input'!F27</f>
        <v>11279015.236250872</v>
      </c>
      <c r="N27" s="1064">
        <v>13175702.669532178</v>
      </c>
      <c r="O27" s="557">
        <f t="shared" si="27"/>
        <v>3112751.4874207061</v>
      </c>
      <c r="P27" s="558">
        <f t="shared" si="0"/>
        <v>3977916.51067119</v>
      </c>
      <c r="Q27" s="558">
        <f t="shared" si="1"/>
        <v>5083232.8861590233</v>
      </c>
      <c r="R27" s="558">
        <f t="shared" si="2"/>
        <v>3798211.1046184055</v>
      </c>
      <c r="S27" s="558">
        <f t="shared" si="3"/>
        <v>5931575.9007510832</v>
      </c>
      <c r="T27" s="558">
        <f t="shared" si="4"/>
        <v>11070438.08982384</v>
      </c>
      <c r="U27" s="558">
        <f t="shared" si="5"/>
        <v>12430389.989535199</v>
      </c>
      <c r="V27" s="558">
        <f t="shared" si="6"/>
        <v>9661746.3082691245</v>
      </c>
      <c r="W27" s="674">
        <f t="shared" si="7"/>
        <v>13108148.351196693</v>
      </c>
      <c r="X27" s="674">
        <f t="shared" si="8"/>
        <v>11994791.988550203</v>
      </c>
      <c r="Y27" s="674">
        <f t="shared" si="8"/>
        <v>13538014.456864523</v>
      </c>
      <c r="Z27" s="68">
        <v>2433</v>
      </c>
      <c r="AA27" s="69">
        <v>2932</v>
      </c>
      <c r="AB27" s="69">
        <v>3045</v>
      </c>
      <c r="AC27" s="69">
        <v>2529</v>
      </c>
      <c r="AD27" s="69">
        <v>3382</v>
      </c>
      <c r="AE27" s="69">
        <v>4811</v>
      </c>
      <c r="AF27" s="69">
        <v>5313</v>
      </c>
      <c r="AG27" s="69">
        <v>3261</v>
      </c>
      <c r="AH27" s="69">
        <v>4694</v>
      </c>
      <c r="AI27" s="1093">
        <f>'2022-23 Input'!M27</f>
        <v>4520</v>
      </c>
      <c r="AJ27" s="664">
        <v>3612</v>
      </c>
      <c r="AK27" s="70">
        <f t="shared" si="9"/>
        <v>4519.8</v>
      </c>
      <c r="AL27" s="71">
        <f t="shared" si="10"/>
        <v>4158.333333333333</v>
      </c>
      <c r="AM27" s="72">
        <f t="shared" si="11"/>
        <v>4520</v>
      </c>
      <c r="AN27" s="73">
        <f t="shared" si="12"/>
        <v>950.89538057075265</v>
      </c>
      <c r="AO27" s="74">
        <f t="shared" si="13"/>
        <v>1023.6101866917103</v>
      </c>
      <c r="AP27" s="74">
        <f t="shared" si="14"/>
        <v>1272.3804059898498</v>
      </c>
      <c r="AQ27" s="74">
        <f t="shared" si="15"/>
        <v>1166.8427383967608</v>
      </c>
      <c r="AR27" s="74">
        <f t="shared" si="16"/>
        <v>1390.9431157169799</v>
      </c>
      <c r="AS27" s="74">
        <f t="shared" si="17"/>
        <v>1853.9831204532557</v>
      </c>
      <c r="AT27" s="74">
        <f t="shared" si="18"/>
        <v>1878.4749154863971</v>
      </c>
      <c r="AU27" s="74">
        <f t="shared" si="19"/>
        <v>2470.3341881986739</v>
      </c>
      <c r="AV27" s="74">
        <f t="shared" si="45"/>
        <v>2471.4269960566194</v>
      </c>
      <c r="AW27" s="74">
        <f t="shared" si="45"/>
        <v>2495.3573531528477</v>
      </c>
      <c r="AX27" s="74">
        <f t="shared" si="45"/>
        <v>3647.7582141561957</v>
      </c>
      <c r="AY27" s="75">
        <f t="shared" si="21"/>
        <v>2205.2083438177065</v>
      </c>
      <c r="AZ27" s="76">
        <f t="shared" si="22"/>
        <v>2479.8118912590398</v>
      </c>
      <c r="BA27" s="77">
        <f t="shared" si="23"/>
        <v>2495.3573531528477</v>
      </c>
      <c r="BB27" s="246" t="s">
        <v>422</v>
      </c>
      <c r="BC27" s="228" t="s">
        <v>433</v>
      </c>
      <c r="BD27" s="247">
        <v>8.9312219999999998E-2</v>
      </c>
      <c r="BE27" s="264">
        <f t="shared" si="28"/>
        <v>0</v>
      </c>
      <c r="BF27" s="265">
        <f t="shared" ref="BF27:BL27" si="50">IF(BF$6=$BB27,1,
IF(BE27&lt;&gt;0,BE27+1,0
))</f>
        <v>0</v>
      </c>
      <c r="BG27" s="265">
        <f t="shared" si="50"/>
        <v>0</v>
      </c>
      <c r="BH27" s="265">
        <f t="shared" si="50"/>
        <v>1</v>
      </c>
      <c r="BI27" s="265">
        <f t="shared" si="50"/>
        <v>2</v>
      </c>
      <c r="BJ27" s="265">
        <f t="shared" si="50"/>
        <v>3</v>
      </c>
      <c r="BK27" s="265">
        <f t="shared" si="50"/>
        <v>4</v>
      </c>
      <c r="BL27" s="266">
        <f t="shared" si="50"/>
        <v>5</v>
      </c>
      <c r="BM27" s="255">
        <f>IF($BC27=Lookup!$A$2,$BD27*ROUNDUP(BE27/10,0)+1,
IF($BC27=Lookup!$A$3,($BD27+1)^BD27,
IF($BC27=Lookup!$A$4,BE27*$BD27+1,"Error")))</f>
        <v>1</v>
      </c>
      <c r="BN27" s="228">
        <f>IF($BC27=Lookup!$A$2,$BD27*ROUNDUP(BF27/10,0)+1,
IF($BC27=Lookup!$A$3,($BD27+1)^BE27,
IF($BC27=Lookup!$A$4,BF27*$BD27+1,"Error")))</f>
        <v>1</v>
      </c>
      <c r="BO27" s="228">
        <f>IF($BC27=Lookup!$A$2,$BD27*ROUNDUP(BG27/10,0)+1,
IF($BC27=Lookup!$A$3,($BD27+1)^BF27,
IF($BC27=Lookup!$A$4,BG27*$BD27+1,"Error")))</f>
        <v>1</v>
      </c>
      <c r="BP27" s="228">
        <f>IF($BC27=Lookup!$A$2,$BD27*ROUNDUP(BH27/10,0)+1,
IF($BC27=Lookup!$A$3,($BD27+1)^BG27,
IF($BC27=Lookup!$A$4,BH27*$BD27+1,"Error")))</f>
        <v>1.0893122200000001</v>
      </c>
      <c r="BQ27" s="228">
        <f>IF($BC27=Lookup!$A$2,$BD27*ROUNDUP(BI27/10,0)+1,
IF($BC27=Lookup!$A$3,($BD27+1)^BH27,
IF($BC27=Lookup!$A$4,BI27*$BD27+1,"Error")))</f>
        <v>1.0893122200000001</v>
      </c>
      <c r="BR27" s="228">
        <f>IF($BC27=Lookup!$A$2,$BD27*ROUNDUP(BJ27/10,0)+1,
IF($BC27=Lookup!$A$3,($BD27+1)^BI27,
IF($BC27=Lookup!$A$4,BJ27*$BD27+1,"Error")))</f>
        <v>1.0893122200000001</v>
      </c>
      <c r="BS27" s="228">
        <f>IF($BC27=Lookup!$A$2,$BD27*ROUNDUP(BK27/10,0)+1,
IF($BC27=Lookup!$A$3,($BD27+1)^BJ27,
IF($BC27=Lookup!$A$4,BK27*$BD27+1,"Error")))</f>
        <v>1.0893122200000001</v>
      </c>
      <c r="BT27" s="247">
        <f>IF($BC27=Lookup!$A$2,$BD27*ROUNDUP(BL27/10,0)+1,
IF($BC27=Lookup!$A$3,($BD27+1)^BK27,
IF($BC27=Lookup!$A$4,BL27*$BD27+1,"Error")))</f>
        <v>1.0893122200000001</v>
      </c>
      <c r="BU27" s="318"/>
      <c r="BV27" s="319"/>
      <c r="BW27" s="319"/>
      <c r="BX27" s="319"/>
      <c r="BY27" s="319"/>
      <c r="BZ27" s="319"/>
      <c r="CA27" s="319"/>
      <c r="CB27" s="276"/>
      <c r="CC27" s="380" t="s">
        <v>293</v>
      </c>
      <c r="CD27" s="381">
        <f>HLOOKUP($CC27,$AK$6:$AM$132,ROWS(CD$6:CD27),0)</f>
        <v>4158.333333333333</v>
      </c>
      <c r="CE27" s="233">
        <f t="shared" si="30"/>
        <v>4158.333333333333</v>
      </c>
      <c r="CF27" s="78">
        <f t="shared" si="25"/>
        <v>4158.333333333333</v>
      </c>
      <c r="CG27" s="78">
        <f t="shared" si="25"/>
        <v>4158.333333333333</v>
      </c>
      <c r="CH27" s="78">
        <f t="shared" si="25"/>
        <v>4529.7233148333335</v>
      </c>
      <c r="CI27" s="78">
        <f t="shared" si="25"/>
        <v>4529.7233148333335</v>
      </c>
      <c r="CJ27" s="78">
        <f t="shared" si="25"/>
        <v>4529.7233148333335</v>
      </c>
      <c r="CK27" s="78">
        <f t="shared" si="25"/>
        <v>4529.7233148333335</v>
      </c>
      <c r="CL27" s="285">
        <f t="shared" si="25"/>
        <v>4529.7233148333335</v>
      </c>
      <c r="CM27" s="302" t="s">
        <v>293</v>
      </c>
      <c r="CN27" s="314">
        <v>0</v>
      </c>
      <c r="CO27" s="303"/>
      <c r="CP27" s="304">
        <f>IF($CO27&lt;&gt;"",$CO27,HLOOKUP($CM27,$AY$6:$BA$132,ROWS(CP$6:CP27),0))</f>
        <v>2479.8118912590398</v>
      </c>
      <c r="CQ27" s="783">
        <f t="shared" si="26"/>
        <v>10311884.44781884</v>
      </c>
      <c r="CR27" s="783">
        <f t="shared" si="26"/>
        <v>10311884.44781884</v>
      </c>
      <c r="CS27" s="79">
        <f t="shared" si="26"/>
        <v>10311884.44781884</v>
      </c>
      <c r="CT27" s="79">
        <f t="shared" si="26"/>
        <v>11232861.740237016</v>
      </c>
      <c r="CU27" s="79">
        <f t="shared" si="26"/>
        <v>11232861.740237016</v>
      </c>
      <c r="CV27" s="79">
        <f t="shared" si="26"/>
        <v>11232861.740237016</v>
      </c>
      <c r="CW27" s="79">
        <f t="shared" si="26"/>
        <v>11232861.740237016</v>
      </c>
      <c r="CX27" s="80">
        <f t="shared" si="26"/>
        <v>11232861.740237016</v>
      </c>
      <c r="CY27" s="391" t="s">
        <v>471</v>
      </c>
    </row>
    <row r="28" spans="1:103" x14ac:dyDescent="0.25">
      <c r="A28" s="81" t="s">
        <v>68</v>
      </c>
      <c r="B28" s="82" t="s">
        <v>69</v>
      </c>
      <c r="C28" s="83" t="s">
        <v>70</v>
      </c>
      <c r="D28" s="84">
        <v>2676502.275240628</v>
      </c>
      <c r="E28" s="85">
        <v>4037222.599563513</v>
      </c>
      <c r="F28" s="85">
        <v>6694381.8236846151</v>
      </c>
      <c r="G28" s="85">
        <v>3286999.7138919961</v>
      </c>
      <c r="H28" s="85">
        <v>6545091.4228600282</v>
      </c>
      <c r="I28" s="85">
        <v>9881566.1177847628</v>
      </c>
      <c r="J28" s="85">
        <v>13636832.206527431</v>
      </c>
      <c r="K28" s="85">
        <v>16985392.431299284</v>
      </c>
      <c r="L28" s="85">
        <v>16030398.840255706</v>
      </c>
      <c r="M28" s="654">
        <f>'2022-23 Input'!F28</f>
        <v>18886384.876149479</v>
      </c>
      <c r="N28" s="1065">
        <v>18773922.959685598</v>
      </c>
      <c r="O28" s="560">
        <f t="shared" si="27"/>
        <v>3601116.8995932834</v>
      </c>
      <c r="P28" s="561">
        <f t="shared" si="0"/>
        <v>5351059.6758002657</v>
      </c>
      <c r="Q28" s="561">
        <f t="shared" si="1"/>
        <v>8783067.4302041847</v>
      </c>
      <c r="R28" s="561">
        <f t="shared" si="2"/>
        <v>4230752.3883713484</v>
      </c>
      <c r="S28" s="561">
        <f t="shared" si="3"/>
        <v>8252828.81144905</v>
      </c>
      <c r="T28" s="561">
        <f t="shared" si="4"/>
        <v>12264488.933679571</v>
      </c>
      <c r="U28" s="561">
        <f t="shared" si="5"/>
        <v>16984510.514108211</v>
      </c>
      <c r="V28" s="561">
        <f t="shared" si="6"/>
        <v>20371579.707212128</v>
      </c>
      <c r="W28" s="675">
        <f t="shared" si="7"/>
        <v>18113184.221051726</v>
      </c>
      <c r="X28" s="675">
        <f t="shared" si="8"/>
        <v>20084932.350921664</v>
      </c>
      <c r="Y28" s="675">
        <f t="shared" si="8"/>
        <v>19290177.291873328</v>
      </c>
      <c r="Z28" s="86">
        <v>2589</v>
      </c>
      <c r="AA28" s="87">
        <v>3354</v>
      </c>
      <c r="AB28" s="87">
        <v>3909</v>
      </c>
      <c r="AC28" s="87">
        <v>2297</v>
      </c>
      <c r="AD28" s="87">
        <v>3923</v>
      </c>
      <c r="AE28" s="87">
        <v>4687</v>
      </c>
      <c r="AF28" s="87">
        <v>5982</v>
      </c>
      <c r="AG28" s="87">
        <v>6547</v>
      </c>
      <c r="AH28" s="87">
        <v>6422</v>
      </c>
      <c r="AI28" s="1094">
        <f>'2022-23 Input'!M28</f>
        <v>6020</v>
      </c>
      <c r="AJ28" s="665">
        <v>5322</v>
      </c>
      <c r="AK28" s="88">
        <f t="shared" si="9"/>
        <v>5931.6</v>
      </c>
      <c r="AL28" s="89">
        <f t="shared" si="10"/>
        <v>6329.666666666667</v>
      </c>
      <c r="AM28" s="90">
        <f t="shared" si="11"/>
        <v>6020</v>
      </c>
      <c r="AN28" s="91">
        <f t="shared" si="12"/>
        <v>1033.7977115645531</v>
      </c>
      <c r="AO28" s="92">
        <f t="shared" si="13"/>
        <v>1203.7038162085607</v>
      </c>
      <c r="AP28" s="92">
        <f t="shared" si="14"/>
        <v>1712.5561073636775</v>
      </c>
      <c r="AQ28" s="92">
        <f t="shared" si="15"/>
        <v>1430.99682798955</v>
      </c>
      <c r="AR28" s="92">
        <f t="shared" si="16"/>
        <v>1668.3893507162957</v>
      </c>
      <c r="AS28" s="92">
        <f t="shared" si="17"/>
        <v>2108.2923229752</v>
      </c>
      <c r="AT28" s="92">
        <f t="shared" si="18"/>
        <v>2279.6443006565414</v>
      </c>
      <c r="AU28" s="92">
        <f t="shared" si="19"/>
        <v>2594.3779488772389</v>
      </c>
      <c r="AV28" s="92">
        <f t="shared" si="45"/>
        <v>2496.1692370376372</v>
      </c>
      <c r="AW28" s="92">
        <f t="shared" si="45"/>
        <v>3137.2732352407775</v>
      </c>
      <c r="AX28" s="92">
        <f t="shared" si="45"/>
        <v>3527.6067192193909</v>
      </c>
      <c r="AY28" s="93">
        <f t="shared" si="21"/>
        <v>2543.009456875604</v>
      </c>
      <c r="AZ28" s="94">
        <f t="shared" si="22"/>
        <v>2733.2759043501219</v>
      </c>
      <c r="BA28" s="95">
        <f t="shared" si="23"/>
        <v>3137.2732352407775</v>
      </c>
      <c r="BB28" s="248" t="s">
        <v>422</v>
      </c>
      <c r="BC28" s="229" t="s">
        <v>433</v>
      </c>
      <c r="BD28" s="249">
        <v>8.9312219999999998E-2</v>
      </c>
      <c r="BE28" s="267">
        <f t="shared" si="28"/>
        <v>0</v>
      </c>
      <c r="BF28" s="268">
        <f t="shared" ref="BF28:BL28" si="51">IF(BF$6=$BB28,1,
IF(BE28&lt;&gt;0,BE28+1,0
))</f>
        <v>0</v>
      </c>
      <c r="BG28" s="268">
        <f t="shared" si="51"/>
        <v>0</v>
      </c>
      <c r="BH28" s="268">
        <f t="shared" si="51"/>
        <v>1</v>
      </c>
      <c r="BI28" s="268">
        <f t="shared" si="51"/>
        <v>2</v>
      </c>
      <c r="BJ28" s="268">
        <f t="shared" si="51"/>
        <v>3</v>
      </c>
      <c r="BK28" s="268">
        <f t="shared" si="51"/>
        <v>4</v>
      </c>
      <c r="BL28" s="269">
        <f t="shared" si="51"/>
        <v>5</v>
      </c>
      <c r="BM28" s="256">
        <f>IF($BC28=Lookup!$A$2,$BD28*ROUNDUP(BE28/10,0)+1,
IF($BC28=Lookup!$A$3,($BD28+1)^BD28,
IF($BC28=Lookup!$A$4,BE28*$BD28+1,"Error")))</f>
        <v>1</v>
      </c>
      <c r="BN28" s="229">
        <f>IF($BC28=Lookup!$A$2,$BD28*ROUNDUP(BF28/10,0)+1,
IF($BC28=Lookup!$A$3,($BD28+1)^BE28,
IF($BC28=Lookup!$A$4,BF28*$BD28+1,"Error")))</f>
        <v>1</v>
      </c>
      <c r="BO28" s="229">
        <f>IF($BC28=Lookup!$A$2,$BD28*ROUNDUP(BG28/10,0)+1,
IF($BC28=Lookup!$A$3,($BD28+1)^BF28,
IF($BC28=Lookup!$A$4,BG28*$BD28+1,"Error")))</f>
        <v>1</v>
      </c>
      <c r="BP28" s="229">
        <f>IF($BC28=Lookup!$A$2,$BD28*ROUNDUP(BH28/10,0)+1,
IF($BC28=Lookup!$A$3,($BD28+1)^BG28,
IF($BC28=Lookup!$A$4,BH28*$BD28+1,"Error")))</f>
        <v>1.0893122200000001</v>
      </c>
      <c r="BQ28" s="229">
        <f>IF($BC28=Lookup!$A$2,$BD28*ROUNDUP(BI28/10,0)+1,
IF($BC28=Lookup!$A$3,($BD28+1)^BH28,
IF($BC28=Lookup!$A$4,BI28*$BD28+1,"Error")))</f>
        <v>1.0893122200000001</v>
      </c>
      <c r="BR28" s="229">
        <f>IF($BC28=Lookup!$A$2,$BD28*ROUNDUP(BJ28/10,0)+1,
IF($BC28=Lookup!$A$3,($BD28+1)^BI28,
IF($BC28=Lookup!$A$4,BJ28*$BD28+1,"Error")))</f>
        <v>1.0893122200000001</v>
      </c>
      <c r="BS28" s="229">
        <f>IF($BC28=Lookup!$A$2,$BD28*ROUNDUP(BK28/10,0)+1,
IF($BC28=Lookup!$A$3,($BD28+1)^BJ28,
IF($BC28=Lookup!$A$4,BK28*$BD28+1,"Error")))</f>
        <v>1.0893122200000001</v>
      </c>
      <c r="BT28" s="249">
        <f>IF($BC28=Lookup!$A$2,$BD28*ROUNDUP(BL28/10,0)+1,
IF($BC28=Lookup!$A$3,($BD28+1)^BK28,
IF($BC28=Lookup!$A$4,BL28*$BD28+1,"Error")))</f>
        <v>1.0893122200000001</v>
      </c>
      <c r="BU28" s="320"/>
      <c r="BV28" s="321"/>
      <c r="BW28" s="321"/>
      <c r="BX28" s="321"/>
      <c r="BY28" s="321"/>
      <c r="BZ28" s="321"/>
      <c r="CA28" s="321"/>
      <c r="CB28" s="277"/>
      <c r="CC28" s="382" t="s">
        <v>293</v>
      </c>
      <c r="CD28" s="383">
        <f>HLOOKUP($CC28,$AK$6:$AM$132,ROWS(CD$6:CD28),0)</f>
        <v>6329.666666666667</v>
      </c>
      <c r="CE28" s="234">
        <f t="shared" si="30"/>
        <v>6329.666666666667</v>
      </c>
      <c r="CF28" s="96">
        <f t="shared" si="25"/>
        <v>6329.666666666667</v>
      </c>
      <c r="CG28" s="96">
        <f t="shared" si="25"/>
        <v>6329.666666666667</v>
      </c>
      <c r="CH28" s="96">
        <f t="shared" si="25"/>
        <v>6894.983248526667</v>
      </c>
      <c r="CI28" s="96">
        <f t="shared" si="25"/>
        <v>6894.983248526667</v>
      </c>
      <c r="CJ28" s="96">
        <f t="shared" si="25"/>
        <v>6894.983248526667</v>
      </c>
      <c r="CK28" s="96">
        <f t="shared" si="25"/>
        <v>6894.983248526667</v>
      </c>
      <c r="CL28" s="286">
        <f>IFERROR(IF(CB28&lt;&gt;"",CB28,BT28*$CD28),"")</f>
        <v>6894.983248526667</v>
      </c>
      <c r="CM28" s="305" t="s">
        <v>293</v>
      </c>
      <c r="CN28" s="315">
        <v>0</v>
      </c>
      <c r="CO28" s="306"/>
      <c r="CP28" s="307">
        <f>IF($CO28&lt;&gt;"",$CO28,HLOOKUP($CM28,$AY$6:$BA$132,ROWS(CP$6:CP28),0))</f>
        <v>2733.2759043501219</v>
      </c>
      <c r="CQ28" s="784">
        <f t="shared" si="26"/>
        <v>17300725.382568154</v>
      </c>
      <c r="CR28" s="784">
        <f t="shared" si="26"/>
        <v>17300725.382568154</v>
      </c>
      <c r="CS28" s="97">
        <f t="shared" si="26"/>
        <v>17300725.382568154</v>
      </c>
      <c r="CT28" s="97">
        <f t="shared" si="26"/>
        <v>18845891.574095666</v>
      </c>
      <c r="CU28" s="97">
        <f t="shared" si="26"/>
        <v>18845891.574095666</v>
      </c>
      <c r="CV28" s="97">
        <f t="shared" si="26"/>
        <v>18845891.574095666</v>
      </c>
      <c r="CW28" s="97">
        <f t="shared" si="26"/>
        <v>18845891.574095666</v>
      </c>
      <c r="CX28" s="98">
        <f t="shared" si="26"/>
        <v>18845891.574095666</v>
      </c>
      <c r="CY28" s="392" t="s">
        <v>472</v>
      </c>
    </row>
    <row r="29" spans="1:103" x14ac:dyDescent="0.25">
      <c r="A29" s="81" t="s">
        <v>68</v>
      </c>
      <c r="B29" s="82" t="s">
        <v>71</v>
      </c>
      <c r="C29" s="83" t="s">
        <v>306</v>
      </c>
      <c r="D29" s="84">
        <v>2003168.8994076659</v>
      </c>
      <c r="E29" s="85">
        <v>2534121.9260857417</v>
      </c>
      <c r="F29" s="85">
        <v>4635478.2211102555</v>
      </c>
      <c r="G29" s="85">
        <v>3591584.5816715877</v>
      </c>
      <c r="H29" s="85">
        <v>6290344.1250614775</v>
      </c>
      <c r="I29" s="85">
        <v>2855841.8806954552</v>
      </c>
      <c r="J29" s="85">
        <v>10960267.032614376</v>
      </c>
      <c r="K29" s="85">
        <v>11282998.990808031</v>
      </c>
      <c r="L29" s="85">
        <v>11472193.431215312</v>
      </c>
      <c r="M29" s="654">
        <f>'2022-23 Input'!F29</f>
        <v>15381854.910585808</v>
      </c>
      <c r="N29" s="1065">
        <v>18326565.884911928</v>
      </c>
      <c r="O29" s="560">
        <f t="shared" si="27"/>
        <v>2695176.2541461275</v>
      </c>
      <c r="P29" s="561">
        <f t="shared" si="0"/>
        <v>3358803.5630497038</v>
      </c>
      <c r="Q29" s="561">
        <f t="shared" si="1"/>
        <v>6081774.0695951693</v>
      </c>
      <c r="R29" s="561">
        <f t="shared" si="2"/>
        <v>4622788.6734291511</v>
      </c>
      <c r="S29" s="561">
        <f t="shared" si="3"/>
        <v>7931613.1548475744</v>
      </c>
      <c r="T29" s="561">
        <f t="shared" si="4"/>
        <v>3544523.2794718193</v>
      </c>
      <c r="U29" s="561">
        <f t="shared" si="5"/>
        <v>13650880.778878199</v>
      </c>
      <c r="V29" s="561">
        <f t="shared" si="6"/>
        <v>13532364.012625724</v>
      </c>
      <c r="W29" s="675">
        <f t="shared" si="7"/>
        <v>12962743.791334629</v>
      </c>
      <c r="X29" s="675">
        <f t="shared" si="8"/>
        <v>16358001.668225823</v>
      </c>
      <c r="Y29" s="675">
        <f t="shared" si="8"/>
        <v>18830518.577832114</v>
      </c>
      <c r="Z29" s="86">
        <v>1491</v>
      </c>
      <c r="AA29" s="87">
        <v>1556</v>
      </c>
      <c r="AB29" s="87">
        <v>2347</v>
      </c>
      <c r="AC29" s="87">
        <v>1961</v>
      </c>
      <c r="AD29" s="87">
        <v>3264</v>
      </c>
      <c r="AE29" s="87">
        <v>1638</v>
      </c>
      <c r="AF29" s="87">
        <v>4902</v>
      </c>
      <c r="AG29" s="87">
        <v>4554</v>
      </c>
      <c r="AH29" s="87">
        <v>4504</v>
      </c>
      <c r="AI29" s="1094">
        <f>'2022-23 Input'!M29</f>
        <v>4492</v>
      </c>
      <c r="AJ29" s="665">
        <v>5375</v>
      </c>
      <c r="AK29" s="88">
        <f t="shared" si="9"/>
        <v>4018</v>
      </c>
      <c r="AL29" s="89">
        <f t="shared" si="10"/>
        <v>4516.666666666667</v>
      </c>
      <c r="AM29" s="90">
        <f t="shared" si="11"/>
        <v>4492</v>
      </c>
      <c r="AN29" s="91">
        <f t="shared" si="12"/>
        <v>1343.5069747871669</v>
      </c>
      <c r="AO29" s="92">
        <f t="shared" si="13"/>
        <v>1628.613063037109</v>
      </c>
      <c r="AP29" s="92">
        <f t="shared" si="14"/>
        <v>1975.0652838134877</v>
      </c>
      <c r="AQ29" s="92">
        <f t="shared" si="15"/>
        <v>1831.5066709187086</v>
      </c>
      <c r="AR29" s="92">
        <f t="shared" si="16"/>
        <v>1927.1887638055998</v>
      </c>
      <c r="AS29" s="92">
        <f t="shared" si="17"/>
        <v>1743.493211657787</v>
      </c>
      <c r="AT29" s="92">
        <f t="shared" si="18"/>
        <v>2235.8765876406314</v>
      </c>
      <c r="AU29" s="92">
        <f t="shared" si="19"/>
        <v>2477.6018864312759</v>
      </c>
      <c r="AV29" s="92">
        <f t="shared" si="45"/>
        <v>2547.1122182982485</v>
      </c>
      <c r="AW29" s="92">
        <f t="shared" si="45"/>
        <v>3424.2775847252465</v>
      </c>
      <c r="AX29" s="92">
        <f t="shared" si="45"/>
        <v>3409.5936530068702</v>
      </c>
      <c r="AY29" s="93">
        <f t="shared" si="21"/>
        <v>2586.0207190601777</v>
      </c>
      <c r="AZ29" s="94">
        <f t="shared" si="22"/>
        <v>2814.5422385689408</v>
      </c>
      <c r="BA29" s="95">
        <f t="shared" si="23"/>
        <v>3424.2775847252465</v>
      </c>
      <c r="BB29" s="248" t="s">
        <v>422</v>
      </c>
      <c r="BC29" s="229" t="s">
        <v>433</v>
      </c>
      <c r="BD29" s="249">
        <v>8.9312219999999998E-2</v>
      </c>
      <c r="BE29" s="267">
        <f t="shared" si="28"/>
        <v>0</v>
      </c>
      <c r="BF29" s="268">
        <f t="shared" ref="BF29:BL29" si="52">IF(BF$6=$BB29,1,
IF(BE29&lt;&gt;0,BE29+1,0
))</f>
        <v>0</v>
      </c>
      <c r="BG29" s="268">
        <f t="shared" si="52"/>
        <v>0</v>
      </c>
      <c r="BH29" s="268">
        <f t="shared" si="52"/>
        <v>1</v>
      </c>
      <c r="BI29" s="268">
        <f t="shared" si="52"/>
        <v>2</v>
      </c>
      <c r="BJ29" s="268">
        <f t="shared" si="52"/>
        <v>3</v>
      </c>
      <c r="BK29" s="268">
        <f t="shared" si="52"/>
        <v>4</v>
      </c>
      <c r="BL29" s="269">
        <f t="shared" si="52"/>
        <v>5</v>
      </c>
      <c r="BM29" s="256">
        <f>IF($BC29=Lookup!$A$2,$BD29*ROUNDUP(BE29/10,0)+1,
IF($BC29=Lookup!$A$3,($BD29+1)^BD29,
IF($BC29=Lookup!$A$4,BE29*$BD29+1,"Error")))</f>
        <v>1</v>
      </c>
      <c r="BN29" s="229">
        <f>IF($BC29=Lookup!$A$2,$BD29*ROUNDUP(BF29/10,0)+1,
IF($BC29=Lookup!$A$3,($BD29+1)^BE29,
IF($BC29=Lookup!$A$4,BF29*$BD29+1,"Error")))</f>
        <v>1</v>
      </c>
      <c r="BO29" s="229">
        <f>IF($BC29=Lookup!$A$2,$BD29*ROUNDUP(BG29/10,0)+1,
IF($BC29=Lookup!$A$3,($BD29+1)^BF29,
IF($BC29=Lookup!$A$4,BG29*$BD29+1,"Error")))</f>
        <v>1</v>
      </c>
      <c r="BP29" s="229">
        <f>IF($BC29=Lookup!$A$2,$BD29*ROUNDUP(BH29/10,0)+1,
IF($BC29=Lookup!$A$3,($BD29+1)^BG29,
IF($BC29=Lookup!$A$4,BH29*$BD29+1,"Error")))</f>
        <v>1.0893122200000001</v>
      </c>
      <c r="BQ29" s="229">
        <f>IF($BC29=Lookup!$A$2,$BD29*ROUNDUP(BI29/10,0)+1,
IF($BC29=Lookup!$A$3,($BD29+1)^BH29,
IF($BC29=Lookup!$A$4,BI29*$BD29+1,"Error")))</f>
        <v>1.0893122200000001</v>
      </c>
      <c r="BR29" s="229">
        <f>IF($BC29=Lookup!$A$2,$BD29*ROUNDUP(BJ29/10,0)+1,
IF($BC29=Lookup!$A$3,($BD29+1)^BI29,
IF($BC29=Lookup!$A$4,BJ29*$BD29+1,"Error")))</f>
        <v>1.0893122200000001</v>
      </c>
      <c r="BS29" s="229">
        <f>IF($BC29=Lookup!$A$2,$BD29*ROUNDUP(BK29/10,0)+1,
IF($BC29=Lookup!$A$3,($BD29+1)^BJ29,
IF($BC29=Lookup!$A$4,BK29*$BD29+1,"Error")))</f>
        <v>1.0893122200000001</v>
      </c>
      <c r="BT29" s="249">
        <f>IF($BC29=Lookup!$A$2,$BD29*ROUNDUP(BL29/10,0)+1,
IF($BC29=Lookup!$A$3,($BD29+1)^BK29,
IF($BC29=Lookup!$A$4,BL29*$BD29+1,"Error")))</f>
        <v>1.0893122200000001</v>
      </c>
      <c r="BU29" s="320"/>
      <c r="BV29" s="321"/>
      <c r="BW29" s="321"/>
      <c r="BX29" s="321"/>
      <c r="BY29" s="321"/>
      <c r="BZ29" s="321"/>
      <c r="CA29" s="321"/>
      <c r="CB29" s="277"/>
      <c r="CC29" s="382" t="s">
        <v>293</v>
      </c>
      <c r="CD29" s="383">
        <f>HLOOKUP($CC29,$AK$6:$AM$132,ROWS(CD$6:CD29),0)</f>
        <v>4516.666666666667</v>
      </c>
      <c r="CE29" s="234">
        <f t="shared" si="30"/>
        <v>4516.666666666667</v>
      </c>
      <c r="CF29" s="96">
        <f t="shared" si="25"/>
        <v>4516.666666666667</v>
      </c>
      <c r="CG29" s="96">
        <f t="shared" si="25"/>
        <v>4516.666666666667</v>
      </c>
      <c r="CH29" s="96">
        <f t="shared" si="25"/>
        <v>4920.0601936666671</v>
      </c>
      <c r="CI29" s="96">
        <f t="shared" si="25"/>
        <v>4920.0601936666671</v>
      </c>
      <c r="CJ29" s="96">
        <f t="shared" si="25"/>
        <v>4920.0601936666671</v>
      </c>
      <c r="CK29" s="96">
        <f t="shared" si="25"/>
        <v>4920.0601936666671</v>
      </c>
      <c r="CL29" s="286">
        <f t="shared" si="25"/>
        <v>4920.0601936666671</v>
      </c>
      <c r="CM29" s="305" t="s">
        <v>293</v>
      </c>
      <c r="CN29" s="315">
        <v>0</v>
      </c>
      <c r="CO29" s="306"/>
      <c r="CP29" s="307">
        <f>IF($CO29&lt;&gt;"",$CO29,HLOOKUP($CM29,$AY$6:$BA$132,ROWS(CP$6:CP29),0))</f>
        <v>2814.5422385689408</v>
      </c>
      <c r="CQ29" s="784">
        <f t="shared" si="26"/>
        <v>12712349.110869717</v>
      </c>
      <c r="CR29" s="784">
        <f t="shared" si="26"/>
        <v>12712349.110869717</v>
      </c>
      <c r="CS29" s="97">
        <f t="shared" si="26"/>
        <v>12712349.110869717</v>
      </c>
      <c r="CT29" s="97">
        <f t="shared" si="26"/>
        <v>13847717.231376518</v>
      </c>
      <c r="CU29" s="97">
        <f t="shared" si="26"/>
        <v>13847717.231376518</v>
      </c>
      <c r="CV29" s="97">
        <f t="shared" si="26"/>
        <v>13847717.231376518</v>
      </c>
      <c r="CW29" s="97">
        <f t="shared" si="26"/>
        <v>13847717.231376518</v>
      </c>
      <c r="CX29" s="98">
        <f t="shared" si="26"/>
        <v>13847717.231376518</v>
      </c>
      <c r="CY29" s="392"/>
    </row>
    <row r="30" spans="1:103" x14ac:dyDescent="0.25">
      <c r="A30" s="81" t="s">
        <v>68</v>
      </c>
      <c r="B30" s="82" t="s">
        <v>73</v>
      </c>
      <c r="C30" s="83" t="s">
        <v>307</v>
      </c>
      <c r="D30" s="84">
        <v>879843.08658646489</v>
      </c>
      <c r="E30" s="85">
        <v>1215770.609351451</v>
      </c>
      <c r="F30" s="85">
        <v>2081093.4435122004</v>
      </c>
      <c r="G30" s="85">
        <v>752292.75386592851</v>
      </c>
      <c r="H30" s="85">
        <v>1591839.7770982524</v>
      </c>
      <c r="I30" s="85">
        <v>133480.1248454054</v>
      </c>
      <c r="J30" s="85">
        <v>2133479.8907213388</v>
      </c>
      <c r="K30" s="85">
        <v>4098800.0103957546</v>
      </c>
      <c r="L30" s="85">
        <v>5231687.407042034</v>
      </c>
      <c r="M30" s="654">
        <f>'2022-23 Input'!F30</f>
        <v>5782565.7759411484</v>
      </c>
      <c r="N30" s="1065">
        <v>8462342.2555900179</v>
      </c>
      <c r="O30" s="560">
        <f t="shared" si="27"/>
        <v>1183790.4407579785</v>
      </c>
      <c r="P30" s="561">
        <f t="shared" si="0"/>
        <v>1611419.9606994747</v>
      </c>
      <c r="Q30" s="561">
        <f t="shared" si="1"/>
        <v>2730406.5594607778</v>
      </c>
      <c r="R30" s="561">
        <f t="shared" si="2"/>
        <v>968288.60426159285</v>
      </c>
      <c r="S30" s="561">
        <f t="shared" si="3"/>
        <v>2007180.6987695976</v>
      </c>
      <c r="T30" s="561">
        <f t="shared" si="4"/>
        <v>165668.62929614616</v>
      </c>
      <c r="U30" s="561">
        <f t="shared" si="5"/>
        <v>2657223.5462609986</v>
      </c>
      <c r="V30" s="561">
        <f t="shared" si="6"/>
        <v>4915931.8192633493</v>
      </c>
      <c r="W30" s="675">
        <f t="shared" si="7"/>
        <v>5911426.0808496028</v>
      </c>
      <c r="X30" s="675">
        <f t="shared" si="8"/>
        <v>6149532.7552708285</v>
      </c>
      <c r="Y30" s="675">
        <f t="shared" si="8"/>
        <v>8695043.7990705613</v>
      </c>
      <c r="Z30" s="86">
        <v>1037</v>
      </c>
      <c r="AA30" s="87">
        <v>1100</v>
      </c>
      <c r="AB30" s="87">
        <v>1026</v>
      </c>
      <c r="AC30" s="87">
        <v>712</v>
      </c>
      <c r="AD30" s="87">
        <v>1069</v>
      </c>
      <c r="AE30" s="87">
        <v>13</v>
      </c>
      <c r="AF30" s="87">
        <v>938</v>
      </c>
      <c r="AG30" s="87">
        <v>1082</v>
      </c>
      <c r="AH30" s="87">
        <v>1222</v>
      </c>
      <c r="AI30" s="1094">
        <f>'2022-23 Input'!M30</f>
        <v>1129</v>
      </c>
      <c r="AJ30" s="665">
        <v>1091</v>
      </c>
      <c r="AK30" s="88">
        <f t="shared" si="9"/>
        <v>876.8</v>
      </c>
      <c r="AL30" s="89">
        <f t="shared" si="10"/>
        <v>1144.3333333333333</v>
      </c>
      <c r="AM30" s="90">
        <f t="shared" si="11"/>
        <v>1129</v>
      </c>
      <c r="AN30" s="91">
        <f t="shared" si="12"/>
        <v>848.45042100912724</v>
      </c>
      <c r="AO30" s="92">
        <f t="shared" si="13"/>
        <v>1105.2460085013192</v>
      </c>
      <c r="AP30" s="92">
        <f t="shared" si="14"/>
        <v>2028.3561827604292</v>
      </c>
      <c r="AQ30" s="92">
        <f t="shared" si="15"/>
        <v>1056.5909464409108</v>
      </c>
      <c r="AR30" s="92">
        <f t="shared" si="16"/>
        <v>1489.0924014015459</v>
      </c>
      <c r="AS30" s="92">
        <f t="shared" si="17"/>
        <v>10267.701911185031</v>
      </c>
      <c r="AT30" s="92">
        <f t="shared" si="18"/>
        <v>2274.4988174001478</v>
      </c>
      <c r="AU30" s="92">
        <f t="shared" si="19"/>
        <v>3788.1700650607713</v>
      </c>
      <c r="AV30" s="92">
        <f t="shared" si="45"/>
        <v>4281.2499239296512</v>
      </c>
      <c r="AW30" s="92">
        <f t="shared" si="45"/>
        <v>5121.8474543322836</v>
      </c>
      <c r="AX30" s="92">
        <f t="shared" si="45"/>
        <v>7756.5006925664693</v>
      </c>
      <c r="AY30" s="93">
        <f t="shared" si="21"/>
        <v>3964.4190713835951</v>
      </c>
      <c r="AZ30" s="94">
        <f t="shared" si="22"/>
        <v>4402.2875599705612</v>
      </c>
      <c r="BA30" s="95">
        <f t="shared" si="23"/>
        <v>5121.8474543322836</v>
      </c>
      <c r="BB30" s="248" t="s">
        <v>422</v>
      </c>
      <c r="BC30" s="229" t="s">
        <v>433</v>
      </c>
      <c r="BD30" s="249">
        <v>8.9312219999999998E-2</v>
      </c>
      <c r="BE30" s="267">
        <f t="shared" si="28"/>
        <v>0</v>
      </c>
      <c r="BF30" s="268">
        <f t="shared" ref="BF30:BL30" si="53">IF(BF$6=$BB30,1,
IF(BE30&lt;&gt;0,BE30+1,0
))</f>
        <v>0</v>
      </c>
      <c r="BG30" s="268">
        <f t="shared" si="53"/>
        <v>0</v>
      </c>
      <c r="BH30" s="268">
        <f t="shared" si="53"/>
        <v>1</v>
      </c>
      <c r="BI30" s="268">
        <f t="shared" si="53"/>
        <v>2</v>
      </c>
      <c r="BJ30" s="268">
        <f t="shared" si="53"/>
        <v>3</v>
      </c>
      <c r="BK30" s="268">
        <f t="shared" si="53"/>
        <v>4</v>
      </c>
      <c r="BL30" s="269">
        <f t="shared" si="53"/>
        <v>5</v>
      </c>
      <c r="BM30" s="256">
        <f>IF($BC30=Lookup!$A$2,$BD30*ROUNDUP(BE30/10,0)+1,
IF($BC30=Lookup!$A$3,($BD30+1)^BD30,
IF($BC30=Lookup!$A$4,BE30*$BD30+1,"Error")))</f>
        <v>1</v>
      </c>
      <c r="BN30" s="229">
        <f>IF($BC30=Lookup!$A$2,$BD30*ROUNDUP(BF30/10,0)+1,
IF($BC30=Lookup!$A$3,($BD30+1)^BE30,
IF($BC30=Lookup!$A$4,BF30*$BD30+1,"Error")))</f>
        <v>1</v>
      </c>
      <c r="BO30" s="229">
        <f>IF($BC30=Lookup!$A$2,$BD30*ROUNDUP(BG30/10,0)+1,
IF($BC30=Lookup!$A$3,($BD30+1)^BF30,
IF($BC30=Lookup!$A$4,BG30*$BD30+1,"Error")))</f>
        <v>1</v>
      </c>
      <c r="BP30" s="229">
        <f>IF($BC30=Lookup!$A$2,$BD30*ROUNDUP(BH30/10,0)+1,
IF($BC30=Lookup!$A$3,($BD30+1)^BG30,
IF($BC30=Lookup!$A$4,BH30*$BD30+1,"Error")))</f>
        <v>1.0893122200000001</v>
      </c>
      <c r="BQ30" s="229">
        <f>IF($BC30=Lookup!$A$2,$BD30*ROUNDUP(BI30/10,0)+1,
IF($BC30=Lookup!$A$3,($BD30+1)^BH30,
IF($BC30=Lookup!$A$4,BI30*$BD30+1,"Error")))</f>
        <v>1.0893122200000001</v>
      </c>
      <c r="BR30" s="229">
        <f>IF($BC30=Lookup!$A$2,$BD30*ROUNDUP(BJ30/10,0)+1,
IF($BC30=Lookup!$A$3,($BD30+1)^BI30,
IF($BC30=Lookup!$A$4,BJ30*$BD30+1,"Error")))</f>
        <v>1.0893122200000001</v>
      </c>
      <c r="BS30" s="229">
        <f>IF($BC30=Lookup!$A$2,$BD30*ROUNDUP(BK30/10,0)+1,
IF($BC30=Lookup!$A$3,($BD30+1)^BJ30,
IF($BC30=Lookup!$A$4,BK30*$BD30+1,"Error")))</f>
        <v>1.0893122200000001</v>
      </c>
      <c r="BT30" s="249">
        <f>IF($BC30=Lookup!$A$2,$BD30*ROUNDUP(BL30/10,0)+1,
IF($BC30=Lookup!$A$3,($BD30+1)^BK30,
IF($BC30=Lookup!$A$4,BL30*$BD30+1,"Error")))</f>
        <v>1.0893122200000001</v>
      </c>
      <c r="BU30" s="320"/>
      <c r="BV30" s="321"/>
      <c r="BW30" s="321"/>
      <c r="BX30" s="321"/>
      <c r="BY30" s="321"/>
      <c r="BZ30" s="321"/>
      <c r="CA30" s="321"/>
      <c r="CB30" s="277"/>
      <c r="CC30" s="382" t="s">
        <v>293</v>
      </c>
      <c r="CD30" s="383">
        <f>HLOOKUP($CC30,$AK$6:$AM$132,ROWS(CD$6:CD30),0)</f>
        <v>1144.3333333333333</v>
      </c>
      <c r="CE30" s="234">
        <f t="shared" si="30"/>
        <v>1144.3333333333333</v>
      </c>
      <c r="CF30" s="96">
        <f t="shared" si="25"/>
        <v>1144.3333333333333</v>
      </c>
      <c r="CG30" s="96">
        <f t="shared" si="25"/>
        <v>1144.3333333333333</v>
      </c>
      <c r="CH30" s="96">
        <f t="shared" si="25"/>
        <v>1246.5362837533332</v>
      </c>
      <c r="CI30" s="96">
        <f t="shared" si="25"/>
        <v>1246.5362837533332</v>
      </c>
      <c r="CJ30" s="96">
        <f t="shared" si="25"/>
        <v>1246.5362837533332</v>
      </c>
      <c r="CK30" s="96">
        <f t="shared" si="25"/>
        <v>1246.5362837533332</v>
      </c>
      <c r="CL30" s="286">
        <f t="shared" si="25"/>
        <v>1246.5362837533332</v>
      </c>
      <c r="CM30" s="305" t="s">
        <v>293</v>
      </c>
      <c r="CN30" s="315">
        <v>0</v>
      </c>
      <c r="CO30" s="306"/>
      <c r="CP30" s="307">
        <f>IF($CO30&lt;&gt;"",$CO30,HLOOKUP($CM30,$AY$6:$BA$132,ROWS(CP$6:CP30),0))</f>
        <v>4402.2875599705612</v>
      </c>
      <c r="CQ30" s="784">
        <f t="shared" si="26"/>
        <v>5037684.3977929782</v>
      </c>
      <c r="CR30" s="784">
        <f t="shared" si="26"/>
        <v>5037684.3977929782</v>
      </c>
      <c r="CS30" s="97">
        <f t="shared" si="26"/>
        <v>5037684.3977929782</v>
      </c>
      <c r="CT30" s="97">
        <f t="shared" si="26"/>
        <v>5487611.1750192326</v>
      </c>
      <c r="CU30" s="97">
        <f t="shared" si="26"/>
        <v>5487611.1750192326</v>
      </c>
      <c r="CV30" s="97">
        <f t="shared" si="26"/>
        <v>5487611.1750192326</v>
      </c>
      <c r="CW30" s="97">
        <f t="shared" si="26"/>
        <v>5487611.1750192326</v>
      </c>
      <c r="CX30" s="98">
        <f t="shared" si="26"/>
        <v>5487611.1750192326</v>
      </c>
      <c r="CY30" s="392"/>
    </row>
    <row r="31" spans="1:103" x14ac:dyDescent="0.25">
      <c r="A31" s="81" t="s">
        <v>68</v>
      </c>
      <c r="B31" s="82" t="s">
        <v>75</v>
      </c>
      <c r="C31" s="83" t="s">
        <v>76</v>
      </c>
      <c r="D31" s="84">
        <v>-670.44</v>
      </c>
      <c r="E31" s="85">
        <v>54917.142373754526</v>
      </c>
      <c r="F31" s="85">
        <v>66985.035684686023</v>
      </c>
      <c r="G31" s="85">
        <v>13161.648932735083</v>
      </c>
      <c r="H31" s="85">
        <v>0</v>
      </c>
      <c r="I31" s="85">
        <v>0</v>
      </c>
      <c r="J31" s="85">
        <v>22073.611584293998</v>
      </c>
      <c r="K31" s="85">
        <v>87227.337855171994</v>
      </c>
      <c r="L31" s="85">
        <v>0</v>
      </c>
      <c r="M31" s="654">
        <f>'2022-23 Input'!F31</f>
        <v>315932.54908647679</v>
      </c>
      <c r="N31" s="1065">
        <v>653026.63143416727</v>
      </c>
      <c r="O31" s="560">
        <f t="shared" si="27"/>
        <v>-902.04773464885739</v>
      </c>
      <c r="P31" s="561">
        <f t="shared" si="0"/>
        <v>72788.878695505016</v>
      </c>
      <c r="Q31" s="561">
        <f t="shared" si="1"/>
        <v>87884.751830514695</v>
      </c>
      <c r="R31" s="561">
        <f t="shared" si="2"/>
        <v>16940.578796443366</v>
      </c>
      <c r="S31" s="561">
        <f t="shared" si="3"/>
        <v>0</v>
      </c>
      <c r="T31" s="561">
        <f t="shared" si="4"/>
        <v>0</v>
      </c>
      <c r="U31" s="561">
        <f t="shared" si="5"/>
        <v>27492.417766812981</v>
      </c>
      <c r="V31" s="561">
        <f t="shared" si="6"/>
        <v>104616.87434963968</v>
      </c>
      <c r="W31" s="675">
        <f t="shared" si="7"/>
        <v>0</v>
      </c>
      <c r="X31" s="675">
        <f t="shared" si="8"/>
        <v>335981.92123414087</v>
      </c>
      <c r="Y31" s="675">
        <f t="shared" si="8"/>
        <v>670983.87075147906</v>
      </c>
      <c r="Z31" s="86">
        <v>-1</v>
      </c>
      <c r="AA31" s="87">
        <v>8</v>
      </c>
      <c r="AB31" s="87">
        <v>8</v>
      </c>
      <c r="AC31" s="87">
        <v>2</v>
      </c>
      <c r="AD31" s="87">
        <v>0</v>
      </c>
      <c r="AE31" s="87">
        <v>0</v>
      </c>
      <c r="AF31" s="87">
        <v>13</v>
      </c>
      <c r="AG31" s="87">
        <v>9</v>
      </c>
      <c r="AH31" s="87">
        <v>0</v>
      </c>
      <c r="AI31" s="1094">
        <f>'2022-23 Input'!M31</f>
        <v>49</v>
      </c>
      <c r="AJ31" s="665">
        <v>79</v>
      </c>
      <c r="AK31" s="88">
        <f t="shared" si="9"/>
        <v>14.2</v>
      </c>
      <c r="AL31" s="89">
        <f t="shared" si="10"/>
        <v>19.333333333333332</v>
      </c>
      <c r="AM31" s="90">
        <f t="shared" si="11"/>
        <v>49</v>
      </c>
      <c r="AN31" s="91">
        <f t="shared" si="12"/>
        <v>670.44</v>
      </c>
      <c r="AO31" s="92">
        <f t="shared" si="13"/>
        <v>6864.6427967193158</v>
      </c>
      <c r="AP31" s="92">
        <f t="shared" si="14"/>
        <v>8373.1294605857529</v>
      </c>
      <c r="AQ31" s="92">
        <f t="shared" si="15"/>
        <v>6580.8244663675414</v>
      </c>
      <c r="AR31" s="92" t="str">
        <f t="shared" si="16"/>
        <v/>
      </c>
      <c r="AS31" s="92" t="str">
        <f t="shared" si="17"/>
        <v/>
      </c>
      <c r="AT31" s="92">
        <f t="shared" si="18"/>
        <v>1697.9701218687692</v>
      </c>
      <c r="AU31" s="92">
        <f t="shared" si="19"/>
        <v>9691.9264283524444</v>
      </c>
      <c r="AV31" s="92" t="str">
        <f t="shared" si="45"/>
        <v/>
      </c>
      <c r="AW31" s="92">
        <f t="shared" si="45"/>
        <v>6447.6030425811587</v>
      </c>
      <c r="AX31" s="92">
        <f t="shared" si="45"/>
        <v>8266.1598915717368</v>
      </c>
      <c r="AY31" s="93">
        <f t="shared" si="21"/>
        <v>5989.2042045907438</v>
      </c>
      <c r="AZ31" s="94">
        <f t="shared" si="22"/>
        <v>6951.0325334767031</v>
      </c>
      <c r="BA31" s="95">
        <f t="shared" si="23"/>
        <v>6447.6030425811587</v>
      </c>
      <c r="BB31" s="248" t="s">
        <v>422</v>
      </c>
      <c r="BC31" s="229" t="s">
        <v>433</v>
      </c>
      <c r="BD31" s="249">
        <v>8.9312219999999998E-2</v>
      </c>
      <c r="BE31" s="267">
        <f t="shared" si="28"/>
        <v>0</v>
      </c>
      <c r="BF31" s="268">
        <f t="shared" ref="BF31:BL31" si="54">IF(BF$6=$BB31,1,
IF(BE31&lt;&gt;0,BE31+1,0
))</f>
        <v>0</v>
      </c>
      <c r="BG31" s="268">
        <f t="shared" si="54"/>
        <v>0</v>
      </c>
      <c r="BH31" s="268">
        <f t="shared" si="54"/>
        <v>1</v>
      </c>
      <c r="BI31" s="268">
        <f t="shared" si="54"/>
        <v>2</v>
      </c>
      <c r="BJ31" s="268">
        <f t="shared" si="54"/>
        <v>3</v>
      </c>
      <c r="BK31" s="268">
        <f t="shared" si="54"/>
        <v>4</v>
      </c>
      <c r="BL31" s="269">
        <f t="shared" si="54"/>
        <v>5</v>
      </c>
      <c r="BM31" s="256">
        <f>IF($BC31=Lookup!$A$2,$BD31*ROUNDUP(BE31/10,0)+1,
IF($BC31=Lookup!$A$3,($BD31+1)^BD31,
IF($BC31=Lookup!$A$4,BE31*$BD31+1,"Error")))</f>
        <v>1</v>
      </c>
      <c r="BN31" s="229">
        <f>IF($BC31=Lookup!$A$2,$BD31*ROUNDUP(BF31/10,0)+1,
IF($BC31=Lookup!$A$3,($BD31+1)^BE31,
IF($BC31=Lookup!$A$4,BF31*$BD31+1,"Error")))</f>
        <v>1</v>
      </c>
      <c r="BO31" s="229">
        <f>IF($BC31=Lookup!$A$2,$BD31*ROUNDUP(BG31/10,0)+1,
IF($BC31=Lookup!$A$3,($BD31+1)^BF31,
IF($BC31=Lookup!$A$4,BG31*$BD31+1,"Error")))</f>
        <v>1</v>
      </c>
      <c r="BP31" s="229">
        <f>IF($BC31=Lookup!$A$2,$BD31*ROUNDUP(BH31/10,0)+1,
IF($BC31=Lookup!$A$3,($BD31+1)^BG31,
IF($BC31=Lookup!$A$4,BH31*$BD31+1,"Error")))</f>
        <v>1.0893122200000001</v>
      </c>
      <c r="BQ31" s="229">
        <f>IF($BC31=Lookup!$A$2,$BD31*ROUNDUP(BI31/10,0)+1,
IF($BC31=Lookup!$A$3,($BD31+1)^BH31,
IF($BC31=Lookup!$A$4,BI31*$BD31+1,"Error")))</f>
        <v>1.0893122200000001</v>
      </c>
      <c r="BR31" s="229">
        <f>IF($BC31=Lookup!$A$2,$BD31*ROUNDUP(BJ31/10,0)+1,
IF($BC31=Lookup!$A$3,($BD31+1)^BI31,
IF($BC31=Lookup!$A$4,BJ31*$BD31+1,"Error")))</f>
        <v>1.0893122200000001</v>
      </c>
      <c r="BS31" s="229">
        <f>IF($BC31=Lookup!$A$2,$BD31*ROUNDUP(BK31/10,0)+1,
IF($BC31=Lookup!$A$3,($BD31+1)^BJ31,
IF($BC31=Lookup!$A$4,BK31*$BD31+1,"Error")))</f>
        <v>1.0893122200000001</v>
      </c>
      <c r="BT31" s="249">
        <f>IF($BC31=Lookup!$A$2,$BD31*ROUNDUP(BL31/10,0)+1,
IF($BC31=Lookup!$A$3,($BD31+1)^BK31,
IF($BC31=Lookup!$A$4,BL31*$BD31+1,"Error")))</f>
        <v>1.0893122200000001</v>
      </c>
      <c r="BU31" s="320"/>
      <c r="BV31" s="321"/>
      <c r="BW31" s="321"/>
      <c r="BX31" s="321"/>
      <c r="BY31" s="321"/>
      <c r="BZ31" s="321"/>
      <c r="CA31" s="321"/>
      <c r="CB31" s="277"/>
      <c r="CC31" s="382" t="s">
        <v>293</v>
      </c>
      <c r="CD31" s="383">
        <f>HLOOKUP($CC31,$AK$6:$AM$132,ROWS(CD$6:CD31),0)</f>
        <v>19.333333333333332</v>
      </c>
      <c r="CE31" s="234">
        <f t="shared" si="30"/>
        <v>19.333333333333332</v>
      </c>
      <c r="CF31" s="96">
        <f t="shared" si="25"/>
        <v>19.333333333333332</v>
      </c>
      <c r="CG31" s="96">
        <f t="shared" si="25"/>
        <v>19.333333333333332</v>
      </c>
      <c r="CH31" s="96">
        <f t="shared" si="25"/>
        <v>21.060036253333333</v>
      </c>
      <c r="CI31" s="96">
        <f t="shared" si="25"/>
        <v>21.060036253333333</v>
      </c>
      <c r="CJ31" s="96">
        <f t="shared" si="25"/>
        <v>21.060036253333333</v>
      </c>
      <c r="CK31" s="96">
        <f t="shared" si="25"/>
        <v>21.060036253333333</v>
      </c>
      <c r="CL31" s="286">
        <f t="shared" si="25"/>
        <v>21.060036253333333</v>
      </c>
      <c r="CM31" s="305" t="s">
        <v>293</v>
      </c>
      <c r="CN31" s="315">
        <v>0</v>
      </c>
      <c r="CO31" s="306"/>
      <c r="CP31" s="307">
        <f>IF($CO31&lt;&gt;"",$CO31,HLOOKUP($CM31,$AY$6:$BA$132,ROWS(CP$6:CP31),0))</f>
        <v>6951.0325334767031</v>
      </c>
      <c r="CQ31" s="784">
        <f t="shared" si="26"/>
        <v>134386.62898054958</v>
      </c>
      <c r="CR31" s="784">
        <f t="shared" si="26"/>
        <v>134386.62898054958</v>
      </c>
      <c r="CS31" s="97">
        <f t="shared" si="26"/>
        <v>134386.62898054958</v>
      </c>
      <c r="CT31" s="97">
        <f t="shared" si="26"/>
        <v>146388.99715311881</v>
      </c>
      <c r="CU31" s="97">
        <f t="shared" si="26"/>
        <v>146388.99715311881</v>
      </c>
      <c r="CV31" s="97">
        <f t="shared" si="26"/>
        <v>146388.99715311881</v>
      </c>
      <c r="CW31" s="97">
        <f t="shared" si="26"/>
        <v>146388.99715311881</v>
      </c>
      <c r="CX31" s="98">
        <f t="shared" si="26"/>
        <v>146388.99715311881</v>
      </c>
      <c r="CY31" s="392"/>
    </row>
    <row r="32" spans="1:103" x14ac:dyDescent="0.25">
      <c r="A32" s="81" t="s">
        <v>68</v>
      </c>
      <c r="B32" s="82" t="s">
        <v>77</v>
      </c>
      <c r="C32" s="83" t="s">
        <v>78</v>
      </c>
      <c r="D32" s="84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654">
        <f>'2022-23 Input'!F32</f>
        <v>0</v>
      </c>
      <c r="N32" s="1065">
        <v>0</v>
      </c>
      <c r="O32" s="560">
        <f t="shared" si="27"/>
        <v>0</v>
      </c>
      <c r="P32" s="561">
        <f t="shared" si="0"/>
        <v>0</v>
      </c>
      <c r="Q32" s="561">
        <f t="shared" si="1"/>
        <v>0</v>
      </c>
      <c r="R32" s="561">
        <f t="shared" si="2"/>
        <v>0</v>
      </c>
      <c r="S32" s="561">
        <f t="shared" si="3"/>
        <v>0</v>
      </c>
      <c r="T32" s="561">
        <f t="shared" si="4"/>
        <v>0</v>
      </c>
      <c r="U32" s="561">
        <f t="shared" si="5"/>
        <v>0</v>
      </c>
      <c r="V32" s="561">
        <f t="shared" si="6"/>
        <v>0</v>
      </c>
      <c r="W32" s="675">
        <f t="shared" si="7"/>
        <v>0</v>
      </c>
      <c r="X32" s="675">
        <f t="shared" si="8"/>
        <v>0</v>
      </c>
      <c r="Y32" s="675">
        <f t="shared" si="8"/>
        <v>0</v>
      </c>
      <c r="Z32" s="86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1094">
        <f>'2022-23 Input'!M32</f>
        <v>0</v>
      </c>
      <c r="AJ32" s="665">
        <v>0</v>
      </c>
      <c r="AK32" s="88">
        <f t="shared" si="9"/>
        <v>0</v>
      </c>
      <c r="AL32" s="89">
        <f t="shared" si="10"/>
        <v>0</v>
      </c>
      <c r="AM32" s="90">
        <f t="shared" si="11"/>
        <v>0</v>
      </c>
      <c r="AN32" s="91" t="str">
        <f t="shared" si="12"/>
        <v/>
      </c>
      <c r="AO32" s="92" t="str">
        <f t="shared" si="13"/>
        <v/>
      </c>
      <c r="AP32" s="92" t="str">
        <f t="shared" si="14"/>
        <v/>
      </c>
      <c r="AQ32" s="92" t="str">
        <f t="shared" si="15"/>
        <v/>
      </c>
      <c r="AR32" s="92" t="str">
        <f t="shared" si="16"/>
        <v/>
      </c>
      <c r="AS32" s="92" t="str">
        <f t="shared" si="17"/>
        <v/>
      </c>
      <c r="AT32" s="92" t="str">
        <f t="shared" si="18"/>
        <v/>
      </c>
      <c r="AU32" s="92" t="str">
        <f t="shared" si="19"/>
        <v/>
      </c>
      <c r="AV32" s="92" t="str">
        <f t="shared" si="45"/>
        <v/>
      </c>
      <c r="AW32" s="92" t="str">
        <f t="shared" si="45"/>
        <v/>
      </c>
      <c r="AX32" s="92" t="str">
        <f t="shared" si="45"/>
        <v/>
      </c>
      <c r="AY32" s="93" t="str">
        <f t="shared" si="21"/>
        <v/>
      </c>
      <c r="AZ32" s="94" t="str">
        <f t="shared" si="22"/>
        <v/>
      </c>
      <c r="BA32" s="95" t="str">
        <f t="shared" si="23"/>
        <v/>
      </c>
      <c r="BB32" s="248" t="s">
        <v>422</v>
      </c>
      <c r="BC32" s="229" t="s">
        <v>433</v>
      </c>
      <c r="BD32" s="249">
        <v>8.9312219999999998E-2</v>
      </c>
      <c r="BE32" s="267">
        <f t="shared" si="28"/>
        <v>0</v>
      </c>
      <c r="BF32" s="268">
        <f t="shared" ref="BF32:BL32" si="55">IF(BF$6=$BB32,1,
IF(BE32&lt;&gt;0,BE32+1,0
))</f>
        <v>0</v>
      </c>
      <c r="BG32" s="268">
        <f t="shared" si="55"/>
        <v>0</v>
      </c>
      <c r="BH32" s="268">
        <f t="shared" si="55"/>
        <v>1</v>
      </c>
      <c r="BI32" s="268">
        <f t="shared" si="55"/>
        <v>2</v>
      </c>
      <c r="BJ32" s="268">
        <f t="shared" si="55"/>
        <v>3</v>
      </c>
      <c r="BK32" s="268">
        <f t="shared" si="55"/>
        <v>4</v>
      </c>
      <c r="BL32" s="269">
        <f t="shared" si="55"/>
        <v>5</v>
      </c>
      <c r="BM32" s="256">
        <f>IF($BC32=Lookup!$A$2,$BD32*ROUNDUP(BE32/10,0)+1,
IF($BC32=Lookup!$A$3,($BD32+1)^BD32,
IF($BC32=Lookup!$A$4,BE32*$BD32+1,"Error")))</f>
        <v>1</v>
      </c>
      <c r="BN32" s="229">
        <f>IF($BC32=Lookup!$A$2,$BD32*ROUNDUP(BF32/10,0)+1,
IF($BC32=Lookup!$A$3,($BD32+1)^BE32,
IF($BC32=Lookup!$A$4,BF32*$BD32+1,"Error")))</f>
        <v>1</v>
      </c>
      <c r="BO32" s="229">
        <f>IF($BC32=Lookup!$A$2,$BD32*ROUNDUP(BG32/10,0)+1,
IF($BC32=Lookup!$A$3,($BD32+1)^BF32,
IF($BC32=Lookup!$A$4,BG32*$BD32+1,"Error")))</f>
        <v>1</v>
      </c>
      <c r="BP32" s="229">
        <f>IF($BC32=Lookup!$A$2,$BD32*ROUNDUP(BH32/10,0)+1,
IF($BC32=Lookup!$A$3,($BD32+1)^BG32,
IF($BC32=Lookup!$A$4,BH32*$BD32+1,"Error")))</f>
        <v>1.0893122200000001</v>
      </c>
      <c r="BQ32" s="229">
        <f>IF($BC32=Lookup!$A$2,$BD32*ROUNDUP(BI32/10,0)+1,
IF($BC32=Lookup!$A$3,($BD32+1)^BH32,
IF($BC32=Lookup!$A$4,BI32*$BD32+1,"Error")))</f>
        <v>1.0893122200000001</v>
      </c>
      <c r="BR32" s="229">
        <f>IF($BC32=Lookup!$A$2,$BD32*ROUNDUP(BJ32/10,0)+1,
IF($BC32=Lookup!$A$3,($BD32+1)^BI32,
IF($BC32=Lookup!$A$4,BJ32*$BD32+1,"Error")))</f>
        <v>1.0893122200000001</v>
      </c>
      <c r="BS32" s="229">
        <f>IF($BC32=Lookup!$A$2,$BD32*ROUNDUP(BK32/10,0)+1,
IF($BC32=Lookup!$A$3,($BD32+1)^BJ32,
IF($BC32=Lookup!$A$4,BK32*$BD32+1,"Error")))</f>
        <v>1.0893122200000001</v>
      </c>
      <c r="BT32" s="249">
        <f>IF($BC32=Lookup!$A$2,$BD32*ROUNDUP(BL32/10,0)+1,
IF($BC32=Lookup!$A$3,($BD32+1)^BK32,
IF($BC32=Lookup!$A$4,BL32*$BD32+1,"Error")))</f>
        <v>1.0893122200000001</v>
      </c>
      <c r="BU32" s="320"/>
      <c r="BV32" s="321"/>
      <c r="BW32" s="321"/>
      <c r="BX32" s="321"/>
      <c r="BY32" s="321"/>
      <c r="BZ32" s="321"/>
      <c r="CA32" s="321"/>
      <c r="CB32" s="277"/>
      <c r="CC32" s="382" t="s">
        <v>293</v>
      </c>
      <c r="CD32" s="383">
        <f>HLOOKUP($CC32,$AK$6:$AM$132,ROWS(CD$6:CD32),0)</f>
        <v>0</v>
      </c>
      <c r="CE32" s="234">
        <f t="shared" si="30"/>
        <v>0</v>
      </c>
      <c r="CF32" s="96">
        <f t="shared" si="25"/>
        <v>0</v>
      </c>
      <c r="CG32" s="96">
        <f t="shared" si="25"/>
        <v>0</v>
      </c>
      <c r="CH32" s="96">
        <f t="shared" si="25"/>
        <v>0</v>
      </c>
      <c r="CI32" s="96">
        <f t="shared" si="25"/>
        <v>0</v>
      </c>
      <c r="CJ32" s="96">
        <f t="shared" si="25"/>
        <v>0</v>
      </c>
      <c r="CK32" s="96">
        <f t="shared" si="25"/>
        <v>0</v>
      </c>
      <c r="CL32" s="286">
        <f t="shared" si="25"/>
        <v>0</v>
      </c>
      <c r="CM32" s="305" t="s">
        <v>293</v>
      </c>
      <c r="CN32" s="315">
        <v>0</v>
      </c>
      <c r="CO32" s="306"/>
      <c r="CP32" s="307" t="str">
        <f>IF($CO32&lt;&gt;"",$CO32,HLOOKUP($CM32,$AY$6:$BA$132,ROWS(CP$6:CP32),0))</f>
        <v/>
      </c>
      <c r="CQ32" s="784" t="str">
        <f t="shared" si="26"/>
        <v/>
      </c>
      <c r="CR32" s="784" t="str">
        <f t="shared" si="26"/>
        <v/>
      </c>
      <c r="CS32" s="97" t="str">
        <f t="shared" si="26"/>
        <v/>
      </c>
      <c r="CT32" s="97" t="str">
        <f t="shared" si="26"/>
        <v/>
      </c>
      <c r="CU32" s="97" t="str">
        <f t="shared" si="26"/>
        <v/>
      </c>
      <c r="CV32" s="97" t="str">
        <f t="shared" si="26"/>
        <v/>
      </c>
      <c r="CW32" s="97" t="str">
        <f t="shared" si="26"/>
        <v/>
      </c>
      <c r="CX32" s="98" t="str">
        <f t="shared" si="26"/>
        <v/>
      </c>
      <c r="CY32" s="392"/>
    </row>
    <row r="33" spans="1:105" ht="15.75" thickBot="1" x14ac:dyDescent="0.3">
      <c r="A33" s="100" t="s">
        <v>68</v>
      </c>
      <c r="B33" s="101" t="s">
        <v>308</v>
      </c>
      <c r="C33" s="102" t="s">
        <v>309</v>
      </c>
      <c r="D33" s="103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0</v>
      </c>
      <c r="K33" s="104">
        <v>0</v>
      </c>
      <c r="L33" s="104">
        <v>0</v>
      </c>
      <c r="M33" s="655">
        <f>'2022-23 Input'!F33</f>
        <v>0</v>
      </c>
      <c r="N33" s="1066">
        <v>0</v>
      </c>
      <c r="O33" s="563">
        <f t="shared" si="27"/>
        <v>0</v>
      </c>
      <c r="P33" s="564">
        <f t="shared" si="0"/>
        <v>0</v>
      </c>
      <c r="Q33" s="564">
        <f t="shared" si="1"/>
        <v>0</v>
      </c>
      <c r="R33" s="564">
        <f t="shared" si="2"/>
        <v>0</v>
      </c>
      <c r="S33" s="564">
        <f t="shared" si="3"/>
        <v>0</v>
      </c>
      <c r="T33" s="564">
        <f t="shared" si="4"/>
        <v>0</v>
      </c>
      <c r="U33" s="564">
        <f t="shared" si="5"/>
        <v>0</v>
      </c>
      <c r="V33" s="564">
        <f t="shared" si="6"/>
        <v>0</v>
      </c>
      <c r="W33" s="676">
        <f t="shared" si="7"/>
        <v>0</v>
      </c>
      <c r="X33" s="676">
        <f t="shared" si="8"/>
        <v>0</v>
      </c>
      <c r="Y33" s="676">
        <f t="shared" si="8"/>
        <v>0</v>
      </c>
      <c r="Z33" s="105">
        <v>0</v>
      </c>
      <c r="AA33" s="106">
        <v>0</v>
      </c>
      <c r="AB33" s="106">
        <v>0</v>
      </c>
      <c r="AC33" s="106">
        <v>0</v>
      </c>
      <c r="AD33" s="106">
        <v>0</v>
      </c>
      <c r="AE33" s="106">
        <v>0</v>
      </c>
      <c r="AF33" s="106">
        <v>0</v>
      </c>
      <c r="AG33" s="106">
        <v>0</v>
      </c>
      <c r="AH33" s="106">
        <v>0</v>
      </c>
      <c r="AI33" s="1095">
        <f>'2022-23 Input'!M33</f>
        <v>0</v>
      </c>
      <c r="AJ33" s="666">
        <v>0</v>
      </c>
      <c r="AK33" s="107">
        <f t="shared" si="9"/>
        <v>0</v>
      </c>
      <c r="AL33" s="108">
        <f t="shared" si="10"/>
        <v>0</v>
      </c>
      <c r="AM33" s="109">
        <f t="shared" si="11"/>
        <v>0</v>
      </c>
      <c r="AN33" s="110" t="str">
        <f t="shared" si="12"/>
        <v/>
      </c>
      <c r="AO33" s="111" t="str">
        <f t="shared" si="13"/>
        <v/>
      </c>
      <c r="AP33" s="111" t="str">
        <f t="shared" si="14"/>
        <v/>
      </c>
      <c r="AQ33" s="111" t="str">
        <f t="shared" si="15"/>
        <v/>
      </c>
      <c r="AR33" s="111" t="str">
        <f t="shared" si="16"/>
        <v/>
      </c>
      <c r="AS33" s="111" t="str">
        <f t="shared" si="17"/>
        <v/>
      </c>
      <c r="AT33" s="111" t="str">
        <f t="shared" si="18"/>
        <v/>
      </c>
      <c r="AU33" s="111" t="str">
        <f t="shared" si="19"/>
        <v/>
      </c>
      <c r="AV33" s="111" t="str">
        <f t="shared" si="45"/>
        <v/>
      </c>
      <c r="AW33" s="111" t="str">
        <f t="shared" si="45"/>
        <v/>
      </c>
      <c r="AX33" s="111" t="str">
        <f t="shared" si="45"/>
        <v/>
      </c>
      <c r="AY33" s="112" t="str">
        <f t="shared" si="21"/>
        <v/>
      </c>
      <c r="AZ33" s="113" t="str">
        <f t="shared" si="22"/>
        <v/>
      </c>
      <c r="BA33" s="114" t="str">
        <f t="shared" si="23"/>
        <v/>
      </c>
      <c r="BB33" s="250" t="s">
        <v>422</v>
      </c>
      <c r="BC33" s="230" t="s">
        <v>433</v>
      </c>
      <c r="BD33" s="251">
        <v>8.9312219999999998E-2</v>
      </c>
      <c r="BE33" s="270">
        <f t="shared" si="28"/>
        <v>0</v>
      </c>
      <c r="BF33" s="271">
        <f t="shared" ref="BF33:BL33" si="56">IF(BF$6=$BB33,1,
IF(BE33&lt;&gt;0,BE33+1,0
))</f>
        <v>0</v>
      </c>
      <c r="BG33" s="271">
        <f t="shared" si="56"/>
        <v>0</v>
      </c>
      <c r="BH33" s="271">
        <f t="shared" si="56"/>
        <v>1</v>
      </c>
      <c r="BI33" s="271">
        <f t="shared" si="56"/>
        <v>2</v>
      </c>
      <c r="BJ33" s="271">
        <f t="shared" si="56"/>
        <v>3</v>
      </c>
      <c r="BK33" s="271">
        <f t="shared" si="56"/>
        <v>4</v>
      </c>
      <c r="BL33" s="272">
        <f t="shared" si="56"/>
        <v>5</v>
      </c>
      <c r="BM33" s="257">
        <f>IF($BC33=Lookup!$A$2,$BD33*ROUNDUP(BE33/10,0)+1,
IF($BC33=Lookup!$A$3,($BD33+1)^BD33,
IF($BC33=Lookup!$A$4,BE33*$BD33+1,"Error")))</f>
        <v>1</v>
      </c>
      <c r="BN33" s="230">
        <f>IF($BC33=Lookup!$A$2,$BD33*ROUNDUP(BF33/10,0)+1,
IF($BC33=Lookup!$A$3,($BD33+1)^BE33,
IF($BC33=Lookup!$A$4,BF33*$BD33+1,"Error")))</f>
        <v>1</v>
      </c>
      <c r="BO33" s="230">
        <f>IF($BC33=Lookup!$A$2,$BD33*ROUNDUP(BG33/10,0)+1,
IF($BC33=Lookup!$A$3,($BD33+1)^BF33,
IF($BC33=Lookup!$A$4,BG33*$BD33+1,"Error")))</f>
        <v>1</v>
      </c>
      <c r="BP33" s="230">
        <f>IF($BC33=Lookup!$A$2,$BD33*ROUNDUP(BH33/10,0)+1,
IF($BC33=Lookup!$A$3,($BD33+1)^BG33,
IF($BC33=Lookup!$A$4,BH33*$BD33+1,"Error")))</f>
        <v>1.0893122200000001</v>
      </c>
      <c r="BQ33" s="230">
        <f>IF($BC33=Lookup!$A$2,$BD33*ROUNDUP(BI33/10,0)+1,
IF($BC33=Lookup!$A$3,($BD33+1)^BH33,
IF($BC33=Lookup!$A$4,BI33*$BD33+1,"Error")))</f>
        <v>1.0893122200000001</v>
      </c>
      <c r="BR33" s="230">
        <f>IF($BC33=Lookup!$A$2,$BD33*ROUNDUP(BJ33/10,0)+1,
IF($BC33=Lookup!$A$3,($BD33+1)^BI33,
IF($BC33=Lookup!$A$4,BJ33*$BD33+1,"Error")))</f>
        <v>1.0893122200000001</v>
      </c>
      <c r="BS33" s="230">
        <f>IF($BC33=Lookup!$A$2,$BD33*ROUNDUP(BK33/10,0)+1,
IF($BC33=Lookup!$A$3,($BD33+1)^BJ33,
IF($BC33=Lookup!$A$4,BK33*$BD33+1,"Error")))</f>
        <v>1.0893122200000001</v>
      </c>
      <c r="BT33" s="251">
        <f>IF($BC33=Lookup!$A$2,$BD33*ROUNDUP(BL33/10,0)+1,
IF($BC33=Lookup!$A$3,($BD33+1)^BK33,
IF($BC33=Lookup!$A$4,BL33*$BD33+1,"Error")))</f>
        <v>1.0893122200000001</v>
      </c>
      <c r="BU33" s="322"/>
      <c r="BV33" s="323"/>
      <c r="BW33" s="323"/>
      <c r="BX33" s="323"/>
      <c r="BY33" s="323"/>
      <c r="BZ33" s="323"/>
      <c r="CA33" s="323"/>
      <c r="CB33" s="278"/>
      <c r="CC33" s="384" t="s">
        <v>293</v>
      </c>
      <c r="CD33" s="385">
        <f>HLOOKUP($CC33,$AK$6:$AM$132,ROWS(CD$6:CD33),0)</f>
        <v>0</v>
      </c>
      <c r="CE33" s="235">
        <f t="shared" si="30"/>
        <v>0</v>
      </c>
      <c r="CF33" s="115">
        <f t="shared" si="25"/>
        <v>0</v>
      </c>
      <c r="CG33" s="115">
        <f t="shared" si="25"/>
        <v>0</v>
      </c>
      <c r="CH33" s="115">
        <f t="shared" si="25"/>
        <v>0</v>
      </c>
      <c r="CI33" s="115">
        <f t="shared" si="25"/>
        <v>0</v>
      </c>
      <c r="CJ33" s="115">
        <f t="shared" si="25"/>
        <v>0</v>
      </c>
      <c r="CK33" s="115">
        <f t="shared" si="25"/>
        <v>0</v>
      </c>
      <c r="CL33" s="287">
        <f t="shared" si="25"/>
        <v>0</v>
      </c>
      <c r="CM33" s="308" t="s">
        <v>293</v>
      </c>
      <c r="CN33" s="316">
        <v>0</v>
      </c>
      <c r="CO33" s="309"/>
      <c r="CP33" s="310" t="str">
        <f>IF($CO33&lt;&gt;"",$CO33,HLOOKUP($CM33,$AY$6:$BA$132,ROWS(CP$6:CP33),0))</f>
        <v/>
      </c>
      <c r="CQ33" s="785" t="str">
        <f t="shared" si="26"/>
        <v/>
      </c>
      <c r="CR33" s="785" t="str">
        <f t="shared" si="26"/>
        <v/>
      </c>
      <c r="CS33" s="117" t="str">
        <f t="shared" si="26"/>
        <v/>
      </c>
      <c r="CT33" s="117" t="str">
        <f t="shared" si="26"/>
        <v/>
      </c>
      <c r="CU33" s="117" t="str">
        <f t="shared" si="26"/>
        <v/>
      </c>
      <c r="CV33" s="117" t="str">
        <f t="shared" si="26"/>
        <v/>
      </c>
      <c r="CW33" s="117" t="str">
        <f t="shared" si="26"/>
        <v/>
      </c>
      <c r="CX33" s="118" t="str">
        <f t="shared" si="26"/>
        <v/>
      </c>
      <c r="CY33" s="393"/>
    </row>
    <row r="34" spans="1:105" x14ac:dyDescent="0.25">
      <c r="A34" s="63" t="s">
        <v>81</v>
      </c>
      <c r="B34" s="334" t="s">
        <v>79</v>
      </c>
      <c r="C34" s="65" t="s">
        <v>305</v>
      </c>
      <c r="D34" s="66">
        <v>2731125.3625576077</v>
      </c>
      <c r="E34" s="67">
        <v>2774553.1741467221</v>
      </c>
      <c r="F34" s="67">
        <v>3357347.44829222</v>
      </c>
      <c r="G34" s="67">
        <v>2305734.8269860344</v>
      </c>
      <c r="H34" s="67">
        <v>3360301.8226984758</v>
      </c>
      <c r="I34" s="67">
        <v>7064606.5757048437</v>
      </c>
      <c r="J34" s="67">
        <v>7119522.0599145088</v>
      </c>
      <c r="K34" s="67">
        <v>6697012.6462885309</v>
      </c>
      <c r="L34" s="67">
        <v>7748255.399252492</v>
      </c>
      <c r="M34" s="653">
        <f>'2022-23 Input'!F34</f>
        <v>6749806.9027545126</v>
      </c>
      <c r="N34" s="1064">
        <v>7733256.2278610477</v>
      </c>
      <c r="O34" s="557">
        <f t="shared" si="27"/>
        <v>3674609.8775984864</v>
      </c>
      <c r="P34" s="558">
        <f t="shared" si="0"/>
        <v>3677478.574043782</v>
      </c>
      <c r="Q34" s="558">
        <f t="shared" si="1"/>
        <v>4404859.1493014526</v>
      </c>
      <c r="R34" s="558">
        <f t="shared" si="2"/>
        <v>2967749.9164341856</v>
      </c>
      <c r="S34" s="558">
        <f t="shared" si="3"/>
        <v>4237067.7360855881</v>
      </c>
      <c r="T34" s="558">
        <f t="shared" si="4"/>
        <v>8768224.4024650287</v>
      </c>
      <c r="U34" s="558">
        <f t="shared" si="5"/>
        <v>8867279.1049055196</v>
      </c>
      <c r="V34" s="558">
        <f t="shared" si="6"/>
        <v>8032120.9813601235</v>
      </c>
      <c r="W34" s="674">
        <f t="shared" si="7"/>
        <v>8754964.7913925759</v>
      </c>
      <c r="X34" s="674">
        <f t="shared" si="8"/>
        <v>7178155.8997461302</v>
      </c>
      <c r="Y34" s="674">
        <f t="shared" si="8"/>
        <v>7945909.0142884757</v>
      </c>
      <c r="Z34" s="119">
        <v>10</v>
      </c>
      <c r="AA34" s="120">
        <v>13</v>
      </c>
      <c r="AB34" s="120">
        <v>19</v>
      </c>
      <c r="AC34" s="120">
        <v>25</v>
      </c>
      <c r="AD34" s="120">
        <v>32</v>
      </c>
      <c r="AE34" s="120">
        <v>54.330854808000083</v>
      </c>
      <c r="AF34" s="120">
        <v>58.841500056000022</v>
      </c>
      <c r="AG34" s="120">
        <v>44.090833333332945</v>
      </c>
      <c r="AH34" s="120">
        <v>23.520833561000071</v>
      </c>
      <c r="AI34" s="1096">
        <f>'2022-23 Input'!M34</f>
        <v>32.164999987666569</v>
      </c>
      <c r="AJ34" s="667">
        <v>40.257666822999937</v>
      </c>
      <c r="AK34" s="121">
        <f t="shared" si="9"/>
        <v>42.589804349199937</v>
      </c>
      <c r="AL34" s="122">
        <f t="shared" si="10"/>
        <v>33.258888960666525</v>
      </c>
      <c r="AM34" s="123">
        <f t="shared" si="11"/>
        <v>32.164999987666569</v>
      </c>
      <c r="AN34" s="73">
        <f t="shared" si="12"/>
        <v>273112.53625576076</v>
      </c>
      <c r="AO34" s="74">
        <f t="shared" si="13"/>
        <v>213427.16724205556</v>
      </c>
      <c r="AP34" s="74">
        <f t="shared" si="14"/>
        <v>176702.49727853789</v>
      </c>
      <c r="AQ34" s="74">
        <f t="shared" si="15"/>
        <v>92229.393079441375</v>
      </c>
      <c r="AR34" s="74">
        <f t="shared" si="16"/>
        <v>105009.43195932737</v>
      </c>
      <c r="AS34" s="74">
        <f t="shared" si="17"/>
        <v>130029.36546223082</v>
      </c>
      <c r="AT34" s="74">
        <f t="shared" si="18"/>
        <v>120994.91095806177</v>
      </c>
      <c r="AU34" s="74">
        <f t="shared" si="19"/>
        <v>151891.26945408736</v>
      </c>
      <c r="AV34" s="74">
        <f t="shared" si="45"/>
        <v>329420.95266980189</v>
      </c>
      <c r="AW34" s="74">
        <f t="shared" si="45"/>
        <v>209849.42967022155</v>
      </c>
      <c r="AX34" s="74">
        <f t="shared" si="45"/>
        <v>192093.9994327465</v>
      </c>
      <c r="AY34" s="75">
        <f t="shared" si="21"/>
        <v>166139.3102153544</v>
      </c>
      <c r="AZ34" s="76">
        <f t="shared" si="22"/>
        <v>212425.16522787631</v>
      </c>
      <c r="BA34" s="77">
        <f t="shared" si="23"/>
        <v>209849.42967022155</v>
      </c>
      <c r="BB34" s="246" t="s">
        <v>422</v>
      </c>
      <c r="BC34" s="228" t="s">
        <v>433</v>
      </c>
      <c r="BD34" s="247">
        <v>0</v>
      </c>
      <c r="BE34" s="264">
        <f t="shared" si="28"/>
        <v>0</v>
      </c>
      <c r="BF34" s="265">
        <f t="shared" ref="BF34:BL34" si="57">IF(BF$6=$BB34,1,
IF(BE34&lt;&gt;0,BE34+1,0
))</f>
        <v>0</v>
      </c>
      <c r="BG34" s="265">
        <f t="shared" si="57"/>
        <v>0</v>
      </c>
      <c r="BH34" s="265">
        <f t="shared" si="57"/>
        <v>1</v>
      </c>
      <c r="BI34" s="265">
        <f t="shared" si="57"/>
        <v>2</v>
      </c>
      <c r="BJ34" s="265">
        <f t="shared" si="57"/>
        <v>3</v>
      </c>
      <c r="BK34" s="265">
        <f t="shared" si="57"/>
        <v>4</v>
      </c>
      <c r="BL34" s="266">
        <f t="shared" si="57"/>
        <v>5</v>
      </c>
      <c r="BM34" s="255">
        <f>IF($BC34=Lookup!$A$2,$BD34*ROUNDUP(BE34/10,0)+1,
IF($BC34=Lookup!$A$3,($BD34+1)^BD34,
IF($BC34=Lookup!$A$4,BE34*$BD34+1,"Error")))</f>
        <v>1</v>
      </c>
      <c r="BN34" s="228">
        <f>IF($BC34=Lookup!$A$2,$BD34*ROUNDUP(BF34/10,0)+1,
IF($BC34=Lookup!$A$3,($BD34+1)^BE34,
IF($BC34=Lookup!$A$4,BF34*$BD34+1,"Error")))</f>
        <v>1</v>
      </c>
      <c r="BO34" s="228">
        <f>IF($BC34=Lookup!$A$2,$BD34*ROUNDUP(BG34/10,0)+1,
IF($BC34=Lookup!$A$3,($BD34+1)^BF34,
IF($BC34=Lookup!$A$4,BG34*$BD34+1,"Error")))</f>
        <v>1</v>
      </c>
      <c r="BP34" s="228">
        <f>IF($BC34=Lookup!$A$2,$BD34*ROUNDUP(BH34/10,0)+1,
IF($BC34=Lookup!$A$3,($BD34+1)^BG34,
IF($BC34=Lookup!$A$4,BH34*$BD34+1,"Error")))</f>
        <v>1</v>
      </c>
      <c r="BQ34" s="228">
        <f>IF($BC34=Lookup!$A$2,$BD34*ROUNDUP(BI34/10,0)+1,
IF($BC34=Lookup!$A$3,($BD34+1)^BH34,
IF($BC34=Lookup!$A$4,BI34*$BD34+1,"Error")))</f>
        <v>1</v>
      </c>
      <c r="BR34" s="228">
        <f>IF($BC34=Lookup!$A$2,$BD34*ROUNDUP(BJ34/10,0)+1,
IF($BC34=Lookup!$A$3,($BD34+1)^BI34,
IF($BC34=Lookup!$A$4,BJ34*$BD34+1,"Error")))</f>
        <v>1</v>
      </c>
      <c r="BS34" s="228">
        <f>IF($BC34=Lookup!$A$2,$BD34*ROUNDUP(BK34/10,0)+1,
IF($BC34=Lookup!$A$3,($BD34+1)^BJ34,
IF($BC34=Lookup!$A$4,BK34*$BD34+1,"Error")))</f>
        <v>1</v>
      </c>
      <c r="BT34" s="247">
        <f>IF($BC34=Lookup!$A$2,$BD34*ROUNDUP(BL34/10,0)+1,
IF($BC34=Lookup!$A$3,($BD34+1)^BK34,
IF($BC34=Lookup!$A$4,BL34*$BD34+1,"Error")))</f>
        <v>1</v>
      </c>
      <c r="BU34" s="396"/>
      <c r="BV34" s="354"/>
      <c r="BW34" s="354"/>
      <c r="BX34" s="354"/>
      <c r="BY34" s="354"/>
      <c r="BZ34" s="354"/>
      <c r="CA34" s="354"/>
      <c r="CB34" s="397"/>
      <c r="CC34" s="380" t="s">
        <v>293</v>
      </c>
      <c r="CD34" s="381">
        <f>HLOOKUP($CC34,$AK$6:$AM$132,ROWS(CD$6:CD34),0)</f>
        <v>33.258888960666525</v>
      </c>
      <c r="CE34" s="359">
        <f t="shared" si="30"/>
        <v>33.258888960666525</v>
      </c>
      <c r="CF34" s="360">
        <f t="shared" si="25"/>
        <v>33.258888960666525</v>
      </c>
      <c r="CG34" s="360">
        <f t="shared" si="25"/>
        <v>33.258888960666525</v>
      </c>
      <c r="CH34" s="360">
        <f t="shared" si="25"/>
        <v>33.258888960666525</v>
      </c>
      <c r="CI34" s="360">
        <f t="shared" si="25"/>
        <v>33.258888960666525</v>
      </c>
      <c r="CJ34" s="360">
        <f t="shared" si="25"/>
        <v>33.258888960666525</v>
      </c>
      <c r="CK34" s="360">
        <f t="shared" si="25"/>
        <v>33.258888960666525</v>
      </c>
      <c r="CL34" s="361">
        <f t="shared" si="25"/>
        <v>33.258888960666525</v>
      </c>
      <c r="CM34" s="302" t="s">
        <v>293</v>
      </c>
      <c r="CN34" s="314">
        <v>0</v>
      </c>
      <c r="CO34" s="303"/>
      <c r="CP34" s="304">
        <f>IF($CO34&lt;&gt;"",$CO34,HLOOKUP($CM34,$AY$6:$BA$132,ROWS(CP$6:CP34),0))</f>
        <v>212425.16522787631</v>
      </c>
      <c r="CQ34" s="783">
        <f t="shared" si="26"/>
        <v>7065024.9827651782</v>
      </c>
      <c r="CR34" s="783">
        <f t="shared" si="26"/>
        <v>7065024.9827651782</v>
      </c>
      <c r="CS34" s="79">
        <f t="shared" si="26"/>
        <v>7065024.9827651782</v>
      </c>
      <c r="CT34" s="79">
        <f t="shared" si="26"/>
        <v>7065024.9827651782</v>
      </c>
      <c r="CU34" s="79">
        <f t="shared" si="26"/>
        <v>7065024.9827651782</v>
      </c>
      <c r="CV34" s="79">
        <f t="shared" si="26"/>
        <v>7065024.9827651782</v>
      </c>
      <c r="CW34" s="79">
        <f t="shared" si="26"/>
        <v>7065024.9827651782</v>
      </c>
      <c r="CX34" s="80">
        <f t="shared" si="26"/>
        <v>7065024.9827651782</v>
      </c>
      <c r="CY34" s="391" t="s">
        <v>471</v>
      </c>
      <c r="DA34" s="624">
        <f>550-SUM(CF34:CF42)</f>
        <v>466.54372271344459</v>
      </c>
    </row>
    <row r="35" spans="1:105" x14ac:dyDescent="0.25">
      <c r="A35" s="81" t="s">
        <v>81</v>
      </c>
      <c r="B35" s="82" t="s">
        <v>82</v>
      </c>
      <c r="C35" s="83" t="s">
        <v>70</v>
      </c>
      <c r="D35" s="84">
        <v>123387.89423297117</v>
      </c>
      <c r="E35" s="85">
        <v>401733.8514410223</v>
      </c>
      <c r="F35" s="85">
        <v>388975.60516661697</v>
      </c>
      <c r="G35" s="85">
        <v>56026.330651678458</v>
      </c>
      <c r="H35" s="85">
        <v>202104.67712518643</v>
      </c>
      <c r="I35" s="85">
        <v>587100.48535949783</v>
      </c>
      <c r="J35" s="85">
        <v>253311.06583636018</v>
      </c>
      <c r="K35" s="85">
        <v>2097351.8044147864</v>
      </c>
      <c r="L35" s="85">
        <v>1447007.035132423</v>
      </c>
      <c r="M35" s="654">
        <f>'2022-23 Input'!F35</f>
        <v>1700955.7479390074</v>
      </c>
      <c r="N35" s="1065">
        <v>2321597.8505674172</v>
      </c>
      <c r="O35" s="560">
        <f t="shared" si="27"/>
        <v>166013.02200934378</v>
      </c>
      <c r="P35" s="561">
        <f t="shared" si="0"/>
        <v>532470.46944659564</v>
      </c>
      <c r="Q35" s="561">
        <f t="shared" si="1"/>
        <v>510338.22970714205</v>
      </c>
      <c r="R35" s="561">
        <f t="shared" si="2"/>
        <v>72112.428612173564</v>
      </c>
      <c r="S35" s="561">
        <f t="shared" si="3"/>
        <v>254837.58660448223</v>
      </c>
      <c r="T35" s="561">
        <f t="shared" si="4"/>
        <v>728678.7660804179</v>
      </c>
      <c r="U35" s="561">
        <f t="shared" si="5"/>
        <v>315495.88613242889</v>
      </c>
      <c r="V35" s="561">
        <f t="shared" si="6"/>
        <v>2515477.3214994054</v>
      </c>
      <c r="W35" s="675">
        <f t="shared" si="7"/>
        <v>1635012.6567464347</v>
      </c>
      <c r="X35" s="675">
        <f t="shared" si="8"/>
        <v>1808899.9749448891</v>
      </c>
      <c r="Y35" s="675">
        <f t="shared" si="8"/>
        <v>2385438.2610413944</v>
      </c>
      <c r="Z35" s="125">
        <v>2</v>
      </c>
      <c r="AA35" s="126">
        <v>12</v>
      </c>
      <c r="AB35" s="126">
        <v>7</v>
      </c>
      <c r="AC35" s="126">
        <v>1</v>
      </c>
      <c r="AD35" s="126">
        <v>4</v>
      </c>
      <c r="AE35" s="126">
        <v>10.010550215999999</v>
      </c>
      <c r="AF35" s="126">
        <v>-2.1596666590000049</v>
      </c>
      <c r="AG35" s="126">
        <v>8.7148333333333099</v>
      </c>
      <c r="AH35" s="126">
        <v>18.655666547999999</v>
      </c>
      <c r="AI35" s="1097">
        <f>'2022-23 Input'!M35</f>
        <v>19.548666357000005</v>
      </c>
      <c r="AJ35" s="668">
        <v>20.654333201</v>
      </c>
      <c r="AK35" s="127">
        <f t="shared" si="9"/>
        <v>10.954009959066662</v>
      </c>
      <c r="AL35" s="128">
        <f t="shared" si="10"/>
        <v>15.639722079444439</v>
      </c>
      <c r="AM35" s="129">
        <f t="shared" si="11"/>
        <v>19.548666357000005</v>
      </c>
      <c r="AN35" s="91">
        <f t="shared" si="12"/>
        <v>61693.947116485586</v>
      </c>
      <c r="AO35" s="92">
        <f t="shared" si="13"/>
        <v>33477.820953418523</v>
      </c>
      <c r="AP35" s="92">
        <f t="shared" si="14"/>
        <v>55567.943595230994</v>
      </c>
      <c r="AQ35" s="92">
        <f t="shared" si="15"/>
        <v>56026.330651678458</v>
      </c>
      <c r="AR35" s="92">
        <f t="shared" si="16"/>
        <v>50526.169281296607</v>
      </c>
      <c r="AS35" s="92">
        <f t="shared" si="17"/>
        <v>58648.173446163542</v>
      </c>
      <c r="AT35" s="92">
        <f t="shared" si="18"/>
        <v>-117291.74258477989</v>
      </c>
      <c r="AU35" s="92">
        <f t="shared" si="19"/>
        <v>240664.59152955216</v>
      </c>
      <c r="AV35" s="92">
        <f t="shared" si="45"/>
        <v>77563.941840906831</v>
      </c>
      <c r="AW35" s="92">
        <f t="shared" si="45"/>
        <v>87011.344757537765</v>
      </c>
      <c r="AX35" s="92">
        <f t="shared" si="45"/>
        <v>112402.45947300854</v>
      </c>
      <c r="AY35" s="93">
        <f t="shared" si="21"/>
        <v>111114.12462510871</v>
      </c>
      <c r="AZ35" s="94">
        <f t="shared" si="22"/>
        <v>111794.71009441669</v>
      </c>
      <c r="BA35" s="95">
        <f t="shared" si="23"/>
        <v>87011.344757537765</v>
      </c>
      <c r="BB35" s="248" t="s">
        <v>422</v>
      </c>
      <c r="BC35" s="229" t="s">
        <v>433</v>
      </c>
      <c r="BD35" s="249">
        <v>0</v>
      </c>
      <c r="BE35" s="267">
        <f t="shared" si="28"/>
        <v>0</v>
      </c>
      <c r="BF35" s="268">
        <f t="shared" ref="BF35:BL35" si="58">IF(BF$6=$BB35,1,
IF(BE35&lt;&gt;0,BE35+1,0
))</f>
        <v>0</v>
      </c>
      <c r="BG35" s="268">
        <f t="shared" si="58"/>
        <v>0</v>
      </c>
      <c r="BH35" s="268">
        <f t="shared" si="58"/>
        <v>1</v>
      </c>
      <c r="BI35" s="268">
        <f t="shared" si="58"/>
        <v>2</v>
      </c>
      <c r="BJ35" s="268">
        <f t="shared" si="58"/>
        <v>3</v>
      </c>
      <c r="BK35" s="268">
        <f t="shared" si="58"/>
        <v>4</v>
      </c>
      <c r="BL35" s="269">
        <f t="shared" si="58"/>
        <v>5</v>
      </c>
      <c r="BM35" s="256">
        <f>IF($BC35=Lookup!$A$2,$BD35*ROUNDUP(BE35/10,0)+1,
IF($BC35=Lookup!$A$3,($BD35+1)^BD35,
IF($BC35=Lookup!$A$4,BE35*$BD35+1,"Error")))</f>
        <v>1</v>
      </c>
      <c r="BN35" s="229">
        <f>IF($BC35=Lookup!$A$2,$BD35*ROUNDUP(BF35/10,0)+1,
IF($BC35=Lookup!$A$3,($BD35+1)^BE35,
IF($BC35=Lookup!$A$4,BF35*$BD35+1,"Error")))</f>
        <v>1</v>
      </c>
      <c r="BO35" s="229">
        <f>IF($BC35=Lookup!$A$2,$BD35*ROUNDUP(BG35/10,0)+1,
IF($BC35=Lookup!$A$3,($BD35+1)^BF35,
IF($BC35=Lookup!$A$4,BG35*$BD35+1,"Error")))</f>
        <v>1</v>
      </c>
      <c r="BP35" s="229">
        <f>IF($BC35=Lookup!$A$2,$BD35*ROUNDUP(BH35/10,0)+1,
IF($BC35=Lookup!$A$3,($BD35+1)^BG35,
IF($BC35=Lookup!$A$4,BH35*$BD35+1,"Error")))</f>
        <v>1</v>
      </c>
      <c r="BQ35" s="229">
        <f>IF($BC35=Lookup!$A$2,$BD35*ROUNDUP(BI35/10,0)+1,
IF($BC35=Lookup!$A$3,($BD35+1)^BH35,
IF($BC35=Lookup!$A$4,BI35*$BD35+1,"Error")))</f>
        <v>1</v>
      </c>
      <c r="BR35" s="229">
        <f>IF($BC35=Lookup!$A$2,$BD35*ROUNDUP(BJ35/10,0)+1,
IF($BC35=Lookup!$A$3,($BD35+1)^BI35,
IF($BC35=Lookup!$A$4,BJ35*$BD35+1,"Error")))</f>
        <v>1</v>
      </c>
      <c r="BS35" s="229">
        <f>IF($BC35=Lookup!$A$2,$BD35*ROUNDUP(BK35/10,0)+1,
IF($BC35=Lookup!$A$3,($BD35+1)^BJ35,
IF($BC35=Lookup!$A$4,BK35*$BD35+1,"Error")))</f>
        <v>1</v>
      </c>
      <c r="BT35" s="249">
        <f>IF($BC35=Lookup!$A$2,$BD35*ROUNDUP(BL35/10,0)+1,
IF($BC35=Lookup!$A$3,($BD35+1)^BK35,
IF($BC35=Lookup!$A$4,BL35*$BD35+1,"Error")))</f>
        <v>1</v>
      </c>
      <c r="BU35" s="398"/>
      <c r="BV35" s="356"/>
      <c r="BW35" s="356"/>
      <c r="BX35" s="356"/>
      <c r="BY35" s="356"/>
      <c r="BZ35" s="356"/>
      <c r="CA35" s="356"/>
      <c r="CB35" s="399"/>
      <c r="CC35" s="382" t="s">
        <v>293</v>
      </c>
      <c r="CD35" s="383">
        <f>HLOOKUP($CC35,$AK$6:$AM$132,ROWS(CD$6:CD35),0)</f>
        <v>15.639722079444439</v>
      </c>
      <c r="CE35" s="362">
        <f t="shared" si="30"/>
        <v>15.639722079444439</v>
      </c>
      <c r="CF35" s="363">
        <f t="shared" si="25"/>
        <v>15.639722079444439</v>
      </c>
      <c r="CG35" s="363">
        <f t="shared" si="25"/>
        <v>15.639722079444439</v>
      </c>
      <c r="CH35" s="363">
        <f t="shared" si="25"/>
        <v>15.639722079444439</v>
      </c>
      <c r="CI35" s="363">
        <f t="shared" si="25"/>
        <v>15.639722079444439</v>
      </c>
      <c r="CJ35" s="363">
        <f t="shared" si="25"/>
        <v>15.639722079444439</v>
      </c>
      <c r="CK35" s="363">
        <f t="shared" si="25"/>
        <v>15.639722079444439</v>
      </c>
      <c r="CL35" s="364">
        <f t="shared" si="25"/>
        <v>15.639722079444439</v>
      </c>
      <c r="CM35" s="305" t="s">
        <v>293</v>
      </c>
      <c r="CN35" s="315">
        <v>0</v>
      </c>
      <c r="CO35" s="306"/>
      <c r="CP35" s="307">
        <f>IF($CO35&lt;&gt;"",$CO35,HLOOKUP($CM35,$AY$6:$BA$132,ROWS(CP$6:CP35),0))</f>
        <v>111794.71009441669</v>
      </c>
      <c r="CQ35" s="784">
        <f t="shared" si="26"/>
        <v>1748438.1958287389</v>
      </c>
      <c r="CR35" s="784">
        <f t="shared" si="26"/>
        <v>1748438.1958287389</v>
      </c>
      <c r="CS35" s="97">
        <f t="shared" si="26"/>
        <v>1748438.1958287389</v>
      </c>
      <c r="CT35" s="97">
        <f t="shared" si="26"/>
        <v>1748438.1958287389</v>
      </c>
      <c r="CU35" s="97">
        <f t="shared" si="26"/>
        <v>1748438.1958287389</v>
      </c>
      <c r="CV35" s="97">
        <f t="shared" si="26"/>
        <v>1748438.1958287389</v>
      </c>
      <c r="CW35" s="97">
        <f t="shared" si="26"/>
        <v>1748438.1958287389</v>
      </c>
      <c r="CX35" s="98">
        <f t="shared" si="26"/>
        <v>1748438.1958287389</v>
      </c>
      <c r="CY35" s="392"/>
    </row>
    <row r="36" spans="1:105" x14ac:dyDescent="0.25">
      <c r="A36" s="81" t="s">
        <v>81</v>
      </c>
      <c r="B36" s="82" t="s">
        <v>83</v>
      </c>
      <c r="C36" s="83" t="s">
        <v>312</v>
      </c>
      <c r="D36" s="84">
        <v>138600.45338686608</v>
      </c>
      <c r="E36" s="85">
        <v>371934.67881404352</v>
      </c>
      <c r="F36" s="85">
        <v>142443.42960547016</v>
      </c>
      <c r="G36" s="85">
        <v>144401.51062036498</v>
      </c>
      <c r="H36" s="85">
        <v>793467.57122572814</v>
      </c>
      <c r="I36" s="85">
        <v>2356994.3295426583</v>
      </c>
      <c r="J36" s="85">
        <v>1292849.13383962</v>
      </c>
      <c r="K36" s="85">
        <v>1170350.186820522</v>
      </c>
      <c r="L36" s="85">
        <v>1799798.1549066131</v>
      </c>
      <c r="M36" s="654">
        <f>'2022-23 Input'!F36</f>
        <v>1065377.7816772996</v>
      </c>
      <c r="N36" s="1065">
        <v>1874342.6550170283</v>
      </c>
      <c r="O36" s="560">
        <f t="shared" si="27"/>
        <v>186480.85585425555</v>
      </c>
      <c r="P36" s="561">
        <f t="shared" si="0"/>
        <v>492973.72457211756</v>
      </c>
      <c r="Q36" s="561">
        <f t="shared" si="1"/>
        <v>186886.59836940435</v>
      </c>
      <c r="R36" s="561">
        <f t="shared" si="2"/>
        <v>185861.60301735078</v>
      </c>
      <c r="S36" s="561">
        <f t="shared" si="3"/>
        <v>1000498.1763724146</v>
      </c>
      <c r="T36" s="561">
        <f t="shared" si="4"/>
        <v>2925379.4921631147</v>
      </c>
      <c r="U36" s="561">
        <f t="shared" si="5"/>
        <v>1610228.0481491932</v>
      </c>
      <c r="V36" s="561">
        <f t="shared" si="6"/>
        <v>1403669.7834682353</v>
      </c>
      <c r="W36" s="675">
        <f t="shared" si="7"/>
        <v>2033640.95088307</v>
      </c>
      <c r="X36" s="675">
        <f t="shared" si="8"/>
        <v>1132987.6423404829</v>
      </c>
      <c r="Y36" s="675">
        <f t="shared" si="8"/>
        <v>1925884.2277471742</v>
      </c>
      <c r="Z36" s="125">
        <v>7</v>
      </c>
      <c r="AA36" s="126">
        <v>23</v>
      </c>
      <c r="AB36" s="126">
        <v>7</v>
      </c>
      <c r="AC36" s="126">
        <v>8</v>
      </c>
      <c r="AD36" s="126">
        <v>49</v>
      </c>
      <c r="AE36" s="126">
        <v>125.93658063600012</v>
      </c>
      <c r="AF36" s="126">
        <v>45.241666662000029</v>
      </c>
      <c r="AG36" s="126">
        <v>29.37566666666666</v>
      </c>
      <c r="AH36" s="126">
        <v>24.428333048000006</v>
      </c>
      <c r="AI36" s="1097">
        <f>'2022-23 Input'!M36</f>
        <v>27.522999105000007</v>
      </c>
      <c r="AJ36" s="668">
        <v>20.043666328000018</v>
      </c>
      <c r="AK36" s="127">
        <f t="shared" si="9"/>
        <v>50.501049223533364</v>
      </c>
      <c r="AL36" s="128">
        <f t="shared" si="10"/>
        <v>27.108999606555557</v>
      </c>
      <c r="AM36" s="129">
        <f t="shared" si="11"/>
        <v>27.522999105000007</v>
      </c>
      <c r="AN36" s="91">
        <f t="shared" si="12"/>
        <v>19800.064769552297</v>
      </c>
      <c r="AO36" s="92">
        <f t="shared" si="13"/>
        <v>16171.072991914936</v>
      </c>
      <c r="AP36" s="92">
        <f t="shared" si="14"/>
        <v>20349.061372210021</v>
      </c>
      <c r="AQ36" s="92">
        <f t="shared" si="15"/>
        <v>18050.188827545622</v>
      </c>
      <c r="AR36" s="92">
        <f t="shared" si="16"/>
        <v>16193.215739300575</v>
      </c>
      <c r="AS36" s="92">
        <f t="shared" si="17"/>
        <v>18715.724356175589</v>
      </c>
      <c r="AT36" s="92">
        <f t="shared" si="18"/>
        <v>28576.514289327162</v>
      </c>
      <c r="AU36" s="92">
        <f t="shared" si="19"/>
        <v>39840.804299040778</v>
      </c>
      <c r="AV36" s="92">
        <f t="shared" si="45"/>
        <v>73676.66681840847</v>
      </c>
      <c r="AW36" s="92">
        <f t="shared" si="45"/>
        <v>38708.637006195888</v>
      </c>
      <c r="AX36" s="92">
        <f t="shared" si="45"/>
        <v>93512.964362146842</v>
      </c>
      <c r="AY36" s="93">
        <f t="shared" si="21"/>
        <v>30436.474904784158</v>
      </c>
      <c r="AZ36" s="94">
        <f t="shared" si="22"/>
        <v>49620.98911768222</v>
      </c>
      <c r="BA36" s="95">
        <f t="shared" si="23"/>
        <v>38708.637006195888</v>
      </c>
      <c r="BB36" s="248" t="s">
        <v>422</v>
      </c>
      <c r="BC36" s="229" t="s">
        <v>433</v>
      </c>
      <c r="BD36" s="249">
        <v>0</v>
      </c>
      <c r="BE36" s="267">
        <f t="shared" si="28"/>
        <v>0</v>
      </c>
      <c r="BF36" s="268">
        <f t="shared" ref="BF36:BL36" si="59">IF(BF$6=$BB36,1,
IF(BE36&lt;&gt;0,BE36+1,0
))</f>
        <v>0</v>
      </c>
      <c r="BG36" s="268">
        <f t="shared" si="59"/>
        <v>0</v>
      </c>
      <c r="BH36" s="268">
        <f t="shared" si="59"/>
        <v>1</v>
      </c>
      <c r="BI36" s="268">
        <f t="shared" si="59"/>
        <v>2</v>
      </c>
      <c r="BJ36" s="268">
        <f t="shared" si="59"/>
        <v>3</v>
      </c>
      <c r="BK36" s="268">
        <f t="shared" si="59"/>
        <v>4</v>
      </c>
      <c r="BL36" s="269">
        <f t="shared" si="59"/>
        <v>5</v>
      </c>
      <c r="BM36" s="256">
        <f>IF($BC36=Lookup!$A$2,$BD36*ROUNDUP(BE36/10,0)+1,
IF($BC36=Lookup!$A$3,($BD36+1)^BD36,
IF($BC36=Lookup!$A$4,BE36*$BD36+1,"Error")))</f>
        <v>1</v>
      </c>
      <c r="BN36" s="229">
        <f>IF($BC36=Lookup!$A$2,$BD36*ROUNDUP(BF36/10,0)+1,
IF($BC36=Lookup!$A$3,($BD36+1)^BE36,
IF($BC36=Lookup!$A$4,BF36*$BD36+1,"Error")))</f>
        <v>1</v>
      </c>
      <c r="BO36" s="229">
        <f>IF($BC36=Lookup!$A$2,$BD36*ROUNDUP(BG36/10,0)+1,
IF($BC36=Lookup!$A$3,($BD36+1)^BF36,
IF($BC36=Lookup!$A$4,BG36*$BD36+1,"Error")))</f>
        <v>1</v>
      </c>
      <c r="BP36" s="229">
        <f>IF($BC36=Lookup!$A$2,$BD36*ROUNDUP(BH36/10,0)+1,
IF($BC36=Lookup!$A$3,($BD36+1)^BG36,
IF($BC36=Lookup!$A$4,BH36*$BD36+1,"Error")))</f>
        <v>1</v>
      </c>
      <c r="BQ36" s="229">
        <f>IF($BC36=Lookup!$A$2,$BD36*ROUNDUP(BI36/10,0)+1,
IF($BC36=Lookup!$A$3,($BD36+1)^BH36,
IF($BC36=Lookup!$A$4,BI36*$BD36+1,"Error")))</f>
        <v>1</v>
      </c>
      <c r="BR36" s="229">
        <f>IF($BC36=Lookup!$A$2,$BD36*ROUNDUP(BJ36/10,0)+1,
IF($BC36=Lookup!$A$3,($BD36+1)^BI36,
IF($BC36=Lookup!$A$4,BJ36*$BD36+1,"Error")))</f>
        <v>1</v>
      </c>
      <c r="BS36" s="229">
        <f>IF($BC36=Lookup!$A$2,$BD36*ROUNDUP(BK36/10,0)+1,
IF($BC36=Lookup!$A$3,($BD36+1)^BJ36,
IF($BC36=Lookup!$A$4,BK36*$BD36+1,"Error")))</f>
        <v>1</v>
      </c>
      <c r="BT36" s="249">
        <f>IF($BC36=Lookup!$A$2,$BD36*ROUNDUP(BL36/10,0)+1,
IF($BC36=Lookup!$A$3,($BD36+1)^BK36,
IF($BC36=Lookup!$A$4,BL36*$BD36+1,"Error")))</f>
        <v>1</v>
      </c>
      <c r="BU36" s="398"/>
      <c r="BV36" s="356"/>
      <c r="BW36" s="356"/>
      <c r="BX36" s="356"/>
      <c r="BY36" s="356"/>
      <c r="BZ36" s="356"/>
      <c r="CA36" s="356"/>
      <c r="CB36" s="399"/>
      <c r="CC36" s="382" t="s">
        <v>293</v>
      </c>
      <c r="CD36" s="383">
        <f>HLOOKUP($CC36,$AK$6:$AM$132,ROWS(CD$6:CD36),0)</f>
        <v>27.108999606555557</v>
      </c>
      <c r="CE36" s="362">
        <f t="shared" si="30"/>
        <v>27.108999606555557</v>
      </c>
      <c r="CF36" s="363">
        <f t="shared" si="25"/>
        <v>27.108999606555557</v>
      </c>
      <c r="CG36" s="363">
        <f t="shared" si="25"/>
        <v>27.108999606555557</v>
      </c>
      <c r="CH36" s="363">
        <f t="shared" si="25"/>
        <v>27.108999606555557</v>
      </c>
      <c r="CI36" s="363">
        <f t="shared" si="25"/>
        <v>27.108999606555557</v>
      </c>
      <c r="CJ36" s="363">
        <f t="shared" si="25"/>
        <v>27.108999606555557</v>
      </c>
      <c r="CK36" s="363">
        <f t="shared" si="25"/>
        <v>27.108999606555557</v>
      </c>
      <c r="CL36" s="364">
        <f t="shared" si="25"/>
        <v>27.108999606555557</v>
      </c>
      <c r="CM36" s="305" t="s">
        <v>293</v>
      </c>
      <c r="CN36" s="315">
        <v>0</v>
      </c>
      <c r="CO36" s="306"/>
      <c r="CP36" s="307">
        <f>IF($CO36&lt;&gt;"",$CO36,HLOOKUP($CM36,$AY$6:$BA$132,ROWS(CP$6:CP36),0))</f>
        <v>49620.98911768222</v>
      </c>
      <c r="CQ36" s="784">
        <f t="shared" si="26"/>
        <v>1345175.374468145</v>
      </c>
      <c r="CR36" s="784">
        <f t="shared" si="26"/>
        <v>1345175.374468145</v>
      </c>
      <c r="CS36" s="97">
        <f t="shared" si="26"/>
        <v>1345175.374468145</v>
      </c>
      <c r="CT36" s="97">
        <f t="shared" si="26"/>
        <v>1345175.374468145</v>
      </c>
      <c r="CU36" s="97">
        <f t="shared" si="26"/>
        <v>1345175.374468145</v>
      </c>
      <c r="CV36" s="97">
        <f t="shared" si="26"/>
        <v>1345175.374468145</v>
      </c>
      <c r="CW36" s="97">
        <f t="shared" si="26"/>
        <v>1345175.374468145</v>
      </c>
      <c r="CX36" s="98">
        <f t="shared" si="26"/>
        <v>1345175.374468145</v>
      </c>
      <c r="CY36" s="392"/>
    </row>
    <row r="37" spans="1:105" x14ac:dyDescent="0.25">
      <c r="A37" s="81" t="s">
        <v>81</v>
      </c>
      <c r="B37" s="82" t="s">
        <v>85</v>
      </c>
      <c r="C37" s="83" t="s">
        <v>314</v>
      </c>
      <c r="D37" s="84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654">
        <f>'2022-23 Input'!F37</f>
        <v>0</v>
      </c>
      <c r="N37" s="1065">
        <v>0</v>
      </c>
      <c r="O37" s="560">
        <f t="shared" si="27"/>
        <v>0</v>
      </c>
      <c r="P37" s="561">
        <f t="shared" si="0"/>
        <v>0</v>
      </c>
      <c r="Q37" s="561">
        <f t="shared" si="1"/>
        <v>0</v>
      </c>
      <c r="R37" s="561">
        <f t="shared" si="2"/>
        <v>0</v>
      </c>
      <c r="S37" s="561">
        <f t="shared" si="3"/>
        <v>0</v>
      </c>
      <c r="T37" s="561">
        <f t="shared" si="4"/>
        <v>0</v>
      </c>
      <c r="U37" s="561">
        <f t="shared" si="5"/>
        <v>0</v>
      </c>
      <c r="V37" s="561">
        <f t="shared" si="6"/>
        <v>0</v>
      </c>
      <c r="W37" s="675">
        <f t="shared" si="7"/>
        <v>0</v>
      </c>
      <c r="X37" s="675">
        <f t="shared" si="8"/>
        <v>0</v>
      </c>
      <c r="Y37" s="675">
        <f t="shared" si="8"/>
        <v>0</v>
      </c>
      <c r="Z37" s="125">
        <v>0</v>
      </c>
      <c r="AA37" s="126">
        <v>0</v>
      </c>
      <c r="AB37" s="126">
        <v>0</v>
      </c>
      <c r="AC37" s="126">
        <v>0</v>
      </c>
      <c r="AD37" s="126">
        <v>0</v>
      </c>
      <c r="AE37" s="126">
        <v>0</v>
      </c>
      <c r="AF37" s="126">
        <v>0</v>
      </c>
      <c r="AG37" s="126">
        <v>0</v>
      </c>
      <c r="AH37" s="126">
        <v>0</v>
      </c>
      <c r="AI37" s="1097">
        <f>'2022-23 Input'!M37</f>
        <v>0</v>
      </c>
      <c r="AJ37" s="668">
        <v>0</v>
      </c>
      <c r="AK37" s="127">
        <f t="shared" si="9"/>
        <v>0</v>
      </c>
      <c r="AL37" s="128">
        <f t="shared" si="10"/>
        <v>0</v>
      </c>
      <c r="AM37" s="129">
        <f t="shared" si="11"/>
        <v>0</v>
      </c>
      <c r="AN37" s="91" t="str">
        <f t="shared" si="12"/>
        <v/>
      </c>
      <c r="AO37" s="92" t="str">
        <f t="shared" si="13"/>
        <v/>
      </c>
      <c r="AP37" s="92" t="str">
        <f t="shared" si="14"/>
        <v/>
      </c>
      <c r="AQ37" s="92" t="str">
        <f t="shared" si="15"/>
        <v/>
      </c>
      <c r="AR37" s="92" t="str">
        <f t="shared" si="16"/>
        <v/>
      </c>
      <c r="AS37" s="92" t="str">
        <f t="shared" si="17"/>
        <v/>
      </c>
      <c r="AT37" s="92" t="str">
        <f t="shared" si="18"/>
        <v/>
      </c>
      <c r="AU37" s="92" t="str">
        <f t="shared" si="19"/>
        <v/>
      </c>
      <c r="AV37" s="92" t="str">
        <f t="shared" si="45"/>
        <v/>
      </c>
      <c r="AW37" s="92" t="str">
        <f t="shared" si="45"/>
        <v/>
      </c>
      <c r="AX37" s="92" t="str">
        <f t="shared" si="45"/>
        <v/>
      </c>
      <c r="AY37" s="93" t="str">
        <f t="shared" si="21"/>
        <v/>
      </c>
      <c r="AZ37" s="94" t="str">
        <f t="shared" si="22"/>
        <v/>
      </c>
      <c r="BA37" s="95" t="str">
        <f t="shared" si="23"/>
        <v/>
      </c>
      <c r="BB37" s="248" t="s">
        <v>422</v>
      </c>
      <c r="BC37" s="229" t="s">
        <v>433</v>
      </c>
      <c r="BD37" s="249">
        <v>0</v>
      </c>
      <c r="BE37" s="267">
        <f t="shared" si="28"/>
        <v>0</v>
      </c>
      <c r="BF37" s="268">
        <f t="shared" ref="BF37:BL37" si="60">IF(BF$6=$BB37,1,
IF(BE37&lt;&gt;0,BE37+1,0
))</f>
        <v>0</v>
      </c>
      <c r="BG37" s="268">
        <f t="shared" si="60"/>
        <v>0</v>
      </c>
      <c r="BH37" s="268">
        <f t="shared" si="60"/>
        <v>1</v>
      </c>
      <c r="BI37" s="268">
        <f t="shared" si="60"/>
        <v>2</v>
      </c>
      <c r="BJ37" s="268">
        <f t="shared" si="60"/>
        <v>3</v>
      </c>
      <c r="BK37" s="268">
        <f t="shared" si="60"/>
        <v>4</v>
      </c>
      <c r="BL37" s="269">
        <f t="shared" si="60"/>
        <v>5</v>
      </c>
      <c r="BM37" s="256">
        <f>IF($BC37=Lookup!$A$2,$BD37*ROUNDUP(BE37/10,0)+1,
IF($BC37=Lookup!$A$3,($BD37+1)^BD37,
IF($BC37=Lookup!$A$4,BE37*$BD37+1,"Error")))</f>
        <v>1</v>
      </c>
      <c r="BN37" s="229">
        <f>IF($BC37=Lookup!$A$2,$BD37*ROUNDUP(BF37/10,0)+1,
IF($BC37=Lookup!$A$3,($BD37+1)^BE37,
IF($BC37=Lookup!$A$4,BF37*$BD37+1,"Error")))</f>
        <v>1</v>
      </c>
      <c r="BO37" s="229">
        <f>IF($BC37=Lookup!$A$2,$BD37*ROUNDUP(BG37/10,0)+1,
IF($BC37=Lookup!$A$3,($BD37+1)^BF37,
IF($BC37=Lookup!$A$4,BG37*$BD37+1,"Error")))</f>
        <v>1</v>
      </c>
      <c r="BP37" s="229">
        <f>IF($BC37=Lookup!$A$2,$BD37*ROUNDUP(BH37/10,0)+1,
IF($BC37=Lookup!$A$3,($BD37+1)^BG37,
IF($BC37=Lookup!$A$4,BH37*$BD37+1,"Error")))</f>
        <v>1</v>
      </c>
      <c r="BQ37" s="229">
        <f>IF($BC37=Lookup!$A$2,$BD37*ROUNDUP(BI37/10,0)+1,
IF($BC37=Lookup!$A$3,($BD37+1)^BH37,
IF($BC37=Lookup!$A$4,BI37*$BD37+1,"Error")))</f>
        <v>1</v>
      </c>
      <c r="BR37" s="229">
        <f>IF($BC37=Lookup!$A$2,$BD37*ROUNDUP(BJ37/10,0)+1,
IF($BC37=Lookup!$A$3,($BD37+1)^BI37,
IF($BC37=Lookup!$A$4,BJ37*$BD37+1,"Error")))</f>
        <v>1</v>
      </c>
      <c r="BS37" s="229">
        <f>IF($BC37=Lookup!$A$2,$BD37*ROUNDUP(BK37/10,0)+1,
IF($BC37=Lookup!$A$3,($BD37+1)^BJ37,
IF($BC37=Lookup!$A$4,BK37*$BD37+1,"Error")))</f>
        <v>1</v>
      </c>
      <c r="BT37" s="249">
        <f>IF($BC37=Lookup!$A$2,$BD37*ROUNDUP(BL37/10,0)+1,
IF($BC37=Lookup!$A$3,($BD37+1)^BK37,
IF($BC37=Lookup!$A$4,BL37*$BD37+1,"Error")))</f>
        <v>1</v>
      </c>
      <c r="BU37" s="398"/>
      <c r="BV37" s="356"/>
      <c r="BW37" s="356"/>
      <c r="BX37" s="356"/>
      <c r="BY37" s="356"/>
      <c r="BZ37" s="356"/>
      <c r="CA37" s="356"/>
      <c r="CB37" s="399"/>
      <c r="CC37" s="382" t="s">
        <v>293</v>
      </c>
      <c r="CD37" s="383">
        <f>HLOOKUP($CC37,$AK$6:$AM$132,ROWS(CD$6:CD37),0)</f>
        <v>0</v>
      </c>
      <c r="CE37" s="362">
        <f t="shared" si="30"/>
        <v>0</v>
      </c>
      <c r="CF37" s="363">
        <f t="shared" si="25"/>
        <v>0</v>
      </c>
      <c r="CG37" s="363">
        <f t="shared" si="25"/>
        <v>0</v>
      </c>
      <c r="CH37" s="363">
        <f t="shared" si="25"/>
        <v>0</v>
      </c>
      <c r="CI37" s="363">
        <f t="shared" si="25"/>
        <v>0</v>
      </c>
      <c r="CJ37" s="363">
        <f t="shared" si="25"/>
        <v>0</v>
      </c>
      <c r="CK37" s="363">
        <f t="shared" si="25"/>
        <v>0</v>
      </c>
      <c r="CL37" s="364">
        <f t="shared" si="25"/>
        <v>0</v>
      </c>
      <c r="CM37" s="305" t="s">
        <v>293</v>
      </c>
      <c r="CN37" s="315">
        <v>0</v>
      </c>
      <c r="CO37" s="306"/>
      <c r="CP37" s="307" t="str">
        <f>IF($CO37&lt;&gt;"",$CO37,HLOOKUP($CM37,$AY$6:$BA$132,ROWS(CP$6:CP37),0))</f>
        <v/>
      </c>
      <c r="CQ37" s="784" t="str">
        <f t="shared" si="26"/>
        <v/>
      </c>
      <c r="CR37" s="784" t="str">
        <f t="shared" si="26"/>
        <v/>
      </c>
      <c r="CS37" s="97" t="str">
        <f t="shared" si="26"/>
        <v/>
      </c>
      <c r="CT37" s="97" t="str">
        <f t="shared" si="26"/>
        <v/>
      </c>
      <c r="CU37" s="97" t="str">
        <f t="shared" si="26"/>
        <v/>
      </c>
      <c r="CV37" s="97" t="str">
        <f t="shared" si="26"/>
        <v/>
      </c>
      <c r="CW37" s="97" t="str">
        <f t="shared" si="26"/>
        <v/>
      </c>
      <c r="CX37" s="98" t="str">
        <f t="shared" si="26"/>
        <v/>
      </c>
      <c r="CY37" s="392"/>
    </row>
    <row r="38" spans="1:105" x14ac:dyDescent="0.25">
      <c r="A38" s="81" t="s">
        <v>81</v>
      </c>
      <c r="B38" s="82" t="s">
        <v>87</v>
      </c>
      <c r="C38" s="83" t="s">
        <v>315</v>
      </c>
      <c r="D38" s="84">
        <v>0</v>
      </c>
      <c r="E38" s="85">
        <v>36759.919554979664</v>
      </c>
      <c r="F38" s="85">
        <v>-5522.15</v>
      </c>
      <c r="G38" s="85">
        <v>-4875.08</v>
      </c>
      <c r="H38" s="85">
        <v>-8613.58</v>
      </c>
      <c r="I38" s="85">
        <v>93874.439566715097</v>
      </c>
      <c r="J38" s="85">
        <v>9052.2874035959994</v>
      </c>
      <c r="K38" s="85">
        <v>534925.81637122051</v>
      </c>
      <c r="L38" s="85">
        <v>750276.30459646636</v>
      </c>
      <c r="M38" s="654">
        <f>'2022-23 Input'!F38</f>
        <v>2384634.4434203682</v>
      </c>
      <c r="N38" s="1065">
        <v>948624.80215590028</v>
      </c>
      <c r="O38" s="560">
        <f t="shared" si="27"/>
        <v>0</v>
      </c>
      <c r="P38" s="561">
        <f t="shared" si="0"/>
        <v>48722.734098828281</v>
      </c>
      <c r="Q38" s="561">
        <f t="shared" si="1"/>
        <v>-7245.0925398525678</v>
      </c>
      <c r="R38" s="561">
        <f t="shared" si="2"/>
        <v>-6274.7971246641537</v>
      </c>
      <c r="S38" s="561">
        <f t="shared" si="3"/>
        <v>-10861.024942361839</v>
      </c>
      <c r="T38" s="561">
        <f t="shared" si="4"/>
        <v>116512.10056159103</v>
      </c>
      <c r="U38" s="561">
        <f t="shared" si="5"/>
        <v>11274.515096659468</v>
      </c>
      <c r="V38" s="561">
        <f t="shared" si="6"/>
        <v>641567.97964651196</v>
      </c>
      <c r="W38" s="675">
        <f t="shared" si="7"/>
        <v>847757.62956805748</v>
      </c>
      <c r="X38" s="675">
        <f t="shared" si="8"/>
        <v>2535965.5535909324</v>
      </c>
      <c r="Y38" s="675">
        <f t="shared" si="8"/>
        <v>974710.5416566612</v>
      </c>
      <c r="Z38" s="125">
        <v>0</v>
      </c>
      <c r="AA38" s="126">
        <v>2</v>
      </c>
      <c r="AB38" s="126">
        <v>-3</v>
      </c>
      <c r="AC38" s="126">
        <v>-3</v>
      </c>
      <c r="AD38" s="126">
        <v>-4</v>
      </c>
      <c r="AE38" s="126">
        <v>1.8407399220000005</v>
      </c>
      <c r="AF38" s="126">
        <v>2.3666666000000058E-2</v>
      </c>
      <c r="AG38" s="126">
        <v>5.6576666666666595</v>
      </c>
      <c r="AH38" s="126">
        <v>0.27833329199999962</v>
      </c>
      <c r="AI38" s="1097">
        <f>'2022-23 Input'!M38</f>
        <v>7.5123332489999992</v>
      </c>
      <c r="AJ38" s="668">
        <v>15.343666333000005</v>
      </c>
      <c r="AK38" s="127">
        <f t="shared" si="9"/>
        <v>3.0625479591333318</v>
      </c>
      <c r="AL38" s="128">
        <f t="shared" si="10"/>
        <v>4.4827777358888854</v>
      </c>
      <c r="AM38" s="129">
        <f t="shared" si="11"/>
        <v>7.5123332489999992</v>
      </c>
      <c r="AN38" s="91" t="str">
        <f t="shared" si="12"/>
        <v/>
      </c>
      <c r="AO38" s="92">
        <f t="shared" si="13"/>
        <v>18379.959777489832</v>
      </c>
      <c r="AP38" s="92">
        <f t="shared" si="14"/>
        <v>1840.7166666666665</v>
      </c>
      <c r="AQ38" s="92">
        <f t="shared" si="15"/>
        <v>1625.0266666666666</v>
      </c>
      <c r="AR38" s="92">
        <f t="shared" si="16"/>
        <v>2153.395</v>
      </c>
      <c r="AS38" s="92">
        <f t="shared" si="17"/>
        <v>50998.209168364563</v>
      </c>
      <c r="AT38" s="92">
        <f t="shared" si="18"/>
        <v>382491.02782774629</v>
      </c>
      <c r="AU38" s="92">
        <f t="shared" si="19"/>
        <v>94548.839280838016</v>
      </c>
      <c r="AV38" s="92">
        <f t="shared" si="45"/>
        <v>2695603.8898733947</v>
      </c>
      <c r="AW38" s="92">
        <f t="shared" si="45"/>
        <v>317429.26789593603</v>
      </c>
      <c r="AX38" s="92">
        <f t="shared" si="45"/>
        <v>61825.171479105309</v>
      </c>
      <c r="AY38" s="93">
        <f t="shared" si="21"/>
        <v>246380.68312412765</v>
      </c>
      <c r="AZ38" s="94">
        <f t="shared" si="22"/>
        <v>272884.11937145836</v>
      </c>
      <c r="BA38" s="95">
        <f t="shared" si="23"/>
        <v>317429.26789593603</v>
      </c>
      <c r="BB38" s="248" t="s">
        <v>422</v>
      </c>
      <c r="BC38" s="229" t="s">
        <v>433</v>
      </c>
      <c r="BD38" s="249">
        <v>0</v>
      </c>
      <c r="BE38" s="267">
        <f t="shared" si="28"/>
        <v>0</v>
      </c>
      <c r="BF38" s="268">
        <f t="shared" ref="BF38:BL38" si="61">IF(BF$6=$BB38,1,
IF(BE38&lt;&gt;0,BE38+1,0
))</f>
        <v>0</v>
      </c>
      <c r="BG38" s="268">
        <f t="shared" si="61"/>
        <v>0</v>
      </c>
      <c r="BH38" s="268">
        <f t="shared" si="61"/>
        <v>1</v>
      </c>
      <c r="BI38" s="268">
        <f t="shared" si="61"/>
        <v>2</v>
      </c>
      <c r="BJ38" s="268">
        <f t="shared" si="61"/>
        <v>3</v>
      </c>
      <c r="BK38" s="268">
        <f t="shared" si="61"/>
        <v>4</v>
      </c>
      <c r="BL38" s="269">
        <f t="shared" si="61"/>
        <v>5</v>
      </c>
      <c r="BM38" s="256">
        <f>IF($BC38=Lookup!$A$2,$BD38*ROUNDUP(BE38/10,0)+1,
IF($BC38=Lookup!$A$3,($BD38+1)^BD38,
IF($BC38=Lookup!$A$4,BE38*$BD38+1,"Error")))</f>
        <v>1</v>
      </c>
      <c r="BN38" s="229">
        <f>IF($BC38=Lookup!$A$2,$BD38*ROUNDUP(BF38/10,0)+1,
IF($BC38=Lookup!$A$3,($BD38+1)^BE38,
IF($BC38=Lookup!$A$4,BF38*$BD38+1,"Error")))</f>
        <v>1</v>
      </c>
      <c r="BO38" s="229">
        <f>IF($BC38=Lookup!$A$2,$BD38*ROUNDUP(BG38/10,0)+1,
IF($BC38=Lookup!$A$3,($BD38+1)^BF38,
IF($BC38=Lookup!$A$4,BG38*$BD38+1,"Error")))</f>
        <v>1</v>
      </c>
      <c r="BP38" s="229">
        <f>IF($BC38=Lookup!$A$2,$BD38*ROUNDUP(BH38/10,0)+1,
IF($BC38=Lookup!$A$3,($BD38+1)^BG38,
IF($BC38=Lookup!$A$4,BH38*$BD38+1,"Error")))</f>
        <v>1</v>
      </c>
      <c r="BQ38" s="229">
        <f>IF($BC38=Lookup!$A$2,$BD38*ROUNDUP(BI38/10,0)+1,
IF($BC38=Lookup!$A$3,($BD38+1)^BH38,
IF($BC38=Lookup!$A$4,BI38*$BD38+1,"Error")))</f>
        <v>1</v>
      </c>
      <c r="BR38" s="229">
        <f>IF($BC38=Lookup!$A$2,$BD38*ROUNDUP(BJ38/10,0)+1,
IF($BC38=Lookup!$A$3,($BD38+1)^BI38,
IF($BC38=Lookup!$A$4,BJ38*$BD38+1,"Error")))</f>
        <v>1</v>
      </c>
      <c r="BS38" s="229">
        <f>IF($BC38=Lookup!$A$2,$BD38*ROUNDUP(BK38/10,0)+1,
IF($BC38=Lookup!$A$3,($BD38+1)^BJ38,
IF($BC38=Lookup!$A$4,BK38*$BD38+1,"Error")))</f>
        <v>1</v>
      </c>
      <c r="BT38" s="249">
        <f>IF($BC38=Lookup!$A$2,$BD38*ROUNDUP(BL38/10,0)+1,
IF($BC38=Lookup!$A$3,($BD38+1)^BK38,
IF($BC38=Lookup!$A$4,BL38*$BD38+1,"Error")))</f>
        <v>1</v>
      </c>
      <c r="BU38" s="398"/>
      <c r="BV38" s="356"/>
      <c r="BW38" s="356"/>
      <c r="BX38" s="356"/>
      <c r="BY38" s="356"/>
      <c r="BZ38" s="356"/>
      <c r="CA38" s="356"/>
      <c r="CB38" s="399"/>
      <c r="CC38" s="382" t="s">
        <v>293</v>
      </c>
      <c r="CD38" s="383">
        <f>HLOOKUP($CC38,$AK$6:$AM$132,ROWS(CD$6:CD38),0)</f>
        <v>4.4827777358888854</v>
      </c>
      <c r="CE38" s="362">
        <f t="shared" si="30"/>
        <v>4.4827777358888854</v>
      </c>
      <c r="CF38" s="363">
        <f t="shared" si="25"/>
        <v>4.4827777358888854</v>
      </c>
      <c r="CG38" s="363">
        <f t="shared" si="25"/>
        <v>4.4827777358888854</v>
      </c>
      <c r="CH38" s="363">
        <f t="shared" si="25"/>
        <v>4.4827777358888854</v>
      </c>
      <c r="CI38" s="363">
        <f t="shared" si="25"/>
        <v>4.4827777358888854</v>
      </c>
      <c r="CJ38" s="363">
        <f t="shared" si="25"/>
        <v>4.4827777358888854</v>
      </c>
      <c r="CK38" s="363">
        <f t="shared" si="25"/>
        <v>4.4827777358888854</v>
      </c>
      <c r="CL38" s="364">
        <f t="shared" si="25"/>
        <v>4.4827777358888854</v>
      </c>
      <c r="CM38" s="305" t="s">
        <v>293</v>
      </c>
      <c r="CN38" s="315">
        <v>0</v>
      </c>
      <c r="CO38" s="306"/>
      <c r="CP38" s="307">
        <f>IF($CO38&lt;&gt;"",$CO38,HLOOKUP($CM38,$AY$6:$BA$132,ROWS(CP$6:CP38),0))</f>
        <v>272884.11937145836</v>
      </c>
      <c r="CQ38" s="784">
        <f t="shared" si="26"/>
        <v>1223278.8547960185</v>
      </c>
      <c r="CR38" s="784">
        <f t="shared" si="26"/>
        <v>1223278.8547960185</v>
      </c>
      <c r="CS38" s="97">
        <f t="shared" si="26"/>
        <v>1223278.8547960185</v>
      </c>
      <c r="CT38" s="97">
        <f t="shared" si="26"/>
        <v>1223278.8547960185</v>
      </c>
      <c r="CU38" s="97">
        <f t="shared" si="26"/>
        <v>1223278.8547960185</v>
      </c>
      <c r="CV38" s="97">
        <f t="shared" si="26"/>
        <v>1223278.8547960185</v>
      </c>
      <c r="CW38" s="97">
        <f t="shared" si="26"/>
        <v>1223278.8547960185</v>
      </c>
      <c r="CX38" s="98">
        <f t="shared" ref="CX38:CX101" si="62">IFERROR(CL38*$CP38,"")</f>
        <v>1223278.8547960185</v>
      </c>
      <c r="CY38" s="392"/>
    </row>
    <row r="39" spans="1:105" x14ac:dyDescent="0.25">
      <c r="A39" s="81" t="s">
        <v>81</v>
      </c>
      <c r="B39" s="82" t="s">
        <v>89</v>
      </c>
      <c r="C39" s="83" t="s">
        <v>74</v>
      </c>
      <c r="D39" s="84">
        <v>-3658.39</v>
      </c>
      <c r="E39" s="85">
        <v>25362.301418655017</v>
      </c>
      <c r="F39" s="85">
        <v>12145.097529904009</v>
      </c>
      <c r="G39" s="85">
        <v>6413.8597504005465</v>
      </c>
      <c r="H39" s="85">
        <v>366.10435798286414</v>
      </c>
      <c r="I39" s="85">
        <v>42027.544069729869</v>
      </c>
      <c r="J39" s="85">
        <v>225432.28468921478</v>
      </c>
      <c r="K39" s="85">
        <v>99708.123937259981</v>
      </c>
      <c r="L39" s="85">
        <v>301930.27318962</v>
      </c>
      <c r="M39" s="654">
        <f>'2022-23 Input'!F39</f>
        <v>318594.28973329696</v>
      </c>
      <c r="N39" s="1065">
        <v>459857.69569066359</v>
      </c>
      <c r="O39" s="560">
        <f t="shared" si="27"/>
        <v>-4922.2039436221476</v>
      </c>
      <c r="P39" s="561">
        <f t="shared" si="0"/>
        <v>33615.978574361907</v>
      </c>
      <c r="Q39" s="561">
        <f t="shared" si="1"/>
        <v>15934.437766031235</v>
      </c>
      <c r="R39" s="561">
        <f t="shared" si="2"/>
        <v>8255.3863156732805</v>
      </c>
      <c r="S39" s="561">
        <f t="shared" si="3"/>
        <v>461.62786710743444</v>
      </c>
      <c r="T39" s="561">
        <f t="shared" si="4"/>
        <v>52162.414642476186</v>
      </c>
      <c r="U39" s="561">
        <f t="shared" si="5"/>
        <v>280773.19948915089</v>
      </c>
      <c r="V39" s="561">
        <f t="shared" si="6"/>
        <v>119585.81483825635</v>
      </c>
      <c r="W39" s="675">
        <f t="shared" si="7"/>
        <v>341159.23843781458</v>
      </c>
      <c r="X39" s="675">
        <f t="shared" si="8"/>
        <v>338812.57840742526</v>
      </c>
      <c r="Y39" s="675">
        <f t="shared" si="8"/>
        <v>472503.08302393235</v>
      </c>
      <c r="Z39" s="125">
        <v>-1</v>
      </c>
      <c r="AA39" s="126">
        <v>0</v>
      </c>
      <c r="AB39" s="126">
        <v>1</v>
      </c>
      <c r="AC39" s="126">
        <v>0</v>
      </c>
      <c r="AD39" s="126">
        <v>0</v>
      </c>
      <c r="AE39" s="126">
        <v>0.68970003800000002</v>
      </c>
      <c r="AF39" s="126">
        <v>-8.7666666999999976E-2</v>
      </c>
      <c r="AG39" s="126">
        <v>3.4739999999999971</v>
      </c>
      <c r="AH39" s="126">
        <v>2.5163333100000003</v>
      </c>
      <c r="AI39" s="1097">
        <f>'2022-23 Input'!M39</f>
        <v>2.9073334020000003</v>
      </c>
      <c r="AJ39" s="668">
        <v>4.3440000929999982</v>
      </c>
      <c r="AK39" s="127">
        <f t="shared" ref="AK39:AK70" si="63">IFERROR(IF($AM$4="N",SUM(AD39:AH39)/5,SUM(AE39:AI39)/5),"")</f>
        <v>1.8999400165999998</v>
      </c>
      <c r="AL39" s="128">
        <f t="shared" ref="AL39:AL70" si="64">IFERROR(IF($AM$4="N",SUM(AF39:AH39)/3,SUM(AG39:AI39)/3),"")</f>
        <v>2.9658889039999994</v>
      </c>
      <c r="AM39" s="129">
        <f t="shared" ref="AM39:AM70" si="65">IFERROR(IF($AM$4="N",AH39,AI39),"")</f>
        <v>2.9073334020000003</v>
      </c>
      <c r="AN39" s="91">
        <f t="shared" ref="AN39:AN70" si="66">IFERROR(D39/Z39,"")</f>
        <v>3658.39</v>
      </c>
      <c r="AO39" s="92" t="str">
        <f t="shared" ref="AO39:AO70" si="67">IFERROR(E39/AA39,"")</f>
        <v/>
      </c>
      <c r="AP39" s="92">
        <f t="shared" ref="AP39:AP70" si="68">IFERROR(F39/AB39,"")</f>
        <v>12145.097529904009</v>
      </c>
      <c r="AQ39" s="92" t="str">
        <f t="shared" ref="AQ39:AQ70" si="69">IFERROR(G39/AC39,"")</f>
        <v/>
      </c>
      <c r="AR39" s="92" t="str">
        <f t="shared" ref="AR39:AR70" si="70">IFERROR(H39/AD39,"")</f>
        <v/>
      </c>
      <c r="AS39" s="92">
        <f t="shared" ref="AS39:AS70" si="71">IFERROR(I39/AE39,"")</f>
        <v>60935.974705180262</v>
      </c>
      <c r="AT39" s="92">
        <f t="shared" ref="AT39:AT70" si="72">IFERROR(J39/AF39,"")</f>
        <v>-2571470.9182364014</v>
      </c>
      <c r="AU39" s="92">
        <f t="shared" ref="AU39:AU70" si="73">IFERROR(K39/AG39,"")</f>
        <v>28701.244656666684</v>
      </c>
      <c r="AV39" s="92">
        <f t="shared" ref="AV39:AX54" si="74">IFERROR(L39/AH39,"")</f>
        <v>119988.18757027859</v>
      </c>
      <c r="AW39" s="92">
        <f t="shared" si="74"/>
        <v>109582.99089954077</v>
      </c>
      <c r="AX39" s="92">
        <f t="shared" si="74"/>
        <v>105860.42491842639</v>
      </c>
      <c r="AY39" s="93">
        <f t="shared" ref="AY39:AY70" si="75">IFERROR(IF($BA$3="N",
IF($BA$4="N",SUM(H39:L39)/SUM(AD39:AH39),SUM(I39:M39)/SUM(AE39:AI39)),
IF($BA$4="N",SUM(S39:W39)/SUM(AD39:AH39),SUM(T39:X39)/SUM(AE39:AI39))),"")</f>
        <v>103970.91560675977</v>
      </c>
      <c r="AZ39" s="94">
        <f t="shared" ref="AZ39:AZ70" si="76">IFERROR(IF($BA$3="N",
IF($BA$4="N",SUM(J39:L39)/SUM(AF39:AH39),SUM(K39:M39)/SUM(AG39:AI39)),
IF($BA$4="N",SUM(U39:W39)/SUM(AF39:AH39),SUM(V39:X39)/SUM(AG39:AI39))),"")</f>
        <v>80946.242444530115</v>
      </c>
      <c r="BA39" s="95">
        <f t="shared" ref="BA39:BA70" si="77">IFERROR(IF($BA$3="N",
IF($BA$4="N",L39/AH39,M39/AI39),
IF($BA$4="N",W39/AH39,X39/AI39)),"")</f>
        <v>109582.99089954077</v>
      </c>
      <c r="BB39" s="248" t="s">
        <v>422</v>
      </c>
      <c r="BC39" s="229" t="s">
        <v>433</v>
      </c>
      <c r="BD39" s="249">
        <v>0</v>
      </c>
      <c r="BE39" s="267">
        <f t="shared" si="28"/>
        <v>0</v>
      </c>
      <c r="BF39" s="268">
        <f t="shared" ref="BF39:BL39" si="78">IF(BF$6=$BB39,1,
IF(BE39&lt;&gt;0,BE39+1,0
))</f>
        <v>0</v>
      </c>
      <c r="BG39" s="268">
        <f t="shared" si="78"/>
        <v>0</v>
      </c>
      <c r="BH39" s="268">
        <f t="shared" si="78"/>
        <v>1</v>
      </c>
      <c r="BI39" s="268">
        <f t="shared" si="78"/>
        <v>2</v>
      </c>
      <c r="BJ39" s="268">
        <f t="shared" si="78"/>
        <v>3</v>
      </c>
      <c r="BK39" s="268">
        <f t="shared" si="78"/>
        <v>4</v>
      </c>
      <c r="BL39" s="269">
        <f t="shared" si="78"/>
        <v>5</v>
      </c>
      <c r="BM39" s="256">
        <f>IF($BC39=Lookup!$A$2,$BD39*ROUNDUP(BE39/10,0)+1,
IF($BC39=Lookup!$A$3,($BD39+1)^BD39,
IF($BC39=Lookup!$A$4,BE39*$BD39+1,"Error")))</f>
        <v>1</v>
      </c>
      <c r="BN39" s="229">
        <f>IF($BC39=Lookup!$A$2,$BD39*ROUNDUP(BF39/10,0)+1,
IF($BC39=Lookup!$A$3,($BD39+1)^BE39,
IF($BC39=Lookup!$A$4,BF39*$BD39+1,"Error")))</f>
        <v>1</v>
      </c>
      <c r="BO39" s="229">
        <f>IF($BC39=Lookup!$A$2,$BD39*ROUNDUP(BG39/10,0)+1,
IF($BC39=Lookup!$A$3,($BD39+1)^BF39,
IF($BC39=Lookup!$A$4,BG39*$BD39+1,"Error")))</f>
        <v>1</v>
      </c>
      <c r="BP39" s="229">
        <f>IF($BC39=Lookup!$A$2,$BD39*ROUNDUP(BH39/10,0)+1,
IF($BC39=Lookup!$A$3,($BD39+1)^BG39,
IF($BC39=Lookup!$A$4,BH39*$BD39+1,"Error")))</f>
        <v>1</v>
      </c>
      <c r="BQ39" s="229">
        <f>IF($BC39=Lookup!$A$2,$BD39*ROUNDUP(BI39/10,0)+1,
IF($BC39=Lookup!$A$3,($BD39+1)^BH39,
IF($BC39=Lookup!$A$4,BI39*$BD39+1,"Error")))</f>
        <v>1</v>
      </c>
      <c r="BR39" s="229">
        <f>IF($BC39=Lookup!$A$2,$BD39*ROUNDUP(BJ39/10,0)+1,
IF($BC39=Lookup!$A$3,($BD39+1)^BI39,
IF($BC39=Lookup!$A$4,BJ39*$BD39+1,"Error")))</f>
        <v>1</v>
      </c>
      <c r="BS39" s="229">
        <f>IF($BC39=Lookup!$A$2,$BD39*ROUNDUP(BK39/10,0)+1,
IF($BC39=Lookup!$A$3,($BD39+1)^BJ39,
IF($BC39=Lookup!$A$4,BK39*$BD39+1,"Error")))</f>
        <v>1</v>
      </c>
      <c r="BT39" s="249">
        <f>IF($BC39=Lookup!$A$2,$BD39*ROUNDUP(BL39/10,0)+1,
IF($BC39=Lookup!$A$3,($BD39+1)^BK39,
IF($BC39=Lookup!$A$4,BL39*$BD39+1,"Error")))</f>
        <v>1</v>
      </c>
      <c r="BU39" s="398"/>
      <c r="BV39" s="356"/>
      <c r="BW39" s="356"/>
      <c r="BX39" s="356"/>
      <c r="BY39" s="356"/>
      <c r="BZ39" s="356"/>
      <c r="CA39" s="356"/>
      <c r="CB39" s="399"/>
      <c r="CC39" s="382" t="s">
        <v>293</v>
      </c>
      <c r="CD39" s="383">
        <f>HLOOKUP($CC39,$AK$6:$AM$132,ROWS(CD$6:CD39),0)</f>
        <v>2.9658889039999994</v>
      </c>
      <c r="CE39" s="362">
        <f t="shared" si="30"/>
        <v>2.9658889039999994</v>
      </c>
      <c r="CF39" s="363">
        <f t="shared" si="25"/>
        <v>2.9658889039999994</v>
      </c>
      <c r="CG39" s="363">
        <f t="shared" si="25"/>
        <v>2.9658889039999994</v>
      </c>
      <c r="CH39" s="363">
        <f t="shared" si="25"/>
        <v>2.9658889039999994</v>
      </c>
      <c r="CI39" s="363">
        <f t="shared" si="25"/>
        <v>2.9658889039999994</v>
      </c>
      <c r="CJ39" s="363">
        <f t="shared" si="25"/>
        <v>2.9658889039999994</v>
      </c>
      <c r="CK39" s="363">
        <f t="shared" si="25"/>
        <v>2.9658889039999994</v>
      </c>
      <c r="CL39" s="364">
        <f t="shared" si="25"/>
        <v>2.9658889039999994</v>
      </c>
      <c r="CM39" s="305" t="s">
        <v>293</v>
      </c>
      <c r="CN39" s="315">
        <v>0</v>
      </c>
      <c r="CO39" s="306"/>
      <c r="CP39" s="307">
        <f>IF($CO39&lt;&gt;"",$CO39,HLOOKUP($CM39,$AY$6:$BA$132,ROWS(CP$6:CP39),0))</f>
        <v>80946.242444530115</v>
      </c>
      <c r="CQ39" s="784">
        <f t="shared" ref="CQ39:CW70" si="79">IFERROR(CE39*$CP39,"")</f>
        <v>240077.56228672565</v>
      </c>
      <c r="CR39" s="784">
        <f t="shared" si="79"/>
        <v>240077.56228672565</v>
      </c>
      <c r="CS39" s="97">
        <f t="shared" si="79"/>
        <v>240077.56228672565</v>
      </c>
      <c r="CT39" s="97">
        <f t="shared" si="79"/>
        <v>240077.56228672565</v>
      </c>
      <c r="CU39" s="97">
        <f t="shared" si="79"/>
        <v>240077.56228672565</v>
      </c>
      <c r="CV39" s="97">
        <f t="shared" si="79"/>
        <v>240077.56228672565</v>
      </c>
      <c r="CW39" s="97">
        <f t="shared" si="79"/>
        <v>240077.56228672565</v>
      </c>
      <c r="CX39" s="98">
        <f t="shared" si="62"/>
        <v>240077.56228672565</v>
      </c>
      <c r="CY39" s="392"/>
    </row>
    <row r="40" spans="1:105" x14ac:dyDescent="0.25">
      <c r="A40" s="81" t="s">
        <v>81</v>
      </c>
      <c r="B40" s="82" t="s">
        <v>90</v>
      </c>
      <c r="C40" s="83" t="s">
        <v>76</v>
      </c>
      <c r="D40" s="84">
        <v>0</v>
      </c>
      <c r="E40" s="85">
        <v>0</v>
      </c>
      <c r="F40" s="85">
        <v>55619.348156523585</v>
      </c>
      <c r="G40" s="85">
        <v>0</v>
      </c>
      <c r="H40" s="85">
        <v>0</v>
      </c>
      <c r="I40" s="85">
        <v>0</v>
      </c>
      <c r="J40" s="85">
        <v>0</v>
      </c>
      <c r="K40" s="85">
        <v>2827.8290000000002</v>
      </c>
      <c r="L40" s="85">
        <v>0</v>
      </c>
      <c r="M40" s="654">
        <f>'2022-23 Input'!F40</f>
        <v>0</v>
      </c>
      <c r="N40" s="1065">
        <v>76935.895580819997</v>
      </c>
      <c r="O40" s="560">
        <f t="shared" si="27"/>
        <v>0</v>
      </c>
      <c r="P40" s="561">
        <f t="shared" si="0"/>
        <v>0</v>
      </c>
      <c r="Q40" s="561">
        <f t="shared" si="1"/>
        <v>72972.904466610242</v>
      </c>
      <c r="R40" s="561">
        <f t="shared" si="2"/>
        <v>0</v>
      </c>
      <c r="S40" s="561">
        <f t="shared" si="3"/>
        <v>0</v>
      </c>
      <c r="T40" s="561">
        <f t="shared" si="4"/>
        <v>0</v>
      </c>
      <c r="U40" s="561">
        <f t="shared" si="5"/>
        <v>0</v>
      </c>
      <c r="V40" s="561">
        <f t="shared" si="6"/>
        <v>3391.5815666237945</v>
      </c>
      <c r="W40" s="675">
        <f t="shared" si="7"/>
        <v>0</v>
      </c>
      <c r="X40" s="675">
        <f t="shared" si="8"/>
        <v>0</v>
      </c>
      <c r="Y40" s="675">
        <f t="shared" si="8"/>
        <v>79051.51571410973</v>
      </c>
      <c r="Z40" s="125">
        <v>0</v>
      </c>
      <c r="AA40" s="126">
        <v>0</v>
      </c>
      <c r="AB40" s="126">
        <v>1</v>
      </c>
      <c r="AC40" s="126">
        <v>0</v>
      </c>
      <c r="AD40" s="126">
        <v>0</v>
      </c>
      <c r="AE40" s="126">
        <v>0</v>
      </c>
      <c r="AF40" s="126">
        <v>0</v>
      </c>
      <c r="AG40" s="126">
        <v>0</v>
      </c>
      <c r="AH40" s="126">
        <v>0</v>
      </c>
      <c r="AI40" s="1097">
        <f>'2022-23 Input'!M40</f>
        <v>0</v>
      </c>
      <c r="AJ40" s="668">
        <v>3.3333331000000001E-2</v>
      </c>
      <c r="AK40" s="127">
        <f t="shared" si="63"/>
        <v>0</v>
      </c>
      <c r="AL40" s="128">
        <f t="shared" si="64"/>
        <v>0</v>
      </c>
      <c r="AM40" s="129">
        <f t="shared" si="65"/>
        <v>0</v>
      </c>
      <c r="AN40" s="91" t="str">
        <f t="shared" si="66"/>
        <v/>
      </c>
      <c r="AO40" s="92" t="str">
        <f t="shared" si="67"/>
        <v/>
      </c>
      <c r="AP40" s="92">
        <f t="shared" si="68"/>
        <v>55619.348156523585</v>
      </c>
      <c r="AQ40" s="92" t="str">
        <f t="shared" si="69"/>
        <v/>
      </c>
      <c r="AR40" s="92" t="str">
        <f t="shared" si="70"/>
        <v/>
      </c>
      <c r="AS40" s="92" t="str">
        <f t="shared" si="71"/>
        <v/>
      </c>
      <c r="AT40" s="92" t="str">
        <f t="shared" si="72"/>
        <v/>
      </c>
      <c r="AU40" s="92" t="str">
        <f t="shared" si="73"/>
        <v/>
      </c>
      <c r="AV40" s="92" t="str">
        <f t="shared" si="74"/>
        <v/>
      </c>
      <c r="AW40" s="92" t="str">
        <f t="shared" si="74"/>
        <v/>
      </c>
      <c r="AX40" s="92">
        <f t="shared" si="74"/>
        <v>2308077.0289899921</v>
      </c>
      <c r="AY40" s="93" t="str">
        <f t="shared" si="75"/>
        <v/>
      </c>
      <c r="AZ40" s="94" t="str">
        <f t="shared" si="76"/>
        <v/>
      </c>
      <c r="BA40" s="95" t="str">
        <f t="shared" si="77"/>
        <v/>
      </c>
      <c r="BB40" s="248" t="s">
        <v>422</v>
      </c>
      <c r="BC40" s="229" t="s">
        <v>433</v>
      </c>
      <c r="BD40" s="249">
        <v>0</v>
      </c>
      <c r="BE40" s="267">
        <f t="shared" si="28"/>
        <v>0</v>
      </c>
      <c r="BF40" s="268">
        <f t="shared" ref="BF40:BL40" si="80">IF(BF$6=$BB40,1,
IF(BE40&lt;&gt;0,BE40+1,0
))</f>
        <v>0</v>
      </c>
      <c r="BG40" s="268">
        <f t="shared" si="80"/>
        <v>0</v>
      </c>
      <c r="BH40" s="268">
        <f t="shared" si="80"/>
        <v>1</v>
      </c>
      <c r="BI40" s="268">
        <f t="shared" si="80"/>
        <v>2</v>
      </c>
      <c r="BJ40" s="268">
        <f t="shared" si="80"/>
        <v>3</v>
      </c>
      <c r="BK40" s="268">
        <f t="shared" si="80"/>
        <v>4</v>
      </c>
      <c r="BL40" s="269">
        <f t="shared" si="80"/>
        <v>5</v>
      </c>
      <c r="BM40" s="256">
        <f>IF($BC40=Lookup!$A$2,$BD40*ROUNDUP(BE40/10,0)+1,
IF($BC40=Lookup!$A$3,($BD40+1)^BD40,
IF($BC40=Lookup!$A$4,BE40*$BD40+1,"Error")))</f>
        <v>1</v>
      </c>
      <c r="BN40" s="229">
        <f>IF($BC40=Lookup!$A$2,$BD40*ROUNDUP(BF40/10,0)+1,
IF($BC40=Lookup!$A$3,($BD40+1)^BE40,
IF($BC40=Lookup!$A$4,BF40*$BD40+1,"Error")))</f>
        <v>1</v>
      </c>
      <c r="BO40" s="229">
        <f>IF($BC40=Lookup!$A$2,$BD40*ROUNDUP(BG40/10,0)+1,
IF($BC40=Lookup!$A$3,($BD40+1)^BF40,
IF($BC40=Lookup!$A$4,BG40*$BD40+1,"Error")))</f>
        <v>1</v>
      </c>
      <c r="BP40" s="229">
        <f>IF($BC40=Lookup!$A$2,$BD40*ROUNDUP(BH40/10,0)+1,
IF($BC40=Lookup!$A$3,($BD40+1)^BG40,
IF($BC40=Lookup!$A$4,BH40*$BD40+1,"Error")))</f>
        <v>1</v>
      </c>
      <c r="BQ40" s="229">
        <f>IF($BC40=Lookup!$A$2,$BD40*ROUNDUP(BI40/10,0)+1,
IF($BC40=Lookup!$A$3,($BD40+1)^BH40,
IF($BC40=Lookup!$A$4,BI40*$BD40+1,"Error")))</f>
        <v>1</v>
      </c>
      <c r="BR40" s="229">
        <f>IF($BC40=Lookup!$A$2,$BD40*ROUNDUP(BJ40/10,0)+1,
IF($BC40=Lookup!$A$3,($BD40+1)^BI40,
IF($BC40=Lookup!$A$4,BJ40*$BD40+1,"Error")))</f>
        <v>1</v>
      </c>
      <c r="BS40" s="229">
        <f>IF($BC40=Lookup!$A$2,$BD40*ROUNDUP(BK40/10,0)+1,
IF($BC40=Lookup!$A$3,($BD40+1)^BJ40,
IF($BC40=Lookup!$A$4,BK40*$BD40+1,"Error")))</f>
        <v>1</v>
      </c>
      <c r="BT40" s="249">
        <f>IF($BC40=Lookup!$A$2,$BD40*ROUNDUP(BL40/10,0)+1,
IF($BC40=Lookup!$A$3,($BD40+1)^BK40,
IF($BC40=Lookup!$A$4,BL40*$BD40+1,"Error")))</f>
        <v>1</v>
      </c>
      <c r="BU40" s="398"/>
      <c r="BV40" s="356"/>
      <c r="BW40" s="356"/>
      <c r="BX40" s="356"/>
      <c r="BY40" s="356"/>
      <c r="BZ40" s="356"/>
      <c r="CA40" s="356"/>
      <c r="CB40" s="399"/>
      <c r="CC40" s="382" t="s">
        <v>293</v>
      </c>
      <c r="CD40" s="383">
        <f>HLOOKUP($CC40,$AK$6:$AM$132,ROWS(CD$6:CD40),0)</f>
        <v>0</v>
      </c>
      <c r="CE40" s="362">
        <f t="shared" si="30"/>
        <v>0</v>
      </c>
      <c r="CF40" s="363">
        <f t="shared" si="25"/>
        <v>0</v>
      </c>
      <c r="CG40" s="363">
        <f t="shared" si="25"/>
        <v>0</v>
      </c>
      <c r="CH40" s="363">
        <f t="shared" si="25"/>
        <v>0</v>
      </c>
      <c r="CI40" s="363">
        <f t="shared" si="25"/>
        <v>0</v>
      </c>
      <c r="CJ40" s="363">
        <f t="shared" si="25"/>
        <v>0</v>
      </c>
      <c r="CK40" s="363">
        <f t="shared" si="25"/>
        <v>0</v>
      </c>
      <c r="CL40" s="364">
        <f t="shared" si="25"/>
        <v>0</v>
      </c>
      <c r="CM40" s="305" t="s">
        <v>293</v>
      </c>
      <c r="CN40" s="315">
        <v>0</v>
      </c>
      <c r="CO40" s="306"/>
      <c r="CP40" s="307" t="str">
        <f>IF($CO40&lt;&gt;"",$CO40,HLOOKUP($CM40,$AY$6:$BA$132,ROWS(CP$6:CP40),0))</f>
        <v/>
      </c>
      <c r="CQ40" s="784" t="str">
        <f t="shared" si="79"/>
        <v/>
      </c>
      <c r="CR40" s="784" t="str">
        <f t="shared" si="79"/>
        <v/>
      </c>
      <c r="CS40" s="97" t="str">
        <f t="shared" si="79"/>
        <v/>
      </c>
      <c r="CT40" s="97" t="str">
        <f t="shared" si="79"/>
        <v/>
      </c>
      <c r="CU40" s="97" t="str">
        <f t="shared" si="79"/>
        <v/>
      </c>
      <c r="CV40" s="97" t="str">
        <f t="shared" si="79"/>
        <v/>
      </c>
      <c r="CW40" s="97" t="str">
        <f t="shared" si="79"/>
        <v/>
      </c>
      <c r="CX40" s="98" t="str">
        <f t="shared" si="62"/>
        <v/>
      </c>
      <c r="CY40" s="392"/>
    </row>
    <row r="41" spans="1:105" x14ac:dyDescent="0.25">
      <c r="A41" s="81" t="s">
        <v>81</v>
      </c>
      <c r="B41" s="82" t="s">
        <v>91</v>
      </c>
      <c r="C41" s="83" t="s">
        <v>78</v>
      </c>
      <c r="D41" s="84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654">
        <f>'2022-23 Input'!F41</f>
        <v>0</v>
      </c>
      <c r="N41" s="1065">
        <v>0</v>
      </c>
      <c r="O41" s="560">
        <f t="shared" si="27"/>
        <v>0</v>
      </c>
      <c r="P41" s="561">
        <f t="shared" si="0"/>
        <v>0</v>
      </c>
      <c r="Q41" s="561">
        <f t="shared" si="1"/>
        <v>0</v>
      </c>
      <c r="R41" s="561">
        <f t="shared" si="2"/>
        <v>0</v>
      </c>
      <c r="S41" s="561">
        <f t="shared" si="3"/>
        <v>0</v>
      </c>
      <c r="T41" s="561">
        <f t="shared" si="4"/>
        <v>0</v>
      </c>
      <c r="U41" s="561">
        <f t="shared" si="5"/>
        <v>0</v>
      </c>
      <c r="V41" s="561">
        <f t="shared" si="6"/>
        <v>0</v>
      </c>
      <c r="W41" s="675">
        <f t="shared" si="7"/>
        <v>0</v>
      </c>
      <c r="X41" s="675">
        <f t="shared" si="8"/>
        <v>0</v>
      </c>
      <c r="Y41" s="675">
        <f t="shared" si="8"/>
        <v>0</v>
      </c>
      <c r="Z41" s="125">
        <v>0</v>
      </c>
      <c r="AA41" s="126">
        <v>0</v>
      </c>
      <c r="AB41" s="126">
        <v>0</v>
      </c>
      <c r="AC41" s="126">
        <v>0</v>
      </c>
      <c r="AD41" s="126">
        <v>0</v>
      </c>
      <c r="AE41" s="126">
        <v>0</v>
      </c>
      <c r="AF41" s="126">
        <v>0</v>
      </c>
      <c r="AG41" s="126">
        <v>0</v>
      </c>
      <c r="AH41" s="126">
        <v>0</v>
      </c>
      <c r="AI41" s="1097">
        <f>'2022-23 Input'!M41</f>
        <v>0</v>
      </c>
      <c r="AJ41" s="668">
        <v>0</v>
      </c>
      <c r="AK41" s="127">
        <f t="shared" si="63"/>
        <v>0</v>
      </c>
      <c r="AL41" s="128">
        <f t="shared" si="64"/>
        <v>0</v>
      </c>
      <c r="AM41" s="129">
        <f t="shared" si="65"/>
        <v>0</v>
      </c>
      <c r="AN41" s="91" t="str">
        <f t="shared" si="66"/>
        <v/>
      </c>
      <c r="AO41" s="92" t="str">
        <f t="shared" si="67"/>
        <v/>
      </c>
      <c r="AP41" s="92" t="str">
        <f t="shared" si="68"/>
        <v/>
      </c>
      <c r="AQ41" s="92" t="str">
        <f t="shared" si="69"/>
        <v/>
      </c>
      <c r="AR41" s="92" t="str">
        <f t="shared" si="70"/>
        <v/>
      </c>
      <c r="AS41" s="92" t="str">
        <f t="shared" si="71"/>
        <v/>
      </c>
      <c r="AT41" s="92" t="str">
        <f t="shared" si="72"/>
        <v/>
      </c>
      <c r="AU41" s="92" t="str">
        <f t="shared" si="73"/>
        <v/>
      </c>
      <c r="AV41" s="92" t="str">
        <f t="shared" si="74"/>
        <v/>
      </c>
      <c r="AW41" s="92" t="str">
        <f t="shared" si="74"/>
        <v/>
      </c>
      <c r="AX41" s="92" t="str">
        <f t="shared" si="74"/>
        <v/>
      </c>
      <c r="AY41" s="93" t="str">
        <f t="shared" si="75"/>
        <v/>
      </c>
      <c r="AZ41" s="94" t="str">
        <f t="shared" si="76"/>
        <v/>
      </c>
      <c r="BA41" s="95" t="str">
        <f t="shared" si="77"/>
        <v/>
      </c>
      <c r="BB41" s="248" t="s">
        <v>422</v>
      </c>
      <c r="BC41" s="229" t="s">
        <v>433</v>
      </c>
      <c r="BD41" s="249">
        <v>0</v>
      </c>
      <c r="BE41" s="267">
        <f t="shared" si="28"/>
        <v>0</v>
      </c>
      <c r="BF41" s="268">
        <f t="shared" ref="BF41:BL41" si="81">IF(BF$6=$BB41,1,
IF(BE41&lt;&gt;0,BE41+1,0
))</f>
        <v>0</v>
      </c>
      <c r="BG41" s="268">
        <f t="shared" si="81"/>
        <v>0</v>
      </c>
      <c r="BH41" s="268">
        <f t="shared" si="81"/>
        <v>1</v>
      </c>
      <c r="BI41" s="268">
        <f t="shared" si="81"/>
        <v>2</v>
      </c>
      <c r="BJ41" s="268">
        <f t="shared" si="81"/>
        <v>3</v>
      </c>
      <c r="BK41" s="268">
        <f t="shared" si="81"/>
        <v>4</v>
      </c>
      <c r="BL41" s="269">
        <f t="shared" si="81"/>
        <v>5</v>
      </c>
      <c r="BM41" s="256">
        <f>IF($BC41=Lookup!$A$2,$BD41*ROUNDUP(BE41/10,0)+1,
IF($BC41=Lookup!$A$3,($BD41+1)^BD41,
IF($BC41=Lookup!$A$4,BE41*$BD41+1,"Error")))</f>
        <v>1</v>
      </c>
      <c r="BN41" s="229">
        <f>IF($BC41=Lookup!$A$2,$BD41*ROUNDUP(BF41/10,0)+1,
IF($BC41=Lookup!$A$3,($BD41+1)^BE41,
IF($BC41=Lookup!$A$4,BF41*$BD41+1,"Error")))</f>
        <v>1</v>
      </c>
      <c r="BO41" s="229">
        <f>IF($BC41=Lookup!$A$2,$BD41*ROUNDUP(BG41/10,0)+1,
IF($BC41=Lookup!$A$3,($BD41+1)^BF41,
IF($BC41=Lookup!$A$4,BG41*$BD41+1,"Error")))</f>
        <v>1</v>
      </c>
      <c r="BP41" s="229">
        <f>IF($BC41=Lookup!$A$2,$BD41*ROUNDUP(BH41/10,0)+1,
IF($BC41=Lookup!$A$3,($BD41+1)^BG41,
IF($BC41=Lookup!$A$4,BH41*$BD41+1,"Error")))</f>
        <v>1</v>
      </c>
      <c r="BQ41" s="229">
        <f>IF($BC41=Lookup!$A$2,$BD41*ROUNDUP(BI41/10,0)+1,
IF($BC41=Lookup!$A$3,($BD41+1)^BH41,
IF($BC41=Lookup!$A$4,BI41*$BD41+1,"Error")))</f>
        <v>1</v>
      </c>
      <c r="BR41" s="229">
        <f>IF($BC41=Lookup!$A$2,$BD41*ROUNDUP(BJ41/10,0)+1,
IF($BC41=Lookup!$A$3,($BD41+1)^BI41,
IF($BC41=Lookup!$A$4,BJ41*$BD41+1,"Error")))</f>
        <v>1</v>
      </c>
      <c r="BS41" s="229">
        <f>IF($BC41=Lookup!$A$2,$BD41*ROUNDUP(BK41/10,0)+1,
IF($BC41=Lookup!$A$3,($BD41+1)^BJ41,
IF($BC41=Lookup!$A$4,BK41*$BD41+1,"Error")))</f>
        <v>1</v>
      </c>
      <c r="BT41" s="249">
        <f>IF($BC41=Lookup!$A$2,$BD41*ROUNDUP(BL41/10,0)+1,
IF($BC41=Lookup!$A$3,($BD41+1)^BK41,
IF($BC41=Lookup!$A$4,BL41*$BD41+1,"Error")))</f>
        <v>1</v>
      </c>
      <c r="BU41" s="398"/>
      <c r="BV41" s="356"/>
      <c r="BW41" s="356"/>
      <c r="BX41" s="356"/>
      <c r="BY41" s="356"/>
      <c r="BZ41" s="356"/>
      <c r="CA41" s="356"/>
      <c r="CB41" s="399"/>
      <c r="CC41" s="382" t="s">
        <v>293</v>
      </c>
      <c r="CD41" s="383">
        <f>HLOOKUP($CC41,$AK$6:$AM$132,ROWS(CD$6:CD41),0)</f>
        <v>0</v>
      </c>
      <c r="CE41" s="362">
        <f t="shared" si="30"/>
        <v>0</v>
      </c>
      <c r="CF41" s="363">
        <f t="shared" si="25"/>
        <v>0</v>
      </c>
      <c r="CG41" s="363">
        <f t="shared" si="25"/>
        <v>0</v>
      </c>
      <c r="CH41" s="363">
        <f t="shared" si="25"/>
        <v>0</v>
      </c>
      <c r="CI41" s="363">
        <f t="shared" si="25"/>
        <v>0</v>
      </c>
      <c r="CJ41" s="363">
        <f t="shared" si="25"/>
        <v>0</v>
      </c>
      <c r="CK41" s="363">
        <f t="shared" si="25"/>
        <v>0</v>
      </c>
      <c r="CL41" s="364">
        <f t="shared" si="25"/>
        <v>0</v>
      </c>
      <c r="CM41" s="305" t="s">
        <v>293</v>
      </c>
      <c r="CN41" s="315">
        <v>0</v>
      </c>
      <c r="CO41" s="306"/>
      <c r="CP41" s="307" t="str">
        <f>IF($CO41&lt;&gt;"",$CO41,HLOOKUP($CM41,$AY$6:$BA$132,ROWS(CP$6:CP41),0))</f>
        <v/>
      </c>
      <c r="CQ41" s="784" t="str">
        <f t="shared" si="79"/>
        <v/>
      </c>
      <c r="CR41" s="784" t="str">
        <f t="shared" si="79"/>
        <v/>
      </c>
      <c r="CS41" s="97" t="str">
        <f t="shared" si="79"/>
        <v/>
      </c>
      <c r="CT41" s="97" t="str">
        <f t="shared" si="79"/>
        <v/>
      </c>
      <c r="CU41" s="97" t="str">
        <f t="shared" si="79"/>
        <v/>
      </c>
      <c r="CV41" s="97" t="str">
        <f t="shared" si="79"/>
        <v/>
      </c>
      <c r="CW41" s="97" t="str">
        <f t="shared" si="79"/>
        <v/>
      </c>
      <c r="CX41" s="98" t="str">
        <f t="shared" si="62"/>
        <v/>
      </c>
      <c r="CY41" s="392"/>
    </row>
    <row r="42" spans="1:105" ht="15.75" thickBot="1" x14ac:dyDescent="0.3">
      <c r="A42" s="100" t="s">
        <v>81</v>
      </c>
      <c r="B42" s="101" t="s">
        <v>460</v>
      </c>
      <c r="C42" s="102" t="s">
        <v>320</v>
      </c>
      <c r="D42" s="103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655">
        <f>'2022-23 Input'!F42</f>
        <v>0</v>
      </c>
      <c r="N42" s="1066">
        <v>0</v>
      </c>
      <c r="O42" s="563">
        <f t="shared" si="27"/>
        <v>0</v>
      </c>
      <c r="P42" s="564">
        <f t="shared" si="0"/>
        <v>0</v>
      </c>
      <c r="Q42" s="564">
        <f t="shared" si="1"/>
        <v>0</v>
      </c>
      <c r="R42" s="564">
        <f t="shared" si="2"/>
        <v>0</v>
      </c>
      <c r="S42" s="564">
        <f t="shared" si="3"/>
        <v>0</v>
      </c>
      <c r="T42" s="564">
        <f t="shared" si="4"/>
        <v>0</v>
      </c>
      <c r="U42" s="564">
        <f t="shared" si="5"/>
        <v>0</v>
      </c>
      <c r="V42" s="564">
        <f t="shared" si="6"/>
        <v>0</v>
      </c>
      <c r="W42" s="676">
        <f t="shared" si="7"/>
        <v>0</v>
      </c>
      <c r="X42" s="676">
        <f t="shared" si="8"/>
        <v>0</v>
      </c>
      <c r="Y42" s="676">
        <f t="shared" si="8"/>
        <v>0</v>
      </c>
      <c r="Z42" s="131">
        <v>0</v>
      </c>
      <c r="AA42" s="132">
        <v>0</v>
      </c>
      <c r="AB42" s="132">
        <v>0</v>
      </c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098">
        <f>'2022-23 Input'!M42</f>
        <v>0</v>
      </c>
      <c r="AJ42" s="669">
        <v>0</v>
      </c>
      <c r="AK42" s="133">
        <f t="shared" si="63"/>
        <v>0</v>
      </c>
      <c r="AL42" s="134">
        <f t="shared" si="64"/>
        <v>0</v>
      </c>
      <c r="AM42" s="135">
        <f t="shared" si="65"/>
        <v>0</v>
      </c>
      <c r="AN42" s="110" t="str">
        <f t="shared" si="66"/>
        <v/>
      </c>
      <c r="AO42" s="111" t="str">
        <f t="shared" si="67"/>
        <v/>
      </c>
      <c r="AP42" s="111" t="str">
        <f t="shared" si="68"/>
        <v/>
      </c>
      <c r="AQ42" s="111" t="str">
        <f t="shared" si="69"/>
        <v/>
      </c>
      <c r="AR42" s="111" t="str">
        <f t="shared" si="70"/>
        <v/>
      </c>
      <c r="AS42" s="111" t="str">
        <f t="shared" si="71"/>
        <v/>
      </c>
      <c r="AT42" s="111" t="str">
        <f t="shared" si="72"/>
        <v/>
      </c>
      <c r="AU42" s="111" t="str">
        <f t="shared" si="73"/>
        <v/>
      </c>
      <c r="AV42" s="111" t="str">
        <f t="shared" si="74"/>
        <v/>
      </c>
      <c r="AW42" s="111" t="str">
        <f t="shared" si="74"/>
        <v/>
      </c>
      <c r="AX42" s="111" t="str">
        <f t="shared" si="74"/>
        <v/>
      </c>
      <c r="AY42" s="112" t="str">
        <f t="shared" si="75"/>
        <v/>
      </c>
      <c r="AZ42" s="113" t="str">
        <f t="shared" si="76"/>
        <v/>
      </c>
      <c r="BA42" s="114" t="str">
        <f t="shared" si="77"/>
        <v/>
      </c>
      <c r="BB42" s="250" t="s">
        <v>422</v>
      </c>
      <c r="BC42" s="230" t="s">
        <v>433</v>
      </c>
      <c r="BD42" s="251">
        <v>0</v>
      </c>
      <c r="BE42" s="270">
        <f t="shared" si="28"/>
        <v>0</v>
      </c>
      <c r="BF42" s="271">
        <f t="shared" ref="BF42:BL42" si="82">IF(BF$6=$BB42,1,
IF(BE42&lt;&gt;0,BE42+1,0
))</f>
        <v>0</v>
      </c>
      <c r="BG42" s="271">
        <f t="shared" si="82"/>
        <v>0</v>
      </c>
      <c r="BH42" s="271">
        <f t="shared" si="82"/>
        <v>1</v>
      </c>
      <c r="BI42" s="271">
        <f t="shared" si="82"/>
        <v>2</v>
      </c>
      <c r="BJ42" s="271">
        <f t="shared" si="82"/>
        <v>3</v>
      </c>
      <c r="BK42" s="271">
        <f t="shared" si="82"/>
        <v>4</v>
      </c>
      <c r="BL42" s="272">
        <f t="shared" si="82"/>
        <v>5</v>
      </c>
      <c r="BM42" s="257">
        <f>IF($BC42=Lookup!$A$2,$BD42*ROUNDUP(BE42/10,0)+1,
IF($BC42=Lookup!$A$3,($BD42+1)^BD42,
IF($BC42=Lookup!$A$4,BE42*$BD42+1,"Error")))</f>
        <v>1</v>
      </c>
      <c r="BN42" s="230">
        <f>IF($BC42=Lookup!$A$2,$BD42*ROUNDUP(BF42/10,0)+1,
IF($BC42=Lookup!$A$3,($BD42+1)^BE42,
IF($BC42=Lookup!$A$4,BF42*$BD42+1,"Error")))</f>
        <v>1</v>
      </c>
      <c r="BO42" s="230">
        <f>IF($BC42=Lookup!$A$2,$BD42*ROUNDUP(BG42/10,0)+1,
IF($BC42=Lookup!$A$3,($BD42+1)^BF42,
IF($BC42=Lookup!$A$4,BG42*$BD42+1,"Error")))</f>
        <v>1</v>
      </c>
      <c r="BP42" s="230">
        <f>IF($BC42=Lookup!$A$2,$BD42*ROUNDUP(BH42/10,0)+1,
IF($BC42=Lookup!$A$3,($BD42+1)^BG42,
IF($BC42=Lookup!$A$4,BH42*$BD42+1,"Error")))</f>
        <v>1</v>
      </c>
      <c r="BQ42" s="230">
        <f>IF($BC42=Lookup!$A$2,$BD42*ROUNDUP(BI42/10,0)+1,
IF($BC42=Lookup!$A$3,($BD42+1)^BH42,
IF($BC42=Lookup!$A$4,BI42*$BD42+1,"Error")))</f>
        <v>1</v>
      </c>
      <c r="BR42" s="230">
        <f>IF($BC42=Lookup!$A$2,$BD42*ROUNDUP(BJ42/10,0)+1,
IF($BC42=Lookup!$A$3,($BD42+1)^BI42,
IF($BC42=Lookup!$A$4,BJ42*$BD42+1,"Error")))</f>
        <v>1</v>
      </c>
      <c r="BS42" s="230">
        <f>IF($BC42=Lookup!$A$2,$BD42*ROUNDUP(BK42/10,0)+1,
IF($BC42=Lookup!$A$3,($BD42+1)^BJ42,
IF($BC42=Lookup!$A$4,BK42*$BD42+1,"Error")))</f>
        <v>1</v>
      </c>
      <c r="BT42" s="251">
        <f>IF($BC42=Lookup!$A$2,$BD42*ROUNDUP(BL42/10,0)+1,
IF($BC42=Lookup!$A$3,($BD42+1)^BK42,
IF($BC42=Lookup!$A$4,BL42*$BD42+1,"Error")))</f>
        <v>1</v>
      </c>
      <c r="BU42" s="400"/>
      <c r="BV42" s="358"/>
      <c r="BW42" s="358"/>
      <c r="BX42" s="358"/>
      <c r="BY42" s="358"/>
      <c r="BZ42" s="358"/>
      <c r="CA42" s="358"/>
      <c r="CB42" s="401"/>
      <c r="CC42" s="384" t="s">
        <v>293</v>
      </c>
      <c r="CD42" s="385">
        <f>HLOOKUP($CC42,$AK$6:$AM$132,ROWS(CD$6:CD42),0)</f>
        <v>0</v>
      </c>
      <c r="CE42" s="365">
        <f t="shared" si="30"/>
        <v>0</v>
      </c>
      <c r="CF42" s="366">
        <f t="shared" si="25"/>
        <v>0</v>
      </c>
      <c r="CG42" s="366">
        <f t="shared" si="25"/>
        <v>0</v>
      </c>
      <c r="CH42" s="366">
        <f t="shared" si="25"/>
        <v>0</v>
      </c>
      <c r="CI42" s="366">
        <f t="shared" si="25"/>
        <v>0</v>
      </c>
      <c r="CJ42" s="366">
        <f t="shared" si="25"/>
        <v>0</v>
      </c>
      <c r="CK42" s="366">
        <f t="shared" si="25"/>
        <v>0</v>
      </c>
      <c r="CL42" s="367">
        <f t="shared" si="25"/>
        <v>0</v>
      </c>
      <c r="CM42" s="308" t="s">
        <v>293</v>
      </c>
      <c r="CN42" s="316">
        <v>0</v>
      </c>
      <c r="CO42" s="309"/>
      <c r="CP42" s="310" t="str">
        <f>IF($CO42&lt;&gt;"",$CO42,HLOOKUP($CM42,$AY$6:$BA$132,ROWS(CP$6:CP42),0))</f>
        <v/>
      </c>
      <c r="CQ42" s="785" t="str">
        <f t="shared" si="79"/>
        <v/>
      </c>
      <c r="CR42" s="785" t="str">
        <f t="shared" si="79"/>
        <v/>
      </c>
      <c r="CS42" s="117" t="str">
        <f t="shared" si="79"/>
        <v/>
      </c>
      <c r="CT42" s="117" t="str">
        <f t="shared" si="79"/>
        <v/>
      </c>
      <c r="CU42" s="117" t="str">
        <f t="shared" si="79"/>
        <v/>
      </c>
      <c r="CV42" s="117" t="str">
        <f t="shared" si="79"/>
        <v/>
      </c>
      <c r="CW42" s="117" t="str">
        <f t="shared" si="79"/>
        <v/>
      </c>
      <c r="CX42" s="118" t="str">
        <f t="shared" si="62"/>
        <v/>
      </c>
      <c r="CY42" s="393"/>
    </row>
    <row r="43" spans="1:105" x14ac:dyDescent="0.25">
      <c r="A43" s="63" t="s">
        <v>94</v>
      </c>
      <c r="B43" s="334" t="s">
        <v>92</v>
      </c>
      <c r="C43" s="65" t="s">
        <v>305</v>
      </c>
      <c r="D43" s="66">
        <v>367200.87761841452</v>
      </c>
      <c r="E43" s="67">
        <v>590807.35805319028</v>
      </c>
      <c r="F43" s="67">
        <v>1670852.0300334846</v>
      </c>
      <c r="G43" s="67">
        <v>503808.57801945705</v>
      </c>
      <c r="H43" s="67">
        <v>798803.93810916599</v>
      </c>
      <c r="I43" s="67">
        <v>783406.98190721474</v>
      </c>
      <c r="J43" s="67">
        <v>1490180.4883772954</v>
      </c>
      <c r="K43" s="67">
        <v>3518185.5787451998</v>
      </c>
      <c r="L43" s="67">
        <v>3234256.6888567894</v>
      </c>
      <c r="M43" s="653">
        <f>'2022-23 Input'!F43</f>
        <v>3572282.8378746668</v>
      </c>
      <c r="N43" s="1064">
        <v>5688829.091976664</v>
      </c>
      <c r="O43" s="557">
        <f t="shared" si="27"/>
        <v>494052.74120989663</v>
      </c>
      <c r="P43" s="558">
        <f t="shared" si="0"/>
        <v>783074.34179782856</v>
      </c>
      <c r="Q43" s="558">
        <f t="shared" si="1"/>
        <v>2192167.4670179402</v>
      </c>
      <c r="R43" s="558">
        <f t="shared" si="2"/>
        <v>648460.45946684468</v>
      </c>
      <c r="S43" s="558">
        <f t="shared" si="3"/>
        <v>1007226.9016901817</v>
      </c>
      <c r="T43" s="558">
        <f t="shared" si="4"/>
        <v>972324.23946198076</v>
      </c>
      <c r="U43" s="558">
        <f t="shared" si="5"/>
        <v>1856001.8770816994</v>
      </c>
      <c r="V43" s="558">
        <f t="shared" si="6"/>
        <v>4219566.797297108</v>
      </c>
      <c r="W43" s="674">
        <f t="shared" si="7"/>
        <v>3654474.7143981438</v>
      </c>
      <c r="X43" s="674">
        <f t="shared" si="8"/>
        <v>3798983.2150290906</v>
      </c>
      <c r="Y43" s="674">
        <f t="shared" si="8"/>
        <v>5845263.241094837</v>
      </c>
      <c r="Z43" s="119">
        <v>0</v>
      </c>
      <c r="AA43" s="120">
        <v>0</v>
      </c>
      <c r="AB43" s="120">
        <v>4</v>
      </c>
      <c r="AC43" s="120">
        <v>0</v>
      </c>
      <c r="AD43" s="120">
        <v>1</v>
      </c>
      <c r="AE43" s="120">
        <v>3.106083379000002</v>
      </c>
      <c r="AF43" s="120">
        <v>1.6650000310000048</v>
      </c>
      <c r="AG43" s="120">
        <v>9.8676666666666524</v>
      </c>
      <c r="AH43" s="120">
        <v>8.9003332990000033</v>
      </c>
      <c r="AI43" s="1096">
        <f>'2022-23 Input'!M43</f>
        <v>5.181000054000001</v>
      </c>
      <c r="AJ43" s="667">
        <v>9.0000000370000031</v>
      </c>
      <c r="AK43" s="121">
        <f t="shared" si="63"/>
        <v>5.7440166859333335</v>
      </c>
      <c r="AL43" s="122">
        <f t="shared" si="64"/>
        <v>7.9830000065555522</v>
      </c>
      <c r="AM43" s="123">
        <f t="shared" si="65"/>
        <v>5.181000054000001</v>
      </c>
      <c r="AN43" s="73" t="str">
        <f t="shared" si="66"/>
        <v/>
      </c>
      <c r="AO43" s="74" t="str">
        <f t="shared" si="67"/>
        <v/>
      </c>
      <c r="AP43" s="74">
        <f t="shared" si="68"/>
        <v>417713.00750837114</v>
      </c>
      <c r="AQ43" s="74" t="str">
        <f t="shared" si="69"/>
        <v/>
      </c>
      <c r="AR43" s="74">
        <f t="shared" si="70"/>
        <v>798803.93810916599</v>
      </c>
      <c r="AS43" s="74">
        <f t="shared" si="71"/>
        <v>252216.98400106415</v>
      </c>
      <c r="AT43" s="74">
        <f t="shared" si="72"/>
        <v>895003.27965897263</v>
      </c>
      <c r="AU43" s="74">
        <f t="shared" si="73"/>
        <v>356536.72723155137</v>
      </c>
      <c r="AV43" s="74">
        <f t="shared" si="74"/>
        <v>363386.01939998969</v>
      </c>
      <c r="AW43" s="74">
        <f t="shared" si="74"/>
        <v>689496.77680792124</v>
      </c>
      <c r="AX43" s="74">
        <f t="shared" si="74"/>
        <v>632092.11873213935</v>
      </c>
      <c r="AY43" s="75">
        <f t="shared" si="75"/>
        <v>438658.63435297774</v>
      </c>
      <c r="AZ43" s="76">
        <f t="shared" si="76"/>
        <v>431112.99415416527</v>
      </c>
      <c r="BA43" s="77">
        <f t="shared" si="77"/>
        <v>689496.77680792124</v>
      </c>
      <c r="BB43" s="246" t="s">
        <v>15</v>
      </c>
      <c r="BC43" s="228" t="s">
        <v>433</v>
      </c>
      <c r="BD43" s="247">
        <v>0.1</v>
      </c>
      <c r="BE43" s="264">
        <f t="shared" si="28"/>
        <v>0</v>
      </c>
      <c r="BF43" s="265">
        <f t="shared" ref="BF43:BL43" si="83">IF(BF$6=$BB43,1,
IF(BE43&lt;&gt;0,BE43+1,0
))</f>
        <v>1</v>
      </c>
      <c r="BG43" s="265">
        <f t="shared" si="83"/>
        <v>2</v>
      </c>
      <c r="BH43" s="265">
        <f t="shared" si="83"/>
        <v>3</v>
      </c>
      <c r="BI43" s="265">
        <f t="shared" si="83"/>
        <v>4</v>
      </c>
      <c r="BJ43" s="265">
        <f t="shared" si="83"/>
        <v>5</v>
      </c>
      <c r="BK43" s="265">
        <f t="shared" si="83"/>
        <v>6</v>
      </c>
      <c r="BL43" s="266">
        <f t="shared" si="83"/>
        <v>7</v>
      </c>
      <c r="BM43" s="255">
        <f>IF($BC43=Lookup!$A$2,$BD43*ROUNDUP(BE43/10,0)+1,
IF($BC43=Lookup!$A$3,($BD43+1)^BD43,
IF($BC43=Lookup!$A$4,BE43*$BD43+1,"Error")))</f>
        <v>1</v>
      </c>
      <c r="BN43" s="228">
        <f>IF($BC43=Lookup!$A$2,$BD43*ROUNDUP(BF43/10,0)+1,
IF($BC43=Lookup!$A$3,($BD43+1)^BE43,
IF($BC43=Lookup!$A$4,BF43*$BD43+1,"Error")))</f>
        <v>1.1000000000000001</v>
      </c>
      <c r="BO43" s="228">
        <f>IF($BC43=Lookup!$A$2,$BD43*ROUNDUP(BG43/10,0)+1,
IF($BC43=Lookup!$A$3,($BD43+1)^BF43,
IF($BC43=Lookup!$A$4,BG43*$BD43+1,"Error")))</f>
        <v>1.1000000000000001</v>
      </c>
      <c r="BP43" s="228">
        <f>IF($BC43=Lookup!$A$2,$BD43*ROUNDUP(BH43/10,0)+1,
IF($BC43=Lookup!$A$3,($BD43+1)^BG43,
IF($BC43=Lookup!$A$4,BH43*$BD43+1,"Error")))</f>
        <v>1.1000000000000001</v>
      </c>
      <c r="BQ43" s="228">
        <f>IF($BC43=Lookup!$A$2,$BD43*ROUNDUP(BI43/10,0)+1,
IF($BC43=Lookup!$A$3,($BD43+1)^BH43,
IF($BC43=Lookup!$A$4,BI43*$BD43+1,"Error")))</f>
        <v>1.1000000000000001</v>
      </c>
      <c r="BR43" s="228">
        <f>IF($BC43=Lookup!$A$2,$BD43*ROUNDUP(BJ43/10,0)+1,
IF($BC43=Lookup!$A$3,($BD43+1)^BI43,
IF($BC43=Lookup!$A$4,BJ43*$BD43+1,"Error")))</f>
        <v>1.1000000000000001</v>
      </c>
      <c r="BS43" s="228">
        <f>IF($BC43=Lookup!$A$2,$BD43*ROUNDUP(BK43/10,0)+1,
IF($BC43=Lookup!$A$3,($BD43+1)^BJ43,
IF($BC43=Lookup!$A$4,BK43*$BD43+1,"Error")))</f>
        <v>1.1000000000000001</v>
      </c>
      <c r="BT43" s="247">
        <f>IF($BC43=Lookup!$A$2,$BD43*ROUNDUP(BL43/10,0)+1,
IF($BC43=Lookup!$A$3,($BD43+1)^BK43,
IF($BC43=Lookup!$A$4,BL43*$BD43+1,"Error")))</f>
        <v>1.1000000000000001</v>
      </c>
      <c r="BU43" s="396"/>
      <c r="BV43" s="354">
        <v>15</v>
      </c>
      <c r="BW43" s="354">
        <v>16</v>
      </c>
      <c r="BX43" s="354">
        <v>16</v>
      </c>
      <c r="BY43" s="354">
        <v>17</v>
      </c>
      <c r="BZ43" s="354">
        <v>17</v>
      </c>
      <c r="CA43" s="354">
        <v>18</v>
      </c>
      <c r="CB43" s="397">
        <v>18</v>
      </c>
      <c r="CC43" s="380" t="s">
        <v>293</v>
      </c>
      <c r="CD43" s="381">
        <f>HLOOKUP($CC43,$AK$6:$AM$132,ROWS(CD$6:CD43),0)</f>
        <v>7.9830000065555522</v>
      </c>
      <c r="CE43" s="238">
        <f t="shared" si="30"/>
        <v>7.9830000065555522</v>
      </c>
      <c r="CF43" s="137">
        <f t="shared" si="25"/>
        <v>15</v>
      </c>
      <c r="CG43" s="137">
        <f t="shared" si="25"/>
        <v>16</v>
      </c>
      <c r="CH43" s="137">
        <f t="shared" si="25"/>
        <v>16</v>
      </c>
      <c r="CI43" s="137">
        <f t="shared" ref="CI43:CL106" si="84">IFERROR(IF(BY43&lt;&gt;"",BY43,BQ43*$CD43),"")</f>
        <v>17</v>
      </c>
      <c r="CJ43" s="137">
        <f t="shared" si="84"/>
        <v>17</v>
      </c>
      <c r="CK43" s="137">
        <f t="shared" si="84"/>
        <v>18</v>
      </c>
      <c r="CL43" s="290">
        <f t="shared" si="84"/>
        <v>18</v>
      </c>
      <c r="CM43" s="302" t="s">
        <v>293</v>
      </c>
      <c r="CN43" s="314">
        <v>0</v>
      </c>
      <c r="CO43" s="303">
        <v>300000</v>
      </c>
      <c r="CP43" s="304">
        <f>IF($CO43&lt;&gt;"",$CO43,HLOOKUP($CM43,$AY$6:$BA$132,ROWS(CP$6:CP43),0))</f>
        <v>300000</v>
      </c>
      <c r="CQ43" s="783">
        <f t="shared" si="79"/>
        <v>2394900.0019666655</v>
      </c>
      <c r="CR43" s="783">
        <f t="shared" si="79"/>
        <v>4500000</v>
      </c>
      <c r="CS43" s="79">
        <f t="shared" si="79"/>
        <v>4800000</v>
      </c>
      <c r="CT43" s="79">
        <f t="shared" si="79"/>
        <v>4800000</v>
      </c>
      <c r="CU43" s="79">
        <f t="shared" si="79"/>
        <v>5100000</v>
      </c>
      <c r="CV43" s="79">
        <f t="shared" si="79"/>
        <v>5100000</v>
      </c>
      <c r="CW43" s="79">
        <f t="shared" si="79"/>
        <v>5400000</v>
      </c>
      <c r="CX43" s="80">
        <f t="shared" si="62"/>
        <v>5400000</v>
      </c>
      <c r="CY43" s="391"/>
    </row>
    <row r="44" spans="1:105" x14ac:dyDescent="0.25">
      <c r="A44" s="81" t="s">
        <v>94</v>
      </c>
      <c r="B44" s="82" t="s">
        <v>95</v>
      </c>
      <c r="C44" s="83" t="s">
        <v>70</v>
      </c>
      <c r="D44" s="84">
        <v>0</v>
      </c>
      <c r="E44" s="85">
        <v>-7175.8984533984494</v>
      </c>
      <c r="F44" s="85">
        <v>74543.477201496251</v>
      </c>
      <c r="G44" s="85">
        <v>114232.92013407935</v>
      </c>
      <c r="H44" s="85">
        <v>571.85920430100839</v>
      </c>
      <c r="I44" s="85">
        <v>0</v>
      </c>
      <c r="J44" s="85">
        <v>-77019.488709468016</v>
      </c>
      <c r="K44" s="85">
        <v>1640570.9046538069</v>
      </c>
      <c r="L44" s="85">
        <v>439770.0277084228</v>
      </c>
      <c r="M44" s="654">
        <f>'2022-23 Input'!F44</f>
        <v>98367.887078620843</v>
      </c>
      <c r="N44" s="1065">
        <v>0</v>
      </c>
      <c r="O44" s="560">
        <f t="shared" si="27"/>
        <v>0</v>
      </c>
      <c r="P44" s="561">
        <f t="shared" si="0"/>
        <v>-9511.1577092056887</v>
      </c>
      <c r="Q44" s="561">
        <f t="shared" si="1"/>
        <v>97801.470544485477</v>
      </c>
      <c r="R44" s="561">
        <f t="shared" si="2"/>
        <v>147031.10488429133</v>
      </c>
      <c r="S44" s="561">
        <f t="shared" si="3"/>
        <v>721.06802066416606</v>
      </c>
      <c r="T44" s="561">
        <f t="shared" si="4"/>
        <v>0</v>
      </c>
      <c r="U44" s="561">
        <f t="shared" si="5"/>
        <v>-95926.846936713235</v>
      </c>
      <c r="V44" s="561">
        <f t="shared" si="6"/>
        <v>1967633.1344516142</v>
      </c>
      <c r="W44" s="675">
        <f t="shared" si="7"/>
        <v>496908.1309927422</v>
      </c>
      <c r="X44" s="675">
        <f t="shared" si="8"/>
        <v>104610.40429035276</v>
      </c>
      <c r="Y44" s="675">
        <f t="shared" si="8"/>
        <v>0</v>
      </c>
      <c r="Z44" s="125">
        <v>0</v>
      </c>
      <c r="AA44" s="126">
        <v>-1</v>
      </c>
      <c r="AB44" s="126">
        <v>1</v>
      </c>
      <c r="AC44" s="126">
        <v>0</v>
      </c>
      <c r="AD44" s="126">
        <v>0</v>
      </c>
      <c r="AE44" s="126">
        <v>0</v>
      </c>
      <c r="AF44" s="126">
        <v>-1.3029999999999999</v>
      </c>
      <c r="AG44" s="126">
        <v>0.73299999999999932</v>
      </c>
      <c r="AH44" s="126">
        <v>0.93000005600000002</v>
      </c>
      <c r="AI44" s="1097">
        <f>'2022-23 Input'!M44</f>
        <v>-0.45299998800000002</v>
      </c>
      <c r="AJ44" s="668">
        <v>0</v>
      </c>
      <c r="AK44" s="127">
        <f t="shared" si="63"/>
        <v>-1.8599986400000122E-2</v>
      </c>
      <c r="AL44" s="128">
        <f t="shared" si="64"/>
        <v>0.40333335599999981</v>
      </c>
      <c r="AM44" s="129">
        <f t="shared" si="65"/>
        <v>-0.45299998800000002</v>
      </c>
      <c r="AN44" s="91" t="str">
        <f t="shared" si="66"/>
        <v/>
      </c>
      <c r="AO44" s="92">
        <f t="shared" si="67"/>
        <v>7175.8984533984494</v>
      </c>
      <c r="AP44" s="92">
        <f t="shared" si="68"/>
        <v>74543.477201496251</v>
      </c>
      <c r="AQ44" s="92" t="str">
        <f t="shared" si="69"/>
        <v/>
      </c>
      <c r="AR44" s="92" t="str">
        <f t="shared" si="70"/>
        <v/>
      </c>
      <c r="AS44" s="92" t="str">
        <f t="shared" si="71"/>
        <v/>
      </c>
      <c r="AT44" s="92">
        <f t="shared" si="72"/>
        <v>59109.354343413674</v>
      </c>
      <c r="AU44" s="92">
        <f t="shared" si="73"/>
        <v>2238159.4879315258</v>
      </c>
      <c r="AV44" s="92">
        <f t="shared" si="74"/>
        <v>472870.96906198765</v>
      </c>
      <c r="AW44" s="92">
        <f t="shared" si="74"/>
        <v>-217147.65934744535</v>
      </c>
      <c r="AX44" s="92" t="str">
        <f t="shared" si="74"/>
        <v/>
      </c>
      <c r="AY44" s="93">
        <f t="shared" si="75"/>
        <v>-22598826.531737342</v>
      </c>
      <c r="AZ44" s="94">
        <f t="shared" si="76"/>
        <v>1800585.7000008463</v>
      </c>
      <c r="BA44" s="95">
        <f t="shared" si="77"/>
        <v>-217147.65934744535</v>
      </c>
      <c r="BB44" s="248" t="s">
        <v>422</v>
      </c>
      <c r="BC44" s="229" t="s">
        <v>433</v>
      </c>
      <c r="BD44" s="249">
        <v>0</v>
      </c>
      <c r="BE44" s="267">
        <f t="shared" si="28"/>
        <v>0</v>
      </c>
      <c r="BF44" s="268">
        <f t="shared" ref="BF44:BL44" si="85">IF(BF$6=$BB44,1,
IF(BE44&lt;&gt;0,BE44+1,0
))</f>
        <v>0</v>
      </c>
      <c r="BG44" s="268">
        <f t="shared" si="85"/>
        <v>0</v>
      </c>
      <c r="BH44" s="268">
        <f t="shared" si="85"/>
        <v>1</v>
      </c>
      <c r="BI44" s="268">
        <f t="shared" si="85"/>
        <v>2</v>
      </c>
      <c r="BJ44" s="268">
        <f t="shared" si="85"/>
        <v>3</v>
      </c>
      <c r="BK44" s="268">
        <f t="shared" si="85"/>
        <v>4</v>
      </c>
      <c r="BL44" s="269">
        <f t="shared" si="85"/>
        <v>5</v>
      </c>
      <c r="BM44" s="256">
        <f>IF($BC44=Lookup!$A$2,$BD44*ROUNDUP(BE44/10,0)+1,
IF($BC44=Lookup!$A$3,($BD44+1)^BD44,
IF($BC44=Lookup!$A$4,BE44*$BD44+1,"Error")))</f>
        <v>1</v>
      </c>
      <c r="BN44" s="229">
        <f>IF($BC44=Lookup!$A$2,$BD44*ROUNDUP(BF44/10,0)+1,
IF($BC44=Lookup!$A$3,($BD44+1)^BE44,
IF($BC44=Lookup!$A$4,BF44*$BD44+1,"Error")))</f>
        <v>1</v>
      </c>
      <c r="BO44" s="229">
        <f>IF($BC44=Lookup!$A$2,$BD44*ROUNDUP(BG44/10,0)+1,
IF($BC44=Lookup!$A$3,($BD44+1)^BF44,
IF($BC44=Lookup!$A$4,BG44*$BD44+1,"Error")))</f>
        <v>1</v>
      </c>
      <c r="BP44" s="229">
        <f>IF($BC44=Lookup!$A$2,$BD44*ROUNDUP(BH44/10,0)+1,
IF($BC44=Lookup!$A$3,($BD44+1)^BG44,
IF($BC44=Lookup!$A$4,BH44*$BD44+1,"Error")))</f>
        <v>1</v>
      </c>
      <c r="BQ44" s="229">
        <f>IF($BC44=Lookup!$A$2,$BD44*ROUNDUP(BI44/10,0)+1,
IF($BC44=Lookup!$A$3,($BD44+1)^BH44,
IF($BC44=Lookup!$A$4,BI44*$BD44+1,"Error")))</f>
        <v>1</v>
      </c>
      <c r="BR44" s="229">
        <f>IF($BC44=Lookup!$A$2,$BD44*ROUNDUP(BJ44/10,0)+1,
IF($BC44=Lookup!$A$3,($BD44+1)^BI44,
IF($BC44=Lookup!$A$4,BJ44*$BD44+1,"Error")))</f>
        <v>1</v>
      </c>
      <c r="BS44" s="229">
        <f>IF($BC44=Lookup!$A$2,$BD44*ROUNDUP(BK44/10,0)+1,
IF($BC44=Lookup!$A$3,($BD44+1)^BJ44,
IF($BC44=Lookup!$A$4,BK44*$BD44+1,"Error")))</f>
        <v>1</v>
      </c>
      <c r="BT44" s="249">
        <f>IF($BC44=Lookup!$A$2,$BD44*ROUNDUP(BL44/10,0)+1,
IF($BC44=Lookup!$A$3,($BD44+1)^BK44,
IF($BC44=Lookup!$A$4,BL44*$BD44+1,"Error")))</f>
        <v>1</v>
      </c>
      <c r="BU44" s="398"/>
      <c r="BV44" s="356">
        <v>1.5</v>
      </c>
      <c r="BW44" s="356">
        <v>1.5</v>
      </c>
      <c r="BX44" s="356">
        <v>1.5</v>
      </c>
      <c r="BY44" s="356">
        <v>1.5</v>
      </c>
      <c r="BZ44" s="356">
        <v>1.5</v>
      </c>
      <c r="CA44" s="356">
        <v>1.5</v>
      </c>
      <c r="CB44" s="399">
        <v>1.5</v>
      </c>
      <c r="CC44" s="382" t="s">
        <v>293</v>
      </c>
      <c r="CD44" s="383">
        <f>HLOOKUP($CC44,$AK$6:$AM$132,ROWS(CD$6:CD44),0)</f>
        <v>0.40333335599999981</v>
      </c>
      <c r="CE44" s="236">
        <f t="shared" si="30"/>
        <v>0.40333335599999981</v>
      </c>
      <c r="CF44" s="130">
        <f>IFERROR(IF(BV44&lt;&gt;"",BV44,BN44*$CD44),"")</f>
        <v>1.5</v>
      </c>
      <c r="CG44" s="130">
        <f>IFERROR(IF(BW44&lt;&gt;"",BW44,BO44*$CD44),"")</f>
        <v>1.5</v>
      </c>
      <c r="CH44" s="130">
        <f t="shared" si="30"/>
        <v>1.5</v>
      </c>
      <c r="CI44" s="130">
        <f t="shared" si="84"/>
        <v>1.5</v>
      </c>
      <c r="CJ44" s="130">
        <f t="shared" si="84"/>
        <v>1.5</v>
      </c>
      <c r="CK44" s="130">
        <f t="shared" si="84"/>
        <v>1.5</v>
      </c>
      <c r="CL44" s="288">
        <f t="shared" si="84"/>
        <v>1.5</v>
      </c>
      <c r="CM44" s="305" t="s">
        <v>293</v>
      </c>
      <c r="CN44" s="315">
        <v>0</v>
      </c>
      <c r="CO44" s="306">
        <v>518000</v>
      </c>
      <c r="CP44" s="307">
        <f>IF($CO44&lt;&gt;"",$CO44,HLOOKUP($CM44,$AY$6:$BA$132,ROWS(CP$6:CP44),0))</f>
        <v>518000</v>
      </c>
      <c r="CQ44" s="784">
        <f t="shared" si="79"/>
        <v>208926.67840799989</v>
      </c>
      <c r="CR44" s="784">
        <f t="shared" si="79"/>
        <v>777000</v>
      </c>
      <c r="CS44" s="97">
        <f t="shared" si="79"/>
        <v>777000</v>
      </c>
      <c r="CT44" s="97">
        <f t="shared" si="79"/>
        <v>777000</v>
      </c>
      <c r="CU44" s="97">
        <f t="shared" si="79"/>
        <v>777000</v>
      </c>
      <c r="CV44" s="97">
        <f t="shared" si="79"/>
        <v>777000</v>
      </c>
      <c r="CW44" s="97">
        <f t="shared" si="79"/>
        <v>777000</v>
      </c>
      <c r="CX44" s="98">
        <f t="shared" si="62"/>
        <v>777000</v>
      </c>
      <c r="CY44" s="392"/>
    </row>
    <row r="45" spans="1:105" x14ac:dyDescent="0.25">
      <c r="A45" s="81" t="s">
        <v>94</v>
      </c>
      <c r="B45" s="82" t="s">
        <v>96</v>
      </c>
      <c r="C45" s="83" t="s">
        <v>72</v>
      </c>
      <c r="D45" s="84">
        <v>0</v>
      </c>
      <c r="E45" s="85">
        <v>1177.3458037782245</v>
      </c>
      <c r="F45" s="85">
        <v>2731.6922378093259</v>
      </c>
      <c r="G45" s="85">
        <v>0</v>
      </c>
      <c r="H45" s="85">
        <v>0</v>
      </c>
      <c r="I45" s="85">
        <v>0</v>
      </c>
      <c r="J45" s="85">
        <v>20762.454819222992</v>
      </c>
      <c r="K45" s="85">
        <v>149574.12431824103</v>
      </c>
      <c r="L45" s="85">
        <v>1.3621684E-2</v>
      </c>
      <c r="M45" s="654">
        <f>'2022-23 Input'!F45</f>
        <v>0</v>
      </c>
      <c r="N45" s="1065">
        <v>233659.04297166126</v>
      </c>
      <c r="O45" s="560">
        <f t="shared" si="27"/>
        <v>0</v>
      </c>
      <c r="P45" s="561">
        <f t="shared" si="0"/>
        <v>1560.4905351890786</v>
      </c>
      <c r="Q45" s="561">
        <f t="shared" si="1"/>
        <v>3583.995917047801</v>
      </c>
      <c r="R45" s="561">
        <f t="shared" si="2"/>
        <v>0</v>
      </c>
      <c r="S45" s="561">
        <f t="shared" si="3"/>
        <v>0</v>
      </c>
      <c r="T45" s="561">
        <f t="shared" si="4"/>
        <v>0</v>
      </c>
      <c r="U45" s="561">
        <f t="shared" si="5"/>
        <v>25859.387784136132</v>
      </c>
      <c r="V45" s="561">
        <f t="shared" si="6"/>
        <v>179393.04069717159</v>
      </c>
      <c r="W45" s="675">
        <f t="shared" si="7"/>
        <v>1.5391511724172241E-2</v>
      </c>
      <c r="X45" s="675">
        <f t="shared" si="8"/>
        <v>0</v>
      </c>
      <c r="Y45" s="675">
        <f t="shared" si="8"/>
        <v>240084.31133182178</v>
      </c>
      <c r="Z45" s="125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1.3333332999999999E-2</v>
      </c>
      <c r="AG45" s="126">
        <v>0.38466666666666632</v>
      </c>
      <c r="AH45" s="126">
        <v>3.33333E-4</v>
      </c>
      <c r="AI45" s="1097">
        <f>'2022-23 Input'!M45</f>
        <v>0</v>
      </c>
      <c r="AJ45" s="668">
        <v>7.4000000999999996E-2</v>
      </c>
      <c r="AK45" s="127">
        <f t="shared" si="63"/>
        <v>7.9666666533333264E-2</v>
      </c>
      <c r="AL45" s="128">
        <f t="shared" si="64"/>
        <v>0.1283333332222221</v>
      </c>
      <c r="AM45" s="129">
        <f t="shared" si="65"/>
        <v>0</v>
      </c>
      <c r="AN45" s="91" t="str">
        <f t="shared" si="66"/>
        <v/>
      </c>
      <c r="AO45" s="92" t="str">
        <f t="shared" si="67"/>
        <v/>
      </c>
      <c r="AP45" s="92" t="str">
        <f t="shared" si="68"/>
        <v/>
      </c>
      <c r="AQ45" s="92" t="str">
        <f t="shared" si="69"/>
        <v/>
      </c>
      <c r="AR45" s="92" t="str">
        <f t="shared" si="70"/>
        <v/>
      </c>
      <c r="AS45" s="92" t="str">
        <f t="shared" si="71"/>
        <v/>
      </c>
      <c r="AT45" s="92">
        <f t="shared" si="72"/>
        <v>1557184.1503713282</v>
      </c>
      <c r="AU45" s="92">
        <f t="shared" si="73"/>
        <v>388840.87777705671</v>
      </c>
      <c r="AV45" s="92">
        <f t="shared" si="74"/>
        <v>40.865092865092869</v>
      </c>
      <c r="AW45" s="92" t="str">
        <f t="shared" si="74"/>
        <v/>
      </c>
      <c r="AX45" s="92">
        <f t="shared" si="74"/>
        <v>3157554.5920825228</v>
      </c>
      <c r="AY45" s="93">
        <f t="shared" si="75"/>
        <v>427623.24613614311</v>
      </c>
      <c r="AZ45" s="94">
        <f t="shared" si="76"/>
        <v>388504.25472578331</v>
      </c>
      <c r="BA45" s="95" t="str">
        <f t="shared" si="77"/>
        <v/>
      </c>
      <c r="BB45" s="248" t="s">
        <v>422</v>
      </c>
      <c r="BC45" s="229" t="s">
        <v>433</v>
      </c>
      <c r="BD45" s="249">
        <v>0</v>
      </c>
      <c r="BE45" s="267">
        <f t="shared" si="28"/>
        <v>0</v>
      </c>
      <c r="BF45" s="268">
        <f t="shared" ref="BF45:BL45" si="86">IF(BF$6=$BB45,1,
IF(BE45&lt;&gt;0,BE45+1,0
))</f>
        <v>0</v>
      </c>
      <c r="BG45" s="268">
        <f t="shared" si="86"/>
        <v>0</v>
      </c>
      <c r="BH45" s="268">
        <f t="shared" si="86"/>
        <v>1</v>
      </c>
      <c r="BI45" s="268">
        <f t="shared" si="86"/>
        <v>2</v>
      </c>
      <c r="BJ45" s="268">
        <f t="shared" si="86"/>
        <v>3</v>
      </c>
      <c r="BK45" s="268">
        <f t="shared" si="86"/>
        <v>4</v>
      </c>
      <c r="BL45" s="269">
        <f t="shared" si="86"/>
        <v>5</v>
      </c>
      <c r="BM45" s="256">
        <f>IF($BC45=Lookup!$A$2,$BD45*ROUNDUP(BE45/10,0)+1,
IF($BC45=Lookup!$A$3,($BD45+1)^BD45,
IF($BC45=Lookup!$A$4,BE45*$BD45+1,"Error")))</f>
        <v>1</v>
      </c>
      <c r="BN45" s="229">
        <f>IF($BC45=Lookup!$A$2,$BD45*ROUNDUP(BF45/10,0)+1,
IF($BC45=Lookup!$A$3,($BD45+1)^BE45,
IF($BC45=Lookup!$A$4,BF45*$BD45+1,"Error")))</f>
        <v>1</v>
      </c>
      <c r="BO45" s="229">
        <f>IF($BC45=Lookup!$A$2,$BD45*ROUNDUP(BG45/10,0)+1,
IF($BC45=Lookup!$A$3,($BD45+1)^BF45,
IF($BC45=Lookup!$A$4,BG45*$BD45+1,"Error")))</f>
        <v>1</v>
      </c>
      <c r="BP45" s="229">
        <f>IF($BC45=Lookup!$A$2,$BD45*ROUNDUP(BH45/10,0)+1,
IF($BC45=Lookup!$A$3,($BD45+1)^BG45,
IF($BC45=Lookup!$A$4,BH45*$BD45+1,"Error")))</f>
        <v>1</v>
      </c>
      <c r="BQ45" s="229">
        <f>IF($BC45=Lookup!$A$2,$BD45*ROUNDUP(BI45/10,0)+1,
IF($BC45=Lookup!$A$3,($BD45+1)^BH45,
IF($BC45=Lookup!$A$4,BI45*$BD45+1,"Error")))</f>
        <v>1</v>
      </c>
      <c r="BR45" s="229">
        <f>IF($BC45=Lookup!$A$2,$BD45*ROUNDUP(BJ45/10,0)+1,
IF($BC45=Lookup!$A$3,($BD45+1)^BI45,
IF($BC45=Lookup!$A$4,BJ45*$BD45+1,"Error")))</f>
        <v>1</v>
      </c>
      <c r="BS45" s="229">
        <f>IF($BC45=Lookup!$A$2,$BD45*ROUNDUP(BK45/10,0)+1,
IF($BC45=Lookup!$A$3,($BD45+1)^BJ45,
IF($BC45=Lookup!$A$4,BK45*$BD45+1,"Error")))</f>
        <v>1</v>
      </c>
      <c r="BT45" s="249">
        <f>IF($BC45=Lookup!$A$2,$BD45*ROUNDUP(BL45/10,0)+1,
IF($BC45=Lookup!$A$3,($BD45+1)^BK45,
IF($BC45=Lookup!$A$4,BL45*$BD45+1,"Error")))</f>
        <v>1</v>
      </c>
      <c r="BU45" s="398"/>
      <c r="BV45" s="356"/>
      <c r="BW45" s="356"/>
      <c r="BX45" s="356"/>
      <c r="BY45" s="356"/>
      <c r="BZ45" s="356"/>
      <c r="CA45" s="356"/>
      <c r="CB45" s="399"/>
      <c r="CC45" s="382" t="s">
        <v>293</v>
      </c>
      <c r="CD45" s="383">
        <f>HLOOKUP($CC45,$AK$6:$AM$132,ROWS(CD$6:CD45),0)</f>
        <v>0.1283333332222221</v>
      </c>
      <c r="CE45" s="236">
        <f t="shared" si="30"/>
        <v>0.1283333332222221</v>
      </c>
      <c r="CF45" s="130">
        <f t="shared" si="30"/>
        <v>0.1283333332222221</v>
      </c>
      <c r="CG45" s="130">
        <f t="shared" si="30"/>
        <v>0.1283333332222221</v>
      </c>
      <c r="CH45" s="130">
        <f t="shared" si="30"/>
        <v>0.1283333332222221</v>
      </c>
      <c r="CI45" s="130">
        <f t="shared" si="84"/>
        <v>0.1283333332222221</v>
      </c>
      <c r="CJ45" s="130">
        <f t="shared" si="84"/>
        <v>0.1283333332222221</v>
      </c>
      <c r="CK45" s="130">
        <f t="shared" si="84"/>
        <v>0.1283333332222221</v>
      </c>
      <c r="CL45" s="288">
        <f t="shared" si="84"/>
        <v>0.1283333332222221</v>
      </c>
      <c r="CM45" s="305" t="s">
        <v>293</v>
      </c>
      <c r="CN45" s="315">
        <v>0</v>
      </c>
      <c r="CO45" s="306"/>
      <c r="CP45" s="307">
        <f>IF($CO45&lt;&gt;"",$CO45,HLOOKUP($CM45,$AY$6:$BA$132,ROWS(CP$6:CP45),0))</f>
        <v>388504.25472578331</v>
      </c>
      <c r="CQ45" s="784">
        <f t="shared" si="79"/>
        <v>49858.045979975002</v>
      </c>
      <c r="CR45" s="784">
        <f t="shared" si="79"/>
        <v>49858.045979975002</v>
      </c>
      <c r="CS45" s="97">
        <f t="shared" si="79"/>
        <v>49858.045979975002</v>
      </c>
      <c r="CT45" s="97">
        <f t="shared" si="79"/>
        <v>49858.045979975002</v>
      </c>
      <c r="CU45" s="97">
        <f t="shared" si="79"/>
        <v>49858.045979975002</v>
      </c>
      <c r="CV45" s="97">
        <f t="shared" si="79"/>
        <v>49858.045979975002</v>
      </c>
      <c r="CW45" s="97">
        <f t="shared" si="79"/>
        <v>49858.045979975002</v>
      </c>
      <c r="CX45" s="98">
        <f t="shared" si="62"/>
        <v>49858.045979975002</v>
      </c>
      <c r="CY45" s="392"/>
    </row>
    <row r="46" spans="1:105" x14ac:dyDescent="0.25">
      <c r="A46" s="81" t="s">
        <v>94</v>
      </c>
      <c r="B46" s="82" t="s">
        <v>97</v>
      </c>
      <c r="C46" s="83" t="s">
        <v>98</v>
      </c>
      <c r="D46" s="84">
        <v>0</v>
      </c>
      <c r="E46" s="85">
        <v>0</v>
      </c>
      <c r="F46" s="85">
        <v>0</v>
      </c>
      <c r="G46" s="85">
        <v>0</v>
      </c>
      <c r="H46" s="85">
        <v>0</v>
      </c>
      <c r="I46" s="85">
        <v>0</v>
      </c>
      <c r="J46" s="85">
        <v>0</v>
      </c>
      <c r="K46" s="85">
        <v>0</v>
      </c>
      <c r="L46" s="85">
        <v>0</v>
      </c>
      <c r="M46" s="654">
        <f>'2022-23 Input'!F46</f>
        <v>0</v>
      </c>
      <c r="N46" s="1065">
        <v>17735.399421291997</v>
      </c>
      <c r="O46" s="560">
        <f t="shared" si="27"/>
        <v>0</v>
      </c>
      <c r="P46" s="561">
        <f t="shared" si="0"/>
        <v>0</v>
      </c>
      <c r="Q46" s="561">
        <f t="shared" si="1"/>
        <v>0</v>
      </c>
      <c r="R46" s="561">
        <f t="shared" si="2"/>
        <v>0</v>
      </c>
      <c r="S46" s="561">
        <f t="shared" si="3"/>
        <v>0</v>
      </c>
      <c r="T46" s="561">
        <f t="shared" si="4"/>
        <v>0</v>
      </c>
      <c r="U46" s="561">
        <f t="shared" si="5"/>
        <v>0</v>
      </c>
      <c r="V46" s="561">
        <f t="shared" si="6"/>
        <v>0</v>
      </c>
      <c r="W46" s="675">
        <f t="shared" si="7"/>
        <v>0</v>
      </c>
      <c r="X46" s="675">
        <f t="shared" si="8"/>
        <v>0</v>
      </c>
      <c r="Y46" s="675">
        <f t="shared" si="8"/>
        <v>18223.095935439997</v>
      </c>
      <c r="Z46" s="125">
        <v>0</v>
      </c>
      <c r="AA46" s="126">
        <v>0</v>
      </c>
      <c r="AB46" s="126">
        <v>0</v>
      </c>
      <c r="AC46" s="126">
        <v>0</v>
      </c>
      <c r="AD46" s="126">
        <v>0</v>
      </c>
      <c r="AE46" s="126">
        <v>0</v>
      </c>
      <c r="AF46" s="126">
        <v>0</v>
      </c>
      <c r="AG46" s="126">
        <v>0</v>
      </c>
      <c r="AH46" s="126">
        <v>0</v>
      </c>
      <c r="AI46" s="1097">
        <f>'2022-23 Input'!M46</f>
        <v>0</v>
      </c>
      <c r="AJ46" s="668">
        <v>3.9999999000000001E-2</v>
      </c>
      <c r="AK46" s="127">
        <f t="shared" si="63"/>
        <v>0</v>
      </c>
      <c r="AL46" s="128">
        <f t="shared" si="64"/>
        <v>0</v>
      </c>
      <c r="AM46" s="129">
        <f t="shared" si="65"/>
        <v>0</v>
      </c>
      <c r="AN46" s="91" t="str">
        <f t="shared" si="66"/>
        <v/>
      </c>
      <c r="AO46" s="92" t="str">
        <f t="shared" si="67"/>
        <v/>
      </c>
      <c r="AP46" s="92" t="str">
        <f t="shared" si="68"/>
        <v/>
      </c>
      <c r="AQ46" s="92" t="str">
        <f t="shared" si="69"/>
        <v/>
      </c>
      <c r="AR46" s="92" t="str">
        <f t="shared" si="70"/>
        <v/>
      </c>
      <c r="AS46" s="92" t="str">
        <f t="shared" si="71"/>
        <v/>
      </c>
      <c r="AT46" s="92" t="str">
        <f t="shared" si="72"/>
        <v/>
      </c>
      <c r="AU46" s="92" t="str">
        <f t="shared" si="73"/>
        <v/>
      </c>
      <c r="AV46" s="92" t="str">
        <f t="shared" si="74"/>
        <v/>
      </c>
      <c r="AW46" s="92" t="str">
        <f t="shared" si="74"/>
        <v/>
      </c>
      <c r="AX46" s="92">
        <f t="shared" si="74"/>
        <v>443384.99661692482</v>
      </c>
      <c r="AY46" s="93" t="str">
        <f t="shared" si="75"/>
        <v/>
      </c>
      <c r="AZ46" s="94" t="str">
        <f t="shared" si="76"/>
        <v/>
      </c>
      <c r="BA46" s="95" t="str">
        <f t="shared" si="77"/>
        <v/>
      </c>
      <c r="BB46" s="248" t="s">
        <v>422</v>
      </c>
      <c r="BC46" s="229" t="s">
        <v>433</v>
      </c>
      <c r="BD46" s="249">
        <v>0</v>
      </c>
      <c r="BE46" s="267">
        <f t="shared" si="28"/>
        <v>0</v>
      </c>
      <c r="BF46" s="268">
        <f t="shared" ref="BF46:BL46" si="87">IF(BF$6=$BB46,1,
IF(BE46&lt;&gt;0,BE46+1,0
))</f>
        <v>0</v>
      </c>
      <c r="BG46" s="268">
        <f t="shared" si="87"/>
        <v>0</v>
      </c>
      <c r="BH46" s="268">
        <f t="shared" si="87"/>
        <v>1</v>
      </c>
      <c r="BI46" s="268">
        <f t="shared" si="87"/>
        <v>2</v>
      </c>
      <c r="BJ46" s="268">
        <f t="shared" si="87"/>
        <v>3</v>
      </c>
      <c r="BK46" s="268">
        <f t="shared" si="87"/>
        <v>4</v>
      </c>
      <c r="BL46" s="269">
        <f t="shared" si="87"/>
        <v>5</v>
      </c>
      <c r="BM46" s="256">
        <f>IF($BC46=Lookup!$A$2,$BD46*ROUNDUP(BE46/10,0)+1,
IF($BC46=Lookup!$A$3,($BD46+1)^BD46,
IF($BC46=Lookup!$A$4,BE46*$BD46+1,"Error")))</f>
        <v>1</v>
      </c>
      <c r="BN46" s="229">
        <f>IF($BC46=Lookup!$A$2,$BD46*ROUNDUP(BF46/10,0)+1,
IF($BC46=Lookup!$A$3,($BD46+1)^BE46,
IF($BC46=Lookup!$A$4,BF46*$BD46+1,"Error")))</f>
        <v>1</v>
      </c>
      <c r="BO46" s="229">
        <f>IF($BC46=Lookup!$A$2,$BD46*ROUNDUP(BG46/10,0)+1,
IF($BC46=Lookup!$A$3,($BD46+1)^BF46,
IF($BC46=Lookup!$A$4,BG46*$BD46+1,"Error")))</f>
        <v>1</v>
      </c>
      <c r="BP46" s="229">
        <f>IF($BC46=Lookup!$A$2,$BD46*ROUNDUP(BH46/10,0)+1,
IF($BC46=Lookup!$A$3,($BD46+1)^BG46,
IF($BC46=Lookup!$A$4,BH46*$BD46+1,"Error")))</f>
        <v>1</v>
      </c>
      <c r="BQ46" s="229">
        <f>IF($BC46=Lookup!$A$2,$BD46*ROUNDUP(BI46/10,0)+1,
IF($BC46=Lookup!$A$3,($BD46+1)^BH46,
IF($BC46=Lookup!$A$4,BI46*$BD46+1,"Error")))</f>
        <v>1</v>
      </c>
      <c r="BR46" s="229">
        <f>IF($BC46=Lookup!$A$2,$BD46*ROUNDUP(BJ46/10,0)+1,
IF($BC46=Lookup!$A$3,($BD46+1)^BI46,
IF($BC46=Lookup!$A$4,BJ46*$BD46+1,"Error")))</f>
        <v>1</v>
      </c>
      <c r="BS46" s="229">
        <f>IF($BC46=Lookup!$A$2,$BD46*ROUNDUP(BK46/10,0)+1,
IF($BC46=Lookup!$A$3,($BD46+1)^BJ46,
IF($BC46=Lookup!$A$4,BK46*$BD46+1,"Error")))</f>
        <v>1</v>
      </c>
      <c r="BT46" s="249">
        <f>IF($BC46=Lookup!$A$2,$BD46*ROUNDUP(BL46/10,0)+1,
IF($BC46=Lookup!$A$3,($BD46+1)^BK46,
IF($BC46=Lookup!$A$4,BL46*$BD46+1,"Error")))</f>
        <v>1</v>
      </c>
      <c r="BU46" s="398"/>
      <c r="BV46" s="356"/>
      <c r="BW46" s="356"/>
      <c r="BX46" s="356"/>
      <c r="BY46" s="356"/>
      <c r="BZ46" s="356"/>
      <c r="CA46" s="356"/>
      <c r="CB46" s="399"/>
      <c r="CC46" s="382" t="s">
        <v>293</v>
      </c>
      <c r="CD46" s="383">
        <f>HLOOKUP($CC46,$AK$6:$AM$132,ROWS(CD$6:CD46),0)</f>
        <v>0</v>
      </c>
      <c r="CE46" s="236">
        <f t="shared" si="30"/>
        <v>0</v>
      </c>
      <c r="CF46" s="130">
        <f t="shared" si="30"/>
        <v>0</v>
      </c>
      <c r="CG46" s="130">
        <f t="shared" si="30"/>
        <v>0</v>
      </c>
      <c r="CH46" s="130">
        <f t="shared" si="30"/>
        <v>0</v>
      </c>
      <c r="CI46" s="130">
        <f t="shared" si="84"/>
        <v>0</v>
      </c>
      <c r="CJ46" s="130">
        <f t="shared" si="84"/>
        <v>0</v>
      </c>
      <c r="CK46" s="130">
        <f t="shared" si="84"/>
        <v>0</v>
      </c>
      <c r="CL46" s="288">
        <f t="shared" si="84"/>
        <v>0</v>
      </c>
      <c r="CM46" s="305" t="s">
        <v>293</v>
      </c>
      <c r="CN46" s="315">
        <v>0</v>
      </c>
      <c r="CO46" s="306"/>
      <c r="CP46" s="307" t="str">
        <f>IF($CO46&lt;&gt;"",$CO46,HLOOKUP($CM46,$AY$6:$BA$132,ROWS(CP$6:CP46),0))</f>
        <v/>
      </c>
      <c r="CQ46" s="784" t="str">
        <f t="shared" si="79"/>
        <v/>
      </c>
      <c r="CR46" s="784" t="str">
        <f t="shared" si="79"/>
        <v/>
      </c>
      <c r="CS46" s="97" t="str">
        <f t="shared" si="79"/>
        <v/>
      </c>
      <c r="CT46" s="97" t="str">
        <f t="shared" si="79"/>
        <v/>
      </c>
      <c r="CU46" s="97" t="str">
        <f t="shared" si="79"/>
        <v/>
      </c>
      <c r="CV46" s="97" t="str">
        <f t="shared" si="79"/>
        <v/>
      </c>
      <c r="CW46" s="97" t="str">
        <f t="shared" si="79"/>
        <v/>
      </c>
      <c r="CX46" s="98" t="str">
        <f t="shared" si="62"/>
        <v/>
      </c>
      <c r="CY46" s="392"/>
    </row>
    <row r="47" spans="1:105" x14ac:dyDescent="0.25">
      <c r="A47" s="81" t="s">
        <v>94</v>
      </c>
      <c r="B47" s="82" t="s">
        <v>99</v>
      </c>
      <c r="C47" s="83" t="s">
        <v>100</v>
      </c>
      <c r="D47" s="84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654">
        <f>'2022-23 Input'!F47</f>
        <v>0</v>
      </c>
      <c r="N47" s="1065">
        <v>0</v>
      </c>
      <c r="O47" s="560">
        <f t="shared" si="27"/>
        <v>0</v>
      </c>
      <c r="P47" s="561">
        <f t="shared" si="0"/>
        <v>0</v>
      </c>
      <c r="Q47" s="561">
        <f t="shared" si="1"/>
        <v>0</v>
      </c>
      <c r="R47" s="561">
        <f t="shared" si="2"/>
        <v>0</v>
      </c>
      <c r="S47" s="561">
        <f t="shared" si="3"/>
        <v>0</v>
      </c>
      <c r="T47" s="561">
        <f t="shared" si="4"/>
        <v>0</v>
      </c>
      <c r="U47" s="561">
        <f t="shared" si="5"/>
        <v>0</v>
      </c>
      <c r="V47" s="561">
        <f t="shared" si="6"/>
        <v>0</v>
      </c>
      <c r="W47" s="675">
        <f t="shared" si="7"/>
        <v>0</v>
      </c>
      <c r="X47" s="675">
        <f t="shared" si="8"/>
        <v>0</v>
      </c>
      <c r="Y47" s="675">
        <f t="shared" si="8"/>
        <v>0</v>
      </c>
      <c r="Z47" s="125">
        <v>0</v>
      </c>
      <c r="AA47" s="126">
        <v>0</v>
      </c>
      <c r="AB47" s="126">
        <v>0</v>
      </c>
      <c r="AC47" s="126">
        <v>0</v>
      </c>
      <c r="AD47" s="126">
        <v>0</v>
      </c>
      <c r="AE47" s="126">
        <v>0</v>
      </c>
      <c r="AF47" s="126">
        <v>0</v>
      </c>
      <c r="AG47" s="126">
        <v>0</v>
      </c>
      <c r="AH47" s="126">
        <v>0</v>
      </c>
      <c r="AI47" s="1097">
        <f>'2022-23 Input'!M47</f>
        <v>0</v>
      </c>
      <c r="AJ47" s="668">
        <v>0</v>
      </c>
      <c r="AK47" s="127">
        <f t="shared" si="63"/>
        <v>0</v>
      </c>
      <c r="AL47" s="128">
        <f t="shared" si="64"/>
        <v>0</v>
      </c>
      <c r="AM47" s="129">
        <f t="shared" si="65"/>
        <v>0</v>
      </c>
      <c r="AN47" s="91" t="str">
        <f t="shared" si="66"/>
        <v/>
      </c>
      <c r="AO47" s="92" t="str">
        <f t="shared" si="67"/>
        <v/>
      </c>
      <c r="AP47" s="92" t="str">
        <f t="shared" si="68"/>
        <v/>
      </c>
      <c r="AQ47" s="92" t="str">
        <f t="shared" si="69"/>
        <v/>
      </c>
      <c r="AR47" s="92" t="str">
        <f t="shared" si="70"/>
        <v/>
      </c>
      <c r="AS47" s="92" t="str">
        <f t="shared" si="71"/>
        <v/>
      </c>
      <c r="AT47" s="92" t="str">
        <f t="shared" si="72"/>
        <v/>
      </c>
      <c r="AU47" s="92" t="str">
        <f t="shared" si="73"/>
        <v/>
      </c>
      <c r="AV47" s="92" t="str">
        <f t="shared" si="74"/>
        <v/>
      </c>
      <c r="AW47" s="92" t="str">
        <f t="shared" si="74"/>
        <v/>
      </c>
      <c r="AX47" s="92" t="str">
        <f t="shared" si="74"/>
        <v/>
      </c>
      <c r="AY47" s="93" t="str">
        <f t="shared" si="75"/>
        <v/>
      </c>
      <c r="AZ47" s="94" t="str">
        <f t="shared" si="76"/>
        <v/>
      </c>
      <c r="BA47" s="95" t="str">
        <f t="shared" si="77"/>
        <v/>
      </c>
      <c r="BB47" s="248" t="s">
        <v>422</v>
      </c>
      <c r="BC47" s="229" t="s">
        <v>433</v>
      </c>
      <c r="BD47" s="249">
        <v>0</v>
      </c>
      <c r="BE47" s="267">
        <f t="shared" si="28"/>
        <v>0</v>
      </c>
      <c r="BF47" s="268">
        <f t="shared" ref="BF47:BL47" si="88">IF(BF$6=$BB47,1,
IF(BE47&lt;&gt;0,BE47+1,0
))</f>
        <v>0</v>
      </c>
      <c r="BG47" s="268">
        <f t="shared" si="88"/>
        <v>0</v>
      </c>
      <c r="BH47" s="268">
        <f t="shared" si="88"/>
        <v>1</v>
      </c>
      <c r="BI47" s="268">
        <f t="shared" si="88"/>
        <v>2</v>
      </c>
      <c r="BJ47" s="268">
        <f t="shared" si="88"/>
        <v>3</v>
      </c>
      <c r="BK47" s="268">
        <f t="shared" si="88"/>
        <v>4</v>
      </c>
      <c r="BL47" s="269">
        <f t="shared" si="88"/>
        <v>5</v>
      </c>
      <c r="BM47" s="256">
        <f>IF($BC47=Lookup!$A$2,$BD47*ROUNDUP(BE47/10,0)+1,
IF($BC47=Lookup!$A$3,($BD47+1)^BD47,
IF($BC47=Lookup!$A$4,BE47*$BD47+1,"Error")))</f>
        <v>1</v>
      </c>
      <c r="BN47" s="229">
        <f>IF($BC47=Lookup!$A$2,$BD47*ROUNDUP(BF47/10,0)+1,
IF($BC47=Lookup!$A$3,($BD47+1)^BE47,
IF($BC47=Lookup!$A$4,BF47*$BD47+1,"Error")))</f>
        <v>1</v>
      </c>
      <c r="BO47" s="229">
        <f>IF($BC47=Lookup!$A$2,$BD47*ROUNDUP(BG47/10,0)+1,
IF($BC47=Lookup!$A$3,($BD47+1)^BF47,
IF($BC47=Lookup!$A$4,BG47*$BD47+1,"Error")))</f>
        <v>1</v>
      </c>
      <c r="BP47" s="229">
        <f>IF($BC47=Lookup!$A$2,$BD47*ROUNDUP(BH47/10,0)+1,
IF($BC47=Lookup!$A$3,($BD47+1)^BG47,
IF($BC47=Lookup!$A$4,BH47*$BD47+1,"Error")))</f>
        <v>1</v>
      </c>
      <c r="BQ47" s="229">
        <f>IF($BC47=Lookup!$A$2,$BD47*ROUNDUP(BI47/10,0)+1,
IF($BC47=Lookup!$A$3,($BD47+1)^BH47,
IF($BC47=Lookup!$A$4,BI47*$BD47+1,"Error")))</f>
        <v>1</v>
      </c>
      <c r="BR47" s="229">
        <f>IF($BC47=Lookup!$A$2,$BD47*ROUNDUP(BJ47/10,0)+1,
IF($BC47=Lookup!$A$3,($BD47+1)^BI47,
IF($BC47=Lookup!$A$4,BJ47*$BD47+1,"Error")))</f>
        <v>1</v>
      </c>
      <c r="BS47" s="229">
        <f>IF($BC47=Lookup!$A$2,$BD47*ROUNDUP(BK47/10,0)+1,
IF($BC47=Lookup!$A$3,($BD47+1)^BJ47,
IF($BC47=Lookup!$A$4,BK47*$BD47+1,"Error")))</f>
        <v>1</v>
      </c>
      <c r="BT47" s="249">
        <f>IF($BC47=Lookup!$A$2,$BD47*ROUNDUP(BL47/10,0)+1,
IF($BC47=Lookup!$A$3,($BD47+1)^BK47,
IF($BC47=Lookup!$A$4,BL47*$BD47+1,"Error")))</f>
        <v>1</v>
      </c>
      <c r="BU47" s="398"/>
      <c r="BV47" s="356"/>
      <c r="BW47" s="356"/>
      <c r="BX47" s="356"/>
      <c r="BY47" s="356"/>
      <c r="BZ47" s="356"/>
      <c r="CA47" s="356"/>
      <c r="CB47" s="399"/>
      <c r="CC47" s="382" t="s">
        <v>293</v>
      </c>
      <c r="CD47" s="383">
        <f>HLOOKUP($CC47,$AK$6:$AM$132,ROWS(CD$6:CD47),0)</f>
        <v>0</v>
      </c>
      <c r="CE47" s="236">
        <f t="shared" si="30"/>
        <v>0</v>
      </c>
      <c r="CF47" s="130">
        <f t="shared" si="30"/>
        <v>0</v>
      </c>
      <c r="CG47" s="130">
        <f t="shared" si="30"/>
        <v>0</v>
      </c>
      <c r="CH47" s="130">
        <f t="shared" si="30"/>
        <v>0</v>
      </c>
      <c r="CI47" s="130">
        <f t="shared" si="84"/>
        <v>0</v>
      </c>
      <c r="CJ47" s="130">
        <f t="shared" si="84"/>
        <v>0</v>
      </c>
      <c r="CK47" s="130">
        <f t="shared" si="84"/>
        <v>0</v>
      </c>
      <c r="CL47" s="288">
        <f t="shared" si="84"/>
        <v>0</v>
      </c>
      <c r="CM47" s="305" t="s">
        <v>293</v>
      </c>
      <c r="CN47" s="315">
        <v>0</v>
      </c>
      <c r="CO47" s="306"/>
      <c r="CP47" s="307" t="str">
        <f>IF($CO47&lt;&gt;"",$CO47,HLOOKUP($CM47,$AY$6:$BA$132,ROWS(CP$6:CP47),0))</f>
        <v/>
      </c>
      <c r="CQ47" s="784" t="str">
        <f t="shared" si="79"/>
        <v/>
      </c>
      <c r="CR47" s="784" t="str">
        <f t="shared" si="79"/>
        <v/>
      </c>
      <c r="CS47" s="97" t="str">
        <f t="shared" si="79"/>
        <v/>
      </c>
      <c r="CT47" s="97" t="str">
        <f t="shared" si="79"/>
        <v/>
      </c>
      <c r="CU47" s="97" t="str">
        <f t="shared" si="79"/>
        <v/>
      </c>
      <c r="CV47" s="97" t="str">
        <f t="shared" si="79"/>
        <v/>
      </c>
      <c r="CW47" s="97" t="str">
        <f t="shared" si="79"/>
        <v/>
      </c>
      <c r="CX47" s="98" t="str">
        <f t="shared" si="62"/>
        <v/>
      </c>
      <c r="CY47" s="392"/>
    </row>
    <row r="48" spans="1:105" x14ac:dyDescent="0.25">
      <c r="A48" s="81" t="s">
        <v>94</v>
      </c>
      <c r="B48" s="82" t="s">
        <v>101</v>
      </c>
      <c r="C48" s="83" t="s">
        <v>76</v>
      </c>
      <c r="D48" s="84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654">
        <f>'2022-23 Input'!F48</f>
        <v>0</v>
      </c>
      <c r="N48" s="1065">
        <v>0</v>
      </c>
      <c r="O48" s="560">
        <f t="shared" si="27"/>
        <v>0</v>
      </c>
      <c r="P48" s="561">
        <f t="shared" si="0"/>
        <v>0</v>
      </c>
      <c r="Q48" s="561">
        <f t="shared" si="1"/>
        <v>0</v>
      </c>
      <c r="R48" s="561">
        <f t="shared" si="2"/>
        <v>0</v>
      </c>
      <c r="S48" s="561">
        <f t="shared" si="3"/>
        <v>0</v>
      </c>
      <c r="T48" s="561">
        <f t="shared" si="4"/>
        <v>0</v>
      </c>
      <c r="U48" s="561">
        <f t="shared" si="5"/>
        <v>0</v>
      </c>
      <c r="V48" s="561">
        <f t="shared" si="6"/>
        <v>0</v>
      </c>
      <c r="W48" s="675">
        <f t="shared" si="7"/>
        <v>0</v>
      </c>
      <c r="X48" s="675">
        <f t="shared" si="8"/>
        <v>0</v>
      </c>
      <c r="Y48" s="675">
        <f t="shared" si="8"/>
        <v>0</v>
      </c>
      <c r="Z48" s="125">
        <v>0</v>
      </c>
      <c r="AA48" s="126">
        <v>0</v>
      </c>
      <c r="AB48" s="126">
        <v>0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6">
        <v>0</v>
      </c>
      <c r="AI48" s="1097">
        <f>'2022-23 Input'!M48</f>
        <v>0</v>
      </c>
      <c r="AJ48" s="668">
        <v>0</v>
      </c>
      <c r="AK48" s="127">
        <f t="shared" si="63"/>
        <v>0</v>
      </c>
      <c r="AL48" s="128">
        <f t="shared" si="64"/>
        <v>0</v>
      </c>
      <c r="AM48" s="129">
        <f t="shared" si="65"/>
        <v>0</v>
      </c>
      <c r="AN48" s="91" t="str">
        <f t="shared" si="66"/>
        <v/>
      </c>
      <c r="AO48" s="92" t="str">
        <f t="shared" si="67"/>
        <v/>
      </c>
      <c r="AP48" s="92" t="str">
        <f t="shared" si="68"/>
        <v/>
      </c>
      <c r="AQ48" s="92" t="str">
        <f t="shared" si="69"/>
        <v/>
      </c>
      <c r="AR48" s="92" t="str">
        <f t="shared" si="70"/>
        <v/>
      </c>
      <c r="AS48" s="92" t="str">
        <f t="shared" si="71"/>
        <v/>
      </c>
      <c r="AT48" s="92" t="str">
        <f t="shared" si="72"/>
        <v/>
      </c>
      <c r="AU48" s="92" t="str">
        <f t="shared" si="73"/>
        <v/>
      </c>
      <c r="AV48" s="92" t="str">
        <f t="shared" si="74"/>
        <v/>
      </c>
      <c r="AW48" s="92" t="str">
        <f t="shared" si="74"/>
        <v/>
      </c>
      <c r="AX48" s="92" t="str">
        <f t="shared" si="74"/>
        <v/>
      </c>
      <c r="AY48" s="93" t="str">
        <f t="shared" si="75"/>
        <v/>
      </c>
      <c r="AZ48" s="94" t="str">
        <f t="shared" si="76"/>
        <v/>
      </c>
      <c r="BA48" s="95" t="str">
        <f t="shared" si="77"/>
        <v/>
      </c>
      <c r="BB48" s="248" t="s">
        <v>422</v>
      </c>
      <c r="BC48" s="229" t="s">
        <v>433</v>
      </c>
      <c r="BD48" s="249">
        <v>0</v>
      </c>
      <c r="BE48" s="267">
        <f t="shared" si="28"/>
        <v>0</v>
      </c>
      <c r="BF48" s="268">
        <f t="shared" ref="BF48:BL48" si="89">IF(BF$6=$BB48,1,
IF(BE48&lt;&gt;0,BE48+1,0
))</f>
        <v>0</v>
      </c>
      <c r="BG48" s="268">
        <f t="shared" si="89"/>
        <v>0</v>
      </c>
      <c r="BH48" s="268">
        <f t="shared" si="89"/>
        <v>1</v>
      </c>
      <c r="BI48" s="268">
        <f t="shared" si="89"/>
        <v>2</v>
      </c>
      <c r="BJ48" s="268">
        <f t="shared" si="89"/>
        <v>3</v>
      </c>
      <c r="BK48" s="268">
        <f t="shared" si="89"/>
        <v>4</v>
      </c>
      <c r="BL48" s="269">
        <f t="shared" si="89"/>
        <v>5</v>
      </c>
      <c r="BM48" s="256">
        <f>IF($BC48=Lookup!$A$2,$BD48*ROUNDUP(BE48/10,0)+1,
IF($BC48=Lookup!$A$3,($BD48+1)^BD48,
IF($BC48=Lookup!$A$4,BE48*$BD48+1,"Error")))</f>
        <v>1</v>
      </c>
      <c r="BN48" s="229">
        <f>IF($BC48=Lookup!$A$2,$BD48*ROUNDUP(BF48/10,0)+1,
IF($BC48=Lookup!$A$3,($BD48+1)^BE48,
IF($BC48=Lookup!$A$4,BF48*$BD48+1,"Error")))</f>
        <v>1</v>
      </c>
      <c r="BO48" s="229">
        <f>IF($BC48=Lookup!$A$2,$BD48*ROUNDUP(BG48/10,0)+1,
IF($BC48=Lookup!$A$3,($BD48+1)^BF48,
IF($BC48=Lookup!$A$4,BG48*$BD48+1,"Error")))</f>
        <v>1</v>
      </c>
      <c r="BP48" s="229">
        <f>IF($BC48=Lookup!$A$2,$BD48*ROUNDUP(BH48/10,0)+1,
IF($BC48=Lookup!$A$3,($BD48+1)^BG48,
IF($BC48=Lookup!$A$4,BH48*$BD48+1,"Error")))</f>
        <v>1</v>
      </c>
      <c r="BQ48" s="229">
        <f>IF($BC48=Lookup!$A$2,$BD48*ROUNDUP(BI48/10,0)+1,
IF($BC48=Lookup!$A$3,($BD48+1)^BH48,
IF($BC48=Lookup!$A$4,BI48*$BD48+1,"Error")))</f>
        <v>1</v>
      </c>
      <c r="BR48" s="229">
        <f>IF($BC48=Lookup!$A$2,$BD48*ROUNDUP(BJ48/10,0)+1,
IF($BC48=Lookup!$A$3,($BD48+1)^BI48,
IF($BC48=Lookup!$A$4,BJ48*$BD48+1,"Error")))</f>
        <v>1</v>
      </c>
      <c r="BS48" s="229">
        <f>IF($BC48=Lookup!$A$2,$BD48*ROUNDUP(BK48/10,0)+1,
IF($BC48=Lookup!$A$3,($BD48+1)^BJ48,
IF($BC48=Lookup!$A$4,BK48*$BD48+1,"Error")))</f>
        <v>1</v>
      </c>
      <c r="BT48" s="249">
        <f>IF($BC48=Lookup!$A$2,$BD48*ROUNDUP(BL48/10,0)+1,
IF($BC48=Lookup!$A$3,($BD48+1)^BK48,
IF($BC48=Lookup!$A$4,BL48*$BD48+1,"Error")))</f>
        <v>1</v>
      </c>
      <c r="BU48" s="398"/>
      <c r="BV48" s="356"/>
      <c r="BW48" s="356"/>
      <c r="BX48" s="356"/>
      <c r="BY48" s="356"/>
      <c r="BZ48" s="356"/>
      <c r="CA48" s="356"/>
      <c r="CB48" s="399"/>
      <c r="CC48" s="382" t="s">
        <v>293</v>
      </c>
      <c r="CD48" s="383">
        <f>HLOOKUP($CC48,$AK$6:$AM$132,ROWS(CD$6:CD48),0)</f>
        <v>0</v>
      </c>
      <c r="CE48" s="236">
        <f t="shared" si="30"/>
        <v>0</v>
      </c>
      <c r="CF48" s="130">
        <f t="shared" si="30"/>
        <v>0</v>
      </c>
      <c r="CG48" s="130">
        <f t="shared" si="30"/>
        <v>0</v>
      </c>
      <c r="CH48" s="130">
        <f t="shared" si="30"/>
        <v>0</v>
      </c>
      <c r="CI48" s="130">
        <f t="shared" si="84"/>
        <v>0</v>
      </c>
      <c r="CJ48" s="130">
        <f t="shared" si="84"/>
        <v>0</v>
      </c>
      <c r="CK48" s="130">
        <f t="shared" si="84"/>
        <v>0</v>
      </c>
      <c r="CL48" s="288">
        <f t="shared" si="84"/>
        <v>0</v>
      </c>
      <c r="CM48" s="305" t="s">
        <v>293</v>
      </c>
      <c r="CN48" s="315">
        <v>0</v>
      </c>
      <c r="CO48" s="306"/>
      <c r="CP48" s="307" t="str">
        <f>IF($CO48&lt;&gt;"",$CO48,HLOOKUP($CM48,$AY$6:$BA$132,ROWS(CP$6:CP48),0))</f>
        <v/>
      </c>
      <c r="CQ48" s="784" t="str">
        <f t="shared" si="79"/>
        <v/>
      </c>
      <c r="CR48" s="784" t="str">
        <f t="shared" si="79"/>
        <v/>
      </c>
      <c r="CS48" s="97" t="str">
        <f t="shared" si="79"/>
        <v/>
      </c>
      <c r="CT48" s="97" t="str">
        <f t="shared" si="79"/>
        <v/>
      </c>
      <c r="CU48" s="97" t="str">
        <f t="shared" si="79"/>
        <v/>
      </c>
      <c r="CV48" s="97" t="str">
        <f t="shared" si="79"/>
        <v/>
      </c>
      <c r="CW48" s="97" t="str">
        <f t="shared" si="79"/>
        <v/>
      </c>
      <c r="CX48" s="98" t="str">
        <f t="shared" si="62"/>
        <v/>
      </c>
      <c r="CY48" s="392"/>
    </row>
    <row r="49" spans="1:103" x14ac:dyDescent="0.25">
      <c r="A49" s="81" t="s">
        <v>94</v>
      </c>
      <c r="B49" s="82" t="s">
        <v>102</v>
      </c>
      <c r="C49" s="83" t="s">
        <v>323</v>
      </c>
      <c r="D49" s="84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  <c r="M49" s="654">
        <f>'2022-23 Input'!F49</f>
        <v>0</v>
      </c>
      <c r="N49" s="1065">
        <v>0</v>
      </c>
      <c r="O49" s="560">
        <f t="shared" si="27"/>
        <v>0</v>
      </c>
      <c r="P49" s="561">
        <f t="shared" si="0"/>
        <v>0</v>
      </c>
      <c r="Q49" s="561">
        <f t="shared" si="1"/>
        <v>0</v>
      </c>
      <c r="R49" s="561">
        <f t="shared" si="2"/>
        <v>0</v>
      </c>
      <c r="S49" s="561">
        <f t="shared" si="3"/>
        <v>0</v>
      </c>
      <c r="T49" s="561">
        <f t="shared" si="4"/>
        <v>0</v>
      </c>
      <c r="U49" s="561">
        <f t="shared" si="5"/>
        <v>0</v>
      </c>
      <c r="V49" s="561">
        <f t="shared" si="6"/>
        <v>0</v>
      </c>
      <c r="W49" s="675">
        <f t="shared" si="7"/>
        <v>0</v>
      </c>
      <c r="X49" s="675">
        <f t="shared" si="8"/>
        <v>0</v>
      </c>
      <c r="Y49" s="675">
        <f t="shared" si="8"/>
        <v>0</v>
      </c>
      <c r="Z49" s="125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097">
        <f>'2022-23 Input'!M49</f>
        <v>0</v>
      </c>
      <c r="AJ49" s="668">
        <v>0</v>
      </c>
      <c r="AK49" s="127">
        <f t="shared" si="63"/>
        <v>0</v>
      </c>
      <c r="AL49" s="128">
        <f t="shared" si="64"/>
        <v>0</v>
      </c>
      <c r="AM49" s="129">
        <f t="shared" si="65"/>
        <v>0</v>
      </c>
      <c r="AN49" s="91" t="str">
        <f t="shared" si="66"/>
        <v/>
      </c>
      <c r="AO49" s="92" t="str">
        <f t="shared" si="67"/>
        <v/>
      </c>
      <c r="AP49" s="92" t="str">
        <f t="shared" si="68"/>
        <v/>
      </c>
      <c r="AQ49" s="92" t="str">
        <f t="shared" si="69"/>
        <v/>
      </c>
      <c r="AR49" s="92" t="str">
        <f t="shared" si="70"/>
        <v/>
      </c>
      <c r="AS49" s="92" t="str">
        <f t="shared" si="71"/>
        <v/>
      </c>
      <c r="AT49" s="92" t="str">
        <f t="shared" si="72"/>
        <v/>
      </c>
      <c r="AU49" s="92" t="str">
        <f t="shared" si="73"/>
        <v/>
      </c>
      <c r="AV49" s="92" t="str">
        <f t="shared" si="74"/>
        <v/>
      </c>
      <c r="AW49" s="92" t="str">
        <f t="shared" si="74"/>
        <v/>
      </c>
      <c r="AX49" s="92" t="str">
        <f t="shared" si="74"/>
        <v/>
      </c>
      <c r="AY49" s="93" t="str">
        <f t="shared" si="75"/>
        <v/>
      </c>
      <c r="AZ49" s="94" t="str">
        <f t="shared" si="76"/>
        <v/>
      </c>
      <c r="BA49" s="95" t="str">
        <f t="shared" si="77"/>
        <v/>
      </c>
      <c r="BB49" s="248" t="s">
        <v>422</v>
      </c>
      <c r="BC49" s="229" t="s">
        <v>433</v>
      </c>
      <c r="BD49" s="249">
        <v>0</v>
      </c>
      <c r="BE49" s="267">
        <f t="shared" si="28"/>
        <v>0</v>
      </c>
      <c r="BF49" s="268">
        <f t="shared" ref="BF49:BL49" si="90">IF(BF$6=$BB49,1,
IF(BE49&lt;&gt;0,BE49+1,0
))</f>
        <v>0</v>
      </c>
      <c r="BG49" s="268">
        <f t="shared" si="90"/>
        <v>0</v>
      </c>
      <c r="BH49" s="268">
        <f t="shared" si="90"/>
        <v>1</v>
      </c>
      <c r="BI49" s="268">
        <f t="shared" si="90"/>
        <v>2</v>
      </c>
      <c r="BJ49" s="268">
        <f t="shared" si="90"/>
        <v>3</v>
      </c>
      <c r="BK49" s="268">
        <f t="shared" si="90"/>
        <v>4</v>
      </c>
      <c r="BL49" s="269">
        <f t="shared" si="90"/>
        <v>5</v>
      </c>
      <c r="BM49" s="256">
        <f>IF($BC49=Lookup!$A$2,$BD49*ROUNDUP(BE49/10,0)+1,
IF($BC49=Lookup!$A$3,($BD49+1)^BD49,
IF($BC49=Lookup!$A$4,BE49*$BD49+1,"Error")))</f>
        <v>1</v>
      </c>
      <c r="BN49" s="229">
        <f>IF($BC49=Lookup!$A$2,$BD49*ROUNDUP(BF49/10,0)+1,
IF($BC49=Lookup!$A$3,($BD49+1)^BE49,
IF($BC49=Lookup!$A$4,BF49*$BD49+1,"Error")))</f>
        <v>1</v>
      </c>
      <c r="BO49" s="229">
        <f>IF($BC49=Lookup!$A$2,$BD49*ROUNDUP(BG49/10,0)+1,
IF($BC49=Lookup!$A$3,($BD49+1)^BF49,
IF($BC49=Lookup!$A$4,BG49*$BD49+1,"Error")))</f>
        <v>1</v>
      </c>
      <c r="BP49" s="229">
        <f>IF($BC49=Lookup!$A$2,$BD49*ROUNDUP(BH49/10,0)+1,
IF($BC49=Lookup!$A$3,($BD49+1)^BG49,
IF($BC49=Lookup!$A$4,BH49*$BD49+1,"Error")))</f>
        <v>1</v>
      </c>
      <c r="BQ49" s="229">
        <f>IF($BC49=Lookup!$A$2,$BD49*ROUNDUP(BI49/10,0)+1,
IF($BC49=Lookup!$A$3,($BD49+1)^BH49,
IF($BC49=Lookup!$A$4,BI49*$BD49+1,"Error")))</f>
        <v>1</v>
      </c>
      <c r="BR49" s="229">
        <f>IF($BC49=Lookup!$A$2,$BD49*ROUNDUP(BJ49/10,0)+1,
IF($BC49=Lookup!$A$3,($BD49+1)^BI49,
IF($BC49=Lookup!$A$4,BJ49*$BD49+1,"Error")))</f>
        <v>1</v>
      </c>
      <c r="BS49" s="229">
        <f>IF($BC49=Lookup!$A$2,$BD49*ROUNDUP(BK49/10,0)+1,
IF($BC49=Lookup!$A$3,($BD49+1)^BJ49,
IF($BC49=Lookup!$A$4,BK49*$BD49+1,"Error")))</f>
        <v>1</v>
      </c>
      <c r="BT49" s="249">
        <f>IF($BC49=Lookup!$A$2,$BD49*ROUNDUP(BL49/10,0)+1,
IF($BC49=Lookup!$A$3,($BD49+1)^BK49,
IF($BC49=Lookup!$A$4,BL49*$BD49+1,"Error")))</f>
        <v>1</v>
      </c>
      <c r="BU49" s="398"/>
      <c r="BV49" s="356"/>
      <c r="BW49" s="356"/>
      <c r="BX49" s="356"/>
      <c r="BY49" s="356"/>
      <c r="BZ49" s="356"/>
      <c r="CA49" s="356"/>
      <c r="CB49" s="399"/>
      <c r="CC49" s="382" t="s">
        <v>293</v>
      </c>
      <c r="CD49" s="383">
        <f>HLOOKUP($CC49,$AK$6:$AM$132,ROWS(CD$6:CD49),0)</f>
        <v>0</v>
      </c>
      <c r="CE49" s="236">
        <f t="shared" si="30"/>
        <v>0</v>
      </c>
      <c r="CF49" s="130">
        <f t="shared" si="30"/>
        <v>0</v>
      </c>
      <c r="CG49" s="130">
        <f t="shared" si="30"/>
        <v>0</v>
      </c>
      <c r="CH49" s="130">
        <f t="shared" si="30"/>
        <v>0</v>
      </c>
      <c r="CI49" s="130">
        <f t="shared" si="84"/>
        <v>0</v>
      </c>
      <c r="CJ49" s="130">
        <f t="shared" si="84"/>
        <v>0</v>
      </c>
      <c r="CK49" s="130">
        <f t="shared" si="84"/>
        <v>0</v>
      </c>
      <c r="CL49" s="288">
        <f t="shared" si="84"/>
        <v>0</v>
      </c>
      <c r="CM49" s="305" t="s">
        <v>293</v>
      </c>
      <c r="CN49" s="315">
        <v>0</v>
      </c>
      <c r="CO49" s="306"/>
      <c r="CP49" s="307" t="str">
        <f>IF($CO49&lt;&gt;"",$CO49,HLOOKUP($CM49,$AY$6:$BA$132,ROWS(CP$6:CP49),0))</f>
        <v/>
      </c>
      <c r="CQ49" s="784" t="str">
        <f t="shared" si="79"/>
        <v/>
      </c>
      <c r="CR49" s="784" t="str">
        <f t="shared" si="79"/>
        <v/>
      </c>
      <c r="CS49" s="97" t="str">
        <f t="shared" si="79"/>
        <v/>
      </c>
      <c r="CT49" s="97" t="str">
        <f t="shared" si="79"/>
        <v/>
      </c>
      <c r="CU49" s="97" t="str">
        <f t="shared" si="79"/>
        <v/>
      </c>
      <c r="CV49" s="97" t="str">
        <f t="shared" si="79"/>
        <v/>
      </c>
      <c r="CW49" s="97" t="str">
        <f t="shared" si="79"/>
        <v/>
      </c>
      <c r="CX49" s="98" t="str">
        <f t="shared" si="62"/>
        <v/>
      </c>
      <c r="CY49" s="392"/>
    </row>
    <row r="50" spans="1:103" ht="15.75" thickBot="1" x14ac:dyDescent="0.3">
      <c r="A50" s="138" t="s">
        <v>94</v>
      </c>
      <c r="B50" s="139" t="s">
        <v>461</v>
      </c>
      <c r="C50" s="102" t="s">
        <v>325</v>
      </c>
      <c r="D50" s="103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655">
        <f>'2022-23 Input'!F50</f>
        <v>0</v>
      </c>
      <c r="N50" s="1066">
        <v>0</v>
      </c>
      <c r="O50" s="563">
        <f t="shared" si="27"/>
        <v>0</v>
      </c>
      <c r="P50" s="564">
        <f t="shared" si="0"/>
        <v>0</v>
      </c>
      <c r="Q50" s="564">
        <f t="shared" si="1"/>
        <v>0</v>
      </c>
      <c r="R50" s="564">
        <f t="shared" si="2"/>
        <v>0</v>
      </c>
      <c r="S50" s="564">
        <f t="shared" si="3"/>
        <v>0</v>
      </c>
      <c r="T50" s="564">
        <f t="shared" si="4"/>
        <v>0</v>
      </c>
      <c r="U50" s="564">
        <f t="shared" si="5"/>
        <v>0</v>
      </c>
      <c r="V50" s="564">
        <f t="shared" si="6"/>
        <v>0</v>
      </c>
      <c r="W50" s="676">
        <f t="shared" si="7"/>
        <v>0</v>
      </c>
      <c r="X50" s="676">
        <f t="shared" si="8"/>
        <v>0</v>
      </c>
      <c r="Y50" s="676">
        <f t="shared" si="8"/>
        <v>0</v>
      </c>
      <c r="Z50" s="131">
        <v>0</v>
      </c>
      <c r="AA50" s="132">
        <v>0</v>
      </c>
      <c r="AB50" s="132">
        <v>0</v>
      </c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098">
        <f>'2022-23 Input'!M50</f>
        <v>0</v>
      </c>
      <c r="AJ50" s="669">
        <v>0</v>
      </c>
      <c r="AK50" s="133">
        <f t="shared" si="63"/>
        <v>0</v>
      </c>
      <c r="AL50" s="134">
        <f t="shared" si="64"/>
        <v>0</v>
      </c>
      <c r="AM50" s="135">
        <f t="shared" si="65"/>
        <v>0</v>
      </c>
      <c r="AN50" s="110" t="str">
        <f t="shared" si="66"/>
        <v/>
      </c>
      <c r="AO50" s="111" t="str">
        <f t="shared" si="67"/>
        <v/>
      </c>
      <c r="AP50" s="111" t="str">
        <f t="shared" si="68"/>
        <v/>
      </c>
      <c r="AQ50" s="111" t="str">
        <f t="shared" si="69"/>
        <v/>
      </c>
      <c r="AR50" s="111" t="str">
        <f t="shared" si="70"/>
        <v/>
      </c>
      <c r="AS50" s="111" t="str">
        <f t="shared" si="71"/>
        <v/>
      </c>
      <c r="AT50" s="111" t="str">
        <f t="shared" si="72"/>
        <v/>
      </c>
      <c r="AU50" s="111" t="str">
        <f t="shared" si="73"/>
        <v/>
      </c>
      <c r="AV50" s="111" t="str">
        <f t="shared" si="74"/>
        <v/>
      </c>
      <c r="AW50" s="111" t="str">
        <f t="shared" si="74"/>
        <v/>
      </c>
      <c r="AX50" s="111" t="str">
        <f t="shared" si="74"/>
        <v/>
      </c>
      <c r="AY50" s="112" t="str">
        <f t="shared" si="75"/>
        <v/>
      </c>
      <c r="AZ50" s="113" t="str">
        <f t="shared" si="76"/>
        <v/>
      </c>
      <c r="BA50" s="114" t="str">
        <f t="shared" si="77"/>
        <v/>
      </c>
      <c r="BB50" s="250" t="s">
        <v>422</v>
      </c>
      <c r="BC50" s="230" t="s">
        <v>433</v>
      </c>
      <c r="BD50" s="251">
        <v>0</v>
      </c>
      <c r="BE50" s="270">
        <f t="shared" si="28"/>
        <v>0</v>
      </c>
      <c r="BF50" s="271">
        <f t="shared" ref="BF50:BL50" si="91">IF(BF$6=$BB50,1,
IF(BE50&lt;&gt;0,BE50+1,0
))</f>
        <v>0</v>
      </c>
      <c r="BG50" s="271">
        <f t="shared" si="91"/>
        <v>0</v>
      </c>
      <c r="BH50" s="271">
        <f t="shared" si="91"/>
        <v>1</v>
      </c>
      <c r="BI50" s="271">
        <f t="shared" si="91"/>
        <v>2</v>
      </c>
      <c r="BJ50" s="271">
        <f t="shared" si="91"/>
        <v>3</v>
      </c>
      <c r="BK50" s="271">
        <f t="shared" si="91"/>
        <v>4</v>
      </c>
      <c r="BL50" s="272">
        <f t="shared" si="91"/>
        <v>5</v>
      </c>
      <c r="BM50" s="257">
        <f>IF($BC50=Lookup!$A$2,$BD50*ROUNDUP(BE50/10,0)+1,
IF($BC50=Lookup!$A$3,($BD50+1)^BD50,
IF($BC50=Lookup!$A$4,BE50*$BD50+1,"Error")))</f>
        <v>1</v>
      </c>
      <c r="BN50" s="230">
        <f>IF($BC50=Lookup!$A$2,$BD50*ROUNDUP(BF50/10,0)+1,
IF($BC50=Lookup!$A$3,($BD50+1)^BE50,
IF($BC50=Lookup!$A$4,BF50*$BD50+1,"Error")))</f>
        <v>1</v>
      </c>
      <c r="BO50" s="230">
        <f>IF($BC50=Lookup!$A$2,$BD50*ROUNDUP(BG50/10,0)+1,
IF($BC50=Lookup!$A$3,($BD50+1)^BF50,
IF($BC50=Lookup!$A$4,BG50*$BD50+1,"Error")))</f>
        <v>1</v>
      </c>
      <c r="BP50" s="230">
        <f>IF($BC50=Lookup!$A$2,$BD50*ROUNDUP(BH50/10,0)+1,
IF($BC50=Lookup!$A$3,($BD50+1)^BG50,
IF($BC50=Lookup!$A$4,BH50*$BD50+1,"Error")))</f>
        <v>1</v>
      </c>
      <c r="BQ50" s="230">
        <f>IF($BC50=Lookup!$A$2,$BD50*ROUNDUP(BI50/10,0)+1,
IF($BC50=Lookup!$A$3,($BD50+1)^BH50,
IF($BC50=Lookup!$A$4,BI50*$BD50+1,"Error")))</f>
        <v>1</v>
      </c>
      <c r="BR50" s="230">
        <f>IF($BC50=Lookup!$A$2,$BD50*ROUNDUP(BJ50/10,0)+1,
IF($BC50=Lookup!$A$3,($BD50+1)^BI50,
IF($BC50=Lookup!$A$4,BJ50*$BD50+1,"Error")))</f>
        <v>1</v>
      </c>
      <c r="BS50" s="230">
        <f>IF($BC50=Lookup!$A$2,$BD50*ROUNDUP(BK50/10,0)+1,
IF($BC50=Lookup!$A$3,($BD50+1)^BJ50,
IF($BC50=Lookup!$A$4,BK50*$BD50+1,"Error")))</f>
        <v>1</v>
      </c>
      <c r="BT50" s="251">
        <f>IF($BC50=Lookup!$A$2,$BD50*ROUNDUP(BL50/10,0)+1,
IF($BC50=Lookup!$A$3,($BD50+1)^BK50,
IF($BC50=Lookup!$A$4,BL50*$BD50+1,"Error")))</f>
        <v>1</v>
      </c>
      <c r="BU50" s="400"/>
      <c r="BV50" s="358"/>
      <c r="BW50" s="358"/>
      <c r="BX50" s="358"/>
      <c r="BY50" s="358"/>
      <c r="BZ50" s="358"/>
      <c r="CA50" s="358"/>
      <c r="CB50" s="401"/>
      <c r="CC50" s="384" t="s">
        <v>293</v>
      </c>
      <c r="CD50" s="385">
        <f>HLOOKUP($CC50,$AK$6:$AM$132,ROWS(CD$6:CD50),0)</f>
        <v>0</v>
      </c>
      <c r="CE50" s="237">
        <f t="shared" si="30"/>
        <v>0</v>
      </c>
      <c r="CF50" s="136">
        <f t="shared" si="30"/>
        <v>0</v>
      </c>
      <c r="CG50" s="136">
        <f t="shared" si="30"/>
        <v>0</v>
      </c>
      <c r="CH50" s="136">
        <f t="shared" si="30"/>
        <v>0</v>
      </c>
      <c r="CI50" s="136">
        <f t="shared" si="84"/>
        <v>0</v>
      </c>
      <c r="CJ50" s="136">
        <f t="shared" si="84"/>
        <v>0</v>
      </c>
      <c r="CK50" s="136">
        <f t="shared" si="84"/>
        <v>0</v>
      </c>
      <c r="CL50" s="289">
        <f t="shared" si="84"/>
        <v>0</v>
      </c>
      <c r="CM50" s="308" t="s">
        <v>293</v>
      </c>
      <c r="CN50" s="316">
        <v>0</v>
      </c>
      <c r="CO50" s="309"/>
      <c r="CP50" s="310" t="str">
        <f>IF($CO50&lt;&gt;"",$CO50,HLOOKUP($CM50,$AY$6:$BA$132,ROWS(CP$6:CP50),0))</f>
        <v/>
      </c>
      <c r="CQ50" s="785" t="str">
        <f t="shared" si="79"/>
        <v/>
      </c>
      <c r="CR50" s="785" t="str">
        <f t="shared" si="79"/>
        <v/>
      </c>
      <c r="CS50" s="117" t="str">
        <f t="shared" si="79"/>
        <v/>
      </c>
      <c r="CT50" s="117" t="str">
        <f t="shared" si="79"/>
        <v/>
      </c>
      <c r="CU50" s="117" t="str">
        <f t="shared" si="79"/>
        <v/>
      </c>
      <c r="CV50" s="117" t="str">
        <f t="shared" si="79"/>
        <v/>
      </c>
      <c r="CW50" s="117" t="str">
        <f t="shared" si="79"/>
        <v/>
      </c>
      <c r="CX50" s="118" t="str">
        <f t="shared" si="62"/>
        <v/>
      </c>
      <c r="CY50" s="393"/>
    </row>
    <row r="51" spans="1:103" x14ac:dyDescent="0.25">
      <c r="A51" s="63" t="s">
        <v>106</v>
      </c>
      <c r="B51" s="64" t="s">
        <v>103</v>
      </c>
      <c r="C51" s="65" t="s">
        <v>326</v>
      </c>
      <c r="D51" s="66">
        <v>976316.1166035526</v>
      </c>
      <c r="E51" s="67">
        <v>1359411.9025455301</v>
      </c>
      <c r="F51" s="67">
        <v>2288324.3594075297</v>
      </c>
      <c r="G51" s="67">
        <v>1255540.7018191691</v>
      </c>
      <c r="H51" s="67">
        <v>1708176.3525757999</v>
      </c>
      <c r="I51" s="67">
        <v>3233289.4330160087</v>
      </c>
      <c r="J51" s="67">
        <v>5173981.3092699777</v>
      </c>
      <c r="K51" s="67">
        <v>0</v>
      </c>
      <c r="L51" s="67">
        <v>6174454.9480251055</v>
      </c>
      <c r="M51" s="653">
        <f>'2022-23 Input'!F51</f>
        <v>11508930.930463031</v>
      </c>
      <c r="N51" s="1064">
        <v>11597819.299636979</v>
      </c>
      <c r="O51" s="557">
        <f t="shared" si="27"/>
        <v>1313590.6886274749</v>
      </c>
      <c r="P51" s="558">
        <f t="shared" si="0"/>
        <v>1801806.5724938656</v>
      </c>
      <c r="Q51" s="558">
        <f t="shared" si="1"/>
        <v>3002294.7122237533</v>
      </c>
      <c r="R51" s="558">
        <f t="shared" si="2"/>
        <v>1616027.4673797633</v>
      </c>
      <c r="S51" s="558">
        <f t="shared" si="3"/>
        <v>2153871.6737150447</v>
      </c>
      <c r="T51" s="558">
        <f t="shared" si="4"/>
        <v>4012991.6652824725</v>
      </c>
      <c r="U51" s="558">
        <f t="shared" si="5"/>
        <v>6444131.4974185638</v>
      </c>
      <c r="V51" s="558">
        <f t="shared" si="6"/>
        <v>0</v>
      </c>
      <c r="W51" s="674">
        <f t="shared" si="7"/>
        <v>6976684.8007119913</v>
      </c>
      <c r="X51" s="674">
        <f t="shared" si="8"/>
        <v>12239298.345640173</v>
      </c>
      <c r="Y51" s="674">
        <f t="shared" si="8"/>
        <v>11916741.693759145</v>
      </c>
      <c r="Z51" s="68">
        <v>2212</v>
      </c>
      <c r="AA51" s="69">
        <v>2657</v>
      </c>
      <c r="AB51" s="69">
        <v>3813</v>
      </c>
      <c r="AC51" s="69">
        <v>2633</v>
      </c>
      <c r="AD51" s="69">
        <v>3353</v>
      </c>
      <c r="AE51" s="69">
        <v>5458.3198489799979</v>
      </c>
      <c r="AF51" s="69">
        <v>7584.415757887994</v>
      </c>
      <c r="AG51" s="69">
        <v>0</v>
      </c>
      <c r="AH51" s="69">
        <v>8314.5364773229776</v>
      </c>
      <c r="AI51" s="1093">
        <f>'2022-23 Input'!M51</f>
        <v>10541.794604248007</v>
      </c>
      <c r="AJ51" s="664">
        <v>10516.690995419</v>
      </c>
      <c r="AK51" s="121">
        <f t="shared" si="63"/>
        <v>6379.813337687795</v>
      </c>
      <c r="AL51" s="122">
        <f t="shared" si="64"/>
        <v>6285.4436938569952</v>
      </c>
      <c r="AM51" s="123">
        <f t="shared" si="65"/>
        <v>10541.794604248007</v>
      </c>
      <c r="AN51" s="73">
        <f t="shared" si="66"/>
        <v>441.37256627647042</v>
      </c>
      <c r="AO51" s="74">
        <f t="shared" si="67"/>
        <v>511.6341372019308</v>
      </c>
      <c r="AP51" s="74">
        <f t="shared" si="68"/>
        <v>600.13751885851809</v>
      </c>
      <c r="AQ51" s="74">
        <f t="shared" si="69"/>
        <v>476.84796878813864</v>
      </c>
      <c r="AR51" s="74">
        <f t="shared" si="70"/>
        <v>509.44716748458097</v>
      </c>
      <c r="AS51" s="74">
        <f t="shared" si="71"/>
        <v>592.35983278264962</v>
      </c>
      <c r="AT51" s="74">
        <f t="shared" si="72"/>
        <v>682.18587620132769</v>
      </c>
      <c r="AU51" s="74" t="str">
        <f t="shared" si="73"/>
        <v/>
      </c>
      <c r="AV51" s="74">
        <f t="shared" si="74"/>
        <v>742.60964094213557</v>
      </c>
      <c r="AW51" s="74">
        <f t="shared" si="74"/>
        <v>1091.7430439998611</v>
      </c>
      <c r="AX51" s="74">
        <f t="shared" si="74"/>
        <v>1102.8011857236188</v>
      </c>
      <c r="AY51" s="75">
        <f t="shared" si="75"/>
        <v>817.9128522976514</v>
      </c>
      <c r="AZ51" s="76">
        <f t="shared" si="76"/>
        <v>937.79568262729481</v>
      </c>
      <c r="BA51" s="77">
        <f t="shared" si="77"/>
        <v>1091.7430439998611</v>
      </c>
      <c r="BB51" s="246" t="s">
        <v>422</v>
      </c>
      <c r="BC51" s="228" t="s">
        <v>433</v>
      </c>
      <c r="BD51" s="247">
        <v>0</v>
      </c>
      <c r="BE51" s="264">
        <f t="shared" si="28"/>
        <v>0</v>
      </c>
      <c r="BF51" s="265">
        <f t="shared" ref="BF51:BL51" si="92">IF(BF$6=$BB51,1,
IF(BE51&lt;&gt;0,BE51+1,0
))</f>
        <v>0</v>
      </c>
      <c r="BG51" s="265">
        <f t="shared" si="92"/>
        <v>0</v>
      </c>
      <c r="BH51" s="265">
        <f t="shared" si="92"/>
        <v>1</v>
      </c>
      <c r="BI51" s="265">
        <f t="shared" si="92"/>
        <v>2</v>
      </c>
      <c r="BJ51" s="265">
        <f t="shared" si="92"/>
        <v>3</v>
      </c>
      <c r="BK51" s="265">
        <f t="shared" si="92"/>
        <v>4</v>
      </c>
      <c r="BL51" s="266">
        <f t="shared" si="92"/>
        <v>5</v>
      </c>
      <c r="BM51" s="255">
        <f>IF($BC51=Lookup!$A$2,$BD51*ROUNDUP(BE51/10,0)+1,
IF($BC51=Lookup!$A$3,($BD51+1)^BD51,
IF($BC51=Lookup!$A$4,BE51*$BD51+1,"Error")))</f>
        <v>1</v>
      </c>
      <c r="BN51" s="228">
        <f>IF($BC51=Lookup!$A$2,$BD51*ROUNDUP(BF51/10,0)+1,
IF($BC51=Lookup!$A$3,($BD51+1)^BE51,
IF($BC51=Lookup!$A$4,BF51*$BD51+1,"Error")))</f>
        <v>1</v>
      </c>
      <c r="BO51" s="228">
        <f>IF($BC51=Lookup!$A$2,$BD51*ROUNDUP(BG51/10,0)+1,
IF($BC51=Lookup!$A$3,($BD51+1)^BF51,
IF($BC51=Lookup!$A$4,BG51*$BD51+1,"Error")))</f>
        <v>1</v>
      </c>
      <c r="BP51" s="228">
        <f>IF($BC51=Lookup!$A$2,$BD51*ROUNDUP(BH51/10,0)+1,
IF($BC51=Lookup!$A$3,($BD51+1)^BG51,
IF($BC51=Lookup!$A$4,BH51*$BD51+1,"Error")))</f>
        <v>1</v>
      </c>
      <c r="BQ51" s="228">
        <f>IF($BC51=Lookup!$A$2,$BD51*ROUNDUP(BI51/10,0)+1,
IF($BC51=Lookup!$A$3,($BD51+1)^BH51,
IF($BC51=Lookup!$A$4,BI51*$BD51+1,"Error")))</f>
        <v>1</v>
      </c>
      <c r="BR51" s="228">
        <f>IF($BC51=Lookup!$A$2,$BD51*ROUNDUP(BJ51/10,0)+1,
IF($BC51=Lookup!$A$3,($BD51+1)^BI51,
IF($BC51=Lookup!$A$4,BJ51*$BD51+1,"Error")))</f>
        <v>1</v>
      </c>
      <c r="BS51" s="228">
        <f>IF($BC51=Lookup!$A$2,$BD51*ROUNDUP(BK51/10,0)+1,
IF($BC51=Lookup!$A$3,($BD51+1)^BJ51,
IF($BC51=Lookup!$A$4,BK51*$BD51+1,"Error")))</f>
        <v>1</v>
      </c>
      <c r="BT51" s="247">
        <f>IF($BC51=Lookup!$A$2,$BD51*ROUNDUP(BL51/10,0)+1,
IF($BC51=Lookup!$A$3,($BD51+1)^BK51,
IF($BC51=Lookup!$A$4,BL51*$BD51+1,"Error")))</f>
        <v>1</v>
      </c>
      <c r="BU51" s="318"/>
      <c r="BV51" s="319"/>
      <c r="BW51" s="319"/>
      <c r="BX51" s="319"/>
      <c r="BY51" s="319"/>
      <c r="BZ51" s="319"/>
      <c r="CA51" s="319"/>
      <c r="CB51" s="276"/>
      <c r="CC51" s="380" t="s">
        <v>293</v>
      </c>
      <c r="CD51" s="381">
        <f>HLOOKUP($CC51,$AK$6:$AM$132,ROWS(CD$6:CD51),0)</f>
        <v>6285.4436938569952</v>
      </c>
      <c r="CE51" s="233">
        <f t="shared" si="30"/>
        <v>6285.4436938569952</v>
      </c>
      <c r="CF51" s="78">
        <f t="shared" si="30"/>
        <v>6285.4436938569952</v>
      </c>
      <c r="CG51" s="78">
        <f t="shared" si="30"/>
        <v>6285.4436938569952</v>
      </c>
      <c r="CH51" s="78">
        <f t="shared" si="30"/>
        <v>6285.4436938569952</v>
      </c>
      <c r="CI51" s="78">
        <f t="shared" si="84"/>
        <v>6285.4436938569952</v>
      </c>
      <c r="CJ51" s="78">
        <f t="shared" si="84"/>
        <v>6285.4436938569952</v>
      </c>
      <c r="CK51" s="78">
        <f t="shared" si="84"/>
        <v>6285.4436938569952</v>
      </c>
      <c r="CL51" s="285">
        <f t="shared" si="84"/>
        <v>6285.4436938569952</v>
      </c>
      <c r="CM51" s="302" t="s">
        <v>293</v>
      </c>
      <c r="CN51" s="314">
        <v>0</v>
      </c>
      <c r="CO51" s="303"/>
      <c r="CP51" s="304">
        <f>IF($CO51&lt;&gt;"",$CO51,HLOOKUP($CM51,$AY$6:$BA$132,ROWS(CP$6:CP51),0))</f>
        <v>937.79568262729481</v>
      </c>
      <c r="CQ51" s="783">
        <f t="shared" si="79"/>
        <v>5894461.9594960464</v>
      </c>
      <c r="CR51" s="783">
        <f t="shared" si="79"/>
        <v>5894461.9594960464</v>
      </c>
      <c r="CS51" s="79">
        <f t="shared" si="79"/>
        <v>5894461.9594960464</v>
      </c>
      <c r="CT51" s="79">
        <f t="shared" si="79"/>
        <v>5894461.9594960464</v>
      </c>
      <c r="CU51" s="79">
        <f t="shared" si="79"/>
        <v>5894461.9594960464</v>
      </c>
      <c r="CV51" s="79">
        <f t="shared" si="79"/>
        <v>5894461.9594960464</v>
      </c>
      <c r="CW51" s="79">
        <f t="shared" si="79"/>
        <v>5894461.9594960464</v>
      </c>
      <c r="CX51" s="80">
        <f t="shared" si="62"/>
        <v>5894461.9594960464</v>
      </c>
      <c r="CY51" s="391"/>
    </row>
    <row r="52" spans="1:103" x14ac:dyDescent="0.25">
      <c r="A52" s="81" t="s">
        <v>106</v>
      </c>
      <c r="B52" s="82" t="s">
        <v>107</v>
      </c>
      <c r="C52" s="83" t="s">
        <v>328</v>
      </c>
      <c r="D52" s="84">
        <v>1276914.0260805706</v>
      </c>
      <c r="E52" s="85">
        <v>1307116.5523449983</v>
      </c>
      <c r="F52" s="85">
        <v>1781491.0475274271</v>
      </c>
      <c r="G52" s="85">
        <v>864758.6552952237</v>
      </c>
      <c r="H52" s="85">
        <v>1203307.091583767</v>
      </c>
      <c r="I52" s="85">
        <v>0</v>
      </c>
      <c r="J52" s="85">
        <v>0</v>
      </c>
      <c r="K52" s="85">
        <v>5750694.7809105329</v>
      </c>
      <c r="L52" s="85">
        <v>0</v>
      </c>
      <c r="M52" s="654">
        <f>'2022-23 Input'!F52</f>
        <v>9490140.3222188354</v>
      </c>
      <c r="N52" s="1065">
        <v>10608226.141979614</v>
      </c>
      <c r="O52" s="560">
        <f t="shared" si="27"/>
        <v>1718032.0454736152</v>
      </c>
      <c r="P52" s="561">
        <f t="shared" si="0"/>
        <v>1732492.6982179775</v>
      </c>
      <c r="Q52" s="561">
        <f t="shared" si="1"/>
        <v>2337326.4938937007</v>
      </c>
      <c r="R52" s="561">
        <f t="shared" si="2"/>
        <v>1113045.3497737288</v>
      </c>
      <c r="S52" s="561">
        <f t="shared" si="3"/>
        <v>1517272.5318638913</v>
      </c>
      <c r="T52" s="561">
        <f t="shared" si="4"/>
        <v>0</v>
      </c>
      <c r="U52" s="561">
        <f t="shared" si="5"/>
        <v>0</v>
      </c>
      <c r="V52" s="561">
        <f t="shared" si="6"/>
        <v>6897146.3317675227</v>
      </c>
      <c r="W52" s="675">
        <f t="shared" si="7"/>
        <v>0</v>
      </c>
      <c r="X52" s="675">
        <f t="shared" si="8"/>
        <v>10092393.415810777</v>
      </c>
      <c r="Y52" s="675">
        <f t="shared" si="8"/>
        <v>10899936.229124652</v>
      </c>
      <c r="Z52" s="86">
        <v>1080</v>
      </c>
      <c r="AA52" s="87">
        <v>1184</v>
      </c>
      <c r="AB52" s="87">
        <v>1260</v>
      </c>
      <c r="AC52" s="87">
        <v>795</v>
      </c>
      <c r="AD52" s="87">
        <v>1020</v>
      </c>
      <c r="AE52" s="87">
        <v>0</v>
      </c>
      <c r="AF52" s="87">
        <v>0</v>
      </c>
      <c r="AG52" s="87">
        <v>858.49247231801962</v>
      </c>
      <c r="AH52" s="87">
        <v>0</v>
      </c>
      <c r="AI52" s="1094">
        <f>'2022-23 Input'!M52</f>
        <v>1056.5139756709843</v>
      </c>
      <c r="AJ52" s="665">
        <v>1164.0530713149883</v>
      </c>
      <c r="AK52" s="127">
        <f t="shared" si="63"/>
        <v>383.00128959780079</v>
      </c>
      <c r="AL52" s="128">
        <f t="shared" si="64"/>
        <v>638.33548266300124</v>
      </c>
      <c r="AM52" s="129">
        <f t="shared" si="65"/>
        <v>1056.5139756709843</v>
      </c>
      <c r="AN52" s="91">
        <f t="shared" si="66"/>
        <v>1182.3278019264544</v>
      </c>
      <c r="AO52" s="92">
        <f t="shared" si="67"/>
        <v>1103.983574615708</v>
      </c>
      <c r="AP52" s="92">
        <f t="shared" si="68"/>
        <v>1413.8817837519262</v>
      </c>
      <c r="AQ52" s="92">
        <f t="shared" si="69"/>
        <v>1087.7467362204072</v>
      </c>
      <c r="AR52" s="92">
        <f t="shared" si="70"/>
        <v>1179.712834886046</v>
      </c>
      <c r="AS52" s="92" t="str">
        <f t="shared" si="71"/>
        <v/>
      </c>
      <c r="AT52" s="92" t="str">
        <f t="shared" si="72"/>
        <v/>
      </c>
      <c r="AU52" s="92">
        <f t="shared" si="73"/>
        <v>6698.5966287893643</v>
      </c>
      <c r="AV52" s="92" t="str">
        <f t="shared" si="74"/>
        <v/>
      </c>
      <c r="AW52" s="92">
        <f t="shared" si="74"/>
        <v>8982.5033466232344</v>
      </c>
      <c r="AX52" s="92">
        <f t="shared" si="74"/>
        <v>9113.1808363306736</v>
      </c>
      <c r="AY52" s="93">
        <f t="shared" si="75"/>
        <v>7958.6338307811702</v>
      </c>
      <c r="AZ52" s="94">
        <f t="shared" si="76"/>
        <v>7958.6338307811702</v>
      </c>
      <c r="BA52" s="95">
        <f t="shared" si="77"/>
        <v>8982.5033466232344</v>
      </c>
      <c r="BB52" s="248" t="s">
        <v>422</v>
      </c>
      <c r="BC52" s="229" t="s">
        <v>433</v>
      </c>
      <c r="BD52" s="249">
        <v>0</v>
      </c>
      <c r="BE52" s="267">
        <f t="shared" si="28"/>
        <v>0</v>
      </c>
      <c r="BF52" s="268">
        <f t="shared" ref="BF52:BL52" si="93">IF(BF$6=$BB52,1,
IF(BE52&lt;&gt;0,BE52+1,0
))</f>
        <v>0</v>
      </c>
      <c r="BG52" s="268">
        <f t="shared" si="93"/>
        <v>0</v>
      </c>
      <c r="BH52" s="268">
        <f t="shared" si="93"/>
        <v>1</v>
      </c>
      <c r="BI52" s="268">
        <f t="shared" si="93"/>
        <v>2</v>
      </c>
      <c r="BJ52" s="268">
        <f t="shared" si="93"/>
        <v>3</v>
      </c>
      <c r="BK52" s="268">
        <f t="shared" si="93"/>
        <v>4</v>
      </c>
      <c r="BL52" s="269">
        <f t="shared" si="93"/>
        <v>5</v>
      </c>
      <c r="BM52" s="256">
        <f>IF($BC52=Lookup!$A$2,$BD52*ROUNDUP(BE52/10,0)+1,
IF($BC52=Lookup!$A$3,($BD52+1)^BD52,
IF($BC52=Lookup!$A$4,BE52*$BD52+1,"Error")))</f>
        <v>1</v>
      </c>
      <c r="BN52" s="229">
        <f>IF($BC52=Lookup!$A$2,$BD52*ROUNDUP(BF52/10,0)+1,
IF($BC52=Lookup!$A$3,($BD52+1)^BE52,
IF($BC52=Lookup!$A$4,BF52*$BD52+1,"Error")))</f>
        <v>1</v>
      </c>
      <c r="BO52" s="229">
        <f>IF($BC52=Lookup!$A$2,$BD52*ROUNDUP(BG52/10,0)+1,
IF($BC52=Lookup!$A$3,($BD52+1)^BF52,
IF($BC52=Lookup!$A$4,BG52*$BD52+1,"Error")))</f>
        <v>1</v>
      </c>
      <c r="BP52" s="229">
        <f>IF($BC52=Lookup!$A$2,$BD52*ROUNDUP(BH52/10,0)+1,
IF($BC52=Lookup!$A$3,($BD52+1)^BG52,
IF($BC52=Lookup!$A$4,BH52*$BD52+1,"Error")))</f>
        <v>1</v>
      </c>
      <c r="BQ52" s="229">
        <f>IF($BC52=Lookup!$A$2,$BD52*ROUNDUP(BI52/10,0)+1,
IF($BC52=Lookup!$A$3,($BD52+1)^BH52,
IF($BC52=Lookup!$A$4,BI52*$BD52+1,"Error")))</f>
        <v>1</v>
      </c>
      <c r="BR52" s="229">
        <f>IF($BC52=Lookup!$A$2,$BD52*ROUNDUP(BJ52/10,0)+1,
IF($BC52=Lookup!$A$3,($BD52+1)^BI52,
IF($BC52=Lookup!$A$4,BJ52*$BD52+1,"Error")))</f>
        <v>1</v>
      </c>
      <c r="BS52" s="229">
        <f>IF($BC52=Lookup!$A$2,$BD52*ROUNDUP(BK52/10,0)+1,
IF($BC52=Lookup!$A$3,($BD52+1)^BJ52,
IF($BC52=Lookup!$A$4,BK52*$BD52+1,"Error")))</f>
        <v>1</v>
      </c>
      <c r="BT52" s="249">
        <f>IF($BC52=Lookup!$A$2,$BD52*ROUNDUP(BL52/10,0)+1,
IF($BC52=Lookup!$A$3,($BD52+1)^BK52,
IF($BC52=Lookup!$A$4,BL52*$BD52+1,"Error")))</f>
        <v>1</v>
      </c>
      <c r="BU52" s="320"/>
      <c r="BV52" s="321"/>
      <c r="BW52" s="321"/>
      <c r="BX52" s="321"/>
      <c r="BY52" s="321"/>
      <c r="BZ52" s="321"/>
      <c r="CA52" s="321"/>
      <c r="CB52" s="277"/>
      <c r="CC52" s="382" t="s">
        <v>293</v>
      </c>
      <c r="CD52" s="383">
        <f>HLOOKUP($CC52,$AK$6:$AM$132,ROWS(CD$6:CD52),0)</f>
        <v>638.33548266300124</v>
      </c>
      <c r="CE52" s="234">
        <f t="shared" si="30"/>
        <v>638.33548266300124</v>
      </c>
      <c r="CF52" s="96">
        <f t="shared" si="30"/>
        <v>638.33548266300124</v>
      </c>
      <c r="CG52" s="96">
        <f t="shared" si="30"/>
        <v>638.33548266300124</v>
      </c>
      <c r="CH52" s="96">
        <f t="shared" si="30"/>
        <v>638.33548266300124</v>
      </c>
      <c r="CI52" s="96">
        <f t="shared" si="84"/>
        <v>638.33548266300124</v>
      </c>
      <c r="CJ52" s="96">
        <f t="shared" si="84"/>
        <v>638.33548266300124</v>
      </c>
      <c r="CK52" s="96">
        <f t="shared" si="84"/>
        <v>638.33548266300124</v>
      </c>
      <c r="CL52" s="286">
        <f t="shared" si="84"/>
        <v>638.33548266300124</v>
      </c>
      <c r="CM52" s="305" t="s">
        <v>293</v>
      </c>
      <c r="CN52" s="315">
        <v>0</v>
      </c>
      <c r="CO52" s="306"/>
      <c r="CP52" s="307">
        <f>IF($CO52&lt;&gt;"",$CO52,HLOOKUP($CM52,$AY$6:$BA$132,ROWS(CP$6:CP52),0))</f>
        <v>7958.6338307811702</v>
      </c>
      <c r="CQ52" s="784">
        <f t="shared" si="79"/>
        <v>5080278.3677097885</v>
      </c>
      <c r="CR52" s="784">
        <f t="shared" si="79"/>
        <v>5080278.3677097885</v>
      </c>
      <c r="CS52" s="97">
        <f t="shared" si="79"/>
        <v>5080278.3677097885</v>
      </c>
      <c r="CT52" s="97">
        <f t="shared" si="79"/>
        <v>5080278.3677097885</v>
      </c>
      <c r="CU52" s="97">
        <f t="shared" si="79"/>
        <v>5080278.3677097885</v>
      </c>
      <c r="CV52" s="97">
        <f t="shared" si="79"/>
        <v>5080278.3677097885</v>
      </c>
      <c r="CW52" s="97">
        <f t="shared" si="79"/>
        <v>5080278.3677097885</v>
      </c>
      <c r="CX52" s="98">
        <f t="shared" si="62"/>
        <v>5080278.3677097885</v>
      </c>
      <c r="CY52" s="392"/>
    </row>
    <row r="53" spans="1:103" x14ac:dyDescent="0.25">
      <c r="A53" s="81" t="s">
        <v>106</v>
      </c>
      <c r="B53" s="82" t="s">
        <v>109</v>
      </c>
      <c r="C53" s="83" t="s">
        <v>329</v>
      </c>
      <c r="D53" s="84">
        <v>129576.62605708625</v>
      </c>
      <c r="E53" s="85">
        <v>49492.836314304172</v>
      </c>
      <c r="F53" s="85">
        <v>110351.98962859389</v>
      </c>
      <c r="G53" s="85">
        <v>65979.331965221834</v>
      </c>
      <c r="H53" s="85">
        <v>31982.716459260693</v>
      </c>
      <c r="I53" s="85">
        <v>0</v>
      </c>
      <c r="J53" s="85">
        <v>0</v>
      </c>
      <c r="K53" s="85">
        <v>0</v>
      </c>
      <c r="L53" s="85">
        <v>0</v>
      </c>
      <c r="M53" s="654">
        <f>'2022-23 Input'!F53</f>
        <v>0</v>
      </c>
      <c r="N53" s="1065">
        <v>0</v>
      </c>
      <c r="O53" s="560">
        <f t="shared" si="27"/>
        <v>174339.69034997426</v>
      </c>
      <c r="P53" s="561">
        <f t="shared" si="0"/>
        <v>65599.335709427905</v>
      </c>
      <c r="Q53" s="561">
        <f t="shared" si="1"/>
        <v>144782.44466666307</v>
      </c>
      <c r="R53" s="561">
        <f t="shared" si="2"/>
        <v>84923.103313717045</v>
      </c>
      <c r="S53" s="561">
        <f t="shared" si="3"/>
        <v>40327.608403070146</v>
      </c>
      <c r="T53" s="561">
        <f t="shared" si="4"/>
        <v>0</v>
      </c>
      <c r="U53" s="561">
        <f t="shared" si="5"/>
        <v>0</v>
      </c>
      <c r="V53" s="561">
        <f t="shared" si="6"/>
        <v>0</v>
      </c>
      <c r="W53" s="675">
        <f t="shared" si="7"/>
        <v>0</v>
      </c>
      <c r="X53" s="675">
        <f t="shared" si="8"/>
        <v>0</v>
      </c>
      <c r="Y53" s="675">
        <f t="shared" si="8"/>
        <v>0</v>
      </c>
      <c r="Z53" s="86">
        <v>69</v>
      </c>
      <c r="AA53" s="87">
        <v>23</v>
      </c>
      <c r="AB53" s="87">
        <v>41</v>
      </c>
      <c r="AC53" s="87">
        <v>32</v>
      </c>
      <c r="AD53" s="87">
        <v>18</v>
      </c>
      <c r="AE53" s="87">
        <v>0</v>
      </c>
      <c r="AF53" s="87">
        <v>0</v>
      </c>
      <c r="AG53" s="87">
        <v>0</v>
      </c>
      <c r="AH53" s="87">
        <v>0</v>
      </c>
      <c r="AI53" s="1094">
        <f>'2022-23 Input'!M53</f>
        <v>0</v>
      </c>
      <c r="AJ53" s="665">
        <v>0</v>
      </c>
      <c r="AK53" s="127">
        <f t="shared" si="63"/>
        <v>0</v>
      </c>
      <c r="AL53" s="128">
        <f t="shared" si="64"/>
        <v>0</v>
      </c>
      <c r="AM53" s="129">
        <f t="shared" si="65"/>
        <v>0</v>
      </c>
      <c r="AN53" s="91">
        <f t="shared" si="66"/>
        <v>1877.9221167693659</v>
      </c>
      <c r="AO53" s="92">
        <f t="shared" si="67"/>
        <v>2151.8624484480074</v>
      </c>
      <c r="AP53" s="92">
        <f t="shared" si="68"/>
        <v>2691.5119421608265</v>
      </c>
      <c r="AQ53" s="92">
        <f t="shared" si="69"/>
        <v>2061.8541239131823</v>
      </c>
      <c r="AR53" s="92">
        <f t="shared" si="70"/>
        <v>1776.8175810700386</v>
      </c>
      <c r="AS53" s="92" t="str">
        <f t="shared" si="71"/>
        <v/>
      </c>
      <c r="AT53" s="92" t="str">
        <f t="shared" si="72"/>
        <v/>
      </c>
      <c r="AU53" s="92" t="str">
        <f t="shared" si="73"/>
        <v/>
      </c>
      <c r="AV53" s="92" t="str">
        <f t="shared" si="74"/>
        <v/>
      </c>
      <c r="AW53" s="92" t="str">
        <f t="shared" si="74"/>
        <v/>
      </c>
      <c r="AX53" s="92" t="str">
        <f t="shared" si="74"/>
        <v/>
      </c>
      <c r="AY53" s="93" t="str">
        <f t="shared" si="75"/>
        <v/>
      </c>
      <c r="AZ53" s="94" t="str">
        <f t="shared" si="76"/>
        <v/>
      </c>
      <c r="BA53" s="95" t="str">
        <f t="shared" si="77"/>
        <v/>
      </c>
      <c r="BB53" s="248" t="s">
        <v>422</v>
      </c>
      <c r="BC53" s="229" t="s">
        <v>433</v>
      </c>
      <c r="BD53" s="249">
        <v>0</v>
      </c>
      <c r="BE53" s="267">
        <f t="shared" si="28"/>
        <v>0</v>
      </c>
      <c r="BF53" s="268">
        <f t="shared" ref="BF53:BL53" si="94">IF(BF$6=$BB53,1,
IF(BE53&lt;&gt;0,BE53+1,0
))</f>
        <v>0</v>
      </c>
      <c r="BG53" s="268">
        <f t="shared" si="94"/>
        <v>0</v>
      </c>
      <c r="BH53" s="268">
        <f t="shared" si="94"/>
        <v>1</v>
      </c>
      <c r="BI53" s="268">
        <f t="shared" si="94"/>
        <v>2</v>
      </c>
      <c r="BJ53" s="268">
        <f t="shared" si="94"/>
        <v>3</v>
      </c>
      <c r="BK53" s="268">
        <f t="shared" si="94"/>
        <v>4</v>
      </c>
      <c r="BL53" s="269">
        <f t="shared" si="94"/>
        <v>5</v>
      </c>
      <c r="BM53" s="256">
        <f>IF($BC53=Lookup!$A$2,$BD53*ROUNDUP(BE53/10,0)+1,
IF($BC53=Lookup!$A$3,($BD53+1)^BD53,
IF($BC53=Lookup!$A$4,BE53*$BD53+1,"Error")))</f>
        <v>1</v>
      </c>
      <c r="BN53" s="229">
        <f>IF($BC53=Lookup!$A$2,$BD53*ROUNDUP(BF53/10,0)+1,
IF($BC53=Lookup!$A$3,($BD53+1)^BE53,
IF($BC53=Lookup!$A$4,BF53*$BD53+1,"Error")))</f>
        <v>1</v>
      </c>
      <c r="BO53" s="229">
        <f>IF($BC53=Lookup!$A$2,$BD53*ROUNDUP(BG53/10,0)+1,
IF($BC53=Lookup!$A$3,($BD53+1)^BF53,
IF($BC53=Lookup!$A$4,BG53*$BD53+1,"Error")))</f>
        <v>1</v>
      </c>
      <c r="BP53" s="229">
        <f>IF($BC53=Lookup!$A$2,$BD53*ROUNDUP(BH53/10,0)+1,
IF($BC53=Lookup!$A$3,($BD53+1)^BG53,
IF($BC53=Lookup!$A$4,BH53*$BD53+1,"Error")))</f>
        <v>1</v>
      </c>
      <c r="BQ53" s="229">
        <f>IF($BC53=Lookup!$A$2,$BD53*ROUNDUP(BI53/10,0)+1,
IF($BC53=Lookup!$A$3,($BD53+1)^BH53,
IF($BC53=Lookup!$A$4,BI53*$BD53+1,"Error")))</f>
        <v>1</v>
      </c>
      <c r="BR53" s="229">
        <f>IF($BC53=Lookup!$A$2,$BD53*ROUNDUP(BJ53/10,0)+1,
IF($BC53=Lookup!$A$3,($BD53+1)^BI53,
IF($BC53=Lookup!$A$4,BJ53*$BD53+1,"Error")))</f>
        <v>1</v>
      </c>
      <c r="BS53" s="229">
        <f>IF($BC53=Lookup!$A$2,$BD53*ROUNDUP(BK53/10,0)+1,
IF($BC53=Lookup!$A$3,($BD53+1)^BJ53,
IF($BC53=Lookup!$A$4,BK53*$BD53+1,"Error")))</f>
        <v>1</v>
      </c>
      <c r="BT53" s="249">
        <f>IF($BC53=Lookup!$A$2,$BD53*ROUNDUP(BL53/10,0)+1,
IF($BC53=Lookup!$A$3,($BD53+1)^BK53,
IF($BC53=Lookup!$A$4,BL53*$BD53+1,"Error")))</f>
        <v>1</v>
      </c>
      <c r="BU53" s="320"/>
      <c r="BV53" s="321"/>
      <c r="BW53" s="321"/>
      <c r="BX53" s="321"/>
      <c r="BY53" s="321"/>
      <c r="BZ53" s="321"/>
      <c r="CA53" s="321"/>
      <c r="CB53" s="277"/>
      <c r="CC53" s="382" t="s">
        <v>293</v>
      </c>
      <c r="CD53" s="383">
        <f>HLOOKUP($CC53,$AK$6:$AM$132,ROWS(CD$6:CD53),0)</f>
        <v>0</v>
      </c>
      <c r="CE53" s="234">
        <f t="shared" si="30"/>
        <v>0</v>
      </c>
      <c r="CF53" s="96">
        <f t="shared" si="30"/>
        <v>0</v>
      </c>
      <c r="CG53" s="96">
        <f t="shared" si="30"/>
        <v>0</v>
      </c>
      <c r="CH53" s="96">
        <f t="shared" si="30"/>
        <v>0</v>
      </c>
      <c r="CI53" s="96">
        <f t="shared" si="84"/>
        <v>0</v>
      </c>
      <c r="CJ53" s="96">
        <f t="shared" si="84"/>
        <v>0</v>
      </c>
      <c r="CK53" s="96">
        <f t="shared" si="84"/>
        <v>0</v>
      </c>
      <c r="CL53" s="286">
        <f t="shared" si="84"/>
        <v>0</v>
      </c>
      <c r="CM53" s="305" t="s">
        <v>292</v>
      </c>
      <c r="CN53" s="315">
        <v>0</v>
      </c>
      <c r="CO53" s="306"/>
      <c r="CP53" s="307" t="str">
        <f>IF($CO53&lt;&gt;"",$CO53,HLOOKUP($CM53,$AY$6:$BA$132,ROWS(CP$6:CP53),0))</f>
        <v/>
      </c>
      <c r="CQ53" s="784" t="str">
        <f t="shared" si="79"/>
        <v/>
      </c>
      <c r="CR53" s="784" t="str">
        <f t="shared" si="79"/>
        <v/>
      </c>
      <c r="CS53" s="97" t="str">
        <f t="shared" si="79"/>
        <v/>
      </c>
      <c r="CT53" s="97" t="str">
        <f t="shared" si="79"/>
        <v/>
      </c>
      <c r="CU53" s="97" t="str">
        <f t="shared" si="79"/>
        <v/>
      </c>
      <c r="CV53" s="97" t="str">
        <f t="shared" si="79"/>
        <v/>
      </c>
      <c r="CW53" s="97" t="str">
        <f t="shared" si="79"/>
        <v/>
      </c>
      <c r="CX53" s="98" t="str">
        <f t="shared" si="62"/>
        <v/>
      </c>
      <c r="CY53" s="392"/>
    </row>
    <row r="54" spans="1:103" x14ac:dyDescent="0.25">
      <c r="A54" s="81" t="s">
        <v>106</v>
      </c>
      <c r="B54" s="82" t="s">
        <v>111</v>
      </c>
      <c r="C54" s="83" t="s">
        <v>331</v>
      </c>
      <c r="D54" s="84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654">
        <f>'2022-23 Input'!F54</f>
        <v>0</v>
      </c>
      <c r="N54" s="1065">
        <v>0</v>
      </c>
      <c r="O54" s="560">
        <f t="shared" si="27"/>
        <v>0</v>
      </c>
      <c r="P54" s="561">
        <f t="shared" si="0"/>
        <v>0</v>
      </c>
      <c r="Q54" s="561">
        <f t="shared" si="1"/>
        <v>0</v>
      </c>
      <c r="R54" s="561">
        <f t="shared" si="2"/>
        <v>0</v>
      </c>
      <c r="S54" s="561">
        <f t="shared" si="3"/>
        <v>0</v>
      </c>
      <c r="T54" s="561">
        <f t="shared" si="4"/>
        <v>0</v>
      </c>
      <c r="U54" s="561">
        <f t="shared" si="5"/>
        <v>0</v>
      </c>
      <c r="V54" s="561">
        <f t="shared" si="6"/>
        <v>0</v>
      </c>
      <c r="W54" s="675">
        <f t="shared" si="7"/>
        <v>0</v>
      </c>
      <c r="X54" s="675">
        <f t="shared" si="8"/>
        <v>0</v>
      </c>
      <c r="Y54" s="675">
        <f t="shared" si="8"/>
        <v>0</v>
      </c>
      <c r="Z54" s="86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1094">
        <f>'2022-23 Input'!M54</f>
        <v>0</v>
      </c>
      <c r="AJ54" s="665">
        <v>0</v>
      </c>
      <c r="AK54" s="127">
        <f t="shared" si="63"/>
        <v>0</v>
      </c>
      <c r="AL54" s="128">
        <f t="shared" si="64"/>
        <v>0</v>
      </c>
      <c r="AM54" s="129">
        <f t="shared" si="65"/>
        <v>0</v>
      </c>
      <c r="AN54" s="91" t="str">
        <f t="shared" si="66"/>
        <v/>
      </c>
      <c r="AO54" s="92" t="str">
        <f t="shared" si="67"/>
        <v/>
      </c>
      <c r="AP54" s="92" t="str">
        <f t="shared" si="68"/>
        <v/>
      </c>
      <c r="AQ54" s="92" t="str">
        <f t="shared" si="69"/>
        <v/>
      </c>
      <c r="AR54" s="92" t="str">
        <f t="shared" si="70"/>
        <v/>
      </c>
      <c r="AS54" s="92" t="str">
        <f t="shared" si="71"/>
        <v/>
      </c>
      <c r="AT54" s="92" t="str">
        <f t="shared" si="72"/>
        <v/>
      </c>
      <c r="AU54" s="92" t="str">
        <f t="shared" si="73"/>
        <v/>
      </c>
      <c r="AV54" s="92" t="str">
        <f t="shared" si="74"/>
        <v/>
      </c>
      <c r="AW54" s="92" t="str">
        <f t="shared" si="74"/>
        <v/>
      </c>
      <c r="AX54" s="92" t="str">
        <f t="shared" si="74"/>
        <v/>
      </c>
      <c r="AY54" s="93" t="str">
        <f t="shared" si="75"/>
        <v/>
      </c>
      <c r="AZ54" s="94" t="str">
        <f t="shared" si="76"/>
        <v/>
      </c>
      <c r="BA54" s="95" t="str">
        <f t="shared" si="77"/>
        <v/>
      </c>
      <c r="BB54" s="248" t="s">
        <v>422</v>
      </c>
      <c r="BC54" s="229" t="s">
        <v>433</v>
      </c>
      <c r="BD54" s="249">
        <v>0</v>
      </c>
      <c r="BE54" s="267">
        <f t="shared" si="28"/>
        <v>0</v>
      </c>
      <c r="BF54" s="268">
        <f t="shared" ref="BF54:BL54" si="95">IF(BF$6=$BB54,1,
IF(BE54&lt;&gt;0,BE54+1,0
))</f>
        <v>0</v>
      </c>
      <c r="BG54" s="268">
        <f t="shared" si="95"/>
        <v>0</v>
      </c>
      <c r="BH54" s="268">
        <f t="shared" si="95"/>
        <v>1</v>
      </c>
      <c r="BI54" s="268">
        <f t="shared" si="95"/>
        <v>2</v>
      </c>
      <c r="BJ54" s="268">
        <f t="shared" si="95"/>
        <v>3</v>
      </c>
      <c r="BK54" s="268">
        <f t="shared" si="95"/>
        <v>4</v>
      </c>
      <c r="BL54" s="269">
        <f t="shared" si="95"/>
        <v>5</v>
      </c>
      <c r="BM54" s="256">
        <f>IF($BC54=Lookup!$A$2,$BD54*ROUNDUP(BE54/10,0)+1,
IF($BC54=Lookup!$A$3,($BD54+1)^BD54,
IF($BC54=Lookup!$A$4,BE54*$BD54+1,"Error")))</f>
        <v>1</v>
      </c>
      <c r="BN54" s="229">
        <f>IF($BC54=Lookup!$A$2,$BD54*ROUNDUP(BF54/10,0)+1,
IF($BC54=Lookup!$A$3,($BD54+1)^BE54,
IF($BC54=Lookup!$A$4,BF54*$BD54+1,"Error")))</f>
        <v>1</v>
      </c>
      <c r="BO54" s="229">
        <f>IF($BC54=Lookup!$A$2,$BD54*ROUNDUP(BG54/10,0)+1,
IF($BC54=Lookup!$A$3,($BD54+1)^BF54,
IF($BC54=Lookup!$A$4,BG54*$BD54+1,"Error")))</f>
        <v>1</v>
      </c>
      <c r="BP54" s="229">
        <f>IF($BC54=Lookup!$A$2,$BD54*ROUNDUP(BH54/10,0)+1,
IF($BC54=Lookup!$A$3,($BD54+1)^BG54,
IF($BC54=Lookup!$A$4,BH54*$BD54+1,"Error")))</f>
        <v>1</v>
      </c>
      <c r="BQ54" s="229">
        <f>IF($BC54=Lookup!$A$2,$BD54*ROUNDUP(BI54/10,0)+1,
IF($BC54=Lookup!$A$3,($BD54+1)^BH54,
IF($BC54=Lookup!$A$4,BI54*$BD54+1,"Error")))</f>
        <v>1</v>
      </c>
      <c r="BR54" s="229">
        <f>IF($BC54=Lookup!$A$2,$BD54*ROUNDUP(BJ54/10,0)+1,
IF($BC54=Lookup!$A$3,($BD54+1)^BI54,
IF($BC54=Lookup!$A$4,BJ54*$BD54+1,"Error")))</f>
        <v>1</v>
      </c>
      <c r="BS54" s="229">
        <f>IF($BC54=Lookup!$A$2,$BD54*ROUNDUP(BK54/10,0)+1,
IF($BC54=Lookup!$A$3,($BD54+1)^BJ54,
IF($BC54=Lookup!$A$4,BK54*$BD54+1,"Error")))</f>
        <v>1</v>
      </c>
      <c r="BT54" s="249">
        <f>IF($BC54=Lookup!$A$2,$BD54*ROUNDUP(BL54/10,0)+1,
IF($BC54=Lookup!$A$3,($BD54+1)^BK54,
IF($BC54=Lookup!$A$4,BL54*$BD54+1,"Error")))</f>
        <v>1</v>
      </c>
      <c r="BU54" s="320"/>
      <c r="BV54" s="321"/>
      <c r="BW54" s="321"/>
      <c r="BX54" s="321"/>
      <c r="BY54" s="321"/>
      <c r="BZ54" s="321"/>
      <c r="CA54" s="321"/>
      <c r="CB54" s="277"/>
      <c r="CC54" s="382" t="s">
        <v>293</v>
      </c>
      <c r="CD54" s="383">
        <f>HLOOKUP($CC54,$AK$6:$AM$132,ROWS(CD$6:CD54),0)</f>
        <v>0</v>
      </c>
      <c r="CE54" s="234">
        <f t="shared" si="30"/>
        <v>0</v>
      </c>
      <c r="CF54" s="96">
        <f t="shared" si="30"/>
        <v>0</v>
      </c>
      <c r="CG54" s="96">
        <f t="shared" si="30"/>
        <v>0</v>
      </c>
      <c r="CH54" s="96">
        <f t="shared" si="30"/>
        <v>0</v>
      </c>
      <c r="CI54" s="96">
        <f t="shared" si="84"/>
        <v>0</v>
      </c>
      <c r="CJ54" s="96">
        <f t="shared" si="84"/>
        <v>0</v>
      </c>
      <c r="CK54" s="96">
        <f t="shared" si="84"/>
        <v>0</v>
      </c>
      <c r="CL54" s="286">
        <f t="shared" si="84"/>
        <v>0</v>
      </c>
      <c r="CM54" s="305" t="s">
        <v>293</v>
      </c>
      <c r="CN54" s="315">
        <v>0</v>
      </c>
      <c r="CO54" s="306"/>
      <c r="CP54" s="307" t="str">
        <f>IF($CO54&lt;&gt;"",$CO54,HLOOKUP($CM54,$AY$6:$BA$132,ROWS(CP$6:CP54),0))</f>
        <v/>
      </c>
      <c r="CQ54" s="784" t="str">
        <f t="shared" si="79"/>
        <v/>
      </c>
      <c r="CR54" s="784" t="str">
        <f t="shared" si="79"/>
        <v/>
      </c>
      <c r="CS54" s="97" t="str">
        <f t="shared" si="79"/>
        <v/>
      </c>
      <c r="CT54" s="97" t="str">
        <f t="shared" si="79"/>
        <v/>
      </c>
      <c r="CU54" s="97" t="str">
        <f t="shared" si="79"/>
        <v/>
      </c>
      <c r="CV54" s="97" t="str">
        <f t="shared" si="79"/>
        <v/>
      </c>
      <c r="CW54" s="97" t="str">
        <f t="shared" si="79"/>
        <v/>
      </c>
      <c r="CX54" s="98" t="str">
        <f t="shared" si="62"/>
        <v/>
      </c>
      <c r="CY54" s="392"/>
    </row>
    <row r="55" spans="1:103" x14ac:dyDescent="0.25">
      <c r="A55" s="81" t="s">
        <v>106</v>
      </c>
      <c r="B55" s="82" t="s">
        <v>113</v>
      </c>
      <c r="C55" s="83" t="s">
        <v>333</v>
      </c>
      <c r="D55" s="84">
        <v>0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654">
        <f>'2022-23 Input'!F55</f>
        <v>0</v>
      </c>
      <c r="N55" s="1065">
        <v>0</v>
      </c>
      <c r="O55" s="560">
        <f t="shared" si="27"/>
        <v>0</v>
      </c>
      <c r="P55" s="561">
        <f t="shared" si="0"/>
        <v>0</v>
      </c>
      <c r="Q55" s="561">
        <f t="shared" si="1"/>
        <v>0</v>
      </c>
      <c r="R55" s="561">
        <f t="shared" si="2"/>
        <v>0</v>
      </c>
      <c r="S55" s="561">
        <f t="shared" si="3"/>
        <v>0</v>
      </c>
      <c r="T55" s="561">
        <f t="shared" si="4"/>
        <v>0</v>
      </c>
      <c r="U55" s="561">
        <f t="shared" si="5"/>
        <v>0</v>
      </c>
      <c r="V55" s="561">
        <f t="shared" si="6"/>
        <v>0</v>
      </c>
      <c r="W55" s="675">
        <f t="shared" si="7"/>
        <v>0</v>
      </c>
      <c r="X55" s="675">
        <f t="shared" si="8"/>
        <v>0</v>
      </c>
      <c r="Y55" s="675">
        <f t="shared" si="8"/>
        <v>0</v>
      </c>
      <c r="Z55" s="86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1094">
        <f>'2022-23 Input'!M55</f>
        <v>0</v>
      </c>
      <c r="AJ55" s="665">
        <v>0</v>
      </c>
      <c r="AK55" s="127">
        <f t="shared" si="63"/>
        <v>0</v>
      </c>
      <c r="AL55" s="128">
        <f t="shared" si="64"/>
        <v>0</v>
      </c>
      <c r="AM55" s="129">
        <f t="shared" si="65"/>
        <v>0</v>
      </c>
      <c r="AN55" s="91" t="str">
        <f t="shared" si="66"/>
        <v/>
      </c>
      <c r="AO55" s="92" t="str">
        <f t="shared" si="67"/>
        <v/>
      </c>
      <c r="AP55" s="92" t="str">
        <f t="shared" si="68"/>
        <v/>
      </c>
      <c r="AQ55" s="92" t="str">
        <f t="shared" si="69"/>
        <v/>
      </c>
      <c r="AR55" s="92" t="str">
        <f t="shared" si="70"/>
        <v/>
      </c>
      <c r="AS55" s="92" t="str">
        <f t="shared" si="71"/>
        <v/>
      </c>
      <c r="AT55" s="92" t="str">
        <f t="shared" si="72"/>
        <v/>
      </c>
      <c r="AU55" s="92" t="str">
        <f t="shared" si="73"/>
        <v/>
      </c>
      <c r="AV55" s="92" t="str">
        <f t="shared" ref="AV55:AX70" si="96">IFERROR(L55/AH55,"")</f>
        <v/>
      </c>
      <c r="AW55" s="92" t="str">
        <f t="shared" si="96"/>
        <v/>
      </c>
      <c r="AX55" s="92" t="str">
        <f t="shared" si="96"/>
        <v/>
      </c>
      <c r="AY55" s="93" t="str">
        <f t="shared" si="75"/>
        <v/>
      </c>
      <c r="AZ55" s="94" t="str">
        <f t="shared" si="76"/>
        <v/>
      </c>
      <c r="BA55" s="95" t="str">
        <f t="shared" si="77"/>
        <v/>
      </c>
      <c r="BB55" s="248" t="s">
        <v>422</v>
      </c>
      <c r="BC55" s="229" t="s">
        <v>433</v>
      </c>
      <c r="BD55" s="249">
        <v>0</v>
      </c>
      <c r="BE55" s="267">
        <f t="shared" si="28"/>
        <v>0</v>
      </c>
      <c r="BF55" s="268">
        <f t="shared" ref="BF55:BL55" si="97">IF(BF$6=$BB55,1,
IF(BE55&lt;&gt;0,BE55+1,0
))</f>
        <v>0</v>
      </c>
      <c r="BG55" s="268">
        <f t="shared" si="97"/>
        <v>0</v>
      </c>
      <c r="BH55" s="268">
        <f t="shared" si="97"/>
        <v>1</v>
      </c>
      <c r="BI55" s="268">
        <f t="shared" si="97"/>
        <v>2</v>
      </c>
      <c r="BJ55" s="268">
        <f t="shared" si="97"/>
        <v>3</v>
      </c>
      <c r="BK55" s="268">
        <f t="shared" si="97"/>
        <v>4</v>
      </c>
      <c r="BL55" s="269">
        <f t="shared" si="97"/>
        <v>5</v>
      </c>
      <c r="BM55" s="256">
        <f>IF($BC55=Lookup!$A$2,$BD55*ROUNDUP(BE55/10,0)+1,
IF($BC55=Lookup!$A$3,($BD55+1)^BD55,
IF($BC55=Lookup!$A$4,BE55*$BD55+1,"Error")))</f>
        <v>1</v>
      </c>
      <c r="BN55" s="229">
        <f>IF($BC55=Lookup!$A$2,$BD55*ROUNDUP(BF55/10,0)+1,
IF($BC55=Lookup!$A$3,($BD55+1)^BE55,
IF($BC55=Lookup!$A$4,BF55*$BD55+1,"Error")))</f>
        <v>1</v>
      </c>
      <c r="BO55" s="229">
        <f>IF($BC55=Lookup!$A$2,$BD55*ROUNDUP(BG55/10,0)+1,
IF($BC55=Lookup!$A$3,($BD55+1)^BF55,
IF($BC55=Lookup!$A$4,BG55*$BD55+1,"Error")))</f>
        <v>1</v>
      </c>
      <c r="BP55" s="229">
        <f>IF($BC55=Lookup!$A$2,$BD55*ROUNDUP(BH55/10,0)+1,
IF($BC55=Lookup!$A$3,($BD55+1)^BG55,
IF($BC55=Lookup!$A$4,BH55*$BD55+1,"Error")))</f>
        <v>1</v>
      </c>
      <c r="BQ55" s="229">
        <f>IF($BC55=Lookup!$A$2,$BD55*ROUNDUP(BI55/10,0)+1,
IF($BC55=Lookup!$A$3,($BD55+1)^BH55,
IF($BC55=Lookup!$A$4,BI55*$BD55+1,"Error")))</f>
        <v>1</v>
      </c>
      <c r="BR55" s="229">
        <f>IF($BC55=Lookup!$A$2,$BD55*ROUNDUP(BJ55/10,0)+1,
IF($BC55=Lookup!$A$3,($BD55+1)^BI55,
IF($BC55=Lookup!$A$4,BJ55*$BD55+1,"Error")))</f>
        <v>1</v>
      </c>
      <c r="BS55" s="229">
        <f>IF($BC55=Lookup!$A$2,$BD55*ROUNDUP(BK55/10,0)+1,
IF($BC55=Lookup!$A$3,($BD55+1)^BJ55,
IF($BC55=Lookup!$A$4,BK55*$BD55+1,"Error")))</f>
        <v>1</v>
      </c>
      <c r="BT55" s="249">
        <f>IF($BC55=Lookup!$A$2,$BD55*ROUNDUP(BL55/10,0)+1,
IF($BC55=Lookup!$A$3,($BD55+1)^BK55,
IF($BC55=Lookup!$A$4,BL55*$BD55+1,"Error")))</f>
        <v>1</v>
      </c>
      <c r="BU55" s="320"/>
      <c r="BV55" s="321"/>
      <c r="BW55" s="321"/>
      <c r="BX55" s="321"/>
      <c r="BY55" s="321"/>
      <c r="BZ55" s="321"/>
      <c r="CA55" s="321"/>
      <c r="CB55" s="277"/>
      <c r="CC55" s="382" t="s">
        <v>293</v>
      </c>
      <c r="CD55" s="383">
        <f>HLOOKUP($CC55,$AK$6:$AM$132,ROWS(CD$6:CD55),0)</f>
        <v>0</v>
      </c>
      <c r="CE55" s="234">
        <f t="shared" si="30"/>
        <v>0</v>
      </c>
      <c r="CF55" s="96">
        <f t="shared" si="30"/>
        <v>0</v>
      </c>
      <c r="CG55" s="96">
        <f t="shared" si="30"/>
        <v>0</v>
      </c>
      <c r="CH55" s="96">
        <f t="shared" si="30"/>
        <v>0</v>
      </c>
      <c r="CI55" s="96">
        <f t="shared" si="84"/>
        <v>0</v>
      </c>
      <c r="CJ55" s="96">
        <f t="shared" si="84"/>
        <v>0</v>
      </c>
      <c r="CK55" s="96">
        <f t="shared" si="84"/>
        <v>0</v>
      </c>
      <c r="CL55" s="286">
        <f t="shared" si="84"/>
        <v>0</v>
      </c>
      <c r="CM55" s="305" t="s">
        <v>293</v>
      </c>
      <c r="CN55" s="315">
        <v>0</v>
      </c>
      <c r="CO55" s="306"/>
      <c r="CP55" s="307" t="str">
        <f>IF($CO55&lt;&gt;"",$CO55,HLOOKUP($CM55,$AY$6:$BA$132,ROWS(CP$6:CP55),0))</f>
        <v/>
      </c>
      <c r="CQ55" s="784" t="str">
        <f t="shared" si="79"/>
        <v/>
      </c>
      <c r="CR55" s="784" t="str">
        <f t="shared" si="79"/>
        <v/>
      </c>
      <c r="CS55" s="97" t="str">
        <f t="shared" si="79"/>
        <v/>
      </c>
      <c r="CT55" s="97" t="str">
        <f t="shared" si="79"/>
        <v/>
      </c>
      <c r="CU55" s="97" t="str">
        <f t="shared" si="79"/>
        <v/>
      </c>
      <c r="CV55" s="97" t="str">
        <f t="shared" si="79"/>
        <v/>
      </c>
      <c r="CW55" s="97" t="str">
        <f t="shared" si="79"/>
        <v/>
      </c>
      <c r="CX55" s="98" t="str">
        <f t="shared" si="62"/>
        <v/>
      </c>
      <c r="CY55" s="392"/>
    </row>
    <row r="56" spans="1:103" x14ac:dyDescent="0.25">
      <c r="A56" s="81" t="s">
        <v>106</v>
      </c>
      <c r="B56" s="82" t="s">
        <v>115</v>
      </c>
      <c r="C56" s="83" t="s">
        <v>335</v>
      </c>
      <c r="D56" s="84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654">
        <f>'2022-23 Input'!F56</f>
        <v>0</v>
      </c>
      <c r="N56" s="1065">
        <v>0</v>
      </c>
      <c r="O56" s="560">
        <f t="shared" si="27"/>
        <v>0</v>
      </c>
      <c r="P56" s="561">
        <f t="shared" si="0"/>
        <v>0</v>
      </c>
      <c r="Q56" s="561">
        <f t="shared" si="1"/>
        <v>0</v>
      </c>
      <c r="R56" s="561">
        <f t="shared" si="2"/>
        <v>0</v>
      </c>
      <c r="S56" s="561">
        <f t="shared" si="3"/>
        <v>0</v>
      </c>
      <c r="T56" s="561">
        <f t="shared" si="4"/>
        <v>0</v>
      </c>
      <c r="U56" s="561">
        <f t="shared" si="5"/>
        <v>0</v>
      </c>
      <c r="V56" s="561">
        <f t="shared" si="6"/>
        <v>0</v>
      </c>
      <c r="W56" s="675">
        <f t="shared" si="7"/>
        <v>0</v>
      </c>
      <c r="X56" s="675">
        <f t="shared" si="8"/>
        <v>0</v>
      </c>
      <c r="Y56" s="675">
        <f t="shared" si="8"/>
        <v>0</v>
      </c>
      <c r="Z56" s="86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1094">
        <f>'2022-23 Input'!M56</f>
        <v>0</v>
      </c>
      <c r="AJ56" s="665">
        <v>0</v>
      </c>
      <c r="AK56" s="127">
        <f t="shared" si="63"/>
        <v>0</v>
      </c>
      <c r="AL56" s="128">
        <f t="shared" si="64"/>
        <v>0</v>
      </c>
      <c r="AM56" s="129">
        <f t="shared" si="65"/>
        <v>0</v>
      </c>
      <c r="AN56" s="91" t="str">
        <f t="shared" si="66"/>
        <v/>
      </c>
      <c r="AO56" s="92" t="str">
        <f t="shared" si="67"/>
        <v/>
      </c>
      <c r="AP56" s="92" t="str">
        <f t="shared" si="68"/>
        <v/>
      </c>
      <c r="AQ56" s="92" t="str">
        <f t="shared" si="69"/>
        <v/>
      </c>
      <c r="AR56" s="92" t="str">
        <f t="shared" si="70"/>
        <v/>
      </c>
      <c r="AS56" s="92" t="str">
        <f t="shared" si="71"/>
        <v/>
      </c>
      <c r="AT56" s="92" t="str">
        <f t="shared" si="72"/>
        <v/>
      </c>
      <c r="AU56" s="92" t="str">
        <f t="shared" si="73"/>
        <v/>
      </c>
      <c r="AV56" s="92" t="str">
        <f t="shared" si="96"/>
        <v/>
      </c>
      <c r="AW56" s="92" t="str">
        <f t="shared" si="96"/>
        <v/>
      </c>
      <c r="AX56" s="92" t="str">
        <f t="shared" si="96"/>
        <v/>
      </c>
      <c r="AY56" s="93" t="str">
        <f t="shared" si="75"/>
        <v/>
      </c>
      <c r="AZ56" s="94" t="str">
        <f t="shared" si="76"/>
        <v/>
      </c>
      <c r="BA56" s="95" t="str">
        <f t="shared" si="77"/>
        <v/>
      </c>
      <c r="BB56" s="248" t="s">
        <v>422</v>
      </c>
      <c r="BC56" s="229" t="s">
        <v>433</v>
      </c>
      <c r="BD56" s="249">
        <v>0</v>
      </c>
      <c r="BE56" s="267">
        <f t="shared" si="28"/>
        <v>0</v>
      </c>
      <c r="BF56" s="268">
        <f t="shared" ref="BF56:BL56" si="98">IF(BF$6=$BB56,1,
IF(BE56&lt;&gt;0,BE56+1,0
))</f>
        <v>0</v>
      </c>
      <c r="BG56" s="268">
        <f t="shared" si="98"/>
        <v>0</v>
      </c>
      <c r="BH56" s="268">
        <f t="shared" si="98"/>
        <v>1</v>
      </c>
      <c r="BI56" s="268">
        <f t="shared" si="98"/>
        <v>2</v>
      </c>
      <c r="BJ56" s="268">
        <f t="shared" si="98"/>
        <v>3</v>
      </c>
      <c r="BK56" s="268">
        <f t="shared" si="98"/>
        <v>4</v>
      </c>
      <c r="BL56" s="269">
        <f t="shared" si="98"/>
        <v>5</v>
      </c>
      <c r="BM56" s="256">
        <f>IF($BC56=Lookup!$A$2,$BD56*ROUNDUP(BE56/10,0)+1,
IF($BC56=Lookup!$A$3,($BD56+1)^BD56,
IF($BC56=Lookup!$A$4,BE56*$BD56+1,"Error")))</f>
        <v>1</v>
      </c>
      <c r="BN56" s="229">
        <f>IF($BC56=Lookup!$A$2,$BD56*ROUNDUP(BF56/10,0)+1,
IF($BC56=Lookup!$A$3,($BD56+1)^BE56,
IF($BC56=Lookup!$A$4,BF56*$BD56+1,"Error")))</f>
        <v>1</v>
      </c>
      <c r="BO56" s="229">
        <f>IF($BC56=Lookup!$A$2,$BD56*ROUNDUP(BG56/10,0)+1,
IF($BC56=Lookup!$A$3,($BD56+1)^BF56,
IF($BC56=Lookup!$A$4,BG56*$BD56+1,"Error")))</f>
        <v>1</v>
      </c>
      <c r="BP56" s="229">
        <f>IF($BC56=Lookup!$A$2,$BD56*ROUNDUP(BH56/10,0)+1,
IF($BC56=Lookup!$A$3,($BD56+1)^BG56,
IF($BC56=Lookup!$A$4,BH56*$BD56+1,"Error")))</f>
        <v>1</v>
      </c>
      <c r="BQ56" s="229">
        <f>IF($BC56=Lookup!$A$2,$BD56*ROUNDUP(BI56/10,0)+1,
IF($BC56=Lookup!$A$3,($BD56+1)^BH56,
IF($BC56=Lookup!$A$4,BI56*$BD56+1,"Error")))</f>
        <v>1</v>
      </c>
      <c r="BR56" s="229">
        <f>IF($BC56=Lookup!$A$2,$BD56*ROUNDUP(BJ56/10,0)+1,
IF($BC56=Lookup!$A$3,($BD56+1)^BI56,
IF($BC56=Lookup!$A$4,BJ56*$BD56+1,"Error")))</f>
        <v>1</v>
      </c>
      <c r="BS56" s="229">
        <f>IF($BC56=Lookup!$A$2,$BD56*ROUNDUP(BK56/10,0)+1,
IF($BC56=Lookup!$A$3,($BD56+1)^BJ56,
IF($BC56=Lookup!$A$4,BK56*$BD56+1,"Error")))</f>
        <v>1</v>
      </c>
      <c r="BT56" s="249">
        <f>IF($BC56=Lookup!$A$2,$BD56*ROUNDUP(BL56/10,0)+1,
IF($BC56=Lookup!$A$3,($BD56+1)^BK56,
IF($BC56=Lookup!$A$4,BL56*$BD56+1,"Error")))</f>
        <v>1</v>
      </c>
      <c r="BU56" s="320"/>
      <c r="BV56" s="321"/>
      <c r="BW56" s="321"/>
      <c r="BX56" s="321"/>
      <c r="BY56" s="321"/>
      <c r="BZ56" s="321"/>
      <c r="CA56" s="321"/>
      <c r="CB56" s="277"/>
      <c r="CC56" s="382" t="s">
        <v>293</v>
      </c>
      <c r="CD56" s="383">
        <f>HLOOKUP($CC56,$AK$6:$AM$132,ROWS(CD$6:CD56),0)</f>
        <v>0</v>
      </c>
      <c r="CE56" s="239">
        <f t="shared" si="30"/>
        <v>0</v>
      </c>
      <c r="CF56" s="140">
        <f t="shared" si="30"/>
        <v>0</v>
      </c>
      <c r="CG56" s="140">
        <f t="shared" si="30"/>
        <v>0</v>
      </c>
      <c r="CH56" s="140">
        <f t="shared" si="30"/>
        <v>0</v>
      </c>
      <c r="CI56" s="140">
        <f t="shared" si="84"/>
        <v>0</v>
      </c>
      <c r="CJ56" s="140">
        <f t="shared" si="84"/>
        <v>0</v>
      </c>
      <c r="CK56" s="140">
        <f t="shared" si="84"/>
        <v>0</v>
      </c>
      <c r="CL56" s="291">
        <f t="shared" si="84"/>
        <v>0</v>
      </c>
      <c r="CM56" s="305" t="s">
        <v>293</v>
      </c>
      <c r="CN56" s="315">
        <v>0</v>
      </c>
      <c r="CO56" s="306"/>
      <c r="CP56" s="307" t="str">
        <f>IF($CO56&lt;&gt;"",$CO56,HLOOKUP($CM56,$AY$6:$BA$132,ROWS(CP$6:CP56),0))</f>
        <v/>
      </c>
      <c r="CQ56" s="784" t="str">
        <f t="shared" si="79"/>
        <v/>
      </c>
      <c r="CR56" s="784" t="str">
        <f t="shared" si="79"/>
        <v/>
      </c>
      <c r="CS56" s="97" t="str">
        <f t="shared" si="79"/>
        <v/>
      </c>
      <c r="CT56" s="97" t="str">
        <f t="shared" si="79"/>
        <v/>
      </c>
      <c r="CU56" s="97" t="str">
        <f t="shared" si="79"/>
        <v/>
      </c>
      <c r="CV56" s="97" t="str">
        <f t="shared" si="79"/>
        <v/>
      </c>
      <c r="CW56" s="97" t="str">
        <f t="shared" si="79"/>
        <v/>
      </c>
      <c r="CX56" s="98" t="str">
        <f t="shared" si="62"/>
        <v/>
      </c>
      <c r="CY56" s="392"/>
    </row>
    <row r="57" spans="1:103" x14ac:dyDescent="0.25">
      <c r="A57" s="81" t="s">
        <v>106</v>
      </c>
      <c r="B57" s="82" t="s">
        <v>117</v>
      </c>
      <c r="C57" s="83" t="s">
        <v>337</v>
      </c>
      <c r="D57" s="84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654">
        <f>'2022-23 Input'!F57</f>
        <v>0</v>
      </c>
      <c r="N57" s="1065">
        <v>0</v>
      </c>
      <c r="O57" s="560">
        <f t="shared" si="27"/>
        <v>0</v>
      </c>
      <c r="P57" s="561">
        <f t="shared" si="0"/>
        <v>0</v>
      </c>
      <c r="Q57" s="561">
        <f t="shared" si="1"/>
        <v>0</v>
      </c>
      <c r="R57" s="561">
        <f t="shared" si="2"/>
        <v>0</v>
      </c>
      <c r="S57" s="561">
        <f t="shared" si="3"/>
        <v>0</v>
      </c>
      <c r="T57" s="561">
        <f t="shared" si="4"/>
        <v>0</v>
      </c>
      <c r="U57" s="561">
        <f t="shared" si="5"/>
        <v>0</v>
      </c>
      <c r="V57" s="561">
        <f t="shared" si="6"/>
        <v>0</v>
      </c>
      <c r="W57" s="675">
        <f t="shared" si="7"/>
        <v>0</v>
      </c>
      <c r="X57" s="675">
        <f t="shared" si="8"/>
        <v>0</v>
      </c>
      <c r="Y57" s="675">
        <f t="shared" si="8"/>
        <v>0</v>
      </c>
      <c r="Z57" s="86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1094">
        <f>'2022-23 Input'!M57</f>
        <v>0</v>
      </c>
      <c r="AJ57" s="665">
        <v>0</v>
      </c>
      <c r="AK57" s="127">
        <f t="shared" si="63"/>
        <v>0</v>
      </c>
      <c r="AL57" s="128">
        <f t="shared" si="64"/>
        <v>0</v>
      </c>
      <c r="AM57" s="129">
        <f t="shared" si="65"/>
        <v>0</v>
      </c>
      <c r="AN57" s="91" t="str">
        <f t="shared" si="66"/>
        <v/>
      </c>
      <c r="AO57" s="92" t="str">
        <f t="shared" si="67"/>
        <v/>
      </c>
      <c r="AP57" s="92" t="str">
        <f t="shared" si="68"/>
        <v/>
      </c>
      <c r="AQ57" s="92" t="str">
        <f t="shared" si="69"/>
        <v/>
      </c>
      <c r="AR57" s="92" t="str">
        <f t="shared" si="70"/>
        <v/>
      </c>
      <c r="AS57" s="92" t="str">
        <f t="shared" si="71"/>
        <v/>
      </c>
      <c r="AT57" s="92" t="str">
        <f t="shared" si="72"/>
        <v/>
      </c>
      <c r="AU57" s="92" t="str">
        <f t="shared" si="73"/>
        <v/>
      </c>
      <c r="AV57" s="92" t="str">
        <f t="shared" si="96"/>
        <v/>
      </c>
      <c r="AW57" s="92" t="str">
        <f t="shared" si="96"/>
        <v/>
      </c>
      <c r="AX57" s="92" t="str">
        <f t="shared" si="96"/>
        <v/>
      </c>
      <c r="AY57" s="93" t="str">
        <f t="shared" si="75"/>
        <v/>
      </c>
      <c r="AZ57" s="94" t="str">
        <f t="shared" si="76"/>
        <v/>
      </c>
      <c r="BA57" s="95" t="str">
        <f t="shared" si="77"/>
        <v/>
      </c>
      <c r="BB57" s="248" t="s">
        <v>422</v>
      </c>
      <c r="BC57" s="229" t="s">
        <v>433</v>
      </c>
      <c r="BD57" s="249">
        <v>0</v>
      </c>
      <c r="BE57" s="267">
        <f t="shared" si="28"/>
        <v>0</v>
      </c>
      <c r="BF57" s="268">
        <f t="shared" ref="BF57:BL57" si="99">IF(BF$6=$BB57,1,
IF(BE57&lt;&gt;0,BE57+1,0
))</f>
        <v>0</v>
      </c>
      <c r="BG57" s="268">
        <f t="shared" si="99"/>
        <v>0</v>
      </c>
      <c r="BH57" s="268">
        <f t="shared" si="99"/>
        <v>1</v>
      </c>
      <c r="BI57" s="268">
        <f t="shared" si="99"/>
        <v>2</v>
      </c>
      <c r="BJ57" s="268">
        <f t="shared" si="99"/>
        <v>3</v>
      </c>
      <c r="BK57" s="268">
        <f t="shared" si="99"/>
        <v>4</v>
      </c>
      <c r="BL57" s="269">
        <f t="shared" si="99"/>
        <v>5</v>
      </c>
      <c r="BM57" s="256">
        <f>IF($BC57=Lookup!$A$2,$BD57*ROUNDUP(BE57/10,0)+1,
IF($BC57=Lookup!$A$3,($BD57+1)^BD57,
IF($BC57=Lookup!$A$4,BE57*$BD57+1,"Error")))</f>
        <v>1</v>
      </c>
      <c r="BN57" s="229">
        <f>IF($BC57=Lookup!$A$2,$BD57*ROUNDUP(BF57/10,0)+1,
IF($BC57=Lookup!$A$3,($BD57+1)^BE57,
IF($BC57=Lookup!$A$4,BF57*$BD57+1,"Error")))</f>
        <v>1</v>
      </c>
      <c r="BO57" s="229">
        <f>IF($BC57=Lookup!$A$2,$BD57*ROUNDUP(BG57/10,0)+1,
IF($BC57=Lookup!$A$3,($BD57+1)^BF57,
IF($BC57=Lookup!$A$4,BG57*$BD57+1,"Error")))</f>
        <v>1</v>
      </c>
      <c r="BP57" s="229">
        <f>IF($BC57=Lookup!$A$2,$BD57*ROUNDUP(BH57/10,0)+1,
IF($BC57=Lookup!$A$3,($BD57+1)^BG57,
IF($BC57=Lookup!$A$4,BH57*$BD57+1,"Error")))</f>
        <v>1</v>
      </c>
      <c r="BQ57" s="229">
        <f>IF($BC57=Lookup!$A$2,$BD57*ROUNDUP(BI57/10,0)+1,
IF($BC57=Lookup!$A$3,($BD57+1)^BH57,
IF($BC57=Lookup!$A$4,BI57*$BD57+1,"Error")))</f>
        <v>1</v>
      </c>
      <c r="BR57" s="229">
        <f>IF($BC57=Lookup!$A$2,$BD57*ROUNDUP(BJ57/10,0)+1,
IF($BC57=Lookup!$A$3,($BD57+1)^BI57,
IF($BC57=Lookup!$A$4,BJ57*$BD57+1,"Error")))</f>
        <v>1</v>
      </c>
      <c r="BS57" s="229">
        <f>IF($BC57=Lookup!$A$2,$BD57*ROUNDUP(BK57/10,0)+1,
IF($BC57=Lookup!$A$3,($BD57+1)^BJ57,
IF($BC57=Lookup!$A$4,BK57*$BD57+1,"Error")))</f>
        <v>1</v>
      </c>
      <c r="BT57" s="249">
        <f>IF($BC57=Lookup!$A$2,$BD57*ROUNDUP(BL57/10,0)+1,
IF($BC57=Lookup!$A$3,($BD57+1)^BK57,
IF($BC57=Lookup!$A$4,BL57*$BD57+1,"Error")))</f>
        <v>1</v>
      </c>
      <c r="BU57" s="320"/>
      <c r="BV57" s="321"/>
      <c r="BW57" s="321"/>
      <c r="BX57" s="321"/>
      <c r="BY57" s="321"/>
      <c r="BZ57" s="321"/>
      <c r="CA57" s="321"/>
      <c r="CB57" s="277"/>
      <c r="CC57" s="382" t="s">
        <v>293</v>
      </c>
      <c r="CD57" s="383">
        <f>HLOOKUP($CC57,$AK$6:$AM$132,ROWS(CD$6:CD57),0)</f>
        <v>0</v>
      </c>
      <c r="CE57" s="239">
        <f t="shared" si="30"/>
        <v>0</v>
      </c>
      <c r="CF57" s="140">
        <f t="shared" si="30"/>
        <v>0</v>
      </c>
      <c r="CG57" s="140">
        <f t="shared" si="30"/>
        <v>0</v>
      </c>
      <c r="CH57" s="140">
        <f t="shared" si="30"/>
        <v>0</v>
      </c>
      <c r="CI57" s="140">
        <f t="shared" si="84"/>
        <v>0</v>
      </c>
      <c r="CJ57" s="140">
        <f t="shared" si="84"/>
        <v>0</v>
      </c>
      <c r="CK57" s="140">
        <f t="shared" si="84"/>
        <v>0</v>
      </c>
      <c r="CL57" s="291">
        <f t="shared" si="84"/>
        <v>0</v>
      </c>
      <c r="CM57" s="305" t="s">
        <v>293</v>
      </c>
      <c r="CN57" s="315">
        <v>0</v>
      </c>
      <c r="CO57" s="306"/>
      <c r="CP57" s="307" t="str">
        <f>IF($CO57&lt;&gt;"",$CO57,HLOOKUP($CM57,$AY$6:$BA$132,ROWS(CP$6:CP57),0))</f>
        <v/>
      </c>
      <c r="CQ57" s="784" t="str">
        <f t="shared" si="79"/>
        <v/>
      </c>
      <c r="CR57" s="784" t="str">
        <f t="shared" si="79"/>
        <v/>
      </c>
      <c r="CS57" s="97" t="str">
        <f t="shared" si="79"/>
        <v/>
      </c>
      <c r="CT57" s="97" t="str">
        <f t="shared" si="79"/>
        <v/>
      </c>
      <c r="CU57" s="97" t="str">
        <f t="shared" si="79"/>
        <v/>
      </c>
      <c r="CV57" s="97" t="str">
        <f t="shared" si="79"/>
        <v/>
      </c>
      <c r="CW57" s="97" t="str">
        <f t="shared" si="79"/>
        <v/>
      </c>
      <c r="CX57" s="98" t="str">
        <f t="shared" si="62"/>
        <v/>
      </c>
      <c r="CY57" s="392"/>
    </row>
    <row r="58" spans="1:103" x14ac:dyDescent="0.25">
      <c r="A58" s="81" t="s">
        <v>106</v>
      </c>
      <c r="B58" s="82" t="s">
        <v>119</v>
      </c>
      <c r="C58" s="83" t="s">
        <v>339</v>
      </c>
      <c r="D58" s="84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654">
        <f>'2022-23 Input'!F58</f>
        <v>0</v>
      </c>
      <c r="N58" s="1065">
        <v>0</v>
      </c>
      <c r="O58" s="560">
        <f t="shared" si="27"/>
        <v>0</v>
      </c>
      <c r="P58" s="561">
        <f t="shared" si="0"/>
        <v>0</v>
      </c>
      <c r="Q58" s="561">
        <f t="shared" si="1"/>
        <v>0</v>
      </c>
      <c r="R58" s="561">
        <f t="shared" si="2"/>
        <v>0</v>
      </c>
      <c r="S58" s="561">
        <f t="shared" si="3"/>
        <v>0</v>
      </c>
      <c r="T58" s="561">
        <f t="shared" si="4"/>
        <v>0</v>
      </c>
      <c r="U58" s="561">
        <f t="shared" si="5"/>
        <v>0</v>
      </c>
      <c r="V58" s="561">
        <f t="shared" si="6"/>
        <v>0</v>
      </c>
      <c r="W58" s="675">
        <f t="shared" si="7"/>
        <v>0</v>
      </c>
      <c r="X58" s="675">
        <f t="shared" si="8"/>
        <v>0</v>
      </c>
      <c r="Y58" s="675">
        <f t="shared" si="8"/>
        <v>0</v>
      </c>
      <c r="Z58" s="86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1094">
        <f>'2022-23 Input'!M58</f>
        <v>0</v>
      </c>
      <c r="AJ58" s="665">
        <v>0</v>
      </c>
      <c r="AK58" s="127">
        <f t="shared" si="63"/>
        <v>0</v>
      </c>
      <c r="AL58" s="128">
        <f t="shared" si="64"/>
        <v>0</v>
      </c>
      <c r="AM58" s="129">
        <f t="shared" si="65"/>
        <v>0</v>
      </c>
      <c r="AN58" s="91" t="str">
        <f t="shared" si="66"/>
        <v/>
      </c>
      <c r="AO58" s="92" t="str">
        <f t="shared" si="67"/>
        <v/>
      </c>
      <c r="AP58" s="92" t="str">
        <f t="shared" si="68"/>
        <v/>
      </c>
      <c r="AQ58" s="92" t="str">
        <f t="shared" si="69"/>
        <v/>
      </c>
      <c r="AR58" s="92" t="str">
        <f t="shared" si="70"/>
        <v/>
      </c>
      <c r="AS58" s="92" t="str">
        <f t="shared" si="71"/>
        <v/>
      </c>
      <c r="AT58" s="92" t="str">
        <f t="shared" si="72"/>
        <v/>
      </c>
      <c r="AU58" s="92" t="str">
        <f t="shared" si="73"/>
        <v/>
      </c>
      <c r="AV58" s="92" t="str">
        <f t="shared" si="96"/>
        <v/>
      </c>
      <c r="AW58" s="92" t="str">
        <f t="shared" si="96"/>
        <v/>
      </c>
      <c r="AX58" s="92" t="str">
        <f t="shared" si="96"/>
        <v/>
      </c>
      <c r="AY58" s="93" t="str">
        <f t="shared" si="75"/>
        <v/>
      </c>
      <c r="AZ58" s="94" t="str">
        <f t="shared" si="76"/>
        <v/>
      </c>
      <c r="BA58" s="95" t="str">
        <f t="shared" si="77"/>
        <v/>
      </c>
      <c r="BB58" s="248" t="s">
        <v>422</v>
      </c>
      <c r="BC58" s="229" t="s">
        <v>433</v>
      </c>
      <c r="BD58" s="249">
        <v>0</v>
      </c>
      <c r="BE58" s="267">
        <f t="shared" si="28"/>
        <v>0</v>
      </c>
      <c r="BF58" s="268">
        <f t="shared" ref="BF58:BL58" si="100">IF(BF$6=$BB58,1,
IF(BE58&lt;&gt;0,BE58+1,0
))</f>
        <v>0</v>
      </c>
      <c r="BG58" s="268">
        <f t="shared" si="100"/>
        <v>0</v>
      </c>
      <c r="BH58" s="268">
        <f t="shared" si="100"/>
        <v>1</v>
      </c>
      <c r="BI58" s="268">
        <f t="shared" si="100"/>
        <v>2</v>
      </c>
      <c r="BJ58" s="268">
        <f t="shared" si="100"/>
        <v>3</v>
      </c>
      <c r="BK58" s="268">
        <f t="shared" si="100"/>
        <v>4</v>
      </c>
      <c r="BL58" s="269">
        <f t="shared" si="100"/>
        <v>5</v>
      </c>
      <c r="BM58" s="256">
        <f>IF($BC58=Lookup!$A$2,$BD58*ROUNDUP(BE58/10,0)+1,
IF($BC58=Lookup!$A$3,($BD58+1)^BD58,
IF($BC58=Lookup!$A$4,BE58*$BD58+1,"Error")))</f>
        <v>1</v>
      </c>
      <c r="BN58" s="229">
        <f>IF($BC58=Lookup!$A$2,$BD58*ROUNDUP(BF58/10,0)+1,
IF($BC58=Lookup!$A$3,($BD58+1)^BE58,
IF($BC58=Lookup!$A$4,BF58*$BD58+1,"Error")))</f>
        <v>1</v>
      </c>
      <c r="BO58" s="229">
        <f>IF($BC58=Lookup!$A$2,$BD58*ROUNDUP(BG58/10,0)+1,
IF($BC58=Lookup!$A$3,($BD58+1)^BF58,
IF($BC58=Lookup!$A$4,BG58*$BD58+1,"Error")))</f>
        <v>1</v>
      </c>
      <c r="BP58" s="229">
        <f>IF($BC58=Lookup!$A$2,$BD58*ROUNDUP(BH58/10,0)+1,
IF($BC58=Lookup!$A$3,($BD58+1)^BG58,
IF($BC58=Lookup!$A$4,BH58*$BD58+1,"Error")))</f>
        <v>1</v>
      </c>
      <c r="BQ58" s="229">
        <f>IF($BC58=Lookup!$A$2,$BD58*ROUNDUP(BI58/10,0)+1,
IF($BC58=Lookup!$A$3,($BD58+1)^BH58,
IF($BC58=Lookup!$A$4,BI58*$BD58+1,"Error")))</f>
        <v>1</v>
      </c>
      <c r="BR58" s="229">
        <f>IF($BC58=Lookup!$A$2,$BD58*ROUNDUP(BJ58/10,0)+1,
IF($BC58=Lookup!$A$3,($BD58+1)^BI58,
IF($BC58=Lookup!$A$4,BJ58*$BD58+1,"Error")))</f>
        <v>1</v>
      </c>
      <c r="BS58" s="229">
        <f>IF($BC58=Lookup!$A$2,$BD58*ROUNDUP(BK58/10,0)+1,
IF($BC58=Lookup!$A$3,($BD58+1)^BJ58,
IF($BC58=Lookup!$A$4,BK58*$BD58+1,"Error")))</f>
        <v>1</v>
      </c>
      <c r="BT58" s="249">
        <f>IF($BC58=Lookup!$A$2,$BD58*ROUNDUP(BL58/10,0)+1,
IF($BC58=Lookup!$A$3,($BD58+1)^BK58,
IF($BC58=Lookup!$A$4,BL58*$BD58+1,"Error")))</f>
        <v>1</v>
      </c>
      <c r="BU58" s="320"/>
      <c r="BV58" s="321"/>
      <c r="BW58" s="321"/>
      <c r="BX58" s="321"/>
      <c r="BY58" s="321"/>
      <c r="BZ58" s="321"/>
      <c r="CA58" s="321"/>
      <c r="CB58" s="277"/>
      <c r="CC58" s="382" t="s">
        <v>293</v>
      </c>
      <c r="CD58" s="383">
        <f>HLOOKUP($CC58,$AK$6:$AM$132,ROWS(CD$6:CD58),0)</f>
        <v>0</v>
      </c>
      <c r="CE58" s="239">
        <f t="shared" si="30"/>
        <v>0</v>
      </c>
      <c r="CF58" s="140">
        <f t="shared" si="30"/>
        <v>0</v>
      </c>
      <c r="CG58" s="140">
        <f t="shared" si="30"/>
        <v>0</v>
      </c>
      <c r="CH58" s="140">
        <f t="shared" si="30"/>
        <v>0</v>
      </c>
      <c r="CI58" s="140">
        <f t="shared" si="84"/>
        <v>0</v>
      </c>
      <c r="CJ58" s="140">
        <f t="shared" si="84"/>
        <v>0</v>
      </c>
      <c r="CK58" s="140">
        <f t="shared" si="84"/>
        <v>0</v>
      </c>
      <c r="CL58" s="291">
        <f t="shared" si="84"/>
        <v>0</v>
      </c>
      <c r="CM58" s="305" t="s">
        <v>293</v>
      </c>
      <c r="CN58" s="315">
        <v>0</v>
      </c>
      <c r="CO58" s="306"/>
      <c r="CP58" s="307" t="str">
        <f>IF($CO58&lt;&gt;"",$CO58,HLOOKUP($CM58,$AY$6:$BA$132,ROWS(CP$6:CP58),0))</f>
        <v/>
      </c>
      <c r="CQ58" s="784" t="str">
        <f t="shared" si="79"/>
        <v/>
      </c>
      <c r="CR58" s="784" t="str">
        <f t="shared" si="79"/>
        <v/>
      </c>
      <c r="CS58" s="97" t="str">
        <f t="shared" si="79"/>
        <v/>
      </c>
      <c r="CT58" s="97" t="str">
        <f t="shared" si="79"/>
        <v/>
      </c>
      <c r="CU58" s="97" t="str">
        <f t="shared" si="79"/>
        <v/>
      </c>
      <c r="CV58" s="97" t="str">
        <f t="shared" si="79"/>
        <v/>
      </c>
      <c r="CW58" s="97" t="str">
        <f t="shared" si="79"/>
        <v/>
      </c>
      <c r="CX58" s="98" t="str">
        <f t="shared" si="62"/>
        <v/>
      </c>
      <c r="CY58" s="392"/>
    </row>
    <row r="59" spans="1:103" x14ac:dyDescent="0.25">
      <c r="A59" s="81" t="s">
        <v>106</v>
      </c>
      <c r="B59" s="82" t="s">
        <v>121</v>
      </c>
      <c r="C59" s="83" t="s">
        <v>341</v>
      </c>
      <c r="D59" s="84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654">
        <f>'2022-23 Input'!F59</f>
        <v>0</v>
      </c>
      <c r="N59" s="1065">
        <v>0</v>
      </c>
      <c r="O59" s="560">
        <f t="shared" si="27"/>
        <v>0</v>
      </c>
      <c r="P59" s="561">
        <f t="shared" si="0"/>
        <v>0</v>
      </c>
      <c r="Q59" s="561">
        <f t="shared" si="1"/>
        <v>0</v>
      </c>
      <c r="R59" s="561">
        <f t="shared" si="2"/>
        <v>0</v>
      </c>
      <c r="S59" s="561">
        <f t="shared" si="3"/>
        <v>0</v>
      </c>
      <c r="T59" s="561">
        <f t="shared" si="4"/>
        <v>0</v>
      </c>
      <c r="U59" s="561">
        <f t="shared" si="5"/>
        <v>0</v>
      </c>
      <c r="V59" s="561">
        <f t="shared" si="6"/>
        <v>0</v>
      </c>
      <c r="W59" s="675">
        <f t="shared" si="7"/>
        <v>0</v>
      </c>
      <c r="X59" s="675">
        <f t="shared" si="8"/>
        <v>0</v>
      </c>
      <c r="Y59" s="675">
        <f t="shared" si="8"/>
        <v>0</v>
      </c>
      <c r="Z59" s="86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1094">
        <f>'2022-23 Input'!M59</f>
        <v>0</v>
      </c>
      <c r="AJ59" s="665">
        <v>0</v>
      </c>
      <c r="AK59" s="127">
        <f t="shared" si="63"/>
        <v>0</v>
      </c>
      <c r="AL59" s="128">
        <f t="shared" si="64"/>
        <v>0</v>
      </c>
      <c r="AM59" s="129">
        <f t="shared" si="65"/>
        <v>0</v>
      </c>
      <c r="AN59" s="91" t="str">
        <f t="shared" si="66"/>
        <v/>
      </c>
      <c r="AO59" s="92" t="str">
        <f t="shared" si="67"/>
        <v/>
      </c>
      <c r="AP59" s="92" t="str">
        <f t="shared" si="68"/>
        <v/>
      </c>
      <c r="AQ59" s="92" t="str">
        <f t="shared" si="69"/>
        <v/>
      </c>
      <c r="AR59" s="92" t="str">
        <f t="shared" si="70"/>
        <v/>
      </c>
      <c r="AS59" s="92" t="str">
        <f t="shared" si="71"/>
        <v/>
      </c>
      <c r="AT59" s="92" t="str">
        <f t="shared" si="72"/>
        <v/>
      </c>
      <c r="AU59" s="92" t="str">
        <f t="shared" si="73"/>
        <v/>
      </c>
      <c r="AV59" s="92" t="str">
        <f t="shared" si="96"/>
        <v/>
      </c>
      <c r="AW59" s="92" t="str">
        <f t="shared" si="96"/>
        <v/>
      </c>
      <c r="AX59" s="92" t="str">
        <f t="shared" si="96"/>
        <v/>
      </c>
      <c r="AY59" s="93" t="str">
        <f t="shared" si="75"/>
        <v/>
      </c>
      <c r="AZ59" s="94" t="str">
        <f t="shared" si="76"/>
        <v/>
      </c>
      <c r="BA59" s="95" t="str">
        <f t="shared" si="77"/>
        <v/>
      </c>
      <c r="BB59" s="248" t="s">
        <v>422</v>
      </c>
      <c r="BC59" s="229" t="s">
        <v>433</v>
      </c>
      <c r="BD59" s="249">
        <v>0</v>
      </c>
      <c r="BE59" s="267">
        <f t="shared" si="28"/>
        <v>0</v>
      </c>
      <c r="BF59" s="268">
        <f t="shared" ref="BF59:BL59" si="101">IF(BF$6=$BB59,1,
IF(BE59&lt;&gt;0,BE59+1,0
))</f>
        <v>0</v>
      </c>
      <c r="BG59" s="268">
        <f t="shared" si="101"/>
        <v>0</v>
      </c>
      <c r="BH59" s="268">
        <f t="shared" si="101"/>
        <v>1</v>
      </c>
      <c r="BI59" s="268">
        <f t="shared" si="101"/>
        <v>2</v>
      </c>
      <c r="BJ59" s="268">
        <f t="shared" si="101"/>
        <v>3</v>
      </c>
      <c r="BK59" s="268">
        <f t="shared" si="101"/>
        <v>4</v>
      </c>
      <c r="BL59" s="269">
        <f t="shared" si="101"/>
        <v>5</v>
      </c>
      <c r="BM59" s="256">
        <f>IF($BC59=Lookup!$A$2,$BD59*ROUNDUP(BE59/10,0)+1,
IF($BC59=Lookup!$A$3,($BD59+1)^BD59,
IF($BC59=Lookup!$A$4,BE59*$BD59+1,"Error")))</f>
        <v>1</v>
      </c>
      <c r="BN59" s="229">
        <f>IF($BC59=Lookup!$A$2,$BD59*ROUNDUP(BF59/10,0)+1,
IF($BC59=Lookup!$A$3,($BD59+1)^BE59,
IF($BC59=Lookup!$A$4,BF59*$BD59+1,"Error")))</f>
        <v>1</v>
      </c>
      <c r="BO59" s="229">
        <f>IF($BC59=Lookup!$A$2,$BD59*ROUNDUP(BG59/10,0)+1,
IF($BC59=Lookup!$A$3,($BD59+1)^BF59,
IF($BC59=Lookup!$A$4,BG59*$BD59+1,"Error")))</f>
        <v>1</v>
      </c>
      <c r="BP59" s="229">
        <f>IF($BC59=Lookup!$A$2,$BD59*ROUNDUP(BH59/10,0)+1,
IF($BC59=Lookup!$A$3,($BD59+1)^BG59,
IF($BC59=Lookup!$A$4,BH59*$BD59+1,"Error")))</f>
        <v>1</v>
      </c>
      <c r="BQ59" s="229">
        <f>IF($BC59=Lookup!$A$2,$BD59*ROUNDUP(BI59/10,0)+1,
IF($BC59=Lookup!$A$3,($BD59+1)^BH59,
IF($BC59=Lookup!$A$4,BI59*$BD59+1,"Error")))</f>
        <v>1</v>
      </c>
      <c r="BR59" s="229">
        <f>IF($BC59=Lookup!$A$2,$BD59*ROUNDUP(BJ59/10,0)+1,
IF($BC59=Lookup!$A$3,($BD59+1)^BI59,
IF($BC59=Lookup!$A$4,BJ59*$BD59+1,"Error")))</f>
        <v>1</v>
      </c>
      <c r="BS59" s="229">
        <f>IF($BC59=Lookup!$A$2,$BD59*ROUNDUP(BK59/10,0)+1,
IF($BC59=Lookup!$A$3,($BD59+1)^BJ59,
IF($BC59=Lookup!$A$4,BK59*$BD59+1,"Error")))</f>
        <v>1</v>
      </c>
      <c r="BT59" s="249">
        <f>IF($BC59=Lookup!$A$2,$BD59*ROUNDUP(BL59/10,0)+1,
IF($BC59=Lookup!$A$3,($BD59+1)^BK59,
IF($BC59=Lookup!$A$4,BL59*$BD59+1,"Error")))</f>
        <v>1</v>
      </c>
      <c r="BU59" s="320"/>
      <c r="BV59" s="321"/>
      <c r="BW59" s="321"/>
      <c r="BX59" s="321"/>
      <c r="BY59" s="321"/>
      <c r="BZ59" s="321"/>
      <c r="CA59" s="321"/>
      <c r="CB59" s="277"/>
      <c r="CC59" s="382" t="s">
        <v>293</v>
      </c>
      <c r="CD59" s="383">
        <f>HLOOKUP($CC59,$AK$6:$AM$132,ROWS(CD$6:CD59),0)</f>
        <v>0</v>
      </c>
      <c r="CE59" s="239">
        <f t="shared" si="30"/>
        <v>0</v>
      </c>
      <c r="CF59" s="140">
        <f t="shared" si="30"/>
        <v>0</v>
      </c>
      <c r="CG59" s="140">
        <f t="shared" si="30"/>
        <v>0</v>
      </c>
      <c r="CH59" s="140">
        <f t="shared" si="30"/>
        <v>0</v>
      </c>
      <c r="CI59" s="140">
        <f t="shared" si="84"/>
        <v>0</v>
      </c>
      <c r="CJ59" s="140">
        <f t="shared" si="84"/>
        <v>0</v>
      </c>
      <c r="CK59" s="140">
        <f t="shared" si="84"/>
        <v>0</v>
      </c>
      <c r="CL59" s="291">
        <f t="shared" si="84"/>
        <v>0</v>
      </c>
      <c r="CM59" s="305" t="s">
        <v>293</v>
      </c>
      <c r="CN59" s="315">
        <v>0</v>
      </c>
      <c r="CO59" s="306"/>
      <c r="CP59" s="307" t="str">
        <f>IF($CO59&lt;&gt;"",$CO59,HLOOKUP($CM59,$AY$6:$BA$132,ROWS(CP$6:CP59),0))</f>
        <v/>
      </c>
      <c r="CQ59" s="784" t="str">
        <f t="shared" si="79"/>
        <v/>
      </c>
      <c r="CR59" s="784" t="str">
        <f t="shared" si="79"/>
        <v/>
      </c>
      <c r="CS59" s="97" t="str">
        <f t="shared" si="79"/>
        <v/>
      </c>
      <c r="CT59" s="97" t="str">
        <f t="shared" si="79"/>
        <v/>
      </c>
      <c r="CU59" s="97" t="str">
        <f t="shared" si="79"/>
        <v/>
      </c>
      <c r="CV59" s="97" t="str">
        <f t="shared" si="79"/>
        <v/>
      </c>
      <c r="CW59" s="97" t="str">
        <f t="shared" si="79"/>
        <v/>
      </c>
      <c r="CX59" s="98" t="str">
        <f t="shared" si="62"/>
        <v/>
      </c>
      <c r="CY59" s="392"/>
    </row>
    <row r="60" spans="1:103" x14ac:dyDescent="0.25">
      <c r="A60" s="81" t="s">
        <v>106</v>
      </c>
      <c r="B60" s="82" t="s">
        <v>123</v>
      </c>
      <c r="C60" s="83" t="s">
        <v>343</v>
      </c>
      <c r="D60" s="84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654">
        <f>'2022-23 Input'!F60</f>
        <v>0</v>
      </c>
      <c r="N60" s="1065">
        <v>0</v>
      </c>
      <c r="O60" s="560">
        <f t="shared" si="27"/>
        <v>0</v>
      </c>
      <c r="P60" s="561">
        <f t="shared" si="0"/>
        <v>0</v>
      </c>
      <c r="Q60" s="561">
        <f t="shared" si="1"/>
        <v>0</v>
      </c>
      <c r="R60" s="561">
        <f t="shared" si="2"/>
        <v>0</v>
      </c>
      <c r="S60" s="561">
        <f t="shared" si="3"/>
        <v>0</v>
      </c>
      <c r="T60" s="561">
        <f t="shared" si="4"/>
        <v>0</v>
      </c>
      <c r="U60" s="561">
        <f t="shared" si="5"/>
        <v>0</v>
      </c>
      <c r="V60" s="561">
        <f t="shared" si="6"/>
        <v>0</v>
      </c>
      <c r="W60" s="675">
        <f t="shared" si="7"/>
        <v>0</v>
      </c>
      <c r="X60" s="675">
        <f t="shared" si="8"/>
        <v>0</v>
      </c>
      <c r="Y60" s="675">
        <f t="shared" si="8"/>
        <v>0</v>
      </c>
      <c r="Z60" s="86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1094">
        <f>'2022-23 Input'!M60</f>
        <v>0</v>
      </c>
      <c r="AJ60" s="665">
        <v>0</v>
      </c>
      <c r="AK60" s="127">
        <f t="shared" si="63"/>
        <v>0</v>
      </c>
      <c r="AL60" s="128">
        <f t="shared" si="64"/>
        <v>0</v>
      </c>
      <c r="AM60" s="129">
        <f t="shared" si="65"/>
        <v>0</v>
      </c>
      <c r="AN60" s="91" t="str">
        <f t="shared" si="66"/>
        <v/>
      </c>
      <c r="AO60" s="92" t="str">
        <f t="shared" si="67"/>
        <v/>
      </c>
      <c r="AP60" s="92" t="str">
        <f t="shared" si="68"/>
        <v/>
      </c>
      <c r="AQ60" s="92" t="str">
        <f t="shared" si="69"/>
        <v/>
      </c>
      <c r="AR60" s="92" t="str">
        <f t="shared" si="70"/>
        <v/>
      </c>
      <c r="AS60" s="92" t="str">
        <f t="shared" si="71"/>
        <v/>
      </c>
      <c r="AT60" s="92" t="str">
        <f t="shared" si="72"/>
        <v/>
      </c>
      <c r="AU60" s="92" t="str">
        <f t="shared" si="73"/>
        <v/>
      </c>
      <c r="AV60" s="92" t="str">
        <f t="shared" si="96"/>
        <v/>
      </c>
      <c r="AW60" s="92" t="str">
        <f t="shared" si="96"/>
        <v/>
      </c>
      <c r="AX60" s="92" t="str">
        <f t="shared" si="96"/>
        <v/>
      </c>
      <c r="AY60" s="93" t="str">
        <f t="shared" si="75"/>
        <v/>
      </c>
      <c r="AZ60" s="94" t="str">
        <f t="shared" si="76"/>
        <v/>
      </c>
      <c r="BA60" s="95" t="str">
        <f t="shared" si="77"/>
        <v/>
      </c>
      <c r="BB60" s="248" t="s">
        <v>422</v>
      </c>
      <c r="BC60" s="229" t="s">
        <v>433</v>
      </c>
      <c r="BD60" s="249">
        <v>0</v>
      </c>
      <c r="BE60" s="267">
        <f t="shared" si="28"/>
        <v>0</v>
      </c>
      <c r="BF60" s="268">
        <f t="shared" ref="BF60:BL60" si="102">IF(BF$6=$BB60,1,
IF(BE60&lt;&gt;0,BE60+1,0
))</f>
        <v>0</v>
      </c>
      <c r="BG60" s="268">
        <f t="shared" si="102"/>
        <v>0</v>
      </c>
      <c r="BH60" s="268">
        <f t="shared" si="102"/>
        <v>1</v>
      </c>
      <c r="BI60" s="268">
        <f t="shared" si="102"/>
        <v>2</v>
      </c>
      <c r="BJ60" s="268">
        <f t="shared" si="102"/>
        <v>3</v>
      </c>
      <c r="BK60" s="268">
        <f t="shared" si="102"/>
        <v>4</v>
      </c>
      <c r="BL60" s="269">
        <f t="shared" si="102"/>
        <v>5</v>
      </c>
      <c r="BM60" s="256">
        <f>IF($BC60=Lookup!$A$2,$BD60*ROUNDUP(BE60/10,0)+1,
IF($BC60=Lookup!$A$3,($BD60+1)^BD60,
IF($BC60=Lookup!$A$4,BE60*$BD60+1,"Error")))</f>
        <v>1</v>
      </c>
      <c r="BN60" s="229">
        <f>IF($BC60=Lookup!$A$2,$BD60*ROUNDUP(BF60/10,0)+1,
IF($BC60=Lookup!$A$3,($BD60+1)^BE60,
IF($BC60=Lookup!$A$4,BF60*$BD60+1,"Error")))</f>
        <v>1</v>
      </c>
      <c r="BO60" s="229">
        <f>IF($BC60=Lookup!$A$2,$BD60*ROUNDUP(BG60/10,0)+1,
IF($BC60=Lookup!$A$3,($BD60+1)^BF60,
IF($BC60=Lookup!$A$4,BG60*$BD60+1,"Error")))</f>
        <v>1</v>
      </c>
      <c r="BP60" s="229">
        <f>IF($BC60=Lookup!$A$2,$BD60*ROUNDUP(BH60/10,0)+1,
IF($BC60=Lookup!$A$3,($BD60+1)^BG60,
IF($BC60=Lookup!$A$4,BH60*$BD60+1,"Error")))</f>
        <v>1</v>
      </c>
      <c r="BQ60" s="229">
        <f>IF($BC60=Lookup!$A$2,$BD60*ROUNDUP(BI60/10,0)+1,
IF($BC60=Lookup!$A$3,($BD60+1)^BH60,
IF($BC60=Lookup!$A$4,BI60*$BD60+1,"Error")))</f>
        <v>1</v>
      </c>
      <c r="BR60" s="229">
        <f>IF($BC60=Lookup!$A$2,$BD60*ROUNDUP(BJ60/10,0)+1,
IF($BC60=Lookup!$A$3,($BD60+1)^BI60,
IF($BC60=Lookup!$A$4,BJ60*$BD60+1,"Error")))</f>
        <v>1</v>
      </c>
      <c r="BS60" s="229">
        <f>IF($BC60=Lookup!$A$2,$BD60*ROUNDUP(BK60/10,0)+1,
IF($BC60=Lookup!$A$3,($BD60+1)^BJ60,
IF($BC60=Lookup!$A$4,BK60*$BD60+1,"Error")))</f>
        <v>1</v>
      </c>
      <c r="BT60" s="249">
        <f>IF($BC60=Lookup!$A$2,$BD60*ROUNDUP(BL60/10,0)+1,
IF($BC60=Lookup!$A$3,($BD60+1)^BK60,
IF($BC60=Lookup!$A$4,BL60*$BD60+1,"Error")))</f>
        <v>1</v>
      </c>
      <c r="BU60" s="320"/>
      <c r="BV60" s="321"/>
      <c r="BW60" s="321"/>
      <c r="BX60" s="321"/>
      <c r="BY60" s="321"/>
      <c r="BZ60" s="321"/>
      <c r="CA60" s="321"/>
      <c r="CB60" s="277"/>
      <c r="CC60" s="382" t="s">
        <v>293</v>
      </c>
      <c r="CD60" s="383">
        <f>HLOOKUP($CC60,$AK$6:$AM$132,ROWS(CD$6:CD60),0)</f>
        <v>0</v>
      </c>
      <c r="CE60" s="239">
        <f t="shared" si="30"/>
        <v>0</v>
      </c>
      <c r="CF60" s="140">
        <f t="shared" si="30"/>
        <v>0</v>
      </c>
      <c r="CG60" s="140">
        <f t="shared" si="30"/>
        <v>0</v>
      </c>
      <c r="CH60" s="140">
        <f t="shared" si="30"/>
        <v>0</v>
      </c>
      <c r="CI60" s="140">
        <f t="shared" si="84"/>
        <v>0</v>
      </c>
      <c r="CJ60" s="140">
        <f t="shared" si="84"/>
        <v>0</v>
      </c>
      <c r="CK60" s="140">
        <f t="shared" si="84"/>
        <v>0</v>
      </c>
      <c r="CL60" s="291">
        <f t="shared" si="84"/>
        <v>0</v>
      </c>
      <c r="CM60" s="305" t="s">
        <v>293</v>
      </c>
      <c r="CN60" s="315">
        <v>0</v>
      </c>
      <c r="CO60" s="306"/>
      <c r="CP60" s="307" t="str">
        <f>IF($CO60&lt;&gt;"",$CO60,HLOOKUP($CM60,$AY$6:$BA$132,ROWS(CP$6:CP60),0))</f>
        <v/>
      </c>
      <c r="CQ60" s="784" t="str">
        <f t="shared" si="79"/>
        <v/>
      </c>
      <c r="CR60" s="784" t="str">
        <f t="shared" si="79"/>
        <v/>
      </c>
      <c r="CS60" s="97" t="str">
        <f t="shared" si="79"/>
        <v/>
      </c>
      <c r="CT60" s="97" t="str">
        <f t="shared" si="79"/>
        <v/>
      </c>
      <c r="CU60" s="97" t="str">
        <f t="shared" si="79"/>
        <v/>
      </c>
      <c r="CV60" s="97" t="str">
        <f t="shared" si="79"/>
        <v/>
      </c>
      <c r="CW60" s="97" t="str">
        <f t="shared" si="79"/>
        <v/>
      </c>
      <c r="CX60" s="98" t="str">
        <f t="shared" si="62"/>
        <v/>
      </c>
      <c r="CY60" s="392"/>
    </row>
    <row r="61" spans="1:103" x14ac:dyDescent="0.25">
      <c r="A61" s="81" t="s">
        <v>106</v>
      </c>
      <c r="B61" s="82" t="s">
        <v>125</v>
      </c>
      <c r="C61" s="83" t="s">
        <v>345</v>
      </c>
      <c r="D61" s="84">
        <v>0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654">
        <f>'2022-23 Input'!F61</f>
        <v>0</v>
      </c>
      <c r="N61" s="1065">
        <v>0</v>
      </c>
      <c r="O61" s="560">
        <f t="shared" si="27"/>
        <v>0</v>
      </c>
      <c r="P61" s="561">
        <f t="shared" si="0"/>
        <v>0</v>
      </c>
      <c r="Q61" s="561">
        <f t="shared" si="1"/>
        <v>0</v>
      </c>
      <c r="R61" s="561">
        <f t="shared" si="2"/>
        <v>0</v>
      </c>
      <c r="S61" s="561">
        <f t="shared" si="3"/>
        <v>0</v>
      </c>
      <c r="T61" s="561">
        <f t="shared" si="4"/>
        <v>0</v>
      </c>
      <c r="U61" s="561">
        <f t="shared" si="5"/>
        <v>0</v>
      </c>
      <c r="V61" s="561">
        <f t="shared" si="6"/>
        <v>0</v>
      </c>
      <c r="W61" s="675">
        <f t="shared" si="7"/>
        <v>0</v>
      </c>
      <c r="X61" s="675">
        <f t="shared" si="8"/>
        <v>0</v>
      </c>
      <c r="Y61" s="675">
        <f t="shared" si="8"/>
        <v>0</v>
      </c>
      <c r="Z61" s="86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1094">
        <f>'2022-23 Input'!M61</f>
        <v>0</v>
      </c>
      <c r="AJ61" s="665">
        <v>0</v>
      </c>
      <c r="AK61" s="127">
        <f t="shared" si="63"/>
        <v>0</v>
      </c>
      <c r="AL61" s="128">
        <f t="shared" si="64"/>
        <v>0</v>
      </c>
      <c r="AM61" s="129">
        <f t="shared" si="65"/>
        <v>0</v>
      </c>
      <c r="AN61" s="91" t="str">
        <f t="shared" si="66"/>
        <v/>
      </c>
      <c r="AO61" s="92" t="str">
        <f t="shared" si="67"/>
        <v/>
      </c>
      <c r="AP61" s="92" t="str">
        <f t="shared" si="68"/>
        <v/>
      </c>
      <c r="AQ61" s="92" t="str">
        <f t="shared" si="69"/>
        <v/>
      </c>
      <c r="AR61" s="92" t="str">
        <f t="shared" si="70"/>
        <v/>
      </c>
      <c r="AS61" s="92" t="str">
        <f t="shared" si="71"/>
        <v/>
      </c>
      <c r="AT61" s="92" t="str">
        <f t="shared" si="72"/>
        <v/>
      </c>
      <c r="AU61" s="92" t="str">
        <f t="shared" si="73"/>
        <v/>
      </c>
      <c r="AV61" s="92" t="str">
        <f t="shared" si="96"/>
        <v/>
      </c>
      <c r="AW61" s="92" t="str">
        <f t="shared" si="96"/>
        <v/>
      </c>
      <c r="AX61" s="92" t="str">
        <f t="shared" si="96"/>
        <v/>
      </c>
      <c r="AY61" s="93" t="str">
        <f t="shared" si="75"/>
        <v/>
      </c>
      <c r="AZ61" s="94" t="str">
        <f t="shared" si="76"/>
        <v/>
      </c>
      <c r="BA61" s="95" t="str">
        <f t="shared" si="77"/>
        <v/>
      </c>
      <c r="BB61" s="248" t="s">
        <v>422</v>
      </c>
      <c r="BC61" s="229" t="s">
        <v>433</v>
      </c>
      <c r="BD61" s="249">
        <v>0</v>
      </c>
      <c r="BE61" s="267">
        <f t="shared" si="28"/>
        <v>0</v>
      </c>
      <c r="BF61" s="268">
        <f t="shared" ref="BF61:BL61" si="103">IF(BF$6=$BB61,1,
IF(BE61&lt;&gt;0,BE61+1,0
))</f>
        <v>0</v>
      </c>
      <c r="BG61" s="268">
        <f t="shared" si="103"/>
        <v>0</v>
      </c>
      <c r="BH61" s="268">
        <f t="shared" si="103"/>
        <v>1</v>
      </c>
      <c r="BI61" s="268">
        <f t="shared" si="103"/>
        <v>2</v>
      </c>
      <c r="BJ61" s="268">
        <f t="shared" si="103"/>
        <v>3</v>
      </c>
      <c r="BK61" s="268">
        <f t="shared" si="103"/>
        <v>4</v>
      </c>
      <c r="BL61" s="269">
        <f t="shared" si="103"/>
        <v>5</v>
      </c>
      <c r="BM61" s="256">
        <f>IF($BC61=Lookup!$A$2,$BD61*ROUNDUP(BE61/10,0)+1,
IF($BC61=Lookup!$A$3,($BD61+1)^BD61,
IF($BC61=Lookup!$A$4,BE61*$BD61+1,"Error")))</f>
        <v>1</v>
      </c>
      <c r="BN61" s="229">
        <f>IF($BC61=Lookup!$A$2,$BD61*ROUNDUP(BF61/10,0)+1,
IF($BC61=Lookup!$A$3,($BD61+1)^BE61,
IF($BC61=Lookup!$A$4,BF61*$BD61+1,"Error")))</f>
        <v>1</v>
      </c>
      <c r="BO61" s="229">
        <f>IF($BC61=Lookup!$A$2,$BD61*ROUNDUP(BG61/10,0)+1,
IF($BC61=Lookup!$A$3,($BD61+1)^BF61,
IF($BC61=Lookup!$A$4,BG61*$BD61+1,"Error")))</f>
        <v>1</v>
      </c>
      <c r="BP61" s="229">
        <f>IF($BC61=Lookup!$A$2,$BD61*ROUNDUP(BH61/10,0)+1,
IF($BC61=Lookup!$A$3,($BD61+1)^BG61,
IF($BC61=Lookup!$A$4,BH61*$BD61+1,"Error")))</f>
        <v>1</v>
      </c>
      <c r="BQ61" s="229">
        <f>IF($BC61=Lookup!$A$2,$BD61*ROUNDUP(BI61/10,0)+1,
IF($BC61=Lookup!$A$3,($BD61+1)^BH61,
IF($BC61=Lookup!$A$4,BI61*$BD61+1,"Error")))</f>
        <v>1</v>
      </c>
      <c r="BR61" s="229">
        <f>IF($BC61=Lookup!$A$2,$BD61*ROUNDUP(BJ61/10,0)+1,
IF($BC61=Lookup!$A$3,($BD61+1)^BI61,
IF($BC61=Lookup!$A$4,BJ61*$BD61+1,"Error")))</f>
        <v>1</v>
      </c>
      <c r="BS61" s="229">
        <f>IF($BC61=Lookup!$A$2,$BD61*ROUNDUP(BK61/10,0)+1,
IF($BC61=Lookup!$A$3,($BD61+1)^BJ61,
IF($BC61=Lookup!$A$4,BK61*$BD61+1,"Error")))</f>
        <v>1</v>
      </c>
      <c r="BT61" s="249">
        <f>IF($BC61=Lookup!$A$2,$BD61*ROUNDUP(BL61/10,0)+1,
IF($BC61=Lookup!$A$3,($BD61+1)^BK61,
IF($BC61=Lookup!$A$4,BL61*$BD61+1,"Error")))</f>
        <v>1</v>
      </c>
      <c r="BU61" s="320"/>
      <c r="BV61" s="321"/>
      <c r="BW61" s="321"/>
      <c r="BX61" s="321"/>
      <c r="BY61" s="321"/>
      <c r="BZ61" s="321"/>
      <c r="CA61" s="321"/>
      <c r="CB61" s="277"/>
      <c r="CC61" s="382" t="s">
        <v>293</v>
      </c>
      <c r="CD61" s="383">
        <f>HLOOKUP($CC61,$AK$6:$AM$132,ROWS(CD$6:CD61),0)</f>
        <v>0</v>
      </c>
      <c r="CE61" s="239">
        <f t="shared" si="30"/>
        <v>0</v>
      </c>
      <c r="CF61" s="140">
        <f t="shared" si="30"/>
        <v>0</v>
      </c>
      <c r="CG61" s="140">
        <f t="shared" si="30"/>
        <v>0</v>
      </c>
      <c r="CH61" s="140">
        <f t="shared" si="30"/>
        <v>0</v>
      </c>
      <c r="CI61" s="140">
        <f t="shared" si="84"/>
        <v>0</v>
      </c>
      <c r="CJ61" s="140">
        <f t="shared" si="84"/>
        <v>0</v>
      </c>
      <c r="CK61" s="140">
        <f t="shared" si="84"/>
        <v>0</v>
      </c>
      <c r="CL61" s="291">
        <f t="shared" si="84"/>
        <v>0</v>
      </c>
      <c r="CM61" s="305" t="s">
        <v>293</v>
      </c>
      <c r="CN61" s="315">
        <v>0</v>
      </c>
      <c r="CO61" s="306"/>
      <c r="CP61" s="307" t="str">
        <f>IF($CO61&lt;&gt;"",$CO61,HLOOKUP($CM61,$AY$6:$BA$132,ROWS(CP$6:CP61),0))</f>
        <v/>
      </c>
      <c r="CQ61" s="784" t="str">
        <f t="shared" si="79"/>
        <v/>
      </c>
      <c r="CR61" s="784" t="str">
        <f t="shared" si="79"/>
        <v/>
      </c>
      <c r="CS61" s="97" t="str">
        <f t="shared" si="79"/>
        <v/>
      </c>
      <c r="CT61" s="97" t="str">
        <f t="shared" si="79"/>
        <v/>
      </c>
      <c r="CU61" s="97" t="str">
        <f t="shared" si="79"/>
        <v/>
      </c>
      <c r="CV61" s="97" t="str">
        <f t="shared" si="79"/>
        <v/>
      </c>
      <c r="CW61" s="97" t="str">
        <f t="shared" si="79"/>
        <v/>
      </c>
      <c r="CX61" s="98" t="str">
        <f t="shared" si="62"/>
        <v/>
      </c>
      <c r="CY61" s="392"/>
    </row>
    <row r="62" spans="1:103" x14ac:dyDescent="0.25">
      <c r="A62" s="81" t="s">
        <v>106</v>
      </c>
      <c r="B62" s="82" t="s">
        <v>127</v>
      </c>
      <c r="C62" s="83" t="s">
        <v>347</v>
      </c>
      <c r="D62" s="84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654">
        <f>'2022-23 Input'!F62</f>
        <v>0</v>
      </c>
      <c r="N62" s="1065">
        <v>0</v>
      </c>
      <c r="O62" s="560">
        <f t="shared" si="27"/>
        <v>0</v>
      </c>
      <c r="P62" s="561">
        <f t="shared" si="0"/>
        <v>0</v>
      </c>
      <c r="Q62" s="561">
        <f t="shared" si="1"/>
        <v>0</v>
      </c>
      <c r="R62" s="561">
        <f t="shared" si="2"/>
        <v>0</v>
      </c>
      <c r="S62" s="561">
        <f t="shared" si="3"/>
        <v>0</v>
      </c>
      <c r="T62" s="561">
        <f t="shared" si="4"/>
        <v>0</v>
      </c>
      <c r="U62" s="561">
        <f t="shared" si="5"/>
        <v>0</v>
      </c>
      <c r="V62" s="561">
        <f t="shared" si="6"/>
        <v>0</v>
      </c>
      <c r="W62" s="675">
        <f t="shared" si="7"/>
        <v>0</v>
      </c>
      <c r="X62" s="675">
        <f t="shared" si="8"/>
        <v>0</v>
      </c>
      <c r="Y62" s="675">
        <f t="shared" si="8"/>
        <v>0</v>
      </c>
      <c r="Z62" s="86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1094">
        <f>'2022-23 Input'!M62</f>
        <v>0</v>
      </c>
      <c r="AJ62" s="665">
        <v>0</v>
      </c>
      <c r="AK62" s="127">
        <f t="shared" si="63"/>
        <v>0</v>
      </c>
      <c r="AL62" s="128">
        <f t="shared" si="64"/>
        <v>0</v>
      </c>
      <c r="AM62" s="129">
        <f t="shared" si="65"/>
        <v>0</v>
      </c>
      <c r="AN62" s="91" t="str">
        <f t="shared" si="66"/>
        <v/>
      </c>
      <c r="AO62" s="92" t="str">
        <f t="shared" si="67"/>
        <v/>
      </c>
      <c r="AP62" s="92" t="str">
        <f t="shared" si="68"/>
        <v/>
      </c>
      <c r="AQ62" s="92" t="str">
        <f t="shared" si="69"/>
        <v/>
      </c>
      <c r="AR62" s="92" t="str">
        <f t="shared" si="70"/>
        <v/>
      </c>
      <c r="AS62" s="92" t="str">
        <f t="shared" si="71"/>
        <v/>
      </c>
      <c r="AT62" s="92" t="str">
        <f t="shared" si="72"/>
        <v/>
      </c>
      <c r="AU62" s="92" t="str">
        <f t="shared" si="73"/>
        <v/>
      </c>
      <c r="AV62" s="92" t="str">
        <f t="shared" si="96"/>
        <v/>
      </c>
      <c r="AW62" s="92" t="str">
        <f t="shared" si="96"/>
        <v/>
      </c>
      <c r="AX62" s="92" t="str">
        <f t="shared" si="96"/>
        <v/>
      </c>
      <c r="AY62" s="93" t="str">
        <f t="shared" si="75"/>
        <v/>
      </c>
      <c r="AZ62" s="94" t="str">
        <f t="shared" si="76"/>
        <v/>
      </c>
      <c r="BA62" s="95" t="str">
        <f t="shared" si="77"/>
        <v/>
      </c>
      <c r="BB62" s="248" t="s">
        <v>422</v>
      </c>
      <c r="BC62" s="229" t="s">
        <v>433</v>
      </c>
      <c r="BD62" s="249">
        <v>0</v>
      </c>
      <c r="BE62" s="267">
        <f t="shared" si="28"/>
        <v>0</v>
      </c>
      <c r="BF62" s="268">
        <f t="shared" ref="BF62:BL62" si="104">IF(BF$6=$BB62,1,
IF(BE62&lt;&gt;0,BE62+1,0
))</f>
        <v>0</v>
      </c>
      <c r="BG62" s="268">
        <f t="shared" si="104"/>
        <v>0</v>
      </c>
      <c r="BH62" s="268">
        <f t="shared" si="104"/>
        <v>1</v>
      </c>
      <c r="BI62" s="268">
        <f t="shared" si="104"/>
        <v>2</v>
      </c>
      <c r="BJ62" s="268">
        <f t="shared" si="104"/>
        <v>3</v>
      </c>
      <c r="BK62" s="268">
        <f t="shared" si="104"/>
        <v>4</v>
      </c>
      <c r="BL62" s="269">
        <f t="shared" si="104"/>
        <v>5</v>
      </c>
      <c r="BM62" s="256">
        <f>IF($BC62=Lookup!$A$2,$BD62*ROUNDUP(BE62/10,0)+1,
IF($BC62=Lookup!$A$3,($BD62+1)^BD62,
IF($BC62=Lookup!$A$4,BE62*$BD62+1,"Error")))</f>
        <v>1</v>
      </c>
      <c r="BN62" s="229">
        <f>IF($BC62=Lookup!$A$2,$BD62*ROUNDUP(BF62/10,0)+1,
IF($BC62=Lookup!$A$3,($BD62+1)^BE62,
IF($BC62=Lookup!$A$4,BF62*$BD62+1,"Error")))</f>
        <v>1</v>
      </c>
      <c r="BO62" s="229">
        <f>IF($BC62=Lookup!$A$2,$BD62*ROUNDUP(BG62/10,0)+1,
IF($BC62=Lookup!$A$3,($BD62+1)^BF62,
IF($BC62=Lookup!$A$4,BG62*$BD62+1,"Error")))</f>
        <v>1</v>
      </c>
      <c r="BP62" s="229">
        <f>IF($BC62=Lookup!$A$2,$BD62*ROUNDUP(BH62/10,0)+1,
IF($BC62=Lookup!$A$3,($BD62+1)^BG62,
IF($BC62=Lookup!$A$4,BH62*$BD62+1,"Error")))</f>
        <v>1</v>
      </c>
      <c r="BQ62" s="229">
        <f>IF($BC62=Lookup!$A$2,$BD62*ROUNDUP(BI62/10,0)+1,
IF($BC62=Lookup!$A$3,($BD62+1)^BH62,
IF($BC62=Lookup!$A$4,BI62*$BD62+1,"Error")))</f>
        <v>1</v>
      </c>
      <c r="BR62" s="229">
        <f>IF($BC62=Lookup!$A$2,$BD62*ROUNDUP(BJ62/10,0)+1,
IF($BC62=Lookup!$A$3,($BD62+1)^BI62,
IF($BC62=Lookup!$A$4,BJ62*$BD62+1,"Error")))</f>
        <v>1</v>
      </c>
      <c r="BS62" s="229">
        <f>IF($BC62=Lookup!$A$2,$BD62*ROUNDUP(BK62/10,0)+1,
IF($BC62=Lookup!$A$3,($BD62+1)^BJ62,
IF($BC62=Lookup!$A$4,BK62*$BD62+1,"Error")))</f>
        <v>1</v>
      </c>
      <c r="BT62" s="249">
        <f>IF($BC62=Lookup!$A$2,$BD62*ROUNDUP(BL62/10,0)+1,
IF($BC62=Lookup!$A$3,($BD62+1)^BK62,
IF($BC62=Lookup!$A$4,BL62*$BD62+1,"Error")))</f>
        <v>1</v>
      </c>
      <c r="BU62" s="320"/>
      <c r="BV62" s="321"/>
      <c r="BW62" s="321"/>
      <c r="BX62" s="321"/>
      <c r="BY62" s="321"/>
      <c r="BZ62" s="321"/>
      <c r="CA62" s="321"/>
      <c r="CB62" s="277"/>
      <c r="CC62" s="382" t="s">
        <v>293</v>
      </c>
      <c r="CD62" s="383">
        <f>HLOOKUP($CC62,$AK$6:$AM$132,ROWS(CD$6:CD62),0)</f>
        <v>0</v>
      </c>
      <c r="CE62" s="239">
        <f t="shared" si="30"/>
        <v>0</v>
      </c>
      <c r="CF62" s="140">
        <f t="shared" si="30"/>
        <v>0</v>
      </c>
      <c r="CG62" s="140">
        <f t="shared" si="30"/>
        <v>0</v>
      </c>
      <c r="CH62" s="140">
        <f t="shared" si="30"/>
        <v>0</v>
      </c>
      <c r="CI62" s="140">
        <f t="shared" si="84"/>
        <v>0</v>
      </c>
      <c r="CJ62" s="140">
        <f t="shared" si="84"/>
        <v>0</v>
      </c>
      <c r="CK62" s="140">
        <f t="shared" si="84"/>
        <v>0</v>
      </c>
      <c r="CL62" s="291">
        <f t="shared" si="84"/>
        <v>0</v>
      </c>
      <c r="CM62" s="305" t="s">
        <v>293</v>
      </c>
      <c r="CN62" s="315">
        <v>0</v>
      </c>
      <c r="CO62" s="306"/>
      <c r="CP62" s="307" t="str">
        <f>IF($CO62&lt;&gt;"",$CO62,HLOOKUP($CM62,$AY$6:$BA$132,ROWS(CP$6:CP62),0))</f>
        <v/>
      </c>
      <c r="CQ62" s="784" t="str">
        <f t="shared" si="79"/>
        <v/>
      </c>
      <c r="CR62" s="784" t="str">
        <f t="shared" si="79"/>
        <v/>
      </c>
      <c r="CS62" s="97" t="str">
        <f t="shared" si="79"/>
        <v/>
      </c>
      <c r="CT62" s="97" t="str">
        <f t="shared" si="79"/>
        <v/>
      </c>
      <c r="CU62" s="97" t="str">
        <f t="shared" si="79"/>
        <v/>
      </c>
      <c r="CV62" s="97" t="str">
        <f t="shared" si="79"/>
        <v/>
      </c>
      <c r="CW62" s="97" t="str">
        <f t="shared" si="79"/>
        <v/>
      </c>
      <c r="CX62" s="98" t="str">
        <f t="shared" si="62"/>
        <v/>
      </c>
      <c r="CY62" s="392"/>
    </row>
    <row r="63" spans="1:103" x14ac:dyDescent="0.25">
      <c r="A63" s="81" t="s">
        <v>106</v>
      </c>
      <c r="B63" s="82" t="s">
        <v>129</v>
      </c>
      <c r="C63" s="83" t="s">
        <v>349</v>
      </c>
      <c r="D63" s="84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654">
        <f>'2022-23 Input'!F63</f>
        <v>0</v>
      </c>
      <c r="N63" s="1065">
        <v>0</v>
      </c>
      <c r="O63" s="560">
        <f t="shared" si="27"/>
        <v>0</v>
      </c>
      <c r="P63" s="561">
        <f t="shared" si="0"/>
        <v>0</v>
      </c>
      <c r="Q63" s="561">
        <f t="shared" si="1"/>
        <v>0</v>
      </c>
      <c r="R63" s="561">
        <f t="shared" si="2"/>
        <v>0</v>
      </c>
      <c r="S63" s="561">
        <f t="shared" si="3"/>
        <v>0</v>
      </c>
      <c r="T63" s="561">
        <f t="shared" si="4"/>
        <v>0</v>
      </c>
      <c r="U63" s="561">
        <f t="shared" si="5"/>
        <v>0</v>
      </c>
      <c r="V63" s="561">
        <f t="shared" si="6"/>
        <v>0</v>
      </c>
      <c r="W63" s="675">
        <f t="shared" si="7"/>
        <v>0</v>
      </c>
      <c r="X63" s="675">
        <f t="shared" si="8"/>
        <v>0</v>
      </c>
      <c r="Y63" s="675">
        <f t="shared" si="8"/>
        <v>0</v>
      </c>
      <c r="Z63" s="86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1094">
        <f>'2022-23 Input'!M63</f>
        <v>0</v>
      </c>
      <c r="AJ63" s="665">
        <v>0</v>
      </c>
      <c r="AK63" s="127">
        <f t="shared" si="63"/>
        <v>0</v>
      </c>
      <c r="AL63" s="128">
        <f t="shared" si="64"/>
        <v>0</v>
      </c>
      <c r="AM63" s="129">
        <f t="shared" si="65"/>
        <v>0</v>
      </c>
      <c r="AN63" s="91" t="str">
        <f t="shared" si="66"/>
        <v/>
      </c>
      <c r="AO63" s="92" t="str">
        <f t="shared" si="67"/>
        <v/>
      </c>
      <c r="AP63" s="92" t="str">
        <f t="shared" si="68"/>
        <v/>
      </c>
      <c r="AQ63" s="92" t="str">
        <f t="shared" si="69"/>
        <v/>
      </c>
      <c r="AR63" s="92" t="str">
        <f t="shared" si="70"/>
        <v/>
      </c>
      <c r="AS63" s="92" t="str">
        <f t="shared" si="71"/>
        <v/>
      </c>
      <c r="AT63" s="92" t="str">
        <f t="shared" si="72"/>
        <v/>
      </c>
      <c r="AU63" s="92" t="str">
        <f t="shared" si="73"/>
        <v/>
      </c>
      <c r="AV63" s="92" t="str">
        <f t="shared" si="96"/>
        <v/>
      </c>
      <c r="AW63" s="92" t="str">
        <f t="shared" si="96"/>
        <v/>
      </c>
      <c r="AX63" s="92" t="str">
        <f t="shared" si="96"/>
        <v/>
      </c>
      <c r="AY63" s="93" t="str">
        <f t="shared" si="75"/>
        <v/>
      </c>
      <c r="AZ63" s="94" t="str">
        <f t="shared" si="76"/>
        <v/>
      </c>
      <c r="BA63" s="95" t="str">
        <f t="shared" si="77"/>
        <v/>
      </c>
      <c r="BB63" s="248" t="s">
        <v>422</v>
      </c>
      <c r="BC63" s="229" t="s">
        <v>433</v>
      </c>
      <c r="BD63" s="249">
        <v>0</v>
      </c>
      <c r="BE63" s="267">
        <f t="shared" si="28"/>
        <v>0</v>
      </c>
      <c r="BF63" s="268">
        <f t="shared" ref="BF63:BL63" si="105">IF(BF$6=$BB63,1,
IF(BE63&lt;&gt;0,BE63+1,0
))</f>
        <v>0</v>
      </c>
      <c r="BG63" s="268">
        <f t="shared" si="105"/>
        <v>0</v>
      </c>
      <c r="BH63" s="268">
        <f t="shared" si="105"/>
        <v>1</v>
      </c>
      <c r="BI63" s="268">
        <f t="shared" si="105"/>
        <v>2</v>
      </c>
      <c r="BJ63" s="268">
        <f t="shared" si="105"/>
        <v>3</v>
      </c>
      <c r="BK63" s="268">
        <f t="shared" si="105"/>
        <v>4</v>
      </c>
      <c r="BL63" s="269">
        <f t="shared" si="105"/>
        <v>5</v>
      </c>
      <c r="BM63" s="256">
        <f>IF($BC63=Lookup!$A$2,$BD63*ROUNDUP(BE63/10,0)+1,
IF($BC63=Lookup!$A$3,($BD63+1)^BD63,
IF($BC63=Lookup!$A$4,BE63*$BD63+1,"Error")))</f>
        <v>1</v>
      </c>
      <c r="BN63" s="229">
        <f>IF($BC63=Lookup!$A$2,$BD63*ROUNDUP(BF63/10,0)+1,
IF($BC63=Lookup!$A$3,($BD63+1)^BE63,
IF($BC63=Lookup!$A$4,BF63*$BD63+1,"Error")))</f>
        <v>1</v>
      </c>
      <c r="BO63" s="229">
        <f>IF($BC63=Lookup!$A$2,$BD63*ROUNDUP(BG63/10,0)+1,
IF($BC63=Lookup!$A$3,($BD63+1)^BF63,
IF($BC63=Lookup!$A$4,BG63*$BD63+1,"Error")))</f>
        <v>1</v>
      </c>
      <c r="BP63" s="229">
        <f>IF($BC63=Lookup!$A$2,$BD63*ROUNDUP(BH63/10,0)+1,
IF($BC63=Lookup!$A$3,($BD63+1)^BG63,
IF($BC63=Lookup!$A$4,BH63*$BD63+1,"Error")))</f>
        <v>1</v>
      </c>
      <c r="BQ63" s="229">
        <f>IF($BC63=Lookup!$A$2,$BD63*ROUNDUP(BI63/10,0)+1,
IF($BC63=Lookup!$A$3,($BD63+1)^BH63,
IF($BC63=Lookup!$A$4,BI63*$BD63+1,"Error")))</f>
        <v>1</v>
      </c>
      <c r="BR63" s="229">
        <f>IF($BC63=Lookup!$A$2,$BD63*ROUNDUP(BJ63/10,0)+1,
IF($BC63=Lookup!$A$3,($BD63+1)^BI63,
IF($BC63=Lookup!$A$4,BJ63*$BD63+1,"Error")))</f>
        <v>1</v>
      </c>
      <c r="BS63" s="229">
        <f>IF($BC63=Lookup!$A$2,$BD63*ROUNDUP(BK63/10,0)+1,
IF($BC63=Lookup!$A$3,($BD63+1)^BJ63,
IF($BC63=Lookup!$A$4,BK63*$BD63+1,"Error")))</f>
        <v>1</v>
      </c>
      <c r="BT63" s="249">
        <f>IF($BC63=Lookup!$A$2,$BD63*ROUNDUP(BL63/10,0)+1,
IF($BC63=Lookup!$A$3,($BD63+1)^BK63,
IF($BC63=Lookup!$A$4,BL63*$BD63+1,"Error")))</f>
        <v>1</v>
      </c>
      <c r="BU63" s="320"/>
      <c r="BV63" s="321"/>
      <c r="BW63" s="321"/>
      <c r="BX63" s="321"/>
      <c r="BY63" s="321"/>
      <c r="BZ63" s="321"/>
      <c r="CA63" s="321"/>
      <c r="CB63" s="277"/>
      <c r="CC63" s="382" t="s">
        <v>293</v>
      </c>
      <c r="CD63" s="383">
        <f>HLOOKUP($CC63,$AK$6:$AM$132,ROWS(CD$6:CD63),0)</f>
        <v>0</v>
      </c>
      <c r="CE63" s="239">
        <f t="shared" si="30"/>
        <v>0</v>
      </c>
      <c r="CF63" s="140">
        <f t="shared" si="30"/>
        <v>0</v>
      </c>
      <c r="CG63" s="140">
        <f t="shared" si="30"/>
        <v>0</v>
      </c>
      <c r="CH63" s="140">
        <f t="shared" si="30"/>
        <v>0</v>
      </c>
      <c r="CI63" s="140">
        <f t="shared" si="84"/>
        <v>0</v>
      </c>
      <c r="CJ63" s="140">
        <f t="shared" si="84"/>
        <v>0</v>
      </c>
      <c r="CK63" s="140">
        <f t="shared" si="84"/>
        <v>0</v>
      </c>
      <c r="CL63" s="291">
        <f t="shared" si="84"/>
        <v>0</v>
      </c>
      <c r="CM63" s="305" t="s">
        <v>293</v>
      </c>
      <c r="CN63" s="315">
        <v>0</v>
      </c>
      <c r="CO63" s="306"/>
      <c r="CP63" s="307" t="str">
        <f>IF($CO63&lt;&gt;"",$CO63,HLOOKUP($CM63,$AY$6:$BA$132,ROWS(CP$6:CP63),0))</f>
        <v/>
      </c>
      <c r="CQ63" s="784" t="str">
        <f t="shared" si="79"/>
        <v/>
      </c>
      <c r="CR63" s="784" t="str">
        <f t="shared" si="79"/>
        <v/>
      </c>
      <c r="CS63" s="97" t="str">
        <f t="shared" si="79"/>
        <v/>
      </c>
      <c r="CT63" s="97" t="str">
        <f t="shared" si="79"/>
        <v/>
      </c>
      <c r="CU63" s="97" t="str">
        <f t="shared" si="79"/>
        <v/>
      </c>
      <c r="CV63" s="97" t="str">
        <f t="shared" si="79"/>
        <v/>
      </c>
      <c r="CW63" s="97" t="str">
        <f t="shared" si="79"/>
        <v/>
      </c>
      <c r="CX63" s="98" t="str">
        <f t="shared" si="62"/>
        <v/>
      </c>
      <c r="CY63" s="392"/>
    </row>
    <row r="64" spans="1:103" x14ac:dyDescent="0.25">
      <c r="A64" s="81" t="s">
        <v>106</v>
      </c>
      <c r="B64" s="82" t="s">
        <v>131</v>
      </c>
      <c r="C64" s="83" t="s">
        <v>351</v>
      </c>
      <c r="D64" s="84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654">
        <f>'2022-23 Input'!F64</f>
        <v>0</v>
      </c>
      <c r="N64" s="1065">
        <v>0</v>
      </c>
      <c r="O64" s="560">
        <f t="shared" si="27"/>
        <v>0</v>
      </c>
      <c r="P64" s="561">
        <f t="shared" si="0"/>
        <v>0</v>
      </c>
      <c r="Q64" s="561">
        <f t="shared" si="1"/>
        <v>0</v>
      </c>
      <c r="R64" s="561">
        <f t="shared" si="2"/>
        <v>0</v>
      </c>
      <c r="S64" s="561">
        <f t="shared" si="3"/>
        <v>0</v>
      </c>
      <c r="T64" s="561">
        <f t="shared" si="4"/>
        <v>0</v>
      </c>
      <c r="U64" s="561">
        <f t="shared" si="5"/>
        <v>0</v>
      </c>
      <c r="V64" s="561">
        <f t="shared" si="6"/>
        <v>0</v>
      </c>
      <c r="W64" s="675">
        <f t="shared" si="7"/>
        <v>0</v>
      </c>
      <c r="X64" s="675">
        <f t="shared" si="8"/>
        <v>0</v>
      </c>
      <c r="Y64" s="675">
        <f t="shared" si="8"/>
        <v>0</v>
      </c>
      <c r="Z64" s="86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1094">
        <f>'2022-23 Input'!M64</f>
        <v>0</v>
      </c>
      <c r="AJ64" s="665">
        <v>0</v>
      </c>
      <c r="AK64" s="127">
        <f t="shared" si="63"/>
        <v>0</v>
      </c>
      <c r="AL64" s="128">
        <f t="shared" si="64"/>
        <v>0</v>
      </c>
      <c r="AM64" s="129">
        <f t="shared" si="65"/>
        <v>0</v>
      </c>
      <c r="AN64" s="91" t="str">
        <f t="shared" si="66"/>
        <v/>
      </c>
      <c r="AO64" s="92" t="str">
        <f t="shared" si="67"/>
        <v/>
      </c>
      <c r="AP64" s="92" t="str">
        <f t="shared" si="68"/>
        <v/>
      </c>
      <c r="AQ64" s="92" t="str">
        <f t="shared" si="69"/>
        <v/>
      </c>
      <c r="AR64" s="92" t="str">
        <f t="shared" si="70"/>
        <v/>
      </c>
      <c r="AS64" s="92" t="str">
        <f t="shared" si="71"/>
        <v/>
      </c>
      <c r="AT64" s="92" t="str">
        <f t="shared" si="72"/>
        <v/>
      </c>
      <c r="AU64" s="92" t="str">
        <f t="shared" si="73"/>
        <v/>
      </c>
      <c r="AV64" s="92" t="str">
        <f t="shared" si="96"/>
        <v/>
      </c>
      <c r="AW64" s="92" t="str">
        <f t="shared" si="96"/>
        <v/>
      </c>
      <c r="AX64" s="92" t="str">
        <f t="shared" si="96"/>
        <v/>
      </c>
      <c r="AY64" s="93" t="str">
        <f t="shared" si="75"/>
        <v/>
      </c>
      <c r="AZ64" s="94" t="str">
        <f t="shared" si="76"/>
        <v/>
      </c>
      <c r="BA64" s="95" t="str">
        <f t="shared" si="77"/>
        <v/>
      </c>
      <c r="BB64" s="248" t="s">
        <v>422</v>
      </c>
      <c r="BC64" s="229" t="s">
        <v>433</v>
      </c>
      <c r="BD64" s="249">
        <v>0</v>
      </c>
      <c r="BE64" s="267">
        <f t="shared" si="28"/>
        <v>0</v>
      </c>
      <c r="BF64" s="268">
        <f t="shared" ref="BF64:BL64" si="106">IF(BF$6=$BB64,1,
IF(BE64&lt;&gt;0,BE64+1,0
))</f>
        <v>0</v>
      </c>
      <c r="BG64" s="268">
        <f t="shared" si="106"/>
        <v>0</v>
      </c>
      <c r="BH64" s="268">
        <f t="shared" si="106"/>
        <v>1</v>
      </c>
      <c r="BI64" s="268">
        <f t="shared" si="106"/>
        <v>2</v>
      </c>
      <c r="BJ64" s="268">
        <f t="shared" si="106"/>
        <v>3</v>
      </c>
      <c r="BK64" s="268">
        <f t="shared" si="106"/>
        <v>4</v>
      </c>
      <c r="BL64" s="269">
        <f t="shared" si="106"/>
        <v>5</v>
      </c>
      <c r="BM64" s="256">
        <f>IF($BC64=Lookup!$A$2,$BD64*ROUNDUP(BE64/10,0)+1,
IF($BC64=Lookup!$A$3,($BD64+1)^BD64,
IF($BC64=Lookup!$A$4,BE64*$BD64+1,"Error")))</f>
        <v>1</v>
      </c>
      <c r="BN64" s="229">
        <f>IF($BC64=Lookup!$A$2,$BD64*ROUNDUP(BF64/10,0)+1,
IF($BC64=Lookup!$A$3,($BD64+1)^BE64,
IF($BC64=Lookup!$A$4,BF64*$BD64+1,"Error")))</f>
        <v>1</v>
      </c>
      <c r="BO64" s="229">
        <f>IF($BC64=Lookup!$A$2,$BD64*ROUNDUP(BG64/10,0)+1,
IF($BC64=Lookup!$A$3,($BD64+1)^BF64,
IF($BC64=Lookup!$A$4,BG64*$BD64+1,"Error")))</f>
        <v>1</v>
      </c>
      <c r="BP64" s="229">
        <f>IF($BC64=Lookup!$A$2,$BD64*ROUNDUP(BH64/10,0)+1,
IF($BC64=Lookup!$A$3,($BD64+1)^BG64,
IF($BC64=Lookup!$A$4,BH64*$BD64+1,"Error")))</f>
        <v>1</v>
      </c>
      <c r="BQ64" s="229">
        <f>IF($BC64=Lookup!$A$2,$BD64*ROUNDUP(BI64/10,0)+1,
IF($BC64=Lookup!$A$3,($BD64+1)^BH64,
IF($BC64=Lookup!$A$4,BI64*$BD64+1,"Error")))</f>
        <v>1</v>
      </c>
      <c r="BR64" s="229">
        <f>IF($BC64=Lookup!$A$2,$BD64*ROUNDUP(BJ64/10,0)+1,
IF($BC64=Lookup!$A$3,($BD64+1)^BI64,
IF($BC64=Lookup!$A$4,BJ64*$BD64+1,"Error")))</f>
        <v>1</v>
      </c>
      <c r="BS64" s="229">
        <f>IF($BC64=Lookup!$A$2,$BD64*ROUNDUP(BK64/10,0)+1,
IF($BC64=Lookup!$A$3,($BD64+1)^BJ64,
IF($BC64=Lookup!$A$4,BK64*$BD64+1,"Error")))</f>
        <v>1</v>
      </c>
      <c r="BT64" s="249">
        <f>IF($BC64=Lookup!$A$2,$BD64*ROUNDUP(BL64/10,0)+1,
IF($BC64=Lookup!$A$3,($BD64+1)^BK64,
IF($BC64=Lookup!$A$4,BL64*$BD64+1,"Error")))</f>
        <v>1</v>
      </c>
      <c r="BU64" s="320"/>
      <c r="BV64" s="321"/>
      <c r="BW64" s="321"/>
      <c r="BX64" s="321"/>
      <c r="BY64" s="321"/>
      <c r="BZ64" s="321"/>
      <c r="CA64" s="321"/>
      <c r="CB64" s="277"/>
      <c r="CC64" s="382" t="s">
        <v>293</v>
      </c>
      <c r="CD64" s="383">
        <f>HLOOKUP($CC64,$AK$6:$AM$132,ROWS(CD$6:CD64),0)</f>
        <v>0</v>
      </c>
      <c r="CE64" s="239">
        <f t="shared" si="30"/>
        <v>0</v>
      </c>
      <c r="CF64" s="140">
        <f t="shared" si="30"/>
        <v>0</v>
      </c>
      <c r="CG64" s="140">
        <f t="shared" si="30"/>
        <v>0</v>
      </c>
      <c r="CH64" s="140">
        <f t="shared" si="30"/>
        <v>0</v>
      </c>
      <c r="CI64" s="140">
        <f t="shared" si="84"/>
        <v>0</v>
      </c>
      <c r="CJ64" s="140">
        <f t="shared" si="84"/>
        <v>0</v>
      </c>
      <c r="CK64" s="140">
        <f t="shared" si="84"/>
        <v>0</v>
      </c>
      <c r="CL64" s="291">
        <f t="shared" si="84"/>
        <v>0</v>
      </c>
      <c r="CM64" s="305" t="s">
        <v>293</v>
      </c>
      <c r="CN64" s="315">
        <v>0</v>
      </c>
      <c r="CO64" s="306"/>
      <c r="CP64" s="307" t="str">
        <f>IF($CO64&lt;&gt;"",$CO64,HLOOKUP($CM64,$AY$6:$BA$132,ROWS(CP$6:CP64),0))</f>
        <v/>
      </c>
      <c r="CQ64" s="784" t="str">
        <f t="shared" si="79"/>
        <v/>
      </c>
      <c r="CR64" s="784" t="str">
        <f t="shared" si="79"/>
        <v/>
      </c>
      <c r="CS64" s="97" t="str">
        <f t="shared" si="79"/>
        <v/>
      </c>
      <c r="CT64" s="97" t="str">
        <f t="shared" si="79"/>
        <v/>
      </c>
      <c r="CU64" s="97" t="str">
        <f t="shared" si="79"/>
        <v/>
      </c>
      <c r="CV64" s="97" t="str">
        <f t="shared" si="79"/>
        <v/>
      </c>
      <c r="CW64" s="97" t="str">
        <f t="shared" si="79"/>
        <v/>
      </c>
      <c r="CX64" s="98" t="str">
        <f t="shared" si="62"/>
        <v/>
      </c>
      <c r="CY64" s="392"/>
    </row>
    <row r="65" spans="1:103" x14ac:dyDescent="0.25">
      <c r="A65" s="81" t="s">
        <v>106</v>
      </c>
      <c r="B65" s="82" t="s">
        <v>133</v>
      </c>
      <c r="C65" s="83" t="s">
        <v>353</v>
      </c>
      <c r="D65" s="84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654">
        <f>'2022-23 Input'!F65</f>
        <v>0</v>
      </c>
      <c r="N65" s="1065">
        <v>0</v>
      </c>
      <c r="O65" s="560">
        <f t="shared" si="27"/>
        <v>0</v>
      </c>
      <c r="P65" s="561">
        <f t="shared" si="0"/>
        <v>0</v>
      </c>
      <c r="Q65" s="561">
        <f t="shared" si="1"/>
        <v>0</v>
      </c>
      <c r="R65" s="561">
        <f t="shared" si="2"/>
        <v>0</v>
      </c>
      <c r="S65" s="561">
        <f t="shared" si="3"/>
        <v>0</v>
      </c>
      <c r="T65" s="561">
        <f t="shared" si="4"/>
        <v>0</v>
      </c>
      <c r="U65" s="561">
        <f t="shared" si="5"/>
        <v>0</v>
      </c>
      <c r="V65" s="561">
        <f t="shared" si="6"/>
        <v>0</v>
      </c>
      <c r="W65" s="675">
        <f t="shared" si="7"/>
        <v>0</v>
      </c>
      <c r="X65" s="675">
        <f t="shared" si="8"/>
        <v>0</v>
      </c>
      <c r="Y65" s="675">
        <f t="shared" si="8"/>
        <v>0</v>
      </c>
      <c r="Z65" s="86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1094">
        <f>'2022-23 Input'!M65</f>
        <v>0</v>
      </c>
      <c r="AJ65" s="665">
        <v>0</v>
      </c>
      <c r="AK65" s="127">
        <f t="shared" si="63"/>
        <v>0</v>
      </c>
      <c r="AL65" s="128">
        <f t="shared" si="64"/>
        <v>0</v>
      </c>
      <c r="AM65" s="129">
        <f t="shared" si="65"/>
        <v>0</v>
      </c>
      <c r="AN65" s="91" t="str">
        <f t="shared" si="66"/>
        <v/>
      </c>
      <c r="AO65" s="92" t="str">
        <f t="shared" si="67"/>
        <v/>
      </c>
      <c r="AP65" s="92" t="str">
        <f t="shared" si="68"/>
        <v/>
      </c>
      <c r="AQ65" s="92" t="str">
        <f t="shared" si="69"/>
        <v/>
      </c>
      <c r="AR65" s="92" t="str">
        <f t="shared" si="70"/>
        <v/>
      </c>
      <c r="AS65" s="92" t="str">
        <f t="shared" si="71"/>
        <v/>
      </c>
      <c r="AT65" s="92" t="str">
        <f t="shared" si="72"/>
        <v/>
      </c>
      <c r="AU65" s="92" t="str">
        <f t="shared" si="73"/>
        <v/>
      </c>
      <c r="AV65" s="92" t="str">
        <f t="shared" si="96"/>
        <v/>
      </c>
      <c r="AW65" s="92" t="str">
        <f t="shared" si="96"/>
        <v/>
      </c>
      <c r="AX65" s="92" t="str">
        <f t="shared" si="96"/>
        <v/>
      </c>
      <c r="AY65" s="93" t="str">
        <f t="shared" si="75"/>
        <v/>
      </c>
      <c r="AZ65" s="94" t="str">
        <f t="shared" si="76"/>
        <v/>
      </c>
      <c r="BA65" s="95" t="str">
        <f t="shared" si="77"/>
        <v/>
      </c>
      <c r="BB65" s="248" t="s">
        <v>422</v>
      </c>
      <c r="BC65" s="229" t="s">
        <v>433</v>
      </c>
      <c r="BD65" s="249">
        <v>0</v>
      </c>
      <c r="BE65" s="267">
        <f t="shared" si="28"/>
        <v>0</v>
      </c>
      <c r="BF65" s="268">
        <f t="shared" ref="BF65:BL65" si="107">IF(BF$6=$BB65,1,
IF(BE65&lt;&gt;0,BE65+1,0
))</f>
        <v>0</v>
      </c>
      <c r="BG65" s="268">
        <f t="shared" si="107"/>
        <v>0</v>
      </c>
      <c r="BH65" s="268">
        <f t="shared" si="107"/>
        <v>1</v>
      </c>
      <c r="BI65" s="268">
        <f t="shared" si="107"/>
        <v>2</v>
      </c>
      <c r="BJ65" s="268">
        <f t="shared" si="107"/>
        <v>3</v>
      </c>
      <c r="BK65" s="268">
        <f t="shared" si="107"/>
        <v>4</v>
      </c>
      <c r="BL65" s="269">
        <f t="shared" si="107"/>
        <v>5</v>
      </c>
      <c r="BM65" s="256">
        <f>IF($BC65=Lookup!$A$2,$BD65*ROUNDUP(BE65/10,0)+1,
IF($BC65=Lookup!$A$3,($BD65+1)^BD65,
IF($BC65=Lookup!$A$4,BE65*$BD65+1,"Error")))</f>
        <v>1</v>
      </c>
      <c r="BN65" s="229">
        <f>IF($BC65=Lookup!$A$2,$BD65*ROUNDUP(BF65/10,0)+1,
IF($BC65=Lookup!$A$3,($BD65+1)^BE65,
IF($BC65=Lookup!$A$4,BF65*$BD65+1,"Error")))</f>
        <v>1</v>
      </c>
      <c r="BO65" s="229">
        <f>IF($BC65=Lookup!$A$2,$BD65*ROUNDUP(BG65/10,0)+1,
IF($BC65=Lookup!$A$3,($BD65+1)^BF65,
IF($BC65=Lookup!$A$4,BG65*$BD65+1,"Error")))</f>
        <v>1</v>
      </c>
      <c r="BP65" s="229">
        <f>IF($BC65=Lookup!$A$2,$BD65*ROUNDUP(BH65/10,0)+1,
IF($BC65=Lookup!$A$3,($BD65+1)^BG65,
IF($BC65=Lookup!$A$4,BH65*$BD65+1,"Error")))</f>
        <v>1</v>
      </c>
      <c r="BQ65" s="229">
        <f>IF($BC65=Lookup!$A$2,$BD65*ROUNDUP(BI65/10,0)+1,
IF($BC65=Lookup!$A$3,($BD65+1)^BH65,
IF($BC65=Lookup!$A$4,BI65*$BD65+1,"Error")))</f>
        <v>1</v>
      </c>
      <c r="BR65" s="229">
        <f>IF($BC65=Lookup!$A$2,$BD65*ROUNDUP(BJ65/10,0)+1,
IF($BC65=Lookup!$A$3,($BD65+1)^BI65,
IF($BC65=Lookup!$A$4,BJ65*$BD65+1,"Error")))</f>
        <v>1</v>
      </c>
      <c r="BS65" s="229">
        <f>IF($BC65=Lookup!$A$2,$BD65*ROUNDUP(BK65/10,0)+1,
IF($BC65=Lookup!$A$3,($BD65+1)^BJ65,
IF($BC65=Lookup!$A$4,BK65*$BD65+1,"Error")))</f>
        <v>1</v>
      </c>
      <c r="BT65" s="249">
        <f>IF($BC65=Lookup!$A$2,$BD65*ROUNDUP(BL65/10,0)+1,
IF($BC65=Lookup!$A$3,($BD65+1)^BK65,
IF($BC65=Lookup!$A$4,BL65*$BD65+1,"Error")))</f>
        <v>1</v>
      </c>
      <c r="BU65" s="320"/>
      <c r="BV65" s="321"/>
      <c r="BW65" s="321"/>
      <c r="BX65" s="321"/>
      <c r="BY65" s="321"/>
      <c r="BZ65" s="321"/>
      <c r="CA65" s="321"/>
      <c r="CB65" s="277"/>
      <c r="CC65" s="382" t="s">
        <v>293</v>
      </c>
      <c r="CD65" s="383">
        <f>HLOOKUP($CC65,$AK$6:$AM$132,ROWS(CD$6:CD65),0)</f>
        <v>0</v>
      </c>
      <c r="CE65" s="239">
        <f t="shared" si="30"/>
        <v>0</v>
      </c>
      <c r="CF65" s="140">
        <f t="shared" si="30"/>
        <v>0</v>
      </c>
      <c r="CG65" s="140">
        <f t="shared" si="30"/>
        <v>0</v>
      </c>
      <c r="CH65" s="140">
        <f t="shared" si="30"/>
        <v>0</v>
      </c>
      <c r="CI65" s="140">
        <f t="shared" si="84"/>
        <v>0</v>
      </c>
      <c r="CJ65" s="140">
        <f t="shared" si="84"/>
        <v>0</v>
      </c>
      <c r="CK65" s="140">
        <f t="shared" si="84"/>
        <v>0</v>
      </c>
      <c r="CL65" s="291">
        <f t="shared" si="84"/>
        <v>0</v>
      </c>
      <c r="CM65" s="305" t="s">
        <v>293</v>
      </c>
      <c r="CN65" s="315">
        <v>0</v>
      </c>
      <c r="CO65" s="306"/>
      <c r="CP65" s="307" t="str">
        <f>IF($CO65&lt;&gt;"",$CO65,HLOOKUP($CM65,$AY$6:$BA$132,ROWS(CP$6:CP65),0))</f>
        <v/>
      </c>
      <c r="CQ65" s="784" t="str">
        <f t="shared" si="79"/>
        <v/>
      </c>
      <c r="CR65" s="784" t="str">
        <f t="shared" si="79"/>
        <v/>
      </c>
      <c r="CS65" s="97" t="str">
        <f t="shared" si="79"/>
        <v/>
      </c>
      <c r="CT65" s="97" t="str">
        <f t="shared" si="79"/>
        <v/>
      </c>
      <c r="CU65" s="97" t="str">
        <f t="shared" si="79"/>
        <v/>
      </c>
      <c r="CV65" s="97" t="str">
        <f t="shared" si="79"/>
        <v/>
      </c>
      <c r="CW65" s="97" t="str">
        <f t="shared" si="79"/>
        <v/>
      </c>
      <c r="CX65" s="98" t="str">
        <f t="shared" si="62"/>
        <v/>
      </c>
      <c r="CY65" s="392"/>
    </row>
    <row r="66" spans="1:103" ht="15.75" thickBot="1" x14ac:dyDescent="0.3">
      <c r="A66" s="100" t="s">
        <v>106</v>
      </c>
      <c r="B66" s="101" t="s">
        <v>827</v>
      </c>
      <c r="C66" s="102" t="s">
        <v>355</v>
      </c>
      <c r="D66" s="103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655">
        <f>'2022-23 Input'!F66</f>
        <v>0</v>
      </c>
      <c r="N66" s="1066">
        <v>0</v>
      </c>
      <c r="O66" s="563">
        <f t="shared" si="27"/>
        <v>0</v>
      </c>
      <c r="P66" s="564">
        <f t="shared" si="0"/>
        <v>0</v>
      </c>
      <c r="Q66" s="564">
        <f t="shared" si="1"/>
        <v>0</v>
      </c>
      <c r="R66" s="564">
        <f t="shared" si="2"/>
        <v>0</v>
      </c>
      <c r="S66" s="564">
        <f t="shared" si="3"/>
        <v>0</v>
      </c>
      <c r="T66" s="564">
        <f t="shared" si="4"/>
        <v>0</v>
      </c>
      <c r="U66" s="564">
        <f t="shared" si="5"/>
        <v>0</v>
      </c>
      <c r="V66" s="564">
        <f t="shared" si="6"/>
        <v>0</v>
      </c>
      <c r="W66" s="676">
        <f t="shared" si="7"/>
        <v>0</v>
      </c>
      <c r="X66" s="676">
        <f t="shared" si="8"/>
        <v>0</v>
      </c>
      <c r="Y66" s="676">
        <f t="shared" si="8"/>
        <v>0</v>
      </c>
      <c r="Z66" s="105">
        <v>0</v>
      </c>
      <c r="AA66" s="106">
        <v>0</v>
      </c>
      <c r="AB66" s="106">
        <v>0</v>
      </c>
      <c r="AC66" s="106">
        <v>0</v>
      </c>
      <c r="AD66" s="106">
        <v>0</v>
      </c>
      <c r="AE66" s="106">
        <v>0</v>
      </c>
      <c r="AF66" s="106">
        <v>0</v>
      </c>
      <c r="AG66" s="106">
        <v>0</v>
      </c>
      <c r="AH66" s="106">
        <v>0</v>
      </c>
      <c r="AI66" s="1095">
        <f>'2022-23 Input'!M66</f>
        <v>0</v>
      </c>
      <c r="AJ66" s="666">
        <v>0</v>
      </c>
      <c r="AK66" s="133">
        <f t="shared" si="63"/>
        <v>0</v>
      </c>
      <c r="AL66" s="134">
        <f t="shared" si="64"/>
        <v>0</v>
      </c>
      <c r="AM66" s="135">
        <f t="shared" si="65"/>
        <v>0</v>
      </c>
      <c r="AN66" s="110" t="str">
        <f t="shared" si="66"/>
        <v/>
      </c>
      <c r="AO66" s="111" t="str">
        <f t="shared" si="67"/>
        <v/>
      </c>
      <c r="AP66" s="111" t="str">
        <f t="shared" si="68"/>
        <v/>
      </c>
      <c r="AQ66" s="111" t="str">
        <f t="shared" si="69"/>
        <v/>
      </c>
      <c r="AR66" s="111" t="str">
        <f t="shared" si="70"/>
        <v/>
      </c>
      <c r="AS66" s="111" t="str">
        <f t="shared" si="71"/>
        <v/>
      </c>
      <c r="AT66" s="111" t="str">
        <f t="shared" si="72"/>
        <v/>
      </c>
      <c r="AU66" s="111" t="str">
        <f t="shared" si="73"/>
        <v/>
      </c>
      <c r="AV66" s="111" t="str">
        <f t="shared" si="96"/>
        <v/>
      </c>
      <c r="AW66" s="111" t="str">
        <f t="shared" si="96"/>
        <v/>
      </c>
      <c r="AX66" s="111" t="str">
        <f t="shared" si="96"/>
        <v/>
      </c>
      <c r="AY66" s="112" t="str">
        <f t="shared" si="75"/>
        <v/>
      </c>
      <c r="AZ66" s="113" t="str">
        <f t="shared" si="76"/>
        <v/>
      </c>
      <c r="BA66" s="114" t="str">
        <f t="shared" si="77"/>
        <v/>
      </c>
      <c r="BB66" s="250" t="s">
        <v>422</v>
      </c>
      <c r="BC66" s="230" t="s">
        <v>433</v>
      </c>
      <c r="BD66" s="251">
        <v>0</v>
      </c>
      <c r="BE66" s="270">
        <f t="shared" si="28"/>
        <v>0</v>
      </c>
      <c r="BF66" s="271">
        <f t="shared" ref="BF66:BL66" si="108">IF(BF$6=$BB66,1,
IF(BE66&lt;&gt;0,BE66+1,0
))</f>
        <v>0</v>
      </c>
      <c r="BG66" s="271">
        <f t="shared" si="108"/>
        <v>0</v>
      </c>
      <c r="BH66" s="271">
        <f t="shared" si="108"/>
        <v>1</v>
      </c>
      <c r="BI66" s="271">
        <f t="shared" si="108"/>
        <v>2</v>
      </c>
      <c r="BJ66" s="271">
        <f t="shared" si="108"/>
        <v>3</v>
      </c>
      <c r="BK66" s="271">
        <f t="shared" si="108"/>
        <v>4</v>
      </c>
      <c r="BL66" s="272">
        <f t="shared" si="108"/>
        <v>5</v>
      </c>
      <c r="BM66" s="257">
        <f>IF($BC66=Lookup!$A$2,$BD66*ROUNDUP(BE66/10,0)+1,
IF($BC66=Lookup!$A$3,($BD66+1)^BD66,
IF($BC66=Lookup!$A$4,BE66*$BD66+1,"Error")))</f>
        <v>1</v>
      </c>
      <c r="BN66" s="230">
        <f>IF($BC66=Lookup!$A$2,$BD66*ROUNDUP(BF66/10,0)+1,
IF($BC66=Lookup!$A$3,($BD66+1)^BE66,
IF($BC66=Lookup!$A$4,BF66*$BD66+1,"Error")))</f>
        <v>1</v>
      </c>
      <c r="BO66" s="230">
        <f>IF($BC66=Lookup!$A$2,$BD66*ROUNDUP(BG66/10,0)+1,
IF($BC66=Lookup!$A$3,($BD66+1)^BF66,
IF($BC66=Lookup!$A$4,BG66*$BD66+1,"Error")))</f>
        <v>1</v>
      </c>
      <c r="BP66" s="230">
        <f>IF($BC66=Lookup!$A$2,$BD66*ROUNDUP(BH66/10,0)+1,
IF($BC66=Lookup!$A$3,($BD66+1)^BG66,
IF($BC66=Lookup!$A$4,BH66*$BD66+1,"Error")))</f>
        <v>1</v>
      </c>
      <c r="BQ66" s="230">
        <f>IF($BC66=Lookup!$A$2,$BD66*ROUNDUP(BI66/10,0)+1,
IF($BC66=Lookup!$A$3,($BD66+1)^BH66,
IF($BC66=Lookup!$A$4,BI66*$BD66+1,"Error")))</f>
        <v>1</v>
      </c>
      <c r="BR66" s="230">
        <f>IF($BC66=Lookup!$A$2,$BD66*ROUNDUP(BJ66/10,0)+1,
IF($BC66=Lookup!$A$3,($BD66+1)^BI66,
IF($BC66=Lookup!$A$4,BJ66*$BD66+1,"Error")))</f>
        <v>1</v>
      </c>
      <c r="BS66" s="230">
        <f>IF($BC66=Lookup!$A$2,$BD66*ROUNDUP(BK66/10,0)+1,
IF($BC66=Lookup!$A$3,($BD66+1)^BJ66,
IF($BC66=Lookup!$A$4,BK66*$BD66+1,"Error")))</f>
        <v>1</v>
      </c>
      <c r="BT66" s="251">
        <f>IF($BC66=Lookup!$A$2,$BD66*ROUNDUP(BL66/10,0)+1,
IF($BC66=Lookup!$A$3,($BD66+1)^BK66,
IF($BC66=Lookup!$A$4,BL66*$BD66+1,"Error")))</f>
        <v>1</v>
      </c>
      <c r="BU66" s="322"/>
      <c r="BV66" s="323"/>
      <c r="BW66" s="323"/>
      <c r="BX66" s="323"/>
      <c r="BY66" s="323"/>
      <c r="BZ66" s="323"/>
      <c r="CA66" s="323"/>
      <c r="CB66" s="278"/>
      <c r="CC66" s="384" t="s">
        <v>293</v>
      </c>
      <c r="CD66" s="385">
        <f>HLOOKUP($CC66,$AK$6:$AM$132,ROWS(CD$6:CD66),0)</f>
        <v>0</v>
      </c>
      <c r="CE66" s="240">
        <f t="shared" si="30"/>
        <v>0</v>
      </c>
      <c r="CF66" s="141">
        <f t="shared" si="30"/>
        <v>0</v>
      </c>
      <c r="CG66" s="141">
        <f t="shared" si="30"/>
        <v>0</v>
      </c>
      <c r="CH66" s="141">
        <f t="shared" si="30"/>
        <v>0</v>
      </c>
      <c r="CI66" s="141">
        <f t="shared" si="84"/>
        <v>0</v>
      </c>
      <c r="CJ66" s="141">
        <f t="shared" si="84"/>
        <v>0</v>
      </c>
      <c r="CK66" s="141">
        <f t="shared" si="84"/>
        <v>0</v>
      </c>
      <c r="CL66" s="292">
        <f t="shared" si="84"/>
        <v>0</v>
      </c>
      <c r="CM66" s="308" t="s">
        <v>293</v>
      </c>
      <c r="CN66" s="316">
        <v>0</v>
      </c>
      <c r="CO66" s="309"/>
      <c r="CP66" s="310" t="str">
        <f>IF($CO66&lt;&gt;"",$CO66,HLOOKUP($CM66,$AY$6:$BA$132,ROWS(CP$6:CP66),0))</f>
        <v/>
      </c>
      <c r="CQ66" s="785" t="str">
        <f t="shared" si="79"/>
        <v/>
      </c>
      <c r="CR66" s="785" t="str">
        <f t="shared" si="79"/>
        <v/>
      </c>
      <c r="CS66" s="117" t="str">
        <f t="shared" si="79"/>
        <v/>
      </c>
      <c r="CT66" s="117" t="str">
        <f t="shared" si="79"/>
        <v/>
      </c>
      <c r="CU66" s="117" t="str">
        <f t="shared" si="79"/>
        <v/>
      </c>
      <c r="CV66" s="117" t="str">
        <f t="shared" si="79"/>
        <v/>
      </c>
      <c r="CW66" s="117" t="str">
        <f t="shared" si="79"/>
        <v/>
      </c>
      <c r="CX66" s="118" t="str">
        <f t="shared" si="62"/>
        <v/>
      </c>
      <c r="CY66" s="393"/>
    </row>
    <row r="67" spans="1:103" x14ac:dyDescent="0.25">
      <c r="A67" s="142" t="s">
        <v>138</v>
      </c>
      <c r="B67" s="143" t="s">
        <v>135</v>
      </c>
      <c r="C67" s="65" t="s">
        <v>356</v>
      </c>
      <c r="D67" s="66">
        <v>4094712.9196933787</v>
      </c>
      <c r="E67" s="67">
        <v>6417973.0529036662</v>
      </c>
      <c r="F67" s="67">
        <v>4563227.7639454948</v>
      </c>
      <c r="G67" s="67">
        <v>4168777.58034071</v>
      </c>
      <c r="H67" s="67">
        <v>4611789.2207642449</v>
      </c>
      <c r="I67" s="67">
        <v>6821208.9547606222</v>
      </c>
      <c r="J67" s="67">
        <v>8612749.3614192996</v>
      </c>
      <c r="K67" s="67">
        <v>4932399.3100291425</v>
      </c>
      <c r="L67" s="67">
        <v>8454025.6989318077</v>
      </c>
      <c r="M67" s="653">
        <f>'2022-23 Input'!F67</f>
        <v>8625915.4408756066</v>
      </c>
      <c r="N67" s="1064">
        <v>8388218.0388263064</v>
      </c>
      <c r="O67" s="557">
        <f t="shared" si="27"/>
        <v>5509257.3731382685</v>
      </c>
      <c r="P67" s="558">
        <f t="shared" si="0"/>
        <v>8506579.946193343</v>
      </c>
      <c r="Q67" s="558">
        <f t="shared" si="1"/>
        <v>5986981.0545185516</v>
      </c>
      <c r="R67" s="558">
        <f t="shared" si="2"/>
        <v>5365703.4498892892</v>
      </c>
      <c r="S67" s="558">
        <f t="shared" si="3"/>
        <v>5815091.722098818</v>
      </c>
      <c r="T67" s="558">
        <f t="shared" si="4"/>
        <v>8466131.8603545539</v>
      </c>
      <c r="U67" s="558">
        <f t="shared" si="5"/>
        <v>10727075.751095966</v>
      </c>
      <c r="V67" s="558">
        <f t="shared" si="6"/>
        <v>5915716.4662795244</v>
      </c>
      <c r="W67" s="674">
        <f t="shared" si="7"/>
        <v>9552433.8739294149</v>
      </c>
      <c r="X67" s="674">
        <f t="shared" si="8"/>
        <v>9173324.0231456757</v>
      </c>
      <c r="Y67" s="674">
        <f t="shared" si="8"/>
        <v>8618881.2790653557</v>
      </c>
      <c r="Z67" s="68">
        <v>257</v>
      </c>
      <c r="AA67" s="69">
        <v>382</v>
      </c>
      <c r="AB67" s="69">
        <v>219</v>
      </c>
      <c r="AC67" s="69">
        <v>252</v>
      </c>
      <c r="AD67" s="69">
        <v>283</v>
      </c>
      <c r="AE67" s="69">
        <v>442</v>
      </c>
      <c r="AF67" s="69">
        <v>607</v>
      </c>
      <c r="AG67" s="69">
        <v>505</v>
      </c>
      <c r="AH67" s="69">
        <v>555</v>
      </c>
      <c r="AI67" s="1093">
        <f>'2022-23 Input'!M67</f>
        <v>371</v>
      </c>
      <c r="AJ67" s="664">
        <v>321</v>
      </c>
      <c r="AK67" s="70">
        <f t="shared" si="63"/>
        <v>496</v>
      </c>
      <c r="AL67" s="71">
        <f t="shared" si="64"/>
        <v>477</v>
      </c>
      <c r="AM67" s="72">
        <f t="shared" si="65"/>
        <v>371</v>
      </c>
      <c r="AN67" s="73">
        <f t="shared" si="66"/>
        <v>15932.735096083186</v>
      </c>
      <c r="AO67" s="74">
        <f t="shared" si="67"/>
        <v>16800.97657828185</v>
      </c>
      <c r="AP67" s="74">
        <f t="shared" si="68"/>
        <v>20836.656456372122</v>
      </c>
      <c r="AQ67" s="74">
        <f t="shared" si="69"/>
        <v>16542.7681759552</v>
      </c>
      <c r="AR67" s="74">
        <f t="shared" si="70"/>
        <v>16296.074985032668</v>
      </c>
      <c r="AS67" s="74">
        <f t="shared" si="71"/>
        <v>15432.599445159778</v>
      </c>
      <c r="AT67" s="74">
        <f t="shared" si="72"/>
        <v>14189.043429026853</v>
      </c>
      <c r="AU67" s="74">
        <f t="shared" si="73"/>
        <v>9767.1273465923623</v>
      </c>
      <c r="AV67" s="74">
        <f t="shared" si="96"/>
        <v>15232.478736814068</v>
      </c>
      <c r="AW67" s="74">
        <f t="shared" si="96"/>
        <v>23250.445932279265</v>
      </c>
      <c r="AX67" s="74">
        <f t="shared" si="96"/>
        <v>26131.520370175411</v>
      </c>
      <c r="AY67" s="75">
        <f t="shared" si="75"/>
        <v>15099.314018555031</v>
      </c>
      <c r="AZ67" s="76">
        <f t="shared" si="76"/>
        <v>15382.488085140852</v>
      </c>
      <c r="BA67" s="77">
        <f t="shared" si="77"/>
        <v>23250.445932279265</v>
      </c>
      <c r="BB67" s="246" t="s">
        <v>422</v>
      </c>
      <c r="BC67" s="228" t="s">
        <v>433</v>
      </c>
      <c r="BD67" s="247">
        <v>-0.68641947093438094</v>
      </c>
      <c r="BE67" s="264">
        <f t="shared" si="28"/>
        <v>0</v>
      </c>
      <c r="BF67" s="265">
        <f t="shared" ref="BF67:BL67" si="109">IF(BF$6=$BB67,1,
IF(BE67&lt;&gt;0,BE67+1,0
))</f>
        <v>0</v>
      </c>
      <c r="BG67" s="265">
        <f t="shared" si="109"/>
        <v>0</v>
      </c>
      <c r="BH67" s="265">
        <f t="shared" si="109"/>
        <v>1</v>
      </c>
      <c r="BI67" s="265">
        <f t="shared" si="109"/>
        <v>2</v>
      </c>
      <c r="BJ67" s="265">
        <f t="shared" si="109"/>
        <v>3</v>
      </c>
      <c r="BK67" s="265">
        <f t="shared" si="109"/>
        <v>4</v>
      </c>
      <c r="BL67" s="266">
        <f t="shared" si="109"/>
        <v>5</v>
      </c>
      <c r="BM67" s="255">
        <f>IF($BC67=Lookup!$A$2,$BD67*ROUNDUP(BE67/10,0)+1,
IF($BC67=Lookup!$A$3,($BD67+1)^BD67,
IF($BC67=Lookup!$A$4,BE67*$BD67+1,"Error")))</f>
        <v>1</v>
      </c>
      <c r="BN67" s="228">
        <f>IF($BC67=Lookup!$A$2,$BD67*ROUNDUP(BF67/10,0)+1,
IF($BC67=Lookup!$A$3,($BD67+1)^BE67,
IF($BC67=Lookup!$A$4,BF67*$BD67+1,"Error")))</f>
        <v>1</v>
      </c>
      <c r="BO67" s="228">
        <f>IF($BC67=Lookup!$A$2,$BD67*ROUNDUP(BG67/10,0)+1,
IF($BC67=Lookup!$A$3,($BD67+1)^BF67,
IF($BC67=Lookup!$A$4,BG67*$BD67+1,"Error")))</f>
        <v>1</v>
      </c>
      <c r="BP67" s="228">
        <f>IF($BC67=Lookup!$A$2,$BD67*ROUNDUP(BH67/10,0)+1,
IF($BC67=Lookup!$A$3,($BD67+1)^BG67,
IF($BC67=Lookup!$A$4,BH67*$BD67+1,"Error")))</f>
        <v>0.31358052906561906</v>
      </c>
      <c r="BQ67" s="228">
        <f>IF($BC67=Lookup!$A$2,$BD67*ROUNDUP(BI67/10,0)+1,
IF($BC67=Lookup!$A$3,($BD67+1)^BH67,
IF($BC67=Lookup!$A$4,BI67*$BD67+1,"Error")))</f>
        <v>0.31358052906561906</v>
      </c>
      <c r="BR67" s="228">
        <f>IF($BC67=Lookup!$A$2,$BD67*ROUNDUP(BJ67/10,0)+1,
IF($BC67=Lookup!$A$3,($BD67+1)^BI67,
IF($BC67=Lookup!$A$4,BJ67*$BD67+1,"Error")))</f>
        <v>0.31358052906561906</v>
      </c>
      <c r="BS67" s="228">
        <f>IF($BC67=Lookup!$A$2,$BD67*ROUNDUP(BK67/10,0)+1,
IF($BC67=Lookup!$A$3,($BD67+1)^BJ67,
IF($BC67=Lookup!$A$4,BK67*$BD67+1,"Error")))</f>
        <v>0.31358052906561906</v>
      </c>
      <c r="BT67" s="247">
        <f>IF($BC67=Lookup!$A$2,$BD67*ROUNDUP(BL67/10,0)+1,
IF($BC67=Lookup!$A$3,($BD67+1)^BK67,
IF($BC67=Lookup!$A$4,BL67*$BD67+1,"Error")))</f>
        <v>0.31358052906561906</v>
      </c>
      <c r="BU67" s="318"/>
      <c r="BV67" s="319"/>
      <c r="BW67" s="319"/>
      <c r="BX67" s="319"/>
      <c r="BY67" s="319"/>
      <c r="BZ67" s="319"/>
      <c r="CA67" s="319"/>
      <c r="CB67" s="276"/>
      <c r="CC67" s="380" t="s">
        <v>293</v>
      </c>
      <c r="CD67" s="381">
        <f>HLOOKUP($CC67,$AK$6:$AM$132,ROWS(CD$6:CD67),0)</f>
        <v>477</v>
      </c>
      <c r="CE67" s="233">
        <f t="shared" si="30"/>
        <v>477</v>
      </c>
      <c r="CF67" s="78">
        <f t="shared" si="30"/>
        <v>477</v>
      </c>
      <c r="CG67" s="78">
        <f t="shared" si="30"/>
        <v>477</v>
      </c>
      <c r="CH67" s="78">
        <f t="shared" si="30"/>
        <v>149.57791236430029</v>
      </c>
      <c r="CI67" s="78">
        <f t="shared" si="84"/>
        <v>149.57791236430029</v>
      </c>
      <c r="CJ67" s="78">
        <f t="shared" si="84"/>
        <v>149.57791236430029</v>
      </c>
      <c r="CK67" s="78">
        <f t="shared" si="84"/>
        <v>149.57791236430029</v>
      </c>
      <c r="CL67" s="285">
        <f t="shared" si="84"/>
        <v>149.57791236430029</v>
      </c>
      <c r="CM67" s="302" t="s">
        <v>293</v>
      </c>
      <c r="CN67" s="314">
        <v>0</v>
      </c>
      <c r="CO67" s="303"/>
      <c r="CP67" s="304">
        <f>IF($CO67&lt;&gt;"",$CO67,HLOOKUP($CM67,$AY$6:$BA$132,ROWS(CP$6:CP67),0))</f>
        <v>15382.488085140852</v>
      </c>
      <c r="CQ67" s="783">
        <f t="shared" si="79"/>
        <v>7337446.8166121868</v>
      </c>
      <c r="CR67" s="783">
        <f t="shared" si="79"/>
        <v>7337446.8166121868</v>
      </c>
      <c r="CS67" s="79">
        <f t="shared" si="79"/>
        <v>7337446.8166121868</v>
      </c>
      <c r="CT67" s="79">
        <f t="shared" si="79"/>
        <v>2300880.4547440917</v>
      </c>
      <c r="CU67" s="79">
        <f t="shared" si="79"/>
        <v>2300880.4547440917</v>
      </c>
      <c r="CV67" s="79">
        <f t="shared" si="79"/>
        <v>2300880.4547440917</v>
      </c>
      <c r="CW67" s="79">
        <f t="shared" si="79"/>
        <v>2300880.4547440917</v>
      </c>
      <c r="CX67" s="80">
        <f t="shared" si="62"/>
        <v>2300880.4547440917</v>
      </c>
      <c r="CY67" s="391" t="s">
        <v>471</v>
      </c>
    </row>
    <row r="68" spans="1:103" x14ac:dyDescent="0.25">
      <c r="A68" s="81" t="s">
        <v>138</v>
      </c>
      <c r="B68" s="82" t="s">
        <v>139</v>
      </c>
      <c r="C68" s="83" t="s">
        <v>357</v>
      </c>
      <c r="D68" s="84">
        <v>87067.310168667755</v>
      </c>
      <c r="E68" s="85">
        <v>1048573.619252814</v>
      </c>
      <c r="F68" s="85">
        <v>156210.78892025407</v>
      </c>
      <c r="G68" s="85">
        <v>273425.67887264915</v>
      </c>
      <c r="H68" s="85">
        <v>19037.235836391897</v>
      </c>
      <c r="I68" s="85">
        <v>377376.36018495396</v>
      </c>
      <c r="J68" s="85">
        <v>958344.29632672702</v>
      </c>
      <c r="K68" s="85">
        <v>857898.76806176698</v>
      </c>
      <c r="L68" s="85">
        <v>487597.46221934911</v>
      </c>
      <c r="M68" s="654">
        <f>'2022-23 Input'!F68</f>
        <v>576893.3795640734</v>
      </c>
      <c r="N68" s="1065">
        <v>627946.26984784601</v>
      </c>
      <c r="O68" s="560">
        <f t="shared" si="27"/>
        <v>117145.26266275307</v>
      </c>
      <c r="P68" s="561">
        <f t="shared" si="0"/>
        <v>1389811.8998190265</v>
      </c>
      <c r="Q68" s="561">
        <f t="shared" si="1"/>
        <v>204949.45292152819</v>
      </c>
      <c r="R68" s="561">
        <f t="shared" si="2"/>
        <v>351930.77110518044</v>
      </c>
      <c r="S68" s="561">
        <f t="shared" si="3"/>
        <v>24004.408533115969</v>
      </c>
      <c r="T68" s="561">
        <f t="shared" si="4"/>
        <v>468380.02581297472</v>
      </c>
      <c r="U68" s="561">
        <f t="shared" si="5"/>
        <v>1193606.2958452879</v>
      </c>
      <c r="V68" s="561">
        <f t="shared" si="6"/>
        <v>1028928.4280582563</v>
      </c>
      <c r="W68" s="675">
        <f t="shared" si="7"/>
        <v>550949.65177769086</v>
      </c>
      <c r="X68" s="675">
        <f t="shared" si="8"/>
        <v>613503.56768760807</v>
      </c>
      <c r="Y68" s="675">
        <f t="shared" si="8"/>
        <v>645213.83736083773</v>
      </c>
      <c r="Z68" s="86">
        <v>1</v>
      </c>
      <c r="AA68" s="87">
        <v>10</v>
      </c>
      <c r="AB68" s="87">
        <v>1</v>
      </c>
      <c r="AC68" s="87">
        <v>2</v>
      </c>
      <c r="AD68" s="87">
        <v>0</v>
      </c>
      <c r="AE68" s="87">
        <v>3</v>
      </c>
      <c r="AF68" s="87">
        <v>9</v>
      </c>
      <c r="AG68" s="87">
        <v>10</v>
      </c>
      <c r="AH68" s="87">
        <v>6</v>
      </c>
      <c r="AI68" s="1094">
        <f>'2022-23 Input'!M68</f>
        <v>4</v>
      </c>
      <c r="AJ68" s="665">
        <v>8</v>
      </c>
      <c r="AK68" s="88">
        <f t="shared" si="63"/>
        <v>6.4</v>
      </c>
      <c r="AL68" s="89">
        <f t="shared" si="64"/>
        <v>6.666666666666667</v>
      </c>
      <c r="AM68" s="90">
        <f t="shared" si="65"/>
        <v>4</v>
      </c>
      <c r="AN68" s="91">
        <f t="shared" si="66"/>
        <v>87067.310168667755</v>
      </c>
      <c r="AO68" s="92">
        <f t="shared" si="67"/>
        <v>104857.3619252814</v>
      </c>
      <c r="AP68" s="92">
        <f t="shared" si="68"/>
        <v>156210.78892025407</v>
      </c>
      <c r="AQ68" s="92">
        <f t="shared" si="69"/>
        <v>136712.83943632458</v>
      </c>
      <c r="AR68" s="92" t="str">
        <f t="shared" si="70"/>
        <v/>
      </c>
      <c r="AS68" s="92">
        <f t="shared" si="71"/>
        <v>125792.12006165132</v>
      </c>
      <c r="AT68" s="92">
        <f t="shared" si="72"/>
        <v>106482.69959185856</v>
      </c>
      <c r="AU68" s="92">
        <f t="shared" si="73"/>
        <v>85789.876806176704</v>
      </c>
      <c r="AV68" s="92">
        <f t="shared" si="96"/>
        <v>81266.243703224856</v>
      </c>
      <c r="AW68" s="92">
        <f t="shared" si="96"/>
        <v>144223.34489101835</v>
      </c>
      <c r="AX68" s="92">
        <f t="shared" si="96"/>
        <v>78493.283730980751</v>
      </c>
      <c r="AY68" s="93">
        <f t="shared" si="75"/>
        <v>101815.9458236522</v>
      </c>
      <c r="AZ68" s="94">
        <f t="shared" si="76"/>
        <v>96119.480492259463</v>
      </c>
      <c r="BA68" s="95">
        <f t="shared" si="77"/>
        <v>144223.34489101835</v>
      </c>
      <c r="BB68" s="248" t="s">
        <v>422</v>
      </c>
      <c r="BC68" s="229" t="s">
        <v>433</v>
      </c>
      <c r="BD68" s="249">
        <v>-0.68641947093438094</v>
      </c>
      <c r="BE68" s="267">
        <f t="shared" si="28"/>
        <v>0</v>
      </c>
      <c r="BF68" s="268">
        <f t="shared" ref="BF68:BL68" si="110">IF(BF$6=$BB68,1,
IF(BE68&lt;&gt;0,BE68+1,0
))</f>
        <v>0</v>
      </c>
      <c r="BG68" s="268">
        <f t="shared" si="110"/>
        <v>0</v>
      </c>
      <c r="BH68" s="268">
        <f t="shared" si="110"/>
        <v>1</v>
      </c>
      <c r="BI68" s="268">
        <f t="shared" si="110"/>
        <v>2</v>
      </c>
      <c r="BJ68" s="268">
        <f t="shared" si="110"/>
        <v>3</v>
      </c>
      <c r="BK68" s="268">
        <f t="shared" si="110"/>
        <v>4</v>
      </c>
      <c r="BL68" s="269">
        <f t="shared" si="110"/>
        <v>5</v>
      </c>
      <c r="BM68" s="256">
        <f>IF($BC68=Lookup!$A$2,$BD68*ROUNDUP(BE68/10,0)+1,
IF($BC68=Lookup!$A$3,($BD68+1)^BD68,
IF($BC68=Lookup!$A$4,BE68*$BD68+1,"Error")))</f>
        <v>1</v>
      </c>
      <c r="BN68" s="229">
        <f>IF($BC68=Lookup!$A$2,$BD68*ROUNDUP(BF68/10,0)+1,
IF($BC68=Lookup!$A$3,($BD68+1)^BE68,
IF($BC68=Lookup!$A$4,BF68*$BD68+1,"Error")))</f>
        <v>1</v>
      </c>
      <c r="BO68" s="229">
        <f>IF($BC68=Lookup!$A$2,$BD68*ROUNDUP(BG68/10,0)+1,
IF($BC68=Lookup!$A$3,($BD68+1)^BF68,
IF($BC68=Lookup!$A$4,BG68*$BD68+1,"Error")))</f>
        <v>1</v>
      </c>
      <c r="BP68" s="229">
        <f>IF($BC68=Lookup!$A$2,$BD68*ROUNDUP(BH68/10,0)+1,
IF($BC68=Lookup!$A$3,($BD68+1)^BG68,
IF($BC68=Lookup!$A$4,BH68*$BD68+1,"Error")))</f>
        <v>0.31358052906561906</v>
      </c>
      <c r="BQ68" s="229">
        <f>IF($BC68=Lookup!$A$2,$BD68*ROUNDUP(BI68/10,0)+1,
IF($BC68=Lookup!$A$3,($BD68+1)^BH68,
IF($BC68=Lookup!$A$4,BI68*$BD68+1,"Error")))</f>
        <v>0.31358052906561906</v>
      </c>
      <c r="BR68" s="229">
        <f>IF($BC68=Lookup!$A$2,$BD68*ROUNDUP(BJ68/10,0)+1,
IF($BC68=Lookup!$A$3,($BD68+1)^BI68,
IF($BC68=Lookup!$A$4,BJ68*$BD68+1,"Error")))</f>
        <v>0.31358052906561906</v>
      </c>
      <c r="BS68" s="229">
        <f>IF($BC68=Lookup!$A$2,$BD68*ROUNDUP(BK68/10,0)+1,
IF($BC68=Lookup!$A$3,($BD68+1)^BJ68,
IF($BC68=Lookup!$A$4,BK68*$BD68+1,"Error")))</f>
        <v>0.31358052906561906</v>
      </c>
      <c r="BT68" s="249">
        <f>IF($BC68=Lookup!$A$2,$BD68*ROUNDUP(BL68/10,0)+1,
IF($BC68=Lookup!$A$3,($BD68+1)^BK68,
IF($BC68=Lookup!$A$4,BL68*$BD68+1,"Error")))</f>
        <v>0.31358052906561906</v>
      </c>
      <c r="BU68" s="320"/>
      <c r="BV68" s="321"/>
      <c r="BW68" s="321"/>
      <c r="BX68" s="321"/>
      <c r="BY68" s="321"/>
      <c r="BZ68" s="321"/>
      <c r="CA68" s="321"/>
      <c r="CB68" s="277"/>
      <c r="CC68" s="382" t="s">
        <v>293</v>
      </c>
      <c r="CD68" s="383">
        <f>HLOOKUP($CC68,$AK$6:$AM$132,ROWS(CD$6:CD68),0)</f>
        <v>6.666666666666667</v>
      </c>
      <c r="CE68" s="234">
        <f t="shared" si="30"/>
        <v>6.666666666666667</v>
      </c>
      <c r="CF68" s="96">
        <f t="shared" si="30"/>
        <v>6.666666666666667</v>
      </c>
      <c r="CG68" s="96">
        <f t="shared" si="30"/>
        <v>6.666666666666667</v>
      </c>
      <c r="CH68" s="96">
        <f t="shared" si="30"/>
        <v>2.0905368604374606</v>
      </c>
      <c r="CI68" s="96">
        <f t="shared" si="84"/>
        <v>2.0905368604374606</v>
      </c>
      <c r="CJ68" s="96">
        <f t="shared" si="84"/>
        <v>2.0905368604374606</v>
      </c>
      <c r="CK68" s="96">
        <f t="shared" si="84"/>
        <v>2.0905368604374606</v>
      </c>
      <c r="CL68" s="286">
        <f t="shared" si="84"/>
        <v>2.0905368604374606</v>
      </c>
      <c r="CM68" s="305" t="s">
        <v>293</v>
      </c>
      <c r="CN68" s="315">
        <v>0</v>
      </c>
      <c r="CO68" s="306"/>
      <c r="CP68" s="307">
        <f>IF($CO68&lt;&gt;"",$CO68,HLOOKUP($CM68,$AY$6:$BA$132,ROWS(CP$6:CP68),0))</f>
        <v>96119.480492259463</v>
      </c>
      <c r="CQ68" s="784">
        <f t="shared" si="79"/>
        <v>640796.53661506309</v>
      </c>
      <c r="CR68" s="784">
        <f t="shared" si="79"/>
        <v>640796.53661506309</v>
      </c>
      <c r="CS68" s="97">
        <f t="shared" si="79"/>
        <v>640796.53661506309</v>
      </c>
      <c r="CT68" s="97">
        <f t="shared" si="79"/>
        <v>200941.31697516784</v>
      </c>
      <c r="CU68" s="97">
        <f t="shared" si="79"/>
        <v>200941.31697516784</v>
      </c>
      <c r="CV68" s="97">
        <f t="shared" si="79"/>
        <v>200941.31697516784</v>
      </c>
      <c r="CW68" s="97">
        <f t="shared" si="79"/>
        <v>200941.31697516784</v>
      </c>
      <c r="CX68" s="98">
        <f t="shared" si="62"/>
        <v>200941.31697516784</v>
      </c>
      <c r="CY68" s="392"/>
    </row>
    <row r="69" spans="1:103" x14ac:dyDescent="0.25">
      <c r="A69" s="81" t="s">
        <v>138</v>
      </c>
      <c r="B69" s="82" t="s">
        <v>141</v>
      </c>
      <c r="C69" s="83" t="s">
        <v>358</v>
      </c>
      <c r="D69" s="84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85">
        <v>0</v>
      </c>
      <c r="L69" s="85">
        <v>0</v>
      </c>
      <c r="M69" s="654">
        <f>'2022-23 Input'!F69</f>
        <v>0</v>
      </c>
      <c r="N69" s="1065">
        <v>0</v>
      </c>
      <c r="O69" s="560">
        <f t="shared" si="27"/>
        <v>0</v>
      </c>
      <c r="P69" s="561">
        <f t="shared" si="0"/>
        <v>0</v>
      </c>
      <c r="Q69" s="561">
        <f t="shared" si="1"/>
        <v>0</v>
      </c>
      <c r="R69" s="561">
        <f t="shared" si="2"/>
        <v>0</v>
      </c>
      <c r="S69" s="561">
        <f t="shared" si="3"/>
        <v>0</v>
      </c>
      <c r="T69" s="561">
        <f t="shared" si="4"/>
        <v>0</v>
      </c>
      <c r="U69" s="561">
        <f t="shared" si="5"/>
        <v>0</v>
      </c>
      <c r="V69" s="561">
        <f t="shared" si="6"/>
        <v>0</v>
      </c>
      <c r="W69" s="675">
        <f t="shared" si="7"/>
        <v>0</v>
      </c>
      <c r="X69" s="675">
        <f t="shared" si="8"/>
        <v>0</v>
      </c>
      <c r="Y69" s="675">
        <f t="shared" si="8"/>
        <v>0</v>
      </c>
      <c r="Z69" s="86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87">
        <v>0</v>
      </c>
      <c r="AI69" s="1094">
        <f>'2022-23 Input'!M69</f>
        <v>0</v>
      </c>
      <c r="AJ69" s="665">
        <v>0</v>
      </c>
      <c r="AK69" s="88">
        <f t="shared" si="63"/>
        <v>0</v>
      </c>
      <c r="AL69" s="89">
        <f t="shared" si="64"/>
        <v>0</v>
      </c>
      <c r="AM69" s="90">
        <f t="shared" si="65"/>
        <v>0</v>
      </c>
      <c r="AN69" s="91" t="str">
        <f t="shared" si="66"/>
        <v/>
      </c>
      <c r="AO69" s="92" t="str">
        <f t="shared" si="67"/>
        <v/>
      </c>
      <c r="AP69" s="92" t="str">
        <f t="shared" si="68"/>
        <v/>
      </c>
      <c r="AQ69" s="92" t="str">
        <f t="shared" si="69"/>
        <v/>
      </c>
      <c r="AR69" s="92" t="str">
        <f t="shared" si="70"/>
        <v/>
      </c>
      <c r="AS69" s="92" t="str">
        <f t="shared" si="71"/>
        <v/>
      </c>
      <c r="AT69" s="92" t="str">
        <f t="shared" si="72"/>
        <v/>
      </c>
      <c r="AU69" s="92" t="str">
        <f t="shared" si="73"/>
        <v/>
      </c>
      <c r="AV69" s="92" t="str">
        <f t="shared" si="96"/>
        <v/>
      </c>
      <c r="AW69" s="92" t="str">
        <f t="shared" si="96"/>
        <v/>
      </c>
      <c r="AX69" s="92" t="str">
        <f t="shared" si="96"/>
        <v/>
      </c>
      <c r="AY69" s="93" t="str">
        <f t="shared" si="75"/>
        <v/>
      </c>
      <c r="AZ69" s="94" t="str">
        <f t="shared" si="76"/>
        <v/>
      </c>
      <c r="BA69" s="95" t="str">
        <f t="shared" si="77"/>
        <v/>
      </c>
      <c r="BB69" s="248" t="s">
        <v>422</v>
      </c>
      <c r="BC69" s="229" t="s">
        <v>433</v>
      </c>
      <c r="BD69" s="249">
        <v>-0.68641947093438094</v>
      </c>
      <c r="BE69" s="267">
        <f t="shared" si="28"/>
        <v>0</v>
      </c>
      <c r="BF69" s="268">
        <f t="shared" ref="BF69:BL69" si="111">IF(BF$6=$BB69,1,
IF(BE69&lt;&gt;0,BE69+1,0
))</f>
        <v>0</v>
      </c>
      <c r="BG69" s="268">
        <f t="shared" si="111"/>
        <v>0</v>
      </c>
      <c r="BH69" s="268">
        <f t="shared" si="111"/>
        <v>1</v>
      </c>
      <c r="BI69" s="268">
        <f t="shared" si="111"/>
        <v>2</v>
      </c>
      <c r="BJ69" s="268">
        <f t="shared" si="111"/>
        <v>3</v>
      </c>
      <c r="BK69" s="268">
        <f t="shared" si="111"/>
        <v>4</v>
      </c>
      <c r="BL69" s="269">
        <f t="shared" si="111"/>
        <v>5</v>
      </c>
      <c r="BM69" s="256">
        <f>IF($BC69=Lookup!$A$2,$BD69*ROUNDUP(BE69/10,0)+1,
IF($BC69=Lookup!$A$3,($BD69+1)^BD69,
IF($BC69=Lookup!$A$4,BE69*$BD69+1,"Error")))</f>
        <v>1</v>
      </c>
      <c r="BN69" s="229">
        <f>IF($BC69=Lookup!$A$2,$BD69*ROUNDUP(BF69/10,0)+1,
IF($BC69=Lookup!$A$3,($BD69+1)^BE69,
IF($BC69=Lookup!$A$4,BF69*$BD69+1,"Error")))</f>
        <v>1</v>
      </c>
      <c r="BO69" s="229">
        <f>IF($BC69=Lookup!$A$2,$BD69*ROUNDUP(BG69/10,0)+1,
IF($BC69=Lookup!$A$3,($BD69+1)^BF69,
IF($BC69=Lookup!$A$4,BG69*$BD69+1,"Error")))</f>
        <v>1</v>
      </c>
      <c r="BP69" s="229">
        <f>IF($BC69=Lookup!$A$2,$BD69*ROUNDUP(BH69/10,0)+1,
IF($BC69=Lookup!$A$3,($BD69+1)^BG69,
IF($BC69=Lookup!$A$4,BH69*$BD69+1,"Error")))</f>
        <v>0.31358052906561906</v>
      </c>
      <c r="BQ69" s="229">
        <f>IF($BC69=Lookup!$A$2,$BD69*ROUNDUP(BI69/10,0)+1,
IF($BC69=Lookup!$A$3,($BD69+1)^BH69,
IF($BC69=Lookup!$A$4,BI69*$BD69+1,"Error")))</f>
        <v>0.31358052906561906</v>
      </c>
      <c r="BR69" s="229">
        <f>IF($BC69=Lookup!$A$2,$BD69*ROUNDUP(BJ69/10,0)+1,
IF($BC69=Lookup!$A$3,($BD69+1)^BI69,
IF($BC69=Lookup!$A$4,BJ69*$BD69+1,"Error")))</f>
        <v>0.31358052906561906</v>
      </c>
      <c r="BS69" s="229">
        <f>IF($BC69=Lookup!$A$2,$BD69*ROUNDUP(BK69/10,0)+1,
IF($BC69=Lookup!$A$3,($BD69+1)^BJ69,
IF($BC69=Lookup!$A$4,BK69*$BD69+1,"Error")))</f>
        <v>0.31358052906561906</v>
      </c>
      <c r="BT69" s="249">
        <f>IF($BC69=Lookup!$A$2,$BD69*ROUNDUP(BL69/10,0)+1,
IF($BC69=Lookup!$A$3,($BD69+1)^BK69,
IF($BC69=Lookup!$A$4,BL69*$BD69+1,"Error")))</f>
        <v>0.31358052906561906</v>
      </c>
      <c r="BU69" s="320"/>
      <c r="BV69" s="321"/>
      <c r="BW69" s="321"/>
      <c r="BX69" s="321"/>
      <c r="BY69" s="321"/>
      <c r="BZ69" s="321"/>
      <c r="CA69" s="321"/>
      <c r="CB69" s="277"/>
      <c r="CC69" s="382" t="s">
        <v>293</v>
      </c>
      <c r="CD69" s="383">
        <f>HLOOKUP($CC69,$AK$6:$AM$132,ROWS(CD$6:CD69),0)</f>
        <v>0</v>
      </c>
      <c r="CE69" s="234">
        <f t="shared" si="30"/>
        <v>0</v>
      </c>
      <c r="CF69" s="96">
        <f t="shared" si="30"/>
        <v>0</v>
      </c>
      <c r="CG69" s="96">
        <f t="shared" si="30"/>
        <v>0</v>
      </c>
      <c r="CH69" s="96">
        <f t="shared" si="30"/>
        <v>0</v>
      </c>
      <c r="CI69" s="96">
        <f t="shared" si="84"/>
        <v>0</v>
      </c>
      <c r="CJ69" s="96">
        <f t="shared" si="84"/>
        <v>0</v>
      </c>
      <c r="CK69" s="96">
        <f t="shared" si="84"/>
        <v>0</v>
      </c>
      <c r="CL69" s="286">
        <f t="shared" si="84"/>
        <v>0</v>
      </c>
      <c r="CM69" s="305" t="s">
        <v>293</v>
      </c>
      <c r="CN69" s="315">
        <v>0</v>
      </c>
      <c r="CO69" s="306"/>
      <c r="CP69" s="307" t="str">
        <f>IF($CO69&lt;&gt;"",$CO69,HLOOKUP($CM69,$AY$6:$BA$132,ROWS(CP$6:CP69),0))</f>
        <v/>
      </c>
      <c r="CQ69" s="784" t="str">
        <f t="shared" si="79"/>
        <v/>
      </c>
      <c r="CR69" s="784" t="str">
        <f t="shared" si="79"/>
        <v/>
      </c>
      <c r="CS69" s="97" t="str">
        <f t="shared" si="79"/>
        <v/>
      </c>
      <c r="CT69" s="97" t="str">
        <f t="shared" si="79"/>
        <v/>
      </c>
      <c r="CU69" s="97" t="str">
        <f t="shared" si="79"/>
        <v/>
      </c>
      <c r="CV69" s="97" t="str">
        <f t="shared" si="79"/>
        <v/>
      </c>
      <c r="CW69" s="97" t="str">
        <f t="shared" si="79"/>
        <v/>
      </c>
      <c r="CX69" s="98" t="str">
        <f t="shared" si="62"/>
        <v/>
      </c>
      <c r="CY69" s="392"/>
    </row>
    <row r="70" spans="1:103" x14ac:dyDescent="0.25">
      <c r="A70" s="81" t="s">
        <v>138</v>
      </c>
      <c r="B70" s="82" t="s">
        <v>143</v>
      </c>
      <c r="C70" s="83" t="s">
        <v>359</v>
      </c>
      <c r="D70" s="84">
        <v>1743918.1772159026</v>
      </c>
      <c r="E70" s="85">
        <v>4134294.1535741859</v>
      </c>
      <c r="F70" s="85">
        <v>2643991.6742737042</v>
      </c>
      <c r="G70" s="85">
        <v>1481530.5368196808</v>
      </c>
      <c r="H70" s="85">
        <v>1927813.4984067949</v>
      </c>
      <c r="I70" s="85">
        <v>2544521.6083717467</v>
      </c>
      <c r="J70" s="85">
        <v>4354131.1173948701</v>
      </c>
      <c r="K70" s="85">
        <v>3080312.26646647</v>
      </c>
      <c r="L70" s="85">
        <v>3540540.751571218</v>
      </c>
      <c r="M70" s="654">
        <f>'2022-23 Input'!F70</f>
        <v>4462691.5611800514</v>
      </c>
      <c r="N70" s="1065">
        <v>7576506.7752195196</v>
      </c>
      <c r="O70" s="560">
        <f t="shared" si="27"/>
        <v>2346365.7317143506</v>
      </c>
      <c r="P70" s="561">
        <f t="shared" si="0"/>
        <v>5479721.3152129501</v>
      </c>
      <c r="Q70" s="561">
        <f t="shared" si="1"/>
        <v>3468932.2736095027</v>
      </c>
      <c r="R70" s="561">
        <f t="shared" si="2"/>
        <v>1906902.7692957395</v>
      </c>
      <c r="S70" s="561">
        <f t="shared" si="3"/>
        <v>2430816.2796906787</v>
      </c>
      <c r="T70" s="561">
        <f t="shared" si="4"/>
        <v>3158128.6544465115</v>
      </c>
      <c r="U70" s="561">
        <f t="shared" si="5"/>
        <v>5423017.9431114905</v>
      </c>
      <c r="V70" s="561">
        <f t="shared" si="6"/>
        <v>3694399.5914862039</v>
      </c>
      <c r="W70" s="675">
        <f t="shared" si="7"/>
        <v>4000553.4181910255</v>
      </c>
      <c r="X70" s="675">
        <f t="shared" si="8"/>
        <v>4745898.1005159151</v>
      </c>
      <c r="Y70" s="675">
        <f t="shared" si="8"/>
        <v>7784849.1900656847</v>
      </c>
      <c r="Z70" s="86">
        <v>69</v>
      </c>
      <c r="AA70" s="87">
        <v>161</v>
      </c>
      <c r="AB70" s="87">
        <v>82</v>
      </c>
      <c r="AC70" s="87">
        <v>53</v>
      </c>
      <c r="AD70" s="87">
        <v>76</v>
      </c>
      <c r="AE70" s="87">
        <v>110</v>
      </c>
      <c r="AF70" s="87">
        <v>184</v>
      </c>
      <c r="AG70" s="87">
        <v>187</v>
      </c>
      <c r="AH70" s="87">
        <v>151</v>
      </c>
      <c r="AI70" s="1094">
        <f>'2022-23 Input'!M70</f>
        <v>114</v>
      </c>
      <c r="AJ70" s="665">
        <v>106</v>
      </c>
      <c r="AK70" s="88">
        <f t="shared" si="63"/>
        <v>149.19999999999999</v>
      </c>
      <c r="AL70" s="89">
        <f t="shared" si="64"/>
        <v>150.66666666666666</v>
      </c>
      <c r="AM70" s="90">
        <f t="shared" si="65"/>
        <v>114</v>
      </c>
      <c r="AN70" s="91">
        <f t="shared" si="66"/>
        <v>25274.176481389892</v>
      </c>
      <c r="AO70" s="92">
        <f t="shared" si="67"/>
        <v>25678.845674373824</v>
      </c>
      <c r="AP70" s="92">
        <f t="shared" si="68"/>
        <v>32243.80090577688</v>
      </c>
      <c r="AQ70" s="92">
        <f t="shared" si="69"/>
        <v>27953.406355088318</v>
      </c>
      <c r="AR70" s="92">
        <f t="shared" si="70"/>
        <v>25365.967084299933</v>
      </c>
      <c r="AS70" s="92">
        <f t="shared" si="71"/>
        <v>23132.014621561335</v>
      </c>
      <c r="AT70" s="92">
        <f t="shared" si="72"/>
        <v>23663.756072798209</v>
      </c>
      <c r="AU70" s="92">
        <f t="shared" si="73"/>
        <v>16472.258109446364</v>
      </c>
      <c r="AV70" s="92">
        <f t="shared" si="96"/>
        <v>23447.289745504757</v>
      </c>
      <c r="AW70" s="92">
        <f t="shared" si="96"/>
        <v>39146.417203333782</v>
      </c>
      <c r="AX70" s="92">
        <f t="shared" si="96"/>
        <v>71476.479011504896</v>
      </c>
      <c r="AY70" s="93">
        <f t="shared" si="75"/>
        <v>24104.822124643906</v>
      </c>
      <c r="AZ70" s="94">
        <f t="shared" si="76"/>
        <v>24521.116325702962</v>
      </c>
      <c r="BA70" s="95">
        <f t="shared" si="77"/>
        <v>39146.417203333782</v>
      </c>
      <c r="BB70" s="248" t="s">
        <v>422</v>
      </c>
      <c r="BC70" s="229" t="s">
        <v>433</v>
      </c>
      <c r="BD70" s="249">
        <v>-0.68641947093438094</v>
      </c>
      <c r="BE70" s="267">
        <f t="shared" si="28"/>
        <v>0</v>
      </c>
      <c r="BF70" s="268">
        <f t="shared" ref="BF70:BL70" si="112">IF(BF$6=$BB70,1,
IF(BE70&lt;&gt;0,BE70+1,0
))</f>
        <v>0</v>
      </c>
      <c r="BG70" s="268">
        <f t="shared" si="112"/>
        <v>0</v>
      </c>
      <c r="BH70" s="268">
        <f t="shared" si="112"/>
        <v>1</v>
      </c>
      <c r="BI70" s="268">
        <f t="shared" si="112"/>
        <v>2</v>
      </c>
      <c r="BJ70" s="268">
        <f t="shared" si="112"/>
        <v>3</v>
      </c>
      <c r="BK70" s="268">
        <f t="shared" si="112"/>
        <v>4</v>
      </c>
      <c r="BL70" s="269">
        <f t="shared" si="112"/>
        <v>5</v>
      </c>
      <c r="BM70" s="256">
        <f>IF($BC70=Lookup!$A$2,$BD70*ROUNDUP(BE70/10,0)+1,
IF($BC70=Lookup!$A$3,($BD70+1)^BD70,
IF($BC70=Lookup!$A$4,BE70*$BD70+1,"Error")))</f>
        <v>1</v>
      </c>
      <c r="BN70" s="229">
        <f>IF($BC70=Lookup!$A$2,$BD70*ROUNDUP(BF70/10,0)+1,
IF($BC70=Lookup!$A$3,($BD70+1)^BE70,
IF($BC70=Lookup!$A$4,BF70*$BD70+1,"Error")))</f>
        <v>1</v>
      </c>
      <c r="BO70" s="229">
        <f>IF($BC70=Lookup!$A$2,$BD70*ROUNDUP(BG70/10,0)+1,
IF($BC70=Lookup!$A$3,($BD70+1)^BF70,
IF($BC70=Lookup!$A$4,BG70*$BD70+1,"Error")))</f>
        <v>1</v>
      </c>
      <c r="BP70" s="229">
        <f>IF($BC70=Lookup!$A$2,$BD70*ROUNDUP(BH70/10,0)+1,
IF($BC70=Lookup!$A$3,($BD70+1)^BG70,
IF($BC70=Lookup!$A$4,BH70*$BD70+1,"Error")))</f>
        <v>0.31358052906561906</v>
      </c>
      <c r="BQ70" s="229">
        <f>IF($BC70=Lookup!$A$2,$BD70*ROUNDUP(BI70/10,0)+1,
IF($BC70=Lookup!$A$3,($BD70+1)^BH70,
IF($BC70=Lookup!$A$4,BI70*$BD70+1,"Error")))</f>
        <v>0.31358052906561906</v>
      </c>
      <c r="BR70" s="229">
        <f>IF($BC70=Lookup!$A$2,$BD70*ROUNDUP(BJ70/10,0)+1,
IF($BC70=Lookup!$A$3,($BD70+1)^BI70,
IF($BC70=Lookup!$A$4,BJ70*$BD70+1,"Error")))</f>
        <v>0.31358052906561906</v>
      </c>
      <c r="BS70" s="229">
        <f>IF($BC70=Lookup!$A$2,$BD70*ROUNDUP(BK70/10,0)+1,
IF($BC70=Lookup!$A$3,($BD70+1)^BJ70,
IF($BC70=Lookup!$A$4,BK70*$BD70+1,"Error")))</f>
        <v>0.31358052906561906</v>
      </c>
      <c r="BT70" s="249">
        <f>IF($BC70=Lookup!$A$2,$BD70*ROUNDUP(BL70/10,0)+1,
IF($BC70=Lookup!$A$3,($BD70+1)^BK70,
IF($BC70=Lookup!$A$4,BL70*$BD70+1,"Error")))</f>
        <v>0.31358052906561906</v>
      </c>
      <c r="BU70" s="320"/>
      <c r="BV70" s="321"/>
      <c r="BW70" s="321"/>
      <c r="BX70" s="321"/>
      <c r="BY70" s="321"/>
      <c r="BZ70" s="321"/>
      <c r="CA70" s="321"/>
      <c r="CB70" s="277"/>
      <c r="CC70" s="382" t="s">
        <v>293</v>
      </c>
      <c r="CD70" s="383">
        <f>HLOOKUP($CC70,$AK$6:$AM$132,ROWS(CD$6:CD70),0)</f>
        <v>150.66666666666666</v>
      </c>
      <c r="CE70" s="234">
        <f t="shared" si="30"/>
        <v>150.66666666666666</v>
      </c>
      <c r="CF70" s="96">
        <f t="shared" si="30"/>
        <v>150.66666666666666</v>
      </c>
      <c r="CG70" s="96">
        <f t="shared" si="30"/>
        <v>150.66666666666666</v>
      </c>
      <c r="CH70" s="96">
        <f t="shared" si="30"/>
        <v>47.246133045886602</v>
      </c>
      <c r="CI70" s="96">
        <f t="shared" si="84"/>
        <v>47.246133045886602</v>
      </c>
      <c r="CJ70" s="96">
        <f t="shared" si="84"/>
        <v>47.246133045886602</v>
      </c>
      <c r="CK70" s="96">
        <f t="shared" si="84"/>
        <v>47.246133045886602</v>
      </c>
      <c r="CL70" s="286">
        <f t="shared" si="84"/>
        <v>47.246133045886602</v>
      </c>
      <c r="CM70" s="305" t="s">
        <v>293</v>
      </c>
      <c r="CN70" s="315">
        <v>0</v>
      </c>
      <c r="CO70" s="306"/>
      <c r="CP70" s="307">
        <f>IF($CO70&lt;&gt;"",$CO70,HLOOKUP($CM70,$AY$6:$BA$132,ROWS(CP$6:CP70),0))</f>
        <v>24521.116325702962</v>
      </c>
      <c r="CQ70" s="784">
        <f t="shared" si="79"/>
        <v>3694514.8597392458</v>
      </c>
      <c r="CR70" s="784">
        <f t="shared" si="79"/>
        <v>3694514.8597392458</v>
      </c>
      <c r="CS70" s="97">
        <f t="shared" si="79"/>
        <v>3694514.8597392458</v>
      </c>
      <c r="CT70" s="97">
        <f t="shared" si="79"/>
        <v>1158527.9243578243</v>
      </c>
      <c r="CU70" s="97">
        <f t="shared" si="79"/>
        <v>1158527.9243578243</v>
      </c>
      <c r="CV70" s="97">
        <f t="shared" si="79"/>
        <v>1158527.9243578243</v>
      </c>
      <c r="CW70" s="97">
        <f t="shared" si="79"/>
        <v>1158527.9243578243</v>
      </c>
      <c r="CX70" s="98">
        <f t="shared" si="62"/>
        <v>1158527.9243578243</v>
      </c>
      <c r="CY70" s="392"/>
    </row>
    <row r="71" spans="1:103" x14ac:dyDescent="0.25">
      <c r="A71" s="81" t="s">
        <v>138</v>
      </c>
      <c r="B71" s="82" t="s">
        <v>145</v>
      </c>
      <c r="C71" s="83" t="s">
        <v>360</v>
      </c>
      <c r="D71" s="84">
        <v>9290641.2545288745</v>
      </c>
      <c r="E71" s="85">
        <v>12524540.029607257</v>
      </c>
      <c r="F71" s="85">
        <v>12825816.634189412</v>
      </c>
      <c r="G71" s="85">
        <v>9803695.0058082845</v>
      </c>
      <c r="H71" s="85">
        <v>11531386.419358399</v>
      </c>
      <c r="I71" s="85">
        <v>12367111.850593433</v>
      </c>
      <c r="J71" s="85">
        <v>20004879.189073287</v>
      </c>
      <c r="K71" s="85">
        <v>14400705.794086857</v>
      </c>
      <c r="L71" s="85">
        <v>19036634.213228673</v>
      </c>
      <c r="M71" s="654">
        <f>'2022-23 Input'!F71</f>
        <v>19712830.412964825</v>
      </c>
      <c r="N71" s="1065">
        <v>19022774.382465318</v>
      </c>
      <c r="O71" s="560">
        <f t="shared" si="27"/>
        <v>12500151.985387191</v>
      </c>
      <c r="P71" s="561">
        <f t="shared" ref="P71:P132" si="113">E71*P$4</f>
        <v>16600412.649434671</v>
      </c>
      <c r="Q71" s="561">
        <f t="shared" ref="Q71:Q132" si="114">F71*Q$4</f>
        <v>16827545.143446427</v>
      </c>
      <c r="R71" s="561">
        <f t="shared" ref="R71:R132" si="115">G71*R$4</f>
        <v>12618500.05200533</v>
      </c>
      <c r="S71" s="561">
        <f t="shared" ref="S71:S132" si="116">H71*S$4</f>
        <v>14540141.906229949</v>
      </c>
      <c r="T71" s="561">
        <f t="shared" ref="T71:T132" si="117">I71*T$4</f>
        <v>15349419.780756701</v>
      </c>
      <c r="U71" s="561">
        <f t="shared" ref="U71:U132" si="118">J71*U$4</f>
        <v>24915836.447532397</v>
      </c>
      <c r="V71" s="561">
        <f t="shared" ref="V71:V132" si="119">K71*V$4</f>
        <v>17271613.070520688</v>
      </c>
      <c r="W71" s="675">
        <f t="shared" ref="W71:W132" si="120">L71*W$4</f>
        <v>21510011.440706413</v>
      </c>
      <c r="X71" s="675">
        <f t="shared" ref="X71:Y132" si="121">M71*X$4</f>
        <v>20963824.886867989</v>
      </c>
      <c r="Y71" s="675">
        <f t="shared" si="121"/>
        <v>19545871.750355121</v>
      </c>
      <c r="Z71" s="86">
        <v>170</v>
      </c>
      <c r="AA71" s="87">
        <v>238</v>
      </c>
      <c r="AB71" s="87">
        <v>175</v>
      </c>
      <c r="AC71" s="87">
        <v>166</v>
      </c>
      <c r="AD71" s="87">
        <v>213</v>
      </c>
      <c r="AE71" s="87">
        <v>283</v>
      </c>
      <c r="AF71" s="87">
        <v>493</v>
      </c>
      <c r="AG71" s="87">
        <v>468</v>
      </c>
      <c r="AH71" s="87">
        <v>417</v>
      </c>
      <c r="AI71" s="1094">
        <f>'2022-23 Input'!M71</f>
        <v>263</v>
      </c>
      <c r="AJ71" s="665">
        <v>186</v>
      </c>
      <c r="AK71" s="88">
        <f t="shared" ref="AK71:AK102" si="122">IFERROR(IF($AM$4="N",SUM(AD71:AH71)/5,SUM(AE71:AI71)/5),"")</f>
        <v>384.8</v>
      </c>
      <c r="AL71" s="89">
        <f t="shared" ref="AL71:AL102" si="123">IFERROR(IF($AM$4="N",SUM(AF71:AH71)/3,SUM(AG71:AI71)/3),"")</f>
        <v>382.66666666666669</v>
      </c>
      <c r="AM71" s="90">
        <f t="shared" ref="AM71:AM102" si="124">IFERROR(IF($AM$4="N",AH71,AI71),"")</f>
        <v>263</v>
      </c>
      <c r="AN71" s="91">
        <f t="shared" ref="AN71:AN102" si="125">IFERROR(D71/Z71,"")</f>
        <v>54650.830908993383</v>
      </c>
      <c r="AO71" s="92">
        <f t="shared" ref="AO71:AO102" si="126">IFERROR(E71/AA71,"")</f>
        <v>52624.117771459059</v>
      </c>
      <c r="AP71" s="92">
        <f t="shared" ref="AP71:AP102" si="127">IFERROR(F71/AB71,"")</f>
        <v>73290.380766796647</v>
      </c>
      <c r="AQ71" s="92">
        <f t="shared" ref="AQ71:AQ102" si="128">IFERROR(G71/AC71,"")</f>
        <v>59058.4036494475</v>
      </c>
      <c r="AR71" s="92">
        <f t="shared" ref="AR71:AR102" si="129">IFERROR(H71/AD71,"")</f>
        <v>54137.964410133325</v>
      </c>
      <c r="AS71" s="92">
        <f t="shared" ref="AS71:AS102" si="130">IFERROR(I71/AE71,"")</f>
        <v>43700.041874888455</v>
      </c>
      <c r="AT71" s="92">
        <f t="shared" ref="AT71:AT102" si="131">IFERROR(J71/AF71,"")</f>
        <v>40577.84825369835</v>
      </c>
      <c r="AU71" s="92">
        <f t="shared" ref="AU71:AU102" si="132">IFERROR(K71/AG71,"")</f>
        <v>30770.738876253967</v>
      </c>
      <c r="AV71" s="92">
        <f t="shared" ref="AV71:AX86" si="133">IFERROR(L71/AH71,"")</f>
        <v>45651.400990956048</v>
      </c>
      <c r="AW71" s="92">
        <f t="shared" si="133"/>
        <v>74953.727805949908</v>
      </c>
      <c r="AX71" s="92">
        <f t="shared" si="133"/>
        <v>102272.98055088881</v>
      </c>
      <c r="AY71" s="93">
        <f t="shared" ref="AY71:AY102" si="134">IFERROR(IF($BA$3="N",
IF($BA$4="N",SUM(H71:L71)/SUM(AD71:AH71),SUM(I71:M71)/SUM(AE71:AI71)),
IF($BA$4="N",SUM(S71:W71)/SUM(AD71:AH71),SUM(T71:X71)/SUM(AE71:AI71))),"")</f>
        <v>44450.187868995366</v>
      </c>
      <c r="AZ71" s="94">
        <f t="shared" ref="AZ71:AZ102" si="135">IFERROR(IF($BA$3="N",
IF($BA$4="N",SUM(J71:L71)/SUM(AF71:AH71),SUM(K71:M71)/SUM(AG71:AI71)),
IF($BA$4="N",SUM(U71:W71)/SUM(AF71:AH71),SUM(V71:X71)/SUM(AG71:AI71))),"")</f>
        <v>46298.057857387066</v>
      </c>
      <c r="BA71" s="95">
        <f t="shared" ref="BA71:BA102" si="136">IFERROR(IF($BA$3="N",
IF($BA$4="N",L71/AH71,M71/AI71),
IF($BA$4="N",W71/AH71,X71/AI71)),"")</f>
        <v>74953.727805949908</v>
      </c>
      <c r="BB71" s="248" t="s">
        <v>422</v>
      </c>
      <c r="BC71" s="229" t="s">
        <v>433</v>
      </c>
      <c r="BD71" s="249">
        <v>-0.68641947093438094</v>
      </c>
      <c r="BE71" s="267">
        <f t="shared" si="28"/>
        <v>0</v>
      </c>
      <c r="BF71" s="268">
        <f t="shared" ref="BF71:BL71" si="137">IF(BF$6=$BB71,1,
IF(BE71&lt;&gt;0,BE71+1,0
))</f>
        <v>0</v>
      </c>
      <c r="BG71" s="268">
        <f t="shared" si="137"/>
        <v>0</v>
      </c>
      <c r="BH71" s="268">
        <f t="shared" si="137"/>
        <v>1</v>
      </c>
      <c r="BI71" s="268">
        <f t="shared" si="137"/>
        <v>2</v>
      </c>
      <c r="BJ71" s="268">
        <f t="shared" si="137"/>
        <v>3</v>
      </c>
      <c r="BK71" s="268">
        <f t="shared" si="137"/>
        <v>4</v>
      </c>
      <c r="BL71" s="269">
        <f t="shared" si="137"/>
        <v>5</v>
      </c>
      <c r="BM71" s="256">
        <f>IF($BC71=Lookup!$A$2,$BD71*ROUNDUP(BE71/10,0)+1,
IF($BC71=Lookup!$A$3,($BD71+1)^BD71,
IF($BC71=Lookup!$A$4,BE71*$BD71+1,"Error")))</f>
        <v>1</v>
      </c>
      <c r="BN71" s="229">
        <f>IF($BC71=Lookup!$A$2,$BD71*ROUNDUP(BF71/10,0)+1,
IF($BC71=Lookup!$A$3,($BD71+1)^BE71,
IF($BC71=Lookup!$A$4,BF71*$BD71+1,"Error")))</f>
        <v>1</v>
      </c>
      <c r="BO71" s="229">
        <f>IF($BC71=Lookup!$A$2,$BD71*ROUNDUP(BG71/10,0)+1,
IF($BC71=Lookup!$A$3,($BD71+1)^BF71,
IF($BC71=Lookup!$A$4,BG71*$BD71+1,"Error")))</f>
        <v>1</v>
      </c>
      <c r="BP71" s="229">
        <f>IF($BC71=Lookup!$A$2,$BD71*ROUNDUP(BH71/10,0)+1,
IF($BC71=Lookup!$A$3,($BD71+1)^BG71,
IF($BC71=Lookup!$A$4,BH71*$BD71+1,"Error")))</f>
        <v>0.31358052906561906</v>
      </c>
      <c r="BQ71" s="229">
        <f>IF($BC71=Lookup!$A$2,$BD71*ROUNDUP(BI71/10,0)+1,
IF($BC71=Lookup!$A$3,($BD71+1)^BH71,
IF($BC71=Lookup!$A$4,BI71*$BD71+1,"Error")))</f>
        <v>0.31358052906561906</v>
      </c>
      <c r="BR71" s="229">
        <f>IF($BC71=Lookup!$A$2,$BD71*ROUNDUP(BJ71/10,0)+1,
IF($BC71=Lookup!$A$3,($BD71+1)^BI71,
IF($BC71=Lookup!$A$4,BJ71*$BD71+1,"Error")))</f>
        <v>0.31358052906561906</v>
      </c>
      <c r="BS71" s="229">
        <f>IF($BC71=Lookup!$A$2,$BD71*ROUNDUP(BK71/10,0)+1,
IF($BC71=Lookup!$A$3,($BD71+1)^BJ71,
IF($BC71=Lookup!$A$4,BK71*$BD71+1,"Error")))</f>
        <v>0.31358052906561906</v>
      </c>
      <c r="BT71" s="249">
        <f>IF($BC71=Lookup!$A$2,$BD71*ROUNDUP(BL71/10,0)+1,
IF($BC71=Lookup!$A$3,($BD71+1)^BK71,
IF($BC71=Lookup!$A$4,BL71*$BD71+1,"Error")))</f>
        <v>0.31358052906561906</v>
      </c>
      <c r="BU71" s="320"/>
      <c r="BV71" s="321"/>
      <c r="BW71" s="321"/>
      <c r="BX71" s="321"/>
      <c r="BY71" s="321"/>
      <c r="BZ71" s="321"/>
      <c r="CA71" s="321"/>
      <c r="CB71" s="277"/>
      <c r="CC71" s="382" t="s">
        <v>293</v>
      </c>
      <c r="CD71" s="383">
        <f>HLOOKUP($CC71,$AK$6:$AM$132,ROWS(CD$6:CD71),0)</f>
        <v>382.66666666666669</v>
      </c>
      <c r="CE71" s="234">
        <f t="shared" si="30"/>
        <v>382.66666666666669</v>
      </c>
      <c r="CF71" s="96">
        <f t="shared" si="30"/>
        <v>382.66666666666669</v>
      </c>
      <c r="CG71" s="96">
        <f t="shared" si="30"/>
        <v>382.66666666666669</v>
      </c>
      <c r="CH71" s="96">
        <f t="shared" si="30"/>
        <v>119.99681578911023</v>
      </c>
      <c r="CI71" s="96">
        <f t="shared" si="84"/>
        <v>119.99681578911023</v>
      </c>
      <c r="CJ71" s="96">
        <f t="shared" si="84"/>
        <v>119.99681578911023</v>
      </c>
      <c r="CK71" s="96">
        <f t="shared" si="84"/>
        <v>119.99681578911023</v>
      </c>
      <c r="CL71" s="286">
        <f t="shared" si="84"/>
        <v>119.99681578911023</v>
      </c>
      <c r="CM71" s="305" t="s">
        <v>293</v>
      </c>
      <c r="CN71" s="315">
        <v>0</v>
      </c>
      <c r="CO71" s="306"/>
      <c r="CP71" s="307">
        <f>IF($CO71&lt;&gt;"",$CO71,HLOOKUP($CM71,$AY$6:$BA$132,ROWS(CP$6:CP71),0))</f>
        <v>46298.057857387066</v>
      </c>
      <c r="CQ71" s="784">
        <f t="shared" ref="CQ71:CX102" si="138">IFERROR(CE71*$CP71,"")</f>
        <v>17716723.473426785</v>
      </c>
      <c r="CR71" s="784">
        <f t="shared" si="138"/>
        <v>17716723.473426785</v>
      </c>
      <c r="CS71" s="97">
        <f t="shared" si="138"/>
        <v>17716723.473426785</v>
      </c>
      <c r="CT71" s="97">
        <f t="shared" si="138"/>
        <v>5555619.5201064432</v>
      </c>
      <c r="CU71" s="97">
        <f t="shared" si="138"/>
        <v>5555619.5201064432</v>
      </c>
      <c r="CV71" s="97">
        <f t="shared" si="138"/>
        <v>5555619.5201064432</v>
      </c>
      <c r="CW71" s="97">
        <f t="shared" si="138"/>
        <v>5555619.5201064432</v>
      </c>
      <c r="CX71" s="98">
        <f t="shared" si="62"/>
        <v>5555619.5201064432</v>
      </c>
      <c r="CY71" s="392"/>
    </row>
    <row r="72" spans="1:103" x14ac:dyDescent="0.25">
      <c r="A72" s="81" t="s">
        <v>138</v>
      </c>
      <c r="B72" s="82" t="s">
        <v>147</v>
      </c>
      <c r="C72" s="83" t="s">
        <v>362</v>
      </c>
      <c r="D72" s="84">
        <v>0</v>
      </c>
      <c r="E72" s="85">
        <v>1141261.2933371111</v>
      </c>
      <c r="F72" s="85">
        <v>0</v>
      </c>
      <c r="G72" s="85">
        <v>325182.87584322674</v>
      </c>
      <c r="H72" s="85">
        <v>1200053.5513435169</v>
      </c>
      <c r="I72" s="85">
        <v>2072682.2167113679</v>
      </c>
      <c r="J72" s="85">
        <v>2078101.9766416799</v>
      </c>
      <c r="K72" s="85">
        <v>1929289.7444419591</v>
      </c>
      <c r="L72" s="85">
        <v>1263455.8731986373</v>
      </c>
      <c r="M72" s="654">
        <f>'2022-23 Input'!F72</f>
        <v>900677.40658151521</v>
      </c>
      <c r="N72" s="1065">
        <v>297234.35837277229</v>
      </c>
      <c r="O72" s="560">
        <f t="shared" ref="O72:O132" si="139">D72*O$4</f>
        <v>0</v>
      </c>
      <c r="P72" s="561">
        <f t="shared" si="113"/>
        <v>1512663.0092153284</v>
      </c>
      <c r="Q72" s="561">
        <f t="shared" si="114"/>
        <v>0</v>
      </c>
      <c r="R72" s="561">
        <f t="shared" si="115"/>
        <v>418548.32624923071</v>
      </c>
      <c r="S72" s="561">
        <f t="shared" si="116"/>
        <v>1513170.0818140474</v>
      </c>
      <c r="T72" s="561">
        <f t="shared" si="117"/>
        <v>2572505.9982283176</v>
      </c>
      <c r="U72" s="561">
        <f t="shared" si="118"/>
        <v>2588251.0202600453</v>
      </c>
      <c r="V72" s="561">
        <f t="shared" si="119"/>
        <v>2313910.6126734251</v>
      </c>
      <c r="W72" s="675">
        <f t="shared" si="120"/>
        <v>1427613.2000500893</v>
      </c>
      <c r="X72" s="675">
        <f t="shared" si="121"/>
        <v>957835.22891340463</v>
      </c>
      <c r="Y72" s="675">
        <f t="shared" si="121"/>
        <v>305407.8512285006</v>
      </c>
      <c r="Z72" s="86">
        <v>0</v>
      </c>
      <c r="AA72" s="87">
        <v>7</v>
      </c>
      <c r="AB72" s="87">
        <v>0</v>
      </c>
      <c r="AC72" s="87">
        <v>2</v>
      </c>
      <c r="AD72" s="87">
        <v>5</v>
      </c>
      <c r="AE72" s="87">
        <v>11</v>
      </c>
      <c r="AF72" s="87">
        <v>8</v>
      </c>
      <c r="AG72" s="87">
        <v>23</v>
      </c>
      <c r="AH72" s="87">
        <v>2</v>
      </c>
      <c r="AI72" s="1094">
        <f>'2022-23 Input'!M72</f>
        <v>9</v>
      </c>
      <c r="AJ72" s="665">
        <v>12</v>
      </c>
      <c r="AK72" s="88">
        <f t="shared" si="122"/>
        <v>10.6</v>
      </c>
      <c r="AL72" s="89">
        <f t="shared" si="123"/>
        <v>11.333333333333334</v>
      </c>
      <c r="AM72" s="90">
        <f t="shared" si="124"/>
        <v>9</v>
      </c>
      <c r="AN72" s="91" t="str">
        <f t="shared" si="125"/>
        <v/>
      </c>
      <c r="AO72" s="92">
        <f t="shared" si="126"/>
        <v>163037.3276195873</v>
      </c>
      <c r="AP72" s="92" t="str">
        <f t="shared" si="127"/>
        <v/>
      </c>
      <c r="AQ72" s="92">
        <f t="shared" si="128"/>
        <v>162591.43792161337</v>
      </c>
      <c r="AR72" s="92">
        <f t="shared" si="129"/>
        <v>240010.71026870338</v>
      </c>
      <c r="AS72" s="92">
        <f t="shared" si="130"/>
        <v>188425.65606466981</v>
      </c>
      <c r="AT72" s="92">
        <f t="shared" si="131"/>
        <v>259762.74708020999</v>
      </c>
      <c r="AU72" s="92">
        <f t="shared" si="132"/>
        <v>83882.162801824306</v>
      </c>
      <c r="AV72" s="92">
        <f t="shared" si="133"/>
        <v>631727.93659931864</v>
      </c>
      <c r="AW72" s="92">
        <f t="shared" si="133"/>
        <v>100075.26739794614</v>
      </c>
      <c r="AX72" s="92">
        <f t="shared" si="133"/>
        <v>24769.529864397689</v>
      </c>
      <c r="AY72" s="93">
        <f t="shared" si="134"/>
        <v>155551.07957688978</v>
      </c>
      <c r="AZ72" s="94">
        <f t="shared" si="135"/>
        <v>120394.79483006209</v>
      </c>
      <c r="BA72" s="95">
        <f t="shared" si="136"/>
        <v>100075.26739794614</v>
      </c>
      <c r="BB72" s="248" t="s">
        <v>422</v>
      </c>
      <c r="BC72" s="229" t="s">
        <v>433</v>
      </c>
      <c r="BD72" s="249">
        <v>-0.68641947093438094</v>
      </c>
      <c r="BE72" s="267">
        <f t="shared" ref="BE72:BE132" si="140">IF(BE$6=$BB72,1,0
)</f>
        <v>0</v>
      </c>
      <c r="BF72" s="268">
        <f t="shared" ref="BF72:BL72" si="141">IF(BF$6=$BB72,1,
IF(BE72&lt;&gt;0,BE72+1,0
))</f>
        <v>0</v>
      </c>
      <c r="BG72" s="268">
        <f t="shared" si="141"/>
        <v>0</v>
      </c>
      <c r="BH72" s="268">
        <f t="shared" si="141"/>
        <v>1</v>
      </c>
      <c r="BI72" s="268">
        <f t="shared" si="141"/>
        <v>2</v>
      </c>
      <c r="BJ72" s="268">
        <f t="shared" si="141"/>
        <v>3</v>
      </c>
      <c r="BK72" s="268">
        <f t="shared" si="141"/>
        <v>4</v>
      </c>
      <c r="BL72" s="269">
        <f t="shared" si="141"/>
        <v>5</v>
      </c>
      <c r="BM72" s="256">
        <f>IF($BC72=Lookup!$A$2,$BD72*ROUNDUP(BE72/10,0)+1,
IF($BC72=Lookup!$A$3,($BD72+1)^BD72,
IF($BC72=Lookup!$A$4,BE72*$BD72+1,"Error")))</f>
        <v>1</v>
      </c>
      <c r="BN72" s="229">
        <f>IF($BC72=Lookup!$A$2,$BD72*ROUNDUP(BF72/10,0)+1,
IF($BC72=Lookup!$A$3,($BD72+1)^BE72,
IF($BC72=Lookup!$A$4,BF72*$BD72+1,"Error")))</f>
        <v>1</v>
      </c>
      <c r="BO72" s="229">
        <f>IF($BC72=Lookup!$A$2,$BD72*ROUNDUP(BG72/10,0)+1,
IF($BC72=Lookup!$A$3,($BD72+1)^BF72,
IF($BC72=Lookup!$A$4,BG72*$BD72+1,"Error")))</f>
        <v>1</v>
      </c>
      <c r="BP72" s="229">
        <f>IF($BC72=Lookup!$A$2,$BD72*ROUNDUP(BH72/10,0)+1,
IF($BC72=Lookup!$A$3,($BD72+1)^BG72,
IF($BC72=Lookup!$A$4,BH72*$BD72+1,"Error")))</f>
        <v>0.31358052906561906</v>
      </c>
      <c r="BQ72" s="229">
        <f>IF($BC72=Lookup!$A$2,$BD72*ROUNDUP(BI72/10,0)+1,
IF($BC72=Lookup!$A$3,($BD72+1)^BH72,
IF($BC72=Lookup!$A$4,BI72*$BD72+1,"Error")))</f>
        <v>0.31358052906561906</v>
      </c>
      <c r="BR72" s="229">
        <f>IF($BC72=Lookup!$A$2,$BD72*ROUNDUP(BJ72/10,0)+1,
IF($BC72=Lookup!$A$3,($BD72+1)^BI72,
IF($BC72=Lookup!$A$4,BJ72*$BD72+1,"Error")))</f>
        <v>0.31358052906561906</v>
      </c>
      <c r="BS72" s="229">
        <f>IF($BC72=Lookup!$A$2,$BD72*ROUNDUP(BK72/10,0)+1,
IF($BC72=Lookup!$A$3,($BD72+1)^BJ72,
IF($BC72=Lookup!$A$4,BK72*$BD72+1,"Error")))</f>
        <v>0.31358052906561906</v>
      </c>
      <c r="BT72" s="249">
        <f>IF($BC72=Lookup!$A$2,$BD72*ROUNDUP(BL72/10,0)+1,
IF($BC72=Lookup!$A$3,($BD72+1)^BK72,
IF($BC72=Lookup!$A$4,BL72*$BD72+1,"Error")))</f>
        <v>0.31358052906561906</v>
      </c>
      <c r="BU72" s="320"/>
      <c r="BV72" s="321"/>
      <c r="BW72" s="321"/>
      <c r="BX72" s="321"/>
      <c r="BY72" s="321"/>
      <c r="BZ72" s="321"/>
      <c r="CA72" s="321"/>
      <c r="CB72" s="277"/>
      <c r="CC72" s="382" t="s">
        <v>293</v>
      </c>
      <c r="CD72" s="383">
        <f>HLOOKUP($CC72,$AK$6:$AM$132,ROWS(CD$6:CD72),0)</f>
        <v>11.333333333333334</v>
      </c>
      <c r="CE72" s="234">
        <f t="shared" ref="CE72:CK123" si="142">IFERROR(IF(BU72&lt;&gt;"",BU72,BM72*$CD72),"")</f>
        <v>11.333333333333334</v>
      </c>
      <c r="CF72" s="96">
        <f t="shared" si="142"/>
        <v>11.333333333333334</v>
      </c>
      <c r="CG72" s="96">
        <f t="shared" si="142"/>
        <v>11.333333333333334</v>
      </c>
      <c r="CH72" s="96">
        <f t="shared" si="142"/>
        <v>3.553912662743683</v>
      </c>
      <c r="CI72" s="96">
        <f t="shared" si="84"/>
        <v>3.553912662743683</v>
      </c>
      <c r="CJ72" s="96">
        <f t="shared" si="84"/>
        <v>3.553912662743683</v>
      </c>
      <c r="CK72" s="96">
        <f t="shared" si="84"/>
        <v>3.553912662743683</v>
      </c>
      <c r="CL72" s="286">
        <f t="shared" si="84"/>
        <v>3.553912662743683</v>
      </c>
      <c r="CM72" s="305" t="s">
        <v>293</v>
      </c>
      <c r="CN72" s="315">
        <v>0</v>
      </c>
      <c r="CO72" s="306"/>
      <c r="CP72" s="307">
        <f>IF($CO72&lt;&gt;"",$CO72,HLOOKUP($CM72,$AY$6:$BA$132,ROWS(CP$6:CP72),0))</f>
        <v>120394.79483006209</v>
      </c>
      <c r="CQ72" s="784">
        <f t="shared" si="138"/>
        <v>1364474.3414073705</v>
      </c>
      <c r="CR72" s="784">
        <f t="shared" si="138"/>
        <v>1364474.3414073705</v>
      </c>
      <c r="CS72" s="97">
        <f t="shared" si="138"/>
        <v>1364474.3414073705</v>
      </c>
      <c r="CT72" s="97">
        <f t="shared" si="138"/>
        <v>427872.58587498538</v>
      </c>
      <c r="CU72" s="97">
        <f t="shared" si="138"/>
        <v>427872.58587498538</v>
      </c>
      <c r="CV72" s="97">
        <f t="shared" si="138"/>
        <v>427872.58587498538</v>
      </c>
      <c r="CW72" s="97">
        <f t="shared" si="138"/>
        <v>427872.58587498538</v>
      </c>
      <c r="CX72" s="98">
        <f t="shared" si="62"/>
        <v>427872.58587498538</v>
      </c>
      <c r="CY72" s="392"/>
    </row>
    <row r="73" spans="1:103" x14ac:dyDescent="0.25">
      <c r="A73" s="81" t="s">
        <v>138</v>
      </c>
      <c r="B73" s="82" t="s">
        <v>149</v>
      </c>
      <c r="C73" s="83" t="s">
        <v>363</v>
      </c>
      <c r="D73" s="84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654">
        <f>'2022-23 Input'!F73</f>
        <v>0</v>
      </c>
      <c r="N73" s="1065">
        <v>0</v>
      </c>
      <c r="O73" s="560">
        <f t="shared" si="139"/>
        <v>0</v>
      </c>
      <c r="P73" s="561">
        <f t="shared" si="113"/>
        <v>0</v>
      </c>
      <c r="Q73" s="561">
        <f t="shared" si="114"/>
        <v>0</v>
      </c>
      <c r="R73" s="561">
        <f t="shared" si="115"/>
        <v>0</v>
      </c>
      <c r="S73" s="561">
        <f t="shared" si="116"/>
        <v>0</v>
      </c>
      <c r="T73" s="561">
        <f t="shared" si="117"/>
        <v>0</v>
      </c>
      <c r="U73" s="561">
        <f t="shared" si="118"/>
        <v>0</v>
      </c>
      <c r="V73" s="561">
        <f t="shared" si="119"/>
        <v>0</v>
      </c>
      <c r="W73" s="675">
        <f t="shared" si="120"/>
        <v>0</v>
      </c>
      <c r="X73" s="675">
        <f t="shared" si="121"/>
        <v>0</v>
      </c>
      <c r="Y73" s="675">
        <f t="shared" si="121"/>
        <v>0</v>
      </c>
      <c r="Z73" s="86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1094">
        <f>'2022-23 Input'!M73</f>
        <v>0</v>
      </c>
      <c r="AJ73" s="665">
        <v>0</v>
      </c>
      <c r="AK73" s="88">
        <f t="shared" si="122"/>
        <v>0</v>
      </c>
      <c r="AL73" s="89">
        <f t="shared" si="123"/>
        <v>0</v>
      </c>
      <c r="AM73" s="90">
        <f t="shared" si="124"/>
        <v>0</v>
      </c>
      <c r="AN73" s="91" t="str">
        <f t="shared" si="125"/>
        <v/>
      </c>
      <c r="AO73" s="92" t="str">
        <f t="shared" si="126"/>
        <v/>
      </c>
      <c r="AP73" s="92" t="str">
        <f t="shared" si="127"/>
        <v/>
      </c>
      <c r="AQ73" s="92" t="str">
        <f t="shared" si="128"/>
        <v/>
      </c>
      <c r="AR73" s="92" t="str">
        <f t="shared" si="129"/>
        <v/>
      </c>
      <c r="AS73" s="92" t="str">
        <f t="shared" si="130"/>
        <v/>
      </c>
      <c r="AT73" s="92" t="str">
        <f t="shared" si="131"/>
        <v/>
      </c>
      <c r="AU73" s="92" t="str">
        <f t="shared" si="132"/>
        <v/>
      </c>
      <c r="AV73" s="92" t="str">
        <f t="shared" si="133"/>
        <v/>
      </c>
      <c r="AW73" s="92" t="str">
        <f t="shared" si="133"/>
        <v/>
      </c>
      <c r="AX73" s="92" t="str">
        <f t="shared" si="133"/>
        <v/>
      </c>
      <c r="AY73" s="93" t="str">
        <f t="shared" si="134"/>
        <v/>
      </c>
      <c r="AZ73" s="94" t="str">
        <f t="shared" si="135"/>
        <v/>
      </c>
      <c r="BA73" s="95" t="str">
        <f t="shared" si="136"/>
        <v/>
      </c>
      <c r="BB73" s="248" t="s">
        <v>422</v>
      </c>
      <c r="BC73" s="229" t="s">
        <v>433</v>
      </c>
      <c r="BD73" s="249">
        <v>-0.28999999999999998</v>
      </c>
      <c r="BE73" s="267">
        <f t="shared" si="140"/>
        <v>0</v>
      </c>
      <c r="BF73" s="268">
        <f t="shared" ref="BF73:BL73" si="143">IF(BF$6=$BB73,1,
IF(BE73&lt;&gt;0,BE73+1,0
))</f>
        <v>0</v>
      </c>
      <c r="BG73" s="268">
        <f t="shared" si="143"/>
        <v>0</v>
      </c>
      <c r="BH73" s="268">
        <f t="shared" si="143"/>
        <v>1</v>
      </c>
      <c r="BI73" s="268">
        <f t="shared" si="143"/>
        <v>2</v>
      </c>
      <c r="BJ73" s="268">
        <f t="shared" si="143"/>
        <v>3</v>
      </c>
      <c r="BK73" s="268">
        <f t="shared" si="143"/>
        <v>4</v>
      </c>
      <c r="BL73" s="269">
        <f t="shared" si="143"/>
        <v>5</v>
      </c>
      <c r="BM73" s="256">
        <f>IF($BC73=Lookup!$A$2,$BD73*ROUNDUP(BE73/10,0)+1,
IF($BC73=Lookup!$A$3,($BD73+1)^BD73,
IF($BC73=Lookup!$A$4,BE73*$BD73+1,"Error")))</f>
        <v>1</v>
      </c>
      <c r="BN73" s="229">
        <f>IF($BC73=Lookup!$A$2,$BD73*ROUNDUP(BF73/10,0)+1,
IF($BC73=Lookup!$A$3,($BD73+1)^BE73,
IF($BC73=Lookup!$A$4,BF73*$BD73+1,"Error")))</f>
        <v>1</v>
      </c>
      <c r="BO73" s="229">
        <f>IF($BC73=Lookup!$A$2,$BD73*ROUNDUP(BG73/10,0)+1,
IF($BC73=Lookup!$A$3,($BD73+1)^BF73,
IF($BC73=Lookup!$A$4,BG73*$BD73+1,"Error")))</f>
        <v>1</v>
      </c>
      <c r="BP73" s="229">
        <f>IF($BC73=Lookup!$A$2,$BD73*ROUNDUP(BH73/10,0)+1,
IF($BC73=Lookup!$A$3,($BD73+1)^BG73,
IF($BC73=Lookup!$A$4,BH73*$BD73+1,"Error")))</f>
        <v>0.71</v>
      </c>
      <c r="BQ73" s="229">
        <f>IF($BC73=Lookup!$A$2,$BD73*ROUNDUP(BI73/10,0)+1,
IF($BC73=Lookup!$A$3,($BD73+1)^BH73,
IF($BC73=Lookup!$A$4,BI73*$BD73+1,"Error")))</f>
        <v>0.71</v>
      </c>
      <c r="BR73" s="229">
        <f>IF($BC73=Lookup!$A$2,$BD73*ROUNDUP(BJ73/10,0)+1,
IF($BC73=Lookup!$A$3,($BD73+1)^BI73,
IF($BC73=Lookup!$A$4,BJ73*$BD73+1,"Error")))</f>
        <v>0.71</v>
      </c>
      <c r="BS73" s="229">
        <f>IF($BC73=Lookup!$A$2,$BD73*ROUNDUP(BK73/10,0)+1,
IF($BC73=Lookup!$A$3,($BD73+1)^BJ73,
IF($BC73=Lookup!$A$4,BK73*$BD73+1,"Error")))</f>
        <v>0.71</v>
      </c>
      <c r="BT73" s="249">
        <f>IF($BC73=Lookup!$A$2,$BD73*ROUNDUP(BL73/10,0)+1,
IF($BC73=Lookup!$A$3,($BD73+1)^BK73,
IF($BC73=Lookup!$A$4,BL73*$BD73+1,"Error")))</f>
        <v>0.71</v>
      </c>
      <c r="BU73" s="320"/>
      <c r="BV73" s="321"/>
      <c r="BW73" s="321"/>
      <c r="BX73" s="321"/>
      <c r="BY73" s="321"/>
      <c r="BZ73" s="321"/>
      <c r="CA73" s="321"/>
      <c r="CB73" s="277"/>
      <c r="CC73" s="382" t="s">
        <v>293</v>
      </c>
      <c r="CD73" s="383">
        <f>HLOOKUP($CC73,$AK$6:$AM$132,ROWS(CD$6:CD73),0)</f>
        <v>0</v>
      </c>
      <c r="CE73" s="234">
        <f t="shared" si="142"/>
        <v>0</v>
      </c>
      <c r="CF73" s="96">
        <f t="shared" si="142"/>
        <v>0</v>
      </c>
      <c r="CG73" s="96">
        <f t="shared" si="142"/>
        <v>0</v>
      </c>
      <c r="CH73" s="96">
        <f t="shared" si="142"/>
        <v>0</v>
      </c>
      <c r="CI73" s="96">
        <f t="shared" si="84"/>
        <v>0</v>
      </c>
      <c r="CJ73" s="96">
        <f t="shared" si="84"/>
        <v>0</v>
      </c>
      <c r="CK73" s="96">
        <f t="shared" si="84"/>
        <v>0</v>
      </c>
      <c r="CL73" s="286">
        <f t="shared" si="84"/>
        <v>0</v>
      </c>
      <c r="CM73" s="305" t="s">
        <v>293</v>
      </c>
      <c r="CN73" s="315">
        <v>0</v>
      </c>
      <c r="CO73" s="306"/>
      <c r="CP73" s="307" t="str">
        <f>IF($CO73&lt;&gt;"",$CO73,HLOOKUP($CM73,$AY$6:$BA$132,ROWS(CP$6:CP73),0))</f>
        <v/>
      </c>
      <c r="CQ73" s="784" t="str">
        <f t="shared" si="138"/>
        <v/>
      </c>
      <c r="CR73" s="784" t="str">
        <f t="shared" si="138"/>
        <v/>
      </c>
      <c r="CS73" s="97" t="str">
        <f t="shared" si="138"/>
        <v/>
      </c>
      <c r="CT73" s="97" t="str">
        <f t="shared" si="138"/>
        <v/>
      </c>
      <c r="CU73" s="97" t="str">
        <f t="shared" si="138"/>
        <v/>
      </c>
      <c r="CV73" s="97" t="str">
        <f t="shared" si="138"/>
        <v/>
      </c>
      <c r="CW73" s="97" t="str">
        <f t="shared" si="138"/>
        <v/>
      </c>
      <c r="CX73" s="98" t="str">
        <f t="shared" si="62"/>
        <v/>
      </c>
      <c r="CY73" s="392"/>
    </row>
    <row r="74" spans="1:103" x14ac:dyDescent="0.25">
      <c r="A74" s="81" t="s">
        <v>138</v>
      </c>
      <c r="B74" s="82" t="s">
        <v>151</v>
      </c>
      <c r="C74" s="83" t="s">
        <v>364</v>
      </c>
      <c r="D74" s="84">
        <v>0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654">
        <f>'2022-23 Input'!F74</f>
        <v>0</v>
      </c>
      <c r="N74" s="1065">
        <v>0</v>
      </c>
      <c r="O74" s="560">
        <f t="shared" si="139"/>
        <v>0</v>
      </c>
      <c r="P74" s="561">
        <f t="shared" si="113"/>
        <v>0</v>
      </c>
      <c r="Q74" s="561">
        <f t="shared" si="114"/>
        <v>0</v>
      </c>
      <c r="R74" s="561">
        <f t="shared" si="115"/>
        <v>0</v>
      </c>
      <c r="S74" s="561">
        <f t="shared" si="116"/>
        <v>0</v>
      </c>
      <c r="T74" s="561">
        <f t="shared" si="117"/>
        <v>0</v>
      </c>
      <c r="U74" s="561">
        <f t="shared" si="118"/>
        <v>0</v>
      </c>
      <c r="V74" s="561">
        <f t="shared" si="119"/>
        <v>0</v>
      </c>
      <c r="W74" s="675">
        <f t="shared" si="120"/>
        <v>0</v>
      </c>
      <c r="X74" s="675">
        <f t="shared" si="121"/>
        <v>0</v>
      </c>
      <c r="Y74" s="675">
        <f t="shared" si="121"/>
        <v>0</v>
      </c>
      <c r="Z74" s="86">
        <v>0</v>
      </c>
      <c r="AA74" s="87">
        <v>0</v>
      </c>
      <c r="AB74" s="87">
        <v>0</v>
      </c>
      <c r="AC74" s="87">
        <v>0</v>
      </c>
      <c r="AD74" s="87">
        <v>0</v>
      </c>
      <c r="AE74" s="87">
        <v>0</v>
      </c>
      <c r="AF74" s="87">
        <v>0</v>
      </c>
      <c r="AG74" s="87">
        <v>0</v>
      </c>
      <c r="AH74" s="87">
        <v>0</v>
      </c>
      <c r="AI74" s="1094">
        <f>'2022-23 Input'!M74</f>
        <v>0</v>
      </c>
      <c r="AJ74" s="665">
        <v>0</v>
      </c>
      <c r="AK74" s="88">
        <f t="shared" si="122"/>
        <v>0</v>
      </c>
      <c r="AL74" s="89">
        <f t="shared" si="123"/>
        <v>0</v>
      </c>
      <c r="AM74" s="90">
        <f t="shared" si="124"/>
        <v>0</v>
      </c>
      <c r="AN74" s="91" t="str">
        <f t="shared" si="125"/>
        <v/>
      </c>
      <c r="AO74" s="92" t="str">
        <f t="shared" si="126"/>
        <v/>
      </c>
      <c r="AP74" s="92" t="str">
        <f t="shared" si="127"/>
        <v/>
      </c>
      <c r="AQ74" s="92" t="str">
        <f t="shared" si="128"/>
        <v/>
      </c>
      <c r="AR74" s="92" t="str">
        <f t="shared" si="129"/>
        <v/>
      </c>
      <c r="AS74" s="92" t="str">
        <f t="shared" si="130"/>
        <v/>
      </c>
      <c r="AT74" s="92" t="str">
        <f t="shared" si="131"/>
        <v/>
      </c>
      <c r="AU74" s="92" t="str">
        <f t="shared" si="132"/>
        <v/>
      </c>
      <c r="AV74" s="92" t="str">
        <f t="shared" si="133"/>
        <v/>
      </c>
      <c r="AW74" s="92" t="str">
        <f t="shared" si="133"/>
        <v/>
      </c>
      <c r="AX74" s="92" t="str">
        <f t="shared" si="133"/>
        <v/>
      </c>
      <c r="AY74" s="93" t="str">
        <f t="shared" si="134"/>
        <v/>
      </c>
      <c r="AZ74" s="94" t="str">
        <f t="shared" si="135"/>
        <v/>
      </c>
      <c r="BA74" s="95" t="str">
        <f t="shared" si="136"/>
        <v/>
      </c>
      <c r="BB74" s="248" t="s">
        <v>422</v>
      </c>
      <c r="BC74" s="229" t="s">
        <v>433</v>
      </c>
      <c r="BD74" s="249">
        <v>-0.28999999999999998</v>
      </c>
      <c r="BE74" s="267">
        <f t="shared" si="140"/>
        <v>0</v>
      </c>
      <c r="BF74" s="268">
        <f t="shared" ref="BF74:BL74" si="144">IF(BF$6=$BB74,1,
IF(BE74&lt;&gt;0,BE74+1,0
))</f>
        <v>0</v>
      </c>
      <c r="BG74" s="268">
        <f t="shared" si="144"/>
        <v>0</v>
      </c>
      <c r="BH74" s="268">
        <f t="shared" si="144"/>
        <v>1</v>
      </c>
      <c r="BI74" s="268">
        <f t="shared" si="144"/>
        <v>2</v>
      </c>
      <c r="BJ74" s="268">
        <f t="shared" si="144"/>
        <v>3</v>
      </c>
      <c r="BK74" s="268">
        <f t="shared" si="144"/>
        <v>4</v>
      </c>
      <c r="BL74" s="269">
        <f t="shared" si="144"/>
        <v>5</v>
      </c>
      <c r="BM74" s="256">
        <f>IF($BC74=Lookup!$A$2,$BD74*ROUNDUP(BE74/10,0)+1,
IF($BC74=Lookup!$A$3,($BD74+1)^BD74,
IF($BC74=Lookup!$A$4,BE74*$BD74+1,"Error")))</f>
        <v>1</v>
      </c>
      <c r="BN74" s="229">
        <f>IF($BC74=Lookup!$A$2,$BD74*ROUNDUP(BF74/10,0)+1,
IF($BC74=Lookup!$A$3,($BD74+1)^BE74,
IF($BC74=Lookup!$A$4,BF74*$BD74+1,"Error")))</f>
        <v>1</v>
      </c>
      <c r="BO74" s="229">
        <f>IF($BC74=Lookup!$A$2,$BD74*ROUNDUP(BG74/10,0)+1,
IF($BC74=Lookup!$A$3,($BD74+1)^BF74,
IF($BC74=Lookup!$A$4,BG74*$BD74+1,"Error")))</f>
        <v>1</v>
      </c>
      <c r="BP74" s="229">
        <f>IF($BC74=Lookup!$A$2,$BD74*ROUNDUP(BH74/10,0)+1,
IF($BC74=Lookup!$A$3,($BD74+1)^BG74,
IF($BC74=Lookup!$A$4,BH74*$BD74+1,"Error")))</f>
        <v>0.71</v>
      </c>
      <c r="BQ74" s="229">
        <f>IF($BC74=Lookup!$A$2,$BD74*ROUNDUP(BI74/10,0)+1,
IF($BC74=Lookup!$A$3,($BD74+1)^BH74,
IF($BC74=Lookup!$A$4,BI74*$BD74+1,"Error")))</f>
        <v>0.71</v>
      </c>
      <c r="BR74" s="229">
        <f>IF($BC74=Lookup!$A$2,$BD74*ROUNDUP(BJ74/10,0)+1,
IF($BC74=Lookup!$A$3,($BD74+1)^BI74,
IF($BC74=Lookup!$A$4,BJ74*$BD74+1,"Error")))</f>
        <v>0.71</v>
      </c>
      <c r="BS74" s="229">
        <f>IF($BC74=Lookup!$A$2,$BD74*ROUNDUP(BK74/10,0)+1,
IF($BC74=Lookup!$A$3,($BD74+1)^BJ74,
IF($BC74=Lookup!$A$4,BK74*$BD74+1,"Error")))</f>
        <v>0.71</v>
      </c>
      <c r="BT74" s="249">
        <f>IF($BC74=Lookup!$A$2,$BD74*ROUNDUP(BL74/10,0)+1,
IF($BC74=Lookup!$A$3,($BD74+1)^BK74,
IF($BC74=Lookup!$A$4,BL74*$BD74+1,"Error")))</f>
        <v>0.71</v>
      </c>
      <c r="BU74" s="320"/>
      <c r="BV74" s="321"/>
      <c r="BW74" s="321"/>
      <c r="BX74" s="321"/>
      <c r="BY74" s="321"/>
      <c r="BZ74" s="321"/>
      <c r="CA74" s="321"/>
      <c r="CB74" s="277"/>
      <c r="CC74" s="382" t="s">
        <v>293</v>
      </c>
      <c r="CD74" s="383">
        <f>HLOOKUP($CC74,$AK$6:$AM$132,ROWS(CD$6:CD74),0)</f>
        <v>0</v>
      </c>
      <c r="CE74" s="234">
        <f t="shared" si="142"/>
        <v>0</v>
      </c>
      <c r="CF74" s="96">
        <f t="shared" si="142"/>
        <v>0</v>
      </c>
      <c r="CG74" s="96">
        <f t="shared" si="142"/>
        <v>0</v>
      </c>
      <c r="CH74" s="96">
        <f t="shared" si="142"/>
        <v>0</v>
      </c>
      <c r="CI74" s="96">
        <f t="shared" si="84"/>
        <v>0</v>
      </c>
      <c r="CJ74" s="96">
        <f t="shared" si="84"/>
        <v>0</v>
      </c>
      <c r="CK74" s="96">
        <f t="shared" si="84"/>
        <v>0</v>
      </c>
      <c r="CL74" s="286">
        <f t="shared" si="84"/>
        <v>0</v>
      </c>
      <c r="CM74" s="305" t="s">
        <v>293</v>
      </c>
      <c r="CN74" s="315">
        <v>0</v>
      </c>
      <c r="CO74" s="306"/>
      <c r="CP74" s="307" t="str">
        <f>IF($CO74&lt;&gt;"",$CO74,HLOOKUP($CM74,$AY$6:$BA$132,ROWS(CP$6:CP74),0))</f>
        <v/>
      </c>
      <c r="CQ74" s="784" t="str">
        <f t="shared" si="138"/>
        <v/>
      </c>
      <c r="CR74" s="784" t="str">
        <f t="shared" si="138"/>
        <v/>
      </c>
      <c r="CS74" s="97" t="str">
        <f t="shared" si="138"/>
        <v/>
      </c>
      <c r="CT74" s="97" t="str">
        <f t="shared" si="138"/>
        <v/>
      </c>
      <c r="CU74" s="97" t="str">
        <f t="shared" si="138"/>
        <v/>
      </c>
      <c r="CV74" s="97" t="str">
        <f t="shared" si="138"/>
        <v/>
      </c>
      <c r="CW74" s="97" t="str">
        <f t="shared" si="138"/>
        <v/>
      </c>
      <c r="CX74" s="98" t="str">
        <f t="shared" si="62"/>
        <v/>
      </c>
      <c r="CY74" s="392"/>
    </row>
    <row r="75" spans="1:103" x14ac:dyDescent="0.25">
      <c r="A75" s="81" t="s">
        <v>138</v>
      </c>
      <c r="B75" s="82" t="s">
        <v>153</v>
      </c>
      <c r="C75" s="83" t="s">
        <v>365</v>
      </c>
      <c r="D75" s="84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654">
        <f>'2022-23 Input'!F75</f>
        <v>0</v>
      </c>
      <c r="N75" s="1065">
        <v>0</v>
      </c>
      <c r="O75" s="560">
        <f t="shared" si="139"/>
        <v>0</v>
      </c>
      <c r="P75" s="561">
        <f t="shared" si="113"/>
        <v>0</v>
      </c>
      <c r="Q75" s="561">
        <f t="shared" si="114"/>
        <v>0</v>
      </c>
      <c r="R75" s="561">
        <f t="shared" si="115"/>
        <v>0</v>
      </c>
      <c r="S75" s="561">
        <f t="shared" si="116"/>
        <v>0</v>
      </c>
      <c r="T75" s="561">
        <f t="shared" si="117"/>
        <v>0</v>
      </c>
      <c r="U75" s="561">
        <f t="shared" si="118"/>
        <v>0</v>
      </c>
      <c r="V75" s="561">
        <f t="shared" si="119"/>
        <v>0</v>
      </c>
      <c r="W75" s="675">
        <f t="shared" si="120"/>
        <v>0</v>
      </c>
      <c r="X75" s="675">
        <f t="shared" si="121"/>
        <v>0</v>
      </c>
      <c r="Y75" s="675">
        <f t="shared" si="121"/>
        <v>0</v>
      </c>
      <c r="Z75" s="86">
        <v>0</v>
      </c>
      <c r="AA75" s="87">
        <v>0</v>
      </c>
      <c r="AB75" s="87">
        <v>0</v>
      </c>
      <c r="AC75" s="87">
        <v>0</v>
      </c>
      <c r="AD75" s="87">
        <v>0</v>
      </c>
      <c r="AE75" s="87">
        <v>0</v>
      </c>
      <c r="AF75" s="87">
        <v>0</v>
      </c>
      <c r="AG75" s="87">
        <v>0</v>
      </c>
      <c r="AH75" s="87">
        <v>0</v>
      </c>
      <c r="AI75" s="1094">
        <f>'2022-23 Input'!M75</f>
        <v>0</v>
      </c>
      <c r="AJ75" s="665">
        <v>0</v>
      </c>
      <c r="AK75" s="88">
        <f t="shared" si="122"/>
        <v>0</v>
      </c>
      <c r="AL75" s="89">
        <f t="shared" si="123"/>
        <v>0</v>
      </c>
      <c r="AM75" s="90">
        <f t="shared" si="124"/>
        <v>0</v>
      </c>
      <c r="AN75" s="91" t="str">
        <f t="shared" si="125"/>
        <v/>
      </c>
      <c r="AO75" s="92" t="str">
        <f t="shared" si="126"/>
        <v/>
      </c>
      <c r="AP75" s="92" t="str">
        <f t="shared" si="127"/>
        <v/>
      </c>
      <c r="AQ75" s="92" t="str">
        <f t="shared" si="128"/>
        <v/>
      </c>
      <c r="AR75" s="92" t="str">
        <f t="shared" si="129"/>
        <v/>
      </c>
      <c r="AS75" s="92" t="str">
        <f t="shared" si="130"/>
        <v/>
      </c>
      <c r="AT75" s="92" t="str">
        <f t="shared" si="131"/>
        <v/>
      </c>
      <c r="AU75" s="92" t="str">
        <f t="shared" si="132"/>
        <v/>
      </c>
      <c r="AV75" s="92" t="str">
        <f t="shared" si="133"/>
        <v/>
      </c>
      <c r="AW75" s="92" t="str">
        <f t="shared" si="133"/>
        <v/>
      </c>
      <c r="AX75" s="92" t="str">
        <f t="shared" si="133"/>
        <v/>
      </c>
      <c r="AY75" s="93" t="str">
        <f t="shared" si="134"/>
        <v/>
      </c>
      <c r="AZ75" s="94" t="str">
        <f t="shared" si="135"/>
        <v/>
      </c>
      <c r="BA75" s="95" t="str">
        <f t="shared" si="136"/>
        <v/>
      </c>
      <c r="BB75" s="248" t="s">
        <v>422</v>
      </c>
      <c r="BC75" s="229" t="s">
        <v>433</v>
      </c>
      <c r="BD75" s="249">
        <v>-0.28999999999999998</v>
      </c>
      <c r="BE75" s="267">
        <f t="shared" si="140"/>
        <v>0</v>
      </c>
      <c r="BF75" s="268">
        <f t="shared" ref="BF75:BL75" si="145">IF(BF$6=$BB75,1,
IF(BE75&lt;&gt;0,BE75+1,0
))</f>
        <v>0</v>
      </c>
      <c r="BG75" s="268">
        <f t="shared" si="145"/>
        <v>0</v>
      </c>
      <c r="BH75" s="268">
        <f t="shared" si="145"/>
        <v>1</v>
      </c>
      <c r="BI75" s="268">
        <f t="shared" si="145"/>
        <v>2</v>
      </c>
      <c r="BJ75" s="268">
        <f t="shared" si="145"/>
        <v>3</v>
      </c>
      <c r="BK75" s="268">
        <f t="shared" si="145"/>
        <v>4</v>
      </c>
      <c r="BL75" s="269">
        <f t="shared" si="145"/>
        <v>5</v>
      </c>
      <c r="BM75" s="256">
        <f>IF($BC75=Lookup!$A$2,$BD75*ROUNDUP(BE75/10,0)+1,
IF($BC75=Lookup!$A$3,($BD75+1)^BD75,
IF($BC75=Lookup!$A$4,BE75*$BD75+1,"Error")))</f>
        <v>1</v>
      </c>
      <c r="BN75" s="229">
        <f>IF($BC75=Lookup!$A$2,$BD75*ROUNDUP(BF75/10,0)+1,
IF($BC75=Lookup!$A$3,($BD75+1)^BE75,
IF($BC75=Lookup!$A$4,BF75*$BD75+1,"Error")))</f>
        <v>1</v>
      </c>
      <c r="BO75" s="229">
        <f>IF($BC75=Lookup!$A$2,$BD75*ROUNDUP(BG75/10,0)+1,
IF($BC75=Lookup!$A$3,($BD75+1)^BF75,
IF($BC75=Lookup!$A$4,BG75*$BD75+1,"Error")))</f>
        <v>1</v>
      </c>
      <c r="BP75" s="229">
        <f>IF($BC75=Lookup!$A$2,$BD75*ROUNDUP(BH75/10,0)+1,
IF($BC75=Lookup!$A$3,($BD75+1)^BG75,
IF($BC75=Lookup!$A$4,BH75*$BD75+1,"Error")))</f>
        <v>0.71</v>
      </c>
      <c r="BQ75" s="229">
        <f>IF($BC75=Lookup!$A$2,$BD75*ROUNDUP(BI75/10,0)+1,
IF($BC75=Lookup!$A$3,($BD75+1)^BH75,
IF($BC75=Lookup!$A$4,BI75*$BD75+1,"Error")))</f>
        <v>0.71</v>
      </c>
      <c r="BR75" s="229">
        <f>IF($BC75=Lookup!$A$2,$BD75*ROUNDUP(BJ75/10,0)+1,
IF($BC75=Lookup!$A$3,($BD75+1)^BI75,
IF($BC75=Lookup!$A$4,BJ75*$BD75+1,"Error")))</f>
        <v>0.71</v>
      </c>
      <c r="BS75" s="229">
        <f>IF($BC75=Lookup!$A$2,$BD75*ROUNDUP(BK75/10,0)+1,
IF($BC75=Lookup!$A$3,($BD75+1)^BJ75,
IF($BC75=Lookup!$A$4,BK75*$BD75+1,"Error")))</f>
        <v>0.71</v>
      </c>
      <c r="BT75" s="249">
        <f>IF($BC75=Lookup!$A$2,$BD75*ROUNDUP(BL75/10,0)+1,
IF($BC75=Lookup!$A$3,($BD75+1)^BK75,
IF($BC75=Lookup!$A$4,BL75*$BD75+1,"Error")))</f>
        <v>0.71</v>
      </c>
      <c r="BU75" s="320"/>
      <c r="BV75" s="321"/>
      <c r="BW75" s="321"/>
      <c r="BX75" s="321"/>
      <c r="BY75" s="321"/>
      <c r="BZ75" s="321"/>
      <c r="CA75" s="321"/>
      <c r="CB75" s="277"/>
      <c r="CC75" s="382" t="s">
        <v>293</v>
      </c>
      <c r="CD75" s="383">
        <f>HLOOKUP($CC75,$AK$6:$AM$132,ROWS(CD$6:CD75),0)</f>
        <v>0</v>
      </c>
      <c r="CE75" s="234">
        <f t="shared" si="142"/>
        <v>0</v>
      </c>
      <c r="CF75" s="96">
        <f t="shared" si="142"/>
        <v>0</v>
      </c>
      <c r="CG75" s="96">
        <f t="shared" si="142"/>
        <v>0</v>
      </c>
      <c r="CH75" s="96">
        <f t="shared" si="142"/>
        <v>0</v>
      </c>
      <c r="CI75" s="96">
        <f t="shared" si="84"/>
        <v>0</v>
      </c>
      <c r="CJ75" s="96">
        <f t="shared" si="84"/>
        <v>0</v>
      </c>
      <c r="CK75" s="96">
        <f t="shared" si="84"/>
        <v>0</v>
      </c>
      <c r="CL75" s="286">
        <f t="shared" si="84"/>
        <v>0</v>
      </c>
      <c r="CM75" s="305" t="s">
        <v>293</v>
      </c>
      <c r="CN75" s="315">
        <v>0</v>
      </c>
      <c r="CO75" s="306"/>
      <c r="CP75" s="307" t="str">
        <f>IF($CO75&lt;&gt;"",$CO75,HLOOKUP($CM75,$AY$6:$BA$132,ROWS(CP$6:CP75),0))</f>
        <v/>
      </c>
      <c r="CQ75" s="784" t="str">
        <f t="shared" si="138"/>
        <v/>
      </c>
      <c r="CR75" s="784" t="str">
        <f t="shared" si="138"/>
        <v/>
      </c>
      <c r="CS75" s="97" t="str">
        <f t="shared" si="138"/>
        <v/>
      </c>
      <c r="CT75" s="97" t="str">
        <f t="shared" si="138"/>
        <v/>
      </c>
      <c r="CU75" s="97" t="str">
        <f t="shared" si="138"/>
        <v/>
      </c>
      <c r="CV75" s="97" t="str">
        <f t="shared" si="138"/>
        <v/>
      </c>
      <c r="CW75" s="97" t="str">
        <f t="shared" si="138"/>
        <v/>
      </c>
      <c r="CX75" s="98" t="str">
        <f t="shared" si="62"/>
        <v/>
      </c>
      <c r="CY75" s="392"/>
    </row>
    <row r="76" spans="1:103" x14ac:dyDescent="0.25">
      <c r="A76" s="81" t="s">
        <v>138</v>
      </c>
      <c r="B76" s="82" t="s">
        <v>155</v>
      </c>
      <c r="C76" s="83" t="s">
        <v>366</v>
      </c>
      <c r="D76" s="84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654">
        <f>'2022-23 Input'!F76</f>
        <v>0</v>
      </c>
      <c r="N76" s="1065">
        <v>0</v>
      </c>
      <c r="O76" s="560">
        <f t="shared" si="139"/>
        <v>0</v>
      </c>
      <c r="P76" s="561">
        <f t="shared" si="113"/>
        <v>0</v>
      </c>
      <c r="Q76" s="561">
        <f t="shared" si="114"/>
        <v>0</v>
      </c>
      <c r="R76" s="561">
        <f t="shared" si="115"/>
        <v>0</v>
      </c>
      <c r="S76" s="561">
        <f t="shared" si="116"/>
        <v>0</v>
      </c>
      <c r="T76" s="561">
        <f t="shared" si="117"/>
        <v>0</v>
      </c>
      <c r="U76" s="561">
        <f t="shared" si="118"/>
        <v>0</v>
      </c>
      <c r="V76" s="561">
        <f t="shared" si="119"/>
        <v>0</v>
      </c>
      <c r="W76" s="675">
        <f t="shared" si="120"/>
        <v>0</v>
      </c>
      <c r="X76" s="675">
        <f t="shared" si="121"/>
        <v>0</v>
      </c>
      <c r="Y76" s="675">
        <f t="shared" si="121"/>
        <v>0</v>
      </c>
      <c r="Z76" s="86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1094">
        <f>'2022-23 Input'!M76</f>
        <v>0</v>
      </c>
      <c r="AJ76" s="665">
        <v>0</v>
      </c>
      <c r="AK76" s="88">
        <f t="shared" si="122"/>
        <v>0</v>
      </c>
      <c r="AL76" s="89">
        <f t="shared" si="123"/>
        <v>0</v>
      </c>
      <c r="AM76" s="90">
        <f t="shared" si="124"/>
        <v>0</v>
      </c>
      <c r="AN76" s="91" t="str">
        <f t="shared" si="125"/>
        <v/>
      </c>
      <c r="AO76" s="92" t="str">
        <f t="shared" si="126"/>
        <v/>
      </c>
      <c r="AP76" s="92" t="str">
        <f t="shared" si="127"/>
        <v/>
      </c>
      <c r="AQ76" s="92" t="str">
        <f t="shared" si="128"/>
        <v/>
      </c>
      <c r="AR76" s="92" t="str">
        <f t="shared" si="129"/>
        <v/>
      </c>
      <c r="AS76" s="92" t="str">
        <f t="shared" si="130"/>
        <v/>
      </c>
      <c r="AT76" s="92" t="str">
        <f t="shared" si="131"/>
        <v/>
      </c>
      <c r="AU76" s="92" t="str">
        <f t="shared" si="132"/>
        <v/>
      </c>
      <c r="AV76" s="92" t="str">
        <f t="shared" si="133"/>
        <v/>
      </c>
      <c r="AW76" s="92" t="str">
        <f t="shared" si="133"/>
        <v/>
      </c>
      <c r="AX76" s="92" t="str">
        <f t="shared" si="133"/>
        <v/>
      </c>
      <c r="AY76" s="93" t="str">
        <f t="shared" si="134"/>
        <v/>
      </c>
      <c r="AZ76" s="94" t="str">
        <f t="shared" si="135"/>
        <v/>
      </c>
      <c r="BA76" s="95" t="str">
        <f t="shared" si="136"/>
        <v/>
      </c>
      <c r="BB76" s="248" t="s">
        <v>422</v>
      </c>
      <c r="BC76" s="229" t="s">
        <v>433</v>
      </c>
      <c r="BD76" s="249">
        <v>-0.28999999999999998</v>
      </c>
      <c r="BE76" s="267">
        <f t="shared" si="140"/>
        <v>0</v>
      </c>
      <c r="BF76" s="268">
        <f t="shared" ref="BF76:BL76" si="146">IF(BF$6=$BB76,1,
IF(BE76&lt;&gt;0,BE76+1,0
))</f>
        <v>0</v>
      </c>
      <c r="BG76" s="268">
        <f t="shared" si="146"/>
        <v>0</v>
      </c>
      <c r="BH76" s="268">
        <f t="shared" si="146"/>
        <v>1</v>
      </c>
      <c r="BI76" s="268">
        <f t="shared" si="146"/>
        <v>2</v>
      </c>
      <c r="BJ76" s="268">
        <f t="shared" si="146"/>
        <v>3</v>
      </c>
      <c r="BK76" s="268">
        <f t="shared" si="146"/>
        <v>4</v>
      </c>
      <c r="BL76" s="269">
        <f t="shared" si="146"/>
        <v>5</v>
      </c>
      <c r="BM76" s="256">
        <f>IF($BC76=Lookup!$A$2,$BD76*ROUNDUP(BE76/10,0)+1,
IF($BC76=Lookup!$A$3,($BD76+1)^BD76,
IF($BC76=Lookup!$A$4,BE76*$BD76+1,"Error")))</f>
        <v>1</v>
      </c>
      <c r="BN76" s="229">
        <f>IF($BC76=Lookup!$A$2,$BD76*ROUNDUP(BF76/10,0)+1,
IF($BC76=Lookup!$A$3,($BD76+1)^BE76,
IF($BC76=Lookup!$A$4,BF76*$BD76+1,"Error")))</f>
        <v>1</v>
      </c>
      <c r="BO76" s="229">
        <f>IF($BC76=Lookup!$A$2,$BD76*ROUNDUP(BG76/10,0)+1,
IF($BC76=Lookup!$A$3,($BD76+1)^BF76,
IF($BC76=Lookup!$A$4,BG76*$BD76+1,"Error")))</f>
        <v>1</v>
      </c>
      <c r="BP76" s="229">
        <f>IF($BC76=Lookup!$A$2,$BD76*ROUNDUP(BH76/10,0)+1,
IF($BC76=Lookup!$A$3,($BD76+1)^BG76,
IF($BC76=Lookup!$A$4,BH76*$BD76+1,"Error")))</f>
        <v>0.71</v>
      </c>
      <c r="BQ76" s="229">
        <f>IF($BC76=Lookup!$A$2,$BD76*ROUNDUP(BI76/10,0)+1,
IF($BC76=Lookup!$A$3,($BD76+1)^BH76,
IF($BC76=Lookup!$A$4,BI76*$BD76+1,"Error")))</f>
        <v>0.71</v>
      </c>
      <c r="BR76" s="229">
        <f>IF($BC76=Lookup!$A$2,$BD76*ROUNDUP(BJ76/10,0)+1,
IF($BC76=Lookup!$A$3,($BD76+1)^BI76,
IF($BC76=Lookup!$A$4,BJ76*$BD76+1,"Error")))</f>
        <v>0.71</v>
      </c>
      <c r="BS76" s="229">
        <f>IF($BC76=Lookup!$A$2,$BD76*ROUNDUP(BK76/10,0)+1,
IF($BC76=Lookup!$A$3,($BD76+1)^BJ76,
IF($BC76=Lookup!$A$4,BK76*$BD76+1,"Error")))</f>
        <v>0.71</v>
      </c>
      <c r="BT76" s="249">
        <f>IF($BC76=Lookup!$A$2,$BD76*ROUNDUP(BL76/10,0)+1,
IF($BC76=Lookup!$A$3,($BD76+1)^BK76,
IF($BC76=Lookup!$A$4,BL76*$BD76+1,"Error")))</f>
        <v>0.71</v>
      </c>
      <c r="BU76" s="320"/>
      <c r="BV76" s="321"/>
      <c r="BW76" s="321"/>
      <c r="BX76" s="321"/>
      <c r="BY76" s="321"/>
      <c r="BZ76" s="321"/>
      <c r="CA76" s="321"/>
      <c r="CB76" s="277"/>
      <c r="CC76" s="382" t="s">
        <v>293</v>
      </c>
      <c r="CD76" s="383">
        <f>HLOOKUP($CC76,$AK$6:$AM$132,ROWS(CD$6:CD76),0)</f>
        <v>0</v>
      </c>
      <c r="CE76" s="234">
        <f t="shared" si="142"/>
        <v>0</v>
      </c>
      <c r="CF76" s="96">
        <f t="shared" si="142"/>
        <v>0</v>
      </c>
      <c r="CG76" s="96">
        <f t="shared" si="142"/>
        <v>0</v>
      </c>
      <c r="CH76" s="96">
        <f t="shared" si="142"/>
        <v>0</v>
      </c>
      <c r="CI76" s="96">
        <f t="shared" si="84"/>
        <v>0</v>
      </c>
      <c r="CJ76" s="96">
        <f t="shared" si="84"/>
        <v>0</v>
      </c>
      <c r="CK76" s="96">
        <f t="shared" si="84"/>
        <v>0</v>
      </c>
      <c r="CL76" s="286">
        <f t="shared" si="84"/>
        <v>0</v>
      </c>
      <c r="CM76" s="305" t="s">
        <v>293</v>
      </c>
      <c r="CN76" s="315">
        <v>0</v>
      </c>
      <c r="CO76" s="306"/>
      <c r="CP76" s="307" t="str">
        <f>IF($CO76&lt;&gt;"",$CO76,HLOOKUP($CM76,$AY$6:$BA$132,ROWS(CP$6:CP76),0))</f>
        <v/>
      </c>
      <c r="CQ76" s="784" t="str">
        <f t="shared" si="138"/>
        <v/>
      </c>
      <c r="CR76" s="784" t="str">
        <f t="shared" si="138"/>
        <v/>
      </c>
      <c r="CS76" s="97" t="str">
        <f t="shared" si="138"/>
        <v/>
      </c>
      <c r="CT76" s="97" t="str">
        <f t="shared" si="138"/>
        <v/>
      </c>
      <c r="CU76" s="97" t="str">
        <f t="shared" si="138"/>
        <v/>
      </c>
      <c r="CV76" s="97" t="str">
        <f t="shared" si="138"/>
        <v/>
      </c>
      <c r="CW76" s="97" t="str">
        <f t="shared" si="138"/>
        <v/>
      </c>
      <c r="CX76" s="98" t="str">
        <f t="shared" si="62"/>
        <v/>
      </c>
      <c r="CY76" s="392"/>
    </row>
    <row r="77" spans="1:103" x14ac:dyDescent="0.25">
      <c r="A77" s="81" t="s">
        <v>138</v>
      </c>
      <c r="B77" s="82" t="s">
        <v>157</v>
      </c>
      <c r="C77" s="83" t="s">
        <v>367</v>
      </c>
      <c r="D77" s="84">
        <v>244797.66890101184</v>
      </c>
      <c r="E77" s="85">
        <v>345369.91433658212</v>
      </c>
      <c r="F77" s="85">
        <v>3512711.9361674343</v>
      </c>
      <c r="G77" s="85">
        <v>1218684.7867390474</v>
      </c>
      <c r="H77" s="85">
        <v>3683188.4101867536</v>
      </c>
      <c r="I77" s="85">
        <v>4104516.799174469</v>
      </c>
      <c r="J77" s="85">
        <v>2005639.7954673928</v>
      </c>
      <c r="K77" s="85">
        <v>5092612.6488674888</v>
      </c>
      <c r="L77" s="85">
        <v>3950405.6888465607</v>
      </c>
      <c r="M77" s="654">
        <f>'2022-23 Input'!F77</f>
        <v>2695547.2048258055</v>
      </c>
      <c r="N77" s="1065">
        <v>2340453.1254108734</v>
      </c>
      <c r="O77" s="560">
        <f t="shared" si="139"/>
        <v>329364.57054990565</v>
      </c>
      <c r="P77" s="561">
        <f t="shared" si="113"/>
        <v>457763.96427605575</v>
      </c>
      <c r="Q77" s="561">
        <f t="shared" si="114"/>
        <v>4608698.2503875755</v>
      </c>
      <c r="R77" s="561">
        <f t="shared" si="115"/>
        <v>1568589.6017505603</v>
      </c>
      <c r="S77" s="561">
        <f t="shared" si="116"/>
        <v>4644201.5039572837</v>
      </c>
      <c r="T77" s="561">
        <f t="shared" si="117"/>
        <v>5094314.024876684</v>
      </c>
      <c r="U77" s="561">
        <f t="shared" si="118"/>
        <v>2498000.2450513584</v>
      </c>
      <c r="V77" s="561">
        <f t="shared" si="119"/>
        <v>6107869.7424257789</v>
      </c>
      <c r="W77" s="675">
        <f t="shared" si="120"/>
        <v>4463670.9730690094</v>
      </c>
      <c r="X77" s="675">
        <f t="shared" si="121"/>
        <v>2866609.1267690095</v>
      </c>
      <c r="Y77" s="675">
        <f t="shared" si="121"/>
        <v>2404812.0272701313</v>
      </c>
      <c r="Z77" s="86">
        <v>1</v>
      </c>
      <c r="AA77" s="87">
        <v>1</v>
      </c>
      <c r="AB77" s="87">
        <v>8</v>
      </c>
      <c r="AC77" s="87">
        <v>3</v>
      </c>
      <c r="AD77" s="87">
        <v>11</v>
      </c>
      <c r="AE77" s="87">
        <v>10</v>
      </c>
      <c r="AF77" s="87">
        <v>12</v>
      </c>
      <c r="AG77" s="87">
        <v>32</v>
      </c>
      <c r="AH77" s="87">
        <v>36</v>
      </c>
      <c r="AI77" s="1094">
        <f>'2022-23 Input'!M77</f>
        <v>21</v>
      </c>
      <c r="AJ77" s="665">
        <v>21</v>
      </c>
      <c r="AK77" s="88">
        <f t="shared" si="122"/>
        <v>22.2</v>
      </c>
      <c r="AL77" s="89">
        <f t="shared" si="123"/>
        <v>29.666666666666668</v>
      </c>
      <c r="AM77" s="90">
        <f t="shared" si="124"/>
        <v>21</v>
      </c>
      <c r="AN77" s="91">
        <f t="shared" si="125"/>
        <v>244797.66890101184</v>
      </c>
      <c r="AO77" s="92">
        <f t="shared" si="126"/>
        <v>345369.91433658212</v>
      </c>
      <c r="AP77" s="92">
        <f t="shared" si="127"/>
        <v>439088.99202092929</v>
      </c>
      <c r="AQ77" s="92">
        <f t="shared" si="128"/>
        <v>406228.26224634913</v>
      </c>
      <c r="AR77" s="92">
        <f t="shared" si="129"/>
        <v>334835.3100169776</v>
      </c>
      <c r="AS77" s="92">
        <f t="shared" si="130"/>
        <v>410451.67991744692</v>
      </c>
      <c r="AT77" s="92">
        <f t="shared" si="131"/>
        <v>167136.64962228274</v>
      </c>
      <c r="AU77" s="92">
        <f t="shared" si="132"/>
        <v>159144.14527710903</v>
      </c>
      <c r="AV77" s="92">
        <f t="shared" si="133"/>
        <v>109733.49135684891</v>
      </c>
      <c r="AW77" s="92">
        <f t="shared" si="133"/>
        <v>128359.39070599074</v>
      </c>
      <c r="AX77" s="92">
        <f t="shared" si="133"/>
        <v>111450.14882908922</v>
      </c>
      <c r="AY77" s="93">
        <f t="shared" si="134"/>
        <v>160799.29853316859</v>
      </c>
      <c r="AZ77" s="94">
        <f t="shared" si="135"/>
        <v>131893.99485999838</v>
      </c>
      <c r="BA77" s="95">
        <f t="shared" si="136"/>
        <v>128359.39070599074</v>
      </c>
      <c r="BB77" s="248" t="s">
        <v>422</v>
      </c>
      <c r="BC77" s="229" t="s">
        <v>433</v>
      </c>
      <c r="BD77" s="249">
        <v>-0.28999999999999998</v>
      </c>
      <c r="BE77" s="267">
        <f t="shared" si="140"/>
        <v>0</v>
      </c>
      <c r="BF77" s="268">
        <f t="shared" ref="BF77:BL77" si="147">IF(BF$6=$BB77,1,
IF(BE77&lt;&gt;0,BE77+1,0
))</f>
        <v>0</v>
      </c>
      <c r="BG77" s="268">
        <f t="shared" si="147"/>
        <v>0</v>
      </c>
      <c r="BH77" s="268">
        <f t="shared" si="147"/>
        <v>1</v>
      </c>
      <c r="BI77" s="268">
        <f t="shared" si="147"/>
        <v>2</v>
      </c>
      <c r="BJ77" s="268">
        <f t="shared" si="147"/>
        <v>3</v>
      </c>
      <c r="BK77" s="268">
        <f t="shared" si="147"/>
        <v>4</v>
      </c>
      <c r="BL77" s="269">
        <f t="shared" si="147"/>
        <v>5</v>
      </c>
      <c r="BM77" s="256">
        <f>IF($BC77=Lookup!$A$2,$BD77*ROUNDUP(BE77/10,0)+1,
IF($BC77=Lookup!$A$3,($BD77+1)^BD77,
IF($BC77=Lookup!$A$4,BE77*$BD77+1,"Error")))</f>
        <v>1</v>
      </c>
      <c r="BN77" s="229">
        <f>IF($BC77=Lookup!$A$2,$BD77*ROUNDUP(BF77/10,0)+1,
IF($BC77=Lookup!$A$3,($BD77+1)^BE77,
IF($BC77=Lookup!$A$4,BF77*$BD77+1,"Error")))</f>
        <v>1</v>
      </c>
      <c r="BO77" s="229">
        <f>IF($BC77=Lookup!$A$2,$BD77*ROUNDUP(BG77/10,0)+1,
IF($BC77=Lookup!$A$3,($BD77+1)^BF77,
IF($BC77=Lookup!$A$4,BG77*$BD77+1,"Error")))</f>
        <v>1</v>
      </c>
      <c r="BP77" s="229">
        <f>IF($BC77=Lookup!$A$2,$BD77*ROUNDUP(BH77/10,0)+1,
IF($BC77=Lookup!$A$3,($BD77+1)^BG77,
IF($BC77=Lookup!$A$4,BH77*$BD77+1,"Error")))</f>
        <v>0.71</v>
      </c>
      <c r="BQ77" s="229">
        <f>IF($BC77=Lookup!$A$2,$BD77*ROUNDUP(BI77/10,0)+1,
IF($BC77=Lookup!$A$3,($BD77+1)^BH77,
IF($BC77=Lookup!$A$4,BI77*$BD77+1,"Error")))</f>
        <v>0.71</v>
      </c>
      <c r="BR77" s="229">
        <f>IF($BC77=Lookup!$A$2,$BD77*ROUNDUP(BJ77/10,0)+1,
IF($BC77=Lookup!$A$3,($BD77+1)^BI77,
IF($BC77=Lookup!$A$4,BJ77*$BD77+1,"Error")))</f>
        <v>0.71</v>
      </c>
      <c r="BS77" s="229">
        <f>IF($BC77=Lookup!$A$2,$BD77*ROUNDUP(BK77/10,0)+1,
IF($BC77=Lookup!$A$3,($BD77+1)^BJ77,
IF($BC77=Lookup!$A$4,BK77*$BD77+1,"Error")))</f>
        <v>0.71</v>
      </c>
      <c r="BT77" s="249">
        <f>IF($BC77=Lookup!$A$2,$BD77*ROUNDUP(BL77/10,0)+1,
IF($BC77=Lookup!$A$3,($BD77+1)^BK77,
IF($BC77=Lookup!$A$4,BL77*$BD77+1,"Error")))</f>
        <v>0.71</v>
      </c>
      <c r="BU77" s="320"/>
      <c r="BV77" s="321"/>
      <c r="BW77" s="321"/>
      <c r="BX77" s="321"/>
      <c r="BY77" s="321"/>
      <c r="BZ77" s="321"/>
      <c r="CA77" s="321"/>
      <c r="CB77" s="277"/>
      <c r="CC77" s="382" t="s">
        <v>293</v>
      </c>
      <c r="CD77" s="383">
        <f>HLOOKUP($CC77,$AK$6:$AM$132,ROWS(CD$6:CD77),0)</f>
        <v>29.666666666666668</v>
      </c>
      <c r="CE77" s="234">
        <f t="shared" si="142"/>
        <v>29.666666666666668</v>
      </c>
      <c r="CF77" s="96">
        <f t="shared" si="142"/>
        <v>29.666666666666668</v>
      </c>
      <c r="CG77" s="96">
        <f t="shared" si="142"/>
        <v>29.666666666666668</v>
      </c>
      <c r="CH77" s="96">
        <f t="shared" si="142"/>
        <v>21.063333333333333</v>
      </c>
      <c r="CI77" s="96">
        <f t="shared" si="84"/>
        <v>21.063333333333333</v>
      </c>
      <c r="CJ77" s="96">
        <f t="shared" si="84"/>
        <v>21.063333333333333</v>
      </c>
      <c r="CK77" s="96">
        <f t="shared" si="84"/>
        <v>21.063333333333333</v>
      </c>
      <c r="CL77" s="286">
        <f t="shared" si="84"/>
        <v>21.063333333333333</v>
      </c>
      <c r="CM77" s="305" t="s">
        <v>293</v>
      </c>
      <c r="CN77" s="315">
        <v>0</v>
      </c>
      <c r="CO77" s="306"/>
      <c r="CP77" s="307">
        <f>IF($CO77&lt;&gt;"",$CO77,HLOOKUP($CM77,$AY$6:$BA$132,ROWS(CP$6:CP77),0))</f>
        <v>131893.99485999838</v>
      </c>
      <c r="CQ77" s="784">
        <f t="shared" si="138"/>
        <v>3912855.1808466185</v>
      </c>
      <c r="CR77" s="784">
        <f t="shared" si="138"/>
        <v>3912855.1808466185</v>
      </c>
      <c r="CS77" s="97">
        <f t="shared" si="138"/>
        <v>3912855.1808466185</v>
      </c>
      <c r="CT77" s="97">
        <f t="shared" si="138"/>
        <v>2778127.1784010991</v>
      </c>
      <c r="CU77" s="97">
        <f t="shared" si="138"/>
        <v>2778127.1784010991</v>
      </c>
      <c r="CV77" s="97">
        <f t="shared" si="138"/>
        <v>2778127.1784010991</v>
      </c>
      <c r="CW77" s="97">
        <f t="shared" si="138"/>
        <v>2778127.1784010991</v>
      </c>
      <c r="CX77" s="98">
        <f t="shared" si="62"/>
        <v>2778127.1784010991</v>
      </c>
      <c r="CY77" s="392"/>
    </row>
    <row r="78" spans="1:103" x14ac:dyDescent="0.25">
      <c r="A78" s="81" t="s">
        <v>138</v>
      </c>
      <c r="B78" s="82" t="s">
        <v>159</v>
      </c>
      <c r="C78" s="83" t="s">
        <v>368</v>
      </c>
      <c r="D78" s="84">
        <v>440679.81295051321</v>
      </c>
      <c r="E78" s="85">
        <v>160.70959111498792</v>
      </c>
      <c r="F78" s="85">
        <v>306977.41068119602</v>
      </c>
      <c r="G78" s="85">
        <v>527886.67882551509</v>
      </c>
      <c r="H78" s="85">
        <v>836137.13907692512</v>
      </c>
      <c r="I78" s="85">
        <v>1113066.8256254948</v>
      </c>
      <c r="J78" s="85">
        <v>384593.783521234</v>
      </c>
      <c r="K78" s="85">
        <v>593637.91707968106</v>
      </c>
      <c r="L78" s="85">
        <v>305733.23283967294</v>
      </c>
      <c r="M78" s="654">
        <f>'2022-23 Input'!F78</f>
        <v>1302804.8329014545</v>
      </c>
      <c r="N78" s="1065">
        <v>2556521.8024428808</v>
      </c>
      <c r="O78" s="560">
        <f t="shared" si="139"/>
        <v>592915.43908104021</v>
      </c>
      <c r="P78" s="561">
        <f t="shared" si="113"/>
        <v>213.0094616587989</v>
      </c>
      <c r="Q78" s="561">
        <f t="shared" si="114"/>
        <v>402756.12723841099</v>
      </c>
      <c r="R78" s="561">
        <f t="shared" si="115"/>
        <v>679451.78631793766</v>
      </c>
      <c r="S78" s="561">
        <f t="shared" si="116"/>
        <v>1054301.0365898446</v>
      </c>
      <c r="T78" s="561">
        <f t="shared" si="117"/>
        <v>1381480.9922447838</v>
      </c>
      <c r="U78" s="561">
        <f t="shared" si="118"/>
        <v>479006.93217816169</v>
      </c>
      <c r="V78" s="561">
        <f t="shared" si="119"/>
        <v>711984.85368683562</v>
      </c>
      <c r="W78" s="675">
        <f t="shared" si="120"/>
        <v>345456.30611610925</v>
      </c>
      <c r="X78" s="675">
        <f t="shared" si="121"/>
        <v>1385482.0341146381</v>
      </c>
      <c r="Y78" s="675">
        <f t="shared" si="121"/>
        <v>2626822.2643483463</v>
      </c>
      <c r="Z78" s="86">
        <v>1</v>
      </c>
      <c r="AA78" s="87">
        <v>0</v>
      </c>
      <c r="AB78" s="87">
        <v>1</v>
      </c>
      <c r="AC78" s="87">
        <v>1</v>
      </c>
      <c r="AD78" s="87">
        <v>2</v>
      </c>
      <c r="AE78" s="87">
        <v>3</v>
      </c>
      <c r="AF78" s="87">
        <v>3</v>
      </c>
      <c r="AG78" s="87">
        <v>7</v>
      </c>
      <c r="AH78" s="87">
        <v>4</v>
      </c>
      <c r="AI78" s="1094">
        <f>'2022-23 Input'!M78</f>
        <v>7</v>
      </c>
      <c r="AJ78" s="665">
        <v>4</v>
      </c>
      <c r="AK78" s="88">
        <f t="shared" si="122"/>
        <v>4.8</v>
      </c>
      <c r="AL78" s="89">
        <f t="shared" si="123"/>
        <v>6</v>
      </c>
      <c r="AM78" s="90">
        <f t="shared" si="124"/>
        <v>7</v>
      </c>
      <c r="AN78" s="91">
        <f t="shared" si="125"/>
        <v>440679.81295051321</v>
      </c>
      <c r="AO78" s="92" t="str">
        <f t="shared" si="126"/>
        <v/>
      </c>
      <c r="AP78" s="92">
        <f t="shared" si="127"/>
        <v>306977.41068119602</v>
      </c>
      <c r="AQ78" s="92">
        <f t="shared" si="128"/>
        <v>527886.67882551509</v>
      </c>
      <c r="AR78" s="92">
        <f t="shared" si="129"/>
        <v>418068.56953846256</v>
      </c>
      <c r="AS78" s="92">
        <f t="shared" si="130"/>
        <v>371022.27520849829</v>
      </c>
      <c r="AT78" s="92">
        <f t="shared" si="131"/>
        <v>128197.92784041133</v>
      </c>
      <c r="AU78" s="92">
        <f t="shared" si="132"/>
        <v>84805.416725668721</v>
      </c>
      <c r="AV78" s="92">
        <f t="shared" si="133"/>
        <v>76433.308209918236</v>
      </c>
      <c r="AW78" s="92">
        <f t="shared" si="133"/>
        <v>186114.97612877921</v>
      </c>
      <c r="AX78" s="92">
        <f t="shared" si="133"/>
        <v>639130.4506107202</v>
      </c>
      <c r="AY78" s="93">
        <f t="shared" si="134"/>
        <v>154159.85799864741</v>
      </c>
      <c r="AZ78" s="94">
        <f t="shared" si="135"/>
        <v>122343.11015671158</v>
      </c>
      <c r="BA78" s="95">
        <f t="shared" si="136"/>
        <v>186114.97612877921</v>
      </c>
      <c r="BB78" s="248" t="s">
        <v>422</v>
      </c>
      <c r="BC78" s="229" t="s">
        <v>433</v>
      </c>
      <c r="BD78" s="249">
        <v>-0.28999999999999998</v>
      </c>
      <c r="BE78" s="267">
        <f t="shared" si="140"/>
        <v>0</v>
      </c>
      <c r="BF78" s="268">
        <f t="shared" ref="BF78:BL78" si="148">IF(BF$6=$BB78,1,
IF(BE78&lt;&gt;0,BE78+1,0
))</f>
        <v>0</v>
      </c>
      <c r="BG78" s="268">
        <f t="shared" si="148"/>
        <v>0</v>
      </c>
      <c r="BH78" s="268">
        <f t="shared" si="148"/>
        <v>1</v>
      </c>
      <c r="BI78" s="268">
        <f t="shared" si="148"/>
        <v>2</v>
      </c>
      <c r="BJ78" s="268">
        <f t="shared" si="148"/>
        <v>3</v>
      </c>
      <c r="BK78" s="268">
        <f t="shared" si="148"/>
        <v>4</v>
      </c>
      <c r="BL78" s="269">
        <f t="shared" si="148"/>
        <v>5</v>
      </c>
      <c r="BM78" s="256">
        <f>IF($BC78=Lookup!$A$2,$BD78*ROUNDUP(BE78/10,0)+1,
IF($BC78=Lookup!$A$3,($BD78+1)^BD78,
IF($BC78=Lookup!$A$4,BE78*$BD78+1,"Error")))</f>
        <v>1</v>
      </c>
      <c r="BN78" s="229">
        <f>IF($BC78=Lookup!$A$2,$BD78*ROUNDUP(BF78/10,0)+1,
IF($BC78=Lookup!$A$3,($BD78+1)^BE78,
IF($BC78=Lookup!$A$4,BF78*$BD78+1,"Error")))</f>
        <v>1</v>
      </c>
      <c r="BO78" s="229">
        <f>IF($BC78=Lookup!$A$2,$BD78*ROUNDUP(BG78/10,0)+1,
IF($BC78=Lookup!$A$3,($BD78+1)^BF78,
IF($BC78=Lookup!$A$4,BG78*$BD78+1,"Error")))</f>
        <v>1</v>
      </c>
      <c r="BP78" s="229">
        <f>IF($BC78=Lookup!$A$2,$BD78*ROUNDUP(BH78/10,0)+1,
IF($BC78=Lookup!$A$3,($BD78+1)^BG78,
IF($BC78=Lookup!$A$4,BH78*$BD78+1,"Error")))</f>
        <v>0.71</v>
      </c>
      <c r="BQ78" s="229">
        <f>IF($BC78=Lookup!$A$2,$BD78*ROUNDUP(BI78/10,0)+1,
IF($BC78=Lookup!$A$3,($BD78+1)^BH78,
IF($BC78=Lookup!$A$4,BI78*$BD78+1,"Error")))</f>
        <v>0.71</v>
      </c>
      <c r="BR78" s="229">
        <f>IF($BC78=Lookup!$A$2,$BD78*ROUNDUP(BJ78/10,0)+1,
IF($BC78=Lookup!$A$3,($BD78+1)^BI78,
IF($BC78=Lookup!$A$4,BJ78*$BD78+1,"Error")))</f>
        <v>0.71</v>
      </c>
      <c r="BS78" s="229">
        <f>IF($BC78=Lookup!$A$2,$BD78*ROUNDUP(BK78/10,0)+1,
IF($BC78=Lookup!$A$3,($BD78+1)^BJ78,
IF($BC78=Lookup!$A$4,BK78*$BD78+1,"Error")))</f>
        <v>0.71</v>
      </c>
      <c r="BT78" s="249">
        <f>IF($BC78=Lookup!$A$2,$BD78*ROUNDUP(BL78/10,0)+1,
IF($BC78=Lookup!$A$3,($BD78+1)^BK78,
IF($BC78=Lookup!$A$4,BL78*$BD78+1,"Error")))</f>
        <v>0.71</v>
      </c>
      <c r="BU78" s="320"/>
      <c r="BV78" s="321"/>
      <c r="BW78" s="321"/>
      <c r="BX78" s="321"/>
      <c r="BY78" s="321"/>
      <c r="BZ78" s="321"/>
      <c r="CA78" s="321"/>
      <c r="CB78" s="277"/>
      <c r="CC78" s="382" t="s">
        <v>293</v>
      </c>
      <c r="CD78" s="383">
        <f>HLOOKUP($CC78,$AK$6:$AM$132,ROWS(CD$6:CD78),0)</f>
        <v>6</v>
      </c>
      <c r="CE78" s="234">
        <f t="shared" si="142"/>
        <v>6</v>
      </c>
      <c r="CF78" s="96">
        <f t="shared" si="142"/>
        <v>6</v>
      </c>
      <c r="CG78" s="96">
        <f t="shared" si="142"/>
        <v>6</v>
      </c>
      <c r="CH78" s="96">
        <f t="shared" si="142"/>
        <v>4.26</v>
      </c>
      <c r="CI78" s="96">
        <f t="shared" si="84"/>
        <v>4.26</v>
      </c>
      <c r="CJ78" s="96">
        <f t="shared" si="84"/>
        <v>4.26</v>
      </c>
      <c r="CK78" s="96">
        <f t="shared" si="84"/>
        <v>4.26</v>
      </c>
      <c r="CL78" s="286">
        <f t="shared" si="84"/>
        <v>4.26</v>
      </c>
      <c r="CM78" s="305" t="s">
        <v>293</v>
      </c>
      <c r="CN78" s="315">
        <v>0</v>
      </c>
      <c r="CO78" s="306"/>
      <c r="CP78" s="307">
        <f>IF($CO78&lt;&gt;"",$CO78,HLOOKUP($CM78,$AY$6:$BA$132,ROWS(CP$6:CP78),0))</f>
        <v>122343.11015671158</v>
      </c>
      <c r="CQ78" s="784">
        <f t="shared" si="138"/>
        <v>734058.66094026947</v>
      </c>
      <c r="CR78" s="784">
        <f t="shared" si="138"/>
        <v>734058.66094026947</v>
      </c>
      <c r="CS78" s="97">
        <f t="shared" si="138"/>
        <v>734058.66094026947</v>
      </c>
      <c r="CT78" s="97">
        <f t="shared" si="138"/>
        <v>521181.6492675913</v>
      </c>
      <c r="CU78" s="97">
        <f t="shared" si="138"/>
        <v>521181.6492675913</v>
      </c>
      <c r="CV78" s="97">
        <f t="shared" si="138"/>
        <v>521181.6492675913</v>
      </c>
      <c r="CW78" s="97">
        <f t="shared" si="138"/>
        <v>521181.6492675913</v>
      </c>
      <c r="CX78" s="98">
        <f t="shared" si="62"/>
        <v>521181.6492675913</v>
      </c>
      <c r="CY78" s="392"/>
    </row>
    <row r="79" spans="1:103" x14ac:dyDescent="0.25">
      <c r="A79" s="81" t="s">
        <v>138</v>
      </c>
      <c r="B79" s="82" t="s">
        <v>161</v>
      </c>
      <c r="C79" s="83" t="s">
        <v>369</v>
      </c>
      <c r="D79" s="84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654">
        <f>'2022-23 Input'!F79</f>
        <v>0</v>
      </c>
      <c r="N79" s="1065">
        <v>0</v>
      </c>
      <c r="O79" s="560">
        <f t="shared" si="139"/>
        <v>0</v>
      </c>
      <c r="P79" s="561">
        <f t="shared" si="113"/>
        <v>0</v>
      </c>
      <c r="Q79" s="561">
        <f t="shared" si="114"/>
        <v>0</v>
      </c>
      <c r="R79" s="561">
        <f t="shared" si="115"/>
        <v>0</v>
      </c>
      <c r="S79" s="561">
        <f t="shared" si="116"/>
        <v>0</v>
      </c>
      <c r="T79" s="561">
        <f t="shared" si="117"/>
        <v>0</v>
      </c>
      <c r="U79" s="561">
        <f t="shared" si="118"/>
        <v>0</v>
      </c>
      <c r="V79" s="561">
        <f t="shared" si="119"/>
        <v>0</v>
      </c>
      <c r="W79" s="675">
        <f t="shared" si="120"/>
        <v>0</v>
      </c>
      <c r="X79" s="675">
        <f t="shared" si="121"/>
        <v>0</v>
      </c>
      <c r="Y79" s="675">
        <f t="shared" si="121"/>
        <v>0</v>
      </c>
      <c r="Z79" s="86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1094">
        <f>'2022-23 Input'!M79</f>
        <v>0</v>
      </c>
      <c r="AJ79" s="665">
        <v>0</v>
      </c>
      <c r="AK79" s="88">
        <f t="shared" si="122"/>
        <v>0</v>
      </c>
      <c r="AL79" s="89">
        <f t="shared" si="123"/>
        <v>0</v>
      </c>
      <c r="AM79" s="90">
        <f t="shared" si="124"/>
        <v>0</v>
      </c>
      <c r="AN79" s="91" t="str">
        <f t="shared" si="125"/>
        <v/>
      </c>
      <c r="AO79" s="92" t="str">
        <f t="shared" si="126"/>
        <v/>
      </c>
      <c r="AP79" s="92" t="str">
        <f t="shared" si="127"/>
        <v/>
      </c>
      <c r="AQ79" s="92" t="str">
        <f t="shared" si="128"/>
        <v/>
      </c>
      <c r="AR79" s="92" t="str">
        <f t="shared" si="129"/>
        <v/>
      </c>
      <c r="AS79" s="92" t="str">
        <f t="shared" si="130"/>
        <v/>
      </c>
      <c r="AT79" s="92" t="str">
        <f t="shared" si="131"/>
        <v/>
      </c>
      <c r="AU79" s="92" t="str">
        <f t="shared" si="132"/>
        <v/>
      </c>
      <c r="AV79" s="92" t="str">
        <f t="shared" si="133"/>
        <v/>
      </c>
      <c r="AW79" s="92" t="str">
        <f t="shared" si="133"/>
        <v/>
      </c>
      <c r="AX79" s="92" t="str">
        <f t="shared" si="133"/>
        <v/>
      </c>
      <c r="AY79" s="93" t="str">
        <f t="shared" si="134"/>
        <v/>
      </c>
      <c r="AZ79" s="94" t="str">
        <f t="shared" si="135"/>
        <v/>
      </c>
      <c r="BA79" s="95" t="str">
        <f t="shared" si="136"/>
        <v/>
      </c>
      <c r="BB79" s="248" t="s">
        <v>422</v>
      </c>
      <c r="BC79" s="229" t="s">
        <v>433</v>
      </c>
      <c r="BD79" s="249">
        <v>-0.28999999999999998</v>
      </c>
      <c r="BE79" s="267">
        <f t="shared" si="140"/>
        <v>0</v>
      </c>
      <c r="BF79" s="268">
        <f t="shared" ref="BF79:BL79" si="149">IF(BF$6=$BB79,1,
IF(BE79&lt;&gt;0,BE79+1,0
))</f>
        <v>0</v>
      </c>
      <c r="BG79" s="268">
        <f t="shared" si="149"/>
        <v>0</v>
      </c>
      <c r="BH79" s="268">
        <f t="shared" si="149"/>
        <v>1</v>
      </c>
      <c r="BI79" s="268">
        <f t="shared" si="149"/>
        <v>2</v>
      </c>
      <c r="BJ79" s="268">
        <f t="shared" si="149"/>
        <v>3</v>
      </c>
      <c r="BK79" s="268">
        <f t="shared" si="149"/>
        <v>4</v>
      </c>
      <c r="BL79" s="269">
        <f t="shared" si="149"/>
        <v>5</v>
      </c>
      <c r="BM79" s="256">
        <f>IF($BC79=Lookup!$A$2,$BD79*ROUNDUP(BE79/10,0)+1,
IF($BC79=Lookup!$A$3,($BD79+1)^BD79,
IF($BC79=Lookup!$A$4,BE79*$BD79+1,"Error")))</f>
        <v>1</v>
      </c>
      <c r="BN79" s="229">
        <f>IF($BC79=Lookup!$A$2,$BD79*ROUNDUP(BF79/10,0)+1,
IF($BC79=Lookup!$A$3,($BD79+1)^BE79,
IF($BC79=Lookup!$A$4,BF79*$BD79+1,"Error")))</f>
        <v>1</v>
      </c>
      <c r="BO79" s="229">
        <f>IF($BC79=Lookup!$A$2,$BD79*ROUNDUP(BG79/10,0)+1,
IF($BC79=Lookup!$A$3,($BD79+1)^BF79,
IF($BC79=Lookup!$A$4,BG79*$BD79+1,"Error")))</f>
        <v>1</v>
      </c>
      <c r="BP79" s="229">
        <f>IF($BC79=Lookup!$A$2,$BD79*ROUNDUP(BH79/10,0)+1,
IF($BC79=Lookup!$A$3,($BD79+1)^BG79,
IF($BC79=Lookup!$A$4,BH79*$BD79+1,"Error")))</f>
        <v>0.71</v>
      </c>
      <c r="BQ79" s="229">
        <f>IF($BC79=Lookup!$A$2,$BD79*ROUNDUP(BI79/10,0)+1,
IF($BC79=Lookup!$A$3,($BD79+1)^BH79,
IF($BC79=Lookup!$A$4,BI79*$BD79+1,"Error")))</f>
        <v>0.71</v>
      </c>
      <c r="BR79" s="229">
        <f>IF($BC79=Lookup!$A$2,$BD79*ROUNDUP(BJ79/10,0)+1,
IF($BC79=Lookup!$A$3,($BD79+1)^BI79,
IF($BC79=Lookup!$A$4,BJ79*$BD79+1,"Error")))</f>
        <v>0.71</v>
      </c>
      <c r="BS79" s="229">
        <f>IF($BC79=Lookup!$A$2,$BD79*ROUNDUP(BK79/10,0)+1,
IF($BC79=Lookup!$A$3,($BD79+1)^BJ79,
IF($BC79=Lookup!$A$4,BK79*$BD79+1,"Error")))</f>
        <v>0.71</v>
      </c>
      <c r="BT79" s="249">
        <f>IF($BC79=Lookup!$A$2,$BD79*ROUNDUP(BL79/10,0)+1,
IF($BC79=Lookup!$A$3,($BD79+1)^BK79,
IF($BC79=Lookup!$A$4,BL79*$BD79+1,"Error")))</f>
        <v>0.71</v>
      </c>
      <c r="BU79" s="320"/>
      <c r="BV79" s="321"/>
      <c r="BW79" s="321"/>
      <c r="BX79" s="321"/>
      <c r="BY79" s="321"/>
      <c r="BZ79" s="321"/>
      <c r="CA79" s="321"/>
      <c r="CB79" s="277"/>
      <c r="CC79" s="382" t="s">
        <v>293</v>
      </c>
      <c r="CD79" s="383">
        <f>HLOOKUP($CC79,$AK$6:$AM$132,ROWS(CD$6:CD79),0)</f>
        <v>0</v>
      </c>
      <c r="CE79" s="234">
        <f t="shared" si="142"/>
        <v>0</v>
      </c>
      <c r="CF79" s="96">
        <f t="shared" si="142"/>
        <v>0</v>
      </c>
      <c r="CG79" s="96">
        <f t="shared" si="142"/>
        <v>0</v>
      </c>
      <c r="CH79" s="96">
        <f t="shared" si="142"/>
        <v>0</v>
      </c>
      <c r="CI79" s="96">
        <f t="shared" si="84"/>
        <v>0</v>
      </c>
      <c r="CJ79" s="96">
        <f t="shared" si="84"/>
        <v>0</v>
      </c>
      <c r="CK79" s="96">
        <f t="shared" si="84"/>
        <v>0</v>
      </c>
      <c r="CL79" s="286">
        <f t="shared" si="84"/>
        <v>0</v>
      </c>
      <c r="CM79" s="305" t="s">
        <v>293</v>
      </c>
      <c r="CN79" s="315">
        <v>0</v>
      </c>
      <c r="CO79" s="306"/>
      <c r="CP79" s="307" t="str">
        <f>IF($CO79&lt;&gt;"",$CO79,HLOOKUP($CM79,$AY$6:$BA$132,ROWS(CP$6:CP79),0))</f>
        <v/>
      </c>
      <c r="CQ79" s="784" t="str">
        <f t="shared" si="138"/>
        <v/>
      </c>
      <c r="CR79" s="784" t="str">
        <f t="shared" si="138"/>
        <v/>
      </c>
      <c r="CS79" s="97" t="str">
        <f t="shared" si="138"/>
        <v/>
      </c>
      <c r="CT79" s="97" t="str">
        <f t="shared" si="138"/>
        <v/>
      </c>
      <c r="CU79" s="97" t="str">
        <f t="shared" si="138"/>
        <v/>
      </c>
      <c r="CV79" s="97" t="str">
        <f t="shared" si="138"/>
        <v/>
      </c>
      <c r="CW79" s="97" t="str">
        <f t="shared" si="138"/>
        <v/>
      </c>
      <c r="CX79" s="98" t="str">
        <f t="shared" si="62"/>
        <v/>
      </c>
      <c r="CY79" s="392"/>
    </row>
    <row r="80" spans="1:103" x14ac:dyDescent="0.25">
      <c r="A80" s="81" t="s">
        <v>138</v>
      </c>
      <c r="B80" s="82" t="s">
        <v>163</v>
      </c>
      <c r="C80" s="83" t="s">
        <v>370</v>
      </c>
      <c r="D80" s="84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85">
        <v>0</v>
      </c>
      <c r="L80" s="85">
        <v>0</v>
      </c>
      <c r="M80" s="654">
        <f>'2022-23 Input'!F80</f>
        <v>0</v>
      </c>
      <c r="N80" s="1065">
        <v>0</v>
      </c>
      <c r="O80" s="560">
        <f t="shared" si="139"/>
        <v>0</v>
      </c>
      <c r="P80" s="561">
        <f t="shared" si="113"/>
        <v>0</v>
      </c>
      <c r="Q80" s="561">
        <f t="shared" si="114"/>
        <v>0</v>
      </c>
      <c r="R80" s="561">
        <f t="shared" si="115"/>
        <v>0</v>
      </c>
      <c r="S80" s="561">
        <f t="shared" si="116"/>
        <v>0</v>
      </c>
      <c r="T80" s="561">
        <f t="shared" si="117"/>
        <v>0</v>
      </c>
      <c r="U80" s="561">
        <f t="shared" si="118"/>
        <v>0</v>
      </c>
      <c r="V80" s="561">
        <f t="shared" si="119"/>
        <v>0</v>
      </c>
      <c r="W80" s="675">
        <f t="shared" si="120"/>
        <v>0</v>
      </c>
      <c r="X80" s="675">
        <f t="shared" si="121"/>
        <v>0</v>
      </c>
      <c r="Y80" s="675">
        <f t="shared" si="121"/>
        <v>0</v>
      </c>
      <c r="Z80" s="86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87">
        <v>0</v>
      </c>
      <c r="AI80" s="1094">
        <f>'2022-23 Input'!M80</f>
        <v>0</v>
      </c>
      <c r="AJ80" s="665">
        <v>0</v>
      </c>
      <c r="AK80" s="88">
        <f t="shared" si="122"/>
        <v>0</v>
      </c>
      <c r="AL80" s="89">
        <f t="shared" si="123"/>
        <v>0</v>
      </c>
      <c r="AM80" s="90">
        <f t="shared" si="124"/>
        <v>0</v>
      </c>
      <c r="AN80" s="91" t="str">
        <f t="shared" si="125"/>
        <v/>
      </c>
      <c r="AO80" s="92" t="str">
        <f t="shared" si="126"/>
        <v/>
      </c>
      <c r="AP80" s="92" t="str">
        <f t="shared" si="127"/>
        <v/>
      </c>
      <c r="AQ80" s="92" t="str">
        <f t="shared" si="128"/>
        <v/>
      </c>
      <c r="AR80" s="92" t="str">
        <f t="shared" si="129"/>
        <v/>
      </c>
      <c r="AS80" s="92" t="str">
        <f t="shared" si="130"/>
        <v/>
      </c>
      <c r="AT80" s="92" t="str">
        <f t="shared" si="131"/>
        <v/>
      </c>
      <c r="AU80" s="92" t="str">
        <f t="shared" si="132"/>
        <v/>
      </c>
      <c r="AV80" s="92" t="str">
        <f t="shared" si="133"/>
        <v/>
      </c>
      <c r="AW80" s="92" t="str">
        <f t="shared" si="133"/>
        <v/>
      </c>
      <c r="AX80" s="92" t="str">
        <f t="shared" si="133"/>
        <v/>
      </c>
      <c r="AY80" s="93" t="str">
        <f t="shared" si="134"/>
        <v/>
      </c>
      <c r="AZ80" s="94" t="str">
        <f t="shared" si="135"/>
        <v/>
      </c>
      <c r="BA80" s="95" t="str">
        <f t="shared" si="136"/>
        <v/>
      </c>
      <c r="BB80" s="248" t="s">
        <v>422</v>
      </c>
      <c r="BC80" s="229" t="s">
        <v>433</v>
      </c>
      <c r="BD80" s="249">
        <v>-0.28999999999999998</v>
      </c>
      <c r="BE80" s="267">
        <f t="shared" si="140"/>
        <v>0</v>
      </c>
      <c r="BF80" s="268">
        <f t="shared" ref="BF80:BL80" si="150">IF(BF$6=$BB80,1,
IF(BE80&lt;&gt;0,BE80+1,0
))</f>
        <v>0</v>
      </c>
      <c r="BG80" s="268">
        <f t="shared" si="150"/>
        <v>0</v>
      </c>
      <c r="BH80" s="268">
        <f t="shared" si="150"/>
        <v>1</v>
      </c>
      <c r="BI80" s="268">
        <f t="shared" si="150"/>
        <v>2</v>
      </c>
      <c r="BJ80" s="268">
        <f t="shared" si="150"/>
        <v>3</v>
      </c>
      <c r="BK80" s="268">
        <f t="shared" si="150"/>
        <v>4</v>
      </c>
      <c r="BL80" s="269">
        <f t="shared" si="150"/>
        <v>5</v>
      </c>
      <c r="BM80" s="256">
        <f>IF($BC80=Lookup!$A$2,$BD80*ROUNDUP(BE80/10,0)+1,
IF($BC80=Lookup!$A$3,($BD80+1)^BD80,
IF($BC80=Lookup!$A$4,BE80*$BD80+1,"Error")))</f>
        <v>1</v>
      </c>
      <c r="BN80" s="229">
        <f>IF($BC80=Lookup!$A$2,$BD80*ROUNDUP(BF80/10,0)+1,
IF($BC80=Lookup!$A$3,($BD80+1)^BE80,
IF($BC80=Lookup!$A$4,BF80*$BD80+1,"Error")))</f>
        <v>1</v>
      </c>
      <c r="BO80" s="229">
        <f>IF($BC80=Lookup!$A$2,$BD80*ROUNDUP(BG80/10,0)+1,
IF($BC80=Lookup!$A$3,($BD80+1)^BF80,
IF($BC80=Lookup!$A$4,BG80*$BD80+1,"Error")))</f>
        <v>1</v>
      </c>
      <c r="BP80" s="229">
        <f>IF($BC80=Lookup!$A$2,$BD80*ROUNDUP(BH80/10,0)+1,
IF($BC80=Lookup!$A$3,($BD80+1)^BG80,
IF($BC80=Lookup!$A$4,BH80*$BD80+1,"Error")))</f>
        <v>0.71</v>
      </c>
      <c r="BQ80" s="229">
        <f>IF($BC80=Lookup!$A$2,$BD80*ROUNDUP(BI80/10,0)+1,
IF($BC80=Lookup!$A$3,($BD80+1)^BH80,
IF($BC80=Lookup!$A$4,BI80*$BD80+1,"Error")))</f>
        <v>0.71</v>
      </c>
      <c r="BR80" s="229">
        <f>IF($BC80=Lookup!$A$2,$BD80*ROUNDUP(BJ80/10,0)+1,
IF($BC80=Lookup!$A$3,($BD80+1)^BI80,
IF($BC80=Lookup!$A$4,BJ80*$BD80+1,"Error")))</f>
        <v>0.71</v>
      </c>
      <c r="BS80" s="229">
        <f>IF($BC80=Lookup!$A$2,$BD80*ROUNDUP(BK80/10,0)+1,
IF($BC80=Lookup!$A$3,($BD80+1)^BJ80,
IF($BC80=Lookup!$A$4,BK80*$BD80+1,"Error")))</f>
        <v>0.71</v>
      </c>
      <c r="BT80" s="249">
        <f>IF($BC80=Lookup!$A$2,$BD80*ROUNDUP(BL80/10,0)+1,
IF($BC80=Lookup!$A$3,($BD80+1)^BK80,
IF($BC80=Lookup!$A$4,BL80*$BD80+1,"Error")))</f>
        <v>0.71</v>
      </c>
      <c r="BU80" s="320"/>
      <c r="BV80" s="321"/>
      <c r="BW80" s="321"/>
      <c r="BX80" s="321"/>
      <c r="BY80" s="321"/>
      <c r="BZ80" s="321"/>
      <c r="CA80" s="321"/>
      <c r="CB80" s="277"/>
      <c r="CC80" s="382" t="s">
        <v>293</v>
      </c>
      <c r="CD80" s="383">
        <f>HLOOKUP($CC80,$AK$6:$AM$132,ROWS(CD$6:CD80),0)</f>
        <v>0</v>
      </c>
      <c r="CE80" s="234">
        <f t="shared" si="142"/>
        <v>0</v>
      </c>
      <c r="CF80" s="96">
        <f t="shared" si="142"/>
        <v>0</v>
      </c>
      <c r="CG80" s="96">
        <f t="shared" si="142"/>
        <v>0</v>
      </c>
      <c r="CH80" s="96">
        <f t="shared" si="142"/>
        <v>0</v>
      </c>
      <c r="CI80" s="96">
        <f t="shared" si="84"/>
        <v>0</v>
      </c>
      <c r="CJ80" s="96">
        <f t="shared" si="84"/>
        <v>0</v>
      </c>
      <c r="CK80" s="96">
        <f t="shared" si="84"/>
        <v>0</v>
      </c>
      <c r="CL80" s="286">
        <f t="shared" si="84"/>
        <v>0</v>
      </c>
      <c r="CM80" s="305" t="s">
        <v>293</v>
      </c>
      <c r="CN80" s="315">
        <v>0</v>
      </c>
      <c r="CO80" s="306"/>
      <c r="CP80" s="307" t="str">
        <f>IF($CO80&lt;&gt;"",$CO80,HLOOKUP($CM80,$AY$6:$BA$132,ROWS(CP$6:CP80),0))</f>
        <v/>
      </c>
      <c r="CQ80" s="784" t="str">
        <f t="shared" si="138"/>
        <v/>
      </c>
      <c r="CR80" s="784" t="str">
        <f t="shared" si="138"/>
        <v/>
      </c>
      <c r="CS80" s="97" t="str">
        <f t="shared" si="138"/>
        <v/>
      </c>
      <c r="CT80" s="97" t="str">
        <f t="shared" si="138"/>
        <v/>
      </c>
      <c r="CU80" s="97" t="str">
        <f t="shared" si="138"/>
        <v/>
      </c>
      <c r="CV80" s="97" t="str">
        <f t="shared" si="138"/>
        <v/>
      </c>
      <c r="CW80" s="97" t="str">
        <f t="shared" si="138"/>
        <v/>
      </c>
      <c r="CX80" s="98" t="str">
        <f t="shared" si="62"/>
        <v/>
      </c>
      <c r="CY80" s="392"/>
    </row>
    <row r="81" spans="1:103" x14ac:dyDescent="0.25">
      <c r="A81" s="81" t="s">
        <v>138</v>
      </c>
      <c r="B81" s="82" t="s">
        <v>165</v>
      </c>
      <c r="C81" s="83" t="s">
        <v>371</v>
      </c>
      <c r="D81" s="84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85">
        <v>0</v>
      </c>
      <c r="L81" s="85">
        <v>0</v>
      </c>
      <c r="M81" s="654">
        <f>'2022-23 Input'!F81</f>
        <v>0</v>
      </c>
      <c r="N81" s="1065">
        <v>0</v>
      </c>
      <c r="O81" s="560">
        <f t="shared" si="139"/>
        <v>0</v>
      </c>
      <c r="P81" s="561">
        <f t="shared" si="113"/>
        <v>0</v>
      </c>
      <c r="Q81" s="561">
        <f t="shared" si="114"/>
        <v>0</v>
      </c>
      <c r="R81" s="561">
        <f t="shared" si="115"/>
        <v>0</v>
      </c>
      <c r="S81" s="561">
        <f t="shared" si="116"/>
        <v>0</v>
      </c>
      <c r="T81" s="561">
        <f t="shared" si="117"/>
        <v>0</v>
      </c>
      <c r="U81" s="561">
        <f t="shared" si="118"/>
        <v>0</v>
      </c>
      <c r="V81" s="561">
        <f t="shared" si="119"/>
        <v>0</v>
      </c>
      <c r="W81" s="675">
        <f t="shared" si="120"/>
        <v>0</v>
      </c>
      <c r="X81" s="675">
        <f t="shared" si="121"/>
        <v>0</v>
      </c>
      <c r="Y81" s="675">
        <f t="shared" si="121"/>
        <v>0</v>
      </c>
      <c r="Z81" s="86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87">
        <v>0</v>
      </c>
      <c r="AI81" s="1094">
        <f>'2022-23 Input'!M81</f>
        <v>0</v>
      </c>
      <c r="AJ81" s="665">
        <v>0</v>
      </c>
      <c r="AK81" s="88">
        <f t="shared" si="122"/>
        <v>0</v>
      </c>
      <c r="AL81" s="89">
        <f t="shared" si="123"/>
        <v>0</v>
      </c>
      <c r="AM81" s="90">
        <f t="shared" si="124"/>
        <v>0</v>
      </c>
      <c r="AN81" s="91" t="str">
        <f t="shared" si="125"/>
        <v/>
      </c>
      <c r="AO81" s="92" t="str">
        <f t="shared" si="126"/>
        <v/>
      </c>
      <c r="AP81" s="92" t="str">
        <f t="shared" si="127"/>
        <v/>
      </c>
      <c r="AQ81" s="92" t="str">
        <f t="shared" si="128"/>
        <v/>
      </c>
      <c r="AR81" s="92" t="str">
        <f t="shared" si="129"/>
        <v/>
      </c>
      <c r="AS81" s="92" t="str">
        <f t="shared" si="130"/>
        <v/>
      </c>
      <c r="AT81" s="92" t="str">
        <f t="shared" si="131"/>
        <v/>
      </c>
      <c r="AU81" s="92" t="str">
        <f t="shared" si="132"/>
        <v/>
      </c>
      <c r="AV81" s="92" t="str">
        <f t="shared" si="133"/>
        <v/>
      </c>
      <c r="AW81" s="92" t="str">
        <f t="shared" si="133"/>
        <v/>
      </c>
      <c r="AX81" s="92" t="str">
        <f t="shared" si="133"/>
        <v/>
      </c>
      <c r="AY81" s="93" t="str">
        <f t="shared" si="134"/>
        <v/>
      </c>
      <c r="AZ81" s="94" t="str">
        <f t="shared" si="135"/>
        <v/>
      </c>
      <c r="BA81" s="95" t="str">
        <f t="shared" si="136"/>
        <v/>
      </c>
      <c r="BB81" s="248" t="s">
        <v>422</v>
      </c>
      <c r="BC81" s="229" t="s">
        <v>433</v>
      </c>
      <c r="BD81" s="249">
        <v>-0.28999999999999998</v>
      </c>
      <c r="BE81" s="267">
        <f t="shared" si="140"/>
        <v>0</v>
      </c>
      <c r="BF81" s="268">
        <f t="shared" ref="BF81:BL81" si="151">IF(BF$6=$BB81,1,
IF(BE81&lt;&gt;0,BE81+1,0
))</f>
        <v>0</v>
      </c>
      <c r="BG81" s="268">
        <f t="shared" si="151"/>
        <v>0</v>
      </c>
      <c r="BH81" s="268">
        <f t="shared" si="151"/>
        <v>1</v>
      </c>
      <c r="BI81" s="268">
        <f t="shared" si="151"/>
        <v>2</v>
      </c>
      <c r="BJ81" s="268">
        <f t="shared" si="151"/>
        <v>3</v>
      </c>
      <c r="BK81" s="268">
        <f t="shared" si="151"/>
        <v>4</v>
      </c>
      <c r="BL81" s="269">
        <f t="shared" si="151"/>
        <v>5</v>
      </c>
      <c r="BM81" s="256">
        <f>IF($BC81=Lookup!$A$2,$BD81*ROUNDUP(BE81/10,0)+1,
IF($BC81=Lookup!$A$3,($BD81+1)^BD81,
IF($BC81=Lookup!$A$4,BE81*$BD81+1,"Error")))</f>
        <v>1</v>
      </c>
      <c r="BN81" s="229">
        <f>IF($BC81=Lookup!$A$2,$BD81*ROUNDUP(BF81/10,0)+1,
IF($BC81=Lookup!$A$3,($BD81+1)^BE81,
IF($BC81=Lookup!$A$4,BF81*$BD81+1,"Error")))</f>
        <v>1</v>
      </c>
      <c r="BO81" s="229">
        <f>IF($BC81=Lookup!$A$2,$BD81*ROUNDUP(BG81/10,0)+1,
IF($BC81=Lookup!$A$3,($BD81+1)^BF81,
IF($BC81=Lookup!$A$4,BG81*$BD81+1,"Error")))</f>
        <v>1</v>
      </c>
      <c r="BP81" s="229">
        <f>IF($BC81=Lookup!$A$2,$BD81*ROUNDUP(BH81/10,0)+1,
IF($BC81=Lookup!$A$3,($BD81+1)^BG81,
IF($BC81=Lookup!$A$4,BH81*$BD81+1,"Error")))</f>
        <v>0.71</v>
      </c>
      <c r="BQ81" s="229">
        <f>IF($BC81=Lookup!$A$2,$BD81*ROUNDUP(BI81/10,0)+1,
IF($BC81=Lookup!$A$3,($BD81+1)^BH81,
IF($BC81=Lookup!$A$4,BI81*$BD81+1,"Error")))</f>
        <v>0.71</v>
      </c>
      <c r="BR81" s="229">
        <f>IF($BC81=Lookup!$A$2,$BD81*ROUNDUP(BJ81/10,0)+1,
IF($BC81=Lookup!$A$3,($BD81+1)^BI81,
IF($BC81=Lookup!$A$4,BJ81*$BD81+1,"Error")))</f>
        <v>0.71</v>
      </c>
      <c r="BS81" s="229">
        <f>IF($BC81=Lookup!$A$2,$BD81*ROUNDUP(BK81/10,0)+1,
IF($BC81=Lookup!$A$3,($BD81+1)^BJ81,
IF($BC81=Lookup!$A$4,BK81*$BD81+1,"Error")))</f>
        <v>0.71</v>
      </c>
      <c r="BT81" s="249">
        <f>IF($BC81=Lookup!$A$2,$BD81*ROUNDUP(BL81/10,0)+1,
IF($BC81=Lookup!$A$3,($BD81+1)^BK81,
IF($BC81=Lookup!$A$4,BL81*$BD81+1,"Error")))</f>
        <v>0.71</v>
      </c>
      <c r="BU81" s="320"/>
      <c r="BV81" s="321"/>
      <c r="BW81" s="321"/>
      <c r="BX81" s="321"/>
      <c r="BY81" s="321"/>
      <c r="BZ81" s="321"/>
      <c r="CA81" s="321"/>
      <c r="CB81" s="277"/>
      <c r="CC81" s="382" t="s">
        <v>293</v>
      </c>
      <c r="CD81" s="383">
        <f>HLOOKUP($CC81,$AK$6:$AM$132,ROWS(CD$6:CD81),0)</f>
        <v>0</v>
      </c>
      <c r="CE81" s="234">
        <f t="shared" si="142"/>
        <v>0</v>
      </c>
      <c r="CF81" s="96">
        <f t="shared" si="142"/>
        <v>0</v>
      </c>
      <c r="CG81" s="96">
        <f t="shared" si="142"/>
        <v>0</v>
      </c>
      <c r="CH81" s="96">
        <f t="shared" si="142"/>
        <v>0</v>
      </c>
      <c r="CI81" s="96">
        <f t="shared" si="84"/>
        <v>0</v>
      </c>
      <c r="CJ81" s="96">
        <f t="shared" si="84"/>
        <v>0</v>
      </c>
      <c r="CK81" s="96">
        <f t="shared" si="84"/>
        <v>0</v>
      </c>
      <c r="CL81" s="286">
        <f t="shared" si="84"/>
        <v>0</v>
      </c>
      <c r="CM81" s="305" t="s">
        <v>293</v>
      </c>
      <c r="CN81" s="315">
        <v>0</v>
      </c>
      <c r="CO81" s="306"/>
      <c r="CP81" s="307" t="str">
        <f>IF($CO81&lt;&gt;"",$CO81,HLOOKUP($CM81,$AY$6:$BA$132,ROWS(CP$6:CP81),0))</f>
        <v/>
      </c>
      <c r="CQ81" s="784" t="str">
        <f t="shared" si="138"/>
        <v/>
      </c>
      <c r="CR81" s="784" t="str">
        <f t="shared" si="138"/>
        <v/>
      </c>
      <c r="CS81" s="97" t="str">
        <f t="shared" si="138"/>
        <v/>
      </c>
      <c r="CT81" s="97" t="str">
        <f t="shared" si="138"/>
        <v/>
      </c>
      <c r="CU81" s="97" t="str">
        <f t="shared" si="138"/>
        <v/>
      </c>
      <c r="CV81" s="97" t="str">
        <f t="shared" si="138"/>
        <v/>
      </c>
      <c r="CW81" s="97" t="str">
        <f t="shared" si="138"/>
        <v/>
      </c>
      <c r="CX81" s="98" t="str">
        <f t="shared" si="62"/>
        <v/>
      </c>
      <c r="CY81" s="392"/>
    </row>
    <row r="82" spans="1:103" x14ac:dyDescent="0.25">
      <c r="A82" s="81" t="s">
        <v>138</v>
      </c>
      <c r="B82" s="82" t="s">
        <v>167</v>
      </c>
      <c r="C82" s="83" t="s">
        <v>372</v>
      </c>
      <c r="D82" s="84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85">
        <v>0</v>
      </c>
      <c r="L82" s="85">
        <v>0</v>
      </c>
      <c r="M82" s="654">
        <f>'2022-23 Input'!F82</f>
        <v>0</v>
      </c>
      <c r="N82" s="1065">
        <v>0</v>
      </c>
      <c r="O82" s="560">
        <f t="shared" si="139"/>
        <v>0</v>
      </c>
      <c r="P82" s="561">
        <f t="shared" si="113"/>
        <v>0</v>
      </c>
      <c r="Q82" s="561">
        <f t="shared" si="114"/>
        <v>0</v>
      </c>
      <c r="R82" s="561">
        <f t="shared" si="115"/>
        <v>0</v>
      </c>
      <c r="S82" s="561">
        <f t="shared" si="116"/>
        <v>0</v>
      </c>
      <c r="T82" s="561">
        <f t="shared" si="117"/>
        <v>0</v>
      </c>
      <c r="U82" s="561">
        <f t="shared" si="118"/>
        <v>0</v>
      </c>
      <c r="V82" s="561">
        <f t="shared" si="119"/>
        <v>0</v>
      </c>
      <c r="W82" s="675">
        <f t="shared" si="120"/>
        <v>0</v>
      </c>
      <c r="X82" s="675">
        <f t="shared" si="121"/>
        <v>0</v>
      </c>
      <c r="Y82" s="675">
        <f t="shared" si="121"/>
        <v>0</v>
      </c>
      <c r="Z82" s="86">
        <v>0</v>
      </c>
      <c r="AA82" s="87">
        <v>0</v>
      </c>
      <c r="AB82" s="87">
        <v>0</v>
      </c>
      <c r="AC82" s="87">
        <v>0</v>
      </c>
      <c r="AD82" s="87">
        <v>0</v>
      </c>
      <c r="AE82" s="87">
        <v>0</v>
      </c>
      <c r="AF82" s="87">
        <v>0</v>
      </c>
      <c r="AG82" s="87">
        <v>0</v>
      </c>
      <c r="AH82" s="87">
        <v>0</v>
      </c>
      <c r="AI82" s="1094">
        <f>'2022-23 Input'!M82</f>
        <v>0</v>
      </c>
      <c r="AJ82" s="665">
        <v>0</v>
      </c>
      <c r="AK82" s="88">
        <f t="shared" si="122"/>
        <v>0</v>
      </c>
      <c r="AL82" s="89">
        <f t="shared" si="123"/>
        <v>0</v>
      </c>
      <c r="AM82" s="90">
        <f t="shared" si="124"/>
        <v>0</v>
      </c>
      <c r="AN82" s="91" t="str">
        <f t="shared" si="125"/>
        <v/>
      </c>
      <c r="AO82" s="92" t="str">
        <f t="shared" si="126"/>
        <v/>
      </c>
      <c r="AP82" s="92" t="str">
        <f t="shared" si="127"/>
        <v/>
      </c>
      <c r="AQ82" s="92" t="str">
        <f t="shared" si="128"/>
        <v/>
      </c>
      <c r="AR82" s="92" t="str">
        <f t="shared" si="129"/>
        <v/>
      </c>
      <c r="AS82" s="92" t="str">
        <f t="shared" si="130"/>
        <v/>
      </c>
      <c r="AT82" s="92" t="str">
        <f t="shared" si="131"/>
        <v/>
      </c>
      <c r="AU82" s="92" t="str">
        <f t="shared" si="132"/>
        <v/>
      </c>
      <c r="AV82" s="92" t="str">
        <f t="shared" si="133"/>
        <v/>
      </c>
      <c r="AW82" s="92" t="str">
        <f t="shared" si="133"/>
        <v/>
      </c>
      <c r="AX82" s="92" t="str">
        <f t="shared" si="133"/>
        <v/>
      </c>
      <c r="AY82" s="93" t="str">
        <f t="shared" si="134"/>
        <v/>
      </c>
      <c r="AZ82" s="94" t="str">
        <f t="shared" si="135"/>
        <v/>
      </c>
      <c r="BA82" s="95" t="str">
        <f t="shared" si="136"/>
        <v/>
      </c>
      <c r="BB82" s="248" t="s">
        <v>422</v>
      </c>
      <c r="BC82" s="229" t="s">
        <v>433</v>
      </c>
      <c r="BD82" s="249">
        <v>-0.28999999999999998</v>
      </c>
      <c r="BE82" s="267">
        <f t="shared" si="140"/>
        <v>0</v>
      </c>
      <c r="BF82" s="268">
        <f t="shared" ref="BF82:BL82" si="152">IF(BF$6=$BB82,1,
IF(BE82&lt;&gt;0,BE82+1,0
))</f>
        <v>0</v>
      </c>
      <c r="BG82" s="268">
        <f t="shared" si="152"/>
        <v>0</v>
      </c>
      <c r="BH82" s="268">
        <f t="shared" si="152"/>
        <v>1</v>
      </c>
      <c r="BI82" s="268">
        <f t="shared" si="152"/>
        <v>2</v>
      </c>
      <c r="BJ82" s="268">
        <f t="shared" si="152"/>
        <v>3</v>
      </c>
      <c r="BK82" s="268">
        <f t="shared" si="152"/>
        <v>4</v>
      </c>
      <c r="BL82" s="269">
        <f t="shared" si="152"/>
        <v>5</v>
      </c>
      <c r="BM82" s="256">
        <f>IF($BC82=Lookup!$A$2,$BD82*ROUNDUP(BE82/10,0)+1,
IF($BC82=Lookup!$A$3,($BD82+1)^BD82,
IF($BC82=Lookup!$A$4,BE82*$BD82+1,"Error")))</f>
        <v>1</v>
      </c>
      <c r="BN82" s="229">
        <f>IF($BC82=Lookup!$A$2,$BD82*ROUNDUP(BF82/10,0)+1,
IF($BC82=Lookup!$A$3,($BD82+1)^BE82,
IF($BC82=Lookup!$A$4,BF82*$BD82+1,"Error")))</f>
        <v>1</v>
      </c>
      <c r="BO82" s="229">
        <f>IF($BC82=Lookup!$A$2,$BD82*ROUNDUP(BG82/10,0)+1,
IF($BC82=Lookup!$A$3,($BD82+1)^BF82,
IF($BC82=Lookup!$A$4,BG82*$BD82+1,"Error")))</f>
        <v>1</v>
      </c>
      <c r="BP82" s="229">
        <f>IF($BC82=Lookup!$A$2,$BD82*ROUNDUP(BH82/10,0)+1,
IF($BC82=Lookup!$A$3,($BD82+1)^BG82,
IF($BC82=Lookup!$A$4,BH82*$BD82+1,"Error")))</f>
        <v>0.71</v>
      </c>
      <c r="BQ82" s="229">
        <f>IF($BC82=Lookup!$A$2,$BD82*ROUNDUP(BI82/10,0)+1,
IF($BC82=Lookup!$A$3,($BD82+1)^BH82,
IF($BC82=Lookup!$A$4,BI82*$BD82+1,"Error")))</f>
        <v>0.71</v>
      </c>
      <c r="BR82" s="229">
        <f>IF($BC82=Lookup!$A$2,$BD82*ROUNDUP(BJ82/10,0)+1,
IF($BC82=Lookup!$A$3,($BD82+1)^BI82,
IF($BC82=Lookup!$A$4,BJ82*$BD82+1,"Error")))</f>
        <v>0.71</v>
      </c>
      <c r="BS82" s="229">
        <f>IF($BC82=Lookup!$A$2,$BD82*ROUNDUP(BK82/10,0)+1,
IF($BC82=Lookup!$A$3,($BD82+1)^BJ82,
IF($BC82=Lookup!$A$4,BK82*$BD82+1,"Error")))</f>
        <v>0.71</v>
      </c>
      <c r="BT82" s="249">
        <f>IF($BC82=Lookup!$A$2,$BD82*ROUNDUP(BL82/10,0)+1,
IF($BC82=Lookup!$A$3,($BD82+1)^BK82,
IF($BC82=Lookup!$A$4,BL82*$BD82+1,"Error")))</f>
        <v>0.71</v>
      </c>
      <c r="BU82" s="320"/>
      <c r="BV82" s="321"/>
      <c r="BW82" s="321"/>
      <c r="BX82" s="321"/>
      <c r="BY82" s="321"/>
      <c r="BZ82" s="321"/>
      <c r="CA82" s="321"/>
      <c r="CB82" s="277"/>
      <c r="CC82" s="382" t="s">
        <v>293</v>
      </c>
      <c r="CD82" s="383">
        <f>HLOOKUP($CC82,$AK$6:$AM$132,ROWS(CD$6:CD82),0)</f>
        <v>0</v>
      </c>
      <c r="CE82" s="234">
        <f t="shared" si="142"/>
        <v>0</v>
      </c>
      <c r="CF82" s="96">
        <f t="shared" si="142"/>
        <v>0</v>
      </c>
      <c r="CG82" s="96">
        <f t="shared" si="142"/>
        <v>0</v>
      </c>
      <c r="CH82" s="96">
        <f t="shared" si="142"/>
        <v>0</v>
      </c>
      <c r="CI82" s="96">
        <f t="shared" si="84"/>
        <v>0</v>
      </c>
      <c r="CJ82" s="96">
        <f t="shared" si="84"/>
        <v>0</v>
      </c>
      <c r="CK82" s="96">
        <f t="shared" si="84"/>
        <v>0</v>
      </c>
      <c r="CL82" s="286">
        <f t="shared" si="84"/>
        <v>0</v>
      </c>
      <c r="CM82" s="305" t="s">
        <v>293</v>
      </c>
      <c r="CN82" s="315">
        <v>0</v>
      </c>
      <c r="CO82" s="306"/>
      <c r="CP82" s="307" t="str">
        <f>IF($CO82&lt;&gt;"",$CO82,HLOOKUP($CM82,$AY$6:$BA$132,ROWS(CP$6:CP82),0))</f>
        <v/>
      </c>
      <c r="CQ82" s="784" t="str">
        <f t="shared" si="138"/>
        <v/>
      </c>
      <c r="CR82" s="784" t="str">
        <f t="shared" si="138"/>
        <v/>
      </c>
      <c r="CS82" s="97" t="str">
        <f t="shared" si="138"/>
        <v/>
      </c>
      <c r="CT82" s="97" t="str">
        <f t="shared" si="138"/>
        <v/>
      </c>
      <c r="CU82" s="97" t="str">
        <f t="shared" si="138"/>
        <v/>
      </c>
      <c r="CV82" s="97" t="str">
        <f t="shared" si="138"/>
        <v/>
      </c>
      <c r="CW82" s="97" t="str">
        <f t="shared" si="138"/>
        <v/>
      </c>
      <c r="CX82" s="98" t="str">
        <f t="shared" si="62"/>
        <v/>
      </c>
      <c r="CY82" s="392"/>
    </row>
    <row r="83" spans="1:103" x14ac:dyDescent="0.25">
      <c r="A83" s="81" t="s">
        <v>138</v>
      </c>
      <c r="B83" s="82" t="s">
        <v>169</v>
      </c>
      <c r="C83" s="83" t="s">
        <v>373</v>
      </c>
      <c r="D83" s="84">
        <v>0</v>
      </c>
      <c r="E83" s="85">
        <v>0</v>
      </c>
      <c r="F83" s="85">
        <v>249417.23676563363</v>
      </c>
      <c r="G83" s="85">
        <v>0</v>
      </c>
      <c r="H83" s="85">
        <v>0</v>
      </c>
      <c r="I83" s="85">
        <v>230847.11004262482</v>
      </c>
      <c r="J83" s="85">
        <v>0</v>
      </c>
      <c r="K83" s="85">
        <v>49884.6</v>
      </c>
      <c r="L83" s="85">
        <v>51271.75</v>
      </c>
      <c r="M83" s="654">
        <f>'2022-23 Input'!F83</f>
        <v>56479.130000000005</v>
      </c>
      <c r="N83" s="1065">
        <v>0</v>
      </c>
      <c r="O83" s="560">
        <f t="shared" si="139"/>
        <v>0</v>
      </c>
      <c r="P83" s="561">
        <f t="shared" si="113"/>
        <v>0</v>
      </c>
      <c r="Q83" s="561">
        <f t="shared" si="114"/>
        <v>327236.8482205905</v>
      </c>
      <c r="R83" s="561">
        <f t="shared" si="115"/>
        <v>0</v>
      </c>
      <c r="S83" s="561">
        <f t="shared" si="116"/>
        <v>0</v>
      </c>
      <c r="T83" s="561">
        <f t="shared" si="117"/>
        <v>286515.49691036041</v>
      </c>
      <c r="U83" s="561">
        <f t="shared" si="118"/>
        <v>0</v>
      </c>
      <c r="V83" s="561">
        <f t="shared" si="119"/>
        <v>59829.53347546875</v>
      </c>
      <c r="W83" s="675">
        <f t="shared" si="120"/>
        <v>57933.346658447525</v>
      </c>
      <c r="X83" s="675">
        <f t="shared" si="121"/>
        <v>60063.347894675833</v>
      </c>
      <c r="Y83" s="675">
        <f t="shared" si="121"/>
        <v>0</v>
      </c>
      <c r="Z83" s="86">
        <v>0</v>
      </c>
      <c r="AA83" s="87">
        <v>0</v>
      </c>
      <c r="AB83" s="87">
        <v>1</v>
      </c>
      <c r="AC83" s="87">
        <v>0</v>
      </c>
      <c r="AD83" s="87">
        <v>0</v>
      </c>
      <c r="AE83" s="87">
        <v>1</v>
      </c>
      <c r="AF83" s="87">
        <v>0</v>
      </c>
      <c r="AG83" s="87">
        <v>1</v>
      </c>
      <c r="AH83" s="87">
        <v>1</v>
      </c>
      <c r="AI83" s="1094">
        <f>'2022-23 Input'!M83</f>
        <v>2</v>
      </c>
      <c r="AJ83" s="665">
        <v>0</v>
      </c>
      <c r="AK83" s="88">
        <f t="shared" si="122"/>
        <v>1</v>
      </c>
      <c r="AL83" s="89">
        <f t="shared" si="123"/>
        <v>1.3333333333333333</v>
      </c>
      <c r="AM83" s="90">
        <f t="shared" si="124"/>
        <v>2</v>
      </c>
      <c r="AN83" s="91" t="str">
        <f t="shared" si="125"/>
        <v/>
      </c>
      <c r="AO83" s="92" t="str">
        <f t="shared" si="126"/>
        <v/>
      </c>
      <c r="AP83" s="92">
        <f t="shared" si="127"/>
        <v>249417.23676563363</v>
      </c>
      <c r="AQ83" s="92" t="str">
        <f t="shared" si="128"/>
        <v/>
      </c>
      <c r="AR83" s="92" t="str">
        <f t="shared" si="129"/>
        <v/>
      </c>
      <c r="AS83" s="92">
        <f t="shared" si="130"/>
        <v>230847.11004262482</v>
      </c>
      <c r="AT83" s="92" t="str">
        <f t="shared" si="131"/>
        <v/>
      </c>
      <c r="AU83" s="92">
        <f t="shared" si="132"/>
        <v>49884.6</v>
      </c>
      <c r="AV83" s="92">
        <f t="shared" si="133"/>
        <v>51271.75</v>
      </c>
      <c r="AW83" s="92">
        <f t="shared" si="133"/>
        <v>28239.565000000002</v>
      </c>
      <c r="AX83" s="92" t="str">
        <f t="shared" si="133"/>
        <v/>
      </c>
      <c r="AY83" s="93">
        <f t="shared" si="134"/>
        <v>77696.518008524959</v>
      </c>
      <c r="AZ83" s="94">
        <f t="shared" si="135"/>
        <v>39408.870000000003</v>
      </c>
      <c r="BA83" s="95">
        <f t="shared" si="136"/>
        <v>28239.565000000002</v>
      </c>
      <c r="BB83" s="248" t="s">
        <v>422</v>
      </c>
      <c r="BC83" s="229" t="s">
        <v>433</v>
      </c>
      <c r="BD83" s="249">
        <v>-0.28999999999999998</v>
      </c>
      <c r="BE83" s="267">
        <f t="shared" si="140"/>
        <v>0</v>
      </c>
      <c r="BF83" s="268">
        <f t="shared" ref="BF83:BL83" si="153">IF(BF$6=$BB83,1,
IF(BE83&lt;&gt;0,BE83+1,0
))</f>
        <v>0</v>
      </c>
      <c r="BG83" s="268">
        <f t="shared" si="153"/>
        <v>0</v>
      </c>
      <c r="BH83" s="268">
        <f t="shared" si="153"/>
        <v>1</v>
      </c>
      <c r="BI83" s="268">
        <f t="shared" si="153"/>
        <v>2</v>
      </c>
      <c r="BJ83" s="268">
        <f t="shared" si="153"/>
        <v>3</v>
      </c>
      <c r="BK83" s="268">
        <f t="shared" si="153"/>
        <v>4</v>
      </c>
      <c r="BL83" s="269">
        <f t="shared" si="153"/>
        <v>5</v>
      </c>
      <c r="BM83" s="256">
        <f>IF($BC83=Lookup!$A$2,$BD83*ROUNDUP(BE83/10,0)+1,
IF($BC83=Lookup!$A$3,($BD83+1)^BD83,
IF($BC83=Lookup!$A$4,BE83*$BD83+1,"Error")))</f>
        <v>1</v>
      </c>
      <c r="BN83" s="229">
        <f>IF($BC83=Lookup!$A$2,$BD83*ROUNDUP(BF83/10,0)+1,
IF($BC83=Lookup!$A$3,($BD83+1)^BE83,
IF($BC83=Lookup!$A$4,BF83*$BD83+1,"Error")))</f>
        <v>1</v>
      </c>
      <c r="BO83" s="229">
        <f>IF($BC83=Lookup!$A$2,$BD83*ROUNDUP(BG83/10,0)+1,
IF($BC83=Lookup!$A$3,($BD83+1)^BF83,
IF($BC83=Lookup!$A$4,BG83*$BD83+1,"Error")))</f>
        <v>1</v>
      </c>
      <c r="BP83" s="229">
        <f>IF($BC83=Lookup!$A$2,$BD83*ROUNDUP(BH83/10,0)+1,
IF($BC83=Lookup!$A$3,($BD83+1)^BG83,
IF($BC83=Lookup!$A$4,BH83*$BD83+1,"Error")))</f>
        <v>0.71</v>
      </c>
      <c r="BQ83" s="229">
        <f>IF($BC83=Lookup!$A$2,$BD83*ROUNDUP(BI83/10,0)+1,
IF($BC83=Lookup!$A$3,($BD83+1)^BH83,
IF($BC83=Lookup!$A$4,BI83*$BD83+1,"Error")))</f>
        <v>0.71</v>
      </c>
      <c r="BR83" s="229">
        <f>IF($BC83=Lookup!$A$2,$BD83*ROUNDUP(BJ83/10,0)+1,
IF($BC83=Lookup!$A$3,($BD83+1)^BI83,
IF($BC83=Lookup!$A$4,BJ83*$BD83+1,"Error")))</f>
        <v>0.71</v>
      </c>
      <c r="BS83" s="229">
        <f>IF($BC83=Lookup!$A$2,$BD83*ROUNDUP(BK83/10,0)+1,
IF($BC83=Lookup!$A$3,($BD83+1)^BJ83,
IF($BC83=Lookup!$A$4,BK83*$BD83+1,"Error")))</f>
        <v>0.71</v>
      </c>
      <c r="BT83" s="249">
        <f>IF($BC83=Lookup!$A$2,$BD83*ROUNDUP(BL83/10,0)+1,
IF($BC83=Lookup!$A$3,($BD83+1)^BK83,
IF($BC83=Lookup!$A$4,BL83*$BD83+1,"Error")))</f>
        <v>0.71</v>
      </c>
      <c r="BU83" s="320"/>
      <c r="BV83" s="321"/>
      <c r="BW83" s="321"/>
      <c r="BX83" s="321"/>
      <c r="BY83" s="321"/>
      <c r="BZ83" s="321"/>
      <c r="CA83" s="321"/>
      <c r="CB83" s="277"/>
      <c r="CC83" s="382" t="s">
        <v>293</v>
      </c>
      <c r="CD83" s="383">
        <f>HLOOKUP($CC83,$AK$6:$AM$132,ROWS(CD$6:CD83),0)</f>
        <v>1.3333333333333333</v>
      </c>
      <c r="CE83" s="234">
        <f t="shared" si="142"/>
        <v>1.3333333333333333</v>
      </c>
      <c r="CF83" s="96">
        <f t="shared" si="142"/>
        <v>1.3333333333333333</v>
      </c>
      <c r="CG83" s="96">
        <f t="shared" si="142"/>
        <v>1.3333333333333333</v>
      </c>
      <c r="CH83" s="96">
        <f t="shared" si="142"/>
        <v>0.94666666666666655</v>
      </c>
      <c r="CI83" s="96">
        <f t="shared" si="84"/>
        <v>0.94666666666666655</v>
      </c>
      <c r="CJ83" s="96">
        <f t="shared" si="84"/>
        <v>0.94666666666666655</v>
      </c>
      <c r="CK83" s="96">
        <f t="shared" si="84"/>
        <v>0.94666666666666655</v>
      </c>
      <c r="CL83" s="286">
        <f t="shared" si="84"/>
        <v>0.94666666666666655</v>
      </c>
      <c r="CM83" s="305" t="s">
        <v>293</v>
      </c>
      <c r="CN83" s="315">
        <v>0</v>
      </c>
      <c r="CO83" s="306"/>
      <c r="CP83" s="307">
        <f>IF($CO83&lt;&gt;"",$CO83,HLOOKUP($CM83,$AY$6:$BA$132,ROWS(CP$6:CP83),0))</f>
        <v>39408.870000000003</v>
      </c>
      <c r="CQ83" s="784">
        <f t="shared" si="138"/>
        <v>52545.16</v>
      </c>
      <c r="CR83" s="784">
        <f t="shared" si="138"/>
        <v>52545.16</v>
      </c>
      <c r="CS83" s="97">
        <f t="shared" si="138"/>
        <v>52545.16</v>
      </c>
      <c r="CT83" s="97">
        <f t="shared" si="138"/>
        <v>37307.063600000001</v>
      </c>
      <c r="CU83" s="97">
        <f t="shared" si="138"/>
        <v>37307.063600000001</v>
      </c>
      <c r="CV83" s="97">
        <f t="shared" si="138"/>
        <v>37307.063600000001</v>
      </c>
      <c r="CW83" s="97">
        <f t="shared" si="138"/>
        <v>37307.063600000001</v>
      </c>
      <c r="CX83" s="98">
        <f t="shared" si="62"/>
        <v>37307.063600000001</v>
      </c>
      <c r="CY83" s="392"/>
    </row>
    <row r="84" spans="1:103" x14ac:dyDescent="0.25">
      <c r="A84" s="81" t="s">
        <v>138</v>
      </c>
      <c r="B84" s="82" t="s">
        <v>171</v>
      </c>
      <c r="C84" s="83" t="s">
        <v>374</v>
      </c>
      <c r="D84" s="84">
        <v>0</v>
      </c>
      <c r="E84" s="85">
        <v>0</v>
      </c>
      <c r="F84" s="85">
        <v>0</v>
      </c>
      <c r="G84" s="85">
        <v>0</v>
      </c>
      <c r="H84" s="85">
        <v>0</v>
      </c>
      <c r="I84" s="85">
        <v>286545.38924019522</v>
      </c>
      <c r="J84" s="85">
        <v>555339.4967745943</v>
      </c>
      <c r="K84" s="85">
        <v>32120.95</v>
      </c>
      <c r="L84" s="85">
        <v>73500.628030338994</v>
      </c>
      <c r="M84" s="654">
        <f>'2022-23 Input'!F84</f>
        <v>38306.670000000006</v>
      </c>
      <c r="N84" s="1065">
        <v>91035.473545261906</v>
      </c>
      <c r="O84" s="560">
        <f t="shared" si="139"/>
        <v>0</v>
      </c>
      <c r="P84" s="561">
        <f t="shared" si="113"/>
        <v>0</v>
      </c>
      <c r="Q84" s="561">
        <f t="shared" si="114"/>
        <v>0</v>
      </c>
      <c r="R84" s="561">
        <f t="shared" si="115"/>
        <v>0</v>
      </c>
      <c r="S84" s="561">
        <f t="shared" si="116"/>
        <v>0</v>
      </c>
      <c r="T84" s="561">
        <f t="shared" si="117"/>
        <v>355645.32114076649</v>
      </c>
      <c r="U84" s="561">
        <f t="shared" si="118"/>
        <v>691668.6646150006</v>
      </c>
      <c r="V84" s="561">
        <f t="shared" si="119"/>
        <v>38524.543712665996</v>
      </c>
      <c r="W84" s="675">
        <f t="shared" si="120"/>
        <v>83050.361325588339</v>
      </c>
      <c r="X84" s="675">
        <f t="shared" si="121"/>
        <v>40737.646753704284</v>
      </c>
      <c r="Y84" s="675">
        <f t="shared" si="121"/>
        <v>93538.810631571658</v>
      </c>
      <c r="Z84" s="86">
        <v>0</v>
      </c>
      <c r="AA84" s="87">
        <v>0</v>
      </c>
      <c r="AB84" s="87">
        <v>0</v>
      </c>
      <c r="AC84" s="87">
        <v>0</v>
      </c>
      <c r="AD84" s="87">
        <v>0</v>
      </c>
      <c r="AE84" s="87">
        <v>1</v>
      </c>
      <c r="AF84" s="87">
        <v>1</v>
      </c>
      <c r="AG84" s="87">
        <v>1</v>
      </c>
      <c r="AH84" s="87">
        <v>2</v>
      </c>
      <c r="AI84" s="1094">
        <f>'2022-23 Input'!M84</f>
        <v>1</v>
      </c>
      <c r="AJ84" s="665">
        <v>1</v>
      </c>
      <c r="AK84" s="88">
        <f t="shared" si="122"/>
        <v>1.2</v>
      </c>
      <c r="AL84" s="89">
        <f t="shared" si="123"/>
        <v>1.3333333333333333</v>
      </c>
      <c r="AM84" s="90">
        <f t="shared" si="124"/>
        <v>1</v>
      </c>
      <c r="AN84" s="91" t="str">
        <f t="shared" si="125"/>
        <v/>
      </c>
      <c r="AO84" s="92" t="str">
        <f t="shared" si="126"/>
        <v/>
      </c>
      <c r="AP84" s="92" t="str">
        <f t="shared" si="127"/>
        <v/>
      </c>
      <c r="AQ84" s="92" t="str">
        <f t="shared" si="128"/>
        <v/>
      </c>
      <c r="AR84" s="92" t="str">
        <f t="shared" si="129"/>
        <v/>
      </c>
      <c r="AS84" s="92">
        <f t="shared" si="130"/>
        <v>286545.38924019522</v>
      </c>
      <c r="AT84" s="92">
        <f t="shared" si="131"/>
        <v>555339.4967745943</v>
      </c>
      <c r="AU84" s="92">
        <f t="shared" si="132"/>
        <v>32120.95</v>
      </c>
      <c r="AV84" s="92">
        <f t="shared" si="133"/>
        <v>36750.314015169497</v>
      </c>
      <c r="AW84" s="92">
        <f t="shared" si="133"/>
        <v>38306.670000000006</v>
      </c>
      <c r="AX84" s="92">
        <f t="shared" si="133"/>
        <v>91035.473545261906</v>
      </c>
      <c r="AY84" s="93">
        <f t="shared" si="134"/>
        <v>164302.18900752143</v>
      </c>
      <c r="AZ84" s="94">
        <f t="shared" si="135"/>
        <v>35982.062007584747</v>
      </c>
      <c r="BA84" s="95">
        <f t="shared" si="136"/>
        <v>38306.670000000006</v>
      </c>
      <c r="BB84" s="248" t="s">
        <v>422</v>
      </c>
      <c r="BC84" s="229" t="s">
        <v>433</v>
      </c>
      <c r="BD84" s="249">
        <v>-0.28999999999999998</v>
      </c>
      <c r="BE84" s="267">
        <f t="shared" si="140"/>
        <v>0</v>
      </c>
      <c r="BF84" s="268">
        <f t="shared" ref="BF84:BL84" si="154">IF(BF$6=$BB84,1,
IF(BE84&lt;&gt;0,BE84+1,0
))</f>
        <v>0</v>
      </c>
      <c r="BG84" s="268">
        <f t="shared" si="154"/>
        <v>0</v>
      </c>
      <c r="BH84" s="268">
        <f t="shared" si="154"/>
        <v>1</v>
      </c>
      <c r="BI84" s="268">
        <f t="shared" si="154"/>
        <v>2</v>
      </c>
      <c r="BJ84" s="268">
        <f t="shared" si="154"/>
        <v>3</v>
      </c>
      <c r="BK84" s="268">
        <f t="shared" si="154"/>
        <v>4</v>
      </c>
      <c r="BL84" s="269">
        <f t="shared" si="154"/>
        <v>5</v>
      </c>
      <c r="BM84" s="256">
        <f>IF($BC84=Lookup!$A$2,$BD84*ROUNDUP(BE84/10,0)+1,
IF($BC84=Lookup!$A$3,($BD84+1)^BD84,
IF($BC84=Lookup!$A$4,BE84*$BD84+1,"Error")))</f>
        <v>1</v>
      </c>
      <c r="BN84" s="229">
        <f>IF($BC84=Lookup!$A$2,$BD84*ROUNDUP(BF84/10,0)+1,
IF($BC84=Lookup!$A$3,($BD84+1)^BE84,
IF($BC84=Lookup!$A$4,BF84*$BD84+1,"Error")))</f>
        <v>1</v>
      </c>
      <c r="BO84" s="229">
        <f>IF($BC84=Lookup!$A$2,$BD84*ROUNDUP(BG84/10,0)+1,
IF($BC84=Lookup!$A$3,($BD84+1)^BF84,
IF($BC84=Lookup!$A$4,BG84*$BD84+1,"Error")))</f>
        <v>1</v>
      </c>
      <c r="BP84" s="229">
        <f>IF($BC84=Lookup!$A$2,$BD84*ROUNDUP(BH84/10,0)+1,
IF($BC84=Lookup!$A$3,($BD84+1)^BG84,
IF($BC84=Lookup!$A$4,BH84*$BD84+1,"Error")))</f>
        <v>0.71</v>
      </c>
      <c r="BQ84" s="229">
        <f>IF($BC84=Lookup!$A$2,$BD84*ROUNDUP(BI84/10,0)+1,
IF($BC84=Lookup!$A$3,($BD84+1)^BH84,
IF($BC84=Lookup!$A$4,BI84*$BD84+1,"Error")))</f>
        <v>0.71</v>
      </c>
      <c r="BR84" s="229">
        <f>IF($BC84=Lookup!$A$2,$BD84*ROUNDUP(BJ84/10,0)+1,
IF($BC84=Lookup!$A$3,($BD84+1)^BI84,
IF($BC84=Lookup!$A$4,BJ84*$BD84+1,"Error")))</f>
        <v>0.71</v>
      </c>
      <c r="BS84" s="229">
        <f>IF($BC84=Lookup!$A$2,$BD84*ROUNDUP(BK84/10,0)+1,
IF($BC84=Lookup!$A$3,($BD84+1)^BJ84,
IF($BC84=Lookup!$A$4,BK84*$BD84+1,"Error")))</f>
        <v>0.71</v>
      </c>
      <c r="BT84" s="249">
        <f>IF($BC84=Lookup!$A$2,$BD84*ROUNDUP(BL84/10,0)+1,
IF($BC84=Lookup!$A$3,($BD84+1)^BK84,
IF($BC84=Lookup!$A$4,BL84*$BD84+1,"Error")))</f>
        <v>0.71</v>
      </c>
      <c r="BU84" s="320"/>
      <c r="BV84" s="321"/>
      <c r="BW84" s="321"/>
      <c r="BX84" s="321"/>
      <c r="BY84" s="321"/>
      <c r="BZ84" s="321"/>
      <c r="CA84" s="321"/>
      <c r="CB84" s="277"/>
      <c r="CC84" s="382" t="s">
        <v>293</v>
      </c>
      <c r="CD84" s="383">
        <f>HLOOKUP($CC84,$AK$6:$AM$132,ROWS(CD$6:CD84),0)</f>
        <v>1.3333333333333333</v>
      </c>
      <c r="CE84" s="234">
        <f t="shared" si="142"/>
        <v>1.3333333333333333</v>
      </c>
      <c r="CF84" s="96">
        <f t="shared" si="142"/>
        <v>1.3333333333333333</v>
      </c>
      <c r="CG84" s="96">
        <f t="shared" si="142"/>
        <v>1.3333333333333333</v>
      </c>
      <c r="CH84" s="96">
        <f t="shared" si="142"/>
        <v>0.94666666666666655</v>
      </c>
      <c r="CI84" s="96">
        <f t="shared" si="84"/>
        <v>0.94666666666666655</v>
      </c>
      <c r="CJ84" s="96">
        <f t="shared" si="84"/>
        <v>0.94666666666666655</v>
      </c>
      <c r="CK84" s="96">
        <f t="shared" si="84"/>
        <v>0.94666666666666655</v>
      </c>
      <c r="CL84" s="286">
        <f t="shared" si="84"/>
        <v>0.94666666666666655</v>
      </c>
      <c r="CM84" s="305" t="s">
        <v>293</v>
      </c>
      <c r="CN84" s="315">
        <v>0</v>
      </c>
      <c r="CO84" s="306"/>
      <c r="CP84" s="307">
        <f>IF($CO84&lt;&gt;"",$CO84,HLOOKUP($CM84,$AY$6:$BA$132,ROWS(CP$6:CP84),0))</f>
        <v>35982.062007584747</v>
      </c>
      <c r="CQ84" s="784">
        <f t="shared" si="138"/>
        <v>47976.082676779661</v>
      </c>
      <c r="CR84" s="784">
        <f t="shared" si="138"/>
        <v>47976.082676779661</v>
      </c>
      <c r="CS84" s="97">
        <f t="shared" si="138"/>
        <v>47976.082676779661</v>
      </c>
      <c r="CT84" s="97">
        <f t="shared" si="138"/>
        <v>34063.018700513559</v>
      </c>
      <c r="CU84" s="97">
        <f t="shared" si="138"/>
        <v>34063.018700513559</v>
      </c>
      <c r="CV84" s="97">
        <f t="shared" si="138"/>
        <v>34063.018700513559</v>
      </c>
      <c r="CW84" s="97">
        <f t="shared" si="138"/>
        <v>34063.018700513559</v>
      </c>
      <c r="CX84" s="98">
        <f t="shared" si="62"/>
        <v>34063.018700513559</v>
      </c>
      <c r="CY84" s="392"/>
    </row>
    <row r="85" spans="1:103" x14ac:dyDescent="0.25">
      <c r="A85" s="81" t="s">
        <v>138</v>
      </c>
      <c r="B85" s="82" t="s">
        <v>173</v>
      </c>
      <c r="C85" s="83" t="s">
        <v>375</v>
      </c>
      <c r="D85" s="84">
        <v>0</v>
      </c>
      <c r="E85" s="85">
        <v>0</v>
      </c>
      <c r="F85" s="85">
        <v>0</v>
      </c>
      <c r="G85" s="85">
        <v>0</v>
      </c>
      <c r="H85" s="85">
        <v>0</v>
      </c>
      <c r="I85" s="85">
        <v>0</v>
      </c>
      <c r="J85" s="85">
        <v>0</v>
      </c>
      <c r="K85" s="85">
        <v>25809.87</v>
      </c>
      <c r="L85" s="85">
        <v>0</v>
      </c>
      <c r="M85" s="654">
        <f>'2022-23 Input'!F85</f>
        <v>0</v>
      </c>
      <c r="N85" s="1065">
        <v>0</v>
      </c>
      <c r="O85" s="560">
        <f t="shared" si="139"/>
        <v>0</v>
      </c>
      <c r="P85" s="561">
        <f t="shared" si="113"/>
        <v>0</v>
      </c>
      <c r="Q85" s="561">
        <f t="shared" si="114"/>
        <v>0</v>
      </c>
      <c r="R85" s="561">
        <f t="shared" si="115"/>
        <v>0</v>
      </c>
      <c r="S85" s="561">
        <f t="shared" si="116"/>
        <v>0</v>
      </c>
      <c r="T85" s="561">
        <f t="shared" si="117"/>
        <v>0</v>
      </c>
      <c r="U85" s="561">
        <f t="shared" si="118"/>
        <v>0</v>
      </c>
      <c r="V85" s="561">
        <f t="shared" si="119"/>
        <v>30955.294442823968</v>
      </c>
      <c r="W85" s="675">
        <f t="shared" si="120"/>
        <v>0</v>
      </c>
      <c r="X85" s="675">
        <f t="shared" si="121"/>
        <v>0</v>
      </c>
      <c r="Y85" s="675">
        <f t="shared" si="121"/>
        <v>0</v>
      </c>
      <c r="Z85" s="86">
        <v>0</v>
      </c>
      <c r="AA85" s="87">
        <v>0</v>
      </c>
      <c r="AB85" s="87">
        <v>0</v>
      </c>
      <c r="AC85" s="87">
        <v>0</v>
      </c>
      <c r="AD85" s="87">
        <v>0</v>
      </c>
      <c r="AE85" s="87">
        <v>0</v>
      </c>
      <c r="AF85" s="87">
        <v>0</v>
      </c>
      <c r="AG85" s="87">
        <v>1</v>
      </c>
      <c r="AH85" s="87">
        <v>0</v>
      </c>
      <c r="AI85" s="1094">
        <f>'2022-23 Input'!M85</f>
        <v>0</v>
      </c>
      <c r="AJ85" s="665">
        <v>0</v>
      </c>
      <c r="AK85" s="88">
        <f t="shared" si="122"/>
        <v>0.2</v>
      </c>
      <c r="AL85" s="89">
        <f t="shared" si="123"/>
        <v>0.33333333333333331</v>
      </c>
      <c r="AM85" s="90">
        <f t="shared" si="124"/>
        <v>0</v>
      </c>
      <c r="AN85" s="91" t="str">
        <f t="shared" si="125"/>
        <v/>
      </c>
      <c r="AO85" s="92" t="str">
        <f t="shared" si="126"/>
        <v/>
      </c>
      <c r="AP85" s="92" t="str">
        <f t="shared" si="127"/>
        <v/>
      </c>
      <c r="AQ85" s="92" t="str">
        <f t="shared" si="128"/>
        <v/>
      </c>
      <c r="AR85" s="92" t="str">
        <f t="shared" si="129"/>
        <v/>
      </c>
      <c r="AS85" s="92" t="str">
        <f t="shared" si="130"/>
        <v/>
      </c>
      <c r="AT85" s="92" t="str">
        <f t="shared" si="131"/>
        <v/>
      </c>
      <c r="AU85" s="92">
        <f t="shared" si="132"/>
        <v>25809.87</v>
      </c>
      <c r="AV85" s="92" t="str">
        <f t="shared" si="133"/>
        <v/>
      </c>
      <c r="AW85" s="92" t="str">
        <f t="shared" si="133"/>
        <v/>
      </c>
      <c r="AX85" s="92" t="str">
        <f t="shared" si="133"/>
        <v/>
      </c>
      <c r="AY85" s="93">
        <f t="shared" si="134"/>
        <v>25809.87</v>
      </c>
      <c r="AZ85" s="94">
        <f t="shared" si="135"/>
        <v>25809.87</v>
      </c>
      <c r="BA85" s="95" t="str">
        <f t="shared" si="136"/>
        <v/>
      </c>
      <c r="BB85" s="248" t="s">
        <v>422</v>
      </c>
      <c r="BC85" s="229" t="s">
        <v>433</v>
      </c>
      <c r="BD85" s="249">
        <v>-0.28999999999999998</v>
      </c>
      <c r="BE85" s="267">
        <f t="shared" si="140"/>
        <v>0</v>
      </c>
      <c r="BF85" s="268">
        <f t="shared" ref="BF85:BL85" si="155">IF(BF$6=$BB85,1,
IF(BE85&lt;&gt;0,BE85+1,0
))</f>
        <v>0</v>
      </c>
      <c r="BG85" s="268">
        <f t="shared" si="155"/>
        <v>0</v>
      </c>
      <c r="BH85" s="268">
        <f t="shared" si="155"/>
        <v>1</v>
      </c>
      <c r="BI85" s="268">
        <f t="shared" si="155"/>
        <v>2</v>
      </c>
      <c r="BJ85" s="268">
        <f t="shared" si="155"/>
        <v>3</v>
      </c>
      <c r="BK85" s="268">
        <f t="shared" si="155"/>
        <v>4</v>
      </c>
      <c r="BL85" s="269">
        <f t="shared" si="155"/>
        <v>5</v>
      </c>
      <c r="BM85" s="256">
        <f>IF($BC85=Lookup!$A$2,$BD85*ROUNDUP(BE85/10,0)+1,
IF($BC85=Lookup!$A$3,($BD85+1)^BD85,
IF($BC85=Lookup!$A$4,BE85*$BD85+1,"Error")))</f>
        <v>1</v>
      </c>
      <c r="BN85" s="229">
        <f>IF($BC85=Lookup!$A$2,$BD85*ROUNDUP(BF85/10,0)+1,
IF($BC85=Lookup!$A$3,($BD85+1)^BE85,
IF($BC85=Lookup!$A$4,BF85*$BD85+1,"Error")))</f>
        <v>1</v>
      </c>
      <c r="BO85" s="229">
        <f>IF($BC85=Lookup!$A$2,$BD85*ROUNDUP(BG85/10,0)+1,
IF($BC85=Lookup!$A$3,($BD85+1)^BF85,
IF($BC85=Lookup!$A$4,BG85*$BD85+1,"Error")))</f>
        <v>1</v>
      </c>
      <c r="BP85" s="229">
        <f>IF($BC85=Lookup!$A$2,$BD85*ROUNDUP(BH85/10,0)+1,
IF($BC85=Lookup!$A$3,($BD85+1)^BG85,
IF($BC85=Lookup!$A$4,BH85*$BD85+1,"Error")))</f>
        <v>0.71</v>
      </c>
      <c r="BQ85" s="229">
        <f>IF($BC85=Lookup!$A$2,$BD85*ROUNDUP(BI85/10,0)+1,
IF($BC85=Lookup!$A$3,($BD85+1)^BH85,
IF($BC85=Lookup!$A$4,BI85*$BD85+1,"Error")))</f>
        <v>0.71</v>
      </c>
      <c r="BR85" s="229">
        <f>IF($BC85=Lookup!$A$2,$BD85*ROUNDUP(BJ85/10,0)+1,
IF($BC85=Lookup!$A$3,($BD85+1)^BI85,
IF($BC85=Lookup!$A$4,BJ85*$BD85+1,"Error")))</f>
        <v>0.71</v>
      </c>
      <c r="BS85" s="229">
        <f>IF($BC85=Lookup!$A$2,$BD85*ROUNDUP(BK85/10,0)+1,
IF($BC85=Lookup!$A$3,($BD85+1)^BJ85,
IF($BC85=Lookup!$A$4,BK85*$BD85+1,"Error")))</f>
        <v>0.71</v>
      </c>
      <c r="BT85" s="249">
        <f>IF($BC85=Lookup!$A$2,$BD85*ROUNDUP(BL85/10,0)+1,
IF($BC85=Lookup!$A$3,($BD85+1)^BK85,
IF($BC85=Lookup!$A$4,BL85*$BD85+1,"Error")))</f>
        <v>0.71</v>
      </c>
      <c r="BU85" s="320"/>
      <c r="BV85" s="321"/>
      <c r="BW85" s="321"/>
      <c r="BX85" s="321"/>
      <c r="BY85" s="321"/>
      <c r="BZ85" s="321"/>
      <c r="CA85" s="321"/>
      <c r="CB85" s="277"/>
      <c r="CC85" s="382" t="s">
        <v>293</v>
      </c>
      <c r="CD85" s="383">
        <f>HLOOKUP($CC85,$AK$6:$AM$132,ROWS(CD$6:CD85),0)</f>
        <v>0.33333333333333331</v>
      </c>
      <c r="CE85" s="234">
        <f t="shared" si="142"/>
        <v>0.33333333333333331</v>
      </c>
      <c r="CF85" s="96">
        <f t="shared" si="142"/>
        <v>0.33333333333333331</v>
      </c>
      <c r="CG85" s="96">
        <f t="shared" si="142"/>
        <v>0.33333333333333331</v>
      </c>
      <c r="CH85" s="96">
        <f t="shared" si="142"/>
        <v>0.23666666666666664</v>
      </c>
      <c r="CI85" s="96">
        <f t="shared" si="84"/>
        <v>0.23666666666666664</v>
      </c>
      <c r="CJ85" s="96">
        <f t="shared" si="84"/>
        <v>0.23666666666666664</v>
      </c>
      <c r="CK85" s="96">
        <f t="shared" si="84"/>
        <v>0.23666666666666664</v>
      </c>
      <c r="CL85" s="286">
        <f t="shared" si="84"/>
        <v>0.23666666666666664</v>
      </c>
      <c r="CM85" s="305" t="s">
        <v>293</v>
      </c>
      <c r="CN85" s="315">
        <v>0</v>
      </c>
      <c r="CO85" s="306"/>
      <c r="CP85" s="307">
        <f>IF($CO85&lt;&gt;"",$CO85,HLOOKUP($CM85,$AY$6:$BA$132,ROWS(CP$6:CP85),0))</f>
        <v>25809.87</v>
      </c>
      <c r="CQ85" s="784">
        <f t="shared" si="138"/>
        <v>8603.2899999999991</v>
      </c>
      <c r="CR85" s="784">
        <f t="shared" si="138"/>
        <v>8603.2899999999991</v>
      </c>
      <c r="CS85" s="97">
        <f t="shared" si="138"/>
        <v>8603.2899999999991</v>
      </c>
      <c r="CT85" s="97">
        <f t="shared" si="138"/>
        <v>6108.3358999999991</v>
      </c>
      <c r="CU85" s="97">
        <f t="shared" si="138"/>
        <v>6108.3358999999991</v>
      </c>
      <c r="CV85" s="97">
        <f t="shared" si="138"/>
        <v>6108.3358999999991</v>
      </c>
      <c r="CW85" s="97">
        <f t="shared" si="138"/>
        <v>6108.3358999999991</v>
      </c>
      <c r="CX85" s="98">
        <f t="shared" si="62"/>
        <v>6108.3358999999991</v>
      </c>
      <c r="CY85" s="392"/>
    </row>
    <row r="86" spans="1:103" x14ac:dyDescent="0.25">
      <c r="A86" s="81" t="s">
        <v>138</v>
      </c>
      <c r="B86" s="82" t="s">
        <v>175</v>
      </c>
      <c r="C86" s="83" t="s">
        <v>376</v>
      </c>
      <c r="D86" s="84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654">
        <f>'2022-23 Input'!F86</f>
        <v>0</v>
      </c>
      <c r="N86" s="1065">
        <v>0</v>
      </c>
      <c r="O86" s="560">
        <f t="shared" si="139"/>
        <v>0</v>
      </c>
      <c r="P86" s="561">
        <f t="shared" si="113"/>
        <v>0</v>
      </c>
      <c r="Q86" s="561">
        <f t="shared" si="114"/>
        <v>0</v>
      </c>
      <c r="R86" s="561">
        <f t="shared" si="115"/>
        <v>0</v>
      </c>
      <c r="S86" s="561">
        <f t="shared" si="116"/>
        <v>0</v>
      </c>
      <c r="T86" s="561">
        <f t="shared" si="117"/>
        <v>0</v>
      </c>
      <c r="U86" s="561">
        <f t="shared" si="118"/>
        <v>0</v>
      </c>
      <c r="V86" s="561">
        <f t="shared" si="119"/>
        <v>0</v>
      </c>
      <c r="W86" s="675">
        <f t="shared" si="120"/>
        <v>0</v>
      </c>
      <c r="X86" s="675">
        <f t="shared" si="121"/>
        <v>0</v>
      </c>
      <c r="Y86" s="675">
        <f t="shared" si="121"/>
        <v>0</v>
      </c>
      <c r="Z86" s="86">
        <v>0</v>
      </c>
      <c r="AA86" s="87">
        <v>0</v>
      </c>
      <c r="AB86" s="87">
        <v>1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87">
        <v>0</v>
      </c>
      <c r="AI86" s="1094">
        <f>'2022-23 Input'!M86</f>
        <v>0</v>
      </c>
      <c r="AJ86" s="665">
        <v>0</v>
      </c>
      <c r="AK86" s="88">
        <f t="shared" si="122"/>
        <v>0</v>
      </c>
      <c r="AL86" s="89">
        <f t="shared" si="123"/>
        <v>0</v>
      </c>
      <c r="AM86" s="90">
        <f t="shared" si="124"/>
        <v>0</v>
      </c>
      <c r="AN86" s="91" t="str">
        <f t="shared" si="125"/>
        <v/>
      </c>
      <c r="AO86" s="92" t="str">
        <f t="shared" si="126"/>
        <v/>
      </c>
      <c r="AP86" s="92">
        <f t="shared" si="127"/>
        <v>0</v>
      </c>
      <c r="AQ86" s="92" t="str">
        <f t="shared" si="128"/>
        <v/>
      </c>
      <c r="AR86" s="92" t="str">
        <f t="shared" si="129"/>
        <v/>
      </c>
      <c r="AS86" s="92" t="str">
        <f t="shared" si="130"/>
        <v/>
      </c>
      <c r="AT86" s="92" t="str">
        <f t="shared" si="131"/>
        <v/>
      </c>
      <c r="AU86" s="92" t="str">
        <f t="shared" si="132"/>
        <v/>
      </c>
      <c r="AV86" s="92" t="str">
        <f t="shared" si="133"/>
        <v/>
      </c>
      <c r="AW86" s="92" t="str">
        <f t="shared" si="133"/>
        <v/>
      </c>
      <c r="AX86" s="92" t="str">
        <f t="shared" si="133"/>
        <v/>
      </c>
      <c r="AY86" s="93" t="str">
        <f t="shared" si="134"/>
        <v/>
      </c>
      <c r="AZ86" s="94" t="str">
        <f t="shared" si="135"/>
        <v/>
      </c>
      <c r="BA86" s="95" t="str">
        <f t="shared" si="136"/>
        <v/>
      </c>
      <c r="BB86" s="248" t="s">
        <v>422</v>
      </c>
      <c r="BC86" s="229" t="s">
        <v>433</v>
      </c>
      <c r="BD86" s="249">
        <v>-0.28999999999999998</v>
      </c>
      <c r="BE86" s="267">
        <f t="shared" si="140"/>
        <v>0</v>
      </c>
      <c r="BF86" s="268">
        <f t="shared" ref="BF86:BL86" si="156">IF(BF$6=$BB86,1,
IF(BE86&lt;&gt;0,BE86+1,0
))</f>
        <v>0</v>
      </c>
      <c r="BG86" s="268">
        <f t="shared" si="156"/>
        <v>0</v>
      </c>
      <c r="BH86" s="268">
        <f t="shared" si="156"/>
        <v>1</v>
      </c>
      <c r="BI86" s="268">
        <f t="shared" si="156"/>
        <v>2</v>
      </c>
      <c r="BJ86" s="268">
        <f t="shared" si="156"/>
        <v>3</v>
      </c>
      <c r="BK86" s="268">
        <f t="shared" si="156"/>
        <v>4</v>
      </c>
      <c r="BL86" s="269">
        <f t="shared" si="156"/>
        <v>5</v>
      </c>
      <c r="BM86" s="256">
        <f>IF($BC86=Lookup!$A$2,$BD86*ROUNDUP(BE86/10,0)+1,
IF($BC86=Lookup!$A$3,($BD86+1)^BD86,
IF($BC86=Lookup!$A$4,BE86*$BD86+1,"Error")))</f>
        <v>1</v>
      </c>
      <c r="BN86" s="229">
        <f>IF($BC86=Lookup!$A$2,$BD86*ROUNDUP(BF86/10,0)+1,
IF($BC86=Lookup!$A$3,($BD86+1)^BE86,
IF($BC86=Lookup!$A$4,BF86*$BD86+1,"Error")))</f>
        <v>1</v>
      </c>
      <c r="BO86" s="229">
        <f>IF($BC86=Lookup!$A$2,$BD86*ROUNDUP(BG86/10,0)+1,
IF($BC86=Lookup!$A$3,($BD86+1)^BF86,
IF($BC86=Lookup!$A$4,BG86*$BD86+1,"Error")))</f>
        <v>1</v>
      </c>
      <c r="BP86" s="229">
        <f>IF($BC86=Lookup!$A$2,$BD86*ROUNDUP(BH86/10,0)+1,
IF($BC86=Lookup!$A$3,($BD86+1)^BG86,
IF($BC86=Lookup!$A$4,BH86*$BD86+1,"Error")))</f>
        <v>0.71</v>
      </c>
      <c r="BQ86" s="229">
        <f>IF($BC86=Lookup!$A$2,$BD86*ROUNDUP(BI86/10,0)+1,
IF($BC86=Lookup!$A$3,($BD86+1)^BH86,
IF($BC86=Lookup!$A$4,BI86*$BD86+1,"Error")))</f>
        <v>0.71</v>
      </c>
      <c r="BR86" s="229">
        <f>IF($BC86=Lookup!$A$2,$BD86*ROUNDUP(BJ86/10,0)+1,
IF($BC86=Lookup!$A$3,($BD86+1)^BI86,
IF($BC86=Lookup!$A$4,BJ86*$BD86+1,"Error")))</f>
        <v>0.71</v>
      </c>
      <c r="BS86" s="229">
        <f>IF($BC86=Lookup!$A$2,$BD86*ROUNDUP(BK86/10,0)+1,
IF($BC86=Lookup!$A$3,($BD86+1)^BJ86,
IF($BC86=Lookup!$A$4,BK86*$BD86+1,"Error")))</f>
        <v>0.71</v>
      </c>
      <c r="BT86" s="249">
        <f>IF($BC86=Lookup!$A$2,$BD86*ROUNDUP(BL86/10,0)+1,
IF($BC86=Lookup!$A$3,($BD86+1)^BK86,
IF($BC86=Lookup!$A$4,BL86*$BD86+1,"Error")))</f>
        <v>0.71</v>
      </c>
      <c r="BU86" s="320"/>
      <c r="BV86" s="321"/>
      <c r="BW86" s="321"/>
      <c r="BX86" s="321"/>
      <c r="BY86" s="321"/>
      <c r="BZ86" s="321"/>
      <c r="CA86" s="321"/>
      <c r="CB86" s="277"/>
      <c r="CC86" s="382" t="s">
        <v>293</v>
      </c>
      <c r="CD86" s="383">
        <f>HLOOKUP($CC86,$AK$6:$AM$132,ROWS(CD$6:CD86),0)</f>
        <v>0</v>
      </c>
      <c r="CE86" s="234">
        <f t="shared" si="142"/>
        <v>0</v>
      </c>
      <c r="CF86" s="96">
        <f t="shared" si="142"/>
        <v>0</v>
      </c>
      <c r="CG86" s="96">
        <f t="shared" si="142"/>
        <v>0</v>
      </c>
      <c r="CH86" s="96">
        <f t="shared" si="142"/>
        <v>0</v>
      </c>
      <c r="CI86" s="96">
        <f t="shared" si="84"/>
        <v>0</v>
      </c>
      <c r="CJ86" s="96">
        <f t="shared" si="84"/>
        <v>0</v>
      </c>
      <c r="CK86" s="96">
        <f t="shared" si="84"/>
        <v>0</v>
      </c>
      <c r="CL86" s="286">
        <f t="shared" si="84"/>
        <v>0</v>
      </c>
      <c r="CM86" s="305" t="s">
        <v>293</v>
      </c>
      <c r="CN86" s="315">
        <v>0</v>
      </c>
      <c r="CO86" s="306"/>
      <c r="CP86" s="307" t="str">
        <f>IF($CO86&lt;&gt;"",$CO86,HLOOKUP($CM86,$AY$6:$BA$132,ROWS(CP$6:CP86),0))</f>
        <v/>
      </c>
      <c r="CQ86" s="784" t="str">
        <f t="shared" si="138"/>
        <v/>
      </c>
      <c r="CR86" s="784" t="str">
        <f t="shared" si="138"/>
        <v/>
      </c>
      <c r="CS86" s="97" t="str">
        <f t="shared" si="138"/>
        <v/>
      </c>
      <c r="CT86" s="97" t="str">
        <f t="shared" si="138"/>
        <v/>
      </c>
      <c r="CU86" s="97" t="str">
        <f t="shared" si="138"/>
        <v/>
      </c>
      <c r="CV86" s="97" t="str">
        <f t="shared" si="138"/>
        <v/>
      </c>
      <c r="CW86" s="97" t="str">
        <f t="shared" si="138"/>
        <v/>
      </c>
      <c r="CX86" s="98" t="str">
        <f t="shared" si="62"/>
        <v/>
      </c>
      <c r="CY86" s="392"/>
    </row>
    <row r="87" spans="1:103" x14ac:dyDescent="0.25">
      <c r="A87" s="81" t="s">
        <v>138</v>
      </c>
      <c r="B87" s="82" t="s">
        <v>177</v>
      </c>
      <c r="C87" s="83" t="s">
        <v>377</v>
      </c>
      <c r="D87" s="84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654">
        <f>'2022-23 Input'!F87</f>
        <v>0</v>
      </c>
      <c r="N87" s="1065">
        <v>0</v>
      </c>
      <c r="O87" s="560">
        <f t="shared" si="139"/>
        <v>0</v>
      </c>
      <c r="P87" s="561">
        <f t="shared" si="113"/>
        <v>0</v>
      </c>
      <c r="Q87" s="561">
        <f t="shared" si="114"/>
        <v>0</v>
      </c>
      <c r="R87" s="561">
        <f t="shared" si="115"/>
        <v>0</v>
      </c>
      <c r="S87" s="561">
        <f t="shared" si="116"/>
        <v>0</v>
      </c>
      <c r="T87" s="561">
        <f t="shared" si="117"/>
        <v>0</v>
      </c>
      <c r="U87" s="561">
        <f t="shared" si="118"/>
        <v>0</v>
      </c>
      <c r="V87" s="561">
        <f t="shared" si="119"/>
        <v>0</v>
      </c>
      <c r="W87" s="675">
        <f t="shared" si="120"/>
        <v>0</v>
      </c>
      <c r="X87" s="675">
        <f t="shared" si="121"/>
        <v>0</v>
      </c>
      <c r="Y87" s="675">
        <f t="shared" si="121"/>
        <v>0</v>
      </c>
      <c r="Z87" s="86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87">
        <v>0</v>
      </c>
      <c r="AI87" s="1094">
        <f>'2022-23 Input'!M87</f>
        <v>0</v>
      </c>
      <c r="AJ87" s="665">
        <v>0</v>
      </c>
      <c r="AK87" s="88">
        <f t="shared" si="122"/>
        <v>0</v>
      </c>
      <c r="AL87" s="89">
        <f t="shared" si="123"/>
        <v>0</v>
      </c>
      <c r="AM87" s="90">
        <f t="shared" si="124"/>
        <v>0</v>
      </c>
      <c r="AN87" s="91" t="str">
        <f t="shared" si="125"/>
        <v/>
      </c>
      <c r="AO87" s="92" t="str">
        <f t="shared" si="126"/>
        <v/>
      </c>
      <c r="AP87" s="92" t="str">
        <f t="shared" si="127"/>
        <v/>
      </c>
      <c r="AQ87" s="92" t="str">
        <f t="shared" si="128"/>
        <v/>
      </c>
      <c r="AR87" s="92" t="str">
        <f t="shared" si="129"/>
        <v/>
      </c>
      <c r="AS87" s="92" t="str">
        <f t="shared" si="130"/>
        <v/>
      </c>
      <c r="AT87" s="92" t="str">
        <f t="shared" si="131"/>
        <v/>
      </c>
      <c r="AU87" s="92" t="str">
        <f t="shared" si="132"/>
        <v/>
      </c>
      <c r="AV87" s="92" t="str">
        <f t="shared" ref="AV87:AX102" si="157">IFERROR(L87/AH87,"")</f>
        <v/>
      </c>
      <c r="AW87" s="92" t="str">
        <f t="shared" si="157"/>
        <v/>
      </c>
      <c r="AX87" s="92" t="str">
        <f t="shared" si="157"/>
        <v/>
      </c>
      <c r="AY87" s="93" t="str">
        <f t="shared" si="134"/>
        <v/>
      </c>
      <c r="AZ87" s="94" t="str">
        <f t="shared" si="135"/>
        <v/>
      </c>
      <c r="BA87" s="95" t="str">
        <f t="shared" si="136"/>
        <v/>
      </c>
      <c r="BB87" s="248" t="s">
        <v>422</v>
      </c>
      <c r="BC87" s="229" t="s">
        <v>433</v>
      </c>
      <c r="BD87" s="249">
        <v>-0.28999999999999998</v>
      </c>
      <c r="BE87" s="267">
        <f t="shared" si="140"/>
        <v>0</v>
      </c>
      <c r="BF87" s="268">
        <f t="shared" ref="BF87:BL87" si="158">IF(BF$6=$BB87,1,
IF(BE87&lt;&gt;0,BE87+1,0
))</f>
        <v>0</v>
      </c>
      <c r="BG87" s="268">
        <f t="shared" si="158"/>
        <v>0</v>
      </c>
      <c r="BH87" s="268">
        <f t="shared" si="158"/>
        <v>1</v>
      </c>
      <c r="BI87" s="268">
        <f t="shared" si="158"/>
        <v>2</v>
      </c>
      <c r="BJ87" s="268">
        <f t="shared" si="158"/>
        <v>3</v>
      </c>
      <c r="BK87" s="268">
        <f t="shared" si="158"/>
        <v>4</v>
      </c>
      <c r="BL87" s="269">
        <f t="shared" si="158"/>
        <v>5</v>
      </c>
      <c r="BM87" s="256">
        <f>IF($BC87=Lookup!$A$2,$BD87*ROUNDUP(BE87/10,0)+1,
IF($BC87=Lookup!$A$3,($BD87+1)^BD87,
IF($BC87=Lookup!$A$4,BE87*$BD87+1,"Error")))</f>
        <v>1</v>
      </c>
      <c r="BN87" s="229">
        <f>IF($BC87=Lookup!$A$2,$BD87*ROUNDUP(BF87/10,0)+1,
IF($BC87=Lookup!$A$3,($BD87+1)^BE87,
IF($BC87=Lookup!$A$4,BF87*$BD87+1,"Error")))</f>
        <v>1</v>
      </c>
      <c r="BO87" s="229">
        <f>IF($BC87=Lookup!$A$2,$BD87*ROUNDUP(BG87/10,0)+1,
IF($BC87=Lookup!$A$3,($BD87+1)^BF87,
IF($BC87=Lookup!$A$4,BG87*$BD87+1,"Error")))</f>
        <v>1</v>
      </c>
      <c r="BP87" s="229">
        <f>IF($BC87=Lookup!$A$2,$BD87*ROUNDUP(BH87/10,0)+1,
IF($BC87=Lookup!$A$3,($BD87+1)^BG87,
IF($BC87=Lookup!$A$4,BH87*$BD87+1,"Error")))</f>
        <v>0.71</v>
      </c>
      <c r="BQ87" s="229">
        <f>IF($BC87=Lookup!$A$2,$BD87*ROUNDUP(BI87/10,0)+1,
IF($BC87=Lookup!$A$3,($BD87+1)^BH87,
IF($BC87=Lookup!$A$4,BI87*$BD87+1,"Error")))</f>
        <v>0.71</v>
      </c>
      <c r="BR87" s="229">
        <f>IF($BC87=Lookup!$A$2,$BD87*ROUNDUP(BJ87/10,0)+1,
IF($BC87=Lookup!$A$3,($BD87+1)^BI87,
IF($BC87=Lookup!$A$4,BJ87*$BD87+1,"Error")))</f>
        <v>0.71</v>
      </c>
      <c r="BS87" s="229">
        <f>IF($BC87=Lookup!$A$2,$BD87*ROUNDUP(BK87/10,0)+1,
IF($BC87=Lookup!$A$3,($BD87+1)^BJ87,
IF($BC87=Lookup!$A$4,BK87*$BD87+1,"Error")))</f>
        <v>0.71</v>
      </c>
      <c r="BT87" s="249">
        <f>IF($BC87=Lookup!$A$2,$BD87*ROUNDUP(BL87/10,0)+1,
IF($BC87=Lookup!$A$3,($BD87+1)^BK87,
IF($BC87=Lookup!$A$4,BL87*$BD87+1,"Error")))</f>
        <v>0.71</v>
      </c>
      <c r="BU87" s="320"/>
      <c r="BV87" s="321"/>
      <c r="BW87" s="321"/>
      <c r="BX87" s="321"/>
      <c r="BY87" s="321"/>
      <c r="BZ87" s="321"/>
      <c r="CA87" s="321"/>
      <c r="CB87" s="277"/>
      <c r="CC87" s="382" t="s">
        <v>293</v>
      </c>
      <c r="CD87" s="383">
        <f>HLOOKUP($CC87,$AK$6:$AM$132,ROWS(CD$6:CD87),0)</f>
        <v>0</v>
      </c>
      <c r="CE87" s="234">
        <f t="shared" si="142"/>
        <v>0</v>
      </c>
      <c r="CF87" s="96">
        <f t="shared" si="142"/>
        <v>0</v>
      </c>
      <c r="CG87" s="96">
        <f t="shared" si="142"/>
        <v>0</v>
      </c>
      <c r="CH87" s="96">
        <f t="shared" si="142"/>
        <v>0</v>
      </c>
      <c r="CI87" s="96">
        <f t="shared" si="84"/>
        <v>0</v>
      </c>
      <c r="CJ87" s="96">
        <f t="shared" si="84"/>
        <v>0</v>
      </c>
      <c r="CK87" s="96">
        <f t="shared" si="84"/>
        <v>0</v>
      </c>
      <c r="CL87" s="286">
        <f t="shared" si="84"/>
        <v>0</v>
      </c>
      <c r="CM87" s="305" t="s">
        <v>293</v>
      </c>
      <c r="CN87" s="315">
        <v>0</v>
      </c>
      <c r="CO87" s="306"/>
      <c r="CP87" s="307" t="str">
        <f>IF($CO87&lt;&gt;"",$CO87,HLOOKUP($CM87,$AY$6:$BA$132,ROWS(CP$6:CP87),0))</f>
        <v/>
      </c>
      <c r="CQ87" s="784" t="str">
        <f t="shared" si="138"/>
        <v/>
      </c>
      <c r="CR87" s="784" t="str">
        <f t="shared" si="138"/>
        <v/>
      </c>
      <c r="CS87" s="97" t="str">
        <f t="shared" si="138"/>
        <v/>
      </c>
      <c r="CT87" s="97" t="str">
        <f t="shared" si="138"/>
        <v/>
      </c>
      <c r="CU87" s="97" t="str">
        <f t="shared" si="138"/>
        <v/>
      </c>
      <c r="CV87" s="97" t="str">
        <f t="shared" si="138"/>
        <v/>
      </c>
      <c r="CW87" s="97" t="str">
        <f t="shared" si="138"/>
        <v/>
      </c>
      <c r="CX87" s="98" t="str">
        <f t="shared" si="62"/>
        <v/>
      </c>
      <c r="CY87" s="392"/>
    </row>
    <row r="88" spans="1:103" x14ac:dyDescent="0.25">
      <c r="A88" s="81" t="s">
        <v>138</v>
      </c>
      <c r="B88" s="82" t="s">
        <v>179</v>
      </c>
      <c r="C88" s="83" t="s">
        <v>378</v>
      </c>
      <c r="D88" s="84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654">
        <f>'2022-23 Input'!F88</f>
        <v>0</v>
      </c>
      <c r="N88" s="1065">
        <v>0</v>
      </c>
      <c r="O88" s="560">
        <f t="shared" si="139"/>
        <v>0</v>
      </c>
      <c r="P88" s="561">
        <f t="shared" si="113"/>
        <v>0</v>
      </c>
      <c r="Q88" s="561">
        <f t="shared" si="114"/>
        <v>0</v>
      </c>
      <c r="R88" s="561">
        <f t="shared" si="115"/>
        <v>0</v>
      </c>
      <c r="S88" s="561">
        <f t="shared" si="116"/>
        <v>0</v>
      </c>
      <c r="T88" s="561">
        <f t="shared" si="117"/>
        <v>0</v>
      </c>
      <c r="U88" s="561">
        <f t="shared" si="118"/>
        <v>0</v>
      </c>
      <c r="V88" s="561">
        <f t="shared" si="119"/>
        <v>0</v>
      </c>
      <c r="W88" s="675">
        <f t="shared" si="120"/>
        <v>0</v>
      </c>
      <c r="X88" s="675">
        <f t="shared" si="121"/>
        <v>0</v>
      </c>
      <c r="Y88" s="675">
        <f t="shared" si="121"/>
        <v>0</v>
      </c>
      <c r="Z88" s="86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87">
        <v>0</v>
      </c>
      <c r="AI88" s="1094">
        <f>'2022-23 Input'!M88</f>
        <v>0</v>
      </c>
      <c r="AJ88" s="665">
        <v>0</v>
      </c>
      <c r="AK88" s="88">
        <f t="shared" si="122"/>
        <v>0</v>
      </c>
      <c r="AL88" s="89">
        <f t="shared" si="123"/>
        <v>0</v>
      </c>
      <c r="AM88" s="90">
        <f t="shared" si="124"/>
        <v>0</v>
      </c>
      <c r="AN88" s="91" t="str">
        <f t="shared" si="125"/>
        <v/>
      </c>
      <c r="AO88" s="92" t="str">
        <f t="shared" si="126"/>
        <v/>
      </c>
      <c r="AP88" s="92" t="str">
        <f t="shared" si="127"/>
        <v/>
      </c>
      <c r="AQ88" s="92" t="str">
        <f t="shared" si="128"/>
        <v/>
      </c>
      <c r="AR88" s="92" t="str">
        <f t="shared" si="129"/>
        <v/>
      </c>
      <c r="AS88" s="92" t="str">
        <f t="shared" si="130"/>
        <v/>
      </c>
      <c r="AT88" s="92" t="str">
        <f t="shared" si="131"/>
        <v/>
      </c>
      <c r="AU88" s="92" t="str">
        <f t="shared" si="132"/>
        <v/>
      </c>
      <c r="AV88" s="92" t="str">
        <f t="shared" si="157"/>
        <v/>
      </c>
      <c r="AW88" s="92" t="str">
        <f t="shared" si="157"/>
        <v/>
      </c>
      <c r="AX88" s="92" t="str">
        <f t="shared" si="157"/>
        <v/>
      </c>
      <c r="AY88" s="93" t="str">
        <f t="shared" si="134"/>
        <v/>
      </c>
      <c r="AZ88" s="94" t="str">
        <f t="shared" si="135"/>
        <v/>
      </c>
      <c r="BA88" s="95" t="str">
        <f t="shared" si="136"/>
        <v/>
      </c>
      <c r="BB88" s="248" t="s">
        <v>422</v>
      </c>
      <c r="BC88" s="229" t="s">
        <v>433</v>
      </c>
      <c r="BD88" s="249">
        <v>-0.28999999999999998</v>
      </c>
      <c r="BE88" s="267">
        <f t="shared" si="140"/>
        <v>0</v>
      </c>
      <c r="BF88" s="268">
        <f t="shared" ref="BF88:BL88" si="159">IF(BF$6=$BB88,1,
IF(BE88&lt;&gt;0,BE88+1,0
))</f>
        <v>0</v>
      </c>
      <c r="BG88" s="268">
        <f t="shared" si="159"/>
        <v>0</v>
      </c>
      <c r="BH88" s="268">
        <f t="shared" si="159"/>
        <v>1</v>
      </c>
      <c r="BI88" s="268">
        <f t="shared" si="159"/>
        <v>2</v>
      </c>
      <c r="BJ88" s="268">
        <f t="shared" si="159"/>
        <v>3</v>
      </c>
      <c r="BK88" s="268">
        <f t="shared" si="159"/>
        <v>4</v>
      </c>
      <c r="BL88" s="269">
        <f t="shared" si="159"/>
        <v>5</v>
      </c>
      <c r="BM88" s="256">
        <f>IF($BC88=Lookup!$A$2,$BD88*ROUNDUP(BE88/10,0)+1,
IF($BC88=Lookup!$A$3,($BD88+1)^BD88,
IF($BC88=Lookup!$A$4,BE88*$BD88+1,"Error")))</f>
        <v>1</v>
      </c>
      <c r="BN88" s="229">
        <f>IF($BC88=Lookup!$A$2,$BD88*ROUNDUP(BF88/10,0)+1,
IF($BC88=Lookup!$A$3,($BD88+1)^BE88,
IF($BC88=Lookup!$A$4,BF88*$BD88+1,"Error")))</f>
        <v>1</v>
      </c>
      <c r="BO88" s="229">
        <f>IF($BC88=Lookup!$A$2,$BD88*ROUNDUP(BG88/10,0)+1,
IF($BC88=Lookup!$A$3,($BD88+1)^BF88,
IF($BC88=Lookup!$A$4,BG88*$BD88+1,"Error")))</f>
        <v>1</v>
      </c>
      <c r="BP88" s="229">
        <f>IF($BC88=Lookup!$A$2,$BD88*ROUNDUP(BH88/10,0)+1,
IF($BC88=Lookup!$A$3,($BD88+1)^BG88,
IF($BC88=Lookup!$A$4,BH88*$BD88+1,"Error")))</f>
        <v>0.71</v>
      </c>
      <c r="BQ88" s="229">
        <f>IF($BC88=Lookup!$A$2,$BD88*ROUNDUP(BI88/10,0)+1,
IF($BC88=Lookup!$A$3,($BD88+1)^BH88,
IF($BC88=Lookup!$A$4,BI88*$BD88+1,"Error")))</f>
        <v>0.71</v>
      </c>
      <c r="BR88" s="229">
        <f>IF($BC88=Lookup!$A$2,$BD88*ROUNDUP(BJ88/10,0)+1,
IF($BC88=Lookup!$A$3,($BD88+1)^BI88,
IF($BC88=Lookup!$A$4,BJ88*$BD88+1,"Error")))</f>
        <v>0.71</v>
      </c>
      <c r="BS88" s="229">
        <f>IF($BC88=Lookup!$A$2,$BD88*ROUNDUP(BK88/10,0)+1,
IF($BC88=Lookup!$A$3,($BD88+1)^BJ88,
IF($BC88=Lookup!$A$4,BK88*$BD88+1,"Error")))</f>
        <v>0.71</v>
      </c>
      <c r="BT88" s="249">
        <f>IF($BC88=Lookup!$A$2,$BD88*ROUNDUP(BL88/10,0)+1,
IF($BC88=Lookup!$A$3,($BD88+1)^BK88,
IF($BC88=Lookup!$A$4,BL88*$BD88+1,"Error")))</f>
        <v>0.71</v>
      </c>
      <c r="BU88" s="320"/>
      <c r="BV88" s="321"/>
      <c r="BW88" s="321"/>
      <c r="BX88" s="321"/>
      <c r="BY88" s="321"/>
      <c r="BZ88" s="321"/>
      <c r="CA88" s="321"/>
      <c r="CB88" s="277"/>
      <c r="CC88" s="382" t="s">
        <v>293</v>
      </c>
      <c r="CD88" s="383">
        <f>HLOOKUP($CC88,$AK$6:$AM$132,ROWS(CD$6:CD88),0)</f>
        <v>0</v>
      </c>
      <c r="CE88" s="234">
        <f t="shared" si="142"/>
        <v>0</v>
      </c>
      <c r="CF88" s="96">
        <f t="shared" si="142"/>
        <v>0</v>
      </c>
      <c r="CG88" s="96">
        <f t="shared" si="142"/>
        <v>0</v>
      </c>
      <c r="CH88" s="96">
        <f t="shared" si="142"/>
        <v>0</v>
      </c>
      <c r="CI88" s="96">
        <f t="shared" si="84"/>
        <v>0</v>
      </c>
      <c r="CJ88" s="96">
        <f t="shared" si="84"/>
        <v>0</v>
      </c>
      <c r="CK88" s="96">
        <f t="shared" si="84"/>
        <v>0</v>
      </c>
      <c r="CL88" s="286">
        <f t="shared" si="84"/>
        <v>0</v>
      </c>
      <c r="CM88" s="305" t="s">
        <v>293</v>
      </c>
      <c r="CN88" s="315">
        <v>0</v>
      </c>
      <c r="CO88" s="306"/>
      <c r="CP88" s="307" t="str">
        <f>IF($CO88&lt;&gt;"",$CO88,HLOOKUP($CM88,$AY$6:$BA$132,ROWS(CP$6:CP88),0))</f>
        <v/>
      </c>
      <c r="CQ88" s="784" t="str">
        <f t="shared" si="138"/>
        <v/>
      </c>
      <c r="CR88" s="784" t="str">
        <f t="shared" si="138"/>
        <v/>
      </c>
      <c r="CS88" s="97" t="str">
        <f t="shared" si="138"/>
        <v/>
      </c>
      <c r="CT88" s="97" t="str">
        <f t="shared" si="138"/>
        <v/>
      </c>
      <c r="CU88" s="97" t="str">
        <f t="shared" si="138"/>
        <v/>
      </c>
      <c r="CV88" s="97" t="str">
        <f t="shared" si="138"/>
        <v/>
      </c>
      <c r="CW88" s="97" t="str">
        <f t="shared" si="138"/>
        <v/>
      </c>
      <c r="CX88" s="98" t="str">
        <f t="shared" si="62"/>
        <v/>
      </c>
      <c r="CY88" s="392"/>
    </row>
    <row r="89" spans="1:103" x14ac:dyDescent="0.25">
      <c r="A89" s="81" t="s">
        <v>138</v>
      </c>
      <c r="B89" s="82" t="s">
        <v>181</v>
      </c>
      <c r="C89" s="83" t="s">
        <v>379</v>
      </c>
      <c r="D89" s="84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654">
        <f>'2022-23 Input'!F89</f>
        <v>0</v>
      </c>
      <c r="N89" s="1065">
        <v>0</v>
      </c>
      <c r="O89" s="560">
        <f t="shared" si="139"/>
        <v>0</v>
      </c>
      <c r="P89" s="561">
        <f t="shared" si="113"/>
        <v>0</v>
      </c>
      <c r="Q89" s="561">
        <f t="shared" si="114"/>
        <v>0</v>
      </c>
      <c r="R89" s="561">
        <f t="shared" si="115"/>
        <v>0</v>
      </c>
      <c r="S89" s="561">
        <f t="shared" si="116"/>
        <v>0</v>
      </c>
      <c r="T89" s="561">
        <f t="shared" si="117"/>
        <v>0</v>
      </c>
      <c r="U89" s="561">
        <f t="shared" si="118"/>
        <v>0</v>
      </c>
      <c r="V89" s="561">
        <f t="shared" si="119"/>
        <v>0</v>
      </c>
      <c r="W89" s="675">
        <f t="shared" si="120"/>
        <v>0</v>
      </c>
      <c r="X89" s="675">
        <f t="shared" si="121"/>
        <v>0</v>
      </c>
      <c r="Y89" s="675">
        <f t="shared" si="121"/>
        <v>0</v>
      </c>
      <c r="Z89" s="86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0</v>
      </c>
      <c r="AF89" s="87">
        <v>0</v>
      </c>
      <c r="AG89" s="87">
        <v>0</v>
      </c>
      <c r="AH89" s="87">
        <v>0</v>
      </c>
      <c r="AI89" s="1094">
        <f>'2022-23 Input'!M89</f>
        <v>0</v>
      </c>
      <c r="AJ89" s="665">
        <v>0</v>
      </c>
      <c r="AK89" s="88">
        <f t="shared" si="122"/>
        <v>0</v>
      </c>
      <c r="AL89" s="89">
        <f t="shared" si="123"/>
        <v>0</v>
      </c>
      <c r="AM89" s="90">
        <f t="shared" si="124"/>
        <v>0</v>
      </c>
      <c r="AN89" s="91" t="str">
        <f t="shared" si="125"/>
        <v/>
      </c>
      <c r="AO89" s="92" t="str">
        <f t="shared" si="126"/>
        <v/>
      </c>
      <c r="AP89" s="92" t="str">
        <f t="shared" si="127"/>
        <v/>
      </c>
      <c r="AQ89" s="92" t="str">
        <f t="shared" si="128"/>
        <v/>
      </c>
      <c r="AR89" s="92" t="str">
        <f t="shared" si="129"/>
        <v/>
      </c>
      <c r="AS89" s="92" t="str">
        <f t="shared" si="130"/>
        <v/>
      </c>
      <c r="AT89" s="92" t="str">
        <f t="shared" si="131"/>
        <v/>
      </c>
      <c r="AU89" s="92" t="str">
        <f t="shared" si="132"/>
        <v/>
      </c>
      <c r="AV89" s="92" t="str">
        <f t="shared" si="157"/>
        <v/>
      </c>
      <c r="AW89" s="92" t="str">
        <f t="shared" si="157"/>
        <v/>
      </c>
      <c r="AX89" s="92" t="str">
        <f t="shared" si="157"/>
        <v/>
      </c>
      <c r="AY89" s="93" t="str">
        <f t="shared" si="134"/>
        <v/>
      </c>
      <c r="AZ89" s="94" t="str">
        <f t="shared" si="135"/>
        <v/>
      </c>
      <c r="BA89" s="95" t="str">
        <f t="shared" si="136"/>
        <v/>
      </c>
      <c r="BB89" s="248" t="s">
        <v>422</v>
      </c>
      <c r="BC89" s="229" t="s">
        <v>433</v>
      </c>
      <c r="BD89" s="249">
        <v>-0.28999999999999998</v>
      </c>
      <c r="BE89" s="267">
        <f t="shared" si="140"/>
        <v>0</v>
      </c>
      <c r="BF89" s="268">
        <f t="shared" ref="BF89:BL89" si="160">IF(BF$6=$BB89,1,
IF(BE89&lt;&gt;0,BE89+1,0
))</f>
        <v>0</v>
      </c>
      <c r="BG89" s="268">
        <f t="shared" si="160"/>
        <v>0</v>
      </c>
      <c r="BH89" s="268">
        <f t="shared" si="160"/>
        <v>1</v>
      </c>
      <c r="BI89" s="268">
        <f t="shared" si="160"/>
        <v>2</v>
      </c>
      <c r="BJ89" s="268">
        <f t="shared" si="160"/>
        <v>3</v>
      </c>
      <c r="BK89" s="268">
        <f t="shared" si="160"/>
        <v>4</v>
      </c>
      <c r="BL89" s="269">
        <f t="shared" si="160"/>
        <v>5</v>
      </c>
      <c r="BM89" s="256">
        <f>IF($BC89=Lookup!$A$2,$BD89*ROUNDUP(BE89/10,0)+1,
IF($BC89=Lookup!$A$3,($BD89+1)^BD89,
IF($BC89=Lookup!$A$4,BE89*$BD89+1,"Error")))</f>
        <v>1</v>
      </c>
      <c r="BN89" s="229">
        <f>IF($BC89=Lookup!$A$2,$BD89*ROUNDUP(BF89/10,0)+1,
IF($BC89=Lookup!$A$3,($BD89+1)^BE89,
IF($BC89=Lookup!$A$4,BF89*$BD89+1,"Error")))</f>
        <v>1</v>
      </c>
      <c r="BO89" s="229">
        <f>IF($BC89=Lookup!$A$2,$BD89*ROUNDUP(BG89/10,0)+1,
IF($BC89=Lookup!$A$3,($BD89+1)^BF89,
IF($BC89=Lookup!$A$4,BG89*$BD89+1,"Error")))</f>
        <v>1</v>
      </c>
      <c r="BP89" s="229">
        <f>IF($BC89=Lookup!$A$2,$BD89*ROUNDUP(BH89/10,0)+1,
IF($BC89=Lookup!$A$3,($BD89+1)^BG89,
IF($BC89=Lookup!$A$4,BH89*$BD89+1,"Error")))</f>
        <v>0.71</v>
      </c>
      <c r="BQ89" s="229">
        <f>IF($BC89=Lookup!$A$2,$BD89*ROUNDUP(BI89/10,0)+1,
IF($BC89=Lookup!$A$3,($BD89+1)^BH89,
IF($BC89=Lookup!$A$4,BI89*$BD89+1,"Error")))</f>
        <v>0.71</v>
      </c>
      <c r="BR89" s="229">
        <f>IF($BC89=Lookup!$A$2,$BD89*ROUNDUP(BJ89/10,0)+1,
IF($BC89=Lookup!$A$3,($BD89+1)^BI89,
IF($BC89=Lookup!$A$4,BJ89*$BD89+1,"Error")))</f>
        <v>0.71</v>
      </c>
      <c r="BS89" s="229">
        <f>IF($BC89=Lookup!$A$2,$BD89*ROUNDUP(BK89/10,0)+1,
IF($BC89=Lookup!$A$3,($BD89+1)^BJ89,
IF($BC89=Lookup!$A$4,BK89*$BD89+1,"Error")))</f>
        <v>0.71</v>
      </c>
      <c r="BT89" s="249">
        <f>IF($BC89=Lookup!$A$2,$BD89*ROUNDUP(BL89/10,0)+1,
IF($BC89=Lookup!$A$3,($BD89+1)^BK89,
IF($BC89=Lookup!$A$4,BL89*$BD89+1,"Error")))</f>
        <v>0.71</v>
      </c>
      <c r="BU89" s="320"/>
      <c r="BV89" s="321"/>
      <c r="BW89" s="321"/>
      <c r="BX89" s="321"/>
      <c r="BY89" s="321"/>
      <c r="BZ89" s="321"/>
      <c r="CA89" s="321"/>
      <c r="CB89" s="277"/>
      <c r="CC89" s="382" t="s">
        <v>293</v>
      </c>
      <c r="CD89" s="383">
        <f>HLOOKUP($CC89,$AK$6:$AM$132,ROWS(CD$6:CD89),0)</f>
        <v>0</v>
      </c>
      <c r="CE89" s="234">
        <f t="shared" si="142"/>
        <v>0</v>
      </c>
      <c r="CF89" s="96">
        <f t="shared" si="142"/>
        <v>0</v>
      </c>
      <c r="CG89" s="96">
        <f t="shared" si="142"/>
        <v>0</v>
      </c>
      <c r="CH89" s="96">
        <f t="shared" si="142"/>
        <v>0</v>
      </c>
      <c r="CI89" s="96">
        <f t="shared" si="84"/>
        <v>0</v>
      </c>
      <c r="CJ89" s="96">
        <f t="shared" si="84"/>
        <v>0</v>
      </c>
      <c r="CK89" s="96">
        <f t="shared" si="84"/>
        <v>0</v>
      </c>
      <c r="CL89" s="286">
        <f t="shared" si="84"/>
        <v>0</v>
      </c>
      <c r="CM89" s="305" t="s">
        <v>293</v>
      </c>
      <c r="CN89" s="315">
        <v>0</v>
      </c>
      <c r="CO89" s="306"/>
      <c r="CP89" s="307" t="str">
        <f>IF($CO89&lt;&gt;"",$CO89,HLOOKUP($CM89,$AY$6:$BA$132,ROWS(CP$6:CP89),0))</f>
        <v/>
      </c>
      <c r="CQ89" s="784" t="str">
        <f t="shared" si="138"/>
        <v/>
      </c>
      <c r="CR89" s="784" t="str">
        <f t="shared" si="138"/>
        <v/>
      </c>
      <c r="CS89" s="97" t="str">
        <f t="shared" si="138"/>
        <v/>
      </c>
      <c r="CT89" s="97" t="str">
        <f t="shared" si="138"/>
        <v/>
      </c>
      <c r="CU89" s="97" t="str">
        <f t="shared" si="138"/>
        <v/>
      </c>
      <c r="CV89" s="97" t="str">
        <f t="shared" si="138"/>
        <v/>
      </c>
      <c r="CW89" s="97" t="str">
        <f t="shared" si="138"/>
        <v/>
      </c>
      <c r="CX89" s="98" t="str">
        <f t="shared" si="62"/>
        <v/>
      </c>
      <c r="CY89" s="392"/>
    </row>
    <row r="90" spans="1:103" x14ac:dyDescent="0.25">
      <c r="A90" s="81" t="s">
        <v>138</v>
      </c>
      <c r="B90" s="82" t="s">
        <v>183</v>
      </c>
      <c r="C90" s="83" t="s">
        <v>380</v>
      </c>
      <c r="D90" s="84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654">
        <f>'2022-23 Input'!F90</f>
        <v>0</v>
      </c>
      <c r="N90" s="1065">
        <v>0</v>
      </c>
      <c r="O90" s="560">
        <f t="shared" si="139"/>
        <v>0</v>
      </c>
      <c r="P90" s="561">
        <f t="shared" si="113"/>
        <v>0</v>
      </c>
      <c r="Q90" s="561">
        <f t="shared" si="114"/>
        <v>0</v>
      </c>
      <c r="R90" s="561">
        <f t="shared" si="115"/>
        <v>0</v>
      </c>
      <c r="S90" s="561">
        <f t="shared" si="116"/>
        <v>0</v>
      </c>
      <c r="T90" s="561">
        <f t="shared" si="117"/>
        <v>0</v>
      </c>
      <c r="U90" s="561">
        <f t="shared" si="118"/>
        <v>0</v>
      </c>
      <c r="V90" s="561">
        <f t="shared" si="119"/>
        <v>0</v>
      </c>
      <c r="W90" s="675">
        <f t="shared" si="120"/>
        <v>0</v>
      </c>
      <c r="X90" s="675">
        <f t="shared" si="121"/>
        <v>0</v>
      </c>
      <c r="Y90" s="675">
        <f t="shared" si="121"/>
        <v>0</v>
      </c>
      <c r="Z90" s="86">
        <v>0</v>
      </c>
      <c r="AA90" s="87">
        <v>0</v>
      </c>
      <c r="AB90" s="87">
        <v>0</v>
      </c>
      <c r="AC90" s="87">
        <v>0</v>
      </c>
      <c r="AD90" s="87">
        <v>0</v>
      </c>
      <c r="AE90" s="87">
        <v>0</v>
      </c>
      <c r="AF90" s="87">
        <v>0</v>
      </c>
      <c r="AG90" s="87">
        <v>0</v>
      </c>
      <c r="AH90" s="87">
        <v>0</v>
      </c>
      <c r="AI90" s="1094">
        <f>'2022-23 Input'!M90</f>
        <v>0</v>
      </c>
      <c r="AJ90" s="665">
        <v>0</v>
      </c>
      <c r="AK90" s="88">
        <f t="shared" si="122"/>
        <v>0</v>
      </c>
      <c r="AL90" s="89">
        <f t="shared" si="123"/>
        <v>0</v>
      </c>
      <c r="AM90" s="90">
        <f t="shared" si="124"/>
        <v>0</v>
      </c>
      <c r="AN90" s="91" t="str">
        <f t="shared" si="125"/>
        <v/>
      </c>
      <c r="AO90" s="92" t="str">
        <f t="shared" si="126"/>
        <v/>
      </c>
      <c r="AP90" s="92" t="str">
        <f t="shared" si="127"/>
        <v/>
      </c>
      <c r="AQ90" s="92" t="str">
        <f t="shared" si="128"/>
        <v/>
      </c>
      <c r="AR90" s="92" t="str">
        <f t="shared" si="129"/>
        <v/>
      </c>
      <c r="AS90" s="92" t="str">
        <f t="shared" si="130"/>
        <v/>
      </c>
      <c r="AT90" s="92" t="str">
        <f t="shared" si="131"/>
        <v/>
      </c>
      <c r="AU90" s="92" t="str">
        <f t="shared" si="132"/>
        <v/>
      </c>
      <c r="AV90" s="92" t="str">
        <f t="shared" si="157"/>
        <v/>
      </c>
      <c r="AW90" s="92" t="str">
        <f t="shared" si="157"/>
        <v/>
      </c>
      <c r="AX90" s="92" t="str">
        <f t="shared" si="157"/>
        <v/>
      </c>
      <c r="AY90" s="93" t="str">
        <f t="shared" si="134"/>
        <v/>
      </c>
      <c r="AZ90" s="94" t="str">
        <f t="shared" si="135"/>
        <v/>
      </c>
      <c r="BA90" s="95" t="str">
        <f t="shared" si="136"/>
        <v/>
      </c>
      <c r="BB90" s="248" t="s">
        <v>422</v>
      </c>
      <c r="BC90" s="229" t="s">
        <v>433</v>
      </c>
      <c r="BD90" s="249">
        <v>-0.28999999999999998</v>
      </c>
      <c r="BE90" s="267">
        <f t="shared" si="140"/>
        <v>0</v>
      </c>
      <c r="BF90" s="268">
        <f t="shared" ref="BF90:BL90" si="161">IF(BF$6=$BB90,1,
IF(BE90&lt;&gt;0,BE90+1,0
))</f>
        <v>0</v>
      </c>
      <c r="BG90" s="268">
        <f t="shared" si="161"/>
        <v>0</v>
      </c>
      <c r="BH90" s="268">
        <f t="shared" si="161"/>
        <v>1</v>
      </c>
      <c r="BI90" s="268">
        <f t="shared" si="161"/>
        <v>2</v>
      </c>
      <c r="BJ90" s="268">
        <f t="shared" si="161"/>
        <v>3</v>
      </c>
      <c r="BK90" s="268">
        <f t="shared" si="161"/>
        <v>4</v>
      </c>
      <c r="BL90" s="269">
        <f t="shared" si="161"/>
        <v>5</v>
      </c>
      <c r="BM90" s="256">
        <f>IF($BC90=Lookup!$A$2,$BD90*ROUNDUP(BE90/10,0)+1,
IF($BC90=Lookup!$A$3,($BD90+1)^BD90,
IF($BC90=Lookup!$A$4,BE90*$BD90+1,"Error")))</f>
        <v>1</v>
      </c>
      <c r="BN90" s="229">
        <f>IF($BC90=Lookup!$A$2,$BD90*ROUNDUP(BF90/10,0)+1,
IF($BC90=Lookup!$A$3,($BD90+1)^BE90,
IF($BC90=Lookup!$A$4,BF90*$BD90+1,"Error")))</f>
        <v>1</v>
      </c>
      <c r="BO90" s="229">
        <f>IF($BC90=Lookup!$A$2,$BD90*ROUNDUP(BG90/10,0)+1,
IF($BC90=Lookup!$A$3,($BD90+1)^BF90,
IF($BC90=Lookup!$A$4,BG90*$BD90+1,"Error")))</f>
        <v>1</v>
      </c>
      <c r="BP90" s="229">
        <f>IF($BC90=Lookup!$A$2,$BD90*ROUNDUP(BH90/10,0)+1,
IF($BC90=Lookup!$A$3,($BD90+1)^BG90,
IF($BC90=Lookup!$A$4,BH90*$BD90+1,"Error")))</f>
        <v>0.71</v>
      </c>
      <c r="BQ90" s="229">
        <f>IF($BC90=Lookup!$A$2,$BD90*ROUNDUP(BI90/10,0)+1,
IF($BC90=Lookup!$A$3,($BD90+1)^BH90,
IF($BC90=Lookup!$A$4,BI90*$BD90+1,"Error")))</f>
        <v>0.71</v>
      </c>
      <c r="BR90" s="229">
        <f>IF($BC90=Lookup!$A$2,$BD90*ROUNDUP(BJ90/10,0)+1,
IF($BC90=Lookup!$A$3,($BD90+1)^BI90,
IF($BC90=Lookup!$A$4,BJ90*$BD90+1,"Error")))</f>
        <v>0.71</v>
      </c>
      <c r="BS90" s="229">
        <f>IF($BC90=Lookup!$A$2,$BD90*ROUNDUP(BK90/10,0)+1,
IF($BC90=Lookup!$A$3,($BD90+1)^BJ90,
IF($BC90=Lookup!$A$4,BK90*$BD90+1,"Error")))</f>
        <v>0.71</v>
      </c>
      <c r="BT90" s="249">
        <f>IF($BC90=Lookup!$A$2,$BD90*ROUNDUP(BL90/10,0)+1,
IF($BC90=Lookup!$A$3,($BD90+1)^BK90,
IF($BC90=Lookup!$A$4,BL90*$BD90+1,"Error")))</f>
        <v>0.71</v>
      </c>
      <c r="BU90" s="320"/>
      <c r="BV90" s="321"/>
      <c r="BW90" s="321"/>
      <c r="BX90" s="321"/>
      <c r="BY90" s="321"/>
      <c r="BZ90" s="321"/>
      <c r="CA90" s="321"/>
      <c r="CB90" s="277"/>
      <c r="CC90" s="382" t="s">
        <v>293</v>
      </c>
      <c r="CD90" s="383">
        <f>HLOOKUP($CC90,$AK$6:$AM$132,ROWS(CD$6:CD90),0)</f>
        <v>0</v>
      </c>
      <c r="CE90" s="234">
        <f t="shared" si="142"/>
        <v>0</v>
      </c>
      <c r="CF90" s="96">
        <f t="shared" si="142"/>
        <v>0</v>
      </c>
      <c r="CG90" s="96">
        <f t="shared" si="142"/>
        <v>0</v>
      </c>
      <c r="CH90" s="96">
        <f t="shared" si="142"/>
        <v>0</v>
      </c>
      <c r="CI90" s="96">
        <f t="shared" si="84"/>
        <v>0</v>
      </c>
      <c r="CJ90" s="96">
        <f t="shared" si="84"/>
        <v>0</v>
      </c>
      <c r="CK90" s="96">
        <f t="shared" si="84"/>
        <v>0</v>
      </c>
      <c r="CL90" s="286">
        <f t="shared" si="84"/>
        <v>0</v>
      </c>
      <c r="CM90" s="305" t="s">
        <v>293</v>
      </c>
      <c r="CN90" s="315">
        <v>0</v>
      </c>
      <c r="CO90" s="306"/>
      <c r="CP90" s="307" t="str">
        <f>IF($CO90&lt;&gt;"",$CO90,HLOOKUP($CM90,$AY$6:$BA$132,ROWS(CP$6:CP90),0))</f>
        <v/>
      </c>
      <c r="CQ90" s="784" t="str">
        <f t="shared" si="138"/>
        <v/>
      </c>
      <c r="CR90" s="784" t="str">
        <f t="shared" si="138"/>
        <v/>
      </c>
      <c r="CS90" s="97" t="str">
        <f t="shared" si="138"/>
        <v/>
      </c>
      <c r="CT90" s="97" t="str">
        <f t="shared" si="138"/>
        <v/>
      </c>
      <c r="CU90" s="97" t="str">
        <f t="shared" si="138"/>
        <v/>
      </c>
      <c r="CV90" s="97" t="str">
        <f t="shared" si="138"/>
        <v/>
      </c>
      <c r="CW90" s="97" t="str">
        <f t="shared" si="138"/>
        <v/>
      </c>
      <c r="CX90" s="98" t="str">
        <f t="shared" si="62"/>
        <v/>
      </c>
      <c r="CY90" s="392"/>
    </row>
    <row r="91" spans="1:103" x14ac:dyDescent="0.25">
      <c r="A91" s="81" t="s">
        <v>138</v>
      </c>
      <c r="B91" s="82" t="s">
        <v>185</v>
      </c>
      <c r="C91" s="83" t="s">
        <v>381</v>
      </c>
      <c r="D91" s="84">
        <v>0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654">
        <f>'2022-23 Input'!F91</f>
        <v>0</v>
      </c>
      <c r="N91" s="1065">
        <v>0</v>
      </c>
      <c r="O91" s="560">
        <f t="shared" si="139"/>
        <v>0</v>
      </c>
      <c r="P91" s="561">
        <f t="shared" si="113"/>
        <v>0</v>
      </c>
      <c r="Q91" s="561">
        <f t="shared" si="114"/>
        <v>0</v>
      </c>
      <c r="R91" s="561">
        <f t="shared" si="115"/>
        <v>0</v>
      </c>
      <c r="S91" s="561">
        <f t="shared" si="116"/>
        <v>0</v>
      </c>
      <c r="T91" s="561">
        <f t="shared" si="117"/>
        <v>0</v>
      </c>
      <c r="U91" s="561">
        <f t="shared" si="118"/>
        <v>0</v>
      </c>
      <c r="V91" s="561">
        <f t="shared" si="119"/>
        <v>0</v>
      </c>
      <c r="W91" s="675">
        <f t="shared" si="120"/>
        <v>0</v>
      </c>
      <c r="X91" s="675">
        <f t="shared" si="121"/>
        <v>0</v>
      </c>
      <c r="Y91" s="675">
        <f t="shared" si="121"/>
        <v>0</v>
      </c>
      <c r="Z91" s="86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87">
        <v>0</v>
      </c>
      <c r="AI91" s="1094">
        <f>'2022-23 Input'!M91</f>
        <v>0</v>
      </c>
      <c r="AJ91" s="665">
        <v>0</v>
      </c>
      <c r="AK91" s="88">
        <f t="shared" si="122"/>
        <v>0</v>
      </c>
      <c r="AL91" s="89">
        <f t="shared" si="123"/>
        <v>0</v>
      </c>
      <c r="AM91" s="90">
        <f t="shared" si="124"/>
        <v>0</v>
      </c>
      <c r="AN91" s="91" t="str">
        <f t="shared" si="125"/>
        <v/>
      </c>
      <c r="AO91" s="92" t="str">
        <f t="shared" si="126"/>
        <v/>
      </c>
      <c r="AP91" s="92" t="str">
        <f t="shared" si="127"/>
        <v/>
      </c>
      <c r="AQ91" s="92" t="str">
        <f t="shared" si="128"/>
        <v/>
      </c>
      <c r="AR91" s="92" t="str">
        <f t="shared" si="129"/>
        <v/>
      </c>
      <c r="AS91" s="92" t="str">
        <f t="shared" si="130"/>
        <v/>
      </c>
      <c r="AT91" s="92" t="str">
        <f t="shared" si="131"/>
        <v/>
      </c>
      <c r="AU91" s="92" t="str">
        <f t="shared" si="132"/>
        <v/>
      </c>
      <c r="AV91" s="92" t="str">
        <f t="shared" si="157"/>
        <v/>
      </c>
      <c r="AW91" s="92" t="str">
        <f t="shared" si="157"/>
        <v/>
      </c>
      <c r="AX91" s="92" t="str">
        <f t="shared" si="157"/>
        <v/>
      </c>
      <c r="AY91" s="93" t="str">
        <f t="shared" si="134"/>
        <v/>
      </c>
      <c r="AZ91" s="94" t="str">
        <f t="shared" si="135"/>
        <v/>
      </c>
      <c r="BA91" s="95" t="str">
        <f t="shared" si="136"/>
        <v/>
      </c>
      <c r="BB91" s="248" t="s">
        <v>422</v>
      </c>
      <c r="BC91" s="229" t="s">
        <v>433</v>
      </c>
      <c r="BD91" s="249">
        <v>-0.28999999999999998</v>
      </c>
      <c r="BE91" s="267">
        <f t="shared" si="140"/>
        <v>0</v>
      </c>
      <c r="BF91" s="268">
        <f t="shared" ref="BF91:BL91" si="162">IF(BF$6=$BB91,1,
IF(BE91&lt;&gt;0,BE91+1,0
))</f>
        <v>0</v>
      </c>
      <c r="BG91" s="268">
        <f t="shared" si="162"/>
        <v>0</v>
      </c>
      <c r="BH91" s="268">
        <f t="shared" si="162"/>
        <v>1</v>
      </c>
      <c r="BI91" s="268">
        <f t="shared" si="162"/>
        <v>2</v>
      </c>
      <c r="BJ91" s="268">
        <f t="shared" si="162"/>
        <v>3</v>
      </c>
      <c r="BK91" s="268">
        <f t="shared" si="162"/>
        <v>4</v>
      </c>
      <c r="BL91" s="269">
        <f t="shared" si="162"/>
        <v>5</v>
      </c>
      <c r="BM91" s="256">
        <f>IF($BC91=Lookup!$A$2,$BD91*ROUNDUP(BE91/10,0)+1,
IF($BC91=Lookup!$A$3,($BD91+1)^BD91,
IF($BC91=Lookup!$A$4,BE91*$BD91+1,"Error")))</f>
        <v>1</v>
      </c>
      <c r="BN91" s="229">
        <f>IF($BC91=Lookup!$A$2,$BD91*ROUNDUP(BF91/10,0)+1,
IF($BC91=Lookup!$A$3,($BD91+1)^BE91,
IF($BC91=Lookup!$A$4,BF91*$BD91+1,"Error")))</f>
        <v>1</v>
      </c>
      <c r="BO91" s="229">
        <f>IF($BC91=Lookup!$A$2,$BD91*ROUNDUP(BG91/10,0)+1,
IF($BC91=Lookup!$A$3,($BD91+1)^BF91,
IF($BC91=Lookup!$A$4,BG91*$BD91+1,"Error")))</f>
        <v>1</v>
      </c>
      <c r="BP91" s="229">
        <f>IF($BC91=Lookup!$A$2,$BD91*ROUNDUP(BH91/10,0)+1,
IF($BC91=Lookup!$A$3,($BD91+1)^BG91,
IF($BC91=Lookup!$A$4,BH91*$BD91+1,"Error")))</f>
        <v>0.71</v>
      </c>
      <c r="BQ91" s="229">
        <f>IF($BC91=Lookup!$A$2,$BD91*ROUNDUP(BI91/10,0)+1,
IF($BC91=Lookup!$A$3,($BD91+1)^BH91,
IF($BC91=Lookup!$A$4,BI91*$BD91+1,"Error")))</f>
        <v>0.71</v>
      </c>
      <c r="BR91" s="229">
        <f>IF($BC91=Lookup!$A$2,$BD91*ROUNDUP(BJ91/10,0)+1,
IF($BC91=Lookup!$A$3,($BD91+1)^BI91,
IF($BC91=Lookup!$A$4,BJ91*$BD91+1,"Error")))</f>
        <v>0.71</v>
      </c>
      <c r="BS91" s="229">
        <f>IF($BC91=Lookup!$A$2,$BD91*ROUNDUP(BK91/10,0)+1,
IF($BC91=Lookup!$A$3,($BD91+1)^BJ91,
IF($BC91=Lookup!$A$4,BK91*$BD91+1,"Error")))</f>
        <v>0.71</v>
      </c>
      <c r="BT91" s="249">
        <f>IF($BC91=Lookup!$A$2,$BD91*ROUNDUP(BL91/10,0)+1,
IF($BC91=Lookup!$A$3,($BD91+1)^BK91,
IF($BC91=Lookup!$A$4,BL91*$BD91+1,"Error")))</f>
        <v>0.71</v>
      </c>
      <c r="BU91" s="320"/>
      <c r="BV91" s="321"/>
      <c r="BW91" s="321"/>
      <c r="BX91" s="321"/>
      <c r="BY91" s="321"/>
      <c r="BZ91" s="321"/>
      <c r="CA91" s="321"/>
      <c r="CB91" s="277"/>
      <c r="CC91" s="382" t="s">
        <v>293</v>
      </c>
      <c r="CD91" s="383">
        <f>HLOOKUP($CC91,$AK$6:$AM$132,ROWS(CD$6:CD91),0)</f>
        <v>0</v>
      </c>
      <c r="CE91" s="234">
        <f t="shared" si="142"/>
        <v>0</v>
      </c>
      <c r="CF91" s="96">
        <f t="shared" si="142"/>
        <v>0</v>
      </c>
      <c r="CG91" s="96">
        <f t="shared" si="142"/>
        <v>0</v>
      </c>
      <c r="CH91" s="96">
        <f t="shared" si="142"/>
        <v>0</v>
      </c>
      <c r="CI91" s="96">
        <f t="shared" si="84"/>
        <v>0</v>
      </c>
      <c r="CJ91" s="96">
        <f t="shared" si="84"/>
        <v>0</v>
      </c>
      <c r="CK91" s="96">
        <f t="shared" si="84"/>
        <v>0</v>
      </c>
      <c r="CL91" s="286">
        <f t="shared" si="84"/>
        <v>0</v>
      </c>
      <c r="CM91" s="305" t="s">
        <v>293</v>
      </c>
      <c r="CN91" s="315">
        <v>0</v>
      </c>
      <c r="CO91" s="306"/>
      <c r="CP91" s="307" t="str">
        <f>IF($CO91&lt;&gt;"",$CO91,HLOOKUP($CM91,$AY$6:$BA$132,ROWS(CP$6:CP91),0))</f>
        <v/>
      </c>
      <c r="CQ91" s="784" t="str">
        <f t="shared" si="138"/>
        <v/>
      </c>
      <c r="CR91" s="784" t="str">
        <f t="shared" si="138"/>
        <v/>
      </c>
      <c r="CS91" s="97" t="str">
        <f t="shared" si="138"/>
        <v/>
      </c>
      <c r="CT91" s="97" t="str">
        <f t="shared" si="138"/>
        <v/>
      </c>
      <c r="CU91" s="97" t="str">
        <f t="shared" si="138"/>
        <v/>
      </c>
      <c r="CV91" s="97" t="str">
        <f t="shared" si="138"/>
        <v/>
      </c>
      <c r="CW91" s="97" t="str">
        <f t="shared" si="138"/>
        <v/>
      </c>
      <c r="CX91" s="98" t="str">
        <f t="shared" si="62"/>
        <v/>
      </c>
      <c r="CY91" s="392"/>
    </row>
    <row r="92" spans="1:103" x14ac:dyDescent="0.25">
      <c r="A92" s="81" t="s">
        <v>138</v>
      </c>
      <c r="B92" s="82" t="s">
        <v>187</v>
      </c>
      <c r="C92" s="83" t="s">
        <v>382</v>
      </c>
      <c r="D92" s="84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654">
        <f>'2022-23 Input'!F92</f>
        <v>0</v>
      </c>
      <c r="N92" s="1065">
        <v>0</v>
      </c>
      <c r="O92" s="560">
        <f t="shared" si="139"/>
        <v>0</v>
      </c>
      <c r="P92" s="561">
        <f t="shared" si="113"/>
        <v>0</v>
      </c>
      <c r="Q92" s="561">
        <f t="shared" si="114"/>
        <v>0</v>
      </c>
      <c r="R92" s="561">
        <f t="shared" si="115"/>
        <v>0</v>
      </c>
      <c r="S92" s="561">
        <f t="shared" si="116"/>
        <v>0</v>
      </c>
      <c r="T92" s="561">
        <f t="shared" si="117"/>
        <v>0</v>
      </c>
      <c r="U92" s="561">
        <f t="shared" si="118"/>
        <v>0</v>
      </c>
      <c r="V92" s="561">
        <f t="shared" si="119"/>
        <v>0</v>
      </c>
      <c r="W92" s="675">
        <f t="shared" si="120"/>
        <v>0</v>
      </c>
      <c r="X92" s="675">
        <f t="shared" si="121"/>
        <v>0</v>
      </c>
      <c r="Y92" s="675">
        <f t="shared" si="121"/>
        <v>0</v>
      </c>
      <c r="Z92" s="86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1094">
        <f>'2022-23 Input'!M92</f>
        <v>0</v>
      </c>
      <c r="AJ92" s="665">
        <v>0</v>
      </c>
      <c r="AK92" s="88">
        <f t="shared" si="122"/>
        <v>0</v>
      </c>
      <c r="AL92" s="89">
        <f t="shared" si="123"/>
        <v>0</v>
      </c>
      <c r="AM92" s="90">
        <f t="shared" si="124"/>
        <v>0</v>
      </c>
      <c r="AN92" s="91" t="str">
        <f t="shared" si="125"/>
        <v/>
      </c>
      <c r="AO92" s="92" t="str">
        <f t="shared" si="126"/>
        <v/>
      </c>
      <c r="AP92" s="92" t="str">
        <f t="shared" si="127"/>
        <v/>
      </c>
      <c r="AQ92" s="92" t="str">
        <f t="shared" si="128"/>
        <v/>
      </c>
      <c r="AR92" s="92" t="str">
        <f t="shared" si="129"/>
        <v/>
      </c>
      <c r="AS92" s="92" t="str">
        <f t="shared" si="130"/>
        <v/>
      </c>
      <c r="AT92" s="92" t="str">
        <f t="shared" si="131"/>
        <v/>
      </c>
      <c r="AU92" s="92" t="str">
        <f t="shared" si="132"/>
        <v/>
      </c>
      <c r="AV92" s="92" t="str">
        <f t="shared" si="157"/>
        <v/>
      </c>
      <c r="AW92" s="92" t="str">
        <f t="shared" si="157"/>
        <v/>
      </c>
      <c r="AX92" s="92" t="str">
        <f t="shared" si="157"/>
        <v/>
      </c>
      <c r="AY92" s="93" t="str">
        <f t="shared" si="134"/>
        <v/>
      </c>
      <c r="AZ92" s="94" t="str">
        <f t="shared" si="135"/>
        <v/>
      </c>
      <c r="BA92" s="95" t="str">
        <f t="shared" si="136"/>
        <v/>
      </c>
      <c r="BB92" s="248" t="s">
        <v>422</v>
      </c>
      <c r="BC92" s="229" t="s">
        <v>433</v>
      </c>
      <c r="BD92" s="249">
        <v>-0.28999999999999998</v>
      </c>
      <c r="BE92" s="267">
        <f t="shared" si="140"/>
        <v>0</v>
      </c>
      <c r="BF92" s="268">
        <f t="shared" ref="BF92:BL92" si="163">IF(BF$6=$BB92,1,
IF(BE92&lt;&gt;0,BE92+1,0
))</f>
        <v>0</v>
      </c>
      <c r="BG92" s="268">
        <f t="shared" si="163"/>
        <v>0</v>
      </c>
      <c r="BH92" s="268">
        <f t="shared" si="163"/>
        <v>1</v>
      </c>
      <c r="BI92" s="268">
        <f t="shared" si="163"/>
        <v>2</v>
      </c>
      <c r="BJ92" s="268">
        <f t="shared" si="163"/>
        <v>3</v>
      </c>
      <c r="BK92" s="268">
        <f t="shared" si="163"/>
        <v>4</v>
      </c>
      <c r="BL92" s="269">
        <f t="shared" si="163"/>
        <v>5</v>
      </c>
      <c r="BM92" s="256">
        <f>IF($BC92=Lookup!$A$2,$BD92*ROUNDUP(BE92/10,0)+1,
IF($BC92=Lookup!$A$3,($BD92+1)^BD92,
IF($BC92=Lookup!$A$4,BE92*$BD92+1,"Error")))</f>
        <v>1</v>
      </c>
      <c r="BN92" s="229">
        <f>IF($BC92=Lookup!$A$2,$BD92*ROUNDUP(BF92/10,0)+1,
IF($BC92=Lookup!$A$3,($BD92+1)^BE92,
IF($BC92=Lookup!$A$4,BF92*$BD92+1,"Error")))</f>
        <v>1</v>
      </c>
      <c r="BO92" s="229">
        <f>IF($BC92=Lookup!$A$2,$BD92*ROUNDUP(BG92/10,0)+1,
IF($BC92=Lookup!$A$3,($BD92+1)^BF92,
IF($BC92=Lookup!$A$4,BG92*$BD92+1,"Error")))</f>
        <v>1</v>
      </c>
      <c r="BP92" s="229">
        <f>IF($BC92=Lookup!$A$2,$BD92*ROUNDUP(BH92/10,0)+1,
IF($BC92=Lookup!$A$3,($BD92+1)^BG92,
IF($BC92=Lookup!$A$4,BH92*$BD92+1,"Error")))</f>
        <v>0.71</v>
      </c>
      <c r="BQ92" s="229">
        <f>IF($BC92=Lookup!$A$2,$BD92*ROUNDUP(BI92/10,0)+1,
IF($BC92=Lookup!$A$3,($BD92+1)^BH92,
IF($BC92=Lookup!$A$4,BI92*$BD92+1,"Error")))</f>
        <v>0.71</v>
      </c>
      <c r="BR92" s="229">
        <f>IF($BC92=Lookup!$A$2,$BD92*ROUNDUP(BJ92/10,0)+1,
IF($BC92=Lookup!$A$3,($BD92+1)^BI92,
IF($BC92=Lookup!$A$4,BJ92*$BD92+1,"Error")))</f>
        <v>0.71</v>
      </c>
      <c r="BS92" s="229">
        <f>IF($BC92=Lookup!$A$2,$BD92*ROUNDUP(BK92/10,0)+1,
IF($BC92=Lookup!$A$3,($BD92+1)^BJ92,
IF($BC92=Lookup!$A$4,BK92*$BD92+1,"Error")))</f>
        <v>0.71</v>
      </c>
      <c r="BT92" s="249">
        <f>IF($BC92=Lookup!$A$2,$BD92*ROUNDUP(BL92/10,0)+1,
IF($BC92=Lookup!$A$3,($BD92+1)^BK92,
IF($BC92=Lookup!$A$4,BL92*$BD92+1,"Error")))</f>
        <v>0.71</v>
      </c>
      <c r="BU92" s="320"/>
      <c r="BV92" s="321"/>
      <c r="BW92" s="321"/>
      <c r="BX92" s="321"/>
      <c r="BY92" s="321"/>
      <c r="BZ92" s="321"/>
      <c r="CA92" s="321"/>
      <c r="CB92" s="277"/>
      <c r="CC92" s="382" t="s">
        <v>293</v>
      </c>
      <c r="CD92" s="383">
        <f>HLOOKUP($CC92,$AK$6:$AM$132,ROWS(CD$6:CD92),0)</f>
        <v>0</v>
      </c>
      <c r="CE92" s="234">
        <f t="shared" si="142"/>
        <v>0</v>
      </c>
      <c r="CF92" s="96">
        <f t="shared" si="142"/>
        <v>0</v>
      </c>
      <c r="CG92" s="96">
        <f t="shared" si="142"/>
        <v>0</v>
      </c>
      <c r="CH92" s="96">
        <f t="shared" si="142"/>
        <v>0</v>
      </c>
      <c r="CI92" s="96">
        <f t="shared" si="84"/>
        <v>0</v>
      </c>
      <c r="CJ92" s="96">
        <f t="shared" si="84"/>
        <v>0</v>
      </c>
      <c r="CK92" s="96">
        <f t="shared" si="84"/>
        <v>0</v>
      </c>
      <c r="CL92" s="286">
        <f t="shared" si="84"/>
        <v>0</v>
      </c>
      <c r="CM92" s="305" t="s">
        <v>293</v>
      </c>
      <c r="CN92" s="315">
        <v>0</v>
      </c>
      <c r="CO92" s="306"/>
      <c r="CP92" s="307" t="str">
        <f>IF($CO92&lt;&gt;"",$CO92,HLOOKUP($CM92,$AY$6:$BA$132,ROWS(CP$6:CP92),0))</f>
        <v/>
      </c>
      <c r="CQ92" s="784" t="str">
        <f t="shared" si="138"/>
        <v/>
      </c>
      <c r="CR92" s="784" t="str">
        <f t="shared" si="138"/>
        <v/>
      </c>
      <c r="CS92" s="97" t="str">
        <f t="shared" si="138"/>
        <v/>
      </c>
      <c r="CT92" s="97" t="str">
        <f t="shared" si="138"/>
        <v/>
      </c>
      <c r="CU92" s="97" t="str">
        <f t="shared" si="138"/>
        <v/>
      </c>
      <c r="CV92" s="97" t="str">
        <f t="shared" si="138"/>
        <v/>
      </c>
      <c r="CW92" s="97" t="str">
        <f t="shared" si="138"/>
        <v/>
      </c>
      <c r="CX92" s="98" t="str">
        <f t="shared" si="62"/>
        <v/>
      </c>
      <c r="CY92" s="392"/>
    </row>
    <row r="93" spans="1:103" x14ac:dyDescent="0.25">
      <c r="A93" s="81" t="s">
        <v>138</v>
      </c>
      <c r="B93" s="82" t="s">
        <v>189</v>
      </c>
      <c r="C93" s="83" t="s">
        <v>383</v>
      </c>
      <c r="D93" s="84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654">
        <f>'2022-23 Input'!F93</f>
        <v>0</v>
      </c>
      <c r="N93" s="1065">
        <v>0</v>
      </c>
      <c r="O93" s="560">
        <f t="shared" si="139"/>
        <v>0</v>
      </c>
      <c r="P93" s="561">
        <f t="shared" si="113"/>
        <v>0</v>
      </c>
      <c r="Q93" s="561">
        <f t="shared" si="114"/>
        <v>0</v>
      </c>
      <c r="R93" s="561">
        <f t="shared" si="115"/>
        <v>0</v>
      </c>
      <c r="S93" s="561">
        <f t="shared" si="116"/>
        <v>0</v>
      </c>
      <c r="T93" s="561">
        <f t="shared" si="117"/>
        <v>0</v>
      </c>
      <c r="U93" s="561">
        <f t="shared" si="118"/>
        <v>0</v>
      </c>
      <c r="V93" s="561">
        <f t="shared" si="119"/>
        <v>0</v>
      </c>
      <c r="W93" s="675">
        <f t="shared" si="120"/>
        <v>0</v>
      </c>
      <c r="X93" s="675">
        <f t="shared" si="121"/>
        <v>0</v>
      </c>
      <c r="Y93" s="675">
        <f t="shared" si="121"/>
        <v>0</v>
      </c>
      <c r="Z93" s="86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87">
        <v>0</v>
      </c>
      <c r="AI93" s="1094">
        <f>'2022-23 Input'!M93</f>
        <v>0</v>
      </c>
      <c r="AJ93" s="665">
        <v>0</v>
      </c>
      <c r="AK93" s="88">
        <f t="shared" si="122"/>
        <v>0</v>
      </c>
      <c r="AL93" s="89">
        <f t="shared" si="123"/>
        <v>0</v>
      </c>
      <c r="AM93" s="90">
        <f t="shared" si="124"/>
        <v>0</v>
      </c>
      <c r="AN93" s="91" t="str">
        <f t="shared" si="125"/>
        <v/>
      </c>
      <c r="AO93" s="92" t="str">
        <f t="shared" si="126"/>
        <v/>
      </c>
      <c r="AP93" s="92" t="str">
        <f t="shared" si="127"/>
        <v/>
      </c>
      <c r="AQ93" s="92" t="str">
        <f t="shared" si="128"/>
        <v/>
      </c>
      <c r="AR93" s="92" t="str">
        <f t="shared" si="129"/>
        <v/>
      </c>
      <c r="AS93" s="92" t="str">
        <f t="shared" si="130"/>
        <v/>
      </c>
      <c r="AT93" s="92" t="str">
        <f t="shared" si="131"/>
        <v/>
      </c>
      <c r="AU93" s="92" t="str">
        <f t="shared" si="132"/>
        <v/>
      </c>
      <c r="AV93" s="92" t="str">
        <f t="shared" si="157"/>
        <v/>
      </c>
      <c r="AW93" s="92" t="str">
        <f t="shared" si="157"/>
        <v/>
      </c>
      <c r="AX93" s="92" t="str">
        <f t="shared" si="157"/>
        <v/>
      </c>
      <c r="AY93" s="93" t="str">
        <f t="shared" si="134"/>
        <v/>
      </c>
      <c r="AZ93" s="94" t="str">
        <f t="shared" si="135"/>
        <v/>
      </c>
      <c r="BA93" s="95" t="str">
        <f t="shared" si="136"/>
        <v/>
      </c>
      <c r="BB93" s="248" t="s">
        <v>422</v>
      </c>
      <c r="BC93" s="229" t="s">
        <v>433</v>
      </c>
      <c r="BD93" s="249">
        <v>-0.28999999999999998</v>
      </c>
      <c r="BE93" s="267">
        <f t="shared" si="140"/>
        <v>0</v>
      </c>
      <c r="BF93" s="268">
        <f t="shared" ref="BF93:BL93" si="164">IF(BF$6=$BB93,1,
IF(BE93&lt;&gt;0,BE93+1,0
))</f>
        <v>0</v>
      </c>
      <c r="BG93" s="268">
        <f t="shared" si="164"/>
        <v>0</v>
      </c>
      <c r="BH93" s="268">
        <f t="shared" si="164"/>
        <v>1</v>
      </c>
      <c r="BI93" s="268">
        <f t="shared" si="164"/>
        <v>2</v>
      </c>
      <c r="BJ93" s="268">
        <f t="shared" si="164"/>
        <v>3</v>
      </c>
      <c r="BK93" s="268">
        <f t="shared" si="164"/>
        <v>4</v>
      </c>
      <c r="BL93" s="269">
        <f t="shared" si="164"/>
        <v>5</v>
      </c>
      <c r="BM93" s="256">
        <f>IF($BC93=Lookup!$A$2,$BD93*ROUNDUP(BE93/10,0)+1,
IF($BC93=Lookup!$A$3,($BD93+1)^BD93,
IF($BC93=Lookup!$A$4,BE93*$BD93+1,"Error")))</f>
        <v>1</v>
      </c>
      <c r="BN93" s="229">
        <f>IF($BC93=Lookup!$A$2,$BD93*ROUNDUP(BF93/10,0)+1,
IF($BC93=Lookup!$A$3,($BD93+1)^BE93,
IF($BC93=Lookup!$A$4,BF93*$BD93+1,"Error")))</f>
        <v>1</v>
      </c>
      <c r="BO93" s="229">
        <f>IF($BC93=Lookup!$A$2,$BD93*ROUNDUP(BG93/10,0)+1,
IF($BC93=Lookup!$A$3,($BD93+1)^BF93,
IF($BC93=Lookup!$A$4,BG93*$BD93+1,"Error")))</f>
        <v>1</v>
      </c>
      <c r="BP93" s="229">
        <f>IF($BC93=Lookup!$A$2,$BD93*ROUNDUP(BH93/10,0)+1,
IF($BC93=Lookup!$A$3,($BD93+1)^BG93,
IF($BC93=Lookup!$A$4,BH93*$BD93+1,"Error")))</f>
        <v>0.71</v>
      </c>
      <c r="BQ93" s="229">
        <f>IF($BC93=Lookup!$A$2,$BD93*ROUNDUP(BI93/10,0)+1,
IF($BC93=Lookup!$A$3,($BD93+1)^BH93,
IF($BC93=Lookup!$A$4,BI93*$BD93+1,"Error")))</f>
        <v>0.71</v>
      </c>
      <c r="BR93" s="229">
        <f>IF($BC93=Lookup!$A$2,$BD93*ROUNDUP(BJ93/10,0)+1,
IF($BC93=Lookup!$A$3,($BD93+1)^BI93,
IF($BC93=Lookup!$A$4,BJ93*$BD93+1,"Error")))</f>
        <v>0.71</v>
      </c>
      <c r="BS93" s="229">
        <f>IF($BC93=Lookup!$A$2,$BD93*ROUNDUP(BK93/10,0)+1,
IF($BC93=Lookup!$A$3,($BD93+1)^BJ93,
IF($BC93=Lookup!$A$4,BK93*$BD93+1,"Error")))</f>
        <v>0.71</v>
      </c>
      <c r="BT93" s="249">
        <f>IF($BC93=Lookup!$A$2,$BD93*ROUNDUP(BL93/10,0)+1,
IF($BC93=Lookup!$A$3,($BD93+1)^BK93,
IF($BC93=Lookup!$A$4,BL93*$BD93+1,"Error")))</f>
        <v>0.71</v>
      </c>
      <c r="BU93" s="320"/>
      <c r="BV93" s="321"/>
      <c r="BW93" s="321"/>
      <c r="BX93" s="321"/>
      <c r="BY93" s="321"/>
      <c r="BZ93" s="321"/>
      <c r="CA93" s="321"/>
      <c r="CB93" s="277"/>
      <c r="CC93" s="382" t="s">
        <v>293</v>
      </c>
      <c r="CD93" s="383">
        <f>HLOOKUP($CC93,$AK$6:$AM$132,ROWS(CD$6:CD93),0)</f>
        <v>0</v>
      </c>
      <c r="CE93" s="234">
        <f t="shared" si="142"/>
        <v>0</v>
      </c>
      <c r="CF93" s="96">
        <f t="shared" si="142"/>
        <v>0</v>
      </c>
      <c r="CG93" s="96">
        <f t="shared" si="142"/>
        <v>0</v>
      </c>
      <c r="CH93" s="96">
        <f t="shared" si="142"/>
        <v>0</v>
      </c>
      <c r="CI93" s="96">
        <f t="shared" si="84"/>
        <v>0</v>
      </c>
      <c r="CJ93" s="96">
        <f t="shared" si="84"/>
        <v>0</v>
      </c>
      <c r="CK93" s="96">
        <f t="shared" si="84"/>
        <v>0</v>
      </c>
      <c r="CL93" s="286">
        <f t="shared" si="84"/>
        <v>0</v>
      </c>
      <c r="CM93" s="305" t="s">
        <v>293</v>
      </c>
      <c r="CN93" s="315">
        <v>0</v>
      </c>
      <c r="CO93" s="306"/>
      <c r="CP93" s="307" t="str">
        <f>IF($CO93&lt;&gt;"",$CO93,HLOOKUP($CM93,$AY$6:$BA$132,ROWS(CP$6:CP93),0))</f>
        <v/>
      </c>
      <c r="CQ93" s="784" t="str">
        <f t="shared" si="138"/>
        <v/>
      </c>
      <c r="CR93" s="784" t="str">
        <f t="shared" si="138"/>
        <v/>
      </c>
      <c r="CS93" s="97" t="str">
        <f t="shared" si="138"/>
        <v/>
      </c>
      <c r="CT93" s="97" t="str">
        <f t="shared" si="138"/>
        <v/>
      </c>
      <c r="CU93" s="97" t="str">
        <f t="shared" si="138"/>
        <v/>
      </c>
      <c r="CV93" s="97" t="str">
        <f t="shared" si="138"/>
        <v/>
      </c>
      <c r="CW93" s="97" t="str">
        <f t="shared" si="138"/>
        <v/>
      </c>
      <c r="CX93" s="98" t="str">
        <f t="shared" si="62"/>
        <v/>
      </c>
      <c r="CY93" s="392"/>
    </row>
    <row r="94" spans="1:103" x14ac:dyDescent="0.25">
      <c r="A94" s="81" t="s">
        <v>138</v>
      </c>
      <c r="B94" s="82" t="s">
        <v>191</v>
      </c>
      <c r="C94" s="83" t="s">
        <v>384</v>
      </c>
      <c r="D94" s="84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654">
        <f>'2022-23 Input'!F94</f>
        <v>0</v>
      </c>
      <c r="N94" s="1065">
        <v>0</v>
      </c>
      <c r="O94" s="560">
        <f t="shared" si="139"/>
        <v>0</v>
      </c>
      <c r="P94" s="561">
        <f t="shared" si="113"/>
        <v>0</v>
      </c>
      <c r="Q94" s="561">
        <f t="shared" si="114"/>
        <v>0</v>
      </c>
      <c r="R94" s="561">
        <f t="shared" si="115"/>
        <v>0</v>
      </c>
      <c r="S94" s="561">
        <f t="shared" si="116"/>
        <v>0</v>
      </c>
      <c r="T94" s="561">
        <f t="shared" si="117"/>
        <v>0</v>
      </c>
      <c r="U94" s="561">
        <f t="shared" si="118"/>
        <v>0</v>
      </c>
      <c r="V94" s="561">
        <f t="shared" si="119"/>
        <v>0</v>
      </c>
      <c r="W94" s="675">
        <f t="shared" si="120"/>
        <v>0</v>
      </c>
      <c r="X94" s="675">
        <f t="shared" si="121"/>
        <v>0</v>
      </c>
      <c r="Y94" s="675">
        <f t="shared" si="121"/>
        <v>0</v>
      </c>
      <c r="Z94" s="86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87">
        <v>0</v>
      </c>
      <c r="AI94" s="1094">
        <f>'2022-23 Input'!M94</f>
        <v>0</v>
      </c>
      <c r="AJ94" s="665">
        <v>0</v>
      </c>
      <c r="AK94" s="88">
        <f t="shared" si="122"/>
        <v>0</v>
      </c>
      <c r="AL94" s="89">
        <f t="shared" si="123"/>
        <v>0</v>
      </c>
      <c r="AM94" s="90">
        <f t="shared" si="124"/>
        <v>0</v>
      </c>
      <c r="AN94" s="91" t="str">
        <f t="shared" si="125"/>
        <v/>
      </c>
      <c r="AO94" s="92" t="str">
        <f t="shared" si="126"/>
        <v/>
      </c>
      <c r="AP94" s="92" t="str">
        <f t="shared" si="127"/>
        <v/>
      </c>
      <c r="AQ94" s="92" t="str">
        <f t="shared" si="128"/>
        <v/>
      </c>
      <c r="AR94" s="92" t="str">
        <f t="shared" si="129"/>
        <v/>
      </c>
      <c r="AS94" s="92" t="str">
        <f t="shared" si="130"/>
        <v/>
      </c>
      <c r="AT94" s="92" t="str">
        <f t="shared" si="131"/>
        <v/>
      </c>
      <c r="AU94" s="92" t="str">
        <f t="shared" si="132"/>
        <v/>
      </c>
      <c r="AV94" s="92" t="str">
        <f t="shared" si="157"/>
        <v/>
      </c>
      <c r="AW94" s="92" t="str">
        <f t="shared" si="157"/>
        <v/>
      </c>
      <c r="AX94" s="92" t="str">
        <f t="shared" si="157"/>
        <v/>
      </c>
      <c r="AY94" s="93" t="str">
        <f t="shared" si="134"/>
        <v/>
      </c>
      <c r="AZ94" s="94" t="str">
        <f t="shared" si="135"/>
        <v/>
      </c>
      <c r="BA94" s="95" t="str">
        <f t="shared" si="136"/>
        <v/>
      </c>
      <c r="BB94" s="248" t="s">
        <v>422</v>
      </c>
      <c r="BC94" s="229" t="s">
        <v>433</v>
      </c>
      <c r="BD94" s="249">
        <v>-0.28999999999999998</v>
      </c>
      <c r="BE94" s="267">
        <f t="shared" si="140"/>
        <v>0</v>
      </c>
      <c r="BF94" s="268">
        <f t="shared" ref="BF94:BL94" si="165">IF(BF$6=$BB94,1,
IF(BE94&lt;&gt;0,BE94+1,0
))</f>
        <v>0</v>
      </c>
      <c r="BG94" s="268">
        <f t="shared" si="165"/>
        <v>0</v>
      </c>
      <c r="BH94" s="268">
        <f t="shared" si="165"/>
        <v>1</v>
      </c>
      <c r="BI94" s="268">
        <f t="shared" si="165"/>
        <v>2</v>
      </c>
      <c r="BJ94" s="268">
        <f t="shared" si="165"/>
        <v>3</v>
      </c>
      <c r="BK94" s="268">
        <f t="shared" si="165"/>
        <v>4</v>
      </c>
      <c r="BL94" s="269">
        <f t="shared" si="165"/>
        <v>5</v>
      </c>
      <c r="BM94" s="256">
        <f>IF($BC94=Lookup!$A$2,$BD94*ROUNDUP(BE94/10,0)+1,
IF($BC94=Lookup!$A$3,($BD94+1)^BD94,
IF($BC94=Lookup!$A$4,BE94*$BD94+1,"Error")))</f>
        <v>1</v>
      </c>
      <c r="BN94" s="229">
        <f>IF($BC94=Lookup!$A$2,$BD94*ROUNDUP(BF94/10,0)+1,
IF($BC94=Lookup!$A$3,($BD94+1)^BE94,
IF($BC94=Lookup!$A$4,BF94*$BD94+1,"Error")))</f>
        <v>1</v>
      </c>
      <c r="BO94" s="229">
        <f>IF($BC94=Lookup!$A$2,$BD94*ROUNDUP(BG94/10,0)+1,
IF($BC94=Lookup!$A$3,($BD94+1)^BF94,
IF($BC94=Lookup!$A$4,BG94*$BD94+1,"Error")))</f>
        <v>1</v>
      </c>
      <c r="BP94" s="229">
        <f>IF($BC94=Lookup!$A$2,$BD94*ROUNDUP(BH94/10,0)+1,
IF($BC94=Lookup!$A$3,($BD94+1)^BG94,
IF($BC94=Lookup!$A$4,BH94*$BD94+1,"Error")))</f>
        <v>0.71</v>
      </c>
      <c r="BQ94" s="229">
        <f>IF($BC94=Lookup!$A$2,$BD94*ROUNDUP(BI94/10,0)+1,
IF($BC94=Lookup!$A$3,($BD94+1)^BH94,
IF($BC94=Lookup!$A$4,BI94*$BD94+1,"Error")))</f>
        <v>0.71</v>
      </c>
      <c r="BR94" s="229">
        <f>IF($BC94=Lookup!$A$2,$BD94*ROUNDUP(BJ94/10,0)+1,
IF($BC94=Lookup!$A$3,($BD94+1)^BI94,
IF($BC94=Lookup!$A$4,BJ94*$BD94+1,"Error")))</f>
        <v>0.71</v>
      </c>
      <c r="BS94" s="229">
        <f>IF($BC94=Lookup!$A$2,$BD94*ROUNDUP(BK94/10,0)+1,
IF($BC94=Lookup!$A$3,($BD94+1)^BJ94,
IF($BC94=Lookup!$A$4,BK94*$BD94+1,"Error")))</f>
        <v>0.71</v>
      </c>
      <c r="BT94" s="249">
        <f>IF($BC94=Lookup!$A$2,$BD94*ROUNDUP(BL94/10,0)+1,
IF($BC94=Lookup!$A$3,($BD94+1)^BK94,
IF($BC94=Lookup!$A$4,BL94*$BD94+1,"Error")))</f>
        <v>0.71</v>
      </c>
      <c r="BU94" s="320"/>
      <c r="BV94" s="321"/>
      <c r="BW94" s="321"/>
      <c r="BX94" s="321"/>
      <c r="BY94" s="321"/>
      <c r="BZ94" s="321"/>
      <c r="CA94" s="321"/>
      <c r="CB94" s="277"/>
      <c r="CC94" s="382" t="s">
        <v>293</v>
      </c>
      <c r="CD94" s="383">
        <f>HLOOKUP($CC94,$AK$6:$AM$132,ROWS(CD$6:CD94),0)</f>
        <v>0</v>
      </c>
      <c r="CE94" s="234">
        <f t="shared" si="142"/>
        <v>0</v>
      </c>
      <c r="CF94" s="96">
        <f t="shared" si="142"/>
        <v>0</v>
      </c>
      <c r="CG94" s="96">
        <f t="shared" si="142"/>
        <v>0</v>
      </c>
      <c r="CH94" s="96">
        <f t="shared" si="142"/>
        <v>0</v>
      </c>
      <c r="CI94" s="96">
        <f t="shared" si="84"/>
        <v>0</v>
      </c>
      <c r="CJ94" s="96">
        <f t="shared" si="84"/>
        <v>0</v>
      </c>
      <c r="CK94" s="96">
        <f t="shared" si="84"/>
        <v>0</v>
      </c>
      <c r="CL94" s="286">
        <f t="shared" si="84"/>
        <v>0</v>
      </c>
      <c r="CM94" s="305" t="s">
        <v>293</v>
      </c>
      <c r="CN94" s="315">
        <v>0</v>
      </c>
      <c r="CO94" s="306"/>
      <c r="CP94" s="307" t="str">
        <f>IF($CO94&lt;&gt;"",$CO94,HLOOKUP($CM94,$AY$6:$BA$132,ROWS(CP$6:CP94),0))</f>
        <v/>
      </c>
      <c r="CQ94" s="784" t="str">
        <f t="shared" si="138"/>
        <v/>
      </c>
      <c r="CR94" s="784" t="str">
        <f t="shared" si="138"/>
        <v/>
      </c>
      <c r="CS94" s="97" t="str">
        <f t="shared" si="138"/>
        <v/>
      </c>
      <c r="CT94" s="97" t="str">
        <f t="shared" si="138"/>
        <v/>
      </c>
      <c r="CU94" s="97" t="str">
        <f t="shared" si="138"/>
        <v/>
      </c>
      <c r="CV94" s="97" t="str">
        <f t="shared" si="138"/>
        <v/>
      </c>
      <c r="CW94" s="97" t="str">
        <f t="shared" si="138"/>
        <v/>
      </c>
      <c r="CX94" s="98" t="str">
        <f t="shared" si="62"/>
        <v/>
      </c>
      <c r="CY94" s="392"/>
    </row>
    <row r="95" spans="1:103" ht="15.75" thickBot="1" x14ac:dyDescent="0.3">
      <c r="A95" s="100" t="s">
        <v>138</v>
      </c>
      <c r="B95" s="101" t="s">
        <v>385</v>
      </c>
      <c r="C95" s="102" t="s">
        <v>386</v>
      </c>
      <c r="D95" s="103">
        <v>0</v>
      </c>
      <c r="E95" s="104">
        <v>0</v>
      </c>
      <c r="F95" s="104">
        <v>82835.133248157246</v>
      </c>
      <c r="G95" s="104">
        <v>0</v>
      </c>
      <c r="H95" s="104">
        <v>0</v>
      </c>
      <c r="I95" s="104">
        <v>0</v>
      </c>
      <c r="J95" s="104">
        <v>14752.90333395</v>
      </c>
      <c r="K95" s="104">
        <v>11515.755434762001</v>
      </c>
      <c r="L95" s="104">
        <v>0</v>
      </c>
      <c r="M95" s="655">
        <f>'2022-23 Input'!F95</f>
        <v>0</v>
      </c>
      <c r="N95" s="1066">
        <v>0</v>
      </c>
      <c r="O95" s="563">
        <f t="shared" si="139"/>
        <v>0</v>
      </c>
      <c r="P95" s="564">
        <f t="shared" si="113"/>
        <v>0</v>
      </c>
      <c r="Q95" s="564">
        <f t="shared" si="114"/>
        <v>108680.17093594297</v>
      </c>
      <c r="R95" s="564">
        <f t="shared" si="115"/>
        <v>0</v>
      </c>
      <c r="S95" s="564">
        <f t="shared" si="116"/>
        <v>0</v>
      </c>
      <c r="T95" s="564">
        <f t="shared" si="117"/>
        <v>0</v>
      </c>
      <c r="U95" s="564">
        <f t="shared" si="118"/>
        <v>18374.563681230688</v>
      </c>
      <c r="V95" s="564">
        <f t="shared" si="119"/>
        <v>13811.522499516972</v>
      </c>
      <c r="W95" s="676">
        <f t="shared" si="120"/>
        <v>0</v>
      </c>
      <c r="X95" s="676">
        <f t="shared" si="121"/>
        <v>0</v>
      </c>
      <c r="Y95" s="676">
        <f t="shared" si="121"/>
        <v>0</v>
      </c>
      <c r="Z95" s="105">
        <v>0</v>
      </c>
      <c r="AA95" s="106">
        <v>0</v>
      </c>
      <c r="AB95" s="106">
        <v>0</v>
      </c>
      <c r="AC95" s="106">
        <v>0</v>
      </c>
      <c r="AD95" s="106">
        <v>0</v>
      </c>
      <c r="AE95" s="106">
        <v>0</v>
      </c>
      <c r="AF95" s="106">
        <v>0</v>
      </c>
      <c r="AG95" s="106">
        <v>2</v>
      </c>
      <c r="AH95" s="106">
        <v>0</v>
      </c>
      <c r="AI95" s="1095">
        <f>'2022-23 Input'!M95</f>
        <v>0</v>
      </c>
      <c r="AJ95" s="666">
        <v>0</v>
      </c>
      <c r="AK95" s="107">
        <f t="shared" si="122"/>
        <v>0.4</v>
      </c>
      <c r="AL95" s="108">
        <f t="shared" si="123"/>
        <v>0.66666666666666663</v>
      </c>
      <c r="AM95" s="109">
        <f t="shared" si="124"/>
        <v>0</v>
      </c>
      <c r="AN95" s="110" t="str">
        <f t="shared" si="125"/>
        <v/>
      </c>
      <c r="AO95" s="111" t="str">
        <f t="shared" si="126"/>
        <v/>
      </c>
      <c r="AP95" s="111" t="str">
        <f t="shared" si="127"/>
        <v/>
      </c>
      <c r="AQ95" s="111" t="str">
        <f t="shared" si="128"/>
        <v/>
      </c>
      <c r="AR95" s="111" t="str">
        <f t="shared" si="129"/>
        <v/>
      </c>
      <c r="AS95" s="111" t="str">
        <f t="shared" si="130"/>
        <v/>
      </c>
      <c r="AT95" s="111" t="str">
        <f t="shared" si="131"/>
        <v/>
      </c>
      <c r="AU95" s="111">
        <f t="shared" si="132"/>
        <v>5757.8777173810004</v>
      </c>
      <c r="AV95" s="111" t="str">
        <f t="shared" si="157"/>
        <v/>
      </c>
      <c r="AW95" s="111" t="str">
        <f t="shared" si="157"/>
        <v/>
      </c>
      <c r="AX95" s="111" t="str">
        <f t="shared" si="157"/>
        <v/>
      </c>
      <c r="AY95" s="112">
        <f t="shared" si="134"/>
        <v>13134.329384356</v>
      </c>
      <c r="AZ95" s="113">
        <f t="shared" si="135"/>
        <v>5757.8777173810004</v>
      </c>
      <c r="BA95" s="114" t="str">
        <f t="shared" si="136"/>
        <v/>
      </c>
      <c r="BB95" s="250" t="s">
        <v>422</v>
      </c>
      <c r="BC95" s="230" t="s">
        <v>433</v>
      </c>
      <c r="BD95" s="251">
        <v>-0.28999999999999998</v>
      </c>
      <c r="BE95" s="270">
        <f t="shared" si="140"/>
        <v>0</v>
      </c>
      <c r="BF95" s="271">
        <f t="shared" ref="BF95:BL95" si="166">IF(BF$6=$BB95,1,
IF(BE95&lt;&gt;0,BE95+1,0
))</f>
        <v>0</v>
      </c>
      <c r="BG95" s="271">
        <f t="shared" si="166"/>
        <v>0</v>
      </c>
      <c r="BH95" s="271">
        <f t="shared" si="166"/>
        <v>1</v>
      </c>
      <c r="BI95" s="271">
        <f t="shared" si="166"/>
        <v>2</v>
      </c>
      <c r="BJ95" s="271">
        <f t="shared" si="166"/>
        <v>3</v>
      </c>
      <c r="BK95" s="271">
        <f t="shared" si="166"/>
        <v>4</v>
      </c>
      <c r="BL95" s="272">
        <f t="shared" si="166"/>
        <v>5</v>
      </c>
      <c r="BM95" s="257">
        <f>IF($BC95=Lookup!$A$2,$BD95*ROUNDUP(BE95/10,0)+1,
IF($BC95=Lookup!$A$3,($BD95+1)^BD95,
IF($BC95=Lookup!$A$4,BE95*$BD95+1,"Error")))</f>
        <v>1</v>
      </c>
      <c r="BN95" s="230">
        <f>IF($BC95=Lookup!$A$2,$BD95*ROUNDUP(BF95/10,0)+1,
IF($BC95=Lookup!$A$3,($BD95+1)^BE95,
IF($BC95=Lookup!$A$4,BF95*$BD95+1,"Error")))</f>
        <v>1</v>
      </c>
      <c r="BO95" s="230">
        <f>IF($BC95=Lookup!$A$2,$BD95*ROUNDUP(BG95/10,0)+1,
IF($BC95=Lookup!$A$3,($BD95+1)^BF95,
IF($BC95=Lookup!$A$4,BG95*$BD95+1,"Error")))</f>
        <v>1</v>
      </c>
      <c r="BP95" s="230">
        <f>IF($BC95=Lookup!$A$2,$BD95*ROUNDUP(BH95/10,0)+1,
IF($BC95=Lookup!$A$3,($BD95+1)^BG95,
IF($BC95=Lookup!$A$4,BH95*$BD95+1,"Error")))</f>
        <v>0.71</v>
      </c>
      <c r="BQ95" s="230">
        <f>IF($BC95=Lookup!$A$2,$BD95*ROUNDUP(BI95/10,0)+1,
IF($BC95=Lookup!$A$3,($BD95+1)^BH95,
IF($BC95=Lookup!$A$4,BI95*$BD95+1,"Error")))</f>
        <v>0.71</v>
      </c>
      <c r="BR95" s="230">
        <f>IF($BC95=Lookup!$A$2,$BD95*ROUNDUP(BJ95/10,0)+1,
IF($BC95=Lookup!$A$3,($BD95+1)^BI95,
IF($BC95=Lookup!$A$4,BJ95*$BD95+1,"Error")))</f>
        <v>0.71</v>
      </c>
      <c r="BS95" s="230">
        <f>IF($BC95=Lookup!$A$2,$BD95*ROUNDUP(BK95/10,0)+1,
IF($BC95=Lookup!$A$3,($BD95+1)^BJ95,
IF($BC95=Lookup!$A$4,BK95*$BD95+1,"Error")))</f>
        <v>0.71</v>
      </c>
      <c r="BT95" s="251">
        <f>IF($BC95=Lookup!$A$2,$BD95*ROUNDUP(BL95/10,0)+1,
IF($BC95=Lookup!$A$3,($BD95+1)^BK95,
IF($BC95=Lookup!$A$4,BL95*$BD95+1,"Error")))</f>
        <v>0.71</v>
      </c>
      <c r="BU95" s="322"/>
      <c r="BV95" s="323"/>
      <c r="BW95" s="323"/>
      <c r="BX95" s="323"/>
      <c r="BY95" s="323"/>
      <c r="BZ95" s="323"/>
      <c r="CA95" s="323"/>
      <c r="CB95" s="278"/>
      <c r="CC95" s="384" t="s">
        <v>293</v>
      </c>
      <c r="CD95" s="385">
        <f>HLOOKUP($CC95,$AK$6:$AM$132,ROWS(CD$6:CD95),0)</f>
        <v>0.66666666666666663</v>
      </c>
      <c r="CE95" s="240">
        <f t="shared" si="142"/>
        <v>0.66666666666666663</v>
      </c>
      <c r="CF95" s="141">
        <f t="shared" si="142"/>
        <v>0.66666666666666663</v>
      </c>
      <c r="CG95" s="141">
        <f t="shared" si="142"/>
        <v>0.66666666666666663</v>
      </c>
      <c r="CH95" s="141">
        <f t="shared" si="142"/>
        <v>0.47333333333333327</v>
      </c>
      <c r="CI95" s="141">
        <f t="shared" si="84"/>
        <v>0.47333333333333327</v>
      </c>
      <c r="CJ95" s="141">
        <f t="shared" si="84"/>
        <v>0.47333333333333327</v>
      </c>
      <c r="CK95" s="141">
        <f t="shared" si="84"/>
        <v>0.47333333333333327</v>
      </c>
      <c r="CL95" s="292">
        <f t="shared" si="84"/>
        <v>0.47333333333333327</v>
      </c>
      <c r="CM95" s="308" t="s">
        <v>293</v>
      </c>
      <c r="CN95" s="316">
        <v>0</v>
      </c>
      <c r="CO95" s="309"/>
      <c r="CP95" s="310">
        <f>IF($CO95&lt;&gt;"",$CO95,HLOOKUP($CM95,$AY$6:$BA$132,ROWS(CP$6:CP95),0))</f>
        <v>5757.8777173810004</v>
      </c>
      <c r="CQ95" s="785">
        <f t="shared" si="138"/>
        <v>3838.5851449206666</v>
      </c>
      <c r="CR95" s="785">
        <f t="shared" si="138"/>
        <v>3838.5851449206666</v>
      </c>
      <c r="CS95" s="117">
        <f t="shared" si="138"/>
        <v>3838.5851449206666</v>
      </c>
      <c r="CT95" s="117">
        <f t="shared" si="138"/>
        <v>2725.3954528936733</v>
      </c>
      <c r="CU95" s="117">
        <f t="shared" si="138"/>
        <v>2725.3954528936733</v>
      </c>
      <c r="CV95" s="117">
        <f t="shared" si="138"/>
        <v>2725.3954528936733</v>
      </c>
      <c r="CW95" s="117">
        <f t="shared" si="138"/>
        <v>2725.3954528936733</v>
      </c>
      <c r="CX95" s="118">
        <f t="shared" si="62"/>
        <v>2725.3954528936733</v>
      </c>
      <c r="CY95" s="393"/>
    </row>
    <row r="96" spans="1:103" x14ac:dyDescent="0.25">
      <c r="A96" s="63" t="s">
        <v>196</v>
      </c>
      <c r="B96" s="64" t="s">
        <v>193</v>
      </c>
      <c r="C96" s="65" t="s">
        <v>387</v>
      </c>
      <c r="D96" s="66">
        <v>987443.7761251661</v>
      </c>
      <c r="E96" s="67">
        <v>1230839.0224177421</v>
      </c>
      <c r="F96" s="67">
        <v>1815262.5244260274</v>
      </c>
      <c r="G96" s="67">
        <v>1767554.9353798733</v>
      </c>
      <c r="H96" s="67">
        <v>2142883.5925307795</v>
      </c>
      <c r="I96" s="67">
        <v>13053785.75553734</v>
      </c>
      <c r="J96" s="67">
        <v>20213077.464540768</v>
      </c>
      <c r="K96" s="67">
        <v>26181370.394497354</v>
      </c>
      <c r="L96" s="67">
        <v>23102181.375893045</v>
      </c>
      <c r="M96" s="653">
        <f>'2022-23 Input'!F96</f>
        <v>30845037.230128758</v>
      </c>
      <c r="N96" s="1064">
        <v>32824095.92376446</v>
      </c>
      <c r="O96" s="557">
        <f t="shared" si="139"/>
        <v>1328562.4684488089</v>
      </c>
      <c r="P96" s="558">
        <f t="shared" si="113"/>
        <v>1631392.1013354778</v>
      </c>
      <c r="Q96" s="558">
        <f t="shared" si="114"/>
        <v>2381634.8656941503</v>
      </c>
      <c r="R96" s="558">
        <f t="shared" si="115"/>
        <v>2275049.5635369192</v>
      </c>
      <c r="S96" s="558">
        <f t="shared" si="116"/>
        <v>2702002.2043162938</v>
      </c>
      <c r="T96" s="558">
        <f t="shared" si="117"/>
        <v>16201683.926727831</v>
      </c>
      <c r="U96" s="558">
        <f t="shared" si="118"/>
        <v>25175144.89579533</v>
      </c>
      <c r="V96" s="558">
        <f t="shared" si="119"/>
        <v>31400856.706302665</v>
      </c>
      <c r="W96" s="674">
        <f t="shared" si="120"/>
        <v>26103783.900801942</v>
      </c>
      <c r="X96" s="674">
        <f t="shared" si="121"/>
        <v>32802491.858097881</v>
      </c>
      <c r="Y96" s="674">
        <f t="shared" si="121"/>
        <v>33726708.646591611</v>
      </c>
      <c r="Z96" s="68">
        <v>770</v>
      </c>
      <c r="AA96" s="69">
        <v>831</v>
      </c>
      <c r="AB96" s="69">
        <v>1057</v>
      </c>
      <c r="AC96" s="69">
        <v>1242</v>
      </c>
      <c r="AD96" s="69">
        <v>1538</v>
      </c>
      <c r="AE96" s="69">
        <v>37259</v>
      </c>
      <c r="AF96" s="69">
        <v>2336</v>
      </c>
      <c r="AG96" s="69">
        <v>2260</v>
      </c>
      <c r="AH96" s="69">
        <v>2136</v>
      </c>
      <c r="AI96" s="1093">
        <f>'2022-23 Input'!M96</f>
        <v>1841</v>
      </c>
      <c r="AJ96" s="664">
        <v>1527</v>
      </c>
      <c r="AK96" s="70">
        <f t="shared" si="122"/>
        <v>9166.4</v>
      </c>
      <c r="AL96" s="71">
        <f t="shared" si="123"/>
        <v>2079</v>
      </c>
      <c r="AM96" s="72">
        <f t="shared" si="124"/>
        <v>1841</v>
      </c>
      <c r="AN96" s="73">
        <f t="shared" si="125"/>
        <v>1282.3945144482677</v>
      </c>
      <c r="AO96" s="74">
        <f t="shared" si="126"/>
        <v>1481.1540582644309</v>
      </c>
      <c r="AP96" s="74">
        <f t="shared" si="127"/>
        <v>1717.3723031466675</v>
      </c>
      <c r="AQ96" s="74">
        <f t="shared" si="128"/>
        <v>1423.1521218839559</v>
      </c>
      <c r="AR96" s="74">
        <f t="shared" si="129"/>
        <v>1393.2923228418592</v>
      </c>
      <c r="AS96" s="74">
        <f t="shared" si="130"/>
        <v>350.35255255206368</v>
      </c>
      <c r="AT96" s="74">
        <f t="shared" si="131"/>
        <v>8652.8585036561508</v>
      </c>
      <c r="AU96" s="74">
        <f t="shared" si="132"/>
        <v>11584.677165706793</v>
      </c>
      <c r="AV96" s="74">
        <f t="shared" si="157"/>
        <v>10815.627984968654</v>
      </c>
      <c r="AW96" s="74">
        <f t="shared" si="157"/>
        <v>16754.501482959673</v>
      </c>
      <c r="AX96" s="74">
        <f t="shared" si="157"/>
        <v>21495.806105936124</v>
      </c>
      <c r="AY96" s="75">
        <f t="shared" si="134"/>
        <v>2474.1545693095932</v>
      </c>
      <c r="AZ96" s="76">
        <f t="shared" si="135"/>
        <v>12847.296617046522</v>
      </c>
      <c r="BA96" s="77">
        <f t="shared" si="136"/>
        <v>16754.501482959673</v>
      </c>
      <c r="BB96" s="246" t="s">
        <v>422</v>
      </c>
      <c r="BC96" s="228" t="s">
        <v>433</v>
      </c>
      <c r="BD96" s="247">
        <v>-0.41849999999999998</v>
      </c>
      <c r="BE96" s="264">
        <f t="shared" si="140"/>
        <v>0</v>
      </c>
      <c r="BF96" s="265">
        <f t="shared" ref="BF96:BL96" si="167">IF(BF$6=$BB96,1,
IF(BE96&lt;&gt;0,BE96+1,0
))</f>
        <v>0</v>
      </c>
      <c r="BG96" s="265">
        <f t="shared" si="167"/>
        <v>0</v>
      </c>
      <c r="BH96" s="265">
        <f t="shared" si="167"/>
        <v>1</v>
      </c>
      <c r="BI96" s="265">
        <f t="shared" si="167"/>
        <v>2</v>
      </c>
      <c r="BJ96" s="265">
        <f t="shared" si="167"/>
        <v>3</v>
      </c>
      <c r="BK96" s="265">
        <f t="shared" si="167"/>
        <v>4</v>
      </c>
      <c r="BL96" s="266">
        <f t="shared" si="167"/>
        <v>5</v>
      </c>
      <c r="BM96" s="255">
        <f>IF($BC96=Lookup!$A$2,$BD96*ROUNDUP(BE96/10,0)+1,
IF($BC96=Lookup!$A$3,($BD96+1)^BD96,
IF($BC96=Lookup!$A$4,BE96*$BD96+1,"Error")))</f>
        <v>1</v>
      </c>
      <c r="BN96" s="228">
        <f>IF($BC96=Lookup!$A$2,$BD96*ROUNDUP(BF96/10,0)+1,
IF($BC96=Lookup!$A$3,($BD96+1)^BE96,
IF($BC96=Lookup!$A$4,BF96*$BD96+1,"Error")))</f>
        <v>1</v>
      </c>
      <c r="BO96" s="228">
        <f>IF($BC96=Lookup!$A$2,$BD96*ROUNDUP(BG96/10,0)+1,
IF($BC96=Lookup!$A$3,($BD96+1)^BF96,
IF($BC96=Lookup!$A$4,BG96*$BD96+1,"Error")))</f>
        <v>1</v>
      </c>
      <c r="BP96" s="228">
        <f>IF($BC96=Lookup!$A$2,$BD96*ROUNDUP(BH96/10,0)+1,
IF($BC96=Lookup!$A$3,($BD96+1)^BG96,
IF($BC96=Lookup!$A$4,BH96*$BD96+1,"Error")))</f>
        <v>0.58150000000000002</v>
      </c>
      <c r="BQ96" s="228">
        <f>IF($BC96=Lookup!$A$2,$BD96*ROUNDUP(BI96/10,0)+1,
IF($BC96=Lookup!$A$3,($BD96+1)^BH96,
IF($BC96=Lookup!$A$4,BI96*$BD96+1,"Error")))</f>
        <v>0.58150000000000002</v>
      </c>
      <c r="BR96" s="228">
        <f>IF($BC96=Lookup!$A$2,$BD96*ROUNDUP(BJ96/10,0)+1,
IF($BC96=Lookup!$A$3,($BD96+1)^BI96,
IF($BC96=Lookup!$A$4,BJ96*$BD96+1,"Error")))</f>
        <v>0.58150000000000002</v>
      </c>
      <c r="BS96" s="228">
        <f>IF($BC96=Lookup!$A$2,$BD96*ROUNDUP(BK96/10,0)+1,
IF($BC96=Lookup!$A$3,($BD96+1)^BJ96,
IF($BC96=Lookup!$A$4,BK96*$BD96+1,"Error")))</f>
        <v>0.58150000000000002</v>
      </c>
      <c r="BT96" s="247">
        <f>IF($BC96=Lookup!$A$2,$BD96*ROUNDUP(BL96/10,0)+1,
IF($BC96=Lookup!$A$3,($BD96+1)^BK96,
IF($BC96=Lookup!$A$4,BL96*$BD96+1,"Error")))</f>
        <v>0.58150000000000002</v>
      </c>
      <c r="BU96" s="318"/>
      <c r="BV96" s="319"/>
      <c r="BW96" s="319"/>
      <c r="BX96" s="319"/>
      <c r="BY96" s="319"/>
      <c r="BZ96" s="319"/>
      <c r="CA96" s="319"/>
      <c r="CB96" s="276"/>
      <c r="CC96" s="380" t="s">
        <v>293</v>
      </c>
      <c r="CD96" s="381">
        <f>HLOOKUP($CC96,$AK$6:$AM$132,ROWS(CD$6:CD96),0)</f>
        <v>2079</v>
      </c>
      <c r="CE96" s="233">
        <f t="shared" si="142"/>
        <v>2079</v>
      </c>
      <c r="CF96" s="78">
        <f t="shared" si="142"/>
        <v>2079</v>
      </c>
      <c r="CG96" s="78">
        <f t="shared" si="142"/>
        <v>2079</v>
      </c>
      <c r="CH96" s="78">
        <f t="shared" si="142"/>
        <v>1208.9385</v>
      </c>
      <c r="CI96" s="78">
        <f t="shared" si="84"/>
        <v>1208.9385</v>
      </c>
      <c r="CJ96" s="78">
        <f t="shared" si="84"/>
        <v>1208.9385</v>
      </c>
      <c r="CK96" s="78">
        <f t="shared" si="84"/>
        <v>1208.9385</v>
      </c>
      <c r="CL96" s="285">
        <f t="shared" si="84"/>
        <v>1208.9385</v>
      </c>
      <c r="CM96" s="302" t="s">
        <v>293</v>
      </c>
      <c r="CN96" s="314">
        <v>0</v>
      </c>
      <c r="CO96" s="303"/>
      <c r="CP96" s="304">
        <f>IF($CO96&lt;&gt;"",$CO96,HLOOKUP($CM96,$AY$6:$BA$132,ROWS(CP$6:CP96),0))</f>
        <v>12847.296617046522</v>
      </c>
      <c r="CQ96" s="783">
        <f t="shared" si="138"/>
        <v>26709529.666839719</v>
      </c>
      <c r="CR96" s="783">
        <f t="shared" si="138"/>
        <v>26709529.666839719</v>
      </c>
      <c r="CS96" s="79">
        <f t="shared" si="138"/>
        <v>26709529.666839719</v>
      </c>
      <c r="CT96" s="79">
        <f t="shared" si="138"/>
        <v>15531591.501267297</v>
      </c>
      <c r="CU96" s="79">
        <f t="shared" si="138"/>
        <v>15531591.501267297</v>
      </c>
      <c r="CV96" s="79">
        <f t="shared" si="138"/>
        <v>15531591.501267297</v>
      </c>
      <c r="CW96" s="79">
        <f t="shared" si="138"/>
        <v>15531591.501267297</v>
      </c>
      <c r="CX96" s="80">
        <f t="shared" si="62"/>
        <v>15531591.501267297</v>
      </c>
      <c r="CY96" s="391"/>
    </row>
    <row r="97" spans="1:103" x14ac:dyDescent="0.25">
      <c r="A97" s="81" t="s">
        <v>196</v>
      </c>
      <c r="B97" s="82" t="s">
        <v>197</v>
      </c>
      <c r="C97" s="83" t="s">
        <v>388</v>
      </c>
      <c r="D97" s="84">
        <v>1079303.4760502903</v>
      </c>
      <c r="E97" s="85">
        <v>599792.08606421039</v>
      </c>
      <c r="F97" s="85">
        <v>650221.71605857159</v>
      </c>
      <c r="G97" s="85">
        <v>1121731.6840611568</v>
      </c>
      <c r="H97" s="85">
        <v>1398341.1278983431</v>
      </c>
      <c r="I97" s="85">
        <v>2444266.3902981412</v>
      </c>
      <c r="J97" s="85">
        <v>2894770.5764538166</v>
      </c>
      <c r="K97" s="85">
        <v>3536052.6440086085</v>
      </c>
      <c r="L97" s="85">
        <v>2612894.2007004251</v>
      </c>
      <c r="M97" s="654">
        <f>'2022-23 Input'!F97</f>
        <v>2310714.3462434518</v>
      </c>
      <c r="N97" s="1065">
        <v>3016424.6253042831</v>
      </c>
      <c r="O97" s="560">
        <f t="shared" si="139"/>
        <v>1452155.6821934872</v>
      </c>
      <c r="P97" s="561">
        <f t="shared" si="113"/>
        <v>794982.97813683061</v>
      </c>
      <c r="Q97" s="561">
        <f t="shared" si="114"/>
        <v>853094.62877069472</v>
      </c>
      <c r="R97" s="561">
        <f t="shared" si="115"/>
        <v>1443799.6393477903</v>
      </c>
      <c r="S97" s="561">
        <f t="shared" si="116"/>
        <v>1763194.6145544932</v>
      </c>
      <c r="T97" s="561">
        <f t="shared" si="117"/>
        <v>3033697.0615237681</v>
      </c>
      <c r="U97" s="561">
        <f t="shared" si="118"/>
        <v>3605401.9399151164</v>
      </c>
      <c r="V97" s="561">
        <f t="shared" si="119"/>
        <v>4240995.8190650586</v>
      </c>
      <c r="W97" s="675">
        <f t="shared" si="120"/>
        <v>2952380.3168611345</v>
      </c>
      <c r="X97" s="675">
        <f t="shared" si="121"/>
        <v>2457354.4185903515</v>
      </c>
      <c r="Y97" s="675">
        <f t="shared" si="121"/>
        <v>3099371.7154715885</v>
      </c>
      <c r="Z97" s="86">
        <v>30</v>
      </c>
      <c r="AA97" s="87">
        <v>17</v>
      </c>
      <c r="AB97" s="87">
        <v>17</v>
      </c>
      <c r="AC97" s="87">
        <v>30</v>
      </c>
      <c r="AD97" s="87">
        <v>43</v>
      </c>
      <c r="AE97" s="87">
        <v>46</v>
      </c>
      <c r="AF97" s="87">
        <v>68</v>
      </c>
      <c r="AG97" s="87">
        <v>103</v>
      </c>
      <c r="AH97" s="87">
        <v>76</v>
      </c>
      <c r="AI97" s="1094">
        <f>'2022-23 Input'!M97</f>
        <v>64</v>
      </c>
      <c r="AJ97" s="665">
        <v>57</v>
      </c>
      <c r="AK97" s="88">
        <f t="shared" si="122"/>
        <v>71.400000000000006</v>
      </c>
      <c r="AL97" s="89">
        <f t="shared" si="123"/>
        <v>81</v>
      </c>
      <c r="AM97" s="90">
        <f t="shared" si="124"/>
        <v>64</v>
      </c>
      <c r="AN97" s="91">
        <f t="shared" si="125"/>
        <v>35976.782535009675</v>
      </c>
      <c r="AO97" s="92">
        <f t="shared" si="126"/>
        <v>35281.887415541787</v>
      </c>
      <c r="AP97" s="92">
        <f t="shared" si="127"/>
        <v>38248.336238739503</v>
      </c>
      <c r="AQ97" s="92">
        <f t="shared" si="128"/>
        <v>37391.056135371895</v>
      </c>
      <c r="AR97" s="92">
        <f t="shared" si="129"/>
        <v>32519.561113914955</v>
      </c>
      <c r="AS97" s="92">
        <f t="shared" si="130"/>
        <v>53136.225876046548</v>
      </c>
      <c r="AT97" s="92">
        <f t="shared" si="131"/>
        <v>42570.155536085542</v>
      </c>
      <c r="AU97" s="92">
        <f t="shared" si="132"/>
        <v>34330.608194258333</v>
      </c>
      <c r="AV97" s="92">
        <f t="shared" si="157"/>
        <v>34380.186851321385</v>
      </c>
      <c r="AW97" s="92">
        <f t="shared" si="157"/>
        <v>36104.911660053935</v>
      </c>
      <c r="AX97" s="92">
        <f t="shared" si="157"/>
        <v>52919.730268496198</v>
      </c>
      <c r="AY97" s="93">
        <f t="shared" si="134"/>
        <v>38651.81556779956</v>
      </c>
      <c r="AZ97" s="94">
        <f t="shared" si="135"/>
        <v>34813.420538899118</v>
      </c>
      <c r="BA97" s="95">
        <f t="shared" si="136"/>
        <v>36104.911660053935</v>
      </c>
      <c r="BB97" s="248" t="s">
        <v>422</v>
      </c>
      <c r="BC97" s="229" t="s">
        <v>433</v>
      </c>
      <c r="BD97" s="249">
        <f>$BD$4*-1</f>
        <v>-0.77351611024569922</v>
      </c>
      <c r="BE97" s="267">
        <f t="shared" si="140"/>
        <v>0</v>
      </c>
      <c r="BF97" s="268">
        <f t="shared" ref="BF97:BL97" si="168">IF(BF$6=$BB97,1,
IF(BE97&lt;&gt;0,BE97+1,0
))</f>
        <v>0</v>
      </c>
      <c r="BG97" s="268">
        <f t="shared" si="168"/>
        <v>0</v>
      </c>
      <c r="BH97" s="268">
        <f t="shared" si="168"/>
        <v>1</v>
      </c>
      <c r="BI97" s="268">
        <f t="shared" si="168"/>
        <v>2</v>
      </c>
      <c r="BJ97" s="268">
        <f t="shared" si="168"/>
        <v>3</v>
      </c>
      <c r="BK97" s="268">
        <f t="shared" si="168"/>
        <v>4</v>
      </c>
      <c r="BL97" s="269">
        <f t="shared" si="168"/>
        <v>5</v>
      </c>
      <c r="BM97" s="256">
        <f>IF($BC97=Lookup!$A$2,$BD97*ROUNDUP(BE97/10,0)+1,
IF($BC97=Lookup!$A$3,($BD97+1)^BD97,
IF($BC97=Lookup!$A$4,BE97*$BD97+1,"Error")))</f>
        <v>1</v>
      </c>
      <c r="BN97" s="229">
        <f>IF($BC97=Lookup!$A$2,$BD97*ROUNDUP(BF97/10,0)+1,
IF($BC97=Lookup!$A$3,($BD97+1)^BE97,
IF($BC97=Lookup!$A$4,BF97*$BD97+1,"Error")))</f>
        <v>1</v>
      </c>
      <c r="BO97" s="229">
        <f>IF($BC97=Lookup!$A$2,$BD97*ROUNDUP(BG97/10,0)+1,
IF($BC97=Lookup!$A$3,($BD97+1)^BF97,
IF($BC97=Lookup!$A$4,BG97*$BD97+1,"Error")))</f>
        <v>1</v>
      </c>
      <c r="BP97" s="229">
        <f>IF($BC97=Lookup!$A$2,$BD97*ROUNDUP(BH97/10,0)+1,
IF($BC97=Lookup!$A$3,($BD97+1)^BG97,
IF($BC97=Lookup!$A$4,BH97*$BD97+1,"Error")))</f>
        <v>0.22648388975430078</v>
      </c>
      <c r="BQ97" s="229">
        <f>IF($BC97=Lookup!$A$2,$BD97*ROUNDUP(BI97/10,0)+1,
IF($BC97=Lookup!$A$3,($BD97+1)^BH97,
IF($BC97=Lookup!$A$4,BI97*$BD97+1,"Error")))</f>
        <v>0.22648388975430078</v>
      </c>
      <c r="BR97" s="229">
        <f>IF($BC97=Lookup!$A$2,$BD97*ROUNDUP(BJ97/10,0)+1,
IF($BC97=Lookup!$A$3,($BD97+1)^BI97,
IF($BC97=Lookup!$A$4,BJ97*$BD97+1,"Error")))</f>
        <v>0.22648388975430078</v>
      </c>
      <c r="BS97" s="229">
        <f>IF($BC97=Lookup!$A$2,$BD97*ROUNDUP(BK97/10,0)+1,
IF($BC97=Lookup!$A$3,($BD97+1)^BJ97,
IF($BC97=Lookup!$A$4,BK97*$BD97+1,"Error")))</f>
        <v>0.22648388975430078</v>
      </c>
      <c r="BT97" s="249">
        <f>IF($BC97=Lookup!$A$2,$BD97*ROUNDUP(BL97/10,0)+1,
IF($BC97=Lookup!$A$3,($BD97+1)^BK97,
IF($BC97=Lookup!$A$4,BL97*$BD97+1,"Error")))</f>
        <v>0.22648388975430078</v>
      </c>
      <c r="BU97" s="320"/>
      <c r="BV97" s="321"/>
      <c r="BW97" s="321"/>
      <c r="BX97" s="321"/>
      <c r="BY97" s="321"/>
      <c r="BZ97" s="321"/>
      <c r="CA97" s="321"/>
      <c r="CB97" s="277"/>
      <c r="CC97" s="382" t="s">
        <v>293</v>
      </c>
      <c r="CD97" s="383">
        <f>HLOOKUP($CC97,$AK$6:$AM$132,ROWS(CD$6:CD97),0)</f>
        <v>81</v>
      </c>
      <c r="CE97" s="234">
        <f t="shared" si="142"/>
        <v>81</v>
      </c>
      <c r="CF97" s="96">
        <f t="shared" si="142"/>
        <v>81</v>
      </c>
      <c r="CG97" s="96">
        <f t="shared" si="142"/>
        <v>81</v>
      </c>
      <c r="CH97" s="96">
        <f t="shared" si="142"/>
        <v>18.345195070098363</v>
      </c>
      <c r="CI97" s="96">
        <f t="shared" si="84"/>
        <v>18.345195070098363</v>
      </c>
      <c r="CJ97" s="96">
        <f t="shared" si="84"/>
        <v>18.345195070098363</v>
      </c>
      <c r="CK97" s="96">
        <f t="shared" si="84"/>
        <v>18.345195070098363</v>
      </c>
      <c r="CL97" s="286">
        <f t="shared" si="84"/>
        <v>18.345195070098363</v>
      </c>
      <c r="CM97" s="305" t="s">
        <v>293</v>
      </c>
      <c r="CN97" s="315">
        <v>0</v>
      </c>
      <c r="CO97" s="306"/>
      <c r="CP97" s="307">
        <f>IF($CO97&lt;&gt;"",$CO97,HLOOKUP($CM97,$AY$6:$BA$132,ROWS(CP$6:CP97),0))</f>
        <v>34813.420538899118</v>
      </c>
      <c r="CQ97" s="784">
        <f t="shared" si="138"/>
        <v>2819887.0636508283</v>
      </c>
      <c r="CR97" s="784">
        <f t="shared" si="138"/>
        <v>2819887.0636508283</v>
      </c>
      <c r="CS97" s="97">
        <f t="shared" si="138"/>
        <v>2819887.0636508283</v>
      </c>
      <c r="CT97" s="97">
        <f t="shared" si="138"/>
        <v>638658.99084347324</v>
      </c>
      <c r="CU97" s="97">
        <f t="shared" si="138"/>
        <v>638658.99084347324</v>
      </c>
      <c r="CV97" s="97">
        <f t="shared" si="138"/>
        <v>638658.99084347324</v>
      </c>
      <c r="CW97" s="97">
        <f t="shared" si="138"/>
        <v>638658.99084347324</v>
      </c>
      <c r="CX97" s="98">
        <f t="shared" si="62"/>
        <v>638658.99084347324</v>
      </c>
      <c r="CY97" s="392" t="s">
        <v>474</v>
      </c>
    </row>
    <row r="98" spans="1:103" x14ac:dyDescent="0.25">
      <c r="A98" s="81" t="s">
        <v>196</v>
      </c>
      <c r="B98" s="82" t="s">
        <v>199</v>
      </c>
      <c r="C98" s="83" t="s">
        <v>389</v>
      </c>
      <c r="D98" s="84">
        <v>0</v>
      </c>
      <c r="E98" s="85">
        <v>176275.14204604251</v>
      </c>
      <c r="F98" s="85">
        <v>-17264.810000000001</v>
      </c>
      <c r="G98" s="85">
        <v>0</v>
      </c>
      <c r="H98" s="85">
        <v>0</v>
      </c>
      <c r="I98" s="85">
        <v>0</v>
      </c>
      <c r="J98" s="85">
        <v>0</v>
      </c>
      <c r="K98" s="85">
        <v>-15400.01</v>
      </c>
      <c r="L98" s="85">
        <v>0</v>
      </c>
      <c r="M98" s="654">
        <f>'2022-23 Input'!F98</f>
        <v>0</v>
      </c>
      <c r="N98" s="1065">
        <v>0</v>
      </c>
      <c r="O98" s="560">
        <f t="shared" si="139"/>
        <v>0</v>
      </c>
      <c r="P98" s="561">
        <f t="shared" si="113"/>
        <v>233640.52419366798</v>
      </c>
      <c r="Q98" s="561">
        <f t="shared" si="114"/>
        <v>-22651.529953545632</v>
      </c>
      <c r="R98" s="561">
        <f t="shared" si="115"/>
        <v>0</v>
      </c>
      <c r="S98" s="561">
        <f t="shared" si="116"/>
        <v>0</v>
      </c>
      <c r="T98" s="561">
        <f t="shared" si="117"/>
        <v>0</v>
      </c>
      <c r="U98" s="561">
        <f t="shared" si="118"/>
        <v>0</v>
      </c>
      <c r="V98" s="561">
        <f t="shared" si="119"/>
        <v>-18470.137353362632</v>
      </c>
      <c r="W98" s="675">
        <f t="shared" si="120"/>
        <v>0</v>
      </c>
      <c r="X98" s="675">
        <f t="shared" si="121"/>
        <v>0</v>
      </c>
      <c r="Y98" s="675">
        <f t="shared" si="121"/>
        <v>0</v>
      </c>
      <c r="Z98" s="86">
        <v>0</v>
      </c>
      <c r="AA98" s="87">
        <v>1</v>
      </c>
      <c r="AB98" s="87">
        <v>-1</v>
      </c>
      <c r="AC98" s="87">
        <v>0</v>
      </c>
      <c r="AD98" s="87">
        <v>0</v>
      </c>
      <c r="AE98" s="87">
        <v>0</v>
      </c>
      <c r="AF98" s="87">
        <v>0</v>
      </c>
      <c r="AG98" s="87">
        <v>-1</v>
      </c>
      <c r="AH98" s="87">
        <v>0</v>
      </c>
      <c r="AI98" s="1094">
        <f>'2022-23 Input'!M98</f>
        <v>0</v>
      </c>
      <c r="AJ98" s="665">
        <v>0</v>
      </c>
      <c r="AK98" s="88">
        <f t="shared" si="122"/>
        <v>-0.2</v>
      </c>
      <c r="AL98" s="89">
        <f t="shared" si="123"/>
        <v>-0.33333333333333331</v>
      </c>
      <c r="AM98" s="90">
        <f t="shared" si="124"/>
        <v>0</v>
      </c>
      <c r="AN98" s="91" t="str">
        <f t="shared" si="125"/>
        <v/>
      </c>
      <c r="AO98" s="92">
        <f t="shared" si="126"/>
        <v>176275.14204604251</v>
      </c>
      <c r="AP98" s="92">
        <f t="shared" si="127"/>
        <v>17264.810000000001</v>
      </c>
      <c r="AQ98" s="92" t="str">
        <f t="shared" si="128"/>
        <v/>
      </c>
      <c r="AR98" s="92" t="str">
        <f t="shared" si="129"/>
        <v/>
      </c>
      <c r="AS98" s="92" t="str">
        <f t="shared" si="130"/>
        <v/>
      </c>
      <c r="AT98" s="92" t="str">
        <f t="shared" si="131"/>
        <v/>
      </c>
      <c r="AU98" s="92">
        <f t="shared" si="132"/>
        <v>15400.01</v>
      </c>
      <c r="AV98" s="92" t="str">
        <f t="shared" si="157"/>
        <v/>
      </c>
      <c r="AW98" s="92" t="str">
        <f t="shared" si="157"/>
        <v/>
      </c>
      <c r="AX98" s="92" t="str">
        <f t="shared" si="157"/>
        <v/>
      </c>
      <c r="AY98" s="93">
        <f t="shared" si="134"/>
        <v>15400.01</v>
      </c>
      <c r="AZ98" s="94">
        <f t="shared" si="135"/>
        <v>15400.01</v>
      </c>
      <c r="BA98" s="95" t="str">
        <f t="shared" si="136"/>
        <v/>
      </c>
      <c r="BB98" s="248" t="s">
        <v>422</v>
      </c>
      <c r="BC98" s="229" t="s">
        <v>433</v>
      </c>
      <c r="BD98" s="249">
        <v>0</v>
      </c>
      <c r="BE98" s="267">
        <f t="shared" si="140"/>
        <v>0</v>
      </c>
      <c r="BF98" s="268">
        <f t="shared" ref="BF98:BL98" si="169">IF(BF$6=$BB98,1,
IF(BE98&lt;&gt;0,BE98+1,0
))</f>
        <v>0</v>
      </c>
      <c r="BG98" s="268">
        <f t="shared" si="169"/>
        <v>0</v>
      </c>
      <c r="BH98" s="268">
        <f t="shared" si="169"/>
        <v>1</v>
      </c>
      <c r="BI98" s="268">
        <f t="shared" si="169"/>
        <v>2</v>
      </c>
      <c r="BJ98" s="268">
        <f t="shared" si="169"/>
        <v>3</v>
      </c>
      <c r="BK98" s="268">
        <f t="shared" si="169"/>
        <v>4</v>
      </c>
      <c r="BL98" s="269">
        <f t="shared" si="169"/>
        <v>5</v>
      </c>
      <c r="BM98" s="256">
        <f>IF($BC98=Lookup!$A$2,$BD98*ROUNDUP(BE98/10,0)+1,
IF($BC98=Lookup!$A$3,($BD98+1)^BD98,
IF($BC98=Lookup!$A$4,BE98*$BD98+1,"Error")))</f>
        <v>1</v>
      </c>
      <c r="BN98" s="229">
        <f>IF($BC98=Lookup!$A$2,$BD98*ROUNDUP(BF98/10,0)+1,
IF($BC98=Lookup!$A$3,($BD98+1)^BE98,
IF($BC98=Lookup!$A$4,BF98*$BD98+1,"Error")))</f>
        <v>1</v>
      </c>
      <c r="BO98" s="229">
        <f>IF($BC98=Lookup!$A$2,$BD98*ROUNDUP(BG98/10,0)+1,
IF($BC98=Lookup!$A$3,($BD98+1)^BF98,
IF($BC98=Lookup!$A$4,BG98*$BD98+1,"Error")))</f>
        <v>1</v>
      </c>
      <c r="BP98" s="229">
        <f>IF($BC98=Lookup!$A$2,$BD98*ROUNDUP(BH98/10,0)+1,
IF($BC98=Lookup!$A$3,($BD98+1)^BG98,
IF($BC98=Lookup!$A$4,BH98*$BD98+1,"Error")))</f>
        <v>1</v>
      </c>
      <c r="BQ98" s="229">
        <f>IF($BC98=Lookup!$A$2,$BD98*ROUNDUP(BI98/10,0)+1,
IF($BC98=Lookup!$A$3,($BD98+1)^BH98,
IF($BC98=Lookup!$A$4,BI98*$BD98+1,"Error")))</f>
        <v>1</v>
      </c>
      <c r="BR98" s="229">
        <f>IF($BC98=Lookup!$A$2,$BD98*ROUNDUP(BJ98/10,0)+1,
IF($BC98=Lookup!$A$3,($BD98+1)^BI98,
IF($BC98=Lookup!$A$4,BJ98*$BD98+1,"Error")))</f>
        <v>1</v>
      </c>
      <c r="BS98" s="229">
        <f>IF($BC98=Lookup!$A$2,$BD98*ROUNDUP(BK98/10,0)+1,
IF($BC98=Lookup!$A$3,($BD98+1)^BJ98,
IF($BC98=Lookup!$A$4,BK98*$BD98+1,"Error")))</f>
        <v>1</v>
      </c>
      <c r="BT98" s="249">
        <f>IF($BC98=Lookup!$A$2,$BD98*ROUNDUP(BL98/10,0)+1,
IF($BC98=Lookup!$A$3,($BD98+1)^BK98,
IF($BC98=Lookup!$A$4,BL98*$BD98+1,"Error")))</f>
        <v>1</v>
      </c>
      <c r="BU98" s="320">
        <v>0</v>
      </c>
      <c r="BV98" s="321">
        <v>0</v>
      </c>
      <c r="BW98" s="321">
        <v>0</v>
      </c>
      <c r="BX98" s="321">
        <v>0</v>
      </c>
      <c r="BY98" s="321">
        <v>0</v>
      </c>
      <c r="BZ98" s="321">
        <v>0</v>
      </c>
      <c r="CA98" s="321">
        <v>0</v>
      </c>
      <c r="CB98" s="277">
        <v>0</v>
      </c>
      <c r="CC98" s="382" t="s">
        <v>293</v>
      </c>
      <c r="CD98" s="383">
        <f>HLOOKUP($CC98,$AK$6:$AM$132,ROWS(CD$6:CD98),0)</f>
        <v>-0.33333333333333331</v>
      </c>
      <c r="CE98" s="234">
        <f t="shared" si="142"/>
        <v>0</v>
      </c>
      <c r="CF98" s="96">
        <f t="shared" si="142"/>
        <v>0</v>
      </c>
      <c r="CG98" s="96">
        <f t="shared" si="142"/>
        <v>0</v>
      </c>
      <c r="CH98" s="96">
        <f t="shared" si="142"/>
        <v>0</v>
      </c>
      <c r="CI98" s="96">
        <f t="shared" si="84"/>
        <v>0</v>
      </c>
      <c r="CJ98" s="96">
        <f t="shared" si="84"/>
        <v>0</v>
      </c>
      <c r="CK98" s="96">
        <f t="shared" si="84"/>
        <v>0</v>
      </c>
      <c r="CL98" s="286">
        <f t="shared" si="84"/>
        <v>0</v>
      </c>
      <c r="CM98" s="305" t="s">
        <v>293</v>
      </c>
      <c r="CN98" s="315">
        <v>0</v>
      </c>
      <c r="CO98" s="306"/>
      <c r="CP98" s="307">
        <f>IF($CO98&lt;&gt;"",$CO98,HLOOKUP($CM98,$AY$6:$BA$132,ROWS(CP$6:CP98),0))</f>
        <v>15400.01</v>
      </c>
      <c r="CQ98" s="784">
        <f t="shared" si="138"/>
        <v>0</v>
      </c>
      <c r="CR98" s="784">
        <f t="shared" si="138"/>
        <v>0</v>
      </c>
      <c r="CS98" s="97">
        <f t="shared" si="138"/>
        <v>0</v>
      </c>
      <c r="CT98" s="97">
        <f t="shared" si="138"/>
        <v>0</v>
      </c>
      <c r="CU98" s="97">
        <f t="shared" si="138"/>
        <v>0</v>
      </c>
      <c r="CV98" s="97">
        <f t="shared" si="138"/>
        <v>0</v>
      </c>
      <c r="CW98" s="97">
        <f t="shared" si="138"/>
        <v>0</v>
      </c>
      <c r="CX98" s="98">
        <f t="shared" si="62"/>
        <v>0</v>
      </c>
      <c r="CY98" s="392"/>
    </row>
    <row r="99" spans="1:103" x14ac:dyDescent="0.25">
      <c r="A99" s="81" t="s">
        <v>196</v>
      </c>
      <c r="B99" s="82" t="s">
        <v>201</v>
      </c>
      <c r="C99" s="83" t="s">
        <v>390</v>
      </c>
      <c r="D99" s="84">
        <v>628931.71404789377</v>
      </c>
      <c r="E99" s="85">
        <v>983723.21513140807</v>
      </c>
      <c r="F99" s="85">
        <v>1102694.2908123066</v>
      </c>
      <c r="G99" s="85">
        <v>1212404.9110199781</v>
      </c>
      <c r="H99" s="85">
        <v>1769524.2061072949</v>
      </c>
      <c r="I99" s="85">
        <v>2356734.565362426</v>
      </c>
      <c r="J99" s="85">
        <v>2903619.1997724865</v>
      </c>
      <c r="K99" s="85">
        <v>3765382.7394098556</v>
      </c>
      <c r="L99" s="85">
        <v>3180569.3400765858</v>
      </c>
      <c r="M99" s="654">
        <f>'2022-23 Input'!F99</f>
        <v>4654162.8697882779</v>
      </c>
      <c r="N99" s="1065">
        <v>6829307.0811922522</v>
      </c>
      <c r="O99" s="560">
        <f t="shared" si="139"/>
        <v>846200.14901516237</v>
      </c>
      <c r="P99" s="561">
        <f t="shared" si="113"/>
        <v>1303857.1688386428</v>
      </c>
      <c r="Q99" s="561">
        <f t="shared" si="114"/>
        <v>1446741.2475398642</v>
      </c>
      <c r="R99" s="561">
        <f t="shared" si="115"/>
        <v>1560506.6685258206</v>
      </c>
      <c r="S99" s="561">
        <f t="shared" si="116"/>
        <v>2231226.3354661316</v>
      </c>
      <c r="T99" s="561">
        <f t="shared" si="117"/>
        <v>2925057.086293858</v>
      </c>
      <c r="U99" s="561">
        <f t="shared" si="118"/>
        <v>3616422.7938433033</v>
      </c>
      <c r="V99" s="561">
        <f t="shared" si="119"/>
        <v>4516044.8847033791</v>
      </c>
      <c r="W99" s="675">
        <f t="shared" si="120"/>
        <v>3593811.9168915926</v>
      </c>
      <c r="X99" s="675">
        <f t="shared" si="121"/>
        <v>4949520.3556884853</v>
      </c>
      <c r="Y99" s="675">
        <f t="shared" si="121"/>
        <v>7017102.6407072619</v>
      </c>
      <c r="Z99" s="86">
        <v>268</v>
      </c>
      <c r="AA99" s="87">
        <v>324</v>
      </c>
      <c r="AB99" s="87">
        <v>251</v>
      </c>
      <c r="AC99" s="87">
        <v>235</v>
      </c>
      <c r="AD99" s="87">
        <v>456</v>
      </c>
      <c r="AE99" s="87">
        <v>551</v>
      </c>
      <c r="AF99" s="87">
        <v>611</v>
      </c>
      <c r="AG99" s="87">
        <v>736</v>
      </c>
      <c r="AH99" s="87">
        <v>709</v>
      </c>
      <c r="AI99" s="1094">
        <f>'2022-23 Input'!M99</f>
        <v>845</v>
      </c>
      <c r="AJ99" s="665">
        <v>813</v>
      </c>
      <c r="AK99" s="88">
        <f t="shared" si="122"/>
        <v>690.4</v>
      </c>
      <c r="AL99" s="89">
        <f t="shared" si="123"/>
        <v>763.33333333333337</v>
      </c>
      <c r="AM99" s="90">
        <f t="shared" si="124"/>
        <v>845</v>
      </c>
      <c r="AN99" s="91">
        <f t="shared" si="125"/>
        <v>2346.7601270443797</v>
      </c>
      <c r="AO99" s="92">
        <f t="shared" si="126"/>
        <v>3036.1827627512594</v>
      </c>
      <c r="AP99" s="92">
        <f t="shared" si="127"/>
        <v>4393.2043458657636</v>
      </c>
      <c r="AQ99" s="92">
        <f t="shared" si="128"/>
        <v>5159.169834127566</v>
      </c>
      <c r="AR99" s="92">
        <f t="shared" si="129"/>
        <v>3880.5355397089802</v>
      </c>
      <c r="AS99" s="92">
        <f t="shared" si="130"/>
        <v>4277.1952184436041</v>
      </c>
      <c r="AT99" s="92">
        <f t="shared" si="131"/>
        <v>4752.2409161579153</v>
      </c>
      <c r="AU99" s="92">
        <f t="shared" si="132"/>
        <v>5116.0091568068692</v>
      </c>
      <c r="AV99" s="92">
        <f t="shared" si="157"/>
        <v>4485.993427470502</v>
      </c>
      <c r="AW99" s="92">
        <f t="shared" si="157"/>
        <v>5507.885053003879</v>
      </c>
      <c r="AX99" s="92">
        <f t="shared" si="157"/>
        <v>8400.1317111835815</v>
      </c>
      <c r="AY99" s="93">
        <f t="shared" si="134"/>
        <v>4884.2609253793844</v>
      </c>
      <c r="AZ99" s="94">
        <f t="shared" si="135"/>
        <v>5065.5523795959471</v>
      </c>
      <c r="BA99" s="95">
        <f t="shared" si="136"/>
        <v>5507.885053003879</v>
      </c>
      <c r="BB99" s="248" t="s">
        <v>422</v>
      </c>
      <c r="BC99" s="229" t="s">
        <v>433</v>
      </c>
      <c r="BD99" s="249">
        <f>$BD$4*-1</f>
        <v>-0.77351611024569922</v>
      </c>
      <c r="BE99" s="267">
        <f t="shared" si="140"/>
        <v>0</v>
      </c>
      <c r="BF99" s="268">
        <f t="shared" ref="BF99:BL99" si="170">IF(BF$6=$BB99,1,
IF(BE99&lt;&gt;0,BE99+1,0
))</f>
        <v>0</v>
      </c>
      <c r="BG99" s="268">
        <f t="shared" si="170"/>
        <v>0</v>
      </c>
      <c r="BH99" s="268">
        <f t="shared" si="170"/>
        <v>1</v>
      </c>
      <c r="BI99" s="268">
        <f t="shared" si="170"/>
        <v>2</v>
      </c>
      <c r="BJ99" s="268">
        <f t="shared" si="170"/>
        <v>3</v>
      </c>
      <c r="BK99" s="268">
        <f t="shared" si="170"/>
        <v>4</v>
      </c>
      <c r="BL99" s="269">
        <f t="shared" si="170"/>
        <v>5</v>
      </c>
      <c r="BM99" s="256">
        <f>IF($BC99=Lookup!$A$2,$BD99*ROUNDUP(BE99/10,0)+1,
IF($BC99=Lookup!$A$3,($BD99+1)^BD99,
IF($BC99=Lookup!$A$4,BE99*$BD99+1,"Error")))</f>
        <v>1</v>
      </c>
      <c r="BN99" s="229">
        <f>IF($BC99=Lookup!$A$2,$BD99*ROUNDUP(BF99/10,0)+1,
IF($BC99=Lookup!$A$3,($BD99+1)^BE99,
IF($BC99=Lookup!$A$4,BF99*$BD99+1,"Error")))</f>
        <v>1</v>
      </c>
      <c r="BO99" s="229">
        <f>IF($BC99=Lookup!$A$2,$BD99*ROUNDUP(BG99/10,0)+1,
IF($BC99=Lookup!$A$3,($BD99+1)^BF99,
IF($BC99=Lookup!$A$4,BG99*$BD99+1,"Error")))</f>
        <v>1</v>
      </c>
      <c r="BP99" s="229">
        <f>IF($BC99=Lookup!$A$2,$BD99*ROUNDUP(BH99/10,0)+1,
IF($BC99=Lookup!$A$3,($BD99+1)^BG99,
IF($BC99=Lookup!$A$4,BH99*$BD99+1,"Error")))</f>
        <v>0.22648388975430078</v>
      </c>
      <c r="BQ99" s="229">
        <f>IF($BC99=Lookup!$A$2,$BD99*ROUNDUP(BI99/10,0)+1,
IF($BC99=Lookup!$A$3,($BD99+1)^BH99,
IF($BC99=Lookup!$A$4,BI99*$BD99+1,"Error")))</f>
        <v>0.22648388975430078</v>
      </c>
      <c r="BR99" s="229">
        <f>IF($BC99=Lookup!$A$2,$BD99*ROUNDUP(BJ99/10,0)+1,
IF($BC99=Lookup!$A$3,($BD99+1)^BI99,
IF($BC99=Lookup!$A$4,BJ99*$BD99+1,"Error")))</f>
        <v>0.22648388975430078</v>
      </c>
      <c r="BS99" s="229">
        <f>IF($BC99=Lookup!$A$2,$BD99*ROUNDUP(BK99/10,0)+1,
IF($BC99=Lookup!$A$3,($BD99+1)^BJ99,
IF($BC99=Lookup!$A$4,BK99*$BD99+1,"Error")))</f>
        <v>0.22648388975430078</v>
      </c>
      <c r="BT99" s="249">
        <f>IF($BC99=Lookup!$A$2,$BD99*ROUNDUP(BL99/10,0)+1,
IF($BC99=Lookup!$A$3,($BD99+1)^BK99,
IF($BC99=Lookup!$A$4,BL99*$BD99+1,"Error")))</f>
        <v>0.22648388975430078</v>
      </c>
      <c r="BU99" s="320"/>
      <c r="BV99" s="321"/>
      <c r="BW99" s="321"/>
      <c r="BX99" s="321"/>
      <c r="BY99" s="321"/>
      <c r="BZ99" s="321"/>
      <c r="CA99" s="321"/>
      <c r="CB99" s="277"/>
      <c r="CC99" s="382" t="s">
        <v>293</v>
      </c>
      <c r="CD99" s="383">
        <f>HLOOKUP($CC99,$AK$6:$AM$132,ROWS(CD$6:CD99),0)</f>
        <v>763.33333333333337</v>
      </c>
      <c r="CE99" s="234">
        <f t="shared" si="142"/>
        <v>763.33333333333337</v>
      </c>
      <c r="CF99" s="96">
        <f t="shared" si="142"/>
        <v>763.33333333333337</v>
      </c>
      <c r="CG99" s="96">
        <f t="shared" si="142"/>
        <v>763.33333333333337</v>
      </c>
      <c r="CH99" s="96">
        <f t="shared" si="142"/>
        <v>172.88270251244961</v>
      </c>
      <c r="CI99" s="96">
        <f t="shared" si="84"/>
        <v>172.88270251244961</v>
      </c>
      <c r="CJ99" s="96">
        <f t="shared" si="84"/>
        <v>172.88270251244961</v>
      </c>
      <c r="CK99" s="96">
        <f t="shared" si="84"/>
        <v>172.88270251244961</v>
      </c>
      <c r="CL99" s="286">
        <f t="shared" si="84"/>
        <v>172.88270251244961</v>
      </c>
      <c r="CM99" s="305" t="s">
        <v>293</v>
      </c>
      <c r="CN99" s="315">
        <v>0</v>
      </c>
      <c r="CO99" s="306"/>
      <c r="CP99" s="307">
        <f>IF($CO99&lt;&gt;"",$CO99,HLOOKUP($CM99,$AY$6:$BA$132,ROWS(CP$6:CP99),0))</f>
        <v>5065.5523795959471</v>
      </c>
      <c r="CQ99" s="784">
        <f t="shared" si="138"/>
        <v>3866704.9830915732</v>
      </c>
      <c r="CR99" s="784">
        <f t="shared" si="138"/>
        <v>3866704.9830915732</v>
      </c>
      <c r="CS99" s="97">
        <f t="shared" si="138"/>
        <v>3866704.9830915732</v>
      </c>
      <c r="CT99" s="97">
        <f t="shared" si="138"/>
        <v>875746.38510291732</v>
      </c>
      <c r="CU99" s="97">
        <f t="shared" si="138"/>
        <v>875746.38510291732</v>
      </c>
      <c r="CV99" s="97">
        <f t="shared" si="138"/>
        <v>875746.38510291732</v>
      </c>
      <c r="CW99" s="97">
        <f t="shared" si="138"/>
        <v>875746.38510291732</v>
      </c>
      <c r="CX99" s="98">
        <f t="shared" si="62"/>
        <v>875746.38510291732</v>
      </c>
      <c r="CY99" s="392"/>
    </row>
    <row r="100" spans="1:103" x14ac:dyDescent="0.25">
      <c r="A100" s="81" t="s">
        <v>196</v>
      </c>
      <c r="B100" s="82" t="s">
        <v>203</v>
      </c>
      <c r="C100" s="83" t="s">
        <v>391</v>
      </c>
      <c r="D100" s="84">
        <v>32791.216327912909</v>
      </c>
      <c r="E100" s="85">
        <v>34524.892268126365</v>
      </c>
      <c r="F100" s="85">
        <v>-3027.7200000000003</v>
      </c>
      <c r="G100" s="85">
        <v>38567.965977180167</v>
      </c>
      <c r="H100" s="85">
        <v>79153.612749450433</v>
      </c>
      <c r="I100" s="85">
        <v>51129.152038013919</v>
      </c>
      <c r="J100" s="85">
        <v>359741.43847279629</v>
      </c>
      <c r="K100" s="85">
        <v>309407.90032272</v>
      </c>
      <c r="L100" s="85">
        <v>405619.53467257216</v>
      </c>
      <c r="M100" s="654">
        <f>'2022-23 Input'!F100</f>
        <v>261552.41215944692</v>
      </c>
      <c r="N100" s="1065">
        <v>62701.025738142082</v>
      </c>
      <c r="O100" s="560">
        <f t="shared" si="139"/>
        <v>44119.149222860302</v>
      </c>
      <c r="P100" s="561">
        <f t="shared" si="113"/>
        <v>45760.359819469253</v>
      </c>
      <c r="Q100" s="561">
        <f t="shared" si="114"/>
        <v>-3972.386042530974</v>
      </c>
      <c r="R100" s="561">
        <f t="shared" si="115"/>
        <v>49641.475015334116</v>
      </c>
      <c r="S100" s="561">
        <f t="shared" si="116"/>
        <v>99806.278266392284</v>
      </c>
      <c r="T100" s="561">
        <f t="shared" si="117"/>
        <v>63458.859849152977</v>
      </c>
      <c r="U100" s="561">
        <f t="shared" si="118"/>
        <v>448053.63529933162</v>
      </c>
      <c r="V100" s="561">
        <f t="shared" si="119"/>
        <v>371091.08482242364</v>
      </c>
      <c r="W100" s="675">
        <f t="shared" si="120"/>
        <v>458320.55885793437</v>
      </c>
      <c r="X100" s="675">
        <f t="shared" si="121"/>
        <v>278150.77045670676</v>
      </c>
      <c r="Y100" s="675">
        <f t="shared" si="121"/>
        <v>64425.208597496494</v>
      </c>
      <c r="Z100" s="86">
        <v>1</v>
      </c>
      <c r="AA100" s="87">
        <v>1</v>
      </c>
      <c r="AB100" s="87">
        <v>-1</v>
      </c>
      <c r="AC100" s="87">
        <v>1</v>
      </c>
      <c r="AD100" s="87">
        <v>2</v>
      </c>
      <c r="AE100" s="87">
        <v>1</v>
      </c>
      <c r="AF100" s="87">
        <v>5</v>
      </c>
      <c r="AG100" s="87">
        <v>11</v>
      </c>
      <c r="AH100" s="87">
        <v>14</v>
      </c>
      <c r="AI100" s="1094">
        <f>'2022-23 Input'!M100</f>
        <v>2</v>
      </c>
      <c r="AJ100" s="665">
        <v>0</v>
      </c>
      <c r="AK100" s="88">
        <f t="shared" si="122"/>
        <v>6.6</v>
      </c>
      <c r="AL100" s="89">
        <f t="shared" si="123"/>
        <v>9</v>
      </c>
      <c r="AM100" s="90">
        <f t="shared" si="124"/>
        <v>2</v>
      </c>
      <c r="AN100" s="91">
        <f t="shared" si="125"/>
        <v>32791.216327912909</v>
      </c>
      <c r="AO100" s="92">
        <f t="shared" si="126"/>
        <v>34524.892268126365</v>
      </c>
      <c r="AP100" s="92">
        <f t="shared" si="127"/>
        <v>3027.7200000000003</v>
      </c>
      <c r="AQ100" s="92">
        <f t="shared" si="128"/>
        <v>38567.965977180167</v>
      </c>
      <c r="AR100" s="92">
        <f t="shared" si="129"/>
        <v>39576.806374725216</v>
      </c>
      <c r="AS100" s="92">
        <f t="shared" si="130"/>
        <v>51129.152038013919</v>
      </c>
      <c r="AT100" s="92">
        <f t="shared" si="131"/>
        <v>71948.287694559258</v>
      </c>
      <c r="AU100" s="92">
        <f t="shared" si="132"/>
        <v>28127.990938429091</v>
      </c>
      <c r="AV100" s="92">
        <f t="shared" si="157"/>
        <v>28972.823905183726</v>
      </c>
      <c r="AW100" s="92">
        <f t="shared" si="157"/>
        <v>130776.20607972346</v>
      </c>
      <c r="AX100" s="92" t="str">
        <f t="shared" si="157"/>
        <v/>
      </c>
      <c r="AY100" s="93">
        <f t="shared" si="134"/>
        <v>42043.952656531801</v>
      </c>
      <c r="AZ100" s="94">
        <f t="shared" si="135"/>
        <v>36169.623968694039</v>
      </c>
      <c r="BA100" s="95">
        <f t="shared" si="136"/>
        <v>130776.20607972346</v>
      </c>
      <c r="BB100" s="248" t="s">
        <v>422</v>
      </c>
      <c r="BC100" s="229" t="s">
        <v>433</v>
      </c>
      <c r="BD100" s="249">
        <v>0</v>
      </c>
      <c r="BE100" s="267">
        <f t="shared" si="140"/>
        <v>0</v>
      </c>
      <c r="BF100" s="268">
        <f t="shared" ref="BF100:BL100" si="171">IF(BF$6=$BB100,1,
IF(BE100&lt;&gt;0,BE100+1,0
))</f>
        <v>0</v>
      </c>
      <c r="BG100" s="268">
        <f t="shared" si="171"/>
        <v>0</v>
      </c>
      <c r="BH100" s="268">
        <f t="shared" si="171"/>
        <v>1</v>
      </c>
      <c r="BI100" s="268">
        <f t="shared" si="171"/>
        <v>2</v>
      </c>
      <c r="BJ100" s="268">
        <f t="shared" si="171"/>
        <v>3</v>
      </c>
      <c r="BK100" s="268">
        <f t="shared" si="171"/>
        <v>4</v>
      </c>
      <c r="BL100" s="269">
        <f t="shared" si="171"/>
        <v>5</v>
      </c>
      <c r="BM100" s="256">
        <f>IF($BC100=Lookup!$A$2,$BD100*ROUNDUP(BE100/10,0)+1,
IF($BC100=Lookup!$A$3,($BD100+1)^BD100,
IF($BC100=Lookup!$A$4,BE100*$BD100+1,"Error")))</f>
        <v>1</v>
      </c>
      <c r="BN100" s="229">
        <f>IF($BC100=Lookup!$A$2,$BD100*ROUNDUP(BF100/10,0)+1,
IF($BC100=Lookup!$A$3,($BD100+1)^BE100,
IF($BC100=Lookup!$A$4,BF100*$BD100+1,"Error")))</f>
        <v>1</v>
      </c>
      <c r="BO100" s="229">
        <f>IF($BC100=Lookup!$A$2,$BD100*ROUNDUP(BG100/10,0)+1,
IF($BC100=Lookup!$A$3,($BD100+1)^BF100,
IF($BC100=Lookup!$A$4,BG100*$BD100+1,"Error")))</f>
        <v>1</v>
      </c>
      <c r="BP100" s="229">
        <f>IF($BC100=Lookup!$A$2,$BD100*ROUNDUP(BH100/10,0)+1,
IF($BC100=Lookup!$A$3,($BD100+1)^BG100,
IF($BC100=Lookup!$A$4,BH100*$BD100+1,"Error")))</f>
        <v>1</v>
      </c>
      <c r="BQ100" s="229">
        <f>IF($BC100=Lookup!$A$2,$BD100*ROUNDUP(BI100/10,0)+1,
IF($BC100=Lookup!$A$3,($BD100+1)^BH100,
IF($BC100=Lookup!$A$4,BI100*$BD100+1,"Error")))</f>
        <v>1</v>
      </c>
      <c r="BR100" s="229">
        <f>IF($BC100=Lookup!$A$2,$BD100*ROUNDUP(BJ100/10,0)+1,
IF($BC100=Lookup!$A$3,($BD100+1)^BI100,
IF($BC100=Lookup!$A$4,BJ100*$BD100+1,"Error")))</f>
        <v>1</v>
      </c>
      <c r="BS100" s="229">
        <f>IF($BC100=Lookup!$A$2,$BD100*ROUNDUP(BK100/10,0)+1,
IF($BC100=Lookup!$A$3,($BD100+1)^BJ100,
IF($BC100=Lookup!$A$4,BK100*$BD100+1,"Error")))</f>
        <v>1</v>
      </c>
      <c r="BT100" s="249">
        <f>IF($BC100=Lookup!$A$2,$BD100*ROUNDUP(BL100/10,0)+1,
IF($BC100=Lookup!$A$3,($BD100+1)^BK100,
IF($BC100=Lookup!$A$4,BL100*$BD100+1,"Error")))</f>
        <v>1</v>
      </c>
      <c r="BU100" s="320"/>
      <c r="BV100" s="321"/>
      <c r="BW100" s="321"/>
      <c r="BX100" s="321"/>
      <c r="BY100" s="321"/>
      <c r="BZ100" s="321"/>
      <c r="CA100" s="321"/>
      <c r="CB100" s="277"/>
      <c r="CC100" s="382" t="s">
        <v>293</v>
      </c>
      <c r="CD100" s="383">
        <f>HLOOKUP($CC100,$AK$6:$AM$132,ROWS(CD$6:CD100),0)</f>
        <v>9</v>
      </c>
      <c r="CE100" s="234">
        <f t="shared" si="142"/>
        <v>9</v>
      </c>
      <c r="CF100" s="96">
        <f t="shared" si="142"/>
        <v>9</v>
      </c>
      <c r="CG100" s="96">
        <f t="shared" si="142"/>
        <v>9</v>
      </c>
      <c r="CH100" s="96">
        <f t="shared" si="142"/>
        <v>9</v>
      </c>
      <c r="CI100" s="96">
        <f t="shared" si="84"/>
        <v>9</v>
      </c>
      <c r="CJ100" s="96">
        <f t="shared" si="84"/>
        <v>9</v>
      </c>
      <c r="CK100" s="96">
        <f t="shared" si="84"/>
        <v>9</v>
      </c>
      <c r="CL100" s="286">
        <f t="shared" si="84"/>
        <v>9</v>
      </c>
      <c r="CM100" s="305" t="s">
        <v>293</v>
      </c>
      <c r="CN100" s="315">
        <v>0</v>
      </c>
      <c r="CO100" s="306"/>
      <c r="CP100" s="307">
        <f>IF($CO100&lt;&gt;"",$CO100,HLOOKUP($CM100,$AY$6:$BA$132,ROWS(CP$6:CP100),0))</f>
        <v>36169.623968694039</v>
      </c>
      <c r="CQ100" s="784">
        <f t="shared" si="138"/>
        <v>325526.61571824632</v>
      </c>
      <c r="CR100" s="784">
        <f t="shared" si="138"/>
        <v>325526.61571824632</v>
      </c>
      <c r="CS100" s="97">
        <f t="shared" si="138"/>
        <v>325526.61571824632</v>
      </c>
      <c r="CT100" s="97">
        <f t="shared" si="138"/>
        <v>325526.61571824632</v>
      </c>
      <c r="CU100" s="97">
        <f t="shared" si="138"/>
        <v>325526.61571824632</v>
      </c>
      <c r="CV100" s="97">
        <f t="shared" si="138"/>
        <v>325526.61571824632</v>
      </c>
      <c r="CW100" s="97">
        <f t="shared" si="138"/>
        <v>325526.61571824632</v>
      </c>
      <c r="CX100" s="98">
        <f t="shared" si="62"/>
        <v>325526.61571824632</v>
      </c>
      <c r="CY100" s="392"/>
    </row>
    <row r="101" spans="1:103" x14ac:dyDescent="0.25">
      <c r="A101" s="81" t="s">
        <v>196</v>
      </c>
      <c r="B101" s="82" t="s">
        <v>205</v>
      </c>
      <c r="C101" s="83" t="s">
        <v>206</v>
      </c>
      <c r="D101" s="84">
        <v>-8737.8200000000015</v>
      </c>
      <c r="E101" s="85">
        <v>13177.573855452711</v>
      </c>
      <c r="F101" s="85">
        <v>-4675.1899999999996</v>
      </c>
      <c r="G101" s="85">
        <v>34112.923317806868</v>
      </c>
      <c r="H101" s="85">
        <v>37183.630453606631</v>
      </c>
      <c r="I101" s="85">
        <v>71369.217491792908</v>
      </c>
      <c r="J101" s="85">
        <v>129991.56321464304</v>
      </c>
      <c r="K101" s="85">
        <v>46233.775819569004</v>
      </c>
      <c r="L101" s="85">
        <v>488950.07338621444</v>
      </c>
      <c r="M101" s="654">
        <f>'2022-23 Input'!F101</f>
        <v>164444.51535913142</v>
      </c>
      <c r="N101" s="1065">
        <v>381050.19646087661</v>
      </c>
      <c r="O101" s="560">
        <f t="shared" si="139"/>
        <v>-11756.355135089612</v>
      </c>
      <c r="P101" s="561">
        <f t="shared" si="113"/>
        <v>17465.963875862704</v>
      </c>
      <c r="Q101" s="561">
        <f t="shared" si="114"/>
        <v>-6133.8761517512785</v>
      </c>
      <c r="R101" s="561">
        <f t="shared" si="115"/>
        <v>43907.314987336271</v>
      </c>
      <c r="S101" s="561">
        <f t="shared" si="116"/>
        <v>46885.538626701898</v>
      </c>
      <c r="T101" s="561">
        <f t="shared" si="117"/>
        <v>88579.782566863985</v>
      </c>
      <c r="U101" s="561">
        <f t="shared" si="118"/>
        <v>161902.92868072813</v>
      </c>
      <c r="V101" s="561">
        <f t="shared" si="119"/>
        <v>55450.885405400091</v>
      </c>
      <c r="W101" s="675">
        <f t="shared" si="120"/>
        <v>552478.00397210778</v>
      </c>
      <c r="X101" s="675">
        <f t="shared" si="121"/>
        <v>174880.31659458764</v>
      </c>
      <c r="Y101" s="675">
        <f t="shared" si="121"/>
        <v>391528.4974066267</v>
      </c>
      <c r="Z101" s="86">
        <v>-14</v>
      </c>
      <c r="AA101" s="87">
        <v>2</v>
      </c>
      <c r="AB101" s="87">
        <v>-7</v>
      </c>
      <c r="AC101" s="87">
        <v>5</v>
      </c>
      <c r="AD101" s="87">
        <v>6</v>
      </c>
      <c r="AE101" s="87">
        <v>17</v>
      </c>
      <c r="AF101" s="87">
        <v>24</v>
      </c>
      <c r="AG101" s="87">
        <v>13</v>
      </c>
      <c r="AH101" s="87">
        <v>28</v>
      </c>
      <c r="AI101" s="1094">
        <f>'2022-23 Input'!M101</f>
        <v>21</v>
      </c>
      <c r="AJ101" s="665">
        <v>38</v>
      </c>
      <c r="AK101" s="88">
        <f t="shared" si="122"/>
        <v>20.6</v>
      </c>
      <c r="AL101" s="89">
        <f t="shared" si="123"/>
        <v>20.666666666666668</v>
      </c>
      <c r="AM101" s="90">
        <f t="shared" si="124"/>
        <v>21</v>
      </c>
      <c r="AN101" s="91">
        <f t="shared" si="125"/>
        <v>624.13000000000011</v>
      </c>
      <c r="AO101" s="92">
        <f t="shared" si="126"/>
        <v>6588.7869277263553</v>
      </c>
      <c r="AP101" s="92">
        <f t="shared" si="127"/>
        <v>667.88428571428562</v>
      </c>
      <c r="AQ101" s="92">
        <f t="shared" si="128"/>
        <v>6822.5846635613734</v>
      </c>
      <c r="AR101" s="92">
        <f t="shared" si="129"/>
        <v>6197.2717422677715</v>
      </c>
      <c r="AS101" s="92">
        <f t="shared" si="130"/>
        <v>4198.1892642231123</v>
      </c>
      <c r="AT101" s="92">
        <f t="shared" si="131"/>
        <v>5416.3151339434598</v>
      </c>
      <c r="AU101" s="92">
        <f t="shared" si="132"/>
        <v>3556.4442938130005</v>
      </c>
      <c r="AV101" s="92">
        <f t="shared" si="157"/>
        <v>17462.50262093623</v>
      </c>
      <c r="AW101" s="92">
        <f t="shared" si="157"/>
        <v>7830.6912075776863</v>
      </c>
      <c r="AX101" s="92">
        <f t="shared" si="157"/>
        <v>10027.636748970437</v>
      </c>
      <c r="AY101" s="93">
        <f t="shared" si="134"/>
        <v>8747.4674298189402</v>
      </c>
      <c r="AZ101" s="94">
        <f t="shared" si="135"/>
        <v>11284.328460724433</v>
      </c>
      <c r="BA101" s="95">
        <f t="shared" si="136"/>
        <v>7830.6912075776863</v>
      </c>
      <c r="BB101" s="248" t="s">
        <v>422</v>
      </c>
      <c r="BC101" s="229" t="s">
        <v>433</v>
      </c>
      <c r="BD101" s="249">
        <f>$BD$4*-1</f>
        <v>-0.77351611024569922</v>
      </c>
      <c r="BE101" s="267">
        <f t="shared" si="140"/>
        <v>0</v>
      </c>
      <c r="BF101" s="268">
        <f t="shared" ref="BF101:BL101" si="172">IF(BF$6=$BB101,1,
IF(BE101&lt;&gt;0,BE101+1,0
))</f>
        <v>0</v>
      </c>
      <c r="BG101" s="268">
        <f t="shared" si="172"/>
        <v>0</v>
      </c>
      <c r="BH101" s="268">
        <f t="shared" si="172"/>
        <v>1</v>
      </c>
      <c r="BI101" s="268">
        <f t="shared" si="172"/>
        <v>2</v>
      </c>
      <c r="BJ101" s="268">
        <f t="shared" si="172"/>
        <v>3</v>
      </c>
      <c r="BK101" s="268">
        <f t="shared" si="172"/>
        <v>4</v>
      </c>
      <c r="BL101" s="269">
        <f t="shared" si="172"/>
        <v>5</v>
      </c>
      <c r="BM101" s="256">
        <f>IF($BC101=Lookup!$A$2,$BD101*ROUNDUP(BE101/10,0)+1,
IF($BC101=Lookup!$A$3,($BD101+1)^BD101,
IF($BC101=Lookup!$A$4,BE101*$BD101+1,"Error")))</f>
        <v>1</v>
      </c>
      <c r="BN101" s="229">
        <f>IF($BC101=Lookup!$A$2,$BD101*ROUNDUP(BF101/10,0)+1,
IF($BC101=Lookup!$A$3,($BD101+1)^BE101,
IF($BC101=Lookup!$A$4,BF101*$BD101+1,"Error")))</f>
        <v>1</v>
      </c>
      <c r="BO101" s="229">
        <f>IF($BC101=Lookup!$A$2,$BD101*ROUNDUP(BG101/10,0)+1,
IF($BC101=Lookup!$A$3,($BD101+1)^BF101,
IF($BC101=Lookup!$A$4,BG101*$BD101+1,"Error")))</f>
        <v>1</v>
      </c>
      <c r="BP101" s="229">
        <f>IF($BC101=Lookup!$A$2,$BD101*ROUNDUP(BH101/10,0)+1,
IF($BC101=Lookup!$A$3,($BD101+1)^BG101,
IF($BC101=Lookup!$A$4,BH101*$BD101+1,"Error")))</f>
        <v>0.22648388975430078</v>
      </c>
      <c r="BQ101" s="229">
        <f>IF($BC101=Lookup!$A$2,$BD101*ROUNDUP(BI101/10,0)+1,
IF($BC101=Lookup!$A$3,($BD101+1)^BH101,
IF($BC101=Lookup!$A$4,BI101*$BD101+1,"Error")))</f>
        <v>0.22648388975430078</v>
      </c>
      <c r="BR101" s="229">
        <f>IF($BC101=Lookup!$A$2,$BD101*ROUNDUP(BJ101/10,0)+1,
IF($BC101=Lookup!$A$3,($BD101+1)^BI101,
IF($BC101=Lookup!$A$4,BJ101*$BD101+1,"Error")))</f>
        <v>0.22648388975430078</v>
      </c>
      <c r="BS101" s="229">
        <f>IF($BC101=Lookup!$A$2,$BD101*ROUNDUP(BK101/10,0)+1,
IF($BC101=Lookup!$A$3,($BD101+1)^BJ101,
IF($BC101=Lookup!$A$4,BK101*$BD101+1,"Error")))</f>
        <v>0.22648388975430078</v>
      </c>
      <c r="BT101" s="249">
        <f>IF($BC101=Lookup!$A$2,$BD101*ROUNDUP(BL101/10,0)+1,
IF($BC101=Lookup!$A$3,($BD101+1)^BK101,
IF($BC101=Lookup!$A$4,BL101*$BD101+1,"Error")))</f>
        <v>0.22648388975430078</v>
      </c>
      <c r="BU101" s="320"/>
      <c r="BV101" s="321"/>
      <c r="BW101" s="321"/>
      <c r="BX101" s="321"/>
      <c r="BY101" s="321"/>
      <c r="BZ101" s="321"/>
      <c r="CA101" s="321"/>
      <c r="CB101" s="277"/>
      <c r="CC101" s="382" t="s">
        <v>293</v>
      </c>
      <c r="CD101" s="383">
        <f>HLOOKUP($CC101,$AK$6:$AM$132,ROWS(CD$6:CD101),0)</f>
        <v>20.666666666666668</v>
      </c>
      <c r="CE101" s="234">
        <f t="shared" si="142"/>
        <v>20.666666666666668</v>
      </c>
      <c r="CF101" s="96">
        <f t="shared" si="142"/>
        <v>20.666666666666668</v>
      </c>
      <c r="CG101" s="96">
        <f t="shared" si="142"/>
        <v>20.666666666666668</v>
      </c>
      <c r="CH101" s="96">
        <f t="shared" si="142"/>
        <v>4.6806670549222167</v>
      </c>
      <c r="CI101" s="96">
        <f t="shared" si="84"/>
        <v>4.6806670549222167</v>
      </c>
      <c r="CJ101" s="96">
        <f t="shared" si="84"/>
        <v>4.6806670549222167</v>
      </c>
      <c r="CK101" s="96">
        <f t="shared" si="84"/>
        <v>4.6806670549222167</v>
      </c>
      <c r="CL101" s="286">
        <f t="shared" si="84"/>
        <v>4.6806670549222167</v>
      </c>
      <c r="CM101" s="305" t="s">
        <v>293</v>
      </c>
      <c r="CN101" s="315">
        <v>0</v>
      </c>
      <c r="CO101" s="306"/>
      <c r="CP101" s="307">
        <f>IF($CO101&lt;&gt;"",$CO101,HLOOKUP($CM101,$AY$6:$BA$132,ROWS(CP$6:CP101),0))</f>
        <v>11284.328460724433</v>
      </c>
      <c r="CQ101" s="784">
        <f t="shared" si="138"/>
        <v>233209.45485497164</v>
      </c>
      <c r="CR101" s="784">
        <f t="shared" si="138"/>
        <v>233209.45485497164</v>
      </c>
      <c r="CS101" s="97">
        <f t="shared" si="138"/>
        <v>233209.45485497164</v>
      </c>
      <c r="CT101" s="97">
        <f t="shared" si="138"/>
        <v>52818.184463033984</v>
      </c>
      <c r="CU101" s="97">
        <f t="shared" si="138"/>
        <v>52818.184463033984</v>
      </c>
      <c r="CV101" s="97">
        <f t="shared" si="138"/>
        <v>52818.184463033984</v>
      </c>
      <c r="CW101" s="97">
        <f t="shared" si="138"/>
        <v>52818.184463033984</v>
      </c>
      <c r="CX101" s="98">
        <f t="shared" si="62"/>
        <v>52818.184463033984</v>
      </c>
      <c r="CY101" s="392"/>
    </row>
    <row r="102" spans="1:103" x14ac:dyDescent="0.25">
      <c r="A102" s="81" t="s">
        <v>196</v>
      </c>
      <c r="B102" s="82" t="s">
        <v>207</v>
      </c>
      <c r="C102" s="83" t="s">
        <v>208</v>
      </c>
      <c r="D102" s="84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654">
        <f>'2022-23 Input'!F102</f>
        <v>0</v>
      </c>
      <c r="N102" s="1065">
        <v>0</v>
      </c>
      <c r="O102" s="560">
        <f t="shared" si="139"/>
        <v>0</v>
      </c>
      <c r="P102" s="561">
        <f t="shared" si="113"/>
        <v>0</v>
      </c>
      <c r="Q102" s="561">
        <f t="shared" si="114"/>
        <v>0</v>
      </c>
      <c r="R102" s="561">
        <f t="shared" si="115"/>
        <v>0</v>
      </c>
      <c r="S102" s="561">
        <f t="shared" si="116"/>
        <v>0</v>
      </c>
      <c r="T102" s="561">
        <f t="shared" si="117"/>
        <v>0</v>
      </c>
      <c r="U102" s="561">
        <f t="shared" si="118"/>
        <v>0</v>
      </c>
      <c r="V102" s="561">
        <f t="shared" si="119"/>
        <v>0</v>
      </c>
      <c r="W102" s="675">
        <f t="shared" si="120"/>
        <v>0</v>
      </c>
      <c r="X102" s="675">
        <f t="shared" si="121"/>
        <v>0</v>
      </c>
      <c r="Y102" s="675">
        <f t="shared" si="121"/>
        <v>0</v>
      </c>
      <c r="Z102" s="86">
        <v>0</v>
      </c>
      <c r="AA102" s="87">
        <v>0</v>
      </c>
      <c r="AB102" s="87">
        <v>0</v>
      </c>
      <c r="AC102" s="87">
        <v>0</v>
      </c>
      <c r="AD102" s="87">
        <v>0</v>
      </c>
      <c r="AE102" s="87">
        <v>0</v>
      </c>
      <c r="AF102" s="87">
        <v>0</v>
      </c>
      <c r="AG102" s="87">
        <v>0</v>
      </c>
      <c r="AH102" s="87">
        <v>0</v>
      </c>
      <c r="AI102" s="1094">
        <f>'2022-23 Input'!M102</f>
        <v>0</v>
      </c>
      <c r="AJ102" s="665">
        <v>0</v>
      </c>
      <c r="AK102" s="88">
        <f t="shared" si="122"/>
        <v>0</v>
      </c>
      <c r="AL102" s="89">
        <f t="shared" si="123"/>
        <v>0</v>
      </c>
      <c r="AM102" s="90">
        <f t="shared" si="124"/>
        <v>0</v>
      </c>
      <c r="AN102" s="91" t="str">
        <f t="shared" si="125"/>
        <v/>
      </c>
      <c r="AO102" s="92" t="str">
        <f t="shared" si="126"/>
        <v/>
      </c>
      <c r="AP102" s="92" t="str">
        <f t="shared" si="127"/>
        <v/>
      </c>
      <c r="AQ102" s="92" t="str">
        <f t="shared" si="128"/>
        <v/>
      </c>
      <c r="AR102" s="92" t="str">
        <f t="shared" si="129"/>
        <v/>
      </c>
      <c r="AS102" s="92" t="str">
        <f t="shared" si="130"/>
        <v/>
      </c>
      <c r="AT102" s="92" t="str">
        <f t="shared" si="131"/>
        <v/>
      </c>
      <c r="AU102" s="92" t="str">
        <f t="shared" si="132"/>
        <v/>
      </c>
      <c r="AV102" s="92" t="str">
        <f t="shared" si="157"/>
        <v/>
      </c>
      <c r="AW102" s="92" t="str">
        <f t="shared" si="157"/>
        <v/>
      </c>
      <c r="AX102" s="92" t="str">
        <f t="shared" si="157"/>
        <v/>
      </c>
      <c r="AY102" s="93" t="str">
        <f t="shared" si="134"/>
        <v/>
      </c>
      <c r="AZ102" s="94" t="str">
        <f t="shared" si="135"/>
        <v/>
      </c>
      <c r="BA102" s="95" t="str">
        <f t="shared" si="136"/>
        <v/>
      </c>
      <c r="BB102" s="248" t="s">
        <v>422</v>
      </c>
      <c r="BC102" s="229" t="s">
        <v>433</v>
      </c>
      <c r="BD102" s="249">
        <v>0</v>
      </c>
      <c r="BE102" s="267">
        <f t="shared" si="140"/>
        <v>0</v>
      </c>
      <c r="BF102" s="268">
        <f t="shared" ref="BF102:BL102" si="173">IF(BF$6=$BB102,1,
IF(BE102&lt;&gt;0,BE102+1,0
))</f>
        <v>0</v>
      </c>
      <c r="BG102" s="268">
        <f t="shared" si="173"/>
        <v>0</v>
      </c>
      <c r="BH102" s="268">
        <f t="shared" si="173"/>
        <v>1</v>
      </c>
      <c r="BI102" s="268">
        <f t="shared" si="173"/>
        <v>2</v>
      </c>
      <c r="BJ102" s="268">
        <f t="shared" si="173"/>
        <v>3</v>
      </c>
      <c r="BK102" s="268">
        <f t="shared" si="173"/>
        <v>4</v>
      </c>
      <c r="BL102" s="269">
        <f t="shared" si="173"/>
        <v>5</v>
      </c>
      <c r="BM102" s="256">
        <f>IF($BC102=Lookup!$A$2,$BD102*ROUNDUP(BE102/10,0)+1,
IF($BC102=Lookup!$A$3,($BD102+1)^BD102,
IF($BC102=Lookup!$A$4,BE102*$BD102+1,"Error")))</f>
        <v>1</v>
      </c>
      <c r="BN102" s="229">
        <f>IF($BC102=Lookup!$A$2,$BD102*ROUNDUP(BF102/10,0)+1,
IF($BC102=Lookup!$A$3,($BD102+1)^BE102,
IF($BC102=Lookup!$A$4,BF102*$BD102+1,"Error")))</f>
        <v>1</v>
      </c>
      <c r="BO102" s="229">
        <f>IF($BC102=Lookup!$A$2,$BD102*ROUNDUP(BG102/10,0)+1,
IF($BC102=Lookup!$A$3,($BD102+1)^BF102,
IF($BC102=Lookup!$A$4,BG102*$BD102+1,"Error")))</f>
        <v>1</v>
      </c>
      <c r="BP102" s="229">
        <f>IF($BC102=Lookup!$A$2,$BD102*ROUNDUP(BH102/10,0)+1,
IF($BC102=Lookup!$A$3,($BD102+1)^BG102,
IF($BC102=Lookup!$A$4,BH102*$BD102+1,"Error")))</f>
        <v>1</v>
      </c>
      <c r="BQ102" s="229">
        <f>IF($BC102=Lookup!$A$2,$BD102*ROUNDUP(BI102/10,0)+1,
IF($BC102=Lookup!$A$3,($BD102+1)^BH102,
IF($BC102=Lookup!$A$4,BI102*$BD102+1,"Error")))</f>
        <v>1</v>
      </c>
      <c r="BR102" s="229">
        <f>IF($BC102=Lookup!$A$2,$BD102*ROUNDUP(BJ102/10,0)+1,
IF($BC102=Lookup!$A$3,($BD102+1)^BI102,
IF($BC102=Lookup!$A$4,BJ102*$BD102+1,"Error")))</f>
        <v>1</v>
      </c>
      <c r="BS102" s="229">
        <f>IF($BC102=Lookup!$A$2,$BD102*ROUNDUP(BK102/10,0)+1,
IF($BC102=Lookup!$A$3,($BD102+1)^BJ102,
IF($BC102=Lookup!$A$4,BK102*$BD102+1,"Error")))</f>
        <v>1</v>
      </c>
      <c r="BT102" s="249">
        <f>IF($BC102=Lookup!$A$2,$BD102*ROUNDUP(BL102/10,0)+1,
IF($BC102=Lookup!$A$3,($BD102+1)^BK102,
IF($BC102=Lookup!$A$4,BL102*$BD102+1,"Error")))</f>
        <v>1</v>
      </c>
      <c r="BU102" s="320"/>
      <c r="BV102" s="321"/>
      <c r="BW102" s="321"/>
      <c r="BX102" s="321"/>
      <c r="BY102" s="321"/>
      <c r="BZ102" s="321"/>
      <c r="CA102" s="321"/>
      <c r="CB102" s="277"/>
      <c r="CC102" s="382" t="s">
        <v>293</v>
      </c>
      <c r="CD102" s="383">
        <f>HLOOKUP($CC102,$AK$6:$AM$132,ROWS(CD$6:CD102),0)</f>
        <v>0</v>
      </c>
      <c r="CE102" s="234">
        <f t="shared" si="142"/>
        <v>0</v>
      </c>
      <c r="CF102" s="96">
        <f t="shared" si="142"/>
        <v>0</v>
      </c>
      <c r="CG102" s="96">
        <f t="shared" si="142"/>
        <v>0</v>
      </c>
      <c r="CH102" s="96">
        <f t="shared" si="142"/>
        <v>0</v>
      </c>
      <c r="CI102" s="96">
        <f t="shared" si="84"/>
        <v>0</v>
      </c>
      <c r="CJ102" s="96">
        <f t="shared" si="84"/>
        <v>0</v>
      </c>
      <c r="CK102" s="96">
        <f t="shared" si="84"/>
        <v>0</v>
      </c>
      <c r="CL102" s="286">
        <f t="shared" si="84"/>
        <v>0</v>
      </c>
      <c r="CM102" s="305" t="s">
        <v>293</v>
      </c>
      <c r="CN102" s="315">
        <v>0</v>
      </c>
      <c r="CO102" s="306"/>
      <c r="CP102" s="307" t="str">
        <f>IF($CO102&lt;&gt;"",$CO102,HLOOKUP($CM102,$AY$6:$BA$132,ROWS(CP$6:CP102),0))</f>
        <v/>
      </c>
      <c r="CQ102" s="784" t="str">
        <f t="shared" si="138"/>
        <v/>
      </c>
      <c r="CR102" s="784" t="str">
        <f t="shared" si="138"/>
        <v/>
      </c>
      <c r="CS102" s="97" t="str">
        <f t="shared" si="138"/>
        <v/>
      </c>
      <c r="CT102" s="97" t="str">
        <f t="shared" si="138"/>
        <v/>
      </c>
      <c r="CU102" s="97" t="str">
        <f t="shared" si="138"/>
        <v/>
      </c>
      <c r="CV102" s="97" t="str">
        <f t="shared" si="138"/>
        <v/>
      </c>
      <c r="CW102" s="97" t="str">
        <f t="shared" si="138"/>
        <v/>
      </c>
      <c r="CX102" s="98" t="str">
        <f t="shared" si="138"/>
        <v/>
      </c>
      <c r="CY102" s="392"/>
    </row>
    <row r="103" spans="1:103" x14ac:dyDescent="0.25">
      <c r="A103" s="81" t="s">
        <v>196</v>
      </c>
      <c r="B103" s="82" t="s">
        <v>209</v>
      </c>
      <c r="C103" s="83" t="s">
        <v>210</v>
      </c>
      <c r="D103" s="84">
        <v>0</v>
      </c>
      <c r="E103" s="85">
        <v>0</v>
      </c>
      <c r="F103" s="85">
        <v>0</v>
      </c>
      <c r="G103" s="85">
        <v>0</v>
      </c>
      <c r="H103" s="85">
        <v>0</v>
      </c>
      <c r="I103" s="85">
        <v>225716.16758704607</v>
      </c>
      <c r="J103" s="85">
        <v>0</v>
      </c>
      <c r="K103" s="85">
        <v>0</v>
      </c>
      <c r="L103" s="85">
        <v>0</v>
      </c>
      <c r="M103" s="654">
        <f>'2022-23 Input'!F103</f>
        <v>0</v>
      </c>
      <c r="N103" s="1065">
        <v>0</v>
      </c>
      <c r="O103" s="560">
        <f t="shared" si="139"/>
        <v>0</v>
      </c>
      <c r="P103" s="561">
        <f t="shared" si="113"/>
        <v>0</v>
      </c>
      <c r="Q103" s="561">
        <f t="shared" si="114"/>
        <v>0</v>
      </c>
      <c r="R103" s="561">
        <f t="shared" si="115"/>
        <v>0</v>
      </c>
      <c r="S103" s="561">
        <f t="shared" si="116"/>
        <v>0</v>
      </c>
      <c r="T103" s="561">
        <f t="shared" si="117"/>
        <v>280147.23643264786</v>
      </c>
      <c r="U103" s="561">
        <f t="shared" si="118"/>
        <v>0</v>
      </c>
      <c r="V103" s="561">
        <f t="shared" si="119"/>
        <v>0</v>
      </c>
      <c r="W103" s="675">
        <f t="shared" si="120"/>
        <v>0</v>
      </c>
      <c r="X103" s="675">
        <f t="shared" si="121"/>
        <v>0</v>
      </c>
      <c r="Y103" s="675">
        <f t="shared" si="121"/>
        <v>0</v>
      </c>
      <c r="Z103" s="86">
        <v>0</v>
      </c>
      <c r="AA103" s="87">
        <v>0</v>
      </c>
      <c r="AB103" s="87">
        <v>0</v>
      </c>
      <c r="AC103" s="87">
        <v>0</v>
      </c>
      <c r="AD103" s="87">
        <v>0</v>
      </c>
      <c r="AE103" s="87">
        <v>2</v>
      </c>
      <c r="AF103" s="87">
        <v>0</v>
      </c>
      <c r="AG103" s="87">
        <v>0</v>
      </c>
      <c r="AH103" s="87">
        <v>0</v>
      </c>
      <c r="AI103" s="1094">
        <f>'2022-23 Input'!M103</f>
        <v>0</v>
      </c>
      <c r="AJ103" s="665">
        <v>0</v>
      </c>
      <c r="AK103" s="88">
        <f t="shared" ref="AK103:AK132" si="174">IFERROR(IF($AM$4="N",SUM(AD103:AH103)/5,SUM(AE103:AI103)/5),"")</f>
        <v>0.4</v>
      </c>
      <c r="AL103" s="89">
        <f t="shared" ref="AL103:AL132" si="175">IFERROR(IF($AM$4="N",SUM(AF103:AH103)/3,SUM(AG103:AI103)/3),"")</f>
        <v>0</v>
      </c>
      <c r="AM103" s="90">
        <f t="shared" ref="AM103:AM132" si="176">IFERROR(IF($AM$4="N",AH103,AI103),"")</f>
        <v>0</v>
      </c>
      <c r="AN103" s="91" t="str">
        <f t="shared" ref="AN103:AN132" si="177">IFERROR(D103/Z103,"")</f>
        <v/>
      </c>
      <c r="AO103" s="92" t="str">
        <f t="shared" ref="AO103:AO132" si="178">IFERROR(E103/AA103,"")</f>
        <v/>
      </c>
      <c r="AP103" s="92" t="str">
        <f t="shared" ref="AP103:AP132" si="179">IFERROR(F103/AB103,"")</f>
        <v/>
      </c>
      <c r="AQ103" s="92" t="str">
        <f t="shared" ref="AQ103:AQ132" si="180">IFERROR(G103/AC103,"")</f>
        <v/>
      </c>
      <c r="AR103" s="92" t="str">
        <f t="shared" ref="AR103:AR132" si="181">IFERROR(H103/AD103,"")</f>
        <v/>
      </c>
      <c r="AS103" s="92">
        <f t="shared" ref="AS103:AS132" si="182">IFERROR(I103/AE103,"")</f>
        <v>112858.08379352304</v>
      </c>
      <c r="AT103" s="92" t="str">
        <f t="shared" ref="AT103:AT132" si="183">IFERROR(J103/AF103,"")</f>
        <v/>
      </c>
      <c r="AU103" s="92" t="str">
        <f t="shared" ref="AU103:AU132" si="184">IFERROR(K103/AG103,"")</f>
        <v/>
      </c>
      <c r="AV103" s="92" t="str">
        <f t="shared" ref="AV103:AX118" si="185">IFERROR(L103/AH103,"")</f>
        <v/>
      </c>
      <c r="AW103" s="92" t="str">
        <f t="shared" si="185"/>
        <v/>
      </c>
      <c r="AX103" s="92" t="str">
        <f t="shared" si="185"/>
        <v/>
      </c>
      <c r="AY103" s="93">
        <f t="shared" ref="AY103:AY132" si="186">IFERROR(IF($BA$3="N",
IF($BA$4="N",SUM(H103:L103)/SUM(AD103:AH103),SUM(I103:M103)/SUM(AE103:AI103)),
IF($BA$4="N",SUM(S103:W103)/SUM(AD103:AH103),SUM(T103:X103)/SUM(AE103:AI103))),"")</f>
        <v>112858.08379352304</v>
      </c>
      <c r="AZ103" s="94" t="str">
        <f t="shared" ref="AZ103:AZ132" si="187">IFERROR(IF($BA$3="N",
IF($BA$4="N",SUM(J103:L103)/SUM(AF103:AH103),SUM(K103:M103)/SUM(AG103:AI103)),
IF($BA$4="N",SUM(U103:W103)/SUM(AF103:AH103),SUM(V103:X103)/SUM(AG103:AI103))),"")</f>
        <v/>
      </c>
      <c r="BA103" s="95" t="str">
        <f t="shared" ref="BA103:BA132" si="188">IFERROR(IF($BA$3="N",
IF($BA$4="N",L103/AH103,M103/AI103),
IF($BA$4="N",W103/AH103,X103/AI103)),"")</f>
        <v/>
      </c>
      <c r="BB103" s="248" t="s">
        <v>422</v>
      </c>
      <c r="BC103" s="229" t="s">
        <v>433</v>
      </c>
      <c r="BD103" s="249">
        <v>0</v>
      </c>
      <c r="BE103" s="267">
        <f t="shared" si="140"/>
        <v>0</v>
      </c>
      <c r="BF103" s="268">
        <f t="shared" ref="BF103:BL103" si="189">IF(BF$6=$BB103,1,
IF(BE103&lt;&gt;0,BE103+1,0
))</f>
        <v>0</v>
      </c>
      <c r="BG103" s="268">
        <f t="shared" si="189"/>
        <v>0</v>
      </c>
      <c r="BH103" s="268">
        <f t="shared" si="189"/>
        <v>1</v>
      </c>
      <c r="BI103" s="268">
        <f t="shared" si="189"/>
        <v>2</v>
      </c>
      <c r="BJ103" s="268">
        <f t="shared" si="189"/>
        <v>3</v>
      </c>
      <c r="BK103" s="268">
        <f t="shared" si="189"/>
        <v>4</v>
      </c>
      <c r="BL103" s="269">
        <f t="shared" si="189"/>
        <v>5</v>
      </c>
      <c r="BM103" s="256">
        <f>IF($BC103=Lookup!$A$2,$BD103*ROUNDUP(BE103/10,0)+1,
IF($BC103=Lookup!$A$3,($BD103+1)^BD103,
IF($BC103=Lookup!$A$4,BE103*$BD103+1,"Error")))</f>
        <v>1</v>
      </c>
      <c r="BN103" s="229">
        <f>IF($BC103=Lookup!$A$2,$BD103*ROUNDUP(BF103/10,0)+1,
IF($BC103=Lookup!$A$3,($BD103+1)^BE103,
IF($BC103=Lookup!$A$4,BF103*$BD103+1,"Error")))</f>
        <v>1</v>
      </c>
      <c r="BO103" s="229">
        <f>IF($BC103=Lookup!$A$2,$BD103*ROUNDUP(BG103/10,0)+1,
IF($BC103=Lookup!$A$3,($BD103+1)^BF103,
IF($BC103=Lookup!$A$4,BG103*$BD103+1,"Error")))</f>
        <v>1</v>
      </c>
      <c r="BP103" s="229">
        <f>IF($BC103=Lookup!$A$2,$BD103*ROUNDUP(BH103/10,0)+1,
IF($BC103=Lookup!$A$3,($BD103+1)^BG103,
IF($BC103=Lookup!$A$4,BH103*$BD103+1,"Error")))</f>
        <v>1</v>
      </c>
      <c r="BQ103" s="229">
        <f>IF($BC103=Lookup!$A$2,$BD103*ROUNDUP(BI103/10,0)+1,
IF($BC103=Lookup!$A$3,($BD103+1)^BH103,
IF($BC103=Lookup!$A$4,BI103*$BD103+1,"Error")))</f>
        <v>1</v>
      </c>
      <c r="BR103" s="229">
        <f>IF($BC103=Lookup!$A$2,$BD103*ROUNDUP(BJ103/10,0)+1,
IF($BC103=Lookup!$A$3,($BD103+1)^BI103,
IF($BC103=Lookup!$A$4,BJ103*$BD103+1,"Error")))</f>
        <v>1</v>
      </c>
      <c r="BS103" s="229">
        <f>IF($BC103=Lookup!$A$2,$BD103*ROUNDUP(BK103/10,0)+1,
IF($BC103=Lookup!$A$3,($BD103+1)^BJ103,
IF($BC103=Lookup!$A$4,BK103*$BD103+1,"Error")))</f>
        <v>1</v>
      </c>
      <c r="BT103" s="249">
        <f>IF($BC103=Lookup!$A$2,$BD103*ROUNDUP(BL103/10,0)+1,
IF($BC103=Lookup!$A$3,($BD103+1)^BK103,
IF($BC103=Lookup!$A$4,BL103*$BD103+1,"Error")))</f>
        <v>1</v>
      </c>
      <c r="BU103" s="320"/>
      <c r="BV103" s="321"/>
      <c r="BW103" s="321"/>
      <c r="BX103" s="321"/>
      <c r="BY103" s="321"/>
      <c r="BZ103" s="321"/>
      <c r="CA103" s="321"/>
      <c r="CB103" s="277"/>
      <c r="CC103" s="382" t="s">
        <v>293</v>
      </c>
      <c r="CD103" s="383">
        <f>HLOOKUP($CC103,$AK$6:$AM$132,ROWS(CD$6:CD103),0)</f>
        <v>0</v>
      </c>
      <c r="CE103" s="234">
        <f t="shared" si="142"/>
        <v>0</v>
      </c>
      <c r="CF103" s="96">
        <f t="shared" si="142"/>
        <v>0</v>
      </c>
      <c r="CG103" s="96">
        <f t="shared" si="142"/>
        <v>0</v>
      </c>
      <c r="CH103" s="96">
        <f t="shared" si="142"/>
        <v>0</v>
      </c>
      <c r="CI103" s="96">
        <f t="shared" si="84"/>
        <v>0</v>
      </c>
      <c r="CJ103" s="96">
        <f t="shared" si="84"/>
        <v>0</v>
      </c>
      <c r="CK103" s="96">
        <f t="shared" si="84"/>
        <v>0</v>
      </c>
      <c r="CL103" s="286">
        <f t="shared" si="84"/>
        <v>0</v>
      </c>
      <c r="CM103" s="305" t="s">
        <v>293</v>
      </c>
      <c r="CN103" s="315">
        <v>0</v>
      </c>
      <c r="CO103" s="306"/>
      <c r="CP103" s="307" t="str">
        <f>IF($CO103&lt;&gt;"",$CO103,HLOOKUP($CM103,$AY$6:$BA$132,ROWS(CP$6:CP103),0))</f>
        <v/>
      </c>
      <c r="CQ103" s="784" t="str">
        <f t="shared" ref="CQ103:CX132" si="190">IFERROR(CE103*$CP103,"")</f>
        <v/>
      </c>
      <c r="CR103" s="784" t="str">
        <f t="shared" si="190"/>
        <v/>
      </c>
      <c r="CS103" s="97" t="str">
        <f t="shared" si="190"/>
        <v/>
      </c>
      <c r="CT103" s="97" t="str">
        <f t="shared" si="190"/>
        <v/>
      </c>
      <c r="CU103" s="97" t="str">
        <f t="shared" si="190"/>
        <v/>
      </c>
      <c r="CV103" s="97" t="str">
        <f t="shared" si="190"/>
        <v/>
      </c>
      <c r="CW103" s="97" t="str">
        <f t="shared" si="190"/>
        <v/>
      </c>
      <c r="CX103" s="98" t="str">
        <f t="shared" si="190"/>
        <v/>
      </c>
      <c r="CY103" s="392"/>
    </row>
    <row r="104" spans="1:103" x14ac:dyDescent="0.25">
      <c r="A104" s="81" t="s">
        <v>196</v>
      </c>
      <c r="B104" s="82" t="s">
        <v>211</v>
      </c>
      <c r="C104" s="83" t="s">
        <v>212</v>
      </c>
      <c r="D104" s="84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654">
        <f>'2022-23 Input'!F104</f>
        <v>0</v>
      </c>
      <c r="N104" s="1065">
        <v>0</v>
      </c>
      <c r="O104" s="560">
        <f t="shared" si="139"/>
        <v>0</v>
      </c>
      <c r="P104" s="561">
        <f t="shared" si="113"/>
        <v>0</v>
      </c>
      <c r="Q104" s="561">
        <f t="shared" si="114"/>
        <v>0</v>
      </c>
      <c r="R104" s="561">
        <f t="shared" si="115"/>
        <v>0</v>
      </c>
      <c r="S104" s="561">
        <f t="shared" si="116"/>
        <v>0</v>
      </c>
      <c r="T104" s="561">
        <f t="shared" si="117"/>
        <v>0</v>
      </c>
      <c r="U104" s="561">
        <f t="shared" si="118"/>
        <v>0</v>
      </c>
      <c r="V104" s="561">
        <f t="shared" si="119"/>
        <v>0</v>
      </c>
      <c r="W104" s="675">
        <f t="shared" si="120"/>
        <v>0</v>
      </c>
      <c r="X104" s="675">
        <f t="shared" si="121"/>
        <v>0</v>
      </c>
      <c r="Y104" s="675">
        <f t="shared" si="121"/>
        <v>0</v>
      </c>
      <c r="Z104" s="86">
        <v>0</v>
      </c>
      <c r="AA104" s="87">
        <v>0</v>
      </c>
      <c r="AB104" s="87">
        <v>0</v>
      </c>
      <c r="AC104" s="87">
        <v>0</v>
      </c>
      <c r="AD104" s="87">
        <v>0</v>
      </c>
      <c r="AE104" s="87">
        <v>0</v>
      </c>
      <c r="AF104" s="87">
        <v>0</v>
      </c>
      <c r="AG104" s="87">
        <v>0</v>
      </c>
      <c r="AH104" s="87">
        <v>0</v>
      </c>
      <c r="AI104" s="1094">
        <f>'2022-23 Input'!M104</f>
        <v>0</v>
      </c>
      <c r="AJ104" s="665">
        <v>0</v>
      </c>
      <c r="AK104" s="88">
        <f t="shared" si="174"/>
        <v>0</v>
      </c>
      <c r="AL104" s="89">
        <f t="shared" si="175"/>
        <v>0</v>
      </c>
      <c r="AM104" s="90">
        <f t="shared" si="176"/>
        <v>0</v>
      </c>
      <c r="AN104" s="91" t="str">
        <f t="shared" si="177"/>
        <v/>
      </c>
      <c r="AO104" s="92" t="str">
        <f t="shared" si="178"/>
        <v/>
      </c>
      <c r="AP104" s="92" t="str">
        <f t="shared" si="179"/>
        <v/>
      </c>
      <c r="AQ104" s="92" t="str">
        <f t="shared" si="180"/>
        <v/>
      </c>
      <c r="AR104" s="92" t="str">
        <f t="shared" si="181"/>
        <v/>
      </c>
      <c r="AS104" s="92" t="str">
        <f t="shared" si="182"/>
        <v/>
      </c>
      <c r="AT104" s="92" t="str">
        <f t="shared" si="183"/>
        <v/>
      </c>
      <c r="AU104" s="92" t="str">
        <f t="shared" si="184"/>
        <v/>
      </c>
      <c r="AV104" s="92" t="str">
        <f t="shared" si="185"/>
        <v/>
      </c>
      <c r="AW104" s="92" t="str">
        <f t="shared" si="185"/>
        <v/>
      </c>
      <c r="AX104" s="92" t="str">
        <f t="shared" si="185"/>
        <v/>
      </c>
      <c r="AY104" s="93" t="str">
        <f t="shared" si="186"/>
        <v/>
      </c>
      <c r="AZ104" s="94" t="str">
        <f t="shared" si="187"/>
        <v/>
      </c>
      <c r="BA104" s="95" t="str">
        <f t="shared" si="188"/>
        <v/>
      </c>
      <c r="BB104" s="248" t="s">
        <v>422</v>
      </c>
      <c r="BC104" s="229" t="s">
        <v>433</v>
      </c>
      <c r="BD104" s="249">
        <v>0</v>
      </c>
      <c r="BE104" s="267">
        <f t="shared" si="140"/>
        <v>0</v>
      </c>
      <c r="BF104" s="268">
        <f t="shared" ref="BF104:BL104" si="191">IF(BF$6=$BB104,1,
IF(BE104&lt;&gt;0,BE104+1,0
))</f>
        <v>0</v>
      </c>
      <c r="BG104" s="268">
        <f t="shared" si="191"/>
        <v>0</v>
      </c>
      <c r="BH104" s="268">
        <f t="shared" si="191"/>
        <v>1</v>
      </c>
      <c r="BI104" s="268">
        <f t="shared" si="191"/>
        <v>2</v>
      </c>
      <c r="BJ104" s="268">
        <f t="shared" si="191"/>
        <v>3</v>
      </c>
      <c r="BK104" s="268">
        <f t="shared" si="191"/>
        <v>4</v>
      </c>
      <c r="BL104" s="269">
        <f t="shared" si="191"/>
        <v>5</v>
      </c>
      <c r="BM104" s="256">
        <f>IF($BC104=Lookup!$A$2,$BD104*ROUNDUP(BE104/10,0)+1,
IF($BC104=Lookup!$A$3,($BD104+1)^BD104,
IF($BC104=Lookup!$A$4,BE104*$BD104+1,"Error")))</f>
        <v>1</v>
      </c>
      <c r="BN104" s="229">
        <f>IF($BC104=Lookup!$A$2,$BD104*ROUNDUP(BF104/10,0)+1,
IF($BC104=Lookup!$A$3,($BD104+1)^BE104,
IF($BC104=Lookup!$A$4,BF104*$BD104+1,"Error")))</f>
        <v>1</v>
      </c>
      <c r="BO104" s="229">
        <f>IF($BC104=Lookup!$A$2,$BD104*ROUNDUP(BG104/10,0)+1,
IF($BC104=Lookup!$A$3,($BD104+1)^BF104,
IF($BC104=Lookup!$A$4,BG104*$BD104+1,"Error")))</f>
        <v>1</v>
      </c>
      <c r="BP104" s="229">
        <f>IF($BC104=Lookup!$A$2,$BD104*ROUNDUP(BH104/10,0)+1,
IF($BC104=Lookup!$A$3,($BD104+1)^BG104,
IF($BC104=Lookup!$A$4,BH104*$BD104+1,"Error")))</f>
        <v>1</v>
      </c>
      <c r="BQ104" s="229">
        <f>IF($BC104=Lookup!$A$2,$BD104*ROUNDUP(BI104/10,0)+1,
IF($BC104=Lookup!$A$3,($BD104+1)^BH104,
IF($BC104=Lookup!$A$4,BI104*$BD104+1,"Error")))</f>
        <v>1</v>
      </c>
      <c r="BR104" s="229">
        <f>IF($BC104=Lookup!$A$2,$BD104*ROUNDUP(BJ104/10,0)+1,
IF($BC104=Lookup!$A$3,($BD104+1)^BI104,
IF($BC104=Lookup!$A$4,BJ104*$BD104+1,"Error")))</f>
        <v>1</v>
      </c>
      <c r="BS104" s="229">
        <f>IF($BC104=Lookup!$A$2,$BD104*ROUNDUP(BK104/10,0)+1,
IF($BC104=Lookup!$A$3,($BD104+1)^BJ104,
IF($BC104=Lookup!$A$4,BK104*$BD104+1,"Error")))</f>
        <v>1</v>
      </c>
      <c r="BT104" s="249">
        <f>IF($BC104=Lookup!$A$2,$BD104*ROUNDUP(BL104/10,0)+1,
IF($BC104=Lookup!$A$3,($BD104+1)^BK104,
IF($BC104=Lookup!$A$4,BL104*$BD104+1,"Error")))</f>
        <v>1</v>
      </c>
      <c r="BU104" s="320"/>
      <c r="BV104" s="321"/>
      <c r="BW104" s="321"/>
      <c r="BX104" s="321"/>
      <c r="BY104" s="321"/>
      <c r="BZ104" s="321"/>
      <c r="CA104" s="321"/>
      <c r="CB104" s="277"/>
      <c r="CC104" s="382" t="s">
        <v>293</v>
      </c>
      <c r="CD104" s="383">
        <f>HLOOKUP($CC104,$AK$6:$AM$132,ROWS(CD$6:CD104),0)</f>
        <v>0</v>
      </c>
      <c r="CE104" s="234">
        <f t="shared" si="142"/>
        <v>0</v>
      </c>
      <c r="CF104" s="96">
        <f t="shared" si="142"/>
        <v>0</v>
      </c>
      <c r="CG104" s="96">
        <f t="shared" si="142"/>
        <v>0</v>
      </c>
      <c r="CH104" s="96">
        <f t="shared" si="142"/>
        <v>0</v>
      </c>
      <c r="CI104" s="96">
        <f t="shared" si="84"/>
        <v>0</v>
      </c>
      <c r="CJ104" s="96">
        <f t="shared" si="84"/>
        <v>0</v>
      </c>
      <c r="CK104" s="96">
        <f t="shared" si="84"/>
        <v>0</v>
      </c>
      <c r="CL104" s="286">
        <f t="shared" si="84"/>
        <v>0</v>
      </c>
      <c r="CM104" s="305" t="s">
        <v>293</v>
      </c>
      <c r="CN104" s="315">
        <v>0</v>
      </c>
      <c r="CO104" s="306"/>
      <c r="CP104" s="307" t="str">
        <f>IF($CO104&lt;&gt;"",$CO104,HLOOKUP($CM104,$AY$6:$BA$132,ROWS(CP$6:CP104),0))</f>
        <v/>
      </c>
      <c r="CQ104" s="784" t="str">
        <f t="shared" si="190"/>
        <v/>
      </c>
      <c r="CR104" s="784" t="str">
        <f t="shared" si="190"/>
        <v/>
      </c>
      <c r="CS104" s="97" t="str">
        <f t="shared" si="190"/>
        <v/>
      </c>
      <c r="CT104" s="97" t="str">
        <f t="shared" si="190"/>
        <v/>
      </c>
      <c r="CU104" s="97" t="str">
        <f t="shared" si="190"/>
        <v/>
      </c>
      <c r="CV104" s="97" t="str">
        <f t="shared" si="190"/>
        <v/>
      </c>
      <c r="CW104" s="97" t="str">
        <f t="shared" si="190"/>
        <v/>
      </c>
      <c r="CX104" s="98" t="str">
        <f t="shared" si="190"/>
        <v/>
      </c>
      <c r="CY104" s="392"/>
    </row>
    <row r="105" spans="1:103" x14ac:dyDescent="0.25">
      <c r="A105" s="81" t="s">
        <v>196</v>
      </c>
      <c r="B105" s="82" t="s">
        <v>213</v>
      </c>
      <c r="C105" s="83" t="s">
        <v>214</v>
      </c>
      <c r="D105" s="84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654">
        <f>'2022-23 Input'!F105</f>
        <v>0</v>
      </c>
      <c r="N105" s="1065">
        <v>0</v>
      </c>
      <c r="O105" s="560">
        <f t="shared" si="139"/>
        <v>0</v>
      </c>
      <c r="P105" s="561">
        <f t="shared" si="113"/>
        <v>0</v>
      </c>
      <c r="Q105" s="561">
        <f t="shared" si="114"/>
        <v>0</v>
      </c>
      <c r="R105" s="561">
        <f t="shared" si="115"/>
        <v>0</v>
      </c>
      <c r="S105" s="561">
        <f t="shared" si="116"/>
        <v>0</v>
      </c>
      <c r="T105" s="561">
        <f t="shared" si="117"/>
        <v>0</v>
      </c>
      <c r="U105" s="561">
        <f t="shared" si="118"/>
        <v>0</v>
      </c>
      <c r="V105" s="561">
        <f t="shared" si="119"/>
        <v>0</v>
      </c>
      <c r="W105" s="675">
        <f t="shared" si="120"/>
        <v>0</v>
      </c>
      <c r="X105" s="675">
        <f t="shared" si="121"/>
        <v>0</v>
      </c>
      <c r="Y105" s="675">
        <f t="shared" si="121"/>
        <v>0</v>
      </c>
      <c r="Z105" s="86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87">
        <v>0</v>
      </c>
      <c r="AI105" s="1094">
        <f>'2022-23 Input'!M105</f>
        <v>0</v>
      </c>
      <c r="AJ105" s="665">
        <v>0</v>
      </c>
      <c r="AK105" s="88">
        <f t="shared" si="174"/>
        <v>0</v>
      </c>
      <c r="AL105" s="89">
        <f t="shared" si="175"/>
        <v>0</v>
      </c>
      <c r="AM105" s="90">
        <f t="shared" si="176"/>
        <v>0</v>
      </c>
      <c r="AN105" s="91" t="str">
        <f t="shared" si="177"/>
        <v/>
      </c>
      <c r="AO105" s="92" t="str">
        <f t="shared" si="178"/>
        <v/>
      </c>
      <c r="AP105" s="92" t="str">
        <f t="shared" si="179"/>
        <v/>
      </c>
      <c r="AQ105" s="92" t="str">
        <f t="shared" si="180"/>
        <v/>
      </c>
      <c r="AR105" s="92" t="str">
        <f t="shared" si="181"/>
        <v/>
      </c>
      <c r="AS105" s="92" t="str">
        <f t="shared" si="182"/>
        <v/>
      </c>
      <c r="AT105" s="92" t="str">
        <f t="shared" si="183"/>
        <v/>
      </c>
      <c r="AU105" s="92" t="str">
        <f t="shared" si="184"/>
        <v/>
      </c>
      <c r="AV105" s="92" t="str">
        <f t="shared" si="185"/>
        <v/>
      </c>
      <c r="AW105" s="92" t="str">
        <f t="shared" si="185"/>
        <v/>
      </c>
      <c r="AX105" s="92" t="str">
        <f t="shared" si="185"/>
        <v/>
      </c>
      <c r="AY105" s="93" t="str">
        <f t="shared" si="186"/>
        <v/>
      </c>
      <c r="AZ105" s="94" t="str">
        <f t="shared" si="187"/>
        <v/>
      </c>
      <c r="BA105" s="95" t="str">
        <f t="shared" si="188"/>
        <v/>
      </c>
      <c r="BB105" s="248" t="s">
        <v>422</v>
      </c>
      <c r="BC105" s="229" t="s">
        <v>433</v>
      </c>
      <c r="BD105" s="249">
        <v>0</v>
      </c>
      <c r="BE105" s="267">
        <f t="shared" si="140"/>
        <v>0</v>
      </c>
      <c r="BF105" s="268">
        <f t="shared" ref="BF105:BL105" si="192">IF(BF$6=$BB105,1,
IF(BE105&lt;&gt;0,BE105+1,0
))</f>
        <v>0</v>
      </c>
      <c r="BG105" s="268">
        <f t="shared" si="192"/>
        <v>0</v>
      </c>
      <c r="BH105" s="268">
        <f t="shared" si="192"/>
        <v>1</v>
      </c>
      <c r="BI105" s="268">
        <f t="shared" si="192"/>
        <v>2</v>
      </c>
      <c r="BJ105" s="268">
        <f t="shared" si="192"/>
        <v>3</v>
      </c>
      <c r="BK105" s="268">
        <f t="shared" si="192"/>
        <v>4</v>
      </c>
      <c r="BL105" s="269">
        <f t="shared" si="192"/>
        <v>5</v>
      </c>
      <c r="BM105" s="256">
        <f>IF($BC105=Lookup!$A$2,$BD105*ROUNDUP(BE105/10,0)+1,
IF($BC105=Lookup!$A$3,($BD105+1)^BD105,
IF($BC105=Lookup!$A$4,BE105*$BD105+1,"Error")))</f>
        <v>1</v>
      </c>
      <c r="BN105" s="229">
        <f>IF($BC105=Lookup!$A$2,$BD105*ROUNDUP(BF105/10,0)+1,
IF($BC105=Lookup!$A$3,($BD105+1)^BE105,
IF($BC105=Lookup!$A$4,BF105*$BD105+1,"Error")))</f>
        <v>1</v>
      </c>
      <c r="BO105" s="229">
        <f>IF($BC105=Lookup!$A$2,$BD105*ROUNDUP(BG105/10,0)+1,
IF($BC105=Lookup!$A$3,($BD105+1)^BF105,
IF($BC105=Lookup!$A$4,BG105*$BD105+1,"Error")))</f>
        <v>1</v>
      </c>
      <c r="BP105" s="229">
        <f>IF($BC105=Lookup!$A$2,$BD105*ROUNDUP(BH105/10,0)+1,
IF($BC105=Lookup!$A$3,($BD105+1)^BG105,
IF($BC105=Lookup!$A$4,BH105*$BD105+1,"Error")))</f>
        <v>1</v>
      </c>
      <c r="BQ105" s="229">
        <f>IF($BC105=Lookup!$A$2,$BD105*ROUNDUP(BI105/10,0)+1,
IF($BC105=Lookup!$A$3,($BD105+1)^BH105,
IF($BC105=Lookup!$A$4,BI105*$BD105+1,"Error")))</f>
        <v>1</v>
      </c>
      <c r="BR105" s="229">
        <f>IF($BC105=Lookup!$A$2,$BD105*ROUNDUP(BJ105/10,0)+1,
IF($BC105=Lookup!$A$3,($BD105+1)^BI105,
IF($BC105=Lookup!$A$4,BJ105*$BD105+1,"Error")))</f>
        <v>1</v>
      </c>
      <c r="BS105" s="229">
        <f>IF($BC105=Lookup!$A$2,$BD105*ROUNDUP(BK105/10,0)+1,
IF($BC105=Lookup!$A$3,($BD105+1)^BJ105,
IF($BC105=Lookup!$A$4,BK105*$BD105+1,"Error")))</f>
        <v>1</v>
      </c>
      <c r="BT105" s="249">
        <f>IF($BC105=Lookup!$A$2,$BD105*ROUNDUP(BL105/10,0)+1,
IF($BC105=Lookup!$A$3,($BD105+1)^BK105,
IF($BC105=Lookup!$A$4,BL105*$BD105+1,"Error")))</f>
        <v>1</v>
      </c>
      <c r="BU105" s="320"/>
      <c r="BV105" s="321"/>
      <c r="BW105" s="321"/>
      <c r="BX105" s="321"/>
      <c r="BY105" s="321"/>
      <c r="BZ105" s="321"/>
      <c r="CA105" s="321"/>
      <c r="CB105" s="277"/>
      <c r="CC105" s="382" t="s">
        <v>293</v>
      </c>
      <c r="CD105" s="383">
        <f>HLOOKUP($CC105,$AK$6:$AM$132,ROWS(CD$6:CD105),0)</f>
        <v>0</v>
      </c>
      <c r="CE105" s="234">
        <f t="shared" si="142"/>
        <v>0</v>
      </c>
      <c r="CF105" s="96">
        <f t="shared" si="142"/>
        <v>0</v>
      </c>
      <c r="CG105" s="96">
        <f t="shared" si="142"/>
        <v>0</v>
      </c>
      <c r="CH105" s="96">
        <f t="shared" si="142"/>
        <v>0</v>
      </c>
      <c r="CI105" s="96">
        <f t="shared" si="84"/>
        <v>0</v>
      </c>
      <c r="CJ105" s="96">
        <f t="shared" si="84"/>
        <v>0</v>
      </c>
      <c r="CK105" s="96">
        <f t="shared" si="84"/>
        <v>0</v>
      </c>
      <c r="CL105" s="286">
        <f t="shared" si="84"/>
        <v>0</v>
      </c>
      <c r="CM105" s="305" t="s">
        <v>293</v>
      </c>
      <c r="CN105" s="315">
        <v>0</v>
      </c>
      <c r="CO105" s="306"/>
      <c r="CP105" s="307" t="str">
        <f>IF($CO105&lt;&gt;"",$CO105,HLOOKUP($CM105,$AY$6:$BA$132,ROWS(CP$6:CP105),0))</f>
        <v/>
      </c>
      <c r="CQ105" s="784" t="str">
        <f t="shared" si="190"/>
        <v/>
      </c>
      <c r="CR105" s="784" t="str">
        <f t="shared" si="190"/>
        <v/>
      </c>
      <c r="CS105" s="97" t="str">
        <f t="shared" si="190"/>
        <v/>
      </c>
      <c r="CT105" s="97" t="str">
        <f t="shared" si="190"/>
        <v/>
      </c>
      <c r="CU105" s="97" t="str">
        <f t="shared" si="190"/>
        <v/>
      </c>
      <c r="CV105" s="97" t="str">
        <f t="shared" si="190"/>
        <v/>
      </c>
      <c r="CW105" s="97" t="str">
        <f t="shared" si="190"/>
        <v/>
      </c>
      <c r="CX105" s="98" t="str">
        <f t="shared" si="190"/>
        <v/>
      </c>
      <c r="CY105" s="392"/>
    </row>
    <row r="106" spans="1:103" x14ac:dyDescent="0.25">
      <c r="A106" s="81" t="s">
        <v>196</v>
      </c>
      <c r="B106" s="82" t="s">
        <v>215</v>
      </c>
      <c r="C106" s="83" t="s">
        <v>392</v>
      </c>
      <c r="D106" s="84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654">
        <f>'2022-23 Input'!F106</f>
        <v>0</v>
      </c>
      <c r="N106" s="1065">
        <v>0</v>
      </c>
      <c r="O106" s="560">
        <f t="shared" si="139"/>
        <v>0</v>
      </c>
      <c r="P106" s="561">
        <f t="shared" si="113"/>
        <v>0</v>
      </c>
      <c r="Q106" s="561">
        <f t="shared" si="114"/>
        <v>0</v>
      </c>
      <c r="R106" s="561">
        <f t="shared" si="115"/>
        <v>0</v>
      </c>
      <c r="S106" s="561">
        <f t="shared" si="116"/>
        <v>0</v>
      </c>
      <c r="T106" s="561">
        <f t="shared" si="117"/>
        <v>0</v>
      </c>
      <c r="U106" s="561">
        <f t="shared" si="118"/>
        <v>0</v>
      </c>
      <c r="V106" s="561">
        <f t="shared" si="119"/>
        <v>0</v>
      </c>
      <c r="W106" s="675">
        <f t="shared" si="120"/>
        <v>0</v>
      </c>
      <c r="X106" s="675">
        <f t="shared" si="121"/>
        <v>0</v>
      </c>
      <c r="Y106" s="675">
        <f t="shared" si="121"/>
        <v>0</v>
      </c>
      <c r="Z106" s="86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87">
        <v>0</v>
      </c>
      <c r="AI106" s="1094">
        <f>'2022-23 Input'!M106</f>
        <v>0</v>
      </c>
      <c r="AJ106" s="665">
        <v>0</v>
      </c>
      <c r="AK106" s="88">
        <f t="shared" si="174"/>
        <v>0</v>
      </c>
      <c r="AL106" s="89">
        <f t="shared" si="175"/>
        <v>0</v>
      </c>
      <c r="AM106" s="90">
        <f t="shared" si="176"/>
        <v>0</v>
      </c>
      <c r="AN106" s="91" t="str">
        <f t="shared" si="177"/>
        <v/>
      </c>
      <c r="AO106" s="92" t="str">
        <f t="shared" si="178"/>
        <v/>
      </c>
      <c r="AP106" s="92" t="str">
        <f t="shared" si="179"/>
        <v/>
      </c>
      <c r="AQ106" s="92" t="str">
        <f t="shared" si="180"/>
        <v/>
      </c>
      <c r="AR106" s="92" t="str">
        <f t="shared" si="181"/>
        <v/>
      </c>
      <c r="AS106" s="92" t="str">
        <f t="shared" si="182"/>
        <v/>
      </c>
      <c r="AT106" s="92" t="str">
        <f t="shared" si="183"/>
        <v/>
      </c>
      <c r="AU106" s="92" t="str">
        <f t="shared" si="184"/>
        <v/>
      </c>
      <c r="AV106" s="92" t="str">
        <f t="shared" si="185"/>
        <v/>
      </c>
      <c r="AW106" s="92" t="str">
        <f t="shared" si="185"/>
        <v/>
      </c>
      <c r="AX106" s="92" t="str">
        <f t="shared" si="185"/>
        <v/>
      </c>
      <c r="AY106" s="93" t="str">
        <f t="shared" si="186"/>
        <v/>
      </c>
      <c r="AZ106" s="94" t="str">
        <f t="shared" si="187"/>
        <v/>
      </c>
      <c r="BA106" s="95" t="str">
        <f t="shared" si="188"/>
        <v/>
      </c>
      <c r="BB106" s="248" t="s">
        <v>422</v>
      </c>
      <c r="BC106" s="229" t="s">
        <v>433</v>
      </c>
      <c r="BD106" s="249">
        <v>0</v>
      </c>
      <c r="BE106" s="267">
        <f t="shared" si="140"/>
        <v>0</v>
      </c>
      <c r="BF106" s="268">
        <f t="shared" ref="BF106:BL106" si="193">IF(BF$6=$BB106,1,
IF(BE106&lt;&gt;0,BE106+1,0
))</f>
        <v>0</v>
      </c>
      <c r="BG106" s="268">
        <f t="shared" si="193"/>
        <v>0</v>
      </c>
      <c r="BH106" s="268">
        <f t="shared" si="193"/>
        <v>1</v>
      </c>
      <c r="BI106" s="268">
        <f t="shared" si="193"/>
        <v>2</v>
      </c>
      <c r="BJ106" s="268">
        <f t="shared" si="193"/>
        <v>3</v>
      </c>
      <c r="BK106" s="268">
        <f t="shared" si="193"/>
        <v>4</v>
      </c>
      <c r="BL106" s="269">
        <f t="shared" si="193"/>
        <v>5</v>
      </c>
      <c r="BM106" s="256">
        <f>IF($BC106=Lookup!$A$2,$BD106*ROUNDUP(BE106/10,0)+1,
IF($BC106=Lookup!$A$3,($BD106+1)^BD106,
IF($BC106=Lookup!$A$4,BE106*$BD106+1,"Error")))</f>
        <v>1</v>
      </c>
      <c r="BN106" s="229">
        <f>IF($BC106=Lookup!$A$2,$BD106*ROUNDUP(BF106/10,0)+1,
IF($BC106=Lookup!$A$3,($BD106+1)^BE106,
IF($BC106=Lookup!$A$4,BF106*$BD106+1,"Error")))</f>
        <v>1</v>
      </c>
      <c r="BO106" s="229">
        <f>IF($BC106=Lookup!$A$2,$BD106*ROUNDUP(BG106/10,0)+1,
IF($BC106=Lookup!$A$3,($BD106+1)^BF106,
IF($BC106=Lookup!$A$4,BG106*$BD106+1,"Error")))</f>
        <v>1</v>
      </c>
      <c r="BP106" s="229">
        <f>IF($BC106=Lookup!$A$2,$BD106*ROUNDUP(BH106/10,0)+1,
IF($BC106=Lookup!$A$3,($BD106+1)^BG106,
IF($BC106=Lookup!$A$4,BH106*$BD106+1,"Error")))</f>
        <v>1</v>
      </c>
      <c r="BQ106" s="229">
        <f>IF($BC106=Lookup!$A$2,$BD106*ROUNDUP(BI106/10,0)+1,
IF($BC106=Lookup!$A$3,($BD106+1)^BH106,
IF($BC106=Lookup!$A$4,BI106*$BD106+1,"Error")))</f>
        <v>1</v>
      </c>
      <c r="BR106" s="229">
        <f>IF($BC106=Lookup!$A$2,$BD106*ROUNDUP(BJ106/10,0)+1,
IF($BC106=Lookup!$A$3,($BD106+1)^BI106,
IF($BC106=Lookup!$A$4,BJ106*$BD106+1,"Error")))</f>
        <v>1</v>
      </c>
      <c r="BS106" s="229">
        <f>IF($BC106=Lookup!$A$2,$BD106*ROUNDUP(BK106/10,0)+1,
IF($BC106=Lookup!$A$3,($BD106+1)^BJ106,
IF($BC106=Lookup!$A$4,BK106*$BD106+1,"Error")))</f>
        <v>1</v>
      </c>
      <c r="BT106" s="249">
        <f>IF($BC106=Lookup!$A$2,$BD106*ROUNDUP(BL106/10,0)+1,
IF($BC106=Lookup!$A$3,($BD106+1)^BK106,
IF($BC106=Lookup!$A$4,BL106*$BD106+1,"Error")))</f>
        <v>1</v>
      </c>
      <c r="BU106" s="320"/>
      <c r="BV106" s="321"/>
      <c r="BW106" s="321"/>
      <c r="BX106" s="321"/>
      <c r="BY106" s="321"/>
      <c r="BZ106" s="321"/>
      <c r="CA106" s="321"/>
      <c r="CB106" s="277"/>
      <c r="CC106" s="382" t="s">
        <v>293</v>
      </c>
      <c r="CD106" s="383">
        <f>HLOOKUP($CC106,$AK$6:$AM$132,ROWS(CD$6:CD106),0)</f>
        <v>0</v>
      </c>
      <c r="CE106" s="234">
        <f t="shared" si="142"/>
        <v>0</v>
      </c>
      <c r="CF106" s="96">
        <f t="shared" si="142"/>
        <v>0</v>
      </c>
      <c r="CG106" s="96">
        <f t="shared" si="142"/>
        <v>0</v>
      </c>
      <c r="CH106" s="96">
        <f t="shared" si="142"/>
        <v>0</v>
      </c>
      <c r="CI106" s="96">
        <f t="shared" si="84"/>
        <v>0</v>
      </c>
      <c r="CJ106" s="96">
        <f t="shared" si="84"/>
        <v>0</v>
      </c>
      <c r="CK106" s="96">
        <f t="shared" si="84"/>
        <v>0</v>
      </c>
      <c r="CL106" s="286">
        <f t="shared" ref="CL106:CL132" si="194">IFERROR(IF(CB106&lt;&gt;"",CB106,BT106*$CD106),"")</f>
        <v>0</v>
      </c>
      <c r="CM106" s="305" t="s">
        <v>293</v>
      </c>
      <c r="CN106" s="315">
        <v>0</v>
      </c>
      <c r="CO106" s="306"/>
      <c r="CP106" s="307" t="str">
        <f>IF($CO106&lt;&gt;"",$CO106,HLOOKUP($CM106,$AY$6:$BA$132,ROWS(CP$6:CP106),0))</f>
        <v/>
      </c>
      <c r="CQ106" s="784" t="str">
        <f t="shared" si="190"/>
        <v/>
      </c>
      <c r="CR106" s="784" t="str">
        <f t="shared" si="190"/>
        <v/>
      </c>
      <c r="CS106" s="97" t="str">
        <f t="shared" si="190"/>
        <v/>
      </c>
      <c r="CT106" s="97" t="str">
        <f t="shared" si="190"/>
        <v/>
      </c>
      <c r="CU106" s="97" t="str">
        <f t="shared" si="190"/>
        <v/>
      </c>
      <c r="CV106" s="97" t="str">
        <f t="shared" si="190"/>
        <v/>
      </c>
      <c r="CW106" s="97" t="str">
        <f t="shared" si="190"/>
        <v/>
      </c>
      <c r="CX106" s="98" t="str">
        <f t="shared" si="190"/>
        <v/>
      </c>
      <c r="CY106" s="392"/>
    </row>
    <row r="107" spans="1:103" x14ac:dyDescent="0.25">
      <c r="A107" s="81" t="s">
        <v>196</v>
      </c>
      <c r="B107" s="82" t="s">
        <v>217</v>
      </c>
      <c r="C107" s="83" t="s">
        <v>218</v>
      </c>
      <c r="D107" s="84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654">
        <f>'2022-23 Input'!F107</f>
        <v>0</v>
      </c>
      <c r="N107" s="1065">
        <v>0</v>
      </c>
      <c r="O107" s="560">
        <f t="shared" si="139"/>
        <v>0</v>
      </c>
      <c r="P107" s="561">
        <f t="shared" si="113"/>
        <v>0</v>
      </c>
      <c r="Q107" s="561">
        <f t="shared" si="114"/>
        <v>0</v>
      </c>
      <c r="R107" s="561">
        <f t="shared" si="115"/>
        <v>0</v>
      </c>
      <c r="S107" s="561">
        <f t="shared" si="116"/>
        <v>0</v>
      </c>
      <c r="T107" s="561">
        <f t="shared" si="117"/>
        <v>0</v>
      </c>
      <c r="U107" s="561">
        <f t="shared" si="118"/>
        <v>0</v>
      </c>
      <c r="V107" s="561">
        <f t="shared" si="119"/>
        <v>0</v>
      </c>
      <c r="W107" s="675">
        <f t="shared" si="120"/>
        <v>0</v>
      </c>
      <c r="X107" s="675">
        <f t="shared" si="121"/>
        <v>0</v>
      </c>
      <c r="Y107" s="675">
        <f t="shared" si="121"/>
        <v>0</v>
      </c>
      <c r="Z107" s="86">
        <v>0</v>
      </c>
      <c r="AA107" s="87">
        <v>0</v>
      </c>
      <c r="AB107" s="87">
        <v>0</v>
      </c>
      <c r="AC107" s="87">
        <v>0</v>
      </c>
      <c r="AD107" s="87">
        <v>0</v>
      </c>
      <c r="AE107" s="87">
        <v>0</v>
      </c>
      <c r="AF107" s="87">
        <v>0</v>
      </c>
      <c r="AG107" s="87">
        <v>0</v>
      </c>
      <c r="AH107" s="87">
        <v>0</v>
      </c>
      <c r="AI107" s="1094">
        <f>'2022-23 Input'!M107</f>
        <v>0</v>
      </c>
      <c r="AJ107" s="665">
        <v>0</v>
      </c>
      <c r="AK107" s="88">
        <f t="shared" si="174"/>
        <v>0</v>
      </c>
      <c r="AL107" s="89">
        <f t="shared" si="175"/>
        <v>0</v>
      </c>
      <c r="AM107" s="90">
        <f t="shared" si="176"/>
        <v>0</v>
      </c>
      <c r="AN107" s="91" t="str">
        <f t="shared" si="177"/>
        <v/>
      </c>
      <c r="AO107" s="92" t="str">
        <f t="shared" si="178"/>
        <v/>
      </c>
      <c r="AP107" s="92" t="str">
        <f t="shared" si="179"/>
        <v/>
      </c>
      <c r="AQ107" s="92" t="str">
        <f t="shared" si="180"/>
        <v/>
      </c>
      <c r="AR107" s="92" t="str">
        <f t="shared" si="181"/>
        <v/>
      </c>
      <c r="AS107" s="92" t="str">
        <f t="shared" si="182"/>
        <v/>
      </c>
      <c r="AT107" s="92" t="str">
        <f t="shared" si="183"/>
        <v/>
      </c>
      <c r="AU107" s="92" t="str">
        <f t="shared" si="184"/>
        <v/>
      </c>
      <c r="AV107" s="92" t="str">
        <f t="shared" si="185"/>
        <v/>
      </c>
      <c r="AW107" s="92" t="str">
        <f t="shared" si="185"/>
        <v/>
      </c>
      <c r="AX107" s="92" t="str">
        <f t="shared" si="185"/>
        <v/>
      </c>
      <c r="AY107" s="93" t="str">
        <f t="shared" si="186"/>
        <v/>
      </c>
      <c r="AZ107" s="94" t="str">
        <f t="shared" si="187"/>
        <v/>
      </c>
      <c r="BA107" s="95" t="str">
        <f t="shared" si="188"/>
        <v/>
      </c>
      <c r="BB107" s="248" t="s">
        <v>422</v>
      </c>
      <c r="BC107" s="229" t="s">
        <v>433</v>
      </c>
      <c r="BD107" s="249">
        <v>0</v>
      </c>
      <c r="BE107" s="267">
        <f t="shared" si="140"/>
        <v>0</v>
      </c>
      <c r="BF107" s="268">
        <f t="shared" ref="BF107:BL107" si="195">IF(BF$6=$BB107,1,
IF(BE107&lt;&gt;0,BE107+1,0
))</f>
        <v>0</v>
      </c>
      <c r="BG107" s="268">
        <f t="shared" si="195"/>
        <v>0</v>
      </c>
      <c r="BH107" s="268">
        <f t="shared" si="195"/>
        <v>1</v>
      </c>
      <c r="BI107" s="268">
        <f t="shared" si="195"/>
        <v>2</v>
      </c>
      <c r="BJ107" s="268">
        <f t="shared" si="195"/>
        <v>3</v>
      </c>
      <c r="BK107" s="268">
        <f t="shared" si="195"/>
        <v>4</v>
      </c>
      <c r="BL107" s="269">
        <f t="shared" si="195"/>
        <v>5</v>
      </c>
      <c r="BM107" s="256">
        <f>IF($BC107=Lookup!$A$2,$BD107*ROUNDUP(BE107/10,0)+1,
IF($BC107=Lookup!$A$3,($BD107+1)^BD107,
IF($BC107=Lookup!$A$4,BE107*$BD107+1,"Error")))</f>
        <v>1</v>
      </c>
      <c r="BN107" s="229">
        <f>IF($BC107=Lookup!$A$2,$BD107*ROUNDUP(BF107/10,0)+1,
IF($BC107=Lookup!$A$3,($BD107+1)^BE107,
IF($BC107=Lookup!$A$4,BF107*$BD107+1,"Error")))</f>
        <v>1</v>
      </c>
      <c r="BO107" s="229">
        <f>IF($BC107=Lookup!$A$2,$BD107*ROUNDUP(BG107/10,0)+1,
IF($BC107=Lookup!$A$3,($BD107+1)^BF107,
IF($BC107=Lookup!$A$4,BG107*$BD107+1,"Error")))</f>
        <v>1</v>
      </c>
      <c r="BP107" s="229">
        <f>IF($BC107=Lookup!$A$2,$BD107*ROUNDUP(BH107/10,0)+1,
IF($BC107=Lookup!$A$3,($BD107+1)^BG107,
IF($BC107=Lookup!$A$4,BH107*$BD107+1,"Error")))</f>
        <v>1</v>
      </c>
      <c r="BQ107" s="229">
        <f>IF($BC107=Lookup!$A$2,$BD107*ROUNDUP(BI107/10,0)+1,
IF($BC107=Lookup!$A$3,($BD107+1)^BH107,
IF($BC107=Lookup!$A$4,BI107*$BD107+1,"Error")))</f>
        <v>1</v>
      </c>
      <c r="BR107" s="229">
        <f>IF($BC107=Lookup!$A$2,$BD107*ROUNDUP(BJ107/10,0)+1,
IF($BC107=Lookup!$A$3,($BD107+1)^BI107,
IF($BC107=Lookup!$A$4,BJ107*$BD107+1,"Error")))</f>
        <v>1</v>
      </c>
      <c r="BS107" s="229">
        <f>IF($BC107=Lookup!$A$2,$BD107*ROUNDUP(BK107/10,0)+1,
IF($BC107=Lookup!$A$3,($BD107+1)^BJ107,
IF($BC107=Lookup!$A$4,BK107*$BD107+1,"Error")))</f>
        <v>1</v>
      </c>
      <c r="BT107" s="249">
        <f>IF($BC107=Lookup!$A$2,$BD107*ROUNDUP(BL107/10,0)+1,
IF($BC107=Lookup!$A$3,($BD107+1)^BK107,
IF($BC107=Lookup!$A$4,BL107*$BD107+1,"Error")))</f>
        <v>1</v>
      </c>
      <c r="BU107" s="320"/>
      <c r="BV107" s="321"/>
      <c r="BW107" s="321"/>
      <c r="BX107" s="321"/>
      <c r="BY107" s="321"/>
      <c r="BZ107" s="321"/>
      <c r="CA107" s="321"/>
      <c r="CB107" s="277"/>
      <c r="CC107" s="382" t="s">
        <v>293</v>
      </c>
      <c r="CD107" s="383">
        <f>HLOOKUP($CC107,$AK$6:$AM$132,ROWS(CD$6:CD107),0)</f>
        <v>0</v>
      </c>
      <c r="CE107" s="234">
        <f t="shared" si="142"/>
        <v>0</v>
      </c>
      <c r="CF107" s="96">
        <f t="shared" si="142"/>
        <v>0</v>
      </c>
      <c r="CG107" s="96">
        <f t="shared" si="142"/>
        <v>0</v>
      </c>
      <c r="CH107" s="96">
        <f t="shared" si="142"/>
        <v>0</v>
      </c>
      <c r="CI107" s="96">
        <f t="shared" si="142"/>
        <v>0</v>
      </c>
      <c r="CJ107" s="96">
        <f t="shared" si="142"/>
        <v>0</v>
      </c>
      <c r="CK107" s="96">
        <f t="shared" si="142"/>
        <v>0</v>
      </c>
      <c r="CL107" s="286">
        <f t="shared" si="194"/>
        <v>0</v>
      </c>
      <c r="CM107" s="305" t="s">
        <v>293</v>
      </c>
      <c r="CN107" s="315">
        <v>0</v>
      </c>
      <c r="CO107" s="306"/>
      <c r="CP107" s="307" t="str">
        <f>IF($CO107&lt;&gt;"",$CO107,HLOOKUP($CM107,$AY$6:$BA$132,ROWS(CP$6:CP107),0))</f>
        <v/>
      </c>
      <c r="CQ107" s="784" t="str">
        <f t="shared" si="190"/>
        <v/>
      </c>
      <c r="CR107" s="784" t="str">
        <f t="shared" si="190"/>
        <v/>
      </c>
      <c r="CS107" s="97" t="str">
        <f t="shared" si="190"/>
        <v/>
      </c>
      <c r="CT107" s="97" t="str">
        <f t="shared" si="190"/>
        <v/>
      </c>
      <c r="CU107" s="97" t="str">
        <f t="shared" si="190"/>
        <v/>
      </c>
      <c r="CV107" s="97" t="str">
        <f t="shared" si="190"/>
        <v/>
      </c>
      <c r="CW107" s="97" t="str">
        <f t="shared" si="190"/>
        <v/>
      </c>
      <c r="CX107" s="98" t="str">
        <f t="shared" si="190"/>
        <v/>
      </c>
      <c r="CY107" s="392"/>
    </row>
    <row r="108" spans="1:103" x14ac:dyDescent="0.25">
      <c r="A108" s="81" t="s">
        <v>196</v>
      </c>
      <c r="B108" s="82" t="s">
        <v>219</v>
      </c>
      <c r="C108" s="83" t="s">
        <v>220</v>
      </c>
      <c r="D108" s="84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654">
        <f>'2022-23 Input'!F108</f>
        <v>0</v>
      </c>
      <c r="N108" s="1065">
        <v>0</v>
      </c>
      <c r="O108" s="560">
        <f t="shared" si="139"/>
        <v>0</v>
      </c>
      <c r="P108" s="561">
        <f t="shared" si="113"/>
        <v>0</v>
      </c>
      <c r="Q108" s="561">
        <f t="shared" si="114"/>
        <v>0</v>
      </c>
      <c r="R108" s="561">
        <f t="shared" si="115"/>
        <v>0</v>
      </c>
      <c r="S108" s="561">
        <f t="shared" si="116"/>
        <v>0</v>
      </c>
      <c r="T108" s="561">
        <f t="shared" si="117"/>
        <v>0</v>
      </c>
      <c r="U108" s="561">
        <f t="shared" si="118"/>
        <v>0</v>
      </c>
      <c r="V108" s="561">
        <f t="shared" si="119"/>
        <v>0</v>
      </c>
      <c r="W108" s="675">
        <f t="shared" si="120"/>
        <v>0</v>
      </c>
      <c r="X108" s="675">
        <f t="shared" si="121"/>
        <v>0</v>
      </c>
      <c r="Y108" s="675">
        <f t="shared" si="121"/>
        <v>0</v>
      </c>
      <c r="Z108" s="86">
        <v>0</v>
      </c>
      <c r="AA108" s="87">
        <v>0</v>
      </c>
      <c r="AB108" s="87">
        <v>0</v>
      </c>
      <c r="AC108" s="87">
        <v>0</v>
      </c>
      <c r="AD108" s="87">
        <v>0</v>
      </c>
      <c r="AE108" s="87">
        <v>0</v>
      </c>
      <c r="AF108" s="87">
        <v>0</v>
      </c>
      <c r="AG108" s="87">
        <v>0</v>
      </c>
      <c r="AH108" s="87">
        <v>0</v>
      </c>
      <c r="AI108" s="1094">
        <f>'2022-23 Input'!M108</f>
        <v>0</v>
      </c>
      <c r="AJ108" s="665">
        <v>0</v>
      </c>
      <c r="AK108" s="88">
        <f t="shared" si="174"/>
        <v>0</v>
      </c>
      <c r="AL108" s="89">
        <f t="shared" si="175"/>
        <v>0</v>
      </c>
      <c r="AM108" s="90">
        <f t="shared" si="176"/>
        <v>0</v>
      </c>
      <c r="AN108" s="91" t="str">
        <f t="shared" si="177"/>
        <v/>
      </c>
      <c r="AO108" s="92" t="str">
        <f t="shared" si="178"/>
        <v/>
      </c>
      <c r="AP108" s="92" t="str">
        <f t="shared" si="179"/>
        <v/>
      </c>
      <c r="AQ108" s="92" t="str">
        <f t="shared" si="180"/>
        <v/>
      </c>
      <c r="AR108" s="92" t="str">
        <f t="shared" si="181"/>
        <v/>
      </c>
      <c r="AS108" s="92" t="str">
        <f t="shared" si="182"/>
        <v/>
      </c>
      <c r="AT108" s="92" t="str">
        <f t="shared" si="183"/>
        <v/>
      </c>
      <c r="AU108" s="92" t="str">
        <f t="shared" si="184"/>
        <v/>
      </c>
      <c r="AV108" s="92" t="str">
        <f t="shared" si="185"/>
        <v/>
      </c>
      <c r="AW108" s="92" t="str">
        <f t="shared" si="185"/>
        <v/>
      </c>
      <c r="AX108" s="92" t="str">
        <f t="shared" si="185"/>
        <v/>
      </c>
      <c r="AY108" s="93" t="str">
        <f t="shared" si="186"/>
        <v/>
      </c>
      <c r="AZ108" s="94" t="str">
        <f t="shared" si="187"/>
        <v/>
      </c>
      <c r="BA108" s="95" t="str">
        <f t="shared" si="188"/>
        <v/>
      </c>
      <c r="BB108" s="248" t="s">
        <v>422</v>
      </c>
      <c r="BC108" s="229" t="s">
        <v>433</v>
      </c>
      <c r="BD108" s="249">
        <v>0</v>
      </c>
      <c r="BE108" s="267">
        <f t="shared" si="140"/>
        <v>0</v>
      </c>
      <c r="BF108" s="268">
        <f t="shared" ref="BF108:BL108" si="196">IF(BF$6=$BB108,1,
IF(BE108&lt;&gt;0,BE108+1,0
))</f>
        <v>0</v>
      </c>
      <c r="BG108" s="268">
        <f t="shared" si="196"/>
        <v>0</v>
      </c>
      <c r="BH108" s="268">
        <f t="shared" si="196"/>
        <v>1</v>
      </c>
      <c r="BI108" s="268">
        <f t="shared" si="196"/>
        <v>2</v>
      </c>
      <c r="BJ108" s="268">
        <f t="shared" si="196"/>
        <v>3</v>
      </c>
      <c r="BK108" s="268">
        <f t="shared" si="196"/>
        <v>4</v>
      </c>
      <c r="BL108" s="269">
        <f t="shared" si="196"/>
        <v>5</v>
      </c>
      <c r="BM108" s="256">
        <f>IF($BC108=Lookup!$A$2,$BD108*ROUNDUP(BE108/10,0)+1,
IF($BC108=Lookup!$A$3,($BD108+1)^BD108,
IF($BC108=Lookup!$A$4,BE108*$BD108+1,"Error")))</f>
        <v>1</v>
      </c>
      <c r="BN108" s="229">
        <f>IF($BC108=Lookup!$A$2,$BD108*ROUNDUP(BF108/10,0)+1,
IF($BC108=Lookup!$A$3,($BD108+1)^BE108,
IF($BC108=Lookup!$A$4,BF108*$BD108+1,"Error")))</f>
        <v>1</v>
      </c>
      <c r="BO108" s="229">
        <f>IF($BC108=Lookup!$A$2,$BD108*ROUNDUP(BG108/10,0)+1,
IF($BC108=Lookup!$A$3,($BD108+1)^BF108,
IF($BC108=Lookup!$A$4,BG108*$BD108+1,"Error")))</f>
        <v>1</v>
      </c>
      <c r="BP108" s="229">
        <f>IF($BC108=Lookup!$A$2,$BD108*ROUNDUP(BH108/10,0)+1,
IF($BC108=Lookup!$A$3,($BD108+1)^BG108,
IF($BC108=Lookup!$A$4,BH108*$BD108+1,"Error")))</f>
        <v>1</v>
      </c>
      <c r="BQ108" s="229">
        <f>IF($BC108=Lookup!$A$2,$BD108*ROUNDUP(BI108/10,0)+1,
IF($BC108=Lookup!$A$3,($BD108+1)^BH108,
IF($BC108=Lookup!$A$4,BI108*$BD108+1,"Error")))</f>
        <v>1</v>
      </c>
      <c r="BR108" s="229">
        <f>IF($BC108=Lookup!$A$2,$BD108*ROUNDUP(BJ108/10,0)+1,
IF($BC108=Lookup!$A$3,($BD108+1)^BI108,
IF($BC108=Lookup!$A$4,BJ108*$BD108+1,"Error")))</f>
        <v>1</v>
      </c>
      <c r="BS108" s="229">
        <f>IF($BC108=Lookup!$A$2,$BD108*ROUNDUP(BK108/10,0)+1,
IF($BC108=Lookup!$A$3,($BD108+1)^BJ108,
IF($BC108=Lookup!$A$4,BK108*$BD108+1,"Error")))</f>
        <v>1</v>
      </c>
      <c r="BT108" s="249">
        <f>IF($BC108=Lookup!$A$2,$BD108*ROUNDUP(BL108/10,0)+1,
IF($BC108=Lookup!$A$3,($BD108+1)^BK108,
IF($BC108=Lookup!$A$4,BL108*$BD108+1,"Error")))</f>
        <v>1</v>
      </c>
      <c r="BU108" s="320"/>
      <c r="BV108" s="321"/>
      <c r="BW108" s="321"/>
      <c r="BX108" s="321"/>
      <c r="BY108" s="321"/>
      <c r="BZ108" s="321"/>
      <c r="CA108" s="321"/>
      <c r="CB108" s="277"/>
      <c r="CC108" s="382" t="s">
        <v>293</v>
      </c>
      <c r="CD108" s="383">
        <f>HLOOKUP($CC108,$AK$6:$AM$132,ROWS(CD$6:CD108),0)</f>
        <v>0</v>
      </c>
      <c r="CE108" s="234">
        <f t="shared" si="142"/>
        <v>0</v>
      </c>
      <c r="CF108" s="96">
        <f t="shared" si="142"/>
        <v>0</v>
      </c>
      <c r="CG108" s="96">
        <f t="shared" si="142"/>
        <v>0</v>
      </c>
      <c r="CH108" s="96">
        <f t="shared" si="142"/>
        <v>0</v>
      </c>
      <c r="CI108" s="96">
        <f t="shared" si="142"/>
        <v>0</v>
      </c>
      <c r="CJ108" s="96">
        <f t="shared" si="142"/>
        <v>0</v>
      </c>
      <c r="CK108" s="96">
        <f t="shared" si="142"/>
        <v>0</v>
      </c>
      <c r="CL108" s="286">
        <f t="shared" si="194"/>
        <v>0</v>
      </c>
      <c r="CM108" s="305" t="s">
        <v>293</v>
      </c>
      <c r="CN108" s="315">
        <v>0</v>
      </c>
      <c r="CO108" s="306"/>
      <c r="CP108" s="307" t="str">
        <f>IF($CO108&lt;&gt;"",$CO108,HLOOKUP($CM108,$AY$6:$BA$132,ROWS(CP$6:CP108),0))</f>
        <v/>
      </c>
      <c r="CQ108" s="784" t="str">
        <f t="shared" si="190"/>
        <v/>
      </c>
      <c r="CR108" s="784" t="str">
        <f t="shared" si="190"/>
        <v/>
      </c>
      <c r="CS108" s="97" t="str">
        <f t="shared" si="190"/>
        <v/>
      </c>
      <c r="CT108" s="97" t="str">
        <f t="shared" si="190"/>
        <v/>
      </c>
      <c r="CU108" s="97" t="str">
        <f t="shared" si="190"/>
        <v/>
      </c>
      <c r="CV108" s="97" t="str">
        <f t="shared" si="190"/>
        <v/>
      </c>
      <c r="CW108" s="97" t="str">
        <f t="shared" si="190"/>
        <v/>
      </c>
      <c r="CX108" s="98" t="str">
        <f t="shared" si="190"/>
        <v/>
      </c>
      <c r="CY108" s="392"/>
    </row>
    <row r="109" spans="1:103" ht="15.75" thickBot="1" x14ac:dyDescent="0.3">
      <c r="A109" s="100" t="s">
        <v>196</v>
      </c>
      <c r="B109" s="101" t="s">
        <v>393</v>
      </c>
      <c r="C109" s="102" t="s">
        <v>394</v>
      </c>
      <c r="D109" s="103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655">
        <f>'2022-23 Input'!F109</f>
        <v>0</v>
      </c>
      <c r="N109" s="1066">
        <v>0</v>
      </c>
      <c r="O109" s="563">
        <f t="shared" si="139"/>
        <v>0</v>
      </c>
      <c r="P109" s="564">
        <f t="shared" si="113"/>
        <v>0</v>
      </c>
      <c r="Q109" s="564">
        <f t="shared" si="114"/>
        <v>0</v>
      </c>
      <c r="R109" s="564">
        <f t="shared" si="115"/>
        <v>0</v>
      </c>
      <c r="S109" s="564">
        <f t="shared" si="116"/>
        <v>0</v>
      </c>
      <c r="T109" s="564">
        <f t="shared" si="117"/>
        <v>0</v>
      </c>
      <c r="U109" s="564">
        <f t="shared" si="118"/>
        <v>0</v>
      </c>
      <c r="V109" s="564">
        <f t="shared" si="119"/>
        <v>0</v>
      </c>
      <c r="W109" s="676">
        <f t="shared" si="120"/>
        <v>0</v>
      </c>
      <c r="X109" s="676">
        <f t="shared" si="121"/>
        <v>0</v>
      </c>
      <c r="Y109" s="676">
        <f t="shared" si="121"/>
        <v>0</v>
      </c>
      <c r="Z109" s="105">
        <v>0</v>
      </c>
      <c r="AA109" s="106">
        <v>0</v>
      </c>
      <c r="AB109" s="106">
        <v>0</v>
      </c>
      <c r="AC109" s="106">
        <v>0</v>
      </c>
      <c r="AD109" s="106">
        <v>0</v>
      </c>
      <c r="AE109" s="106">
        <v>0</v>
      </c>
      <c r="AF109" s="106">
        <v>0</v>
      </c>
      <c r="AG109" s="106">
        <v>0</v>
      </c>
      <c r="AH109" s="106">
        <v>0</v>
      </c>
      <c r="AI109" s="1095">
        <f>'2022-23 Input'!M109</f>
        <v>0</v>
      </c>
      <c r="AJ109" s="666">
        <v>0</v>
      </c>
      <c r="AK109" s="107">
        <f t="shared" si="174"/>
        <v>0</v>
      </c>
      <c r="AL109" s="108">
        <f t="shared" si="175"/>
        <v>0</v>
      </c>
      <c r="AM109" s="109">
        <f t="shared" si="176"/>
        <v>0</v>
      </c>
      <c r="AN109" s="110" t="str">
        <f t="shared" si="177"/>
        <v/>
      </c>
      <c r="AO109" s="111" t="str">
        <f t="shared" si="178"/>
        <v/>
      </c>
      <c r="AP109" s="111" t="str">
        <f t="shared" si="179"/>
        <v/>
      </c>
      <c r="AQ109" s="111" t="str">
        <f t="shared" si="180"/>
        <v/>
      </c>
      <c r="AR109" s="111" t="str">
        <f t="shared" si="181"/>
        <v/>
      </c>
      <c r="AS109" s="111" t="str">
        <f t="shared" si="182"/>
        <v/>
      </c>
      <c r="AT109" s="111" t="str">
        <f t="shared" si="183"/>
        <v/>
      </c>
      <c r="AU109" s="111" t="str">
        <f t="shared" si="184"/>
        <v/>
      </c>
      <c r="AV109" s="111" t="str">
        <f t="shared" si="185"/>
        <v/>
      </c>
      <c r="AW109" s="111" t="str">
        <f t="shared" si="185"/>
        <v/>
      </c>
      <c r="AX109" s="111" t="str">
        <f t="shared" si="185"/>
        <v/>
      </c>
      <c r="AY109" s="112" t="str">
        <f t="shared" si="186"/>
        <v/>
      </c>
      <c r="AZ109" s="113" t="str">
        <f t="shared" si="187"/>
        <v/>
      </c>
      <c r="BA109" s="114" t="str">
        <f t="shared" si="188"/>
        <v/>
      </c>
      <c r="BB109" s="250" t="s">
        <v>422</v>
      </c>
      <c r="BC109" s="230" t="s">
        <v>433</v>
      </c>
      <c r="BD109" s="251">
        <v>0</v>
      </c>
      <c r="BE109" s="270">
        <f t="shared" si="140"/>
        <v>0</v>
      </c>
      <c r="BF109" s="271">
        <f t="shared" ref="BF109:BL109" si="197">IF(BF$6=$BB109,1,
IF(BE109&lt;&gt;0,BE109+1,0
))</f>
        <v>0</v>
      </c>
      <c r="BG109" s="271">
        <f t="shared" si="197"/>
        <v>0</v>
      </c>
      <c r="BH109" s="271">
        <f t="shared" si="197"/>
        <v>1</v>
      </c>
      <c r="BI109" s="271">
        <f t="shared" si="197"/>
        <v>2</v>
      </c>
      <c r="BJ109" s="271">
        <f t="shared" si="197"/>
        <v>3</v>
      </c>
      <c r="BK109" s="271">
        <f t="shared" si="197"/>
        <v>4</v>
      </c>
      <c r="BL109" s="272">
        <f t="shared" si="197"/>
        <v>5</v>
      </c>
      <c r="BM109" s="257">
        <f>IF($BC109=Lookup!$A$2,$BD109*ROUNDUP(BE109/10,0)+1,
IF($BC109=Lookup!$A$3,($BD109+1)^BD109,
IF($BC109=Lookup!$A$4,BE109*$BD109+1,"Error")))</f>
        <v>1</v>
      </c>
      <c r="BN109" s="230">
        <f>IF($BC109=Lookup!$A$2,$BD109*ROUNDUP(BF109/10,0)+1,
IF($BC109=Lookup!$A$3,($BD109+1)^BE109,
IF($BC109=Lookup!$A$4,BF109*$BD109+1,"Error")))</f>
        <v>1</v>
      </c>
      <c r="BO109" s="230">
        <f>IF($BC109=Lookup!$A$2,$BD109*ROUNDUP(BG109/10,0)+1,
IF($BC109=Lookup!$A$3,($BD109+1)^BF109,
IF($BC109=Lookup!$A$4,BG109*$BD109+1,"Error")))</f>
        <v>1</v>
      </c>
      <c r="BP109" s="230">
        <f>IF($BC109=Lookup!$A$2,$BD109*ROUNDUP(BH109/10,0)+1,
IF($BC109=Lookup!$A$3,($BD109+1)^BG109,
IF($BC109=Lookup!$A$4,BH109*$BD109+1,"Error")))</f>
        <v>1</v>
      </c>
      <c r="BQ109" s="230">
        <f>IF($BC109=Lookup!$A$2,$BD109*ROUNDUP(BI109/10,0)+1,
IF($BC109=Lookup!$A$3,($BD109+1)^BH109,
IF($BC109=Lookup!$A$4,BI109*$BD109+1,"Error")))</f>
        <v>1</v>
      </c>
      <c r="BR109" s="230">
        <f>IF($BC109=Lookup!$A$2,$BD109*ROUNDUP(BJ109/10,0)+1,
IF($BC109=Lookup!$A$3,($BD109+1)^BI109,
IF($BC109=Lookup!$A$4,BJ109*$BD109+1,"Error")))</f>
        <v>1</v>
      </c>
      <c r="BS109" s="230">
        <f>IF($BC109=Lookup!$A$2,$BD109*ROUNDUP(BK109/10,0)+1,
IF($BC109=Lookup!$A$3,($BD109+1)^BJ109,
IF($BC109=Lookup!$A$4,BK109*$BD109+1,"Error")))</f>
        <v>1</v>
      </c>
      <c r="BT109" s="251">
        <f>IF($BC109=Lookup!$A$2,$BD109*ROUNDUP(BL109/10,0)+1,
IF($BC109=Lookup!$A$3,($BD109+1)^BK109,
IF($BC109=Lookup!$A$4,BL109*$BD109+1,"Error")))</f>
        <v>1</v>
      </c>
      <c r="BU109" s="322"/>
      <c r="BV109" s="323"/>
      <c r="BW109" s="323"/>
      <c r="BX109" s="323"/>
      <c r="BY109" s="323"/>
      <c r="BZ109" s="323"/>
      <c r="CA109" s="323"/>
      <c r="CB109" s="278"/>
      <c r="CC109" s="384" t="s">
        <v>293</v>
      </c>
      <c r="CD109" s="385">
        <f>HLOOKUP($CC109,$AK$6:$AM$132,ROWS(CD$6:CD109),0)</f>
        <v>0</v>
      </c>
      <c r="CE109" s="235">
        <f t="shared" si="142"/>
        <v>0</v>
      </c>
      <c r="CF109" s="115">
        <f t="shared" si="142"/>
        <v>0</v>
      </c>
      <c r="CG109" s="115">
        <f t="shared" si="142"/>
        <v>0</v>
      </c>
      <c r="CH109" s="115">
        <f t="shared" si="142"/>
        <v>0</v>
      </c>
      <c r="CI109" s="115">
        <f t="shared" si="142"/>
        <v>0</v>
      </c>
      <c r="CJ109" s="115">
        <f t="shared" si="142"/>
        <v>0</v>
      </c>
      <c r="CK109" s="115">
        <f t="shared" si="142"/>
        <v>0</v>
      </c>
      <c r="CL109" s="287">
        <f t="shared" si="194"/>
        <v>0</v>
      </c>
      <c r="CM109" s="308" t="s">
        <v>293</v>
      </c>
      <c r="CN109" s="316">
        <v>0</v>
      </c>
      <c r="CO109" s="309"/>
      <c r="CP109" s="310" t="str">
        <f>IF($CO109&lt;&gt;"",$CO109,HLOOKUP($CM109,$AY$6:$BA$132,ROWS(CP$6:CP109),0))</f>
        <v/>
      </c>
      <c r="CQ109" s="785" t="str">
        <f t="shared" si="190"/>
        <v/>
      </c>
      <c r="CR109" s="785" t="str">
        <f t="shared" si="190"/>
        <v/>
      </c>
      <c r="CS109" s="117" t="str">
        <f t="shared" si="190"/>
        <v/>
      </c>
      <c r="CT109" s="117" t="str">
        <f t="shared" si="190"/>
        <v/>
      </c>
      <c r="CU109" s="117" t="str">
        <f t="shared" si="190"/>
        <v/>
      </c>
      <c r="CV109" s="117" t="str">
        <f t="shared" si="190"/>
        <v/>
      </c>
      <c r="CW109" s="117" t="str">
        <f t="shared" si="190"/>
        <v/>
      </c>
      <c r="CX109" s="118" t="str">
        <f t="shared" si="190"/>
        <v/>
      </c>
      <c r="CY109" s="393"/>
    </row>
    <row r="110" spans="1:103" x14ac:dyDescent="0.25">
      <c r="A110" s="63" t="s">
        <v>224</v>
      </c>
      <c r="B110" s="64" t="s">
        <v>221</v>
      </c>
      <c r="C110" s="65" t="s">
        <v>395</v>
      </c>
      <c r="D110" s="66">
        <v>310980.61232755857</v>
      </c>
      <c r="E110" s="67">
        <v>502279.44855060603</v>
      </c>
      <c r="F110" s="67">
        <v>888671.28548185388</v>
      </c>
      <c r="G110" s="67">
        <v>384611.41932273121</v>
      </c>
      <c r="H110" s="67">
        <v>321316.47864711104</v>
      </c>
      <c r="I110" s="67">
        <v>756086.71267373138</v>
      </c>
      <c r="J110" s="67">
        <v>1094225.3007729121</v>
      </c>
      <c r="K110" s="67">
        <v>729692.25527620944</v>
      </c>
      <c r="L110" s="67">
        <v>680602.01262369915</v>
      </c>
      <c r="M110" s="653">
        <f>'2022-23 Input'!F110</f>
        <v>1068490.9117795913</v>
      </c>
      <c r="N110" s="1064">
        <v>307831.84933401173</v>
      </c>
      <c r="O110" s="557">
        <f t="shared" si="139"/>
        <v>418410.83000684431</v>
      </c>
      <c r="P110" s="558">
        <f t="shared" si="113"/>
        <v>665736.71300981217</v>
      </c>
      <c r="Q110" s="558">
        <f t="shared" si="114"/>
        <v>1165941.8343988792</v>
      </c>
      <c r="R110" s="558">
        <f t="shared" si="115"/>
        <v>495039.79997851787</v>
      </c>
      <c r="S110" s="558">
        <f t="shared" si="116"/>
        <v>405153.98811854637</v>
      </c>
      <c r="T110" s="558">
        <f t="shared" si="117"/>
        <v>938415.73389866238</v>
      </c>
      <c r="U110" s="558">
        <f t="shared" si="118"/>
        <v>1362844.4527523683</v>
      </c>
      <c r="V110" s="558">
        <f t="shared" si="119"/>
        <v>875162.82006547635</v>
      </c>
      <c r="W110" s="674">
        <f t="shared" si="120"/>
        <v>769030.74956025183</v>
      </c>
      <c r="X110" s="674">
        <f t="shared" si="121"/>
        <v>1136298.3345621112</v>
      </c>
      <c r="Y110" s="674">
        <f t="shared" si="121"/>
        <v>316296.75707573956</v>
      </c>
      <c r="Z110" s="68">
        <v>133</v>
      </c>
      <c r="AA110" s="69">
        <v>198</v>
      </c>
      <c r="AB110" s="69">
        <v>281</v>
      </c>
      <c r="AC110" s="69">
        <v>140</v>
      </c>
      <c r="AD110" s="69">
        <v>118</v>
      </c>
      <c r="AE110" s="69">
        <v>213</v>
      </c>
      <c r="AF110" s="69">
        <v>415</v>
      </c>
      <c r="AG110" s="69">
        <v>261</v>
      </c>
      <c r="AH110" s="69">
        <v>187</v>
      </c>
      <c r="AI110" s="1093">
        <f>'2022-23 Input'!M110</f>
        <v>204</v>
      </c>
      <c r="AJ110" s="664">
        <v>0</v>
      </c>
      <c r="AK110" s="70">
        <f t="shared" si="174"/>
        <v>256</v>
      </c>
      <c r="AL110" s="71">
        <f t="shared" si="175"/>
        <v>217.33333333333334</v>
      </c>
      <c r="AM110" s="72">
        <f t="shared" si="176"/>
        <v>204</v>
      </c>
      <c r="AN110" s="73">
        <f t="shared" si="177"/>
        <v>2338.2000926884102</v>
      </c>
      <c r="AO110" s="74">
        <f t="shared" si="178"/>
        <v>2536.7648916697276</v>
      </c>
      <c r="AP110" s="74">
        <f t="shared" si="179"/>
        <v>3162.5312650599781</v>
      </c>
      <c r="AQ110" s="74">
        <f t="shared" si="180"/>
        <v>2747.2244237337945</v>
      </c>
      <c r="AR110" s="74">
        <f t="shared" si="181"/>
        <v>2723.0210054839918</v>
      </c>
      <c r="AS110" s="74">
        <f t="shared" si="182"/>
        <v>3549.7028764024949</v>
      </c>
      <c r="AT110" s="74">
        <f t="shared" si="183"/>
        <v>2636.6874717419569</v>
      </c>
      <c r="AU110" s="74">
        <f t="shared" si="184"/>
        <v>2795.7557673417987</v>
      </c>
      <c r="AV110" s="74">
        <f t="shared" si="185"/>
        <v>3639.5829552069472</v>
      </c>
      <c r="AW110" s="74">
        <f t="shared" si="185"/>
        <v>5237.7005479391737</v>
      </c>
      <c r="AX110" s="74" t="str">
        <f t="shared" si="185"/>
        <v/>
      </c>
      <c r="AY110" s="75">
        <f t="shared" si="186"/>
        <v>3382.1071821298001</v>
      </c>
      <c r="AZ110" s="76">
        <f t="shared" si="187"/>
        <v>3801.8177602446317</v>
      </c>
      <c r="BA110" s="77">
        <f t="shared" si="188"/>
        <v>5237.7005479391737</v>
      </c>
      <c r="BB110" s="246" t="s">
        <v>422</v>
      </c>
      <c r="BC110" s="228" t="s">
        <v>433</v>
      </c>
      <c r="BD110" s="247">
        <v>0</v>
      </c>
      <c r="BE110" s="264">
        <f t="shared" si="140"/>
        <v>0</v>
      </c>
      <c r="BF110" s="265">
        <f t="shared" ref="BF110:BL110" si="198">IF(BF$6=$BB110,1,
IF(BE110&lt;&gt;0,BE110+1,0
))</f>
        <v>0</v>
      </c>
      <c r="BG110" s="265">
        <f t="shared" si="198"/>
        <v>0</v>
      </c>
      <c r="BH110" s="265">
        <f t="shared" si="198"/>
        <v>1</v>
      </c>
      <c r="BI110" s="265">
        <f t="shared" si="198"/>
        <v>2</v>
      </c>
      <c r="BJ110" s="265">
        <f t="shared" si="198"/>
        <v>3</v>
      </c>
      <c r="BK110" s="265">
        <f t="shared" si="198"/>
        <v>4</v>
      </c>
      <c r="BL110" s="266">
        <f t="shared" si="198"/>
        <v>5</v>
      </c>
      <c r="BM110" s="255">
        <f>IF($BC110=Lookup!$A$2,$BD110*ROUNDUP(BE110/10,0)+1,
IF($BC110=Lookup!$A$3,($BD110+1)^BD110,
IF($BC110=Lookup!$A$4,BE110*$BD110+1,"Error")))</f>
        <v>1</v>
      </c>
      <c r="BN110" s="228">
        <f>IF($BC110=Lookup!$A$2,$BD110*ROUNDUP(BF110/10,0)+1,
IF($BC110=Lookup!$A$3,($BD110+1)^BE110,
IF($BC110=Lookup!$A$4,BF110*$BD110+1,"Error")))</f>
        <v>1</v>
      </c>
      <c r="BO110" s="228">
        <f>IF($BC110=Lookup!$A$2,$BD110*ROUNDUP(BG110/10,0)+1,
IF($BC110=Lookup!$A$3,($BD110+1)^BF110,
IF($BC110=Lookup!$A$4,BG110*$BD110+1,"Error")))</f>
        <v>1</v>
      </c>
      <c r="BP110" s="228">
        <f>IF($BC110=Lookup!$A$2,$BD110*ROUNDUP(BH110/10,0)+1,
IF($BC110=Lookup!$A$3,($BD110+1)^BG110,
IF($BC110=Lookup!$A$4,BH110*$BD110+1,"Error")))</f>
        <v>1</v>
      </c>
      <c r="BQ110" s="228">
        <f>IF($BC110=Lookup!$A$2,$BD110*ROUNDUP(BI110/10,0)+1,
IF($BC110=Lookup!$A$3,($BD110+1)^BH110,
IF($BC110=Lookup!$A$4,BI110*$BD110+1,"Error")))</f>
        <v>1</v>
      </c>
      <c r="BR110" s="228">
        <f>IF($BC110=Lookup!$A$2,$BD110*ROUNDUP(BJ110/10,0)+1,
IF($BC110=Lookup!$A$3,($BD110+1)^BI110,
IF($BC110=Lookup!$A$4,BJ110*$BD110+1,"Error")))</f>
        <v>1</v>
      </c>
      <c r="BS110" s="228">
        <f>IF($BC110=Lookup!$A$2,$BD110*ROUNDUP(BK110/10,0)+1,
IF($BC110=Lookup!$A$3,($BD110+1)^BJ110,
IF($BC110=Lookup!$A$4,BK110*$BD110+1,"Error")))</f>
        <v>1</v>
      </c>
      <c r="BT110" s="247">
        <f>IF($BC110=Lookup!$A$2,$BD110*ROUNDUP(BL110/10,0)+1,
IF($BC110=Lookup!$A$3,($BD110+1)^BK110,
IF($BC110=Lookup!$A$4,BL110*$BD110+1,"Error")))</f>
        <v>1</v>
      </c>
      <c r="BU110" s="318">
        <v>0</v>
      </c>
      <c r="BV110" s="319">
        <v>0</v>
      </c>
      <c r="BW110" s="319">
        <v>0</v>
      </c>
      <c r="BX110" s="319">
        <v>0</v>
      </c>
      <c r="BY110" s="319">
        <v>0</v>
      </c>
      <c r="BZ110" s="319">
        <v>0</v>
      </c>
      <c r="CA110" s="319">
        <v>0</v>
      </c>
      <c r="CB110" s="276">
        <v>0</v>
      </c>
      <c r="CC110" s="380" t="s">
        <v>293</v>
      </c>
      <c r="CD110" s="381">
        <f>HLOOKUP($CC110,$AK$6:$AM$132,ROWS(CD$6:CD110),0)</f>
        <v>217.33333333333334</v>
      </c>
      <c r="CE110" s="233">
        <f t="shared" si="142"/>
        <v>0</v>
      </c>
      <c r="CF110" s="78">
        <f t="shared" si="142"/>
        <v>0</v>
      </c>
      <c r="CG110" s="78">
        <f t="shared" si="142"/>
        <v>0</v>
      </c>
      <c r="CH110" s="78">
        <f t="shared" si="142"/>
        <v>0</v>
      </c>
      <c r="CI110" s="78">
        <f t="shared" si="142"/>
        <v>0</v>
      </c>
      <c r="CJ110" s="78">
        <f t="shared" si="142"/>
        <v>0</v>
      </c>
      <c r="CK110" s="78">
        <f t="shared" si="142"/>
        <v>0</v>
      </c>
      <c r="CL110" s="285">
        <f t="shared" si="194"/>
        <v>0</v>
      </c>
      <c r="CM110" s="302" t="s">
        <v>293</v>
      </c>
      <c r="CN110" s="314">
        <v>0</v>
      </c>
      <c r="CO110" s="303"/>
      <c r="CP110" s="304">
        <f>IF($CO110&lt;&gt;"",$CO110,HLOOKUP($CM110,$AY$6:$BA$132,ROWS(CP$6:CP110),0))</f>
        <v>3801.8177602446317</v>
      </c>
      <c r="CQ110" s="783">
        <f t="shared" si="190"/>
        <v>0</v>
      </c>
      <c r="CR110" s="783">
        <f t="shared" si="190"/>
        <v>0</v>
      </c>
      <c r="CS110" s="79">
        <f t="shared" si="190"/>
        <v>0</v>
      </c>
      <c r="CT110" s="79">
        <f t="shared" si="190"/>
        <v>0</v>
      </c>
      <c r="CU110" s="79">
        <f t="shared" si="190"/>
        <v>0</v>
      </c>
      <c r="CV110" s="79">
        <f t="shared" si="190"/>
        <v>0</v>
      </c>
      <c r="CW110" s="79">
        <f t="shared" si="190"/>
        <v>0</v>
      </c>
      <c r="CX110" s="80">
        <f t="shared" si="190"/>
        <v>0</v>
      </c>
      <c r="CY110" s="391"/>
    </row>
    <row r="111" spans="1:103" x14ac:dyDescent="0.25">
      <c r="A111" s="81" t="s">
        <v>224</v>
      </c>
      <c r="B111" s="82" t="s">
        <v>225</v>
      </c>
      <c r="C111" s="83" t="s">
        <v>396</v>
      </c>
      <c r="D111" s="84">
        <v>902607.62735213235</v>
      </c>
      <c r="E111" s="85">
        <v>898152.30084374209</v>
      </c>
      <c r="F111" s="85">
        <v>1129313.9695346612</v>
      </c>
      <c r="G111" s="85">
        <v>727179.63118162053</v>
      </c>
      <c r="H111" s="85">
        <v>649007.35117702687</v>
      </c>
      <c r="I111" s="85">
        <v>1225038.4326120855</v>
      </c>
      <c r="J111" s="85">
        <v>2529732.9076328557</v>
      </c>
      <c r="K111" s="85">
        <v>960401.96696471877</v>
      </c>
      <c r="L111" s="85">
        <v>940037.25805757369</v>
      </c>
      <c r="M111" s="654">
        <f>'2022-23 Input'!F111</f>
        <v>1297791.8393705529</v>
      </c>
      <c r="N111" s="1065">
        <v>2141896.3858557129</v>
      </c>
      <c r="O111" s="560">
        <f t="shared" si="139"/>
        <v>1214419.1359849814</v>
      </c>
      <c r="P111" s="561">
        <f t="shared" si="113"/>
        <v>1190438.8329471326</v>
      </c>
      <c r="Q111" s="561">
        <f t="shared" si="114"/>
        <v>1481666.4190264414</v>
      </c>
      <c r="R111" s="561">
        <f t="shared" si="115"/>
        <v>935965.0834145844</v>
      </c>
      <c r="S111" s="561">
        <f t="shared" si="116"/>
        <v>818345.56931146851</v>
      </c>
      <c r="T111" s="561">
        <f t="shared" si="117"/>
        <v>1520454.3612841053</v>
      </c>
      <c r="U111" s="561">
        <f t="shared" si="118"/>
        <v>3150751.9134106133</v>
      </c>
      <c r="V111" s="561">
        <f t="shared" si="119"/>
        <v>1151866.5406241941</v>
      </c>
      <c r="W111" s="675">
        <f t="shared" si="120"/>
        <v>1062173.6988284173</v>
      </c>
      <c r="X111" s="675">
        <f t="shared" si="121"/>
        <v>1380150.9113717717</v>
      </c>
      <c r="Y111" s="675">
        <f t="shared" si="121"/>
        <v>2200795.2793192542</v>
      </c>
      <c r="Z111" s="86">
        <v>648</v>
      </c>
      <c r="AA111" s="87">
        <v>588</v>
      </c>
      <c r="AB111" s="87">
        <v>551</v>
      </c>
      <c r="AC111" s="87">
        <v>398</v>
      </c>
      <c r="AD111" s="87">
        <v>393</v>
      </c>
      <c r="AE111" s="87">
        <v>512</v>
      </c>
      <c r="AF111" s="87">
        <v>1066</v>
      </c>
      <c r="AG111" s="87">
        <v>452</v>
      </c>
      <c r="AH111" s="87">
        <v>181</v>
      </c>
      <c r="AI111" s="1094">
        <f>'2022-23 Input'!M111</f>
        <v>193</v>
      </c>
      <c r="AJ111" s="665">
        <v>0</v>
      </c>
      <c r="AK111" s="88">
        <f t="shared" si="174"/>
        <v>480.8</v>
      </c>
      <c r="AL111" s="89">
        <f t="shared" si="175"/>
        <v>275.33333333333331</v>
      </c>
      <c r="AM111" s="90">
        <f t="shared" si="176"/>
        <v>193</v>
      </c>
      <c r="AN111" s="91">
        <f t="shared" si="177"/>
        <v>1392.9130051730438</v>
      </c>
      <c r="AO111" s="92">
        <f t="shared" si="178"/>
        <v>1527.4698993941192</v>
      </c>
      <c r="AP111" s="92">
        <f t="shared" si="179"/>
        <v>2049.5716325492945</v>
      </c>
      <c r="AQ111" s="92">
        <f t="shared" si="180"/>
        <v>1827.084500456333</v>
      </c>
      <c r="AR111" s="92">
        <f t="shared" si="181"/>
        <v>1651.4181963792032</v>
      </c>
      <c r="AS111" s="92">
        <f t="shared" si="182"/>
        <v>2392.6531886954795</v>
      </c>
      <c r="AT111" s="92">
        <f t="shared" si="183"/>
        <v>2373.1077932766002</v>
      </c>
      <c r="AU111" s="92">
        <f t="shared" si="184"/>
        <v>2124.7831127538025</v>
      </c>
      <c r="AV111" s="92">
        <f t="shared" si="185"/>
        <v>5193.5760113678107</v>
      </c>
      <c r="AW111" s="92">
        <f t="shared" si="185"/>
        <v>6724.3100485520872</v>
      </c>
      <c r="AX111" s="92" t="str">
        <f t="shared" si="185"/>
        <v/>
      </c>
      <c r="AY111" s="93">
        <f t="shared" si="186"/>
        <v>2892.2638954400113</v>
      </c>
      <c r="AZ111" s="94">
        <f t="shared" si="187"/>
        <v>3871.9504411535654</v>
      </c>
      <c r="BA111" s="95">
        <f t="shared" si="188"/>
        <v>6724.3100485520872</v>
      </c>
      <c r="BB111" s="248" t="s">
        <v>422</v>
      </c>
      <c r="BC111" s="229" t="s">
        <v>433</v>
      </c>
      <c r="BD111" s="249">
        <v>0</v>
      </c>
      <c r="BE111" s="267">
        <f t="shared" si="140"/>
        <v>0</v>
      </c>
      <c r="BF111" s="268">
        <f t="shared" ref="BF111:BL111" si="199">IF(BF$6=$BB111,1,
IF(BE111&lt;&gt;0,BE111+1,0
))</f>
        <v>0</v>
      </c>
      <c r="BG111" s="268">
        <f t="shared" si="199"/>
        <v>0</v>
      </c>
      <c r="BH111" s="268">
        <f t="shared" si="199"/>
        <v>1</v>
      </c>
      <c r="BI111" s="268">
        <f t="shared" si="199"/>
        <v>2</v>
      </c>
      <c r="BJ111" s="268">
        <f t="shared" si="199"/>
        <v>3</v>
      </c>
      <c r="BK111" s="268">
        <f t="shared" si="199"/>
        <v>4</v>
      </c>
      <c r="BL111" s="269">
        <f t="shared" si="199"/>
        <v>5</v>
      </c>
      <c r="BM111" s="256">
        <f>IF($BC111=Lookup!$A$2,$BD111*ROUNDUP(BE111/10,0)+1,
IF($BC111=Lookup!$A$3,($BD111+1)^BD111,
IF($BC111=Lookup!$A$4,BE111*$BD111+1,"Error")))</f>
        <v>1</v>
      </c>
      <c r="BN111" s="229">
        <f>IF($BC111=Lookup!$A$2,$BD111*ROUNDUP(BF111/10,0)+1,
IF($BC111=Lookup!$A$3,($BD111+1)^BE111,
IF($BC111=Lookup!$A$4,BF111*$BD111+1,"Error")))</f>
        <v>1</v>
      </c>
      <c r="BO111" s="229">
        <f>IF($BC111=Lookup!$A$2,$BD111*ROUNDUP(BG111/10,0)+1,
IF($BC111=Lookup!$A$3,($BD111+1)^BF111,
IF($BC111=Lookup!$A$4,BG111*$BD111+1,"Error")))</f>
        <v>1</v>
      </c>
      <c r="BP111" s="229">
        <f>IF($BC111=Lookup!$A$2,$BD111*ROUNDUP(BH111/10,0)+1,
IF($BC111=Lookup!$A$3,($BD111+1)^BG111,
IF($BC111=Lookup!$A$4,BH111*$BD111+1,"Error")))</f>
        <v>1</v>
      </c>
      <c r="BQ111" s="229">
        <f>IF($BC111=Lookup!$A$2,$BD111*ROUNDUP(BI111/10,0)+1,
IF($BC111=Lookup!$A$3,($BD111+1)^BH111,
IF($BC111=Lookup!$A$4,BI111*$BD111+1,"Error")))</f>
        <v>1</v>
      </c>
      <c r="BR111" s="229">
        <f>IF($BC111=Lookup!$A$2,$BD111*ROUNDUP(BJ111/10,0)+1,
IF($BC111=Lookup!$A$3,($BD111+1)^BI111,
IF($BC111=Lookup!$A$4,BJ111*$BD111+1,"Error")))</f>
        <v>1</v>
      </c>
      <c r="BS111" s="229">
        <f>IF($BC111=Lookup!$A$2,$BD111*ROUNDUP(BK111/10,0)+1,
IF($BC111=Lookup!$A$3,($BD111+1)^BJ111,
IF($BC111=Lookup!$A$4,BK111*$BD111+1,"Error")))</f>
        <v>1</v>
      </c>
      <c r="BT111" s="249">
        <f>IF($BC111=Lookup!$A$2,$BD111*ROUNDUP(BL111/10,0)+1,
IF($BC111=Lookup!$A$3,($BD111+1)^BK111,
IF($BC111=Lookup!$A$4,BL111*$BD111+1,"Error")))</f>
        <v>1</v>
      </c>
      <c r="BU111" s="320">
        <v>0</v>
      </c>
      <c r="BV111" s="321">
        <v>0</v>
      </c>
      <c r="BW111" s="321">
        <v>0</v>
      </c>
      <c r="BX111" s="321">
        <v>0</v>
      </c>
      <c r="BY111" s="321">
        <v>0</v>
      </c>
      <c r="BZ111" s="321">
        <v>0</v>
      </c>
      <c r="CA111" s="321">
        <v>0</v>
      </c>
      <c r="CB111" s="277">
        <v>0</v>
      </c>
      <c r="CC111" s="382" t="s">
        <v>293</v>
      </c>
      <c r="CD111" s="383">
        <f>HLOOKUP($CC111,$AK$6:$AM$132,ROWS(CD$6:CD111),0)</f>
        <v>275.33333333333331</v>
      </c>
      <c r="CE111" s="234">
        <f t="shared" si="142"/>
        <v>0</v>
      </c>
      <c r="CF111" s="96">
        <f t="shared" si="142"/>
        <v>0</v>
      </c>
      <c r="CG111" s="96">
        <f t="shared" si="142"/>
        <v>0</v>
      </c>
      <c r="CH111" s="96">
        <f t="shared" si="142"/>
        <v>0</v>
      </c>
      <c r="CI111" s="96">
        <f t="shared" si="142"/>
        <v>0</v>
      </c>
      <c r="CJ111" s="96">
        <f t="shared" si="142"/>
        <v>0</v>
      </c>
      <c r="CK111" s="96">
        <f t="shared" si="142"/>
        <v>0</v>
      </c>
      <c r="CL111" s="286">
        <f t="shared" si="194"/>
        <v>0</v>
      </c>
      <c r="CM111" s="305" t="s">
        <v>293</v>
      </c>
      <c r="CN111" s="315">
        <v>0</v>
      </c>
      <c r="CO111" s="306"/>
      <c r="CP111" s="307">
        <f>IF($CO111&lt;&gt;"",$CO111,HLOOKUP($CM111,$AY$6:$BA$132,ROWS(CP$6:CP111),0))</f>
        <v>3871.9504411535654</v>
      </c>
      <c r="CQ111" s="784">
        <f t="shared" si="190"/>
        <v>0</v>
      </c>
      <c r="CR111" s="784">
        <f t="shared" si="190"/>
        <v>0</v>
      </c>
      <c r="CS111" s="97">
        <f t="shared" si="190"/>
        <v>0</v>
      </c>
      <c r="CT111" s="97">
        <f t="shared" si="190"/>
        <v>0</v>
      </c>
      <c r="CU111" s="97">
        <f t="shared" si="190"/>
        <v>0</v>
      </c>
      <c r="CV111" s="97">
        <f t="shared" si="190"/>
        <v>0</v>
      </c>
      <c r="CW111" s="97">
        <f t="shared" si="190"/>
        <v>0</v>
      </c>
      <c r="CX111" s="98">
        <f t="shared" si="190"/>
        <v>0</v>
      </c>
      <c r="CY111" s="392"/>
    </row>
    <row r="112" spans="1:103" x14ac:dyDescent="0.25">
      <c r="A112" s="81" t="s">
        <v>224</v>
      </c>
      <c r="B112" s="82" t="s">
        <v>227</v>
      </c>
      <c r="C112" s="83" t="s">
        <v>228</v>
      </c>
      <c r="D112" s="84">
        <v>107088.23466246796</v>
      </c>
      <c r="E112" s="85">
        <v>182966.9505604493</v>
      </c>
      <c r="F112" s="85">
        <v>303180.14289177221</v>
      </c>
      <c r="G112" s="85">
        <v>181842.53838236755</v>
      </c>
      <c r="H112" s="85">
        <v>213115.08922120783</v>
      </c>
      <c r="I112" s="85">
        <v>219939.08299938121</v>
      </c>
      <c r="J112" s="85">
        <v>567727.46564805391</v>
      </c>
      <c r="K112" s="85">
        <v>508587.45651862992</v>
      </c>
      <c r="L112" s="85">
        <v>403686.80161962484</v>
      </c>
      <c r="M112" s="654">
        <f>'2022-23 Input'!F112</f>
        <v>524884.90851657314</v>
      </c>
      <c r="N112" s="1065">
        <v>595852.33840911312</v>
      </c>
      <c r="O112" s="560">
        <f t="shared" si="139"/>
        <v>144082.54203929429</v>
      </c>
      <c r="P112" s="561">
        <f t="shared" si="113"/>
        <v>242510.05412830436</v>
      </c>
      <c r="Q112" s="561">
        <f t="shared" si="114"/>
        <v>397774.09007299953</v>
      </c>
      <c r="R112" s="561">
        <f t="shared" si="115"/>
        <v>234052.57697992874</v>
      </c>
      <c r="S112" s="561">
        <f t="shared" si="116"/>
        <v>268720.82219300303</v>
      </c>
      <c r="T112" s="561">
        <f t="shared" si="117"/>
        <v>272977.01774971804</v>
      </c>
      <c r="U112" s="561">
        <f t="shared" si="118"/>
        <v>707097.73086683941</v>
      </c>
      <c r="V112" s="561">
        <f t="shared" si="119"/>
        <v>609978.83625377121</v>
      </c>
      <c r="W112" s="675">
        <f t="shared" si="120"/>
        <v>456136.71114540973</v>
      </c>
      <c r="X112" s="675">
        <f t="shared" si="121"/>
        <v>558194.59090279951</v>
      </c>
      <c r="Y112" s="675">
        <f t="shared" si="121"/>
        <v>612237.37161226664</v>
      </c>
      <c r="Z112" s="86">
        <v>51</v>
      </c>
      <c r="AA112" s="87">
        <v>83</v>
      </c>
      <c r="AB112" s="87">
        <v>129</v>
      </c>
      <c r="AC112" s="87">
        <v>90</v>
      </c>
      <c r="AD112" s="87">
        <v>84</v>
      </c>
      <c r="AE112" s="87">
        <v>89</v>
      </c>
      <c r="AF112" s="87">
        <v>354</v>
      </c>
      <c r="AG112" s="87">
        <v>318</v>
      </c>
      <c r="AH112" s="87">
        <v>225</v>
      </c>
      <c r="AI112" s="1094">
        <f>'2022-23 Input'!M112</f>
        <v>205</v>
      </c>
      <c r="AJ112" s="665">
        <v>0</v>
      </c>
      <c r="AK112" s="88">
        <f t="shared" si="174"/>
        <v>238.2</v>
      </c>
      <c r="AL112" s="89">
        <f t="shared" si="175"/>
        <v>249.33333333333334</v>
      </c>
      <c r="AM112" s="90">
        <f t="shared" si="176"/>
        <v>205</v>
      </c>
      <c r="AN112" s="91">
        <f t="shared" si="177"/>
        <v>2099.7693071072149</v>
      </c>
      <c r="AO112" s="92">
        <f t="shared" si="178"/>
        <v>2204.4210910897505</v>
      </c>
      <c r="AP112" s="92">
        <f t="shared" si="179"/>
        <v>2350.2336658276913</v>
      </c>
      <c r="AQ112" s="92">
        <f t="shared" si="180"/>
        <v>2020.4726486929728</v>
      </c>
      <c r="AR112" s="92">
        <f t="shared" si="181"/>
        <v>2537.0843954905695</v>
      </c>
      <c r="AS112" s="92">
        <f t="shared" si="182"/>
        <v>2471.2256516784405</v>
      </c>
      <c r="AT112" s="92">
        <f t="shared" si="183"/>
        <v>1603.7499029606042</v>
      </c>
      <c r="AU112" s="92">
        <f t="shared" si="184"/>
        <v>1599.3316242724211</v>
      </c>
      <c r="AV112" s="92">
        <f t="shared" si="185"/>
        <v>1794.1635627538881</v>
      </c>
      <c r="AW112" s="92">
        <f t="shared" si="185"/>
        <v>2560.4141878857226</v>
      </c>
      <c r="AX112" s="92" t="str">
        <f t="shared" si="185"/>
        <v/>
      </c>
      <c r="AY112" s="93">
        <f t="shared" si="186"/>
        <v>1868.0316669204558</v>
      </c>
      <c r="AZ112" s="94">
        <f t="shared" si="187"/>
        <v>1921.3357842978985</v>
      </c>
      <c r="BA112" s="95">
        <f t="shared" si="188"/>
        <v>2560.4141878857226</v>
      </c>
      <c r="BB112" s="248" t="s">
        <v>422</v>
      </c>
      <c r="BC112" s="229" t="s">
        <v>433</v>
      </c>
      <c r="BD112" s="249">
        <v>0</v>
      </c>
      <c r="BE112" s="267">
        <f t="shared" si="140"/>
        <v>0</v>
      </c>
      <c r="BF112" s="268">
        <f t="shared" ref="BF112:BL112" si="200">IF(BF$6=$BB112,1,
IF(BE112&lt;&gt;0,BE112+1,0
))</f>
        <v>0</v>
      </c>
      <c r="BG112" s="268">
        <f t="shared" si="200"/>
        <v>0</v>
      </c>
      <c r="BH112" s="268">
        <f t="shared" si="200"/>
        <v>1</v>
      </c>
      <c r="BI112" s="268">
        <f t="shared" si="200"/>
        <v>2</v>
      </c>
      <c r="BJ112" s="268">
        <f t="shared" si="200"/>
        <v>3</v>
      </c>
      <c r="BK112" s="268">
        <f t="shared" si="200"/>
        <v>4</v>
      </c>
      <c r="BL112" s="269">
        <f t="shared" si="200"/>
        <v>5</v>
      </c>
      <c r="BM112" s="256">
        <f>IF($BC112=Lookup!$A$2,$BD112*ROUNDUP(BE112/10,0)+1,
IF($BC112=Lookup!$A$3,($BD112+1)^BD112,
IF($BC112=Lookup!$A$4,BE112*$BD112+1,"Error")))</f>
        <v>1</v>
      </c>
      <c r="BN112" s="229">
        <f>IF($BC112=Lookup!$A$2,$BD112*ROUNDUP(BF112/10,0)+1,
IF($BC112=Lookup!$A$3,($BD112+1)^BE112,
IF($BC112=Lookup!$A$4,BF112*$BD112+1,"Error")))</f>
        <v>1</v>
      </c>
      <c r="BO112" s="229">
        <f>IF($BC112=Lookup!$A$2,$BD112*ROUNDUP(BG112/10,0)+1,
IF($BC112=Lookup!$A$3,($BD112+1)^BF112,
IF($BC112=Lookup!$A$4,BG112*$BD112+1,"Error")))</f>
        <v>1</v>
      </c>
      <c r="BP112" s="229">
        <f>IF($BC112=Lookup!$A$2,$BD112*ROUNDUP(BH112/10,0)+1,
IF($BC112=Lookup!$A$3,($BD112+1)^BG112,
IF($BC112=Lookup!$A$4,BH112*$BD112+1,"Error")))</f>
        <v>1</v>
      </c>
      <c r="BQ112" s="229">
        <f>IF($BC112=Lookup!$A$2,$BD112*ROUNDUP(BI112/10,0)+1,
IF($BC112=Lookup!$A$3,($BD112+1)^BH112,
IF($BC112=Lookup!$A$4,BI112*$BD112+1,"Error")))</f>
        <v>1</v>
      </c>
      <c r="BR112" s="229">
        <f>IF($BC112=Lookup!$A$2,$BD112*ROUNDUP(BJ112/10,0)+1,
IF($BC112=Lookup!$A$3,($BD112+1)^BI112,
IF($BC112=Lookup!$A$4,BJ112*$BD112+1,"Error")))</f>
        <v>1</v>
      </c>
      <c r="BS112" s="229">
        <f>IF($BC112=Lookup!$A$2,$BD112*ROUNDUP(BK112/10,0)+1,
IF($BC112=Lookup!$A$3,($BD112+1)^BJ112,
IF($BC112=Lookup!$A$4,BK112*$BD112+1,"Error")))</f>
        <v>1</v>
      </c>
      <c r="BT112" s="249">
        <f>IF($BC112=Lookup!$A$2,$BD112*ROUNDUP(BL112/10,0)+1,
IF($BC112=Lookup!$A$3,($BD112+1)^BK112,
IF($BC112=Lookup!$A$4,BL112*$BD112+1,"Error")))</f>
        <v>1</v>
      </c>
      <c r="BU112" s="320">
        <v>0</v>
      </c>
      <c r="BV112" s="321">
        <v>0</v>
      </c>
      <c r="BW112" s="321">
        <v>0</v>
      </c>
      <c r="BX112" s="321">
        <v>0</v>
      </c>
      <c r="BY112" s="321">
        <v>0</v>
      </c>
      <c r="BZ112" s="321">
        <v>0</v>
      </c>
      <c r="CA112" s="321">
        <v>0</v>
      </c>
      <c r="CB112" s="277">
        <v>0</v>
      </c>
      <c r="CC112" s="382" t="s">
        <v>293</v>
      </c>
      <c r="CD112" s="383">
        <f>HLOOKUP($CC112,$AK$6:$AM$132,ROWS(CD$6:CD112),0)</f>
        <v>249.33333333333334</v>
      </c>
      <c r="CE112" s="234">
        <f t="shared" si="142"/>
        <v>0</v>
      </c>
      <c r="CF112" s="96">
        <f t="shared" si="142"/>
        <v>0</v>
      </c>
      <c r="CG112" s="96">
        <f t="shared" si="142"/>
        <v>0</v>
      </c>
      <c r="CH112" s="96">
        <f t="shared" si="142"/>
        <v>0</v>
      </c>
      <c r="CI112" s="96">
        <f t="shared" si="142"/>
        <v>0</v>
      </c>
      <c r="CJ112" s="96">
        <f t="shared" si="142"/>
        <v>0</v>
      </c>
      <c r="CK112" s="96">
        <f t="shared" si="142"/>
        <v>0</v>
      </c>
      <c r="CL112" s="286">
        <f t="shared" si="194"/>
        <v>0</v>
      </c>
      <c r="CM112" s="305" t="s">
        <v>293</v>
      </c>
      <c r="CN112" s="315">
        <v>0</v>
      </c>
      <c r="CO112" s="306"/>
      <c r="CP112" s="307">
        <f>IF($CO112&lt;&gt;"",$CO112,HLOOKUP($CM112,$AY$6:$BA$132,ROWS(CP$6:CP112),0))</f>
        <v>1921.3357842978985</v>
      </c>
      <c r="CQ112" s="784">
        <f t="shared" si="190"/>
        <v>0</v>
      </c>
      <c r="CR112" s="784">
        <f t="shared" si="190"/>
        <v>0</v>
      </c>
      <c r="CS112" s="97">
        <f t="shared" si="190"/>
        <v>0</v>
      </c>
      <c r="CT112" s="97">
        <f t="shared" si="190"/>
        <v>0</v>
      </c>
      <c r="CU112" s="97">
        <f t="shared" si="190"/>
        <v>0</v>
      </c>
      <c r="CV112" s="97">
        <f t="shared" si="190"/>
        <v>0</v>
      </c>
      <c r="CW112" s="97">
        <f t="shared" si="190"/>
        <v>0</v>
      </c>
      <c r="CX112" s="98">
        <f t="shared" si="190"/>
        <v>0</v>
      </c>
      <c r="CY112" s="392"/>
    </row>
    <row r="113" spans="1:103" x14ac:dyDescent="0.25">
      <c r="A113" s="81" t="s">
        <v>224</v>
      </c>
      <c r="B113" s="82" t="s">
        <v>229</v>
      </c>
      <c r="C113" s="83" t="s">
        <v>230</v>
      </c>
      <c r="D113" s="84">
        <v>225928.31771416796</v>
      </c>
      <c r="E113" s="85">
        <v>179926.43536742948</v>
      </c>
      <c r="F113" s="85">
        <v>335195.32954304747</v>
      </c>
      <c r="G113" s="85">
        <v>165317.84118481103</v>
      </c>
      <c r="H113" s="85">
        <v>152977.82203863436</v>
      </c>
      <c r="I113" s="85">
        <v>203486.27228883046</v>
      </c>
      <c r="J113" s="85">
        <v>429696.01050753536</v>
      </c>
      <c r="K113" s="85">
        <v>373127.04869767412</v>
      </c>
      <c r="L113" s="85">
        <v>362419.45053947973</v>
      </c>
      <c r="M113" s="654">
        <f>'2022-23 Input'!F113</f>
        <v>817522.15807919262</v>
      </c>
      <c r="N113" s="1065">
        <v>833539.34525965957</v>
      </c>
      <c r="O113" s="560">
        <f t="shared" si="139"/>
        <v>303976.68275623844</v>
      </c>
      <c r="P113" s="561">
        <f t="shared" si="113"/>
        <v>238480.06127014849</v>
      </c>
      <c r="Q113" s="561">
        <f t="shared" si="114"/>
        <v>439778.19897426839</v>
      </c>
      <c r="R113" s="561">
        <f t="shared" si="115"/>
        <v>212783.36243141393</v>
      </c>
      <c r="S113" s="561">
        <f t="shared" si="116"/>
        <v>192892.61152619452</v>
      </c>
      <c r="T113" s="561">
        <f t="shared" si="117"/>
        <v>252556.63979724926</v>
      </c>
      <c r="U113" s="561">
        <f t="shared" si="118"/>
        <v>535181.2134816933</v>
      </c>
      <c r="V113" s="561">
        <f t="shared" si="119"/>
        <v>447513.20549148141</v>
      </c>
      <c r="W113" s="675">
        <f t="shared" si="120"/>
        <v>409507.60728603479</v>
      </c>
      <c r="X113" s="675">
        <f t="shared" si="121"/>
        <v>869402.87133170629</v>
      </c>
      <c r="Y113" s="675">
        <f t="shared" si="121"/>
        <v>856460.40970438288</v>
      </c>
      <c r="Z113" s="86">
        <v>306</v>
      </c>
      <c r="AA113" s="87">
        <v>204</v>
      </c>
      <c r="AB113" s="87">
        <v>290</v>
      </c>
      <c r="AC113" s="87">
        <v>192</v>
      </c>
      <c r="AD113" s="87">
        <v>165</v>
      </c>
      <c r="AE113" s="87">
        <v>213</v>
      </c>
      <c r="AF113" s="87">
        <v>771</v>
      </c>
      <c r="AG113" s="87">
        <v>667</v>
      </c>
      <c r="AH113" s="87">
        <v>525</v>
      </c>
      <c r="AI113" s="1094">
        <f>'2022-23 Input'!M113</f>
        <v>590</v>
      </c>
      <c r="AJ113" s="665">
        <v>0</v>
      </c>
      <c r="AK113" s="88">
        <f t="shared" si="174"/>
        <v>553.20000000000005</v>
      </c>
      <c r="AL113" s="89">
        <f t="shared" si="175"/>
        <v>594</v>
      </c>
      <c r="AM113" s="90">
        <f t="shared" si="176"/>
        <v>590</v>
      </c>
      <c r="AN113" s="91">
        <f t="shared" si="177"/>
        <v>738.3278356672156</v>
      </c>
      <c r="AO113" s="92">
        <f t="shared" si="178"/>
        <v>881.99233023249747</v>
      </c>
      <c r="AP113" s="92">
        <f t="shared" si="179"/>
        <v>1155.845963941543</v>
      </c>
      <c r="AQ113" s="92">
        <f t="shared" si="180"/>
        <v>861.03042283755747</v>
      </c>
      <c r="AR113" s="92">
        <f t="shared" si="181"/>
        <v>927.13831538566274</v>
      </c>
      <c r="AS113" s="92">
        <f t="shared" si="182"/>
        <v>955.33461168464999</v>
      </c>
      <c r="AT113" s="92">
        <f t="shared" si="183"/>
        <v>557.32297082689411</v>
      </c>
      <c r="AU113" s="92">
        <f t="shared" si="184"/>
        <v>559.41086761270481</v>
      </c>
      <c r="AV113" s="92">
        <f t="shared" si="185"/>
        <v>690.32276293234236</v>
      </c>
      <c r="AW113" s="92">
        <f t="shared" si="185"/>
        <v>1385.6307764054113</v>
      </c>
      <c r="AX113" s="92" t="str">
        <f t="shared" si="185"/>
        <v/>
      </c>
      <c r="AY113" s="93">
        <f t="shared" si="186"/>
        <v>790.40164140011291</v>
      </c>
      <c r="AZ113" s="94">
        <f t="shared" si="187"/>
        <v>871.53123306192288</v>
      </c>
      <c r="BA113" s="95">
        <f t="shared" si="188"/>
        <v>1385.6307764054113</v>
      </c>
      <c r="BB113" s="248" t="s">
        <v>422</v>
      </c>
      <c r="BC113" s="229" t="s">
        <v>433</v>
      </c>
      <c r="BD113" s="249">
        <v>0</v>
      </c>
      <c r="BE113" s="267">
        <f t="shared" si="140"/>
        <v>0</v>
      </c>
      <c r="BF113" s="268">
        <f t="shared" ref="BF113:BL113" si="201">IF(BF$6=$BB113,1,
IF(BE113&lt;&gt;0,BE113+1,0
))</f>
        <v>0</v>
      </c>
      <c r="BG113" s="268">
        <f t="shared" si="201"/>
        <v>0</v>
      </c>
      <c r="BH113" s="268">
        <f t="shared" si="201"/>
        <v>1</v>
      </c>
      <c r="BI113" s="268">
        <f t="shared" si="201"/>
        <v>2</v>
      </c>
      <c r="BJ113" s="268">
        <f t="shared" si="201"/>
        <v>3</v>
      </c>
      <c r="BK113" s="268">
        <f t="shared" si="201"/>
        <v>4</v>
      </c>
      <c r="BL113" s="269">
        <f t="shared" si="201"/>
        <v>5</v>
      </c>
      <c r="BM113" s="256">
        <f>IF($BC113=Lookup!$A$2,$BD113*ROUNDUP(BE113/10,0)+1,
IF($BC113=Lookup!$A$3,($BD113+1)^BD113,
IF($BC113=Lookup!$A$4,BE113*$BD113+1,"Error")))</f>
        <v>1</v>
      </c>
      <c r="BN113" s="229">
        <f>IF($BC113=Lookup!$A$2,$BD113*ROUNDUP(BF113/10,0)+1,
IF($BC113=Lookup!$A$3,($BD113+1)^BE113,
IF($BC113=Lookup!$A$4,BF113*$BD113+1,"Error")))</f>
        <v>1</v>
      </c>
      <c r="BO113" s="229">
        <f>IF($BC113=Lookup!$A$2,$BD113*ROUNDUP(BG113/10,0)+1,
IF($BC113=Lookup!$A$3,($BD113+1)^BF113,
IF($BC113=Lookup!$A$4,BG113*$BD113+1,"Error")))</f>
        <v>1</v>
      </c>
      <c r="BP113" s="229">
        <f>IF($BC113=Lookup!$A$2,$BD113*ROUNDUP(BH113/10,0)+1,
IF($BC113=Lookup!$A$3,($BD113+1)^BG113,
IF($BC113=Lookup!$A$4,BH113*$BD113+1,"Error")))</f>
        <v>1</v>
      </c>
      <c r="BQ113" s="229">
        <f>IF($BC113=Lookup!$A$2,$BD113*ROUNDUP(BI113/10,0)+1,
IF($BC113=Lookup!$A$3,($BD113+1)^BH113,
IF($BC113=Lookup!$A$4,BI113*$BD113+1,"Error")))</f>
        <v>1</v>
      </c>
      <c r="BR113" s="229">
        <f>IF($BC113=Lookup!$A$2,$BD113*ROUNDUP(BJ113/10,0)+1,
IF($BC113=Lookup!$A$3,($BD113+1)^BI113,
IF($BC113=Lookup!$A$4,BJ113*$BD113+1,"Error")))</f>
        <v>1</v>
      </c>
      <c r="BS113" s="229">
        <f>IF($BC113=Lookup!$A$2,$BD113*ROUNDUP(BK113/10,0)+1,
IF($BC113=Lookup!$A$3,($BD113+1)^BJ113,
IF($BC113=Lookup!$A$4,BK113*$BD113+1,"Error")))</f>
        <v>1</v>
      </c>
      <c r="BT113" s="249">
        <f>IF($BC113=Lookup!$A$2,$BD113*ROUNDUP(BL113/10,0)+1,
IF($BC113=Lookup!$A$3,($BD113+1)^BK113,
IF($BC113=Lookup!$A$4,BL113*$BD113+1,"Error")))</f>
        <v>1</v>
      </c>
      <c r="BU113" s="320">
        <v>0</v>
      </c>
      <c r="BV113" s="321">
        <v>0</v>
      </c>
      <c r="BW113" s="321">
        <v>0</v>
      </c>
      <c r="BX113" s="321">
        <v>0</v>
      </c>
      <c r="BY113" s="321">
        <v>0</v>
      </c>
      <c r="BZ113" s="321">
        <v>0</v>
      </c>
      <c r="CA113" s="321">
        <v>0</v>
      </c>
      <c r="CB113" s="277">
        <v>0</v>
      </c>
      <c r="CC113" s="382" t="s">
        <v>293</v>
      </c>
      <c r="CD113" s="383">
        <f>HLOOKUP($CC113,$AK$6:$AM$132,ROWS(CD$6:CD113),0)</f>
        <v>594</v>
      </c>
      <c r="CE113" s="234">
        <f t="shared" si="142"/>
        <v>0</v>
      </c>
      <c r="CF113" s="96">
        <f t="shared" si="142"/>
        <v>0</v>
      </c>
      <c r="CG113" s="96">
        <f t="shared" si="142"/>
        <v>0</v>
      </c>
      <c r="CH113" s="96">
        <f t="shared" si="142"/>
        <v>0</v>
      </c>
      <c r="CI113" s="96">
        <f t="shared" si="142"/>
        <v>0</v>
      </c>
      <c r="CJ113" s="96">
        <f t="shared" si="142"/>
        <v>0</v>
      </c>
      <c r="CK113" s="96">
        <f t="shared" si="142"/>
        <v>0</v>
      </c>
      <c r="CL113" s="286">
        <f t="shared" si="194"/>
        <v>0</v>
      </c>
      <c r="CM113" s="305" t="s">
        <v>293</v>
      </c>
      <c r="CN113" s="315">
        <v>0</v>
      </c>
      <c r="CO113" s="306"/>
      <c r="CP113" s="307">
        <f>IF($CO113&lt;&gt;"",$CO113,HLOOKUP($CM113,$AY$6:$BA$132,ROWS(CP$6:CP113),0))</f>
        <v>871.53123306192288</v>
      </c>
      <c r="CQ113" s="784">
        <f t="shared" si="190"/>
        <v>0</v>
      </c>
      <c r="CR113" s="784">
        <f t="shared" si="190"/>
        <v>0</v>
      </c>
      <c r="CS113" s="97">
        <f t="shared" si="190"/>
        <v>0</v>
      </c>
      <c r="CT113" s="97">
        <f t="shared" si="190"/>
        <v>0</v>
      </c>
      <c r="CU113" s="97">
        <f t="shared" si="190"/>
        <v>0</v>
      </c>
      <c r="CV113" s="97">
        <f t="shared" si="190"/>
        <v>0</v>
      </c>
      <c r="CW113" s="97">
        <f t="shared" si="190"/>
        <v>0</v>
      </c>
      <c r="CX113" s="98">
        <f t="shared" si="190"/>
        <v>0</v>
      </c>
      <c r="CY113" s="392"/>
    </row>
    <row r="114" spans="1:103" x14ac:dyDescent="0.25">
      <c r="A114" s="81" t="s">
        <v>224</v>
      </c>
      <c r="B114" s="82" t="s">
        <v>231</v>
      </c>
      <c r="C114" s="83" t="s">
        <v>232</v>
      </c>
      <c r="D114" s="84">
        <v>10211.155513979533</v>
      </c>
      <c r="E114" s="85">
        <v>20239.606624867745</v>
      </c>
      <c r="F114" s="85">
        <v>49406.611532873641</v>
      </c>
      <c r="G114" s="85">
        <v>14214.675077881418</v>
      </c>
      <c r="H114" s="85">
        <v>25219.610940504823</v>
      </c>
      <c r="I114" s="85">
        <v>43702.731156274349</v>
      </c>
      <c r="J114" s="85">
        <v>111586.69855150682</v>
      </c>
      <c r="K114" s="85">
        <v>50971.11371615898</v>
      </c>
      <c r="L114" s="85">
        <v>44789.058172682169</v>
      </c>
      <c r="M114" s="654">
        <f>'2022-23 Input'!F114</f>
        <v>83914.829864393003</v>
      </c>
      <c r="N114" s="1065">
        <v>137788.36380076894</v>
      </c>
      <c r="O114" s="560">
        <f t="shared" si="139"/>
        <v>13738.663712684842</v>
      </c>
      <c r="P114" s="561">
        <f t="shared" si="113"/>
        <v>26826.200486467849</v>
      </c>
      <c r="Q114" s="561">
        <f t="shared" si="114"/>
        <v>64821.75830722032</v>
      </c>
      <c r="R114" s="561">
        <f t="shared" si="115"/>
        <v>18295.946385849162</v>
      </c>
      <c r="S114" s="561">
        <f t="shared" si="116"/>
        <v>31799.881519819217</v>
      </c>
      <c r="T114" s="561">
        <f t="shared" si="117"/>
        <v>54241.570237841821</v>
      </c>
      <c r="U114" s="561">
        <f t="shared" si="118"/>
        <v>138979.89108317322</v>
      </c>
      <c r="V114" s="561">
        <f t="shared" si="119"/>
        <v>61132.653250960379</v>
      </c>
      <c r="W114" s="675">
        <f t="shared" si="120"/>
        <v>50608.376613307883</v>
      </c>
      <c r="X114" s="675">
        <f t="shared" si="121"/>
        <v>89240.142680447985</v>
      </c>
      <c r="Y114" s="675">
        <f t="shared" si="121"/>
        <v>141577.33427273456</v>
      </c>
      <c r="Z114" s="86">
        <v>71</v>
      </c>
      <c r="AA114" s="87">
        <v>141</v>
      </c>
      <c r="AB114" s="87">
        <v>259</v>
      </c>
      <c r="AC114" s="87">
        <v>79</v>
      </c>
      <c r="AD114" s="87">
        <v>139</v>
      </c>
      <c r="AE114" s="87">
        <v>283</v>
      </c>
      <c r="AF114" s="87">
        <v>530</v>
      </c>
      <c r="AG114" s="87">
        <v>321</v>
      </c>
      <c r="AH114" s="87">
        <v>212</v>
      </c>
      <c r="AI114" s="1094">
        <f>'2022-23 Input'!M114</f>
        <v>438</v>
      </c>
      <c r="AJ114" s="665">
        <v>0</v>
      </c>
      <c r="AK114" s="88">
        <f t="shared" si="174"/>
        <v>356.8</v>
      </c>
      <c r="AL114" s="89">
        <f t="shared" si="175"/>
        <v>323.66666666666669</v>
      </c>
      <c r="AM114" s="90">
        <f t="shared" si="176"/>
        <v>438</v>
      </c>
      <c r="AN114" s="91">
        <f t="shared" si="177"/>
        <v>143.81909174619059</v>
      </c>
      <c r="AO114" s="92">
        <f t="shared" si="178"/>
        <v>143.54330939622514</v>
      </c>
      <c r="AP114" s="92">
        <f t="shared" si="179"/>
        <v>190.75911788754303</v>
      </c>
      <c r="AQ114" s="92">
        <f t="shared" si="180"/>
        <v>179.93259592254961</v>
      </c>
      <c r="AR114" s="92">
        <f t="shared" si="181"/>
        <v>181.43604993168938</v>
      </c>
      <c r="AS114" s="92">
        <f t="shared" si="182"/>
        <v>154.42661185962666</v>
      </c>
      <c r="AT114" s="92">
        <f t="shared" si="183"/>
        <v>210.54094066322043</v>
      </c>
      <c r="AU114" s="92">
        <f t="shared" si="184"/>
        <v>158.78851624971645</v>
      </c>
      <c r="AV114" s="92">
        <f t="shared" si="185"/>
        <v>211.26914232397249</v>
      </c>
      <c r="AW114" s="92">
        <f t="shared" si="185"/>
        <v>191.58636955340867</v>
      </c>
      <c r="AX114" s="92" t="str">
        <f t="shared" si="185"/>
        <v/>
      </c>
      <c r="AY114" s="93">
        <f t="shared" si="186"/>
        <v>187.76033153644354</v>
      </c>
      <c r="AZ114" s="94">
        <f t="shared" si="187"/>
        <v>185.0411964502926</v>
      </c>
      <c r="BA114" s="95">
        <f t="shared" si="188"/>
        <v>191.58636955340867</v>
      </c>
      <c r="BB114" s="248" t="s">
        <v>422</v>
      </c>
      <c r="BC114" s="229" t="s">
        <v>433</v>
      </c>
      <c r="BD114" s="249">
        <v>0</v>
      </c>
      <c r="BE114" s="267">
        <f t="shared" si="140"/>
        <v>0</v>
      </c>
      <c r="BF114" s="268">
        <f t="shared" ref="BF114:BL114" si="202">IF(BF$6=$BB114,1,
IF(BE114&lt;&gt;0,BE114+1,0
))</f>
        <v>0</v>
      </c>
      <c r="BG114" s="268">
        <f t="shared" si="202"/>
        <v>0</v>
      </c>
      <c r="BH114" s="268">
        <f t="shared" si="202"/>
        <v>1</v>
      </c>
      <c r="BI114" s="268">
        <f t="shared" si="202"/>
        <v>2</v>
      </c>
      <c r="BJ114" s="268">
        <f t="shared" si="202"/>
        <v>3</v>
      </c>
      <c r="BK114" s="268">
        <f t="shared" si="202"/>
        <v>4</v>
      </c>
      <c r="BL114" s="269">
        <f t="shared" si="202"/>
        <v>5</v>
      </c>
      <c r="BM114" s="256">
        <f>IF($BC114=Lookup!$A$2,$BD114*ROUNDUP(BE114/10,0)+1,
IF($BC114=Lookup!$A$3,($BD114+1)^BD114,
IF($BC114=Lookup!$A$4,BE114*$BD114+1,"Error")))</f>
        <v>1</v>
      </c>
      <c r="BN114" s="229">
        <f>IF($BC114=Lookup!$A$2,$BD114*ROUNDUP(BF114/10,0)+1,
IF($BC114=Lookup!$A$3,($BD114+1)^BE114,
IF($BC114=Lookup!$A$4,BF114*$BD114+1,"Error")))</f>
        <v>1</v>
      </c>
      <c r="BO114" s="229">
        <f>IF($BC114=Lookup!$A$2,$BD114*ROUNDUP(BG114/10,0)+1,
IF($BC114=Lookup!$A$3,($BD114+1)^BF114,
IF($BC114=Lookup!$A$4,BG114*$BD114+1,"Error")))</f>
        <v>1</v>
      </c>
      <c r="BP114" s="229">
        <f>IF($BC114=Lookup!$A$2,$BD114*ROUNDUP(BH114/10,0)+1,
IF($BC114=Lookup!$A$3,($BD114+1)^BG114,
IF($BC114=Lookup!$A$4,BH114*$BD114+1,"Error")))</f>
        <v>1</v>
      </c>
      <c r="BQ114" s="229">
        <f>IF($BC114=Lookup!$A$2,$BD114*ROUNDUP(BI114/10,0)+1,
IF($BC114=Lookup!$A$3,($BD114+1)^BH114,
IF($BC114=Lookup!$A$4,BI114*$BD114+1,"Error")))</f>
        <v>1</v>
      </c>
      <c r="BR114" s="229">
        <f>IF($BC114=Lookup!$A$2,$BD114*ROUNDUP(BJ114/10,0)+1,
IF($BC114=Lookup!$A$3,($BD114+1)^BI114,
IF($BC114=Lookup!$A$4,BJ114*$BD114+1,"Error")))</f>
        <v>1</v>
      </c>
      <c r="BS114" s="229">
        <f>IF($BC114=Lookup!$A$2,$BD114*ROUNDUP(BK114/10,0)+1,
IF($BC114=Lookup!$A$3,($BD114+1)^BJ114,
IF($BC114=Lookup!$A$4,BK114*$BD114+1,"Error")))</f>
        <v>1</v>
      </c>
      <c r="BT114" s="249">
        <f>IF($BC114=Lookup!$A$2,$BD114*ROUNDUP(BL114/10,0)+1,
IF($BC114=Lookup!$A$3,($BD114+1)^BK114,
IF($BC114=Lookup!$A$4,BL114*$BD114+1,"Error")))</f>
        <v>1</v>
      </c>
      <c r="BU114" s="320">
        <v>0</v>
      </c>
      <c r="BV114" s="321">
        <v>0</v>
      </c>
      <c r="BW114" s="321">
        <v>0</v>
      </c>
      <c r="BX114" s="321">
        <v>0</v>
      </c>
      <c r="BY114" s="321">
        <v>0</v>
      </c>
      <c r="BZ114" s="321">
        <v>0</v>
      </c>
      <c r="CA114" s="321">
        <v>0</v>
      </c>
      <c r="CB114" s="277">
        <v>0</v>
      </c>
      <c r="CC114" s="382" t="s">
        <v>293</v>
      </c>
      <c r="CD114" s="383">
        <f>HLOOKUP($CC114,$AK$6:$AM$132,ROWS(CD$6:CD114),0)</f>
        <v>323.66666666666669</v>
      </c>
      <c r="CE114" s="234">
        <f t="shared" si="142"/>
        <v>0</v>
      </c>
      <c r="CF114" s="96">
        <f t="shared" si="142"/>
        <v>0</v>
      </c>
      <c r="CG114" s="96">
        <f t="shared" si="142"/>
        <v>0</v>
      </c>
      <c r="CH114" s="96">
        <f t="shared" si="142"/>
        <v>0</v>
      </c>
      <c r="CI114" s="96">
        <f t="shared" si="142"/>
        <v>0</v>
      </c>
      <c r="CJ114" s="96">
        <f t="shared" si="142"/>
        <v>0</v>
      </c>
      <c r="CK114" s="96">
        <f t="shared" si="142"/>
        <v>0</v>
      </c>
      <c r="CL114" s="286">
        <f t="shared" si="194"/>
        <v>0</v>
      </c>
      <c r="CM114" s="305" t="s">
        <v>293</v>
      </c>
      <c r="CN114" s="315">
        <v>0</v>
      </c>
      <c r="CO114" s="306"/>
      <c r="CP114" s="307">
        <f>IF($CO114&lt;&gt;"",$CO114,HLOOKUP($CM114,$AY$6:$BA$132,ROWS(CP$6:CP114),0))</f>
        <v>185.0411964502926</v>
      </c>
      <c r="CQ114" s="784">
        <f t="shared" si="190"/>
        <v>0</v>
      </c>
      <c r="CR114" s="784">
        <f t="shared" si="190"/>
        <v>0</v>
      </c>
      <c r="CS114" s="97">
        <f t="shared" si="190"/>
        <v>0</v>
      </c>
      <c r="CT114" s="97">
        <f t="shared" si="190"/>
        <v>0</v>
      </c>
      <c r="CU114" s="97">
        <f t="shared" si="190"/>
        <v>0</v>
      </c>
      <c r="CV114" s="97">
        <f t="shared" si="190"/>
        <v>0</v>
      </c>
      <c r="CW114" s="97">
        <f t="shared" si="190"/>
        <v>0</v>
      </c>
      <c r="CX114" s="98">
        <f t="shared" si="190"/>
        <v>0</v>
      </c>
      <c r="CY114" s="392"/>
    </row>
    <row r="115" spans="1:103" x14ac:dyDescent="0.25">
      <c r="A115" s="81" t="s">
        <v>224</v>
      </c>
      <c r="B115" s="82" t="s">
        <v>233</v>
      </c>
      <c r="C115" s="83" t="s">
        <v>234</v>
      </c>
      <c r="D115" s="84">
        <v>8267.2693421542608</v>
      </c>
      <c r="E115" s="85">
        <v>13581.798297145368</v>
      </c>
      <c r="F115" s="85">
        <v>23998.239677458165</v>
      </c>
      <c r="G115" s="85">
        <v>17709.547924445113</v>
      </c>
      <c r="H115" s="85">
        <v>22047.628601785651</v>
      </c>
      <c r="I115" s="85">
        <v>24488.636103488083</v>
      </c>
      <c r="J115" s="85">
        <v>117240.84966901346</v>
      </c>
      <c r="K115" s="85">
        <v>59317.442374491984</v>
      </c>
      <c r="L115" s="85">
        <v>65611.125512298226</v>
      </c>
      <c r="M115" s="654">
        <f>'2022-23 Input'!F115</f>
        <v>46418.135344554823</v>
      </c>
      <c r="N115" s="1065">
        <v>140440.60590576215</v>
      </c>
      <c r="O115" s="560">
        <f t="shared" si="139"/>
        <v>11123.249778984249</v>
      </c>
      <c r="P115" s="561">
        <f t="shared" si="113"/>
        <v>18001.735450644912</v>
      </c>
      <c r="Q115" s="561">
        <f t="shared" si="114"/>
        <v>31485.828392337415</v>
      </c>
      <c r="R115" s="561">
        <f t="shared" si="115"/>
        <v>22794.255765117749</v>
      </c>
      <c r="S115" s="561">
        <f t="shared" si="116"/>
        <v>27800.269361162751</v>
      </c>
      <c r="T115" s="561">
        <f t="shared" si="117"/>
        <v>30394.028933489095</v>
      </c>
      <c r="U115" s="561">
        <f t="shared" si="118"/>
        <v>146022.06830213769</v>
      </c>
      <c r="V115" s="561">
        <f t="shared" si="119"/>
        <v>71142.895888187064</v>
      </c>
      <c r="W115" s="675">
        <f t="shared" si="120"/>
        <v>74135.797567956688</v>
      </c>
      <c r="X115" s="675">
        <f t="shared" si="121"/>
        <v>49363.873200988484</v>
      </c>
      <c r="Y115" s="675">
        <f t="shared" si="121"/>
        <v>144302.50900239302</v>
      </c>
      <c r="Z115" s="86">
        <v>626</v>
      </c>
      <c r="AA115" s="87">
        <v>508</v>
      </c>
      <c r="AB115" s="87">
        <v>497</v>
      </c>
      <c r="AC115" s="87">
        <v>470</v>
      </c>
      <c r="AD115" s="87">
        <v>396</v>
      </c>
      <c r="AE115" s="87">
        <v>610</v>
      </c>
      <c r="AF115" s="87">
        <v>1218</v>
      </c>
      <c r="AG115" s="87">
        <v>417</v>
      </c>
      <c r="AH115" s="87">
        <v>367</v>
      </c>
      <c r="AI115" s="1094">
        <f>'2022-23 Input'!M115</f>
        <v>430</v>
      </c>
      <c r="AJ115" s="665">
        <v>0</v>
      </c>
      <c r="AK115" s="88">
        <f t="shared" si="174"/>
        <v>608.4</v>
      </c>
      <c r="AL115" s="89">
        <f t="shared" si="175"/>
        <v>404.66666666666669</v>
      </c>
      <c r="AM115" s="90">
        <f t="shared" si="176"/>
        <v>430</v>
      </c>
      <c r="AN115" s="91">
        <f t="shared" si="177"/>
        <v>13.206500546572302</v>
      </c>
      <c r="AO115" s="92">
        <f t="shared" si="178"/>
        <v>26.735823419577496</v>
      </c>
      <c r="AP115" s="92">
        <f t="shared" si="179"/>
        <v>48.286196534121054</v>
      </c>
      <c r="AQ115" s="92">
        <f t="shared" si="180"/>
        <v>37.679889200947045</v>
      </c>
      <c r="AR115" s="92">
        <f t="shared" si="181"/>
        <v>55.675829802489019</v>
      </c>
      <c r="AS115" s="92">
        <f t="shared" si="182"/>
        <v>40.145305087685379</v>
      </c>
      <c r="AT115" s="92">
        <f t="shared" si="183"/>
        <v>96.2568552290751</v>
      </c>
      <c r="AU115" s="92">
        <f t="shared" si="184"/>
        <v>142.24806324818221</v>
      </c>
      <c r="AV115" s="92">
        <f t="shared" si="185"/>
        <v>178.7769087528562</v>
      </c>
      <c r="AW115" s="92">
        <f t="shared" si="185"/>
        <v>107.94915196408098</v>
      </c>
      <c r="AX115" s="92" t="str">
        <f t="shared" si="185"/>
        <v/>
      </c>
      <c r="AY115" s="93">
        <f t="shared" si="186"/>
        <v>102.91787935695154</v>
      </c>
      <c r="AZ115" s="94">
        <f t="shared" si="187"/>
        <v>141.1422596633814</v>
      </c>
      <c r="BA115" s="95">
        <f t="shared" si="188"/>
        <v>107.94915196408098</v>
      </c>
      <c r="BB115" s="248" t="s">
        <v>422</v>
      </c>
      <c r="BC115" s="229" t="s">
        <v>433</v>
      </c>
      <c r="BD115" s="249">
        <v>0</v>
      </c>
      <c r="BE115" s="267">
        <f t="shared" si="140"/>
        <v>0</v>
      </c>
      <c r="BF115" s="268">
        <f t="shared" ref="BF115:BL115" si="203">IF(BF$6=$BB115,1,
IF(BE115&lt;&gt;0,BE115+1,0
))</f>
        <v>0</v>
      </c>
      <c r="BG115" s="268">
        <f t="shared" si="203"/>
        <v>0</v>
      </c>
      <c r="BH115" s="268">
        <f t="shared" si="203"/>
        <v>1</v>
      </c>
      <c r="BI115" s="268">
        <f t="shared" si="203"/>
        <v>2</v>
      </c>
      <c r="BJ115" s="268">
        <f t="shared" si="203"/>
        <v>3</v>
      </c>
      <c r="BK115" s="268">
        <f t="shared" si="203"/>
        <v>4</v>
      </c>
      <c r="BL115" s="269">
        <f t="shared" si="203"/>
        <v>5</v>
      </c>
      <c r="BM115" s="256">
        <f>IF($BC115=Lookup!$A$2,$BD115*ROUNDUP(BE115/10,0)+1,
IF($BC115=Lookup!$A$3,($BD115+1)^BD115,
IF($BC115=Lookup!$A$4,BE115*$BD115+1,"Error")))</f>
        <v>1</v>
      </c>
      <c r="BN115" s="229">
        <f>IF($BC115=Lookup!$A$2,$BD115*ROUNDUP(BF115/10,0)+1,
IF($BC115=Lookup!$A$3,($BD115+1)^BE115,
IF($BC115=Lookup!$A$4,BF115*$BD115+1,"Error")))</f>
        <v>1</v>
      </c>
      <c r="BO115" s="229">
        <f>IF($BC115=Lookup!$A$2,$BD115*ROUNDUP(BG115/10,0)+1,
IF($BC115=Lookup!$A$3,($BD115+1)^BF115,
IF($BC115=Lookup!$A$4,BG115*$BD115+1,"Error")))</f>
        <v>1</v>
      </c>
      <c r="BP115" s="229">
        <f>IF($BC115=Lookup!$A$2,$BD115*ROUNDUP(BH115/10,0)+1,
IF($BC115=Lookup!$A$3,($BD115+1)^BG115,
IF($BC115=Lookup!$A$4,BH115*$BD115+1,"Error")))</f>
        <v>1</v>
      </c>
      <c r="BQ115" s="229">
        <f>IF($BC115=Lookup!$A$2,$BD115*ROUNDUP(BI115/10,0)+1,
IF($BC115=Lookup!$A$3,($BD115+1)^BH115,
IF($BC115=Lookup!$A$4,BI115*$BD115+1,"Error")))</f>
        <v>1</v>
      </c>
      <c r="BR115" s="229">
        <f>IF($BC115=Lookup!$A$2,$BD115*ROUNDUP(BJ115/10,0)+1,
IF($BC115=Lookup!$A$3,($BD115+1)^BI115,
IF($BC115=Lookup!$A$4,BJ115*$BD115+1,"Error")))</f>
        <v>1</v>
      </c>
      <c r="BS115" s="229">
        <f>IF($BC115=Lookup!$A$2,$BD115*ROUNDUP(BK115/10,0)+1,
IF($BC115=Lookup!$A$3,($BD115+1)^BJ115,
IF($BC115=Lookup!$A$4,BK115*$BD115+1,"Error")))</f>
        <v>1</v>
      </c>
      <c r="BT115" s="249">
        <f>IF($BC115=Lookup!$A$2,$BD115*ROUNDUP(BL115/10,0)+1,
IF($BC115=Lookup!$A$3,($BD115+1)^BK115,
IF($BC115=Lookup!$A$4,BL115*$BD115+1,"Error")))</f>
        <v>1</v>
      </c>
      <c r="BU115" s="320">
        <v>0</v>
      </c>
      <c r="BV115" s="321">
        <v>0</v>
      </c>
      <c r="BW115" s="321">
        <v>0</v>
      </c>
      <c r="BX115" s="321">
        <v>0</v>
      </c>
      <c r="BY115" s="321">
        <v>0</v>
      </c>
      <c r="BZ115" s="321">
        <v>0</v>
      </c>
      <c r="CA115" s="321">
        <v>0</v>
      </c>
      <c r="CB115" s="277">
        <v>0</v>
      </c>
      <c r="CC115" s="382" t="s">
        <v>293</v>
      </c>
      <c r="CD115" s="383">
        <f>HLOOKUP($CC115,$AK$6:$AM$132,ROWS(CD$6:CD115),0)</f>
        <v>404.66666666666669</v>
      </c>
      <c r="CE115" s="234">
        <f t="shared" si="142"/>
        <v>0</v>
      </c>
      <c r="CF115" s="96">
        <f t="shared" si="142"/>
        <v>0</v>
      </c>
      <c r="CG115" s="96">
        <f t="shared" si="142"/>
        <v>0</v>
      </c>
      <c r="CH115" s="96">
        <f t="shared" si="142"/>
        <v>0</v>
      </c>
      <c r="CI115" s="96">
        <f t="shared" si="142"/>
        <v>0</v>
      </c>
      <c r="CJ115" s="96">
        <f t="shared" si="142"/>
        <v>0</v>
      </c>
      <c r="CK115" s="96">
        <f t="shared" si="142"/>
        <v>0</v>
      </c>
      <c r="CL115" s="286">
        <f t="shared" si="194"/>
        <v>0</v>
      </c>
      <c r="CM115" s="305" t="s">
        <v>293</v>
      </c>
      <c r="CN115" s="315">
        <v>0</v>
      </c>
      <c r="CO115" s="306"/>
      <c r="CP115" s="307">
        <f>IF($CO115&lt;&gt;"",$CO115,HLOOKUP($CM115,$AY$6:$BA$132,ROWS(CP$6:CP115),0))</f>
        <v>141.1422596633814</v>
      </c>
      <c r="CQ115" s="784">
        <f t="shared" si="190"/>
        <v>0</v>
      </c>
      <c r="CR115" s="784">
        <f t="shared" si="190"/>
        <v>0</v>
      </c>
      <c r="CS115" s="97">
        <f t="shared" si="190"/>
        <v>0</v>
      </c>
      <c r="CT115" s="97">
        <f t="shared" si="190"/>
        <v>0</v>
      </c>
      <c r="CU115" s="97">
        <f t="shared" si="190"/>
        <v>0</v>
      </c>
      <c r="CV115" s="97">
        <f t="shared" si="190"/>
        <v>0</v>
      </c>
      <c r="CW115" s="97">
        <f t="shared" si="190"/>
        <v>0</v>
      </c>
      <c r="CX115" s="98">
        <f t="shared" si="190"/>
        <v>0</v>
      </c>
      <c r="CY115" s="392"/>
    </row>
    <row r="116" spans="1:103" x14ac:dyDescent="0.25">
      <c r="A116" s="81" t="s">
        <v>224</v>
      </c>
      <c r="B116" s="82" t="s">
        <v>235</v>
      </c>
      <c r="C116" s="83" t="s">
        <v>236</v>
      </c>
      <c r="D116" s="84">
        <v>131011.00522819537</v>
      </c>
      <c r="E116" s="85">
        <v>111496.61819918828</v>
      </c>
      <c r="F116" s="85">
        <v>388674.04112611385</v>
      </c>
      <c r="G116" s="85">
        <v>203083.76795319273</v>
      </c>
      <c r="H116" s="85">
        <v>145640.09102418052</v>
      </c>
      <c r="I116" s="85">
        <v>203149.13945837854</v>
      </c>
      <c r="J116" s="85">
        <v>331523.69032799423</v>
      </c>
      <c r="K116" s="85">
        <v>31073.572314531</v>
      </c>
      <c r="L116" s="85">
        <v>238480.01422008692</v>
      </c>
      <c r="M116" s="654">
        <f>'2022-23 Input'!F116</f>
        <v>299780.3468326013</v>
      </c>
      <c r="N116" s="1065">
        <v>307456.6536765701</v>
      </c>
      <c r="O116" s="560">
        <f t="shared" si="139"/>
        <v>176269.58486988131</v>
      </c>
      <c r="P116" s="561">
        <f t="shared" si="113"/>
        <v>147781.06555191654</v>
      </c>
      <c r="Q116" s="561">
        <f t="shared" si="114"/>
        <v>509942.5759526919</v>
      </c>
      <c r="R116" s="561">
        <f t="shared" si="115"/>
        <v>261392.51934709912</v>
      </c>
      <c r="S116" s="561">
        <f t="shared" si="116"/>
        <v>183640.3285534555</v>
      </c>
      <c r="T116" s="561">
        <f t="shared" si="117"/>
        <v>252138.20795972747</v>
      </c>
      <c r="U116" s="561">
        <f t="shared" si="118"/>
        <v>412908.76933695347</v>
      </c>
      <c r="V116" s="561">
        <f t="shared" si="119"/>
        <v>37268.362079572282</v>
      </c>
      <c r="W116" s="675">
        <f t="shared" si="120"/>
        <v>269465.062825509</v>
      </c>
      <c r="X116" s="675">
        <f t="shared" si="121"/>
        <v>318804.68526680762</v>
      </c>
      <c r="Y116" s="675">
        <f t="shared" si="121"/>
        <v>315911.24410827231</v>
      </c>
      <c r="Z116" s="86">
        <v>22</v>
      </c>
      <c r="AA116" s="87">
        <v>20</v>
      </c>
      <c r="AB116" s="87">
        <v>60</v>
      </c>
      <c r="AC116" s="87">
        <v>36</v>
      </c>
      <c r="AD116" s="87">
        <v>26</v>
      </c>
      <c r="AE116" s="87">
        <v>39</v>
      </c>
      <c r="AF116" s="87">
        <v>71</v>
      </c>
      <c r="AG116" s="87">
        <v>9</v>
      </c>
      <c r="AH116" s="87">
        <v>23</v>
      </c>
      <c r="AI116" s="1094">
        <f>'2022-23 Input'!M116</f>
        <v>24</v>
      </c>
      <c r="AJ116" s="665">
        <v>0</v>
      </c>
      <c r="AK116" s="88">
        <f t="shared" si="174"/>
        <v>33.200000000000003</v>
      </c>
      <c r="AL116" s="89">
        <f t="shared" si="175"/>
        <v>18.666666666666668</v>
      </c>
      <c r="AM116" s="90">
        <f t="shared" si="176"/>
        <v>24</v>
      </c>
      <c r="AN116" s="91">
        <f t="shared" si="177"/>
        <v>5955.0456921906989</v>
      </c>
      <c r="AO116" s="92">
        <f t="shared" si="178"/>
        <v>5574.8309099594135</v>
      </c>
      <c r="AP116" s="92">
        <f t="shared" si="179"/>
        <v>6477.900685435231</v>
      </c>
      <c r="AQ116" s="92">
        <f t="shared" si="180"/>
        <v>5641.2157764775757</v>
      </c>
      <c r="AR116" s="92">
        <f t="shared" si="181"/>
        <v>5601.5419624684819</v>
      </c>
      <c r="AS116" s="92">
        <f t="shared" si="182"/>
        <v>5208.9522938045784</v>
      </c>
      <c r="AT116" s="92">
        <f t="shared" si="183"/>
        <v>4669.3477510985103</v>
      </c>
      <c r="AU116" s="92">
        <f t="shared" si="184"/>
        <v>3452.6191460589998</v>
      </c>
      <c r="AV116" s="92">
        <f t="shared" si="185"/>
        <v>10368.696270438562</v>
      </c>
      <c r="AW116" s="92">
        <f t="shared" si="185"/>
        <v>12490.847784691721</v>
      </c>
      <c r="AX116" s="92" t="str">
        <f t="shared" si="185"/>
        <v/>
      </c>
      <c r="AY116" s="93">
        <f t="shared" si="186"/>
        <v>6650.6431515276636</v>
      </c>
      <c r="AZ116" s="94">
        <f t="shared" si="187"/>
        <v>10166.677381557487</v>
      </c>
      <c r="BA116" s="95">
        <f t="shared" si="188"/>
        <v>12490.847784691721</v>
      </c>
      <c r="BB116" s="248" t="s">
        <v>422</v>
      </c>
      <c r="BC116" s="229" t="s">
        <v>433</v>
      </c>
      <c r="BD116" s="249">
        <v>0</v>
      </c>
      <c r="BE116" s="267">
        <f t="shared" si="140"/>
        <v>0</v>
      </c>
      <c r="BF116" s="268">
        <f t="shared" ref="BF116:BL116" si="204">IF(BF$6=$BB116,1,
IF(BE116&lt;&gt;0,BE116+1,0
))</f>
        <v>0</v>
      </c>
      <c r="BG116" s="268">
        <f t="shared" si="204"/>
        <v>0</v>
      </c>
      <c r="BH116" s="268">
        <f t="shared" si="204"/>
        <v>1</v>
      </c>
      <c r="BI116" s="268">
        <f t="shared" si="204"/>
        <v>2</v>
      </c>
      <c r="BJ116" s="268">
        <f t="shared" si="204"/>
        <v>3</v>
      </c>
      <c r="BK116" s="268">
        <f t="shared" si="204"/>
        <v>4</v>
      </c>
      <c r="BL116" s="269">
        <f t="shared" si="204"/>
        <v>5</v>
      </c>
      <c r="BM116" s="256">
        <f>IF($BC116=Lookup!$A$2,$BD116*ROUNDUP(BE116/10,0)+1,
IF($BC116=Lookup!$A$3,($BD116+1)^BD116,
IF($BC116=Lookup!$A$4,BE116*$BD116+1,"Error")))</f>
        <v>1</v>
      </c>
      <c r="BN116" s="229">
        <f>IF($BC116=Lookup!$A$2,$BD116*ROUNDUP(BF116/10,0)+1,
IF($BC116=Lookup!$A$3,($BD116+1)^BE116,
IF($BC116=Lookup!$A$4,BF116*$BD116+1,"Error")))</f>
        <v>1</v>
      </c>
      <c r="BO116" s="229">
        <f>IF($BC116=Lookup!$A$2,$BD116*ROUNDUP(BG116/10,0)+1,
IF($BC116=Lookup!$A$3,($BD116+1)^BF116,
IF($BC116=Lookup!$A$4,BG116*$BD116+1,"Error")))</f>
        <v>1</v>
      </c>
      <c r="BP116" s="229">
        <f>IF($BC116=Lookup!$A$2,$BD116*ROUNDUP(BH116/10,0)+1,
IF($BC116=Lookup!$A$3,($BD116+1)^BG116,
IF($BC116=Lookup!$A$4,BH116*$BD116+1,"Error")))</f>
        <v>1</v>
      </c>
      <c r="BQ116" s="229">
        <f>IF($BC116=Lookup!$A$2,$BD116*ROUNDUP(BI116/10,0)+1,
IF($BC116=Lookup!$A$3,($BD116+1)^BH116,
IF($BC116=Lookup!$A$4,BI116*$BD116+1,"Error")))</f>
        <v>1</v>
      </c>
      <c r="BR116" s="229">
        <f>IF($BC116=Lookup!$A$2,$BD116*ROUNDUP(BJ116/10,0)+1,
IF($BC116=Lookup!$A$3,($BD116+1)^BI116,
IF($BC116=Lookup!$A$4,BJ116*$BD116+1,"Error")))</f>
        <v>1</v>
      </c>
      <c r="BS116" s="229">
        <f>IF($BC116=Lookup!$A$2,$BD116*ROUNDUP(BK116/10,0)+1,
IF($BC116=Lookup!$A$3,($BD116+1)^BJ116,
IF($BC116=Lookup!$A$4,BK116*$BD116+1,"Error")))</f>
        <v>1</v>
      </c>
      <c r="BT116" s="249">
        <f>IF($BC116=Lookup!$A$2,$BD116*ROUNDUP(BL116/10,0)+1,
IF($BC116=Lookup!$A$3,($BD116+1)^BK116,
IF($BC116=Lookup!$A$4,BL116*$BD116+1,"Error")))</f>
        <v>1</v>
      </c>
      <c r="BU116" s="320">
        <v>0</v>
      </c>
      <c r="BV116" s="321">
        <v>0</v>
      </c>
      <c r="BW116" s="321">
        <v>0</v>
      </c>
      <c r="BX116" s="321">
        <v>0</v>
      </c>
      <c r="BY116" s="321">
        <v>0</v>
      </c>
      <c r="BZ116" s="321">
        <v>0</v>
      </c>
      <c r="CA116" s="321">
        <v>0</v>
      </c>
      <c r="CB116" s="277">
        <v>0</v>
      </c>
      <c r="CC116" s="382" t="s">
        <v>293</v>
      </c>
      <c r="CD116" s="383">
        <f>HLOOKUP($CC116,$AK$6:$AM$132,ROWS(CD$6:CD116),0)</f>
        <v>18.666666666666668</v>
      </c>
      <c r="CE116" s="234">
        <f t="shared" si="142"/>
        <v>0</v>
      </c>
      <c r="CF116" s="96">
        <f t="shared" si="142"/>
        <v>0</v>
      </c>
      <c r="CG116" s="96">
        <f t="shared" si="142"/>
        <v>0</v>
      </c>
      <c r="CH116" s="96">
        <f t="shared" si="142"/>
        <v>0</v>
      </c>
      <c r="CI116" s="96">
        <f t="shared" si="142"/>
        <v>0</v>
      </c>
      <c r="CJ116" s="96">
        <f t="shared" si="142"/>
        <v>0</v>
      </c>
      <c r="CK116" s="96">
        <f t="shared" si="142"/>
        <v>0</v>
      </c>
      <c r="CL116" s="286">
        <f t="shared" si="194"/>
        <v>0</v>
      </c>
      <c r="CM116" s="305" t="s">
        <v>293</v>
      </c>
      <c r="CN116" s="315">
        <v>0</v>
      </c>
      <c r="CO116" s="306"/>
      <c r="CP116" s="307">
        <f>IF($CO116&lt;&gt;"",$CO116,HLOOKUP($CM116,$AY$6:$BA$132,ROWS(CP$6:CP116),0))</f>
        <v>10166.677381557487</v>
      </c>
      <c r="CQ116" s="784">
        <f t="shared" si="190"/>
        <v>0</v>
      </c>
      <c r="CR116" s="784">
        <f t="shared" si="190"/>
        <v>0</v>
      </c>
      <c r="CS116" s="97">
        <f t="shared" si="190"/>
        <v>0</v>
      </c>
      <c r="CT116" s="97">
        <f t="shared" si="190"/>
        <v>0</v>
      </c>
      <c r="CU116" s="97">
        <f t="shared" si="190"/>
        <v>0</v>
      </c>
      <c r="CV116" s="97">
        <f t="shared" si="190"/>
        <v>0</v>
      </c>
      <c r="CW116" s="97">
        <f t="shared" si="190"/>
        <v>0</v>
      </c>
      <c r="CX116" s="98">
        <f t="shared" si="190"/>
        <v>0</v>
      </c>
      <c r="CY116" s="392"/>
    </row>
    <row r="117" spans="1:103" x14ac:dyDescent="0.25">
      <c r="A117" s="81" t="s">
        <v>224</v>
      </c>
      <c r="B117" s="82" t="s">
        <v>237</v>
      </c>
      <c r="C117" s="83" t="s">
        <v>238</v>
      </c>
      <c r="D117" s="84">
        <v>724850.353282194</v>
      </c>
      <c r="E117" s="85">
        <v>273653.41245551279</v>
      </c>
      <c r="F117" s="85">
        <v>612714.81170891796</v>
      </c>
      <c r="G117" s="85">
        <v>567100.516543473</v>
      </c>
      <c r="H117" s="85">
        <v>261045.66636261577</v>
      </c>
      <c r="I117" s="85">
        <v>494784.44002273428</v>
      </c>
      <c r="J117" s="85">
        <v>559615.68288026936</v>
      </c>
      <c r="K117" s="85">
        <v>236209.82158919398</v>
      </c>
      <c r="L117" s="85">
        <v>311758.81575409649</v>
      </c>
      <c r="M117" s="654">
        <f>'2022-23 Input'!F117</f>
        <v>787721.08799949021</v>
      </c>
      <c r="N117" s="1065">
        <v>761222.16098234162</v>
      </c>
      <c r="O117" s="560">
        <f t="shared" si="139"/>
        <v>975254.48830264749</v>
      </c>
      <c r="P117" s="561">
        <f t="shared" si="113"/>
        <v>362708.69500585634</v>
      </c>
      <c r="Q117" s="561">
        <f t="shared" si="114"/>
        <v>803885.3546842176</v>
      </c>
      <c r="R117" s="561">
        <f t="shared" si="115"/>
        <v>729924.57366905583</v>
      </c>
      <c r="S117" s="561">
        <f t="shared" si="116"/>
        <v>329157.38792230835</v>
      </c>
      <c r="T117" s="561">
        <f t="shared" si="117"/>
        <v>614100.86385942705</v>
      </c>
      <c r="U117" s="561">
        <f t="shared" si="118"/>
        <v>696994.6029833965</v>
      </c>
      <c r="V117" s="561">
        <f t="shared" si="119"/>
        <v>283300.32571184658</v>
      </c>
      <c r="W117" s="675">
        <f t="shared" si="120"/>
        <v>352264.77635167795</v>
      </c>
      <c r="X117" s="675">
        <f t="shared" si="121"/>
        <v>837710.59774621064</v>
      </c>
      <c r="Y117" s="675">
        <f t="shared" si="121"/>
        <v>782154.61283102119</v>
      </c>
      <c r="Z117" s="86">
        <v>271</v>
      </c>
      <c r="AA117" s="87">
        <v>106</v>
      </c>
      <c r="AB117" s="87">
        <v>161</v>
      </c>
      <c r="AC117" s="87">
        <v>182</v>
      </c>
      <c r="AD117" s="87">
        <v>84</v>
      </c>
      <c r="AE117" s="87">
        <v>134</v>
      </c>
      <c r="AF117" s="87">
        <v>256</v>
      </c>
      <c r="AG117" s="87">
        <v>55</v>
      </c>
      <c r="AH117" s="87">
        <v>58</v>
      </c>
      <c r="AI117" s="1094">
        <f>'2022-23 Input'!M117</f>
        <v>90</v>
      </c>
      <c r="AJ117" s="665">
        <v>0</v>
      </c>
      <c r="AK117" s="88">
        <f t="shared" si="174"/>
        <v>118.6</v>
      </c>
      <c r="AL117" s="89">
        <f t="shared" si="175"/>
        <v>67.666666666666671</v>
      </c>
      <c r="AM117" s="90">
        <f t="shared" si="176"/>
        <v>90</v>
      </c>
      <c r="AN117" s="91">
        <f t="shared" si="177"/>
        <v>2674.7245508568044</v>
      </c>
      <c r="AO117" s="92">
        <f t="shared" si="178"/>
        <v>2581.6359665614414</v>
      </c>
      <c r="AP117" s="92">
        <f t="shared" si="179"/>
        <v>3805.6820603038382</v>
      </c>
      <c r="AQ117" s="92">
        <f t="shared" si="180"/>
        <v>3115.9369040850165</v>
      </c>
      <c r="AR117" s="92">
        <f t="shared" si="181"/>
        <v>3107.6865043168546</v>
      </c>
      <c r="AS117" s="92">
        <f t="shared" si="182"/>
        <v>3692.4211941995095</v>
      </c>
      <c r="AT117" s="92">
        <f t="shared" si="183"/>
        <v>2185.9987612510522</v>
      </c>
      <c r="AU117" s="92">
        <f t="shared" si="184"/>
        <v>4294.7240288944358</v>
      </c>
      <c r="AV117" s="92">
        <f t="shared" si="185"/>
        <v>5375.1519957602841</v>
      </c>
      <c r="AW117" s="92">
        <f t="shared" si="185"/>
        <v>8752.4565333276696</v>
      </c>
      <c r="AX117" s="92" t="str">
        <f t="shared" si="185"/>
        <v/>
      </c>
      <c r="AY117" s="93">
        <f t="shared" si="186"/>
        <v>4030.5056462829411</v>
      </c>
      <c r="AZ117" s="94">
        <f t="shared" si="187"/>
        <v>6579.7523415900532</v>
      </c>
      <c r="BA117" s="95">
        <f t="shared" si="188"/>
        <v>8752.4565333276696</v>
      </c>
      <c r="BB117" s="248" t="s">
        <v>422</v>
      </c>
      <c r="BC117" s="229" t="s">
        <v>433</v>
      </c>
      <c r="BD117" s="249">
        <v>0</v>
      </c>
      <c r="BE117" s="267">
        <f t="shared" si="140"/>
        <v>0</v>
      </c>
      <c r="BF117" s="268">
        <f t="shared" ref="BF117:BL117" si="205">IF(BF$6=$BB117,1,
IF(BE117&lt;&gt;0,BE117+1,0
))</f>
        <v>0</v>
      </c>
      <c r="BG117" s="268">
        <f t="shared" si="205"/>
        <v>0</v>
      </c>
      <c r="BH117" s="268">
        <f t="shared" si="205"/>
        <v>1</v>
      </c>
      <c r="BI117" s="268">
        <f t="shared" si="205"/>
        <v>2</v>
      </c>
      <c r="BJ117" s="268">
        <f t="shared" si="205"/>
        <v>3</v>
      </c>
      <c r="BK117" s="268">
        <f t="shared" si="205"/>
        <v>4</v>
      </c>
      <c r="BL117" s="269">
        <f t="shared" si="205"/>
        <v>5</v>
      </c>
      <c r="BM117" s="256">
        <f>IF($BC117=Lookup!$A$2,$BD117*ROUNDUP(BE117/10,0)+1,
IF($BC117=Lookup!$A$3,($BD117+1)^BD117,
IF($BC117=Lookup!$A$4,BE117*$BD117+1,"Error")))</f>
        <v>1</v>
      </c>
      <c r="BN117" s="229">
        <f>IF($BC117=Lookup!$A$2,$BD117*ROUNDUP(BF117/10,0)+1,
IF($BC117=Lookup!$A$3,($BD117+1)^BE117,
IF($BC117=Lookup!$A$4,BF117*$BD117+1,"Error")))</f>
        <v>1</v>
      </c>
      <c r="BO117" s="229">
        <f>IF($BC117=Lookup!$A$2,$BD117*ROUNDUP(BG117/10,0)+1,
IF($BC117=Lookup!$A$3,($BD117+1)^BF117,
IF($BC117=Lookup!$A$4,BG117*$BD117+1,"Error")))</f>
        <v>1</v>
      </c>
      <c r="BP117" s="229">
        <f>IF($BC117=Lookup!$A$2,$BD117*ROUNDUP(BH117/10,0)+1,
IF($BC117=Lookup!$A$3,($BD117+1)^BG117,
IF($BC117=Lookup!$A$4,BH117*$BD117+1,"Error")))</f>
        <v>1</v>
      </c>
      <c r="BQ117" s="229">
        <f>IF($BC117=Lookup!$A$2,$BD117*ROUNDUP(BI117/10,0)+1,
IF($BC117=Lookup!$A$3,($BD117+1)^BH117,
IF($BC117=Lookup!$A$4,BI117*$BD117+1,"Error")))</f>
        <v>1</v>
      </c>
      <c r="BR117" s="229">
        <f>IF($BC117=Lookup!$A$2,$BD117*ROUNDUP(BJ117/10,0)+1,
IF($BC117=Lookup!$A$3,($BD117+1)^BI117,
IF($BC117=Lookup!$A$4,BJ117*$BD117+1,"Error")))</f>
        <v>1</v>
      </c>
      <c r="BS117" s="229">
        <f>IF($BC117=Lookup!$A$2,$BD117*ROUNDUP(BK117/10,0)+1,
IF($BC117=Lookup!$A$3,($BD117+1)^BJ117,
IF($BC117=Lookup!$A$4,BK117*$BD117+1,"Error")))</f>
        <v>1</v>
      </c>
      <c r="BT117" s="249">
        <f>IF($BC117=Lookup!$A$2,$BD117*ROUNDUP(BL117/10,0)+1,
IF($BC117=Lookup!$A$3,($BD117+1)^BK117,
IF($BC117=Lookup!$A$4,BL117*$BD117+1,"Error")))</f>
        <v>1</v>
      </c>
      <c r="BU117" s="320">
        <v>0</v>
      </c>
      <c r="BV117" s="321">
        <v>0</v>
      </c>
      <c r="BW117" s="321">
        <v>0</v>
      </c>
      <c r="BX117" s="321">
        <v>0</v>
      </c>
      <c r="BY117" s="321">
        <v>0</v>
      </c>
      <c r="BZ117" s="321">
        <v>0</v>
      </c>
      <c r="CA117" s="321">
        <v>0</v>
      </c>
      <c r="CB117" s="277">
        <v>0</v>
      </c>
      <c r="CC117" s="382" t="s">
        <v>293</v>
      </c>
      <c r="CD117" s="383">
        <f>HLOOKUP($CC117,$AK$6:$AM$132,ROWS(CD$6:CD117),0)</f>
        <v>67.666666666666671</v>
      </c>
      <c r="CE117" s="234">
        <f t="shared" si="142"/>
        <v>0</v>
      </c>
      <c r="CF117" s="96">
        <f t="shared" si="142"/>
        <v>0</v>
      </c>
      <c r="CG117" s="96">
        <f t="shared" si="142"/>
        <v>0</v>
      </c>
      <c r="CH117" s="96">
        <f t="shared" si="142"/>
        <v>0</v>
      </c>
      <c r="CI117" s="96">
        <f t="shared" si="142"/>
        <v>0</v>
      </c>
      <c r="CJ117" s="96">
        <f t="shared" si="142"/>
        <v>0</v>
      </c>
      <c r="CK117" s="96">
        <f t="shared" si="142"/>
        <v>0</v>
      </c>
      <c r="CL117" s="286">
        <f t="shared" si="194"/>
        <v>0</v>
      </c>
      <c r="CM117" s="305" t="s">
        <v>293</v>
      </c>
      <c r="CN117" s="315">
        <v>0</v>
      </c>
      <c r="CO117" s="306"/>
      <c r="CP117" s="307">
        <f>IF($CO117&lt;&gt;"",$CO117,HLOOKUP($CM117,$AY$6:$BA$132,ROWS(CP$6:CP117),0))</f>
        <v>6579.7523415900532</v>
      </c>
      <c r="CQ117" s="784">
        <f t="shared" si="190"/>
        <v>0</v>
      </c>
      <c r="CR117" s="784">
        <f t="shared" si="190"/>
        <v>0</v>
      </c>
      <c r="CS117" s="97">
        <f t="shared" si="190"/>
        <v>0</v>
      </c>
      <c r="CT117" s="97">
        <f t="shared" si="190"/>
        <v>0</v>
      </c>
      <c r="CU117" s="97">
        <f t="shared" si="190"/>
        <v>0</v>
      </c>
      <c r="CV117" s="97">
        <f t="shared" si="190"/>
        <v>0</v>
      </c>
      <c r="CW117" s="97">
        <f t="shared" si="190"/>
        <v>0</v>
      </c>
      <c r="CX117" s="98">
        <f t="shared" si="190"/>
        <v>0</v>
      </c>
      <c r="CY117" s="392"/>
    </row>
    <row r="118" spans="1:103" ht="15.75" thickBot="1" x14ac:dyDescent="0.3">
      <c r="A118" s="100" t="s">
        <v>224</v>
      </c>
      <c r="B118" s="101" t="s">
        <v>397</v>
      </c>
      <c r="C118" s="102" t="s">
        <v>398</v>
      </c>
      <c r="D118" s="103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655">
        <f>'2022-23 Input'!F118</f>
        <v>0</v>
      </c>
      <c r="N118" s="1066">
        <v>0</v>
      </c>
      <c r="O118" s="563">
        <f t="shared" si="139"/>
        <v>0</v>
      </c>
      <c r="P118" s="564">
        <f t="shared" si="113"/>
        <v>0</v>
      </c>
      <c r="Q118" s="564">
        <f t="shared" si="114"/>
        <v>0</v>
      </c>
      <c r="R118" s="564">
        <f t="shared" si="115"/>
        <v>0</v>
      </c>
      <c r="S118" s="564">
        <f t="shared" si="116"/>
        <v>0</v>
      </c>
      <c r="T118" s="564">
        <f t="shared" si="117"/>
        <v>0</v>
      </c>
      <c r="U118" s="564">
        <f t="shared" si="118"/>
        <v>0</v>
      </c>
      <c r="V118" s="564">
        <f t="shared" si="119"/>
        <v>0</v>
      </c>
      <c r="W118" s="676">
        <f t="shared" si="120"/>
        <v>0</v>
      </c>
      <c r="X118" s="676">
        <f t="shared" si="121"/>
        <v>0</v>
      </c>
      <c r="Y118" s="676">
        <f t="shared" si="121"/>
        <v>0</v>
      </c>
      <c r="Z118" s="105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0</v>
      </c>
      <c r="AF118" s="106">
        <v>0</v>
      </c>
      <c r="AG118" s="106">
        <v>0</v>
      </c>
      <c r="AH118" s="106">
        <v>0</v>
      </c>
      <c r="AI118" s="1095">
        <f>'2022-23 Input'!M118</f>
        <v>0</v>
      </c>
      <c r="AJ118" s="666">
        <v>0</v>
      </c>
      <c r="AK118" s="107">
        <f t="shared" si="174"/>
        <v>0</v>
      </c>
      <c r="AL118" s="108">
        <f t="shared" si="175"/>
        <v>0</v>
      </c>
      <c r="AM118" s="109">
        <f t="shared" si="176"/>
        <v>0</v>
      </c>
      <c r="AN118" s="110" t="str">
        <f t="shared" si="177"/>
        <v/>
      </c>
      <c r="AO118" s="111" t="str">
        <f t="shared" si="178"/>
        <v/>
      </c>
      <c r="AP118" s="111" t="str">
        <f t="shared" si="179"/>
        <v/>
      </c>
      <c r="AQ118" s="111" t="str">
        <f t="shared" si="180"/>
        <v/>
      </c>
      <c r="AR118" s="111" t="str">
        <f t="shared" si="181"/>
        <v/>
      </c>
      <c r="AS118" s="111" t="str">
        <f t="shared" si="182"/>
        <v/>
      </c>
      <c r="AT118" s="111" t="str">
        <f t="shared" si="183"/>
        <v/>
      </c>
      <c r="AU118" s="111" t="str">
        <f t="shared" si="184"/>
        <v/>
      </c>
      <c r="AV118" s="111" t="str">
        <f t="shared" si="185"/>
        <v/>
      </c>
      <c r="AW118" s="111" t="str">
        <f t="shared" si="185"/>
        <v/>
      </c>
      <c r="AX118" s="111" t="str">
        <f t="shared" si="185"/>
        <v/>
      </c>
      <c r="AY118" s="112" t="str">
        <f t="shared" si="186"/>
        <v/>
      </c>
      <c r="AZ118" s="113" t="str">
        <f t="shared" si="187"/>
        <v/>
      </c>
      <c r="BA118" s="114" t="str">
        <f t="shared" si="188"/>
        <v/>
      </c>
      <c r="BB118" s="250" t="s">
        <v>422</v>
      </c>
      <c r="BC118" s="230" t="s">
        <v>433</v>
      </c>
      <c r="BD118" s="251">
        <v>0</v>
      </c>
      <c r="BE118" s="270">
        <f t="shared" si="140"/>
        <v>0</v>
      </c>
      <c r="BF118" s="271">
        <f t="shared" ref="BF118:BL118" si="206">IF(BF$6=$BB118,1,
IF(BE118&lt;&gt;0,BE118+1,0
))</f>
        <v>0</v>
      </c>
      <c r="BG118" s="271">
        <f t="shared" si="206"/>
        <v>0</v>
      </c>
      <c r="BH118" s="271">
        <f t="shared" si="206"/>
        <v>1</v>
      </c>
      <c r="BI118" s="271">
        <f t="shared" si="206"/>
        <v>2</v>
      </c>
      <c r="BJ118" s="271">
        <f t="shared" si="206"/>
        <v>3</v>
      </c>
      <c r="BK118" s="271">
        <f t="shared" si="206"/>
        <v>4</v>
      </c>
      <c r="BL118" s="272">
        <f t="shared" si="206"/>
        <v>5</v>
      </c>
      <c r="BM118" s="257">
        <f>IF($BC118=Lookup!$A$2,$BD118*ROUNDUP(BE118/10,0)+1,
IF($BC118=Lookup!$A$3,($BD118+1)^BD118,
IF($BC118=Lookup!$A$4,BE118*$BD118+1,"Error")))</f>
        <v>1</v>
      </c>
      <c r="BN118" s="230">
        <f>IF($BC118=Lookup!$A$2,$BD118*ROUNDUP(BF118/10,0)+1,
IF($BC118=Lookup!$A$3,($BD118+1)^BE118,
IF($BC118=Lookup!$A$4,BF118*$BD118+1,"Error")))</f>
        <v>1</v>
      </c>
      <c r="BO118" s="230">
        <f>IF($BC118=Lookup!$A$2,$BD118*ROUNDUP(BG118/10,0)+1,
IF($BC118=Lookup!$A$3,($BD118+1)^BF118,
IF($BC118=Lookup!$A$4,BG118*$BD118+1,"Error")))</f>
        <v>1</v>
      </c>
      <c r="BP118" s="230">
        <f>IF($BC118=Lookup!$A$2,$BD118*ROUNDUP(BH118/10,0)+1,
IF($BC118=Lookup!$A$3,($BD118+1)^BG118,
IF($BC118=Lookup!$A$4,BH118*$BD118+1,"Error")))</f>
        <v>1</v>
      </c>
      <c r="BQ118" s="230">
        <f>IF($BC118=Lookup!$A$2,$BD118*ROUNDUP(BI118/10,0)+1,
IF($BC118=Lookup!$A$3,($BD118+1)^BH118,
IF($BC118=Lookup!$A$4,BI118*$BD118+1,"Error")))</f>
        <v>1</v>
      </c>
      <c r="BR118" s="230">
        <f>IF($BC118=Lookup!$A$2,$BD118*ROUNDUP(BJ118/10,0)+1,
IF($BC118=Lookup!$A$3,($BD118+1)^BI118,
IF($BC118=Lookup!$A$4,BJ118*$BD118+1,"Error")))</f>
        <v>1</v>
      </c>
      <c r="BS118" s="230">
        <f>IF($BC118=Lookup!$A$2,$BD118*ROUNDUP(BK118/10,0)+1,
IF($BC118=Lookup!$A$3,($BD118+1)^BJ118,
IF($BC118=Lookup!$A$4,BK118*$BD118+1,"Error")))</f>
        <v>1</v>
      </c>
      <c r="BT118" s="251">
        <f>IF($BC118=Lookup!$A$2,$BD118*ROUNDUP(BL118/10,0)+1,
IF($BC118=Lookup!$A$3,($BD118+1)^BK118,
IF($BC118=Lookup!$A$4,BL118*$BD118+1,"Error")))</f>
        <v>1</v>
      </c>
      <c r="BU118" s="322">
        <v>0</v>
      </c>
      <c r="BV118" s="323">
        <v>0</v>
      </c>
      <c r="BW118" s="323">
        <v>0</v>
      </c>
      <c r="BX118" s="323">
        <v>0</v>
      </c>
      <c r="BY118" s="323">
        <v>0</v>
      </c>
      <c r="BZ118" s="323">
        <v>0</v>
      </c>
      <c r="CA118" s="323">
        <v>0</v>
      </c>
      <c r="CB118" s="278">
        <v>0</v>
      </c>
      <c r="CC118" s="384" t="s">
        <v>293</v>
      </c>
      <c r="CD118" s="385">
        <f>HLOOKUP($CC118,$AK$6:$AM$132,ROWS(CD$6:CD118),0)</f>
        <v>0</v>
      </c>
      <c r="CE118" s="235">
        <f t="shared" si="142"/>
        <v>0</v>
      </c>
      <c r="CF118" s="115">
        <f t="shared" si="142"/>
        <v>0</v>
      </c>
      <c r="CG118" s="115">
        <f t="shared" si="142"/>
        <v>0</v>
      </c>
      <c r="CH118" s="115">
        <f t="shared" si="142"/>
        <v>0</v>
      </c>
      <c r="CI118" s="115">
        <f t="shared" si="142"/>
        <v>0</v>
      </c>
      <c r="CJ118" s="115">
        <f t="shared" si="142"/>
        <v>0</v>
      </c>
      <c r="CK118" s="115">
        <f t="shared" si="142"/>
        <v>0</v>
      </c>
      <c r="CL118" s="287">
        <f t="shared" si="194"/>
        <v>0</v>
      </c>
      <c r="CM118" s="308" t="s">
        <v>293</v>
      </c>
      <c r="CN118" s="316">
        <v>0</v>
      </c>
      <c r="CO118" s="309"/>
      <c r="CP118" s="310" t="str">
        <f>IF($CO118&lt;&gt;"",$CO118,HLOOKUP($CM118,$AY$6:$BA$132,ROWS(CP$6:CP118),0))</f>
        <v/>
      </c>
      <c r="CQ118" s="785" t="str">
        <f t="shared" si="190"/>
        <v/>
      </c>
      <c r="CR118" s="785" t="str">
        <f t="shared" si="190"/>
        <v/>
      </c>
      <c r="CS118" s="117" t="str">
        <f t="shared" si="190"/>
        <v/>
      </c>
      <c r="CT118" s="117" t="str">
        <f t="shared" si="190"/>
        <v/>
      </c>
      <c r="CU118" s="117" t="str">
        <f t="shared" si="190"/>
        <v/>
      </c>
      <c r="CV118" s="117" t="str">
        <f t="shared" si="190"/>
        <v/>
      </c>
      <c r="CW118" s="117" t="str">
        <f t="shared" si="190"/>
        <v/>
      </c>
      <c r="CX118" s="118" t="str">
        <f t="shared" si="190"/>
        <v/>
      </c>
      <c r="CY118" s="393"/>
    </row>
    <row r="119" spans="1:103" x14ac:dyDescent="0.25">
      <c r="A119" s="63" t="s">
        <v>242</v>
      </c>
      <c r="B119" s="64" t="s">
        <v>239</v>
      </c>
      <c r="C119" s="65" t="s">
        <v>241</v>
      </c>
      <c r="D119" s="66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53">
        <f>'2022-23 Input'!F119</f>
        <v>0</v>
      </c>
      <c r="N119" s="1064">
        <v>0</v>
      </c>
      <c r="O119" s="557">
        <f t="shared" si="139"/>
        <v>0</v>
      </c>
      <c r="P119" s="558">
        <f t="shared" si="113"/>
        <v>0</v>
      </c>
      <c r="Q119" s="558">
        <f t="shared" si="114"/>
        <v>0</v>
      </c>
      <c r="R119" s="558">
        <f t="shared" si="115"/>
        <v>0</v>
      </c>
      <c r="S119" s="558">
        <f t="shared" si="116"/>
        <v>0</v>
      </c>
      <c r="T119" s="558">
        <f t="shared" si="117"/>
        <v>0</v>
      </c>
      <c r="U119" s="558">
        <f t="shared" si="118"/>
        <v>0</v>
      </c>
      <c r="V119" s="558">
        <f t="shared" si="119"/>
        <v>0</v>
      </c>
      <c r="W119" s="674">
        <f t="shared" si="120"/>
        <v>0</v>
      </c>
      <c r="X119" s="674">
        <f t="shared" si="121"/>
        <v>0</v>
      </c>
      <c r="Y119" s="674">
        <f t="shared" si="121"/>
        <v>0</v>
      </c>
      <c r="Z119" s="68">
        <v>0</v>
      </c>
      <c r="AA119" s="69">
        <v>0</v>
      </c>
      <c r="AB119" s="69">
        <v>0</v>
      </c>
      <c r="AC119" s="69">
        <v>0</v>
      </c>
      <c r="AD119" s="69">
        <v>0</v>
      </c>
      <c r="AE119" s="69">
        <v>0</v>
      </c>
      <c r="AF119" s="69">
        <v>0</v>
      </c>
      <c r="AG119" s="69">
        <v>0</v>
      </c>
      <c r="AH119" s="69">
        <v>0</v>
      </c>
      <c r="AI119" s="1093">
        <f>'2022-23 Input'!M119</f>
        <v>0</v>
      </c>
      <c r="AJ119" s="664">
        <v>0</v>
      </c>
      <c r="AK119" s="70">
        <f t="shared" si="174"/>
        <v>0</v>
      </c>
      <c r="AL119" s="71">
        <f t="shared" si="175"/>
        <v>0</v>
      </c>
      <c r="AM119" s="72">
        <f t="shared" si="176"/>
        <v>0</v>
      </c>
      <c r="AN119" s="73" t="str">
        <f t="shared" si="177"/>
        <v/>
      </c>
      <c r="AO119" s="74" t="str">
        <f t="shared" si="178"/>
        <v/>
      </c>
      <c r="AP119" s="74" t="str">
        <f t="shared" si="179"/>
        <v/>
      </c>
      <c r="AQ119" s="74" t="str">
        <f t="shared" si="180"/>
        <v/>
      </c>
      <c r="AR119" s="74" t="str">
        <f t="shared" si="181"/>
        <v/>
      </c>
      <c r="AS119" s="74" t="str">
        <f t="shared" si="182"/>
        <v/>
      </c>
      <c r="AT119" s="74" t="str">
        <f t="shared" si="183"/>
        <v/>
      </c>
      <c r="AU119" s="74" t="str">
        <f t="shared" si="184"/>
        <v/>
      </c>
      <c r="AV119" s="74" t="str">
        <f t="shared" ref="AV119:AX132" si="207">IFERROR(L119/AH119,"")</f>
        <v/>
      </c>
      <c r="AW119" s="74" t="str">
        <f t="shared" si="207"/>
        <v/>
      </c>
      <c r="AX119" s="74" t="str">
        <f t="shared" si="207"/>
        <v/>
      </c>
      <c r="AY119" s="75" t="str">
        <f t="shared" si="186"/>
        <v/>
      </c>
      <c r="AZ119" s="76" t="str">
        <f t="shared" si="187"/>
        <v/>
      </c>
      <c r="BA119" s="77" t="str">
        <f t="shared" si="188"/>
        <v/>
      </c>
      <c r="BB119" s="252" t="s">
        <v>422</v>
      </c>
      <c r="BC119" s="231" t="s">
        <v>433</v>
      </c>
      <c r="BD119" s="253">
        <v>0</v>
      </c>
      <c r="BE119" s="273">
        <f t="shared" si="140"/>
        <v>0</v>
      </c>
      <c r="BF119" s="274">
        <f t="shared" ref="BF119:BL119" si="208">IF(BF$6=$BB119,1,
IF(BE119&lt;&gt;0,BE119+1,0
))</f>
        <v>0</v>
      </c>
      <c r="BG119" s="274">
        <f t="shared" si="208"/>
        <v>0</v>
      </c>
      <c r="BH119" s="274">
        <f t="shared" si="208"/>
        <v>1</v>
      </c>
      <c r="BI119" s="274">
        <f t="shared" si="208"/>
        <v>2</v>
      </c>
      <c r="BJ119" s="274">
        <f t="shared" si="208"/>
        <v>3</v>
      </c>
      <c r="BK119" s="274">
        <f t="shared" si="208"/>
        <v>4</v>
      </c>
      <c r="BL119" s="275">
        <f t="shared" si="208"/>
        <v>5</v>
      </c>
      <c r="BM119" s="258">
        <f>IF($BC119=Lookup!$A$2,$BD119*ROUNDUP(BE119/10,0)+1,
IF($BC119=Lookup!$A$3,($BD119+1)^BD119,
IF($BC119=Lookup!$A$4,BE119*$BD119+1,"Error")))</f>
        <v>1</v>
      </c>
      <c r="BN119" s="231">
        <f>IF($BC119=Lookup!$A$2,$BD119*ROUNDUP(BF119/10,0)+1,
IF($BC119=Lookup!$A$3,($BD119+1)^BE119,
IF($BC119=Lookup!$A$4,BF119*$BD119+1,"Error")))</f>
        <v>1</v>
      </c>
      <c r="BO119" s="231">
        <f>IF($BC119=Lookup!$A$2,$BD119*ROUNDUP(BG119/10,0)+1,
IF($BC119=Lookup!$A$3,($BD119+1)^BF119,
IF($BC119=Lookup!$A$4,BG119*$BD119+1,"Error")))</f>
        <v>1</v>
      </c>
      <c r="BP119" s="231">
        <f>IF($BC119=Lookup!$A$2,$BD119*ROUNDUP(BH119/10,0)+1,
IF($BC119=Lookup!$A$3,($BD119+1)^BG119,
IF($BC119=Lookup!$A$4,BH119*$BD119+1,"Error")))</f>
        <v>1</v>
      </c>
      <c r="BQ119" s="231">
        <f>IF($BC119=Lookup!$A$2,$BD119*ROUNDUP(BI119/10,0)+1,
IF($BC119=Lookup!$A$3,($BD119+1)^BH119,
IF($BC119=Lookup!$A$4,BI119*$BD119+1,"Error")))</f>
        <v>1</v>
      </c>
      <c r="BR119" s="231">
        <f>IF($BC119=Lookup!$A$2,$BD119*ROUNDUP(BJ119/10,0)+1,
IF($BC119=Lookup!$A$3,($BD119+1)^BI119,
IF($BC119=Lookup!$A$4,BJ119*$BD119+1,"Error")))</f>
        <v>1</v>
      </c>
      <c r="BS119" s="231">
        <f>IF($BC119=Lookup!$A$2,$BD119*ROUNDUP(BK119/10,0)+1,
IF($BC119=Lookup!$A$3,($BD119+1)^BJ119,
IF($BC119=Lookup!$A$4,BK119*$BD119+1,"Error")))</f>
        <v>1</v>
      </c>
      <c r="BT119" s="253">
        <f>IF($BC119=Lookup!$A$2,$BD119*ROUNDUP(BL119/10,0)+1,
IF($BC119=Lookup!$A$3,($BD119+1)^BK119,
IF($BC119=Lookup!$A$4,BL119*$BD119+1,"Error")))</f>
        <v>1</v>
      </c>
      <c r="BU119" s="324"/>
      <c r="BV119" s="325"/>
      <c r="BW119" s="325"/>
      <c r="BX119" s="325"/>
      <c r="BY119" s="325"/>
      <c r="BZ119" s="325"/>
      <c r="CA119" s="325"/>
      <c r="CB119" s="279"/>
      <c r="CC119" s="386" t="s">
        <v>293</v>
      </c>
      <c r="CD119" s="387">
        <f>HLOOKUP($CC119,$AK$6:$AM$132,ROWS(CD$6:CD119),0)</f>
        <v>0</v>
      </c>
      <c r="CE119" s="241">
        <f t="shared" si="142"/>
        <v>0</v>
      </c>
      <c r="CF119" s="144">
        <f t="shared" si="142"/>
        <v>0</v>
      </c>
      <c r="CG119" s="144">
        <f t="shared" si="142"/>
        <v>0</v>
      </c>
      <c r="CH119" s="144">
        <f t="shared" si="142"/>
        <v>0</v>
      </c>
      <c r="CI119" s="144">
        <f t="shared" si="142"/>
        <v>0</v>
      </c>
      <c r="CJ119" s="144">
        <f t="shared" si="142"/>
        <v>0</v>
      </c>
      <c r="CK119" s="144">
        <f t="shared" si="142"/>
        <v>0</v>
      </c>
      <c r="CL119" s="293">
        <f t="shared" si="194"/>
        <v>0</v>
      </c>
      <c r="CM119" s="302" t="s">
        <v>293</v>
      </c>
      <c r="CN119" s="314">
        <v>0</v>
      </c>
      <c r="CO119" s="303"/>
      <c r="CP119" s="304" t="str">
        <f>IF($CO119&lt;&gt;"",$CO119,HLOOKUP($CM119,$AY$6:$BA$132,ROWS(CP$6:CP119),0))</f>
        <v/>
      </c>
      <c r="CQ119" s="783" t="str">
        <f t="shared" si="190"/>
        <v/>
      </c>
      <c r="CR119" s="783" t="str">
        <f t="shared" si="190"/>
        <v/>
      </c>
      <c r="CS119" s="79" t="str">
        <f t="shared" si="190"/>
        <v/>
      </c>
      <c r="CT119" s="79" t="str">
        <f t="shared" si="190"/>
        <v/>
      </c>
      <c r="CU119" s="79" t="str">
        <f t="shared" si="190"/>
        <v/>
      </c>
      <c r="CV119" s="79" t="str">
        <f t="shared" si="190"/>
        <v/>
      </c>
      <c r="CW119" s="79" t="str">
        <f t="shared" si="190"/>
        <v/>
      </c>
      <c r="CX119" s="80" t="str">
        <f t="shared" si="190"/>
        <v/>
      </c>
      <c r="CY119" s="394"/>
    </row>
    <row r="120" spans="1:103" x14ac:dyDescent="0.25">
      <c r="A120" s="81" t="s">
        <v>242</v>
      </c>
      <c r="B120" s="82" t="s">
        <v>243</v>
      </c>
      <c r="C120" s="83" t="s">
        <v>244</v>
      </c>
      <c r="D120" s="84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85">
        <v>0</v>
      </c>
      <c r="K120" s="85">
        <v>0</v>
      </c>
      <c r="L120" s="85">
        <v>0</v>
      </c>
      <c r="M120" s="654">
        <f>'2022-23 Input'!F120</f>
        <v>0</v>
      </c>
      <c r="N120" s="1065">
        <v>0</v>
      </c>
      <c r="O120" s="560">
        <f t="shared" si="139"/>
        <v>0</v>
      </c>
      <c r="P120" s="561">
        <f t="shared" si="113"/>
        <v>0</v>
      </c>
      <c r="Q120" s="561">
        <f t="shared" si="114"/>
        <v>0</v>
      </c>
      <c r="R120" s="561">
        <f t="shared" si="115"/>
        <v>0</v>
      </c>
      <c r="S120" s="561">
        <f t="shared" si="116"/>
        <v>0</v>
      </c>
      <c r="T120" s="561">
        <f t="shared" si="117"/>
        <v>0</v>
      </c>
      <c r="U120" s="561">
        <f t="shared" si="118"/>
        <v>0</v>
      </c>
      <c r="V120" s="561">
        <f t="shared" si="119"/>
        <v>0</v>
      </c>
      <c r="W120" s="675">
        <f t="shared" si="120"/>
        <v>0</v>
      </c>
      <c r="X120" s="675">
        <f t="shared" si="121"/>
        <v>0</v>
      </c>
      <c r="Y120" s="675">
        <f t="shared" si="121"/>
        <v>0</v>
      </c>
      <c r="Z120" s="86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87">
        <v>0</v>
      </c>
      <c r="AI120" s="1094">
        <f>'2022-23 Input'!M120</f>
        <v>0</v>
      </c>
      <c r="AJ120" s="665">
        <v>0</v>
      </c>
      <c r="AK120" s="88">
        <f t="shared" si="174"/>
        <v>0</v>
      </c>
      <c r="AL120" s="89">
        <f t="shared" si="175"/>
        <v>0</v>
      </c>
      <c r="AM120" s="90">
        <f t="shared" si="176"/>
        <v>0</v>
      </c>
      <c r="AN120" s="91" t="str">
        <f t="shared" si="177"/>
        <v/>
      </c>
      <c r="AO120" s="92" t="str">
        <f t="shared" si="178"/>
        <v/>
      </c>
      <c r="AP120" s="92" t="str">
        <f t="shared" si="179"/>
        <v/>
      </c>
      <c r="AQ120" s="92" t="str">
        <f t="shared" si="180"/>
        <v/>
      </c>
      <c r="AR120" s="92" t="str">
        <f t="shared" si="181"/>
        <v/>
      </c>
      <c r="AS120" s="92" t="str">
        <f t="shared" si="182"/>
        <v/>
      </c>
      <c r="AT120" s="92" t="str">
        <f t="shared" si="183"/>
        <v/>
      </c>
      <c r="AU120" s="92" t="str">
        <f t="shared" si="184"/>
        <v/>
      </c>
      <c r="AV120" s="92" t="str">
        <f t="shared" si="207"/>
        <v/>
      </c>
      <c r="AW120" s="92" t="str">
        <f t="shared" si="207"/>
        <v/>
      </c>
      <c r="AX120" s="92" t="str">
        <f t="shared" si="207"/>
        <v/>
      </c>
      <c r="AY120" s="93" t="str">
        <f t="shared" si="186"/>
        <v/>
      </c>
      <c r="AZ120" s="94" t="str">
        <f t="shared" si="187"/>
        <v/>
      </c>
      <c r="BA120" s="95" t="str">
        <f t="shared" si="188"/>
        <v/>
      </c>
      <c r="BB120" s="248" t="s">
        <v>422</v>
      </c>
      <c r="BC120" s="229" t="s">
        <v>433</v>
      </c>
      <c r="BD120" s="249">
        <v>0</v>
      </c>
      <c r="BE120" s="267">
        <f t="shared" si="140"/>
        <v>0</v>
      </c>
      <c r="BF120" s="268">
        <f t="shared" ref="BF120:BL120" si="209">IF(BF$6=$BB120,1,
IF(BE120&lt;&gt;0,BE120+1,0
))</f>
        <v>0</v>
      </c>
      <c r="BG120" s="268">
        <f t="shared" si="209"/>
        <v>0</v>
      </c>
      <c r="BH120" s="268">
        <f t="shared" si="209"/>
        <v>1</v>
      </c>
      <c r="BI120" s="268">
        <f t="shared" si="209"/>
        <v>2</v>
      </c>
      <c r="BJ120" s="268">
        <f t="shared" si="209"/>
        <v>3</v>
      </c>
      <c r="BK120" s="268">
        <f t="shared" si="209"/>
        <v>4</v>
      </c>
      <c r="BL120" s="269">
        <f t="shared" si="209"/>
        <v>5</v>
      </c>
      <c r="BM120" s="256">
        <f>IF($BC120=Lookup!$A$2,$BD120*ROUNDUP(BE120/10,0)+1,
IF($BC120=Lookup!$A$3,($BD120+1)^BD120,
IF($BC120=Lookup!$A$4,BE120*$BD120+1,"Error")))</f>
        <v>1</v>
      </c>
      <c r="BN120" s="229">
        <f>IF($BC120=Lookup!$A$2,$BD120*ROUNDUP(BF120/10,0)+1,
IF($BC120=Lookup!$A$3,($BD120+1)^BE120,
IF($BC120=Lookup!$A$4,BF120*$BD120+1,"Error")))</f>
        <v>1</v>
      </c>
      <c r="BO120" s="229">
        <f>IF($BC120=Lookup!$A$2,$BD120*ROUNDUP(BG120/10,0)+1,
IF($BC120=Lookup!$A$3,($BD120+1)^BF120,
IF($BC120=Lookup!$A$4,BG120*$BD120+1,"Error")))</f>
        <v>1</v>
      </c>
      <c r="BP120" s="229">
        <f>IF($BC120=Lookup!$A$2,$BD120*ROUNDUP(BH120/10,0)+1,
IF($BC120=Lookup!$A$3,($BD120+1)^BG120,
IF($BC120=Lookup!$A$4,BH120*$BD120+1,"Error")))</f>
        <v>1</v>
      </c>
      <c r="BQ120" s="229">
        <f>IF($BC120=Lookup!$A$2,$BD120*ROUNDUP(BI120/10,0)+1,
IF($BC120=Lookup!$A$3,($BD120+1)^BH120,
IF($BC120=Lookup!$A$4,BI120*$BD120+1,"Error")))</f>
        <v>1</v>
      </c>
      <c r="BR120" s="229">
        <f>IF($BC120=Lookup!$A$2,$BD120*ROUNDUP(BJ120/10,0)+1,
IF($BC120=Lookup!$A$3,($BD120+1)^BI120,
IF($BC120=Lookup!$A$4,BJ120*$BD120+1,"Error")))</f>
        <v>1</v>
      </c>
      <c r="BS120" s="229">
        <f>IF($BC120=Lookup!$A$2,$BD120*ROUNDUP(BK120/10,0)+1,
IF($BC120=Lookup!$A$3,($BD120+1)^BJ120,
IF($BC120=Lookup!$A$4,BK120*$BD120+1,"Error")))</f>
        <v>1</v>
      </c>
      <c r="BT120" s="249">
        <f>IF($BC120=Lookup!$A$2,$BD120*ROUNDUP(BL120/10,0)+1,
IF($BC120=Lookup!$A$3,($BD120+1)^BK120,
IF($BC120=Lookup!$A$4,BL120*$BD120+1,"Error")))</f>
        <v>1</v>
      </c>
      <c r="BU120" s="320"/>
      <c r="BV120" s="321"/>
      <c r="BW120" s="321"/>
      <c r="BX120" s="321"/>
      <c r="BY120" s="321"/>
      <c r="BZ120" s="321"/>
      <c r="CA120" s="321"/>
      <c r="CB120" s="277"/>
      <c r="CC120" s="382" t="s">
        <v>293</v>
      </c>
      <c r="CD120" s="383">
        <f>HLOOKUP($CC120,$AK$6:$AM$132,ROWS(CD$6:CD120),0)</f>
        <v>0</v>
      </c>
      <c r="CE120" s="234">
        <f t="shared" si="142"/>
        <v>0</v>
      </c>
      <c r="CF120" s="96">
        <f t="shared" si="142"/>
        <v>0</v>
      </c>
      <c r="CG120" s="96">
        <f t="shared" si="142"/>
        <v>0</v>
      </c>
      <c r="CH120" s="96">
        <f t="shared" si="142"/>
        <v>0</v>
      </c>
      <c r="CI120" s="96">
        <f t="shared" si="142"/>
        <v>0</v>
      </c>
      <c r="CJ120" s="96">
        <f t="shared" si="142"/>
        <v>0</v>
      </c>
      <c r="CK120" s="96">
        <f t="shared" si="142"/>
        <v>0</v>
      </c>
      <c r="CL120" s="286">
        <f t="shared" si="194"/>
        <v>0</v>
      </c>
      <c r="CM120" s="305" t="s">
        <v>293</v>
      </c>
      <c r="CN120" s="315">
        <v>0</v>
      </c>
      <c r="CO120" s="306"/>
      <c r="CP120" s="307" t="str">
        <f>IF($CO120&lt;&gt;"",$CO120,HLOOKUP($CM120,$AY$6:$BA$132,ROWS(CP$6:CP120),0))</f>
        <v/>
      </c>
      <c r="CQ120" s="784" t="str">
        <f t="shared" si="190"/>
        <v/>
      </c>
      <c r="CR120" s="784" t="str">
        <f t="shared" si="190"/>
        <v/>
      </c>
      <c r="CS120" s="97" t="str">
        <f t="shared" si="190"/>
        <v/>
      </c>
      <c r="CT120" s="97" t="str">
        <f t="shared" si="190"/>
        <v/>
      </c>
      <c r="CU120" s="97" t="str">
        <f t="shared" si="190"/>
        <v/>
      </c>
      <c r="CV120" s="97" t="str">
        <f t="shared" si="190"/>
        <v/>
      </c>
      <c r="CW120" s="97" t="str">
        <f t="shared" si="190"/>
        <v/>
      </c>
      <c r="CX120" s="98" t="str">
        <f t="shared" si="190"/>
        <v/>
      </c>
      <c r="CY120" s="392"/>
    </row>
    <row r="121" spans="1:103" x14ac:dyDescent="0.25">
      <c r="A121" s="81" t="s">
        <v>242</v>
      </c>
      <c r="B121" s="82" t="s">
        <v>245</v>
      </c>
      <c r="C121" s="83" t="s">
        <v>246</v>
      </c>
      <c r="D121" s="84">
        <v>0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  <c r="K121" s="85">
        <v>0</v>
      </c>
      <c r="L121" s="85">
        <v>0</v>
      </c>
      <c r="M121" s="654">
        <f>'2022-23 Input'!F121</f>
        <v>0</v>
      </c>
      <c r="N121" s="1065">
        <v>-284.04000000000002</v>
      </c>
      <c r="O121" s="560">
        <f t="shared" si="139"/>
        <v>0</v>
      </c>
      <c r="P121" s="561">
        <f t="shared" si="113"/>
        <v>0</v>
      </c>
      <c r="Q121" s="561">
        <f t="shared" si="114"/>
        <v>0</v>
      </c>
      <c r="R121" s="561">
        <f t="shared" si="115"/>
        <v>0</v>
      </c>
      <c r="S121" s="561">
        <f t="shared" si="116"/>
        <v>0</v>
      </c>
      <c r="T121" s="561">
        <f t="shared" si="117"/>
        <v>0</v>
      </c>
      <c r="U121" s="561">
        <f t="shared" si="118"/>
        <v>0</v>
      </c>
      <c r="V121" s="561">
        <f t="shared" si="119"/>
        <v>0</v>
      </c>
      <c r="W121" s="675">
        <f t="shared" si="120"/>
        <v>0</v>
      </c>
      <c r="X121" s="675">
        <f t="shared" si="121"/>
        <v>0</v>
      </c>
      <c r="Y121" s="675">
        <f t="shared" si="121"/>
        <v>-291.85066806492631</v>
      </c>
      <c r="Z121" s="86">
        <v>0</v>
      </c>
      <c r="AA121" s="87">
        <v>0</v>
      </c>
      <c r="AB121" s="87">
        <v>0</v>
      </c>
      <c r="AC121" s="87">
        <v>0</v>
      </c>
      <c r="AD121" s="87">
        <v>0</v>
      </c>
      <c r="AE121" s="87">
        <v>0</v>
      </c>
      <c r="AF121" s="87">
        <v>0</v>
      </c>
      <c r="AG121" s="87">
        <v>0</v>
      </c>
      <c r="AH121" s="87">
        <v>0</v>
      </c>
      <c r="AI121" s="1094">
        <f>'2022-23 Input'!M121</f>
        <v>0</v>
      </c>
      <c r="AJ121" s="665">
        <v>-6</v>
      </c>
      <c r="AK121" s="88">
        <f t="shared" si="174"/>
        <v>0</v>
      </c>
      <c r="AL121" s="89">
        <f t="shared" si="175"/>
        <v>0</v>
      </c>
      <c r="AM121" s="90">
        <f t="shared" si="176"/>
        <v>0</v>
      </c>
      <c r="AN121" s="91" t="str">
        <f t="shared" si="177"/>
        <v/>
      </c>
      <c r="AO121" s="92" t="str">
        <f t="shared" si="178"/>
        <v/>
      </c>
      <c r="AP121" s="92" t="str">
        <f t="shared" si="179"/>
        <v/>
      </c>
      <c r="AQ121" s="92" t="str">
        <f t="shared" si="180"/>
        <v/>
      </c>
      <c r="AR121" s="92" t="str">
        <f t="shared" si="181"/>
        <v/>
      </c>
      <c r="AS121" s="92" t="str">
        <f t="shared" si="182"/>
        <v/>
      </c>
      <c r="AT121" s="92" t="str">
        <f t="shared" si="183"/>
        <v/>
      </c>
      <c r="AU121" s="92" t="str">
        <f t="shared" si="184"/>
        <v/>
      </c>
      <c r="AV121" s="92" t="str">
        <f t="shared" si="207"/>
        <v/>
      </c>
      <c r="AW121" s="92" t="str">
        <f t="shared" si="207"/>
        <v/>
      </c>
      <c r="AX121" s="92">
        <f t="shared" si="207"/>
        <v>47.34</v>
      </c>
      <c r="AY121" s="93" t="str">
        <f t="shared" si="186"/>
        <v/>
      </c>
      <c r="AZ121" s="94" t="str">
        <f t="shared" si="187"/>
        <v/>
      </c>
      <c r="BA121" s="95" t="str">
        <f t="shared" si="188"/>
        <v/>
      </c>
      <c r="BB121" s="248" t="s">
        <v>422</v>
      </c>
      <c r="BC121" s="229" t="s">
        <v>433</v>
      </c>
      <c r="BD121" s="249">
        <v>0</v>
      </c>
      <c r="BE121" s="267">
        <f t="shared" si="140"/>
        <v>0</v>
      </c>
      <c r="BF121" s="268">
        <f t="shared" ref="BF121:BL121" si="210">IF(BF$6=$BB121,1,
IF(BE121&lt;&gt;0,BE121+1,0
))</f>
        <v>0</v>
      </c>
      <c r="BG121" s="268">
        <f t="shared" si="210"/>
        <v>0</v>
      </c>
      <c r="BH121" s="268">
        <f t="shared" si="210"/>
        <v>1</v>
      </c>
      <c r="BI121" s="268">
        <f t="shared" si="210"/>
        <v>2</v>
      </c>
      <c r="BJ121" s="268">
        <f t="shared" si="210"/>
        <v>3</v>
      </c>
      <c r="BK121" s="268">
        <f t="shared" si="210"/>
        <v>4</v>
      </c>
      <c r="BL121" s="269">
        <f t="shared" si="210"/>
        <v>5</v>
      </c>
      <c r="BM121" s="256">
        <f>IF($BC121=Lookup!$A$2,$BD121*ROUNDUP(BE121/10,0)+1,
IF($BC121=Lookup!$A$3,($BD121+1)^BD121,
IF($BC121=Lookup!$A$4,BE121*$BD121+1,"Error")))</f>
        <v>1</v>
      </c>
      <c r="BN121" s="229">
        <f>IF($BC121=Lookup!$A$2,$BD121*ROUNDUP(BF121/10,0)+1,
IF($BC121=Lookup!$A$3,($BD121+1)^BE121,
IF($BC121=Lookup!$A$4,BF121*$BD121+1,"Error")))</f>
        <v>1</v>
      </c>
      <c r="BO121" s="229">
        <f>IF($BC121=Lookup!$A$2,$BD121*ROUNDUP(BG121/10,0)+1,
IF($BC121=Lookup!$A$3,($BD121+1)^BF121,
IF($BC121=Lookup!$A$4,BG121*$BD121+1,"Error")))</f>
        <v>1</v>
      </c>
      <c r="BP121" s="229">
        <f>IF($BC121=Lookup!$A$2,$BD121*ROUNDUP(BH121/10,0)+1,
IF($BC121=Lookup!$A$3,($BD121+1)^BG121,
IF($BC121=Lookup!$A$4,BH121*$BD121+1,"Error")))</f>
        <v>1</v>
      </c>
      <c r="BQ121" s="229">
        <f>IF($BC121=Lookup!$A$2,$BD121*ROUNDUP(BI121/10,0)+1,
IF($BC121=Lookup!$A$3,($BD121+1)^BH121,
IF($BC121=Lookup!$A$4,BI121*$BD121+1,"Error")))</f>
        <v>1</v>
      </c>
      <c r="BR121" s="229">
        <f>IF($BC121=Lookup!$A$2,$BD121*ROUNDUP(BJ121/10,0)+1,
IF($BC121=Lookup!$A$3,($BD121+1)^BI121,
IF($BC121=Lookup!$A$4,BJ121*$BD121+1,"Error")))</f>
        <v>1</v>
      </c>
      <c r="BS121" s="229">
        <f>IF($BC121=Lookup!$A$2,$BD121*ROUNDUP(BK121/10,0)+1,
IF($BC121=Lookup!$A$3,($BD121+1)^BJ121,
IF($BC121=Lookup!$A$4,BK121*$BD121+1,"Error")))</f>
        <v>1</v>
      </c>
      <c r="BT121" s="249">
        <f>IF($BC121=Lookup!$A$2,$BD121*ROUNDUP(BL121/10,0)+1,
IF($BC121=Lookup!$A$3,($BD121+1)^BK121,
IF($BC121=Lookup!$A$4,BL121*$BD121+1,"Error")))</f>
        <v>1</v>
      </c>
      <c r="BU121" s="320">
        <v>0</v>
      </c>
      <c r="BV121" s="321">
        <v>0</v>
      </c>
      <c r="BW121" s="321">
        <v>0</v>
      </c>
      <c r="BX121" s="321">
        <v>0</v>
      </c>
      <c r="BY121" s="321">
        <v>0</v>
      </c>
      <c r="BZ121" s="321">
        <v>0</v>
      </c>
      <c r="CA121" s="321">
        <v>0</v>
      </c>
      <c r="CB121" s="277">
        <v>0</v>
      </c>
      <c r="CC121" s="382" t="s">
        <v>293</v>
      </c>
      <c r="CD121" s="383">
        <f>HLOOKUP($CC121,$AK$6:$AM$132,ROWS(CD$6:CD121),0)</f>
        <v>0</v>
      </c>
      <c r="CE121" s="234">
        <f t="shared" si="142"/>
        <v>0</v>
      </c>
      <c r="CF121" s="96">
        <f t="shared" si="142"/>
        <v>0</v>
      </c>
      <c r="CG121" s="96">
        <f t="shared" si="142"/>
        <v>0</v>
      </c>
      <c r="CH121" s="96">
        <f t="shared" si="142"/>
        <v>0</v>
      </c>
      <c r="CI121" s="96">
        <f t="shared" si="142"/>
        <v>0</v>
      </c>
      <c r="CJ121" s="96">
        <f t="shared" si="142"/>
        <v>0</v>
      </c>
      <c r="CK121" s="96">
        <f t="shared" si="142"/>
        <v>0</v>
      </c>
      <c r="CL121" s="286">
        <f t="shared" si="194"/>
        <v>0</v>
      </c>
      <c r="CM121" s="305" t="s">
        <v>293</v>
      </c>
      <c r="CN121" s="315">
        <v>0</v>
      </c>
      <c r="CO121" s="306"/>
      <c r="CP121" s="307" t="str">
        <f>IF($CO121&lt;&gt;"",$CO121,HLOOKUP($CM121,$AY$6:$BA$132,ROWS(CP$6:CP121),0))</f>
        <v/>
      </c>
      <c r="CQ121" s="784" t="str">
        <f t="shared" si="190"/>
        <v/>
      </c>
      <c r="CR121" s="784" t="str">
        <f t="shared" si="190"/>
        <v/>
      </c>
      <c r="CS121" s="97" t="str">
        <f t="shared" si="190"/>
        <v/>
      </c>
      <c r="CT121" s="97" t="str">
        <f t="shared" si="190"/>
        <v/>
      </c>
      <c r="CU121" s="97" t="str">
        <f t="shared" si="190"/>
        <v/>
      </c>
      <c r="CV121" s="97" t="str">
        <f t="shared" si="190"/>
        <v/>
      </c>
      <c r="CW121" s="97" t="str">
        <f t="shared" si="190"/>
        <v/>
      </c>
      <c r="CX121" s="98" t="str">
        <f t="shared" si="190"/>
        <v/>
      </c>
      <c r="CY121" s="392"/>
    </row>
    <row r="122" spans="1:103" x14ac:dyDescent="0.25">
      <c r="A122" s="81" t="s">
        <v>242</v>
      </c>
      <c r="B122" s="82" t="s">
        <v>247</v>
      </c>
      <c r="C122" s="83" t="s">
        <v>248</v>
      </c>
      <c r="D122" s="84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654">
        <f>'2022-23 Input'!F122</f>
        <v>0</v>
      </c>
      <c r="N122" s="1065">
        <v>0</v>
      </c>
      <c r="O122" s="560">
        <f t="shared" si="139"/>
        <v>0</v>
      </c>
      <c r="P122" s="561">
        <f t="shared" si="113"/>
        <v>0</v>
      </c>
      <c r="Q122" s="561">
        <f t="shared" si="114"/>
        <v>0</v>
      </c>
      <c r="R122" s="561">
        <f t="shared" si="115"/>
        <v>0</v>
      </c>
      <c r="S122" s="561">
        <f t="shared" si="116"/>
        <v>0</v>
      </c>
      <c r="T122" s="561">
        <f t="shared" si="117"/>
        <v>0</v>
      </c>
      <c r="U122" s="561">
        <f t="shared" si="118"/>
        <v>0</v>
      </c>
      <c r="V122" s="561">
        <f t="shared" si="119"/>
        <v>0</v>
      </c>
      <c r="W122" s="675">
        <f t="shared" si="120"/>
        <v>0</v>
      </c>
      <c r="X122" s="675">
        <f t="shared" si="121"/>
        <v>0</v>
      </c>
      <c r="Y122" s="675">
        <f t="shared" si="121"/>
        <v>0</v>
      </c>
      <c r="Z122" s="86">
        <v>0</v>
      </c>
      <c r="AA122" s="87">
        <v>0</v>
      </c>
      <c r="AB122" s="87">
        <v>0</v>
      </c>
      <c r="AC122" s="87">
        <v>0</v>
      </c>
      <c r="AD122" s="87">
        <v>0</v>
      </c>
      <c r="AE122" s="87">
        <v>0</v>
      </c>
      <c r="AF122" s="87">
        <v>0</v>
      </c>
      <c r="AG122" s="87">
        <v>0</v>
      </c>
      <c r="AH122" s="87">
        <v>0</v>
      </c>
      <c r="AI122" s="1094">
        <f>'2022-23 Input'!M122</f>
        <v>0</v>
      </c>
      <c r="AJ122" s="665">
        <v>0</v>
      </c>
      <c r="AK122" s="88">
        <f t="shared" si="174"/>
        <v>0</v>
      </c>
      <c r="AL122" s="89">
        <f t="shared" si="175"/>
        <v>0</v>
      </c>
      <c r="AM122" s="90">
        <f t="shared" si="176"/>
        <v>0</v>
      </c>
      <c r="AN122" s="91" t="str">
        <f t="shared" si="177"/>
        <v/>
      </c>
      <c r="AO122" s="92" t="str">
        <f t="shared" si="178"/>
        <v/>
      </c>
      <c r="AP122" s="92" t="str">
        <f t="shared" si="179"/>
        <v/>
      </c>
      <c r="AQ122" s="92" t="str">
        <f t="shared" si="180"/>
        <v/>
      </c>
      <c r="AR122" s="92" t="str">
        <f t="shared" si="181"/>
        <v/>
      </c>
      <c r="AS122" s="92" t="str">
        <f t="shared" si="182"/>
        <v/>
      </c>
      <c r="AT122" s="92" t="str">
        <f t="shared" si="183"/>
        <v/>
      </c>
      <c r="AU122" s="92" t="str">
        <f t="shared" si="184"/>
        <v/>
      </c>
      <c r="AV122" s="92" t="str">
        <f t="shared" si="207"/>
        <v/>
      </c>
      <c r="AW122" s="92" t="str">
        <f t="shared" si="207"/>
        <v/>
      </c>
      <c r="AX122" s="92" t="str">
        <f t="shared" si="207"/>
        <v/>
      </c>
      <c r="AY122" s="93" t="str">
        <f t="shared" si="186"/>
        <v/>
      </c>
      <c r="AZ122" s="94" t="str">
        <f t="shared" si="187"/>
        <v/>
      </c>
      <c r="BA122" s="95" t="str">
        <f t="shared" si="188"/>
        <v/>
      </c>
      <c r="BB122" s="248" t="s">
        <v>422</v>
      </c>
      <c r="BC122" s="229" t="s">
        <v>433</v>
      </c>
      <c r="BD122" s="249">
        <v>0</v>
      </c>
      <c r="BE122" s="267">
        <f t="shared" si="140"/>
        <v>0</v>
      </c>
      <c r="BF122" s="268">
        <f t="shared" ref="BF122:BL122" si="211">IF(BF$6=$BB122,1,
IF(BE122&lt;&gt;0,BE122+1,0
))</f>
        <v>0</v>
      </c>
      <c r="BG122" s="268">
        <f t="shared" si="211"/>
        <v>0</v>
      </c>
      <c r="BH122" s="268">
        <f t="shared" si="211"/>
        <v>1</v>
      </c>
      <c r="BI122" s="268">
        <f t="shared" si="211"/>
        <v>2</v>
      </c>
      <c r="BJ122" s="268">
        <f t="shared" si="211"/>
        <v>3</v>
      </c>
      <c r="BK122" s="268">
        <f t="shared" si="211"/>
        <v>4</v>
      </c>
      <c r="BL122" s="269">
        <f t="shared" si="211"/>
        <v>5</v>
      </c>
      <c r="BM122" s="256">
        <f>IF($BC122=Lookup!$A$2,$BD122*ROUNDUP(BE122/10,0)+1,
IF($BC122=Lookup!$A$3,($BD122+1)^BD122,
IF($BC122=Lookup!$A$4,BE122*$BD122+1,"Error")))</f>
        <v>1</v>
      </c>
      <c r="BN122" s="229">
        <f>IF($BC122=Lookup!$A$2,$BD122*ROUNDUP(BF122/10,0)+1,
IF($BC122=Lookup!$A$3,($BD122+1)^BE122,
IF($BC122=Lookup!$A$4,BF122*$BD122+1,"Error")))</f>
        <v>1</v>
      </c>
      <c r="BO122" s="229">
        <f>IF($BC122=Lookup!$A$2,$BD122*ROUNDUP(BG122/10,0)+1,
IF($BC122=Lookup!$A$3,($BD122+1)^BF122,
IF($BC122=Lookup!$A$4,BG122*$BD122+1,"Error")))</f>
        <v>1</v>
      </c>
      <c r="BP122" s="229">
        <f>IF($BC122=Lookup!$A$2,$BD122*ROUNDUP(BH122/10,0)+1,
IF($BC122=Lookup!$A$3,($BD122+1)^BG122,
IF($BC122=Lookup!$A$4,BH122*$BD122+1,"Error")))</f>
        <v>1</v>
      </c>
      <c r="BQ122" s="229">
        <f>IF($BC122=Lookup!$A$2,$BD122*ROUNDUP(BI122/10,0)+1,
IF($BC122=Lookup!$A$3,($BD122+1)^BH122,
IF($BC122=Lookup!$A$4,BI122*$BD122+1,"Error")))</f>
        <v>1</v>
      </c>
      <c r="BR122" s="229">
        <f>IF($BC122=Lookup!$A$2,$BD122*ROUNDUP(BJ122/10,0)+1,
IF($BC122=Lookup!$A$3,($BD122+1)^BI122,
IF($BC122=Lookup!$A$4,BJ122*$BD122+1,"Error")))</f>
        <v>1</v>
      </c>
      <c r="BS122" s="229">
        <f>IF($BC122=Lookup!$A$2,$BD122*ROUNDUP(BK122/10,0)+1,
IF($BC122=Lookup!$A$3,($BD122+1)^BJ122,
IF($BC122=Lookup!$A$4,BK122*$BD122+1,"Error")))</f>
        <v>1</v>
      </c>
      <c r="BT122" s="249">
        <f>IF($BC122=Lookup!$A$2,$BD122*ROUNDUP(BL122/10,0)+1,
IF($BC122=Lookup!$A$3,($BD122+1)^BK122,
IF($BC122=Lookup!$A$4,BL122*$BD122+1,"Error")))</f>
        <v>1</v>
      </c>
      <c r="BU122" s="320"/>
      <c r="BV122" s="321"/>
      <c r="BW122" s="321"/>
      <c r="BX122" s="321"/>
      <c r="BY122" s="321"/>
      <c r="BZ122" s="321"/>
      <c r="CA122" s="321"/>
      <c r="CB122" s="277"/>
      <c r="CC122" s="382" t="s">
        <v>293</v>
      </c>
      <c r="CD122" s="383">
        <f>HLOOKUP($CC122,$AK$6:$AM$132,ROWS(CD$6:CD122),0)</f>
        <v>0</v>
      </c>
      <c r="CE122" s="234">
        <f t="shared" si="142"/>
        <v>0</v>
      </c>
      <c r="CF122" s="96">
        <f t="shared" si="142"/>
        <v>0</v>
      </c>
      <c r="CG122" s="96">
        <f t="shared" si="142"/>
        <v>0</v>
      </c>
      <c r="CH122" s="96">
        <f t="shared" si="142"/>
        <v>0</v>
      </c>
      <c r="CI122" s="96">
        <f t="shared" si="142"/>
        <v>0</v>
      </c>
      <c r="CJ122" s="96">
        <f t="shared" si="142"/>
        <v>0</v>
      </c>
      <c r="CK122" s="96">
        <f t="shared" si="142"/>
        <v>0</v>
      </c>
      <c r="CL122" s="286">
        <f t="shared" si="194"/>
        <v>0</v>
      </c>
      <c r="CM122" s="305" t="s">
        <v>293</v>
      </c>
      <c r="CN122" s="315">
        <v>0</v>
      </c>
      <c r="CO122" s="306"/>
      <c r="CP122" s="307" t="str">
        <f>IF($CO122&lt;&gt;"",$CO122,HLOOKUP($CM122,$AY$6:$BA$132,ROWS(CP$6:CP122),0))</f>
        <v/>
      </c>
      <c r="CQ122" s="784" t="str">
        <f t="shared" si="190"/>
        <v/>
      </c>
      <c r="CR122" s="784" t="str">
        <f t="shared" si="190"/>
        <v/>
      </c>
      <c r="CS122" s="97" t="str">
        <f t="shared" si="190"/>
        <v/>
      </c>
      <c r="CT122" s="97" t="str">
        <f t="shared" si="190"/>
        <v/>
      </c>
      <c r="CU122" s="97" t="str">
        <f t="shared" si="190"/>
        <v/>
      </c>
      <c r="CV122" s="97" t="str">
        <f t="shared" si="190"/>
        <v/>
      </c>
      <c r="CW122" s="97" t="str">
        <f t="shared" si="190"/>
        <v/>
      </c>
      <c r="CX122" s="98" t="str">
        <f t="shared" si="190"/>
        <v/>
      </c>
      <c r="CY122" s="392"/>
    </row>
    <row r="123" spans="1:103" x14ac:dyDescent="0.25">
      <c r="A123" s="81" t="s">
        <v>242</v>
      </c>
      <c r="B123" s="82" t="s">
        <v>249</v>
      </c>
      <c r="C123" s="83" t="s">
        <v>250</v>
      </c>
      <c r="D123" s="84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654">
        <f>'2022-23 Input'!F123</f>
        <v>0</v>
      </c>
      <c r="N123" s="1065">
        <v>0</v>
      </c>
      <c r="O123" s="560">
        <f t="shared" si="139"/>
        <v>0</v>
      </c>
      <c r="P123" s="561">
        <f t="shared" si="113"/>
        <v>0</v>
      </c>
      <c r="Q123" s="561">
        <f t="shared" si="114"/>
        <v>0</v>
      </c>
      <c r="R123" s="561">
        <f t="shared" si="115"/>
        <v>0</v>
      </c>
      <c r="S123" s="561">
        <f t="shared" si="116"/>
        <v>0</v>
      </c>
      <c r="T123" s="561">
        <f t="shared" si="117"/>
        <v>0</v>
      </c>
      <c r="U123" s="561">
        <f t="shared" si="118"/>
        <v>0</v>
      </c>
      <c r="V123" s="561">
        <f t="shared" si="119"/>
        <v>0</v>
      </c>
      <c r="W123" s="675">
        <f t="shared" si="120"/>
        <v>0</v>
      </c>
      <c r="X123" s="675">
        <f t="shared" si="121"/>
        <v>0</v>
      </c>
      <c r="Y123" s="675">
        <f t="shared" si="121"/>
        <v>0</v>
      </c>
      <c r="Z123" s="86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87">
        <v>0</v>
      </c>
      <c r="AI123" s="1094">
        <f>'2022-23 Input'!M123</f>
        <v>0</v>
      </c>
      <c r="AJ123" s="665">
        <v>0</v>
      </c>
      <c r="AK123" s="88">
        <f t="shared" si="174"/>
        <v>0</v>
      </c>
      <c r="AL123" s="89">
        <f t="shared" si="175"/>
        <v>0</v>
      </c>
      <c r="AM123" s="90">
        <f t="shared" si="176"/>
        <v>0</v>
      </c>
      <c r="AN123" s="91" t="str">
        <f t="shared" si="177"/>
        <v/>
      </c>
      <c r="AO123" s="92" t="str">
        <f t="shared" si="178"/>
        <v/>
      </c>
      <c r="AP123" s="92" t="str">
        <f t="shared" si="179"/>
        <v/>
      </c>
      <c r="AQ123" s="92" t="str">
        <f t="shared" si="180"/>
        <v/>
      </c>
      <c r="AR123" s="92" t="str">
        <f t="shared" si="181"/>
        <v/>
      </c>
      <c r="AS123" s="92" t="str">
        <f t="shared" si="182"/>
        <v/>
      </c>
      <c r="AT123" s="92" t="str">
        <f t="shared" si="183"/>
        <v/>
      </c>
      <c r="AU123" s="92" t="str">
        <f t="shared" si="184"/>
        <v/>
      </c>
      <c r="AV123" s="92" t="str">
        <f t="shared" si="207"/>
        <v/>
      </c>
      <c r="AW123" s="92" t="str">
        <f t="shared" si="207"/>
        <v/>
      </c>
      <c r="AX123" s="92" t="str">
        <f t="shared" si="207"/>
        <v/>
      </c>
      <c r="AY123" s="93" t="str">
        <f t="shared" si="186"/>
        <v/>
      </c>
      <c r="AZ123" s="94" t="str">
        <f t="shared" si="187"/>
        <v/>
      </c>
      <c r="BA123" s="95" t="str">
        <f t="shared" si="188"/>
        <v/>
      </c>
      <c r="BB123" s="248" t="s">
        <v>422</v>
      </c>
      <c r="BC123" s="229" t="s">
        <v>433</v>
      </c>
      <c r="BD123" s="249">
        <v>0</v>
      </c>
      <c r="BE123" s="267">
        <f t="shared" si="140"/>
        <v>0</v>
      </c>
      <c r="BF123" s="268">
        <f t="shared" ref="BF123:BL123" si="212">IF(BF$6=$BB123,1,
IF(BE123&lt;&gt;0,BE123+1,0
))</f>
        <v>0</v>
      </c>
      <c r="BG123" s="268">
        <f t="shared" si="212"/>
        <v>0</v>
      </c>
      <c r="BH123" s="268">
        <f t="shared" si="212"/>
        <v>1</v>
      </c>
      <c r="BI123" s="268">
        <f t="shared" si="212"/>
        <v>2</v>
      </c>
      <c r="BJ123" s="268">
        <f t="shared" si="212"/>
        <v>3</v>
      </c>
      <c r="BK123" s="268">
        <f t="shared" si="212"/>
        <v>4</v>
      </c>
      <c r="BL123" s="269">
        <f t="shared" si="212"/>
        <v>5</v>
      </c>
      <c r="BM123" s="256">
        <f>IF($BC123=Lookup!$A$2,$BD123*ROUNDUP(BE123/10,0)+1,
IF($BC123=Lookup!$A$3,($BD123+1)^BD123,
IF($BC123=Lookup!$A$4,BE123*$BD123+1,"Error")))</f>
        <v>1</v>
      </c>
      <c r="BN123" s="229">
        <f>IF($BC123=Lookup!$A$2,$BD123*ROUNDUP(BF123/10,0)+1,
IF($BC123=Lookup!$A$3,($BD123+1)^BE123,
IF($BC123=Lookup!$A$4,BF123*$BD123+1,"Error")))</f>
        <v>1</v>
      </c>
      <c r="BO123" s="229">
        <f>IF($BC123=Lookup!$A$2,$BD123*ROUNDUP(BG123/10,0)+1,
IF($BC123=Lookup!$A$3,($BD123+1)^BF123,
IF($BC123=Lookup!$A$4,BG123*$BD123+1,"Error")))</f>
        <v>1</v>
      </c>
      <c r="BP123" s="229">
        <f>IF($BC123=Lookup!$A$2,$BD123*ROUNDUP(BH123/10,0)+1,
IF($BC123=Lookup!$A$3,($BD123+1)^BG123,
IF($BC123=Lookup!$A$4,BH123*$BD123+1,"Error")))</f>
        <v>1</v>
      </c>
      <c r="BQ123" s="229">
        <f>IF($BC123=Lookup!$A$2,$BD123*ROUNDUP(BI123/10,0)+1,
IF($BC123=Lookup!$A$3,($BD123+1)^BH123,
IF($BC123=Lookup!$A$4,BI123*$BD123+1,"Error")))</f>
        <v>1</v>
      </c>
      <c r="BR123" s="229">
        <f>IF($BC123=Lookup!$A$2,$BD123*ROUNDUP(BJ123/10,0)+1,
IF($BC123=Lookup!$A$3,($BD123+1)^BI123,
IF($BC123=Lookup!$A$4,BJ123*$BD123+1,"Error")))</f>
        <v>1</v>
      </c>
      <c r="BS123" s="229">
        <f>IF($BC123=Lookup!$A$2,$BD123*ROUNDUP(BK123/10,0)+1,
IF($BC123=Lookup!$A$3,($BD123+1)^BJ123,
IF($BC123=Lookup!$A$4,BK123*$BD123+1,"Error")))</f>
        <v>1</v>
      </c>
      <c r="BT123" s="249">
        <f>IF($BC123=Lookup!$A$2,$BD123*ROUNDUP(BL123/10,0)+1,
IF($BC123=Lookup!$A$3,($BD123+1)^BK123,
IF($BC123=Lookup!$A$4,BL123*$BD123+1,"Error")))</f>
        <v>1</v>
      </c>
      <c r="BU123" s="320">
        <v>0</v>
      </c>
      <c r="BV123" s="321">
        <v>0</v>
      </c>
      <c r="BW123" s="321">
        <v>0</v>
      </c>
      <c r="BX123" s="321">
        <v>0</v>
      </c>
      <c r="BY123" s="321">
        <v>0</v>
      </c>
      <c r="BZ123" s="321">
        <v>0</v>
      </c>
      <c r="CA123" s="321">
        <v>0</v>
      </c>
      <c r="CB123" s="277">
        <v>0</v>
      </c>
      <c r="CC123" s="382" t="s">
        <v>293</v>
      </c>
      <c r="CD123" s="383">
        <f>HLOOKUP($CC123,$AK$6:$AM$132,ROWS(CD$6:CD123),0)</f>
        <v>0</v>
      </c>
      <c r="CE123" s="234">
        <f t="shared" si="142"/>
        <v>0</v>
      </c>
      <c r="CF123" s="96">
        <f t="shared" si="142"/>
        <v>0</v>
      </c>
      <c r="CG123" s="96">
        <f t="shared" si="142"/>
        <v>0</v>
      </c>
      <c r="CH123" s="96">
        <f t="shared" ref="CH123:CK132" si="213">IFERROR(IF(BX123&lt;&gt;"",BX123,BP123*$CD123),"")</f>
        <v>0</v>
      </c>
      <c r="CI123" s="96">
        <f t="shared" si="213"/>
        <v>0</v>
      </c>
      <c r="CJ123" s="96">
        <f t="shared" si="213"/>
        <v>0</v>
      </c>
      <c r="CK123" s="96">
        <f t="shared" si="213"/>
        <v>0</v>
      </c>
      <c r="CL123" s="286">
        <f t="shared" si="194"/>
        <v>0</v>
      </c>
      <c r="CM123" s="305" t="s">
        <v>293</v>
      </c>
      <c r="CN123" s="315">
        <v>0</v>
      </c>
      <c r="CO123" s="306"/>
      <c r="CP123" s="307" t="str">
        <f>IF($CO123&lt;&gt;"",$CO123,HLOOKUP($CM123,$AY$6:$BA$132,ROWS(CP$6:CP123),0))</f>
        <v/>
      </c>
      <c r="CQ123" s="784" t="str">
        <f t="shared" si="190"/>
        <v/>
      </c>
      <c r="CR123" s="784" t="str">
        <f t="shared" si="190"/>
        <v/>
      </c>
      <c r="CS123" s="97" t="str">
        <f t="shared" si="190"/>
        <v/>
      </c>
      <c r="CT123" s="97" t="str">
        <f t="shared" si="190"/>
        <v/>
      </c>
      <c r="CU123" s="97" t="str">
        <f t="shared" si="190"/>
        <v/>
      </c>
      <c r="CV123" s="97" t="str">
        <f t="shared" si="190"/>
        <v/>
      </c>
      <c r="CW123" s="97" t="str">
        <f t="shared" si="190"/>
        <v/>
      </c>
      <c r="CX123" s="98" t="str">
        <f t="shared" si="190"/>
        <v/>
      </c>
      <c r="CY123" s="392"/>
    </row>
    <row r="124" spans="1:103" x14ac:dyDescent="0.25">
      <c r="A124" s="81" t="s">
        <v>242</v>
      </c>
      <c r="B124" s="82" t="s">
        <v>251</v>
      </c>
      <c r="C124" s="83" t="s">
        <v>252</v>
      </c>
      <c r="D124" s="84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112730.04323198114</v>
      </c>
      <c r="J124" s="85">
        <v>-7228.44</v>
      </c>
      <c r="K124" s="85">
        <v>11854.520309713</v>
      </c>
      <c r="L124" s="85">
        <v>0</v>
      </c>
      <c r="M124" s="654">
        <f>'2022-23 Input'!F124</f>
        <v>0</v>
      </c>
      <c r="N124" s="1065">
        <v>0</v>
      </c>
      <c r="O124" s="560">
        <f t="shared" si="139"/>
        <v>0</v>
      </c>
      <c r="P124" s="561">
        <f t="shared" si="113"/>
        <v>0</v>
      </c>
      <c r="Q124" s="561">
        <f t="shared" si="114"/>
        <v>0</v>
      </c>
      <c r="R124" s="561">
        <f t="shared" si="115"/>
        <v>0</v>
      </c>
      <c r="S124" s="561">
        <f t="shared" si="116"/>
        <v>0</v>
      </c>
      <c r="T124" s="561">
        <f t="shared" si="117"/>
        <v>139914.70089174452</v>
      </c>
      <c r="U124" s="561">
        <f t="shared" si="118"/>
        <v>-9002.9350894142644</v>
      </c>
      <c r="V124" s="561">
        <f t="shared" si="119"/>
        <v>14217.823129895762</v>
      </c>
      <c r="W124" s="675">
        <f t="shared" si="120"/>
        <v>0</v>
      </c>
      <c r="X124" s="675">
        <f t="shared" si="121"/>
        <v>0</v>
      </c>
      <c r="Y124" s="675">
        <f t="shared" si="121"/>
        <v>0</v>
      </c>
      <c r="Z124" s="86">
        <v>0</v>
      </c>
      <c r="AA124" s="87">
        <v>0</v>
      </c>
      <c r="AB124" s="87">
        <v>0</v>
      </c>
      <c r="AC124" s="87">
        <v>0</v>
      </c>
      <c r="AD124" s="87">
        <v>0</v>
      </c>
      <c r="AE124" s="87">
        <v>4000</v>
      </c>
      <c r="AF124" s="87">
        <v>-1242</v>
      </c>
      <c r="AG124" s="87">
        <v>1.536</v>
      </c>
      <c r="AH124" s="87">
        <v>0</v>
      </c>
      <c r="AI124" s="1094">
        <f>'2022-23 Input'!M124</f>
        <v>0</v>
      </c>
      <c r="AJ124" s="665">
        <v>0</v>
      </c>
      <c r="AK124" s="88">
        <f t="shared" si="174"/>
        <v>551.90719999999999</v>
      </c>
      <c r="AL124" s="89">
        <f t="shared" si="175"/>
        <v>0.51200000000000001</v>
      </c>
      <c r="AM124" s="90">
        <f t="shared" si="176"/>
        <v>0</v>
      </c>
      <c r="AN124" s="91" t="str">
        <f t="shared" si="177"/>
        <v/>
      </c>
      <c r="AO124" s="92" t="str">
        <f t="shared" si="178"/>
        <v/>
      </c>
      <c r="AP124" s="92" t="str">
        <f t="shared" si="179"/>
        <v/>
      </c>
      <c r="AQ124" s="92" t="str">
        <f t="shared" si="180"/>
        <v/>
      </c>
      <c r="AR124" s="92" t="str">
        <f t="shared" si="181"/>
        <v/>
      </c>
      <c r="AS124" s="92">
        <f t="shared" si="182"/>
        <v>28.182510807995286</v>
      </c>
      <c r="AT124" s="92">
        <f t="shared" si="183"/>
        <v>5.8199999999999994</v>
      </c>
      <c r="AU124" s="92">
        <f t="shared" si="184"/>
        <v>7717.7866599694007</v>
      </c>
      <c r="AV124" s="92" t="str">
        <f t="shared" si="207"/>
        <v/>
      </c>
      <c r="AW124" s="92" t="str">
        <f t="shared" si="207"/>
        <v/>
      </c>
      <c r="AX124" s="92" t="str">
        <f t="shared" si="207"/>
        <v/>
      </c>
      <c r="AY124" s="93">
        <f t="shared" si="186"/>
        <v>42.527484164618301</v>
      </c>
      <c r="AZ124" s="94">
        <f t="shared" si="187"/>
        <v>7717.7866599694007</v>
      </c>
      <c r="BA124" s="95" t="str">
        <f t="shared" si="188"/>
        <v/>
      </c>
      <c r="BB124" s="248" t="s">
        <v>422</v>
      </c>
      <c r="BC124" s="229" t="s">
        <v>433</v>
      </c>
      <c r="BD124" s="249">
        <v>0</v>
      </c>
      <c r="BE124" s="267">
        <f t="shared" si="140"/>
        <v>0</v>
      </c>
      <c r="BF124" s="268">
        <f t="shared" ref="BF124:BL124" si="214">IF(BF$6=$BB124,1,
IF(BE124&lt;&gt;0,BE124+1,0
))</f>
        <v>0</v>
      </c>
      <c r="BG124" s="268">
        <f t="shared" si="214"/>
        <v>0</v>
      </c>
      <c r="BH124" s="268">
        <f t="shared" si="214"/>
        <v>1</v>
      </c>
      <c r="BI124" s="268">
        <f t="shared" si="214"/>
        <v>2</v>
      </c>
      <c r="BJ124" s="268">
        <f t="shared" si="214"/>
        <v>3</v>
      </c>
      <c r="BK124" s="268">
        <f t="shared" si="214"/>
        <v>4</v>
      </c>
      <c r="BL124" s="269">
        <f t="shared" si="214"/>
        <v>5</v>
      </c>
      <c r="BM124" s="256">
        <f>IF($BC124=Lookup!$A$2,$BD124*ROUNDUP(BE124/10,0)+1,
IF($BC124=Lookup!$A$3,($BD124+1)^BD124,
IF($BC124=Lookup!$A$4,BE124*$BD124+1,"Error")))</f>
        <v>1</v>
      </c>
      <c r="BN124" s="229">
        <f>IF($BC124=Lookup!$A$2,$BD124*ROUNDUP(BF124/10,0)+1,
IF($BC124=Lookup!$A$3,($BD124+1)^BE124,
IF($BC124=Lookup!$A$4,BF124*$BD124+1,"Error")))</f>
        <v>1</v>
      </c>
      <c r="BO124" s="229">
        <f>IF($BC124=Lookup!$A$2,$BD124*ROUNDUP(BG124/10,0)+1,
IF($BC124=Lookup!$A$3,($BD124+1)^BF124,
IF($BC124=Lookup!$A$4,BG124*$BD124+1,"Error")))</f>
        <v>1</v>
      </c>
      <c r="BP124" s="229">
        <f>IF($BC124=Lookup!$A$2,$BD124*ROUNDUP(BH124/10,0)+1,
IF($BC124=Lookup!$A$3,($BD124+1)^BG124,
IF($BC124=Lookup!$A$4,BH124*$BD124+1,"Error")))</f>
        <v>1</v>
      </c>
      <c r="BQ124" s="229">
        <f>IF($BC124=Lookup!$A$2,$BD124*ROUNDUP(BI124/10,0)+1,
IF($BC124=Lookup!$A$3,($BD124+1)^BH124,
IF($BC124=Lookup!$A$4,BI124*$BD124+1,"Error")))</f>
        <v>1</v>
      </c>
      <c r="BR124" s="229">
        <f>IF($BC124=Lookup!$A$2,$BD124*ROUNDUP(BJ124/10,0)+1,
IF($BC124=Lookup!$A$3,($BD124+1)^BI124,
IF($BC124=Lookup!$A$4,BJ124*$BD124+1,"Error")))</f>
        <v>1</v>
      </c>
      <c r="BS124" s="229">
        <f>IF($BC124=Lookup!$A$2,$BD124*ROUNDUP(BK124/10,0)+1,
IF($BC124=Lookup!$A$3,($BD124+1)^BJ124,
IF($BC124=Lookup!$A$4,BK124*$BD124+1,"Error")))</f>
        <v>1</v>
      </c>
      <c r="BT124" s="249">
        <f>IF($BC124=Lookup!$A$2,$BD124*ROUNDUP(BL124/10,0)+1,
IF($BC124=Lookup!$A$3,($BD124+1)^BK124,
IF($BC124=Lookup!$A$4,BL124*$BD124+1,"Error")))</f>
        <v>1</v>
      </c>
      <c r="BU124" s="320">
        <v>0</v>
      </c>
      <c r="BV124" s="321">
        <v>0</v>
      </c>
      <c r="BW124" s="321">
        <v>0</v>
      </c>
      <c r="BX124" s="321">
        <v>0</v>
      </c>
      <c r="BY124" s="321">
        <v>0</v>
      </c>
      <c r="BZ124" s="321">
        <v>0</v>
      </c>
      <c r="CA124" s="321">
        <v>0</v>
      </c>
      <c r="CB124" s="277">
        <v>0</v>
      </c>
      <c r="CC124" s="382" t="s">
        <v>293</v>
      </c>
      <c r="CD124" s="383">
        <f>HLOOKUP($CC124,$AK$6:$AM$132,ROWS(CD$6:CD124),0)</f>
        <v>0.51200000000000001</v>
      </c>
      <c r="CE124" s="234">
        <f t="shared" ref="CE124:CG132" si="215">IFERROR(IF(BU124&lt;&gt;"",BU124,BM124*$CD124),"")</f>
        <v>0</v>
      </c>
      <c r="CF124" s="96">
        <f t="shared" si="215"/>
        <v>0</v>
      </c>
      <c r="CG124" s="96">
        <f t="shared" si="215"/>
        <v>0</v>
      </c>
      <c r="CH124" s="96">
        <f t="shared" si="213"/>
        <v>0</v>
      </c>
      <c r="CI124" s="96">
        <f t="shared" si="213"/>
        <v>0</v>
      </c>
      <c r="CJ124" s="96">
        <f t="shared" si="213"/>
        <v>0</v>
      </c>
      <c r="CK124" s="96">
        <f t="shared" si="213"/>
        <v>0</v>
      </c>
      <c r="CL124" s="286">
        <f t="shared" si="194"/>
        <v>0</v>
      </c>
      <c r="CM124" s="305" t="s">
        <v>293</v>
      </c>
      <c r="CN124" s="315">
        <v>0</v>
      </c>
      <c r="CO124" s="306"/>
      <c r="CP124" s="307">
        <f>IF($CO124&lt;&gt;"",$CO124,HLOOKUP($CM124,$AY$6:$BA$132,ROWS(CP$6:CP124),0))</f>
        <v>7717.7866599694007</v>
      </c>
      <c r="CQ124" s="784">
        <f t="shared" si="190"/>
        <v>0</v>
      </c>
      <c r="CR124" s="784">
        <f t="shared" si="190"/>
        <v>0</v>
      </c>
      <c r="CS124" s="97">
        <f t="shared" si="190"/>
        <v>0</v>
      </c>
      <c r="CT124" s="97">
        <f t="shared" si="190"/>
        <v>0</v>
      </c>
      <c r="CU124" s="97">
        <f t="shared" si="190"/>
        <v>0</v>
      </c>
      <c r="CV124" s="97">
        <f t="shared" si="190"/>
        <v>0</v>
      </c>
      <c r="CW124" s="97">
        <f t="shared" si="190"/>
        <v>0</v>
      </c>
      <c r="CX124" s="98">
        <f t="shared" si="190"/>
        <v>0</v>
      </c>
      <c r="CY124" s="392"/>
    </row>
    <row r="125" spans="1:103" x14ac:dyDescent="0.25">
      <c r="A125" s="81" t="s">
        <v>242</v>
      </c>
      <c r="B125" s="82" t="s">
        <v>253</v>
      </c>
      <c r="C125" s="83" t="s">
        <v>254</v>
      </c>
      <c r="D125" s="84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654">
        <f>'2022-23 Input'!F125</f>
        <v>0</v>
      </c>
      <c r="N125" s="1065">
        <v>0</v>
      </c>
      <c r="O125" s="560">
        <f t="shared" si="139"/>
        <v>0</v>
      </c>
      <c r="P125" s="561">
        <f t="shared" si="113"/>
        <v>0</v>
      </c>
      <c r="Q125" s="561">
        <f t="shared" si="114"/>
        <v>0</v>
      </c>
      <c r="R125" s="561">
        <f t="shared" si="115"/>
        <v>0</v>
      </c>
      <c r="S125" s="561">
        <f t="shared" si="116"/>
        <v>0</v>
      </c>
      <c r="T125" s="561">
        <f t="shared" si="117"/>
        <v>0</v>
      </c>
      <c r="U125" s="561">
        <f t="shared" si="118"/>
        <v>0</v>
      </c>
      <c r="V125" s="561">
        <f t="shared" si="119"/>
        <v>0</v>
      </c>
      <c r="W125" s="675">
        <f t="shared" si="120"/>
        <v>0</v>
      </c>
      <c r="X125" s="675">
        <f t="shared" si="121"/>
        <v>0</v>
      </c>
      <c r="Y125" s="675">
        <f t="shared" si="121"/>
        <v>0</v>
      </c>
      <c r="Z125" s="86">
        <v>0</v>
      </c>
      <c r="AA125" s="87">
        <v>0</v>
      </c>
      <c r="AB125" s="87">
        <v>0</v>
      </c>
      <c r="AC125" s="87">
        <v>0</v>
      </c>
      <c r="AD125" s="87">
        <v>0</v>
      </c>
      <c r="AE125" s="87">
        <v>0</v>
      </c>
      <c r="AF125" s="87">
        <v>0</v>
      </c>
      <c r="AG125" s="87">
        <v>0</v>
      </c>
      <c r="AH125" s="87">
        <v>0</v>
      </c>
      <c r="AI125" s="1094">
        <f>'2022-23 Input'!M125</f>
        <v>0</v>
      </c>
      <c r="AJ125" s="665">
        <v>0</v>
      </c>
      <c r="AK125" s="88">
        <f t="shared" si="174"/>
        <v>0</v>
      </c>
      <c r="AL125" s="89">
        <f t="shared" si="175"/>
        <v>0</v>
      </c>
      <c r="AM125" s="90">
        <f t="shared" si="176"/>
        <v>0</v>
      </c>
      <c r="AN125" s="91" t="str">
        <f t="shared" si="177"/>
        <v/>
      </c>
      <c r="AO125" s="92" t="str">
        <f t="shared" si="178"/>
        <v/>
      </c>
      <c r="AP125" s="92" t="str">
        <f t="shared" si="179"/>
        <v/>
      </c>
      <c r="AQ125" s="92" t="str">
        <f t="shared" si="180"/>
        <v/>
      </c>
      <c r="AR125" s="92" t="str">
        <f t="shared" si="181"/>
        <v/>
      </c>
      <c r="AS125" s="92" t="str">
        <f t="shared" si="182"/>
        <v/>
      </c>
      <c r="AT125" s="92" t="str">
        <f t="shared" si="183"/>
        <v/>
      </c>
      <c r="AU125" s="92" t="str">
        <f t="shared" si="184"/>
        <v/>
      </c>
      <c r="AV125" s="92" t="str">
        <f t="shared" si="207"/>
        <v/>
      </c>
      <c r="AW125" s="92" t="str">
        <f t="shared" si="207"/>
        <v/>
      </c>
      <c r="AX125" s="92" t="str">
        <f t="shared" si="207"/>
        <v/>
      </c>
      <c r="AY125" s="93" t="str">
        <f t="shared" si="186"/>
        <v/>
      </c>
      <c r="AZ125" s="94" t="str">
        <f t="shared" si="187"/>
        <v/>
      </c>
      <c r="BA125" s="95" t="str">
        <f t="shared" si="188"/>
        <v/>
      </c>
      <c r="BB125" s="248" t="s">
        <v>422</v>
      </c>
      <c r="BC125" s="229" t="s">
        <v>433</v>
      </c>
      <c r="BD125" s="249">
        <v>0</v>
      </c>
      <c r="BE125" s="267">
        <f t="shared" si="140"/>
        <v>0</v>
      </c>
      <c r="BF125" s="268">
        <f t="shared" ref="BF125:BL125" si="216">IF(BF$6=$BB125,1,
IF(BE125&lt;&gt;0,BE125+1,0
))</f>
        <v>0</v>
      </c>
      <c r="BG125" s="268">
        <f t="shared" si="216"/>
        <v>0</v>
      </c>
      <c r="BH125" s="268">
        <f t="shared" si="216"/>
        <v>1</v>
      </c>
      <c r="BI125" s="268">
        <f t="shared" si="216"/>
        <v>2</v>
      </c>
      <c r="BJ125" s="268">
        <f t="shared" si="216"/>
        <v>3</v>
      </c>
      <c r="BK125" s="268">
        <f t="shared" si="216"/>
        <v>4</v>
      </c>
      <c r="BL125" s="269">
        <f t="shared" si="216"/>
        <v>5</v>
      </c>
      <c r="BM125" s="256">
        <f>IF($BC125=Lookup!$A$2,$BD125*ROUNDUP(BE125/10,0)+1,
IF($BC125=Lookup!$A$3,($BD125+1)^BD125,
IF($BC125=Lookup!$A$4,BE125*$BD125+1,"Error")))</f>
        <v>1</v>
      </c>
      <c r="BN125" s="229">
        <f>IF($BC125=Lookup!$A$2,$BD125*ROUNDUP(BF125/10,0)+1,
IF($BC125=Lookup!$A$3,($BD125+1)^BE125,
IF($BC125=Lookup!$A$4,BF125*$BD125+1,"Error")))</f>
        <v>1</v>
      </c>
      <c r="BO125" s="229">
        <f>IF($BC125=Lookup!$A$2,$BD125*ROUNDUP(BG125/10,0)+1,
IF($BC125=Lookup!$A$3,($BD125+1)^BF125,
IF($BC125=Lookup!$A$4,BG125*$BD125+1,"Error")))</f>
        <v>1</v>
      </c>
      <c r="BP125" s="229">
        <f>IF($BC125=Lookup!$A$2,$BD125*ROUNDUP(BH125/10,0)+1,
IF($BC125=Lookup!$A$3,($BD125+1)^BG125,
IF($BC125=Lookup!$A$4,BH125*$BD125+1,"Error")))</f>
        <v>1</v>
      </c>
      <c r="BQ125" s="229">
        <f>IF($BC125=Lookup!$A$2,$BD125*ROUNDUP(BI125/10,0)+1,
IF($BC125=Lookup!$A$3,($BD125+1)^BH125,
IF($BC125=Lookup!$A$4,BI125*$BD125+1,"Error")))</f>
        <v>1</v>
      </c>
      <c r="BR125" s="229">
        <f>IF($BC125=Lookup!$A$2,$BD125*ROUNDUP(BJ125/10,0)+1,
IF($BC125=Lookup!$A$3,($BD125+1)^BI125,
IF($BC125=Lookup!$A$4,BJ125*$BD125+1,"Error")))</f>
        <v>1</v>
      </c>
      <c r="BS125" s="229">
        <f>IF($BC125=Lookup!$A$2,$BD125*ROUNDUP(BK125/10,0)+1,
IF($BC125=Lookup!$A$3,($BD125+1)^BJ125,
IF($BC125=Lookup!$A$4,BK125*$BD125+1,"Error")))</f>
        <v>1</v>
      </c>
      <c r="BT125" s="249">
        <f>IF($BC125=Lookup!$A$2,$BD125*ROUNDUP(BL125/10,0)+1,
IF($BC125=Lookup!$A$3,($BD125+1)^BK125,
IF($BC125=Lookup!$A$4,BL125*$BD125+1,"Error")))</f>
        <v>1</v>
      </c>
      <c r="BU125" s="320"/>
      <c r="BV125" s="321"/>
      <c r="BW125" s="321"/>
      <c r="BX125" s="321"/>
      <c r="BY125" s="321"/>
      <c r="BZ125" s="321"/>
      <c r="CA125" s="321"/>
      <c r="CB125" s="277"/>
      <c r="CC125" s="382" t="s">
        <v>293</v>
      </c>
      <c r="CD125" s="383">
        <f>HLOOKUP($CC125,$AK$6:$AM$132,ROWS(CD$6:CD125),0)</f>
        <v>0</v>
      </c>
      <c r="CE125" s="234">
        <f t="shared" si="215"/>
        <v>0</v>
      </c>
      <c r="CF125" s="96">
        <f t="shared" si="215"/>
        <v>0</v>
      </c>
      <c r="CG125" s="96">
        <f t="shared" si="215"/>
        <v>0</v>
      </c>
      <c r="CH125" s="96">
        <f t="shared" si="213"/>
        <v>0</v>
      </c>
      <c r="CI125" s="96">
        <f t="shared" si="213"/>
        <v>0</v>
      </c>
      <c r="CJ125" s="96">
        <f t="shared" si="213"/>
        <v>0</v>
      </c>
      <c r="CK125" s="96">
        <f t="shared" si="213"/>
        <v>0</v>
      </c>
      <c r="CL125" s="286">
        <f t="shared" si="194"/>
        <v>0</v>
      </c>
      <c r="CM125" s="305" t="s">
        <v>293</v>
      </c>
      <c r="CN125" s="315">
        <v>0</v>
      </c>
      <c r="CO125" s="306"/>
      <c r="CP125" s="307" t="str">
        <f>IF($CO125&lt;&gt;"",$CO125,HLOOKUP($CM125,$AY$6:$BA$132,ROWS(CP$6:CP125),0))</f>
        <v/>
      </c>
      <c r="CQ125" s="784" t="str">
        <f t="shared" si="190"/>
        <v/>
      </c>
      <c r="CR125" s="784" t="str">
        <f t="shared" si="190"/>
        <v/>
      </c>
      <c r="CS125" s="97" t="str">
        <f t="shared" si="190"/>
        <v/>
      </c>
      <c r="CT125" s="97" t="str">
        <f t="shared" si="190"/>
        <v/>
      </c>
      <c r="CU125" s="97" t="str">
        <f t="shared" si="190"/>
        <v/>
      </c>
      <c r="CV125" s="97" t="str">
        <f t="shared" si="190"/>
        <v/>
      </c>
      <c r="CW125" s="97" t="str">
        <f t="shared" si="190"/>
        <v/>
      </c>
      <c r="CX125" s="98" t="str">
        <f t="shared" si="190"/>
        <v/>
      </c>
      <c r="CY125" s="392"/>
    </row>
    <row r="126" spans="1:103" ht="15.75" thickBot="1" x14ac:dyDescent="0.3">
      <c r="A126" s="81" t="s">
        <v>242</v>
      </c>
      <c r="B126" s="82" t="s">
        <v>399</v>
      </c>
      <c r="C126" s="102" t="s">
        <v>400</v>
      </c>
      <c r="D126" s="103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655">
        <f>'2022-23 Input'!F126</f>
        <v>0</v>
      </c>
      <c r="N126" s="1066">
        <v>0</v>
      </c>
      <c r="O126" s="563">
        <f t="shared" si="139"/>
        <v>0</v>
      </c>
      <c r="P126" s="564">
        <f t="shared" si="113"/>
        <v>0</v>
      </c>
      <c r="Q126" s="564">
        <f t="shared" si="114"/>
        <v>0</v>
      </c>
      <c r="R126" s="564">
        <f t="shared" si="115"/>
        <v>0</v>
      </c>
      <c r="S126" s="564">
        <f t="shared" si="116"/>
        <v>0</v>
      </c>
      <c r="T126" s="564">
        <f t="shared" si="117"/>
        <v>0</v>
      </c>
      <c r="U126" s="564">
        <f t="shared" si="118"/>
        <v>0</v>
      </c>
      <c r="V126" s="564">
        <f t="shared" si="119"/>
        <v>0</v>
      </c>
      <c r="W126" s="676">
        <f t="shared" si="120"/>
        <v>0</v>
      </c>
      <c r="X126" s="676">
        <f t="shared" si="121"/>
        <v>0</v>
      </c>
      <c r="Y126" s="676">
        <f t="shared" si="121"/>
        <v>0</v>
      </c>
      <c r="Z126" s="105">
        <v>0</v>
      </c>
      <c r="AA126" s="106">
        <v>0</v>
      </c>
      <c r="AB126" s="106">
        <v>0</v>
      </c>
      <c r="AC126" s="106">
        <v>0</v>
      </c>
      <c r="AD126" s="106">
        <v>0</v>
      </c>
      <c r="AE126" s="106">
        <v>0</v>
      </c>
      <c r="AF126" s="106">
        <v>0</v>
      </c>
      <c r="AG126" s="106">
        <v>0</v>
      </c>
      <c r="AH126" s="106">
        <v>0</v>
      </c>
      <c r="AI126" s="1095">
        <f>'2022-23 Input'!M126</f>
        <v>0</v>
      </c>
      <c r="AJ126" s="666">
        <v>0</v>
      </c>
      <c r="AK126" s="107">
        <f t="shared" si="174"/>
        <v>0</v>
      </c>
      <c r="AL126" s="108">
        <f t="shared" si="175"/>
        <v>0</v>
      </c>
      <c r="AM126" s="109">
        <f t="shared" si="176"/>
        <v>0</v>
      </c>
      <c r="AN126" s="110" t="str">
        <f t="shared" si="177"/>
        <v/>
      </c>
      <c r="AO126" s="111" t="str">
        <f t="shared" si="178"/>
        <v/>
      </c>
      <c r="AP126" s="111" t="str">
        <f t="shared" si="179"/>
        <v/>
      </c>
      <c r="AQ126" s="111" t="str">
        <f t="shared" si="180"/>
        <v/>
      </c>
      <c r="AR126" s="111" t="str">
        <f t="shared" si="181"/>
        <v/>
      </c>
      <c r="AS126" s="111" t="str">
        <f t="shared" si="182"/>
        <v/>
      </c>
      <c r="AT126" s="111" t="str">
        <f t="shared" si="183"/>
        <v/>
      </c>
      <c r="AU126" s="111" t="str">
        <f t="shared" si="184"/>
        <v/>
      </c>
      <c r="AV126" s="111" t="str">
        <f t="shared" si="207"/>
        <v/>
      </c>
      <c r="AW126" s="111" t="str">
        <f t="shared" si="207"/>
        <v/>
      </c>
      <c r="AX126" s="111" t="str">
        <f t="shared" si="207"/>
        <v/>
      </c>
      <c r="AY126" s="112" t="str">
        <f t="shared" si="186"/>
        <v/>
      </c>
      <c r="AZ126" s="113" t="str">
        <f t="shared" si="187"/>
        <v/>
      </c>
      <c r="BA126" s="114" t="str">
        <f t="shared" si="188"/>
        <v/>
      </c>
      <c r="BB126" s="250" t="s">
        <v>422</v>
      </c>
      <c r="BC126" s="230" t="s">
        <v>433</v>
      </c>
      <c r="BD126" s="251">
        <v>0</v>
      </c>
      <c r="BE126" s="270">
        <f t="shared" si="140"/>
        <v>0</v>
      </c>
      <c r="BF126" s="271">
        <f t="shared" ref="BF126:BL126" si="217">IF(BF$6=$BB126,1,
IF(BE126&lt;&gt;0,BE126+1,0
))</f>
        <v>0</v>
      </c>
      <c r="BG126" s="271">
        <f t="shared" si="217"/>
        <v>0</v>
      </c>
      <c r="BH126" s="271">
        <f t="shared" si="217"/>
        <v>1</v>
      </c>
      <c r="BI126" s="271">
        <f t="shared" si="217"/>
        <v>2</v>
      </c>
      <c r="BJ126" s="271">
        <f t="shared" si="217"/>
        <v>3</v>
      </c>
      <c r="BK126" s="271">
        <f t="shared" si="217"/>
        <v>4</v>
      </c>
      <c r="BL126" s="272">
        <f t="shared" si="217"/>
        <v>5</v>
      </c>
      <c r="BM126" s="257">
        <f>IF($BC126=Lookup!$A$2,$BD126*ROUNDUP(BE126/10,0)+1,
IF($BC126=Lookup!$A$3,($BD126+1)^BD126,
IF($BC126=Lookup!$A$4,BE126*$BD126+1,"Error")))</f>
        <v>1</v>
      </c>
      <c r="BN126" s="230">
        <f>IF($BC126=Lookup!$A$2,$BD126*ROUNDUP(BF126/10,0)+1,
IF($BC126=Lookup!$A$3,($BD126+1)^BE126,
IF($BC126=Lookup!$A$4,BF126*$BD126+1,"Error")))</f>
        <v>1</v>
      </c>
      <c r="BO126" s="230">
        <f>IF($BC126=Lookup!$A$2,$BD126*ROUNDUP(BG126/10,0)+1,
IF($BC126=Lookup!$A$3,($BD126+1)^BF126,
IF($BC126=Lookup!$A$4,BG126*$BD126+1,"Error")))</f>
        <v>1</v>
      </c>
      <c r="BP126" s="230">
        <f>IF($BC126=Lookup!$A$2,$BD126*ROUNDUP(BH126/10,0)+1,
IF($BC126=Lookup!$A$3,($BD126+1)^BG126,
IF($BC126=Lookup!$A$4,BH126*$BD126+1,"Error")))</f>
        <v>1</v>
      </c>
      <c r="BQ126" s="230">
        <f>IF($BC126=Lookup!$A$2,$BD126*ROUNDUP(BI126/10,0)+1,
IF($BC126=Lookup!$A$3,($BD126+1)^BH126,
IF($BC126=Lookup!$A$4,BI126*$BD126+1,"Error")))</f>
        <v>1</v>
      </c>
      <c r="BR126" s="230">
        <f>IF($BC126=Lookup!$A$2,$BD126*ROUNDUP(BJ126/10,0)+1,
IF($BC126=Lookup!$A$3,($BD126+1)^BI126,
IF($BC126=Lookup!$A$4,BJ126*$BD126+1,"Error")))</f>
        <v>1</v>
      </c>
      <c r="BS126" s="230">
        <f>IF($BC126=Lookup!$A$2,$BD126*ROUNDUP(BK126/10,0)+1,
IF($BC126=Lookup!$A$3,($BD126+1)^BJ126,
IF($BC126=Lookup!$A$4,BK126*$BD126+1,"Error")))</f>
        <v>1</v>
      </c>
      <c r="BT126" s="251">
        <f>IF($BC126=Lookup!$A$2,$BD126*ROUNDUP(BL126/10,0)+1,
IF($BC126=Lookup!$A$3,($BD126+1)^BK126,
IF($BC126=Lookup!$A$4,BL126*$BD126+1,"Error")))</f>
        <v>1</v>
      </c>
      <c r="BU126" s="322"/>
      <c r="BV126" s="323"/>
      <c r="BW126" s="323"/>
      <c r="BX126" s="323"/>
      <c r="BY126" s="323"/>
      <c r="BZ126" s="323"/>
      <c r="CA126" s="323"/>
      <c r="CB126" s="278"/>
      <c r="CC126" s="384" t="s">
        <v>293</v>
      </c>
      <c r="CD126" s="385">
        <f>HLOOKUP($CC126,$AK$6:$AM$132,ROWS(CD$6:CD126),0)</f>
        <v>0</v>
      </c>
      <c r="CE126" s="235">
        <f t="shared" si="215"/>
        <v>0</v>
      </c>
      <c r="CF126" s="115">
        <f t="shared" si="215"/>
        <v>0</v>
      </c>
      <c r="CG126" s="115">
        <f t="shared" si="215"/>
        <v>0</v>
      </c>
      <c r="CH126" s="115">
        <f t="shared" si="213"/>
        <v>0</v>
      </c>
      <c r="CI126" s="115">
        <f t="shared" si="213"/>
        <v>0</v>
      </c>
      <c r="CJ126" s="115">
        <f t="shared" si="213"/>
        <v>0</v>
      </c>
      <c r="CK126" s="115">
        <f t="shared" si="213"/>
        <v>0</v>
      </c>
      <c r="CL126" s="287">
        <f t="shared" si="194"/>
        <v>0</v>
      </c>
      <c r="CM126" s="308" t="s">
        <v>293</v>
      </c>
      <c r="CN126" s="316">
        <v>0</v>
      </c>
      <c r="CO126" s="309"/>
      <c r="CP126" s="310" t="str">
        <f>IF($CO126&lt;&gt;"",$CO126,HLOOKUP($CM126,$AY$6:$BA$132,ROWS(CP$6:CP126),0))</f>
        <v/>
      </c>
      <c r="CQ126" s="785" t="str">
        <f t="shared" si="190"/>
        <v/>
      </c>
      <c r="CR126" s="785" t="str">
        <f t="shared" si="190"/>
        <v/>
      </c>
      <c r="CS126" s="117" t="str">
        <f t="shared" si="190"/>
        <v/>
      </c>
      <c r="CT126" s="117" t="str">
        <f t="shared" si="190"/>
        <v/>
      </c>
      <c r="CU126" s="117" t="str">
        <f t="shared" si="190"/>
        <v/>
      </c>
      <c r="CV126" s="117" t="str">
        <f t="shared" si="190"/>
        <v/>
      </c>
      <c r="CW126" s="117" t="str">
        <f t="shared" si="190"/>
        <v/>
      </c>
      <c r="CX126" s="118" t="str">
        <f t="shared" si="190"/>
        <v/>
      </c>
      <c r="CY126" s="393"/>
    </row>
    <row r="127" spans="1:103" x14ac:dyDescent="0.25">
      <c r="A127" s="81" t="s">
        <v>258</v>
      </c>
      <c r="B127" s="82" t="s">
        <v>255</v>
      </c>
      <c r="C127" s="145" t="s">
        <v>401</v>
      </c>
      <c r="D127" s="146">
        <v>0</v>
      </c>
      <c r="E127" s="147">
        <v>0</v>
      </c>
      <c r="F127" s="147">
        <v>0</v>
      </c>
      <c r="G127" s="147">
        <v>0</v>
      </c>
      <c r="H127" s="147">
        <v>0</v>
      </c>
      <c r="I127" s="147">
        <v>0</v>
      </c>
      <c r="J127" s="147">
        <v>0</v>
      </c>
      <c r="K127" s="147">
        <v>0</v>
      </c>
      <c r="L127" s="147">
        <v>0</v>
      </c>
      <c r="M127" s="656">
        <f>'2022-23 Input'!F127</f>
        <v>0</v>
      </c>
      <c r="N127" s="1067">
        <v>0</v>
      </c>
      <c r="O127" s="566">
        <f t="shared" si="139"/>
        <v>0</v>
      </c>
      <c r="P127" s="567">
        <f t="shared" si="113"/>
        <v>0</v>
      </c>
      <c r="Q127" s="567">
        <f t="shared" si="114"/>
        <v>0</v>
      </c>
      <c r="R127" s="567">
        <f t="shared" si="115"/>
        <v>0</v>
      </c>
      <c r="S127" s="567">
        <f t="shared" si="116"/>
        <v>0</v>
      </c>
      <c r="T127" s="567">
        <f t="shared" si="117"/>
        <v>0</v>
      </c>
      <c r="U127" s="567">
        <f t="shared" si="118"/>
        <v>0</v>
      </c>
      <c r="V127" s="567">
        <f t="shared" si="119"/>
        <v>0</v>
      </c>
      <c r="W127" s="677">
        <f t="shared" si="120"/>
        <v>0</v>
      </c>
      <c r="X127" s="677">
        <f t="shared" si="121"/>
        <v>0</v>
      </c>
      <c r="Y127" s="677">
        <f t="shared" si="121"/>
        <v>0</v>
      </c>
      <c r="Z127" s="148">
        <v>0</v>
      </c>
      <c r="AA127" s="149">
        <v>0</v>
      </c>
      <c r="AB127" s="149">
        <v>0</v>
      </c>
      <c r="AC127" s="149">
        <v>0</v>
      </c>
      <c r="AD127" s="149">
        <v>0</v>
      </c>
      <c r="AE127" s="149">
        <v>0</v>
      </c>
      <c r="AF127" s="149">
        <v>0</v>
      </c>
      <c r="AG127" s="149">
        <v>0</v>
      </c>
      <c r="AH127" s="149">
        <v>0</v>
      </c>
      <c r="AI127" s="1099">
        <f>'2022-23 Input'!M127</f>
        <v>0</v>
      </c>
      <c r="AJ127" s="670">
        <v>0</v>
      </c>
      <c r="AK127" s="150">
        <f t="shared" si="174"/>
        <v>0</v>
      </c>
      <c r="AL127" s="151">
        <f t="shared" si="175"/>
        <v>0</v>
      </c>
      <c r="AM127" s="152">
        <f t="shared" si="176"/>
        <v>0</v>
      </c>
      <c r="AN127" s="153" t="str">
        <f t="shared" si="177"/>
        <v/>
      </c>
      <c r="AO127" s="154" t="str">
        <f t="shared" si="178"/>
        <v/>
      </c>
      <c r="AP127" s="154" t="str">
        <f t="shared" si="179"/>
        <v/>
      </c>
      <c r="AQ127" s="154" t="str">
        <f t="shared" si="180"/>
        <v/>
      </c>
      <c r="AR127" s="154" t="str">
        <f t="shared" si="181"/>
        <v/>
      </c>
      <c r="AS127" s="154" t="str">
        <f t="shared" si="182"/>
        <v/>
      </c>
      <c r="AT127" s="154" t="str">
        <f t="shared" si="183"/>
        <v/>
      </c>
      <c r="AU127" s="154" t="str">
        <f t="shared" si="184"/>
        <v/>
      </c>
      <c r="AV127" s="154" t="str">
        <f t="shared" si="207"/>
        <v/>
      </c>
      <c r="AW127" s="154" t="str">
        <f t="shared" si="207"/>
        <v/>
      </c>
      <c r="AX127" s="154" t="str">
        <f t="shared" si="207"/>
        <v/>
      </c>
      <c r="AY127" s="155" t="str">
        <f t="shared" si="186"/>
        <v/>
      </c>
      <c r="AZ127" s="156" t="str">
        <f t="shared" si="187"/>
        <v/>
      </c>
      <c r="BA127" s="157" t="str">
        <f t="shared" si="188"/>
        <v/>
      </c>
      <c r="BB127" s="246" t="s">
        <v>422</v>
      </c>
      <c r="BC127" s="228" t="s">
        <v>433</v>
      </c>
      <c r="BD127" s="247">
        <v>0</v>
      </c>
      <c r="BE127" s="264">
        <f t="shared" si="140"/>
        <v>0</v>
      </c>
      <c r="BF127" s="265">
        <f t="shared" ref="BF127:BL127" si="218">IF(BF$6=$BB127,1,
IF(BE127&lt;&gt;0,BE127+1,0
))</f>
        <v>0</v>
      </c>
      <c r="BG127" s="265">
        <f t="shared" si="218"/>
        <v>0</v>
      </c>
      <c r="BH127" s="265">
        <f t="shared" si="218"/>
        <v>1</v>
      </c>
      <c r="BI127" s="265">
        <f t="shared" si="218"/>
        <v>2</v>
      </c>
      <c r="BJ127" s="265">
        <f t="shared" si="218"/>
        <v>3</v>
      </c>
      <c r="BK127" s="265">
        <f t="shared" si="218"/>
        <v>4</v>
      </c>
      <c r="BL127" s="266">
        <f t="shared" si="218"/>
        <v>5</v>
      </c>
      <c r="BM127" s="255">
        <f>IF($BC127=Lookup!$A$2,$BD127*ROUNDUP(BE127/10,0)+1,
IF($BC127=Lookup!$A$3,($BD127+1)^BD127,
IF($BC127=Lookup!$A$4,BE127*$BD127+1,"Error")))</f>
        <v>1</v>
      </c>
      <c r="BN127" s="228">
        <f>IF($BC127=Lookup!$A$2,$BD127*ROUNDUP(BF127/10,0)+1,
IF($BC127=Lookup!$A$3,($BD127+1)^BE127,
IF($BC127=Lookup!$A$4,BF127*$BD127+1,"Error")))</f>
        <v>1</v>
      </c>
      <c r="BO127" s="228">
        <f>IF($BC127=Lookup!$A$2,$BD127*ROUNDUP(BG127/10,0)+1,
IF($BC127=Lookup!$A$3,($BD127+1)^BF127,
IF($BC127=Lookup!$A$4,BG127*$BD127+1,"Error")))</f>
        <v>1</v>
      </c>
      <c r="BP127" s="228">
        <f>IF($BC127=Lookup!$A$2,$BD127*ROUNDUP(BH127/10,0)+1,
IF($BC127=Lookup!$A$3,($BD127+1)^BG127,
IF($BC127=Lookup!$A$4,BH127*$BD127+1,"Error")))</f>
        <v>1</v>
      </c>
      <c r="BQ127" s="228">
        <f>IF($BC127=Lookup!$A$2,$BD127*ROUNDUP(BI127/10,0)+1,
IF($BC127=Lookup!$A$3,($BD127+1)^BH127,
IF($BC127=Lookup!$A$4,BI127*$BD127+1,"Error")))</f>
        <v>1</v>
      </c>
      <c r="BR127" s="228">
        <f>IF($BC127=Lookup!$A$2,$BD127*ROUNDUP(BJ127/10,0)+1,
IF($BC127=Lookup!$A$3,($BD127+1)^BI127,
IF($BC127=Lookup!$A$4,BJ127*$BD127+1,"Error")))</f>
        <v>1</v>
      </c>
      <c r="BS127" s="228">
        <f>IF($BC127=Lookup!$A$2,$BD127*ROUNDUP(BK127/10,0)+1,
IF($BC127=Lookup!$A$3,($BD127+1)^BJ127,
IF($BC127=Lookup!$A$4,BK127*$BD127+1,"Error")))</f>
        <v>1</v>
      </c>
      <c r="BT127" s="247">
        <f>IF($BC127=Lookup!$A$2,$BD127*ROUNDUP(BL127/10,0)+1,
IF($BC127=Lookup!$A$3,($BD127+1)^BK127,
IF($BC127=Lookup!$A$4,BL127*$BD127+1,"Error")))</f>
        <v>1</v>
      </c>
      <c r="BU127" s="318"/>
      <c r="BV127" s="319"/>
      <c r="BW127" s="319"/>
      <c r="BX127" s="319"/>
      <c r="BY127" s="319"/>
      <c r="BZ127" s="319"/>
      <c r="CA127" s="319"/>
      <c r="CB127" s="276"/>
      <c r="CC127" s="380" t="s">
        <v>293</v>
      </c>
      <c r="CD127" s="381">
        <f>HLOOKUP($CC127,$AK$6:$AM$132,ROWS(CD$6:CD127),0)</f>
        <v>0</v>
      </c>
      <c r="CE127" s="233">
        <f t="shared" si="215"/>
        <v>0</v>
      </c>
      <c r="CF127" s="78">
        <f t="shared" si="215"/>
        <v>0</v>
      </c>
      <c r="CG127" s="78">
        <f t="shared" si="215"/>
        <v>0</v>
      </c>
      <c r="CH127" s="78">
        <f t="shared" si="213"/>
        <v>0</v>
      </c>
      <c r="CI127" s="78">
        <f t="shared" si="213"/>
        <v>0</v>
      </c>
      <c r="CJ127" s="78">
        <f t="shared" si="213"/>
        <v>0</v>
      </c>
      <c r="CK127" s="78">
        <f t="shared" si="213"/>
        <v>0</v>
      </c>
      <c r="CL127" s="285">
        <f t="shared" si="194"/>
        <v>0</v>
      </c>
      <c r="CM127" s="311" t="s">
        <v>293</v>
      </c>
      <c r="CN127" s="317">
        <v>0</v>
      </c>
      <c r="CO127" s="312"/>
      <c r="CP127" s="313" t="str">
        <f>IF($CO127&lt;&gt;"",$CO127,HLOOKUP($CM127,$AY$6:$BA$132,ROWS(CP$6:CP127),0))</f>
        <v/>
      </c>
      <c r="CQ127" s="783" t="str">
        <f t="shared" si="190"/>
        <v/>
      </c>
      <c r="CR127" s="783" t="str">
        <f t="shared" si="190"/>
        <v/>
      </c>
      <c r="CS127" s="79" t="str">
        <f t="shared" si="190"/>
        <v/>
      </c>
      <c r="CT127" s="79" t="str">
        <f t="shared" si="190"/>
        <v/>
      </c>
      <c r="CU127" s="79" t="str">
        <f t="shared" si="190"/>
        <v/>
      </c>
      <c r="CV127" s="79" t="str">
        <f t="shared" si="190"/>
        <v/>
      </c>
      <c r="CW127" s="79" t="str">
        <f t="shared" si="190"/>
        <v/>
      </c>
      <c r="CX127" s="80" t="str">
        <f t="shared" si="190"/>
        <v/>
      </c>
      <c r="CY127" s="391"/>
    </row>
    <row r="128" spans="1:103" x14ac:dyDescent="0.25">
      <c r="A128" s="81" t="s">
        <v>258</v>
      </c>
      <c r="B128" s="82" t="s">
        <v>259</v>
      </c>
      <c r="C128" s="83" t="s">
        <v>257</v>
      </c>
      <c r="D128" s="84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44889.785673448932</v>
      </c>
      <c r="K128" s="85">
        <v>40928.541650823005</v>
      </c>
      <c r="L128" s="85">
        <v>124142.13471792299</v>
      </c>
      <c r="M128" s="654">
        <f>'2022-23 Input'!F128</f>
        <v>31573.308814100994</v>
      </c>
      <c r="N128" s="1065">
        <v>5127.91</v>
      </c>
      <c r="O128" s="560">
        <f t="shared" si="139"/>
        <v>0</v>
      </c>
      <c r="P128" s="561">
        <f t="shared" si="113"/>
        <v>0</v>
      </c>
      <c r="Q128" s="561">
        <f t="shared" si="114"/>
        <v>0</v>
      </c>
      <c r="R128" s="561">
        <f t="shared" si="115"/>
        <v>0</v>
      </c>
      <c r="S128" s="561">
        <f t="shared" si="116"/>
        <v>0</v>
      </c>
      <c r="T128" s="561">
        <f t="shared" si="117"/>
        <v>0</v>
      </c>
      <c r="U128" s="561">
        <f t="shared" si="118"/>
        <v>55909.688203233221</v>
      </c>
      <c r="V128" s="561">
        <f t="shared" si="119"/>
        <v>49088.006174250811</v>
      </c>
      <c r="W128" s="675">
        <f t="shared" si="120"/>
        <v>140271.57890130777</v>
      </c>
      <c r="X128" s="675">
        <f t="shared" si="121"/>
        <v>33576.980231235553</v>
      </c>
      <c r="Y128" s="675">
        <f t="shared" si="121"/>
        <v>5268.919727069484</v>
      </c>
      <c r="Z128" s="86">
        <v>0</v>
      </c>
      <c r="AA128" s="87">
        <v>0</v>
      </c>
      <c r="AB128" s="87">
        <v>0</v>
      </c>
      <c r="AC128" s="87">
        <v>0</v>
      </c>
      <c r="AD128" s="87">
        <v>0</v>
      </c>
      <c r="AE128" s="87">
        <v>0</v>
      </c>
      <c r="AF128" s="87">
        <v>1</v>
      </c>
      <c r="AG128" s="87">
        <v>0</v>
      </c>
      <c r="AH128" s="87">
        <v>2</v>
      </c>
      <c r="AI128" s="1094">
        <f>'2022-23 Input'!M128</f>
        <v>1</v>
      </c>
      <c r="AJ128" s="665">
        <v>2</v>
      </c>
      <c r="AK128" s="88">
        <f t="shared" si="174"/>
        <v>0.8</v>
      </c>
      <c r="AL128" s="89">
        <f t="shared" si="175"/>
        <v>1</v>
      </c>
      <c r="AM128" s="90">
        <f t="shared" si="176"/>
        <v>1</v>
      </c>
      <c r="AN128" s="91" t="str">
        <f t="shared" si="177"/>
        <v/>
      </c>
      <c r="AO128" s="92" t="str">
        <f t="shared" si="178"/>
        <v/>
      </c>
      <c r="AP128" s="92" t="str">
        <f t="shared" si="179"/>
        <v/>
      </c>
      <c r="AQ128" s="92" t="str">
        <f t="shared" si="180"/>
        <v/>
      </c>
      <c r="AR128" s="92" t="str">
        <f t="shared" si="181"/>
        <v/>
      </c>
      <c r="AS128" s="92" t="str">
        <f t="shared" si="182"/>
        <v/>
      </c>
      <c r="AT128" s="92">
        <f t="shared" si="183"/>
        <v>44889.785673448932</v>
      </c>
      <c r="AU128" s="92" t="str">
        <f t="shared" si="184"/>
        <v/>
      </c>
      <c r="AV128" s="92">
        <f t="shared" si="207"/>
        <v>62071.067358961496</v>
      </c>
      <c r="AW128" s="92">
        <f t="shared" si="207"/>
        <v>31573.308814100994</v>
      </c>
      <c r="AX128" s="92">
        <f t="shared" si="207"/>
        <v>2563.9549999999999</v>
      </c>
      <c r="AY128" s="93">
        <f t="shared" si="186"/>
        <v>60383.442714073972</v>
      </c>
      <c r="AZ128" s="94">
        <f t="shared" si="187"/>
        <v>65547.995060949004</v>
      </c>
      <c r="BA128" s="95">
        <f t="shared" si="188"/>
        <v>31573.308814100994</v>
      </c>
      <c r="BB128" s="248" t="s">
        <v>422</v>
      </c>
      <c r="BC128" s="229" t="s">
        <v>433</v>
      </c>
      <c r="BD128" s="249">
        <v>0</v>
      </c>
      <c r="BE128" s="267">
        <f t="shared" si="140"/>
        <v>0</v>
      </c>
      <c r="BF128" s="268">
        <f t="shared" ref="BF128:BL128" si="219">IF(BF$6=$BB128,1,
IF(BE128&lt;&gt;0,BE128+1,0
))</f>
        <v>0</v>
      </c>
      <c r="BG128" s="268">
        <f t="shared" si="219"/>
        <v>0</v>
      </c>
      <c r="BH128" s="268">
        <f t="shared" si="219"/>
        <v>1</v>
      </c>
      <c r="BI128" s="268">
        <f t="shared" si="219"/>
        <v>2</v>
      </c>
      <c r="BJ128" s="268">
        <f t="shared" si="219"/>
        <v>3</v>
      </c>
      <c r="BK128" s="268">
        <f t="shared" si="219"/>
        <v>4</v>
      </c>
      <c r="BL128" s="269">
        <f t="shared" si="219"/>
        <v>5</v>
      </c>
      <c r="BM128" s="256">
        <f>IF($BC128=Lookup!$A$2,$BD128*ROUNDUP(BE128/10,0)+1,
IF($BC128=Lookup!$A$3,($BD128+1)^BD128,
IF($BC128=Lookup!$A$4,BE128*$BD128+1,"Error")))</f>
        <v>1</v>
      </c>
      <c r="BN128" s="229">
        <f>IF($BC128=Lookup!$A$2,$BD128*ROUNDUP(BF128/10,0)+1,
IF($BC128=Lookup!$A$3,($BD128+1)^BE128,
IF($BC128=Lookup!$A$4,BF128*$BD128+1,"Error")))</f>
        <v>1</v>
      </c>
      <c r="BO128" s="229">
        <f>IF($BC128=Lookup!$A$2,$BD128*ROUNDUP(BG128/10,0)+1,
IF($BC128=Lookup!$A$3,($BD128+1)^BF128,
IF($BC128=Lookup!$A$4,BG128*$BD128+1,"Error")))</f>
        <v>1</v>
      </c>
      <c r="BP128" s="229">
        <f>IF($BC128=Lookup!$A$2,$BD128*ROUNDUP(BH128/10,0)+1,
IF($BC128=Lookup!$A$3,($BD128+1)^BG128,
IF($BC128=Lookup!$A$4,BH128*$BD128+1,"Error")))</f>
        <v>1</v>
      </c>
      <c r="BQ128" s="229">
        <f>IF($BC128=Lookup!$A$2,$BD128*ROUNDUP(BI128/10,0)+1,
IF($BC128=Lookup!$A$3,($BD128+1)^BH128,
IF($BC128=Lookup!$A$4,BI128*$BD128+1,"Error")))</f>
        <v>1</v>
      </c>
      <c r="BR128" s="229">
        <f>IF($BC128=Lookup!$A$2,$BD128*ROUNDUP(BJ128/10,0)+1,
IF($BC128=Lookup!$A$3,($BD128+1)^BI128,
IF($BC128=Lookup!$A$4,BJ128*$BD128+1,"Error")))</f>
        <v>1</v>
      </c>
      <c r="BS128" s="229">
        <f>IF($BC128=Lookup!$A$2,$BD128*ROUNDUP(BK128/10,0)+1,
IF($BC128=Lookup!$A$3,($BD128+1)^BJ128,
IF($BC128=Lookup!$A$4,BK128*$BD128+1,"Error")))</f>
        <v>1</v>
      </c>
      <c r="BT128" s="249">
        <f>IF($BC128=Lookup!$A$2,$BD128*ROUNDUP(BL128/10,0)+1,
IF($BC128=Lookup!$A$3,($BD128+1)^BK128,
IF($BC128=Lookup!$A$4,BL128*$BD128+1,"Error")))</f>
        <v>1</v>
      </c>
      <c r="BU128" s="320"/>
      <c r="BV128" s="321"/>
      <c r="BW128" s="321"/>
      <c r="BX128" s="321"/>
      <c r="BY128" s="321"/>
      <c r="BZ128" s="321"/>
      <c r="CA128" s="321"/>
      <c r="CB128" s="277"/>
      <c r="CC128" s="382" t="s">
        <v>293</v>
      </c>
      <c r="CD128" s="383">
        <f>HLOOKUP($CC128,$AK$6:$AM$132,ROWS(CD$6:CD128),0)</f>
        <v>1</v>
      </c>
      <c r="CE128" s="234">
        <f t="shared" si="215"/>
        <v>1</v>
      </c>
      <c r="CF128" s="96">
        <f t="shared" si="215"/>
        <v>1</v>
      </c>
      <c r="CG128" s="96">
        <f t="shared" si="215"/>
        <v>1</v>
      </c>
      <c r="CH128" s="96">
        <f t="shared" si="213"/>
        <v>1</v>
      </c>
      <c r="CI128" s="96">
        <f t="shared" si="213"/>
        <v>1</v>
      </c>
      <c r="CJ128" s="96">
        <f t="shared" si="213"/>
        <v>1</v>
      </c>
      <c r="CK128" s="96">
        <f t="shared" si="213"/>
        <v>1</v>
      </c>
      <c r="CL128" s="286">
        <f t="shared" si="194"/>
        <v>1</v>
      </c>
      <c r="CM128" s="305" t="s">
        <v>293</v>
      </c>
      <c r="CN128" s="315">
        <v>0</v>
      </c>
      <c r="CO128" s="306"/>
      <c r="CP128" s="307">
        <f>IF($CO128&lt;&gt;"",$CO128,HLOOKUP($CM128,$AY$6:$BA$132,ROWS(CP$6:CP128),0))</f>
        <v>65547.995060949004</v>
      </c>
      <c r="CQ128" s="784">
        <f t="shared" si="190"/>
        <v>65547.995060949004</v>
      </c>
      <c r="CR128" s="784">
        <f t="shared" si="190"/>
        <v>65547.995060949004</v>
      </c>
      <c r="CS128" s="97">
        <f t="shared" si="190"/>
        <v>65547.995060949004</v>
      </c>
      <c r="CT128" s="97">
        <f t="shared" si="190"/>
        <v>65547.995060949004</v>
      </c>
      <c r="CU128" s="97">
        <f t="shared" si="190"/>
        <v>65547.995060949004</v>
      </c>
      <c r="CV128" s="97">
        <f t="shared" si="190"/>
        <v>65547.995060949004</v>
      </c>
      <c r="CW128" s="97">
        <f t="shared" si="190"/>
        <v>65547.995060949004</v>
      </c>
      <c r="CX128" s="98">
        <f t="shared" si="190"/>
        <v>65547.995060949004</v>
      </c>
      <c r="CY128" s="392"/>
    </row>
    <row r="129" spans="1:103" x14ac:dyDescent="0.25">
      <c r="A129" s="81" t="s">
        <v>258</v>
      </c>
      <c r="B129" s="82" t="s">
        <v>261</v>
      </c>
      <c r="C129" s="83" t="s">
        <v>402</v>
      </c>
      <c r="D129" s="84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654">
        <f>'2022-23 Input'!F129</f>
        <v>0</v>
      </c>
      <c r="N129" s="1065">
        <v>0</v>
      </c>
      <c r="O129" s="560">
        <f t="shared" si="139"/>
        <v>0</v>
      </c>
      <c r="P129" s="561">
        <f t="shared" si="113"/>
        <v>0</v>
      </c>
      <c r="Q129" s="561">
        <f t="shared" si="114"/>
        <v>0</v>
      </c>
      <c r="R129" s="561">
        <f t="shared" si="115"/>
        <v>0</v>
      </c>
      <c r="S129" s="561">
        <f t="shared" si="116"/>
        <v>0</v>
      </c>
      <c r="T129" s="561">
        <f t="shared" si="117"/>
        <v>0</v>
      </c>
      <c r="U129" s="561">
        <f t="shared" si="118"/>
        <v>0</v>
      </c>
      <c r="V129" s="561">
        <f t="shared" si="119"/>
        <v>0</v>
      </c>
      <c r="W129" s="675">
        <f t="shared" si="120"/>
        <v>0</v>
      </c>
      <c r="X129" s="675">
        <f t="shared" si="121"/>
        <v>0</v>
      </c>
      <c r="Y129" s="675">
        <f t="shared" si="121"/>
        <v>0</v>
      </c>
      <c r="Z129" s="86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87">
        <v>0</v>
      </c>
      <c r="AI129" s="1094">
        <f>'2022-23 Input'!M129</f>
        <v>0</v>
      </c>
      <c r="AJ129" s="665">
        <v>0</v>
      </c>
      <c r="AK129" s="88">
        <f t="shared" si="174"/>
        <v>0</v>
      </c>
      <c r="AL129" s="89">
        <f t="shared" si="175"/>
        <v>0</v>
      </c>
      <c r="AM129" s="90">
        <f t="shared" si="176"/>
        <v>0</v>
      </c>
      <c r="AN129" s="91" t="str">
        <f t="shared" si="177"/>
        <v/>
      </c>
      <c r="AO129" s="92" t="str">
        <f t="shared" si="178"/>
        <v/>
      </c>
      <c r="AP129" s="92" t="str">
        <f t="shared" si="179"/>
        <v/>
      </c>
      <c r="AQ129" s="92" t="str">
        <f t="shared" si="180"/>
        <v/>
      </c>
      <c r="AR129" s="92" t="str">
        <f t="shared" si="181"/>
        <v/>
      </c>
      <c r="AS129" s="92" t="str">
        <f t="shared" si="182"/>
        <v/>
      </c>
      <c r="AT129" s="92" t="str">
        <f t="shared" si="183"/>
        <v/>
      </c>
      <c r="AU129" s="92" t="str">
        <f t="shared" si="184"/>
        <v/>
      </c>
      <c r="AV129" s="92" t="str">
        <f t="shared" si="207"/>
        <v/>
      </c>
      <c r="AW129" s="92" t="str">
        <f t="shared" si="207"/>
        <v/>
      </c>
      <c r="AX129" s="92" t="str">
        <f t="shared" si="207"/>
        <v/>
      </c>
      <c r="AY129" s="93" t="str">
        <f t="shared" si="186"/>
        <v/>
      </c>
      <c r="AZ129" s="94" t="str">
        <f t="shared" si="187"/>
        <v/>
      </c>
      <c r="BA129" s="95" t="str">
        <f t="shared" si="188"/>
        <v/>
      </c>
      <c r="BB129" s="248" t="s">
        <v>422</v>
      </c>
      <c r="BC129" s="229" t="s">
        <v>433</v>
      </c>
      <c r="BD129" s="249">
        <v>0</v>
      </c>
      <c r="BE129" s="267">
        <f t="shared" si="140"/>
        <v>0</v>
      </c>
      <c r="BF129" s="268">
        <f t="shared" ref="BF129:BL129" si="220">IF(BF$6=$BB129,1,
IF(BE129&lt;&gt;0,BE129+1,0
))</f>
        <v>0</v>
      </c>
      <c r="BG129" s="268">
        <f t="shared" si="220"/>
        <v>0</v>
      </c>
      <c r="BH129" s="268">
        <f t="shared" si="220"/>
        <v>1</v>
      </c>
      <c r="BI129" s="268">
        <f t="shared" si="220"/>
        <v>2</v>
      </c>
      <c r="BJ129" s="268">
        <f t="shared" si="220"/>
        <v>3</v>
      </c>
      <c r="BK129" s="268">
        <f t="shared" si="220"/>
        <v>4</v>
      </c>
      <c r="BL129" s="269">
        <f t="shared" si="220"/>
        <v>5</v>
      </c>
      <c r="BM129" s="256">
        <f>IF($BC129=Lookup!$A$2,$BD129*ROUNDUP(BE129/10,0)+1,
IF($BC129=Lookup!$A$3,($BD129+1)^BD129,
IF($BC129=Lookup!$A$4,BE129*$BD129+1,"Error")))</f>
        <v>1</v>
      </c>
      <c r="BN129" s="229">
        <f>IF($BC129=Lookup!$A$2,$BD129*ROUNDUP(BF129/10,0)+1,
IF($BC129=Lookup!$A$3,($BD129+1)^BE129,
IF($BC129=Lookup!$A$4,BF129*$BD129+1,"Error")))</f>
        <v>1</v>
      </c>
      <c r="BO129" s="229">
        <f>IF($BC129=Lookup!$A$2,$BD129*ROUNDUP(BG129/10,0)+1,
IF($BC129=Lookup!$A$3,($BD129+1)^BF129,
IF($BC129=Lookup!$A$4,BG129*$BD129+1,"Error")))</f>
        <v>1</v>
      </c>
      <c r="BP129" s="229">
        <f>IF($BC129=Lookup!$A$2,$BD129*ROUNDUP(BH129/10,0)+1,
IF($BC129=Lookup!$A$3,($BD129+1)^BG129,
IF($BC129=Lookup!$A$4,BH129*$BD129+1,"Error")))</f>
        <v>1</v>
      </c>
      <c r="BQ129" s="229">
        <f>IF($BC129=Lookup!$A$2,$BD129*ROUNDUP(BI129/10,0)+1,
IF($BC129=Lookup!$A$3,($BD129+1)^BH129,
IF($BC129=Lookup!$A$4,BI129*$BD129+1,"Error")))</f>
        <v>1</v>
      </c>
      <c r="BR129" s="229">
        <f>IF($BC129=Lookup!$A$2,$BD129*ROUNDUP(BJ129/10,0)+1,
IF($BC129=Lookup!$A$3,($BD129+1)^BI129,
IF($BC129=Lookup!$A$4,BJ129*$BD129+1,"Error")))</f>
        <v>1</v>
      </c>
      <c r="BS129" s="229">
        <f>IF($BC129=Lookup!$A$2,$BD129*ROUNDUP(BK129/10,0)+1,
IF($BC129=Lookup!$A$3,($BD129+1)^BJ129,
IF($BC129=Lookup!$A$4,BK129*$BD129+1,"Error")))</f>
        <v>1</v>
      </c>
      <c r="BT129" s="249">
        <f>IF($BC129=Lookup!$A$2,$BD129*ROUNDUP(BL129/10,0)+1,
IF($BC129=Lookup!$A$3,($BD129+1)^BK129,
IF($BC129=Lookup!$A$4,BL129*$BD129+1,"Error")))</f>
        <v>1</v>
      </c>
      <c r="BU129" s="320"/>
      <c r="BV129" s="321"/>
      <c r="BW129" s="321"/>
      <c r="BX129" s="321"/>
      <c r="BY129" s="321"/>
      <c r="BZ129" s="321"/>
      <c r="CA129" s="321"/>
      <c r="CB129" s="277"/>
      <c r="CC129" s="382" t="s">
        <v>293</v>
      </c>
      <c r="CD129" s="383">
        <f>HLOOKUP($CC129,$AK$6:$AM$132,ROWS(CD$6:CD129),0)</f>
        <v>0</v>
      </c>
      <c r="CE129" s="234">
        <f t="shared" si="215"/>
        <v>0</v>
      </c>
      <c r="CF129" s="96">
        <f t="shared" si="215"/>
        <v>0</v>
      </c>
      <c r="CG129" s="96">
        <f t="shared" si="215"/>
        <v>0</v>
      </c>
      <c r="CH129" s="96">
        <f t="shared" si="213"/>
        <v>0</v>
      </c>
      <c r="CI129" s="96">
        <f t="shared" si="213"/>
        <v>0</v>
      </c>
      <c r="CJ129" s="96">
        <f t="shared" si="213"/>
        <v>0</v>
      </c>
      <c r="CK129" s="96">
        <f t="shared" si="213"/>
        <v>0</v>
      </c>
      <c r="CL129" s="286">
        <f t="shared" si="194"/>
        <v>0</v>
      </c>
      <c r="CM129" s="305" t="s">
        <v>293</v>
      </c>
      <c r="CN129" s="315">
        <v>0</v>
      </c>
      <c r="CO129" s="306"/>
      <c r="CP129" s="307" t="str">
        <f>IF($CO129&lt;&gt;"",$CO129,HLOOKUP($CM129,$AY$6:$BA$132,ROWS(CP$6:CP129),0))</f>
        <v/>
      </c>
      <c r="CQ129" s="784" t="str">
        <f t="shared" si="190"/>
        <v/>
      </c>
      <c r="CR129" s="784" t="str">
        <f t="shared" si="190"/>
        <v/>
      </c>
      <c r="CS129" s="97" t="str">
        <f t="shared" si="190"/>
        <v/>
      </c>
      <c r="CT129" s="97" t="str">
        <f t="shared" si="190"/>
        <v/>
      </c>
      <c r="CU129" s="97" t="str">
        <f t="shared" si="190"/>
        <v/>
      </c>
      <c r="CV129" s="97" t="str">
        <f t="shared" si="190"/>
        <v/>
      </c>
      <c r="CW129" s="97" t="str">
        <f t="shared" si="190"/>
        <v/>
      </c>
      <c r="CX129" s="98" t="str">
        <f t="shared" si="190"/>
        <v/>
      </c>
      <c r="CY129" s="392"/>
    </row>
    <row r="130" spans="1:103" x14ac:dyDescent="0.25">
      <c r="A130" s="81" t="s">
        <v>258</v>
      </c>
      <c r="B130" s="82" t="s">
        <v>263</v>
      </c>
      <c r="C130" s="83" t="s">
        <v>403</v>
      </c>
      <c r="D130" s="84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654">
        <f>'2022-23 Input'!F130</f>
        <v>0</v>
      </c>
      <c r="N130" s="1065">
        <v>0</v>
      </c>
      <c r="O130" s="560">
        <f t="shared" si="139"/>
        <v>0</v>
      </c>
      <c r="P130" s="561">
        <f t="shared" si="113"/>
        <v>0</v>
      </c>
      <c r="Q130" s="561">
        <f t="shared" si="114"/>
        <v>0</v>
      </c>
      <c r="R130" s="561">
        <f t="shared" si="115"/>
        <v>0</v>
      </c>
      <c r="S130" s="561">
        <f t="shared" si="116"/>
        <v>0</v>
      </c>
      <c r="T130" s="561">
        <f t="shared" si="117"/>
        <v>0</v>
      </c>
      <c r="U130" s="561">
        <f t="shared" si="118"/>
        <v>0</v>
      </c>
      <c r="V130" s="561">
        <f t="shared" si="119"/>
        <v>0</v>
      </c>
      <c r="W130" s="675">
        <f t="shared" si="120"/>
        <v>0</v>
      </c>
      <c r="X130" s="675">
        <f t="shared" si="121"/>
        <v>0</v>
      </c>
      <c r="Y130" s="675">
        <f t="shared" si="121"/>
        <v>0</v>
      </c>
      <c r="Z130" s="86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87">
        <v>0</v>
      </c>
      <c r="AI130" s="1094">
        <f>'2022-23 Input'!M130</f>
        <v>0</v>
      </c>
      <c r="AJ130" s="665">
        <v>0</v>
      </c>
      <c r="AK130" s="88">
        <f t="shared" si="174"/>
        <v>0</v>
      </c>
      <c r="AL130" s="89">
        <f t="shared" si="175"/>
        <v>0</v>
      </c>
      <c r="AM130" s="90">
        <f t="shared" si="176"/>
        <v>0</v>
      </c>
      <c r="AN130" s="91" t="str">
        <f t="shared" si="177"/>
        <v/>
      </c>
      <c r="AO130" s="92" t="str">
        <f t="shared" si="178"/>
        <v/>
      </c>
      <c r="AP130" s="92" t="str">
        <f t="shared" si="179"/>
        <v/>
      </c>
      <c r="AQ130" s="92" t="str">
        <f t="shared" si="180"/>
        <v/>
      </c>
      <c r="AR130" s="92" t="str">
        <f t="shared" si="181"/>
        <v/>
      </c>
      <c r="AS130" s="92" t="str">
        <f t="shared" si="182"/>
        <v/>
      </c>
      <c r="AT130" s="92" t="str">
        <f t="shared" si="183"/>
        <v/>
      </c>
      <c r="AU130" s="92" t="str">
        <f t="shared" si="184"/>
        <v/>
      </c>
      <c r="AV130" s="92" t="str">
        <f t="shared" si="207"/>
        <v/>
      </c>
      <c r="AW130" s="92" t="str">
        <f t="shared" si="207"/>
        <v/>
      </c>
      <c r="AX130" s="92" t="str">
        <f t="shared" si="207"/>
        <v/>
      </c>
      <c r="AY130" s="93" t="str">
        <f t="shared" si="186"/>
        <v/>
      </c>
      <c r="AZ130" s="94" t="str">
        <f t="shared" si="187"/>
        <v/>
      </c>
      <c r="BA130" s="95" t="str">
        <f t="shared" si="188"/>
        <v/>
      </c>
      <c r="BB130" s="248" t="s">
        <v>422</v>
      </c>
      <c r="BC130" s="229" t="s">
        <v>433</v>
      </c>
      <c r="BD130" s="249">
        <v>0</v>
      </c>
      <c r="BE130" s="267">
        <f t="shared" si="140"/>
        <v>0</v>
      </c>
      <c r="BF130" s="268">
        <f t="shared" ref="BF130:BL130" si="221">IF(BF$6=$BB130,1,
IF(BE130&lt;&gt;0,BE130+1,0
))</f>
        <v>0</v>
      </c>
      <c r="BG130" s="268">
        <f t="shared" si="221"/>
        <v>0</v>
      </c>
      <c r="BH130" s="268">
        <f t="shared" si="221"/>
        <v>1</v>
      </c>
      <c r="BI130" s="268">
        <f t="shared" si="221"/>
        <v>2</v>
      </c>
      <c r="BJ130" s="268">
        <f t="shared" si="221"/>
        <v>3</v>
      </c>
      <c r="BK130" s="268">
        <f t="shared" si="221"/>
        <v>4</v>
      </c>
      <c r="BL130" s="269">
        <f t="shared" si="221"/>
        <v>5</v>
      </c>
      <c r="BM130" s="256">
        <f>IF($BC130=Lookup!$A$2,$BD130*ROUNDUP(BE130/10,0)+1,
IF($BC130=Lookup!$A$3,($BD130+1)^BD130,
IF($BC130=Lookup!$A$4,BE130*$BD130+1,"Error")))</f>
        <v>1</v>
      </c>
      <c r="BN130" s="229">
        <f>IF($BC130=Lookup!$A$2,$BD130*ROUNDUP(BF130/10,0)+1,
IF($BC130=Lookup!$A$3,($BD130+1)^BE130,
IF($BC130=Lookup!$A$4,BF130*$BD130+1,"Error")))</f>
        <v>1</v>
      </c>
      <c r="BO130" s="229">
        <f>IF($BC130=Lookup!$A$2,$BD130*ROUNDUP(BG130/10,0)+1,
IF($BC130=Lookup!$A$3,($BD130+1)^BF130,
IF($BC130=Lookup!$A$4,BG130*$BD130+1,"Error")))</f>
        <v>1</v>
      </c>
      <c r="BP130" s="229">
        <f>IF($BC130=Lookup!$A$2,$BD130*ROUNDUP(BH130/10,0)+1,
IF($BC130=Lookup!$A$3,($BD130+1)^BG130,
IF($BC130=Lookup!$A$4,BH130*$BD130+1,"Error")))</f>
        <v>1</v>
      </c>
      <c r="BQ130" s="229">
        <f>IF($BC130=Lookup!$A$2,$BD130*ROUNDUP(BI130/10,0)+1,
IF($BC130=Lookup!$A$3,($BD130+1)^BH130,
IF($BC130=Lookup!$A$4,BI130*$BD130+1,"Error")))</f>
        <v>1</v>
      </c>
      <c r="BR130" s="229">
        <f>IF($BC130=Lookup!$A$2,$BD130*ROUNDUP(BJ130/10,0)+1,
IF($BC130=Lookup!$A$3,($BD130+1)^BI130,
IF($BC130=Lookup!$A$4,BJ130*$BD130+1,"Error")))</f>
        <v>1</v>
      </c>
      <c r="BS130" s="229">
        <f>IF($BC130=Lookup!$A$2,$BD130*ROUNDUP(BK130/10,0)+1,
IF($BC130=Lookup!$A$3,($BD130+1)^BJ130,
IF($BC130=Lookup!$A$4,BK130*$BD130+1,"Error")))</f>
        <v>1</v>
      </c>
      <c r="BT130" s="249">
        <f>IF($BC130=Lookup!$A$2,$BD130*ROUNDUP(BL130/10,0)+1,
IF($BC130=Lookup!$A$3,($BD130+1)^BK130,
IF($BC130=Lookup!$A$4,BL130*$BD130+1,"Error")))</f>
        <v>1</v>
      </c>
      <c r="BU130" s="320"/>
      <c r="BV130" s="321"/>
      <c r="BW130" s="321"/>
      <c r="BX130" s="321"/>
      <c r="BY130" s="321"/>
      <c r="BZ130" s="321"/>
      <c r="CA130" s="321"/>
      <c r="CB130" s="277"/>
      <c r="CC130" s="382" t="s">
        <v>293</v>
      </c>
      <c r="CD130" s="383">
        <f>HLOOKUP($CC130,$AK$6:$AM$132,ROWS(CD$6:CD130),0)</f>
        <v>0</v>
      </c>
      <c r="CE130" s="234">
        <f t="shared" si="215"/>
        <v>0</v>
      </c>
      <c r="CF130" s="96">
        <f t="shared" si="215"/>
        <v>0</v>
      </c>
      <c r="CG130" s="96">
        <f t="shared" si="215"/>
        <v>0</v>
      </c>
      <c r="CH130" s="96">
        <f t="shared" si="213"/>
        <v>0</v>
      </c>
      <c r="CI130" s="96">
        <f t="shared" si="213"/>
        <v>0</v>
      </c>
      <c r="CJ130" s="96">
        <f t="shared" si="213"/>
        <v>0</v>
      </c>
      <c r="CK130" s="96">
        <f t="shared" si="213"/>
        <v>0</v>
      </c>
      <c r="CL130" s="286">
        <f t="shared" si="194"/>
        <v>0</v>
      </c>
      <c r="CM130" s="305" t="s">
        <v>293</v>
      </c>
      <c r="CN130" s="315">
        <v>0</v>
      </c>
      <c r="CO130" s="306"/>
      <c r="CP130" s="307" t="str">
        <f>IF($CO130&lt;&gt;"",$CO130,HLOOKUP($CM130,$AY$6:$BA$132,ROWS(CP$6:CP130),0))</f>
        <v/>
      </c>
      <c r="CQ130" s="784" t="str">
        <f t="shared" si="190"/>
        <v/>
      </c>
      <c r="CR130" s="784" t="str">
        <f t="shared" si="190"/>
        <v/>
      </c>
      <c r="CS130" s="97" t="str">
        <f t="shared" si="190"/>
        <v/>
      </c>
      <c r="CT130" s="97" t="str">
        <f t="shared" si="190"/>
        <v/>
      </c>
      <c r="CU130" s="97" t="str">
        <f t="shared" si="190"/>
        <v/>
      </c>
      <c r="CV130" s="97" t="str">
        <f t="shared" si="190"/>
        <v/>
      </c>
      <c r="CW130" s="97" t="str">
        <f t="shared" si="190"/>
        <v/>
      </c>
      <c r="CX130" s="98" t="str">
        <f t="shared" si="190"/>
        <v/>
      </c>
      <c r="CY130" s="392"/>
    </row>
    <row r="131" spans="1:103" x14ac:dyDescent="0.25">
      <c r="A131" s="81" t="s">
        <v>258</v>
      </c>
      <c r="B131" s="82" t="s">
        <v>404</v>
      </c>
      <c r="C131" s="83" t="s">
        <v>405</v>
      </c>
      <c r="D131" s="84">
        <v>0</v>
      </c>
      <c r="E131" s="85">
        <v>0</v>
      </c>
      <c r="F131" s="85">
        <v>0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654">
        <f>'2022-23 Input'!F131</f>
        <v>0</v>
      </c>
      <c r="N131" s="1065">
        <v>0</v>
      </c>
      <c r="O131" s="560">
        <f t="shared" si="139"/>
        <v>0</v>
      </c>
      <c r="P131" s="561">
        <f t="shared" si="113"/>
        <v>0</v>
      </c>
      <c r="Q131" s="561">
        <f t="shared" si="114"/>
        <v>0</v>
      </c>
      <c r="R131" s="561">
        <f t="shared" si="115"/>
        <v>0</v>
      </c>
      <c r="S131" s="561">
        <f t="shared" si="116"/>
        <v>0</v>
      </c>
      <c r="T131" s="561">
        <f t="shared" si="117"/>
        <v>0</v>
      </c>
      <c r="U131" s="561">
        <f t="shared" si="118"/>
        <v>0</v>
      </c>
      <c r="V131" s="561">
        <f t="shared" si="119"/>
        <v>0</v>
      </c>
      <c r="W131" s="675">
        <f t="shared" si="120"/>
        <v>0</v>
      </c>
      <c r="X131" s="675">
        <f t="shared" si="121"/>
        <v>0</v>
      </c>
      <c r="Y131" s="675">
        <f t="shared" si="121"/>
        <v>0</v>
      </c>
      <c r="Z131" s="86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  <c r="AG131" s="87">
        <v>0</v>
      </c>
      <c r="AH131" s="87">
        <v>0</v>
      </c>
      <c r="AI131" s="1094">
        <f>'2022-23 Input'!M131</f>
        <v>0</v>
      </c>
      <c r="AJ131" s="665">
        <v>0</v>
      </c>
      <c r="AK131" s="88">
        <f t="shared" si="174"/>
        <v>0</v>
      </c>
      <c r="AL131" s="89">
        <f t="shared" si="175"/>
        <v>0</v>
      </c>
      <c r="AM131" s="90">
        <f t="shared" si="176"/>
        <v>0</v>
      </c>
      <c r="AN131" s="91" t="str">
        <f t="shared" si="177"/>
        <v/>
      </c>
      <c r="AO131" s="92" t="str">
        <f t="shared" si="178"/>
        <v/>
      </c>
      <c r="AP131" s="92" t="str">
        <f t="shared" si="179"/>
        <v/>
      </c>
      <c r="AQ131" s="92" t="str">
        <f t="shared" si="180"/>
        <v/>
      </c>
      <c r="AR131" s="92" t="str">
        <f t="shared" si="181"/>
        <v/>
      </c>
      <c r="AS131" s="92" t="str">
        <f t="shared" si="182"/>
        <v/>
      </c>
      <c r="AT131" s="92" t="str">
        <f t="shared" si="183"/>
        <v/>
      </c>
      <c r="AU131" s="92" t="str">
        <f t="shared" si="184"/>
        <v/>
      </c>
      <c r="AV131" s="92" t="str">
        <f t="shared" si="207"/>
        <v/>
      </c>
      <c r="AW131" s="92" t="str">
        <f t="shared" si="207"/>
        <v/>
      </c>
      <c r="AX131" s="92" t="str">
        <f t="shared" si="207"/>
        <v/>
      </c>
      <c r="AY131" s="93" t="str">
        <f t="shared" si="186"/>
        <v/>
      </c>
      <c r="AZ131" s="94" t="str">
        <f t="shared" si="187"/>
        <v/>
      </c>
      <c r="BA131" s="95" t="str">
        <f t="shared" si="188"/>
        <v/>
      </c>
      <c r="BB131" s="248" t="s">
        <v>422</v>
      </c>
      <c r="BC131" s="229" t="s">
        <v>433</v>
      </c>
      <c r="BD131" s="249">
        <v>0</v>
      </c>
      <c r="BE131" s="267">
        <f t="shared" si="140"/>
        <v>0</v>
      </c>
      <c r="BF131" s="268">
        <f t="shared" ref="BF131:BL131" si="222">IF(BF$6=$BB131,1,
IF(BE131&lt;&gt;0,BE131+1,0
))</f>
        <v>0</v>
      </c>
      <c r="BG131" s="268">
        <f t="shared" si="222"/>
        <v>0</v>
      </c>
      <c r="BH131" s="268">
        <f t="shared" si="222"/>
        <v>1</v>
      </c>
      <c r="BI131" s="268">
        <f t="shared" si="222"/>
        <v>2</v>
      </c>
      <c r="BJ131" s="268">
        <f t="shared" si="222"/>
        <v>3</v>
      </c>
      <c r="BK131" s="268">
        <f t="shared" si="222"/>
        <v>4</v>
      </c>
      <c r="BL131" s="269">
        <f t="shared" si="222"/>
        <v>5</v>
      </c>
      <c r="BM131" s="256">
        <f>IF($BC131=Lookup!$A$2,$BD131*ROUNDUP(BE131/10,0)+1,
IF($BC131=Lookup!$A$3,($BD131+1)^BD131,
IF($BC131=Lookup!$A$4,BE131*$BD131+1,"Error")))</f>
        <v>1</v>
      </c>
      <c r="BN131" s="229">
        <f>IF($BC131=Lookup!$A$2,$BD131*ROUNDUP(BF131/10,0)+1,
IF($BC131=Lookup!$A$3,($BD131+1)^BE131,
IF($BC131=Lookup!$A$4,BF131*$BD131+1,"Error")))</f>
        <v>1</v>
      </c>
      <c r="BO131" s="229">
        <f>IF($BC131=Lookup!$A$2,$BD131*ROUNDUP(BG131/10,0)+1,
IF($BC131=Lookup!$A$3,($BD131+1)^BF131,
IF($BC131=Lookup!$A$4,BG131*$BD131+1,"Error")))</f>
        <v>1</v>
      </c>
      <c r="BP131" s="229">
        <f>IF($BC131=Lookup!$A$2,$BD131*ROUNDUP(BH131/10,0)+1,
IF($BC131=Lookup!$A$3,($BD131+1)^BG131,
IF($BC131=Lookup!$A$4,BH131*$BD131+1,"Error")))</f>
        <v>1</v>
      </c>
      <c r="BQ131" s="229">
        <f>IF($BC131=Lookup!$A$2,$BD131*ROUNDUP(BI131/10,0)+1,
IF($BC131=Lookup!$A$3,($BD131+1)^BH131,
IF($BC131=Lookup!$A$4,BI131*$BD131+1,"Error")))</f>
        <v>1</v>
      </c>
      <c r="BR131" s="229">
        <f>IF($BC131=Lookup!$A$2,$BD131*ROUNDUP(BJ131/10,0)+1,
IF($BC131=Lookup!$A$3,($BD131+1)^BI131,
IF($BC131=Lookup!$A$4,BJ131*$BD131+1,"Error")))</f>
        <v>1</v>
      </c>
      <c r="BS131" s="229">
        <f>IF($BC131=Lookup!$A$2,$BD131*ROUNDUP(BK131/10,0)+1,
IF($BC131=Lookup!$A$3,($BD131+1)^BJ131,
IF($BC131=Lookup!$A$4,BK131*$BD131+1,"Error")))</f>
        <v>1</v>
      </c>
      <c r="BT131" s="249">
        <f>IF($BC131=Lookup!$A$2,$BD131*ROUNDUP(BL131/10,0)+1,
IF($BC131=Lookup!$A$3,($BD131+1)^BK131,
IF($BC131=Lookup!$A$4,BL131*$BD131+1,"Error")))</f>
        <v>1</v>
      </c>
      <c r="BU131" s="320"/>
      <c r="BV131" s="321"/>
      <c r="BW131" s="321"/>
      <c r="BX131" s="321"/>
      <c r="BY131" s="321"/>
      <c r="BZ131" s="321"/>
      <c r="CA131" s="321"/>
      <c r="CB131" s="277"/>
      <c r="CC131" s="382" t="s">
        <v>293</v>
      </c>
      <c r="CD131" s="383">
        <f>HLOOKUP($CC131,$AK$6:$AM$132,ROWS(CD$6:CD131),0)</f>
        <v>0</v>
      </c>
      <c r="CE131" s="234">
        <f t="shared" si="215"/>
        <v>0</v>
      </c>
      <c r="CF131" s="96">
        <f t="shared" si="215"/>
        <v>0</v>
      </c>
      <c r="CG131" s="96">
        <f t="shared" si="215"/>
        <v>0</v>
      </c>
      <c r="CH131" s="96">
        <f t="shared" si="213"/>
        <v>0</v>
      </c>
      <c r="CI131" s="96">
        <f t="shared" si="213"/>
        <v>0</v>
      </c>
      <c r="CJ131" s="96">
        <f t="shared" si="213"/>
        <v>0</v>
      </c>
      <c r="CK131" s="96">
        <f t="shared" si="213"/>
        <v>0</v>
      </c>
      <c r="CL131" s="286">
        <f t="shared" si="194"/>
        <v>0</v>
      </c>
      <c r="CM131" s="305" t="s">
        <v>293</v>
      </c>
      <c r="CN131" s="315">
        <v>0</v>
      </c>
      <c r="CO131" s="306"/>
      <c r="CP131" s="307" t="str">
        <f>IF($CO131&lt;&gt;"",$CO131,HLOOKUP($CM131,$AY$6:$BA$132,ROWS(CP$6:CP131),0))</f>
        <v/>
      </c>
      <c r="CQ131" s="784" t="str">
        <f t="shared" si="190"/>
        <v/>
      </c>
      <c r="CR131" s="784" t="str">
        <f t="shared" si="190"/>
        <v/>
      </c>
      <c r="CS131" s="97" t="str">
        <f t="shared" si="190"/>
        <v/>
      </c>
      <c r="CT131" s="97" t="str">
        <f t="shared" si="190"/>
        <v/>
      </c>
      <c r="CU131" s="97" t="str">
        <f t="shared" si="190"/>
        <v/>
      </c>
      <c r="CV131" s="97" t="str">
        <f t="shared" si="190"/>
        <v/>
      </c>
      <c r="CW131" s="97" t="str">
        <f t="shared" si="190"/>
        <v/>
      </c>
      <c r="CX131" s="98" t="str">
        <f t="shared" si="190"/>
        <v/>
      </c>
      <c r="CY131" s="392"/>
    </row>
    <row r="132" spans="1:103" ht="15.75" thickBot="1" x14ac:dyDescent="0.3">
      <c r="A132" s="100" t="s">
        <v>258</v>
      </c>
      <c r="B132" s="101" t="s">
        <v>265</v>
      </c>
      <c r="C132" s="159" t="s">
        <v>406</v>
      </c>
      <c r="D132" s="103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1579.07</v>
      </c>
      <c r="J132" s="104">
        <v>64920.800000000003</v>
      </c>
      <c r="K132" s="104">
        <v>39847.81</v>
      </c>
      <c r="L132" s="104">
        <v>188408.08000000013</v>
      </c>
      <c r="M132" s="655">
        <f>'2022-23 Input'!F132</f>
        <v>191308.69</v>
      </c>
      <c r="N132" s="1066">
        <v>104299.29999999999</v>
      </c>
      <c r="O132" s="563">
        <f t="shared" si="139"/>
        <v>0</v>
      </c>
      <c r="P132" s="564">
        <f t="shared" si="113"/>
        <v>0</v>
      </c>
      <c r="Q132" s="564">
        <f t="shared" si="114"/>
        <v>0</v>
      </c>
      <c r="R132" s="564">
        <f t="shared" si="115"/>
        <v>0</v>
      </c>
      <c r="S132" s="564">
        <f t="shared" si="116"/>
        <v>0</v>
      </c>
      <c r="T132" s="564">
        <f t="shared" si="117"/>
        <v>1959.8600373325189</v>
      </c>
      <c r="U132" s="564">
        <f t="shared" si="118"/>
        <v>80858.075650188097</v>
      </c>
      <c r="V132" s="564">
        <f t="shared" si="119"/>
        <v>47791.821169641902</v>
      </c>
      <c r="W132" s="676">
        <f t="shared" si="120"/>
        <v>212887.42069253579</v>
      </c>
      <c r="X132" s="676">
        <f t="shared" si="121"/>
        <v>203449.31663686552</v>
      </c>
      <c r="Y132" s="676">
        <f t="shared" si="121"/>
        <v>107167.37214372681</v>
      </c>
      <c r="Z132" s="105">
        <v>0</v>
      </c>
      <c r="AA132" s="106">
        <v>0</v>
      </c>
      <c r="AB132" s="106">
        <v>0</v>
      </c>
      <c r="AC132" s="106">
        <v>0</v>
      </c>
      <c r="AD132" s="106">
        <v>0</v>
      </c>
      <c r="AE132" s="106">
        <v>536</v>
      </c>
      <c r="AF132" s="106">
        <v>639</v>
      </c>
      <c r="AG132" s="106">
        <v>1199</v>
      </c>
      <c r="AH132" s="106">
        <v>993</v>
      </c>
      <c r="AI132" s="1095">
        <f>'2022-23 Input'!M132</f>
        <v>1433</v>
      </c>
      <c r="AJ132" s="666">
        <v>1004</v>
      </c>
      <c r="AK132" s="107">
        <f t="shared" si="174"/>
        <v>960</v>
      </c>
      <c r="AL132" s="108">
        <f t="shared" si="175"/>
        <v>1208.3333333333333</v>
      </c>
      <c r="AM132" s="109">
        <f t="shared" si="176"/>
        <v>1433</v>
      </c>
      <c r="AN132" s="110" t="str">
        <f t="shared" si="177"/>
        <v/>
      </c>
      <c r="AO132" s="111" t="str">
        <f t="shared" si="178"/>
        <v/>
      </c>
      <c r="AP132" s="111" t="str">
        <f t="shared" si="179"/>
        <v/>
      </c>
      <c r="AQ132" s="111" t="str">
        <f t="shared" si="180"/>
        <v/>
      </c>
      <c r="AR132" s="111" t="str">
        <f t="shared" si="181"/>
        <v/>
      </c>
      <c r="AS132" s="111">
        <f t="shared" si="182"/>
        <v>2.9460261194029851</v>
      </c>
      <c r="AT132" s="111">
        <f t="shared" si="183"/>
        <v>101.59749608763694</v>
      </c>
      <c r="AU132" s="111">
        <f t="shared" si="184"/>
        <v>33.234203502919094</v>
      </c>
      <c r="AV132" s="111">
        <f t="shared" si="207"/>
        <v>189.73623363544826</v>
      </c>
      <c r="AW132" s="111">
        <f t="shared" si="207"/>
        <v>133.50222609909281</v>
      </c>
      <c r="AX132" s="111">
        <f t="shared" si="207"/>
        <v>103.88376494023903</v>
      </c>
      <c r="AY132" s="112">
        <f t="shared" si="186"/>
        <v>101.26342708333335</v>
      </c>
      <c r="AZ132" s="113">
        <f t="shared" si="187"/>
        <v>115.74195310344831</v>
      </c>
      <c r="BA132" s="114">
        <f t="shared" si="188"/>
        <v>133.50222609909281</v>
      </c>
      <c r="BB132" s="250" t="s">
        <v>422</v>
      </c>
      <c r="BC132" s="230" t="s">
        <v>433</v>
      </c>
      <c r="BD132" s="251">
        <v>0</v>
      </c>
      <c r="BE132" s="270">
        <f t="shared" si="140"/>
        <v>0</v>
      </c>
      <c r="BF132" s="271">
        <f t="shared" ref="BF132:BL132" si="223">IF(BF$6=$BB132,1,
IF(BE132&lt;&gt;0,BE132+1,0
))</f>
        <v>0</v>
      </c>
      <c r="BG132" s="271">
        <f t="shared" si="223"/>
        <v>0</v>
      </c>
      <c r="BH132" s="271">
        <f t="shared" si="223"/>
        <v>1</v>
      </c>
      <c r="BI132" s="271">
        <f t="shared" si="223"/>
        <v>2</v>
      </c>
      <c r="BJ132" s="271">
        <f t="shared" si="223"/>
        <v>3</v>
      </c>
      <c r="BK132" s="271">
        <f t="shared" si="223"/>
        <v>4</v>
      </c>
      <c r="BL132" s="272">
        <f t="shared" si="223"/>
        <v>5</v>
      </c>
      <c r="BM132" s="257">
        <f>IF($BC132=Lookup!$A$2,$BD132*ROUNDUP(BE132/10,0)+1,
IF($BC132=Lookup!$A$3,($BD132+1)^BD132,
IF($BC132=Lookup!$A$4,BE132*$BD132+1,"Error")))</f>
        <v>1</v>
      </c>
      <c r="BN132" s="230">
        <f>IF($BC132=Lookup!$A$2,$BD132*ROUNDUP(BF132/10,0)+1,
IF($BC132=Lookup!$A$3,($BD132+1)^BE132,
IF($BC132=Lookup!$A$4,BF132*$BD132+1,"Error")))</f>
        <v>1</v>
      </c>
      <c r="BO132" s="230">
        <f>IF($BC132=Lookup!$A$2,$BD132*ROUNDUP(BG132/10,0)+1,
IF($BC132=Lookup!$A$3,($BD132+1)^BF132,
IF($BC132=Lookup!$A$4,BG132*$BD132+1,"Error")))</f>
        <v>1</v>
      </c>
      <c r="BP132" s="230">
        <f>IF($BC132=Lookup!$A$2,$BD132*ROUNDUP(BH132/10,0)+1,
IF($BC132=Lookup!$A$3,($BD132+1)^BG132,
IF($BC132=Lookup!$A$4,BH132*$BD132+1,"Error")))</f>
        <v>1</v>
      </c>
      <c r="BQ132" s="230">
        <f>IF($BC132=Lookup!$A$2,$BD132*ROUNDUP(BI132/10,0)+1,
IF($BC132=Lookup!$A$3,($BD132+1)^BH132,
IF($BC132=Lookup!$A$4,BI132*$BD132+1,"Error")))</f>
        <v>1</v>
      </c>
      <c r="BR132" s="230">
        <f>IF($BC132=Lookup!$A$2,$BD132*ROUNDUP(BJ132/10,0)+1,
IF($BC132=Lookup!$A$3,($BD132+1)^BI132,
IF($BC132=Lookup!$A$4,BJ132*$BD132+1,"Error")))</f>
        <v>1</v>
      </c>
      <c r="BS132" s="230">
        <f>IF($BC132=Lookup!$A$2,$BD132*ROUNDUP(BK132/10,0)+1,
IF($BC132=Lookup!$A$3,($BD132+1)^BJ132,
IF($BC132=Lookup!$A$4,BK132*$BD132+1,"Error")))</f>
        <v>1</v>
      </c>
      <c r="BT132" s="251">
        <f>IF($BC132=Lookup!$A$2,$BD132*ROUNDUP(BL132/10,0)+1,
IF($BC132=Lookup!$A$3,($BD132+1)^BK132,
IF($BC132=Lookup!$A$4,BL132*$BD132+1,"Error")))</f>
        <v>1</v>
      </c>
      <c r="BU132" s="322"/>
      <c r="BV132" s="323"/>
      <c r="BW132" s="323"/>
      <c r="BX132" s="323"/>
      <c r="BY132" s="323"/>
      <c r="BZ132" s="323"/>
      <c r="CA132" s="323"/>
      <c r="CB132" s="278"/>
      <c r="CC132" s="384" t="s">
        <v>293</v>
      </c>
      <c r="CD132" s="385">
        <f>HLOOKUP($CC132,$AK$6:$AM$132,ROWS(CD$6:CD132),0)</f>
        <v>1208.3333333333333</v>
      </c>
      <c r="CE132" s="235">
        <f t="shared" si="215"/>
        <v>1208.3333333333333</v>
      </c>
      <c r="CF132" s="115">
        <f t="shared" si="215"/>
        <v>1208.3333333333333</v>
      </c>
      <c r="CG132" s="115">
        <f t="shared" si="215"/>
        <v>1208.3333333333333</v>
      </c>
      <c r="CH132" s="115">
        <f t="shared" si="213"/>
        <v>1208.3333333333333</v>
      </c>
      <c r="CI132" s="115">
        <f t="shared" si="213"/>
        <v>1208.3333333333333</v>
      </c>
      <c r="CJ132" s="115">
        <f t="shared" si="213"/>
        <v>1208.3333333333333</v>
      </c>
      <c r="CK132" s="115">
        <f t="shared" si="213"/>
        <v>1208.3333333333333</v>
      </c>
      <c r="CL132" s="287">
        <f t="shared" si="194"/>
        <v>1208.3333333333333</v>
      </c>
      <c r="CM132" s="308" t="s">
        <v>293</v>
      </c>
      <c r="CN132" s="316">
        <v>0</v>
      </c>
      <c r="CO132" s="309"/>
      <c r="CP132" s="310">
        <f>IF($CO132&lt;&gt;"",$CO132,HLOOKUP($CM132,$AY$6:$BA$132,ROWS(CP$6:CP132),0))</f>
        <v>115.74195310344831</v>
      </c>
      <c r="CQ132" s="785">
        <f t="shared" si="190"/>
        <v>139854.86000000004</v>
      </c>
      <c r="CR132" s="785">
        <f t="shared" si="190"/>
        <v>139854.86000000004</v>
      </c>
      <c r="CS132" s="117">
        <f t="shared" si="190"/>
        <v>139854.86000000004</v>
      </c>
      <c r="CT132" s="117">
        <f t="shared" si="190"/>
        <v>139854.86000000004</v>
      </c>
      <c r="CU132" s="117">
        <f t="shared" si="190"/>
        <v>139854.86000000004</v>
      </c>
      <c r="CV132" s="117">
        <f t="shared" si="190"/>
        <v>139854.86000000004</v>
      </c>
      <c r="CW132" s="117">
        <f t="shared" si="190"/>
        <v>139854.86000000004</v>
      </c>
      <c r="CX132" s="118">
        <f t="shared" si="190"/>
        <v>139854.86000000004</v>
      </c>
      <c r="CY132" s="393"/>
    </row>
    <row r="133" spans="1:103" ht="15.75" thickBot="1" x14ac:dyDescent="0.3">
      <c r="A133" s="19"/>
      <c r="B133" s="19"/>
      <c r="C133" s="160" t="s">
        <v>407</v>
      </c>
      <c r="D133" s="161">
        <f>SUM(D7:D132)</f>
        <v>59561020.200000115</v>
      </c>
      <c r="E133" s="162">
        <f t="shared" ref="E133:X133" si="224">SUM(E7:E132)</f>
        <v>72926351.740000114</v>
      </c>
      <c r="F133" s="162">
        <f t="shared" si="224"/>
        <v>88011271.450000048</v>
      </c>
      <c r="G133" s="162">
        <f t="shared" si="224"/>
        <v>62396351.349999994</v>
      </c>
      <c r="H133" s="162">
        <f t="shared" si="224"/>
        <v>86959082.509999961</v>
      </c>
      <c r="I133" s="162">
        <f t="shared" si="224"/>
        <v>129105603.90535606</v>
      </c>
      <c r="J133" s="162">
        <f t="shared" si="224"/>
        <v>184399949.14756441</v>
      </c>
      <c r="K133" s="162">
        <f t="shared" si="224"/>
        <v>226833175.25141829</v>
      </c>
      <c r="L133" s="162">
        <f t="shared" si="224"/>
        <v>201656789.4667128</v>
      </c>
      <c r="M133" s="162">
        <f t="shared" si="224"/>
        <v>249391079.22505972</v>
      </c>
      <c r="N133" s="162">
        <f t="shared" si="224"/>
        <v>285752240.10999995</v>
      </c>
      <c r="O133" s="569">
        <f t="shared" si="224"/>
        <v>80136751.006480724</v>
      </c>
      <c r="P133" s="570">
        <f t="shared" si="224"/>
        <v>96658841.685204953</v>
      </c>
      <c r="Q133" s="570">
        <f t="shared" si="224"/>
        <v>115471294.00782931</v>
      </c>
      <c r="R133" s="570">
        <f t="shared" si="224"/>
        <v>80311388.949620187</v>
      </c>
      <c r="S133" s="570">
        <f t="shared" si="224"/>
        <v>109648341.81676039</v>
      </c>
      <c r="T133" s="570">
        <f t="shared" si="224"/>
        <v>160239200.09232557</v>
      </c>
      <c r="U133" s="570">
        <f t="shared" si="224"/>
        <v>229667919.03464827</v>
      </c>
      <c r="V133" s="570">
        <f t="shared" si="224"/>
        <v>272054362.50970453</v>
      </c>
      <c r="W133" s="1106">
        <f t="shared" si="224"/>
        <v>227857498.33396837</v>
      </c>
      <c r="X133" s="1106">
        <f t="shared" si="224"/>
        <v>265217668.07178888</v>
      </c>
      <c r="Y133" s="678">
        <f t="shared" ref="Y133" si="225">SUM(Y7:Y132)</f>
        <v>293609992.1741749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82"/>
      <c r="AJ133" s="282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>
        <f t="shared" ref="CE133:CF133" si="226">SUM(CE7:CE132)</f>
        <v>45066.416787169001</v>
      </c>
      <c r="CF133" s="19">
        <f t="shared" si="226"/>
        <v>45074.530453806445</v>
      </c>
      <c r="CG133" s="19"/>
      <c r="CH133" s="19"/>
      <c r="CI133" s="19"/>
      <c r="CJ133" s="19"/>
      <c r="CK133" s="19"/>
      <c r="CL133" s="207"/>
      <c r="CM133" s="207"/>
      <c r="CN133" s="207"/>
      <c r="CO133" s="207"/>
      <c r="CP133" s="19"/>
      <c r="CQ133" s="787">
        <f>SUM(CQ7:CQ132)</f>
        <v>222607972.49944979</v>
      </c>
      <c r="CR133" s="1110">
        <f t="shared" ref="CR133:CX133" si="227">SUM(CR7:CR132)</f>
        <v>225281145.81907514</v>
      </c>
      <c r="CS133" s="163">
        <f t="shared" si="227"/>
        <v>225581145.81907514</v>
      </c>
      <c r="CT133" s="163">
        <f t="shared" si="227"/>
        <v>190623591.91813749</v>
      </c>
      <c r="CU133" s="163">
        <f t="shared" si="227"/>
        <v>190923591.91813749</v>
      </c>
      <c r="CV133" s="163">
        <f t="shared" si="227"/>
        <v>190923591.91813749</v>
      </c>
      <c r="CW133" s="163">
        <f t="shared" si="227"/>
        <v>191223591.91813749</v>
      </c>
      <c r="CX133" s="164">
        <f t="shared" si="227"/>
        <v>191223591.91813749</v>
      </c>
    </row>
    <row r="134" spans="1:103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82"/>
      <c r="N134" s="282"/>
      <c r="O134" s="19"/>
      <c r="P134" s="19"/>
      <c r="Q134" s="19"/>
      <c r="R134" s="19"/>
      <c r="S134" s="19"/>
      <c r="T134" s="19"/>
      <c r="U134" s="19"/>
      <c r="V134" s="19"/>
      <c r="W134" s="19"/>
      <c r="X134" s="282"/>
      <c r="Y134" s="282"/>
      <c r="Z134" s="19"/>
      <c r="AA134" s="19"/>
      <c r="AB134" s="19"/>
      <c r="AC134" s="19"/>
      <c r="AD134" s="19"/>
      <c r="AE134" s="19"/>
      <c r="AF134" s="19"/>
      <c r="AG134" s="19"/>
      <c r="AH134" s="19"/>
      <c r="AI134" s="282"/>
      <c r="AJ134" s="282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/>
      <c r="AX134" s="282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207"/>
      <c r="CM134" s="207"/>
      <c r="CN134" s="207"/>
      <c r="CO134" s="207"/>
      <c r="CP134" s="19"/>
      <c r="CQ134" s="780"/>
      <c r="CR134" s="780"/>
      <c r="CS134" s="19"/>
      <c r="CT134" s="19"/>
      <c r="CU134" s="19"/>
      <c r="CV134" s="19"/>
      <c r="CW134" s="19"/>
      <c r="CX134" s="19"/>
    </row>
    <row r="135" spans="1:103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82"/>
      <c r="N135" s="282"/>
      <c r="O135" s="19"/>
      <c r="P135" s="19"/>
      <c r="Q135" s="19"/>
      <c r="R135" s="19"/>
      <c r="S135" s="19"/>
      <c r="T135" s="19"/>
      <c r="U135" s="19"/>
      <c r="V135" s="19"/>
      <c r="W135" s="19"/>
      <c r="X135" s="282"/>
      <c r="Y135" s="282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294"/>
      <c r="AJ135" s="294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282"/>
      <c r="AX135" s="282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65"/>
      <c r="CF135" s="165"/>
      <c r="CG135" s="165"/>
      <c r="CH135" s="165"/>
      <c r="CI135" s="165"/>
      <c r="CJ135" s="165"/>
      <c r="CK135" s="165"/>
      <c r="CL135" s="212"/>
      <c r="CM135" s="212"/>
      <c r="CN135" s="212"/>
      <c r="CO135" s="212"/>
      <c r="CP135" s="19"/>
      <c r="CQ135" s="780"/>
      <c r="CR135" s="780"/>
      <c r="CS135" s="19"/>
      <c r="CT135" s="19"/>
      <c r="CU135" s="19"/>
      <c r="CV135" s="19"/>
      <c r="CW135" s="19"/>
      <c r="CX135" s="19"/>
    </row>
    <row r="136" spans="1:103" x14ac:dyDescent="0.25">
      <c r="A136" s="63" t="s">
        <v>296</v>
      </c>
      <c r="B136" s="166"/>
      <c r="C136" s="64" t="s">
        <v>409</v>
      </c>
      <c r="D136" s="167">
        <f>SUMIF($A$7:$A$132,$A136,D$7:D$132)</f>
        <v>7846576.7908609947</v>
      </c>
      <c r="E136" s="168">
        <f t="shared" ref="E136:AF146" si="228">SUMIF($A$7:$A$132,$A136,E$7:E$132)</f>
        <v>4131765.6832346846</v>
      </c>
      <c r="F136" s="168">
        <f t="shared" si="228"/>
        <v>5957465.6198742418</v>
      </c>
      <c r="G136" s="168">
        <f t="shared" si="228"/>
        <v>4088118.4082247261</v>
      </c>
      <c r="H136" s="168">
        <f t="shared" si="228"/>
        <v>6362039.3392579546</v>
      </c>
      <c r="I136" s="168">
        <f t="shared" si="228"/>
        <v>3689144.5943493401</v>
      </c>
      <c r="J136" s="168">
        <f t="shared" si="228"/>
        <v>7909721.9379401384</v>
      </c>
      <c r="K136" s="168">
        <f t="shared" si="228"/>
        <v>5804194.2899999982</v>
      </c>
      <c r="L136" s="168">
        <f t="shared" si="228"/>
        <v>6724282.7699999986</v>
      </c>
      <c r="M136" s="658">
        <f t="shared" si="228"/>
        <v>7067323.7300000042</v>
      </c>
      <c r="N136" s="658">
        <f t="shared" ref="N136:N146" si="229">SUMIF($A$7:$A$132,$A136,N$7:N$132)</f>
        <v>6456776.9100000234</v>
      </c>
      <c r="O136" s="578">
        <f>SUMIF($A$7:$A$132,$A136,O$7:O$132)</f>
        <v>10557226.327403586</v>
      </c>
      <c r="P136" s="575">
        <f t="shared" si="228"/>
        <v>5476370.0024375226</v>
      </c>
      <c r="Q136" s="575">
        <f t="shared" si="228"/>
        <v>7816229.1352062188</v>
      </c>
      <c r="R136" s="575">
        <f t="shared" si="228"/>
        <v>5261885.6784329917</v>
      </c>
      <c r="S136" s="575">
        <f t="shared" si="228"/>
        <v>8022014.9981735684</v>
      </c>
      <c r="T136" s="575">
        <f t="shared" si="228"/>
        <v>4578775.5212920001</v>
      </c>
      <c r="U136" s="575">
        <f t="shared" si="228"/>
        <v>9851463.5498933475</v>
      </c>
      <c r="V136" s="575">
        <f t="shared" si="228"/>
        <v>6961311.438233031</v>
      </c>
      <c r="W136" s="575">
        <f t="shared" si="228"/>
        <v>7597950.2307573995</v>
      </c>
      <c r="X136" s="679">
        <f t="shared" si="228"/>
        <v>7515822.6388984444</v>
      </c>
      <c r="Y136" s="679">
        <f t="shared" ref="Y136:Y143" si="230">SUMIF($A$7:$A$132,$A136,Y$7:Y$132)</f>
        <v>6634328.4563079048</v>
      </c>
      <c r="Z136" s="169">
        <f t="shared" si="228"/>
        <v>2415</v>
      </c>
      <c r="AA136" s="170">
        <f t="shared" si="228"/>
        <v>1139</v>
      </c>
      <c r="AB136" s="170">
        <f t="shared" si="228"/>
        <v>1478</v>
      </c>
      <c r="AC136" s="170">
        <f t="shared" si="228"/>
        <v>1269</v>
      </c>
      <c r="AD136" s="170">
        <f t="shared" si="228"/>
        <v>1552</v>
      </c>
      <c r="AE136" s="170">
        <f t="shared" si="228"/>
        <v>1101</v>
      </c>
      <c r="AF136" s="170">
        <f t="shared" si="228"/>
        <v>4997</v>
      </c>
      <c r="AG136" s="170">
        <f t="shared" ref="AG136:AJ146" si="231">SUMIF($A$7:$A$132,$A136,AG$7:AG$132)</f>
        <v>4542</v>
      </c>
      <c r="AH136" s="170">
        <f t="shared" si="231"/>
        <v>5172</v>
      </c>
      <c r="AI136" s="170">
        <f t="shared" si="231"/>
        <v>4260</v>
      </c>
      <c r="AJ136" s="613">
        <f t="shared" si="231"/>
        <v>4039</v>
      </c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282"/>
      <c r="AX136" s="282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420">
        <f t="shared" ref="CE136:CL146" si="232">SUMIF($A$7:$A$132,$A136,CE$7:CE$132)</f>
        <v>4658</v>
      </c>
      <c r="CF136" s="144">
        <f t="shared" si="232"/>
        <v>4658</v>
      </c>
      <c r="CG136" s="520">
        <f t="shared" si="232"/>
        <v>4658</v>
      </c>
      <c r="CH136" s="420">
        <f t="shared" si="232"/>
        <v>4658</v>
      </c>
      <c r="CI136" s="144">
        <f t="shared" si="232"/>
        <v>4658</v>
      </c>
      <c r="CJ136" s="144">
        <f t="shared" si="232"/>
        <v>4658</v>
      </c>
      <c r="CK136" s="144">
        <f t="shared" si="232"/>
        <v>4658</v>
      </c>
      <c r="CL136" s="293">
        <f>SUMIF($A$7:$A$132,$A136,CL$7:CL$132)</f>
        <v>4658</v>
      </c>
      <c r="CM136" s="302"/>
      <c r="CN136" s="314"/>
      <c r="CO136" s="303"/>
      <c r="CP136" s="304"/>
      <c r="CQ136" s="788">
        <f t="shared" ref="CQ136:CX146" si="233">SUMIF($A$7:$A$132,$A136,CQ$7:CQ$132)</f>
        <v>8384400</v>
      </c>
      <c r="CR136" s="783">
        <f t="shared" si="233"/>
        <v>8384400</v>
      </c>
      <c r="CS136" s="79">
        <f t="shared" si="233"/>
        <v>8384400</v>
      </c>
      <c r="CT136" s="79">
        <f t="shared" si="233"/>
        <v>8384400</v>
      </c>
      <c r="CU136" s="79">
        <f t="shared" si="233"/>
        <v>8384400</v>
      </c>
      <c r="CV136" s="79">
        <f t="shared" si="233"/>
        <v>8384400</v>
      </c>
      <c r="CW136" s="79">
        <f t="shared" si="233"/>
        <v>8384400</v>
      </c>
      <c r="CX136" s="80">
        <f t="shared" si="233"/>
        <v>8384400</v>
      </c>
    </row>
    <row r="137" spans="1:103" x14ac:dyDescent="0.25">
      <c r="A137" s="81" t="s">
        <v>27</v>
      </c>
      <c r="B137" s="171"/>
      <c r="C137" s="82" t="s">
        <v>410</v>
      </c>
      <c r="D137" s="172">
        <f t="shared" ref="D137:D146" si="234">SUMIF($A$7:$A$132,$A137,D$7:D$132)</f>
        <v>17060114.079006188</v>
      </c>
      <c r="E137" s="173">
        <f t="shared" si="228"/>
        <v>20207353.414742373</v>
      </c>
      <c r="F137" s="173">
        <f t="shared" si="228"/>
        <v>23206611.774122976</v>
      </c>
      <c r="G137" s="173">
        <f t="shared" si="228"/>
        <v>18166611.822190367</v>
      </c>
      <c r="H137" s="173">
        <f t="shared" si="228"/>
        <v>22348268.292302206</v>
      </c>
      <c r="I137" s="173">
        <f t="shared" si="228"/>
        <v>38058895.682447262</v>
      </c>
      <c r="J137" s="173">
        <f t="shared" si="228"/>
        <v>52935502.732686102</v>
      </c>
      <c r="K137" s="173">
        <f t="shared" si="228"/>
        <v>90986353.98994574</v>
      </c>
      <c r="L137" s="173">
        <f t="shared" si="228"/>
        <v>58388285.278607823</v>
      </c>
      <c r="M137" s="659">
        <f t="shared" si="228"/>
        <v>72031447.37471278</v>
      </c>
      <c r="N137" s="659">
        <f t="shared" si="229"/>
        <v>88993578.744172081</v>
      </c>
      <c r="O137" s="580">
        <f t="shared" si="228"/>
        <v>22953638.293983959</v>
      </c>
      <c r="P137" s="576">
        <f t="shared" si="228"/>
        <v>26783451.084407225</v>
      </c>
      <c r="Q137" s="576">
        <f t="shared" si="228"/>
        <v>30447208.033094563</v>
      </c>
      <c r="R137" s="576">
        <f t="shared" si="228"/>
        <v>23382550.363639146</v>
      </c>
      <c r="S137" s="576">
        <f t="shared" si="228"/>
        <v>28179351.598439723</v>
      </c>
      <c r="T137" s="576">
        <f t="shared" si="228"/>
        <v>47236733.465290032</v>
      </c>
      <c r="U137" s="576">
        <f t="shared" si="228"/>
        <v>65930532.041199006</v>
      </c>
      <c r="V137" s="576">
        <f t="shared" si="228"/>
        <v>109125283.39111286</v>
      </c>
      <c r="W137" s="576">
        <f t="shared" si="228"/>
        <v>65974513.68127507</v>
      </c>
      <c r="X137" s="680">
        <f t="shared" si="228"/>
        <v>76602629.732866064</v>
      </c>
      <c r="Y137" s="680">
        <f t="shared" si="230"/>
        <v>91440766.828528538</v>
      </c>
      <c r="Z137" s="174">
        <f t="shared" si="228"/>
        <v>2283</v>
      </c>
      <c r="AA137" s="175">
        <f t="shared" si="228"/>
        <v>2702</v>
      </c>
      <c r="AB137" s="175">
        <f t="shared" si="228"/>
        <v>2905</v>
      </c>
      <c r="AC137" s="175">
        <f t="shared" si="228"/>
        <v>2600</v>
      </c>
      <c r="AD137" s="175">
        <f t="shared" si="228"/>
        <v>3019</v>
      </c>
      <c r="AE137" s="175">
        <f t="shared" si="228"/>
        <v>4528</v>
      </c>
      <c r="AF137" s="175">
        <f t="shared" si="228"/>
        <v>9905</v>
      </c>
      <c r="AG137" s="175">
        <f t="shared" si="231"/>
        <v>14647</v>
      </c>
      <c r="AH137" s="175">
        <f t="shared" si="231"/>
        <v>10810</v>
      </c>
      <c r="AI137" s="175">
        <f t="shared" si="231"/>
        <v>10526</v>
      </c>
      <c r="AJ137" s="614">
        <f t="shared" si="231"/>
        <v>11100</v>
      </c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282"/>
      <c r="AX137" s="282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421">
        <f t="shared" si="232"/>
        <v>11994.33333333333</v>
      </c>
      <c r="CF137" s="96">
        <f t="shared" si="232"/>
        <v>11994.33333333333</v>
      </c>
      <c r="CG137" s="521">
        <f t="shared" si="232"/>
        <v>11994.33333333333</v>
      </c>
      <c r="CH137" s="421">
        <f t="shared" si="232"/>
        <v>11994.33333333333</v>
      </c>
      <c r="CI137" s="96">
        <f t="shared" si="232"/>
        <v>11994.33333333333</v>
      </c>
      <c r="CJ137" s="96">
        <f t="shared" si="232"/>
        <v>11994.33333333333</v>
      </c>
      <c r="CK137" s="96">
        <f t="shared" si="232"/>
        <v>11994.33333333333</v>
      </c>
      <c r="CL137" s="286">
        <f t="shared" si="232"/>
        <v>11994.33333333333</v>
      </c>
      <c r="CM137" s="305"/>
      <c r="CN137" s="315"/>
      <c r="CO137" s="306"/>
      <c r="CP137" s="307"/>
      <c r="CQ137" s="789">
        <f t="shared" si="233"/>
        <v>73802028.881088778</v>
      </c>
      <c r="CR137" s="784">
        <f t="shared" si="233"/>
        <v>73802028.881088778</v>
      </c>
      <c r="CS137" s="97">
        <f t="shared" si="233"/>
        <v>73802028.881088778</v>
      </c>
      <c r="CT137" s="97">
        <f t="shared" si="233"/>
        <v>73802028.881088778</v>
      </c>
      <c r="CU137" s="97">
        <f t="shared" si="233"/>
        <v>73802028.881088778</v>
      </c>
      <c r="CV137" s="97">
        <f t="shared" si="233"/>
        <v>73802028.881088778</v>
      </c>
      <c r="CW137" s="97">
        <f t="shared" si="233"/>
        <v>73802028.881088778</v>
      </c>
      <c r="CX137" s="98">
        <f t="shared" si="233"/>
        <v>73802028.881088778</v>
      </c>
    </row>
    <row r="138" spans="1:103" x14ac:dyDescent="0.25">
      <c r="A138" s="81" t="s">
        <v>68</v>
      </c>
      <c r="B138" s="171"/>
      <c r="C138" s="82" t="s">
        <v>411</v>
      </c>
      <c r="D138" s="172">
        <f t="shared" si="234"/>
        <v>7872372.2821634002</v>
      </c>
      <c r="E138" s="173">
        <f t="shared" si="228"/>
        <v>10843257.344754554</v>
      </c>
      <c r="F138" s="173">
        <f t="shared" si="228"/>
        <v>17352336.860230852</v>
      </c>
      <c r="G138" s="173">
        <f t="shared" si="228"/>
        <v>10594983.983767657</v>
      </c>
      <c r="H138" s="173">
        <f t="shared" si="228"/>
        <v>19131444.942374587</v>
      </c>
      <c r="I138" s="173">
        <f t="shared" si="228"/>
        <v>21790400.915826235</v>
      </c>
      <c r="J138" s="173">
        <f t="shared" si="228"/>
        <v>36732989.967426658</v>
      </c>
      <c r="K138" s="173">
        <f t="shared" si="228"/>
        <v>40510178.558074124</v>
      </c>
      <c r="L138" s="173">
        <f t="shared" si="228"/>
        <v>44335157.99800282</v>
      </c>
      <c r="M138" s="659">
        <f t="shared" si="228"/>
        <v>51645753.348013781</v>
      </c>
      <c r="N138" s="659">
        <f t="shared" si="229"/>
        <v>59391560.401153885</v>
      </c>
      <c r="O138" s="580">
        <f t="shared" si="228"/>
        <v>10591933.034183448</v>
      </c>
      <c r="P138" s="576">
        <f t="shared" si="228"/>
        <v>14371988.588916138</v>
      </c>
      <c r="Q138" s="576">
        <f t="shared" si="228"/>
        <v>22766365.69724967</v>
      </c>
      <c r="R138" s="576">
        <f t="shared" si="228"/>
        <v>13636981.349476941</v>
      </c>
      <c r="S138" s="576">
        <f t="shared" si="228"/>
        <v>24123198.565817308</v>
      </c>
      <c r="T138" s="576">
        <f t="shared" si="228"/>
        <v>27045118.932271376</v>
      </c>
      <c r="U138" s="576">
        <f t="shared" si="228"/>
        <v>45750497.246549413</v>
      </c>
      <c r="V138" s="576">
        <f t="shared" si="228"/>
        <v>48586238.721719958</v>
      </c>
      <c r="W138" s="576">
        <f t="shared" si="228"/>
        <v>50095502.444432653</v>
      </c>
      <c r="X138" s="680">
        <f t="shared" si="228"/>
        <v>54923240.684202664</v>
      </c>
      <c r="Y138" s="680">
        <f t="shared" si="230"/>
        <v>61024737.996391997</v>
      </c>
      <c r="Z138" s="174">
        <f t="shared" si="228"/>
        <v>7549</v>
      </c>
      <c r="AA138" s="175">
        <f t="shared" si="228"/>
        <v>8950</v>
      </c>
      <c r="AB138" s="175">
        <f t="shared" si="228"/>
        <v>10335</v>
      </c>
      <c r="AC138" s="175">
        <f t="shared" si="228"/>
        <v>7501</v>
      </c>
      <c r="AD138" s="175">
        <f t="shared" si="228"/>
        <v>11638</v>
      </c>
      <c r="AE138" s="175">
        <f t="shared" si="228"/>
        <v>11149</v>
      </c>
      <c r="AF138" s="175">
        <f t="shared" si="228"/>
        <v>17148</v>
      </c>
      <c r="AG138" s="175">
        <f t="shared" si="231"/>
        <v>15453</v>
      </c>
      <c r="AH138" s="175">
        <f t="shared" si="231"/>
        <v>16842</v>
      </c>
      <c r="AI138" s="175">
        <f t="shared" si="231"/>
        <v>16210</v>
      </c>
      <c r="AJ138" s="614">
        <f t="shared" si="231"/>
        <v>15479</v>
      </c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282"/>
      <c r="AX138" s="282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421">
        <f t="shared" si="232"/>
        <v>16168.333333333336</v>
      </c>
      <c r="CF138" s="96">
        <f t="shared" si="232"/>
        <v>16168.333333333336</v>
      </c>
      <c r="CG138" s="521">
        <f t="shared" si="232"/>
        <v>16168.333333333336</v>
      </c>
      <c r="CH138" s="421">
        <f t="shared" si="232"/>
        <v>17612.363077033333</v>
      </c>
      <c r="CI138" s="96">
        <f t="shared" si="232"/>
        <v>17612.363077033333</v>
      </c>
      <c r="CJ138" s="96">
        <f t="shared" si="232"/>
        <v>17612.363077033333</v>
      </c>
      <c r="CK138" s="96">
        <f t="shared" si="232"/>
        <v>17612.363077033333</v>
      </c>
      <c r="CL138" s="286">
        <f t="shared" si="232"/>
        <v>17612.363077033333</v>
      </c>
      <c r="CM138" s="305"/>
      <c r="CN138" s="315"/>
      <c r="CO138" s="306"/>
      <c r="CP138" s="307"/>
      <c r="CQ138" s="789">
        <f t="shared" si="233"/>
        <v>45497029.968030244</v>
      </c>
      <c r="CR138" s="784">
        <f t="shared" si="233"/>
        <v>45497029.968030244</v>
      </c>
      <c r="CS138" s="97">
        <f t="shared" si="233"/>
        <v>45497029.968030244</v>
      </c>
      <c r="CT138" s="97">
        <f t="shared" si="233"/>
        <v>49560470.717881553</v>
      </c>
      <c r="CU138" s="97">
        <f t="shared" si="233"/>
        <v>49560470.717881553</v>
      </c>
      <c r="CV138" s="97">
        <f t="shared" si="233"/>
        <v>49560470.717881553</v>
      </c>
      <c r="CW138" s="97">
        <f t="shared" si="233"/>
        <v>49560470.717881553</v>
      </c>
      <c r="CX138" s="98">
        <f t="shared" si="233"/>
        <v>49560470.717881553</v>
      </c>
    </row>
    <row r="139" spans="1:103" x14ac:dyDescent="0.25">
      <c r="A139" s="81" t="s">
        <v>81</v>
      </c>
      <c r="B139" s="171"/>
      <c r="C139" s="82" t="s">
        <v>270</v>
      </c>
      <c r="D139" s="172">
        <f t="shared" si="234"/>
        <v>2989455.3201774447</v>
      </c>
      <c r="E139" s="173">
        <f t="shared" si="228"/>
        <v>3610343.9253754229</v>
      </c>
      <c r="F139" s="173">
        <f t="shared" si="228"/>
        <v>3951008.7787507344</v>
      </c>
      <c r="G139" s="173">
        <f t="shared" si="228"/>
        <v>2507701.4480084786</v>
      </c>
      <c r="H139" s="173">
        <f t="shared" si="228"/>
        <v>4347626.5954073733</v>
      </c>
      <c r="I139" s="173">
        <f t="shared" si="228"/>
        <v>10144603.374243444</v>
      </c>
      <c r="J139" s="173">
        <f t="shared" si="228"/>
        <v>8900166.8316832986</v>
      </c>
      <c r="K139" s="173">
        <f t="shared" si="228"/>
        <v>10602176.406832321</v>
      </c>
      <c r="L139" s="173">
        <f t="shared" si="228"/>
        <v>12047267.167077616</v>
      </c>
      <c r="M139" s="659">
        <f t="shared" si="228"/>
        <v>12219369.165524485</v>
      </c>
      <c r="N139" s="659">
        <f t="shared" si="229"/>
        <v>13414615.126872879</v>
      </c>
      <c r="O139" s="580">
        <f t="shared" si="228"/>
        <v>4022181.5515184635</v>
      </c>
      <c r="P139" s="576">
        <f t="shared" si="228"/>
        <v>4785261.4807356847</v>
      </c>
      <c r="Q139" s="576">
        <f t="shared" si="228"/>
        <v>5183746.2270707889</v>
      </c>
      <c r="R139" s="576">
        <f t="shared" si="228"/>
        <v>3227704.5372547186</v>
      </c>
      <c r="S139" s="576">
        <f t="shared" si="228"/>
        <v>5482004.1019872306</v>
      </c>
      <c r="T139" s="576">
        <f t="shared" si="228"/>
        <v>12590957.175912628</v>
      </c>
      <c r="U139" s="576">
        <f t="shared" si="228"/>
        <v>11085050.75377295</v>
      </c>
      <c r="V139" s="576">
        <f t="shared" si="228"/>
        <v>12715813.462379158</v>
      </c>
      <c r="W139" s="576">
        <f t="shared" si="228"/>
        <v>13612535.267027952</v>
      </c>
      <c r="X139" s="680">
        <f t="shared" si="228"/>
        <v>12994821.64902986</v>
      </c>
      <c r="Y139" s="680">
        <f t="shared" si="230"/>
        <v>13783496.643471746</v>
      </c>
      <c r="Z139" s="174">
        <f t="shared" si="228"/>
        <v>18</v>
      </c>
      <c r="AA139" s="175">
        <f t="shared" si="228"/>
        <v>50</v>
      </c>
      <c r="AB139" s="175">
        <f t="shared" si="228"/>
        <v>32</v>
      </c>
      <c r="AC139" s="175">
        <f t="shared" si="228"/>
        <v>31</v>
      </c>
      <c r="AD139" s="175">
        <f t="shared" si="228"/>
        <v>81</v>
      </c>
      <c r="AE139" s="175">
        <f t="shared" si="228"/>
        <v>192.80842562000021</v>
      </c>
      <c r="AF139" s="175">
        <f t="shared" si="228"/>
        <v>101.85950005800005</v>
      </c>
      <c r="AG139" s="175">
        <f t="shared" si="231"/>
        <v>91.312999999999576</v>
      </c>
      <c r="AH139" s="175">
        <f t="shared" si="231"/>
        <v>69.399499759000093</v>
      </c>
      <c r="AI139" s="175">
        <f t="shared" si="231"/>
        <v>89.656332100666589</v>
      </c>
      <c r="AJ139" s="614">
        <f t="shared" si="231"/>
        <v>100.67666610899994</v>
      </c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282"/>
      <c r="AX139" s="282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421">
        <f t="shared" si="232"/>
        <v>83.456277286555405</v>
      </c>
      <c r="CF139" s="96">
        <f t="shared" si="232"/>
        <v>83.456277286555405</v>
      </c>
      <c r="CG139" s="521">
        <f t="shared" si="232"/>
        <v>83.456277286555405</v>
      </c>
      <c r="CH139" s="421">
        <f t="shared" si="232"/>
        <v>83.456277286555405</v>
      </c>
      <c r="CI139" s="96">
        <f t="shared" si="232"/>
        <v>83.456277286555405</v>
      </c>
      <c r="CJ139" s="96">
        <f t="shared" si="232"/>
        <v>83.456277286555405</v>
      </c>
      <c r="CK139" s="96">
        <f t="shared" si="232"/>
        <v>83.456277286555405</v>
      </c>
      <c r="CL139" s="286">
        <f t="shared" si="232"/>
        <v>83.456277286555405</v>
      </c>
      <c r="CM139" s="305"/>
      <c r="CN139" s="315"/>
      <c r="CO139" s="306"/>
      <c r="CP139" s="307"/>
      <c r="CQ139" s="789">
        <f t="shared" si="233"/>
        <v>11621994.970144806</v>
      </c>
      <c r="CR139" s="784">
        <f t="shared" si="233"/>
        <v>11621994.970144806</v>
      </c>
      <c r="CS139" s="97">
        <f t="shared" si="233"/>
        <v>11621994.970144806</v>
      </c>
      <c r="CT139" s="97">
        <f t="shared" si="233"/>
        <v>11621994.970144806</v>
      </c>
      <c r="CU139" s="97">
        <f t="shared" si="233"/>
        <v>11621994.970144806</v>
      </c>
      <c r="CV139" s="97">
        <f t="shared" si="233"/>
        <v>11621994.970144806</v>
      </c>
      <c r="CW139" s="97">
        <f t="shared" si="233"/>
        <v>11621994.970144806</v>
      </c>
      <c r="CX139" s="98">
        <f t="shared" si="233"/>
        <v>11621994.970144806</v>
      </c>
    </row>
    <row r="140" spans="1:103" x14ac:dyDescent="0.25">
      <c r="A140" s="81" t="s">
        <v>94</v>
      </c>
      <c r="B140" s="171"/>
      <c r="C140" s="82" t="s">
        <v>412</v>
      </c>
      <c r="D140" s="172">
        <f t="shared" si="234"/>
        <v>367200.87761841452</v>
      </c>
      <c r="E140" s="173">
        <f t="shared" si="228"/>
        <v>584808.80540357006</v>
      </c>
      <c r="F140" s="173">
        <f t="shared" si="228"/>
        <v>1748127.1994727901</v>
      </c>
      <c r="G140" s="173">
        <f t="shared" si="228"/>
        <v>618041.49815353635</v>
      </c>
      <c r="H140" s="173">
        <f t="shared" si="228"/>
        <v>799375.79731346702</v>
      </c>
      <c r="I140" s="173">
        <f t="shared" si="228"/>
        <v>783406.98190721474</v>
      </c>
      <c r="J140" s="173">
        <f t="shared" si="228"/>
        <v>1433923.4544870504</v>
      </c>
      <c r="K140" s="173">
        <f t="shared" si="228"/>
        <v>5308330.6077172477</v>
      </c>
      <c r="L140" s="173">
        <f t="shared" si="228"/>
        <v>3674026.7301868964</v>
      </c>
      <c r="M140" s="659">
        <f t="shared" si="228"/>
        <v>3670650.7249532877</v>
      </c>
      <c r="N140" s="659">
        <f t="shared" si="229"/>
        <v>5940223.5343696177</v>
      </c>
      <c r="O140" s="580">
        <f t="shared" si="228"/>
        <v>494052.74120989663</v>
      </c>
      <c r="P140" s="576">
        <f t="shared" si="228"/>
        <v>775123.67462381197</v>
      </c>
      <c r="Q140" s="576">
        <f t="shared" si="228"/>
        <v>2293552.9334794735</v>
      </c>
      <c r="R140" s="576">
        <f t="shared" si="228"/>
        <v>795491.56435113598</v>
      </c>
      <c r="S140" s="576">
        <f t="shared" si="228"/>
        <v>1007947.9697108458</v>
      </c>
      <c r="T140" s="576">
        <f t="shared" si="228"/>
        <v>972324.23946198076</v>
      </c>
      <c r="U140" s="576">
        <f t="shared" si="228"/>
        <v>1785934.4179291225</v>
      </c>
      <c r="V140" s="576">
        <f t="shared" si="228"/>
        <v>6366592.9724458931</v>
      </c>
      <c r="W140" s="576">
        <f t="shared" si="228"/>
        <v>4151382.8607823979</v>
      </c>
      <c r="X140" s="680">
        <f t="shared" si="228"/>
        <v>3903593.6193194436</v>
      </c>
      <c r="Y140" s="680">
        <f t="shared" si="230"/>
        <v>6103570.6483620983</v>
      </c>
      <c r="Z140" s="174">
        <f t="shared" si="228"/>
        <v>0</v>
      </c>
      <c r="AA140" s="175">
        <f t="shared" si="228"/>
        <v>-1</v>
      </c>
      <c r="AB140" s="175">
        <f t="shared" si="228"/>
        <v>5</v>
      </c>
      <c r="AC140" s="175">
        <f t="shared" si="228"/>
        <v>0</v>
      </c>
      <c r="AD140" s="175">
        <f t="shared" si="228"/>
        <v>1</v>
      </c>
      <c r="AE140" s="175">
        <f t="shared" si="228"/>
        <v>3.106083379000002</v>
      </c>
      <c r="AF140" s="175">
        <f t="shared" si="228"/>
        <v>0.37533336400000489</v>
      </c>
      <c r="AG140" s="175">
        <f t="shared" si="231"/>
        <v>10.985333333333317</v>
      </c>
      <c r="AH140" s="175">
        <f t="shared" si="231"/>
        <v>9.8306666880000044</v>
      </c>
      <c r="AI140" s="175">
        <f t="shared" si="231"/>
        <v>4.7280000660000008</v>
      </c>
      <c r="AJ140" s="614">
        <f t="shared" si="231"/>
        <v>9.1140000370000038</v>
      </c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282"/>
      <c r="AX140" s="282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421">
        <f t="shared" si="232"/>
        <v>8.514666695777775</v>
      </c>
      <c r="CF140" s="96">
        <f t="shared" si="232"/>
        <v>16.628333333222223</v>
      </c>
      <c r="CG140" s="521">
        <f t="shared" si="232"/>
        <v>17.628333333222223</v>
      </c>
      <c r="CH140" s="421">
        <f t="shared" si="232"/>
        <v>17.628333333222223</v>
      </c>
      <c r="CI140" s="96">
        <f t="shared" si="232"/>
        <v>18.628333333222223</v>
      </c>
      <c r="CJ140" s="96">
        <f t="shared" si="232"/>
        <v>18.628333333222223</v>
      </c>
      <c r="CK140" s="96">
        <f t="shared" si="232"/>
        <v>19.628333333222223</v>
      </c>
      <c r="CL140" s="286">
        <f t="shared" si="232"/>
        <v>19.628333333222223</v>
      </c>
      <c r="CM140" s="305"/>
      <c r="CN140" s="315"/>
      <c r="CO140" s="306"/>
      <c r="CP140" s="307"/>
      <c r="CQ140" s="789">
        <f t="shared" si="233"/>
        <v>2653684.72635464</v>
      </c>
      <c r="CR140" s="784">
        <f t="shared" si="233"/>
        <v>5326858.0459799748</v>
      </c>
      <c r="CS140" s="97">
        <f t="shared" si="233"/>
        <v>5626858.0459799748</v>
      </c>
      <c r="CT140" s="97">
        <f t="shared" si="233"/>
        <v>5626858.0459799748</v>
      </c>
      <c r="CU140" s="97">
        <f t="shared" si="233"/>
        <v>5926858.0459799748</v>
      </c>
      <c r="CV140" s="97">
        <f t="shared" si="233"/>
        <v>5926858.0459799748</v>
      </c>
      <c r="CW140" s="97">
        <f t="shared" si="233"/>
        <v>6226858.0459799748</v>
      </c>
      <c r="CX140" s="98">
        <f t="shared" si="233"/>
        <v>6226858.0459799748</v>
      </c>
    </row>
    <row r="141" spans="1:103" x14ac:dyDescent="0.25">
      <c r="A141" s="81" t="s">
        <v>106</v>
      </c>
      <c r="B141" s="171"/>
      <c r="C141" s="82" t="s">
        <v>272</v>
      </c>
      <c r="D141" s="172">
        <f t="shared" si="234"/>
        <v>2382806.7687412095</v>
      </c>
      <c r="E141" s="173">
        <f t="shared" si="228"/>
        <v>2716021.291204833</v>
      </c>
      <c r="F141" s="173">
        <f t="shared" si="228"/>
        <v>4180167.3965635509</v>
      </c>
      <c r="G141" s="173">
        <f t="shared" si="228"/>
        <v>2186278.6890796148</v>
      </c>
      <c r="H141" s="173">
        <f t="shared" si="228"/>
        <v>2943466.1606188277</v>
      </c>
      <c r="I141" s="173">
        <f t="shared" si="228"/>
        <v>3233289.4330160087</v>
      </c>
      <c r="J141" s="173">
        <f t="shared" si="228"/>
        <v>5173981.3092699777</v>
      </c>
      <c r="K141" s="173">
        <f t="shared" si="228"/>
        <v>5750694.7809105329</v>
      </c>
      <c r="L141" s="173">
        <f t="shared" si="228"/>
        <v>6174454.9480251055</v>
      </c>
      <c r="M141" s="659">
        <f t="shared" si="228"/>
        <v>20999071.252681866</v>
      </c>
      <c r="N141" s="659">
        <f t="shared" si="229"/>
        <v>22206045.441616595</v>
      </c>
      <c r="O141" s="580">
        <f t="shared" si="228"/>
        <v>3205962.4244510643</v>
      </c>
      <c r="P141" s="576">
        <f t="shared" si="228"/>
        <v>3599898.6064212709</v>
      </c>
      <c r="Q141" s="576">
        <f t="shared" si="228"/>
        <v>5484403.6507841172</v>
      </c>
      <c r="R141" s="576">
        <f t="shared" si="228"/>
        <v>2813995.9204672091</v>
      </c>
      <c r="S141" s="576">
        <f t="shared" si="228"/>
        <v>3711471.8139820066</v>
      </c>
      <c r="T141" s="576">
        <f t="shared" si="228"/>
        <v>4012991.6652824725</v>
      </c>
      <c r="U141" s="576">
        <f t="shared" si="228"/>
        <v>6444131.4974185638</v>
      </c>
      <c r="V141" s="576">
        <f t="shared" si="228"/>
        <v>6897146.3317675227</v>
      </c>
      <c r="W141" s="576">
        <f t="shared" si="228"/>
        <v>6976684.8007119913</v>
      </c>
      <c r="X141" s="680">
        <f t="shared" si="228"/>
        <v>22331691.76145095</v>
      </c>
      <c r="Y141" s="680">
        <f t="shared" si="230"/>
        <v>22816677.922883797</v>
      </c>
      <c r="Z141" s="174">
        <f t="shared" si="228"/>
        <v>3361</v>
      </c>
      <c r="AA141" s="175">
        <f t="shared" si="228"/>
        <v>3864</v>
      </c>
      <c r="AB141" s="175">
        <f t="shared" si="228"/>
        <v>5114</v>
      </c>
      <c r="AC141" s="175">
        <f t="shared" si="228"/>
        <v>3460</v>
      </c>
      <c r="AD141" s="175">
        <f t="shared" si="228"/>
        <v>4391</v>
      </c>
      <c r="AE141" s="175">
        <f t="shared" si="228"/>
        <v>5458.3198489799979</v>
      </c>
      <c r="AF141" s="175">
        <f t="shared" si="228"/>
        <v>7584.415757887994</v>
      </c>
      <c r="AG141" s="175">
        <f t="shared" si="231"/>
        <v>858.49247231801962</v>
      </c>
      <c r="AH141" s="175">
        <f t="shared" si="231"/>
        <v>8314.5364773229776</v>
      </c>
      <c r="AI141" s="175">
        <f t="shared" si="231"/>
        <v>11598.308579918992</v>
      </c>
      <c r="AJ141" s="614">
        <f t="shared" si="231"/>
        <v>11680.744066733987</v>
      </c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282"/>
      <c r="AX141" s="282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421">
        <f t="shared" si="232"/>
        <v>6923.7791765199963</v>
      </c>
      <c r="CF141" s="96">
        <f t="shared" si="232"/>
        <v>6923.7791765199963</v>
      </c>
      <c r="CG141" s="521">
        <f t="shared" si="232"/>
        <v>6923.7791765199963</v>
      </c>
      <c r="CH141" s="421">
        <f t="shared" si="232"/>
        <v>6923.7791765199963</v>
      </c>
      <c r="CI141" s="96">
        <f t="shared" si="232"/>
        <v>6923.7791765199963</v>
      </c>
      <c r="CJ141" s="96">
        <f t="shared" si="232"/>
        <v>6923.7791765199963</v>
      </c>
      <c r="CK141" s="96">
        <f t="shared" si="232"/>
        <v>6923.7791765199963</v>
      </c>
      <c r="CL141" s="286">
        <f t="shared" si="232"/>
        <v>6923.7791765199963</v>
      </c>
      <c r="CM141" s="305"/>
      <c r="CN141" s="315"/>
      <c r="CO141" s="306"/>
      <c r="CP141" s="307"/>
      <c r="CQ141" s="789">
        <f t="shared" si="233"/>
        <v>10974740.327205835</v>
      </c>
      <c r="CR141" s="784">
        <f t="shared" si="233"/>
        <v>10974740.327205835</v>
      </c>
      <c r="CS141" s="97">
        <f t="shared" si="233"/>
        <v>10974740.327205835</v>
      </c>
      <c r="CT141" s="97">
        <f t="shared" si="233"/>
        <v>10974740.327205835</v>
      </c>
      <c r="CU141" s="97">
        <f t="shared" si="233"/>
        <v>10974740.327205835</v>
      </c>
      <c r="CV141" s="97">
        <f t="shared" si="233"/>
        <v>10974740.327205835</v>
      </c>
      <c r="CW141" s="97">
        <f t="shared" si="233"/>
        <v>10974740.327205835</v>
      </c>
      <c r="CX141" s="98">
        <f t="shared" si="233"/>
        <v>10974740.327205835</v>
      </c>
    </row>
    <row r="142" spans="1:103" x14ac:dyDescent="0.25">
      <c r="A142" s="81" t="s">
        <v>138</v>
      </c>
      <c r="B142" s="171"/>
      <c r="C142" s="82" t="s">
        <v>413</v>
      </c>
      <c r="D142" s="172">
        <f t="shared" si="234"/>
        <v>15901817.143458348</v>
      </c>
      <c r="E142" s="173">
        <f t="shared" si="228"/>
        <v>25612172.772602733</v>
      </c>
      <c r="F142" s="173">
        <f t="shared" si="228"/>
        <v>24341188.578191288</v>
      </c>
      <c r="G142" s="173">
        <f t="shared" si="228"/>
        <v>17799183.143249113</v>
      </c>
      <c r="H142" s="173">
        <f t="shared" si="228"/>
        <v>23809405.474973023</v>
      </c>
      <c r="I142" s="173">
        <f t="shared" si="228"/>
        <v>29917877.114704903</v>
      </c>
      <c r="J142" s="173">
        <f t="shared" si="228"/>
        <v>38968531.919953026</v>
      </c>
      <c r="K142" s="173">
        <f t="shared" si="228"/>
        <v>31006187.624468129</v>
      </c>
      <c r="L142" s="173">
        <f t="shared" si="228"/>
        <v>37163165.29886625</v>
      </c>
      <c r="M142" s="659">
        <f t="shared" si="228"/>
        <v>38372146.038893335</v>
      </c>
      <c r="N142" s="659">
        <f t="shared" si="229"/>
        <v>40900690.226130776</v>
      </c>
      <c r="O142" s="580">
        <f t="shared" si="228"/>
        <v>21395200.362533506</v>
      </c>
      <c r="P142" s="576">
        <f t="shared" si="228"/>
        <v>33947165.793613032</v>
      </c>
      <c r="Q142" s="576">
        <f t="shared" si="228"/>
        <v>31935779.321278531</v>
      </c>
      <c r="R142" s="576">
        <f t="shared" si="228"/>
        <v>22909626.756613266</v>
      </c>
      <c r="S142" s="576">
        <f t="shared" si="228"/>
        <v>30021726.938913736</v>
      </c>
      <c r="T142" s="576">
        <f t="shared" si="228"/>
        <v>37132522.154771656</v>
      </c>
      <c r="U142" s="576">
        <f t="shared" si="228"/>
        <v>48534837.86337094</v>
      </c>
      <c r="V142" s="576">
        <f t="shared" si="228"/>
        <v>37187543.659261189</v>
      </c>
      <c r="W142" s="576">
        <f t="shared" si="228"/>
        <v>41991672.571823791</v>
      </c>
      <c r="X142" s="680">
        <f t="shared" si="228"/>
        <v>40807277.962662615</v>
      </c>
      <c r="Y142" s="680">
        <f t="shared" si="230"/>
        <v>42025397.010325544</v>
      </c>
      <c r="Z142" s="174">
        <f t="shared" si="228"/>
        <v>499</v>
      </c>
      <c r="AA142" s="175">
        <f t="shared" si="228"/>
        <v>799</v>
      </c>
      <c r="AB142" s="175">
        <f t="shared" si="228"/>
        <v>488</v>
      </c>
      <c r="AC142" s="175">
        <f t="shared" si="228"/>
        <v>479</v>
      </c>
      <c r="AD142" s="175">
        <f t="shared" si="228"/>
        <v>590</v>
      </c>
      <c r="AE142" s="175">
        <f t="shared" si="228"/>
        <v>864</v>
      </c>
      <c r="AF142" s="175">
        <f t="shared" si="228"/>
        <v>1317</v>
      </c>
      <c r="AG142" s="175">
        <f t="shared" si="231"/>
        <v>1237</v>
      </c>
      <c r="AH142" s="175">
        <f t="shared" si="231"/>
        <v>1174</v>
      </c>
      <c r="AI142" s="175">
        <f t="shared" si="231"/>
        <v>792</v>
      </c>
      <c r="AJ142" s="614">
        <f t="shared" si="231"/>
        <v>659</v>
      </c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282"/>
      <c r="AX142" s="282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421">
        <f t="shared" si="232"/>
        <v>1067.6666666666665</v>
      </c>
      <c r="CF142" s="96">
        <f t="shared" si="232"/>
        <v>1067.6666666666665</v>
      </c>
      <c r="CG142" s="521">
        <f t="shared" si="232"/>
        <v>1067.6666666666665</v>
      </c>
      <c r="CH142" s="421">
        <f t="shared" si="232"/>
        <v>350.39197738914493</v>
      </c>
      <c r="CI142" s="96">
        <f t="shared" si="232"/>
        <v>350.39197738914493</v>
      </c>
      <c r="CJ142" s="96">
        <f t="shared" si="232"/>
        <v>350.39197738914493</v>
      </c>
      <c r="CK142" s="96">
        <f t="shared" si="232"/>
        <v>350.39197738914493</v>
      </c>
      <c r="CL142" s="286">
        <f t="shared" si="232"/>
        <v>350.39197738914493</v>
      </c>
      <c r="CM142" s="305"/>
      <c r="CN142" s="315"/>
      <c r="CO142" s="306"/>
      <c r="CP142" s="307"/>
      <c r="CQ142" s="789">
        <f t="shared" si="233"/>
        <v>35513832.987409241</v>
      </c>
      <c r="CR142" s="784">
        <f t="shared" si="233"/>
        <v>35513832.987409241</v>
      </c>
      <c r="CS142" s="97">
        <f t="shared" si="233"/>
        <v>35513832.987409241</v>
      </c>
      <c r="CT142" s="97">
        <f t="shared" si="233"/>
        <v>13023354.443380613</v>
      </c>
      <c r="CU142" s="97">
        <f t="shared" si="233"/>
        <v>13023354.443380613</v>
      </c>
      <c r="CV142" s="97">
        <f t="shared" si="233"/>
        <v>13023354.443380613</v>
      </c>
      <c r="CW142" s="97">
        <f t="shared" si="233"/>
        <v>13023354.443380613</v>
      </c>
      <c r="CX142" s="98">
        <f t="shared" si="233"/>
        <v>13023354.443380613</v>
      </c>
    </row>
    <row r="143" spans="1:103" x14ac:dyDescent="0.25">
      <c r="A143" s="81" t="s">
        <v>196</v>
      </c>
      <c r="B143" s="171"/>
      <c r="C143" s="82" t="s">
        <v>274</v>
      </c>
      <c r="D143" s="172">
        <f t="shared" si="234"/>
        <v>2719732.3625512635</v>
      </c>
      <c r="E143" s="173">
        <f t="shared" si="228"/>
        <v>3038331.9317829823</v>
      </c>
      <c r="F143" s="173">
        <f t="shared" si="228"/>
        <v>3543210.8112969054</v>
      </c>
      <c r="G143" s="173">
        <f t="shared" si="228"/>
        <v>4174372.4197559953</v>
      </c>
      <c r="H143" s="173">
        <f t="shared" si="228"/>
        <v>5427086.1697394755</v>
      </c>
      <c r="I143" s="173">
        <f t="shared" si="228"/>
        <v>18203001.248314764</v>
      </c>
      <c r="J143" s="173">
        <f t="shared" si="228"/>
        <v>26501200.24245451</v>
      </c>
      <c r="K143" s="173">
        <f t="shared" si="228"/>
        <v>33823047.444058105</v>
      </c>
      <c r="L143" s="173">
        <f t="shared" si="228"/>
        <v>29790214.524728842</v>
      </c>
      <c r="M143" s="659">
        <f t="shared" si="228"/>
        <v>38235911.373679072</v>
      </c>
      <c r="N143" s="659">
        <f t="shared" si="229"/>
        <v>43113578.852460012</v>
      </c>
      <c r="O143" s="580">
        <f t="shared" si="228"/>
        <v>3659281.0937452288</v>
      </c>
      <c r="P143" s="576">
        <f t="shared" si="228"/>
        <v>4027099.0961999511</v>
      </c>
      <c r="Q143" s="576">
        <f t="shared" si="228"/>
        <v>4648712.9498568811</v>
      </c>
      <c r="R143" s="576">
        <f t="shared" si="228"/>
        <v>5372904.6614132002</v>
      </c>
      <c r="S143" s="576">
        <f t="shared" si="228"/>
        <v>6843114.9712300124</v>
      </c>
      <c r="T143" s="576">
        <f t="shared" si="228"/>
        <v>22592623.953394122</v>
      </c>
      <c r="U143" s="576">
        <f t="shared" si="228"/>
        <v>33006926.193533812</v>
      </c>
      <c r="V143" s="576">
        <f t="shared" si="228"/>
        <v>40565969.242945567</v>
      </c>
      <c r="W143" s="576">
        <f t="shared" si="228"/>
        <v>33660774.697384708</v>
      </c>
      <c r="X143" s="680">
        <f t="shared" si="228"/>
        <v>40662397.71942801</v>
      </c>
      <c r="Y143" s="680">
        <f t="shared" si="230"/>
        <v>44299136.708774582</v>
      </c>
      <c r="Z143" s="174">
        <f t="shared" si="228"/>
        <v>1055</v>
      </c>
      <c r="AA143" s="175">
        <f t="shared" si="228"/>
        <v>1176</v>
      </c>
      <c r="AB143" s="175">
        <f t="shared" si="228"/>
        <v>1316</v>
      </c>
      <c r="AC143" s="175">
        <f t="shared" si="228"/>
        <v>1513</v>
      </c>
      <c r="AD143" s="175">
        <f t="shared" si="228"/>
        <v>2045</v>
      </c>
      <c r="AE143" s="175">
        <f t="shared" si="228"/>
        <v>37876</v>
      </c>
      <c r="AF143" s="175">
        <f t="shared" si="228"/>
        <v>3044</v>
      </c>
      <c r="AG143" s="175">
        <f t="shared" si="231"/>
        <v>3122</v>
      </c>
      <c r="AH143" s="175">
        <f t="shared" si="231"/>
        <v>2963</v>
      </c>
      <c r="AI143" s="175">
        <f t="shared" si="231"/>
        <v>2773</v>
      </c>
      <c r="AJ143" s="614">
        <f t="shared" si="231"/>
        <v>2435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282"/>
      <c r="AX143" s="282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421">
        <f t="shared" si="232"/>
        <v>2953</v>
      </c>
      <c r="CF143" s="96">
        <f t="shared" si="232"/>
        <v>2953</v>
      </c>
      <c r="CG143" s="521">
        <f t="shared" si="232"/>
        <v>2953</v>
      </c>
      <c r="CH143" s="421">
        <f t="shared" si="232"/>
        <v>1413.8470646374701</v>
      </c>
      <c r="CI143" s="96">
        <f t="shared" si="232"/>
        <v>1413.8470646374701</v>
      </c>
      <c r="CJ143" s="96">
        <f t="shared" si="232"/>
        <v>1413.8470646374701</v>
      </c>
      <c r="CK143" s="96">
        <f t="shared" si="232"/>
        <v>1413.8470646374701</v>
      </c>
      <c r="CL143" s="286">
        <f t="shared" si="232"/>
        <v>1413.8470646374701</v>
      </c>
      <c r="CM143" s="305"/>
      <c r="CN143" s="315"/>
      <c r="CO143" s="306"/>
      <c r="CP143" s="307"/>
      <c r="CQ143" s="789">
        <f t="shared" si="233"/>
        <v>33954857.784155339</v>
      </c>
      <c r="CR143" s="784">
        <f t="shared" si="233"/>
        <v>33954857.784155339</v>
      </c>
      <c r="CS143" s="97">
        <f t="shared" si="233"/>
        <v>33954857.784155339</v>
      </c>
      <c r="CT143" s="97">
        <f t="shared" si="233"/>
        <v>17424341.677394968</v>
      </c>
      <c r="CU143" s="97">
        <f t="shared" si="233"/>
        <v>17424341.677394968</v>
      </c>
      <c r="CV143" s="97">
        <f t="shared" si="233"/>
        <v>17424341.677394968</v>
      </c>
      <c r="CW143" s="97">
        <f t="shared" si="233"/>
        <v>17424341.677394968</v>
      </c>
      <c r="CX143" s="98">
        <f t="shared" si="233"/>
        <v>17424341.677394968</v>
      </c>
    </row>
    <row r="144" spans="1:103" x14ac:dyDescent="0.25">
      <c r="A144" s="81" t="s">
        <v>224</v>
      </c>
      <c r="B144" s="171"/>
      <c r="C144" s="82" t="s">
        <v>414</v>
      </c>
      <c r="D144" s="172">
        <f t="shared" si="234"/>
        <v>2420944.57542285</v>
      </c>
      <c r="E144" s="173">
        <f t="shared" si="228"/>
        <v>2182296.5708989413</v>
      </c>
      <c r="F144" s="173">
        <f t="shared" si="228"/>
        <v>3731154.4314966979</v>
      </c>
      <c r="G144" s="173">
        <f t="shared" si="228"/>
        <v>2261059.9375705225</v>
      </c>
      <c r="H144" s="173">
        <f t="shared" si="228"/>
        <v>1790369.7380130673</v>
      </c>
      <c r="I144" s="173">
        <f t="shared" si="228"/>
        <v>3170675.4473149036</v>
      </c>
      <c r="J144" s="173">
        <f t="shared" si="228"/>
        <v>5741348.6059901407</v>
      </c>
      <c r="K144" s="173">
        <f t="shared" si="228"/>
        <v>2949380.6774516082</v>
      </c>
      <c r="L144" s="173">
        <f t="shared" si="228"/>
        <v>3047384.5364995408</v>
      </c>
      <c r="M144" s="659">
        <f t="shared" si="228"/>
        <v>4926524.2177869491</v>
      </c>
      <c r="N144" s="659">
        <f t="shared" si="229"/>
        <v>5226027.70322394</v>
      </c>
      <c r="O144" s="580">
        <f t="shared" ref="O144:Y146" si="235">SUMIF($A$7:$A$132,$A144,O$7:O$132)</f>
        <v>3257275.1774515561</v>
      </c>
      <c r="P144" s="576">
        <f t="shared" si="235"/>
        <v>2892483.3578502834</v>
      </c>
      <c r="Q144" s="576">
        <f t="shared" si="235"/>
        <v>4895296.0598090561</v>
      </c>
      <c r="R144" s="576">
        <f t="shared" si="235"/>
        <v>2910248.117971567</v>
      </c>
      <c r="S144" s="576">
        <f t="shared" si="235"/>
        <v>2257510.8585059582</v>
      </c>
      <c r="T144" s="576">
        <f t="shared" si="235"/>
        <v>3935278.4237202206</v>
      </c>
      <c r="U144" s="576">
        <f t="shared" si="235"/>
        <v>7150780.642217176</v>
      </c>
      <c r="V144" s="576">
        <f t="shared" si="235"/>
        <v>3537365.6393654887</v>
      </c>
      <c r="W144" s="576">
        <f t="shared" si="235"/>
        <v>3443322.7801785646</v>
      </c>
      <c r="X144" s="680">
        <f t="shared" si="235"/>
        <v>5239166.0070628431</v>
      </c>
      <c r="Y144" s="680">
        <f t="shared" si="235"/>
        <v>5369735.5179260653</v>
      </c>
      <c r="Z144" s="174">
        <f t="shared" si="228"/>
        <v>2128</v>
      </c>
      <c r="AA144" s="175">
        <f t="shared" si="228"/>
        <v>1848</v>
      </c>
      <c r="AB144" s="175">
        <f t="shared" si="228"/>
        <v>2228</v>
      </c>
      <c r="AC144" s="175">
        <f t="shared" si="228"/>
        <v>1587</v>
      </c>
      <c r="AD144" s="175">
        <f t="shared" si="228"/>
        <v>1405</v>
      </c>
      <c r="AE144" s="175">
        <f t="shared" si="228"/>
        <v>2093</v>
      </c>
      <c r="AF144" s="175">
        <f t="shared" si="228"/>
        <v>4681</v>
      </c>
      <c r="AG144" s="175">
        <f t="shared" si="231"/>
        <v>2500</v>
      </c>
      <c r="AH144" s="175">
        <f t="shared" si="231"/>
        <v>1778</v>
      </c>
      <c r="AI144" s="175">
        <f t="shared" si="231"/>
        <v>2174</v>
      </c>
      <c r="AJ144" s="614">
        <f t="shared" si="231"/>
        <v>0</v>
      </c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282"/>
      <c r="AX144" s="282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421">
        <f t="shared" si="232"/>
        <v>0</v>
      </c>
      <c r="CF144" s="96">
        <f t="shared" si="232"/>
        <v>0</v>
      </c>
      <c r="CG144" s="521">
        <f t="shared" si="232"/>
        <v>0</v>
      </c>
      <c r="CH144" s="421">
        <f t="shared" si="232"/>
        <v>0</v>
      </c>
      <c r="CI144" s="96">
        <f t="shared" si="232"/>
        <v>0</v>
      </c>
      <c r="CJ144" s="96">
        <f t="shared" si="232"/>
        <v>0</v>
      </c>
      <c r="CK144" s="96">
        <f t="shared" si="232"/>
        <v>0</v>
      </c>
      <c r="CL144" s="286">
        <f t="shared" si="232"/>
        <v>0</v>
      </c>
      <c r="CM144" s="305"/>
      <c r="CN144" s="315"/>
      <c r="CO144" s="306"/>
      <c r="CP144" s="307"/>
      <c r="CQ144" s="789">
        <f t="shared" si="233"/>
        <v>0</v>
      </c>
      <c r="CR144" s="784">
        <f t="shared" si="233"/>
        <v>0</v>
      </c>
      <c r="CS144" s="97">
        <f t="shared" si="233"/>
        <v>0</v>
      </c>
      <c r="CT144" s="97">
        <f t="shared" si="233"/>
        <v>0</v>
      </c>
      <c r="CU144" s="97">
        <f t="shared" si="233"/>
        <v>0</v>
      </c>
      <c r="CV144" s="97">
        <f t="shared" si="233"/>
        <v>0</v>
      </c>
      <c r="CW144" s="97">
        <f t="shared" si="233"/>
        <v>0</v>
      </c>
      <c r="CX144" s="98">
        <f t="shared" si="233"/>
        <v>0</v>
      </c>
    </row>
    <row r="145" spans="1:102" x14ac:dyDescent="0.25">
      <c r="A145" s="81" t="s">
        <v>242</v>
      </c>
      <c r="B145" s="171"/>
      <c r="C145" s="82" t="s">
        <v>415</v>
      </c>
      <c r="D145" s="172">
        <f t="shared" si="234"/>
        <v>0</v>
      </c>
      <c r="E145" s="173">
        <f t="shared" si="228"/>
        <v>0</v>
      </c>
      <c r="F145" s="173">
        <f t="shared" si="228"/>
        <v>0</v>
      </c>
      <c r="G145" s="173">
        <f t="shared" si="228"/>
        <v>0</v>
      </c>
      <c r="H145" s="173">
        <f t="shared" si="228"/>
        <v>0</v>
      </c>
      <c r="I145" s="173">
        <f t="shared" si="228"/>
        <v>112730.04323198114</v>
      </c>
      <c r="J145" s="173">
        <f t="shared" si="228"/>
        <v>-7228.44</v>
      </c>
      <c r="K145" s="173">
        <f t="shared" si="228"/>
        <v>11854.520309713</v>
      </c>
      <c r="L145" s="173">
        <f t="shared" si="228"/>
        <v>0</v>
      </c>
      <c r="M145" s="659">
        <f t="shared" si="228"/>
        <v>0</v>
      </c>
      <c r="N145" s="659">
        <f t="shared" si="229"/>
        <v>-284.04000000000002</v>
      </c>
      <c r="O145" s="580">
        <f t="shared" si="235"/>
        <v>0</v>
      </c>
      <c r="P145" s="576">
        <f t="shared" si="235"/>
        <v>0</v>
      </c>
      <c r="Q145" s="576">
        <f t="shared" si="235"/>
        <v>0</v>
      </c>
      <c r="R145" s="576">
        <f t="shared" si="235"/>
        <v>0</v>
      </c>
      <c r="S145" s="576">
        <f t="shared" si="235"/>
        <v>0</v>
      </c>
      <c r="T145" s="576">
        <f t="shared" si="235"/>
        <v>139914.70089174452</v>
      </c>
      <c r="U145" s="576">
        <f t="shared" si="235"/>
        <v>-9002.9350894142644</v>
      </c>
      <c r="V145" s="576">
        <f t="shared" si="235"/>
        <v>14217.823129895762</v>
      </c>
      <c r="W145" s="576">
        <f t="shared" si="235"/>
        <v>0</v>
      </c>
      <c r="X145" s="680">
        <f t="shared" si="235"/>
        <v>0</v>
      </c>
      <c r="Y145" s="680">
        <f t="shared" si="235"/>
        <v>-291.85066806492631</v>
      </c>
      <c r="Z145" s="174">
        <f t="shared" si="228"/>
        <v>0</v>
      </c>
      <c r="AA145" s="175">
        <f t="shared" si="228"/>
        <v>0</v>
      </c>
      <c r="AB145" s="175">
        <f t="shared" si="228"/>
        <v>0</v>
      </c>
      <c r="AC145" s="175">
        <f t="shared" si="228"/>
        <v>0</v>
      </c>
      <c r="AD145" s="175">
        <f t="shared" si="228"/>
        <v>0</v>
      </c>
      <c r="AE145" s="175">
        <f t="shared" si="228"/>
        <v>4000</v>
      </c>
      <c r="AF145" s="175">
        <f t="shared" si="228"/>
        <v>-1242</v>
      </c>
      <c r="AG145" s="175">
        <f t="shared" si="231"/>
        <v>1.536</v>
      </c>
      <c r="AH145" s="175">
        <f t="shared" si="231"/>
        <v>0</v>
      </c>
      <c r="AI145" s="175">
        <f t="shared" si="231"/>
        <v>0</v>
      </c>
      <c r="AJ145" s="614">
        <f t="shared" si="231"/>
        <v>-6</v>
      </c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282"/>
      <c r="AX145" s="282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421">
        <f t="shared" si="232"/>
        <v>0</v>
      </c>
      <c r="CF145" s="96">
        <f t="shared" si="232"/>
        <v>0</v>
      </c>
      <c r="CG145" s="521">
        <f t="shared" si="232"/>
        <v>0</v>
      </c>
      <c r="CH145" s="421">
        <f t="shared" si="232"/>
        <v>0</v>
      </c>
      <c r="CI145" s="96">
        <f t="shared" si="232"/>
        <v>0</v>
      </c>
      <c r="CJ145" s="96">
        <f t="shared" si="232"/>
        <v>0</v>
      </c>
      <c r="CK145" s="96">
        <f t="shared" si="232"/>
        <v>0</v>
      </c>
      <c r="CL145" s="286">
        <f t="shared" si="232"/>
        <v>0</v>
      </c>
      <c r="CM145" s="305"/>
      <c r="CN145" s="315"/>
      <c r="CO145" s="306"/>
      <c r="CP145" s="307"/>
      <c r="CQ145" s="789">
        <f t="shared" si="233"/>
        <v>0</v>
      </c>
      <c r="CR145" s="784">
        <f t="shared" si="233"/>
        <v>0</v>
      </c>
      <c r="CS145" s="97">
        <f t="shared" si="233"/>
        <v>0</v>
      </c>
      <c r="CT145" s="97">
        <f t="shared" si="233"/>
        <v>0</v>
      </c>
      <c r="CU145" s="97">
        <f t="shared" si="233"/>
        <v>0</v>
      </c>
      <c r="CV145" s="97">
        <f t="shared" si="233"/>
        <v>0</v>
      </c>
      <c r="CW145" s="97">
        <f t="shared" si="233"/>
        <v>0</v>
      </c>
      <c r="CX145" s="98">
        <f t="shared" si="233"/>
        <v>0</v>
      </c>
    </row>
    <row r="146" spans="1:102" ht="15.75" thickBot="1" x14ac:dyDescent="0.3">
      <c r="A146" s="100" t="s">
        <v>258</v>
      </c>
      <c r="B146" s="176"/>
      <c r="C146" s="101" t="s">
        <v>64</v>
      </c>
      <c r="D146" s="177">
        <f t="shared" si="234"/>
        <v>0</v>
      </c>
      <c r="E146" s="178">
        <f t="shared" si="228"/>
        <v>0</v>
      </c>
      <c r="F146" s="178">
        <f t="shared" si="228"/>
        <v>0</v>
      </c>
      <c r="G146" s="178">
        <f t="shared" si="228"/>
        <v>0</v>
      </c>
      <c r="H146" s="178">
        <f t="shared" si="228"/>
        <v>0</v>
      </c>
      <c r="I146" s="178">
        <f t="shared" si="228"/>
        <v>1579.07</v>
      </c>
      <c r="J146" s="178">
        <f t="shared" si="228"/>
        <v>109810.58567344894</v>
      </c>
      <c r="K146" s="178">
        <f t="shared" si="228"/>
        <v>80776.351650822995</v>
      </c>
      <c r="L146" s="178">
        <f t="shared" si="228"/>
        <v>312550.21471792314</v>
      </c>
      <c r="M146" s="660">
        <f t="shared" si="228"/>
        <v>222881.99881410098</v>
      </c>
      <c r="N146" s="660">
        <f t="shared" si="229"/>
        <v>109427.20999999999</v>
      </c>
      <c r="O146" s="582">
        <f t="shared" si="235"/>
        <v>0</v>
      </c>
      <c r="P146" s="577">
        <f t="shared" si="235"/>
        <v>0</v>
      </c>
      <c r="Q146" s="577">
        <f t="shared" si="235"/>
        <v>0</v>
      </c>
      <c r="R146" s="577">
        <f t="shared" si="235"/>
        <v>0</v>
      </c>
      <c r="S146" s="577">
        <f t="shared" si="235"/>
        <v>0</v>
      </c>
      <c r="T146" s="577">
        <f t="shared" si="235"/>
        <v>1959.8600373325189</v>
      </c>
      <c r="U146" s="577">
        <f t="shared" si="235"/>
        <v>136767.76385342132</v>
      </c>
      <c r="V146" s="577">
        <f t="shared" si="235"/>
        <v>96879.827343892714</v>
      </c>
      <c r="W146" s="577">
        <f t="shared" si="235"/>
        <v>353158.99959384359</v>
      </c>
      <c r="X146" s="681">
        <f t="shared" si="235"/>
        <v>237026.29686810108</v>
      </c>
      <c r="Y146" s="681">
        <f t="shared" si="235"/>
        <v>112436.2918707963</v>
      </c>
      <c r="Z146" s="179">
        <f t="shared" si="228"/>
        <v>0</v>
      </c>
      <c r="AA146" s="180">
        <f t="shared" si="228"/>
        <v>0</v>
      </c>
      <c r="AB146" s="180">
        <f t="shared" si="228"/>
        <v>0</v>
      </c>
      <c r="AC146" s="180">
        <f t="shared" si="228"/>
        <v>0</v>
      </c>
      <c r="AD146" s="180">
        <f t="shared" si="228"/>
        <v>0</v>
      </c>
      <c r="AE146" s="180">
        <f t="shared" si="228"/>
        <v>536</v>
      </c>
      <c r="AF146" s="180">
        <f t="shared" si="228"/>
        <v>640</v>
      </c>
      <c r="AG146" s="180">
        <f t="shared" si="231"/>
        <v>1199</v>
      </c>
      <c r="AH146" s="180">
        <f t="shared" si="231"/>
        <v>995</v>
      </c>
      <c r="AI146" s="180">
        <f t="shared" si="231"/>
        <v>1434</v>
      </c>
      <c r="AJ146" s="615">
        <f t="shared" si="231"/>
        <v>1006</v>
      </c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282"/>
      <c r="AX146" s="282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422">
        <f t="shared" si="232"/>
        <v>1209.3333333333333</v>
      </c>
      <c r="CF146" s="115">
        <f t="shared" si="232"/>
        <v>1209.3333333333333</v>
      </c>
      <c r="CG146" s="522">
        <f t="shared" si="232"/>
        <v>1209.3333333333333</v>
      </c>
      <c r="CH146" s="422">
        <f t="shared" si="232"/>
        <v>1209.3333333333333</v>
      </c>
      <c r="CI146" s="115">
        <f t="shared" si="232"/>
        <v>1209.3333333333333</v>
      </c>
      <c r="CJ146" s="115">
        <f t="shared" si="232"/>
        <v>1209.3333333333333</v>
      </c>
      <c r="CK146" s="115">
        <f t="shared" si="232"/>
        <v>1209.3333333333333</v>
      </c>
      <c r="CL146" s="287">
        <f t="shared" si="232"/>
        <v>1209.3333333333333</v>
      </c>
      <c r="CM146" s="308"/>
      <c r="CN146" s="316"/>
      <c r="CO146" s="309"/>
      <c r="CP146" s="310"/>
      <c r="CQ146" s="790">
        <f t="shared" si="233"/>
        <v>205402.85506094905</v>
      </c>
      <c r="CR146" s="1111">
        <f t="shared" si="233"/>
        <v>205402.85506094905</v>
      </c>
      <c r="CS146" s="181">
        <f t="shared" si="233"/>
        <v>205402.85506094905</v>
      </c>
      <c r="CT146" s="181">
        <f t="shared" si="233"/>
        <v>205402.85506094905</v>
      </c>
      <c r="CU146" s="181">
        <f t="shared" si="233"/>
        <v>205402.85506094905</v>
      </c>
      <c r="CV146" s="181">
        <f t="shared" si="233"/>
        <v>205402.85506094905</v>
      </c>
      <c r="CW146" s="181">
        <f t="shared" si="233"/>
        <v>205402.85506094905</v>
      </c>
      <c r="CX146" s="182">
        <f t="shared" si="233"/>
        <v>205402.85506094905</v>
      </c>
    </row>
    <row r="147" spans="1:102" ht="15.75" thickBot="1" x14ac:dyDescent="0.3">
      <c r="D147" s="183">
        <f>SUM(D136:D146)</f>
        <v>59561020.20000013</v>
      </c>
      <c r="E147" s="184">
        <f t="shared" ref="E147:M147" si="236">SUM(E136:E146)</f>
        <v>72926351.740000084</v>
      </c>
      <c r="F147" s="184">
        <f t="shared" si="236"/>
        <v>88011271.450000033</v>
      </c>
      <c r="G147" s="184">
        <f t="shared" si="236"/>
        <v>62396351.350000001</v>
      </c>
      <c r="H147" s="184">
        <f t="shared" si="236"/>
        <v>86959082.50999999</v>
      </c>
      <c r="I147" s="184">
        <f t="shared" si="236"/>
        <v>129105603.90535605</v>
      </c>
      <c r="J147" s="184">
        <f t="shared" si="236"/>
        <v>184399949.14756435</v>
      </c>
      <c r="K147" s="184">
        <f t="shared" si="236"/>
        <v>226833175.25141832</v>
      </c>
      <c r="L147" s="184">
        <f t="shared" si="236"/>
        <v>201656789.4667128</v>
      </c>
      <c r="M147" s="661">
        <f t="shared" si="236"/>
        <v>249391079.22505969</v>
      </c>
      <c r="N147" s="661">
        <f t="shared" ref="N147" si="237">SUM(N136:N146)</f>
        <v>285752240.10999978</v>
      </c>
      <c r="O147" s="183">
        <f>SUM(O136:O146)</f>
        <v>80136751.006480709</v>
      </c>
      <c r="P147" s="184">
        <f t="shared" ref="P147:X147" si="238">SUM(P136:P146)</f>
        <v>96658841.685204908</v>
      </c>
      <c r="Q147" s="184">
        <f t="shared" si="238"/>
        <v>115471294.00782929</v>
      </c>
      <c r="R147" s="184">
        <f t="shared" si="238"/>
        <v>80311388.949620187</v>
      </c>
      <c r="S147" s="184">
        <f t="shared" si="238"/>
        <v>109648341.81676039</v>
      </c>
      <c r="T147" s="184">
        <f t="shared" si="238"/>
        <v>160239200.09232554</v>
      </c>
      <c r="U147" s="184">
        <f t="shared" si="238"/>
        <v>229667919.03464836</v>
      </c>
      <c r="V147" s="184">
        <f t="shared" si="238"/>
        <v>272054362.50970447</v>
      </c>
      <c r="W147" s="184">
        <f t="shared" si="238"/>
        <v>227857498.33396837</v>
      </c>
      <c r="X147" s="661">
        <f t="shared" si="238"/>
        <v>265217668.071789</v>
      </c>
      <c r="Y147" s="661">
        <f t="shared" ref="Y147" si="239">SUM(Y136:Y146)</f>
        <v>293609992.17417496</v>
      </c>
      <c r="CE147" s="19"/>
      <c r="CF147" s="19"/>
      <c r="CG147" s="19"/>
      <c r="CH147" s="19"/>
      <c r="CI147" s="19"/>
      <c r="CJ147" s="19"/>
      <c r="CK147" s="19"/>
      <c r="CL147" s="19"/>
      <c r="CM147" s="212"/>
      <c r="CN147" s="212"/>
      <c r="CO147" s="212"/>
      <c r="CP147" s="19"/>
      <c r="CQ147" s="791">
        <f>SUM(CQ136:CQ146)</f>
        <v>222607972.49944979</v>
      </c>
      <c r="CR147" s="1112">
        <f t="shared" ref="CR147:CX147" si="240">SUM(CR136:CR146)</f>
        <v>225281145.81907514</v>
      </c>
      <c r="CS147" s="184">
        <f t="shared" si="240"/>
        <v>225581145.81907514</v>
      </c>
      <c r="CT147" s="184">
        <f t="shared" si="240"/>
        <v>190623591.91813746</v>
      </c>
      <c r="CU147" s="184">
        <f t="shared" si="240"/>
        <v>190923591.91813746</v>
      </c>
      <c r="CV147" s="184">
        <f t="shared" si="240"/>
        <v>190923591.91813746</v>
      </c>
      <c r="CW147" s="184">
        <f t="shared" si="240"/>
        <v>191223591.91813746</v>
      </c>
      <c r="CX147" s="185">
        <f t="shared" si="240"/>
        <v>191223591.91813746</v>
      </c>
    </row>
    <row r="148" spans="1:102" ht="15.75" thickBot="1" x14ac:dyDescent="0.3"/>
    <row r="149" spans="1:102" ht="15.75" thickBot="1" x14ac:dyDescent="0.3">
      <c r="CE149" s="259" t="s">
        <v>421</v>
      </c>
      <c r="CF149" s="619"/>
      <c r="CG149" s="619"/>
    </row>
    <row r="150" spans="1:102" ht="15.75" thickBot="1" x14ac:dyDescent="0.3">
      <c r="A150" s="19"/>
      <c r="B150" s="19"/>
      <c r="C150" s="636" t="s">
        <v>619</v>
      </c>
      <c r="D150" s="19"/>
      <c r="E150" s="19"/>
      <c r="F150" s="19"/>
      <c r="G150" s="19"/>
      <c r="H150" s="19"/>
      <c r="I150" s="19"/>
      <c r="J150" s="19"/>
      <c r="K150" s="19"/>
      <c r="L150" s="19"/>
      <c r="M150" s="282"/>
      <c r="N150" s="282"/>
      <c r="O150" s="19"/>
      <c r="P150" s="19"/>
      <c r="Q150" s="19"/>
      <c r="R150" s="19"/>
      <c r="S150" s="19"/>
      <c r="T150" s="19"/>
      <c r="U150" s="19"/>
      <c r="V150" s="19"/>
      <c r="W150" s="19"/>
      <c r="X150" s="282"/>
      <c r="Y150" s="282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294"/>
      <c r="AJ150" s="294"/>
      <c r="AK150" s="19"/>
      <c r="AL150" s="19"/>
      <c r="AM150" s="19"/>
      <c r="AN150" s="19" t="s">
        <v>620</v>
      </c>
      <c r="AO150" s="19"/>
      <c r="AP150" s="19"/>
      <c r="AQ150" s="19" t="s">
        <v>621</v>
      </c>
      <c r="AR150" s="19"/>
      <c r="AS150" s="19"/>
      <c r="AT150" s="19"/>
      <c r="AU150" s="19"/>
      <c r="AV150" s="19"/>
      <c r="AW150" s="282"/>
      <c r="AX150" s="282"/>
      <c r="AY150" s="616" t="s">
        <v>292</v>
      </c>
      <c r="AZ150" s="617" t="s">
        <v>293</v>
      </c>
      <c r="BA150" s="618" t="s">
        <v>294</v>
      </c>
      <c r="BB150" s="19">
        <v>1</v>
      </c>
      <c r="CE150" s="620" t="s">
        <v>605</v>
      </c>
      <c r="CF150" s="621"/>
      <c r="CG150" s="621" t="s">
        <v>293</v>
      </c>
    </row>
    <row r="151" spans="1:102" x14ac:dyDescent="0.25">
      <c r="A151" s="63" t="s">
        <v>296</v>
      </c>
      <c r="B151" s="166"/>
      <c r="C151" s="64" t="s">
        <v>409</v>
      </c>
      <c r="D151" s="167"/>
      <c r="E151" s="168"/>
      <c r="F151" s="168"/>
      <c r="G151" s="168"/>
      <c r="H151" s="168"/>
      <c r="I151" s="168"/>
      <c r="J151" s="168"/>
      <c r="K151" s="168"/>
      <c r="L151" s="168"/>
      <c r="M151" s="658"/>
      <c r="N151" s="1068"/>
      <c r="O151" s="578"/>
      <c r="P151" s="575"/>
      <c r="Q151" s="575"/>
      <c r="R151" s="575"/>
      <c r="S151" s="575"/>
      <c r="T151" s="575"/>
      <c r="U151" s="575"/>
      <c r="V151" s="575"/>
      <c r="W151" s="575"/>
      <c r="X151" s="679"/>
      <c r="Y151" s="1088"/>
      <c r="Z151" s="169"/>
      <c r="AA151" s="170"/>
      <c r="AB151" s="170"/>
      <c r="AC151" s="170"/>
      <c r="AD151" s="170"/>
      <c r="AE151" s="170"/>
      <c r="AF151" s="170"/>
      <c r="AG151" s="170"/>
      <c r="AH151" s="170"/>
      <c r="AI151" s="613"/>
      <c r="AJ151" s="1073"/>
      <c r="AK151" s="19"/>
      <c r="AL151" s="19"/>
      <c r="AM151" s="19"/>
      <c r="AN151" s="169">
        <v>0</v>
      </c>
      <c r="AO151" s="170">
        <v>0</v>
      </c>
      <c r="AP151" s="170">
        <v>0</v>
      </c>
      <c r="AQ151" s="170">
        <v>0</v>
      </c>
      <c r="AR151" s="170">
        <v>0</v>
      </c>
      <c r="AS151" s="170">
        <v>0</v>
      </c>
      <c r="AT151" s="170">
        <v>0</v>
      </c>
      <c r="AU151" s="170">
        <v>0</v>
      </c>
      <c r="AV151" s="170">
        <v>0</v>
      </c>
      <c r="AW151" s="613">
        <v>0</v>
      </c>
      <c r="AX151" s="1081"/>
      <c r="AY151" s="75">
        <f t="shared" ref="AY151:AY161" si="241">SUM(AS151:AW151)/5</f>
        <v>0</v>
      </c>
      <c r="AZ151" s="76">
        <f>SUM(AU151:AW151)/3</f>
        <v>0</v>
      </c>
      <c r="BA151" s="77">
        <f>SUM(AW151)</f>
        <v>0</v>
      </c>
      <c r="BB151" s="19">
        <v>2</v>
      </c>
      <c r="CE151" s="420"/>
      <c r="CF151" s="144"/>
      <c r="CG151" s="520"/>
      <c r="CH151" s="420"/>
      <c r="CI151" s="144"/>
      <c r="CJ151" s="144"/>
      <c r="CK151" s="144"/>
      <c r="CL151" s="293"/>
      <c r="CM151" s="302"/>
      <c r="CN151" s="314"/>
      <c r="CO151" s="303"/>
      <c r="CP151" s="304"/>
      <c r="CQ151" s="788"/>
      <c r="CR151" s="783"/>
      <c r="CS151" s="79"/>
      <c r="CT151" s="79"/>
      <c r="CU151" s="79"/>
      <c r="CV151" s="79"/>
      <c r="CW151" s="79"/>
      <c r="CX151" s="80"/>
    </row>
    <row r="152" spans="1:102" x14ac:dyDescent="0.25">
      <c r="A152" s="81" t="s">
        <v>27</v>
      </c>
      <c r="B152" s="171"/>
      <c r="C152" s="82" t="s">
        <v>410</v>
      </c>
      <c r="D152" s="172"/>
      <c r="E152" s="173"/>
      <c r="F152" s="173"/>
      <c r="G152" s="173"/>
      <c r="H152" s="173"/>
      <c r="I152" s="173"/>
      <c r="J152" s="173"/>
      <c r="K152" s="173"/>
      <c r="L152" s="173"/>
      <c r="M152" s="659"/>
      <c r="N152" s="1069"/>
      <c r="O152" s="580"/>
      <c r="P152" s="576"/>
      <c r="Q152" s="576"/>
      <c r="R152" s="576"/>
      <c r="S152" s="576"/>
      <c r="T152" s="576"/>
      <c r="U152" s="576"/>
      <c r="V152" s="576"/>
      <c r="W152" s="576"/>
      <c r="X152" s="680"/>
      <c r="Y152" s="1089"/>
      <c r="Z152" s="174"/>
      <c r="AA152" s="175"/>
      <c r="AB152" s="175"/>
      <c r="AC152" s="175"/>
      <c r="AD152" s="175"/>
      <c r="AE152" s="175"/>
      <c r="AF152" s="175"/>
      <c r="AG152" s="175"/>
      <c r="AH152" s="175"/>
      <c r="AI152" s="614"/>
      <c r="AJ152" s="1073"/>
      <c r="AK152" s="19"/>
      <c r="AL152" s="19"/>
      <c r="AM152" s="19"/>
      <c r="AN152" s="174">
        <v>0</v>
      </c>
      <c r="AO152" s="175">
        <v>0</v>
      </c>
      <c r="AP152" s="175">
        <v>0</v>
      </c>
      <c r="AQ152" s="175">
        <v>0</v>
      </c>
      <c r="AR152" s="175">
        <v>0</v>
      </c>
      <c r="AS152" s="175">
        <v>5234</v>
      </c>
      <c r="AT152" s="175">
        <v>10929</v>
      </c>
      <c r="AU152" s="175">
        <v>10486</v>
      </c>
      <c r="AV152" s="175">
        <v>10810</v>
      </c>
      <c r="AW152" s="614">
        <v>10486</v>
      </c>
      <c r="AX152" s="1082"/>
      <c r="AY152" s="93">
        <f t="shared" si="241"/>
        <v>9589</v>
      </c>
      <c r="AZ152" s="94">
        <f t="shared" ref="AZ152:AZ161" si="242">SUM(AU152:AW152)/3</f>
        <v>10594</v>
      </c>
      <c r="BA152" s="95">
        <f t="shared" ref="BA152:BA161" si="243">SUM(AW152)</f>
        <v>10486</v>
      </c>
      <c r="BB152" s="19">
        <v>3</v>
      </c>
      <c r="CE152" s="421"/>
      <c r="CF152" s="96"/>
      <c r="CG152" s="521"/>
      <c r="CH152" s="421"/>
      <c r="CI152" s="96"/>
      <c r="CJ152" s="96"/>
      <c r="CK152" s="96"/>
      <c r="CL152" s="286"/>
      <c r="CM152" s="305"/>
      <c r="CN152" s="315"/>
      <c r="CO152" s="306"/>
      <c r="CP152" s="307"/>
      <c r="CQ152" s="789"/>
      <c r="CR152" s="784"/>
      <c r="CS152" s="97"/>
      <c r="CT152" s="97"/>
      <c r="CU152" s="97"/>
      <c r="CV152" s="97"/>
      <c r="CW152" s="97"/>
      <c r="CX152" s="98"/>
    </row>
    <row r="153" spans="1:102" x14ac:dyDescent="0.25">
      <c r="A153" s="81" t="s">
        <v>68</v>
      </c>
      <c r="B153" s="171"/>
      <c r="C153" s="82" t="s">
        <v>411</v>
      </c>
      <c r="D153" s="172"/>
      <c r="E153" s="173"/>
      <c r="F153" s="173"/>
      <c r="G153" s="173"/>
      <c r="H153" s="173"/>
      <c r="I153" s="173"/>
      <c r="J153" s="173"/>
      <c r="K153" s="173"/>
      <c r="L153" s="173"/>
      <c r="M153" s="659"/>
      <c r="N153" s="1069"/>
      <c r="O153" s="580"/>
      <c r="P153" s="576"/>
      <c r="Q153" s="576"/>
      <c r="R153" s="576"/>
      <c r="S153" s="576"/>
      <c r="T153" s="576"/>
      <c r="U153" s="576"/>
      <c r="V153" s="576"/>
      <c r="W153" s="576"/>
      <c r="X153" s="680"/>
      <c r="Y153" s="1089"/>
      <c r="Z153" s="174"/>
      <c r="AA153" s="175"/>
      <c r="AB153" s="175"/>
      <c r="AC153" s="175"/>
      <c r="AD153" s="175"/>
      <c r="AE153" s="175"/>
      <c r="AF153" s="175"/>
      <c r="AG153" s="175"/>
      <c r="AH153" s="175"/>
      <c r="AI153" s="614"/>
      <c r="AJ153" s="1073"/>
      <c r="AK153" s="19"/>
      <c r="AL153" s="19"/>
      <c r="AM153" s="19"/>
      <c r="AN153" s="174">
        <v>0</v>
      </c>
      <c r="AO153" s="175">
        <v>0</v>
      </c>
      <c r="AP153" s="175">
        <v>0</v>
      </c>
      <c r="AQ153" s="175">
        <v>0</v>
      </c>
      <c r="AR153" s="175">
        <v>0</v>
      </c>
      <c r="AS153" s="175">
        <v>6690</v>
      </c>
      <c r="AT153" s="175">
        <v>9714</v>
      </c>
      <c r="AU153" s="175">
        <v>7719</v>
      </c>
      <c r="AV153" s="175">
        <v>8619</v>
      </c>
      <c r="AW153" s="614">
        <v>8445</v>
      </c>
      <c r="AX153" s="1082"/>
      <c r="AY153" s="93">
        <f t="shared" si="241"/>
        <v>8237.4</v>
      </c>
      <c r="AZ153" s="94">
        <f t="shared" si="242"/>
        <v>8261</v>
      </c>
      <c r="BA153" s="95">
        <f t="shared" si="243"/>
        <v>8445</v>
      </c>
      <c r="BB153" s="19">
        <v>4</v>
      </c>
      <c r="CE153" s="421">
        <f>CE$137*HLOOKUP($CG$150,$AY$150:$BA$161,ROWS(CE$150:CE153),0)/HLOOKUP($CG$150,$AY$150:$BA$161,3,0)</f>
        <v>9352.953338367628</v>
      </c>
      <c r="CF153" s="96">
        <f>CF$137*HLOOKUP($CG$150,$AY$150:$BA$161,ROWS(CF$150:CF153),0)/HLOOKUP($CG$150,$AY$150:$BA$161,3,0)</f>
        <v>9352.953338367628</v>
      </c>
      <c r="CG153" s="521">
        <f>CG$137*HLOOKUP($CG$150,$AY$150:$BA$161,ROWS(CG$150:CG153),0)/HLOOKUP($CG$150,$AY$150:$BA$161,3,0)</f>
        <v>9352.953338367628</v>
      </c>
      <c r="CH153" s="421">
        <f>CH$137*HLOOKUP($CG$150,$AY$150:$BA$161,ROWS(CH$150:CH153),0)/HLOOKUP($CG$150,$AY$150:$BA$161,3,0)</f>
        <v>9352.953338367628</v>
      </c>
      <c r="CI153" s="96">
        <f>CI$137*HLOOKUP($CG$150,$AY$150:$BA$161,ROWS(CI$150:CI153),0)/HLOOKUP($CG$150,$AY$150:$BA$161,3,0)</f>
        <v>9352.953338367628</v>
      </c>
      <c r="CJ153" s="96">
        <f>CJ$137*HLOOKUP($CG$150,$AY$150:$BA$161,ROWS(CJ$150:CJ153),0)/HLOOKUP($CG$150,$AY$150:$BA$161,3,0)</f>
        <v>9352.953338367628</v>
      </c>
      <c r="CK153" s="96">
        <f>CK$137*HLOOKUP($CG$150,$AY$150:$BA$161,ROWS(CK$150:CK153),0)/HLOOKUP($CG$150,$AY$150:$BA$161,3,0)</f>
        <v>9352.953338367628</v>
      </c>
      <c r="CL153" s="286">
        <f>CL$137*HLOOKUP($CG$150,$AY$150:$BA$161,ROWS(CL$150:CL153),0)/HLOOKUP($CG$150,$AY$150:$BA$161,3,0)</f>
        <v>9352.953338367628</v>
      </c>
      <c r="CM153" s="305"/>
      <c r="CN153" s="315"/>
      <c r="CO153" s="306"/>
      <c r="CP153" s="307"/>
      <c r="CQ153" s="789">
        <f t="shared" ref="CQ153:CQ161" si="244">IFERROR(CE153*CQ138/CE138,0)</f>
        <v>26318828.883123416</v>
      </c>
      <c r="CR153" s="784">
        <f t="shared" ref="CR153:CR161" si="245">IFERROR(CF153*CR138/CF138,0)</f>
        <v>26318828.883123416</v>
      </c>
      <c r="CS153" s="97">
        <f t="shared" ref="CS153:CS161" si="246">IFERROR(CG153*CS138/CG138,0)</f>
        <v>26318828.883123416</v>
      </c>
      <c r="CT153" s="97">
        <f t="shared" ref="CT153:CT161" si="247">IFERROR(CH153*CT138/CH138,0)</f>
        <v>26318828.88312342</v>
      </c>
      <c r="CU153" s="97">
        <f t="shared" ref="CU153:CU161" si="248">IFERROR(CI153*CU138/CI138,0)</f>
        <v>26318828.88312342</v>
      </c>
      <c r="CV153" s="97">
        <f t="shared" ref="CV153:CV161" si="249">IFERROR(CJ153*CV138/CJ138,0)</f>
        <v>26318828.88312342</v>
      </c>
      <c r="CW153" s="97">
        <f t="shared" ref="CW153:CW161" si="250">IFERROR(CK153*CW138/CK138,0)</f>
        <v>26318828.88312342</v>
      </c>
      <c r="CX153" s="98">
        <f t="shared" ref="CX153:CX161" si="251">IFERROR(CL153*CX138/CL138,0)</f>
        <v>26318828.88312342</v>
      </c>
    </row>
    <row r="154" spans="1:102" x14ac:dyDescent="0.25">
      <c r="A154" s="81" t="s">
        <v>81</v>
      </c>
      <c r="B154" s="171"/>
      <c r="C154" s="82" t="s">
        <v>270</v>
      </c>
      <c r="D154" s="172"/>
      <c r="E154" s="173"/>
      <c r="F154" s="173"/>
      <c r="G154" s="173"/>
      <c r="H154" s="173"/>
      <c r="I154" s="173"/>
      <c r="J154" s="173"/>
      <c r="K154" s="173"/>
      <c r="L154" s="173"/>
      <c r="M154" s="659"/>
      <c r="N154" s="1069"/>
      <c r="O154" s="580"/>
      <c r="P154" s="576"/>
      <c r="Q154" s="576"/>
      <c r="R154" s="576"/>
      <c r="S154" s="576"/>
      <c r="T154" s="576"/>
      <c r="U154" s="576"/>
      <c r="V154" s="576"/>
      <c r="W154" s="576"/>
      <c r="X154" s="680"/>
      <c r="Y154" s="1089"/>
      <c r="Z154" s="174"/>
      <c r="AA154" s="175"/>
      <c r="AB154" s="175"/>
      <c r="AC154" s="175"/>
      <c r="AD154" s="175"/>
      <c r="AE154" s="175"/>
      <c r="AF154" s="175"/>
      <c r="AG154" s="175"/>
      <c r="AH154" s="175"/>
      <c r="AI154" s="614"/>
      <c r="AJ154" s="1073"/>
      <c r="AK154" s="19"/>
      <c r="AL154" s="19"/>
      <c r="AM154" s="19"/>
      <c r="AN154" s="174">
        <v>0</v>
      </c>
      <c r="AO154" s="175">
        <v>0</v>
      </c>
      <c r="AP154" s="175">
        <v>0</v>
      </c>
      <c r="AQ154" s="175">
        <v>0</v>
      </c>
      <c r="AR154" s="175">
        <v>0</v>
      </c>
      <c r="AS154" s="175">
        <v>0</v>
      </c>
      <c r="AT154" s="175">
        <v>0</v>
      </c>
      <c r="AU154" s="175">
        <v>0</v>
      </c>
      <c r="AV154" s="175">
        <v>0</v>
      </c>
      <c r="AW154" s="614">
        <v>0</v>
      </c>
      <c r="AX154" s="1082"/>
      <c r="AY154" s="93">
        <f t="shared" si="241"/>
        <v>0</v>
      </c>
      <c r="AZ154" s="94">
        <f t="shared" si="242"/>
        <v>0</v>
      </c>
      <c r="BA154" s="95">
        <f t="shared" si="243"/>
        <v>0</v>
      </c>
      <c r="BB154" s="19">
        <v>5</v>
      </c>
      <c r="CE154" s="421">
        <f>CE$137*HLOOKUP($CG$150,$AY$150:$BA$161,ROWS(CE$150:CE154),0)/HLOOKUP($CG$150,$AY$150:$BA$161,3,0)</f>
        <v>0</v>
      </c>
      <c r="CF154" s="96">
        <f>CF$137*HLOOKUP($CG$150,$AY$150:$BA$161,ROWS(CF$150:CF154),0)/HLOOKUP($CG$150,$AY$150:$BA$161,3,0)</f>
        <v>0</v>
      </c>
      <c r="CG154" s="521">
        <f>CG$137*HLOOKUP($CG$150,$AY$150:$BA$161,ROWS(CG$150:CG154),0)/HLOOKUP($CG$150,$AY$150:$BA$161,3,0)</f>
        <v>0</v>
      </c>
      <c r="CH154" s="421">
        <f>CH$137*HLOOKUP($CG$150,$AY$150:$BA$161,ROWS(CH$150:CH154),0)/HLOOKUP($CG$150,$AY$150:$BA$161,3,0)</f>
        <v>0</v>
      </c>
      <c r="CI154" s="96">
        <f>CI$137*HLOOKUP($CG$150,$AY$150:$BA$161,ROWS(CI$150:CI154),0)/HLOOKUP($CG$150,$AY$150:$BA$161,3,0)</f>
        <v>0</v>
      </c>
      <c r="CJ154" s="96">
        <f>CJ$137*HLOOKUP($CG$150,$AY$150:$BA$161,ROWS(CJ$150:CJ154),0)/HLOOKUP($CG$150,$AY$150:$BA$161,3,0)</f>
        <v>0</v>
      </c>
      <c r="CK154" s="96">
        <f>CK$137*HLOOKUP($CG$150,$AY$150:$BA$161,ROWS(CK$150:CK154),0)/HLOOKUP($CG$150,$AY$150:$BA$161,3,0)</f>
        <v>0</v>
      </c>
      <c r="CL154" s="286">
        <f>CL$137*HLOOKUP($CG$150,$AY$150:$BA$161,ROWS(CL$150:CL154),0)/HLOOKUP($CG$150,$AY$150:$BA$161,3,0)</f>
        <v>0</v>
      </c>
      <c r="CM154" s="305"/>
      <c r="CN154" s="315"/>
      <c r="CO154" s="306"/>
      <c r="CP154" s="307"/>
      <c r="CQ154" s="789">
        <f t="shared" si="244"/>
        <v>0</v>
      </c>
      <c r="CR154" s="784">
        <f t="shared" si="245"/>
        <v>0</v>
      </c>
      <c r="CS154" s="97">
        <f t="shared" si="246"/>
        <v>0</v>
      </c>
      <c r="CT154" s="97">
        <f t="shared" si="247"/>
        <v>0</v>
      </c>
      <c r="CU154" s="97">
        <f t="shared" si="248"/>
        <v>0</v>
      </c>
      <c r="CV154" s="97">
        <f t="shared" si="249"/>
        <v>0</v>
      </c>
      <c r="CW154" s="97">
        <f t="shared" si="250"/>
        <v>0</v>
      </c>
      <c r="CX154" s="98">
        <f t="shared" si="251"/>
        <v>0</v>
      </c>
    </row>
    <row r="155" spans="1:102" x14ac:dyDescent="0.25">
      <c r="A155" s="81" t="s">
        <v>94</v>
      </c>
      <c r="B155" s="171"/>
      <c r="C155" s="82" t="s">
        <v>412</v>
      </c>
      <c r="D155" s="172"/>
      <c r="E155" s="173"/>
      <c r="F155" s="173"/>
      <c r="G155" s="173"/>
      <c r="H155" s="173"/>
      <c r="I155" s="173"/>
      <c r="J155" s="173"/>
      <c r="K155" s="173"/>
      <c r="L155" s="173"/>
      <c r="M155" s="659"/>
      <c r="N155" s="1069"/>
      <c r="O155" s="580"/>
      <c r="P155" s="576"/>
      <c r="Q155" s="576"/>
      <c r="R155" s="576"/>
      <c r="S155" s="576"/>
      <c r="T155" s="576"/>
      <c r="U155" s="576"/>
      <c r="V155" s="576"/>
      <c r="W155" s="576"/>
      <c r="X155" s="680"/>
      <c r="Y155" s="1089"/>
      <c r="Z155" s="174"/>
      <c r="AA155" s="175"/>
      <c r="AB155" s="175"/>
      <c r="AC155" s="175"/>
      <c r="AD155" s="175"/>
      <c r="AE155" s="175"/>
      <c r="AF155" s="175"/>
      <c r="AG155" s="175"/>
      <c r="AH155" s="175"/>
      <c r="AI155" s="614"/>
      <c r="AJ155" s="1073"/>
      <c r="AK155" s="19"/>
      <c r="AL155" s="19"/>
      <c r="AM155" s="19"/>
      <c r="AN155" s="174">
        <v>0</v>
      </c>
      <c r="AO155" s="175">
        <v>0</v>
      </c>
      <c r="AP155" s="175">
        <v>0</v>
      </c>
      <c r="AQ155" s="175">
        <v>0</v>
      </c>
      <c r="AR155" s="175">
        <v>0</v>
      </c>
      <c r="AS155" s="175">
        <v>0</v>
      </c>
      <c r="AT155" s="175">
        <v>0</v>
      </c>
      <c r="AU155" s="175">
        <v>0</v>
      </c>
      <c r="AV155" s="175">
        <v>0</v>
      </c>
      <c r="AW155" s="614">
        <v>0</v>
      </c>
      <c r="AX155" s="1082"/>
      <c r="AY155" s="93">
        <f t="shared" si="241"/>
        <v>0</v>
      </c>
      <c r="AZ155" s="94">
        <f t="shared" si="242"/>
        <v>0</v>
      </c>
      <c r="BA155" s="95">
        <f t="shared" si="243"/>
        <v>0</v>
      </c>
      <c r="BB155" s="19">
        <v>6</v>
      </c>
      <c r="CE155" s="421">
        <f>CE$137*HLOOKUP($CG$150,$AY$150:$BA$161,ROWS(CE$150:CE155),0)/HLOOKUP($CG$150,$AY$150:$BA$161,3,0)</f>
        <v>0</v>
      </c>
      <c r="CF155" s="96">
        <f>CF$137*HLOOKUP($CG$150,$AY$150:$BA$161,ROWS(CF$150:CF155),0)/HLOOKUP($CG$150,$AY$150:$BA$161,3,0)</f>
        <v>0</v>
      </c>
      <c r="CG155" s="521">
        <f>CG$137*HLOOKUP($CG$150,$AY$150:$BA$161,ROWS(CG$150:CG155),0)/HLOOKUP($CG$150,$AY$150:$BA$161,3,0)</f>
        <v>0</v>
      </c>
      <c r="CH155" s="421">
        <f>CH$137*HLOOKUP($CG$150,$AY$150:$BA$161,ROWS(CH$150:CH155),0)/HLOOKUP($CG$150,$AY$150:$BA$161,3,0)</f>
        <v>0</v>
      </c>
      <c r="CI155" s="96">
        <f>CI$137*HLOOKUP($CG$150,$AY$150:$BA$161,ROWS(CI$150:CI155),0)/HLOOKUP($CG$150,$AY$150:$BA$161,3,0)</f>
        <v>0</v>
      </c>
      <c r="CJ155" s="96">
        <f>CJ$137*HLOOKUP($CG$150,$AY$150:$BA$161,ROWS(CJ$150:CJ155),0)/HLOOKUP($CG$150,$AY$150:$BA$161,3,0)</f>
        <v>0</v>
      </c>
      <c r="CK155" s="96">
        <f>CK$137*HLOOKUP($CG$150,$AY$150:$BA$161,ROWS(CK$150:CK155),0)/HLOOKUP($CG$150,$AY$150:$BA$161,3,0)</f>
        <v>0</v>
      </c>
      <c r="CL155" s="286">
        <f>CL$137*HLOOKUP($CG$150,$AY$150:$BA$161,ROWS(CL$150:CL155),0)/HLOOKUP($CG$150,$AY$150:$BA$161,3,0)</f>
        <v>0</v>
      </c>
      <c r="CM155" s="305"/>
      <c r="CN155" s="315"/>
      <c r="CO155" s="306"/>
      <c r="CP155" s="307"/>
      <c r="CQ155" s="789">
        <f t="shared" si="244"/>
        <v>0</v>
      </c>
      <c r="CR155" s="784">
        <f t="shared" si="245"/>
        <v>0</v>
      </c>
      <c r="CS155" s="97">
        <f t="shared" si="246"/>
        <v>0</v>
      </c>
      <c r="CT155" s="97">
        <f t="shared" si="247"/>
        <v>0</v>
      </c>
      <c r="CU155" s="97">
        <f t="shared" si="248"/>
        <v>0</v>
      </c>
      <c r="CV155" s="97">
        <f t="shared" si="249"/>
        <v>0</v>
      </c>
      <c r="CW155" s="97">
        <f t="shared" si="250"/>
        <v>0</v>
      </c>
      <c r="CX155" s="98">
        <f t="shared" si="251"/>
        <v>0</v>
      </c>
    </row>
    <row r="156" spans="1:102" x14ac:dyDescent="0.25">
      <c r="A156" s="81" t="s">
        <v>106</v>
      </c>
      <c r="B156" s="171"/>
      <c r="C156" s="82" t="s">
        <v>272</v>
      </c>
      <c r="D156" s="172"/>
      <c r="E156" s="173"/>
      <c r="F156" s="173"/>
      <c r="G156" s="173"/>
      <c r="H156" s="173"/>
      <c r="I156" s="173"/>
      <c r="J156" s="173"/>
      <c r="K156" s="173"/>
      <c r="L156" s="173"/>
      <c r="M156" s="659"/>
      <c r="N156" s="1069"/>
      <c r="O156" s="580"/>
      <c r="P156" s="576"/>
      <c r="Q156" s="576"/>
      <c r="R156" s="576"/>
      <c r="S156" s="576"/>
      <c r="T156" s="576"/>
      <c r="U156" s="576"/>
      <c r="V156" s="576"/>
      <c r="W156" s="576"/>
      <c r="X156" s="680"/>
      <c r="Y156" s="1089"/>
      <c r="Z156" s="174"/>
      <c r="AA156" s="175"/>
      <c r="AB156" s="175"/>
      <c r="AC156" s="175"/>
      <c r="AD156" s="175"/>
      <c r="AE156" s="175"/>
      <c r="AF156" s="175"/>
      <c r="AG156" s="175"/>
      <c r="AH156" s="175"/>
      <c r="AI156" s="614"/>
      <c r="AJ156" s="1073"/>
      <c r="AK156" s="19"/>
      <c r="AL156" s="19"/>
      <c r="AM156" s="19"/>
      <c r="AN156" s="174">
        <v>0</v>
      </c>
      <c r="AO156" s="175">
        <v>0</v>
      </c>
      <c r="AP156" s="175">
        <v>0</v>
      </c>
      <c r="AQ156" s="175">
        <v>0</v>
      </c>
      <c r="AR156" s="175">
        <v>0</v>
      </c>
      <c r="AS156" s="175">
        <v>2426.8499508109944</v>
      </c>
      <c r="AT156" s="175">
        <v>4861.0182201540711</v>
      </c>
      <c r="AU156" s="175">
        <v>2904.4412400861111</v>
      </c>
      <c r="AV156" s="175">
        <v>3181.1184412600755</v>
      </c>
      <c r="AW156" s="614">
        <v>4366.1405373900316</v>
      </c>
      <c r="AX156" s="1082"/>
      <c r="AY156" s="93">
        <f t="shared" si="241"/>
        <v>3547.913677940257</v>
      </c>
      <c r="AZ156" s="94">
        <f t="shared" si="242"/>
        <v>3483.900072912073</v>
      </c>
      <c r="BA156" s="95">
        <f t="shared" si="243"/>
        <v>4366.1405373900316</v>
      </c>
      <c r="BB156" s="19">
        <v>7</v>
      </c>
      <c r="CE156" s="421">
        <f>CE$137*HLOOKUP($CG$150,$AY$150:$BA$161,ROWS(CE$150:CE156),0)/HLOOKUP($CG$150,$AY$150:$BA$161,3,0)</f>
        <v>3944.408039884057</v>
      </c>
      <c r="CF156" s="96">
        <f>CF$137*HLOOKUP($CG$150,$AY$150:$BA$161,ROWS(CF$150:CF156),0)/HLOOKUP($CG$150,$AY$150:$BA$161,3,0)</f>
        <v>3944.408039884057</v>
      </c>
      <c r="CG156" s="521">
        <f>CG$137*HLOOKUP($CG$150,$AY$150:$BA$161,ROWS(CG$150:CG156),0)/HLOOKUP($CG$150,$AY$150:$BA$161,3,0)</f>
        <v>3944.408039884057</v>
      </c>
      <c r="CH156" s="421">
        <f>CH$137*HLOOKUP($CG$150,$AY$150:$BA$161,ROWS(CH$150:CH156),0)/HLOOKUP($CG$150,$AY$150:$BA$161,3,0)</f>
        <v>3944.408039884057</v>
      </c>
      <c r="CI156" s="96">
        <f>CI$137*HLOOKUP($CG$150,$AY$150:$BA$161,ROWS(CI$150:CI156),0)/HLOOKUP($CG$150,$AY$150:$BA$161,3,0)</f>
        <v>3944.408039884057</v>
      </c>
      <c r="CJ156" s="96">
        <f>CJ$137*HLOOKUP($CG$150,$AY$150:$BA$161,ROWS(CJ$150:CJ156),0)/HLOOKUP($CG$150,$AY$150:$BA$161,3,0)</f>
        <v>3944.408039884057</v>
      </c>
      <c r="CK156" s="96">
        <f>CK$137*HLOOKUP($CG$150,$AY$150:$BA$161,ROWS(CK$150:CK156),0)/HLOOKUP($CG$150,$AY$150:$BA$161,3,0)</f>
        <v>3944.408039884057</v>
      </c>
      <c r="CL156" s="286">
        <f>CL$137*HLOOKUP($CG$150,$AY$150:$BA$161,ROWS(CL$150:CL156),0)/HLOOKUP($CG$150,$AY$150:$BA$161,3,0)</f>
        <v>3944.408039884057</v>
      </c>
      <c r="CM156" s="305"/>
      <c r="CN156" s="315"/>
      <c r="CO156" s="306"/>
      <c r="CP156" s="307"/>
      <c r="CQ156" s="789">
        <f t="shared" si="244"/>
        <v>6252200.2621158352</v>
      </c>
      <c r="CR156" s="784">
        <f t="shared" si="245"/>
        <v>6252200.2621158352</v>
      </c>
      <c r="CS156" s="97">
        <f t="shared" si="246"/>
        <v>6252200.2621158352</v>
      </c>
      <c r="CT156" s="97">
        <f t="shared" si="247"/>
        <v>6252200.2621158352</v>
      </c>
      <c r="CU156" s="97">
        <f t="shared" si="248"/>
        <v>6252200.2621158352</v>
      </c>
      <c r="CV156" s="97">
        <f t="shared" si="249"/>
        <v>6252200.2621158352</v>
      </c>
      <c r="CW156" s="97">
        <f t="shared" si="250"/>
        <v>6252200.2621158352</v>
      </c>
      <c r="CX156" s="98">
        <f t="shared" si="251"/>
        <v>6252200.2621158352</v>
      </c>
    </row>
    <row r="157" spans="1:102" x14ac:dyDescent="0.25">
      <c r="A157" s="81" t="s">
        <v>138</v>
      </c>
      <c r="B157" s="171"/>
      <c r="C157" s="82" t="s">
        <v>413</v>
      </c>
      <c r="D157" s="172"/>
      <c r="E157" s="173"/>
      <c r="F157" s="173"/>
      <c r="G157" s="173"/>
      <c r="H157" s="173"/>
      <c r="I157" s="173"/>
      <c r="J157" s="173"/>
      <c r="K157" s="173"/>
      <c r="L157" s="173"/>
      <c r="M157" s="659"/>
      <c r="N157" s="1069"/>
      <c r="O157" s="580"/>
      <c r="P157" s="576"/>
      <c r="Q157" s="576"/>
      <c r="R157" s="576"/>
      <c r="S157" s="576"/>
      <c r="T157" s="576"/>
      <c r="U157" s="576"/>
      <c r="V157" s="576"/>
      <c r="W157" s="576"/>
      <c r="X157" s="680"/>
      <c r="Y157" s="1089"/>
      <c r="Z157" s="174"/>
      <c r="AA157" s="175"/>
      <c r="AB157" s="175"/>
      <c r="AC157" s="175"/>
      <c r="AD157" s="175"/>
      <c r="AE157" s="175"/>
      <c r="AF157" s="175"/>
      <c r="AG157" s="175"/>
      <c r="AH157" s="175"/>
      <c r="AI157" s="614"/>
      <c r="AJ157" s="1073"/>
      <c r="AK157" s="19"/>
      <c r="AL157" s="19"/>
      <c r="AM157" s="19"/>
      <c r="AN157" s="174">
        <v>0</v>
      </c>
      <c r="AO157" s="175">
        <v>0</v>
      </c>
      <c r="AP157" s="175">
        <v>0</v>
      </c>
      <c r="AQ157" s="175">
        <v>0</v>
      </c>
      <c r="AR157" s="175">
        <v>0</v>
      </c>
      <c r="AS157" s="175">
        <v>266</v>
      </c>
      <c r="AT157" s="175">
        <v>608</v>
      </c>
      <c r="AU157" s="175">
        <v>431</v>
      </c>
      <c r="AV157" s="175">
        <v>473</v>
      </c>
      <c r="AW157" s="614">
        <v>264</v>
      </c>
      <c r="AX157" s="1082"/>
      <c r="AY157" s="93">
        <f t="shared" si="241"/>
        <v>408.4</v>
      </c>
      <c r="AZ157" s="94">
        <f t="shared" si="242"/>
        <v>389.33333333333331</v>
      </c>
      <c r="BA157" s="95">
        <f t="shared" si="243"/>
        <v>264</v>
      </c>
      <c r="BB157" s="19">
        <v>8</v>
      </c>
      <c r="CE157" s="421">
        <f>CE$137*HLOOKUP($CG$150,$AY$150:$BA$161,ROWS(CE$150:CE157),0)/HLOOKUP($CG$150,$AY$150:$BA$161,3,0)</f>
        <v>440.79609002999587</v>
      </c>
      <c r="CF157" s="96">
        <f>CF$137*HLOOKUP($CG$150,$AY$150:$BA$161,ROWS(CF$150:CF157),0)/HLOOKUP($CG$150,$AY$150:$BA$161,3,0)</f>
        <v>440.79609002999587</v>
      </c>
      <c r="CG157" s="521">
        <f>CG$137*HLOOKUP($CG$150,$AY$150:$BA$161,ROWS(CG$150:CG157),0)/HLOOKUP($CG$150,$AY$150:$BA$161,3,0)</f>
        <v>440.79609002999587</v>
      </c>
      <c r="CH157" s="421">
        <f>CH$137*HLOOKUP($CG$150,$AY$150:$BA$161,ROWS(CH$150:CH157),0)/HLOOKUP($CG$150,$AY$150:$BA$161,3,0)</f>
        <v>440.79609002999587</v>
      </c>
      <c r="CI157" s="96">
        <f>CI$137*HLOOKUP($CG$150,$AY$150:$BA$161,ROWS(CI$150:CI157),0)/HLOOKUP($CG$150,$AY$150:$BA$161,3,0)</f>
        <v>440.79609002999587</v>
      </c>
      <c r="CJ157" s="96">
        <f>CJ$137*HLOOKUP($CG$150,$AY$150:$BA$161,ROWS(CJ$150:CJ157),0)/HLOOKUP($CG$150,$AY$150:$BA$161,3,0)</f>
        <v>440.79609002999587</v>
      </c>
      <c r="CK157" s="96">
        <f>CK$137*HLOOKUP($CG$150,$AY$150:$BA$161,ROWS(CK$150:CK157),0)/HLOOKUP($CG$150,$AY$150:$BA$161,3,0)</f>
        <v>440.79609002999587</v>
      </c>
      <c r="CL157" s="286">
        <f>CL$137*HLOOKUP($CG$150,$AY$150:$BA$161,ROWS(CL$150:CL157),0)/HLOOKUP($CG$150,$AY$150:$BA$161,3,0)</f>
        <v>440.79609002999587</v>
      </c>
      <c r="CM157" s="305"/>
      <c r="CN157" s="315"/>
      <c r="CO157" s="306"/>
      <c r="CP157" s="307"/>
      <c r="CQ157" s="789">
        <f t="shared" si="244"/>
        <v>14662215.4756431</v>
      </c>
      <c r="CR157" s="784">
        <f t="shared" si="245"/>
        <v>14662215.4756431</v>
      </c>
      <c r="CS157" s="97">
        <f t="shared" si="246"/>
        <v>14662215.4756431</v>
      </c>
      <c r="CT157" s="97">
        <f t="shared" si="247"/>
        <v>16383490.742259191</v>
      </c>
      <c r="CU157" s="97">
        <f t="shared" si="248"/>
        <v>16383490.742259191</v>
      </c>
      <c r="CV157" s="97">
        <f t="shared" si="249"/>
        <v>16383490.742259191</v>
      </c>
      <c r="CW157" s="97">
        <f t="shared" si="250"/>
        <v>16383490.742259191</v>
      </c>
      <c r="CX157" s="98">
        <f t="shared" si="251"/>
        <v>16383490.742259191</v>
      </c>
    </row>
    <row r="158" spans="1:102" x14ac:dyDescent="0.25">
      <c r="A158" s="81" t="s">
        <v>196</v>
      </c>
      <c r="B158" s="171"/>
      <c r="C158" s="82" t="s">
        <v>274</v>
      </c>
      <c r="D158" s="172"/>
      <c r="E158" s="173"/>
      <c r="F158" s="173"/>
      <c r="G158" s="173"/>
      <c r="H158" s="173"/>
      <c r="I158" s="173"/>
      <c r="J158" s="173"/>
      <c r="K158" s="173"/>
      <c r="L158" s="173"/>
      <c r="M158" s="659"/>
      <c r="N158" s="1069"/>
      <c r="O158" s="580"/>
      <c r="P158" s="576"/>
      <c r="Q158" s="576"/>
      <c r="R158" s="576"/>
      <c r="S158" s="576"/>
      <c r="T158" s="576"/>
      <c r="U158" s="576"/>
      <c r="V158" s="576"/>
      <c r="W158" s="576"/>
      <c r="X158" s="680"/>
      <c r="Y158" s="1089"/>
      <c r="Z158" s="174"/>
      <c r="AA158" s="175"/>
      <c r="AB158" s="175"/>
      <c r="AC158" s="175"/>
      <c r="AD158" s="175"/>
      <c r="AE158" s="175"/>
      <c r="AF158" s="175"/>
      <c r="AG158" s="175"/>
      <c r="AH158" s="175"/>
      <c r="AI158" s="614"/>
      <c r="AJ158" s="1073"/>
      <c r="AK158" s="19"/>
      <c r="AL158" s="19"/>
      <c r="AM158" s="19"/>
      <c r="AN158" s="174">
        <v>0</v>
      </c>
      <c r="AO158" s="175">
        <v>0</v>
      </c>
      <c r="AP158" s="175">
        <v>0</v>
      </c>
      <c r="AQ158" s="175">
        <v>0</v>
      </c>
      <c r="AR158" s="175">
        <v>0</v>
      </c>
      <c r="AS158" s="175">
        <v>395</v>
      </c>
      <c r="AT158" s="175">
        <v>309</v>
      </c>
      <c r="AU158" s="175">
        <v>310</v>
      </c>
      <c r="AV158" s="175">
        <v>296</v>
      </c>
      <c r="AW158" s="614">
        <v>371</v>
      </c>
      <c r="AX158" s="1082"/>
      <c r="AY158" s="93">
        <f t="shared" si="241"/>
        <v>336.2</v>
      </c>
      <c r="AZ158" s="94">
        <f t="shared" si="242"/>
        <v>325.66666666666669</v>
      </c>
      <c r="BA158" s="95">
        <f t="shared" si="243"/>
        <v>371</v>
      </c>
      <c r="BB158" s="19">
        <v>9</v>
      </c>
      <c r="CE158" s="421">
        <f>CE$137*HLOOKUP($CG$150,$AY$150:$BA$161,ROWS(CE$150:CE158),0)/HLOOKUP($CG$150,$AY$150:$BA$161,3,0)</f>
        <v>368.71385270488526</v>
      </c>
      <c r="CF158" s="96">
        <f>CF$137*HLOOKUP($CG$150,$AY$150:$BA$161,ROWS(CF$150:CF158),0)/HLOOKUP($CG$150,$AY$150:$BA$161,3,0)</f>
        <v>368.71385270488526</v>
      </c>
      <c r="CG158" s="521">
        <f>CG$137*HLOOKUP($CG$150,$AY$150:$BA$161,ROWS(CG$150:CG158),0)/HLOOKUP($CG$150,$AY$150:$BA$161,3,0)</f>
        <v>368.71385270488526</v>
      </c>
      <c r="CH158" s="421">
        <f>CH$137*HLOOKUP($CG$150,$AY$150:$BA$161,ROWS(CH$150:CH158),0)/HLOOKUP($CG$150,$AY$150:$BA$161,3,0)</f>
        <v>368.71385270488526</v>
      </c>
      <c r="CI158" s="96">
        <f>CI$137*HLOOKUP($CG$150,$AY$150:$BA$161,ROWS(CI$150:CI158),0)/HLOOKUP($CG$150,$AY$150:$BA$161,3,0)</f>
        <v>368.71385270488526</v>
      </c>
      <c r="CJ158" s="96">
        <f>CJ$137*HLOOKUP($CG$150,$AY$150:$BA$161,ROWS(CJ$150:CJ158),0)/HLOOKUP($CG$150,$AY$150:$BA$161,3,0)</f>
        <v>368.71385270488526</v>
      </c>
      <c r="CK158" s="96">
        <f>CK$137*HLOOKUP($CG$150,$AY$150:$BA$161,ROWS(CK$150:CK158),0)/HLOOKUP($CG$150,$AY$150:$BA$161,3,0)</f>
        <v>368.71385270488526</v>
      </c>
      <c r="CL158" s="286">
        <f>CL$137*HLOOKUP($CG$150,$AY$150:$BA$161,ROWS(CL$150:CL158),0)/HLOOKUP($CG$150,$AY$150:$BA$161,3,0)</f>
        <v>368.71385270488526</v>
      </c>
      <c r="CM158" s="305"/>
      <c r="CN158" s="315"/>
      <c r="CO158" s="306"/>
      <c r="CP158" s="307"/>
      <c r="CQ158" s="789">
        <f t="shared" si="244"/>
        <v>4239629.6754630469</v>
      </c>
      <c r="CR158" s="784">
        <f t="shared" si="245"/>
        <v>4239629.6754630469</v>
      </c>
      <c r="CS158" s="97">
        <f t="shared" si="246"/>
        <v>4239629.6754630469</v>
      </c>
      <c r="CT158" s="97">
        <f t="shared" si="247"/>
        <v>4544053.1097088326</v>
      </c>
      <c r="CU158" s="97">
        <f t="shared" si="248"/>
        <v>4544053.1097088326</v>
      </c>
      <c r="CV158" s="97">
        <f t="shared" si="249"/>
        <v>4544053.1097088326</v>
      </c>
      <c r="CW158" s="97">
        <f t="shared" si="250"/>
        <v>4544053.1097088326</v>
      </c>
      <c r="CX158" s="98">
        <f t="shared" si="251"/>
        <v>4544053.1097088326</v>
      </c>
    </row>
    <row r="159" spans="1:102" x14ac:dyDescent="0.25">
      <c r="A159" s="81" t="s">
        <v>224</v>
      </c>
      <c r="B159" s="171"/>
      <c r="C159" s="82" t="s">
        <v>414</v>
      </c>
      <c r="D159" s="172"/>
      <c r="E159" s="173"/>
      <c r="F159" s="173"/>
      <c r="G159" s="173"/>
      <c r="H159" s="173"/>
      <c r="I159" s="173"/>
      <c r="J159" s="173"/>
      <c r="K159" s="173"/>
      <c r="L159" s="173"/>
      <c r="M159" s="659"/>
      <c r="N159" s="1069"/>
      <c r="O159" s="580"/>
      <c r="P159" s="576"/>
      <c r="Q159" s="576"/>
      <c r="R159" s="576"/>
      <c r="S159" s="576"/>
      <c r="T159" s="576"/>
      <c r="U159" s="576"/>
      <c r="V159" s="576"/>
      <c r="W159" s="576"/>
      <c r="X159" s="680"/>
      <c r="Y159" s="1089"/>
      <c r="Z159" s="174"/>
      <c r="AA159" s="175"/>
      <c r="AB159" s="175"/>
      <c r="AC159" s="175"/>
      <c r="AD159" s="175"/>
      <c r="AE159" s="175"/>
      <c r="AF159" s="175"/>
      <c r="AG159" s="175"/>
      <c r="AH159" s="175"/>
      <c r="AI159" s="614"/>
      <c r="AJ159" s="1073"/>
      <c r="AK159" s="19"/>
      <c r="AL159" s="19"/>
      <c r="AM159" s="19"/>
      <c r="AN159" s="174">
        <v>0</v>
      </c>
      <c r="AO159" s="175">
        <v>0</v>
      </c>
      <c r="AP159" s="175">
        <v>0</v>
      </c>
      <c r="AQ159" s="175">
        <v>0</v>
      </c>
      <c r="AR159" s="175">
        <v>0</v>
      </c>
      <c r="AS159" s="175">
        <v>0</v>
      </c>
      <c r="AT159" s="175">
        <v>0</v>
      </c>
      <c r="AU159" s="175">
        <v>0</v>
      </c>
      <c r="AV159" s="175">
        <v>0</v>
      </c>
      <c r="AW159" s="614">
        <v>0</v>
      </c>
      <c r="AX159" s="1082"/>
      <c r="AY159" s="93">
        <f t="shared" si="241"/>
        <v>0</v>
      </c>
      <c r="AZ159" s="94">
        <f t="shared" si="242"/>
        <v>0</v>
      </c>
      <c r="BA159" s="95">
        <f t="shared" si="243"/>
        <v>0</v>
      </c>
      <c r="BB159" s="19">
        <v>10</v>
      </c>
      <c r="CE159" s="421">
        <f>CE$137*HLOOKUP($CG$150,$AY$150:$BA$161,ROWS(CE$150:CE159),0)/HLOOKUP($CG$150,$AY$150:$BA$161,3,0)</f>
        <v>0</v>
      </c>
      <c r="CF159" s="96">
        <f>CF$137*HLOOKUP($CG$150,$AY$150:$BA$161,ROWS(CF$150:CF159),0)/HLOOKUP($CG$150,$AY$150:$BA$161,3,0)</f>
        <v>0</v>
      </c>
      <c r="CG159" s="521">
        <f>CG$137*HLOOKUP($CG$150,$AY$150:$BA$161,ROWS(CG$150:CG159),0)/HLOOKUP($CG$150,$AY$150:$BA$161,3,0)</f>
        <v>0</v>
      </c>
      <c r="CH159" s="421">
        <f>CH$137*HLOOKUP($CG$150,$AY$150:$BA$161,ROWS(CH$150:CH159),0)/HLOOKUP($CG$150,$AY$150:$BA$161,3,0)</f>
        <v>0</v>
      </c>
      <c r="CI159" s="96">
        <f>CI$137*HLOOKUP($CG$150,$AY$150:$BA$161,ROWS(CI$150:CI159),0)/HLOOKUP($CG$150,$AY$150:$BA$161,3,0)</f>
        <v>0</v>
      </c>
      <c r="CJ159" s="96">
        <f>CJ$137*HLOOKUP($CG$150,$AY$150:$BA$161,ROWS(CJ$150:CJ159),0)/HLOOKUP($CG$150,$AY$150:$BA$161,3,0)</f>
        <v>0</v>
      </c>
      <c r="CK159" s="96">
        <f>CK$137*HLOOKUP($CG$150,$AY$150:$BA$161,ROWS(CK$150:CK159),0)/HLOOKUP($CG$150,$AY$150:$BA$161,3,0)</f>
        <v>0</v>
      </c>
      <c r="CL159" s="286">
        <f>CL$137*HLOOKUP($CG$150,$AY$150:$BA$161,ROWS(CL$150:CL159),0)/HLOOKUP($CG$150,$AY$150:$BA$161,3,0)</f>
        <v>0</v>
      </c>
      <c r="CM159" s="305"/>
      <c r="CN159" s="315"/>
      <c r="CO159" s="306"/>
      <c r="CP159" s="307"/>
      <c r="CQ159" s="789">
        <f t="shared" si="244"/>
        <v>0</v>
      </c>
      <c r="CR159" s="784">
        <f t="shared" si="245"/>
        <v>0</v>
      </c>
      <c r="CS159" s="97">
        <f t="shared" si="246"/>
        <v>0</v>
      </c>
      <c r="CT159" s="97">
        <f t="shared" si="247"/>
        <v>0</v>
      </c>
      <c r="CU159" s="97">
        <f t="shared" si="248"/>
        <v>0</v>
      </c>
      <c r="CV159" s="97">
        <f t="shared" si="249"/>
        <v>0</v>
      </c>
      <c r="CW159" s="97">
        <f t="shared" si="250"/>
        <v>0</v>
      </c>
      <c r="CX159" s="98">
        <f t="shared" si="251"/>
        <v>0</v>
      </c>
    </row>
    <row r="160" spans="1:102" x14ac:dyDescent="0.25">
      <c r="A160" s="81" t="s">
        <v>242</v>
      </c>
      <c r="B160" s="171"/>
      <c r="C160" s="82" t="s">
        <v>415</v>
      </c>
      <c r="D160" s="172"/>
      <c r="E160" s="173"/>
      <c r="F160" s="173"/>
      <c r="G160" s="173"/>
      <c r="H160" s="173"/>
      <c r="I160" s="173"/>
      <c r="J160" s="173"/>
      <c r="K160" s="173"/>
      <c r="L160" s="173"/>
      <c r="M160" s="659"/>
      <c r="N160" s="1069"/>
      <c r="O160" s="580"/>
      <c r="P160" s="576"/>
      <c r="Q160" s="576"/>
      <c r="R160" s="576"/>
      <c r="S160" s="576"/>
      <c r="T160" s="576"/>
      <c r="U160" s="576"/>
      <c r="V160" s="576"/>
      <c r="W160" s="576"/>
      <c r="X160" s="680"/>
      <c r="Y160" s="1089"/>
      <c r="Z160" s="174"/>
      <c r="AA160" s="175"/>
      <c r="AB160" s="175"/>
      <c r="AC160" s="175"/>
      <c r="AD160" s="175"/>
      <c r="AE160" s="175"/>
      <c r="AF160" s="175"/>
      <c r="AG160" s="175"/>
      <c r="AH160" s="175"/>
      <c r="AI160" s="614"/>
      <c r="AJ160" s="1073"/>
      <c r="AK160" s="19"/>
      <c r="AL160" s="19"/>
      <c r="AM160" s="19"/>
      <c r="AN160" s="174">
        <v>0</v>
      </c>
      <c r="AO160" s="175">
        <v>0</v>
      </c>
      <c r="AP160" s="175">
        <v>0</v>
      </c>
      <c r="AQ160" s="175">
        <v>0</v>
      </c>
      <c r="AR160" s="175">
        <v>0</v>
      </c>
      <c r="AS160" s="175">
        <v>0</v>
      </c>
      <c r="AT160" s="175">
        <v>0</v>
      </c>
      <c r="AU160" s="175">
        <v>0</v>
      </c>
      <c r="AV160" s="175">
        <v>0</v>
      </c>
      <c r="AW160" s="614">
        <v>0</v>
      </c>
      <c r="AX160" s="1082"/>
      <c r="AY160" s="93">
        <f t="shared" si="241"/>
        <v>0</v>
      </c>
      <c r="AZ160" s="94">
        <f t="shared" si="242"/>
        <v>0</v>
      </c>
      <c r="BA160" s="95">
        <f t="shared" si="243"/>
        <v>0</v>
      </c>
      <c r="BB160" s="19">
        <v>11</v>
      </c>
      <c r="CE160" s="421">
        <f>CE$137*HLOOKUP($CG$150,$AY$150:$BA$161,ROWS(CE$150:CE160),0)/HLOOKUP($CG$150,$AY$150:$BA$161,3,0)</f>
        <v>0</v>
      </c>
      <c r="CF160" s="96">
        <f>CF$137*HLOOKUP($CG$150,$AY$150:$BA$161,ROWS(CF$150:CF160),0)/HLOOKUP($CG$150,$AY$150:$BA$161,3,0)</f>
        <v>0</v>
      </c>
      <c r="CG160" s="521">
        <f>CG$137*HLOOKUP($CG$150,$AY$150:$BA$161,ROWS(CG$150:CG160),0)/HLOOKUP($CG$150,$AY$150:$BA$161,3,0)</f>
        <v>0</v>
      </c>
      <c r="CH160" s="421">
        <f>CH$137*HLOOKUP($CG$150,$AY$150:$BA$161,ROWS(CH$150:CH160),0)/HLOOKUP($CG$150,$AY$150:$BA$161,3,0)</f>
        <v>0</v>
      </c>
      <c r="CI160" s="96">
        <f>CI$137*HLOOKUP($CG$150,$AY$150:$BA$161,ROWS(CI$150:CI160),0)/HLOOKUP($CG$150,$AY$150:$BA$161,3,0)</f>
        <v>0</v>
      </c>
      <c r="CJ160" s="96">
        <f>CJ$137*HLOOKUP($CG$150,$AY$150:$BA$161,ROWS(CJ$150:CJ160),0)/HLOOKUP($CG$150,$AY$150:$BA$161,3,0)</f>
        <v>0</v>
      </c>
      <c r="CK160" s="96">
        <f>CK$137*HLOOKUP($CG$150,$AY$150:$BA$161,ROWS(CK$150:CK160),0)/HLOOKUP($CG$150,$AY$150:$BA$161,3,0)</f>
        <v>0</v>
      </c>
      <c r="CL160" s="286">
        <f>CL$137*HLOOKUP($CG$150,$AY$150:$BA$161,ROWS(CL$150:CL160),0)/HLOOKUP($CG$150,$AY$150:$BA$161,3,0)</f>
        <v>0</v>
      </c>
      <c r="CM160" s="305"/>
      <c r="CN160" s="315"/>
      <c r="CO160" s="306"/>
      <c r="CP160" s="307"/>
      <c r="CQ160" s="789">
        <f t="shared" si="244"/>
        <v>0</v>
      </c>
      <c r="CR160" s="784">
        <f t="shared" si="245"/>
        <v>0</v>
      </c>
      <c r="CS160" s="97">
        <f t="shared" si="246"/>
        <v>0</v>
      </c>
      <c r="CT160" s="97">
        <f t="shared" si="247"/>
        <v>0</v>
      </c>
      <c r="CU160" s="97">
        <f t="shared" si="248"/>
        <v>0</v>
      </c>
      <c r="CV160" s="97">
        <f t="shared" si="249"/>
        <v>0</v>
      </c>
      <c r="CW160" s="97">
        <f t="shared" si="250"/>
        <v>0</v>
      </c>
      <c r="CX160" s="98">
        <f t="shared" si="251"/>
        <v>0</v>
      </c>
    </row>
    <row r="161" spans="1:102" ht="15.75" thickBot="1" x14ac:dyDescent="0.3">
      <c r="A161" s="100" t="s">
        <v>258</v>
      </c>
      <c r="B161" s="176"/>
      <c r="C161" s="101" t="s">
        <v>64</v>
      </c>
      <c r="D161" s="177"/>
      <c r="E161" s="178"/>
      <c r="F161" s="178"/>
      <c r="G161" s="178"/>
      <c r="H161" s="178"/>
      <c r="I161" s="178"/>
      <c r="J161" s="178"/>
      <c r="K161" s="178"/>
      <c r="L161" s="178"/>
      <c r="M161" s="660"/>
      <c r="N161" s="1070"/>
      <c r="O161" s="582"/>
      <c r="P161" s="577"/>
      <c r="Q161" s="577"/>
      <c r="R161" s="577"/>
      <c r="S161" s="577"/>
      <c r="T161" s="577"/>
      <c r="U161" s="577"/>
      <c r="V161" s="577"/>
      <c r="W161" s="577"/>
      <c r="X161" s="681"/>
      <c r="Y161" s="1090"/>
      <c r="Z161" s="179"/>
      <c r="AA161" s="180"/>
      <c r="AB161" s="180"/>
      <c r="AC161" s="180"/>
      <c r="AD161" s="180"/>
      <c r="AE161" s="180"/>
      <c r="AF161" s="180"/>
      <c r="AG161" s="180"/>
      <c r="AH161" s="180"/>
      <c r="AI161" s="615"/>
      <c r="AJ161" s="1073"/>
      <c r="AK161" s="19"/>
      <c r="AL161" s="19"/>
      <c r="AM161" s="19"/>
      <c r="AN161" s="179">
        <v>0</v>
      </c>
      <c r="AO161" s="180">
        <v>0</v>
      </c>
      <c r="AP161" s="180">
        <v>0</v>
      </c>
      <c r="AQ161" s="180">
        <v>0</v>
      </c>
      <c r="AR161" s="180">
        <v>0</v>
      </c>
      <c r="AS161" s="180">
        <v>0</v>
      </c>
      <c r="AT161" s="180">
        <v>0</v>
      </c>
      <c r="AU161" s="180">
        <v>0</v>
      </c>
      <c r="AV161" s="180">
        <v>0</v>
      </c>
      <c r="AW161" s="615">
        <v>0</v>
      </c>
      <c r="AX161" s="1083"/>
      <c r="AY161" s="112">
        <f t="shared" si="241"/>
        <v>0</v>
      </c>
      <c r="AZ161" s="113">
        <f t="shared" si="242"/>
        <v>0</v>
      </c>
      <c r="BA161" s="114">
        <f t="shared" si="243"/>
        <v>0</v>
      </c>
      <c r="BB161" s="19">
        <v>12</v>
      </c>
      <c r="CE161" s="422">
        <f>CE$137*HLOOKUP($CG$150,$AY$150:$BA$161,ROWS(CE$150:CE161),0)/HLOOKUP($CG$150,$AY$150:$BA$161,3,0)</f>
        <v>0</v>
      </c>
      <c r="CF161" s="115">
        <f>CF$137*HLOOKUP($CG$150,$AY$150:$BA$161,ROWS(CF$150:CF161),0)/HLOOKUP($CG$150,$AY$150:$BA$161,3,0)</f>
        <v>0</v>
      </c>
      <c r="CG161" s="522">
        <f>CG$137*HLOOKUP($CG$150,$AY$150:$BA$161,ROWS(CG$150:CG161),0)/HLOOKUP($CG$150,$AY$150:$BA$161,3,0)</f>
        <v>0</v>
      </c>
      <c r="CH161" s="422">
        <f>CH$137*HLOOKUP($CG$150,$AY$150:$BA$161,ROWS(CH$150:CH161),0)/HLOOKUP($CG$150,$AY$150:$BA$161,3,0)</f>
        <v>0</v>
      </c>
      <c r="CI161" s="115">
        <f>CI$137*HLOOKUP($CG$150,$AY$150:$BA$161,ROWS(CI$150:CI161),0)/HLOOKUP($CG$150,$AY$150:$BA$161,3,0)</f>
        <v>0</v>
      </c>
      <c r="CJ161" s="115">
        <f>CJ$137*HLOOKUP($CG$150,$AY$150:$BA$161,ROWS(CJ$150:CJ161),0)/HLOOKUP($CG$150,$AY$150:$BA$161,3,0)</f>
        <v>0</v>
      </c>
      <c r="CK161" s="115">
        <f>CK$137*HLOOKUP($CG$150,$AY$150:$BA$161,ROWS(CK$150:CK161),0)/HLOOKUP($CG$150,$AY$150:$BA$161,3,0)</f>
        <v>0</v>
      </c>
      <c r="CL161" s="287">
        <f>CL$137*HLOOKUP($CG$150,$AY$150:$BA$161,ROWS(CL$150:CL161),0)/HLOOKUP($CG$150,$AY$150:$BA$161,3,0)</f>
        <v>0</v>
      </c>
      <c r="CM161" s="308"/>
      <c r="CN161" s="316"/>
      <c r="CO161" s="309"/>
      <c r="CP161" s="310"/>
      <c r="CQ161" s="1114">
        <f t="shared" si="244"/>
        <v>0</v>
      </c>
      <c r="CR161" s="785">
        <f t="shared" si="245"/>
        <v>0</v>
      </c>
      <c r="CS161" s="117">
        <f t="shared" si="246"/>
        <v>0</v>
      </c>
      <c r="CT161" s="117">
        <f t="shared" si="247"/>
        <v>0</v>
      </c>
      <c r="CU161" s="117">
        <f t="shared" si="248"/>
        <v>0</v>
      </c>
      <c r="CV161" s="117">
        <f t="shared" si="249"/>
        <v>0</v>
      </c>
      <c r="CW161" s="117">
        <f t="shared" si="250"/>
        <v>0</v>
      </c>
      <c r="CX161" s="118">
        <f t="shared" si="251"/>
        <v>0</v>
      </c>
    </row>
    <row r="162" spans="1:102" ht="15.75" thickBot="1" x14ac:dyDescent="0.3">
      <c r="CQ162" s="791">
        <f>SUM(CQ151:CQ161)</f>
        <v>51472874.296345398</v>
      </c>
      <c r="CR162" s="1112">
        <f t="shared" ref="CR162:CX162" si="252">SUM(CR151:CR161)</f>
        <v>51472874.296345398</v>
      </c>
      <c r="CS162" s="184">
        <f t="shared" si="252"/>
        <v>51472874.296345398</v>
      </c>
      <c r="CT162" s="184">
        <f t="shared" si="252"/>
        <v>53498572.997207277</v>
      </c>
      <c r="CU162" s="184">
        <f t="shared" si="252"/>
        <v>53498572.997207277</v>
      </c>
      <c r="CV162" s="184">
        <f t="shared" si="252"/>
        <v>53498572.997207277</v>
      </c>
      <c r="CW162" s="184">
        <f t="shared" si="252"/>
        <v>53498572.997207277</v>
      </c>
      <c r="CX162" s="185">
        <f t="shared" si="252"/>
        <v>53498572.997207277</v>
      </c>
    </row>
    <row r="163" spans="1:102" x14ac:dyDescent="0.25">
      <c r="CG163" s="753" t="s">
        <v>792</v>
      </c>
      <c r="CH163" s="858">
        <v>0.93133031017718593</v>
      </c>
      <c r="CI163" s="858">
        <f>1-CH163</f>
        <v>6.8669689822814073E-2</v>
      </c>
    </row>
  </sheetData>
  <autoFilter ref="A6:CZ147" xr:uid="{16E069F4-6A58-4EE0-9CAB-3A36B38C8C07}"/>
  <phoneticPr fontId="17" type="noConversion"/>
  <dataValidations disablePrompts="1" count="2">
    <dataValidation type="list" allowBlank="1" showInputMessage="1" showErrorMessage="1" sqref="CM7:CM132 CC7:CC132" xr:uid="{5B2E2EBE-8A44-4F14-8DA4-FD27626A0DC8}">
      <formula1>$AY$6:$BA$6</formula1>
    </dataValidation>
    <dataValidation type="list" allowBlank="1" showInputMessage="1" showErrorMessage="1" sqref="CG150" xr:uid="{CE41AE30-3830-4EEA-8148-D057D7A2D78C}">
      <formula1>$AY$150:$BA$150</formula1>
    </dataValidation>
  </dataValidations>
  <pageMargins left="0.7" right="0.7" top="0.75" bottom="0.75" header="0.3" footer="0.3"/>
  <pageSetup paperSize="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3932D19A-4E9B-4375-870D-4F5A03CD5C92}">
          <x14:formula1>
            <xm:f>Lookup!$A$2:$A$4</xm:f>
          </x14:formula1>
          <xm:sqref>BC7:BC132</xm:sqref>
        </x14:dataValidation>
        <x14:dataValidation type="list" allowBlank="1" showInputMessage="1" showErrorMessage="1" xr:uid="{6236DB86-DD1E-403B-A074-3A1CC5F51C13}">
          <x14:formula1>
            <xm:f>Lookup!$B$2:$B$9</xm:f>
          </x14:formula1>
          <xm:sqref>BB7:BB132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08E13-6367-4A39-967D-55ADEF8291E3}">
  <sheetPr codeName="Sheet7"/>
  <dimension ref="A1:CZ147"/>
  <sheetViews>
    <sheetView zoomScaleNormal="100" workbookViewId="0">
      <pane xSplit="3" ySplit="7" topLeftCell="D91" activePane="bottomRight" state="frozen"/>
      <selection activeCell="N1" sqref="N1"/>
      <selection pane="topRight" activeCell="N1" sqref="N1"/>
      <selection pane="bottomLeft" activeCell="N1" sqref="N1"/>
      <selection pane="bottomRight" activeCell="O1" sqref="O1:Y1048576"/>
    </sheetView>
  </sheetViews>
  <sheetFormatPr defaultRowHeight="15" x14ac:dyDescent="0.25"/>
  <cols>
    <col min="1" max="1" width="5.7109375" bestFit="1" customWidth="1"/>
    <col min="3" max="3" width="37" customWidth="1"/>
    <col min="13" max="14" width="9.140625" style="280"/>
    <col min="15" max="23" width="0" hidden="1" customWidth="1"/>
    <col min="24" max="25" width="0" style="280" hidden="1" customWidth="1"/>
    <col min="35" max="36" width="9.140625" style="280"/>
    <col min="49" max="50" width="9.140625" style="280"/>
    <col min="57" max="64" width="9.140625" customWidth="1"/>
    <col min="95" max="96" width="13.7109375" style="778" customWidth="1"/>
    <col min="97" max="102" width="13.7109375" customWidth="1"/>
    <col min="103" max="103" width="43.42578125" bestFit="1" customWidth="1"/>
  </cols>
  <sheetData>
    <row r="1" spans="1:104" ht="15.75" thickBot="1" x14ac:dyDescent="0.3">
      <c r="A1" t="s">
        <v>455</v>
      </c>
      <c r="N1" s="280">
        <f>'Defect P2'!N1</f>
        <v>1.0233248425996433</v>
      </c>
      <c r="AT1" t="s">
        <v>279</v>
      </c>
      <c r="AW1" s="701"/>
      <c r="AX1" s="701"/>
    </row>
    <row r="2" spans="1:104" ht="15.75" thickBot="1" x14ac:dyDescent="0.3">
      <c r="O2" s="593" t="s">
        <v>583</v>
      </c>
      <c r="P2" s="594" t="str">
        <f>'Defect P1'!P2</f>
        <v>2024/25</v>
      </c>
      <c r="Q2" s="584"/>
      <c r="R2" s="584"/>
      <c r="S2" s="584"/>
      <c r="T2" s="584"/>
      <c r="U2" s="584"/>
      <c r="V2" s="584"/>
      <c r="W2" s="1100"/>
      <c r="X2" s="1100"/>
      <c r="Y2" s="1101"/>
    </row>
    <row r="3" spans="1:104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388"/>
      <c r="N3" s="388"/>
      <c r="O3" s="586" t="s">
        <v>584</v>
      </c>
      <c r="P3" s="587"/>
      <c r="Q3" s="587"/>
      <c r="R3" s="587"/>
      <c r="S3" s="587"/>
      <c r="T3" s="587"/>
      <c r="U3" s="587"/>
      <c r="V3" s="587"/>
      <c r="W3" s="1102"/>
      <c r="X3" s="1102"/>
      <c r="Y3" s="1103"/>
      <c r="AY3" s="607" t="str">
        <f>"Escalated to "&amp;P2</f>
        <v>Escalated to 2024/25</v>
      </c>
      <c r="AZ3" s="604"/>
      <c r="BA3" s="605" t="str">
        <f>'Defect P1'!BA3</f>
        <v>N</v>
      </c>
    </row>
    <row r="4" spans="1:104" ht="15.75" thickBot="1" x14ac:dyDescent="0.3">
      <c r="O4" s="589">
        <f>VLOOKUP(O$6,'Financial Escalation'!$C$31:$W$52,VLOOKUP($P$2,Lookup!$D$2:$E$19,2,0),0)</f>
        <v>1.3454563192065767</v>
      </c>
      <c r="P4" s="590">
        <f>VLOOKUP(P$6,'Financial Escalation'!$C$31:$W$52,VLOOKUP($P$2,Lookup!$D$2:$E$19,2,0),0)</f>
        <v>1.3254309228276884</v>
      </c>
      <c r="Q4" s="590">
        <f>VLOOKUP(Q$6,'Financial Escalation'!$C$31:$W$52,VLOOKUP($P$2,Lookup!$D$2:$E$19,2,0),0)</f>
        <v>1.3120057477345903</v>
      </c>
      <c r="R4" s="590">
        <f>VLOOKUP(R$6,'Financial Escalation'!$C$31:$W$52,VLOOKUP($P$2,Lookup!$D$2:$E$19,2,0),0)</f>
        <v>1.2871167498100859</v>
      </c>
      <c r="S4" s="590">
        <f>VLOOKUP(S$6,'Financial Escalation'!$C$31:$W$52,VLOOKUP($P$2,Lookup!$D$2:$E$19,2,0),0)</f>
        <v>1.2609187982652788</v>
      </c>
      <c r="T4" s="590">
        <f>VLOOKUP(T$6,'Financial Escalation'!$C$31:$W$52,VLOOKUP($P$2,Lookup!$D$2:$E$19,2,0),0)</f>
        <v>1.2411482944597256</v>
      </c>
      <c r="U4" s="590">
        <f>VLOOKUP(U$6,'Financial Escalation'!$C$31:$W$52,VLOOKUP($P$2,Lookup!$D$2:$E$19,2,0),0)</f>
        <v>1.2454879738109834</v>
      </c>
      <c r="V4" s="590">
        <f>VLOOKUP(V$6,'Financial Escalation'!$C$31:$W$52,VLOOKUP($P$2,Lookup!$D$2:$E$19,2,0),0)</f>
        <v>1.199358789595762</v>
      </c>
      <c r="W4" s="1104">
        <f>VLOOKUP(W$6,'Financial Escalation'!$C$31:$W$52,VLOOKUP($P$2,Lookup!$D$2:$E$19,2,0),0)</f>
        <v>1.129927233972851</v>
      </c>
      <c r="X4" s="1104">
        <f>VLOOKUP(X$6,'Financial Escalation'!$C$31:$W$52,VLOOKUP($P$2,Lookup!$D$2:$E$19,2,0),0)</f>
        <v>1.0634609260920951</v>
      </c>
      <c r="Y4" s="1105">
        <f>VLOOKUP(Y$6,'Financial Escalation'!$C$31:$W$52,VLOOKUP($P$2,Lookup!$D$2:$E$19,2,0),0)</f>
        <v>1.027498479316034</v>
      </c>
      <c r="AK4" s="220" t="s">
        <v>427</v>
      </c>
      <c r="AL4" s="221"/>
      <c r="AM4" s="222" t="s">
        <v>588</v>
      </c>
      <c r="AY4" s="595" t="s">
        <v>427</v>
      </c>
      <c r="AZ4" s="596"/>
      <c r="BA4" s="601" t="s">
        <v>588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</row>
    <row r="5" spans="1:104" s="186" customFormat="1" ht="15.75" thickBot="1" x14ac:dyDescent="0.3">
      <c r="A5" s="27" t="s">
        <v>281</v>
      </c>
      <c r="B5" s="27" t="s">
        <v>282</v>
      </c>
      <c r="C5" s="28" t="s">
        <v>419</v>
      </c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35"/>
      <c r="N5" s="335"/>
      <c r="O5" s="552" t="s">
        <v>582</v>
      </c>
      <c r="P5" s="553"/>
      <c r="Q5" s="553"/>
      <c r="R5" s="553"/>
      <c r="S5" s="553"/>
      <c r="T5" s="553"/>
      <c r="U5" s="553"/>
      <c r="V5" s="553"/>
      <c r="W5" s="554"/>
      <c r="X5" s="554"/>
      <c r="Y5" s="554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662"/>
      <c r="AJ5" s="662"/>
      <c r="AK5" s="33" t="s">
        <v>586</v>
      </c>
      <c r="AL5" s="34"/>
      <c r="AM5" s="35"/>
      <c r="AN5" s="36" t="s">
        <v>463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259" t="s">
        <v>429</v>
      </c>
      <c r="BC5" s="260"/>
      <c r="BD5" s="260"/>
      <c r="BE5" s="242" t="s">
        <v>439</v>
      </c>
      <c r="BF5" s="226"/>
      <c r="BG5" s="226"/>
      <c r="BH5" s="226"/>
      <c r="BI5" s="226"/>
      <c r="BJ5" s="226"/>
      <c r="BK5" s="226"/>
      <c r="BL5" s="243"/>
      <c r="BM5" s="226" t="s">
        <v>440</v>
      </c>
      <c r="BN5" s="226"/>
      <c r="BO5" s="226"/>
      <c r="BP5" s="226"/>
      <c r="BQ5" s="226"/>
      <c r="BR5" s="226"/>
      <c r="BS5" s="226"/>
      <c r="BT5" s="243"/>
      <c r="BU5" s="242" t="s">
        <v>430</v>
      </c>
      <c r="BV5" s="226"/>
      <c r="BW5" s="226"/>
      <c r="BX5" s="226"/>
      <c r="BY5" s="226"/>
      <c r="BZ5" s="226"/>
      <c r="CA5" s="226"/>
      <c r="CB5" s="243"/>
      <c r="CC5" s="376" t="s">
        <v>442</v>
      </c>
      <c r="CD5" s="377"/>
      <c r="CE5" s="189" t="s">
        <v>441</v>
      </c>
      <c r="CF5" s="189"/>
      <c r="CG5" s="189"/>
      <c r="CH5" s="189"/>
      <c r="CI5" s="189"/>
      <c r="CJ5" s="189"/>
      <c r="CK5" s="189"/>
      <c r="CL5" s="283"/>
      <c r="CM5" s="412" t="s">
        <v>484</v>
      </c>
      <c r="CN5" s="296"/>
      <c r="CO5" s="296"/>
      <c r="CP5" s="297"/>
      <c r="CQ5" s="1113"/>
      <c r="CR5" s="781"/>
      <c r="CS5" s="191"/>
      <c r="CT5" s="191"/>
      <c r="CU5" s="191"/>
      <c r="CV5" s="191"/>
      <c r="CW5" s="191"/>
      <c r="CX5" s="192"/>
      <c r="CY5" s="389" t="s">
        <v>464</v>
      </c>
    </row>
    <row r="6" spans="1:104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657" t="s">
        <v>14</v>
      </c>
      <c r="N6" s="1063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673" t="s">
        <v>13</v>
      </c>
      <c r="X6" s="673" t="s">
        <v>14</v>
      </c>
      <c r="Y6" s="1085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1092" t="s">
        <v>14</v>
      </c>
      <c r="AJ6" s="663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261" t="s">
        <v>431</v>
      </c>
      <c r="BC6" s="262" t="s">
        <v>438</v>
      </c>
      <c r="BD6" s="263" t="s">
        <v>432</v>
      </c>
      <c r="BE6" s="254" t="s">
        <v>14</v>
      </c>
      <c r="BF6" s="227" t="s">
        <v>15</v>
      </c>
      <c r="BG6" s="227" t="s">
        <v>280</v>
      </c>
      <c r="BH6" s="227" t="s">
        <v>422</v>
      </c>
      <c r="BI6" s="227" t="s">
        <v>423</v>
      </c>
      <c r="BJ6" s="227" t="s">
        <v>424</v>
      </c>
      <c r="BK6" s="227" t="s">
        <v>425</v>
      </c>
      <c r="BL6" s="245" t="s">
        <v>426</v>
      </c>
      <c r="BM6" s="254" t="s">
        <v>14</v>
      </c>
      <c r="BN6" s="227" t="s">
        <v>15</v>
      </c>
      <c r="BO6" s="227" t="s">
        <v>280</v>
      </c>
      <c r="BP6" s="227" t="s">
        <v>422</v>
      </c>
      <c r="BQ6" s="227" t="s">
        <v>423</v>
      </c>
      <c r="BR6" s="227" t="s">
        <v>424</v>
      </c>
      <c r="BS6" s="227" t="s">
        <v>425</v>
      </c>
      <c r="BT6" s="245" t="s">
        <v>426</v>
      </c>
      <c r="BU6" s="244" t="s">
        <v>14</v>
      </c>
      <c r="BV6" s="227" t="s">
        <v>15</v>
      </c>
      <c r="BW6" s="227" t="s">
        <v>280</v>
      </c>
      <c r="BX6" s="227" t="s">
        <v>422</v>
      </c>
      <c r="BY6" s="227" t="s">
        <v>423</v>
      </c>
      <c r="BZ6" s="227" t="s">
        <v>424</v>
      </c>
      <c r="CA6" s="227" t="s">
        <v>425</v>
      </c>
      <c r="CB6" s="245" t="s">
        <v>426</v>
      </c>
      <c r="CC6" s="378"/>
      <c r="CD6" s="379"/>
      <c r="CE6" s="232" t="s">
        <v>14</v>
      </c>
      <c r="CF6" s="59" t="s">
        <v>15</v>
      </c>
      <c r="CG6" s="59" t="s">
        <v>280</v>
      </c>
      <c r="CH6" s="59" t="s">
        <v>422</v>
      </c>
      <c r="CI6" s="59" t="s">
        <v>423</v>
      </c>
      <c r="CJ6" s="59" t="s">
        <v>424</v>
      </c>
      <c r="CK6" s="59" t="s">
        <v>425</v>
      </c>
      <c r="CL6" s="284" t="s">
        <v>426</v>
      </c>
      <c r="CM6" s="298" t="s">
        <v>444</v>
      </c>
      <c r="CN6" s="301" t="s">
        <v>445</v>
      </c>
      <c r="CO6" s="299" t="s">
        <v>443</v>
      </c>
      <c r="CP6" s="300" t="s">
        <v>295</v>
      </c>
      <c r="CQ6" s="1109" t="s">
        <v>14</v>
      </c>
      <c r="CR6" s="1109" t="s">
        <v>15</v>
      </c>
      <c r="CS6" s="61" t="s">
        <v>280</v>
      </c>
      <c r="CT6" s="61" t="s">
        <v>422</v>
      </c>
      <c r="CU6" s="61" t="s">
        <v>423</v>
      </c>
      <c r="CV6" s="61" t="s">
        <v>424</v>
      </c>
      <c r="CW6" s="61" t="s">
        <v>425</v>
      </c>
      <c r="CX6" s="62" t="s">
        <v>426</v>
      </c>
      <c r="CY6" s="390"/>
    </row>
    <row r="7" spans="1:104" x14ac:dyDescent="0.25">
      <c r="A7" s="63" t="s">
        <v>296</v>
      </c>
      <c r="B7" s="64" t="s">
        <v>22</v>
      </c>
      <c r="C7" s="65" t="s">
        <v>24</v>
      </c>
      <c r="D7" s="66">
        <v>0</v>
      </c>
      <c r="E7" s="67">
        <v>3060.277779812589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53">
        <f>'2022-23 Input'!G7</f>
        <v>0</v>
      </c>
      <c r="N7" s="1064">
        <v>0</v>
      </c>
      <c r="O7" s="557">
        <f>D7*O$4</f>
        <v>0</v>
      </c>
      <c r="P7" s="558">
        <f t="shared" ref="P7:P70" si="0">E7*P$4</f>
        <v>4056.1868018060691</v>
      </c>
      <c r="Q7" s="558">
        <f t="shared" ref="Q7:Q70" si="1">F7*Q$4</f>
        <v>0</v>
      </c>
      <c r="R7" s="558">
        <f t="shared" ref="R7:R70" si="2">G7*R$4</f>
        <v>0</v>
      </c>
      <c r="S7" s="558">
        <f t="shared" ref="S7:S70" si="3">H7*S$4</f>
        <v>0</v>
      </c>
      <c r="T7" s="558">
        <f t="shared" ref="T7:T70" si="4">I7*T$4</f>
        <v>0</v>
      </c>
      <c r="U7" s="558">
        <f t="shared" ref="U7:U70" si="5">J7*U$4</f>
        <v>0</v>
      </c>
      <c r="V7" s="558">
        <f t="shared" ref="V7:V70" si="6">K7*V$4</f>
        <v>0</v>
      </c>
      <c r="W7" s="674">
        <f t="shared" ref="W7:W70" si="7">L7*W$4</f>
        <v>0</v>
      </c>
      <c r="X7" s="674">
        <f t="shared" ref="X7:Y70" si="8">M7*X$4</f>
        <v>0</v>
      </c>
      <c r="Y7" s="674">
        <f t="shared" si="8"/>
        <v>0</v>
      </c>
      <c r="Z7" s="68">
        <v>0</v>
      </c>
      <c r="AA7" s="69">
        <v>3</v>
      </c>
      <c r="AB7" s="69">
        <v>0</v>
      </c>
      <c r="AC7" s="69">
        <v>0</v>
      </c>
      <c r="AD7" s="69">
        <v>0</v>
      </c>
      <c r="AE7" s="69">
        <v>0</v>
      </c>
      <c r="AF7" s="69">
        <v>0</v>
      </c>
      <c r="AG7" s="69">
        <v>0</v>
      </c>
      <c r="AH7" s="69">
        <v>0</v>
      </c>
      <c r="AI7" s="1093">
        <f>'2022-23 Input'!N7</f>
        <v>0</v>
      </c>
      <c r="AJ7" s="664">
        <v>0</v>
      </c>
      <c r="AK7" s="70">
        <f t="shared" ref="AK7:AK38" si="9">IFERROR(IF($AM$4="N",SUM(AD7:AH7)/5,SUM(AE7:AI7)/5),"")</f>
        <v>0</v>
      </c>
      <c r="AL7" s="71">
        <f t="shared" ref="AL7:AL38" si="10">IFERROR(IF($AM$4="N",SUM(AF7:AH7)/3,SUM(AG7:AI7)/3),"")</f>
        <v>0</v>
      </c>
      <c r="AM7" s="72">
        <f t="shared" ref="AM7:AM38" si="11">IFERROR(IF($AM$4="N",AH7,AI7),"")</f>
        <v>0</v>
      </c>
      <c r="AN7" s="73" t="str">
        <f t="shared" ref="AN7:AN38" si="12">IFERROR(D7/Z7,"")</f>
        <v/>
      </c>
      <c r="AO7" s="74">
        <f t="shared" ref="AO7:AO38" si="13">IFERROR(E7/AA7,"")</f>
        <v>1020.0925932708629</v>
      </c>
      <c r="AP7" s="74" t="str">
        <f t="shared" ref="AP7:AP38" si="14">IFERROR(F7/AB7,"")</f>
        <v/>
      </c>
      <c r="AQ7" s="74" t="str">
        <f t="shared" ref="AQ7:AQ38" si="15">IFERROR(G7/AC7,"")</f>
        <v/>
      </c>
      <c r="AR7" s="74" t="str">
        <f t="shared" ref="AR7:AR38" si="16">IFERROR(H7/AD7,"")</f>
        <v/>
      </c>
      <c r="AS7" s="74" t="str">
        <f t="shared" ref="AS7:AS38" si="17">IFERROR(I7/AE7,"")</f>
        <v/>
      </c>
      <c r="AT7" s="74" t="str">
        <f t="shared" ref="AT7:AT38" si="18">IFERROR(J7/AF7,"")</f>
        <v/>
      </c>
      <c r="AU7" s="74" t="str">
        <f t="shared" ref="AU7:AU38" si="19">IFERROR(K7/AG7,"")</f>
        <v/>
      </c>
      <c r="AV7" s="74" t="str">
        <f t="shared" ref="AV7:AX22" si="20">IFERROR(L7/AH7,"")</f>
        <v/>
      </c>
      <c r="AW7" s="74" t="str">
        <f t="shared" si="20"/>
        <v/>
      </c>
      <c r="AX7" s="74" t="str">
        <f t="shared" si="20"/>
        <v/>
      </c>
      <c r="AY7" s="75" t="str">
        <f t="shared" ref="AY7:AY38" si="21">IFERROR(IF($BA$3="N",
IF($BA$4="N",SUM(H7:L7)/SUM(AD7:AH7),SUM(I7:M7)/SUM(AE7:AI7)),
IF($BA$4="N",SUM(S7:W7)/SUM(AD7:AH7),SUM(T7:X7)/SUM(AE7:AI7))),"")</f>
        <v/>
      </c>
      <c r="AZ7" s="76" t="str">
        <f t="shared" ref="AZ7:AZ38" si="22">IFERROR(IF($BA$3="N",
IF($BA$4="N",SUM(J7:L7)/SUM(AF7:AH7),SUM(K7:M7)/SUM(AG7:AI7)),
IF($BA$4="N",SUM(U7:W7)/SUM(AF7:AH7),SUM(V7:X7)/SUM(AG7:AI7))),"")</f>
        <v/>
      </c>
      <c r="BA7" s="77" t="str">
        <f t="shared" ref="BA7:BA38" si="23">IFERROR(IF($BA$3="N",
IF($BA$4="N",L7/AH7,M7/AI7),
IF($BA$4="N",W7/AH7,X7/AI7)),"")</f>
        <v/>
      </c>
      <c r="BB7" s="246" t="s">
        <v>422</v>
      </c>
      <c r="BC7" s="228" t="s">
        <v>433</v>
      </c>
      <c r="BD7" s="247">
        <v>0</v>
      </c>
      <c r="BE7" s="264">
        <f>IF(BE$6=$BB7,1,0
)</f>
        <v>0</v>
      </c>
      <c r="BF7" s="265">
        <f t="shared" ref="BF7:BL7" si="24">IF(BF$6=$BB7,1,
IF(BE7&lt;&gt;0,BE7+1,0
))</f>
        <v>0</v>
      </c>
      <c r="BG7" s="265">
        <f t="shared" si="24"/>
        <v>0</v>
      </c>
      <c r="BH7" s="265">
        <f t="shared" si="24"/>
        <v>1</v>
      </c>
      <c r="BI7" s="265">
        <f t="shared" si="24"/>
        <v>2</v>
      </c>
      <c r="BJ7" s="265">
        <f t="shared" si="24"/>
        <v>3</v>
      </c>
      <c r="BK7" s="265">
        <f t="shared" si="24"/>
        <v>4</v>
      </c>
      <c r="BL7" s="266">
        <f t="shared" si="24"/>
        <v>5</v>
      </c>
      <c r="BM7" s="255">
        <f>IF($BC7=Lookup!$A$2,$BD7*ROUNDUP(BE7/10,0)+1,
IF($BC7=Lookup!$A$3,($BD7+1)^BD7,
IF($BC7=Lookup!$A$4,BE7*$BD7+1,"Error")))</f>
        <v>1</v>
      </c>
      <c r="BN7" s="228">
        <f>IF($BC7=Lookup!$A$2,$BD7*ROUNDUP(BF7/10,0)+1,
IF($BC7=Lookup!$A$3,($BD7+1)^BE7,
IF($BC7=Lookup!$A$4,BF7*$BD7+1,"Error")))</f>
        <v>1</v>
      </c>
      <c r="BO7" s="228">
        <f>IF($BC7=Lookup!$A$2,$BD7*ROUNDUP(BG7/10,0)+1,
IF($BC7=Lookup!$A$3,($BD7+1)^BF7,
IF($BC7=Lookup!$A$4,BG7*$BD7+1,"Error")))</f>
        <v>1</v>
      </c>
      <c r="BP7" s="228">
        <f>IF($BC7=Lookup!$A$2,$BD7*ROUNDUP(BH7/10,0)+1,
IF($BC7=Lookup!$A$3,($BD7+1)^BG7,
IF($BC7=Lookup!$A$4,BH7*$BD7+1,"Error")))</f>
        <v>1</v>
      </c>
      <c r="BQ7" s="228">
        <f>IF($BC7=Lookup!$A$2,$BD7*ROUNDUP(BI7/10,0)+1,
IF($BC7=Lookup!$A$3,($BD7+1)^BH7,
IF($BC7=Lookup!$A$4,BI7*$BD7+1,"Error")))</f>
        <v>1</v>
      </c>
      <c r="BR7" s="228">
        <f>IF($BC7=Lookup!$A$2,$BD7*ROUNDUP(BJ7/10,0)+1,
IF($BC7=Lookup!$A$3,($BD7+1)^BI7,
IF($BC7=Lookup!$A$4,BJ7*$BD7+1,"Error")))</f>
        <v>1</v>
      </c>
      <c r="BS7" s="228">
        <f>IF($BC7=Lookup!$A$2,$BD7*ROUNDUP(BK7/10,0)+1,
IF($BC7=Lookup!$A$3,($BD7+1)^BJ7,
IF($BC7=Lookup!$A$4,BK7*$BD7+1,"Error")))</f>
        <v>1</v>
      </c>
      <c r="BT7" s="247">
        <f>IF($BC7=Lookup!$A$2,$BD7*ROUNDUP(BL7/10,0)+1,
IF($BC7=Lookup!$A$3,($BD7+1)^BK7,
IF($BC7=Lookup!$A$4,BL7*$BD7+1,"Error")))</f>
        <v>1</v>
      </c>
      <c r="BU7" s="318"/>
      <c r="BV7" s="319"/>
      <c r="BW7" s="319"/>
      <c r="BX7" s="319"/>
      <c r="BY7" s="319"/>
      <c r="BZ7" s="319"/>
      <c r="CA7" s="319"/>
      <c r="CB7" s="276"/>
      <c r="CC7" s="380" t="s">
        <v>293</v>
      </c>
      <c r="CD7" s="381">
        <f>HLOOKUP($CC7,$AK$6:$AM$132,ROWS(CC$6:CC7),0)</f>
        <v>0</v>
      </c>
      <c r="CE7" s="233">
        <f>IFERROR(IF(BU7&lt;&gt;"",BU7,BM7*$CD7),"")</f>
        <v>0</v>
      </c>
      <c r="CF7" s="78">
        <f t="shared" ref="CF7:CL43" si="25">IFERROR(IF(BV7&lt;&gt;"",BV7,BN7*$CD7),"")</f>
        <v>0</v>
      </c>
      <c r="CG7" s="78">
        <f t="shared" si="25"/>
        <v>0</v>
      </c>
      <c r="CH7" s="78">
        <f t="shared" si="25"/>
        <v>0</v>
      </c>
      <c r="CI7" s="78">
        <f t="shared" si="25"/>
        <v>0</v>
      </c>
      <c r="CJ7" s="78">
        <f t="shared" si="25"/>
        <v>0</v>
      </c>
      <c r="CK7" s="78">
        <f t="shared" si="25"/>
        <v>0</v>
      </c>
      <c r="CL7" s="285">
        <f t="shared" si="25"/>
        <v>0</v>
      </c>
      <c r="CM7" s="302" t="s">
        <v>293</v>
      </c>
      <c r="CN7" s="314">
        <v>0.05</v>
      </c>
      <c r="CO7" s="303"/>
      <c r="CP7" s="304" t="str">
        <f>IF($CO7&lt;&gt;"",$CO7,HLOOKUP($CM7,$AY$6:$BA$132,ROWS(CO$6:CO7),0))</f>
        <v/>
      </c>
      <c r="CQ7" s="783" t="str">
        <f t="shared" ref="CQ7:CX38" si="26">IFERROR(CE7*$CP7,"")</f>
        <v/>
      </c>
      <c r="CR7" s="783" t="str">
        <f t="shared" si="26"/>
        <v/>
      </c>
      <c r="CS7" s="79" t="str">
        <f t="shared" si="26"/>
        <v/>
      </c>
      <c r="CT7" s="79" t="str">
        <f t="shared" si="26"/>
        <v/>
      </c>
      <c r="CU7" s="79" t="str">
        <f t="shared" si="26"/>
        <v/>
      </c>
      <c r="CV7" s="79" t="str">
        <f t="shared" si="26"/>
        <v/>
      </c>
      <c r="CW7" s="79" t="str">
        <f t="shared" si="26"/>
        <v/>
      </c>
      <c r="CX7" s="80" t="str">
        <f t="shared" si="26"/>
        <v/>
      </c>
      <c r="CY7" s="391"/>
      <c r="CZ7" s="187"/>
    </row>
    <row r="8" spans="1:104" x14ac:dyDescent="0.25">
      <c r="A8" s="81" t="s">
        <v>27</v>
      </c>
      <c r="B8" s="82" t="s">
        <v>25</v>
      </c>
      <c r="C8" s="83" t="s">
        <v>297</v>
      </c>
      <c r="D8" s="84">
        <v>42186.865135476801</v>
      </c>
      <c r="E8" s="85">
        <v>32033.553460141604</v>
      </c>
      <c r="F8" s="85">
        <v>45409.838534838236</v>
      </c>
      <c r="G8" s="85">
        <v>68543.04533842337</v>
      </c>
      <c r="H8" s="85">
        <v>45779.696837039395</v>
      </c>
      <c r="I8" s="85">
        <v>107885.40745452995</v>
      </c>
      <c r="J8" s="85">
        <v>8188.4494630450017</v>
      </c>
      <c r="K8" s="85">
        <v>268218.67285239499</v>
      </c>
      <c r="L8" s="85">
        <v>18104.615048513999</v>
      </c>
      <c r="M8" s="654">
        <f>'2022-23 Input'!G8</f>
        <v>6427.0352768940002</v>
      </c>
      <c r="N8" s="1065">
        <v>7141.887205405993</v>
      </c>
      <c r="O8" s="560">
        <f t="shared" ref="O8:O71" si="27">D8*O$4</f>
        <v>56760.584284042874</v>
      </c>
      <c r="P8" s="561">
        <f t="shared" si="0"/>
        <v>42458.262324125579</v>
      </c>
      <c r="Q8" s="561">
        <f t="shared" si="1"/>
        <v>59577.969161407455</v>
      </c>
      <c r="R8" s="561">
        <f t="shared" si="2"/>
        <v>88222.901738076849</v>
      </c>
      <c r="S8" s="561">
        <f t="shared" si="3"/>
        <v>57724.480320708499</v>
      </c>
      <c r="T8" s="561">
        <f t="shared" si="4"/>
        <v>133901.78945928242</v>
      </c>
      <c r="U8" s="561">
        <f t="shared" si="5"/>
        <v>10198.615330381554</v>
      </c>
      <c r="V8" s="561">
        <f t="shared" si="6"/>
        <v>321690.42281923012</v>
      </c>
      <c r="W8" s="675">
        <f t="shared" si="7"/>
        <v>20456.897603910675</v>
      </c>
      <c r="X8" s="675">
        <f t="shared" si="8"/>
        <v>6834.9008875922582</v>
      </c>
      <c r="Y8" s="675">
        <f t="shared" si="8"/>
        <v>7338.2782430012976</v>
      </c>
      <c r="Z8" s="86">
        <v>26</v>
      </c>
      <c r="AA8" s="87">
        <v>21</v>
      </c>
      <c r="AB8" s="87">
        <v>20.200000000000003</v>
      </c>
      <c r="AC8" s="87">
        <v>30.6</v>
      </c>
      <c r="AD8" s="87">
        <v>20.399999999999999</v>
      </c>
      <c r="AE8" s="87">
        <v>25</v>
      </c>
      <c r="AF8" s="87">
        <v>4</v>
      </c>
      <c r="AG8" s="87">
        <v>5</v>
      </c>
      <c r="AH8" s="87">
        <v>14</v>
      </c>
      <c r="AI8" s="1094">
        <f>'2022-23 Input'!N8</f>
        <v>2</v>
      </c>
      <c r="AJ8" s="665">
        <v>-1</v>
      </c>
      <c r="AK8" s="88">
        <f t="shared" si="9"/>
        <v>10</v>
      </c>
      <c r="AL8" s="89">
        <f t="shared" si="10"/>
        <v>7</v>
      </c>
      <c r="AM8" s="90">
        <f t="shared" si="11"/>
        <v>2</v>
      </c>
      <c r="AN8" s="91">
        <f t="shared" si="12"/>
        <v>1622.5717359798768</v>
      </c>
      <c r="AO8" s="92">
        <f t="shared" si="13"/>
        <v>1525.4073076257907</v>
      </c>
      <c r="AP8" s="92">
        <f t="shared" si="14"/>
        <v>2248.011808655358</v>
      </c>
      <c r="AQ8" s="92">
        <f t="shared" si="15"/>
        <v>2239.9688019092605</v>
      </c>
      <c r="AR8" s="92">
        <f t="shared" si="16"/>
        <v>2244.1027861293824</v>
      </c>
      <c r="AS8" s="92">
        <f t="shared" si="17"/>
        <v>4315.4162981811978</v>
      </c>
      <c r="AT8" s="92">
        <f t="shared" si="18"/>
        <v>2047.1123657612504</v>
      </c>
      <c r="AU8" s="92">
        <f t="shared" si="19"/>
        <v>53643.734570478999</v>
      </c>
      <c r="AV8" s="92">
        <f t="shared" si="20"/>
        <v>1293.1867891795714</v>
      </c>
      <c r="AW8" s="92">
        <f t="shared" si="20"/>
        <v>3213.5176384470001</v>
      </c>
      <c r="AX8" s="92">
        <f t="shared" si="20"/>
        <v>-7141.887205405993</v>
      </c>
      <c r="AY8" s="93">
        <f t="shared" si="21"/>
        <v>8176.4836019075583</v>
      </c>
      <c r="AZ8" s="94">
        <f t="shared" si="22"/>
        <v>13940.491579895379</v>
      </c>
      <c r="BA8" s="95">
        <f t="shared" si="23"/>
        <v>3213.5176384470001</v>
      </c>
      <c r="BB8" s="248" t="s">
        <v>422</v>
      </c>
      <c r="BC8" s="229" t="s">
        <v>433</v>
      </c>
      <c r="BD8" s="249">
        <v>0</v>
      </c>
      <c r="BE8" s="267">
        <f t="shared" ref="BE8:BE71" si="28">IF(BE$6=$BB8,1,0
)</f>
        <v>0</v>
      </c>
      <c r="BF8" s="268">
        <f t="shared" ref="BF8:BL8" si="29">IF(BF$6=$BB8,1,
IF(BE8&lt;&gt;0,BE8+1,0
))</f>
        <v>0</v>
      </c>
      <c r="BG8" s="268">
        <f t="shared" si="29"/>
        <v>0</v>
      </c>
      <c r="BH8" s="268">
        <f t="shared" si="29"/>
        <v>1</v>
      </c>
      <c r="BI8" s="268">
        <f t="shared" si="29"/>
        <v>2</v>
      </c>
      <c r="BJ8" s="268">
        <f t="shared" si="29"/>
        <v>3</v>
      </c>
      <c r="BK8" s="268">
        <f t="shared" si="29"/>
        <v>4</v>
      </c>
      <c r="BL8" s="269">
        <f t="shared" si="29"/>
        <v>5</v>
      </c>
      <c r="BM8" s="256">
        <f>IF($BC8=Lookup!$A$2,$BD8*ROUNDUP(BE8/10,0)+1,
IF($BC8=Lookup!$A$3,($BD8+1)^BD8,
IF($BC8=Lookup!$A$4,BE8*$BD8+1,"Error")))</f>
        <v>1</v>
      </c>
      <c r="BN8" s="229">
        <f>IF($BC8=Lookup!$A$2,$BD8*ROUNDUP(BF8/10,0)+1,
IF($BC8=Lookup!$A$3,($BD8+1)^BE8,
IF($BC8=Lookup!$A$4,BF8*$BD8+1,"Error")))</f>
        <v>1</v>
      </c>
      <c r="BO8" s="229">
        <f>IF($BC8=Lookup!$A$2,$BD8*ROUNDUP(BG8/10,0)+1,
IF($BC8=Lookup!$A$3,($BD8+1)^BF8,
IF($BC8=Lookup!$A$4,BG8*$BD8+1,"Error")))</f>
        <v>1</v>
      </c>
      <c r="BP8" s="229">
        <f>IF($BC8=Lookup!$A$2,$BD8*ROUNDUP(BH8/10,0)+1,
IF($BC8=Lookup!$A$3,($BD8+1)^BG8,
IF($BC8=Lookup!$A$4,BH8*$BD8+1,"Error")))</f>
        <v>1</v>
      </c>
      <c r="BQ8" s="229">
        <f>IF($BC8=Lookup!$A$2,$BD8*ROUNDUP(BI8/10,0)+1,
IF($BC8=Lookup!$A$3,($BD8+1)^BH8,
IF($BC8=Lookup!$A$4,BI8*$BD8+1,"Error")))</f>
        <v>1</v>
      </c>
      <c r="BR8" s="229">
        <f>IF($BC8=Lookup!$A$2,$BD8*ROUNDUP(BJ8/10,0)+1,
IF($BC8=Lookup!$A$3,($BD8+1)^BI8,
IF($BC8=Lookup!$A$4,BJ8*$BD8+1,"Error")))</f>
        <v>1</v>
      </c>
      <c r="BS8" s="229">
        <f>IF($BC8=Lookup!$A$2,$BD8*ROUNDUP(BK8/10,0)+1,
IF($BC8=Lookup!$A$3,($BD8+1)^BJ8,
IF($BC8=Lookup!$A$4,BK8*$BD8+1,"Error")))</f>
        <v>1</v>
      </c>
      <c r="BT8" s="249">
        <f>IF($BC8=Lookup!$A$2,$BD8*ROUNDUP(BL8/10,0)+1,
IF($BC8=Lookup!$A$3,($BD8+1)^BK8,
IF($BC8=Lookup!$A$4,BL8*$BD8+1,"Error")))</f>
        <v>1</v>
      </c>
      <c r="BU8" s="320"/>
      <c r="BV8" s="321"/>
      <c r="BW8" s="321"/>
      <c r="BX8" s="321"/>
      <c r="BY8" s="321"/>
      <c r="BZ8" s="321"/>
      <c r="CA8" s="321"/>
      <c r="CB8" s="277"/>
      <c r="CC8" s="382" t="s">
        <v>293</v>
      </c>
      <c r="CD8" s="383">
        <f>HLOOKUP($CC8,$AK$6:$AM$132,ROWS(CC$6:CC8),0)</f>
        <v>7</v>
      </c>
      <c r="CE8" s="234">
        <f t="shared" ref="CE8:CH71" si="30">IFERROR(IF(BU8&lt;&gt;"",BU8,BM8*$CD8),"")</f>
        <v>7</v>
      </c>
      <c r="CF8" s="96">
        <f t="shared" si="25"/>
        <v>7</v>
      </c>
      <c r="CG8" s="96">
        <f t="shared" si="25"/>
        <v>7</v>
      </c>
      <c r="CH8" s="96">
        <f t="shared" si="25"/>
        <v>7</v>
      </c>
      <c r="CI8" s="96">
        <f t="shared" si="25"/>
        <v>7</v>
      </c>
      <c r="CJ8" s="96">
        <f t="shared" si="25"/>
        <v>7</v>
      </c>
      <c r="CK8" s="96">
        <f t="shared" si="25"/>
        <v>7</v>
      </c>
      <c r="CL8" s="286">
        <f t="shared" si="25"/>
        <v>7</v>
      </c>
      <c r="CM8" s="305" t="s">
        <v>293</v>
      </c>
      <c r="CN8" s="315">
        <v>0.05</v>
      </c>
      <c r="CO8" s="306">
        <f>'Defect P1'!CP8*2</f>
        <v>14290.25182451</v>
      </c>
      <c r="CP8" s="307">
        <f>IF($CO8&lt;&gt;"",$CO8,HLOOKUP($CM8,$AY$6:$BA$132,ROWS(CO$6:CO8),0))</f>
        <v>14290.25182451</v>
      </c>
      <c r="CQ8" s="784">
        <f t="shared" si="26"/>
        <v>100031.76277157001</v>
      </c>
      <c r="CR8" s="784">
        <f t="shared" si="26"/>
        <v>100031.76277157001</v>
      </c>
      <c r="CS8" s="97">
        <f t="shared" si="26"/>
        <v>100031.76277157001</v>
      </c>
      <c r="CT8" s="97">
        <f t="shared" si="26"/>
        <v>100031.76277157001</v>
      </c>
      <c r="CU8" s="97">
        <f t="shared" si="26"/>
        <v>100031.76277157001</v>
      </c>
      <c r="CV8" s="97">
        <f t="shared" si="26"/>
        <v>100031.76277157001</v>
      </c>
      <c r="CW8" s="97">
        <f t="shared" si="26"/>
        <v>100031.76277157001</v>
      </c>
      <c r="CX8" s="98">
        <f t="shared" si="26"/>
        <v>100031.76277157001</v>
      </c>
      <c r="CY8" s="392" t="s">
        <v>507</v>
      </c>
      <c r="CZ8" s="187"/>
    </row>
    <row r="9" spans="1:104" x14ac:dyDescent="0.25">
      <c r="A9" s="81" t="s">
        <v>27</v>
      </c>
      <c r="B9" s="82" t="s">
        <v>28</v>
      </c>
      <c r="C9" s="83" t="s">
        <v>29</v>
      </c>
      <c r="D9" s="84">
        <v>64362.803797929417</v>
      </c>
      <c r="E9" s="85">
        <v>50183.234862205791</v>
      </c>
      <c r="F9" s="85">
        <v>70911.336898078327</v>
      </c>
      <c r="G9" s="85">
        <v>78478.189412584266</v>
      </c>
      <c r="H9" s="85">
        <v>72520.448398114677</v>
      </c>
      <c r="I9" s="85">
        <v>520766.64079907339</v>
      </c>
      <c r="J9" s="85">
        <v>137262.60677529694</v>
      </c>
      <c r="K9" s="85">
        <v>206267.82282677796</v>
      </c>
      <c r="L9" s="85">
        <v>262497.33287761593</v>
      </c>
      <c r="M9" s="654">
        <f>'2022-23 Input'!G9</f>
        <v>392036.34936195094</v>
      </c>
      <c r="N9" s="1065">
        <v>265255.44689544191</v>
      </c>
      <c r="O9" s="560">
        <f t="shared" si="27"/>
        <v>86597.341091777183</v>
      </c>
      <c r="P9" s="561">
        <f t="shared" si="0"/>
        <v>66514.411293892044</v>
      </c>
      <c r="Q9" s="561">
        <f t="shared" si="1"/>
        <v>93036.081589822701</v>
      </c>
      <c r="R9" s="561">
        <f t="shared" si="2"/>
        <v>101010.59208770577</v>
      </c>
      <c r="S9" s="561">
        <f t="shared" si="3"/>
        <v>91442.396643809916</v>
      </c>
      <c r="T9" s="561">
        <f t="shared" si="4"/>
        <v>646348.62803929055</v>
      </c>
      <c r="U9" s="561">
        <f t="shared" si="5"/>
        <v>170958.92599257836</v>
      </c>
      <c r="V9" s="561">
        <f t="shared" si="6"/>
        <v>247389.1263180775</v>
      </c>
      <c r="W9" s="675">
        <f t="shared" si="7"/>
        <v>296602.88526365528</v>
      </c>
      <c r="X9" s="675">
        <f t="shared" si="8"/>
        <v>416915.33915422449</v>
      </c>
      <c r="Y9" s="675">
        <f t="shared" si="8"/>
        <v>272549.56831536157</v>
      </c>
      <c r="Z9" s="86">
        <v>30</v>
      </c>
      <c r="AA9" s="87">
        <v>26</v>
      </c>
      <c r="AB9" s="87">
        <v>28.4</v>
      </c>
      <c r="AC9" s="87">
        <v>21.199999999999996</v>
      </c>
      <c r="AD9" s="87">
        <v>22.799999999999997</v>
      </c>
      <c r="AE9" s="87">
        <v>90</v>
      </c>
      <c r="AF9" s="87">
        <v>31</v>
      </c>
      <c r="AG9" s="87">
        <v>59</v>
      </c>
      <c r="AH9" s="87">
        <v>86</v>
      </c>
      <c r="AI9" s="1094">
        <f>'2022-23 Input'!N9</f>
        <v>79</v>
      </c>
      <c r="AJ9" s="665">
        <v>37</v>
      </c>
      <c r="AK9" s="88">
        <f t="shared" si="9"/>
        <v>69</v>
      </c>
      <c r="AL9" s="89">
        <f t="shared" si="10"/>
        <v>74.666666666666671</v>
      </c>
      <c r="AM9" s="90">
        <f t="shared" si="11"/>
        <v>79</v>
      </c>
      <c r="AN9" s="91">
        <f t="shared" si="12"/>
        <v>2145.4267932643138</v>
      </c>
      <c r="AO9" s="92">
        <f t="shared" si="13"/>
        <v>1930.1244177771457</v>
      </c>
      <c r="AP9" s="92">
        <f t="shared" si="14"/>
        <v>2496.8780597914906</v>
      </c>
      <c r="AQ9" s="92">
        <f t="shared" si="15"/>
        <v>3701.8013873860509</v>
      </c>
      <c r="AR9" s="92">
        <f t="shared" si="16"/>
        <v>3180.7214209699423</v>
      </c>
      <c r="AS9" s="92">
        <f t="shared" si="17"/>
        <v>5786.2960088785931</v>
      </c>
      <c r="AT9" s="92">
        <f t="shared" si="18"/>
        <v>4427.8260250095791</v>
      </c>
      <c r="AU9" s="92">
        <f t="shared" si="19"/>
        <v>3496.064793674203</v>
      </c>
      <c r="AV9" s="92">
        <f t="shared" si="20"/>
        <v>3052.2945683443713</v>
      </c>
      <c r="AW9" s="92">
        <f t="shared" si="20"/>
        <v>4962.4854349614043</v>
      </c>
      <c r="AX9" s="92">
        <f t="shared" si="20"/>
        <v>7169.0661323092409</v>
      </c>
      <c r="AY9" s="93">
        <f t="shared" si="21"/>
        <v>4402.4079786687398</v>
      </c>
      <c r="AZ9" s="94">
        <f t="shared" si="22"/>
        <v>3842.863861903325</v>
      </c>
      <c r="BA9" s="95">
        <f t="shared" si="23"/>
        <v>4962.4854349614043</v>
      </c>
      <c r="BB9" s="248" t="s">
        <v>422</v>
      </c>
      <c r="BC9" s="229" t="s">
        <v>433</v>
      </c>
      <c r="BD9" s="249">
        <v>0</v>
      </c>
      <c r="BE9" s="267">
        <f t="shared" si="28"/>
        <v>0</v>
      </c>
      <c r="BF9" s="268">
        <f t="shared" ref="BF9:BL9" si="31">IF(BF$6=$BB9,1,
IF(BE9&lt;&gt;0,BE9+1,0
))</f>
        <v>0</v>
      </c>
      <c r="BG9" s="268">
        <f t="shared" si="31"/>
        <v>0</v>
      </c>
      <c r="BH9" s="268">
        <f t="shared" si="31"/>
        <v>1</v>
      </c>
      <c r="BI9" s="268">
        <f t="shared" si="31"/>
        <v>2</v>
      </c>
      <c r="BJ9" s="268">
        <f t="shared" si="31"/>
        <v>3</v>
      </c>
      <c r="BK9" s="268">
        <f t="shared" si="31"/>
        <v>4</v>
      </c>
      <c r="BL9" s="269">
        <f t="shared" si="31"/>
        <v>5</v>
      </c>
      <c r="BM9" s="256">
        <f>IF($BC9=Lookup!$A$2,$BD9*ROUNDUP(BE9/10,0)+1,
IF($BC9=Lookup!$A$3,($BD9+1)^BD9,
IF($BC9=Lookup!$A$4,BE9*$BD9+1,"Error")))</f>
        <v>1</v>
      </c>
      <c r="BN9" s="229">
        <f>IF($BC9=Lookup!$A$2,$BD9*ROUNDUP(BF9/10,0)+1,
IF($BC9=Lookup!$A$3,($BD9+1)^BE9,
IF($BC9=Lookup!$A$4,BF9*$BD9+1,"Error")))</f>
        <v>1</v>
      </c>
      <c r="BO9" s="229">
        <f>IF($BC9=Lookup!$A$2,$BD9*ROUNDUP(BG9/10,0)+1,
IF($BC9=Lookup!$A$3,($BD9+1)^BF9,
IF($BC9=Lookup!$A$4,BG9*$BD9+1,"Error")))</f>
        <v>1</v>
      </c>
      <c r="BP9" s="229">
        <f>IF($BC9=Lookup!$A$2,$BD9*ROUNDUP(BH9/10,0)+1,
IF($BC9=Lookup!$A$3,($BD9+1)^BG9,
IF($BC9=Lookup!$A$4,BH9*$BD9+1,"Error")))</f>
        <v>1</v>
      </c>
      <c r="BQ9" s="229">
        <f>IF($BC9=Lookup!$A$2,$BD9*ROUNDUP(BI9/10,0)+1,
IF($BC9=Lookup!$A$3,($BD9+1)^BH9,
IF($BC9=Lookup!$A$4,BI9*$BD9+1,"Error")))</f>
        <v>1</v>
      </c>
      <c r="BR9" s="229">
        <f>IF($BC9=Lookup!$A$2,$BD9*ROUNDUP(BJ9/10,0)+1,
IF($BC9=Lookup!$A$3,($BD9+1)^BI9,
IF($BC9=Lookup!$A$4,BJ9*$BD9+1,"Error")))</f>
        <v>1</v>
      </c>
      <c r="BS9" s="229">
        <f>IF($BC9=Lookup!$A$2,$BD9*ROUNDUP(BK9/10,0)+1,
IF($BC9=Lookup!$A$3,($BD9+1)^BJ9,
IF($BC9=Lookup!$A$4,BK9*$BD9+1,"Error")))</f>
        <v>1</v>
      </c>
      <c r="BT9" s="249">
        <f>IF($BC9=Lookup!$A$2,$BD9*ROUNDUP(BL9/10,0)+1,
IF($BC9=Lookup!$A$3,($BD9+1)^BK9,
IF($BC9=Lookup!$A$4,BL9*$BD9+1,"Error")))</f>
        <v>1</v>
      </c>
      <c r="BU9" s="320"/>
      <c r="BV9" s="321"/>
      <c r="BW9" s="321"/>
      <c r="BX9" s="321"/>
      <c r="BY9" s="321"/>
      <c r="BZ9" s="321"/>
      <c r="CA9" s="321"/>
      <c r="CB9" s="277"/>
      <c r="CC9" s="382" t="s">
        <v>293</v>
      </c>
      <c r="CD9" s="383">
        <f>HLOOKUP($CC9,$AK$6:$AM$132,ROWS(CC$6:CC9),0)</f>
        <v>74.666666666666671</v>
      </c>
      <c r="CE9" s="234">
        <f t="shared" si="30"/>
        <v>74.666666666666671</v>
      </c>
      <c r="CF9" s="96">
        <f t="shared" si="25"/>
        <v>74.666666666666671</v>
      </c>
      <c r="CG9" s="96">
        <f t="shared" si="25"/>
        <v>74.666666666666671</v>
      </c>
      <c r="CH9" s="96">
        <f t="shared" si="25"/>
        <v>74.666666666666671</v>
      </c>
      <c r="CI9" s="96">
        <f t="shared" si="25"/>
        <v>74.666666666666671</v>
      </c>
      <c r="CJ9" s="96">
        <f t="shared" si="25"/>
        <v>74.666666666666671</v>
      </c>
      <c r="CK9" s="96">
        <f t="shared" si="25"/>
        <v>74.666666666666671</v>
      </c>
      <c r="CL9" s="286">
        <f t="shared" si="25"/>
        <v>74.666666666666671</v>
      </c>
      <c r="CM9" s="305" t="s">
        <v>293</v>
      </c>
      <c r="CN9" s="315">
        <v>0.05</v>
      </c>
      <c r="CO9" s="306" t="e">
        <f>'Defect P1'!CP9*1.5</f>
        <v>#VALUE!</v>
      </c>
      <c r="CP9" s="307" t="e">
        <f>IF($CO9&lt;&gt;"",$CO9,HLOOKUP($CM9,$AY$6:$BA$132,ROWS(CO$6:CO9),0))</f>
        <v>#VALUE!</v>
      </c>
      <c r="CQ9" s="784" t="str">
        <f t="shared" si="26"/>
        <v/>
      </c>
      <c r="CR9" s="784" t="str">
        <f t="shared" si="26"/>
        <v/>
      </c>
      <c r="CS9" s="97" t="str">
        <f t="shared" si="26"/>
        <v/>
      </c>
      <c r="CT9" s="97" t="str">
        <f t="shared" si="26"/>
        <v/>
      </c>
      <c r="CU9" s="97" t="str">
        <f t="shared" si="26"/>
        <v/>
      </c>
      <c r="CV9" s="97" t="str">
        <f t="shared" si="26"/>
        <v/>
      </c>
      <c r="CW9" s="97" t="str">
        <f t="shared" si="26"/>
        <v/>
      </c>
      <c r="CX9" s="98" t="str">
        <f t="shared" si="26"/>
        <v/>
      </c>
      <c r="CY9" s="392" t="s">
        <v>506</v>
      </c>
    </row>
    <row r="10" spans="1:104" x14ac:dyDescent="0.25">
      <c r="A10" s="81" t="s">
        <v>27</v>
      </c>
      <c r="B10" s="82" t="s">
        <v>30</v>
      </c>
      <c r="C10" s="83" t="s">
        <v>298</v>
      </c>
      <c r="D10" s="84">
        <v>64362.803797929424</v>
      </c>
      <c r="E10" s="85">
        <v>50183.234862205791</v>
      </c>
      <c r="F10" s="85">
        <v>70911.336898078313</v>
      </c>
      <c r="G10" s="85">
        <v>78478.189412584281</v>
      </c>
      <c r="H10" s="85">
        <v>72520.448398114691</v>
      </c>
      <c r="I10" s="85">
        <v>0</v>
      </c>
      <c r="J10" s="85">
        <v>0</v>
      </c>
      <c r="K10" s="85">
        <v>0</v>
      </c>
      <c r="L10" s="85">
        <v>0</v>
      </c>
      <c r="M10" s="654">
        <f>'2022-23 Input'!G10</f>
        <v>0</v>
      </c>
      <c r="N10" s="1065">
        <v>0</v>
      </c>
      <c r="O10" s="560">
        <f t="shared" si="27"/>
        <v>86597.341091777198</v>
      </c>
      <c r="P10" s="561">
        <f t="shared" si="0"/>
        <v>66514.411293892044</v>
      </c>
      <c r="Q10" s="561">
        <f t="shared" si="1"/>
        <v>93036.081589822687</v>
      </c>
      <c r="R10" s="561">
        <f t="shared" si="2"/>
        <v>101010.59208770578</v>
      </c>
      <c r="S10" s="561">
        <f t="shared" si="3"/>
        <v>91442.396643809931</v>
      </c>
      <c r="T10" s="561">
        <f t="shared" si="4"/>
        <v>0</v>
      </c>
      <c r="U10" s="561">
        <f t="shared" si="5"/>
        <v>0</v>
      </c>
      <c r="V10" s="561">
        <f t="shared" si="6"/>
        <v>0</v>
      </c>
      <c r="W10" s="675">
        <f t="shared" si="7"/>
        <v>0</v>
      </c>
      <c r="X10" s="675">
        <f t="shared" si="8"/>
        <v>0</v>
      </c>
      <c r="Y10" s="675">
        <f t="shared" si="8"/>
        <v>0</v>
      </c>
      <c r="Z10" s="86">
        <v>30</v>
      </c>
      <c r="AA10" s="87">
        <v>26</v>
      </c>
      <c r="AB10" s="87">
        <v>28.400000000000002</v>
      </c>
      <c r="AC10" s="87">
        <v>21.200000000000003</v>
      </c>
      <c r="AD10" s="87">
        <v>22.8</v>
      </c>
      <c r="AE10" s="87">
        <v>1</v>
      </c>
      <c r="AF10" s="87">
        <v>0</v>
      </c>
      <c r="AG10" s="87">
        <v>0</v>
      </c>
      <c r="AH10" s="87">
        <v>0</v>
      </c>
      <c r="AI10" s="1094">
        <f>'2022-23 Input'!N10</f>
        <v>0</v>
      </c>
      <c r="AJ10" s="665">
        <v>0</v>
      </c>
      <c r="AK10" s="88">
        <f t="shared" si="9"/>
        <v>0.2</v>
      </c>
      <c r="AL10" s="89">
        <f t="shared" si="10"/>
        <v>0</v>
      </c>
      <c r="AM10" s="90">
        <f t="shared" si="11"/>
        <v>0</v>
      </c>
      <c r="AN10" s="91">
        <f t="shared" si="12"/>
        <v>2145.4267932643143</v>
      </c>
      <c r="AO10" s="92">
        <f t="shared" si="13"/>
        <v>1930.1244177771457</v>
      </c>
      <c r="AP10" s="92">
        <f t="shared" si="14"/>
        <v>2496.8780597914897</v>
      </c>
      <c r="AQ10" s="92">
        <f t="shared" si="15"/>
        <v>3701.8013873860505</v>
      </c>
      <c r="AR10" s="92">
        <f t="shared" si="16"/>
        <v>3180.7214209699423</v>
      </c>
      <c r="AS10" s="92">
        <f t="shared" si="17"/>
        <v>0</v>
      </c>
      <c r="AT10" s="92" t="str">
        <f t="shared" si="18"/>
        <v/>
      </c>
      <c r="AU10" s="92" t="str">
        <f t="shared" si="19"/>
        <v/>
      </c>
      <c r="AV10" s="92" t="str">
        <f t="shared" si="20"/>
        <v/>
      </c>
      <c r="AW10" s="92" t="str">
        <f t="shared" si="20"/>
        <v/>
      </c>
      <c r="AX10" s="92" t="str">
        <f t="shared" si="20"/>
        <v/>
      </c>
      <c r="AY10" s="93">
        <f t="shared" si="21"/>
        <v>0</v>
      </c>
      <c r="AZ10" s="94" t="str">
        <f t="shared" si="22"/>
        <v/>
      </c>
      <c r="BA10" s="95" t="str">
        <f t="shared" si="23"/>
        <v/>
      </c>
      <c r="BB10" s="248" t="s">
        <v>422</v>
      </c>
      <c r="BC10" s="229" t="s">
        <v>433</v>
      </c>
      <c r="BD10" s="249">
        <v>0</v>
      </c>
      <c r="BE10" s="267">
        <f t="shared" si="28"/>
        <v>0</v>
      </c>
      <c r="BF10" s="268">
        <f t="shared" ref="BF10:BL10" si="32">IF(BF$6=$BB10,1,
IF(BE10&lt;&gt;0,BE10+1,0
))</f>
        <v>0</v>
      </c>
      <c r="BG10" s="268">
        <f t="shared" si="32"/>
        <v>0</v>
      </c>
      <c r="BH10" s="268">
        <f t="shared" si="32"/>
        <v>1</v>
      </c>
      <c r="BI10" s="268">
        <f t="shared" si="32"/>
        <v>2</v>
      </c>
      <c r="BJ10" s="268">
        <f t="shared" si="32"/>
        <v>3</v>
      </c>
      <c r="BK10" s="268">
        <f t="shared" si="32"/>
        <v>4</v>
      </c>
      <c r="BL10" s="269">
        <f t="shared" si="32"/>
        <v>5</v>
      </c>
      <c r="BM10" s="256">
        <f>IF($BC10=Lookup!$A$2,$BD10*ROUNDUP(BE10/10,0)+1,
IF($BC10=Lookup!$A$3,($BD10+1)^BD10,
IF($BC10=Lookup!$A$4,BE10*$BD10+1,"Error")))</f>
        <v>1</v>
      </c>
      <c r="BN10" s="229">
        <f>IF($BC10=Lookup!$A$2,$BD10*ROUNDUP(BF10/10,0)+1,
IF($BC10=Lookup!$A$3,($BD10+1)^BE10,
IF($BC10=Lookup!$A$4,BF10*$BD10+1,"Error")))</f>
        <v>1</v>
      </c>
      <c r="BO10" s="229">
        <f>IF($BC10=Lookup!$A$2,$BD10*ROUNDUP(BG10/10,0)+1,
IF($BC10=Lookup!$A$3,($BD10+1)^BF10,
IF($BC10=Lookup!$A$4,BG10*$BD10+1,"Error")))</f>
        <v>1</v>
      </c>
      <c r="BP10" s="229">
        <f>IF($BC10=Lookup!$A$2,$BD10*ROUNDUP(BH10/10,0)+1,
IF($BC10=Lookup!$A$3,($BD10+1)^BG10,
IF($BC10=Lookup!$A$4,BH10*$BD10+1,"Error")))</f>
        <v>1</v>
      </c>
      <c r="BQ10" s="229">
        <f>IF($BC10=Lookup!$A$2,$BD10*ROUNDUP(BI10/10,0)+1,
IF($BC10=Lookup!$A$3,($BD10+1)^BH10,
IF($BC10=Lookup!$A$4,BI10*$BD10+1,"Error")))</f>
        <v>1</v>
      </c>
      <c r="BR10" s="229">
        <f>IF($BC10=Lookup!$A$2,$BD10*ROUNDUP(BJ10/10,0)+1,
IF($BC10=Lookup!$A$3,($BD10+1)^BI10,
IF($BC10=Lookup!$A$4,BJ10*$BD10+1,"Error")))</f>
        <v>1</v>
      </c>
      <c r="BS10" s="229">
        <f>IF($BC10=Lookup!$A$2,$BD10*ROUNDUP(BK10/10,0)+1,
IF($BC10=Lookup!$A$3,($BD10+1)^BJ10,
IF($BC10=Lookup!$A$4,BK10*$BD10+1,"Error")))</f>
        <v>1</v>
      </c>
      <c r="BT10" s="249">
        <f>IF($BC10=Lookup!$A$2,$BD10*ROUNDUP(BL10/10,0)+1,
IF($BC10=Lookup!$A$3,($BD10+1)^BK10,
IF($BC10=Lookup!$A$4,BL10*$BD10+1,"Error")))</f>
        <v>1</v>
      </c>
      <c r="BU10" s="320"/>
      <c r="BV10" s="321"/>
      <c r="BW10" s="321"/>
      <c r="BX10" s="321"/>
      <c r="BY10" s="321"/>
      <c r="BZ10" s="321"/>
      <c r="CA10" s="321"/>
      <c r="CB10" s="277"/>
      <c r="CC10" s="382" t="s">
        <v>293</v>
      </c>
      <c r="CD10" s="383">
        <f>HLOOKUP($CC10,$AK$6:$AM$132,ROWS(CC$6:CC10),0)</f>
        <v>0</v>
      </c>
      <c r="CE10" s="234">
        <f t="shared" si="30"/>
        <v>0</v>
      </c>
      <c r="CF10" s="96">
        <f t="shared" si="25"/>
        <v>0</v>
      </c>
      <c r="CG10" s="96">
        <f t="shared" si="25"/>
        <v>0</v>
      </c>
      <c r="CH10" s="96">
        <f t="shared" si="25"/>
        <v>0</v>
      </c>
      <c r="CI10" s="96">
        <f t="shared" si="25"/>
        <v>0</v>
      </c>
      <c r="CJ10" s="96">
        <f t="shared" si="25"/>
        <v>0</v>
      </c>
      <c r="CK10" s="96">
        <f t="shared" si="25"/>
        <v>0</v>
      </c>
      <c r="CL10" s="286">
        <f t="shared" si="25"/>
        <v>0</v>
      </c>
      <c r="CM10" s="305" t="s">
        <v>292</v>
      </c>
      <c r="CN10" s="315">
        <v>0.05</v>
      </c>
      <c r="CO10" s="306">
        <f>'Defect P1'!CP10*1.5</f>
        <v>14001.774625054979</v>
      </c>
      <c r="CP10" s="307">
        <f>IF($CO10&lt;&gt;"",$CO10,HLOOKUP($CM10,$AY$6:$BA$132,ROWS(CO$6:CO10),0))</f>
        <v>14001.774625054979</v>
      </c>
      <c r="CQ10" s="784">
        <f t="shared" si="26"/>
        <v>0</v>
      </c>
      <c r="CR10" s="784">
        <f t="shared" si="26"/>
        <v>0</v>
      </c>
      <c r="CS10" s="97">
        <f t="shared" si="26"/>
        <v>0</v>
      </c>
      <c r="CT10" s="97">
        <f t="shared" si="26"/>
        <v>0</v>
      </c>
      <c r="CU10" s="97">
        <f t="shared" si="26"/>
        <v>0</v>
      </c>
      <c r="CV10" s="97">
        <f t="shared" si="26"/>
        <v>0</v>
      </c>
      <c r="CW10" s="97">
        <f t="shared" si="26"/>
        <v>0</v>
      </c>
      <c r="CX10" s="98">
        <f t="shared" si="26"/>
        <v>0</v>
      </c>
      <c r="CY10" s="392" t="s">
        <v>506</v>
      </c>
    </row>
    <row r="11" spans="1:104" x14ac:dyDescent="0.25">
      <c r="A11" s="81" t="s">
        <v>27</v>
      </c>
      <c r="B11" s="82" t="s">
        <v>32</v>
      </c>
      <c r="C11" s="83" t="s">
        <v>33</v>
      </c>
      <c r="D11" s="84">
        <v>11605.758889207293</v>
      </c>
      <c r="E11" s="85">
        <v>12089.846620711824</v>
      </c>
      <c r="F11" s="85">
        <v>5000.1212345508347</v>
      </c>
      <c r="G11" s="85">
        <v>2632.3854559935544</v>
      </c>
      <c r="H11" s="85">
        <v>14293.203848656889</v>
      </c>
      <c r="I11" s="85">
        <v>0</v>
      </c>
      <c r="J11" s="85">
        <v>0</v>
      </c>
      <c r="K11" s="85">
        <v>22390.899471867</v>
      </c>
      <c r="L11" s="85">
        <v>15354.275270029992</v>
      </c>
      <c r="M11" s="654">
        <f>'2022-23 Input'!G11</f>
        <v>10243.157125678001</v>
      </c>
      <c r="N11" s="1065">
        <v>246155.67646206604</v>
      </c>
      <c r="O11" s="560">
        <f t="shared" si="27"/>
        <v>15615.041636671853</v>
      </c>
      <c r="P11" s="561">
        <f t="shared" si="0"/>
        <v>16024.256563335282</v>
      </c>
      <c r="Q11" s="561">
        <f t="shared" si="1"/>
        <v>6560.1877991004712</v>
      </c>
      <c r="R11" s="561">
        <f t="shared" si="2"/>
        <v>3388.1874123657649</v>
      </c>
      <c r="S11" s="561">
        <f t="shared" si="3"/>
        <v>18022.5694202091</v>
      </c>
      <c r="T11" s="561">
        <f t="shared" si="4"/>
        <v>0</v>
      </c>
      <c r="U11" s="561">
        <f t="shared" si="5"/>
        <v>0</v>
      </c>
      <c r="V11" s="561">
        <f t="shared" si="6"/>
        <v>26854.722088538794</v>
      </c>
      <c r="W11" s="675">
        <f t="shared" si="7"/>
        <v>17349.213785522737</v>
      </c>
      <c r="X11" s="675">
        <f t="shared" si="8"/>
        <v>10893.197362980369</v>
      </c>
      <c r="Y11" s="675">
        <f t="shared" si="8"/>
        <v>252924.58323978251</v>
      </c>
      <c r="Z11" s="86">
        <v>4</v>
      </c>
      <c r="AA11" s="87">
        <v>4</v>
      </c>
      <c r="AB11" s="87">
        <v>1</v>
      </c>
      <c r="AC11" s="87">
        <v>1</v>
      </c>
      <c r="AD11" s="87">
        <v>2</v>
      </c>
      <c r="AE11" s="87">
        <v>0</v>
      </c>
      <c r="AF11" s="87">
        <v>1</v>
      </c>
      <c r="AG11" s="87">
        <v>5</v>
      </c>
      <c r="AH11" s="87">
        <v>7</v>
      </c>
      <c r="AI11" s="1094">
        <f>'2022-23 Input'!N11</f>
        <v>2</v>
      </c>
      <c r="AJ11" s="665">
        <v>1</v>
      </c>
      <c r="AK11" s="88">
        <f t="shared" si="9"/>
        <v>3</v>
      </c>
      <c r="AL11" s="89">
        <f t="shared" si="10"/>
        <v>4.666666666666667</v>
      </c>
      <c r="AM11" s="90">
        <f t="shared" si="11"/>
        <v>2</v>
      </c>
      <c r="AN11" s="91">
        <f t="shared" si="12"/>
        <v>2901.4397223018232</v>
      </c>
      <c r="AO11" s="92">
        <f t="shared" si="13"/>
        <v>3022.4616551779559</v>
      </c>
      <c r="AP11" s="92">
        <f t="shared" si="14"/>
        <v>5000.1212345508347</v>
      </c>
      <c r="AQ11" s="92">
        <f t="shared" si="15"/>
        <v>2632.3854559935544</v>
      </c>
      <c r="AR11" s="92">
        <f t="shared" si="16"/>
        <v>7146.6019243284445</v>
      </c>
      <c r="AS11" s="92" t="str">
        <f t="shared" si="17"/>
        <v/>
      </c>
      <c r="AT11" s="92">
        <f t="shared" si="18"/>
        <v>0</v>
      </c>
      <c r="AU11" s="92">
        <f t="shared" si="19"/>
        <v>4478.1798943734002</v>
      </c>
      <c r="AV11" s="92">
        <f t="shared" si="20"/>
        <v>2193.4678957185702</v>
      </c>
      <c r="AW11" s="92">
        <f t="shared" si="20"/>
        <v>5121.5785628390004</v>
      </c>
      <c r="AX11" s="92">
        <f t="shared" si="20"/>
        <v>246155.67646206604</v>
      </c>
      <c r="AY11" s="93">
        <f t="shared" si="21"/>
        <v>3199.2221245049996</v>
      </c>
      <c r="AZ11" s="94">
        <f t="shared" si="22"/>
        <v>3427.7379905410708</v>
      </c>
      <c r="BA11" s="95">
        <f t="shared" si="23"/>
        <v>5121.5785628390004</v>
      </c>
      <c r="BB11" s="248" t="s">
        <v>422</v>
      </c>
      <c r="BC11" s="229" t="s">
        <v>433</v>
      </c>
      <c r="BD11" s="249">
        <v>0</v>
      </c>
      <c r="BE11" s="267">
        <f t="shared" si="28"/>
        <v>0</v>
      </c>
      <c r="BF11" s="268">
        <f t="shared" ref="BF11:BL11" si="33">IF(BF$6=$BB11,1,
IF(BE11&lt;&gt;0,BE11+1,0
))</f>
        <v>0</v>
      </c>
      <c r="BG11" s="268">
        <f t="shared" si="33"/>
        <v>0</v>
      </c>
      <c r="BH11" s="268">
        <f t="shared" si="33"/>
        <v>1</v>
      </c>
      <c r="BI11" s="268">
        <f t="shared" si="33"/>
        <v>2</v>
      </c>
      <c r="BJ11" s="268">
        <f t="shared" si="33"/>
        <v>3</v>
      </c>
      <c r="BK11" s="268">
        <f t="shared" si="33"/>
        <v>4</v>
      </c>
      <c r="BL11" s="269">
        <f t="shared" si="33"/>
        <v>5</v>
      </c>
      <c r="BM11" s="256">
        <f>IF($BC11=Lookup!$A$2,$BD11*ROUNDUP(BE11/10,0)+1,
IF($BC11=Lookup!$A$3,($BD11+1)^BD11,
IF($BC11=Lookup!$A$4,BE11*$BD11+1,"Error")))</f>
        <v>1</v>
      </c>
      <c r="BN11" s="229">
        <f>IF($BC11=Lookup!$A$2,$BD11*ROUNDUP(BF11/10,0)+1,
IF($BC11=Lookup!$A$3,($BD11+1)^BE11,
IF($BC11=Lookup!$A$4,BF11*$BD11+1,"Error")))</f>
        <v>1</v>
      </c>
      <c r="BO11" s="229">
        <f>IF($BC11=Lookup!$A$2,$BD11*ROUNDUP(BG11/10,0)+1,
IF($BC11=Lookup!$A$3,($BD11+1)^BF11,
IF($BC11=Lookup!$A$4,BG11*$BD11+1,"Error")))</f>
        <v>1</v>
      </c>
      <c r="BP11" s="229">
        <f>IF($BC11=Lookup!$A$2,$BD11*ROUNDUP(BH11/10,0)+1,
IF($BC11=Lookup!$A$3,($BD11+1)^BG11,
IF($BC11=Lookup!$A$4,BH11*$BD11+1,"Error")))</f>
        <v>1</v>
      </c>
      <c r="BQ11" s="229">
        <f>IF($BC11=Lookup!$A$2,$BD11*ROUNDUP(BI11/10,0)+1,
IF($BC11=Lookup!$A$3,($BD11+1)^BH11,
IF($BC11=Lookup!$A$4,BI11*$BD11+1,"Error")))</f>
        <v>1</v>
      </c>
      <c r="BR11" s="229">
        <f>IF($BC11=Lookup!$A$2,$BD11*ROUNDUP(BJ11/10,0)+1,
IF($BC11=Lookup!$A$3,($BD11+1)^BI11,
IF($BC11=Lookup!$A$4,BJ11*$BD11+1,"Error")))</f>
        <v>1</v>
      </c>
      <c r="BS11" s="229">
        <f>IF($BC11=Lookup!$A$2,$BD11*ROUNDUP(BK11/10,0)+1,
IF($BC11=Lookup!$A$3,($BD11+1)^BJ11,
IF($BC11=Lookup!$A$4,BK11*$BD11+1,"Error")))</f>
        <v>1</v>
      </c>
      <c r="BT11" s="249">
        <f>IF($BC11=Lookup!$A$2,$BD11*ROUNDUP(BL11/10,0)+1,
IF($BC11=Lookup!$A$3,($BD11+1)^BK11,
IF($BC11=Lookup!$A$4,BL11*$BD11+1,"Error")))</f>
        <v>1</v>
      </c>
      <c r="BU11" s="320"/>
      <c r="BV11" s="321"/>
      <c r="BW11" s="321"/>
      <c r="BX11" s="321"/>
      <c r="BY11" s="321"/>
      <c r="BZ11" s="321"/>
      <c r="CA11" s="321"/>
      <c r="CB11" s="277"/>
      <c r="CC11" s="382" t="s">
        <v>293</v>
      </c>
      <c r="CD11" s="383">
        <f>HLOOKUP($CC11,$AK$6:$AM$132,ROWS(CC$6:CC11),0)</f>
        <v>4.666666666666667</v>
      </c>
      <c r="CE11" s="234">
        <f t="shared" si="30"/>
        <v>4.666666666666667</v>
      </c>
      <c r="CF11" s="96">
        <f t="shared" si="25"/>
        <v>4.666666666666667</v>
      </c>
      <c r="CG11" s="96">
        <f t="shared" si="25"/>
        <v>4.666666666666667</v>
      </c>
      <c r="CH11" s="96">
        <f t="shared" si="25"/>
        <v>4.666666666666667</v>
      </c>
      <c r="CI11" s="96">
        <f t="shared" si="25"/>
        <v>4.666666666666667</v>
      </c>
      <c r="CJ11" s="96">
        <f t="shared" si="25"/>
        <v>4.666666666666667</v>
      </c>
      <c r="CK11" s="96">
        <f t="shared" si="25"/>
        <v>4.666666666666667</v>
      </c>
      <c r="CL11" s="286">
        <f t="shared" si="25"/>
        <v>4.666666666666667</v>
      </c>
      <c r="CM11" s="305" t="s">
        <v>293</v>
      </c>
      <c r="CN11" s="315">
        <v>0.05</v>
      </c>
      <c r="CO11" s="306" t="e">
        <f>'Defect P1'!CP11*1.5</f>
        <v>#VALUE!</v>
      </c>
      <c r="CP11" s="307" t="e">
        <f>IF($CO11&lt;&gt;"",$CO11,HLOOKUP($CM11,$AY$6:$BA$132,ROWS(CO$6:CO11),0))</f>
        <v>#VALUE!</v>
      </c>
      <c r="CQ11" s="784" t="str">
        <f t="shared" si="26"/>
        <v/>
      </c>
      <c r="CR11" s="784" t="str">
        <f t="shared" si="26"/>
        <v/>
      </c>
      <c r="CS11" s="97" t="str">
        <f t="shared" si="26"/>
        <v/>
      </c>
      <c r="CT11" s="97" t="str">
        <f t="shared" si="26"/>
        <v/>
      </c>
      <c r="CU11" s="97" t="str">
        <f t="shared" si="26"/>
        <v/>
      </c>
      <c r="CV11" s="97" t="str">
        <f t="shared" si="26"/>
        <v/>
      </c>
      <c r="CW11" s="97" t="str">
        <f t="shared" si="26"/>
        <v/>
      </c>
      <c r="CX11" s="98" t="str">
        <f t="shared" si="26"/>
        <v/>
      </c>
      <c r="CY11" s="392" t="s">
        <v>506</v>
      </c>
    </row>
    <row r="12" spans="1:104" x14ac:dyDescent="0.25">
      <c r="A12" s="81" t="s">
        <v>27</v>
      </c>
      <c r="B12" s="82" t="s">
        <v>34</v>
      </c>
      <c r="C12" s="83" t="s">
        <v>35</v>
      </c>
      <c r="D12" s="84">
        <v>0</v>
      </c>
      <c r="E12" s="85">
        <v>0</v>
      </c>
      <c r="F12" s="85">
        <v>0</v>
      </c>
      <c r="G12" s="85">
        <v>0</v>
      </c>
      <c r="H12" s="85">
        <v>0</v>
      </c>
      <c r="I12" s="85">
        <v>15407.27117485601</v>
      </c>
      <c r="J12" s="85">
        <v>0</v>
      </c>
      <c r="K12" s="85">
        <v>0</v>
      </c>
      <c r="L12" s="85">
        <v>0</v>
      </c>
      <c r="M12" s="654">
        <f>'2022-23 Input'!G12</f>
        <v>0</v>
      </c>
      <c r="N12" s="1065">
        <v>0</v>
      </c>
      <c r="O12" s="560">
        <f t="shared" si="27"/>
        <v>0</v>
      </c>
      <c r="P12" s="561">
        <f t="shared" si="0"/>
        <v>0</v>
      </c>
      <c r="Q12" s="561">
        <f t="shared" si="1"/>
        <v>0</v>
      </c>
      <c r="R12" s="561">
        <f t="shared" si="2"/>
        <v>0</v>
      </c>
      <c r="S12" s="561">
        <f t="shared" si="3"/>
        <v>0</v>
      </c>
      <c r="T12" s="561">
        <f t="shared" si="4"/>
        <v>19122.708340951031</v>
      </c>
      <c r="U12" s="561">
        <f t="shared" si="5"/>
        <v>0</v>
      </c>
      <c r="V12" s="561">
        <f t="shared" si="6"/>
        <v>0</v>
      </c>
      <c r="W12" s="675">
        <f t="shared" si="7"/>
        <v>0</v>
      </c>
      <c r="X12" s="675">
        <f t="shared" si="8"/>
        <v>0</v>
      </c>
      <c r="Y12" s="675">
        <f t="shared" si="8"/>
        <v>0</v>
      </c>
      <c r="Z12" s="86">
        <v>0</v>
      </c>
      <c r="AA12" s="87">
        <v>0</v>
      </c>
      <c r="AB12" s="87">
        <v>0</v>
      </c>
      <c r="AC12" s="87">
        <v>0</v>
      </c>
      <c r="AD12" s="87">
        <v>0</v>
      </c>
      <c r="AE12" s="87">
        <v>19</v>
      </c>
      <c r="AF12" s="87">
        <v>0</v>
      </c>
      <c r="AG12" s="87">
        <v>0</v>
      </c>
      <c r="AH12" s="87">
        <v>0</v>
      </c>
      <c r="AI12" s="1094">
        <f>'2022-23 Input'!N12</f>
        <v>0</v>
      </c>
      <c r="AJ12" s="665">
        <v>0</v>
      </c>
      <c r="AK12" s="88">
        <f t="shared" si="9"/>
        <v>3.8</v>
      </c>
      <c r="AL12" s="89">
        <f t="shared" si="10"/>
        <v>0</v>
      </c>
      <c r="AM12" s="90">
        <f t="shared" si="11"/>
        <v>0</v>
      </c>
      <c r="AN12" s="91" t="str">
        <f t="shared" si="12"/>
        <v/>
      </c>
      <c r="AO12" s="92" t="str">
        <f t="shared" si="13"/>
        <v/>
      </c>
      <c r="AP12" s="92" t="str">
        <f t="shared" si="14"/>
        <v/>
      </c>
      <c r="AQ12" s="92" t="str">
        <f t="shared" si="15"/>
        <v/>
      </c>
      <c r="AR12" s="92" t="str">
        <f t="shared" si="16"/>
        <v/>
      </c>
      <c r="AS12" s="92">
        <f t="shared" si="17"/>
        <v>810.90900920294791</v>
      </c>
      <c r="AT12" s="92" t="str">
        <f t="shared" si="18"/>
        <v/>
      </c>
      <c r="AU12" s="92" t="str">
        <f t="shared" si="19"/>
        <v/>
      </c>
      <c r="AV12" s="92" t="str">
        <f t="shared" si="20"/>
        <v/>
      </c>
      <c r="AW12" s="92" t="str">
        <f t="shared" si="20"/>
        <v/>
      </c>
      <c r="AX12" s="92" t="str">
        <f t="shared" si="20"/>
        <v/>
      </c>
      <c r="AY12" s="93">
        <f t="shared" si="21"/>
        <v>810.90900920294791</v>
      </c>
      <c r="AZ12" s="94" t="str">
        <f t="shared" si="22"/>
        <v/>
      </c>
      <c r="BA12" s="95" t="str">
        <f t="shared" si="23"/>
        <v/>
      </c>
      <c r="BB12" s="248" t="s">
        <v>422</v>
      </c>
      <c r="BC12" s="229" t="s">
        <v>433</v>
      </c>
      <c r="BD12" s="249">
        <v>0</v>
      </c>
      <c r="BE12" s="267">
        <f t="shared" si="28"/>
        <v>0</v>
      </c>
      <c r="BF12" s="268">
        <f t="shared" ref="BF12:BL12" si="34">IF(BF$6=$BB12,1,
IF(BE12&lt;&gt;0,BE12+1,0
))</f>
        <v>0</v>
      </c>
      <c r="BG12" s="268">
        <f t="shared" si="34"/>
        <v>0</v>
      </c>
      <c r="BH12" s="268">
        <f t="shared" si="34"/>
        <v>1</v>
      </c>
      <c r="BI12" s="268">
        <f t="shared" si="34"/>
        <v>2</v>
      </c>
      <c r="BJ12" s="268">
        <f t="shared" si="34"/>
        <v>3</v>
      </c>
      <c r="BK12" s="268">
        <f t="shared" si="34"/>
        <v>4</v>
      </c>
      <c r="BL12" s="269">
        <f t="shared" si="34"/>
        <v>5</v>
      </c>
      <c r="BM12" s="256">
        <f>IF($BC12=Lookup!$A$2,$BD12*ROUNDUP(BE12/10,0)+1,
IF($BC12=Lookup!$A$3,($BD12+1)^BD12,
IF($BC12=Lookup!$A$4,BE12*$BD12+1,"Error")))</f>
        <v>1</v>
      </c>
      <c r="BN12" s="229">
        <f>IF($BC12=Lookup!$A$2,$BD12*ROUNDUP(BF12/10,0)+1,
IF($BC12=Lookup!$A$3,($BD12+1)^BE12,
IF($BC12=Lookup!$A$4,BF12*$BD12+1,"Error")))</f>
        <v>1</v>
      </c>
      <c r="BO12" s="229">
        <f>IF($BC12=Lookup!$A$2,$BD12*ROUNDUP(BG12/10,0)+1,
IF($BC12=Lookup!$A$3,($BD12+1)^BF12,
IF($BC12=Lookup!$A$4,BG12*$BD12+1,"Error")))</f>
        <v>1</v>
      </c>
      <c r="BP12" s="229">
        <f>IF($BC12=Lookup!$A$2,$BD12*ROUNDUP(BH12/10,0)+1,
IF($BC12=Lookup!$A$3,($BD12+1)^BG12,
IF($BC12=Lookup!$A$4,BH12*$BD12+1,"Error")))</f>
        <v>1</v>
      </c>
      <c r="BQ12" s="229">
        <f>IF($BC12=Lookup!$A$2,$BD12*ROUNDUP(BI12/10,0)+1,
IF($BC12=Lookup!$A$3,($BD12+1)^BH12,
IF($BC12=Lookup!$A$4,BI12*$BD12+1,"Error")))</f>
        <v>1</v>
      </c>
      <c r="BR12" s="229">
        <f>IF($BC12=Lookup!$A$2,$BD12*ROUNDUP(BJ12/10,0)+1,
IF($BC12=Lookup!$A$3,($BD12+1)^BI12,
IF($BC12=Lookup!$A$4,BJ12*$BD12+1,"Error")))</f>
        <v>1</v>
      </c>
      <c r="BS12" s="229">
        <f>IF($BC12=Lookup!$A$2,$BD12*ROUNDUP(BK12/10,0)+1,
IF($BC12=Lookup!$A$3,($BD12+1)^BJ12,
IF($BC12=Lookup!$A$4,BK12*$BD12+1,"Error")))</f>
        <v>1</v>
      </c>
      <c r="BT12" s="249">
        <f>IF($BC12=Lookup!$A$2,$BD12*ROUNDUP(BL12/10,0)+1,
IF($BC12=Lookup!$A$3,($BD12+1)^BK12,
IF($BC12=Lookup!$A$4,BL12*$BD12+1,"Error")))</f>
        <v>1</v>
      </c>
      <c r="BU12" s="320"/>
      <c r="BV12" s="321"/>
      <c r="BW12" s="321"/>
      <c r="BX12" s="321"/>
      <c r="BY12" s="321"/>
      <c r="BZ12" s="321"/>
      <c r="CA12" s="321"/>
      <c r="CB12" s="277"/>
      <c r="CC12" s="382" t="s">
        <v>293</v>
      </c>
      <c r="CD12" s="383">
        <f>HLOOKUP($CC12,$AK$6:$AM$132,ROWS(CC$6:CC12),0)</f>
        <v>0</v>
      </c>
      <c r="CE12" s="234">
        <f t="shared" si="30"/>
        <v>0</v>
      </c>
      <c r="CF12" s="96">
        <f t="shared" si="25"/>
        <v>0</v>
      </c>
      <c r="CG12" s="96">
        <f t="shared" si="25"/>
        <v>0</v>
      </c>
      <c r="CH12" s="96">
        <f t="shared" si="25"/>
        <v>0</v>
      </c>
      <c r="CI12" s="96">
        <f t="shared" si="25"/>
        <v>0</v>
      </c>
      <c r="CJ12" s="96">
        <f t="shared" si="25"/>
        <v>0</v>
      </c>
      <c r="CK12" s="96">
        <f t="shared" si="25"/>
        <v>0</v>
      </c>
      <c r="CL12" s="286">
        <f t="shared" si="25"/>
        <v>0</v>
      </c>
      <c r="CM12" s="305" t="s">
        <v>292</v>
      </c>
      <c r="CN12" s="315">
        <v>0.05</v>
      </c>
      <c r="CO12" s="306" t="e">
        <f>'Defect P1'!CP12*1.5</f>
        <v>#VALUE!</v>
      </c>
      <c r="CP12" s="307" t="e">
        <f>IF($CO12&lt;&gt;"",$CO12,HLOOKUP($CM12,$AY$6:$BA$132,ROWS(CO$6:CO12),0))</f>
        <v>#VALUE!</v>
      </c>
      <c r="CQ12" s="784" t="str">
        <f t="shared" si="26"/>
        <v/>
      </c>
      <c r="CR12" s="784" t="str">
        <f t="shared" si="26"/>
        <v/>
      </c>
      <c r="CS12" s="97" t="str">
        <f t="shared" si="26"/>
        <v/>
      </c>
      <c r="CT12" s="97" t="str">
        <f t="shared" si="26"/>
        <v/>
      </c>
      <c r="CU12" s="97" t="str">
        <f t="shared" si="26"/>
        <v/>
      </c>
      <c r="CV12" s="97" t="str">
        <f t="shared" si="26"/>
        <v/>
      </c>
      <c r="CW12" s="97" t="str">
        <f t="shared" si="26"/>
        <v/>
      </c>
      <c r="CX12" s="98" t="str">
        <f t="shared" si="26"/>
        <v/>
      </c>
      <c r="CY12" s="392" t="s">
        <v>506</v>
      </c>
    </row>
    <row r="13" spans="1:104" x14ac:dyDescent="0.25">
      <c r="A13" s="81" t="s">
        <v>27</v>
      </c>
      <c r="B13" s="82" t="s">
        <v>36</v>
      </c>
      <c r="C13" s="83" t="s">
        <v>37</v>
      </c>
      <c r="D13" s="84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654">
        <f>'2022-23 Input'!G13</f>
        <v>0</v>
      </c>
      <c r="N13" s="1065">
        <v>0</v>
      </c>
      <c r="O13" s="560">
        <f t="shared" si="27"/>
        <v>0</v>
      </c>
      <c r="P13" s="561">
        <f t="shared" si="0"/>
        <v>0</v>
      </c>
      <c r="Q13" s="561">
        <f t="shared" si="1"/>
        <v>0</v>
      </c>
      <c r="R13" s="561">
        <f t="shared" si="2"/>
        <v>0</v>
      </c>
      <c r="S13" s="561">
        <f t="shared" si="3"/>
        <v>0</v>
      </c>
      <c r="T13" s="561">
        <f t="shared" si="4"/>
        <v>0</v>
      </c>
      <c r="U13" s="561">
        <f t="shared" si="5"/>
        <v>0</v>
      </c>
      <c r="V13" s="561">
        <f t="shared" si="6"/>
        <v>0</v>
      </c>
      <c r="W13" s="675">
        <f t="shared" si="7"/>
        <v>0</v>
      </c>
      <c r="X13" s="675">
        <f t="shared" si="8"/>
        <v>0</v>
      </c>
      <c r="Y13" s="675">
        <f t="shared" si="8"/>
        <v>0</v>
      </c>
      <c r="Z13" s="86">
        <v>0</v>
      </c>
      <c r="AA13" s="87">
        <v>0</v>
      </c>
      <c r="AB13" s="87">
        <v>0</v>
      </c>
      <c r="AC13" s="87">
        <v>0</v>
      </c>
      <c r="AD13" s="87">
        <v>0</v>
      </c>
      <c r="AE13" s="87">
        <v>0</v>
      </c>
      <c r="AF13" s="87">
        <v>0</v>
      </c>
      <c r="AG13" s="87">
        <v>0</v>
      </c>
      <c r="AH13" s="87">
        <v>0</v>
      </c>
      <c r="AI13" s="1094">
        <f>'2022-23 Input'!N13</f>
        <v>0</v>
      </c>
      <c r="AJ13" s="665">
        <v>0</v>
      </c>
      <c r="AK13" s="88">
        <f t="shared" si="9"/>
        <v>0</v>
      </c>
      <c r="AL13" s="89">
        <f t="shared" si="10"/>
        <v>0</v>
      </c>
      <c r="AM13" s="90">
        <f t="shared" si="11"/>
        <v>0</v>
      </c>
      <c r="AN13" s="91" t="str">
        <f t="shared" si="12"/>
        <v/>
      </c>
      <c r="AO13" s="92" t="str">
        <f t="shared" si="13"/>
        <v/>
      </c>
      <c r="AP13" s="92" t="str">
        <f t="shared" si="14"/>
        <v/>
      </c>
      <c r="AQ13" s="92" t="str">
        <f t="shared" si="15"/>
        <v/>
      </c>
      <c r="AR13" s="92" t="str">
        <f t="shared" si="16"/>
        <v/>
      </c>
      <c r="AS13" s="92" t="str">
        <f t="shared" si="17"/>
        <v/>
      </c>
      <c r="AT13" s="92" t="str">
        <f t="shared" si="18"/>
        <v/>
      </c>
      <c r="AU13" s="92" t="str">
        <f t="shared" si="19"/>
        <v/>
      </c>
      <c r="AV13" s="92" t="str">
        <f t="shared" si="20"/>
        <v/>
      </c>
      <c r="AW13" s="92" t="str">
        <f t="shared" si="20"/>
        <v/>
      </c>
      <c r="AX13" s="92" t="str">
        <f t="shared" si="20"/>
        <v/>
      </c>
      <c r="AY13" s="93" t="str">
        <f t="shared" si="21"/>
        <v/>
      </c>
      <c r="AZ13" s="94" t="str">
        <f t="shared" si="22"/>
        <v/>
      </c>
      <c r="BA13" s="95" t="str">
        <f t="shared" si="23"/>
        <v/>
      </c>
      <c r="BB13" s="248" t="s">
        <v>422</v>
      </c>
      <c r="BC13" s="229" t="s">
        <v>433</v>
      </c>
      <c r="BD13" s="249">
        <v>0</v>
      </c>
      <c r="BE13" s="267">
        <f t="shared" si="28"/>
        <v>0</v>
      </c>
      <c r="BF13" s="268">
        <f t="shared" ref="BF13:BL13" si="35">IF(BF$6=$BB13,1,
IF(BE13&lt;&gt;0,BE13+1,0
))</f>
        <v>0</v>
      </c>
      <c r="BG13" s="268">
        <f t="shared" si="35"/>
        <v>0</v>
      </c>
      <c r="BH13" s="268">
        <f t="shared" si="35"/>
        <v>1</v>
      </c>
      <c r="BI13" s="268">
        <f t="shared" si="35"/>
        <v>2</v>
      </c>
      <c r="BJ13" s="268">
        <f t="shared" si="35"/>
        <v>3</v>
      </c>
      <c r="BK13" s="268">
        <f t="shared" si="35"/>
        <v>4</v>
      </c>
      <c r="BL13" s="269">
        <f t="shared" si="35"/>
        <v>5</v>
      </c>
      <c r="BM13" s="256">
        <f>IF($BC13=Lookup!$A$2,$BD13*ROUNDUP(BE13/10,0)+1,
IF($BC13=Lookup!$A$3,($BD13+1)^BD13,
IF($BC13=Lookup!$A$4,BE13*$BD13+1,"Error")))</f>
        <v>1</v>
      </c>
      <c r="BN13" s="229">
        <f>IF($BC13=Lookup!$A$2,$BD13*ROUNDUP(BF13/10,0)+1,
IF($BC13=Lookup!$A$3,($BD13+1)^BE13,
IF($BC13=Lookup!$A$4,BF13*$BD13+1,"Error")))</f>
        <v>1</v>
      </c>
      <c r="BO13" s="229">
        <f>IF($BC13=Lookup!$A$2,$BD13*ROUNDUP(BG13/10,0)+1,
IF($BC13=Lookup!$A$3,($BD13+1)^BF13,
IF($BC13=Lookup!$A$4,BG13*$BD13+1,"Error")))</f>
        <v>1</v>
      </c>
      <c r="BP13" s="229">
        <f>IF($BC13=Lookup!$A$2,$BD13*ROUNDUP(BH13/10,0)+1,
IF($BC13=Lookup!$A$3,($BD13+1)^BG13,
IF($BC13=Lookup!$A$4,BH13*$BD13+1,"Error")))</f>
        <v>1</v>
      </c>
      <c r="BQ13" s="229">
        <f>IF($BC13=Lookup!$A$2,$BD13*ROUNDUP(BI13/10,0)+1,
IF($BC13=Lookup!$A$3,($BD13+1)^BH13,
IF($BC13=Lookup!$A$4,BI13*$BD13+1,"Error")))</f>
        <v>1</v>
      </c>
      <c r="BR13" s="229">
        <f>IF($BC13=Lookup!$A$2,$BD13*ROUNDUP(BJ13/10,0)+1,
IF($BC13=Lookup!$A$3,($BD13+1)^BI13,
IF($BC13=Lookup!$A$4,BJ13*$BD13+1,"Error")))</f>
        <v>1</v>
      </c>
      <c r="BS13" s="229">
        <f>IF($BC13=Lookup!$A$2,$BD13*ROUNDUP(BK13/10,0)+1,
IF($BC13=Lookup!$A$3,($BD13+1)^BJ13,
IF($BC13=Lookup!$A$4,BK13*$BD13+1,"Error")))</f>
        <v>1</v>
      </c>
      <c r="BT13" s="249">
        <f>IF($BC13=Lookup!$A$2,$BD13*ROUNDUP(BL13/10,0)+1,
IF($BC13=Lookup!$A$3,($BD13+1)^BK13,
IF($BC13=Lookup!$A$4,BL13*$BD13+1,"Error")))</f>
        <v>1</v>
      </c>
      <c r="BU13" s="320"/>
      <c r="BV13" s="321"/>
      <c r="BW13" s="321"/>
      <c r="BX13" s="321"/>
      <c r="BY13" s="321"/>
      <c r="BZ13" s="321"/>
      <c r="CA13" s="321"/>
      <c r="CB13" s="277"/>
      <c r="CC13" s="382" t="s">
        <v>293</v>
      </c>
      <c r="CD13" s="383">
        <f>HLOOKUP($CC13,$AK$6:$AM$132,ROWS(CC$6:CC13),0)</f>
        <v>0</v>
      </c>
      <c r="CE13" s="234">
        <f t="shared" si="30"/>
        <v>0</v>
      </c>
      <c r="CF13" s="96">
        <f t="shared" si="25"/>
        <v>0</v>
      </c>
      <c r="CG13" s="96">
        <f t="shared" si="25"/>
        <v>0</v>
      </c>
      <c r="CH13" s="96">
        <f t="shared" si="25"/>
        <v>0</v>
      </c>
      <c r="CI13" s="96">
        <f t="shared" si="25"/>
        <v>0</v>
      </c>
      <c r="CJ13" s="96">
        <f t="shared" si="25"/>
        <v>0</v>
      </c>
      <c r="CK13" s="96">
        <f t="shared" si="25"/>
        <v>0</v>
      </c>
      <c r="CL13" s="286">
        <f t="shared" si="25"/>
        <v>0</v>
      </c>
      <c r="CM13" s="305" t="s">
        <v>293</v>
      </c>
      <c r="CN13" s="315">
        <v>0.05</v>
      </c>
      <c r="CO13" s="306"/>
      <c r="CP13" s="307" t="str">
        <f>IF($CO13&lt;&gt;"",$CO13,HLOOKUP($CM13,$AY$6:$BA$132,ROWS(CO$6:CO13),0))</f>
        <v/>
      </c>
      <c r="CQ13" s="784" t="str">
        <f t="shared" si="26"/>
        <v/>
      </c>
      <c r="CR13" s="784" t="str">
        <f t="shared" si="26"/>
        <v/>
      </c>
      <c r="CS13" s="97" t="str">
        <f t="shared" si="26"/>
        <v/>
      </c>
      <c r="CT13" s="97" t="str">
        <f t="shared" si="26"/>
        <v/>
      </c>
      <c r="CU13" s="97" t="str">
        <f t="shared" si="26"/>
        <v/>
      </c>
      <c r="CV13" s="97" t="str">
        <f t="shared" si="26"/>
        <v/>
      </c>
      <c r="CW13" s="97" t="str">
        <f t="shared" si="26"/>
        <v/>
      </c>
      <c r="CX13" s="98" t="str">
        <f t="shared" si="26"/>
        <v/>
      </c>
      <c r="CY13" s="392"/>
    </row>
    <row r="14" spans="1:104" x14ac:dyDescent="0.25">
      <c r="A14" s="81" t="s">
        <v>27</v>
      </c>
      <c r="B14" s="82" t="s">
        <v>39</v>
      </c>
      <c r="C14" s="83" t="s">
        <v>299</v>
      </c>
      <c r="D14" s="84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654">
        <f>'2022-23 Input'!G14</f>
        <v>0</v>
      </c>
      <c r="N14" s="1065">
        <v>0</v>
      </c>
      <c r="O14" s="560">
        <f t="shared" si="27"/>
        <v>0</v>
      </c>
      <c r="P14" s="561">
        <f t="shared" si="0"/>
        <v>0</v>
      </c>
      <c r="Q14" s="561">
        <f t="shared" si="1"/>
        <v>0</v>
      </c>
      <c r="R14" s="561">
        <f t="shared" si="2"/>
        <v>0</v>
      </c>
      <c r="S14" s="561">
        <f t="shared" si="3"/>
        <v>0</v>
      </c>
      <c r="T14" s="561">
        <f t="shared" si="4"/>
        <v>0</v>
      </c>
      <c r="U14" s="561">
        <f t="shared" si="5"/>
        <v>0</v>
      </c>
      <c r="V14" s="561">
        <f t="shared" si="6"/>
        <v>0</v>
      </c>
      <c r="W14" s="675">
        <f t="shared" si="7"/>
        <v>0</v>
      </c>
      <c r="X14" s="675">
        <f t="shared" si="8"/>
        <v>0</v>
      </c>
      <c r="Y14" s="675">
        <f t="shared" si="8"/>
        <v>0</v>
      </c>
      <c r="Z14" s="86">
        <v>0</v>
      </c>
      <c r="AA14" s="87">
        <v>0</v>
      </c>
      <c r="AB14" s="87">
        <v>0</v>
      </c>
      <c r="AC14" s="87">
        <v>0</v>
      </c>
      <c r="AD14" s="87">
        <v>0</v>
      </c>
      <c r="AE14" s="87">
        <v>0</v>
      </c>
      <c r="AF14" s="87">
        <v>0</v>
      </c>
      <c r="AG14" s="87">
        <v>0</v>
      </c>
      <c r="AH14" s="87">
        <v>0</v>
      </c>
      <c r="AI14" s="1094">
        <f>'2022-23 Input'!N14</f>
        <v>0</v>
      </c>
      <c r="AJ14" s="665">
        <v>0</v>
      </c>
      <c r="AK14" s="88">
        <f t="shared" si="9"/>
        <v>0</v>
      </c>
      <c r="AL14" s="89">
        <f t="shared" si="10"/>
        <v>0</v>
      </c>
      <c r="AM14" s="90">
        <f t="shared" si="11"/>
        <v>0</v>
      </c>
      <c r="AN14" s="91" t="str">
        <f t="shared" si="12"/>
        <v/>
      </c>
      <c r="AO14" s="92" t="str">
        <f t="shared" si="13"/>
        <v/>
      </c>
      <c r="AP14" s="92" t="str">
        <f t="shared" si="14"/>
        <v/>
      </c>
      <c r="AQ14" s="92" t="str">
        <f t="shared" si="15"/>
        <v/>
      </c>
      <c r="AR14" s="92" t="str">
        <f t="shared" si="16"/>
        <v/>
      </c>
      <c r="AS14" s="92" t="str">
        <f t="shared" si="17"/>
        <v/>
      </c>
      <c r="AT14" s="92" t="str">
        <f t="shared" si="18"/>
        <v/>
      </c>
      <c r="AU14" s="92" t="str">
        <f t="shared" si="19"/>
        <v/>
      </c>
      <c r="AV14" s="92" t="str">
        <f t="shared" si="20"/>
        <v/>
      </c>
      <c r="AW14" s="92" t="str">
        <f t="shared" si="20"/>
        <v/>
      </c>
      <c r="AX14" s="92" t="str">
        <f t="shared" si="20"/>
        <v/>
      </c>
      <c r="AY14" s="93" t="str">
        <f t="shared" si="21"/>
        <v/>
      </c>
      <c r="AZ14" s="94" t="str">
        <f t="shared" si="22"/>
        <v/>
      </c>
      <c r="BA14" s="95" t="str">
        <f t="shared" si="23"/>
        <v/>
      </c>
      <c r="BB14" s="248" t="s">
        <v>422</v>
      </c>
      <c r="BC14" s="229" t="s">
        <v>433</v>
      </c>
      <c r="BD14" s="249">
        <v>0</v>
      </c>
      <c r="BE14" s="267">
        <f t="shared" si="28"/>
        <v>0</v>
      </c>
      <c r="BF14" s="268">
        <f t="shared" ref="BF14:BL14" si="36">IF(BF$6=$BB14,1,
IF(BE14&lt;&gt;0,BE14+1,0
))</f>
        <v>0</v>
      </c>
      <c r="BG14" s="268">
        <f t="shared" si="36"/>
        <v>0</v>
      </c>
      <c r="BH14" s="268">
        <f t="shared" si="36"/>
        <v>1</v>
      </c>
      <c r="BI14" s="268">
        <f t="shared" si="36"/>
        <v>2</v>
      </c>
      <c r="BJ14" s="268">
        <f t="shared" si="36"/>
        <v>3</v>
      </c>
      <c r="BK14" s="268">
        <f t="shared" si="36"/>
        <v>4</v>
      </c>
      <c r="BL14" s="269">
        <f t="shared" si="36"/>
        <v>5</v>
      </c>
      <c r="BM14" s="256">
        <f>IF($BC14=Lookup!$A$2,$BD14*ROUNDUP(BE14/10,0)+1,
IF($BC14=Lookup!$A$3,($BD14+1)^BD14,
IF($BC14=Lookup!$A$4,BE14*$BD14+1,"Error")))</f>
        <v>1</v>
      </c>
      <c r="BN14" s="229">
        <f>IF($BC14=Lookup!$A$2,$BD14*ROUNDUP(BF14/10,0)+1,
IF($BC14=Lookup!$A$3,($BD14+1)^BE14,
IF($BC14=Lookup!$A$4,BF14*$BD14+1,"Error")))</f>
        <v>1</v>
      </c>
      <c r="BO14" s="229">
        <f>IF($BC14=Lookup!$A$2,$BD14*ROUNDUP(BG14/10,0)+1,
IF($BC14=Lookup!$A$3,($BD14+1)^BF14,
IF($BC14=Lookup!$A$4,BG14*$BD14+1,"Error")))</f>
        <v>1</v>
      </c>
      <c r="BP14" s="229">
        <f>IF($BC14=Lookup!$A$2,$BD14*ROUNDUP(BH14/10,0)+1,
IF($BC14=Lookup!$A$3,($BD14+1)^BG14,
IF($BC14=Lookup!$A$4,BH14*$BD14+1,"Error")))</f>
        <v>1</v>
      </c>
      <c r="BQ14" s="229">
        <f>IF($BC14=Lookup!$A$2,$BD14*ROUNDUP(BI14/10,0)+1,
IF($BC14=Lookup!$A$3,($BD14+1)^BH14,
IF($BC14=Lookup!$A$4,BI14*$BD14+1,"Error")))</f>
        <v>1</v>
      </c>
      <c r="BR14" s="229">
        <f>IF($BC14=Lookup!$A$2,$BD14*ROUNDUP(BJ14/10,0)+1,
IF($BC14=Lookup!$A$3,($BD14+1)^BI14,
IF($BC14=Lookup!$A$4,BJ14*$BD14+1,"Error")))</f>
        <v>1</v>
      </c>
      <c r="BS14" s="229">
        <f>IF($BC14=Lookup!$A$2,$BD14*ROUNDUP(BK14/10,0)+1,
IF($BC14=Lookup!$A$3,($BD14+1)^BJ14,
IF($BC14=Lookup!$A$4,BK14*$BD14+1,"Error")))</f>
        <v>1</v>
      </c>
      <c r="BT14" s="249">
        <f>IF($BC14=Lookup!$A$2,$BD14*ROUNDUP(BL14/10,0)+1,
IF($BC14=Lookup!$A$3,($BD14+1)^BK14,
IF($BC14=Lookup!$A$4,BL14*$BD14+1,"Error")))</f>
        <v>1</v>
      </c>
      <c r="BU14" s="320"/>
      <c r="BV14" s="321"/>
      <c r="BW14" s="321"/>
      <c r="BX14" s="321"/>
      <c r="BY14" s="321"/>
      <c r="BZ14" s="321"/>
      <c r="CA14" s="321"/>
      <c r="CB14" s="277"/>
      <c r="CC14" s="382" t="s">
        <v>293</v>
      </c>
      <c r="CD14" s="383">
        <f>HLOOKUP($CC14,$AK$6:$AM$132,ROWS(CC$6:CC14),0)</f>
        <v>0</v>
      </c>
      <c r="CE14" s="234">
        <f t="shared" si="30"/>
        <v>0</v>
      </c>
      <c r="CF14" s="96">
        <f t="shared" si="25"/>
        <v>0</v>
      </c>
      <c r="CG14" s="96">
        <f t="shared" si="25"/>
        <v>0</v>
      </c>
      <c r="CH14" s="96">
        <f t="shared" si="25"/>
        <v>0</v>
      </c>
      <c r="CI14" s="96">
        <f t="shared" si="25"/>
        <v>0</v>
      </c>
      <c r="CJ14" s="96">
        <f t="shared" si="25"/>
        <v>0</v>
      </c>
      <c r="CK14" s="96">
        <f t="shared" si="25"/>
        <v>0</v>
      </c>
      <c r="CL14" s="286">
        <f t="shared" si="25"/>
        <v>0</v>
      </c>
      <c r="CM14" s="305" t="s">
        <v>293</v>
      </c>
      <c r="CN14" s="315">
        <v>0.05</v>
      </c>
      <c r="CO14" s="306"/>
      <c r="CP14" s="307" t="str">
        <f>IF($CO14&lt;&gt;"",$CO14,HLOOKUP($CM14,$AY$6:$BA$132,ROWS(CO$6:CO14),0))</f>
        <v/>
      </c>
      <c r="CQ14" s="784" t="str">
        <f t="shared" si="26"/>
        <v/>
      </c>
      <c r="CR14" s="784" t="str">
        <f t="shared" si="26"/>
        <v/>
      </c>
      <c r="CS14" s="97" t="str">
        <f t="shared" si="26"/>
        <v/>
      </c>
      <c r="CT14" s="97" t="str">
        <f t="shared" si="26"/>
        <v/>
      </c>
      <c r="CU14" s="97" t="str">
        <f t="shared" si="26"/>
        <v/>
      </c>
      <c r="CV14" s="97" t="str">
        <f t="shared" si="26"/>
        <v/>
      </c>
      <c r="CW14" s="97" t="str">
        <f t="shared" si="26"/>
        <v/>
      </c>
      <c r="CX14" s="98" t="str">
        <f t="shared" si="26"/>
        <v/>
      </c>
      <c r="CY14" s="392"/>
    </row>
    <row r="15" spans="1:104" x14ac:dyDescent="0.25">
      <c r="A15" s="81" t="s">
        <v>27</v>
      </c>
      <c r="B15" s="82" t="s">
        <v>41</v>
      </c>
      <c r="C15" s="83" t="s">
        <v>42</v>
      </c>
      <c r="D15" s="84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  <c r="M15" s="654">
        <f>'2022-23 Input'!G15</f>
        <v>0</v>
      </c>
      <c r="N15" s="1065">
        <v>0</v>
      </c>
      <c r="O15" s="560">
        <f t="shared" si="27"/>
        <v>0</v>
      </c>
      <c r="P15" s="561">
        <f t="shared" si="0"/>
        <v>0</v>
      </c>
      <c r="Q15" s="561">
        <f t="shared" si="1"/>
        <v>0</v>
      </c>
      <c r="R15" s="561">
        <f t="shared" si="2"/>
        <v>0</v>
      </c>
      <c r="S15" s="561">
        <f t="shared" si="3"/>
        <v>0</v>
      </c>
      <c r="T15" s="561">
        <f t="shared" si="4"/>
        <v>0</v>
      </c>
      <c r="U15" s="561">
        <f t="shared" si="5"/>
        <v>0</v>
      </c>
      <c r="V15" s="561">
        <f t="shared" si="6"/>
        <v>0</v>
      </c>
      <c r="W15" s="675">
        <f t="shared" si="7"/>
        <v>0</v>
      </c>
      <c r="X15" s="675">
        <f t="shared" si="8"/>
        <v>0</v>
      </c>
      <c r="Y15" s="675">
        <f t="shared" si="8"/>
        <v>0</v>
      </c>
      <c r="Z15" s="86">
        <v>0</v>
      </c>
      <c r="AA15" s="87">
        <v>0</v>
      </c>
      <c r="AB15" s="87">
        <v>0</v>
      </c>
      <c r="AC15" s="87">
        <v>0</v>
      </c>
      <c r="AD15" s="87">
        <v>0</v>
      </c>
      <c r="AE15" s="87">
        <v>0</v>
      </c>
      <c r="AF15" s="87">
        <v>0</v>
      </c>
      <c r="AG15" s="87">
        <v>0</v>
      </c>
      <c r="AH15" s="87">
        <v>0</v>
      </c>
      <c r="AI15" s="1094">
        <f>'2022-23 Input'!N15</f>
        <v>0</v>
      </c>
      <c r="AJ15" s="665">
        <v>0</v>
      </c>
      <c r="AK15" s="88">
        <f t="shared" si="9"/>
        <v>0</v>
      </c>
      <c r="AL15" s="89">
        <f t="shared" si="10"/>
        <v>0</v>
      </c>
      <c r="AM15" s="90">
        <f t="shared" si="11"/>
        <v>0</v>
      </c>
      <c r="AN15" s="91" t="str">
        <f t="shared" si="12"/>
        <v/>
      </c>
      <c r="AO15" s="92" t="str">
        <f t="shared" si="13"/>
        <v/>
      </c>
      <c r="AP15" s="92" t="str">
        <f t="shared" si="14"/>
        <v/>
      </c>
      <c r="AQ15" s="92" t="str">
        <f t="shared" si="15"/>
        <v/>
      </c>
      <c r="AR15" s="92" t="str">
        <f t="shared" si="16"/>
        <v/>
      </c>
      <c r="AS15" s="92" t="str">
        <f t="shared" si="17"/>
        <v/>
      </c>
      <c r="AT15" s="92" t="str">
        <f t="shared" si="18"/>
        <v/>
      </c>
      <c r="AU15" s="92" t="str">
        <f t="shared" si="19"/>
        <v/>
      </c>
      <c r="AV15" s="92" t="str">
        <f t="shared" si="20"/>
        <v/>
      </c>
      <c r="AW15" s="92" t="str">
        <f t="shared" si="20"/>
        <v/>
      </c>
      <c r="AX15" s="92" t="str">
        <f t="shared" si="20"/>
        <v/>
      </c>
      <c r="AY15" s="93" t="str">
        <f t="shared" si="21"/>
        <v/>
      </c>
      <c r="AZ15" s="94" t="str">
        <f t="shared" si="22"/>
        <v/>
      </c>
      <c r="BA15" s="95" t="str">
        <f t="shared" si="23"/>
        <v/>
      </c>
      <c r="BB15" s="248" t="s">
        <v>422</v>
      </c>
      <c r="BC15" s="229" t="s">
        <v>433</v>
      </c>
      <c r="BD15" s="249">
        <v>0</v>
      </c>
      <c r="BE15" s="267">
        <f t="shared" si="28"/>
        <v>0</v>
      </c>
      <c r="BF15" s="268">
        <f t="shared" ref="BF15:BL15" si="37">IF(BF$6=$BB15,1,
IF(BE15&lt;&gt;0,BE15+1,0
))</f>
        <v>0</v>
      </c>
      <c r="BG15" s="268">
        <f t="shared" si="37"/>
        <v>0</v>
      </c>
      <c r="BH15" s="268">
        <f t="shared" si="37"/>
        <v>1</v>
      </c>
      <c r="BI15" s="268">
        <f t="shared" si="37"/>
        <v>2</v>
      </c>
      <c r="BJ15" s="268">
        <f t="shared" si="37"/>
        <v>3</v>
      </c>
      <c r="BK15" s="268">
        <f t="shared" si="37"/>
        <v>4</v>
      </c>
      <c r="BL15" s="269">
        <f t="shared" si="37"/>
        <v>5</v>
      </c>
      <c r="BM15" s="256">
        <f>IF($BC15=Lookup!$A$2,$BD15*ROUNDUP(BE15/10,0)+1,
IF($BC15=Lookup!$A$3,($BD15+1)^BD15,
IF($BC15=Lookup!$A$4,BE15*$BD15+1,"Error")))</f>
        <v>1</v>
      </c>
      <c r="BN15" s="229">
        <f>IF($BC15=Lookup!$A$2,$BD15*ROUNDUP(BF15/10,0)+1,
IF($BC15=Lookup!$A$3,($BD15+1)^BE15,
IF($BC15=Lookup!$A$4,BF15*$BD15+1,"Error")))</f>
        <v>1</v>
      </c>
      <c r="BO15" s="229">
        <f>IF($BC15=Lookup!$A$2,$BD15*ROUNDUP(BG15/10,0)+1,
IF($BC15=Lookup!$A$3,($BD15+1)^BF15,
IF($BC15=Lookup!$A$4,BG15*$BD15+1,"Error")))</f>
        <v>1</v>
      </c>
      <c r="BP15" s="229">
        <f>IF($BC15=Lookup!$A$2,$BD15*ROUNDUP(BH15/10,0)+1,
IF($BC15=Lookup!$A$3,($BD15+1)^BG15,
IF($BC15=Lookup!$A$4,BH15*$BD15+1,"Error")))</f>
        <v>1</v>
      </c>
      <c r="BQ15" s="229">
        <f>IF($BC15=Lookup!$A$2,$BD15*ROUNDUP(BI15/10,0)+1,
IF($BC15=Lookup!$A$3,($BD15+1)^BH15,
IF($BC15=Lookup!$A$4,BI15*$BD15+1,"Error")))</f>
        <v>1</v>
      </c>
      <c r="BR15" s="229">
        <f>IF($BC15=Lookup!$A$2,$BD15*ROUNDUP(BJ15/10,0)+1,
IF($BC15=Lookup!$A$3,($BD15+1)^BI15,
IF($BC15=Lookup!$A$4,BJ15*$BD15+1,"Error")))</f>
        <v>1</v>
      </c>
      <c r="BS15" s="229">
        <f>IF($BC15=Lookup!$A$2,$BD15*ROUNDUP(BK15/10,0)+1,
IF($BC15=Lookup!$A$3,($BD15+1)^BJ15,
IF($BC15=Lookup!$A$4,BK15*$BD15+1,"Error")))</f>
        <v>1</v>
      </c>
      <c r="BT15" s="249">
        <f>IF($BC15=Lookup!$A$2,$BD15*ROUNDUP(BL15/10,0)+1,
IF($BC15=Lookup!$A$3,($BD15+1)^BK15,
IF($BC15=Lookup!$A$4,BL15*$BD15+1,"Error")))</f>
        <v>1</v>
      </c>
      <c r="BU15" s="320"/>
      <c r="BV15" s="321"/>
      <c r="BW15" s="321"/>
      <c r="BX15" s="321"/>
      <c r="BY15" s="321"/>
      <c r="BZ15" s="321"/>
      <c r="CA15" s="321"/>
      <c r="CB15" s="277"/>
      <c r="CC15" s="382" t="s">
        <v>293</v>
      </c>
      <c r="CD15" s="383">
        <f>HLOOKUP($CC15,$AK$6:$AM$132,ROWS(CC$6:CC15),0)</f>
        <v>0</v>
      </c>
      <c r="CE15" s="234">
        <f t="shared" si="30"/>
        <v>0</v>
      </c>
      <c r="CF15" s="96">
        <f t="shared" si="25"/>
        <v>0</v>
      </c>
      <c r="CG15" s="96">
        <f t="shared" si="25"/>
        <v>0</v>
      </c>
      <c r="CH15" s="96">
        <f t="shared" si="25"/>
        <v>0</v>
      </c>
      <c r="CI15" s="96">
        <f t="shared" si="25"/>
        <v>0</v>
      </c>
      <c r="CJ15" s="96">
        <f t="shared" si="25"/>
        <v>0</v>
      </c>
      <c r="CK15" s="96">
        <f t="shared" si="25"/>
        <v>0</v>
      </c>
      <c r="CL15" s="286">
        <f t="shared" si="25"/>
        <v>0</v>
      </c>
      <c r="CM15" s="305" t="s">
        <v>293</v>
      </c>
      <c r="CN15" s="315">
        <v>0.05</v>
      </c>
      <c r="CO15" s="306"/>
      <c r="CP15" s="307" t="str">
        <f>IF($CO15&lt;&gt;"",$CO15,HLOOKUP($CM15,$AY$6:$BA$132,ROWS(CO$6:CO15),0))</f>
        <v/>
      </c>
      <c r="CQ15" s="784" t="str">
        <f t="shared" si="26"/>
        <v/>
      </c>
      <c r="CR15" s="784" t="str">
        <f t="shared" si="26"/>
        <v/>
      </c>
      <c r="CS15" s="97" t="str">
        <f t="shared" si="26"/>
        <v/>
      </c>
      <c r="CT15" s="97" t="str">
        <f t="shared" si="26"/>
        <v/>
      </c>
      <c r="CU15" s="97" t="str">
        <f t="shared" si="26"/>
        <v/>
      </c>
      <c r="CV15" s="97" t="str">
        <f t="shared" si="26"/>
        <v/>
      </c>
      <c r="CW15" s="97" t="str">
        <f t="shared" si="26"/>
        <v/>
      </c>
      <c r="CX15" s="98" t="str">
        <f t="shared" si="26"/>
        <v/>
      </c>
      <c r="CY15" s="392"/>
    </row>
    <row r="16" spans="1:104" x14ac:dyDescent="0.25">
      <c r="A16" s="81" t="s">
        <v>27</v>
      </c>
      <c r="B16" s="82" t="s">
        <v>43</v>
      </c>
      <c r="C16" s="83" t="s">
        <v>300</v>
      </c>
      <c r="D16" s="84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  <c r="M16" s="654">
        <f>'2022-23 Input'!G16</f>
        <v>0</v>
      </c>
      <c r="N16" s="1065">
        <v>0</v>
      </c>
      <c r="O16" s="560">
        <f t="shared" si="27"/>
        <v>0</v>
      </c>
      <c r="P16" s="561">
        <f t="shared" si="0"/>
        <v>0</v>
      </c>
      <c r="Q16" s="561">
        <f t="shared" si="1"/>
        <v>0</v>
      </c>
      <c r="R16" s="561">
        <f t="shared" si="2"/>
        <v>0</v>
      </c>
      <c r="S16" s="561">
        <f t="shared" si="3"/>
        <v>0</v>
      </c>
      <c r="T16" s="561">
        <f t="shared" si="4"/>
        <v>0</v>
      </c>
      <c r="U16" s="561">
        <f t="shared" si="5"/>
        <v>0</v>
      </c>
      <c r="V16" s="561">
        <f t="shared" si="6"/>
        <v>0</v>
      </c>
      <c r="W16" s="675">
        <f t="shared" si="7"/>
        <v>0</v>
      </c>
      <c r="X16" s="675">
        <f t="shared" si="8"/>
        <v>0</v>
      </c>
      <c r="Y16" s="675">
        <f t="shared" si="8"/>
        <v>0</v>
      </c>
      <c r="Z16" s="86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87">
        <v>0</v>
      </c>
      <c r="AI16" s="1094">
        <f>'2022-23 Input'!N16</f>
        <v>0</v>
      </c>
      <c r="AJ16" s="665">
        <v>0</v>
      </c>
      <c r="AK16" s="88">
        <f t="shared" si="9"/>
        <v>0</v>
      </c>
      <c r="AL16" s="89">
        <f t="shared" si="10"/>
        <v>0</v>
      </c>
      <c r="AM16" s="90">
        <f t="shared" si="11"/>
        <v>0</v>
      </c>
      <c r="AN16" s="91" t="str">
        <f t="shared" si="12"/>
        <v/>
      </c>
      <c r="AO16" s="92" t="str">
        <f t="shared" si="13"/>
        <v/>
      </c>
      <c r="AP16" s="92" t="str">
        <f t="shared" si="14"/>
        <v/>
      </c>
      <c r="AQ16" s="92" t="str">
        <f t="shared" si="15"/>
        <v/>
      </c>
      <c r="AR16" s="92" t="str">
        <f t="shared" si="16"/>
        <v/>
      </c>
      <c r="AS16" s="92" t="str">
        <f t="shared" si="17"/>
        <v/>
      </c>
      <c r="AT16" s="92" t="str">
        <f t="shared" si="18"/>
        <v/>
      </c>
      <c r="AU16" s="92" t="str">
        <f t="shared" si="19"/>
        <v/>
      </c>
      <c r="AV16" s="92" t="str">
        <f t="shared" si="20"/>
        <v/>
      </c>
      <c r="AW16" s="92" t="str">
        <f t="shared" si="20"/>
        <v/>
      </c>
      <c r="AX16" s="92" t="str">
        <f t="shared" si="20"/>
        <v/>
      </c>
      <c r="AY16" s="93" t="str">
        <f t="shared" si="21"/>
        <v/>
      </c>
      <c r="AZ16" s="94" t="str">
        <f t="shared" si="22"/>
        <v/>
      </c>
      <c r="BA16" s="95" t="str">
        <f t="shared" si="23"/>
        <v/>
      </c>
      <c r="BB16" s="248" t="s">
        <v>422</v>
      </c>
      <c r="BC16" s="229" t="s">
        <v>433</v>
      </c>
      <c r="BD16" s="249">
        <v>0</v>
      </c>
      <c r="BE16" s="267">
        <f t="shared" si="28"/>
        <v>0</v>
      </c>
      <c r="BF16" s="268">
        <f t="shared" ref="BF16:BL16" si="38">IF(BF$6=$BB16,1,
IF(BE16&lt;&gt;0,BE16+1,0
))</f>
        <v>0</v>
      </c>
      <c r="BG16" s="268">
        <f t="shared" si="38"/>
        <v>0</v>
      </c>
      <c r="BH16" s="268">
        <f t="shared" si="38"/>
        <v>1</v>
      </c>
      <c r="BI16" s="268">
        <f t="shared" si="38"/>
        <v>2</v>
      </c>
      <c r="BJ16" s="268">
        <f t="shared" si="38"/>
        <v>3</v>
      </c>
      <c r="BK16" s="268">
        <f t="shared" si="38"/>
        <v>4</v>
      </c>
      <c r="BL16" s="269">
        <f t="shared" si="38"/>
        <v>5</v>
      </c>
      <c r="BM16" s="256">
        <f>IF($BC16=Lookup!$A$2,$BD16*ROUNDUP(BE16/10,0)+1,
IF($BC16=Lookup!$A$3,($BD16+1)^BD16,
IF($BC16=Lookup!$A$4,BE16*$BD16+1,"Error")))</f>
        <v>1</v>
      </c>
      <c r="BN16" s="229">
        <f>IF($BC16=Lookup!$A$2,$BD16*ROUNDUP(BF16/10,0)+1,
IF($BC16=Lookup!$A$3,($BD16+1)^BE16,
IF($BC16=Lookup!$A$4,BF16*$BD16+1,"Error")))</f>
        <v>1</v>
      </c>
      <c r="BO16" s="229">
        <f>IF($BC16=Lookup!$A$2,$BD16*ROUNDUP(BG16/10,0)+1,
IF($BC16=Lookup!$A$3,($BD16+1)^BF16,
IF($BC16=Lookup!$A$4,BG16*$BD16+1,"Error")))</f>
        <v>1</v>
      </c>
      <c r="BP16" s="229">
        <f>IF($BC16=Lookup!$A$2,$BD16*ROUNDUP(BH16/10,0)+1,
IF($BC16=Lookup!$A$3,($BD16+1)^BG16,
IF($BC16=Lookup!$A$4,BH16*$BD16+1,"Error")))</f>
        <v>1</v>
      </c>
      <c r="BQ16" s="229">
        <f>IF($BC16=Lookup!$A$2,$BD16*ROUNDUP(BI16/10,0)+1,
IF($BC16=Lookup!$A$3,($BD16+1)^BH16,
IF($BC16=Lookup!$A$4,BI16*$BD16+1,"Error")))</f>
        <v>1</v>
      </c>
      <c r="BR16" s="229">
        <f>IF($BC16=Lookup!$A$2,$BD16*ROUNDUP(BJ16/10,0)+1,
IF($BC16=Lookup!$A$3,($BD16+1)^BI16,
IF($BC16=Lookup!$A$4,BJ16*$BD16+1,"Error")))</f>
        <v>1</v>
      </c>
      <c r="BS16" s="229">
        <f>IF($BC16=Lookup!$A$2,$BD16*ROUNDUP(BK16/10,0)+1,
IF($BC16=Lookup!$A$3,($BD16+1)^BJ16,
IF($BC16=Lookup!$A$4,BK16*$BD16+1,"Error")))</f>
        <v>1</v>
      </c>
      <c r="BT16" s="249">
        <f>IF($BC16=Lookup!$A$2,$BD16*ROUNDUP(BL16/10,0)+1,
IF($BC16=Lookup!$A$3,($BD16+1)^BK16,
IF($BC16=Lookup!$A$4,BL16*$BD16+1,"Error")))</f>
        <v>1</v>
      </c>
      <c r="BU16" s="320"/>
      <c r="BV16" s="321"/>
      <c r="BW16" s="321"/>
      <c r="BX16" s="321"/>
      <c r="BY16" s="321"/>
      <c r="BZ16" s="321"/>
      <c r="CA16" s="321"/>
      <c r="CB16" s="277"/>
      <c r="CC16" s="382" t="s">
        <v>293</v>
      </c>
      <c r="CD16" s="383">
        <f>HLOOKUP($CC16,$AK$6:$AM$132,ROWS(CC$6:CC16),0)</f>
        <v>0</v>
      </c>
      <c r="CE16" s="234">
        <f t="shared" si="30"/>
        <v>0</v>
      </c>
      <c r="CF16" s="96">
        <f t="shared" si="25"/>
        <v>0</v>
      </c>
      <c r="CG16" s="96">
        <f t="shared" si="25"/>
        <v>0</v>
      </c>
      <c r="CH16" s="96">
        <f t="shared" si="25"/>
        <v>0</v>
      </c>
      <c r="CI16" s="96">
        <f t="shared" si="25"/>
        <v>0</v>
      </c>
      <c r="CJ16" s="96">
        <f t="shared" si="25"/>
        <v>0</v>
      </c>
      <c r="CK16" s="96">
        <f t="shared" si="25"/>
        <v>0</v>
      </c>
      <c r="CL16" s="286">
        <f t="shared" si="25"/>
        <v>0</v>
      </c>
      <c r="CM16" s="305" t="s">
        <v>293</v>
      </c>
      <c r="CN16" s="315">
        <v>0.05</v>
      </c>
      <c r="CO16" s="306"/>
      <c r="CP16" s="307" t="str">
        <f>IF($CO16&lt;&gt;"",$CO16,HLOOKUP($CM16,$AY$6:$BA$132,ROWS(CO$6:CO16),0))</f>
        <v/>
      </c>
      <c r="CQ16" s="784" t="str">
        <f t="shared" si="26"/>
        <v/>
      </c>
      <c r="CR16" s="784" t="str">
        <f t="shared" si="26"/>
        <v/>
      </c>
      <c r="CS16" s="97" t="str">
        <f t="shared" si="26"/>
        <v/>
      </c>
      <c r="CT16" s="97" t="str">
        <f t="shared" si="26"/>
        <v/>
      </c>
      <c r="CU16" s="97" t="str">
        <f t="shared" si="26"/>
        <v/>
      </c>
      <c r="CV16" s="97" t="str">
        <f t="shared" si="26"/>
        <v/>
      </c>
      <c r="CW16" s="97" t="str">
        <f t="shared" si="26"/>
        <v/>
      </c>
      <c r="CX16" s="98" t="str">
        <f t="shared" si="26"/>
        <v/>
      </c>
      <c r="CY16" s="392"/>
    </row>
    <row r="17" spans="1:103" x14ac:dyDescent="0.25">
      <c r="A17" s="81" t="s">
        <v>27</v>
      </c>
      <c r="B17" s="82" t="s">
        <v>45</v>
      </c>
      <c r="C17" s="83" t="s">
        <v>46</v>
      </c>
      <c r="D17" s="84">
        <v>0</v>
      </c>
      <c r="E17" s="85">
        <v>0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  <c r="M17" s="654">
        <f>'2022-23 Input'!G17</f>
        <v>0</v>
      </c>
      <c r="N17" s="1065">
        <v>0</v>
      </c>
      <c r="O17" s="560">
        <f t="shared" si="27"/>
        <v>0</v>
      </c>
      <c r="P17" s="561">
        <f t="shared" si="0"/>
        <v>0</v>
      </c>
      <c r="Q17" s="561">
        <f t="shared" si="1"/>
        <v>0</v>
      </c>
      <c r="R17" s="561">
        <f t="shared" si="2"/>
        <v>0</v>
      </c>
      <c r="S17" s="561">
        <f t="shared" si="3"/>
        <v>0</v>
      </c>
      <c r="T17" s="561">
        <f t="shared" si="4"/>
        <v>0</v>
      </c>
      <c r="U17" s="561">
        <f t="shared" si="5"/>
        <v>0</v>
      </c>
      <c r="V17" s="561">
        <f t="shared" si="6"/>
        <v>0</v>
      </c>
      <c r="W17" s="675">
        <f t="shared" si="7"/>
        <v>0</v>
      </c>
      <c r="X17" s="675">
        <f t="shared" si="8"/>
        <v>0</v>
      </c>
      <c r="Y17" s="675">
        <f t="shared" si="8"/>
        <v>0</v>
      </c>
      <c r="Z17" s="86">
        <v>0</v>
      </c>
      <c r="AA17" s="87">
        <v>0</v>
      </c>
      <c r="AB17" s="87">
        <v>0</v>
      </c>
      <c r="AC17" s="87">
        <v>0</v>
      </c>
      <c r="AD17" s="87">
        <v>0</v>
      </c>
      <c r="AE17" s="87">
        <v>0</v>
      </c>
      <c r="AF17" s="87">
        <v>0</v>
      </c>
      <c r="AG17" s="87">
        <v>0</v>
      </c>
      <c r="AH17" s="87">
        <v>0</v>
      </c>
      <c r="AI17" s="1094">
        <f>'2022-23 Input'!N17</f>
        <v>0</v>
      </c>
      <c r="AJ17" s="665">
        <v>0</v>
      </c>
      <c r="AK17" s="88">
        <f t="shared" si="9"/>
        <v>0</v>
      </c>
      <c r="AL17" s="89">
        <f t="shared" si="10"/>
        <v>0</v>
      </c>
      <c r="AM17" s="90">
        <f t="shared" si="11"/>
        <v>0</v>
      </c>
      <c r="AN17" s="91" t="str">
        <f t="shared" si="12"/>
        <v/>
      </c>
      <c r="AO17" s="92" t="str">
        <f t="shared" si="13"/>
        <v/>
      </c>
      <c r="AP17" s="92" t="str">
        <f t="shared" si="14"/>
        <v/>
      </c>
      <c r="AQ17" s="92" t="str">
        <f t="shared" si="15"/>
        <v/>
      </c>
      <c r="AR17" s="92" t="str">
        <f t="shared" si="16"/>
        <v/>
      </c>
      <c r="AS17" s="92" t="str">
        <f t="shared" si="17"/>
        <v/>
      </c>
      <c r="AT17" s="92" t="str">
        <f t="shared" si="18"/>
        <v/>
      </c>
      <c r="AU17" s="92" t="str">
        <f t="shared" si="19"/>
        <v/>
      </c>
      <c r="AV17" s="92" t="str">
        <f t="shared" si="20"/>
        <v/>
      </c>
      <c r="AW17" s="92" t="str">
        <f t="shared" si="20"/>
        <v/>
      </c>
      <c r="AX17" s="92" t="str">
        <f t="shared" si="20"/>
        <v/>
      </c>
      <c r="AY17" s="93" t="str">
        <f t="shared" si="21"/>
        <v/>
      </c>
      <c r="AZ17" s="94" t="str">
        <f t="shared" si="22"/>
        <v/>
      </c>
      <c r="BA17" s="95" t="str">
        <f t="shared" si="23"/>
        <v/>
      </c>
      <c r="BB17" s="248" t="s">
        <v>422</v>
      </c>
      <c r="BC17" s="229" t="s">
        <v>433</v>
      </c>
      <c r="BD17" s="249">
        <v>0</v>
      </c>
      <c r="BE17" s="267">
        <f t="shared" si="28"/>
        <v>0</v>
      </c>
      <c r="BF17" s="268">
        <f t="shared" ref="BF17:BL17" si="39">IF(BF$6=$BB17,1,
IF(BE17&lt;&gt;0,BE17+1,0
))</f>
        <v>0</v>
      </c>
      <c r="BG17" s="268">
        <f t="shared" si="39"/>
        <v>0</v>
      </c>
      <c r="BH17" s="268">
        <f t="shared" si="39"/>
        <v>1</v>
      </c>
      <c r="BI17" s="268">
        <f t="shared" si="39"/>
        <v>2</v>
      </c>
      <c r="BJ17" s="268">
        <f t="shared" si="39"/>
        <v>3</v>
      </c>
      <c r="BK17" s="268">
        <f t="shared" si="39"/>
        <v>4</v>
      </c>
      <c r="BL17" s="269">
        <f t="shared" si="39"/>
        <v>5</v>
      </c>
      <c r="BM17" s="256">
        <f>IF($BC17=Lookup!$A$2,$BD17*ROUNDUP(BE17/10,0)+1,
IF($BC17=Lookup!$A$3,($BD17+1)^BD17,
IF($BC17=Lookup!$A$4,BE17*$BD17+1,"Error")))</f>
        <v>1</v>
      </c>
      <c r="BN17" s="229">
        <f>IF($BC17=Lookup!$A$2,$BD17*ROUNDUP(BF17/10,0)+1,
IF($BC17=Lookup!$A$3,($BD17+1)^BE17,
IF($BC17=Lookup!$A$4,BF17*$BD17+1,"Error")))</f>
        <v>1</v>
      </c>
      <c r="BO17" s="229">
        <f>IF($BC17=Lookup!$A$2,$BD17*ROUNDUP(BG17/10,0)+1,
IF($BC17=Lookup!$A$3,($BD17+1)^BF17,
IF($BC17=Lookup!$A$4,BG17*$BD17+1,"Error")))</f>
        <v>1</v>
      </c>
      <c r="BP17" s="229">
        <f>IF($BC17=Lookup!$A$2,$BD17*ROUNDUP(BH17/10,0)+1,
IF($BC17=Lookup!$A$3,($BD17+1)^BG17,
IF($BC17=Lookup!$A$4,BH17*$BD17+1,"Error")))</f>
        <v>1</v>
      </c>
      <c r="BQ17" s="229">
        <f>IF($BC17=Lookup!$A$2,$BD17*ROUNDUP(BI17/10,0)+1,
IF($BC17=Lookup!$A$3,($BD17+1)^BH17,
IF($BC17=Lookup!$A$4,BI17*$BD17+1,"Error")))</f>
        <v>1</v>
      </c>
      <c r="BR17" s="229">
        <f>IF($BC17=Lookup!$A$2,$BD17*ROUNDUP(BJ17/10,0)+1,
IF($BC17=Lookup!$A$3,($BD17+1)^BI17,
IF($BC17=Lookup!$A$4,BJ17*$BD17+1,"Error")))</f>
        <v>1</v>
      </c>
      <c r="BS17" s="229">
        <f>IF($BC17=Lookup!$A$2,$BD17*ROUNDUP(BK17/10,0)+1,
IF($BC17=Lookup!$A$3,($BD17+1)^BJ17,
IF($BC17=Lookup!$A$4,BK17*$BD17+1,"Error")))</f>
        <v>1</v>
      </c>
      <c r="BT17" s="249">
        <f>IF($BC17=Lookup!$A$2,$BD17*ROUNDUP(BL17/10,0)+1,
IF($BC17=Lookup!$A$3,($BD17+1)^BK17,
IF($BC17=Lookup!$A$4,BL17*$BD17+1,"Error")))</f>
        <v>1</v>
      </c>
      <c r="BU17" s="320"/>
      <c r="BV17" s="321"/>
      <c r="BW17" s="321"/>
      <c r="BX17" s="321"/>
      <c r="BY17" s="321"/>
      <c r="BZ17" s="321"/>
      <c r="CA17" s="321"/>
      <c r="CB17" s="277"/>
      <c r="CC17" s="382" t="s">
        <v>293</v>
      </c>
      <c r="CD17" s="383">
        <f>HLOOKUP($CC17,$AK$6:$AM$132,ROWS(CC$6:CC17),0)</f>
        <v>0</v>
      </c>
      <c r="CE17" s="234">
        <f t="shared" si="30"/>
        <v>0</v>
      </c>
      <c r="CF17" s="96">
        <f t="shared" si="25"/>
        <v>0</v>
      </c>
      <c r="CG17" s="96">
        <f t="shared" si="25"/>
        <v>0</v>
      </c>
      <c r="CH17" s="96">
        <f t="shared" si="25"/>
        <v>0</v>
      </c>
      <c r="CI17" s="96">
        <f t="shared" si="25"/>
        <v>0</v>
      </c>
      <c r="CJ17" s="96">
        <f t="shared" si="25"/>
        <v>0</v>
      </c>
      <c r="CK17" s="96">
        <f t="shared" si="25"/>
        <v>0</v>
      </c>
      <c r="CL17" s="286">
        <f t="shared" si="25"/>
        <v>0</v>
      </c>
      <c r="CM17" s="305" t="s">
        <v>293</v>
      </c>
      <c r="CN17" s="315">
        <v>0.05</v>
      </c>
      <c r="CO17" s="306"/>
      <c r="CP17" s="307" t="str">
        <f>IF($CO17&lt;&gt;"",$CO17,HLOOKUP($CM17,$AY$6:$BA$132,ROWS(CO$6:CO17),0))</f>
        <v/>
      </c>
      <c r="CQ17" s="784" t="str">
        <f t="shared" si="26"/>
        <v/>
      </c>
      <c r="CR17" s="784" t="str">
        <f t="shared" si="26"/>
        <v/>
      </c>
      <c r="CS17" s="97" t="str">
        <f t="shared" si="26"/>
        <v/>
      </c>
      <c r="CT17" s="97" t="str">
        <f t="shared" si="26"/>
        <v/>
      </c>
      <c r="CU17" s="97" t="str">
        <f t="shared" si="26"/>
        <v/>
      </c>
      <c r="CV17" s="97" t="str">
        <f t="shared" si="26"/>
        <v/>
      </c>
      <c r="CW17" s="97" t="str">
        <f t="shared" si="26"/>
        <v/>
      </c>
      <c r="CX17" s="98" t="str">
        <f t="shared" si="26"/>
        <v/>
      </c>
      <c r="CY17" s="392"/>
    </row>
    <row r="18" spans="1:103" x14ac:dyDescent="0.25">
      <c r="A18" s="81" t="s">
        <v>27</v>
      </c>
      <c r="B18" s="82" t="s">
        <v>47</v>
      </c>
      <c r="C18" s="83" t="s">
        <v>48</v>
      </c>
      <c r="D18" s="84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654">
        <f>'2022-23 Input'!G18</f>
        <v>0</v>
      </c>
      <c r="N18" s="1065">
        <v>0</v>
      </c>
      <c r="O18" s="560">
        <f t="shared" si="27"/>
        <v>0</v>
      </c>
      <c r="P18" s="561">
        <f t="shared" si="0"/>
        <v>0</v>
      </c>
      <c r="Q18" s="561">
        <f t="shared" si="1"/>
        <v>0</v>
      </c>
      <c r="R18" s="561">
        <f t="shared" si="2"/>
        <v>0</v>
      </c>
      <c r="S18" s="561">
        <f t="shared" si="3"/>
        <v>0</v>
      </c>
      <c r="T18" s="561">
        <f t="shared" si="4"/>
        <v>0</v>
      </c>
      <c r="U18" s="561">
        <f t="shared" si="5"/>
        <v>0</v>
      </c>
      <c r="V18" s="561">
        <f t="shared" si="6"/>
        <v>0</v>
      </c>
      <c r="W18" s="675">
        <f t="shared" si="7"/>
        <v>0</v>
      </c>
      <c r="X18" s="675">
        <f t="shared" si="8"/>
        <v>0</v>
      </c>
      <c r="Y18" s="675">
        <f t="shared" si="8"/>
        <v>0</v>
      </c>
      <c r="Z18" s="86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87">
        <v>0</v>
      </c>
      <c r="AI18" s="1094">
        <f>'2022-23 Input'!N18</f>
        <v>0</v>
      </c>
      <c r="AJ18" s="665">
        <v>0</v>
      </c>
      <c r="AK18" s="88">
        <f t="shared" si="9"/>
        <v>0</v>
      </c>
      <c r="AL18" s="89">
        <f t="shared" si="10"/>
        <v>0</v>
      </c>
      <c r="AM18" s="90">
        <f t="shared" si="11"/>
        <v>0</v>
      </c>
      <c r="AN18" s="91" t="str">
        <f t="shared" si="12"/>
        <v/>
      </c>
      <c r="AO18" s="92" t="str">
        <f t="shared" si="13"/>
        <v/>
      </c>
      <c r="AP18" s="92" t="str">
        <f t="shared" si="14"/>
        <v/>
      </c>
      <c r="AQ18" s="92" t="str">
        <f t="shared" si="15"/>
        <v/>
      </c>
      <c r="AR18" s="92" t="str">
        <f t="shared" si="16"/>
        <v/>
      </c>
      <c r="AS18" s="92" t="str">
        <f t="shared" si="17"/>
        <v/>
      </c>
      <c r="AT18" s="92" t="str">
        <f t="shared" si="18"/>
        <v/>
      </c>
      <c r="AU18" s="92" t="str">
        <f t="shared" si="19"/>
        <v/>
      </c>
      <c r="AV18" s="92" t="str">
        <f t="shared" si="20"/>
        <v/>
      </c>
      <c r="AW18" s="92" t="str">
        <f t="shared" si="20"/>
        <v/>
      </c>
      <c r="AX18" s="92" t="str">
        <f t="shared" si="20"/>
        <v/>
      </c>
      <c r="AY18" s="93" t="str">
        <f t="shared" si="21"/>
        <v/>
      </c>
      <c r="AZ18" s="94" t="str">
        <f t="shared" si="22"/>
        <v/>
      </c>
      <c r="BA18" s="95" t="str">
        <f t="shared" si="23"/>
        <v/>
      </c>
      <c r="BB18" s="248" t="s">
        <v>422</v>
      </c>
      <c r="BC18" s="229" t="s">
        <v>433</v>
      </c>
      <c r="BD18" s="249">
        <v>0</v>
      </c>
      <c r="BE18" s="267">
        <f t="shared" si="28"/>
        <v>0</v>
      </c>
      <c r="BF18" s="268">
        <f t="shared" ref="BF18:BL18" si="40">IF(BF$6=$BB18,1,
IF(BE18&lt;&gt;0,BE18+1,0
))</f>
        <v>0</v>
      </c>
      <c r="BG18" s="268">
        <f t="shared" si="40"/>
        <v>0</v>
      </c>
      <c r="BH18" s="268">
        <f t="shared" si="40"/>
        <v>1</v>
      </c>
      <c r="BI18" s="268">
        <f t="shared" si="40"/>
        <v>2</v>
      </c>
      <c r="BJ18" s="268">
        <f t="shared" si="40"/>
        <v>3</v>
      </c>
      <c r="BK18" s="268">
        <f t="shared" si="40"/>
        <v>4</v>
      </c>
      <c r="BL18" s="269">
        <f t="shared" si="40"/>
        <v>5</v>
      </c>
      <c r="BM18" s="256">
        <f>IF($BC18=Lookup!$A$2,$BD18*ROUNDUP(BE18/10,0)+1,
IF($BC18=Lookup!$A$3,($BD18+1)^BD18,
IF($BC18=Lookup!$A$4,BE18*$BD18+1,"Error")))</f>
        <v>1</v>
      </c>
      <c r="BN18" s="229">
        <f>IF($BC18=Lookup!$A$2,$BD18*ROUNDUP(BF18/10,0)+1,
IF($BC18=Lookup!$A$3,($BD18+1)^BE18,
IF($BC18=Lookup!$A$4,BF18*$BD18+1,"Error")))</f>
        <v>1</v>
      </c>
      <c r="BO18" s="229">
        <f>IF($BC18=Lookup!$A$2,$BD18*ROUNDUP(BG18/10,0)+1,
IF($BC18=Lookup!$A$3,($BD18+1)^BF18,
IF($BC18=Lookup!$A$4,BG18*$BD18+1,"Error")))</f>
        <v>1</v>
      </c>
      <c r="BP18" s="229">
        <f>IF($BC18=Lookup!$A$2,$BD18*ROUNDUP(BH18/10,0)+1,
IF($BC18=Lookup!$A$3,($BD18+1)^BG18,
IF($BC18=Lookup!$A$4,BH18*$BD18+1,"Error")))</f>
        <v>1</v>
      </c>
      <c r="BQ18" s="229">
        <f>IF($BC18=Lookup!$A$2,$BD18*ROUNDUP(BI18/10,0)+1,
IF($BC18=Lookup!$A$3,($BD18+1)^BH18,
IF($BC18=Lookup!$A$4,BI18*$BD18+1,"Error")))</f>
        <v>1</v>
      </c>
      <c r="BR18" s="229">
        <f>IF($BC18=Lookup!$A$2,$BD18*ROUNDUP(BJ18/10,0)+1,
IF($BC18=Lookup!$A$3,($BD18+1)^BI18,
IF($BC18=Lookup!$A$4,BJ18*$BD18+1,"Error")))</f>
        <v>1</v>
      </c>
      <c r="BS18" s="229">
        <f>IF($BC18=Lookup!$A$2,$BD18*ROUNDUP(BK18/10,0)+1,
IF($BC18=Lookup!$A$3,($BD18+1)^BJ18,
IF($BC18=Lookup!$A$4,BK18*$BD18+1,"Error")))</f>
        <v>1</v>
      </c>
      <c r="BT18" s="249">
        <f>IF($BC18=Lookup!$A$2,$BD18*ROUNDUP(BL18/10,0)+1,
IF($BC18=Lookup!$A$3,($BD18+1)^BK18,
IF($BC18=Lookup!$A$4,BL18*$BD18+1,"Error")))</f>
        <v>1</v>
      </c>
      <c r="BU18" s="320"/>
      <c r="BV18" s="321"/>
      <c r="BW18" s="321"/>
      <c r="BX18" s="321"/>
      <c r="BY18" s="321"/>
      <c r="BZ18" s="321"/>
      <c r="CA18" s="321"/>
      <c r="CB18" s="277"/>
      <c r="CC18" s="382" t="s">
        <v>293</v>
      </c>
      <c r="CD18" s="383">
        <f>HLOOKUP($CC18,$AK$6:$AM$132,ROWS(CC$6:CC18),0)</f>
        <v>0</v>
      </c>
      <c r="CE18" s="234">
        <f t="shared" si="30"/>
        <v>0</v>
      </c>
      <c r="CF18" s="96">
        <f t="shared" si="25"/>
        <v>0</v>
      </c>
      <c r="CG18" s="96">
        <f t="shared" si="25"/>
        <v>0</v>
      </c>
      <c r="CH18" s="96">
        <f t="shared" si="25"/>
        <v>0</v>
      </c>
      <c r="CI18" s="96">
        <f t="shared" si="25"/>
        <v>0</v>
      </c>
      <c r="CJ18" s="96">
        <f t="shared" si="25"/>
        <v>0</v>
      </c>
      <c r="CK18" s="96">
        <f t="shared" si="25"/>
        <v>0</v>
      </c>
      <c r="CL18" s="286">
        <f t="shared" si="25"/>
        <v>0</v>
      </c>
      <c r="CM18" s="305" t="s">
        <v>293</v>
      </c>
      <c r="CN18" s="315">
        <v>0.05</v>
      </c>
      <c r="CO18" s="306"/>
      <c r="CP18" s="307" t="str">
        <f>IF($CO18&lt;&gt;"",$CO18,HLOOKUP($CM18,$AY$6:$BA$132,ROWS(CO$6:CO18),0))</f>
        <v/>
      </c>
      <c r="CQ18" s="784" t="str">
        <f t="shared" si="26"/>
        <v/>
      </c>
      <c r="CR18" s="784" t="str">
        <f t="shared" si="26"/>
        <v/>
      </c>
      <c r="CS18" s="97" t="str">
        <f t="shared" si="26"/>
        <v/>
      </c>
      <c r="CT18" s="97" t="str">
        <f t="shared" si="26"/>
        <v/>
      </c>
      <c r="CU18" s="97" t="str">
        <f t="shared" si="26"/>
        <v/>
      </c>
      <c r="CV18" s="97" t="str">
        <f t="shared" si="26"/>
        <v/>
      </c>
      <c r="CW18" s="97" t="str">
        <f t="shared" si="26"/>
        <v/>
      </c>
      <c r="CX18" s="98" t="str">
        <f t="shared" si="26"/>
        <v/>
      </c>
      <c r="CY18" s="392"/>
    </row>
    <row r="19" spans="1:103" x14ac:dyDescent="0.25">
      <c r="A19" s="81" t="s">
        <v>27</v>
      </c>
      <c r="B19" s="82" t="s">
        <v>49</v>
      </c>
      <c r="C19" s="83" t="s">
        <v>50</v>
      </c>
      <c r="D19" s="84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654">
        <f>'2022-23 Input'!G19</f>
        <v>0</v>
      </c>
      <c r="N19" s="1065">
        <v>0</v>
      </c>
      <c r="O19" s="560">
        <f t="shared" si="27"/>
        <v>0</v>
      </c>
      <c r="P19" s="561">
        <f t="shared" si="0"/>
        <v>0</v>
      </c>
      <c r="Q19" s="561">
        <f t="shared" si="1"/>
        <v>0</v>
      </c>
      <c r="R19" s="561">
        <f t="shared" si="2"/>
        <v>0</v>
      </c>
      <c r="S19" s="561">
        <f t="shared" si="3"/>
        <v>0</v>
      </c>
      <c r="T19" s="561">
        <f t="shared" si="4"/>
        <v>0</v>
      </c>
      <c r="U19" s="561">
        <f t="shared" si="5"/>
        <v>0</v>
      </c>
      <c r="V19" s="561">
        <f t="shared" si="6"/>
        <v>0</v>
      </c>
      <c r="W19" s="675">
        <f t="shared" si="7"/>
        <v>0</v>
      </c>
      <c r="X19" s="675">
        <f t="shared" si="8"/>
        <v>0</v>
      </c>
      <c r="Y19" s="675">
        <f t="shared" si="8"/>
        <v>0</v>
      </c>
      <c r="Z19" s="86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87">
        <v>0</v>
      </c>
      <c r="AI19" s="1094">
        <f>'2022-23 Input'!N19</f>
        <v>0</v>
      </c>
      <c r="AJ19" s="665">
        <v>0</v>
      </c>
      <c r="AK19" s="88">
        <f t="shared" si="9"/>
        <v>0</v>
      </c>
      <c r="AL19" s="89">
        <f t="shared" si="10"/>
        <v>0</v>
      </c>
      <c r="AM19" s="90">
        <f t="shared" si="11"/>
        <v>0</v>
      </c>
      <c r="AN19" s="91" t="str">
        <f t="shared" si="12"/>
        <v/>
      </c>
      <c r="AO19" s="92" t="str">
        <f t="shared" si="13"/>
        <v/>
      </c>
      <c r="AP19" s="92" t="str">
        <f t="shared" si="14"/>
        <v/>
      </c>
      <c r="AQ19" s="92" t="str">
        <f t="shared" si="15"/>
        <v/>
      </c>
      <c r="AR19" s="92" t="str">
        <f t="shared" si="16"/>
        <v/>
      </c>
      <c r="AS19" s="92" t="str">
        <f t="shared" si="17"/>
        <v/>
      </c>
      <c r="AT19" s="92" t="str">
        <f t="shared" si="18"/>
        <v/>
      </c>
      <c r="AU19" s="92" t="str">
        <f t="shared" si="19"/>
        <v/>
      </c>
      <c r="AV19" s="92" t="str">
        <f t="shared" si="20"/>
        <v/>
      </c>
      <c r="AW19" s="92" t="str">
        <f t="shared" si="20"/>
        <v/>
      </c>
      <c r="AX19" s="92" t="str">
        <f t="shared" si="20"/>
        <v/>
      </c>
      <c r="AY19" s="93" t="str">
        <f t="shared" si="21"/>
        <v/>
      </c>
      <c r="AZ19" s="94" t="str">
        <f t="shared" si="22"/>
        <v/>
      </c>
      <c r="BA19" s="95" t="str">
        <f t="shared" si="23"/>
        <v/>
      </c>
      <c r="BB19" s="248" t="s">
        <v>422</v>
      </c>
      <c r="BC19" s="229" t="s">
        <v>433</v>
      </c>
      <c r="BD19" s="249">
        <v>0</v>
      </c>
      <c r="BE19" s="267">
        <f t="shared" si="28"/>
        <v>0</v>
      </c>
      <c r="BF19" s="268">
        <f t="shared" ref="BF19:BL19" si="41">IF(BF$6=$BB19,1,
IF(BE19&lt;&gt;0,BE19+1,0
))</f>
        <v>0</v>
      </c>
      <c r="BG19" s="268">
        <f t="shared" si="41"/>
        <v>0</v>
      </c>
      <c r="BH19" s="268">
        <f t="shared" si="41"/>
        <v>1</v>
      </c>
      <c r="BI19" s="268">
        <f t="shared" si="41"/>
        <v>2</v>
      </c>
      <c r="BJ19" s="268">
        <f t="shared" si="41"/>
        <v>3</v>
      </c>
      <c r="BK19" s="268">
        <f t="shared" si="41"/>
        <v>4</v>
      </c>
      <c r="BL19" s="269">
        <f t="shared" si="41"/>
        <v>5</v>
      </c>
      <c r="BM19" s="256">
        <f>IF($BC19=Lookup!$A$2,$BD19*ROUNDUP(BE19/10,0)+1,
IF($BC19=Lookup!$A$3,($BD19+1)^BD19,
IF($BC19=Lookup!$A$4,BE19*$BD19+1,"Error")))</f>
        <v>1</v>
      </c>
      <c r="BN19" s="229">
        <f>IF($BC19=Lookup!$A$2,$BD19*ROUNDUP(BF19/10,0)+1,
IF($BC19=Lookup!$A$3,($BD19+1)^BE19,
IF($BC19=Lookup!$A$4,BF19*$BD19+1,"Error")))</f>
        <v>1</v>
      </c>
      <c r="BO19" s="229">
        <f>IF($BC19=Lookup!$A$2,$BD19*ROUNDUP(BG19/10,0)+1,
IF($BC19=Lookup!$A$3,($BD19+1)^BF19,
IF($BC19=Lookup!$A$4,BG19*$BD19+1,"Error")))</f>
        <v>1</v>
      </c>
      <c r="BP19" s="229">
        <f>IF($BC19=Lookup!$A$2,$BD19*ROUNDUP(BH19/10,0)+1,
IF($BC19=Lookup!$A$3,($BD19+1)^BG19,
IF($BC19=Lookup!$A$4,BH19*$BD19+1,"Error")))</f>
        <v>1</v>
      </c>
      <c r="BQ19" s="229">
        <f>IF($BC19=Lookup!$A$2,$BD19*ROUNDUP(BI19/10,0)+1,
IF($BC19=Lookup!$A$3,($BD19+1)^BH19,
IF($BC19=Lookup!$A$4,BI19*$BD19+1,"Error")))</f>
        <v>1</v>
      </c>
      <c r="BR19" s="229">
        <f>IF($BC19=Lookup!$A$2,$BD19*ROUNDUP(BJ19/10,0)+1,
IF($BC19=Lookup!$A$3,($BD19+1)^BI19,
IF($BC19=Lookup!$A$4,BJ19*$BD19+1,"Error")))</f>
        <v>1</v>
      </c>
      <c r="BS19" s="229">
        <f>IF($BC19=Lookup!$A$2,$BD19*ROUNDUP(BK19/10,0)+1,
IF($BC19=Lookup!$A$3,($BD19+1)^BJ19,
IF($BC19=Lookup!$A$4,BK19*$BD19+1,"Error")))</f>
        <v>1</v>
      </c>
      <c r="BT19" s="249">
        <f>IF($BC19=Lookup!$A$2,$BD19*ROUNDUP(BL19/10,0)+1,
IF($BC19=Lookup!$A$3,($BD19+1)^BK19,
IF($BC19=Lookup!$A$4,BL19*$BD19+1,"Error")))</f>
        <v>1</v>
      </c>
      <c r="BU19" s="320"/>
      <c r="BV19" s="321"/>
      <c r="BW19" s="321"/>
      <c r="BX19" s="321"/>
      <c r="BY19" s="321"/>
      <c r="BZ19" s="321"/>
      <c r="CA19" s="321"/>
      <c r="CB19" s="277"/>
      <c r="CC19" s="382" t="s">
        <v>293</v>
      </c>
      <c r="CD19" s="383">
        <f>HLOOKUP($CC19,$AK$6:$AM$132,ROWS(CC$6:CC19),0)</f>
        <v>0</v>
      </c>
      <c r="CE19" s="234">
        <f t="shared" si="30"/>
        <v>0</v>
      </c>
      <c r="CF19" s="96">
        <f t="shared" si="25"/>
        <v>0</v>
      </c>
      <c r="CG19" s="96">
        <f t="shared" si="25"/>
        <v>0</v>
      </c>
      <c r="CH19" s="96">
        <f t="shared" si="25"/>
        <v>0</v>
      </c>
      <c r="CI19" s="96">
        <f t="shared" si="25"/>
        <v>0</v>
      </c>
      <c r="CJ19" s="96">
        <f t="shared" si="25"/>
        <v>0</v>
      </c>
      <c r="CK19" s="96">
        <f t="shared" si="25"/>
        <v>0</v>
      </c>
      <c r="CL19" s="286">
        <f t="shared" si="25"/>
        <v>0</v>
      </c>
      <c r="CM19" s="305" t="s">
        <v>293</v>
      </c>
      <c r="CN19" s="315">
        <v>0.05</v>
      </c>
      <c r="CO19" s="306"/>
      <c r="CP19" s="307" t="str">
        <f>IF($CO19&lt;&gt;"",$CO19,HLOOKUP($CM19,$AY$6:$BA$132,ROWS(CO$6:CO19),0))</f>
        <v/>
      </c>
      <c r="CQ19" s="784" t="str">
        <f t="shared" si="26"/>
        <v/>
      </c>
      <c r="CR19" s="784" t="str">
        <f t="shared" si="26"/>
        <v/>
      </c>
      <c r="CS19" s="97" t="str">
        <f t="shared" si="26"/>
        <v/>
      </c>
      <c r="CT19" s="97" t="str">
        <f t="shared" si="26"/>
        <v/>
      </c>
      <c r="CU19" s="97" t="str">
        <f t="shared" si="26"/>
        <v/>
      </c>
      <c r="CV19" s="97" t="str">
        <f t="shared" si="26"/>
        <v/>
      </c>
      <c r="CW19" s="97" t="str">
        <f t="shared" si="26"/>
        <v/>
      </c>
      <c r="CX19" s="98" t="str">
        <f t="shared" si="26"/>
        <v/>
      </c>
      <c r="CY19" s="392"/>
    </row>
    <row r="20" spans="1:103" x14ac:dyDescent="0.25">
      <c r="A20" s="81" t="s">
        <v>27</v>
      </c>
      <c r="B20" s="82" t="s">
        <v>51</v>
      </c>
      <c r="C20" s="83" t="s">
        <v>301</v>
      </c>
      <c r="D20" s="84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654">
        <f>'2022-23 Input'!G20</f>
        <v>0</v>
      </c>
      <c r="N20" s="1065">
        <v>0</v>
      </c>
      <c r="O20" s="560">
        <f t="shared" si="27"/>
        <v>0</v>
      </c>
      <c r="P20" s="561">
        <f t="shared" si="0"/>
        <v>0</v>
      </c>
      <c r="Q20" s="561">
        <f t="shared" si="1"/>
        <v>0</v>
      </c>
      <c r="R20" s="561">
        <f t="shared" si="2"/>
        <v>0</v>
      </c>
      <c r="S20" s="561">
        <f t="shared" si="3"/>
        <v>0</v>
      </c>
      <c r="T20" s="561">
        <f t="shared" si="4"/>
        <v>0</v>
      </c>
      <c r="U20" s="561">
        <f t="shared" si="5"/>
        <v>0</v>
      </c>
      <c r="V20" s="561">
        <f t="shared" si="6"/>
        <v>0</v>
      </c>
      <c r="W20" s="675">
        <f t="shared" si="7"/>
        <v>0</v>
      </c>
      <c r="X20" s="675">
        <f t="shared" si="8"/>
        <v>0</v>
      </c>
      <c r="Y20" s="675">
        <f t="shared" si="8"/>
        <v>0</v>
      </c>
      <c r="Z20" s="86">
        <v>0</v>
      </c>
      <c r="AA20" s="87">
        <v>0</v>
      </c>
      <c r="AB20" s="87">
        <v>0</v>
      </c>
      <c r="AC20" s="87">
        <v>0</v>
      </c>
      <c r="AD20" s="87">
        <v>0</v>
      </c>
      <c r="AE20" s="87">
        <v>0</v>
      </c>
      <c r="AF20" s="87">
        <v>0</v>
      </c>
      <c r="AG20" s="87">
        <v>0</v>
      </c>
      <c r="AH20" s="87">
        <v>0</v>
      </c>
      <c r="AI20" s="1094">
        <f>'2022-23 Input'!N20</f>
        <v>0</v>
      </c>
      <c r="AJ20" s="665">
        <v>0</v>
      </c>
      <c r="AK20" s="88">
        <f t="shared" si="9"/>
        <v>0</v>
      </c>
      <c r="AL20" s="89">
        <f t="shared" si="10"/>
        <v>0</v>
      </c>
      <c r="AM20" s="90">
        <f t="shared" si="11"/>
        <v>0</v>
      </c>
      <c r="AN20" s="91" t="str">
        <f t="shared" si="12"/>
        <v/>
      </c>
      <c r="AO20" s="92" t="str">
        <f t="shared" si="13"/>
        <v/>
      </c>
      <c r="AP20" s="92" t="str">
        <f t="shared" si="14"/>
        <v/>
      </c>
      <c r="AQ20" s="92" t="str">
        <f t="shared" si="15"/>
        <v/>
      </c>
      <c r="AR20" s="92" t="str">
        <f t="shared" si="16"/>
        <v/>
      </c>
      <c r="AS20" s="92" t="str">
        <f t="shared" si="17"/>
        <v/>
      </c>
      <c r="AT20" s="92" t="str">
        <f t="shared" si="18"/>
        <v/>
      </c>
      <c r="AU20" s="92" t="str">
        <f t="shared" si="19"/>
        <v/>
      </c>
      <c r="AV20" s="92" t="str">
        <f t="shared" si="20"/>
        <v/>
      </c>
      <c r="AW20" s="92" t="str">
        <f t="shared" si="20"/>
        <v/>
      </c>
      <c r="AX20" s="92" t="str">
        <f t="shared" si="20"/>
        <v/>
      </c>
      <c r="AY20" s="93" t="str">
        <f t="shared" si="21"/>
        <v/>
      </c>
      <c r="AZ20" s="94" t="str">
        <f t="shared" si="22"/>
        <v/>
      </c>
      <c r="BA20" s="95" t="str">
        <f t="shared" si="23"/>
        <v/>
      </c>
      <c r="BB20" s="248" t="s">
        <v>422</v>
      </c>
      <c r="BC20" s="229" t="s">
        <v>433</v>
      </c>
      <c r="BD20" s="249">
        <v>0</v>
      </c>
      <c r="BE20" s="267">
        <f t="shared" si="28"/>
        <v>0</v>
      </c>
      <c r="BF20" s="268">
        <f t="shared" ref="BF20:BL20" si="42">IF(BF$6=$BB20,1,
IF(BE20&lt;&gt;0,BE20+1,0
))</f>
        <v>0</v>
      </c>
      <c r="BG20" s="268">
        <f t="shared" si="42"/>
        <v>0</v>
      </c>
      <c r="BH20" s="268">
        <f t="shared" si="42"/>
        <v>1</v>
      </c>
      <c r="BI20" s="268">
        <f t="shared" si="42"/>
        <v>2</v>
      </c>
      <c r="BJ20" s="268">
        <f t="shared" si="42"/>
        <v>3</v>
      </c>
      <c r="BK20" s="268">
        <f t="shared" si="42"/>
        <v>4</v>
      </c>
      <c r="BL20" s="269">
        <f t="shared" si="42"/>
        <v>5</v>
      </c>
      <c r="BM20" s="256">
        <f>IF($BC20=Lookup!$A$2,$BD20*ROUNDUP(BE20/10,0)+1,
IF($BC20=Lookup!$A$3,($BD20+1)^BD20,
IF($BC20=Lookup!$A$4,BE20*$BD20+1,"Error")))</f>
        <v>1</v>
      </c>
      <c r="BN20" s="229">
        <f>IF($BC20=Lookup!$A$2,$BD20*ROUNDUP(BF20/10,0)+1,
IF($BC20=Lookup!$A$3,($BD20+1)^BE20,
IF($BC20=Lookup!$A$4,BF20*$BD20+1,"Error")))</f>
        <v>1</v>
      </c>
      <c r="BO20" s="229">
        <f>IF($BC20=Lookup!$A$2,$BD20*ROUNDUP(BG20/10,0)+1,
IF($BC20=Lookup!$A$3,($BD20+1)^BF20,
IF($BC20=Lookup!$A$4,BG20*$BD20+1,"Error")))</f>
        <v>1</v>
      </c>
      <c r="BP20" s="229">
        <f>IF($BC20=Lookup!$A$2,$BD20*ROUNDUP(BH20/10,0)+1,
IF($BC20=Lookup!$A$3,($BD20+1)^BG20,
IF($BC20=Lookup!$A$4,BH20*$BD20+1,"Error")))</f>
        <v>1</v>
      </c>
      <c r="BQ20" s="229">
        <f>IF($BC20=Lookup!$A$2,$BD20*ROUNDUP(BI20/10,0)+1,
IF($BC20=Lookup!$A$3,($BD20+1)^BH20,
IF($BC20=Lookup!$A$4,BI20*$BD20+1,"Error")))</f>
        <v>1</v>
      </c>
      <c r="BR20" s="229">
        <f>IF($BC20=Lookup!$A$2,$BD20*ROUNDUP(BJ20/10,0)+1,
IF($BC20=Lookup!$A$3,($BD20+1)^BI20,
IF($BC20=Lookup!$A$4,BJ20*$BD20+1,"Error")))</f>
        <v>1</v>
      </c>
      <c r="BS20" s="229">
        <f>IF($BC20=Lookup!$A$2,$BD20*ROUNDUP(BK20/10,0)+1,
IF($BC20=Lookup!$A$3,($BD20+1)^BJ20,
IF($BC20=Lookup!$A$4,BK20*$BD20+1,"Error")))</f>
        <v>1</v>
      </c>
      <c r="BT20" s="249">
        <f>IF($BC20=Lookup!$A$2,$BD20*ROUNDUP(BL20/10,0)+1,
IF($BC20=Lookup!$A$3,($BD20+1)^BK20,
IF($BC20=Lookup!$A$4,BL20*$BD20+1,"Error")))</f>
        <v>1</v>
      </c>
      <c r="BU20" s="320"/>
      <c r="BV20" s="321"/>
      <c r="BW20" s="321"/>
      <c r="BX20" s="321"/>
      <c r="BY20" s="321"/>
      <c r="BZ20" s="321"/>
      <c r="CA20" s="321"/>
      <c r="CB20" s="277"/>
      <c r="CC20" s="382" t="s">
        <v>293</v>
      </c>
      <c r="CD20" s="383">
        <f>HLOOKUP($CC20,$AK$6:$AM$132,ROWS(CC$6:CC20),0)</f>
        <v>0</v>
      </c>
      <c r="CE20" s="234">
        <f t="shared" si="30"/>
        <v>0</v>
      </c>
      <c r="CF20" s="96">
        <f t="shared" si="25"/>
        <v>0</v>
      </c>
      <c r="CG20" s="96">
        <f t="shared" si="25"/>
        <v>0</v>
      </c>
      <c r="CH20" s="96">
        <f t="shared" si="25"/>
        <v>0</v>
      </c>
      <c r="CI20" s="96">
        <f t="shared" si="25"/>
        <v>0</v>
      </c>
      <c r="CJ20" s="96">
        <f t="shared" si="25"/>
        <v>0</v>
      </c>
      <c r="CK20" s="96">
        <f t="shared" si="25"/>
        <v>0</v>
      </c>
      <c r="CL20" s="286">
        <f t="shared" si="25"/>
        <v>0</v>
      </c>
      <c r="CM20" s="305" t="s">
        <v>293</v>
      </c>
      <c r="CN20" s="315">
        <v>0.05</v>
      </c>
      <c r="CO20" s="306"/>
      <c r="CP20" s="307" t="str">
        <f>IF($CO20&lt;&gt;"",$CO20,HLOOKUP($CM20,$AY$6:$BA$132,ROWS(CO$6:CO20),0))</f>
        <v/>
      </c>
      <c r="CQ20" s="784" t="str">
        <f t="shared" si="26"/>
        <v/>
      </c>
      <c r="CR20" s="784" t="str">
        <f t="shared" si="26"/>
        <v/>
      </c>
      <c r="CS20" s="97" t="str">
        <f t="shared" si="26"/>
        <v/>
      </c>
      <c r="CT20" s="97" t="str">
        <f t="shared" si="26"/>
        <v/>
      </c>
      <c r="CU20" s="97" t="str">
        <f t="shared" si="26"/>
        <v/>
      </c>
      <c r="CV20" s="97" t="str">
        <f t="shared" si="26"/>
        <v/>
      </c>
      <c r="CW20" s="97" t="str">
        <f t="shared" si="26"/>
        <v/>
      </c>
      <c r="CX20" s="98" t="str">
        <f t="shared" si="26"/>
        <v/>
      </c>
      <c r="CY20" s="392"/>
    </row>
    <row r="21" spans="1:103" x14ac:dyDescent="0.25">
      <c r="A21" s="81" t="s">
        <v>27</v>
      </c>
      <c r="B21" s="82" t="s">
        <v>53</v>
      </c>
      <c r="C21" s="83" t="s">
        <v>54</v>
      </c>
      <c r="D21" s="84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654">
        <f>'2022-23 Input'!G21</f>
        <v>0</v>
      </c>
      <c r="N21" s="1065">
        <v>0</v>
      </c>
      <c r="O21" s="560">
        <f t="shared" si="27"/>
        <v>0</v>
      </c>
      <c r="P21" s="561">
        <f t="shared" si="0"/>
        <v>0</v>
      </c>
      <c r="Q21" s="561">
        <f t="shared" si="1"/>
        <v>0</v>
      </c>
      <c r="R21" s="561">
        <f t="shared" si="2"/>
        <v>0</v>
      </c>
      <c r="S21" s="561">
        <f t="shared" si="3"/>
        <v>0</v>
      </c>
      <c r="T21" s="561">
        <f t="shared" si="4"/>
        <v>0</v>
      </c>
      <c r="U21" s="561">
        <f t="shared" si="5"/>
        <v>0</v>
      </c>
      <c r="V21" s="561">
        <f t="shared" si="6"/>
        <v>0</v>
      </c>
      <c r="W21" s="675">
        <f t="shared" si="7"/>
        <v>0</v>
      </c>
      <c r="X21" s="675">
        <f t="shared" si="8"/>
        <v>0</v>
      </c>
      <c r="Y21" s="675">
        <f t="shared" si="8"/>
        <v>0</v>
      </c>
      <c r="Z21" s="86">
        <v>0</v>
      </c>
      <c r="AA21" s="87">
        <v>0</v>
      </c>
      <c r="AB21" s="87">
        <v>0</v>
      </c>
      <c r="AC21" s="87">
        <v>0</v>
      </c>
      <c r="AD21" s="87">
        <v>0</v>
      </c>
      <c r="AE21" s="87">
        <v>0</v>
      </c>
      <c r="AF21" s="87">
        <v>0</v>
      </c>
      <c r="AG21" s="87">
        <v>0</v>
      </c>
      <c r="AH21" s="87">
        <v>0</v>
      </c>
      <c r="AI21" s="1094">
        <f>'2022-23 Input'!N21</f>
        <v>0</v>
      </c>
      <c r="AJ21" s="665">
        <v>0</v>
      </c>
      <c r="AK21" s="88">
        <f t="shared" si="9"/>
        <v>0</v>
      </c>
      <c r="AL21" s="89">
        <f t="shared" si="10"/>
        <v>0</v>
      </c>
      <c r="AM21" s="90">
        <f t="shared" si="11"/>
        <v>0</v>
      </c>
      <c r="AN21" s="91" t="str">
        <f t="shared" si="12"/>
        <v/>
      </c>
      <c r="AO21" s="92" t="str">
        <f t="shared" si="13"/>
        <v/>
      </c>
      <c r="AP21" s="92" t="str">
        <f t="shared" si="14"/>
        <v/>
      </c>
      <c r="AQ21" s="92" t="str">
        <f t="shared" si="15"/>
        <v/>
      </c>
      <c r="AR21" s="92" t="str">
        <f t="shared" si="16"/>
        <v/>
      </c>
      <c r="AS21" s="92" t="str">
        <f t="shared" si="17"/>
        <v/>
      </c>
      <c r="AT21" s="92" t="str">
        <f t="shared" si="18"/>
        <v/>
      </c>
      <c r="AU21" s="92" t="str">
        <f t="shared" si="19"/>
        <v/>
      </c>
      <c r="AV21" s="92" t="str">
        <f t="shared" si="20"/>
        <v/>
      </c>
      <c r="AW21" s="92" t="str">
        <f t="shared" si="20"/>
        <v/>
      </c>
      <c r="AX21" s="92" t="str">
        <f t="shared" si="20"/>
        <v/>
      </c>
      <c r="AY21" s="93" t="str">
        <f t="shared" si="21"/>
        <v/>
      </c>
      <c r="AZ21" s="94" t="str">
        <f t="shared" si="22"/>
        <v/>
      </c>
      <c r="BA21" s="95" t="str">
        <f t="shared" si="23"/>
        <v/>
      </c>
      <c r="BB21" s="248" t="s">
        <v>422</v>
      </c>
      <c r="BC21" s="229" t="s">
        <v>433</v>
      </c>
      <c r="BD21" s="249">
        <v>0</v>
      </c>
      <c r="BE21" s="267">
        <f t="shared" si="28"/>
        <v>0</v>
      </c>
      <c r="BF21" s="268">
        <f t="shared" ref="BF21:BL21" si="43">IF(BF$6=$BB21,1,
IF(BE21&lt;&gt;0,BE21+1,0
))</f>
        <v>0</v>
      </c>
      <c r="BG21" s="268">
        <f t="shared" si="43"/>
        <v>0</v>
      </c>
      <c r="BH21" s="268">
        <f t="shared" si="43"/>
        <v>1</v>
      </c>
      <c r="BI21" s="268">
        <f t="shared" si="43"/>
        <v>2</v>
      </c>
      <c r="BJ21" s="268">
        <f t="shared" si="43"/>
        <v>3</v>
      </c>
      <c r="BK21" s="268">
        <f t="shared" si="43"/>
        <v>4</v>
      </c>
      <c r="BL21" s="269">
        <f t="shared" si="43"/>
        <v>5</v>
      </c>
      <c r="BM21" s="256">
        <f>IF($BC21=Lookup!$A$2,$BD21*ROUNDUP(BE21/10,0)+1,
IF($BC21=Lookup!$A$3,($BD21+1)^BD21,
IF($BC21=Lookup!$A$4,BE21*$BD21+1,"Error")))</f>
        <v>1</v>
      </c>
      <c r="BN21" s="229">
        <f>IF($BC21=Lookup!$A$2,$BD21*ROUNDUP(BF21/10,0)+1,
IF($BC21=Lookup!$A$3,($BD21+1)^BE21,
IF($BC21=Lookup!$A$4,BF21*$BD21+1,"Error")))</f>
        <v>1</v>
      </c>
      <c r="BO21" s="229">
        <f>IF($BC21=Lookup!$A$2,$BD21*ROUNDUP(BG21/10,0)+1,
IF($BC21=Lookup!$A$3,($BD21+1)^BF21,
IF($BC21=Lookup!$A$4,BG21*$BD21+1,"Error")))</f>
        <v>1</v>
      </c>
      <c r="BP21" s="229">
        <f>IF($BC21=Lookup!$A$2,$BD21*ROUNDUP(BH21/10,0)+1,
IF($BC21=Lookup!$A$3,($BD21+1)^BG21,
IF($BC21=Lookup!$A$4,BH21*$BD21+1,"Error")))</f>
        <v>1</v>
      </c>
      <c r="BQ21" s="229">
        <f>IF($BC21=Lookup!$A$2,$BD21*ROUNDUP(BI21/10,0)+1,
IF($BC21=Lookup!$A$3,($BD21+1)^BH21,
IF($BC21=Lookup!$A$4,BI21*$BD21+1,"Error")))</f>
        <v>1</v>
      </c>
      <c r="BR21" s="229">
        <f>IF($BC21=Lookup!$A$2,$BD21*ROUNDUP(BJ21/10,0)+1,
IF($BC21=Lookup!$A$3,($BD21+1)^BI21,
IF($BC21=Lookup!$A$4,BJ21*$BD21+1,"Error")))</f>
        <v>1</v>
      </c>
      <c r="BS21" s="229">
        <f>IF($BC21=Lookup!$A$2,$BD21*ROUNDUP(BK21/10,0)+1,
IF($BC21=Lookup!$A$3,($BD21+1)^BJ21,
IF($BC21=Lookup!$A$4,BK21*$BD21+1,"Error")))</f>
        <v>1</v>
      </c>
      <c r="BT21" s="249">
        <f>IF($BC21=Lookup!$A$2,$BD21*ROUNDUP(BL21/10,0)+1,
IF($BC21=Lookup!$A$3,($BD21+1)^BK21,
IF($BC21=Lookup!$A$4,BL21*$BD21+1,"Error")))</f>
        <v>1</v>
      </c>
      <c r="BU21" s="320"/>
      <c r="BV21" s="321"/>
      <c r="BW21" s="321"/>
      <c r="BX21" s="321"/>
      <c r="BY21" s="321"/>
      <c r="BZ21" s="321"/>
      <c r="CA21" s="321"/>
      <c r="CB21" s="277"/>
      <c r="CC21" s="382" t="s">
        <v>293</v>
      </c>
      <c r="CD21" s="383">
        <f>HLOOKUP($CC21,$AK$6:$AM$132,ROWS(CC$6:CC21),0)</f>
        <v>0</v>
      </c>
      <c r="CE21" s="234">
        <f t="shared" si="30"/>
        <v>0</v>
      </c>
      <c r="CF21" s="96">
        <f t="shared" si="25"/>
        <v>0</v>
      </c>
      <c r="CG21" s="96">
        <f t="shared" si="25"/>
        <v>0</v>
      </c>
      <c r="CH21" s="96">
        <f t="shared" si="25"/>
        <v>0</v>
      </c>
      <c r="CI21" s="96">
        <f t="shared" si="25"/>
        <v>0</v>
      </c>
      <c r="CJ21" s="96">
        <f t="shared" si="25"/>
        <v>0</v>
      </c>
      <c r="CK21" s="96">
        <f t="shared" si="25"/>
        <v>0</v>
      </c>
      <c r="CL21" s="286">
        <f t="shared" si="25"/>
        <v>0</v>
      </c>
      <c r="CM21" s="305" t="s">
        <v>293</v>
      </c>
      <c r="CN21" s="315">
        <v>0.05</v>
      </c>
      <c r="CO21" s="306"/>
      <c r="CP21" s="307" t="str">
        <f>IF($CO21&lt;&gt;"",$CO21,HLOOKUP($CM21,$AY$6:$BA$132,ROWS(CO$6:CO21),0))</f>
        <v/>
      </c>
      <c r="CQ21" s="784" t="str">
        <f t="shared" si="26"/>
        <v/>
      </c>
      <c r="CR21" s="784" t="str">
        <f t="shared" si="26"/>
        <v/>
      </c>
      <c r="CS21" s="97" t="str">
        <f t="shared" si="26"/>
        <v/>
      </c>
      <c r="CT21" s="97" t="str">
        <f t="shared" si="26"/>
        <v/>
      </c>
      <c r="CU21" s="97" t="str">
        <f t="shared" si="26"/>
        <v/>
      </c>
      <c r="CV21" s="97" t="str">
        <f t="shared" si="26"/>
        <v/>
      </c>
      <c r="CW21" s="97" t="str">
        <f t="shared" si="26"/>
        <v/>
      </c>
      <c r="CX21" s="98" t="str">
        <f t="shared" si="26"/>
        <v/>
      </c>
      <c r="CY21" s="392"/>
    </row>
    <row r="22" spans="1:103" x14ac:dyDescent="0.25">
      <c r="A22" s="81" t="s">
        <v>27</v>
      </c>
      <c r="B22" s="82" t="s">
        <v>55</v>
      </c>
      <c r="C22" s="83" t="s">
        <v>302</v>
      </c>
      <c r="D22" s="84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654">
        <f>'2022-23 Input'!G22</f>
        <v>0</v>
      </c>
      <c r="N22" s="1065">
        <v>0</v>
      </c>
      <c r="O22" s="560">
        <f t="shared" si="27"/>
        <v>0</v>
      </c>
      <c r="P22" s="561">
        <f t="shared" si="0"/>
        <v>0</v>
      </c>
      <c r="Q22" s="561">
        <f t="shared" si="1"/>
        <v>0</v>
      </c>
      <c r="R22" s="561">
        <f t="shared" si="2"/>
        <v>0</v>
      </c>
      <c r="S22" s="561">
        <f t="shared" si="3"/>
        <v>0</v>
      </c>
      <c r="T22" s="561">
        <f t="shared" si="4"/>
        <v>0</v>
      </c>
      <c r="U22" s="561">
        <f t="shared" si="5"/>
        <v>0</v>
      </c>
      <c r="V22" s="561">
        <f t="shared" si="6"/>
        <v>0</v>
      </c>
      <c r="W22" s="675">
        <f t="shared" si="7"/>
        <v>0</v>
      </c>
      <c r="X22" s="675">
        <f t="shared" si="8"/>
        <v>0</v>
      </c>
      <c r="Y22" s="675">
        <f t="shared" si="8"/>
        <v>0</v>
      </c>
      <c r="Z22" s="86">
        <v>0</v>
      </c>
      <c r="AA22" s="87">
        <v>0</v>
      </c>
      <c r="AB22" s="87">
        <v>0</v>
      </c>
      <c r="AC22" s="87">
        <v>0</v>
      </c>
      <c r="AD22" s="87">
        <v>0</v>
      </c>
      <c r="AE22" s="87">
        <v>0</v>
      </c>
      <c r="AF22" s="87">
        <v>0</v>
      </c>
      <c r="AG22" s="87">
        <v>0</v>
      </c>
      <c r="AH22" s="87">
        <v>0</v>
      </c>
      <c r="AI22" s="1094">
        <f>'2022-23 Input'!N22</f>
        <v>0</v>
      </c>
      <c r="AJ22" s="665">
        <v>0</v>
      </c>
      <c r="AK22" s="88">
        <f t="shared" si="9"/>
        <v>0</v>
      </c>
      <c r="AL22" s="89">
        <f t="shared" si="10"/>
        <v>0</v>
      </c>
      <c r="AM22" s="90">
        <f t="shared" si="11"/>
        <v>0</v>
      </c>
      <c r="AN22" s="91" t="str">
        <f t="shared" si="12"/>
        <v/>
      </c>
      <c r="AO22" s="92" t="str">
        <f t="shared" si="13"/>
        <v/>
      </c>
      <c r="AP22" s="92" t="str">
        <f t="shared" si="14"/>
        <v/>
      </c>
      <c r="AQ22" s="92" t="str">
        <f t="shared" si="15"/>
        <v/>
      </c>
      <c r="AR22" s="92" t="str">
        <f t="shared" si="16"/>
        <v/>
      </c>
      <c r="AS22" s="92" t="str">
        <f t="shared" si="17"/>
        <v/>
      </c>
      <c r="AT22" s="92" t="str">
        <f t="shared" si="18"/>
        <v/>
      </c>
      <c r="AU22" s="92" t="str">
        <f t="shared" si="19"/>
        <v/>
      </c>
      <c r="AV22" s="92" t="str">
        <f t="shared" si="20"/>
        <v/>
      </c>
      <c r="AW22" s="92" t="str">
        <f t="shared" si="20"/>
        <v/>
      </c>
      <c r="AX22" s="92" t="str">
        <f t="shared" si="20"/>
        <v/>
      </c>
      <c r="AY22" s="93" t="str">
        <f t="shared" si="21"/>
        <v/>
      </c>
      <c r="AZ22" s="94" t="str">
        <f t="shared" si="22"/>
        <v/>
      </c>
      <c r="BA22" s="95" t="str">
        <f t="shared" si="23"/>
        <v/>
      </c>
      <c r="BB22" s="248" t="s">
        <v>422</v>
      </c>
      <c r="BC22" s="229" t="s">
        <v>433</v>
      </c>
      <c r="BD22" s="249">
        <v>0</v>
      </c>
      <c r="BE22" s="267">
        <f t="shared" si="28"/>
        <v>0</v>
      </c>
      <c r="BF22" s="268">
        <f t="shared" ref="BF22:BL22" si="44">IF(BF$6=$BB22,1,
IF(BE22&lt;&gt;0,BE22+1,0
))</f>
        <v>0</v>
      </c>
      <c r="BG22" s="268">
        <f t="shared" si="44"/>
        <v>0</v>
      </c>
      <c r="BH22" s="268">
        <f t="shared" si="44"/>
        <v>1</v>
      </c>
      <c r="BI22" s="268">
        <f t="shared" si="44"/>
        <v>2</v>
      </c>
      <c r="BJ22" s="268">
        <f t="shared" si="44"/>
        <v>3</v>
      </c>
      <c r="BK22" s="268">
        <f t="shared" si="44"/>
        <v>4</v>
      </c>
      <c r="BL22" s="269">
        <f t="shared" si="44"/>
        <v>5</v>
      </c>
      <c r="BM22" s="256">
        <f>IF($BC22=Lookup!$A$2,$BD22*ROUNDUP(BE22/10,0)+1,
IF($BC22=Lookup!$A$3,($BD22+1)^BD22,
IF($BC22=Lookup!$A$4,BE22*$BD22+1,"Error")))</f>
        <v>1</v>
      </c>
      <c r="BN22" s="229">
        <f>IF($BC22=Lookup!$A$2,$BD22*ROUNDUP(BF22/10,0)+1,
IF($BC22=Lookup!$A$3,($BD22+1)^BE22,
IF($BC22=Lookup!$A$4,BF22*$BD22+1,"Error")))</f>
        <v>1</v>
      </c>
      <c r="BO22" s="229">
        <f>IF($BC22=Lookup!$A$2,$BD22*ROUNDUP(BG22/10,0)+1,
IF($BC22=Lookup!$A$3,($BD22+1)^BF22,
IF($BC22=Lookup!$A$4,BG22*$BD22+1,"Error")))</f>
        <v>1</v>
      </c>
      <c r="BP22" s="229">
        <f>IF($BC22=Lookup!$A$2,$BD22*ROUNDUP(BH22/10,0)+1,
IF($BC22=Lookup!$A$3,($BD22+1)^BG22,
IF($BC22=Lookup!$A$4,BH22*$BD22+1,"Error")))</f>
        <v>1</v>
      </c>
      <c r="BQ22" s="229">
        <f>IF($BC22=Lookup!$A$2,$BD22*ROUNDUP(BI22/10,0)+1,
IF($BC22=Lookup!$A$3,($BD22+1)^BH22,
IF($BC22=Lookup!$A$4,BI22*$BD22+1,"Error")))</f>
        <v>1</v>
      </c>
      <c r="BR22" s="229">
        <f>IF($BC22=Lookup!$A$2,$BD22*ROUNDUP(BJ22/10,0)+1,
IF($BC22=Lookup!$A$3,($BD22+1)^BI22,
IF($BC22=Lookup!$A$4,BJ22*$BD22+1,"Error")))</f>
        <v>1</v>
      </c>
      <c r="BS22" s="229">
        <f>IF($BC22=Lookup!$A$2,$BD22*ROUNDUP(BK22/10,0)+1,
IF($BC22=Lookup!$A$3,($BD22+1)^BJ22,
IF($BC22=Lookup!$A$4,BK22*$BD22+1,"Error")))</f>
        <v>1</v>
      </c>
      <c r="BT22" s="249">
        <f>IF($BC22=Lookup!$A$2,$BD22*ROUNDUP(BL22/10,0)+1,
IF($BC22=Lookup!$A$3,($BD22+1)^BK22,
IF($BC22=Lookup!$A$4,BL22*$BD22+1,"Error")))</f>
        <v>1</v>
      </c>
      <c r="BU22" s="320"/>
      <c r="BV22" s="321"/>
      <c r="BW22" s="321"/>
      <c r="BX22" s="321"/>
      <c r="BY22" s="321"/>
      <c r="BZ22" s="321"/>
      <c r="CA22" s="321"/>
      <c r="CB22" s="277"/>
      <c r="CC22" s="382" t="s">
        <v>293</v>
      </c>
      <c r="CD22" s="383">
        <f>HLOOKUP($CC22,$AK$6:$AM$132,ROWS(CC$6:CC22),0)</f>
        <v>0</v>
      </c>
      <c r="CE22" s="234">
        <f t="shared" si="30"/>
        <v>0</v>
      </c>
      <c r="CF22" s="96">
        <f t="shared" si="25"/>
        <v>0</v>
      </c>
      <c r="CG22" s="96">
        <f t="shared" si="25"/>
        <v>0</v>
      </c>
      <c r="CH22" s="96">
        <f t="shared" si="25"/>
        <v>0</v>
      </c>
      <c r="CI22" s="96">
        <f t="shared" si="25"/>
        <v>0</v>
      </c>
      <c r="CJ22" s="96">
        <f t="shared" si="25"/>
        <v>0</v>
      </c>
      <c r="CK22" s="96">
        <f t="shared" si="25"/>
        <v>0</v>
      </c>
      <c r="CL22" s="286">
        <f t="shared" si="25"/>
        <v>0</v>
      </c>
      <c r="CM22" s="305" t="s">
        <v>293</v>
      </c>
      <c r="CN22" s="315">
        <v>0.05</v>
      </c>
      <c r="CO22" s="306"/>
      <c r="CP22" s="307" t="str">
        <f>IF($CO22&lt;&gt;"",$CO22,HLOOKUP($CM22,$AY$6:$BA$132,ROWS(CO$6:CO22),0))</f>
        <v/>
      </c>
      <c r="CQ22" s="784" t="str">
        <f t="shared" si="26"/>
        <v/>
      </c>
      <c r="CR22" s="784" t="str">
        <f t="shared" si="26"/>
        <v/>
      </c>
      <c r="CS22" s="97" t="str">
        <f t="shared" si="26"/>
        <v/>
      </c>
      <c r="CT22" s="97" t="str">
        <f t="shared" si="26"/>
        <v/>
      </c>
      <c r="CU22" s="97" t="str">
        <f t="shared" si="26"/>
        <v/>
      </c>
      <c r="CV22" s="97" t="str">
        <f t="shared" si="26"/>
        <v/>
      </c>
      <c r="CW22" s="97" t="str">
        <f t="shared" si="26"/>
        <v/>
      </c>
      <c r="CX22" s="98" t="str">
        <f t="shared" si="26"/>
        <v/>
      </c>
      <c r="CY22" s="392"/>
    </row>
    <row r="23" spans="1:103" x14ac:dyDescent="0.25">
      <c r="A23" s="81" t="s">
        <v>27</v>
      </c>
      <c r="B23" s="82" t="s">
        <v>57</v>
      </c>
      <c r="C23" s="83" t="s">
        <v>58</v>
      </c>
      <c r="D23" s="84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654">
        <f>'2022-23 Input'!G23</f>
        <v>0</v>
      </c>
      <c r="N23" s="1065">
        <v>0</v>
      </c>
      <c r="O23" s="560">
        <f t="shared" si="27"/>
        <v>0</v>
      </c>
      <c r="P23" s="561">
        <f t="shared" si="0"/>
        <v>0</v>
      </c>
      <c r="Q23" s="561">
        <f t="shared" si="1"/>
        <v>0</v>
      </c>
      <c r="R23" s="561">
        <f t="shared" si="2"/>
        <v>0</v>
      </c>
      <c r="S23" s="561">
        <f t="shared" si="3"/>
        <v>0</v>
      </c>
      <c r="T23" s="561">
        <f t="shared" si="4"/>
        <v>0</v>
      </c>
      <c r="U23" s="561">
        <f t="shared" si="5"/>
        <v>0</v>
      </c>
      <c r="V23" s="561">
        <f t="shared" si="6"/>
        <v>0</v>
      </c>
      <c r="W23" s="675">
        <f t="shared" si="7"/>
        <v>0</v>
      </c>
      <c r="X23" s="675">
        <f t="shared" si="8"/>
        <v>0</v>
      </c>
      <c r="Y23" s="675">
        <f t="shared" si="8"/>
        <v>0</v>
      </c>
      <c r="Z23" s="86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1094">
        <f>'2022-23 Input'!N23</f>
        <v>0</v>
      </c>
      <c r="AJ23" s="665">
        <v>0</v>
      </c>
      <c r="AK23" s="88">
        <f t="shared" si="9"/>
        <v>0</v>
      </c>
      <c r="AL23" s="89">
        <f t="shared" si="10"/>
        <v>0</v>
      </c>
      <c r="AM23" s="90">
        <f t="shared" si="11"/>
        <v>0</v>
      </c>
      <c r="AN23" s="91" t="str">
        <f t="shared" si="12"/>
        <v/>
      </c>
      <c r="AO23" s="92" t="str">
        <f t="shared" si="13"/>
        <v/>
      </c>
      <c r="AP23" s="92" t="str">
        <f t="shared" si="14"/>
        <v/>
      </c>
      <c r="AQ23" s="92" t="str">
        <f t="shared" si="15"/>
        <v/>
      </c>
      <c r="AR23" s="92" t="str">
        <f t="shared" si="16"/>
        <v/>
      </c>
      <c r="AS23" s="92" t="str">
        <f t="shared" si="17"/>
        <v/>
      </c>
      <c r="AT23" s="92" t="str">
        <f t="shared" si="18"/>
        <v/>
      </c>
      <c r="AU23" s="92" t="str">
        <f t="shared" si="19"/>
        <v/>
      </c>
      <c r="AV23" s="92" t="str">
        <f t="shared" ref="AV23:AX38" si="45">IFERROR(L23/AH23,"")</f>
        <v/>
      </c>
      <c r="AW23" s="92" t="str">
        <f t="shared" si="45"/>
        <v/>
      </c>
      <c r="AX23" s="92" t="str">
        <f t="shared" si="45"/>
        <v/>
      </c>
      <c r="AY23" s="93" t="str">
        <f t="shared" si="21"/>
        <v/>
      </c>
      <c r="AZ23" s="94" t="str">
        <f t="shared" si="22"/>
        <v/>
      </c>
      <c r="BA23" s="95" t="str">
        <f t="shared" si="23"/>
        <v/>
      </c>
      <c r="BB23" s="248" t="s">
        <v>422</v>
      </c>
      <c r="BC23" s="229" t="s">
        <v>433</v>
      </c>
      <c r="BD23" s="249">
        <v>0</v>
      </c>
      <c r="BE23" s="267">
        <f t="shared" si="28"/>
        <v>0</v>
      </c>
      <c r="BF23" s="268">
        <f t="shared" ref="BF23:BL23" si="46">IF(BF$6=$BB23,1,
IF(BE23&lt;&gt;0,BE23+1,0
))</f>
        <v>0</v>
      </c>
      <c r="BG23" s="268">
        <f t="shared" si="46"/>
        <v>0</v>
      </c>
      <c r="BH23" s="268">
        <f t="shared" si="46"/>
        <v>1</v>
      </c>
      <c r="BI23" s="268">
        <f t="shared" si="46"/>
        <v>2</v>
      </c>
      <c r="BJ23" s="268">
        <f t="shared" si="46"/>
        <v>3</v>
      </c>
      <c r="BK23" s="268">
        <f t="shared" si="46"/>
        <v>4</v>
      </c>
      <c r="BL23" s="269">
        <f t="shared" si="46"/>
        <v>5</v>
      </c>
      <c r="BM23" s="256">
        <f>IF($BC23=Lookup!$A$2,$BD23*ROUNDUP(BE23/10,0)+1,
IF($BC23=Lookup!$A$3,($BD23+1)^BD23,
IF($BC23=Lookup!$A$4,BE23*$BD23+1,"Error")))</f>
        <v>1</v>
      </c>
      <c r="BN23" s="229">
        <f>IF($BC23=Lookup!$A$2,$BD23*ROUNDUP(BF23/10,0)+1,
IF($BC23=Lookup!$A$3,($BD23+1)^BE23,
IF($BC23=Lookup!$A$4,BF23*$BD23+1,"Error")))</f>
        <v>1</v>
      </c>
      <c r="BO23" s="229">
        <f>IF($BC23=Lookup!$A$2,$BD23*ROUNDUP(BG23/10,0)+1,
IF($BC23=Lookup!$A$3,($BD23+1)^BF23,
IF($BC23=Lookup!$A$4,BG23*$BD23+1,"Error")))</f>
        <v>1</v>
      </c>
      <c r="BP23" s="229">
        <f>IF($BC23=Lookup!$A$2,$BD23*ROUNDUP(BH23/10,0)+1,
IF($BC23=Lookup!$A$3,($BD23+1)^BG23,
IF($BC23=Lookup!$A$4,BH23*$BD23+1,"Error")))</f>
        <v>1</v>
      </c>
      <c r="BQ23" s="229">
        <f>IF($BC23=Lookup!$A$2,$BD23*ROUNDUP(BI23/10,0)+1,
IF($BC23=Lookup!$A$3,($BD23+1)^BH23,
IF($BC23=Lookup!$A$4,BI23*$BD23+1,"Error")))</f>
        <v>1</v>
      </c>
      <c r="BR23" s="229">
        <f>IF($BC23=Lookup!$A$2,$BD23*ROUNDUP(BJ23/10,0)+1,
IF($BC23=Lookup!$A$3,($BD23+1)^BI23,
IF($BC23=Lookup!$A$4,BJ23*$BD23+1,"Error")))</f>
        <v>1</v>
      </c>
      <c r="BS23" s="229">
        <f>IF($BC23=Lookup!$A$2,$BD23*ROUNDUP(BK23/10,0)+1,
IF($BC23=Lookup!$A$3,($BD23+1)^BJ23,
IF($BC23=Lookup!$A$4,BK23*$BD23+1,"Error")))</f>
        <v>1</v>
      </c>
      <c r="BT23" s="249">
        <f>IF($BC23=Lookup!$A$2,$BD23*ROUNDUP(BL23/10,0)+1,
IF($BC23=Lookup!$A$3,($BD23+1)^BK23,
IF($BC23=Lookup!$A$4,BL23*$BD23+1,"Error")))</f>
        <v>1</v>
      </c>
      <c r="BU23" s="320"/>
      <c r="BV23" s="321"/>
      <c r="BW23" s="321"/>
      <c r="BX23" s="321"/>
      <c r="BY23" s="321"/>
      <c r="BZ23" s="321"/>
      <c r="CA23" s="321"/>
      <c r="CB23" s="277"/>
      <c r="CC23" s="382" t="s">
        <v>293</v>
      </c>
      <c r="CD23" s="383">
        <f>HLOOKUP($CC23,$AK$6:$AM$132,ROWS(CC$6:CC23),0)</f>
        <v>0</v>
      </c>
      <c r="CE23" s="234">
        <f t="shared" si="30"/>
        <v>0</v>
      </c>
      <c r="CF23" s="96">
        <f t="shared" si="25"/>
        <v>0</v>
      </c>
      <c r="CG23" s="96">
        <f t="shared" si="25"/>
        <v>0</v>
      </c>
      <c r="CH23" s="96">
        <f t="shared" si="25"/>
        <v>0</v>
      </c>
      <c r="CI23" s="96">
        <f t="shared" si="25"/>
        <v>0</v>
      </c>
      <c r="CJ23" s="96">
        <f t="shared" si="25"/>
        <v>0</v>
      </c>
      <c r="CK23" s="96">
        <f t="shared" si="25"/>
        <v>0</v>
      </c>
      <c r="CL23" s="286">
        <f t="shared" si="25"/>
        <v>0</v>
      </c>
      <c r="CM23" s="305" t="s">
        <v>293</v>
      </c>
      <c r="CN23" s="315">
        <v>0.05</v>
      </c>
      <c r="CO23" s="306"/>
      <c r="CP23" s="307" t="str">
        <f>IF($CO23&lt;&gt;"",$CO23,HLOOKUP($CM23,$AY$6:$BA$132,ROWS(CO$6:CO23),0))</f>
        <v/>
      </c>
      <c r="CQ23" s="784" t="str">
        <f t="shared" si="26"/>
        <v/>
      </c>
      <c r="CR23" s="784" t="str">
        <f t="shared" si="26"/>
        <v/>
      </c>
      <c r="CS23" s="97" t="str">
        <f t="shared" si="26"/>
        <v/>
      </c>
      <c r="CT23" s="97" t="str">
        <f t="shared" si="26"/>
        <v/>
      </c>
      <c r="CU23" s="97" t="str">
        <f t="shared" si="26"/>
        <v/>
      </c>
      <c r="CV23" s="97" t="str">
        <f t="shared" si="26"/>
        <v/>
      </c>
      <c r="CW23" s="97" t="str">
        <f t="shared" si="26"/>
        <v/>
      </c>
      <c r="CX23" s="98" t="str">
        <f t="shared" si="26"/>
        <v/>
      </c>
      <c r="CY23" s="392"/>
    </row>
    <row r="24" spans="1:103" x14ac:dyDescent="0.25">
      <c r="A24" s="81" t="s">
        <v>27</v>
      </c>
      <c r="B24" s="82" t="s">
        <v>59</v>
      </c>
      <c r="C24" s="83" t="s">
        <v>60</v>
      </c>
      <c r="D24" s="84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654">
        <f>'2022-23 Input'!G24</f>
        <v>0</v>
      </c>
      <c r="N24" s="1065">
        <v>0</v>
      </c>
      <c r="O24" s="560">
        <f t="shared" si="27"/>
        <v>0</v>
      </c>
      <c r="P24" s="561">
        <f t="shared" si="0"/>
        <v>0</v>
      </c>
      <c r="Q24" s="561">
        <f t="shared" si="1"/>
        <v>0</v>
      </c>
      <c r="R24" s="561">
        <f t="shared" si="2"/>
        <v>0</v>
      </c>
      <c r="S24" s="561">
        <f t="shared" si="3"/>
        <v>0</v>
      </c>
      <c r="T24" s="561">
        <f t="shared" si="4"/>
        <v>0</v>
      </c>
      <c r="U24" s="561">
        <f t="shared" si="5"/>
        <v>0</v>
      </c>
      <c r="V24" s="561">
        <f t="shared" si="6"/>
        <v>0</v>
      </c>
      <c r="W24" s="675">
        <f t="shared" si="7"/>
        <v>0</v>
      </c>
      <c r="X24" s="675">
        <f t="shared" si="8"/>
        <v>0</v>
      </c>
      <c r="Y24" s="675">
        <f t="shared" si="8"/>
        <v>0</v>
      </c>
      <c r="Z24" s="86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1094">
        <f>'2022-23 Input'!N24</f>
        <v>0</v>
      </c>
      <c r="AJ24" s="665">
        <v>0</v>
      </c>
      <c r="AK24" s="88">
        <f t="shared" si="9"/>
        <v>0</v>
      </c>
      <c r="AL24" s="89">
        <f t="shared" si="10"/>
        <v>0</v>
      </c>
      <c r="AM24" s="90">
        <f t="shared" si="11"/>
        <v>0</v>
      </c>
      <c r="AN24" s="91" t="str">
        <f t="shared" si="12"/>
        <v/>
      </c>
      <c r="AO24" s="92" t="str">
        <f t="shared" si="13"/>
        <v/>
      </c>
      <c r="AP24" s="92" t="str">
        <f t="shared" si="14"/>
        <v/>
      </c>
      <c r="AQ24" s="92" t="str">
        <f t="shared" si="15"/>
        <v/>
      </c>
      <c r="AR24" s="92" t="str">
        <f t="shared" si="16"/>
        <v/>
      </c>
      <c r="AS24" s="92" t="str">
        <f t="shared" si="17"/>
        <v/>
      </c>
      <c r="AT24" s="92" t="str">
        <f t="shared" si="18"/>
        <v/>
      </c>
      <c r="AU24" s="92" t="str">
        <f t="shared" si="19"/>
        <v/>
      </c>
      <c r="AV24" s="92" t="str">
        <f t="shared" si="45"/>
        <v/>
      </c>
      <c r="AW24" s="92" t="str">
        <f t="shared" si="45"/>
        <v/>
      </c>
      <c r="AX24" s="92" t="str">
        <f t="shared" si="45"/>
        <v/>
      </c>
      <c r="AY24" s="93" t="str">
        <f t="shared" si="21"/>
        <v/>
      </c>
      <c r="AZ24" s="94" t="str">
        <f t="shared" si="22"/>
        <v/>
      </c>
      <c r="BA24" s="95" t="str">
        <f t="shared" si="23"/>
        <v/>
      </c>
      <c r="BB24" s="248" t="s">
        <v>422</v>
      </c>
      <c r="BC24" s="229" t="s">
        <v>433</v>
      </c>
      <c r="BD24" s="249">
        <v>0</v>
      </c>
      <c r="BE24" s="267">
        <f t="shared" si="28"/>
        <v>0</v>
      </c>
      <c r="BF24" s="268">
        <f t="shared" ref="BF24:BL24" si="47">IF(BF$6=$BB24,1,
IF(BE24&lt;&gt;0,BE24+1,0
))</f>
        <v>0</v>
      </c>
      <c r="BG24" s="268">
        <f t="shared" si="47"/>
        <v>0</v>
      </c>
      <c r="BH24" s="268">
        <f t="shared" si="47"/>
        <v>1</v>
      </c>
      <c r="BI24" s="268">
        <f t="shared" si="47"/>
        <v>2</v>
      </c>
      <c r="BJ24" s="268">
        <f t="shared" si="47"/>
        <v>3</v>
      </c>
      <c r="BK24" s="268">
        <f t="shared" si="47"/>
        <v>4</v>
      </c>
      <c r="BL24" s="269">
        <f t="shared" si="47"/>
        <v>5</v>
      </c>
      <c r="BM24" s="256">
        <f>IF($BC24=Lookup!$A$2,$BD24*ROUNDUP(BE24/10,0)+1,
IF($BC24=Lookup!$A$3,($BD24+1)^BD24,
IF($BC24=Lookup!$A$4,BE24*$BD24+1,"Error")))</f>
        <v>1</v>
      </c>
      <c r="BN24" s="229">
        <f>IF($BC24=Lookup!$A$2,$BD24*ROUNDUP(BF24/10,0)+1,
IF($BC24=Lookup!$A$3,($BD24+1)^BE24,
IF($BC24=Lookup!$A$4,BF24*$BD24+1,"Error")))</f>
        <v>1</v>
      </c>
      <c r="BO24" s="229">
        <f>IF($BC24=Lookup!$A$2,$BD24*ROUNDUP(BG24/10,0)+1,
IF($BC24=Lookup!$A$3,($BD24+1)^BF24,
IF($BC24=Lookup!$A$4,BG24*$BD24+1,"Error")))</f>
        <v>1</v>
      </c>
      <c r="BP24" s="229">
        <f>IF($BC24=Lookup!$A$2,$BD24*ROUNDUP(BH24/10,0)+1,
IF($BC24=Lookup!$A$3,($BD24+1)^BG24,
IF($BC24=Lookup!$A$4,BH24*$BD24+1,"Error")))</f>
        <v>1</v>
      </c>
      <c r="BQ24" s="229">
        <f>IF($BC24=Lookup!$A$2,$BD24*ROUNDUP(BI24/10,0)+1,
IF($BC24=Lookup!$A$3,($BD24+1)^BH24,
IF($BC24=Lookup!$A$4,BI24*$BD24+1,"Error")))</f>
        <v>1</v>
      </c>
      <c r="BR24" s="229">
        <f>IF($BC24=Lookup!$A$2,$BD24*ROUNDUP(BJ24/10,0)+1,
IF($BC24=Lookup!$A$3,($BD24+1)^BI24,
IF($BC24=Lookup!$A$4,BJ24*$BD24+1,"Error")))</f>
        <v>1</v>
      </c>
      <c r="BS24" s="229">
        <f>IF($BC24=Lookup!$A$2,$BD24*ROUNDUP(BK24/10,0)+1,
IF($BC24=Lookup!$A$3,($BD24+1)^BJ24,
IF($BC24=Lookup!$A$4,BK24*$BD24+1,"Error")))</f>
        <v>1</v>
      </c>
      <c r="BT24" s="249">
        <f>IF($BC24=Lookup!$A$2,$BD24*ROUNDUP(BL24/10,0)+1,
IF($BC24=Lookup!$A$3,($BD24+1)^BK24,
IF($BC24=Lookup!$A$4,BL24*$BD24+1,"Error")))</f>
        <v>1</v>
      </c>
      <c r="BU24" s="320"/>
      <c r="BV24" s="321"/>
      <c r="BW24" s="321"/>
      <c r="BX24" s="321"/>
      <c r="BY24" s="321"/>
      <c r="BZ24" s="321"/>
      <c r="CA24" s="321"/>
      <c r="CB24" s="277"/>
      <c r="CC24" s="382" t="s">
        <v>293</v>
      </c>
      <c r="CD24" s="383">
        <f>HLOOKUP($CC24,$AK$6:$AM$132,ROWS(CC$6:CC24),0)</f>
        <v>0</v>
      </c>
      <c r="CE24" s="234">
        <f t="shared" si="30"/>
        <v>0</v>
      </c>
      <c r="CF24" s="96">
        <f t="shared" si="25"/>
        <v>0</v>
      </c>
      <c r="CG24" s="96">
        <f t="shared" si="25"/>
        <v>0</v>
      </c>
      <c r="CH24" s="96">
        <f t="shared" si="25"/>
        <v>0</v>
      </c>
      <c r="CI24" s="96">
        <f t="shared" si="25"/>
        <v>0</v>
      </c>
      <c r="CJ24" s="96">
        <f t="shared" si="25"/>
        <v>0</v>
      </c>
      <c r="CK24" s="96">
        <f t="shared" si="25"/>
        <v>0</v>
      </c>
      <c r="CL24" s="286">
        <f t="shared" si="25"/>
        <v>0</v>
      </c>
      <c r="CM24" s="305" t="s">
        <v>293</v>
      </c>
      <c r="CN24" s="315">
        <v>0.05</v>
      </c>
      <c r="CO24" s="306"/>
      <c r="CP24" s="307" t="str">
        <f>IF($CO24&lt;&gt;"",$CO24,HLOOKUP($CM24,$AY$6:$BA$132,ROWS(CO$6:CO24),0))</f>
        <v/>
      </c>
      <c r="CQ24" s="784" t="str">
        <f t="shared" si="26"/>
        <v/>
      </c>
      <c r="CR24" s="784" t="str">
        <f t="shared" si="26"/>
        <v/>
      </c>
      <c r="CS24" s="97" t="str">
        <f t="shared" si="26"/>
        <v/>
      </c>
      <c r="CT24" s="97" t="str">
        <f t="shared" si="26"/>
        <v/>
      </c>
      <c r="CU24" s="97" t="str">
        <f t="shared" si="26"/>
        <v/>
      </c>
      <c r="CV24" s="97" t="str">
        <f t="shared" si="26"/>
        <v/>
      </c>
      <c r="CW24" s="97" t="str">
        <f t="shared" si="26"/>
        <v/>
      </c>
      <c r="CX24" s="98" t="str">
        <f t="shared" si="26"/>
        <v/>
      </c>
      <c r="CY24" s="392"/>
    </row>
    <row r="25" spans="1:103" x14ac:dyDescent="0.25">
      <c r="A25" s="81" t="s">
        <v>27</v>
      </c>
      <c r="B25" s="82" t="s">
        <v>61</v>
      </c>
      <c r="C25" s="83" t="s">
        <v>62</v>
      </c>
      <c r="D25" s="84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654">
        <f>'2022-23 Input'!G25</f>
        <v>0</v>
      </c>
      <c r="N25" s="1065">
        <v>0</v>
      </c>
      <c r="O25" s="560">
        <f t="shared" si="27"/>
        <v>0</v>
      </c>
      <c r="P25" s="561">
        <f t="shared" si="0"/>
        <v>0</v>
      </c>
      <c r="Q25" s="561">
        <f t="shared" si="1"/>
        <v>0</v>
      </c>
      <c r="R25" s="561">
        <f t="shared" si="2"/>
        <v>0</v>
      </c>
      <c r="S25" s="561">
        <f t="shared" si="3"/>
        <v>0</v>
      </c>
      <c r="T25" s="561">
        <f t="shared" si="4"/>
        <v>0</v>
      </c>
      <c r="U25" s="561">
        <f t="shared" si="5"/>
        <v>0</v>
      </c>
      <c r="V25" s="561">
        <f t="shared" si="6"/>
        <v>0</v>
      </c>
      <c r="W25" s="675">
        <f t="shared" si="7"/>
        <v>0</v>
      </c>
      <c r="X25" s="675">
        <f t="shared" si="8"/>
        <v>0</v>
      </c>
      <c r="Y25" s="675">
        <f t="shared" si="8"/>
        <v>0</v>
      </c>
      <c r="Z25" s="86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1094">
        <f>'2022-23 Input'!N25</f>
        <v>0</v>
      </c>
      <c r="AJ25" s="665">
        <v>0</v>
      </c>
      <c r="AK25" s="88">
        <f t="shared" si="9"/>
        <v>0</v>
      </c>
      <c r="AL25" s="89">
        <f t="shared" si="10"/>
        <v>0</v>
      </c>
      <c r="AM25" s="90">
        <f t="shared" si="11"/>
        <v>0</v>
      </c>
      <c r="AN25" s="91" t="str">
        <f t="shared" si="12"/>
        <v/>
      </c>
      <c r="AO25" s="92" t="str">
        <f t="shared" si="13"/>
        <v/>
      </c>
      <c r="AP25" s="92" t="str">
        <f t="shared" si="14"/>
        <v/>
      </c>
      <c r="AQ25" s="92" t="str">
        <f t="shared" si="15"/>
        <v/>
      </c>
      <c r="AR25" s="92" t="str">
        <f t="shared" si="16"/>
        <v/>
      </c>
      <c r="AS25" s="92" t="str">
        <f t="shared" si="17"/>
        <v/>
      </c>
      <c r="AT25" s="92" t="str">
        <f t="shared" si="18"/>
        <v/>
      </c>
      <c r="AU25" s="92" t="str">
        <f t="shared" si="19"/>
        <v/>
      </c>
      <c r="AV25" s="92" t="str">
        <f t="shared" si="45"/>
        <v/>
      </c>
      <c r="AW25" s="92" t="str">
        <f t="shared" si="45"/>
        <v/>
      </c>
      <c r="AX25" s="92" t="str">
        <f t="shared" si="45"/>
        <v/>
      </c>
      <c r="AY25" s="93" t="str">
        <f t="shared" si="21"/>
        <v/>
      </c>
      <c r="AZ25" s="94" t="str">
        <f t="shared" si="22"/>
        <v/>
      </c>
      <c r="BA25" s="95" t="str">
        <f t="shared" si="23"/>
        <v/>
      </c>
      <c r="BB25" s="248" t="s">
        <v>422</v>
      </c>
      <c r="BC25" s="229" t="s">
        <v>433</v>
      </c>
      <c r="BD25" s="249">
        <v>0</v>
      </c>
      <c r="BE25" s="267">
        <f t="shared" si="28"/>
        <v>0</v>
      </c>
      <c r="BF25" s="268">
        <f t="shared" ref="BF25:BL25" si="48">IF(BF$6=$BB25,1,
IF(BE25&lt;&gt;0,BE25+1,0
))</f>
        <v>0</v>
      </c>
      <c r="BG25" s="268">
        <f t="shared" si="48"/>
        <v>0</v>
      </c>
      <c r="BH25" s="268">
        <f t="shared" si="48"/>
        <v>1</v>
      </c>
      <c r="BI25" s="268">
        <f t="shared" si="48"/>
        <v>2</v>
      </c>
      <c r="BJ25" s="268">
        <f t="shared" si="48"/>
        <v>3</v>
      </c>
      <c r="BK25" s="268">
        <f t="shared" si="48"/>
        <v>4</v>
      </c>
      <c r="BL25" s="269">
        <f t="shared" si="48"/>
        <v>5</v>
      </c>
      <c r="BM25" s="256">
        <f>IF($BC25=Lookup!$A$2,$BD25*ROUNDUP(BE25/10,0)+1,
IF($BC25=Lookup!$A$3,($BD25+1)^BD25,
IF($BC25=Lookup!$A$4,BE25*$BD25+1,"Error")))</f>
        <v>1</v>
      </c>
      <c r="BN25" s="229">
        <f>IF($BC25=Lookup!$A$2,$BD25*ROUNDUP(BF25/10,0)+1,
IF($BC25=Lookup!$A$3,($BD25+1)^BE25,
IF($BC25=Lookup!$A$4,BF25*$BD25+1,"Error")))</f>
        <v>1</v>
      </c>
      <c r="BO25" s="229">
        <f>IF($BC25=Lookup!$A$2,$BD25*ROUNDUP(BG25/10,0)+1,
IF($BC25=Lookup!$A$3,($BD25+1)^BF25,
IF($BC25=Lookup!$A$4,BG25*$BD25+1,"Error")))</f>
        <v>1</v>
      </c>
      <c r="BP25" s="229">
        <f>IF($BC25=Lookup!$A$2,$BD25*ROUNDUP(BH25/10,0)+1,
IF($BC25=Lookup!$A$3,($BD25+1)^BG25,
IF($BC25=Lookup!$A$4,BH25*$BD25+1,"Error")))</f>
        <v>1</v>
      </c>
      <c r="BQ25" s="229">
        <f>IF($BC25=Lookup!$A$2,$BD25*ROUNDUP(BI25/10,0)+1,
IF($BC25=Lookup!$A$3,($BD25+1)^BH25,
IF($BC25=Lookup!$A$4,BI25*$BD25+1,"Error")))</f>
        <v>1</v>
      </c>
      <c r="BR25" s="229">
        <f>IF($BC25=Lookup!$A$2,$BD25*ROUNDUP(BJ25/10,0)+1,
IF($BC25=Lookup!$A$3,($BD25+1)^BI25,
IF($BC25=Lookup!$A$4,BJ25*$BD25+1,"Error")))</f>
        <v>1</v>
      </c>
      <c r="BS25" s="229">
        <f>IF($BC25=Lookup!$A$2,$BD25*ROUNDUP(BK25/10,0)+1,
IF($BC25=Lookup!$A$3,($BD25+1)^BJ25,
IF($BC25=Lookup!$A$4,BK25*$BD25+1,"Error")))</f>
        <v>1</v>
      </c>
      <c r="BT25" s="249">
        <f>IF($BC25=Lookup!$A$2,$BD25*ROUNDUP(BL25/10,0)+1,
IF($BC25=Lookup!$A$3,($BD25+1)^BK25,
IF($BC25=Lookup!$A$4,BL25*$BD25+1,"Error")))</f>
        <v>1</v>
      </c>
      <c r="BU25" s="320"/>
      <c r="BV25" s="321"/>
      <c r="BW25" s="321"/>
      <c r="BX25" s="321"/>
      <c r="BY25" s="321"/>
      <c r="BZ25" s="321"/>
      <c r="CA25" s="321"/>
      <c r="CB25" s="277"/>
      <c r="CC25" s="382" t="s">
        <v>293</v>
      </c>
      <c r="CD25" s="383">
        <f>HLOOKUP($CC25,$AK$6:$AM$132,ROWS(CC$6:CC25),0)</f>
        <v>0</v>
      </c>
      <c r="CE25" s="234">
        <f t="shared" si="30"/>
        <v>0</v>
      </c>
      <c r="CF25" s="96">
        <f t="shared" si="25"/>
        <v>0</v>
      </c>
      <c r="CG25" s="96">
        <f t="shared" si="25"/>
        <v>0</v>
      </c>
      <c r="CH25" s="96">
        <f t="shared" si="25"/>
        <v>0</v>
      </c>
      <c r="CI25" s="96">
        <f t="shared" si="25"/>
        <v>0</v>
      </c>
      <c r="CJ25" s="96">
        <f t="shared" si="25"/>
        <v>0</v>
      </c>
      <c r="CK25" s="96">
        <f t="shared" si="25"/>
        <v>0</v>
      </c>
      <c r="CL25" s="286">
        <f t="shared" si="25"/>
        <v>0</v>
      </c>
      <c r="CM25" s="305" t="s">
        <v>293</v>
      </c>
      <c r="CN25" s="315">
        <v>0.05</v>
      </c>
      <c r="CO25" s="306"/>
      <c r="CP25" s="307" t="str">
        <f>IF($CO25&lt;&gt;"",$CO25,HLOOKUP($CM25,$AY$6:$BA$132,ROWS(CO$6:CO25),0))</f>
        <v/>
      </c>
      <c r="CQ25" s="784" t="str">
        <f t="shared" si="26"/>
        <v/>
      </c>
      <c r="CR25" s="784" t="str">
        <f t="shared" si="26"/>
        <v/>
      </c>
      <c r="CS25" s="97" t="str">
        <f t="shared" si="26"/>
        <v/>
      </c>
      <c r="CT25" s="97" t="str">
        <f t="shared" si="26"/>
        <v/>
      </c>
      <c r="CU25" s="97" t="str">
        <f t="shared" si="26"/>
        <v/>
      </c>
      <c r="CV25" s="97" t="str">
        <f t="shared" si="26"/>
        <v/>
      </c>
      <c r="CW25" s="97" t="str">
        <f t="shared" si="26"/>
        <v/>
      </c>
      <c r="CX25" s="98" t="str">
        <f t="shared" si="26"/>
        <v/>
      </c>
      <c r="CY25" s="392"/>
    </row>
    <row r="26" spans="1:103" ht="15.75" thickBot="1" x14ac:dyDescent="0.3">
      <c r="A26" s="100" t="s">
        <v>27</v>
      </c>
      <c r="B26" s="101" t="s">
        <v>303</v>
      </c>
      <c r="C26" s="102" t="s">
        <v>304</v>
      </c>
      <c r="D26" s="103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655">
        <f>'2022-23 Input'!G26</f>
        <v>0</v>
      </c>
      <c r="N26" s="1066">
        <v>0</v>
      </c>
      <c r="O26" s="563">
        <f t="shared" si="27"/>
        <v>0</v>
      </c>
      <c r="P26" s="564">
        <f t="shared" si="0"/>
        <v>0</v>
      </c>
      <c r="Q26" s="564">
        <f t="shared" si="1"/>
        <v>0</v>
      </c>
      <c r="R26" s="564">
        <f t="shared" si="2"/>
        <v>0</v>
      </c>
      <c r="S26" s="564">
        <f t="shared" si="3"/>
        <v>0</v>
      </c>
      <c r="T26" s="564">
        <f t="shared" si="4"/>
        <v>0</v>
      </c>
      <c r="U26" s="564">
        <f t="shared" si="5"/>
        <v>0</v>
      </c>
      <c r="V26" s="564">
        <f t="shared" si="6"/>
        <v>0</v>
      </c>
      <c r="W26" s="676">
        <f t="shared" si="7"/>
        <v>0</v>
      </c>
      <c r="X26" s="676">
        <f t="shared" si="8"/>
        <v>0</v>
      </c>
      <c r="Y26" s="676">
        <f t="shared" si="8"/>
        <v>0</v>
      </c>
      <c r="Z26" s="105">
        <v>0</v>
      </c>
      <c r="AA26" s="106">
        <v>0</v>
      </c>
      <c r="AB26" s="106">
        <v>0</v>
      </c>
      <c r="AC26" s="106">
        <v>0</v>
      </c>
      <c r="AD26" s="106">
        <v>0</v>
      </c>
      <c r="AE26" s="106">
        <v>0</v>
      </c>
      <c r="AF26" s="106">
        <v>0</v>
      </c>
      <c r="AG26" s="106">
        <v>0</v>
      </c>
      <c r="AH26" s="106">
        <v>0</v>
      </c>
      <c r="AI26" s="1095">
        <f>'2022-23 Input'!N26</f>
        <v>0</v>
      </c>
      <c r="AJ26" s="666">
        <v>0</v>
      </c>
      <c r="AK26" s="107">
        <f t="shared" si="9"/>
        <v>0</v>
      </c>
      <c r="AL26" s="108">
        <f t="shared" si="10"/>
        <v>0</v>
      </c>
      <c r="AM26" s="109">
        <f t="shared" si="11"/>
        <v>0</v>
      </c>
      <c r="AN26" s="110" t="str">
        <f t="shared" si="12"/>
        <v/>
      </c>
      <c r="AO26" s="111" t="str">
        <f t="shared" si="13"/>
        <v/>
      </c>
      <c r="AP26" s="111" t="str">
        <f t="shared" si="14"/>
        <v/>
      </c>
      <c r="AQ26" s="111" t="str">
        <f t="shared" si="15"/>
        <v/>
      </c>
      <c r="AR26" s="111" t="str">
        <f t="shared" si="16"/>
        <v/>
      </c>
      <c r="AS26" s="111" t="str">
        <f t="shared" si="17"/>
        <v/>
      </c>
      <c r="AT26" s="111" t="str">
        <f t="shared" si="18"/>
        <v/>
      </c>
      <c r="AU26" s="111" t="str">
        <f t="shared" si="19"/>
        <v/>
      </c>
      <c r="AV26" s="111" t="str">
        <f t="shared" si="45"/>
        <v/>
      </c>
      <c r="AW26" s="111" t="str">
        <f t="shared" si="45"/>
        <v/>
      </c>
      <c r="AX26" s="111" t="str">
        <f t="shared" si="45"/>
        <v/>
      </c>
      <c r="AY26" s="112" t="str">
        <f t="shared" si="21"/>
        <v/>
      </c>
      <c r="AZ26" s="113" t="str">
        <f t="shared" si="22"/>
        <v/>
      </c>
      <c r="BA26" s="114" t="str">
        <f t="shared" si="23"/>
        <v/>
      </c>
      <c r="BB26" s="250" t="s">
        <v>422</v>
      </c>
      <c r="BC26" s="230" t="s">
        <v>433</v>
      </c>
      <c r="BD26" s="251">
        <v>0</v>
      </c>
      <c r="BE26" s="270">
        <f t="shared" si="28"/>
        <v>0</v>
      </c>
      <c r="BF26" s="271">
        <f t="shared" ref="BF26:BL26" si="49">IF(BF$6=$BB26,1,
IF(BE26&lt;&gt;0,BE26+1,0
))</f>
        <v>0</v>
      </c>
      <c r="BG26" s="271">
        <f t="shared" si="49"/>
        <v>0</v>
      </c>
      <c r="BH26" s="271">
        <f t="shared" si="49"/>
        <v>1</v>
      </c>
      <c r="BI26" s="271">
        <f t="shared" si="49"/>
        <v>2</v>
      </c>
      <c r="BJ26" s="271">
        <f t="shared" si="49"/>
        <v>3</v>
      </c>
      <c r="BK26" s="271">
        <f t="shared" si="49"/>
        <v>4</v>
      </c>
      <c r="BL26" s="272">
        <f t="shared" si="49"/>
        <v>5</v>
      </c>
      <c r="BM26" s="257">
        <f>IF($BC26=Lookup!$A$2,$BD26*ROUNDUP(BE26/10,0)+1,
IF($BC26=Lookup!$A$3,($BD26+1)^BD26,
IF($BC26=Lookup!$A$4,BE26*$BD26+1,"Error")))</f>
        <v>1</v>
      </c>
      <c r="BN26" s="230">
        <f>IF($BC26=Lookup!$A$2,$BD26*ROUNDUP(BF26/10,0)+1,
IF($BC26=Lookup!$A$3,($BD26+1)^BE26,
IF($BC26=Lookup!$A$4,BF26*$BD26+1,"Error")))</f>
        <v>1</v>
      </c>
      <c r="BO26" s="230">
        <f>IF($BC26=Lookup!$A$2,$BD26*ROUNDUP(BG26/10,0)+1,
IF($BC26=Lookup!$A$3,($BD26+1)^BF26,
IF($BC26=Lookup!$A$4,BG26*$BD26+1,"Error")))</f>
        <v>1</v>
      </c>
      <c r="BP26" s="230">
        <f>IF($BC26=Lookup!$A$2,$BD26*ROUNDUP(BH26/10,0)+1,
IF($BC26=Lookup!$A$3,($BD26+1)^BG26,
IF($BC26=Lookup!$A$4,BH26*$BD26+1,"Error")))</f>
        <v>1</v>
      </c>
      <c r="BQ26" s="230">
        <f>IF($BC26=Lookup!$A$2,$BD26*ROUNDUP(BI26/10,0)+1,
IF($BC26=Lookup!$A$3,($BD26+1)^BH26,
IF($BC26=Lookup!$A$4,BI26*$BD26+1,"Error")))</f>
        <v>1</v>
      </c>
      <c r="BR26" s="230">
        <f>IF($BC26=Lookup!$A$2,$BD26*ROUNDUP(BJ26/10,0)+1,
IF($BC26=Lookup!$A$3,($BD26+1)^BI26,
IF($BC26=Lookup!$A$4,BJ26*$BD26+1,"Error")))</f>
        <v>1</v>
      </c>
      <c r="BS26" s="230">
        <f>IF($BC26=Lookup!$A$2,$BD26*ROUNDUP(BK26/10,0)+1,
IF($BC26=Lookup!$A$3,($BD26+1)^BJ26,
IF($BC26=Lookup!$A$4,BK26*$BD26+1,"Error")))</f>
        <v>1</v>
      </c>
      <c r="BT26" s="251">
        <f>IF($BC26=Lookup!$A$2,$BD26*ROUNDUP(BL26/10,0)+1,
IF($BC26=Lookup!$A$3,($BD26+1)^BK26,
IF($BC26=Lookup!$A$4,BL26*$BD26+1,"Error")))</f>
        <v>1</v>
      </c>
      <c r="BU26" s="322"/>
      <c r="BV26" s="323"/>
      <c r="BW26" s="323"/>
      <c r="BX26" s="323"/>
      <c r="BY26" s="323"/>
      <c r="BZ26" s="323"/>
      <c r="CA26" s="323"/>
      <c r="CB26" s="278"/>
      <c r="CC26" s="384" t="s">
        <v>293</v>
      </c>
      <c r="CD26" s="385">
        <f>HLOOKUP($CC26,$AK$6:$AM$132,ROWS(CC$6:CC26),0)</f>
        <v>0</v>
      </c>
      <c r="CE26" s="235">
        <f t="shared" si="30"/>
        <v>0</v>
      </c>
      <c r="CF26" s="115">
        <f t="shared" si="25"/>
        <v>0</v>
      </c>
      <c r="CG26" s="115">
        <f t="shared" si="25"/>
        <v>0</v>
      </c>
      <c r="CH26" s="115">
        <f t="shared" si="25"/>
        <v>0</v>
      </c>
      <c r="CI26" s="115">
        <f t="shared" si="25"/>
        <v>0</v>
      </c>
      <c r="CJ26" s="115">
        <f t="shared" si="25"/>
        <v>0</v>
      </c>
      <c r="CK26" s="115">
        <f t="shared" si="25"/>
        <v>0</v>
      </c>
      <c r="CL26" s="287">
        <f t="shared" si="25"/>
        <v>0</v>
      </c>
      <c r="CM26" s="308" t="s">
        <v>293</v>
      </c>
      <c r="CN26" s="316">
        <v>0.05</v>
      </c>
      <c r="CO26" s="309"/>
      <c r="CP26" s="310" t="str">
        <f>IF($CO26&lt;&gt;"",$CO26,HLOOKUP($CM26,$AY$6:$BA$132,ROWS(CO$6:CO26),0))</f>
        <v/>
      </c>
      <c r="CQ26" s="785" t="str">
        <f t="shared" si="26"/>
        <v/>
      </c>
      <c r="CR26" s="785" t="str">
        <f t="shared" si="26"/>
        <v/>
      </c>
      <c r="CS26" s="117" t="str">
        <f t="shared" si="26"/>
        <v/>
      </c>
      <c r="CT26" s="117" t="str">
        <f t="shared" si="26"/>
        <v/>
      </c>
      <c r="CU26" s="117" t="str">
        <f t="shared" si="26"/>
        <v/>
      </c>
      <c r="CV26" s="117" t="str">
        <f t="shared" si="26"/>
        <v/>
      </c>
      <c r="CW26" s="117" t="str">
        <f t="shared" si="26"/>
        <v/>
      </c>
      <c r="CX26" s="118" t="str">
        <f t="shared" si="26"/>
        <v/>
      </c>
      <c r="CY26" s="393"/>
    </row>
    <row r="27" spans="1:103" x14ac:dyDescent="0.25">
      <c r="A27" s="63" t="s">
        <v>68</v>
      </c>
      <c r="B27" s="64" t="s">
        <v>65</v>
      </c>
      <c r="C27" s="65" t="s">
        <v>305</v>
      </c>
      <c r="D27" s="66">
        <v>3632.3701112360877</v>
      </c>
      <c r="E27" s="67">
        <v>4931.4268822706626</v>
      </c>
      <c r="F27" s="67">
        <v>10239.725610139418</v>
      </c>
      <c r="G27" s="67">
        <v>8088.9257419958321</v>
      </c>
      <c r="H27" s="67">
        <v>3644.8713292840966</v>
      </c>
      <c r="I27" s="67">
        <v>56012.745053020961</v>
      </c>
      <c r="J27" s="67">
        <v>18890.631489479991</v>
      </c>
      <c r="K27" s="67">
        <v>26666.086275245998</v>
      </c>
      <c r="L27" s="67">
        <v>22353.874054620977</v>
      </c>
      <c r="M27" s="653">
        <f>'2022-23 Input'!G27</f>
        <v>13120.772943213015</v>
      </c>
      <c r="N27" s="1064">
        <v>25098.801381909987</v>
      </c>
      <c r="O27" s="557">
        <f t="shared" si="27"/>
        <v>4887.1953198596902</v>
      </c>
      <c r="P27" s="558">
        <f t="shared" si="0"/>
        <v>6536.2656834252748</v>
      </c>
      <c r="Q27" s="558">
        <f t="shared" si="1"/>
        <v>13434.578855728001</v>
      </c>
      <c r="R27" s="558">
        <f t="shared" si="2"/>
        <v>10411.391810492813</v>
      </c>
      <c r="S27" s="558">
        <f t="shared" si="3"/>
        <v>4595.8867763524722</v>
      </c>
      <c r="T27" s="558">
        <f t="shared" si="4"/>
        <v>69520.1229905644</v>
      </c>
      <c r="U27" s="558">
        <f t="shared" si="5"/>
        <v>23528.054337842394</v>
      </c>
      <c r="V27" s="558">
        <f t="shared" si="6"/>
        <v>31982.204958335202</v>
      </c>
      <c r="W27" s="674">
        <f t="shared" si="7"/>
        <v>25258.251079115362</v>
      </c>
      <c r="X27" s="674">
        <f t="shared" si="8"/>
        <v>13953.429345233417</v>
      </c>
      <c r="Y27" s="674">
        <f t="shared" si="8"/>
        <v>25788.980252567686</v>
      </c>
      <c r="Z27" s="68">
        <v>17</v>
      </c>
      <c r="AA27" s="69">
        <v>17</v>
      </c>
      <c r="AB27" s="69">
        <v>31</v>
      </c>
      <c r="AC27" s="69">
        <v>26</v>
      </c>
      <c r="AD27" s="69">
        <v>14</v>
      </c>
      <c r="AE27" s="69">
        <v>96</v>
      </c>
      <c r="AF27" s="69">
        <v>24</v>
      </c>
      <c r="AG27" s="69">
        <v>24</v>
      </c>
      <c r="AH27" s="69">
        <v>28</v>
      </c>
      <c r="AI27" s="1093">
        <f>'2022-23 Input'!N27</f>
        <v>23</v>
      </c>
      <c r="AJ27" s="664">
        <v>28</v>
      </c>
      <c r="AK27" s="70">
        <f t="shared" si="9"/>
        <v>39</v>
      </c>
      <c r="AL27" s="71">
        <f t="shared" si="10"/>
        <v>25</v>
      </c>
      <c r="AM27" s="72">
        <f t="shared" si="11"/>
        <v>23</v>
      </c>
      <c r="AN27" s="73">
        <f t="shared" si="12"/>
        <v>213.66883007271105</v>
      </c>
      <c r="AO27" s="74">
        <f t="shared" si="13"/>
        <v>290.08393425121545</v>
      </c>
      <c r="AP27" s="74">
        <f t="shared" si="14"/>
        <v>330.31372935933604</v>
      </c>
      <c r="AQ27" s="74">
        <f t="shared" si="15"/>
        <v>311.11252853830126</v>
      </c>
      <c r="AR27" s="74">
        <f t="shared" si="16"/>
        <v>260.3479520917212</v>
      </c>
      <c r="AS27" s="74">
        <f t="shared" si="17"/>
        <v>583.46609430230171</v>
      </c>
      <c r="AT27" s="74">
        <f t="shared" si="18"/>
        <v>787.10964539499957</v>
      </c>
      <c r="AU27" s="74">
        <f t="shared" si="19"/>
        <v>1111.08692813525</v>
      </c>
      <c r="AV27" s="74">
        <f t="shared" si="45"/>
        <v>798.35264480789203</v>
      </c>
      <c r="AW27" s="74">
        <f t="shared" si="45"/>
        <v>570.46838883534849</v>
      </c>
      <c r="AX27" s="74">
        <f t="shared" si="45"/>
        <v>896.38576363964239</v>
      </c>
      <c r="AY27" s="75">
        <f t="shared" si="21"/>
        <v>702.79030674656894</v>
      </c>
      <c r="AZ27" s="76">
        <f t="shared" si="22"/>
        <v>828.54311030773317</v>
      </c>
      <c r="BA27" s="77">
        <f t="shared" si="23"/>
        <v>570.46838883534849</v>
      </c>
      <c r="BB27" s="246" t="s">
        <v>422</v>
      </c>
      <c r="BC27" s="228" t="s">
        <v>433</v>
      </c>
      <c r="BD27" s="247">
        <v>9.2307691999999997E-2</v>
      </c>
      <c r="BE27" s="264">
        <f t="shared" si="28"/>
        <v>0</v>
      </c>
      <c r="BF27" s="265">
        <f t="shared" ref="BF27:BL27" si="50">IF(BF$6=$BB27,1,
IF(BE27&lt;&gt;0,BE27+1,0
))</f>
        <v>0</v>
      </c>
      <c r="BG27" s="265">
        <f t="shared" si="50"/>
        <v>0</v>
      </c>
      <c r="BH27" s="265">
        <f t="shared" si="50"/>
        <v>1</v>
      </c>
      <c r="BI27" s="265">
        <f t="shared" si="50"/>
        <v>2</v>
      </c>
      <c r="BJ27" s="265">
        <f t="shared" si="50"/>
        <v>3</v>
      </c>
      <c r="BK27" s="265">
        <f t="shared" si="50"/>
        <v>4</v>
      </c>
      <c r="BL27" s="266">
        <f t="shared" si="50"/>
        <v>5</v>
      </c>
      <c r="BM27" s="255">
        <f>IF($BC27=Lookup!$A$2,$BD27*ROUNDUP(BE27/10,0)+1,
IF($BC27=Lookup!$A$3,($BD27+1)^BD27,
IF($BC27=Lookup!$A$4,BE27*$BD27+1,"Error")))</f>
        <v>1</v>
      </c>
      <c r="BN27" s="228">
        <f>IF($BC27=Lookup!$A$2,$BD27*ROUNDUP(BF27/10,0)+1,
IF($BC27=Lookup!$A$3,($BD27+1)^BE27,
IF($BC27=Lookup!$A$4,BF27*$BD27+1,"Error")))</f>
        <v>1</v>
      </c>
      <c r="BO27" s="228">
        <f>IF($BC27=Lookup!$A$2,$BD27*ROUNDUP(BG27/10,0)+1,
IF($BC27=Lookup!$A$3,($BD27+1)^BF27,
IF($BC27=Lookup!$A$4,BG27*$BD27+1,"Error")))</f>
        <v>1</v>
      </c>
      <c r="BP27" s="228">
        <f>IF($BC27=Lookup!$A$2,$BD27*ROUNDUP(BH27/10,0)+1,
IF($BC27=Lookup!$A$3,($BD27+1)^BG27,
IF($BC27=Lookup!$A$4,BH27*$BD27+1,"Error")))</f>
        <v>1.0923076919999999</v>
      </c>
      <c r="BQ27" s="228">
        <f>IF($BC27=Lookup!$A$2,$BD27*ROUNDUP(BI27/10,0)+1,
IF($BC27=Lookup!$A$3,($BD27+1)^BH27,
IF($BC27=Lookup!$A$4,BI27*$BD27+1,"Error")))</f>
        <v>1.0923076919999999</v>
      </c>
      <c r="BR27" s="228">
        <f>IF($BC27=Lookup!$A$2,$BD27*ROUNDUP(BJ27/10,0)+1,
IF($BC27=Lookup!$A$3,($BD27+1)^BI27,
IF($BC27=Lookup!$A$4,BJ27*$BD27+1,"Error")))</f>
        <v>1.0923076919999999</v>
      </c>
      <c r="BS27" s="228">
        <f>IF($BC27=Lookup!$A$2,$BD27*ROUNDUP(BK27/10,0)+1,
IF($BC27=Lookup!$A$3,($BD27+1)^BJ27,
IF($BC27=Lookup!$A$4,BK27*$BD27+1,"Error")))</f>
        <v>1.0923076919999999</v>
      </c>
      <c r="BT27" s="247">
        <f>IF($BC27=Lookup!$A$2,$BD27*ROUNDUP(BL27/10,0)+1,
IF($BC27=Lookup!$A$3,($BD27+1)^BK27,
IF($BC27=Lookup!$A$4,BL27*$BD27+1,"Error")))</f>
        <v>1.0923076919999999</v>
      </c>
      <c r="BU27" s="318"/>
      <c r="BV27" s="319"/>
      <c r="BW27" s="319"/>
      <c r="BX27" s="319"/>
      <c r="BY27" s="319"/>
      <c r="BZ27" s="319"/>
      <c r="CA27" s="319"/>
      <c r="CB27" s="276"/>
      <c r="CC27" s="380" t="s">
        <v>293</v>
      </c>
      <c r="CD27" s="381">
        <f>HLOOKUP($CC27,$AK$6:$AM$132,ROWS(CC$6:CC27),0)</f>
        <v>25</v>
      </c>
      <c r="CE27" s="233">
        <f t="shared" si="30"/>
        <v>25</v>
      </c>
      <c r="CF27" s="78">
        <f t="shared" si="25"/>
        <v>25</v>
      </c>
      <c r="CG27" s="78">
        <f t="shared" si="25"/>
        <v>25</v>
      </c>
      <c r="CH27" s="78">
        <f t="shared" si="25"/>
        <v>27.307692299999996</v>
      </c>
      <c r="CI27" s="78">
        <f t="shared" si="25"/>
        <v>27.307692299999996</v>
      </c>
      <c r="CJ27" s="78">
        <f t="shared" si="25"/>
        <v>27.307692299999996</v>
      </c>
      <c r="CK27" s="78">
        <f t="shared" si="25"/>
        <v>27.307692299999996</v>
      </c>
      <c r="CL27" s="285">
        <f t="shared" si="25"/>
        <v>27.307692299999996</v>
      </c>
      <c r="CM27" s="302" t="s">
        <v>293</v>
      </c>
      <c r="CN27" s="314">
        <v>0.05</v>
      </c>
      <c r="CO27" s="303">
        <f>'Defect P1'!CP27</f>
        <v>1439.6952894061376</v>
      </c>
      <c r="CP27" s="304">
        <f>IF($CO27&lt;&gt;"",$CO27,HLOOKUP($CM27,$AY$6:$BA$132,ROWS(CO$6:CO27),0))</f>
        <v>1439.6952894061376</v>
      </c>
      <c r="CQ27" s="783">
        <f t="shared" si="26"/>
        <v>35992.38223515344</v>
      </c>
      <c r="CR27" s="783">
        <f t="shared" si="26"/>
        <v>35992.38223515344</v>
      </c>
      <c r="CS27" s="79">
        <f t="shared" si="26"/>
        <v>35992.38223515344</v>
      </c>
      <c r="CT27" s="79">
        <f t="shared" si="26"/>
        <v>39314.75596886225</v>
      </c>
      <c r="CU27" s="79">
        <f t="shared" si="26"/>
        <v>39314.75596886225</v>
      </c>
      <c r="CV27" s="79">
        <f t="shared" si="26"/>
        <v>39314.75596886225</v>
      </c>
      <c r="CW27" s="79">
        <f t="shared" si="26"/>
        <v>39314.75596886225</v>
      </c>
      <c r="CX27" s="80">
        <f t="shared" si="26"/>
        <v>39314.75596886225</v>
      </c>
      <c r="CY27" s="391" t="s">
        <v>471</v>
      </c>
    </row>
    <row r="28" spans="1:103" x14ac:dyDescent="0.25">
      <c r="A28" s="81" t="s">
        <v>68</v>
      </c>
      <c r="B28" s="82" t="s">
        <v>69</v>
      </c>
      <c r="C28" s="83" t="s">
        <v>70</v>
      </c>
      <c r="D28" s="84">
        <v>25380.560823388343</v>
      </c>
      <c r="E28" s="85">
        <v>27376.079510328029</v>
      </c>
      <c r="F28" s="85">
        <v>29183.867839718117</v>
      </c>
      <c r="G28" s="85">
        <v>31219.742269548762</v>
      </c>
      <c r="H28" s="85">
        <v>24487.684485967631</v>
      </c>
      <c r="I28" s="85">
        <v>41638.646945642009</v>
      </c>
      <c r="J28" s="85">
        <v>34515.607730349038</v>
      </c>
      <c r="K28" s="85">
        <v>78181.534545159986</v>
      </c>
      <c r="L28" s="85">
        <v>131737.99861306284</v>
      </c>
      <c r="M28" s="654">
        <f>'2022-23 Input'!G28</f>
        <v>210968.68453841202</v>
      </c>
      <c r="N28" s="1065">
        <v>158520.80137838607</v>
      </c>
      <c r="O28" s="560">
        <f t="shared" si="27"/>
        <v>34148.435944834724</v>
      </c>
      <c r="P28" s="561">
        <f t="shared" si="0"/>
        <v>36285.102328778252</v>
      </c>
      <c r="Q28" s="561">
        <f t="shared" si="1"/>
        <v>38289.402346836832</v>
      </c>
      <c r="R28" s="561">
        <f t="shared" si="2"/>
        <v>40183.453199890158</v>
      </c>
      <c r="S28" s="561">
        <f t="shared" si="3"/>
        <v>30876.981694345617</v>
      </c>
      <c r="T28" s="561">
        <f t="shared" si="4"/>
        <v>51679.735640194245</v>
      </c>
      <c r="U28" s="561">
        <f t="shared" si="5"/>
        <v>42988.774336927141</v>
      </c>
      <c r="V28" s="561">
        <f t="shared" si="6"/>
        <v>93767.710640822334</v>
      </c>
      <c r="W28" s="675">
        <f t="shared" si="7"/>
        <v>148854.35238197737</v>
      </c>
      <c r="X28" s="675">
        <f t="shared" si="8"/>
        <v>224356.95263565073</v>
      </c>
      <c r="Y28" s="675">
        <f t="shared" si="8"/>
        <v>162879.88235625075</v>
      </c>
      <c r="Z28" s="86">
        <v>87</v>
      </c>
      <c r="AA28" s="87">
        <v>94</v>
      </c>
      <c r="AB28" s="87">
        <v>82</v>
      </c>
      <c r="AC28" s="87">
        <v>92</v>
      </c>
      <c r="AD28" s="87">
        <v>70</v>
      </c>
      <c r="AE28" s="87">
        <v>70</v>
      </c>
      <c r="AF28" s="87">
        <v>47</v>
      </c>
      <c r="AG28" s="87">
        <v>68</v>
      </c>
      <c r="AH28" s="87">
        <v>134</v>
      </c>
      <c r="AI28" s="1094">
        <f>'2022-23 Input'!N28</f>
        <v>187</v>
      </c>
      <c r="AJ28" s="665">
        <v>87</v>
      </c>
      <c r="AK28" s="88">
        <f t="shared" si="9"/>
        <v>101.2</v>
      </c>
      <c r="AL28" s="89">
        <f t="shared" si="10"/>
        <v>129.66666666666666</v>
      </c>
      <c r="AM28" s="90">
        <f t="shared" si="11"/>
        <v>187</v>
      </c>
      <c r="AN28" s="91">
        <f t="shared" si="12"/>
        <v>291.73058417687753</v>
      </c>
      <c r="AO28" s="92">
        <f t="shared" si="13"/>
        <v>291.23488840774496</v>
      </c>
      <c r="AP28" s="92">
        <f t="shared" si="14"/>
        <v>355.9008273136356</v>
      </c>
      <c r="AQ28" s="92">
        <f t="shared" si="15"/>
        <v>339.3450246690083</v>
      </c>
      <c r="AR28" s="92">
        <f t="shared" si="16"/>
        <v>349.82406408525185</v>
      </c>
      <c r="AS28" s="92">
        <f t="shared" si="17"/>
        <v>594.83781350917161</v>
      </c>
      <c r="AT28" s="92">
        <f t="shared" si="18"/>
        <v>734.37463256061778</v>
      </c>
      <c r="AU28" s="92">
        <f t="shared" si="19"/>
        <v>1149.7284491935293</v>
      </c>
      <c r="AV28" s="92">
        <f t="shared" si="45"/>
        <v>983.11939263479735</v>
      </c>
      <c r="AW28" s="92">
        <f t="shared" si="45"/>
        <v>1128.1747836278719</v>
      </c>
      <c r="AX28" s="92">
        <f t="shared" si="45"/>
        <v>1822.0781767630583</v>
      </c>
      <c r="AY28" s="93">
        <f t="shared" si="21"/>
        <v>982.29737623048595</v>
      </c>
      <c r="AZ28" s="94">
        <f t="shared" si="22"/>
        <v>1081.974852690578</v>
      </c>
      <c r="BA28" s="95">
        <f t="shared" si="23"/>
        <v>1128.1747836278719</v>
      </c>
      <c r="BB28" s="248" t="s">
        <v>422</v>
      </c>
      <c r="BC28" s="229" t="s">
        <v>433</v>
      </c>
      <c r="BD28" s="249">
        <v>9.2307691999999997E-2</v>
      </c>
      <c r="BE28" s="267">
        <f t="shared" si="28"/>
        <v>0</v>
      </c>
      <c r="BF28" s="268">
        <f t="shared" ref="BF28:BL28" si="51">IF(BF$6=$BB28,1,
IF(BE28&lt;&gt;0,BE28+1,0
))</f>
        <v>0</v>
      </c>
      <c r="BG28" s="268">
        <f t="shared" si="51"/>
        <v>0</v>
      </c>
      <c r="BH28" s="268">
        <f t="shared" si="51"/>
        <v>1</v>
      </c>
      <c r="BI28" s="268">
        <f t="shared" si="51"/>
        <v>2</v>
      </c>
      <c r="BJ28" s="268">
        <f t="shared" si="51"/>
        <v>3</v>
      </c>
      <c r="BK28" s="268">
        <f t="shared" si="51"/>
        <v>4</v>
      </c>
      <c r="BL28" s="269">
        <f t="shared" si="51"/>
        <v>5</v>
      </c>
      <c r="BM28" s="256">
        <f>IF($BC28=Lookup!$A$2,$BD28*ROUNDUP(BE28/10,0)+1,
IF($BC28=Lookup!$A$3,($BD28+1)^BD28,
IF($BC28=Lookup!$A$4,BE28*$BD28+1,"Error")))</f>
        <v>1</v>
      </c>
      <c r="BN28" s="229">
        <f>IF($BC28=Lookup!$A$2,$BD28*ROUNDUP(BF28/10,0)+1,
IF($BC28=Lookup!$A$3,($BD28+1)^BE28,
IF($BC28=Lookup!$A$4,BF28*$BD28+1,"Error")))</f>
        <v>1</v>
      </c>
      <c r="BO28" s="229">
        <f>IF($BC28=Lookup!$A$2,$BD28*ROUNDUP(BG28/10,0)+1,
IF($BC28=Lookup!$A$3,($BD28+1)^BF28,
IF($BC28=Lookup!$A$4,BG28*$BD28+1,"Error")))</f>
        <v>1</v>
      </c>
      <c r="BP28" s="229">
        <f>IF($BC28=Lookup!$A$2,$BD28*ROUNDUP(BH28/10,0)+1,
IF($BC28=Lookup!$A$3,($BD28+1)^BG28,
IF($BC28=Lookup!$A$4,BH28*$BD28+1,"Error")))</f>
        <v>1.0923076919999999</v>
      </c>
      <c r="BQ28" s="229">
        <f>IF($BC28=Lookup!$A$2,$BD28*ROUNDUP(BI28/10,0)+1,
IF($BC28=Lookup!$A$3,($BD28+1)^BH28,
IF($BC28=Lookup!$A$4,BI28*$BD28+1,"Error")))</f>
        <v>1.0923076919999999</v>
      </c>
      <c r="BR28" s="229">
        <f>IF($BC28=Lookup!$A$2,$BD28*ROUNDUP(BJ28/10,0)+1,
IF($BC28=Lookup!$A$3,($BD28+1)^BI28,
IF($BC28=Lookup!$A$4,BJ28*$BD28+1,"Error")))</f>
        <v>1.0923076919999999</v>
      </c>
      <c r="BS28" s="229">
        <f>IF($BC28=Lookup!$A$2,$BD28*ROUNDUP(BK28/10,0)+1,
IF($BC28=Lookup!$A$3,($BD28+1)^BJ28,
IF($BC28=Lookup!$A$4,BK28*$BD28+1,"Error")))</f>
        <v>1.0923076919999999</v>
      </c>
      <c r="BT28" s="249">
        <f>IF($BC28=Lookup!$A$2,$BD28*ROUNDUP(BL28/10,0)+1,
IF($BC28=Lookup!$A$3,($BD28+1)^BK28,
IF($BC28=Lookup!$A$4,BL28*$BD28+1,"Error")))</f>
        <v>1.0923076919999999</v>
      </c>
      <c r="BU28" s="320"/>
      <c r="BV28" s="321"/>
      <c r="BW28" s="321"/>
      <c r="BX28" s="321"/>
      <c r="BY28" s="321"/>
      <c r="BZ28" s="321"/>
      <c r="CA28" s="321"/>
      <c r="CB28" s="277"/>
      <c r="CC28" s="382" t="s">
        <v>293</v>
      </c>
      <c r="CD28" s="383">
        <f>HLOOKUP($CC28,$AK$6:$AM$132,ROWS(CC$6:CC28),0)</f>
        <v>129.66666666666666</v>
      </c>
      <c r="CE28" s="234">
        <f t="shared" si="30"/>
        <v>129.66666666666666</v>
      </c>
      <c r="CF28" s="96">
        <f t="shared" si="25"/>
        <v>129.66666666666666</v>
      </c>
      <c r="CG28" s="96">
        <f t="shared" si="25"/>
        <v>129.66666666666666</v>
      </c>
      <c r="CH28" s="96">
        <f t="shared" si="25"/>
        <v>141.63589739599996</v>
      </c>
      <c r="CI28" s="96">
        <f t="shared" si="25"/>
        <v>141.63589739599996</v>
      </c>
      <c r="CJ28" s="96">
        <f t="shared" si="25"/>
        <v>141.63589739599996</v>
      </c>
      <c r="CK28" s="96">
        <f t="shared" si="25"/>
        <v>141.63589739599996</v>
      </c>
      <c r="CL28" s="286">
        <f t="shared" si="25"/>
        <v>141.63589739599996</v>
      </c>
      <c r="CM28" s="305" t="s">
        <v>293</v>
      </c>
      <c r="CN28" s="315">
        <v>0.05</v>
      </c>
      <c r="CO28" s="306">
        <f>'Defect P1'!CP28</f>
        <v>4385.1235149255681</v>
      </c>
      <c r="CP28" s="307">
        <f>IF($CO28&lt;&gt;"",$CO28,HLOOKUP($CM28,$AY$6:$BA$132,ROWS(CO$6:CO28),0))</f>
        <v>4385.1235149255681</v>
      </c>
      <c r="CQ28" s="784">
        <f t="shared" si="26"/>
        <v>568604.34910201526</v>
      </c>
      <c r="CR28" s="784">
        <f t="shared" si="26"/>
        <v>568604.34910201526</v>
      </c>
      <c r="CS28" s="97">
        <f t="shared" si="26"/>
        <v>568604.34910201526</v>
      </c>
      <c r="CT28" s="97">
        <f t="shared" si="26"/>
        <v>621090.90422878449</v>
      </c>
      <c r="CU28" s="97">
        <f t="shared" si="26"/>
        <v>621090.90422878449</v>
      </c>
      <c r="CV28" s="97">
        <f t="shared" si="26"/>
        <v>621090.90422878449</v>
      </c>
      <c r="CW28" s="97">
        <f t="shared" si="26"/>
        <v>621090.90422878449</v>
      </c>
      <c r="CX28" s="98">
        <f t="shared" si="26"/>
        <v>621090.90422878449</v>
      </c>
      <c r="CY28" s="392" t="s">
        <v>472</v>
      </c>
    </row>
    <row r="29" spans="1:103" x14ac:dyDescent="0.25">
      <c r="A29" s="81" t="s">
        <v>68</v>
      </c>
      <c r="B29" s="82" t="s">
        <v>71</v>
      </c>
      <c r="C29" s="83" t="s">
        <v>306</v>
      </c>
      <c r="D29" s="84">
        <v>12628.394416249848</v>
      </c>
      <c r="E29" s="85">
        <v>25288.258591967267</v>
      </c>
      <c r="F29" s="85">
        <v>15374.333909169349</v>
      </c>
      <c r="G29" s="85">
        <v>10136.554926297285</v>
      </c>
      <c r="H29" s="85">
        <v>26402.621474151409</v>
      </c>
      <c r="I29" s="85">
        <v>19029.493733480002</v>
      </c>
      <c r="J29" s="85">
        <v>23803.661082068</v>
      </c>
      <c r="K29" s="85">
        <v>56107.820030283001</v>
      </c>
      <c r="L29" s="85">
        <v>113637.42235749897</v>
      </c>
      <c r="M29" s="654">
        <f>'2022-23 Input'!G29</f>
        <v>142857.67157060612</v>
      </c>
      <c r="N29" s="1065">
        <v>87271.495317002977</v>
      </c>
      <c r="O29" s="560">
        <f t="shared" si="27"/>
        <v>16990.953068776405</v>
      </c>
      <c r="P29" s="561">
        <f t="shared" si="0"/>
        <v>33517.839922256397</v>
      </c>
      <c r="Q29" s="561">
        <f t="shared" si="1"/>
        <v>20171.214456420999</v>
      </c>
      <c r="R29" s="561">
        <f t="shared" si="2"/>
        <v>13046.929631007177</v>
      </c>
      <c r="S29" s="561">
        <f t="shared" si="3"/>
        <v>33291.561740240038</v>
      </c>
      <c r="T29" s="561">
        <f t="shared" si="4"/>
        <v>23618.42369174074</v>
      </c>
      <c r="U29" s="561">
        <f t="shared" si="5"/>
        <v>29647.173610388236</v>
      </c>
      <c r="V29" s="561">
        <f t="shared" si="6"/>
        <v>67293.407118377072</v>
      </c>
      <c r="W29" s="675">
        <f t="shared" si="7"/>
        <v>128402.01832021344</v>
      </c>
      <c r="X29" s="675">
        <f t="shared" si="8"/>
        <v>151923.55170783715</v>
      </c>
      <c r="Y29" s="675">
        <f t="shared" si="8"/>
        <v>89671.328725856947</v>
      </c>
      <c r="Z29" s="86">
        <v>32</v>
      </c>
      <c r="AA29" s="87">
        <v>59</v>
      </c>
      <c r="AB29" s="87">
        <v>37</v>
      </c>
      <c r="AC29" s="87">
        <v>23</v>
      </c>
      <c r="AD29" s="87">
        <v>49</v>
      </c>
      <c r="AE29" s="87">
        <v>38</v>
      </c>
      <c r="AF29" s="87">
        <v>25</v>
      </c>
      <c r="AG29" s="87">
        <v>50</v>
      </c>
      <c r="AH29" s="87">
        <v>152</v>
      </c>
      <c r="AI29" s="1094">
        <f>'2022-23 Input'!N29</f>
        <v>78</v>
      </c>
      <c r="AJ29" s="665">
        <v>94</v>
      </c>
      <c r="AK29" s="88">
        <f t="shared" si="9"/>
        <v>68.599999999999994</v>
      </c>
      <c r="AL29" s="89">
        <f t="shared" si="10"/>
        <v>93.333333333333329</v>
      </c>
      <c r="AM29" s="90">
        <f t="shared" si="11"/>
        <v>78</v>
      </c>
      <c r="AN29" s="91">
        <f t="shared" si="12"/>
        <v>394.63732550780776</v>
      </c>
      <c r="AO29" s="92">
        <f t="shared" si="13"/>
        <v>428.61455240622485</v>
      </c>
      <c r="AP29" s="92">
        <f t="shared" si="14"/>
        <v>415.52253808565808</v>
      </c>
      <c r="AQ29" s="92">
        <f t="shared" si="15"/>
        <v>440.71977940422983</v>
      </c>
      <c r="AR29" s="92">
        <f t="shared" si="16"/>
        <v>538.82900967655939</v>
      </c>
      <c r="AS29" s="92">
        <f t="shared" si="17"/>
        <v>500.77615088105267</v>
      </c>
      <c r="AT29" s="92">
        <f t="shared" si="18"/>
        <v>952.14644328272004</v>
      </c>
      <c r="AU29" s="92">
        <f t="shared" si="19"/>
        <v>1122.1564006056601</v>
      </c>
      <c r="AV29" s="92">
        <f t="shared" si="45"/>
        <v>747.61462077301951</v>
      </c>
      <c r="AW29" s="92">
        <f t="shared" si="45"/>
        <v>1831.5086098795657</v>
      </c>
      <c r="AX29" s="92">
        <f t="shared" si="45"/>
        <v>928.42016294684015</v>
      </c>
      <c r="AY29" s="93">
        <f t="shared" si="21"/>
        <v>1036.2567602738661</v>
      </c>
      <c r="AZ29" s="94">
        <f t="shared" si="22"/>
        <v>1116.4389784228147</v>
      </c>
      <c r="BA29" s="95">
        <f t="shared" si="23"/>
        <v>1831.5086098795657</v>
      </c>
      <c r="BB29" s="248" t="s">
        <v>422</v>
      </c>
      <c r="BC29" s="229" t="s">
        <v>433</v>
      </c>
      <c r="BD29" s="249">
        <v>9.2307691999999997E-2</v>
      </c>
      <c r="BE29" s="267">
        <f t="shared" si="28"/>
        <v>0</v>
      </c>
      <c r="BF29" s="268">
        <f t="shared" ref="BF29:BL29" si="52">IF(BF$6=$BB29,1,
IF(BE29&lt;&gt;0,BE29+1,0
))</f>
        <v>0</v>
      </c>
      <c r="BG29" s="268">
        <f t="shared" si="52"/>
        <v>0</v>
      </c>
      <c r="BH29" s="268">
        <f t="shared" si="52"/>
        <v>1</v>
      </c>
      <c r="BI29" s="268">
        <f t="shared" si="52"/>
        <v>2</v>
      </c>
      <c r="BJ29" s="268">
        <f t="shared" si="52"/>
        <v>3</v>
      </c>
      <c r="BK29" s="268">
        <f t="shared" si="52"/>
        <v>4</v>
      </c>
      <c r="BL29" s="269">
        <f t="shared" si="52"/>
        <v>5</v>
      </c>
      <c r="BM29" s="256">
        <f>IF($BC29=Lookup!$A$2,$BD29*ROUNDUP(BE29/10,0)+1,
IF($BC29=Lookup!$A$3,($BD29+1)^BD29,
IF($BC29=Lookup!$A$4,BE29*$BD29+1,"Error")))</f>
        <v>1</v>
      </c>
      <c r="BN29" s="229">
        <f>IF($BC29=Lookup!$A$2,$BD29*ROUNDUP(BF29/10,0)+1,
IF($BC29=Lookup!$A$3,($BD29+1)^BE29,
IF($BC29=Lookup!$A$4,BF29*$BD29+1,"Error")))</f>
        <v>1</v>
      </c>
      <c r="BO29" s="229">
        <f>IF($BC29=Lookup!$A$2,$BD29*ROUNDUP(BG29/10,0)+1,
IF($BC29=Lookup!$A$3,($BD29+1)^BF29,
IF($BC29=Lookup!$A$4,BG29*$BD29+1,"Error")))</f>
        <v>1</v>
      </c>
      <c r="BP29" s="229">
        <f>IF($BC29=Lookup!$A$2,$BD29*ROUNDUP(BH29/10,0)+1,
IF($BC29=Lookup!$A$3,($BD29+1)^BG29,
IF($BC29=Lookup!$A$4,BH29*$BD29+1,"Error")))</f>
        <v>1.0923076919999999</v>
      </c>
      <c r="BQ29" s="229">
        <f>IF($BC29=Lookup!$A$2,$BD29*ROUNDUP(BI29/10,0)+1,
IF($BC29=Lookup!$A$3,($BD29+1)^BH29,
IF($BC29=Lookup!$A$4,BI29*$BD29+1,"Error")))</f>
        <v>1.0923076919999999</v>
      </c>
      <c r="BR29" s="229">
        <f>IF($BC29=Lookup!$A$2,$BD29*ROUNDUP(BJ29/10,0)+1,
IF($BC29=Lookup!$A$3,($BD29+1)^BI29,
IF($BC29=Lookup!$A$4,BJ29*$BD29+1,"Error")))</f>
        <v>1.0923076919999999</v>
      </c>
      <c r="BS29" s="229">
        <f>IF($BC29=Lookup!$A$2,$BD29*ROUNDUP(BK29/10,0)+1,
IF($BC29=Lookup!$A$3,($BD29+1)^BJ29,
IF($BC29=Lookup!$A$4,BK29*$BD29+1,"Error")))</f>
        <v>1.0923076919999999</v>
      </c>
      <c r="BT29" s="249">
        <f>IF($BC29=Lookup!$A$2,$BD29*ROUNDUP(BL29/10,0)+1,
IF($BC29=Lookup!$A$3,($BD29+1)^BK29,
IF($BC29=Lookup!$A$4,BL29*$BD29+1,"Error")))</f>
        <v>1.0923076919999999</v>
      </c>
      <c r="BU29" s="320"/>
      <c r="BV29" s="321"/>
      <c r="BW29" s="321"/>
      <c r="BX29" s="321"/>
      <c r="BY29" s="321"/>
      <c r="BZ29" s="321"/>
      <c r="CA29" s="321"/>
      <c r="CB29" s="277"/>
      <c r="CC29" s="382" t="s">
        <v>293</v>
      </c>
      <c r="CD29" s="383">
        <f>HLOOKUP($CC29,$AK$6:$AM$132,ROWS(CC$6:CC29),0)</f>
        <v>93.333333333333329</v>
      </c>
      <c r="CE29" s="234">
        <f t="shared" si="30"/>
        <v>93.333333333333329</v>
      </c>
      <c r="CF29" s="96">
        <f t="shared" si="25"/>
        <v>93.333333333333329</v>
      </c>
      <c r="CG29" s="96">
        <f t="shared" si="25"/>
        <v>93.333333333333329</v>
      </c>
      <c r="CH29" s="96">
        <f t="shared" si="25"/>
        <v>101.94871791999998</v>
      </c>
      <c r="CI29" s="96">
        <f t="shared" si="25"/>
        <v>101.94871791999998</v>
      </c>
      <c r="CJ29" s="96">
        <f t="shared" si="25"/>
        <v>101.94871791999998</v>
      </c>
      <c r="CK29" s="96">
        <f t="shared" si="25"/>
        <v>101.94871791999998</v>
      </c>
      <c r="CL29" s="286">
        <f t="shared" si="25"/>
        <v>101.94871791999998</v>
      </c>
      <c r="CM29" s="305" t="s">
        <v>293</v>
      </c>
      <c r="CN29" s="315">
        <v>0.05</v>
      </c>
      <c r="CO29" s="306" t="str">
        <f>'Defect P1'!CP29</f>
        <v/>
      </c>
      <c r="CP29" s="307">
        <f>IF($CO29&lt;&gt;"",$CO29,HLOOKUP($CM29,$AY$6:$BA$132,ROWS(CO$6:CO29),0))</f>
        <v>1116.4389784228147</v>
      </c>
      <c r="CQ29" s="784">
        <f t="shared" si="26"/>
        <v>104200.9713194627</v>
      </c>
      <c r="CR29" s="784">
        <f t="shared" si="26"/>
        <v>104200.9713194627</v>
      </c>
      <c r="CS29" s="97">
        <f t="shared" si="26"/>
        <v>104200.9713194627</v>
      </c>
      <c r="CT29" s="97">
        <f t="shared" si="26"/>
        <v>113819.52248612048</v>
      </c>
      <c r="CU29" s="97">
        <f t="shared" si="26"/>
        <v>113819.52248612048</v>
      </c>
      <c r="CV29" s="97">
        <f t="shared" si="26"/>
        <v>113819.52248612048</v>
      </c>
      <c r="CW29" s="97">
        <f t="shared" si="26"/>
        <v>113819.52248612048</v>
      </c>
      <c r="CX29" s="98">
        <f t="shared" si="26"/>
        <v>113819.52248612048</v>
      </c>
      <c r="CY29" s="392"/>
    </row>
    <row r="30" spans="1:103" x14ac:dyDescent="0.25">
      <c r="A30" s="81" t="s">
        <v>68</v>
      </c>
      <c r="B30" s="82" t="s">
        <v>73</v>
      </c>
      <c r="C30" s="83" t="s">
        <v>307</v>
      </c>
      <c r="D30" s="84">
        <v>10716.641858259247</v>
      </c>
      <c r="E30" s="85">
        <v>6103.3303786759516</v>
      </c>
      <c r="F30" s="85">
        <v>9838.537437510231</v>
      </c>
      <c r="G30" s="85">
        <v>8200.4949810570106</v>
      </c>
      <c r="H30" s="85">
        <v>6853.4150816628544</v>
      </c>
      <c r="I30" s="85">
        <v>0</v>
      </c>
      <c r="J30" s="85">
        <v>8310.2879750020038</v>
      </c>
      <c r="K30" s="85">
        <v>12649.746538209998</v>
      </c>
      <c r="L30" s="85">
        <v>28918.244298240003</v>
      </c>
      <c r="M30" s="654">
        <f>'2022-23 Input'!G30</f>
        <v>27943.569564813999</v>
      </c>
      <c r="N30" s="1065">
        <v>34429.432634824982</v>
      </c>
      <c r="O30" s="560">
        <f t="shared" si="27"/>
        <v>14418.773508868615</v>
      </c>
      <c r="P30" s="561">
        <f t="shared" si="0"/>
        <v>8089.5428161307309</v>
      </c>
      <c r="Q30" s="561">
        <f t="shared" si="1"/>
        <v>12908.217667315372</v>
      </c>
      <c r="R30" s="561">
        <f t="shared" si="2"/>
        <v>10554.994446852023</v>
      </c>
      <c r="S30" s="561">
        <f t="shared" si="3"/>
        <v>8641.5999087834643</v>
      </c>
      <c r="T30" s="561">
        <f t="shared" si="4"/>
        <v>0</v>
      </c>
      <c r="U30" s="561">
        <f t="shared" si="5"/>
        <v>10350.363731771025</v>
      </c>
      <c r="V30" s="561">
        <f t="shared" si="6"/>
        <v>15171.584696760725</v>
      </c>
      <c r="W30" s="675">
        <f t="shared" si="7"/>
        <v>32675.511791261495</v>
      </c>
      <c r="X30" s="675">
        <f t="shared" si="8"/>
        <v>29716.894367715977</v>
      </c>
      <c r="Y30" s="675">
        <f t="shared" si="8"/>
        <v>35376.189675996502</v>
      </c>
      <c r="Z30" s="86">
        <v>50</v>
      </c>
      <c r="AA30" s="87">
        <v>29</v>
      </c>
      <c r="AB30" s="87">
        <v>44</v>
      </c>
      <c r="AC30" s="87">
        <v>27</v>
      </c>
      <c r="AD30" s="87">
        <v>32</v>
      </c>
      <c r="AE30" s="87">
        <v>0</v>
      </c>
      <c r="AF30" s="87">
        <v>20</v>
      </c>
      <c r="AG30" s="87">
        <v>32</v>
      </c>
      <c r="AH30" s="87">
        <v>78</v>
      </c>
      <c r="AI30" s="1094">
        <f>'2022-23 Input'!N30</f>
        <v>121</v>
      </c>
      <c r="AJ30" s="665">
        <v>81</v>
      </c>
      <c r="AK30" s="88">
        <f t="shared" si="9"/>
        <v>50.2</v>
      </c>
      <c r="AL30" s="89">
        <f t="shared" si="10"/>
        <v>77</v>
      </c>
      <c r="AM30" s="90">
        <f t="shared" si="11"/>
        <v>121</v>
      </c>
      <c r="AN30" s="91">
        <f t="shared" si="12"/>
        <v>214.33283716518494</v>
      </c>
      <c r="AO30" s="92">
        <f t="shared" si="13"/>
        <v>210.45966823020524</v>
      </c>
      <c r="AP30" s="92">
        <f t="shared" si="14"/>
        <v>223.60312357977799</v>
      </c>
      <c r="AQ30" s="92">
        <f t="shared" si="15"/>
        <v>303.72203633544484</v>
      </c>
      <c r="AR30" s="92">
        <f t="shared" si="16"/>
        <v>214.1692213019642</v>
      </c>
      <c r="AS30" s="92" t="str">
        <f t="shared" si="17"/>
        <v/>
      </c>
      <c r="AT30" s="92">
        <f t="shared" si="18"/>
        <v>415.51439875010021</v>
      </c>
      <c r="AU30" s="92">
        <f t="shared" si="19"/>
        <v>395.30457931906244</v>
      </c>
      <c r="AV30" s="92">
        <f t="shared" si="45"/>
        <v>370.74672177230775</v>
      </c>
      <c r="AW30" s="92">
        <f t="shared" si="45"/>
        <v>230.93859144474379</v>
      </c>
      <c r="AX30" s="92">
        <f t="shared" si="45"/>
        <v>425.05472388672814</v>
      </c>
      <c r="AY30" s="93">
        <f t="shared" si="21"/>
        <v>310.04720468631876</v>
      </c>
      <c r="AZ30" s="94">
        <f t="shared" si="22"/>
        <v>300.91584589291773</v>
      </c>
      <c r="BA30" s="95">
        <f t="shared" si="23"/>
        <v>230.93859144474379</v>
      </c>
      <c r="BB30" s="248" t="s">
        <v>422</v>
      </c>
      <c r="BC30" s="229" t="s">
        <v>433</v>
      </c>
      <c r="BD30" s="249">
        <v>9.2307691999999997E-2</v>
      </c>
      <c r="BE30" s="267">
        <f t="shared" si="28"/>
        <v>0</v>
      </c>
      <c r="BF30" s="268">
        <f t="shared" ref="BF30:BL30" si="53">IF(BF$6=$BB30,1,
IF(BE30&lt;&gt;0,BE30+1,0
))</f>
        <v>0</v>
      </c>
      <c r="BG30" s="268">
        <f t="shared" si="53"/>
        <v>0</v>
      </c>
      <c r="BH30" s="268">
        <f t="shared" si="53"/>
        <v>1</v>
      </c>
      <c r="BI30" s="268">
        <f t="shared" si="53"/>
        <v>2</v>
      </c>
      <c r="BJ30" s="268">
        <f t="shared" si="53"/>
        <v>3</v>
      </c>
      <c r="BK30" s="268">
        <f t="shared" si="53"/>
        <v>4</v>
      </c>
      <c r="BL30" s="269">
        <f t="shared" si="53"/>
        <v>5</v>
      </c>
      <c r="BM30" s="256">
        <f>IF($BC30=Lookup!$A$2,$BD30*ROUNDUP(BE30/10,0)+1,
IF($BC30=Lookup!$A$3,($BD30+1)^BD30,
IF($BC30=Lookup!$A$4,BE30*$BD30+1,"Error")))</f>
        <v>1</v>
      </c>
      <c r="BN30" s="229">
        <f>IF($BC30=Lookup!$A$2,$BD30*ROUNDUP(BF30/10,0)+1,
IF($BC30=Lookup!$A$3,($BD30+1)^BE30,
IF($BC30=Lookup!$A$4,BF30*$BD30+1,"Error")))</f>
        <v>1</v>
      </c>
      <c r="BO30" s="229">
        <f>IF($BC30=Lookup!$A$2,$BD30*ROUNDUP(BG30/10,0)+1,
IF($BC30=Lookup!$A$3,($BD30+1)^BF30,
IF($BC30=Lookup!$A$4,BG30*$BD30+1,"Error")))</f>
        <v>1</v>
      </c>
      <c r="BP30" s="229">
        <f>IF($BC30=Lookup!$A$2,$BD30*ROUNDUP(BH30/10,0)+1,
IF($BC30=Lookup!$A$3,($BD30+1)^BG30,
IF($BC30=Lookup!$A$4,BH30*$BD30+1,"Error")))</f>
        <v>1.0923076919999999</v>
      </c>
      <c r="BQ30" s="229">
        <f>IF($BC30=Lookup!$A$2,$BD30*ROUNDUP(BI30/10,0)+1,
IF($BC30=Lookup!$A$3,($BD30+1)^BH30,
IF($BC30=Lookup!$A$4,BI30*$BD30+1,"Error")))</f>
        <v>1.0923076919999999</v>
      </c>
      <c r="BR30" s="229">
        <f>IF($BC30=Lookup!$A$2,$BD30*ROUNDUP(BJ30/10,0)+1,
IF($BC30=Lookup!$A$3,($BD30+1)^BI30,
IF($BC30=Lookup!$A$4,BJ30*$BD30+1,"Error")))</f>
        <v>1.0923076919999999</v>
      </c>
      <c r="BS30" s="229">
        <f>IF($BC30=Lookup!$A$2,$BD30*ROUNDUP(BK30/10,0)+1,
IF($BC30=Lookup!$A$3,($BD30+1)^BJ30,
IF($BC30=Lookup!$A$4,BK30*$BD30+1,"Error")))</f>
        <v>1.0923076919999999</v>
      </c>
      <c r="BT30" s="249">
        <f>IF($BC30=Lookup!$A$2,$BD30*ROUNDUP(BL30/10,0)+1,
IF($BC30=Lookup!$A$3,($BD30+1)^BK30,
IF($BC30=Lookup!$A$4,BL30*$BD30+1,"Error")))</f>
        <v>1.0923076919999999</v>
      </c>
      <c r="BU30" s="320"/>
      <c r="BV30" s="321"/>
      <c r="BW30" s="321"/>
      <c r="BX30" s="321"/>
      <c r="BY30" s="321"/>
      <c r="BZ30" s="321"/>
      <c r="CA30" s="321"/>
      <c r="CB30" s="277"/>
      <c r="CC30" s="382" t="s">
        <v>293</v>
      </c>
      <c r="CD30" s="383">
        <f>HLOOKUP($CC30,$AK$6:$AM$132,ROWS(CC$6:CC30),0)</f>
        <v>77</v>
      </c>
      <c r="CE30" s="234">
        <f t="shared" si="30"/>
        <v>77</v>
      </c>
      <c r="CF30" s="96">
        <f t="shared" si="25"/>
        <v>77</v>
      </c>
      <c r="CG30" s="96">
        <f t="shared" si="25"/>
        <v>77</v>
      </c>
      <c r="CH30" s="96">
        <f t="shared" si="25"/>
        <v>84.107692283999995</v>
      </c>
      <c r="CI30" s="96">
        <f t="shared" si="25"/>
        <v>84.107692283999995</v>
      </c>
      <c r="CJ30" s="96">
        <f t="shared" si="25"/>
        <v>84.107692283999995</v>
      </c>
      <c r="CK30" s="96">
        <f t="shared" si="25"/>
        <v>84.107692283999995</v>
      </c>
      <c r="CL30" s="286">
        <f t="shared" si="25"/>
        <v>84.107692283999995</v>
      </c>
      <c r="CM30" s="305" t="s">
        <v>293</v>
      </c>
      <c r="CN30" s="315">
        <v>0.05</v>
      </c>
      <c r="CO30" s="306">
        <f>'Defect P1'!CP30</f>
        <v>4402.2875599705612</v>
      </c>
      <c r="CP30" s="307">
        <f>IF($CO30&lt;&gt;"",$CO30,HLOOKUP($CM30,$AY$6:$BA$132,ROWS(CO$6:CO30),0))</f>
        <v>4402.2875599705612</v>
      </c>
      <c r="CQ30" s="784">
        <f t="shared" si="26"/>
        <v>338976.14211773319</v>
      </c>
      <c r="CR30" s="784">
        <f t="shared" si="26"/>
        <v>338976.14211773319</v>
      </c>
      <c r="CS30" s="97">
        <f t="shared" si="26"/>
        <v>338976.14211773319</v>
      </c>
      <c r="CT30" s="97">
        <f t="shared" si="26"/>
        <v>370266.24743968516</v>
      </c>
      <c r="CU30" s="97">
        <f t="shared" si="26"/>
        <v>370266.24743968516</v>
      </c>
      <c r="CV30" s="97">
        <f t="shared" si="26"/>
        <v>370266.24743968516</v>
      </c>
      <c r="CW30" s="97">
        <f t="shared" si="26"/>
        <v>370266.24743968516</v>
      </c>
      <c r="CX30" s="98">
        <f t="shared" si="26"/>
        <v>370266.24743968516</v>
      </c>
      <c r="CY30" s="392" t="s">
        <v>509</v>
      </c>
    </row>
    <row r="31" spans="1:103" x14ac:dyDescent="0.25">
      <c r="A31" s="81" t="s">
        <v>68</v>
      </c>
      <c r="B31" s="82" t="s">
        <v>75</v>
      </c>
      <c r="C31" s="83" t="s">
        <v>76</v>
      </c>
      <c r="D31" s="84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654">
        <f>'2022-23 Input'!G31</f>
        <v>0</v>
      </c>
      <c r="N31" s="1065">
        <v>0</v>
      </c>
      <c r="O31" s="560">
        <f t="shared" si="27"/>
        <v>0</v>
      </c>
      <c r="P31" s="561">
        <f t="shared" si="0"/>
        <v>0</v>
      </c>
      <c r="Q31" s="561">
        <f t="shared" si="1"/>
        <v>0</v>
      </c>
      <c r="R31" s="561">
        <f t="shared" si="2"/>
        <v>0</v>
      </c>
      <c r="S31" s="561">
        <f t="shared" si="3"/>
        <v>0</v>
      </c>
      <c r="T31" s="561">
        <f t="shared" si="4"/>
        <v>0</v>
      </c>
      <c r="U31" s="561">
        <f t="shared" si="5"/>
        <v>0</v>
      </c>
      <c r="V31" s="561">
        <f t="shared" si="6"/>
        <v>0</v>
      </c>
      <c r="W31" s="675">
        <f t="shared" si="7"/>
        <v>0</v>
      </c>
      <c r="X31" s="675">
        <f t="shared" si="8"/>
        <v>0</v>
      </c>
      <c r="Y31" s="675">
        <f t="shared" si="8"/>
        <v>0</v>
      </c>
      <c r="Z31" s="86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1094">
        <f>'2022-23 Input'!N31</f>
        <v>0</v>
      </c>
      <c r="AJ31" s="665">
        <v>0</v>
      </c>
      <c r="AK31" s="88">
        <f t="shared" si="9"/>
        <v>0</v>
      </c>
      <c r="AL31" s="89">
        <f t="shared" si="10"/>
        <v>0</v>
      </c>
      <c r="AM31" s="90">
        <f t="shared" si="11"/>
        <v>0</v>
      </c>
      <c r="AN31" s="91" t="str">
        <f t="shared" si="12"/>
        <v/>
      </c>
      <c r="AO31" s="92" t="str">
        <f t="shared" si="13"/>
        <v/>
      </c>
      <c r="AP31" s="92" t="str">
        <f t="shared" si="14"/>
        <v/>
      </c>
      <c r="AQ31" s="92" t="str">
        <f t="shared" si="15"/>
        <v/>
      </c>
      <c r="AR31" s="92" t="str">
        <f t="shared" si="16"/>
        <v/>
      </c>
      <c r="AS31" s="92" t="str">
        <f t="shared" si="17"/>
        <v/>
      </c>
      <c r="AT31" s="92" t="str">
        <f t="shared" si="18"/>
        <v/>
      </c>
      <c r="AU31" s="92" t="str">
        <f t="shared" si="19"/>
        <v/>
      </c>
      <c r="AV31" s="92" t="str">
        <f t="shared" si="45"/>
        <v/>
      </c>
      <c r="AW31" s="92" t="str">
        <f t="shared" si="45"/>
        <v/>
      </c>
      <c r="AX31" s="92" t="str">
        <f t="shared" si="45"/>
        <v/>
      </c>
      <c r="AY31" s="93" t="str">
        <f t="shared" si="21"/>
        <v/>
      </c>
      <c r="AZ31" s="94" t="str">
        <f t="shared" si="22"/>
        <v/>
      </c>
      <c r="BA31" s="95" t="str">
        <f t="shared" si="23"/>
        <v/>
      </c>
      <c r="BB31" s="248" t="s">
        <v>422</v>
      </c>
      <c r="BC31" s="229" t="s">
        <v>433</v>
      </c>
      <c r="BD31" s="249">
        <v>9.2307691999999997E-2</v>
      </c>
      <c r="BE31" s="267">
        <f t="shared" si="28"/>
        <v>0</v>
      </c>
      <c r="BF31" s="268">
        <f t="shared" ref="BF31:BL31" si="54">IF(BF$6=$BB31,1,
IF(BE31&lt;&gt;0,BE31+1,0
))</f>
        <v>0</v>
      </c>
      <c r="BG31" s="268">
        <f t="shared" si="54"/>
        <v>0</v>
      </c>
      <c r="BH31" s="268">
        <f t="shared" si="54"/>
        <v>1</v>
      </c>
      <c r="BI31" s="268">
        <f t="shared" si="54"/>
        <v>2</v>
      </c>
      <c r="BJ31" s="268">
        <f t="shared" si="54"/>
        <v>3</v>
      </c>
      <c r="BK31" s="268">
        <f t="shared" si="54"/>
        <v>4</v>
      </c>
      <c r="BL31" s="269">
        <f t="shared" si="54"/>
        <v>5</v>
      </c>
      <c r="BM31" s="256">
        <f>IF($BC31=Lookup!$A$2,$BD31*ROUNDUP(BE31/10,0)+1,
IF($BC31=Lookup!$A$3,($BD31+1)^BD31,
IF($BC31=Lookup!$A$4,BE31*$BD31+1,"Error")))</f>
        <v>1</v>
      </c>
      <c r="BN31" s="229">
        <f>IF($BC31=Lookup!$A$2,$BD31*ROUNDUP(BF31/10,0)+1,
IF($BC31=Lookup!$A$3,($BD31+1)^BE31,
IF($BC31=Lookup!$A$4,BF31*$BD31+1,"Error")))</f>
        <v>1</v>
      </c>
      <c r="BO31" s="229">
        <f>IF($BC31=Lookup!$A$2,$BD31*ROUNDUP(BG31/10,0)+1,
IF($BC31=Lookup!$A$3,($BD31+1)^BF31,
IF($BC31=Lookup!$A$4,BG31*$BD31+1,"Error")))</f>
        <v>1</v>
      </c>
      <c r="BP31" s="229">
        <f>IF($BC31=Lookup!$A$2,$BD31*ROUNDUP(BH31/10,0)+1,
IF($BC31=Lookup!$A$3,($BD31+1)^BG31,
IF($BC31=Lookup!$A$4,BH31*$BD31+1,"Error")))</f>
        <v>1.0923076919999999</v>
      </c>
      <c r="BQ31" s="229">
        <f>IF($BC31=Lookup!$A$2,$BD31*ROUNDUP(BI31/10,0)+1,
IF($BC31=Lookup!$A$3,($BD31+1)^BH31,
IF($BC31=Lookup!$A$4,BI31*$BD31+1,"Error")))</f>
        <v>1.0923076919999999</v>
      </c>
      <c r="BR31" s="229">
        <f>IF($BC31=Lookup!$A$2,$BD31*ROUNDUP(BJ31/10,0)+1,
IF($BC31=Lookup!$A$3,($BD31+1)^BI31,
IF($BC31=Lookup!$A$4,BJ31*$BD31+1,"Error")))</f>
        <v>1.0923076919999999</v>
      </c>
      <c r="BS31" s="229">
        <f>IF($BC31=Lookup!$A$2,$BD31*ROUNDUP(BK31/10,0)+1,
IF($BC31=Lookup!$A$3,($BD31+1)^BJ31,
IF($BC31=Lookup!$A$4,BK31*$BD31+1,"Error")))</f>
        <v>1.0923076919999999</v>
      </c>
      <c r="BT31" s="249">
        <f>IF($BC31=Lookup!$A$2,$BD31*ROUNDUP(BL31/10,0)+1,
IF($BC31=Lookup!$A$3,($BD31+1)^BK31,
IF($BC31=Lookup!$A$4,BL31*$BD31+1,"Error")))</f>
        <v>1.0923076919999999</v>
      </c>
      <c r="BU31" s="320"/>
      <c r="BV31" s="321"/>
      <c r="BW31" s="321"/>
      <c r="BX31" s="321"/>
      <c r="BY31" s="321"/>
      <c r="BZ31" s="321"/>
      <c r="CA31" s="321"/>
      <c r="CB31" s="277"/>
      <c r="CC31" s="382" t="s">
        <v>293</v>
      </c>
      <c r="CD31" s="383">
        <f>HLOOKUP($CC31,$AK$6:$AM$132,ROWS(CC$6:CC31),0)</f>
        <v>0</v>
      </c>
      <c r="CE31" s="234">
        <f t="shared" si="30"/>
        <v>0</v>
      </c>
      <c r="CF31" s="96">
        <f t="shared" si="25"/>
        <v>0</v>
      </c>
      <c r="CG31" s="96">
        <f t="shared" si="25"/>
        <v>0</v>
      </c>
      <c r="CH31" s="96">
        <f t="shared" si="25"/>
        <v>0</v>
      </c>
      <c r="CI31" s="96">
        <f t="shared" si="25"/>
        <v>0</v>
      </c>
      <c r="CJ31" s="96">
        <f t="shared" si="25"/>
        <v>0</v>
      </c>
      <c r="CK31" s="96">
        <f t="shared" si="25"/>
        <v>0</v>
      </c>
      <c r="CL31" s="286">
        <f t="shared" si="25"/>
        <v>0</v>
      </c>
      <c r="CM31" s="305" t="s">
        <v>293</v>
      </c>
      <c r="CN31" s="315">
        <v>0.05</v>
      </c>
      <c r="CO31" s="306"/>
      <c r="CP31" s="307" t="str">
        <f>IF($CO31&lt;&gt;"",$CO31,HLOOKUP($CM31,$AY$6:$BA$132,ROWS(CO$6:CO31),0))</f>
        <v/>
      </c>
      <c r="CQ31" s="784" t="str">
        <f t="shared" si="26"/>
        <v/>
      </c>
      <c r="CR31" s="784" t="str">
        <f t="shared" si="26"/>
        <v/>
      </c>
      <c r="CS31" s="97" t="str">
        <f t="shared" si="26"/>
        <v/>
      </c>
      <c r="CT31" s="97" t="str">
        <f t="shared" si="26"/>
        <v/>
      </c>
      <c r="CU31" s="97" t="str">
        <f t="shared" si="26"/>
        <v/>
      </c>
      <c r="CV31" s="97" t="str">
        <f t="shared" si="26"/>
        <v/>
      </c>
      <c r="CW31" s="97" t="str">
        <f t="shared" si="26"/>
        <v/>
      </c>
      <c r="CX31" s="98" t="str">
        <f t="shared" si="26"/>
        <v/>
      </c>
      <c r="CY31" s="392"/>
    </row>
    <row r="32" spans="1:103" x14ac:dyDescent="0.25">
      <c r="A32" s="81" t="s">
        <v>68</v>
      </c>
      <c r="B32" s="82" t="s">
        <v>77</v>
      </c>
      <c r="C32" s="83" t="s">
        <v>78</v>
      </c>
      <c r="D32" s="84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654">
        <f>'2022-23 Input'!G32</f>
        <v>0</v>
      </c>
      <c r="N32" s="1065">
        <v>0</v>
      </c>
      <c r="O32" s="560">
        <f t="shared" si="27"/>
        <v>0</v>
      </c>
      <c r="P32" s="561">
        <f t="shared" si="0"/>
        <v>0</v>
      </c>
      <c r="Q32" s="561">
        <f t="shared" si="1"/>
        <v>0</v>
      </c>
      <c r="R32" s="561">
        <f t="shared" si="2"/>
        <v>0</v>
      </c>
      <c r="S32" s="561">
        <f t="shared" si="3"/>
        <v>0</v>
      </c>
      <c r="T32" s="561">
        <f t="shared" si="4"/>
        <v>0</v>
      </c>
      <c r="U32" s="561">
        <f t="shared" si="5"/>
        <v>0</v>
      </c>
      <c r="V32" s="561">
        <f t="shared" si="6"/>
        <v>0</v>
      </c>
      <c r="W32" s="675">
        <f t="shared" si="7"/>
        <v>0</v>
      </c>
      <c r="X32" s="675">
        <f t="shared" si="8"/>
        <v>0</v>
      </c>
      <c r="Y32" s="675">
        <f t="shared" si="8"/>
        <v>0</v>
      </c>
      <c r="Z32" s="86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1094">
        <f>'2022-23 Input'!N32</f>
        <v>0</v>
      </c>
      <c r="AJ32" s="665">
        <v>0</v>
      </c>
      <c r="AK32" s="88">
        <f t="shared" si="9"/>
        <v>0</v>
      </c>
      <c r="AL32" s="89">
        <f t="shared" si="10"/>
        <v>0</v>
      </c>
      <c r="AM32" s="90">
        <f t="shared" si="11"/>
        <v>0</v>
      </c>
      <c r="AN32" s="91" t="str">
        <f t="shared" si="12"/>
        <v/>
      </c>
      <c r="AO32" s="92" t="str">
        <f t="shared" si="13"/>
        <v/>
      </c>
      <c r="AP32" s="92" t="str">
        <f t="shared" si="14"/>
        <v/>
      </c>
      <c r="AQ32" s="92" t="str">
        <f t="shared" si="15"/>
        <v/>
      </c>
      <c r="AR32" s="92" t="str">
        <f t="shared" si="16"/>
        <v/>
      </c>
      <c r="AS32" s="92" t="str">
        <f t="shared" si="17"/>
        <v/>
      </c>
      <c r="AT32" s="92" t="str">
        <f t="shared" si="18"/>
        <v/>
      </c>
      <c r="AU32" s="92" t="str">
        <f t="shared" si="19"/>
        <v/>
      </c>
      <c r="AV32" s="92" t="str">
        <f t="shared" si="45"/>
        <v/>
      </c>
      <c r="AW32" s="92" t="str">
        <f t="shared" si="45"/>
        <v/>
      </c>
      <c r="AX32" s="92" t="str">
        <f t="shared" si="45"/>
        <v/>
      </c>
      <c r="AY32" s="93" t="str">
        <f t="shared" si="21"/>
        <v/>
      </c>
      <c r="AZ32" s="94" t="str">
        <f t="shared" si="22"/>
        <v/>
      </c>
      <c r="BA32" s="95" t="str">
        <f t="shared" si="23"/>
        <v/>
      </c>
      <c r="BB32" s="248" t="s">
        <v>422</v>
      </c>
      <c r="BC32" s="229" t="s">
        <v>433</v>
      </c>
      <c r="BD32" s="249">
        <v>9.2307691999999997E-2</v>
      </c>
      <c r="BE32" s="267">
        <f t="shared" si="28"/>
        <v>0</v>
      </c>
      <c r="BF32" s="268">
        <f t="shared" ref="BF32:BL32" si="55">IF(BF$6=$BB32,1,
IF(BE32&lt;&gt;0,BE32+1,0
))</f>
        <v>0</v>
      </c>
      <c r="BG32" s="268">
        <f t="shared" si="55"/>
        <v>0</v>
      </c>
      <c r="BH32" s="268">
        <f t="shared" si="55"/>
        <v>1</v>
      </c>
      <c r="BI32" s="268">
        <f t="shared" si="55"/>
        <v>2</v>
      </c>
      <c r="BJ32" s="268">
        <f t="shared" si="55"/>
        <v>3</v>
      </c>
      <c r="BK32" s="268">
        <f t="shared" si="55"/>
        <v>4</v>
      </c>
      <c r="BL32" s="269">
        <f t="shared" si="55"/>
        <v>5</v>
      </c>
      <c r="BM32" s="256">
        <f>IF($BC32=Lookup!$A$2,$BD32*ROUNDUP(BE32/10,0)+1,
IF($BC32=Lookup!$A$3,($BD32+1)^BD32,
IF($BC32=Lookup!$A$4,BE32*$BD32+1,"Error")))</f>
        <v>1</v>
      </c>
      <c r="BN32" s="229">
        <f>IF($BC32=Lookup!$A$2,$BD32*ROUNDUP(BF32/10,0)+1,
IF($BC32=Lookup!$A$3,($BD32+1)^BE32,
IF($BC32=Lookup!$A$4,BF32*$BD32+1,"Error")))</f>
        <v>1</v>
      </c>
      <c r="BO32" s="229">
        <f>IF($BC32=Lookup!$A$2,$BD32*ROUNDUP(BG32/10,0)+1,
IF($BC32=Lookup!$A$3,($BD32+1)^BF32,
IF($BC32=Lookup!$A$4,BG32*$BD32+1,"Error")))</f>
        <v>1</v>
      </c>
      <c r="BP32" s="229">
        <f>IF($BC32=Lookup!$A$2,$BD32*ROUNDUP(BH32/10,0)+1,
IF($BC32=Lookup!$A$3,($BD32+1)^BG32,
IF($BC32=Lookup!$A$4,BH32*$BD32+1,"Error")))</f>
        <v>1.0923076919999999</v>
      </c>
      <c r="BQ32" s="229">
        <f>IF($BC32=Lookup!$A$2,$BD32*ROUNDUP(BI32/10,0)+1,
IF($BC32=Lookup!$A$3,($BD32+1)^BH32,
IF($BC32=Lookup!$A$4,BI32*$BD32+1,"Error")))</f>
        <v>1.0923076919999999</v>
      </c>
      <c r="BR32" s="229">
        <f>IF($BC32=Lookup!$A$2,$BD32*ROUNDUP(BJ32/10,0)+1,
IF($BC32=Lookup!$A$3,($BD32+1)^BI32,
IF($BC32=Lookup!$A$4,BJ32*$BD32+1,"Error")))</f>
        <v>1.0923076919999999</v>
      </c>
      <c r="BS32" s="229">
        <f>IF($BC32=Lookup!$A$2,$BD32*ROUNDUP(BK32/10,0)+1,
IF($BC32=Lookup!$A$3,($BD32+1)^BJ32,
IF($BC32=Lookup!$A$4,BK32*$BD32+1,"Error")))</f>
        <v>1.0923076919999999</v>
      </c>
      <c r="BT32" s="249">
        <f>IF($BC32=Lookup!$A$2,$BD32*ROUNDUP(BL32/10,0)+1,
IF($BC32=Lookup!$A$3,($BD32+1)^BK32,
IF($BC32=Lookup!$A$4,BL32*$BD32+1,"Error")))</f>
        <v>1.0923076919999999</v>
      </c>
      <c r="BU32" s="320"/>
      <c r="BV32" s="321"/>
      <c r="BW32" s="321"/>
      <c r="BX32" s="321"/>
      <c r="BY32" s="321"/>
      <c r="BZ32" s="321"/>
      <c r="CA32" s="321"/>
      <c r="CB32" s="277"/>
      <c r="CC32" s="382" t="s">
        <v>293</v>
      </c>
      <c r="CD32" s="383">
        <f>HLOOKUP($CC32,$AK$6:$AM$132,ROWS(CC$6:CC32),0)</f>
        <v>0</v>
      </c>
      <c r="CE32" s="234">
        <f t="shared" si="30"/>
        <v>0</v>
      </c>
      <c r="CF32" s="96">
        <f t="shared" si="25"/>
        <v>0</v>
      </c>
      <c r="CG32" s="96">
        <f t="shared" si="25"/>
        <v>0</v>
      </c>
      <c r="CH32" s="96">
        <f t="shared" si="25"/>
        <v>0</v>
      </c>
      <c r="CI32" s="96">
        <f t="shared" si="25"/>
        <v>0</v>
      </c>
      <c r="CJ32" s="96">
        <f t="shared" si="25"/>
        <v>0</v>
      </c>
      <c r="CK32" s="96">
        <f t="shared" si="25"/>
        <v>0</v>
      </c>
      <c r="CL32" s="286">
        <f t="shared" si="25"/>
        <v>0</v>
      </c>
      <c r="CM32" s="305" t="s">
        <v>293</v>
      </c>
      <c r="CN32" s="315">
        <v>0.05</v>
      </c>
      <c r="CO32" s="306"/>
      <c r="CP32" s="307" t="str">
        <f>IF($CO32&lt;&gt;"",$CO32,HLOOKUP($CM32,$AY$6:$BA$132,ROWS(CO$6:CO32),0))</f>
        <v/>
      </c>
      <c r="CQ32" s="784" t="str">
        <f t="shared" si="26"/>
        <v/>
      </c>
      <c r="CR32" s="784" t="str">
        <f t="shared" si="26"/>
        <v/>
      </c>
      <c r="CS32" s="97" t="str">
        <f t="shared" si="26"/>
        <v/>
      </c>
      <c r="CT32" s="97" t="str">
        <f t="shared" si="26"/>
        <v/>
      </c>
      <c r="CU32" s="97" t="str">
        <f t="shared" si="26"/>
        <v/>
      </c>
      <c r="CV32" s="97" t="str">
        <f t="shared" si="26"/>
        <v/>
      </c>
      <c r="CW32" s="97" t="str">
        <f t="shared" si="26"/>
        <v/>
      </c>
      <c r="CX32" s="98" t="str">
        <f t="shared" si="26"/>
        <v/>
      </c>
      <c r="CY32" s="392"/>
    </row>
    <row r="33" spans="1:103" ht="15.75" thickBot="1" x14ac:dyDescent="0.3">
      <c r="A33" s="100" t="s">
        <v>68</v>
      </c>
      <c r="B33" s="101" t="s">
        <v>308</v>
      </c>
      <c r="C33" s="102" t="s">
        <v>309</v>
      </c>
      <c r="D33" s="103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0</v>
      </c>
      <c r="K33" s="104">
        <v>0</v>
      </c>
      <c r="L33" s="104">
        <v>0</v>
      </c>
      <c r="M33" s="655">
        <f>'2022-23 Input'!G33</f>
        <v>0</v>
      </c>
      <c r="N33" s="1066">
        <v>0</v>
      </c>
      <c r="O33" s="563">
        <f t="shared" si="27"/>
        <v>0</v>
      </c>
      <c r="P33" s="564">
        <f t="shared" si="0"/>
        <v>0</v>
      </c>
      <c r="Q33" s="564">
        <f t="shared" si="1"/>
        <v>0</v>
      </c>
      <c r="R33" s="564">
        <f t="shared" si="2"/>
        <v>0</v>
      </c>
      <c r="S33" s="564">
        <f t="shared" si="3"/>
        <v>0</v>
      </c>
      <c r="T33" s="564">
        <f t="shared" si="4"/>
        <v>0</v>
      </c>
      <c r="U33" s="564">
        <f t="shared" si="5"/>
        <v>0</v>
      </c>
      <c r="V33" s="564">
        <f t="shared" si="6"/>
        <v>0</v>
      </c>
      <c r="W33" s="676">
        <f t="shared" si="7"/>
        <v>0</v>
      </c>
      <c r="X33" s="676">
        <f t="shared" si="8"/>
        <v>0</v>
      </c>
      <c r="Y33" s="676">
        <f t="shared" si="8"/>
        <v>0</v>
      </c>
      <c r="Z33" s="105">
        <v>0</v>
      </c>
      <c r="AA33" s="106">
        <v>0</v>
      </c>
      <c r="AB33" s="106">
        <v>0</v>
      </c>
      <c r="AC33" s="106">
        <v>0</v>
      </c>
      <c r="AD33" s="106">
        <v>0</v>
      </c>
      <c r="AE33" s="106">
        <v>0</v>
      </c>
      <c r="AF33" s="106">
        <v>0</v>
      </c>
      <c r="AG33" s="106">
        <v>0</v>
      </c>
      <c r="AH33" s="106">
        <v>0</v>
      </c>
      <c r="AI33" s="1095">
        <f>'2022-23 Input'!N33</f>
        <v>0</v>
      </c>
      <c r="AJ33" s="666">
        <v>0</v>
      </c>
      <c r="AK33" s="107">
        <f t="shared" si="9"/>
        <v>0</v>
      </c>
      <c r="AL33" s="108">
        <f t="shared" si="10"/>
        <v>0</v>
      </c>
      <c r="AM33" s="109">
        <f t="shared" si="11"/>
        <v>0</v>
      </c>
      <c r="AN33" s="110" t="str">
        <f t="shared" si="12"/>
        <v/>
      </c>
      <c r="AO33" s="111" t="str">
        <f t="shared" si="13"/>
        <v/>
      </c>
      <c r="AP33" s="111" t="str">
        <f t="shared" si="14"/>
        <v/>
      </c>
      <c r="AQ33" s="111" t="str">
        <f t="shared" si="15"/>
        <v/>
      </c>
      <c r="AR33" s="111" t="str">
        <f t="shared" si="16"/>
        <v/>
      </c>
      <c r="AS33" s="111" t="str">
        <f t="shared" si="17"/>
        <v/>
      </c>
      <c r="AT33" s="111" t="str">
        <f t="shared" si="18"/>
        <v/>
      </c>
      <c r="AU33" s="111" t="str">
        <f t="shared" si="19"/>
        <v/>
      </c>
      <c r="AV33" s="111" t="str">
        <f t="shared" si="45"/>
        <v/>
      </c>
      <c r="AW33" s="111" t="str">
        <f t="shared" si="45"/>
        <v/>
      </c>
      <c r="AX33" s="111" t="str">
        <f t="shared" si="45"/>
        <v/>
      </c>
      <c r="AY33" s="112" t="str">
        <f t="shared" si="21"/>
        <v/>
      </c>
      <c r="AZ33" s="113" t="str">
        <f t="shared" si="22"/>
        <v/>
      </c>
      <c r="BA33" s="114" t="str">
        <f t="shared" si="23"/>
        <v/>
      </c>
      <c r="BB33" s="250" t="s">
        <v>422</v>
      </c>
      <c r="BC33" s="230" t="s">
        <v>433</v>
      </c>
      <c r="BD33" s="251">
        <v>9.2307691999999997E-2</v>
      </c>
      <c r="BE33" s="270">
        <f t="shared" si="28"/>
        <v>0</v>
      </c>
      <c r="BF33" s="271">
        <f t="shared" ref="BF33:BL33" si="56">IF(BF$6=$BB33,1,
IF(BE33&lt;&gt;0,BE33+1,0
))</f>
        <v>0</v>
      </c>
      <c r="BG33" s="271">
        <f t="shared" si="56"/>
        <v>0</v>
      </c>
      <c r="BH33" s="271">
        <f t="shared" si="56"/>
        <v>1</v>
      </c>
      <c r="BI33" s="271">
        <f t="shared" si="56"/>
        <v>2</v>
      </c>
      <c r="BJ33" s="271">
        <f t="shared" si="56"/>
        <v>3</v>
      </c>
      <c r="BK33" s="271">
        <f t="shared" si="56"/>
        <v>4</v>
      </c>
      <c r="BL33" s="272">
        <f t="shared" si="56"/>
        <v>5</v>
      </c>
      <c r="BM33" s="257">
        <f>IF($BC33=Lookup!$A$2,$BD33*ROUNDUP(BE33/10,0)+1,
IF($BC33=Lookup!$A$3,($BD33+1)^BD33,
IF($BC33=Lookup!$A$4,BE33*$BD33+1,"Error")))</f>
        <v>1</v>
      </c>
      <c r="BN33" s="230">
        <f>IF($BC33=Lookup!$A$2,$BD33*ROUNDUP(BF33/10,0)+1,
IF($BC33=Lookup!$A$3,($BD33+1)^BE33,
IF($BC33=Lookup!$A$4,BF33*$BD33+1,"Error")))</f>
        <v>1</v>
      </c>
      <c r="BO33" s="230">
        <f>IF($BC33=Lookup!$A$2,$BD33*ROUNDUP(BG33/10,0)+1,
IF($BC33=Lookup!$A$3,($BD33+1)^BF33,
IF($BC33=Lookup!$A$4,BG33*$BD33+1,"Error")))</f>
        <v>1</v>
      </c>
      <c r="BP33" s="230">
        <f>IF($BC33=Lookup!$A$2,$BD33*ROUNDUP(BH33/10,0)+1,
IF($BC33=Lookup!$A$3,($BD33+1)^BG33,
IF($BC33=Lookup!$A$4,BH33*$BD33+1,"Error")))</f>
        <v>1.0923076919999999</v>
      </c>
      <c r="BQ33" s="230">
        <f>IF($BC33=Lookup!$A$2,$BD33*ROUNDUP(BI33/10,0)+1,
IF($BC33=Lookup!$A$3,($BD33+1)^BH33,
IF($BC33=Lookup!$A$4,BI33*$BD33+1,"Error")))</f>
        <v>1.0923076919999999</v>
      </c>
      <c r="BR33" s="230">
        <f>IF($BC33=Lookup!$A$2,$BD33*ROUNDUP(BJ33/10,0)+1,
IF($BC33=Lookup!$A$3,($BD33+1)^BI33,
IF($BC33=Lookup!$A$4,BJ33*$BD33+1,"Error")))</f>
        <v>1.0923076919999999</v>
      </c>
      <c r="BS33" s="230">
        <f>IF($BC33=Lookup!$A$2,$BD33*ROUNDUP(BK33/10,0)+1,
IF($BC33=Lookup!$A$3,($BD33+1)^BJ33,
IF($BC33=Lookup!$A$4,BK33*$BD33+1,"Error")))</f>
        <v>1.0923076919999999</v>
      </c>
      <c r="BT33" s="251">
        <f>IF($BC33=Lookup!$A$2,$BD33*ROUNDUP(BL33/10,0)+1,
IF($BC33=Lookup!$A$3,($BD33+1)^BK33,
IF($BC33=Lookup!$A$4,BL33*$BD33+1,"Error")))</f>
        <v>1.0923076919999999</v>
      </c>
      <c r="BU33" s="322"/>
      <c r="BV33" s="323"/>
      <c r="BW33" s="323"/>
      <c r="BX33" s="323"/>
      <c r="BY33" s="323"/>
      <c r="BZ33" s="323"/>
      <c r="CA33" s="323"/>
      <c r="CB33" s="278"/>
      <c r="CC33" s="384" t="s">
        <v>293</v>
      </c>
      <c r="CD33" s="385">
        <f>HLOOKUP($CC33,$AK$6:$AM$132,ROWS(CC$6:CC33),0)</f>
        <v>0</v>
      </c>
      <c r="CE33" s="235">
        <f t="shared" si="30"/>
        <v>0</v>
      </c>
      <c r="CF33" s="115">
        <f t="shared" si="25"/>
        <v>0</v>
      </c>
      <c r="CG33" s="115">
        <f t="shared" si="25"/>
        <v>0</v>
      </c>
      <c r="CH33" s="115">
        <f t="shared" si="25"/>
        <v>0</v>
      </c>
      <c r="CI33" s="115">
        <f t="shared" si="25"/>
        <v>0</v>
      </c>
      <c r="CJ33" s="115">
        <f t="shared" si="25"/>
        <v>0</v>
      </c>
      <c r="CK33" s="115">
        <f t="shared" si="25"/>
        <v>0</v>
      </c>
      <c r="CL33" s="287">
        <f t="shared" si="25"/>
        <v>0</v>
      </c>
      <c r="CM33" s="308" t="s">
        <v>293</v>
      </c>
      <c r="CN33" s="316">
        <v>0.05</v>
      </c>
      <c r="CO33" s="309"/>
      <c r="CP33" s="310" t="str">
        <f>IF($CO33&lt;&gt;"",$CO33,HLOOKUP($CM33,$AY$6:$BA$132,ROWS(CO$6:CO33),0))</f>
        <v/>
      </c>
      <c r="CQ33" s="785" t="str">
        <f t="shared" si="26"/>
        <v/>
      </c>
      <c r="CR33" s="785" t="str">
        <f t="shared" si="26"/>
        <v/>
      </c>
      <c r="CS33" s="117" t="str">
        <f t="shared" si="26"/>
        <v/>
      </c>
      <c r="CT33" s="117" t="str">
        <f t="shared" si="26"/>
        <v/>
      </c>
      <c r="CU33" s="117" t="str">
        <f t="shared" si="26"/>
        <v/>
      </c>
      <c r="CV33" s="117" t="str">
        <f t="shared" si="26"/>
        <v/>
      </c>
      <c r="CW33" s="117" t="str">
        <f t="shared" si="26"/>
        <v/>
      </c>
      <c r="CX33" s="118" t="str">
        <f t="shared" si="26"/>
        <v/>
      </c>
      <c r="CY33" s="393"/>
    </row>
    <row r="34" spans="1:103" x14ac:dyDescent="0.25">
      <c r="A34" s="63" t="s">
        <v>81</v>
      </c>
      <c r="B34" s="334" t="s">
        <v>79</v>
      </c>
      <c r="C34" s="65" t="s">
        <v>305</v>
      </c>
      <c r="D34" s="66">
        <v>1582.6650584251706</v>
      </c>
      <c r="E34" s="67">
        <v>13463.265923573046</v>
      </c>
      <c r="F34" s="67">
        <v>1509.6491574370689</v>
      </c>
      <c r="G34" s="67">
        <v>14015.160675281108</v>
      </c>
      <c r="H34" s="67">
        <v>31417.304208093032</v>
      </c>
      <c r="I34" s="67">
        <v>762.91454345200248</v>
      </c>
      <c r="J34" s="67">
        <v>13056.212418589006</v>
      </c>
      <c r="K34" s="67">
        <v>20505.329800138999</v>
      </c>
      <c r="L34" s="67">
        <v>32933.052299448995</v>
      </c>
      <c r="M34" s="653">
        <f>'2022-23 Input'!G34</f>
        <v>43286.293177403946</v>
      </c>
      <c r="N34" s="1064">
        <v>85914.578478558979</v>
      </c>
      <c r="O34" s="557">
        <f t="shared" si="27"/>
        <v>2129.4067040455916</v>
      </c>
      <c r="P34" s="558">
        <f t="shared" si="0"/>
        <v>17844.628977355991</v>
      </c>
      <c r="Q34" s="558">
        <f t="shared" si="1"/>
        <v>1980.6683716201157</v>
      </c>
      <c r="R34" s="558">
        <f t="shared" si="2"/>
        <v>18039.148056433947</v>
      </c>
      <c r="S34" s="558">
        <f t="shared" si="3"/>
        <v>39614.669466803352</v>
      </c>
      <c r="T34" s="558">
        <f t="shared" si="4"/>
        <v>946.89008442397312</v>
      </c>
      <c r="U34" s="558">
        <f t="shared" si="5"/>
        <v>16261.355550874221</v>
      </c>
      <c r="V34" s="558">
        <f t="shared" si="6"/>
        <v>24593.24752935662</v>
      </c>
      <c r="W34" s="674">
        <f t="shared" si="7"/>
        <v>37211.952690999642</v>
      </c>
      <c r="X34" s="674">
        <f t="shared" si="8"/>
        <v>46033.281429535935</v>
      </c>
      <c r="Y34" s="674">
        <f t="shared" si="8"/>
        <v>88277.098737797409</v>
      </c>
      <c r="Z34" s="119">
        <v>0</v>
      </c>
      <c r="AA34" s="120">
        <v>0</v>
      </c>
      <c r="AB34" s="120">
        <v>0</v>
      </c>
      <c r="AC34" s="120">
        <v>1</v>
      </c>
      <c r="AD34" s="120">
        <v>0</v>
      </c>
      <c r="AE34" s="120">
        <v>4.260332800000001E-2</v>
      </c>
      <c r="AF34" s="120">
        <v>0.44716666500000002</v>
      </c>
      <c r="AG34" s="120">
        <v>0.32399999999999934</v>
      </c>
      <c r="AH34" s="120">
        <v>0.37466665800000004</v>
      </c>
      <c r="AI34" s="1096">
        <f>'2022-23 Input'!N34</f>
        <v>0.29266666666666674</v>
      </c>
      <c r="AJ34" s="667">
        <v>1.2058333319999999</v>
      </c>
      <c r="AK34" s="121">
        <f t="shared" si="9"/>
        <v>0.29622066353333321</v>
      </c>
      <c r="AL34" s="122">
        <f t="shared" si="10"/>
        <v>0.33044444155555536</v>
      </c>
      <c r="AM34" s="123">
        <f t="shared" si="11"/>
        <v>0.29266666666666674</v>
      </c>
      <c r="AN34" s="73" t="str">
        <f t="shared" si="12"/>
        <v/>
      </c>
      <c r="AO34" s="74" t="str">
        <f t="shared" si="13"/>
        <v/>
      </c>
      <c r="AP34" s="74" t="str">
        <f t="shared" si="14"/>
        <v/>
      </c>
      <c r="AQ34" s="74">
        <f t="shared" si="15"/>
        <v>14015.160675281108</v>
      </c>
      <c r="AR34" s="74" t="str">
        <f t="shared" si="16"/>
        <v/>
      </c>
      <c r="AS34" s="74">
        <f t="shared" si="17"/>
        <v>17907.39313726858</v>
      </c>
      <c r="AT34" s="74">
        <f t="shared" si="18"/>
        <v>29197.642491058687</v>
      </c>
      <c r="AU34" s="74">
        <f t="shared" si="19"/>
        <v>63288.054938700741</v>
      </c>
      <c r="AV34" s="74">
        <f t="shared" si="45"/>
        <v>87899.607814712435</v>
      </c>
      <c r="AW34" s="74">
        <f t="shared" si="45"/>
        <v>147903.05185901118</v>
      </c>
      <c r="AX34" s="74">
        <f t="shared" si="45"/>
        <v>71249.132196454317</v>
      </c>
      <c r="AY34" s="75">
        <f t="shared" si="21"/>
        <v>74636.118169787078</v>
      </c>
      <c r="AZ34" s="76">
        <f t="shared" si="22"/>
        <v>97570.285261534431</v>
      </c>
      <c r="BA34" s="77">
        <f t="shared" si="23"/>
        <v>147903.05185901118</v>
      </c>
      <c r="BB34" s="246" t="s">
        <v>422</v>
      </c>
      <c r="BC34" s="228" t="s">
        <v>433</v>
      </c>
      <c r="BD34" s="247">
        <v>1.56253</v>
      </c>
      <c r="BE34" s="264">
        <f t="shared" si="28"/>
        <v>0</v>
      </c>
      <c r="BF34" s="265">
        <f t="shared" ref="BF34:BL34" si="57">IF(BF$6=$BB34,1,
IF(BE34&lt;&gt;0,BE34+1,0
))</f>
        <v>0</v>
      </c>
      <c r="BG34" s="265">
        <f t="shared" si="57"/>
        <v>0</v>
      </c>
      <c r="BH34" s="265">
        <f t="shared" si="57"/>
        <v>1</v>
      </c>
      <c r="BI34" s="265">
        <f t="shared" si="57"/>
        <v>2</v>
      </c>
      <c r="BJ34" s="265">
        <f t="shared" si="57"/>
        <v>3</v>
      </c>
      <c r="BK34" s="265">
        <f t="shared" si="57"/>
        <v>4</v>
      </c>
      <c r="BL34" s="266">
        <f t="shared" si="57"/>
        <v>5</v>
      </c>
      <c r="BM34" s="255">
        <f>IF($BC34=Lookup!$A$2,$BD34*ROUNDUP(BE34/10,0)+1,
IF($BC34=Lookup!$A$3,($BD34+1)^BD34,
IF($BC34=Lookup!$A$4,BE34*$BD34+1,"Error")))</f>
        <v>1</v>
      </c>
      <c r="BN34" s="228">
        <f>IF($BC34=Lookup!$A$2,$BD34*ROUNDUP(BF34/10,0)+1,
IF($BC34=Lookup!$A$3,($BD34+1)^BE34,
IF($BC34=Lookup!$A$4,BF34*$BD34+1,"Error")))</f>
        <v>1</v>
      </c>
      <c r="BO34" s="228">
        <f>IF($BC34=Lookup!$A$2,$BD34*ROUNDUP(BG34/10,0)+1,
IF($BC34=Lookup!$A$3,($BD34+1)^BF34,
IF($BC34=Lookup!$A$4,BG34*$BD34+1,"Error")))</f>
        <v>1</v>
      </c>
      <c r="BP34" s="228">
        <f>IF($BC34=Lookup!$A$2,$BD34*ROUNDUP(BH34/10,0)+1,
IF($BC34=Lookup!$A$3,($BD34+1)^BG34,
IF($BC34=Lookup!$A$4,BH34*$BD34+1,"Error")))</f>
        <v>2.5625299999999998</v>
      </c>
      <c r="BQ34" s="228">
        <f>IF($BC34=Lookup!$A$2,$BD34*ROUNDUP(BI34/10,0)+1,
IF($BC34=Lookup!$A$3,($BD34+1)^BH34,
IF($BC34=Lookup!$A$4,BI34*$BD34+1,"Error")))</f>
        <v>2.5625299999999998</v>
      </c>
      <c r="BR34" s="228">
        <f>IF($BC34=Lookup!$A$2,$BD34*ROUNDUP(BJ34/10,0)+1,
IF($BC34=Lookup!$A$3,($BD34+1)^BI34,
IF($BC34=Lookup!$A$4,BJ34*$BD34+1,"Error")))</f>
        <v>2.5625299999999998</v>
      </c>
      <c r="BS34" s="228">
        <f>IF($BC34=Lookup!$A$2,$BD34*ROUNDUP(BK34/10,0)+1,
IF($BC34=Lookup!$A$3,($BD34+1)^BJ34,
IF($BC34=Lookup!$A$4,BK34*$BD34+1,"Error")))</f>
        <v>2.5625299999999998</v>
      </c>
      <c r="BT34" s="247">
        <f>IF($BC34=Lookup!$A$2,$BD34*ROUNDUP(BL34/10,0)+1,
IF($BC34=Lookup!$A$3,($BD34+1)^BK34,
IF($BC34=Lookup!$A$4,BL34*$BD34+1,"Error")))</f>
        <v>2.5625299999999998</v>
      </c>
      <c r="BU34" s="396"/>
      <c r="BV34" s="354"/>
      <c r="BW34" s="354"/>
      <c r="BX34" s="354"/>
      <c r="BY34" s="354"/>
      <c r="BZ34" s="354"/>
      <c r="CA34" s="354"/>
      <c r="CB34" s="397"/>
      <c r="CC34" s="380" t="s">
        <v>293</v>
      </c>
      <c r="CD34" s="381">
        <f>HLOOKUP($CC34,$AK$6:$AM$132,ROWS(CC$6:CC34),0)</f>
        <v>0.33044444155555536</v>
      </c>
      <c r="CE34" s="359">
        <f t="shared" si="30"/>
        <v>0.33044444155555536</v>
      </c>
      <c r="CF34" s="360">
        <f t="shared" si="25"/>
        <v>0.33044444155555536</v>
      </c>
      <c r="CG34" s="360">
        <f t="shared" si="25"/>
        <v>0.33044444155555536</v>
      </c>
      <c r="CH34" s="360">
        <f t="shared" si="25"/>
        <v>0.84677379481935722</v>
      </c>
      <c r="CI34" s="360">
        <f t="shared" si="25"/>
        <v>0.84677379481935722</v>
      </c>
      <c r="CJ34" s="360">
        <f t="shared" si="25"/>
        <v>0.84677379481935722</v>
      </c>
      <c r="CK34" s="360">
        <f t="shared" si="25"/>
        <v>0.84677379481935722</v>
      </c>
      <c r="CL34" s="361">
        <f t="shared" si="25"/>
        <v>0.84677379481935722</v>
      </c>
      <c r="CM34" s="302" t="s">
        <v>293</v>
      </c>
      <c r="CN34" s="314">
        <v>0.05</v>
      </c>
      <c r="CO34" s="303"/>
      <c r="CP34" s="304">
        <f>IF($CO34&lt;&gt;"",$CO34,HLOOKUP($CM34,$AY$6:$BA$132,ROWS(CO$6:CO34),0))</f>
        <v>97570.285261534431</v>
      </c>
      <c r="CQ34" s="783">
        <f t="shared" si="26"/>
        <v>32241.558425663978</v>
      </c>
      <c r="CR34" s="783">
        <f t="shared" si="26"/>
        <v>32241.558425663978</v>
      </c>
      <c r="CS34" s="79">
        <f t="shared" si="26"/>
        <v>32241.558425663978</v>
      </c>
      <c r="CT34" s="79">
        <f t="shared" si="26"/>
        <v>82619.960712516709</v>
      </c>
      <c r="CU34" s="79">
        <f t="shared" si="26"/>
        <v>82619.960712516709</v>
      </c>
      <c r="CV34" s="79">
        <f t="shared" si="26"/>
        <v>82619.960712516709</v>
      </c>
      <c r="CW34" s="79">
        <f t="shared" si="26"/>
        <v>82619.960712516709</v>
      </c>
      <c r="CX34" s="80">
        <f t="shared" si="26"/>
        <v>82619.960712516709</v>
      </c>
      <c r="CY34" s="391"/>
    </row>
    <row r="35" spans="1:103" x14ac:dyDescent="0.25">
      <c r="A35" s="81" t="s">
        <v>81</v>
      </c>
      <c r="B35" s="82" t="s">
        <v>82</v>
      </c>
      <c r="C35" s="83" t="s">
        <v>70</v>
      </c>
      <c r="D35" s="84">
        <v>197.17266283724152</v>
      </c>
      <c r="E35" s="85">
        <v>625.53473032153863</v>
      </c>
      <c r="F35" s="85">
        <v>21983.520745513841</v>
      </c>
      <c r="G35" s="85">
        <v>4658.561416014938</v>
      </c>
      <c r="H35" s="85">
        <v>-241.38000000000011</v>
      </c>
      <c r="I35" s="85">
        <v>11291.342203875007</v>
      </c>
      <c r="J35" s="85">
        <v>21124.534188945992</v>
      </c>
      <c r="K35" s="85">
        <v>2600.7944151380002</v>
      </c>
      <c r="L35" s="85">
        <v>14686.252402573988</v>
      </c>
      <c r="M35" s="654">
        <f>'2022-23 Input'!G35</f>
        <v>38195.597427163993</v>
      </c>
      <c r="N35" s="1065">
        <v>0</v>
      </c>
      <c r="O35" s="560">
        <f t="shared" si="27"/>
        <v>265.28720518915435</v>
      </c>
      <c r="P35" s="561">
        <f t="shared" si="0"/>
        <v>829.10307487084617</v>
      </c>
      <c r="Q35" s="561">
        <f t="shared" si="1"/>
        <v>28842.505573556766</v>
      </c>
      <c r="R35" s="561">
        <f t="shared" si="2"/>
        <v>5996.1124285718188</v>
      </c>
      <c r="S35" s="561">
        <f t="shared" si="3"/>
        <v>-304.36057952527312</v>
      </c>
      <c r="T35" s="561">
        <f t="shared" si="4"/>
        <v>14014.230118500584</v>
      </c>
      <c r="U35" s="561">
        <f t="shared" si="5"/>
        <v>26310.353284691191</v>
      </c>
      <c r="V35" s="561">
        <f t="shared" si="6"/>
        <v>3119.2856417273297</v>
      </c>
      <c r="W35" s="675">
        <f t="shared" si="7"/>
        <v>16594.396554667564</v>
      </c>
      <c r="X35" s="675">
        <f t="shared" si="8"/>
        <v>40619.525412532668</v>
      </c>
      <c r="Y35" s="675">
        <f t="shared" si="8"/>
        <v>0</v>
      </c>
      <c r="Z35" s="125">
        <v>0</v>
      </c>
      <c r="AA35" s="126">
        <v>0</v>
      </c>
      <c r="AB35" s="126">
        <v>2</v>
      </c>
      <c r="AC35" s="126">
        <v>1</v>
      </c>
      <c r="AD35" s="126">
        <v>0</v>
      </c>
      <c r="AE35" s="126">
        <v>0.85470001099999993</v>
      </c>
      <c r="AF35" s="126">
        <v>0.27499999999999997</v>
      </c>
      <c r="AG35" s="126">
        <v>0.46666666666666623</v>
      </c>
      <c r="AH35" s="126">
        <v>0.20633332900000001</v>
      </c>
      <c r="AI35" s="1097">
        <f>'2022-23 Input'!N35</f>
        <v>3.144666571333333</v>
      </c>
      <c r="AJ35" s="668">
        <v>0</v>
      </c>
      <c r="AK35" s="127">
        <f t="shared" si="9"/>
        <v>0.98947331559999974</v>
      </c>
      <c r="AL35" s="128">
        <f t="shared" si="10"/>
        <v>1.2725555223333331</v>
      </c>
      <c r="AM35" s="129">
        <f t="shared" si="11"/>
        <v>3.144666571333333</v>
      </c>
      <c r="AN35" s="91" t="str">
        <f t="shared" si="12"/>
        <v/>
      </c>
      <c r="AO35" s="92" t="str">
        <f t="shared" si="13"/>
        <v/>
      </c>
      <c r="AP35" s="92">
        <f t="shared" si="14"/>
        <v>10991.76037275692</v>
      </c>
      <c r="AQ35" s="92">
        <f t="shared" si="15"/>
        <v>4658.561416014938</v>
      </c>
      <c r="AR35" s="92" t="str">
        <f t="shared" si="16"/>
        <v/>
      </c>
      <c r="AS35" s="92">
        <f t="shared" si="17"/>
        <v>13210.883419393109</v>
      </c>
      <c r="AT35" s="92">
        <f t="shared" si="18"/>
        <v>76816.48795980362</v>
      </c>
      <c r="AU35" s="92">
        <f t="shared" si="19"/>
        <v>5573.1308895814345</v>
      </c>
      <c r="AV35" s="92">
        <f t="shared" si="45"/>
        <v>71177.315239139032</v>
      </c>
      <c r="AW35" s="92">
        <f t="shared" si="45"/>
        <v>12146.151765453826</v>
      </c>
      <c r="AX35" s="92" t="str">
        <f t="shared" si="45"/>
        <v/>
      </c>
      <c r="AY35" s="93">
        <f t="shared" si="21"/>
        <v>17766.72887522931</v>
      </c>
      <c r="AZ35" s="94">
        <f t="shared" si="22"/>
        <v>14533.129929279125</v>
      </c>
      <c r="BA35" s="95">
        <f t="shared" si="23"/>
        <v>12146.151765453826</v>
      </c>
      <c r="BB35" s="248" t="s">
        <v>422</v>
      </c>
      <c r="BC35" s="229" t="s">
        <v>433</v>
      </c>
      <c r="BD35" s="249">
        <v>1.56253</v>
      </c>
      <c r="BE35" s="267">
        <f t="shared" si="28"/>
        <v>0</v>
      </c>
      <c r="BF35" s="268">
        <f t="shared" ref="BF35:BL35" si="58">IF(BF$6=$BB35,1,
IF(BE35&lt;&gt;0,BE35+1,0
))</f>
        <v>0</v>
      </c>
      <c r="BG35" s="268">
        <f t="shared" si="58"/>
        <v>0</v>
      </c>
      <c r="BH35" s="268">
        <f t="shared" si="58"/>
        <v>1</v>
      </c>
      <c r="BI35" s="268">
        <f t="shared" si="58"/>
        <v>2</v>
      </c>
      <c r="BJ35" s="268">
        <f t="shared" si="58"/>
        <v>3</v>
      </c>
      <c r="BK35" s="268">
        <f t="shared" si="58"/>
        <v>4</v>
      </c>
      <c r="BL35" s="269">
        <f t="shared" si="58"/>
        <v>5</v>
      </c>
      <c r="BM35" s="256">
        <f>IF($BC35=Lookup!$A$2,$BD35*ROUNDUP(BE35/10,0)+1,
IF($BC35=Lookup!$A$3,($BD35+1)^BD35,
IF($BC35=Lookup!$A$4,BE35*$BD35+1,"Error")))</f>
        <v>1</v>
      </c>
      <c r="BN35" s="229">
        <f>IF($BC35=Lookup!$A$2,$BD35*ROUNDUP(BF35/10,0)+1,
IF($BC35=Lookup!$A$3,($BD35+1)^BE35,
IF($BC35=Lookup!$A$4,BF35*$BD35+1,"Error")))</f>
        <v>1</v>
      </c>
      <c r="BO35" s="229">
        <f>IF($BC35=Lookup!$A$2,$BD35*ROUNDUP(BG35/10,0)+1,
IF($BC35=Lookup!$A$3,($BD35+1)^BF35,
IF($BC35=Lookup!$A$4,BG35*$BD35+1,"Error")))</f>
        <v>1</v>
      </c>
      <c r="BP35" s="229">
        <f>IF($BC35=Lookup!$A$2,$BD35*ROUNDUP(BH35/10,0)+1,
IF($BC35=Lookup!$A$3,($BD35+1)^BG35,
IF($BC35=Lookup!$A$4,BH35*$BD35+1,"Error")))</f>
        <v>2.5625299999999998</v>
      </c>
      <c r="BQ35" s="229">
        <f>IF($BC35=Lookup!$A$2,$BD35*ROUNDUP(BI35/10,0)+1,
IF($BC35=Lookup!$A$3,($BD35+1)^BH35,
IF($BC35=Lookup!$A$4,BI35*$BD35+1,"Error")))</f>
        <v>2.5625299999999998</v>
      </c>
      <c r="BR35" s="229">
        <f>IF($BC35=Lookup!$A$2,$BD35*ROUNDUP(BJ35/10,0)+1,
IF($BC35=Lookup!$A$3,($BD35+1)^BI35,
IF($BC35=Lookup!$A$4,BJ35*$BD35+1,"Error")))</f>
        <v>2.5625299999999998</v>
      </c>
      <c r="BS35" s="229">
        <f>IF($BC35=Lookup!$A$2,$BD35*ROUNDUP(BK35/10,0)+1,
IF($BC35=Lookup!$A$3,($BD35+1)^BJ35,
IF($BC35=Lookup!$A$4,BK35*$BD35+1,"Error")))</f>
        <v>2.5625299999999998</v>
      </c>
      <c r="BT35" s="249">
        <f>IF($BC35=Lookup!$A$2,$BD35*ROUNDUP(BL35/10,0)+1,
IF($BC35=Lookup!$A$3,($BD35+1)^BK35,
IF($BC35=Lookup!$A$4,BL35*$BD35+1,"Error")))</f>
        <v>2.5625299999999998</v>
      </c>
      <c r="BU35" s="398"/>
      <c r="BV35" s="356"/>
      <c r="BW35" s="356"/>
      <c r="BX35" s="356"/>
      <c r="BY35" s="356"/>
      <c r="BZ35" s="356"/>
      <c r="CA35" s="356"/>
      <c r="CB35" s="399"/>
      <c r="CC35" s="382" t="s">
        <v>293</v>
      </c>
      <c r="CD35" s="383">
        <f>HLOOKUP($CC35,$AK$6:$AM$132,ROWS(CC$6:CC35),0)</f>
        <v>1.2725555223333331</v>
      </c>
      <c r="CE35" s="362">
        <f t="shared" si="30"/>
        <v>1.2725555223333331</v>
      </c>
      <c r="CF35" s="363">
        <f t="shared" si="25"/>
        <v>1.2725555223333331</v>
      </c>
      <c r="CG35" s="363">
        <f t="shared" si="25"/>
        <v>1.2725555223333331</v>
      </c>
      <c r="CH35" s="363">
        <f t="shared" si="25"/>
        <v>3.2609617026448356</v>
      </c>
      <c r="CI35" s="363">
        <f t="shared" si="25"/>
        <v>3.2609617026448356</v>
      </c>
      <c r="CJ35" s="363">
        <f t="shared" si="25"/>
        <v>3.2609617026448356</v>
      </c>
      <c r="CK35" s="363">
        <f t="shared" si="25"/>
        <v>3.2609617026448356</v>
      </c>
      <c r="CL35" s="364">
        <f t="shared" si="25"/>
        <v>3.2609617026448356</v>
      </c>
      <c r="CM35" s="305" t="s">
        <v>293</v>
      </c>
      <c r="CN35" s="315">
        <v>0.05</v>
      </c>
      <c r="CO35" s="306"/>
      <c r="CP35" s="307">
        <f>IF($CO35&lt;&gt;"",$CO35,HLOOKUP($CM35,$AY$6:$BA$132,ROWS(CO$6:CO35),0))</f>
        <v>14533.129929279125</v>
      </c>
      <c r="CQ35" s="784">
        <f t="shared" si="26"/>
        <v>18494.214748291994</v>
      </c>
      <c r="CR35" s="784">
        <f t="shared" si="26"/>
        <v>18494.214748291994</v>
      </c>
      <c r="CS35" s="97">
        <f t="shared" si="26"/>
        <v>18494.214748291994</v>
      </c>
      <c r="CT35" s="97">
        <f t="shared" si="26"/>
        <v>47391.980118940672</v>
      </c>
      <c r="CU35" s="97">
        <f t="shared" si="26"/>
        <v>47391.980118940672</v>
      </c>
      <c r="CV35" s="97">
        <f t="shared" si="26"/>
        <v>47391.980118940672</v>
      </c>
      <c r="CW35" s="97">
        <f t="shared" si="26"/>
        <v>47391.980118940672</v>
      </c>
      <c r="CX35" s="98">
        <f t="shared" si="26"/>
        <v>47391.980118940672</v>
      </c>
      <c r="CY35" s="392"/>
    </row>
    <row r="36" spans="1:103" x14ac:dyDescent="0.25">
      <c r="A36" s="81" t="s">
        <v>81</v>
      </c>
      <c r="B36" s="82" t="s">
        <v>83</v>
      </c>
      <c r="C36" s="83" t="s">
        <v>312</v>
      </c>
      <c r="D36" s="84">
        <v>1.4950391466224204</v>
      </c>
      <c r="E36" s="85">
        <v>42.431451979453108</v>
      </c>
      <c r="F36" s="85">
        <v>4088.6690317961961</v>
      </c>
      <c r="G36" s="85">
        <v>2623.9663127441081</v>
      </c>
      <c r="H36" s="85">
        <v>4140.0020037030208</v>
      </c>
      <c r="I36" s="85">
        <v>7488.351092365996</v>
      </c>
      <c r="J36" s="85">
        <v>887.4868449070002</v>
      </c>
      <c r="K36" s="85">
        <v>5118.9955519229998</v>
      </c>
      <c r="L36" s="85">
        <v>23365.32566487998</v>
      </c>
      <c r="M36" s="654">
        <f>'2022-23 Input'!G36</f>
        <v>9876.765214744999</v>
      </c>
      <c r="N36" s="1065">
        <v>8671.3630619830019</v>
      </c>
      <c r="O36" s="560">
        <f t="shared" si="27"/>
        <v>2.0115098672843432</v>
      </c>
      <c r="P36" s="561">
        <f t="shared" si="0"/>
        <v>56.23995855404528</v>
      </c>
      <c r="Q36" s="561">
        <f t="shared" si="1"/>
        <v>5364.3572703010313</v>
      </c>
      <c r="R36" s="561">
        <f t="shared" si="2"/>
        <v>3377.3509920703518</v>
      </c>
      <c r="S36" s="561">
        <f t="shared" si="3"/>
        <v>5220.2063513250587</v>
      </c>
      <c r="T36" s="561">
        <f t="shared" si="4"/>
        <v>9294.1541866056796</v>
      </c>
      <c r="U36" s="561">
        <f t="shared" si="5"/>
        <v>1105.3541922471222</v>
      </c>
      <c r="V36" s="561">
        <f t="shared" si="6"/>
        <v>6139.5123091004589</v>
      </c>
      <c r="W36" s="675">
        <f t="shared" si="7"/>
        <v>26401.117799392701</v>
      </c>
      <c r="X36" s="675">
        <f t="shared" si="8"/>
        <v>10503.553882066906</v>
      </c>
      <c r="Y36" s="675">
        <f t="shared" si="8"/>
        <v>8909.8123597847625</v>
      </c>
      <c r="Z36" s="125">
        <v>0</v>
      </c>
      <c r="AA36" s="126">
        <v>0</v>
      </c>
      <c r="AB36" s="126">
        <v>0</v>
      </c>
      <c r="AC36" s="126">
        <v>0</v>
      </c>
      <c r="AD36" s="126">
        <v>1</v>
      </c>
      <c r="AE36" s="126">
        <v>1.593239992</v>
      </c>
      <c r="AF36" s="126">
        <v>1.3333332999999999E-2</v>
      </c>
      <c r="AG36" s="126">
        <v>8.0333333333333257E-2</v>
      </c>
      <c r="AH36" s="126">
        <v>3.3906665699999996</v>
      </c>
      <c r="AI36" s="1097">
        <f>'2022-23 Input'!N36</f>
        <v>0</v>
      </c>
      <c r="AJ36" s="668">
        <v>4.6999997000000002E-2</v>
      </c>
      <c r="AK36" s="127">
        <f t="shared" si="9"/>
        <v>1.0155146456666666</v>
      </c>
      <c r="AL36" s="128">
        <f t="shared" si="10"/>
        <v>1.1569999677777776</v>
      </c>
      <c r="AM36" s="129">
        <f t="shared" si="11"/>
        <v>0</v>
      </c>
      <c r="AN36" s="91" t="str">
        <f t="shared" si="12"/>
        <v/>
      </c>
      <c r="AO36" s="92" t="str">
        <f t="shared" si="13"/>
        <v/>
      </c>
      <c r="AP36" s="92" t="str">
        <f t="shared" si="14"/>
        <v/>
      </c>
      <c r="AQ36" s="92" t="str">
        <f t="shared" si="15"/>
        <v/>
      </c>
      <c r="AR36" s="92">
        <f t="shared" si="16"/>
        <v>4140.0020037030208</v>
      </c>
      <c r="AS36" s="92">
        <f t="shared" si="17"/>
        <v>4700.0772827487472</v>
      </c>
      <c r="AT36" s="92">
        <f t="shared" si="18"/>
        <v>66561.515032062889</v>
      </c>
      <c r="AU36" s="92">
        <f t="shared" si="19"/>
        <v>63721.936330991761</v>
      </c>
      <c r="AV36" s="92">
        <f t="shared" si="45"/>
        <v>6891.0714700207109</v>
      </c>
      <c r="AW36" s="92" t="str">
        <f t="shared" si="45"/>
        <v/>
      </c>
      <c r="AX36" s="92">
        <f t="shared" si="45"/>
        <v>184497.09820158078</v>
      </c>
      <c r="AY36" s="93">
        <f t="shared" si="21"/>
        <v>9204.5790906617694</v>
      </c>
      <c r="AZ36" s="94">
        <f t="shared" si="22"/>
        <v>11051.883462949212</v>
      </c>
      <c r="BA36" s="95" t="str">
        <f t="shared" si="23"/>
        <v/>
      </c>
      <c r="BB36" s="248" t="s">
        <v>422</v>
      </c>
      <c r="BC36" s="229" t="s">
        <v>433</v>
      </c>
      <c r="BD36" s="249">
        <v>1.56253</v>
      </c>
      <c r="BE36" s="267">
        <f t="shared" si="28"/>
        <v>0</v>
      </c>
      <c r="BF36" s="268">
        <f t="shared" ref="BF36:BL36" si="59">IF(BF$6=$BB36,1,
IF(BE36&lt;&gt;0,BE36+1,0
))</f>
        <v>0</v>
      </c>
      <c r="BG36" s="268">
        <f t="shared" si="59"/>
        <v>0</v>
      </c>
      <c r="BH36" s="268">
        <f t="shared" si="59"/>
        <v>1</v>
      </c>
      <c r="BI36" s="268">
        <f t="shared" si="59"/>
        <v>2</v>
      </c>
      <c r="BJ36" s="268">
        <f t="shared" si="59"/>
        <v>3</v>
      </c>
      <c r="BK36" s="268">
        <f t="shared" si="59"/>
        <v>4</v>
      </c>
      <c r="BL36" s="269">
        <f t="shared" si="59"/>
        <v>5</v>
      </c>
      <c r="BM36" s="256">
        <f>IF($BC36=Lookup!$A$2,$BD36*ROUNDUP(BE36/10,0)+1,
IF($BC36=Lookup!$A$3,($BD36+1)^BD36,
IF($BC36=Lookup!$A$4,BE36*$BD36+1,"Error")))</f>
        <v>1</v>
      </c>
      <c r="BN36" s="229">
        <f>IF($BC36=Lookup!$A$2,$BD36*ROUNDUP(BF36/10,0)+1,
IF($BC36=Lookup!$A$3,($BD36+1)^BE36,
IF($BC36=Lookup!$A$4,BF36*$BD36+1,"Error")))</f>
        <v>1</v>
      </c>
      <c r="BO36" s="229">
        <f>IF($BC36=Lookup!$A$2,$BD36*ROUNDUP(BG36/10,0)+1,
IF($BC36=Lookup!$A$3,($BD36+1)^BF36,
IF($BC36=Lookup!$A$4,BG36*$BD36+1,"Error")))</f>
        <v>1</v>
      </c>
      <c r="BP36" s="229">
        <f>IF($BC36=Lookup!$A$2,$BD36*ROUNDUP(BH36/10,0)+1,
IF($BC36=Lookup!$A$3,($BD36+1)^BG36,
IF($BC36=Lookup!$A$4,BH36*$BD36+1,"Error")))</f>
        <v>2.5625299999999998</v>
      </c>
      <c r="BQ36" s="229">
        <f>IF($BC36=Lookup!$A$2,$BD36*ROUNDUP(BI36/10,0)+1,
IF($BC36=Lookup!$A$3,($BD36+1)^BH36,
IF($BC36=Lookup!$A$4,BI36*$BD36+1,"Error")))</f>
        <v>2.5625299999999998</v>
      </c>
      <c r="BR36" s="229">
        <f>IF($BC36=Lookup!$A$2,$BD36*ROUNDUP(BJ36/10,0)+1,
IF($BC36=Lookup!$A$3,($BD36+1)^BI36,
IF($BC36=Lookup!$A$4,BJ36*$BD36+1,"Error")))</f>
        <v>2.5625299999999998</v>
      </c>
      <c r="BS36" s="229">
        <f>IF($BC36=Lookup!$A$2,$BD36*ROUNDUP(BK36/10,0)+1,
IF($BC36=Lookup!$A$3,($BD36+1)^BJ36,
IF($BC36=Lookup!$A$4,BK36*$BD36+1,"Error")))</f>
        <v>2.5625299999999998</v>
      </c>
      <c r="BT36" s="249">
        <f>IF($BC36=Lookup!$A$2,$BD36*ROUNDUP(BL36/10,0)+1,
IF($BC36=Lookup!$A$3,($BD36+1)^BK36,
IF($BC36=Lookup!$A$4,BL36*$BD36+1,"Error")))</f>
        <v>2.5625299999999998</v>
      </c>
      <c r="BU36" s="398"/>
      <c r="BV36" s="356"/>
      <c r="BW36" s="356"/>
      <c r="BX36" s="356"/>
      <c r="BY36" s="356"/>
      <c r="BZ36" s="356"/>
      <c r="CA36" s="356"/>
      <c r="CB36" s="399"/>
      <c r="CC36" s="382" t="s">
        <v>293</v>
      </c>
      <c r="CD36" s="383">
        <f>HLOOKUP($CC36,$AK$6:$AM$132,ROWS(CC$6:CC36),0)</f>
        <v>1.1569999677777776</v>
      </c>
      <c r="CE36" s="362">
        <f t="shared" si="30"/>
        <v>1.1569999677777776</v>
      </c>
      <c r="CF36" s="363">
        <f t="shared" si="25"/>
        <v>1.1569999677777776</v>
      </c>
      <c r="CG36" s="363">
        <f t="shared" si="25"/>
        <v>1.1569999677777776</v>
      </c>
      <c r="CH36" s="363">
        <f t="shared" si="25"/>
        <v>2.964847127429588</v>
      </c>
      <c r="CI36" s="363">
        <f t="shared" si="25"/>
        <v>2.964847127429588</v>
      </c>
      <c r="CJ36" s="363">
        <f t="shared" si="25"/>
        <v>2.964847127429588</v>
      </c>
      <c r="CK36" s="363">
        <f t="shared" si="25"/>
        <v>2.964847127429588</v>
      </c>
      <c r="CL36" s="364">
        <f t="shared" si="25"/>
        <v>2.964847127429588</v>
      </c>
      <c r="CM36" s="305" t="s">
        <v>293</v>
      </c>
      <c r="CN36" s="315">
        <v>0.05</v>
      </c>
      <c r="CO36" s="306"/>
      <c r="CP36" s="307">
        <f>IF($CO36&lt;&gt;"",$CO36,HLOOKUP($CM36,$AY$6:$BA$132,ROWS(CO$6:CO36),0))</f>
        <v>11051.883462949212</v>
      </c>
      <c r="CQ36" s="784">
        <f t="shared" si="26"/>
        <v>12787.028810515991</v>
      </c>
      <c r="CR36" s="784">
        <f t="shared" si="26"/>
        <v>12787.028810515991</v>
      </c>
      <c r="CS36" s="97">
        <f t="shared" si="26"/>
        <v>12787.028810515991</v>
      </c>
      <c r="CT36" s="97">
        <f t="shared" si="26"/>
        <v>32767.144937811539</v>
      </c>
      <c r="CU36" s="97">
        <f t="shared" si="26"/>
        <v>32767.144937811539</v>
      </c>
      <c r="CV36" s="97">
        <f t="shared" si="26"/>
        <v>32767.144937811539</v>
      </c>
      <c r="CW36" s="97">
        <f t="shared" si="26"/>
        <v>32767.144937811539</v>
      </c>
      <c r="CX36" s="98">
        <f t="shared" si="26"/>
        <v>32767.144937811539</v>
      </c>
      <c r="CY36" s="392"/>
    </row>
    <row r="37" spans="1:103" x14ac:dyDescent="0.25">
      <c r="A37" s="81" t="s">
        <v>81</v>
      </c>
      <c r="B37" s="82" t="s">
        <v>85</v>
      </c>
      <c r="C37" s="83" t="s">
        <v>314</v>
      </c>
      <c r="D37" s="84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654">
        <f>'2022-23 Input'!G37</f>
        <v>0</v>
      </c>
      <c r="N37" s="1065">
        <v>0</v>
      </c>
      <c r="O37" s="560">
        <f t="shared" si="27"/>
        <v>0</v>
      </c>
      <c r="P37" s="561">
        <f t="shared" si="0"/>
        <v>0</v>
      </c>
      <c r="Q37" s="561">
        <f t="shared" si="1"/>
        <v>0</v>
      </c>
      <c r="R37" s="561">
        <f t="shared" si="2"/>
        <v>0</v>
      </c>
      <c r="S37" s="561">
        <f t="shared" si="3"/>
        <v>0</v>
      </c>
      <c r="T37" s="561">
        <f t="shared" si="4"/>
        <v>0</v>
      </c>
      <c r="U37" s="561">
        <f t="shared" si="5"/>
        <v>0</v>
      </c>
      <c r="V37" s="561">
        <f t="shared" si="6"/>
        <v>0</v>
      </c>
      <c r="W37" s="675">
        <f t="shared" si="7"/>
        <v>0</v>
      </c>
      <c r="X37" s="675">
        <f t="shared" si="8"/>
        <v>0</v>
      </c>
      <c r="Y37" s="675">
        <f t="shared" si="8"/>
        <v>0</v>
      </c>
      <c r="Z37" s="125">
        <v>0</v>
      </c>
      <c r="AA37" s="126">
        <v>0</v>
      </c>
      <c r="AB37" s="126">
        <v>0</v>
      </c>
      <c r="AC37" s="126">
        <v>0</v>
      </c>
      <c r="AD37" s="126">
        <v>0</v>
      </c>
      <c r="AE37" s="126">
        <v>0</v>
      </c>
      <c r="AF37" s="126">
        <v>0</v>
      </c>
      <c r="AG37" s="126">
        <v>0</v>
      </c>
      <c r="AH37" s="126">
        <v>0</v>
      </c>
      <c r="AI37" s="1097">
        <f>'2022-23 Input'!N37</f>
        <v>0</v>
      </c>
      <c r="AJ37" s="668">
        <v>0</v>
      </c>
      <c r="AK37" s="127">
        <f t="shared" si="9"/>
        <v>0</v>
      </c>
      <c r="AL37" s="128">
        <f t="shared" si="10"/>
        <v>0</v>
      </c>
      <c r="AM37" s="129">
        <f t="shared" si="11"/>
        <v>0</v>
      </c>
      <c r="AN37" s="91" t="str">
        <f t="shared" si="12"/>
        <v/>
      </c>
      <c r="AO37" s="92" t="str">
        <f t="shared" si="13"/>
        <v/>
      </c>
      <c r="AP37" s="92" t="str">
        <f t="shared" si="14"/>
        <v/>
      </c>
      <c r="AQ37" s="92" t="str">
        <f t="shared" si="15"/>
        <v/>
      </c>
      <c r="AR37" s="92" t="str">
        <f t="shared" si="16"/>
        <v/>
      </c>
      <c r="AS37" s="92" t="str">
        <f t="shared" si="17"/>
        <v/>
      </c>
      <c r="AT37" s="92" t="str">
        <f t="shared" si="18"/>
        <v/>
      </c>
      <c r="AU37" s="92" t="str">
        <f t="shared" si="19"/>
        <v/>
      </c>
      <c r="AV37" s="92" t="str">
        <f t="shared" si="45"/>
        <v/>
      </c>
      <c r="AW37" s="92" t="str">
        <f t="shared" si="45"/>
        <v/>
      </c>
      <c r="AX37" s="92" t="str">
        <f t="shared" si="45"/>
        <v/>
      </c>
      <c r="AY37" s="93" t="str">
        <f t="shared" si="21"/>
        <v/>
      </c>
      <c r="AZ37" s="94" t="str">
        <f t="shared" si="22"/>
        <v/>
      </c>
      <c r="BA37" s="95" t="str">
        <f t="shared" si="23"/>
        <v/>
      </c>
      <c r="BB37" s="248" t="s">
        <v>422</v>
      </c>
      <c r="BC37" s="229" t="s">
        <v>433</v>
      </c>
      <c r="BD37" s="249">
        <v>1.56253</v>
      </c>
      <c r="BE37" s="267">
        <f t="shared" si="28"/>
        <v>0</v>
      </c>
      <c r="BF37" s="268">
        <f t="shared" ref="BF37:BL37" si="60">IF(BF$6=$BB37,1,
IF(BE37&lt;&gt;0,BE37+1,0
))</f>
        <v>0</v>
      </c>
      <c r="BG37" s="268">
        <f t="shared" si="60"/>
        <v>0</v>
      </c>
      <c r="BH37" s="268">
        <f t="shared" si="60"/>
        <v>1</v>
      </c>
      <c r="BI37" s="268">
        <f t="shared" si="60"/>
        <v>2</v>
      </c>
      <c r="BJ37" s="268">
        <f t="shared" si="60"/>
        <v>3</v>
      </c>
      <c r="BK37" s="268">
        <f t="shared" si="60"/>
        <v>4</v>
      </c>
      <c r="BL37" s="269">
        <f t="shared" si="60"/>
        <v>5</v>
      </c>
      <c r="BM37" s="256">
        <f>IF($BC37=Lookup!$A$2,$BD37*ROUNDUP(BE37/10,0)+1,
IF($BC37=Lookup!$A$3,($BD37+1)^BD37,
IF($BC37=Lookup!$A$4,BE37*$BD37+1,"Error")))</f>
        <v>1</v>
      </c>
      <c r="BN37" s="229">
        <f>IF($BC37=Lookup!$A$2,$BD37*ROUNDUP(BF37/10,0)+1,
IF($BC37=Lookup!$A$3,($BD37+1)^BE37,
IF($BC37=Lookup!$A$4,BF37*$BD37+1,"Error")))</f>
        <v>1</v>
      </c>
      <c r="BO37" s="229">
        <f>IF($BC37=Lookup!$A$2,$BD37*ROUNDUP(BG37/10,0)+1,
IF($BC37=Lookup!$A$3,($BD37+1)^BF37,
IF($BC37=Lookup!$A$4,BG37*$BD37+1,"Error")))</f>
        <v>1</v>
      </c>
      <c r="BP37" s="229">
        <f>IF($BC37=Lookup!$A$2,$BD37*ROUNDUP(BH37/10,0)+1,
IF($BC37=Lookup!$A$3,($BD37+1)^BG37,
IF($BC37=Lookup!$A$4,BH37*$BD37+1,"Error")))</f>
        <v>2.5625299999999998</v>
      </c>
      <c r="BQ37" s="229">
        <f>IF($BC37=Lookup!$A$2,$BD37*ROUNDUP(BI37/10,0)+1,
IF($BC37=Lookup!$A$3,($BD37+1)^BH37,
IF($BC37=Lookup!$A$4,BI37*$BD37+1,"Error")))</f>
        <v>2.5625299999999998</v>
      </c>
      <c r="BR37" s="229">
        <f>IF($BC37=Lookup!$A$2,$BD37*ROUNDUP(BJ37/10,0)+1,
IF($BC37=Lookup!$A$3,($BD37+1)^BI37,
IF($BC37=Lookup!$A$4,BJ37*$BD37+1,"Error")))</f>
        <v>2.5625299999999998</v>
      </c>
      <c r="BS37" s="229">
        <f>IF($BC37=Lookup!$A$2,$BD37*ROUNDUP(BK37/10,0)+1,
IF($BC37=Lookup!$A$3,($BD37+1)^BJ37,
IF($BC37=Lookup!$A$4,BK37*$BD37+1,"Error")))</f>
        <v>2.5625299999999998</v>
      </c>
      <c r="BT37" s="249">
        <f>IF($BC37=Lookup!$A$2,$BD37*ROUNDUP(BL37/10,0)+1,
IF($BC37=Lookup!$A$3,($BD37+1)^BK37,
IF($BC37=Lookup!$A$4,BL37*$BD37+1,"Error")))</f>
        <v>2.5625299999999998</v>
      </c>
      <c r="BU37" s="398"/>
      <c r="BV37" s="356"/>
      <c r="BW37" s="356"/>
      <c r="BX37" s="356"/>
      <c r="BY37" s="356"/>
      <c r="BZ37" s="356"/>
      <c r="CA37" s="356"/>
      <c r="CB37" s="399"/>
      <c r="CC37" s="382" t="s">
        <v>293</v>
      </c>
      <c r="CD37" s="383">
        <f>HLOOKUP($CC37,$AK$6:$AM$132,ROWS(CC$6:CC37),0)</f>
        <v>0</v>
      </c>
      <c r="CE37" s="362">
        <f t="shared" si="30"/>
        <v>0</v>
      </c>
      <c r="CF37" s="363">
        <f t="shared" si="25"/>
        <v>0</v>
      </c>
      <c r="CG37" s="363">
        <f t="shared" si="25"/>
        <v>0</v>
      </c>
      <c r="CH37" s="363">
        <f t="shared" si="25"/>
        <v>0</v>
      </c>
      <c r="CI37" s="363">
        <f t="shared" si="25"/>
        <v>0</v>
      </c>
      <c r="CJ37" s="363">
        <f t="shared" si="25"/>
        <v>0</v>
      </c>
      <c r="CK37" s="363">
        <f t="shared" si="25"/>
        <v>0</v>
      </c>
      <c r="CL37" s="364">
        <f t="shared" si="25"/>
        <v>0</v>
      </c>
      <c r="CM37" s="305" t="s">
        <v>293</v>
      </c>
      <c r="CN37" s="315">
        <v>0.05</v>
      </c>
      <c r="CO37" s="306"/>
      <c r="CP37" s="307" t="str">
        <f>IF($CO37&lt;&gt;"",$CO37,HLOOKUP($CM37,$AY$6:$BA$132,ROWS(CO$6:CO37),0))</f>
        <v/>
      </c>
      <c r="CQ37" s="784" t="str">
        <f t="shared" si="26"/>
        <v/>
      </c>
      <c r="CR37" s="784" t="str">
        <f t="shared" si="26"/>
        <v/>
      </c>
      <c r="CS37" s="97" t="str">
        <f t="shared" si="26"/>
        <v/>
      </c>
      <c r="CT37" s="97" t="str">
        <f t="shared" si="26"/>
        <v/>
      </c>
      <c r="CU37" s="97" t="str">
        <f t="shared" si="26"/>
        <v/>
      </c>
      <c r="CV37" s="97" t="str">
        <f t="shared" si="26"/>
        <v/>
      </c>
      <c r="CW37" s="97" t="str">
        <f t="shared" si="26"/>
        <v/>
      </c>
      <c r="CX37" s="98" t="str">
        <f t="shared" si="26"/>
        <v/>
      </c>
      <c r="CY37" s="392"/>
    </row>
    <row r="38" spans="1:103" x14ac:dyDescent="0.25">
      <c r="A38" s="81" t="s">
        <v>81</v>
      </c>
      <c r="B38" s="82" t="s">
        <v>87</v>
      </c>
      <c r="C38" s="83" t="s">
        <v>315</v>
      </c>
      <c r="D38" s="84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17644.62004102601</v>
      </c>
      <c r="M38" s="654">
        <f>'2022-23 Input'!G38</f>
        <v>351.72711444100003</v>
      </c>
      <c r="N38" s="1065">
        <v>956.72205842600044</v>
      </c>
      <c r="O38" s="560">
        <f t="shared" si="27"/>
        <v>0</v>
      </c>
      <c r="P38" s="561">
        <f t="shared" si="0"/>
        <v>0</v>
      </c>
      <c r="Q38" s="561">
        <f t="shared" si="1"/>
        <v>0</v>
      </c>
      <c r="R38" s="561">
        <f t="shared" si="2"/>
        <v>0</v>
      </c>
      <c r="S38" s="561">
        <f t="shared" si="3"/>
        <v>0</v>
      </c>
      <c r="T38" s="561">
        <f t="shared" si="4"/>
        <v>0</v>
      </c>
      <c r="U38" s="561">
        <f t="shared" si="5"/>
        <v>0</v>
      </c>
      <c r="V38" s="561">
        <f t="shared" si="6"/>
        <v>0</v>
      </c>
      <c r="W38" s="675">
        <f t="shared" si="7"/>
        <v>19937.136717458452</v>
      </c>
      <c r="X38" s="675">
        <f t="shared" si="8"/>
        <v>374.0480428551262</v>
      </c>
      <c r="Y38" s="675">
        <f t="shared" si="8"/>
        <v>983.03046016082124</v>
      </c>
      <c r="Z38" s="125">
        <v>0</v>
      </c>
      <c r="AA38" s="126">
        <v>0</v>
      </c>
      <c r="AB38" s="126">
        <v>0</v>
      </c>
      <c r="AC38" s="126">
        <v>0</v>
      </c>
      <c r="AD38" s="126">
        <v>0</v>
      </c>
      <c r="AE38" s="126">
        <v>0</v>
      </c>
      <c r="AF38" s="126">
        <v>0</v>
      </c>
      <c r="AG38" s="126">
        <v>0</v>
      </c>
      <c r="AH38" s="126">
        <v>2.0739999359999999</v>
      </c>
      <c r="AI38" s="1097">
        <f>'2022-23 Input'!N38</f>
        <v>3.3333333333333335E-3</v>
      </c>
      <c r="AJ38" s="668">
        <v>0</v>
      </c>
      <c r="AK38" s="127">
        <f t="shared" si="9"/>
        <v>0.41546665386666665</v>
      </c>
      <c r="AL38" s="128">
        <f t="shared" si="10"/>
        <v>0.6924444231111111</v>
      </c>
      <c r="AM38" s="129">
        <f t="shared" si="11"/>
        <v>3.3333333333333335E-3</v>
      </c>
      <c r="AN38" s="91" t="str">
        <f t="shared" si="12"/>
        <v/>
      </c>
      <c r="AO38" s="92" t="str">
        <f t="shared" si="13"/>
        <v/>
      </c>
      <c r="AP38" s="92" t="str">
        <f t="shared" si="14"/>
        <v/>
      </c>
      <c r="AQ38" s="92" t="str">
        <f t="shared" si="15"/>
        <v/>
      </c>
      <c r="AR38" s="92" t="str">
        <f t="shared" si="16"/>
        <v/>
      </c>
      <c r="AS38" s="92" t="str">
        <f t="shared" si="17"/>
        <v/>
      </c>
      <c r="AT38" s="92" t="str">
        <f t="shared" si="18"/>
        <v/>
      </c>
      <c r="AU38" s="92" t="str">
        <f t="shared" si="19"/>
        <v/>
      </c>
      <c r="AV38" s="92">
        <f t="shared" si="45"/>
        <v>8507.5316227136136</v>
      </c>
      <c r="AW38" s="92">
        <f t="shared" si="45"/>
        <v>105518.1343323</v>
      </c>
      <c r="AX38" s="92" t="str">
        <f t="shared" si="45"/>
        <v/>
      </c>
      <c r="AY38" s="93">
        <f t="shared" si="21"/>
        <v>8663.1969078521888</v>
      </c>
      <c r="AZ38" s="94">
        <f t="shared" si="22"/>
        <v>8663.1969078521888</v>
      </c>
      <c r="BA38" s="95">
        <f t="shared" si="23"/>
        <v>105518.1343323</v>
      </c>
      <c r="BB38" s="248" t="s">
        <v>422</v>
      </c>
      <c r="BC38" s="229" t="s">
        <v>433</v>
      </c>
      <c r="BD38" s="249">
        <v>1.56253</v>
      </c>
      <c r="BE38" s="267">
        <f t="shared" si="28"/>
        <v>0</v>
      </c>
      <c r="BF38" s="268">
        <f t="shared" ref="BF38:BL38" si="61">IF(BF$6=$BB38,1,
IF(BE38&lt;&gt;0,BE38+1,0
))</f>
        <v>0</v>
      </c>
      <c r="BG38" s="268">
        <f t="shared" si="61"/>
        <v>0</v>
      </c>
      <c r="BH38" s="268">
        <f t="shared" si="61"/>
        <v>1</v>
      </c>
      <c r="BI38" s="268">
        <f t="shared" si="61"/>
        <v>2</v>
      </c>
      <c r="BJ38" s="268">
        <f t="shared" si="61"/>
        <v>3</v>
      </c>
      <c r="BK38" s="268">
        <f t="shared" si="61"/>
        <v>4</v>
      </c>
      <c r="BL38" s="269">
        <f t="shared" si="61"/>
        <v>5</v>
      </c>
      <c r="BM38" s="256">
        <f>IF($BC38=Lookup!$A$2,$BD38*ROUNDUP(BE38/10,0)+1,
IF($BC38=Lookup!$A$3,($BD38+1)^BD38,
IF($BC38=Lookup!$A$4,BE38*$BD38+1,"Error")))</f>
        <v>1</v>
      </c>
      <c r="BN38" s="229">
        <f>IF($BC38=Lookup!$A$2,$BD38*ROUNDUP(BF38/10,0)+1,
IF($BC38=Lookup!$A$3,($BD38+1)^BE38,
IF($BC38=Lookup!$A$4,BF38*$BD38+1,"Error")))</f>
        <v>1</v>
      </c>
      <c r="BO38" s="229">
        <f>IF($BC38=Lookup!$A$2,$BD38*ROUNDUP(BG38/10,0)+1,
IF($BC38=Lookup!$A$3,($BD38+1)^BF38,
IF($BC38=Lookup!$A$4,BG38*$BD38+1,"Error")))</f>
        <v>1</v>
      </c>
      <c r="BP38" s="229">
        <f>IF($BC38=Lookup!$A$2,$BD38*ROUNDUP(BH38/10,0)+1,
IF($BC38=Lookup!$A$3,($BD38+1)^BG38,
IF($BC38=Lookup!$A$4,BH38*$BD38+1,"Error")))</f>
        <v>2.5625299999999998</v>
      </c>
      <c r="BQ38" s="229">
        <f>IF($BC38=Lookup!$A$2,$BD38*ROUNDUP(BI38/10,0)+1,
IF($BC38=Lookup!$A$3,($BD38+1)^BH38,
IF($BC38=Lookup!$A$4,BI38*$BD38+1,"Error")))</f>
        <v>2.5625299999999998</v>
      </c>
      <c r="BR38" s="229">
        <f>IF($BC38=Lookup!$A$2,$BD38*ROUNDUP(BJ38/10,0)+1,
IF($BC38=Lookup!$A$3,($BD38+1)^BI38,
IF($BC38=Lookup!$A$4,BJ38*$BD38+1,"Error")))</f>
        <v>2.5625299999999998</v>
      </c>
      <c r="BS38" s="229">
        <f>IF($BC38=Lookup!$A$2,$BD38*ROUNDUP(BK38/10,0)+1,
IF($BC38=Lookup!$A$3,($BD38+1)^BJ38,
IF($BC38=Lookup!$A$4,BK38*$BD38+1,"Error")))</f>
        <v>2.5625299999999998</v>
      </c>
      <c r="BT38" s="249">
        <f>IF($BC38=Lookup!$A$2,$BD38*ROUNDUP(BL38/10,0)+1,
IF($BC38=Lookup!$A$3,($BD38+1)^BK38,
IF($BC38=Lookup!$A$4,BL38*$BD38+1,"Error")))</f>
        <v>2.5625299999999998</v>
      </c>
      <c r="BU38" s="398"/>
      <c r="BV38" s="356"/>
      <c r="BW38" s="356"/>
      <c r="BX38" s="356"/>
      <c r="BY38" s="356"/>
      <c r="BZ38" s="356"/>
      <c r="CA38" s="356"/>
      <c r="CB38" s="399"/>
      <c r="CC38" s="382" t="s">
        <v>293</v>
      </c>
      <c r="CD38" s="383">
        <f>HLOOKUP($CC38,$AK$6:$AM$132,ROWS(CC$6:CC38),0)</f>
        <v>0.6924444231111111</v>
      </c>
      <c r="CE38" s="362">
        <f t="shared" si="30"/>
        <v>0.6924444231111111</v>
      </c>
      <c r="CF38" s="363">
        <f t="shared" si="25"/>
        <v>0.6924444231111111</v>
      </c>
      <c r="CG38" s="363">
        <f t="shared" si="25"/>
        <v>0.6924444231111111</v>
      </c>
      <c r="CH38" s="363">
        <f t="shared" si="25"/>
        <v>1.7744096075549154</v>
      </c>
      <c r="CI38" s="363">
        <f t="shared" si="25"/>
        <v>1.7744096075549154</v>
      </c>
      <c r="CJ38" s="363">
        <f t="shared" si="25"/>
        <v>1.7744096075549154</v>
      </c>
      <c r="CK38" s="363">
        <f t="shared" si="25"/>
        <v>1.7744096075549154</v>
      </c>
      <c r="CL38" s="364">
        <f t="shared" si="25"/>
        <v>1.7744096075549154</v>
      </c>
      <c r="CM38" s="305" t="s">
        <v>293</v>
      </c>
      <c r="CN38" s="315">
        <v>0.05</v>
      </c>
      <c r="CO38" s="306"/>
      <c r="CP38" s="307">
        <f>IF($CO38&lt;&gt;"",$CO38,HLOOKUP($CM38,$AY$6:$BA$132,ROWS(CO$6:CO38),0))</f>
        <v>8663.1969078521888</v>
      </c>
      <c r="CQ38" s="784">
        <f t="shared" si="26"/>
        <v>5998.7823851556705</v>
      </c>
      <c r="CR38" s="784">
        <f t="shared" si="26"/>
        <v>5998.7823851556705</v>
      </c>
      <c r="CS38" s="97">
        <f t="shared" si="26"/>
        <v>5998.7823851556705</v>
      </c>
      <c r="CT38" s="97">
        <f t="shared" si="26"/>
        <v>15372.05982543296</v>
      </c>
      <c r="CU38" s="97">
        <f t="shared" si="26"/>
        <v>15372.05982543296</v>
      </c>
      <c r="CV38" s="97">
        <f t="shared" si="26"/>
        <v>15372.05982543296</v>
      </c>
      <c r="CW38" s="97">
        <f t="shared" si="26"/>
        <v>15372.05982543296</v>
      </c>
      <c r="CX38" s="98">
        <f t="shared" ref="CX38:CX101" si="62">IFERROR(CL38*$CP38,"")</f>
        <v>15372.05982543296</v>
      </c>
      <c r="CY38" s="392"/>
    </row>
    <row r="39" spans="1:103" x14ac:dyDescent="0.25">
      <c r="A39" s="81" t="s">
        <v>81</v>
      </c>
      <c r="B39" s="82" t="s">
        <v>89</v>
      </c>
      <c r="C39" s="83" t="s">
        <v>74</v>
      </c>
      <c r="D39" s="84">
        <v>76.707008522858033</v>
      </c>
      <c r="E39" s="85">
        <v>0</v>
      </c>
      <c r="F39" s="85">
        <v>0</v>
      </c>
      <c r="G39" s="85">
        <v>5615.6620934168122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  <c r="M39" s="654">
        <f>'2022-23 Input'!G39</f>
        <v>1809.829460813</v>
      </c>
      <c r="N39" s="1065">
        <v>1833.8656613430003</v>
      </c>
      <c r="O39" s="560">
        <f t="shared" si="27"/>
        <v>103.20592934451207</v>
      </c>
      <c r="P39" s="561">
        <f t="shared" si="0"/>
        <v>0</v>
      </c>
      <c r="Q39" s="561">
        <f t="shared" si="1"/>
        <v>0</v>
      </c>
      <c r="R39" s="561">
        <f t="shared" si="2"/>
        <v>7228.0127417103504</v>
      </c>
      <c r="S39" s="561">
        <f t="shared" si="3"/>
        <v>0</v>
      </c>
      <c r="T39" s="561">
        <f t="shared" si="4"/>
        <v>0</v>
      </c>
      <c r="U39" s="561">
        <f t="shared" si="5"/>
        <v>0</v>
      </c>
      <c r="V39" s="561">
        <f t="shared" si="6"/>
        <v>0</v>
      </c>
      <c r="W39" s="675">
        <f t="shared" si="7"/>
        <v>0</v>
      </c>
      <c r="X39" s="675">
        <f t="shared" si="8"/>
        <v>1924.68291446495</v>
      </c>
      <c r="Y39" s="675">
        <f t="shared" si="8"/>
        <v>1884.2941782998257</v>
      </c>
      <c r="Z39" s="125">
        <v>0</v>
      </c>
      <c r="AA39" s="126">
        <v>0</v>
      </c>
      <c r="AB39" s="126">
        <v>0</v>
      </c>
      <c r="AC39" s="126">
        <v>0</v>
      </c>
      <c r="AD39" s="126">
        <v>0</v>
      </c>
      <c r="AE39" s="126">
        <v>0</v>
      </c>
      <c r="AF39" s="126">
        <v>0.73666666600000008</v>
      </c>
      <c r="AG39" s="126">
        <v>0</v>
      </c>
      <c r="AH39" s="126">
        <v>8.6666668999999988E-2</v>
      </c>
      <c r="AI39" s="1097">
        <f>'2022-23 Input'!N39</f>
        <v>0</v>
      </c>
      <c r="AJ39" s="668">
        <v>3.833334699999999E-2</v>
      </c>
      <c r="AK39" s="127">
        <f t="shared" ref="AK39:AK70" si="63">IFERROR(IF($AM$4="N",SUM(AD39:AH39)/5,SUM(AE39:AI39)/5),"")</f>
        <v>0.16466666700000002</v>
      </c>
      <c r="AL39" s="128">
        <f t="shared" ref="AL39:AL70" si="64">IFERROR(IF($AM$4="N",SUM(AF39:AH39)/3,SUM(AG39:AI39)/3),"")</f>
        <v>2.8888889666666664E-2</v>
      </c>
      <c r="AM39" s="129">
        <f t="shared" ref="AM39:AM70" si="65">IFERROR(IF($AM$4="N",AH39,AI39),"")</f>
        <v>0</v>
      </c>
      <c r="AN39" s="91" t="str">
        <f t="shared" ref="AN39:AN70" si="66">IFERROR(D39/Z39,"")</f>
        <v/>
      </c>
      <c r="AO39" s="92" t="str">
        <f t="shared" ref="AO39:AO70" si="67">IFERROR(E39/AA39,"")</f>
        <v/>
      </c>
      <c r="AP39" s="92" t="str">
        <f t="shared" ref="AP39:AP70" si="68">IFERROR(F39/AB39,"")</f>
        <v/>
      </c>
      <c r="AQ39" s="92" t="str">
        <f t="shared" ref="AQ39:AQ70" si="69">IFERROR(G39/AC39,"")</f>
        <v/>
      </c>
      <c r="AR39" s="92" t="str">
        <f t="shared" ref="AR39:AR70" si="70">IFERROR(H39/AD39,"")</f>
        <v/>
      </c>
      <c r="AS39" s="92" t="str">
        <f t="shared" ref="AS39:AS70" si="71">IFERROR(I39/AE39,"")</f>
        <v/>
      </c>
      <c r="AT39" s="92">
        <f t="shared" ref="AT39:AT70" si="72">IFERROR(J39/AF39,"")</f>
        <v>0</v>
      </c>
      <c r="AU39" s="92" t="str">
        <f t="shared" ref="AU39:AU70" si="73">IFERROR(K39/AG39,"")</f>
        <v/>
      </c>
      <c r="AV39" s="92">
        <f t="shared" ref="AV39:AX54" si="74">IFERROR(L39/AH39,"")</f>
        <v>0</v>
      </c>
      <c r="AW39" s="92" t="str">
        <f t="shared" si="74"/>
        <v/>
      </c>
      <c r="AX39" s="92">
        <f t="shared" si="74"/>
        <v>47839.956718180671</v>
      </c>
      <c r="AY39" s="93">
        <f t="shared" ref="AY39:AY70" si="75">IFERROR(IF($BA$3="N",
IF($BA$4="N",SUM(H39:L39)/SUM(AD39:AH39),SUM(I39:M39)/SUM(AE39:AI39)),
IF($BA$4="N",SUM(S39:W39)/SUM(AD39:AH39),SUM(T39:X39)/SUM(AE39:AI39))),"")</f>
        <v>2198.1734297360858</v>
      </c>
      <c r="AZ39" s="94">
        <f t="shared" ref="AZ39:AZ70" si="76">IFERROR(IF($BA$3="N",
IF($BA$4="N",SUM(J39:L39)/SUM(AF39:AH39),SUM(K39:M39)/SUM(AG39:AI39)),
IF($BA$4="N",SUM(U39:W39)/SUM(AF39:AH39),SUM(V39:X39)/SUM(AG39:AI39))),"")</f>
        <v>20882.647062540273</v>
      </c>
      <c r="BA39" s="95" t="str">
        <f t="shared" ref="BA39:BA70" si="77">IFERROR(IF($BA$3="N",
IF($BA$4="N",L39/AH39,M39/AI39),
IF($BA$4="N",W39/AH39,X39/AI39)),"")</f>
        <v/>
      </c>
      <c r="BB39" s="248" t="s">
        <v>422</v>
      </c>
      <c r="BC39" s="229" t="s">
        <v>433</v>
      </c>
      <c r="BD39" s="249">
        <v>1.56253</v>
      </c>
      <c r="BE39" s="267">
        <f t="shared" si="28"/>
        <v>0</v>
      </c>
      <c r="BF39" s="268">
        <f t="shared" ref="BF39:BL39" si="78">IF(BF$6=$BB39,1,
IF(BE39&lt;&gt;0,BE39+1,0
))</f>
        <v>0</v>
      </c>
      <c r="BG39" s="268">
        <f t="shared" si="78"/>
        <v>0</v>
      </c>
      <c r="BH39" s="268">
        <f t="shared" si="78"/>
        <v>1</v>
      </c>
      <c r="BI39" s="268">
        <f t="shared" si="78"/>
        <v>2</v>
      </c>
      <c r="BJ39" s="268">
        <f t="shared" si="78"/>
        <v>3</v>
      </c>
      <c r="BK39" s="268">
        <f t="shared" si="78"/>
        <v>4</v>
      </c>
      <c r="BL39" s="269">
        <f t="shared" si="78"/>
        <v>5</v>
      </c>
      <c r="BM39" s="256">
        <f>IF($BC39=Lookup!$A$2,$BD39*ROUNDUP(BE39/10,0)+1,
IF($BC39=Lookup!$A$3,($BD39+1)^BD39,
IF($BC39=Lookup!$A$4,BE39*$BD39+1,"Error")))</f>
        <v>1</v>
      </c>
      <c r="BN39" s="229">
        <f>IF($BC39=Lookup!$A$2,$BD39*ROUNDUP(BF39/10,0)+1,
IF($BC39=Lookup!$A$3,($BD39+1)^BE39,
IF($BC39=Lookup!$A$4,BF39*$BD39+1,"Error")))</f>
        <v>1</v>
      </c>
      <c r="BO39" s="229">
        <f>IF($BC39=Lookup!$A$2,$BD39*ROUNDUP(BG39/10,0)+1,
IF($BC39=Lookup!$A$3,($BD39+1)^BF39,
IF($BC39=Lookup!$A$4,BG39*$BD39+1,"Error")))</f>
        <v>1</v>
      </c>
      <c r="BP39" s="229">
        <f>IF($BC39=Lookup!$A$2,$BD39*ROUNDUP(BH39/10,0)+1,
IF($BC39=Lookup!$A$3,($BD39+1)^BG39,
IF($BC39=Lookup!$A$4,BH39*$BD39+1,"Error")))</f>
        <v>2.5625299999999998</v>
      </c>
      <c r="BQ39" s="229">
        <f>IF($BC39=Lookup!$A$2,$BD39*ROUNDUP(BI39/10,0)+1,
IF($BC39=Lookup!$A$3,($BD39+1)^BH39,
IF($BC39=Lookup!$A$4,BI39*$BD39+1,"Error")))</f>
        <v>2.5625299999999998</v>
      </c>
      <c r="BR39" s="229">
        <f>IF($BC39=Lookup!$A$2,$BD39*ROUNDUP(BJ39/10,0)+1,
IF($BC39=Lookup!$A$3,($BD39+1)^BI39,
IF($BC39=Lookup!$A$4,BJ39*$BD39+1,"Error")))</f>
        <v>2.5625299999999998</v>
      </c>
      <c r="BS39" s="229">
        <f>IF($BC39=Lookup!$A$2,$BD39*ROUNDUP(BK39/10,0)+1,
IF($BC39=Lookup!$A$3,($BD39+1)^BJ39,
IF($BC39=Lookup!$A$4,BK39*$BD39+1,"Error")))</f>
        <v>2.5625299999999998</v>
      </c>
      <c r="BT39" s="249">
        <f>IF($BC39=Lookup!$A$2,$BD39*ROUNDUP(BL39/10,0)+1,
IF($BC39=Lookup!$A$3,($BD39+1)^BK39,
IF($BC39=Lookup!$A$4,BL39*$BD39+1,"Error")))</f>
        <v>2.5625299999999998</v>
      </c>
      <c r="BU39" s="398"/>
      <c r="BV39" s="356"/>
      <c r="BW39" s="356"/>
      <c r="BX39" s="356"/>
      <c r="BY39" s="356"/>
      <c r="BZ39" s="356"/>
      <c r="CA39" s="356"/>
      <c r="CB39" s="399"/>
      <c r="CC39" s="382" t="s">
        <v>293</v>
      </c>
      <c r="CD39" s="383">
        <f>HLOOKUP($CC39,$AK$6:$AM$132,ROWS(CC$6:CC39),0)</f>
        <v>2.8888889666666664E-2</v>
      </c>
      <c r="CE39" s="362">
        <f t="shared" si="30"/>
        <v>2.8888889666666664E-2</v>
      </c>
      <c r="CF39" s="363">
        <f t="shared" si="25"/>
        <v>2.8888889666666664E-2</v>
      </c>
      <c r="CG39" s="363">
        <f t="shared" si="25"/>
        <v>2.8888889666666664E-2</v>
      </c>
      <c r="CH39" s="363">
        <f t="shared" si="25"/>
        <v>7.4028646437523313E-2</v>
      </c>
      <c r="CI39" s="363">
        <f t="shared" si="25"/>
        <v>7.4028646437523313E-2</v>
      </c>
      <c r="CJ39" s="363">
        <f t="shared" si="25"/>
        <v>7.4028646437523313E-2</v>
      </c>
      <c r="CK39" s="363">
        <f t="shared" si="25"/>
        <v>7.4028646437523313E-2</v>
      </c>
      <c r="CL39" s="364">
        <f t="shared" si="25"/>
        <v>7.4028646437523313E-2</v>
      </c>
      <c r="CM39" s="305" t="s">
        <v>293</v>
      </c>
      <c r="CN39" s="315">
        <v>0.05</v>
      </c>
      <c r="CO39" s="306"/>
      <c r="CP39" s="307">
        <f>IF($CO39&lt;&gt;"",$CO39,HLOOKUP($CM39,$AY$6:$BA$132,ROWS(CO$6:CO39),0))</f>
        <v>20882.647062540273</v>
      </c>
      <c r="CQ39" s="784">
        <f t="shared" ref="CQ39:CW70" si="79">IFERROR(CE39*$CP39,"")</f>
        <v>603.27648693766662</v>
      </c>
      <c r="CR39" s="784">
        <f t="shared" si="79"/>
        <v>603.27648693766662</v>
      </c>
      <c r="CS39" s="97">
        <f t="shared" si="79"/>
        <v>603.27648693766662</v>
      </c>
      <c r="CT39" s="97">
        <f t="shared" si="79"/>
        <v>1545.9140960723787</v>
      </c>
      <c r="CU39" s="97">
        <f t="shared" si="79"/>
        <v>1545.9140960723787</v>
      </c>
      <c r="CV39" s="97">
        <f t="shared" si="79"/>
        <v>1545.9140960723787</v>
      </c>
      <c r="CW39" s="97">
        <f t="shared" si="79"/>
        <v>1545.9140960723787</v>
      </c>
      <c r="CX39" s="98">
        <f t="shared" si="62"/>
        <v>1545.9140960723787</v>
      </c>
      <c r="CY39" s="392"/>
    </row>
    <row r="40" spans="1:103" x14ac:dyDescent="0.25">
      <c r="A40" s="81" t="s">
        <v>81</v>
      </c>
      <c r="B40" s="82" t="s">
        <v>90</v>
      </c>
      <c r="C40" s="83" t="s">
        <v>76</v>
      </c>
      <c r="D40" s="84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654">
        <f>'2022-23 Input'!G40</f>
        <v>0</v>
      </c>
      <c r="N40" s="1065">
        <v>0</v>
      </c>
      <c r="O40" s="560">
        <f t="shared" si="27"/>
        <v>0</v>
      </c>
      <c r="P40" s="561">
        <f t="shared" si="0"/>
        <v>0</v>
      </c>
      <c r="Q40" s="561">
        <f t="shared" si="1"/>
        <v>0</v>
      </c>
      <c r="R40" s="561">
        <f t="shared" si="2"/>
        <v>0</v>
      </c>
      <c r="S40" s="561">
        <f t="shared" si="3"/>
        <v>0</v>
      </c>
      <c r="T40" s="561">
        <f t="shared" si="4"/>
        <v>0</v>
      </c>
      <c r="U40" s="561">
        <f t="shared" si="5"/>
        <v>0</v>
      </c>
      <c r="V40" s="561">
        <f t="shared" si="6"/>
        <v>0</v>
      </c>
      <c r="W40" s="675">
        <f t="shared" si="7"/>
        <v>0</v>
      </c>
      <c r="X40" s="675">
        <f t="shared" si="8"/>
        <v>0</v>
      </c>
      <c r="Y40" s="675">
        <f t="shared" si="8"/>
        <v>0</v>
      </c>
      <c r="Z40" s="125">
        <v>0</v>
      </c>
      <c r="AA40" s="126">
        <v>0</v>
      </c>
      <c r="AB40" s="126">
        <v>0</v>
      </c>
      <c r="AC40" s="126">
        <v>0</v>
      </c>
      <c r="AD40" s="126">
        <v>0</v>
      </c>
      <c r="AE40" s="126">
        <v>0</v>
      </c>
      <c r="AF40" s="126">
        <v>0</v>
      </c>
      <c r="AG40" s="126">
        <v>0</v>
      </c>
      <c r="AH40" s="126">
        <v>0</v>
      </c>
      <c r="AI40" s="1097">
        <f>'2022-23 Input'!N40</f>
        <v>0</v>
      </c>
      <c r="AJ40" s="668">
        <v>0</v>
      </c>
      <c r="AK40" s="127">
        <f t="shared" si="63"/>
        <v>0</v>
      </c>
      <c r="AL40" s="128">
        <f t="shared" si="64"/>
        <v>0</v>
      </c>
      <c r="AM40" s="129">
        <f t="shared" si="65"/>
        <v>0</v>
      </c>
      <c r="AN40" s="91" t="str">
        <f t="shared" si="66"/>
        <v/>
      </c>
      <c r="AO40" s="92" t="str">
        <f t="shared" si="67"/>
        <v/>
      </c>
      <c r="AP40" s="92" t="str">
        <f t="shared" si="68"/>
        <v/>
      </c>
      <c r="AQ40" s="92" t="str">
        <f t="shared" si="69"/>
        <v/>
      </c>
      <c r="AR40" s="92" t="str">
        <f t="shared" si="70"/>
        <v/>
      </c>
      <c r="AS40" s="92" t="str">
        <f t="shared" si="71"/>
        <v/>
      </c>
      <c r="AT40" s="92" t="str">
        <f t="shared" si="72"/>
        <v/>
      </c>
      <c r="AU40" s="92" t="str">
        <f t="shared" si="73"/>
        <v/>
      </c>
      <c r="AV40" s="92" t="str">
        <f t="shared" si="74"/>
        <v/>
      </c>
      <c r="AW40" s="92" t="str">
        <f t="shared" si="74"/>
        <v/>
      </c>
      <c r="AX40" s="92" t="str">
        <f t="shared" si="74"/>
        <v/>
      </c>
      <c r="AY40" s="93" t="str">
        <f t="shared" si="75"/>
        <v/>
      </c>
      <c r="AZ40" s="94" t="str">
        <f t="shared" si="76"/>
        <v/>
      </c>
      <c r="BA40" s="95" t="str">
        <f t="shared" si="77"/>
        <v/>
      </c>
      <c r="BB40" s="248" t="s">
        <v>422</v>
      </c>
      <c r="BC40" s="229" t="s">
        <v>433</v>
      </c>
      <c r="BD40" s="249">
        <v>1.56253</v>
      </c>
      <c r="BE40" s="267">
        <f t="shared" si="28"/>
        <v>0</v>
      </c>
      <c r="BF40" s="268">
        <f t="shared" ref="BF40:BL40" si="80">IF(BF$6=$BB40,1,
IF(BE40&lt;&gt;0,BE40+1,0
))</f>
        <v>0</v>
      </c>
      <c r="BG40" s="268">
        <f t="shared" si="80"/>
        <v>0</v>
      </c>
      <c r="BH40" s="268">
        <f t="shared" si="80"/>
        <v>1</v>
      </c>
      <c r="BI40" s="268">
        <f t="shared" si="80"/>
        <v>2</v>
      </c>
      <c r="BJ40" s="268">
        <f t="shared" si="80"/>
        <v>3</v>
      </c>
      <c r="BK40" s="268">
        <f t="shared" si="80"/>
        <v>4</v>
      </c>
      <c r="BL40" s="269">
        <f t="shared" si="80"/>
        <v>5</v>
      </c>
      <c r="BM40" s="256">
        <f>IF($BC40=Lookup!$A$2,$BD40*ROUNDUP(BE40/10,0)+1,
IF($BC40=Lookup!$A$3,($BD40+1)^BD40,
IF($BC40=Lookup!$A$4,BE40*$BD40+1,"Error")))</f>
        <v>1</v>
      </c>
      <c r="BN40" s="229">
        <f>IF($BC40=Lookup!$A$2,$BD40*ROUNDUP(BF40/10,0)+1,
IF($BC40=Lookup!$A$3,($BD40+1)^BE40,
IF($BC40=Lookup!$A$4,BF40*$BD40+1,"Error")))</f>
        <v>1</v>
      </c>
      <c r="BO40" s="229">
        <f>IF($BC40=Lookup!$A$2,$BD40*ROUNDUP(BG40/10,0)+1,
IF($BC40=Lookup!$A$3,($BD40+1)^BF40,
IF($BC40=Lookup!$A$4,BG40*$BD40+1,"Error")))</f>
        <v>1</v>
      </c>
      <c r="BP40" s="229">
        <f>IF($BC40=Lookup!$A$2,$BD40*ROUNDUP(BH40/10,0)+1,
IF($BC40=Lookup!$A$3,($BD40+1)^BG40,
IF($BC40=Lookup!$A$4,BH40*$BD40+1,"Error")))</f>
        <v>2.5625299999999998</v>
      </c>
      <c r="BQ40" s="229">
        <f>IF($BC40=Lookup!$A$2,$BD40*ROUNDUP(BI40/10,0)+1,
IF($BC40=Lookup!$A$3,($BD40+1)^BH40,
IF($BC40=Lookup!$A$4,BI40*$BD40+1,"Error")))</f>
        <v>2.5625299999999998</v>
      </c>
      <c r="BR40" s="229">
        <f>IF($BC40=Lookup!$A$2,$BD40*ROUNDUP(BJ40/10,0)+1,
IF($BC40=Lookup!$A$3,($BD40+1)^BI40,
IF($BC40=Lookup!$A$4,BJ40*$BD40+1,"Error")))</f>
        <v>2.5625299999999998</v>
      </c>
      <c r="BS40" s="229">
        <f>IF($BC40=Lookup!$A$2,$BD40*ROUNDUP(BK40/10,0)+1,
IF($BC40=Lookup!$A$3,($BD40+1)^BJ40,
IF($BC40=Lookup!$A$4,BK40*$BD40+1,"Error")))</f>
        <v>2.5625299999999998</v>
      </c>
      <c r="BT40" s="249">
        <f>IF($BC40=Lookup!$A$2,$BD40*ROUNDUP(BL40/10,0)+1,
IF($BC40=Lookup!$A$3,($BD40+1)^BK40,
IF($BC40=Lookup!$A$4,BL40*$BD40+1,"Error")))</f>
        <v>2.5625299999999998</v>
      </c>
      <c r="BU40" s="398"/>
      <c r="BV40" s="356"/>
      <c r="BW40" s="356"/>
      <c r="BX40" s="356"/>
      <c r="BY40" s="356"/>
      <c r="BZ40" s="356"/>
      <c r="CA40" s="356"/>
      <c r="CB40" s="399"/>
      <c r="CC40" s="382" t="s">
        <v>293</v>
      </c>
      <c r="CD40" s="383">
        <f>HLOOKUP($CC40,$AK$6:$AM$132,ROWS(CC$6:CC40),0)</f>
        <v>0</v>
      </c>
      <c r="CE40" s="362">
        <f t="shared" si="30"/>
        <v>0</v>
      </c>
      <c r="CF40" s="363">
        <f t="shared" si="25"/>
        <v>0</v>
      </c>
      <c r="CG40" s="363">
        <f t="shared" si="25"/>
        <v>0</v>
      </c>
      <c r="CH40" s="363">
        <f t="shared" si="25"/>
        <v>0</v>
      </c>
      <c r="CI40" s="363">
        <f t="shared" si="25"/>
        <v>0</v>
      </c>
      <c r="CJ40" s="363">
        <f t="shared" si="25"/>
        <v>0</v>
      </c>
      <c r="CK40" s="363">
        <f t="shared" si="25"/>
        <v>0</v>
      </c>
      <c r="CL40" s="364">
        <f t="shared" si="25"/>
        <v>0</v>
      </c>
      <c r="CM40" s="305" t="s">
        <v>293</v>
      </c>
      <c r="CN40" s="315">
        <v>0.05</v>
      </c>
      <c r="CO40" s="306"/>
      <c r="CP40" s="307" t="str">
        <f>IF($CO40&lt;&gt;"",$CO40,HLOOKUP($CM40,$AY$6:$BA$132,ROWS(CO$6:CO40),0))</f>
        <v/>
      </c>
      <c r="CQ40" s="784" t="str">
        <f t="shared" si="79"/>
        <v/>
      </c>
      <c r="CR40" s="784" t="str">
        <f t="shared" si="79"/>
        <v/>
      </c>
      <c r="CS40" s="97" t="str">
        <f t="shared" si="79"/>
        <v/>
      </c>
      <c r="CT40" s="97" t="str">
        <f t="shared" si="79"/>
        <v/>
      </c>
      <c r="CU40" s="97" t="str">
        <f t="shared" si="79"/>
        <v/>
      </c>
      <c r="CV40" s="97" t="str">
        <f t="shared" si="79"/>
        <v/>
      </c>
      <c r="CW40" s="97" t="str">
        <f t="shared" si="79"/>
        <v/>
      </c>
      <c r="CX40" s="98" t="str">
        <f t="shared" si="62"/>
        <v/>
      </c>
      <c r="CY40" s="392"/>
    </row>
    <row r="41" spans="1:103" x14ac:dyDescent="0.25">
      <c r="A41" s="81" t="s">
        <v>81</v>
      </c>
      <c r="B41" s="82" t="s">
        <v>91</v>
      </c>
      <c r="C41" s="83" t="s">
        <v>78</v>
      </c>
      <c r="D41" s="84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654">
        <f>'2022-23 Input'!G41</f>
        <v>0</v>
      </c>
      <c r="N41" s="1065">
        <v>0</v>
      </c>
      <c r="O41" s="560">
        <f t="shared" si="27"/>
        <v>0</v>
      </c>
      <c r="P41" s="561">
        <f t="shared" si="0"/>
        <v>0</v>
      </c>
      <c r="Q41" s="561">
        <f t="shared" si="1"/>
        <v>0</v>
      </c>
      <c r="R41" s="561">
        <f t="shared" si="2"/>
        <v>0</v>
      </c>
      <c r="S41" s="561">
        <f t="shared" si="3"/>
        <v>0</v>
      </c>
      <c r="T41" s="561">
        <f t="shared" si="4"/>
        <v>0</v>
      </c>
      <c r="U41" s="561">
        <f t="shared" si="5"/>
        <v>0</v>
      </c>
      <c r="V41" s="561">
        <f t="shared" si="6"/>
        <v>0</v>
      </c>
      <c r="W41" s="675">
        <f t="shared" si="7"/>
        <v>0</v>
      </c>
      <c r="X41" s="675">
        <f t="shared" si="8"/>
        <v>0</v>
      </c>
      <c r="Y41" s="675">
        <f t="shared" si="8"/>
        <v>0</v>
      </c>
      <c r="Z41" s="125">
        <v>0</v>
      </c>
      <c r="AA41" s="126">
        <v>0</v>
      </c>
      <c r="AB41" s="126">
        <v>0</v>
      </c>
      <c r="AC41" s="126">
        <v>0</v>
      </c>
      <c r="AD41" s="126">
        <v>0</v>
      </c>
      <c r="AE41" s="126">
        <v>0</v>
      </c>
      <c r="AF41" s="126">
        <v>0</v>
      </c>
      <c r="AG41" s="126">
        <v>0</v>
      </c>
      <c r="AH41" s="126">
        <v>0</v>
      </c>
      <c r="AI41" s="1097">
        <f>'2022-23 Input'!N41</f>
        <v>0</v>
      </c>
      <c r="AJ41" s="668">
        <v>0</v>
      </c>
      <c r="AK41" s="127">
        <f t="shared" si="63"/>
        <v>0</v>
      </c>
      <c r="AL41" s="128">
        <f t="shared" si="64"/>
        <v>0</v>
      </c>
      <c r="AM41" s="129">
        <f t="shared" si="65"/>
        <v>0</v>
      </c>
      <c r="AN41" s="91" t="str">
        <f t="shared" si="66"/>
        <v/>
      </c>
      <c r="AO41" s="92" t="str">
        <f t="shared" si="67"/>
        <v/>
      </c>
      <c r="AP41" s="92" t="str">
        <f t="shared" si="68"/>
        <v/>
      </c>
      <c r="AQ41" s="92" t="str">
        <f t="shared" si="69"/>
        <v/>
      </c>
      <c r="AR41" s="92" t="str">
        <f t="shared" si="70"/>
        <v/>
      </c>
      <c r="AS41" s="92" t="str">
        <f t="shared" si="71"/>
        <v/>
      </c>
      <c r="AT41" s="92" t="str">
        <f t="shared" si="72"/>
        <v/>
      </c>
      <c r="AU41" s="92" t="str">
        <f t="shared" si="73"/>
        <v/>
      </c>
      <c r="AV41" s="92" t="str">
        <f t="shared" si="74"/>
        <v/>
      </c>
      <c r="AW41" s="92" t="str">
        <f t="shared" si="74"/>
        <v/>
      </c>
      <c r="AX41" s="92" t="str">
        <f t="shared" si="74"/>
        <v/>
      </c>
      <c r="AY41" s="93" t="str">
        <f t="shared" si="75"/>
        <v/>
      </c>
      <c r="AZ41" s="94" t="str">
        <f t="shared" si="76"/>
        <v/>
      </c>
      <c r="BA41" s="95" t="str">
        <f t="shared" si="77"/>
        <v/>
      </c>
      <c r="BB41" s="248" t="s">
        <v>422</v>
      </c>
      <c r="BC41" s="229" t="s">
        <v>433</v>
      </c>
      <c r="BD41" s="249">
        <v>1.56253</v>
      </c>
      <c r="BE41" s="267">
        <f t="shared" si="28"/>
        <v>0</v>
      </c>
      <c r="BF41" s="268">
        <f t="shared" ref="BF41:BL41" si="81">IF(BF$6=$BB41,1,
IF(BE41&lt;&gt;0,BE41+1,0
))</f>
        <v>0</v>
      </c>
      <c r="BG41" s="268">
        <f t="shared" si="81"/>
        <v>0</v>
      </c>
      <c r="BH41" s="268">
        <f t="shared" si="81"/>
        <v>1</v>
      </c>
      <c r="BI41" s="268">
        <f t="shared" si="81"/>
        <v>2</v>
      </c>
      <c r="BJ41" s="268">
        <f t="shared" si="81"/>
        <v>3</v>
      </c>
      <c r="BK41" s="268">
        <f t="shared" si="81"/>
        <v>4</v>
      </c>
      <c r="BL41" s="269">
        <f t="shared" si="81"/>
        <v>5</v>
      </c>
      <c r="BM41" s="256">
        <f>IF($BC41=Lookup!$A$2,$BD41*ROUNDUP(BE41/10,0)+1,
IF($BC41=Lookup!$A$3,($BD41+1)^BD41,
IF($BC41=Lookup!$A$4,BE41*$BD41+1,"Error")))</f>
        <v>1</v>
      </c>
      <c r="BN41" s="229">
        <f>IF($BC41=Lookup!$A$2,$BD41*ROUNDUP(BF41/10,0)+1,
IF($BC41=Lookup!$A$3,($BD41+1)^BE41,
IF($BC41=Lookup!$A$4,BF41*$BD41+1,"Error")))</f>
        <v>1</v>
      </c>
      <c r="BO41" s="229">
        <f>IF($BC41=Lookup!$A$2,$BD41*ROUNDUP(BG41/10,0)+1,
IF($BC41=Lookup!$A$3,($BD41+1)^BF41,
IF($BC41=Lookup!$A$4,BG41*$BD41+1,"Error")))</f>
        <v>1</v>
      </c>
      <c r="BP41" s="229">
        <f>IF($BC41=Lookup!$A$2,$BD41*ROUNDUP(BH41/10,0)+1,
IF($BC41=Lookup!$A$3,($BD41+1)^BG41,
IF($BC41=Lookup!$A$4,BH41*$BD41+1,"Error")))</f>
        <v>2.5625299999999998</v>
      </c>
      <c r="BQ41" s="229">
        <f>IF($BC41=Lookup!$A$2,$BD41*ROUNDUP(BI41/10,0)+1,
IF($BC41=Lookup!$A$3,($BD41+1)^BH41,
IF($BC41=Lookup!$A$4,BI41*$BD41+1,"Error")))</f>
        <v>2.5625299999999998</v>
      </c>
      <c r="BR41" s="229">
        <f>IF($BC41=Lookup!$A$2,$BD41*ROUNDUP(BJ41/10,0)+1,
IF($BC41=Lookup!$A$3,($BD41+1)^BI41,
IF($BC41=Lookup!$A$4,BJ41*$BD41+1,"Error")))</f>
        <v>2.5625299999999998</v>
      </c>
      <c r="BS41" s="229">
        <f>IF($BC41=Lookup!$A$2,$BD41*ROUNDUP(BK41/10,0)+1,
IF($BC41=Lookup!$A$3,($BD41+1)^BJ41,
IF($BC41=Lookup!$A$4,BK41*$BD41+1,"Error")))</f>
        <v>2.5625299999999998</v>
      </c>
      <c r="BT41" s="249">
        <f>IF($BC41=Lookup!$A$2,$BD41*ROUNDUP(BL41/10,0)+1,
IF($BC41=Lookup!$A$3,($BD41+1)^BK41,
IF($BC41=Lookup!$A$4,BL41*$BD41+1,"Error")))</f>
        <v>2.5625299999999998</v>
      </c>
      <c r="BU41" s="398"/>
      <c r="BV41" s="356"/>
      <c r="BW41" s="356"/>
      <c r="BX41" s="356"/>
      <c r="BY41" s="356"/>
      <c r="BZ41" s="356"/>
      <c r="CA41" s="356"/>
      <c r="CB41" s="399"/>
      <c r="CC41" s="382" t="s">
        <v>293</v>
      </c>
      <c r="CD41" s="383">
        <f>HLOOKUP($CC41,$AK$6:$AM$132,ROWS(CC$6:CC41),0)</f>
        <v>0</v>
      </c>
      <c r="CE41" s="362">
        <f t="shared" si="30"/>
        <v>0</v>
      </c>
      <c r="CF41" s="363">
        <f t="shared" si="25"/>
        <v>0</v>
      </c>
      <c r="CG41" s="363">
        <f t="shared" si="25"/>
        <v>0</v>
      </c>
      <c r="CH41" s="363">
        <f t="shared" si="25"/>
        <v>0</v>
      </c>
      <c r="CI41" s="363">
        <f t="shared" si="25"/>
        <v>0</v>
      </c>
      <c r="CJ41" s="363">
        <f t="shared" si="25"/>
        <v>0</v>
      </c>
      <c r="CK41" s="363">
        <f t="shared" si="25"/>
        <v>0</v>
      </c>
      <c r="CL41" s="364">
        <f t="shared" si="25"/>
        <v>0</v>
      </c>
      <c r="CM41" s="305" t="s">
        <v>293</v>
      </c>
      <c r="CN41" s="315">
        <v>0.05</v>
      </c>
      <c r="CO41" s="306"/>
      <c r="CP41" s="307" t="str">
        <f>IF($CO41&lt;&gt;"",$CO41,HLOOKUP($CM41,$AY$6:$BA$132,ROWS(CO$6:CO41),0))</f>
        <v/>
      </c>
      <c r="CQ41" s="784" t="str">
        <f t="shared" si="79"/>
        <v/>
      </c>
      <c r="CR41" s="784" t="str">
        <f t="shared" si="79"/>
        <v/>
      </c>
      <c r="CS41" s="97" t="str">
        <f t="shared" si="79"/>
        <v/>
      </c>
      <c r="CT41" s="97" t="str">
        <f t="shared" si="79"/>
        <v/>
      </c>
      <c r="CU41" s="97" t="str">
        <f t="shared" si="79"/>
        <v/>
      </c>
      <c r="CV41" s="97" t="str">
        <f t="shared" si="79"/>
        <v/>
      </c>
      <c r="CW41" s="97" t="str">
        <f t="shared" si="79"/>
        <v/>
      </c>
      <c r="CX41" s="98" t="str">
        <f t="shared" si="62"/>
        <v/>
      </c>
      <c r="CY41" s="392"/>
    </row>
    <row r="42" spans="1:103" ht="15.75" thickBot="1" x14ac:dyDescent="0.3">
      <c r="A42" s="100" t="s">
        <v>81</v>
      </c>
      <c r="B42" s="101" t="s">
        <v>460</v>
      </c>
      <c r="C42" s="102" t="s">
        <v>320</v>
      </c>
      <c r="D42" s="103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655">
        <f>'2022-23 Input'!G42</f>
        <v>0</v>
      </c>
      <c r="N42" s="1066">
        <v>0</v>
      </c>
      <c r="O42" s="563">
        <f t="shared" si="27"/>
        <v>0</v>
      </c>
      <c r="P42" s="564">
        <f t="shared" si="0"/>
        <v>0</v>
      </c>
      <c r="Q42" s="564">
        <f t="shared" si="1"/>
        <v>0</v>
      </c>
      <c r="R42" s="564">
        <f t="shared" si="2"/>
        <v>0</v>
      </c>
      <c r="S42" s="564">
        <f t="shared" si="3"/>
        <v>0</v>
      </c>
      <c r="T42" s="564">
        <f t="shared" si="4"/>
        <v>0</v>
      </c>
      <c r="U42" s="564">
        <f t="shared" si="5"/>
        <v>0</v>
      </c>
      <c r="V42" s="564">
        <f t="shared" si="6"/>
        <v>0</v>
      </c>
      <c r="W42" s="676">
        <f t="shared" si="7"/>
        <v>0</v>
      </c>
      <c r="X42" s="676">
        <f t="shared" si="8"/>
        <v>0</v>
      </c>
      <c r="Y42" s="676">
        <f t="shared" si="8"/>
        <v>0</v>
      </c>
      <c r="Z42" s="131">
        <v>0</v>
      </c>
      <c r="AA42" s="132">
        <v>0</v>
      </c>
      <c r="AB42" s="132">
        <v>0</v>
      </c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098">
        <f>'2022-23 Input'!N42</f>
        <v>0</v>
      </c>
      <c r="AJ42" s="669">
        <v>0</v>
      </c>
      <c r="AK42" s="133">
        <f t="shared" si="63"/>
        <v>0</v>
      </c>
      <c r="AL42" s="134">
        <f t="shared" si="64"/>
        <v>0</v>
      </c>
      <c r="AM42" s="135">
        <f t="shared" si="65"/>
        <v>0</v>
      </c>
      <c r="AN42" s="110" t="str">
        <f t="shared" si="66"/>
        <v/>
      </c>
      <c r="AO42" s="111" t="str">
        <f t="shared" si="67"/>
        <v/>
      </c>
      <c r="AP42" s="111" t="str">
        <f t="shared" si="68"/>
        <v/>
      </c>
      <c r="AQ42" s="111" t="str">
        <f t="shared" si="69"/>
        <v/>
      </c>
      <c r="AR42" s="111" t="str">
        <f t="shared" si="70"/>
        <v/>
      </c>
      <c r="AS42" s="111" t="str">
        <f t="shared" si="71"/>
        <v/>
      </c>
      <c r="AT42" s="111" t="str">
        <f t="shared" si="72"/>
        <v/>
      </c>
      <c r="AU42" s="111" t="str">
        <f t="shared" si="73"/>
        <v/>
      </c>
      <c r="AV42" s="111" t="str">
        <f t="shared" si="74"/>
        <v/>
      </c>
      <c r="AW42" s="111" t="str">
        <f t="shared" si="74"/>
        <v/>
      </c>
      <c r="AX42" s="111" t="str">
        <f t="shared" si="74"/>
        <v/>
      </c>
      <c r="AY42" s="112" t="str">
        <f t="shared" si="75"/>
        <v/>
      </c>
      <c r="AZ42" s="113" t="str">
        <f t="shared" si="76"/>
        <v/>
      </c>
      <c r="BA42" s="114" t="str">
        <f t="shared" si="77"/>
        <v/>
      </c>
      <c r="BB42" s="250" t="s">
        <v>422</v>
      </c>
      <c r="BC42" s="230" t="s">
        <v>433</v>
      </c>
      <c r="BD42" s="251">
        <v>1.56253</v>
      </c>
      <c r="BE42" s="270">
        <f t="shared" si="28"/>
        <v>0</v>
      </c>
      <c r="BF42" s="271">
        <f t="shared" ref="BF42:BL42" si="82">IF(BF$6=$BB42,1,
IF(BE42&lt;&gt;0,BE42+1,0
))</f>
        <v>0</v>
      </c>
      <c r="BG42" s="271">
        <f t="shared" si="82"/>
        <v>0</v>
      </c>
      <c r="BH42" s="271">
        <f t="shared" si="82"/>
        <v>1</v>
      </c>
      <c r="BI42" s="271">
        <f t="shared" si="82"/>
        <v>2</v>
      </c>
      <c r="BJ42" s="271">
        <f t="shared" si="82"/>
        <v>3</v>
      </c>
      <c r="BK42" s="271">
        <f t="shared" si="82"/>
        <v>4</v>
      </c>
      <c r="BL42" s="272">
        <f t="shared" si="82"/>
        <v>5</v>
      </c>
      <c r="BM42" s="257">
        <f>IF($BC42=Lookup!$A$2,$BD42*ROUNDUP(BE42/10,0)+1,
IF($BC42=Lookup!$A$3,($BD42+1)^BD42,
IF($BC42=Lookup!$A$4,BE42*$BD42+1,"Error")))</f>
        <v>1</v>
      </c>
      <c r="BN42" s="230">
        <f>IF($BC42=Lookup!$A$2,$BD42*ROUNDUP(BF42/10,0)+1,
IF($BC42=Lookup!$A$3,($BD42+1)^BE42,
IF($BC42=Lookup!$A$4,BF42*$BD42+1,"Error")))</f>
        <v>1</v>
      </c>
      <c r="BO42" s="230">
        <f>IF($BC42=Lookup!$A$2,$BD42*ROUNDUP(BG42/10,0)+1,
IF($BC42=Lookup!$A$3,($BD42+1)^BF42,
IF($BC42=Lookup!$A$4,BG42*$BD42+1,"Error")))</f>
        <v>1</v>
      </c>
      <c r="BP42" s="230">
        <f>IF($BC42=Lookup!$A$2,$BD42*ROUNDUP(BH42/10,0)+1,
IF($BC42=Lookup!$A$3,($BD42+1)^BG42,
IF($BC42=Lookup!$A$4,BH42*$BD42+1,"Error")))</f>
        <v>2.5625299999999998</v>
      </c>
      <c r="BQ42" s="230">
        <f>IF($BC42=Lookup!$A$2,$BD42*ROUNDUP(BI42/10,0)+1,
IF($BC42=Lookup!$A$3,($BD42+1)^BH42,
IF($BC42=Lookup!$A$4,BI42*$BD42+1,"Error")))</f>
        <v>2.5625299999999998</v>
      </c>
      <c r="BR42" s="230">
        <f>IF($BC42=Lookup!$A$2,$BD42*ROUNDUP(BJ42/10,0)+1,
IF($BC42=Lookup!$A$3,($BD42+1)^BI42,
IF($BC42=Lookup!$A$4,BJ42*$BD42+1,"Error")))</f>
        <v>2.5625299999999998</v>
      </c>
      <c r="BS42" s="230">
        <f>IF($BC42=Lookup!$A$2,$BD42*ROUNDUP(BK42/10,0)+1,
IF($BC42=Lookup!$A$3,($BD42+1)^BJ42,
IF($BC42=Lookup!$A$4,BK42*$BD42+1,"Error")))</f>
        <v>2.5625299999999998</v>
      </c>
      <c r="BT42" s="251">
        <f>IF($BC42=Lookup!$A$2,$BD42*ROUNDUP(BL42/10,0)+1,
IF($BC42=Lookup!$A$3,($BD42+1)^BK42,
IF($BC42=Lookup!$A$4,BL42*$BD42+1,"Error")))</f>
        <v>2.5625299999999998</v>
      </c>
      <c r="BU42" s="400"/>
      <c r="BV42" s="358"/>
      <c r="BW42" s="358"/>
      <c r="BX42" s="358"/>
      <c r="BY42" s="358"/>
      <c r="BZ42" s="358"/>
      <c r="CA42" s="358"/>
      <c r="CB42" s="401"/>
      <c r="CC42" s="384" t="s">
        <v>293</v>
      </c>
      <c r="CD42" s="385">
        <f>HLOOKUP($CC42,$AK$6:$AM$132,ROWS(CC$6:CC42),0)</f>
        <v>0</v>
      </c>
      <c r="CE42" s="365">
        <f t="shared" si="30"/>
        <v>0</v>
      </c>
      <c r="CF42" s="366">
        <f t="shared" si="25"/>
        <v>0</v>
      </c>
      <c r="CG42" s="366">
        <f t="shared" si="25"/>
        <v>0</v>
      </c>
      <c r="CH42" s="366">
        <f t="shared" si="25"/>
        <v>0</v>
      </c>
      <c r="CI42" s="366">
        <f t="shared" si="25"/>
        <v>0</v>
      </c>
      <c r="CJ42" s="366">
        <f t="shared" si="25"/>
        <v>0</v>
      </c>
      <c r="CK42" s="366">
        <f t="shared" si="25"/>
        <v>0</v>
      </c>
      <c r="CL42" s="367">
        <f t="shared" si="25"/>
        <v>0</v>
      </c>
      <c r="CM42" s="308" t="s">
        <v>293</v>
      </c>
      <c r="CN42" s="316">
        <v>0.05</v>
      </c>
      <c r="CO42" s="309"/>
      <c r="CP42" s="310" t="str">
        <f>IF($CO42&lt;&gt;"",$CO42,HLOOKUP($CM42,$AY$6:$BA$132,ROWS(CO$6:CO42),0))</f>
        <v/>
      </c>
      <c r="CQ42" s="785" t="str">
        <f t="shared" si="79"/>
        <v/>
      </c>
      <c r="CR42" s="785" t="str">
        <f t="shared" si="79"/>
        <v/>
      </c>
      <c r="CS42" s="117" t="str">
        <f t="shared" si="79"/>
        <v/>
      </c>
      <c r="CT42" s="117" t="str">
        <f t="shared" si="79"/>
        <v/>
      </c>
      <c r="CU42" s="117" t="str">
        <f t="shared" si="79"/>
        <v/>
      </c>
      <c r="CV42" s="117" t="str">
        <f t="shared" si="79"/>
        <v/>
      </c>
      <c r="CW42" s="117" t="str">
        <f t="shared" si="79"/>
        <v/>
      </c>
      <c r="CX42" s="118" t="str">
        <f t="shared" si="62"/>
        <v/>
      </c>
      <c r="CY42" s="393"/>
    </row>
    <row r="43" spans="1:103" x14ac:dyDescent="0.25">
      <c r="A43" s="63" t="s">
        <v>94</v>
      </c>
      <c r="B43" s="334" t="s">
        <v>92</v>
      </c>
      <c r="C43" s="65" t="s">
        <v>305</v>
      </c>
      <c r="D43" s="66">
        <v>98018.877810219084</v>
      </c>
      <c r="E43" s="67">
        <v>92303.940277757691</v>
      </c>
      <c r="F43" s="67">
        <v>71680.254853388382</v>
      </c>
      <c r="G43" s="67">
        <v>148457.77757265465</v>
      </c>
      <c r="H43" s="67">
        <v>88197.464681223311</v>
      </c>
      <c r="I43" s="67">
        <v>81545.802049548947</v>
      </c>
      <c r="J43" s="67">
        <v>138794.53388472195</v>
      </c>
      <c r="K43" s="67">
        <v>231558.81547858103</v>
      </c>
      <c r="L43" s="67">
        <v>488170.30067405687</v>
      </c>
      <c r="M43" s="653">
        <f>'2022-23 Input'!G43</f>
        <v>107372.92941039802</v>
      </c>
      <c r="N43" s="1064">
        <v>328953.24623251677</v>
      </c>
      <c r="O43" s="557">
        <f t="shared" si="27"/>
        <v>131880.11855129656</v>
      </c>
      <c r="P43" s="558">
        <f t="shared" si="0"/>
        <v>122342.49674298021</v>
      </c>
      <c r="Q43" s="558">
        <f t="shared" si="1"/>
        <v>94044.906366725816</v>
      </c>
      <c r="R43" s="558">
        <f t="shared" si="2"/>
        <v>191082.49215334392</v>
      </c>
      <c r="S43" s="558">
        <f t="shared" si="3"/>
        <v>111209.84117589246</v>
      </c>
      <c r="T43" s="558">
        <f t="shared" si="4"/>
        <v>101210.43313414807</v>
      </c>
      <c r="U43" s="558">
        <f t="shared" si="5"/>
        <v>172866.92278412223</v>
      </c>
      <c r="V43" s="558">
        <f t="shared" si="6"/>
        <v>277722.10065261938</v>
      </c>
      <c r="W43" s="674">
        <f t="shared" si="7"/>
        <v>551596.91754833213</v>
      </c>
      <c r="X43" s="674">
        <f t="shared" si="8"/>
        <v>114186.91494800303</v>
      </c>
      <c r="Y43" s="674">
        <f t="shared" si="8"/>
        <v>337998.96026998386</v>
      </c>
      <c r="Z43" s="119">
        <v>2</v>
      </c>
      <c r="AA43" s="120">
        <v>1</v>
      </c>
      <c r="AB43" s="120">
        <v>2</v>
      </c>
      <c r="AC43" s="120">
        <v>2</v>
      </c>
      <c r="AD43" s="120">
        <v>1</v>
      </c>
      <c r="AE43" s="120">
        <v>1.8565266830000002</v>
      </c>
      <c r="AF43" s="120">
        <v>2.09433333</v>
      </c>
      <c r="AG43" s="120">
        <v>1.2159999999999977</v>
      </c>
      <c r="AH43" s="120">
        <v>2.0446666609999999</v>
      </c>
      <c r="AI43" s="1096">
        <f>'2022-23 Input'!N43</f>
        <v>0.64333332300000012</v>
      </c>
      <c r="AJ43" s="667">
        <v>1.0326666659999999</v>
      </c>
      <c r="AK43" s="121">
        <f t="shared" si="63"/>
        <v>1.5709719993999998</v>
      </c>
      <c r="AL43" s="122">
        <f t="shared" si="64"/>
        <v>1.3013333279999992</v>
      </c>
      <c r="AM43" s="123">
        <f t="shared" si="65"/>
        <v>0.64333332300000012</v>
      </c>
      <c r="AN43" s="73">
        <f t="shared" si="66"/>
        <v>49009.438905109542</v>
      </c>
      <c r="AO43" s="74">
        <f t="shared" si="67"/>
        <v>92303.940277757691</v>
      </c>
      <c r="AP43" s="74">
        <f t="shared" si="68"/>
        <v>35840.127426694191</v>
      </c>
      <c r="AQ43" s="74">
        <f t="shared" si="69"/>
        <v>74228.888786327327</v>
      </c>
      <c r="AR43" s="74">
        <f t="shared" si="70"/>
        <v>88197.464681223311</v>
      </c>
      <c r="AS43" s="74">
        <f t="shared" si="71"/>
        <v>43923.851349002638</v>
      </c>
      <c r="AT43" s="74">
        <f t="shared" si="72"/>
        <v>66271.463045818949</v>
      </c>
      <c r="AU43" s="74">
        <f t="shared" si="73"/>
        <v>190426.65746593871</v>
      </c>
      <c r="AV43" s="74">
        <f t="shared" si="74"/>
        <v>238753.00066530349</v>
      </c>
      <c r="AW43" s="74">
        <f t="shared" si="74"/>
        <v>166900.92922545224</v>
      </c>
      <c r="AX43" s="74">
        <f t="shared" si="74"/>
        <v>318547.36582783895</v>
      </c>
      <c r="AY43" s="75">
        <f t="shared" si="75"/>
        <v>133349.5927231492</v>
      </c>
      <c r="AZ43" s="76">
        <f t="shared" si="76"/>
        <v>211860.15598176201</v>
      </c>
      <c r="BA43" s="77">
        <f t="shared" si="77"/>
        <v>166900.92922545224</v>
      </c>
      <c r="BB43" s="246" t="s">
        <v>422</v>
      </c>
      <c r="BC43" s="228" t="s">
        <v>433</v>
      </c>
      <c r="BD43" s="247">
        <v>0</v>
      </c>
      <c r="BE43" s="264">
        <f t="shared" si="28"/>
        <v>0</v>
      </c>
      <c r="BF43" s="265">
        <f t="shared" ref="BF43:BL43" si="83">IF(BF$6=$BB43,1,
IF(BE43&lt;&gt;0,BE43+1,0
))</f>
        <v>0</v>
      </c>
      <c r="BG43" s="265">
        <f t="shared" si="83"/>
        <v>0</v>
      </c>
      <c r="BH43" s="265">
        <f t="shared" si="83"/>
        <v>1</v>
      </c>
      <c r="BI43" s="265">
        <f t="shared" si="83"/>
        <v>2</v>
      </c>
      <c r="BJ43" s="265">
        <f t="shared" si="83"/>
        <v>3</v>
      </c>
      <c r="BK43" s="265">
        <f t="shared" si="83"/>
        <v>4</v>
      </c>
      <c r="BL43" s="266">
        <f t="shared" si="83"/>
        <v>5</v>
      </c>
      <c r="BM43" s="255">
        <f>IF($BC43=Lookup!$A$2,$BD43*ROUNDUP(BE43/10,0)+1,
IF($BC43=Lookup!$A$3,($BD43+1)^BD43,
IF($BC43=Lookup!$A$4,BE43*$BD43+1,"Error")))</f>
        <v>1</v>
      </c>
      <c r="BN43" s="228">
        <f>IF($BC43=Lookup!$A$2,$BD43*ROUNDUP(BF43/10,0)+1,
IF($BC43=Lookup!$A$3,($BD43+1)^BE43,
IF($BC43=Lookup!$A$4,BF43*$BD43+1,"Error")))</f>
        <v>1</v>
      </c>
      <c r="BO43" s="228">
        <f>IF($BC43=Lookup!$A$2,$BD43*ROUNDUP(BG43/10,0)+1,
IF($BC43=Lookup!$A$3,($BD43+1)^BF43,
IF($BC43=Lookup!$A$4,BG43*$BD43+1,"Error")))</f>
        <v>1</v>
      </c>
      <c r="BP43" s="228">
        <f>IF($BC43=Lookup!$A$2,$BD43*ROUNDUP(BH43/10,0)+1,
IF($BC43=Lookup!$A$3,($BD43+1)^BG43,
IF($BC43=Lookup!$A$4,BH43*$BD43+1,"Error")))</f>
        <v>1</v>
      </c>
      <c r="BQ43" s="228">
        <f>IF($BC43=Lookup!$A$2,$BD43*ROUNDUP(BI43/10,0)+1,
IF($BC43=Lookup!$A$3,($BD43+1)^BH43,
IF($BC43=Lookup!$A$4,BI43*$BD43+1,"Error")))</f>
        <v>1</v>
      </c>
      <c r="BR43" s="228">
        <f>IF($BC43=Lookup!$A$2,$BD43*ROUNDUP(BJ43/10,0)+1,
IF($BC43=Lookup!$A$3,($BD43+1)^BI43,
IF($BC43=Lookup!$A$4,BJ43*$BD43+1,"Error")))</f>
        <v>1</v>
      </c>
      <c r="BS43" s="228">
        <f>IF($BC43=Lookup!$A$2,$BD43*ROUNDUP(BK43/10,0)+1,
IF($BC43=Lookup!$A$3,($BD43+1)^BJ43,
IF($BC43=Lookup!$A$4,BK43*$BD43+1,"Error")))</f>
        <v>1</v>
      </c>
      <c r="BT43" s="247">
        <f>IF($BC43=Lookup!$A$2,$BD43*ROUNDUP(BL43/10,0)+1,
IF($BC43=Lookup!$A$3,($BD43+1)^BK43,
IF($BC43=Lookup!$A$4,BL43*$BD43+1,"Error")))</f>
        <v>1</v>
      </c>
      <c r="BU43" s="396"/>
      <c r="BV43" s="354"/>
      <c r="BW43" s="354"/>
      <c r="BX43" s="354"/>
      <c r="BY43" s="354"/>
      <c r="BZ43" s="354"/>
      <c r="CA43" s="354"/>
      <c r="CB43" s="397"/>
      <c r="CC43" s="380" t="s">
        <v>293</v>
      </c>
      <c r="CD43" s="381">
        <f>HLOOKUP($CC43,$AK$6:$AM$132,ROWS(CC$6:CC43),0)</f>
        <v>1.3013333279999992</v>
      </c>
      <c r="CE43" s="359">
        <f t="shared" si="30"/>
        <v>1.3013333279999992</v>
      </c>
      <c r="CF43" s="360">
        <f t="shared" si="25"/>
        <v>1.3013333279999992</v>
      </c>
      <c r="CG43" s="360">
        <f t="shared" si="25"/>
        <v>1.3013333279999992</v>
      </c>
      <c r="CH43" s="360">
        <f t="shared" si="25"/>
        <v>1.3013333279999992</v>
      </c>
      <c r="CI43" s="360">
        <f t="shared" ref="CI43:CL106" si="84">IFERROR(IF(BY43&lt;&gt;"",BY43,BQ43*$CD43),"")</f>
        <v>1.3013333279999992</v>
      </c>
      <c r="CJ43" s="360">
        <f t="shared" si="84"/>
        <v>1.3013333279999992</v>
      </c>
      <c r="CK43" s="360">
        <f t="shared" si="84"/>
        <v>1.3013333279999992</v>
      </c>
      <c r="CL43" s="361">
        <f t="shared" si="84"/>
        <v>1.3013333279999992</v>
      </c>
      <c r="CM43" s="302" t="s">
        <v>293</v>
      </c>
      <c r="CN43" s="314">
        <v>0.05</v>
      </c>
      <c r="CO43" s="303"/>
      <c r="CP43" s="304">
        <f>IF($CO43&lt;&gt;"",$CO43,HLOOKUP($CM43,$AY$6:$BA$132,ROWS(CO$6:CO43),0))</f>
        <v>211860.15598176201</v>
      </c>
      <c r="CQ43" s="783">
        <f t="shared" si="79"/>
        <v>275700.68185434531</v>
      </c>
      <c r="CR43" s="783">
        <f t="shared" si="79"/>
        <v>275700.68185434531</v>
      </c>
      <c r="CS43" s="79">
        <f t="shared" si="79"/>
        <v>275700.68185434531</v>
      </c>
      <c r="CT43" s="79">
        <f t="shared" si="79"/>
        <v>275700.68185434531</v>
      </c>
      <c r="CU43" s="79">
        <f t="shared" si="79"/>
        <v>275700.68185434531</v>
      </c>
      <c r="CV43" s="79">
        <f t="shared" si="79"/>
        <v>275700.68185434531</v>
      </c>
      <c r="CW43" s="79">
        <f t="shared" si="79"/>
        <v>275700.68185434531</v>
      </c>
      <c r="CX43" s="80">
        <f t="shared" si="62"/>
        <v>275700.68185434531</v>
      </c>
      <c r="CY43" s="391"/>
    </row>
    <row r="44" spans="1:103" x14ac:dyDescent="0.25">
      <c r="A44" s="81" t="s">
        <v>94</v>
      </c>
      <c r="B44" s="82" t="s">
        <v>95</v>
      </c>
      <c r="C44" s="83" t="s">
        <v>70</v>
      </c>
      <c r="D44" s="84">
        <v>192132.13835440404</v>
      </c>
      <c r="E44" s="85">
        <v>82940.616760743957</v>
      </c>
      <c r="F44" s="85">
        <v>82552.414805960667</v>
      </c>
      <c r="G44" s="85">
        <v>181760.63415620066</v>
      </c>
      <c r="H44" s="85">
        <v>166403.25189234348</v>
      </c>
      <c r="I44" s="85">
        <v>191531.98399423994</v>
      </c>
      <c r="J44" s="85">
        <v>39983.833231457989</v>
      </c>
      <c r="K44" s="85">
        <v>71860.175304061006</v>
      </c>
      <c r="L44" s="85">
        <v>15191.500274120001</v>
      </c>
      <c r="M44" s="654">
        <f>'2022-23 Input'!G44</f>
        <v>245.29098318199996</v>
      </c>
      <c r="N44" s="1065">
        <v>0</v>
      </c>
      <c r="O44" s="560">
        <f t="shared" si="27"/>
        <v>258505.39967160521</v>
      </c>
      <c r="P44" s="561">
        <f t="shared" si="0"/>
        <v>109932.05821309049</v>
      </c>
      <c r="Q44" s="561">
        <f t="shared" si="1"/>
        <v>108309.2427147905</v>
      </c>
      <c r="R44" s="561">
        <f t="shared" si="2"/>
        <v>233947.15667854907</v>
      </c>
      <c r="S44" s="561">
        <f t="shared" si="3"/>
        <v>209820.98840352823</v>
      </c>
      <c r="T44" s="561">
        <f t="shared" si="4"/>
        <v>237719.59526893837</v>
      </c>
      <c r="U44" s="561">
        <f t="shared" si="5"/>
        <v>49799.383436644879</v>
      </c>
      <c r="V44" s="561">
        <f t="shared" si="6"/>
        <v>86186.132872817878</v>
      </c>
      <c r="W44" s="675">
        <f t="shared" si="7"/>
        <v>17165.289884634221</v>
      </c>
      <c r="X44" s="675">
        <f t="shared" si="8"/>
        <v>260.8573761367702</v>
      </c>
      <c r="Y44" s="675">
        <f t="shared" si="8"/>
        <v>0</v>
      </c>
      <c r="Z44" s="125">
        <v>1</v>
      </c>
      <c r="AA44" s="126">
        <v>1</v>
      </c>
      <c r="AB44" s="126">
        <v>0</v>
      </c>
      <c r="AC44" s="126">
        <v>0</v>
      </c>
      <c r="AD44" s="126">
        <v>1</v>
      </c>
      <c r="AE44" s="126">
        <v>0.75673003299999997</v>
      </c>
      <c r="AF44" s="126">
        <v>0.36</v>
      </c>
      <c r="AG44" s="126">
        <v>9.8333333333333328E-2</v>
      </c>
      <c r="AH44" s="126">
        <v>6.1000002000000005E-2</v>
      </c>
      <c r="AI44" s="1097">
        <f>'2022-23 Input'!N44</f>
        <v>0.13166666700000001</v>
      </c>
      <c r="AJ44" s="668">
        <v>0</v>
      </c>
      <c r="AK44" s="127">
        <f t="shared" si="63"/>
        <v>0.28154600706666671</v>
      </c>
      <c r="AL44" s="128">
        <f t="shared" si="64"/>
        <v>9.7000000777777776E-2</v>
      </c>
      <c r="AM44" s="129">
        <f t="shared" si="65"/>
        <v>0.13166666700000001</v>
      </c>
      <c r="AN44" s="91">
        <f t="shared" si="66"/>
        <v>192132.13835440404</v>
      </c>
      <c r="AO44" s="92">
        <f t="shared" si="67"/>
        <v>82940.616760743957</v>
      </c>
      <c r="AP44" s="92" t="str">
        <f t="shared" si="68"/>
        <v/>
      </c>
      <c r="AQ44" s="92" t="str">
        <f t="shared" si="69"/>
        <v/>
      </c>
      <c r="AR44" s="92">
        <f t="shared" si="70"/>
        <v>166403.25189234348</v>
      </c>
      <c r="AS44" s="92">
        <f t="shared" si="71"/>
        <v>253104.77401686521</v>
      </c>
      <c r="AT44" s="92">
        <f t="shared" si="72"/>
        <v>111066.20342071664</v>
      </c>
      <c r="AU44" s="92">
        <f t="shared" si="73"/>
        <v>730781.443770112</v>
      </c>
      <c r="AV44" s="92">
        <f t="shared" si="74"/>
        <v>249040.97993504984</v>
      </c>
      <c r="AW44" s="92">
        <f t="shared" si="74"/>
        <v>1862.96948780514</v>
      </c>
      <c r="AX44" s="92" t="str">
        <f t="shared" si="74"/>
        <v/>
      </c>
      <c r="AY44" s="93">
        <f t="shared" si="75"/>
        <v>226472.95701946857</v>
      </c>
      <c r="AZ44" s="94">
        <f t="shared" si="76"/>
        <v>299989.57340682932</v>
      </c>
      <c r="BA44" s="95">
        <f t="shared" si="77"/>
        <v>1862.96948780514</v>
      </c>
      <c r="BB44" s="248" t="s">
        <v>422</v>
      </c>
      <c r="BC44" s="229" t="s">
        <v>433</v>
      </c>
      <c r="BD44" s="249">
        <v>0</v>
      </c>
      <c r="BE44" s="267">
        <f t="shared" si="28"/>
        <v>0</v>
      </c>
      <c r="BF44" s="268">
        <f t="shared" ref="BF44:BL44" si="85">IF(BF$6=$BB44,1,
IF(BE44&lt;&gt;0,BE44+1,0
))</f>
        <v>0</v>
      </c>
      <c r="BG44" s="268">
        <f t="shared" si="85"/>
        <v>0</v>
      </c>
      <c r="BH44" s="268">
        <f t="shared" si="85"/>
        <v>1</v>
      </c>
      <c r="BI44" s="268">
        <f t="shared" si="85"/>
        <v>2</v>
      </c>
      <c r="BJ44" s="268">
        <f t="shared" si="85"/>
        <v>3</v>
      </c>
      <c r="BK44" s="268">
        <f t="shared" si="85"/>
        <v>4</v>
      </c>
      <c r="BL44" s="269">
        <f t="shared" si="85"/>
        <v>5</v>
      </c>
      <c r="BM44" s="256">
        <f>IF($BC44=Lookup!$A$2,$BD44*ROUNDUP(BE44/10,0)+1,
IF($BC44=Lookup!$A$3,($BD44+1)^BD44,
IF($BC44=Lookup!$A$4,BE44*$BD44+1,"Error")))</f>
        <v>1</v>
      </c>
      <c r="BN44" s="229">
        <f>IF($BC44=Lookup!$A$2,$BD44*ROUNDUP(BF44/10,0)+1,
IF($BC44=Lookup!$A$3,($BD44+1)^BE44,
IF($BC44=Lookup!$A$4,BF44*$BD44+1,"Error")))</f>
        <v>1</v>
      </c>
      <c r="BO44" s="229">
        <f>IF($BC44=Lookup!$A$2,$BD44*ROUNDUP(BG44/10,0)+1,
IF($BC44=Lookup!$A$3,($BD44+1)^BF44,
IF($BC44=Lookup!$A$4,BG44*$BD44+1,"Error")))</f>
        <v>1</v>
      </c>
      <c r="BP44" s="229">
        <f>IF($BC44=Lookup!$A$2,$BD44*ROUNDUP(BH44/10,0)+1,
IF($BC44=Lookup!$A$3,($BD44+1)^BG44,
IF($BC44=Lookup!$A$4,BH44*$BD44+1,"Error")))</f>
        <v>1</v>
      </c>
      <c r="BQ44" s="229">
        <f>IF($BC44=Lookup!$A$2,$BD44*ROUNDUP(BI44/10,0)+1,
IF($BC44=Lookup!$A$3,($BD44+1)^BH44,
IF($BC44=Lookup!$A$4,BI44*$BD44+1,"Error")))</f>
        <v>1</v>
      </c>
      <c r="BR44" s="229">
        <f>IF($BC44=Lookup!$A$2,$BD44*ROUNDUP(BJ44/10,0)+1,
IF($BC44=Lookup!$A$3,($BD44+1)^BI44,
IF($BC44=Lookup!$A$4,BJ44*$BD44+1,"Error")))</f>
        <v>1</v>
      </c>
      <c r="BS44" s="229">
        <f>IF($BC44=Lookup!$A$2,$BD44*ROUNDUP(BK44/10,0)+1,
IF($BC44=Lookup!$A$3,($BD44+1)^BJ44,
IF($BC44=Lookup!$A$4,BK44*$BD44+1,"Error")))</f>
        <v>1</v>
      </c>
      <c r="BT44" s="249">
        <f>IF($BC44=Lookup!$A$2,$BD44*ROUNDUP(BL44/10,0)+1,
IF($BC44=Lookup!$A$3,($BD44+1)^BK44,
IF($BC44=Lookup!$A$4,BL44*$BD44+1,"Error")))</f>
        <v>1</v>
      </c>
      <c r="BU44" s="398"/>
      <c r="BV44" s="356"/>
      <c r="BW44" s="356"/>
      <c r="BX44" s="356"/>
      <c r="BY44" s="356"/>
      <c r="BZ44" s="356"/>
      <c r="CA44" s="356"/>
      <c r="CB44" s="399"/>
      <c r="CC44" s="382" t="s">
        <v>293</v>
      </c>
      <c r="CD44" s="383">
        <f>HLOOKUP($CC44,$AK$6:$AM$132,ROWS(CC$6:CC44),0)</f>
        <v>9.7000000777777776E-2</v>
      </c>
      <c r="CE44" s="362">
        <f t="shared" si="30"/>
        <v>9.7000000777777776E-2</v>
      </c>
      <c r="CF44" s="363">
        <f t="shared" si="30"/>
        <v>9.7000000777777776E-2</v>
      </c>
      <c r="CG44" s="363">
        <f t="shared" si="30"/>
        <v>9.7000000777777776E-2</v>
      </c>
      <c r="CH44" s="363">
        <f t="shared" si="30"/>
        <v>9.7000000777777776E-2</v>
      </c>
      <c r="CI44" s="363">
        <f t="shared" si="84"/>
        <v>9.7000000777777776E-2</v>
      </c>
      <c r="CJ44" s="363">
        <f t="shared" si="84"/>
        <v>9.7000000777777776E-2</v>
      </c>
      <c r="CK44" s="363">
        <f t="shared" si="84"/>
        <v>9.7000000777777776E-2</v>
      </c>
      <c r="CL44" s="364">
        <f t="shared" si="84"/>
        <v>9.7000000777777776E-2</v>
      </c>
      <c r="CM44" s="305" t="s">
        <v>293</v>
      </c>
      <c r="CN44" s="315">
        <v>0.05</v>
      </c>
      <c r="CO44" s="306"/>
      <c r="CP44" s="307">
        <f>IF($CO44&lt;&gt;"",$CO44,HLOOKUP($CM44,$AY$6:$BA$132,ROWS(CO$6:CO44),0))</f>
        <v>299989.57340682932</v>
      </c>
      <c r="CQ44" s="784">
        <f t="shared" si="79"/>
        <v>29098.988853787669</v>
      </c>
      <c r="CR44" s="784">
        <f t="shared" si="79"/>
        <v>29098.988853787669</v>
      </c>
      <c r="CS44" s="97">
        <f t="shared" si="79"/>
        <v>29098.988853787669</v>
      </c>
      <c r="CT44" s="97">
        <f t="shared" si="79"/>
        <v>29098.988853787669</v>
      </c>
      <c r="CU44" s="97">
        <f t="shared" si="79"/>
        <v>29098.988853787669</v>
      </c>
      <c r="CV44" s="97">
        <f t="shared" si="79"/>
        <v>29098.988853787669</v>
      </c>
      <c r="CW44" s="97">
        <f t="shared" si="79"/>
        <v>29098.988853787669</v>
      </c>
      <c r="CX44" s="98">
        <f t="shared" si="62"/>
        <v>29098.988853787669</v>
      </c>
      <c r="CY44" s="392"/>
    </row>
    <row r="45" spans="1:103" x14ac:dyDescent="0.25">
      <c r="A45" s="81" t="s">
        <v>94</v>
      </c>
      <c r="B45" s="82" t="s">
        <v>96</v>
      </c>
      <c r="C45" s="83" t="s">
        <v>72</v>
      </c>
      <c r="D45" s="84">
        <v>22288.417357633702</v>
      </c>
      <c r="E45" s="85">
        <v>109887.59847170029</v>
      </c>
      <c r="F45" s="85">
        <v>72766.098564451866</v>
      </c>
      <c r="G45" s="85">
        <v>76870.51970888926</v>
      </c>
      <c r="H45" s="85">
        <v>164993.84967568566</v>
      </c>
      <c r="I45" s="85">
        <v>93651.016201924038</v>
      </c>
      <c r="J45" s="85">
        <v>364540.625781268</v>
      </c>
      <c r="K45" s="85">
        <v>1028281.2663284449</v>
      </c>
      <c r="L45" s="85">
        <v>17975.625034669007</v>
      </c>
      <c r="M45" s="654">
        <f>'2022-23 Input'!G45</f>
        <v>190716.96820777489</v>
      </c>
      <c r="N45" s="1065">
        <v>22237.204555487002</v>
      </c>
      <c r="O45" s="560">
        <f t="shared" si="27"/>
        <v>29988.091978941815</v>
      </c>
      <c r="P45" s="561">
        <f t="shared" si="0"/>
        <v>145648.42104966418</v>
      </c>
      <c r="Q45" s="561">
        <f t="shared" si="1"/>
        <v>95469.539556782576</v>
      </c>
      <c r="R45" s="561">
        <f t="shared" si="2"/>
        <v>98941.333483917697</v>
      </c>
      <c r="S45" s="561">
        <f t="shared" si="3"/>
        <v>208043.84665422761</v>
      </c>
      <c r="T45" s="561">
        <f t="shared" si="4"/>
        <v>116234.79903343815</v>
      </c>
      <c r="U45" s="561">
        <f t="shared" si="5"/>
        <v>454030.9653760994</v>
      </c>
      <c r="V45" s="561">
        <f t="shared" si="6"/>
        <v>1233278.1749476811</v>
      </c>
      <c r="W45" s="675">
        <f t="shared" si="7"/>
        <v>20311.148274356685</v>
      </c>
      <c r="X45" s="675">
        <f t="shared" si="8"/>
        <v>202820.04363171695</v>
      </c>
      <c r="Y45" s="675">
        <f t="shared" si="8"/>
        <v>22848.693865002479</v>
      </c>
      <c r="Z45" s="125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0.26466000900000003</v>
      </c>
      <c r="AF45" s="126">
        <v>0.64800000000000002</v>
      </c>
      <c r="AG45" s="126">
        <v>0.86099999999999999</v>
      </c>
      <c r="AH45" s="126">
        <v>3.2666665999999997E-2</v>
      </c>
      <c r="AI45" s="1097">
        <f>'2022-23 Input'!N45</f>
        <v>0.490999992</v>
      </c>
      <c r="AJ45" s="668">
        <v>2.4E-2</v>
      </c>
      <c r="AK45" s="127">
        <f t="shared" si="63"/>
        <v>0.45946533340000001</v>
      </c>
      <c r="AL45" s="128">
        <f t="shared" si="64"/>
        <v>0.46155555266666665</v>
      </c>
      <c r="AM45" s="129">
        <f t="shared" si="65"/>
        <v>0.490999992</v>
      </c>
      <c r="AN45" s="91" t="str">
        <f t="shared" si="66"/>
        <v/>
      </c>
      <c r="AO45" s="92" t="str">
        <f t="shared" si="67"/>
        <v/>
      </c>
      <c r="AP45" s="92" t="str">
        <f t="shared" si="68"/>
        <v/>
      </c>
      <c r="AQ45" s="92" t="str">
        <f t="shared" si="69"/>
        <v/>
      </c>
      <c r="AR45" s="92" t="str">
        <f t="shared" si="70"/>
        <v/>
      </c>
      <c r="AS45" s="92">
        <f t="shared" si="71"/>
        <v>353854.05054499197</v>
      </c>
      <c r="AT45" s="92">
        <f t="shared" si="72"/>
        <v>562562.69410689501</v>
      </c>
      <c r="AU45" s="92">
        <f t="shared" si="73"/>
        <v>1194287.1850504586</v>
      </c>
      <c r="AV45" s="92">
        <f t="shared" si="74"/>
        <v>550274.2469852604</v>
      </c>
      <c r="AW45" s="92">
        <f t="shared" si="74"/>
        <v>388425.60349323769</v>
      </c>
      <c r="AX45" s="92">
        <f t="shared" si="74"/>
        <v>926550.18981195835</v>
      </c>
      <c r="AY45" s="93">
        <f t="shared" si="75"/>
        <v>737886.13778977259</v>
      </c>
      <c r="AZ45" s="94">
        <f t="shared" si="76"/>
        <v>893336.92872879794</v>
      </c>
      <c r="BA45" s="95">
        <f t="shared" si="77"/>
        <v>388425.60349323769</v>
      </c>
      <c r="BB45" s="248" t="s">
        <v>422</v>
      </c>
      <c r="BC45" s="229" t="s">
        <v>433</v>
      </c>
      <c r="BD45" s="249">
        <v>0</v>
      </c>
      <c r="BE45" s="267">
        <f t="shared" si="28"/>
        <v>0</v>
      </c>
      <c r="BF45" s="268">
        <f t="shared" ref="BF45:BL45" si="86">IF(BF$6=$BB45,1,
IF(BE45&lt;&gt;0,BE45+1,0
))</f>
        <v>0</v>
      </c>
      <c r="BG45" s="268">
        <f t="shared" si="86"/>
        <v>0</v>
      </c>
      <c r="BH45" s="268">
        <f t="shared" si="86"/>
        <v>1</v>
      </c>
      <c r="BI45" s="268">
        <f t="shared" si="86"/>
        <v>2</v>
      </c>
      <c r="BJ45" s="268">
        <f t="shared" si="86"/>
        <v>3</v>
      </c>
      <c r="BK45" s="268">
        <f t="shared" si="86"/>
        <v>4</v>
      </c>
      <c r="BL45" s="269">
        <f t="shared" si="86"/>
        <v>5</v>
      </c>
      <c r="BM45" s="256">
        <f>IF($BC45=Lookup!$A$2,$BD45*ROUNDUP(BE45/10,0)+1,
IF($BC45=Lookup!$A$3,($BD45+1)^BD45,
IF($BC45=Lookup!$A$4,BE45*$BD45+1,"Error")))</f>
        <v>1</v>
      </c>
      <c r="BN45" s="229">
        <f>IF($BC45=Lookup!$A$2,$BD45*ROUNDUP(BF45/10,0)+1,
IF($BC45=Lookup!$A$3,($BD45+1)^BE45,
IF($BC45=Lookup!$A$4,BF45*$BD45+1,"Error")))</f>
        <v>1</v>
      </c>
      <c r="BO45" s="229">
        <f>IF($BC45=Lookup!$A$2,$BD45*ROUNDUP(BG45/10,0)+1,
IF($BC45=Lookup!$A$3,($BD45+1)^BF45,
IF($BC45=Lookup!$A$4,BG45*$BD45+1,"Error")))</f>
        <v>1</v>
      </c>
      <c r="BP45" s="229">
        <f>IF($BC45=Lookup!$A$2,$BD45*ROUNDUP(BH45/10,0)+1,
IF($BC45=Lookup!$A$3,($BD45+1)^BG45,
IF($BC45=Lookup!$A$4,BH45*$BD45+1,"Error")))</f>
        <v>1</v>
      </c>
      <c r="BQ45" s="229">
        <f>IF($BC45=Lookup!$A$2,$BD45*ROUNDUP(BI45/10,0)+1,
IF($BC45=Lookup!$A$3,($BD45+1)^BH45,
IF($BC45=Lookup!$A$4,BI45*$BD45+1,"Error")))</f>
        <v>1</v>
      </c>
      <c r="BR45" s="229">
        <f>IF($BC45=Lookup!$A$2,$BD45*ROUNDUP(BJ45/10,0)+1,
IF($BC45=Lookup!$A$3,($BD45+1)^BI45,
IF($BC45=Lookup!$A$4,BJ45*$BD45+1,"Error")))</f>
        <v>1</v>
      </c>
      <c r="BS45" s="229">
        <f>IF($BC45=Lookup!$A$2,$BD45*ROUNDUP(BK45/10,0)+1,
IF($BC45=Lookup!$A$3,($BD45+1)^BJ45,
IF($BC45=Lookup!$A$4,BK45*$BD45+1,"Error")))</f>
        <v>1</v>
      </c>
      <c r="BT45" s="249">
        <f>IF($BC45=Lookup!$A$2,$BD45*ROUNDUP(BL45/10,0)+1,
IF($BC45=Lookup!$A$3,($BD45+1)^BK45,
IF($BC45=Lookup!$A$4,BL45*$BD45+1,"Error")))</f>
        <v>1</v>
      </c>
      <c r="BU45" s="398"/>
      <c r="BV45" s="356"/>
      <c r="BW45" s="356"/>
      <c r="BX45" s="356"/>
      <c r="BY45" s="356"/>
      <c r="BZ45" s="356"/>
      <c r="CA45" s="356"/>
      <c r="CB45" s="399"/>
      <c r="CC45" s="382" t="s">
        <v>293</v>
      </c>
      <c r="CD45" s="383">
        <f>HLOOKUP($CC45,$AK$6:$AM$132,ROWS(CC$6:CC45),0)</f>
        <v>0.46155555266666665</v>
      </c>
      <c r="CE45" s="362">
        <f t="shared" si="30"/>
        <v>0.46155555266666665</v>
      </c>
      <c r="CF45" s="363">
        <f t="shared" si="30"/>
        <v>0.46155555266666665</v>
      </c>
      <c r="CG45" s="363">
        <f t="shared" si="30"/>
        <v>0.46155555266666665</v>
      </c>
      <c r="CH45" s="363">
        <f t="shared" si="30"/>
        <v>0.46155555266666665</v>
      </c>
      <c r="CI45" s="363">
        <f t="shared" si="84"/>
        <v>0.46155555266666665</v>
      </c>
      <c r="CJ45" s="363">
        <f t="shared" si="84"/>
        <v>0.46155555266666665</v>
      </c>
      <c r="CK45" s="363">
        <f t="shared" si="84"/>
        <v>0.46155555266666665</v>
      </c>
      <c r="CL45" s="364">
        <f t="shared" si="84"/>
        <v>0.46155555266666665</v>
      </c>
      <c r="CM45" s="305" t="s">
        <v>293</v>
      </c>
      <c r="CN45" s="315">
        <v>0.05</v>
      </c>
      <c r="CO45" s="306"/>
      <c r="CP45" s="307">
        <f>IF($CO45&lt;&gt;"",$CO45,HLOOKUP($CM45,$AY$6:$BA$132,ROWS(CO$6:CO45),0))</f>
        <v>893336.92872879794</v>
      </c>
      <c r="CQ45" s="784">
        <f t="shared" si="79"/>
        <v>412324.61985696293</v>
      </c>
      <c r="CR45" s="784">
        <f t="shared" si="79"/>
        <v>412324.61985696293</v>
      </c>
      <c r="CS45" s="97">
        <f t="shared" si="79"/>
        <v>412324.61985696293</v>
      </c>
      <c r="CT45" s="97">
        <f t="shared" si="79"/>
        <v>412324.61985696293</v>
      </c>
      <c r="CU45" s="97">
        <f t="shared" si="79"/>
        <v>412324.61985696293</v>
      </c>
      <c r="CV45" s="97">
        <f t="shared" si="79"/>
        <v>412324.61985696293</v>
      </c>
      <c r="CW45" s="97">
        <f t="shared" si="79"/>
        <v>412324.61985696293</v>
      </c>
      <c r="CX45" s="98">
        <f t="shared" si="62"/>
        <v>412324.61985696293</v>
      </c>
      <c r="CY45" s="392"/>
    </row>
    <row r="46" spans="1:103" x14ac:dyDescent="0.25">
      <c r="A46" s="81" t="s">
        <v>94</v>
      </c>
      <c r="B46" s="82" t="s">
        <v>97</v>
      </c>
      <c r="C46" s="83" t="s">
        <v>98</v>
      </c>
      <c r="D46" s="84">
        <v>151746.47338217567</v>
      </c>
      <c r="E46" s="85">
        <v>0</v>
      </c>
      <c r="F46" s="85">
        <v>58198.65790086468</v>
      </c>
      <c r="G46" s="85">
        <v>14484.418774395615</v>
      </c>
      <c r="H46" s="85">
        <v>0</v>
      </c>
      <c r="I46" s="85">
        <v>5017.3599460870018</v>
      </c>
      <c r="J46" s="85">
        <v>413133.696420883</v>
      </c>
      <c r="K46" s="85">
        <v>0</v>
      </c>
      <c r="L46" s="85">
        <v>0</v>
      </c>
      <c r="M46" s="654">
        <f>'2022-23 Input'!G46</f>
        <v>0</v>
      </c>
      <c r="N46" s="1065">
        <v>63165.895449309093</v>
      </c>
      <c r="O46" s="560">
        <f t="shared" si="27"/>
        <v>204168.25152936083</v>
      </c>
      <c r="P46" s="561">
        <f t="shared" si="0"/>
        <v>0</v>
      </c>
      <c r="Q46" s="561">
        <f t="shared" si="1"/>
        <v>76356.973676373585</v>
      </c>
      <c r="R46" s="561">
        <f t="shared" si="2"/>
        <v>18643.138015788274</v>
      </c>
      <c r="S46" s="561">
        <f t="shared" si="3"/>
        <v>0</v>
      </c>
      <c r="T46" s="561">
        <f t="shared" si="4"/>
        <v>6227.2877397764232</v>
      </c>
      <c r="U46" s="561">
        <f t="shared" si="5"/>
        <v>514553.05046828749</v>
      </c>
      <c r="V46" s="561">
        <f t="shared" si="6"/>
        <v>0</v>
      </c>
      <c r="W46" s="675">
        <f t="shared" si="7"/>
        <v>0</v>
      </c>
      <c r="X46" s="675">
        <f t="shared" si="8"/>
        <v>0</v>
      </c>
      <c r="Y46" s="675">
        <f t="shared" si="8"/>
        <v>64902.861518800688</v>
      </c>
      <c r="Z46" s="125">
        <v>0</v>
      </c>
      <c r="AA46" s="126">
        <v>0</v>
      </c>
      <c r="AB46" s="126">
        <v>0</v>
      </c>
      <c r="AC46" s="126">
        <v>0</v>
      </c>
      <c r="AD46" s="126">
        <v>0</v>
      </c>
      <c r="AE46" s="126">
        <v>4.2240000999999999E-2</v>
      </c>
      <c r="AF46" s="126">
        <v>0.32733333399999998</v>
      </c>
      <c r="AG46" s="126">
        <v>0</v>
      </c>
      <c r="AH46" s="126">
        <v>0</v>
      </c>
      <c r="AI46" s="1097">
        <f>'2022-23 Input'!N46</f>
        <v>0</v>
      </c>
      <c r="AJ46" s="668">
        <v>0.16666667199999999</v>
      </c>
      <c r="AK46" s="127">
        <f t="shared" si="63"/>
        <v>7.3914667000000003E-2</v>
      </c>
      <c r="AL46" s="128">
        <f t="shared" si="64"/>
        <v>0</v>
      </c>
      <c r="AM46" s="129">
        <f t="shared" si="65"/>
        <v>0</v>
      </c>
      <c r="AN46" s="91" t="str">
        <f t="shared" si="66"/>
        <v/>
      </c>
      <c r="AO46" s="92" t="str">
        <f t="shared" si="67"/>
        <v/>
      </c>
      <c r="AP46" s="92" t="str">
        <f t="shared" si="68"/>
        <v/>
      </c>
      <c r="AQ46" s="92" t="str">
        <f t="shared" si="69"/>
        <v/>
      </c>
      <c r="AR46" s="92" t="str">
        <f t="shared" si="70"/>
        <v/>
      </c>
      <c r="AS46" s="92">
        <f t="shared" si="71"/>
        <v>118782.19288126915</v>
      </c>
      <c r="AT46" s="92">
        <f t="shared" si="72"/>
        <v>1262119.2329311718</v>
      </c>
      <c r="AU46" s="92" t="str">
        <f t="shared" si="73"/>
        <v/>
      </c>
      <c r="AV46" s="92" t="str">
        <f t="shared" si="74"/>
        <v/>
      </c>
      <c r="AW46" s="92" t="str">
        <f t="shared" si="74"/>
        <v/>
      </c>
      <c r="AX46" s="92">
        <f t="shared" si="74"/>
        <v>378995.36056800303</v>
      </c>
      <c r="AY46" s="93">
        <f t="shared" si="75"/>
        <v>1131442.711815153</v>
      </c>
      <c r="AZ46" s="94" t="str">
        <f t="shared" si="76"/>
        <v/>
      </c>
      <c r="BA46" s="95" t="str">
        <f t="shared" si="77"/>
        <v/>
      </c>
      <c r="BB46" s="248" t="s">
        <v>422</v>
      </c>
      <c r="BC46" s="229" t="s">
        <v>433</v>
      </c>
      <c r="BD46" s="249">
        <v>0</v>
      </c>
      <c r="BE46" s="267">
        <f t="shared" si="28"/>
        <v>0</v>
      </c>
      <c r="BF46" s="268">
        <f t="shared" ref="BF46:BL46" si="87">IF(BF$6=$BB46,1,
IF(BE46&lt;&gt;0,BE46+1,0
))</f>
        <v>0</v>
      </c>
      <c r="BG46" s="268">
        <f t="shared" si="87"/>
        <v>0</v>
      </c>
      <c r="BH46" s="268">
        <f t="shared" si="87"/>
        <v>1</v>
      </c>
      <c r="BI46" s="268">
        <f t="shared" si="87"/>
        <v>2</v>
      </c>
      <c r="BJ46" s="268">
        <f t="shared" si="87"/>
        <v>3</v>
      </c>
      <c r="BK46" s="268">
        <f t="shared" si="87"/>
        <v>4</v>
      </c>
      <c r="BL46" s="269">
        <f t="shared" si="87"/>
        <v>5</v>
      </c>
      <c r="BM46" s="256">
        <f>IF($BC46=Lookup!$A$2,$BD46*ROUNDUP(BE46/10,0)+1,
IF($BC46=Lookup!$A$3,($BD46+1)^BD46,
IF($BC46=Lookup!$A$4,BE46*$BD46+1,"Error")))</f>
        <v>1</v>
      </c>
      <c r="BN46" s="229">
        <f>IF($BC46=Lookup!$A$2,$BD46*ROUNDUP(BF46/10,0)+1,
IF($BC46=Lookup!$A$3,($BD46+1)^BE46,
IF($BC46=Lookup!$A$4,BF46*$BD46+1,"Error")))</f>
        <v>1</v>
      </c>
      <c r="BO46" s="229">
        <f>IF($BC46=Lookup!$A$2,$BD46*ROUNDUP(BG46/10,0)+1,
IF($BC46=Lookup!$A$3,($BD46+1)^BF46,
IF($BC46=Lookup!$A$4,BG46*$BD46+1,"Error")))</f>
        <v>1</v>
      </c>
      <c r="BP46" s="229">
        <f>IF($BC46=Lookup!$A$2,$BD46*ROUNDUP(BH46/10,0)+1,
IF($BC46=Lookup!$A$3,($BD46+1)^BG46,
IF($BC46=Lookup!$A$4,BH46*$BD46+1,"Error")))</f>
        <v>1</v>
      </c>
      <c r="BQ46" s="229">
        <f>IF($BC46=Lookup!$A$2,$BD46*ROUNDUP(BI46/10,0)+1,
IF($BC46=Lookup!$A$3,($BD46+1)^BH46,
IF($BC46=Lookup!$A$4,BI46*$BD46+1,"Error")))</f>
        <v>1</v>
      </c>
      <c r="BR46" s="229">
        <f>IF($BC46=Lookup!$A$2,$BD46*ROUNDUP(BJ46/10,0)+1,
IF($BC46=Lookup!$A$3,($BD46+1)^BI46,
IF($BC46=Lookup!$A$4,BJ46*$BD46+1,"Error")))</f>
        <v>1</v>
      </c>
      <c r="BS46" s="229">
        <f>IF($BC46=Lookup!$A$2,$BD46*ROUNDUP(BK46/10,0)+1,
IF($BC46=Lookup!$A$3,($BD46+1)^BJ46,
IF($BC46=Lookup!$A$4,BK46*$BD46+1,"Error")))</f>
        <v>1</v>
      </c>
      <c r="BT46" s="249">
        <f>IF($BC46=Lookup!$A$2,$BD46*ROUNDUP(BL46/10,0)+1,
IF($BC46=Lookup!$A$3,($BD46+1)^BK46,
IF($BC46=Lookup!$A$4,BL46*$BD46+1,"Error")))</f>
        <v>1</v>
      </c>
      <c r="BU46" s="398"/>
      <c r="BV46" s="356"/>
      <c r="BW46" s="356"/>
      <c r="BX46" s="356"/>
      <c r="BY46" s="356"/>
      <c r="BZ46" s="356"/>
      <c r="CA46" s="356"/>
      <c r="CB46" s="399"/>
      <c r="CC46" s="382" t="s">
        <v>293</v>
      </c>
      <c r="CD46" s="383">
        <f>HLOOKUP($CC46,$AK$6:$AM$132,ROWS(CC$6:CC46),0)</f>
        <v>0</v>
      </c>
      <c r="CE46" s="362">
        <f t="shared" si="30"/>
        <v>0</v>
      </c>
      <c r="CF46" s="363">
        <f t="shared" si="30"/>
        <v>0</v>
      </c>
      <c r="CG46" s="363">
        <f t="shared" si="30"/>
        <v>0</v>
      </c>
      <c r="CH46" s="363">
        <f t="shared" si="30"/>
        <v>0</v>
      </c>
      <c r="CI46" s="363">
        <f t="shared" si="84"/>
        <v>0</v>
      </c>
      <c r="CJ46" s="363">
        <f t="shared" si="84"/>
        <v>0</v>
      </c>
      <c r="CK46" s="363">
        <f t="shared" si="84"/>
        <v>0</v>
      </c>
      <c r="CL46" s="364">
        <f t="shared" si="84"/>
        <v>0</v>
      </c>
      <c r="CM46" s="305" t="s">
        <v>293</v>
      </c>
      <c r="CN46" s="315">
        <v>0.05</v>
      </c>
      <c r="CO46" s="306"/>
      <c r="CP46" s="307" t="str">
        <f>IF($CO46&lt;&gt;"",$CO46,HLOOKUP($CM46,$AY$6:$BA$132,ROWS(CO$6:CO46),0))</f>
        <v/>
      </c>
      <c r="CQ46" s="784" t="str">
        <f t="shared" si="79"/>
        <v/>
      </c>
      <c r="CR46" s="784" t="str">
        <f t="shared" si="79"/>
        <v/>
      </c>
      <c r="CS46" s="97" t="str">
        <f t="shared" si="79"/>
        <v/>
      </c>
      <c r="CT46" s="97" t="str">
        <f t="shared" si="79"/>
        <v/>
      </c>
      <c r="CU46" s="97" t="str">
        <f t="shared" si="79"/>
        <v/>
      </c>
      <c r="CV46" s="97" t="str">
        <f t="shared" si="79"/>
        <v/>
      </c>
      <c r="CW46" s="97" t="str">
        <f t="shared" si="79"/>
        <v/>
      </c>
      <c r="CX46" s="98" t="str">
        <f t="shared" si="62"/>
        <v/>
      </c>
      <c r="CY46" s="392"/>
    </row>
    <row r="47" spans="1:103" x14ac:dyDescent="0.25">
      <c r="A47" s="81" t="s">
        <v>94</v>
      </c>
      <c r="B47" s="82" t="s">
        <v>99</v>
      </c>
      <c r="C47" s="83" t="s">
        <v>100</v>
      </c>
      <c r="D47" s="84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654">
        <f>'2022-23 Input'!G47</f>
        <v>0</v>
      </c>
      <c r="N47" s="1065">
        <v>0</v>
      </c>
      <c r="O47" s="560">
        <f t="shared" si="27"/>
        <v>0</v>
      </c>
      <c r="P47" s="561">
        <f t="shared" si="0"/>
        <v>0</v>
      </c>
      <c r="Q47" s="561">
        <f t="shared" si="1"/>
        <v>0</v>
      </c>
      <c r="R47" s="561">
        <f t="shared" si="2"/>
        <v>0</v>
      </c>
      <c r="S47" s="561">
        <f t="shared" si="3"/>
        <v>0</v>
      </c>
      <c r="T47" s="561">
        <f t="shared" si="4"/>
        <v>0</v>
      </c>
      <c r="U47" s="561">
        <f t="shared" si="5"/>
        <v>0</v>
      </c>
      <c r="V47" s="561">
        <f t="shared" si="6"/>
        <v>0</v>
      </c>
      <c r="W47" s="675">
        <f t="shared" si="7"/>
        <v>0</v>
      </c>
      <c r="X47" s="675">
        <f t="shared" si="8"/>
        <v>0</v>
      </c>
      <c r="Y47" s="675">
        <f t="shared" si="8"/>
        <v>0</v>
      </c>
      <c r="Z47" s="125">
        <v>0</v>
      </c>
      <c r="AA47" s="126">
        <v>0</v>
      </c>
      <c r="AB47" s="126">
        <v>0</v>
      </c>
      <c r="AC47" s="126">
        <v>0</v>
      </c>
      <c r="AD47" s="126">
        <v>0</v>
      </c>
      <c r="AE47" s="126">
        <v>0</v>
      </c>
      <c r="AF47" s="126">
        <v>0</v>
      </c>
      <c r="AG47" s="126">
        <v>0</v>
      </c>
      <c r="AH47" s="126">
        <v>0</v>
      </c>
      <c r="AI47" s="1097">
        <f>'2022-23 Input'!N47</f>
        <v>0</v>
      </c>
      <c r="AJ47" s="668">
        <v>0</v>
      </c>
      <c r="AK47" s="127">
        <f t="shared" si="63"/>
        <v>0</v>
      </c>
      <c r="AL47" s="128">
        <f t="shared" si="64"/>
        <v>0</v>
      </c>
      <c r="AM47" s="129">
        <f t="shared" si="65"/>
        <v>0</v>
      </c>
      <c r="AN47" s="91" t="str">
        <f t="shared" si="66"/>
        <v/>
      </c>
      <c r="AO47" s="92" t="str">
        <f t="shared" si="67"/>
        <v/>
      </c>
      <c r="AP47" s="92" t="str">
        <f t="shared" si="68"/>
        <v/>
      </c>
      <c r="AQ47" s="92" t="str">
        <f t="shared" si="69"/>
        <v/>
      </c>
      <c r="AR47" s="92" t="str">
        <f t="shared" si="70"/>
        <v/>
      </c>
      <c r="AS47" s="92" t="str">
        <f t="shared" si="71"/>
        <v/>
      </c>
      <c r="AT47" s="92" t="str">
        <f t="shared" si="72"/>
        <v/>
      </c>
      <c r="AU47" s="92" t="str">
        <f t="shared" si="73"/>
        <v/>
      </c>
      <c r="AV47" s="92" t="str">
        <f t="shared" si="74"/>
        <v/>
      </c>
      <c r="AW47" s="92" t="str">
        <f t="shared" si="74"/>
        <v/>
      </c>
      <c r="AX47" s="92" t="str">
        <f t="shared" si="74"/>
        <v/>
      </c>
      <c r="AY47" s="93" t="str">
        <f t="shared" si="75"/>
        <v/>
      </c>
      <c r="AZ47" s="94" t="str">
        <f t="shared" si="76"/>
        <v/>
      </c>
      <c r="BA47" s="95" t="str">
        <f t="shared" si="77"/>
        <v/>
      </c>
      <c r="BB47" s="248" t="s">
        <v>422</v>
      </c>
      <c r="BC47" s="229" t="s">
        <v>433</v>
      </c>
      <c r="BD47" s="249">
        <v>0</v>
      </c>
      <c r="BE47" s="267">
        <f t="shared" si="28"/>
        <v>0</v>
      </c>
      <c r="BF47" s="268">
        <f t="shared" ref="BF47:BL47" si="88">IF(BF$6=$BB47,1,
IF(BE47&lt;&gt;0,BE47+1,0
))</f>
        <v>0</v>
      </c>
      <c r="BG47" s="268">
        <f t="shared" si="88"/>
        <v>0</v>
      </c>
      <c r="BH47" s="268">
        <f t="shared" si="88"/>
        <v>1</v>
      </c>
      <c r="BI47" s="268">
        <f t="shared" si="88"/>
        <v>2</v>
      </c>
      <c r="BJ47" s="268">
        <f t="shared" si="88"/>
        <v>3</v>
      </c>
      <c r="BK47" s="268">
        <f t="shared" si="88"/>
        <v>4</v>
      </c>
      <c r="BL47" s="269">
        <f t="shared" si="88"/>
        <v>5</v>
      </c>
      <c r="BM47" s="256">
        <f>IF($BC47=Lookup!$A$2,$BD47*ROUNDUP(BE47/10,0)+1,
IF($BC47=Lookup!$A$3,($BD47+1)^BD47,
IF($BC47=Lookup!$A$4,BE47*$BD47+1,"Error")))</f>
        <v>1</v>
      </c>
      <c r="BN47" s="229">
        <f>IF($BC47=Lookup!$A$2,$BD47*ROUNDUP(BF47/10,0)+1,
IF($BC47=Lookup!$A$3,($BD47+1)^BE47,
IF($BC47=Lookup!$A$4,BF47*$BD47+1,"Error")))</f>
        <v>1</v>
      </c>
      <c r="BO47" s="229">
        <f>IF($BC47=Lookup!$A$2,$BD47*ROUNDUP(BG47/10,0)+1,
IF($BC47=Lookup!$A$3,($BD47+1)^BF47,
IF($BC47=Lookup!$A$4,BG47*$BD47+1,"Error")))</f>
        <v>1</v>
      </c>
      <c r="BP47" s="229">
        <f>IF($BC47=Lookup!$A$2,$BD47*ROUNDUP(BH47/10,0)+1,
IF($BC47=Lookup!$A$3,($BD47+1)^BG47,
IF($BC47=Lookup!$A$4,BH47*$BD47+1,"Error")))</f>
        <v>1</v>
      </c>
      <c r="BQ47" s="229">
        <f>IF($BC47=Lookup!$A$2,$BD47*ROUNDUP(BI47/10,0)+1,
IF($BC47=Lookup!$A$3,($BD47+1)^BH47,
IF($BC47=Lookup!$A$4,BI47*$BD47+1,"Error")))</f>
        <v>1</v>
      </c>
      <c r="BR47" s="229">
        <f>IF($BC47=Lookup!$A$2,$BD47*ROUNDUP(BJ47/10,0)+1,
IF($BC47=Lookup!$A$3,($BD47+1)^BI47,
IF($BC47=Lookup!$A$4,BJ47*$BD47+1,"Error")))</f>
        <v>1</v>
      </c>
      <c r="BS47" s="229">
        <f>IF($BC47=Lookup!$A$2,$BD47*ROUNDUP(BK47/10,0)+1,
IF($BC47=Lookup!$A$3,($BD47+1)^BJ47,
IF($BC47=Lookup!$A$4,BK47*$BD47+1,"Error")))</f>
        <v>1</v>
      </c>
      <c r="BT47" s="249">
        <f>IF($BC47=Lookup!$A$2,$BD47*ROUNDUP(BL47/10,0)+1,
IF($BC47=Lookup!$A$3,($BD47+1)^BK47,
IF($BC47=Lookup!$A$4,BL47*$BD47+1,"Error")))</f>
        <v>1</v>
      </c>
      <c r="BU47" s="398"/>
      <c r="BV47" s="356"/>
      <c r="BW47" s="356"/>
      <c r="BX47" s="356"/>
      <c r="BY47" s="356"/>
      <c r="BZ47" s="356"/>
      <c r="CA47" s="356"/>
      <c r="CB47" s="399"/>
      <c r="CC47" s="382" t="s">
        <v>293</v>
      </c>
      <c r="CD47" s="383">
        <f>HLOOKUP($CC47,$AK$6:$AM$132,ROWS(CC$6:CC47),0)</f>
        <v>0</v>
      </c>
      <c r="CE47" s="362">
        <f t="shared" si="30"/>
        <v>0</v>
      </c>
      <c r="CF47" s="363">
        <f t="shared" si="30"/>
        <v>0</v>
      </c>
      <c r="CG47" s="363">
        <f t="shared" si="30"/>
        <v>0</v>
      </c>
      <c r="CH47" s="363">
        <f t="shared" si="30"/>
        <v>0</v>
      </c>
      <c r="CI47" s="363">
        <f t="shared" si="84"/>
        <v>0</v>
      </c>
      <c r="CJ47" s="363">
        <f t="shared" si="84"/>
        <v>0</v>
      </c>
      <c r="CK47" s="363">
        <f t="shared" si="84"/>
        <v>0</v>
      </c>
      <c r="CL47" s="364">
        <f t="shared" si="84"/>
        <v>0</v>
      </c>
      <c r="CM47" s="305" t="s">
        <v>293</v>
      </c>
      <c r="CN47" s="315">
        <v>0.05</v>
      </c>
      <c r="CO47" s="306"/>
      <c r="CP47" s="307" t="str">
        <f>IF($CO47&lt;&gt;"",$CO47,HLOOKUP($CM47,$AY$6:$BA$132,ROWS(CO$6:CO47),0))</f>
        <v/>
      </c>
      <c r="CQ47" s="784" t="str">
        <f t="shared" si="79"/>
        <v/>
      </c>
      <c r="CR47" s="784" t="str">
        <f t="shared" si="79"/>
        <v/>
      </c>
      <c r="CS47" s="97" t="str">
        <f t="shared" si="79"/>
        <v/>
      </c>
      <c r="CT47" s="97" t="str">
        <f t="shared" si="79"/>
        <v/>
      </c>
      <c r="CU47" s="97" t="str">
        <f t="shared" si="79"/>
        <v/>
      </c>
      <c r="CV47" s="97" t="str">
        <f t="shared" si="79"/>
        <v/>
      </c>
      <c r="CW47" s="97" t="str">
        <f t="shared" si="79"/>
        <v/>
      </c>
      <c r="CX47" s="98" t="str">
        <f t="shared" si="62"/>
        <v/>
      </c>
      <c r="CY47" s="392"/>
    </row>
    <row r="48" spans="1:103" x14ac:dyDescent="0.25">
      <c r="A48" s="81" t="s">
        <v>94</v>
      </c>
      <c r="B48" s="82" t="s">
        <v>101</v>
      </c>
      <c r="C48" s="83" t="s">
        <v>76</v>
      </c>
      <c r="D48" s="84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654">
        <f>'2022-23 Input'!G48</f>
        <v>0</v>
      </c>
      <c r="N48" s="1065">
        <v>0</v>
      </c>
      <c r="O48" s="560">
        <f t="shared" si="27"/>
        <v>0</v>
      </c>
      <c r="P48" s="561">
        <f t="shared" si="0"/>
        <v>0</v>
      </c>
      <c r="Q48" s="561">
        <f t="shared" si="1"/>
        <v>0</v>
      </c>
      <c r="R48" s="561">
        <f t="shared" si="2"/>
        <v>0</v>
      </c>
      <c r="S48" s="561">
        <f t="shared" si="3"/>
        <v>0</v>
      </c>
      <c r="T48" s="561">
        <f t="shared" si="4"/>
        <v>0</v>
      </c>
      <c r="U48" s="561">
        <f t="shared" si="5"/>
        <v>0</v>
      </c>
      <c r="V48" s="561">
        <f t="shared" si="6"/>
        <v>0</v>
      </c>
      <c r="W48" s="675">
        <f t="shared" si="7"/>
        <v>0</v>
      </c>
      <c r="X48" s="675">
        <f t="shared" si="8"/>
        <v>0</v>
      </c>
      <c r="Y48" s="675">
        <f t="shared" si="8"/>
        <v>0</v>
      </c>
      <c r="Z48" s="125">
        <v>0</v>
      </c>
      <c r="AA48" s="126">
        <v>0</v>
      </c>
      <c r="AB48" s="126">
        <v>0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6">
        <v>0</v>
      </c>
      <c r="AI48" s="1097">
        <f>'2022-23 Input'!N48</f>
        <v>0</v>
      </c>
      <c r="AJ48" s="668">
        <v>0</v>
      </c>
      <c r="AK48" s="127">
        <f t="shared" si="63"/>
        <v>0</v>
      </c>
      <c r="AL48" s="128">
        <f t="shared" si="64"/>
        <v>0</v>
      </c>
      <c r="AM48" s="129">
        <f t="shared" si="65"/>
        <v>0</v>
      </c>
      <c r="AN48" s="91" t="str">
        <f t="shared" si="66"/>
        <v/>
      </c>
      <c r="AO48" s="92" t="str">
        <f t="shared" si="67"/>
        <v/>
      </c>
      <c r="AP48" s="92" t="str">
        <f t="shared" si="68"/>
        <v/>
      </c>
      <c r="AQ48" s="92" t="str">
        <f t="shared" si="69"/>
        <v/>
      </c>
      <c r="AR48" s="92" t="str">
        <f t="shared" si="70"/>
        <v/>
      </c>
      <c r="AS48" s="92" t="str">
        <f t="shared" si="71"/>
        <v/>
      </c>
      <c r="AT48" s="92" t="str">
        <f t="shared" si="72"/>
        <v/>
      </c>
      <c r="AU48" s="92" t="str">
        <f t="shared" si="73"/>
        <v/>
      </c>
      <c r="AV48" s="92" t="str">
        <f t="shared" si="74"/>
        <v/>
      </c>
      <c r="AW48" s="92" t="str">
        <f t="shared" si="74"/>
        <v/>
      </c>
      <c r="AX48" s="92" t="str">
        <f t="shared" si="74"/>
        <v/>
      </c>
      <c r="AY48" s="93" t="str">
        <f t="shared" si="75"/>
        <v/>
      </c>
      <c r="AZ48" s="94" t="str">
        <f t="shared" si="76"/>
        <v/>
      </c>
      <c r="BA48" s="95" t="str">
        <f t="shared" si="77"/>
        <v/>
      </c>
      <c r="BB48" s="248" t="s">
        <v>422</v>
      </c>
      <c r="BC48" s="229" t="s">
        <v>433</v>
      </c>
      <c r="BD48" s="249">
        <v>0</v>
      </c>
      <c r="BE48" s="267">
        <f t="shared" si="28"/>
        <v>0</v>
      </c>
      <c r="BF48" s="268">
        <f t="shared" ref="BF48:BL48" si="89">IF(BF$6=$BB48,1,
IF(BE48&lt;&gt;0,BE48+1,0
))</f>
        <v>0</v>
      </c>
      <c r="BG48" s="268">
        <f t="shared" si="89"/>
        <v>0</v>
      </c>
      <c r="BH48" s="268">
        <f t="shared" si="89"/>
        <v>1</v>
      </c>
      <c r="BI48" s="268">
        <f t="shared" si="89"/>
        <v>2</v>
      </c>
      <c r="BJ48" s="268">
        <f t="shared" si="89"/>
        <v>3</v>
      </c>
      <c r="BK48" s="268">
        <f t="shared" si="89"/>
        <v>4</v>
      </c>
      <c r="BL48" s="269">
        <f t="shared" si="89"/>
        <v>5</v>
      </c>
      <c r="BM48" s="256">
        <f>IF($BC48=Lookup!$A$2,$BD48*ROUNDUP(BE48/10,0)+1,
IF($BC48=Lookup!$A$3,($BD48+1)^BD48,
IF($BC48=Lookup!$A$4,BE48*$BD48+1,"Error")))</f>
        <v>1</v>
      </c>
      <c r="BN48" s="229">
        <f>IF($BC48=Lookup!$A$2,$BD48*ROUNDUP(BF48/10,0)+1,
IF($BC48=Lookup!$A$3,($BD48+1)^BE48,
IF($BC48=Lookup!$A$4,BF48*$BD48+1,"Error")))</f>
        <v>1</v>
      </c>
      <c r="BO48" s="229">
        <f>IF($BC48=Lookup!$A$2,$BD48*ROUNDUP(BG48/10,0)+1,
IF($BC48=Lookup!$A$3,($BD48+1)^BF48,
IF($BC48=Lookup!$A$4,BG48*$BD48+1,"Error")))</f>
        <v>1</v>
      </c>
      <c r="BP48" s="229">
        <f>IF($BC48=Lookup!$A$2,$BD48*ROUNDUP(BH48/10,0)+1,
IF($BC48=Lookup!$A$3,($BD48+1)^BG48,
IF($BC48=Lookup!$A$4,BH48*$BD48+1,"Error")))</f>
        <v>1</v>
      </c>
      <c r="BQ48" s="229">
        <f>IF($BC48=Lookup!$A$2,$BD48*ROUNDUP(BI48/10,0)+1,
IF($BC48=Lookup!$A$3,($BD48+1)^BH48,
IF($BC48=Lookup!$A$4,BI48*$BD48+1,"Error")))</f>
        <v>1</v>
      </c>
      <c r="BR48" s="229">
        <f>IF($BC48=Lookup!$A$2,$BD48*ROUNDUP(BJ48/10,0)+1,
IF($BC48=Lookup!$A$3,($BD48+1)^BI48,
IF($BC48=Lookup!$A$4,BJ48*$BD48+1,"Error")))</f>
        <v>1</v>
      </c>
      <c r="BS48" s="229">
        <f>IF($BC48=Lookup!$A$2,$BD48*ROUNDUP(BK48/10,0)+1,
IF($BC48=Lookup!$A$3,($BD48+1)^BJ48,
IF($BC48=Lookup!$A$4,BK48*$BD48+1,"Error")))</f>
        <v>1</v>
      </c>
      <c r="BT48" s="249">
        <f>IF($BC48=Lookup!$A$2,$BD48*ROUNDUP(BL48/10,0)+1,
IF($BC48=Lookup!$A$3,($BD48+1)^BK48,
IF($BC48=Lookup!$A$4,BL48*$BD48+1,"Error")))</f>
        <v>1</v>
      </c>
      <c r="BU48" s="398"/>
      <c r="BV48" s="356"/>
      <c r="BW48" s="356"/>
      <c r="BX48" s="356"/>
      <c r="BY48" s="356"/>
      <c r="BZ48" s="356"/>
      <c r="CA48" s="356"/>
      <c r="CB48" s="399"/>
      <c r="CC48" s="382" t="s">
        <v>293</v>
      </c>
      <c r="CD48" s="383">
        <f>HLOOKUP($CC48,$AK$6:$AM$132,ROWS(CC$6:CC48),0)</f>
        <v>0</v>
      </c>
      <c r="CE48" s="362">
        <f t="shared" si="30"/>
        <v>0</v>
      </c>
      <c r="CF48" s="363">
        <f t="shared" si="30"/>
        <v>0</v>
      </c>
      <c r="CG48" s="363">
        <f t="shared" si="30"/>
        <v>0</v>
      </c>
      <c r="CH48" s="363">
        <f t="shared" si="30"/>
        <v>0</v>
      </c>
      <c r="CI48" s="363">
        <f t="shared" si="84"/>
        <v>0</v>
      </c>
      <c r="CJ48" s="363">
        <f t="shared" si="84"/>
        <v>0</v>
      </c>
      <c r="CK48" s="363">
        <f t="shared" si="84"/>
        <v>0</v>
      </c>
      <c r="CL48" s="364">
        <f t="shared" si="84"/>
        <v>0</v>
      </c>
      <c r="CM48" s="305" t="s">
        <v>293</v>
      </c>
      <c r="CN48" s="315">
        <v>0.05</v>
      </c>
      <c r="CO48" s="306"/>
      <c r="CP48" s="307" t="str">
        <f>IF($CO48&lt;&gt;"",$CO48,HLOOKUP($CM48,$AY$6:$BA$132,ROWS(CO$6:CO48),0))</f>
        <v/>
      </c>
      <c r="CQ48" s="784" t="str">
        <f t="shared" si="79"/>
        <v/>
      </c>
      <c r="CR48" s="784" t="str">
        <f t="shared" si="79"/>
        <v/>
      </c>
      <c r="CS48" s="97" t="str">
        <f t="shared" si="79"/>
        <v/>
      </c>
      <c r="CT48" s="97" t="str">
        <f t="shared" si="79"/>
        <v/>
      </c>
      <c r="CU48" s="97" t="str">
        <f t="shared" si="79"/>
        <v/>
      </c>
      <c r="CV48" s="97" t="str">
        <f t="shared" si="79"/>
        <v/>
      </c>
      <c r="CW48" s="97" t="str">
        <f t="shared" si="79"/>
        <v/>
      </c>
      <c r="CX48" s="98" t="str">
        <f t="shared" si="62"/>
        <v/>
      </c>
      <c r="CY48" s="392"/>
    </row>
    <row r="49" spans="1:103" x14ac:dyDescent="0.25">
      <c r="A49" s="81" t="s">
        <v>94</v>
      </c>
      <c r="B49" s="82" t="s">
        <v>102</v>
      </c>
      <c r="C49" s="83" t="s">
        <v>323</v>
      </c>
      <c r="D49" s="84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  <c r="M49" s="654">
        <f>'2022-23 Input'!G49</f>
        <v>0</v>
      </c>
      <c r="N49" s="1065">
        <v>0</v>
      </c>
      <c r="O49" s="560">
        <f t="shared" si="27"/>
        <v>0</v>
      </c>
      <c r="P49" s="561">
        <f t="shared" si="0"/>
        <v>0</v>
      </c>
      <c r="Q49" s="561">
        <f t="shared" si="1"/>
        <v>0</v>
      </c>
      <c r="R49" s="561">
        <f t="shared" si="2"/>
        <v>0</v>
      </c>
      <c r="S49" s="561">
        <f t="shared" si="3"/>
        <v>0</v>
      </c>
      <c r="T49" s="561">
        <f t="shared" si="4"/>
        <v>0</v>
      </c>
      <c r="U49" s="561">
        <f t="shared" si="5"/>
        <v>0</v>
      </c>
      <c r="V49" s="561">
        <f t="shared" si="6"/>
        <v>0</v>
      </c>
      <c r="W49" s="675">
        <f t="shared" si="7"/>
        <v>0</v>
      </c>
      <c r="X49" s="675">
        <f t="shared" si="8"/>
        <v>0</v>
      </c>
      <c r="Y49" s="675">
        <f t="shared" si="8"/>
        <v>0</v>
      </c>
      <c r="Z49" s="125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097">
        <f>'2022-23 Input'!N49</f>
        <v>0</v>
      </c>
      <c r="AJ49" s="668">
        <v>0</v>
      </c>
      <c r="AK49" s="127">
        <f t="shared" si="63"/>
        <v>0</v>
      </c>
      <c r="AL49" s="128">
        <f t="shared" si="64"/>
        <v>0</v>
      </c>
      <c r="AM49" s="129">
        <f t="shared" si="65"/>
        <v>0</v>
      </c>
      <c r="AN49" s="91" t="str">
        <f t="shared" si="66"/>
        <v/>
      </c>
      <c r="AO49" s="92" t="str">
        <f t="shared" si="67"/>
        <v/>
      </c>
      <c r="AP49" s="92" t="str">
        <f t="shared" si="68"/>
        <v/>
      </c>
      <c r="AQ49" s="92" t="str">
        <f t="shared" si="69"/>
        <v/>
      </c>
      <c r="AR49" s="92" t="str">
        <f t="shared" si="70"/>
        <v/>
      </c>
      <c r="AS49" s="92" t="str">
        <f t="shared" si="71"/>
        <v/>
      </c>
      <c r="AT49" s="92" t="str">
        <f t="shared" si="72"/>
        <v/>
      </c>
      <c r="AU49" s="92" t="str">
        <f t="shared" si="73"/>
        <v/>
      </c>
      <c r="AV49" s="92" t="str">
        <f t="shared" si="74"/>
        <v/>
      </c>
      <c r="AW49" s="92" t="str">
        <f t="shared" si="74"/>
        <v/>
      </c>
      <c r="AX49" s="92" t="str">
        <f t="shared" si="74"/>
        <v/>
      </c>
      <c r="AY49" s="93" t="str">
        <f t="shared" si="75"/>
        <v/>
      </c>
      <c r="AZ49" s="94" t="str">
        <f t="shared" si="76"/>
        <v/>
      </c>
      <c r="BA49" s="95" t="str">
        <f t="shared" si="77"/>
        <v/>
      </c>
      <c r="BB49" s="248" t="s">
        <v>422</v>
      </c>
      <c r="BC49" s="229" t="s">
        <v>433</v>
      </c>
      <c r="BD49" s="249">
        <v>0</v>
      </c>
      <c r="BE49" s="267">
        <f t="shared" si="28"/>
        <v>0</v>
      </c>
      <c r="BF49" s="268">
        <f t="shared" ref="BF49:BL49" si="90">IF(BF$6=$BB49,1,
IF(BE49&lt;&gt;0,BE49+1,0
))</f>
        <v>0</v>
      </c>
      <c r="BG49" s="268">
        <f t="shared" si="90"/>
        <v>0</v>
      </c>
      <c r="BH49" s="268">
        <f t="shared" si="90"/>
        <v>1</v>
      </c>
      <c r="BI49" s="268">
        <f t="shared" si="90"/>
        <v>2</v>
      </c>
      <c r="BJ49" s="268">
        <f t="shared" si="90"/>
        <v>3</v>
      </c>
      <c r="BK49" s="268">
        <f t="shared" si="90"/>
        <v>4</v>
      </c>
      <c r="BL49" s="269">
        <f t="shared" si="90"/>
        <v>5</v>
      </c>
      <c r="BM49" s="256">
        <f>IF($BC49=Lookup!$A$2,$BD49*ROUNDUP(BE49/10,0)+1,
IF($BC49=Lookup!$A$3,($BD49+1)^BD49,
IF($BC49=Lookup!$A$4,BE49*$BD49+1,"Error")))</f>
        <v>1</v>
      </c>
      <c r="BN49" s="229">
        <f>IF($BC49=Lookup!$A$2,$BD49*ROUNDUP(BF49/10,0)+1,
IF($BC49=Lookup!$A$3,($BD49+1)^BE49,
IF($BC49=Lookup!$A$4,BF49*$BD49+1,"Error")))</f>
        <v>1</v>
      </c>
      <c r="BO49" s="229">
        <f>IF($BC49=Lookup!$A$2,$BD49*ROUNDUP(BG49/10,0)+1,
IF($BC49=Lookup!$A$3,($BD49+1)^BF49,
IF($BC49=Lookup!$A$4,BG49*$BD49+1,"Error")))</f>
        <v>1</v>
      </c>
      <c r="BP49" s="229">
        <f>IF($BC49=Lookup!$A$2,$BD49*ROUNDUP(BH49/10,0)+1,
IF($BC49=Lookup!$A$3,($BD49+1)^BG49,
IF($BC49=Lookup!$A$4,BH49*$BD49+1,"Error")))</f>
        <v>1</v>
      </c>
      <c r="BQ49" s="229">
        <f>IF($BC49=Lookup!$A$2,$BD49*ROUNDUP(BI49/10,0)+1,
IF($BC49=Lookup!$A$3,($BD49+1)^BH49,
IF($BC49=Lookup!$A$4,BI49*$BD49+1,"Error")))</f>
        <v>1</v>
      </c>
      <c r="BR49" s="229">
        <f>IF($BC49=Lookup!$A$2,$BD49*ROUNDUP(BJ49/10,0)+1,
IF($BC49=Lookup!$A$3,($BD49+1)^BI49,
IF($BC49=Lookup!$A$4,BJ49*$BD49+1,"Error")))</f>
        <v>1</v>
      </c>
      <c r="BS49" s="229">
        <f>IF($BC49=Lookup!$A$2,$BD49*ROUNDUP(BK49/10,0)+1,
IF($BC49=Lookup!$A$3,($BD49+1)^BJ49,
IF($BC49=Lookup!$A$4,BK49*$BD49+1,"Error")))</f>
        <v>1</v>
      </c>
      <c r="BT49" s="249">
        <f>IF($BC49=Lookup!$A$2,$BD49*ROUNDUP(BL49/10,0)+1,
IF($BC49=Lookup!$A$3,($BD49+1)^BK49,
IF($BC49=Lookup!$A$4,BL49*$BD49+1,"Error")))</f>
        <v>1</v>
      </c>
      <c r="BU49" s="398"/>
      <c r="BV49" s="356"/>
      <c r="BW49" s="356"/>
      <c r="BX49" s="356"/>
      <c r="BY49" s="356"/>
      <c r="BZ49" s="356"/>
      <c r="CA49" s="356"/>
      <c r="CB49" s="399"/>
      <c r="CC49" s="382" t="s">
        <v>293</v>
      </c>
      <c r="CD49" s="383">
        <f>HLOOKUP($CC49,$AK$6:$AM$132,ROWS(CC$6:CC49),0)</f>
        <v>0</v>
      </c>
      <c r="CE49" s="362">
        <f t="shared" si="30"/>
        <v>0</v>
      </c>
      <c r="CF49" s="363">
        <f t="shared" si="30"/>
        <v>0</v>
      </c>
      <c r="CG49" s="363">
        <f t="shared" si="30"/>
        <v>0</v>
      </c>
      <c r="CH49" s="363">
        <f t="shared" si="30"/>
        <v>0</v>
      </c>
      <c r="CI49" s="363">
        <f t="shared" si="84"/>
        <v>0</v>
      </c>
      <c r="CJ49" s="363">
        <f t="shared" si="84"/>
        <v>0</v>
      </c>
      <c r="CK49" s="363">
        <f t="shared" si="84"/>
        <v>0</v>
      </c>
      <c r="CL49" s="364">
        <f t="shared" si="84"/>
        <v>0</v>
      </c>
      <c r="CM49" s="305" t="s">
        <v>293</v>
      </c>
      <c r="CN49" s="315">
        <v>0.05</v>
      </c>
      <c r="CO49" s="306"/>
      <c r="CP49" s="307" t="str">
        <f>IF($CO49&lt;&gt;"",$CO49,HLOOKUP($CM49,$AY$6:$BA$132,ROWS(CO$6:CO49),0))</f>
        <v/>
      </c>
      <c r="CQ49" s="784" t="str">
        <f t="shared" si="79"/>
        <v/>
      </c>
      <c r="CR49" s="784" t="str">
        <f t="shared" si="79"/>
        <v/>
      </c>
      <c r="CS49" s="97" t="str">
        <f t="shared" si="79"/>
        <v/>
      </c>
      <c r="CT49" s="97" t="str">
        <f t="shared" si="79"/>
        <v/>
      </c>
      <c r="CU49" s="97" t="str">
        <f t="shared" si="79"/>
        <v/>
      </c>
      <c r="CV49" s="97" t="str">
        <f t="shared" si="79"/>
        <v/>
      </c>
      <c r="CW49" s="97" t="str">
        <f t="shared" si="79"/>
        <v/>
      </c>
      <c r="CX49" s="98" t="str">
        <f t="shared" si="62"/>
        <v/>
      </c>
      <c r="CY49" s="392"/>
    </row>
    <row r="50" spans="1:103" ht="15.75" thickBot="1" x14ac:dyDescent="0.3">
      <c r="A50" s="138" t="s">
        <v>94</v>
      </c>
      <c r="B50" s="139" t="s">
        <v>461</v>
      </c>
      <c r="C50" s="102" t="s">
        <v>325</v>
      </c>
      <c r="D50" s="103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655">
        <f>'2022-23 Input'!G50</f>
        <v>0</v>
      </c>
      <c r="N50" s="1066">
        <v>0</v>
      </c>
      <c r="O50" s="563">
        <f t="shared" si="27"/>
        <v>0</v>
      </c>
      <c r="P50" s="564">
        <f t="shared" si="0"/>
        <v>0</v>
      </c>
      <c r="Q50" s="564">
        <f t="shared" si="1"/>
        <v>0</v>
      </c>
      <c r="R50" s="564">
        <f t="shared" si="2"/>
        <v>0</v>
      </c>
      <c r="S50" s="564">
        <f t="shared" si="3"/>
        <v>0</v>
      </c>
      <c r="T50" s="564">
        <f t="shared" si="4"/>
        <v>0</v>
      </c>
      <c r="U50" s="564">
        <f t="shared" si="5"/>
        <v>0</v>
      </c>
      <c r="V50" s="564">
        <f t="shared" si="6"/>
        <v>0</v>
      </c>
      <c r="W50" s="676">
        <f t="shared" si="7"/>
        <v>0</v>
      </c>
      <c r="X50" s="676">
        <f t="shared" si="8"/>
        <v>0</v>
      </c>
      <c r="Y50" s="676">
        <f t="shared" si="8"/>
        <v>0</v>
      </c>
      <c r="Z50" s="131">
        <v>0</v>
      </c>
      <c r="AA50" s="132">
        <v>0</v>
      </c>
      <c r="AB50" s="132">
        <v>0</v>
      </c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098">
        <f>'2022-23 Input'!N50</f>
        <v>0</v>
      </c>
      <c r="AJ50" s="669">
        <v>0</v>
      </c>
      <c r="AK50" s="133">
        <f t="shared" si="63"/>
        <v>0</v>
      </c>
      <c r="AL50" s="134">
        <f t="shared" si="64"/>
        <v>0</v>
      </c>
      <c r="AM50" s="135">
        <f t="shared" si="65"/>
        <v>0</v>
      </c>
      <c r="AN50" s="110" t="str">
        <f t="shared" si="66"/>
        <v/>
      </c>
      <c r="AO50" s="111" t="str">
        <f t="shared" si="67"/>
        <v/>
      </c>
      <c r="AP50" s="111" t="str">
        <f t="shared" si="68"/>
        <v/>
      </c>
      <c r="AQ50" s="111" t="str">
        <f t="shared" si="69"/>
        <v/>
      </c>
      <c r="AR50" s="111" t="str">
        <f t="shared" si="70"/>
        <v/>
      </c>
      <c r="AS50" s="111" t="str">
        <f t="shared" si="71"/>
        <v/>
      </c>
      <c r="AT50" s="111" t="str">
        <f t="shared" si="72"/>
        <v/>
      </c>
      <c r="AU50" s="111" t="str">
        <f t="shared" si="73"/>
        <v/>
      </c>
      <c r="AV50" s="111" t="str">
        <f t="shared" si="74"/>
        <v/>
      </c>
      <c r="AW50" s="111" t="str">
        <f t="shared" si="74"/>
        <v/>
      </c>
      <c r="AX50" s="111" t="str">
        <f t="shared" si="74"/>
        <v/>
      </c>
      <c r="AY50" s="112" t="str">
        <f t="shared" si="75"/>
        <v/>
      </c>
      <c r="AZ50" s="113" t="str">
        <f t="shared" si="76"/>
        <v/>
      </c>
      <c r="BA50" s="114" t="str">
        <f t="shared" si="77"/>
        <v/>
      </c>
      <c r="BB50" s="250" t="s">
        <v>422</v>
      </c>
      <c r="BC50" s="230" t="s">
        <v>433</v>
      </c>
      <c r="BD50" s="251">
        <v>0</v>
      </c>
      <c r="BE50" s="270">
        <f t="shared" si="28"/>
        <v>0</v>
      </c>
      <c r="BF50" s="271">
        <f t="shared" ref="BF50:BL50" si="91">IF(BF$6=$BB50,1,
IF(BE50&lt;&gt;0,BE50+1,0
))</f>
        <v>0</v>
      </c>
      <c r="BG50" s="271">
        <f t="shared" si="91"/>
        <v>0</v>
      </c>
      <c r="BH50" s="271">
        <f t="shared" si="91"/>
        <v>1</v>
      </c>
      <c r="BI50" s="271">
        <f t="shared" si="91"/>
        <v>2</v>
      </c>
      <c r="BJ50" s="271">
        <f t="shared" si="91"/>
        <v>3</v>
      </c>
      <c r="BK50" s="271">
        <f t="shared" si="91"/>
        <v>4</v>
      </c>
      <c r="BL50" s="272">
        <f t="shared" si="91"/>
        <v>5</v>
      </c>
      <c r="BM50" s="257">
        <f>IF($BC50=Lookup!$A$2,$BD50*ROUNDUP(BE50/10,0)+1,
IF($BC50=Lookup!$A$3,($BD50+1)^BD50,
IF($BC50=Lookup!$A$4,BE50*$BD50+1,"Error")))</f>
        <v>1</v>
      </c>
      <c r="BN50" s="230">
        <f>IF($BC50=Lookup!$A$2,$BD50*ROUNDUP(BF50/10,0)+1,
IF($BC50=Lookup!$A$3,($BD50+1)^BE50,
IF($BC50=Lookup!$A$4,BF50*$BD50+1,"Error")))</f>
        <v>1</v>
      </c>
      <c r="BO50" s="230">
        <f>IF($BC50=Lookup!$A$2,$BD50*ROUNDUP(BG50/10,0)+1,
IF($BC50=Lookup!$A$3,($BD50+1)^BF50,
IF($BC50=Lookup!$A$4,BG50*$BD50+1,"Error")))</f>
        <v>1</v>
      </c>
      <c r="BP50" s="230">
        <f>IF($BC50=Lookup!$A$2,$BD50*ROUNDUP(BH50/10,0)+1,
IF($BC50=Lookup!$A$3,($BD50+1)^BG50,
IF($BC50=Lookup!$A$4,BH50*$BD50+1,"Error")))</f>
        <v>1</v>
      </c>
      <c r="BQ50" s="230">
        <f>IF($BC50=Lookup!$A$2,$BD50*ROUNDUP(BI50/10,0)+1,
IF($BC50=Lookup!$A$3,($BD50+1)^BH50,
IF($BC50=Lookup!$A$4,BI50*$BD50+1,"Error")))</f>
        <v>1</v>
      </c>
      <c r="BR50" s="230">
        <f>IF($BC50=Lookup!$A$2,$BD50*ROUNDUP(BJ50/10,0)+1,
IF($BC50=Lookup!$A$3,($BD50+1)^BI50,
IF($BC50=Lookup!$A$4,BJ50*$BD50+1,"Error")))</f>
        <v>1</v>
      </c>
      <c r="BS50" s="230">
        <f>IF($BC50=Lookup!$A$2,$BD50*ROUNDUP(BK50/10,0)+1,
IF($BC50=Lookup!$A$3,($BD50+1)^BJ50,
IF($BC50=Lookup!$A$4,BK50*$BD50+1,"Error")))</f>
        <v>1</v>
      </c>
      <c r="BT50" s="251">
        <f>IF($BC50=Lookup!$A$2,$BD50*ROUNDUP(BL50/10,0)+1,
IF($BC50=Lookup!$A$3,($BD50+1)^BK50,
IF($BC50=Lookup!$A$4,BL50*$BD50+1,"Error")))</f>
        <v>1</v>
      </c>
      <c r="BU50" s="400"/>
      <c r="BV50" s="358"/>
      <c r="BW50" s="358"/>
      <c r="BX50" s="358"/>
      <c r="BY50" s="358"/>
      <c r="BZ50" s="358"/>
      <c r="CA50" s="358"/>
      <c r="CB50" s="401"/>
      <c r="CC50" s="384" t="s">
        <v>293</v>
      </c>
      <c r="CD50" s="385">
        <f>HLOOKUP($CC50,$AK$6:$AM$132,ROWS(CC$6:CC50),0)</f>
        <v>0</v>
      </c>
      <c r="CE50" s="365">
        <f t="shared" si="30"/>
        <v>0</v>
      </c>
      <c r="CF50" s="366">
        <f t="shared" si="30"/>
        <v>0</v>
      </c>
      <c r="CG50" s="366">
        <f t="shared" si="30"/>
        <v>0</v>
      </c>
      <c r="CH50" s="366">
        <f t="shared" si="30"/>
        <v>0</v>
      </c>
      <c r="CI50" s="366">
        <f t="shared" si="84"/>
        <v>0</v>
      </c>
      <c r="CJ50" s="366">
        <f t="shared" si="84"/>
        <v>0</v>
      </c>
      <c r="CK50" s="366">
        <f t="shared" si="84"/>
        <v>0</v>
      </c>
      <c r="CL50" s="367">
        <f t="shared" si="84"/>
        <v>0</v>
      </c>
      <c r="CM50" s="308" t="s">
        <v>293</v>
      </c>
      <c r="CN50" s="316">
        <v>0.05</v>
      </c>
      <c r="CO50" s="309"/>
      <c r="CP50" s="310" t="str">
        <f>IF($CO50&lt;&gt;"",$CO50,HLOOKUP($CM50,$AY$6:$BA$132,ROWS(CO$6:CO50),0))</f>
        <v/>
      </c>
      <c r="CQ50" s="785" t="str">
        <f t="shared" si="79"/>
        <v/>
      </c>
      <c r="CR50" s="785" t="str">
        <f t="shared" si="79"/>
        <v/>
      </c>
      <c r="CS50" s="117" t="str">
        <f t="shared" si="79"/>
        <v/>
      </c>
      <c r="CT50" s="117" t="str">
        <f t="shared" si="79"/>
        <v/>
      </c>
      <c r="CU50" s="117" t="str">
        <f t="shared" si="79"/>
        <v/>
      </c>
      <c r="CV50" s="117" t="str">
        <f t="shared" si="79"/>
        <v/>
      </c>
      <c r="CW50" s="117" t="str">
        <f t="shared" si="79"/>
        <v/>
      </c>
      <c r="CX50" s="118" t="str">
        <f t="shared" si="62"/>
        <v/>
      </c>
      <c r="CY50" s="393"/>
    </row>
    <row r="51" spans="1:103" x14ac:dyDescent="0.25">
      <c r="A51" s="63" t="s">
        <v>106</v>
      </c>
      <c r="B51" s="64" t="s">
        <v>103</v>
      </c>
      <c r="C51" s="65" t="s">
        <v>326</v>
      </c>
      <c r="D51" s="66">
        <v>16817.407852827415</v>
      </c>
      <c r="E51" s="67">
        <v>19633.400982186249</v>
      </c>
      <c r="F51" s="67">
        <v>35768.809120776234</v>
      </c>
      <c r="G51" s="67">
        <v>37778.005404771182</v>
      </c>
      <c r="H51" s="67">
        <v>54015.770388401092</v>
      </c>
      <c r="I51" s="67">
        <v>33500.034601654013</v>
      </c>
      <c r="J51" s="67">
        <v>17227.80081405901</v>
      </c>
      <c r="K51" s="67">
        <v>0</v>
      </c>
      <c r="L51" s="67">
        <v>16964.166522874995</v>
      </c>
      <c r="M51" s="653">
        <f>'2022-23 Input'!G51</f>
        <v>47852.696534496004</v>
      </c>
      <c r="N51" s="1064">
        <v>168789.32880612867</v>
      </c>
      <c r="O51" s="557">
        <f t="shared" si="27"/>
        <v>22627.087668260952</v>
      </c>
      <c r="P51" s="558">
        <f t="shared" si="0"/>
        <v>26022.716782065163</v>
      </c>
      <c r="Q51" s="558">
        <f t="shared" si="1"/>
        <v>46928.883156079857</v>
      </c>
      <c r="R51" s="558">
        <f t="shared" si="2"/>
        <v>48624.703530896943</v>
      </c>
      <c r="S51" s="558">
        <f t="shared" si="3"/>
        <v>68109.50028551594</v>
      </c>
      <c r="T51" s="558">
        <f t="shared" si="4"/>
        <v>41578.510810184671</v>
      </c>
      <c r="U51" s="558">
        <f t="shared" si="5"/>
        <v>21457.018729121566</v>
      </c>
      <c r="V51" s="558">
        <f t="shared" si="6"/>
        <v>0</v>
      </c>
      <c r="W51" s="674">
        <f t="shared" si="7"/>
        <v>19168.273755846982</v>
      </c>
      <c r="X51" s="674">
        <f t="shared" si="8"/>
        <v>50889.472972579111</v>
      </c>
      <c r="Y51" s="674">
        <f t="shared" si="8"/>
        <v>173430.77867307127</v>
      </c>
      <c r="Z51" s="68">
        <v>79</v>
      </c>
      <c r="AA51" s="69">
        <v>116</v>
      </c>
      <c r="AB51" s="69">
        <v>192</v>
      </c>
      <c r="AC51" s="69">
        <v>122</v>
      </c>
      <c r="AD51" s="69">
        <v>184</v>
      </c>
      <c r="AE51" s="69">
        <v>105.86999695399999</v>
      </c>
      <c r="AF51" s="69">
        <v>78.486969862000009</v>
      </c>
      <c r="AG51" s="69">
        <v>0</v>
      </c>
      <c r="AH51" s="69">
        <v>100.88575587999998</v>
      </c>
      <c r="AI51" s="1093">
        <f>'2022-23 Input'!N51</f>
        <v>66.299999118999992</v>
      </c>
      <c r="AJ51" s="664">
        <v>403.25998905900008</v>
      </c>
      <c r="AK51" s="121">
        <f t="shared" si="63"/>
        <v>70.308544362999996</v>
      </c>
      <c r="AL51" s="122">
        <f t="shared" si="64"/>
        <v>55.728584999666658</v>
      </c>
      <c r="AM51" s="123">
        <f t="shared" si="65"/>
        <v>66.299999118999992</v>
      </c>
      <c r="AN51" s="73">
        <f t="shared" si="66"/>
        <v>212.8785804155369</v>
      </c>
      <c r="AO51" s="74">
        <f t="shared" si="67"/>
        <v>169.25345674298489</v>
      </c>
      <c r="AP51" s="74">
        <f t="shared" si="68"/>
        <v>186.29588083737622</v>
      </c>
      <c r="AQ51" s="74">
        <f t="shared" si="69"/>
        <v>309.65578200632115</v>
      </c>
      <c r="AR51" s="74">
        <f t="shared" si="70"/>
        <v>293.56396950217987</v>
      </c>
      <c r="AS51" s="74">
        <f t="shared" si="71"/>
        <v>316.42614116830117</v>
      </c>
      <c r="AT51" s="74">
        <f t="shared" si="72"/>
        <v>219.49886515366629</v>
      </c>
      <c r="AU51" s="74" t="str">
        <f t="shared" si="73"/>
        <v/>
      </c>
      <c r="AV51" s="74">
        <f t="shared" si="74"/>
        <v>168.15224681523196</v>
      </c>
      <c r="AW51" s="74">
        <f t="shared" si="74"/>
        <v>721.7601383162397</v>
      </c>
      <c r="AX51" s="74">
        <f t="shared" si="74"/>
        <v>418.56205273425599</v>
      </c>
      <c r="AY51" s="75">
        <f t="shared" si="75"/>
        <v>328.67896646112229</v>
      </c>
      <c r="AZ51" s="76">
        <f t="shared" si="76"/>
        <v>387.69369470358703</v>
      </c>
      <c r="BA51" s="77">
        <f t="shared" si="77"/>
        <v>721.7601383162397</v>
      </c>
      <c r="BB51" s="246" t="s">
        <v>422</v>
      </c>
      <c r="BC51" s="228" t="s">
        <v>433</v>
      </c>
      <c r="BD51" s="247">
        <v>0</v>
      </c>
      <c r="BE51" s="264">
        <f t="shared" si="28"/>
        <v>0</v>
      </c>
      <c r="BF51" s="265">
        <f t="shared" ref="BF51:BL51" si="92">IF(BF$6=$BB51,1,
IF(BE51&lt;&gt;0,BE51+1,0
))</f>
        <v>0</v>
      </c>
      <c r="BG51" s="265">
        <f t="shared" si="92"/>
        <v>0</v>
      </c>
      <c r="BH51" s="265">
        <f t="shared" si="92"/>
        <v>1</v>
      </c>
      <c r="BI51" s="265">
        <f t="shared" si="92"/>
        <v>2</v>
      </c>
      <c r="BJ51" s="265">
        <f t="shared" si="92"/>
        <v>3</v>
      </c>
      <c r="BK51" s="265">
        <f t="shared" si="92"/>
        <v>4</v>
      </c>
      <c r="BL51" s="266">
        <f t="shared" si="92"/>
        <v>5</v>
      </c>
      <c r="BM51" s="255">
        <f>IF($BC51=Lookup!$A$2,$BD51*ROUNDUP(BE51/10,0)+1,
IF($BC51=Lookup!$A$3,($BD51+1)^BD51,
IF($BC51=Lookup!$A$4,BE51*$BD51+1,"Error")))</f>
        <v>1</v>
      </c>
      <c r="BN51" s="228">
        <f>IF($BC51=Lookup!$A$2,$BD51*ROUNDUP(BF51/10,0)+1,
IF($BC51=Lookup!$A$3,($BD51+1)^BE51,
IF($BC51=Lookup!$A$4,BF51*$BD51+1,"Error")))</f>
        <v>1</v>
      </c>
      <c r="BO51" s="228">
        <f>IF($BC51=Lookup!$A$2,$BD51*ROUNDUP(BG51/10,0)+1,
IF($BC51=Lookup!$A$3,($BD51+1)^BF51,
IF($BC51=Lookup!$A$4,BG51*$BD51+1,"Error")))</f>
        <v>1</v>
      </c>
      <c r="BP51" s="228">
        <f>IF($BC51=Lookup!$A$2,$BD51*ROUNDUP(BH51/10,0)+1,
IF($BC51=Lookup!$A$3,($BD51+1)^BG51,
IF($BC51=Lookup!$A$4,BH51*$BD51+1,"Error")))</f>
        <v>1</v>
      </c>
      <c r="BQ51" s="228">
        <f>IF($BC51=Lookup!$A$2,$BD51*ROUNDUP(BI51/10,0)+1,
IF($BC51=Lookup!$A$3,($BD51+1)^BH51,
IF($BC51=Lookup!$A$4,BI51*$BD51+1,"Error")))</f>
        <v>1</v>
      </c>
      <c r="BR51" s="228">
        <f>IF($BC51=Lookup!$A$2,$BD51*ROUNDUP(BJ51/10,0)+1,
IF($BC51=Lookup!$A$3,($BD51+1)^BI51,
IF($BC51=Lookup!$A$4,BJ51*$BD51+1,"Error")))</f>
        <v>1</v>
      </c>
      <c r="BS51" s="228">
        <f>IF($BC51=Lookup!$A$2,$BD51*ROUNDUP(BK51/10,0)+1,
IF($BC51=Lookup!$A$3,($BD51+1)^BJ51,
IF($BC51=Lookup!$A$4,BK51*$BD51+1,"Error")))</f>
        <v>1</v>
      </c>
      <c r="BT51" s="247">
        <f>IF($BC51=Lookup!$A$2,$BD51*ROUNDUP(BL51/10,0)+1,
IF($BC51=Lookup!$A$3,($BD51+1)^BK51,
IF($BC51=Lookup!$A$4,BL51*$BD51+1,"Error")))</f>
        <v>1</v>
      </c>
      <c r="BU51" s="318"/>
      <c r="BV51" s="319"/>
      <c r="BW51" s="319"/>
      <c r="BX51" s="319"/>
      <c r="BY51" s="319"/>
      <c r="BZ51" s="319"/>
      <c r="CA51" s="319"/>
      <c r="CB51" s="276"/>
      <c r="CC51" s="380" t="s">
        <v>293</v>
      </c>
      <c r="CD51" s="381">
        <f>HLOOKUP($CC51,$AK$6:$AM$132,ROWS(CC$6:CC51),0)</f>
        <v>55.728584999666658</v>
      </c>
      <c r="CE51" s="233">
        <f t="shared" si="30"/>
        <v>55.728584999666658</v>
      </c>
      <c r="CF51" s="78">
        <f t="shared" si="30"/>
        <v>55.728584999666658</v>
      </c>
      <c r="CG51" s="78">
        <f t="shared" si="30"/>
        <v>55.728584999666658</v>
      </c>
      <c r="CH51" s="78">
        <f t="shared" si="30"/>
        <v>55.728584999666658</v>
      </c>
      <c r="CI51" s="78">
        <f t="shared" si="84"/>
        <v>55.728584999666658</v>
      </c>
      <c r="CJ51" s="78">
        <f t="shared" si="84"/>
        <v>55.728584999666658</v>
      </c>
      <c r="CK51" s="78">
        <f t="shared" si="84"/>
        <v>55.728584999666658</v>
      </c>
      <c r="CL51" s="285">
        <f t="shared" si="84"/>
        <v>55.728584999666658</v>
      </c>
      <c r="CM51" s="302" t="s">
        <v>293</v>
      </c>
      <c r="CN51" s="314">
        <v>0.05</v>
      </c>
      <c r="CO51" s="303"/>
      <c r="CP51" s="304">
        <f>IF($CO51&lt;&gt;"",$CO51,HLOOKUP($CM51,$AY$6:$BA$132,ROWS(CO$6:CO51),0))</f>
        <v>387.69369470358703</v>
      </c>
      <c r="CQ51" s="783">
        <f t="shared" si="79"/>
        <v>21605.621019123664</v>
      </c>
      <c r="CR51" s="783">
        <f t="shared" si="79"/>
        <v>21605.621019123664</v>
      </c>
      <c r="CS51" s="79">
        <f t="shared" si="79"/>
        <v>21605.621019123664</v>
      </c>
      <c r="CT51" s="79">
        <f t="shared" si="79"/>
        <v>21605.621019123664</v>
      </c>
      <c r="CU51" s="79">
        <f t="shared" si="79"/>
        <v>21605.621019123664</v>
      </c>
      <c r="CV51" s="79">
        <f t="shared" si="79"/>
        <v>21605.621019123664</v>
      </c>
      <c r="CW51" s="79">
        <f t="shared" si="79"/>
        <v>21605.621019123664</v>
      </c>
      <c r="CX51" s="80">
        <f t="shared" si="62"/>
        <v>21605.621019123664</v>
      </c>
      <c r="CY51" s="391"/>
    </row>
    <row r="52" spans="1:103" x14ac:dyDescent="0.25">
      <c r="A52" s="81" t="s">
        <v>106</v>
      </c>
      <c r="B52" s="82" t="s">
        <v>107</v>
      </c>
      <c r="C52" s="83" t="s">
        <v>328</v>
      </c>
      <c r="D52" s="84">
        <v>48596.764974512545</v>
      </c>
      <c r="E52" s="85">
        <v>33123.404901148497</v>
      </c>
      <c r="F52" s="85">
        <v>39527.1033205032</v>
      </c>
      <c r="G52" s="85">
        <v>27533.124168664348</v>
      </c>
      <c r="H52" s="85">
        <v>32676.936531292427</v>
      </c>
      <c r="I52" s="85">
        <v>0</v>
      </c>
      <c r="J52" s="85">
        <v>0</v>
      </c>
      <c r="K52" s="85">
        <v>49967.819500222002</v>
      </c>
      <c r="L52" s="85">
        <v>0</v>
      </c>
      <c r="M52" s="654">
        <f>'2022-23 Input'!G52</f>
        <v>95001.994987627128</v>
      </c>
      <c r="N52" s="1065">
        <v>148909.51458811999</v>
      </c>
      <c r="O52" s="560">
        <f t="shared" si="27"/>
        <v>65384.824527954741</v>
      </c>
      <c r="P52" s="561">
        <f t="shared" si="0"/>
        <v>43902.78512532443</v>
      </c>
      <c r="Q52" s="561">
        <f t="shared" si="1"/>
        <v>51859.786747799211</v>
      </c>
      <c r="R52" s="561">
        <f t="shared" si="2"/>
        <v>35438.345292088779</v>
      </c>
      <c r="S52" s="561">
        <f t="shared" si="3"/>
        <v>41202.963542028032</v>
      </c>
      <c r="T52" s="561">
        <f t="shared" si="4"/>
        <v>0</v>
      </c>
      <c r="U52" s="561">
        <f t="shared" si="5"/>
        <v>0</v>
      </c>
      <c r="V52" s="561">
        <f t="shared" si="6"/>
        <v>59929.343514525775</v>
      </c>
      <c r="W52" s="675">
        <f t="shared" si="7"/>
        <v>0</v>
      </c>
      <c r="X52" s="675">
        <f t="shared" si="8"/>
        <v>101030.90957013852</v>
      </c>
      <c r="Y52" s="675">
        <f t="shared" si="8"/>
        <v>153004.29979498207</v>
      </c>
      <c r="Z52" s="86">
        <v>136</v>
      </c>
      <c r="AA52" s="87">
        <v>114</v>
      </c>
      <c r="AB52" s="87">
        <v>118</v>
      </c>
      <c r="AC52" s="87">
        <v>83</v>
      </c>
      <c r="AD52" s="87">
        <v>85</v>
      </c>
      <c r="AE52" s="87">
        <v>0</v>
      </c>
      <c r="AF52" s="87">
        <v>0</v>
      </c>
      <c r="AG52" s="87">
        <v>16.69697063200001</v>
      </c>
      <c r="AH52" s="87">
        <v>0</v>
      </c>
      <c r="AI52" s="1094">
        <f>'2022-23 Input'!N52</f>
        <v>34.931819085000036</v>
      </c>
      <c r="AJ52" s="665">
        <v>33.234849772000025</v>
      </c>
      <c r="AK52" s="127">
        <f t="shared" si="63"/>
        <v>10.32575794340001</v>
      </c>
      <c r="AL52" s="128">
        <f t="shared" si="64"/>
        <v>17.20959657233335</v>
      </c>
      <c r="AM52" s="129">
        <f t="shared" si="65"/>
        <v>34.931819085000036</v>
      </c>
      <c r="AN52" s="91">
        <f t="shared" si="66"/>
        <v>357.32915422435696</v>
      </c>
      <c r="AO52" s="92">
        <f t="shared" si="67"/>
        <v>290.55618334340784</v>
      </c>
      <c r="AP52" s="92">
        <f t="shared" si="68"/>
        <v>334.9754518686712</v>
      </c>
      <c r="AQ52" s="92">
        <f t="shared" si="69"/>
        <v>331.72438757426926</v>
      </c>
      <c r="AR52" s="92">
        <f t="shared" si="70"/>
        <v>384.43454742696974</v>
      </c>
      <c r="AS52" s="92" t="str">
        <f t="shared" si="71"/>
        <v/>
      </c>
      <c r="AT52" s="92" t="str">
        <f t="shared" si="72"/>
        <v/>
      </c>
      <c r="AU52" s="92">
        <f t="shared" si="73"/>
        <v>2992.6278605568054</v>
      </c>
      <c r="AV52" s="92" t="str">
        <f t="shared" si="74"/>
        <v/>
      </c>
      <c r="AW52" s="92">
        <f t="shared" si="74"/>
        <v>2719.640645007853</v>
      </c>
      <c r="AX52" s="92">
        <f t="shared" si="74"/>
        <v>4480.5231740079817</v>
      </c>
      <c r="AY52" s="93">
        <f t="shared" si="75"/>
        <v>2807.9258739647398</v>
      </c>
      <c r="AZ52" s="94">
        <f t="shared" si="76"/>
        <v>2807.9258739647398</v>
      </c>
      <c r="BA52" s="95">
        <f t="shared" si="77"/>
        <v>2719.640645007853</v>
      </c>
      <c r="BB52" s="248" t="s">
        <v>422</v>
      </c>
      <c r="BC52" s="229" t="s">
        <v>433</v>
      </c>
      <c r="BD52" s="249">
        <v>0</v>
      </c>
      <c r="BE52" s="267">
        <f t="shared" si="28"/>
        <v>0</v>
      </c>
      <c r="BF52" s="268">
        <f t="shared" ref="BF52:BL52" si="93">IF(BF$6=$BB52,1,
IF(BE52&lt;&gt;0,BE52+1,0
))</f>
        <v>0</v>
      </c>
      <c r="BG52" s="268">
        <f t="shared" si="93"/>
        <v>0</v>
      </c>
      <c r="BH52" s="268">
        <f t="shared" si="93"/>
        <v>1</v>
      </c>
      <c r="BI52" s="268">
        <f t="shared" si="93"/>
        <v>2</v>
      </c>
      <c r="BJ52" s="268">
        <f t="shared" si="93"/>
        <v>3</v>
      </c>
      <c r="BK52" s="268">
        <f t="shared" si="93"/>
        <v>4</v>
      </c>
      <c r="BL52" s="269">
        <f t="shared" si="93"/>
        <v>5</v>
      </c>
      <c r="BM52" s="256">
        <f>IF($BC52=Lookup!$A$2,$BD52*ROUNDUP(BE52/10,0)+1,
IF($BC52=Lookup!$A$3,($BD52+1)^BD52,
IF($BC52=Lookup!$A$4,BE52*$BD52+1,"Error")))</f>
        <v>1</v>
      </c>
      <c r="BN52" s="229">
        <f>IF($BC52=Lookup!$A$2,$BD52*ROUNDUP(BF52/10,0)+1,
IF($BC52=Lookup!$A$3,($BD52+1)^BE52,
IF($BC52=Lookup!$A$4,BF52*$BD52+1,"Error")))</f>
        <v>1</v>
      </c>
      <c r="BO52" s="229">
        <f>IF($BC52=Lookup!$A$2,$BD52*ROUNDUP(BG52/10,0)+1,
IF($BC52=Lookup!$A$3,($BD52+1)^BF52,
IF($BC52=Lookup!$A$4,BG52*$BD52+1,"Error")))</f>
        <v>1</v>
      </c>
      <c r="BP52" s="229">
        <f>IF($BC52=Lookup!$A$2,$BD52*ROUNDUP(BH52/10,0)+1,
IF($BC52=Lookup!$A$3,($BD52+1)^BG52,
IF($BC52=Lookup!$A$4,BH52*$BD52+1,"Error")))</f>
        <v>1</v>
      </c>
      <c r="BQ52" s="229">
        <f>IF($BC52=Lookup!$A$2,$BD52*ROUNDUP(BI52/10,0)+1,
IF($BC52=Lookup!$A$3,($BD52+1)^BH52,
IF($BC52=Lookup!$A$4,BI52*$BD52+1,"Error")))</f>
        <v>1</v>
      </c>
      <c r="BR52" s="229">
        <f>IF($BC52=Lookup!$A$2,$BD52*ROUNDUP(BJ52/10,0)+1,
IF($BC52=Lookup!$A$3,($BD52+1)^BI52,
IF($BC52=Lookup!$A$4,BJ52*$BD52+1,"Error")))</f>
        <v>1</v>
      </c>
      <c r="BS52" s="229">
        <f>IF($BC52=Lookup!$A$2,$BD52*ROUNDUP(BK52/10,0)+1,
IF($BC52=Lookup!$A$3,($BD52+1)^BJ52,
IF($BC52=Lookup!$A$4,BK52*$BD52+1,"Error")))</f>
        <v>1</v>
      </c>
      <c r="BT52" s="249">
        <f>IF($BC52=Lookup!$A$2,$BD52*ROUNDUP(BL52/10,0)+1,
IF($BC52=Lookup!$A$3,($BD52+1)^BK52,
IF($BC52=Lookup!$A$4,BL52*$BD52+1,"Error")))</f>
        <v>1</v>
      </c>
      <c r="BU52" s="320"/>
      <c r="BV52" s="321"/>
      <c r="BW52" s="321"/>
      <c r="BX52" s="321"/>
      <c r="BY52" s="321"/>
      <c r="BZ52" s="321"/>
      <c r="CA52" s="321"/>
      <c r="CB52" s="277"/>
      <c r="CC52" s="382" t="s">
        <v>293</v>
      </c>
      <c r="CD52" s="383">
        <f>HLOOKUP($CC52,$AK$6:$AM$132,ROWS(CC$6:CC52),0)</f>
        <v>17.20959657233335</v>
      </c>
      <c r="CE52" s="234">
        <f t="shared" si="30"/>
        <v>17.20959657233335</v>
      </c>
      <c r="CF52" s="96">
        <f t="shared" si="30"/>
        <v>17.20959657233335</v>
      </c>
      <c r="CG52" s="96">
        <f t="shared" si="30"/>
        <v>17.20959657233335</v>
      </c>
      <c r="CH52" s="96">
        <f t="shared" si="30"/>
        <v>17.20959657233335</v>
      </c>
      <c r="CI52" s="96">
        <f t="shared" si="84"/>
        <v>17.20959657233335</v>
      </c>
      <c r="CJ52" s="96">
        <f t="shared" si="84"/>
        <v>17.20959657233335</v>
      </c>
      <c r="CK52" s="96">
        <f t="shared" si="84"/>
        <v>17.20959657233335</v>
      </c>
      <c r="CL52" s="286">
        <f t="shared" si="84"/>
        <v>17.20959657233335</v>
      </c>
      <c r="CM52" s="305" t="s">
        <v>293</v>
      </c>
      <c r="CN52" s="315">
        <v>0.05</v>
      </c>
      <c r="CO52" s="306"/>
      <c r="CP52" s="307">
        <f>IF($CO52&lt;&gt;"",$CO52,HLOOKUP($CM52,$AY$6:$BA$132,ROWS(CO$6:CO52),0))</f>
        <v>2807.9258739647398</v>
      </c>
      <c r="CQ52" s="784">
        <f t="shared" si="79"/>
        <v>48323.27149594971</v>
      </c>
      <c r="CR52" s="784">
        <f t="shared" si="79"/>
        <v>48323.27149594971</v>
      </c>
      <c r="CS52" s="97">
        <f t="shared" si="79"/>
        <v>48323.27149594971</v>
      </c>
      <c r="CT52" s="97">
        <f t="shared" si="79"/>
        <v>48323.27149594971</v>
      </c>
      <c r="CU52" s="97">
        <f t="shared" si="79"/>
        <v>48323.27149594971</v>
      </c>
      <c r="CV52" s="97">
        <f t="shared" si="79"/>
        <v>48323.27149594971</v>
      </c>
      <c r="CW52" s="97">
        <f t="shared" si="79"/>
        <v>48323.27149594971</v>
      </c>
      <c r="CX52" s="98">
        <f t="shared" si="62"/>
        <v>48323.27149594971</v>
      </c>
      <c r="CY52" s="392"/>
    </row>
    <row r="53" spans="1:103" x14ac:dyDescent="0.25">
      <c r="A53" s="81" t="s">
        <v>106</v>
      </c>
      <c r="B53" s="82" t="s">
        <v>109</v>
      </c>
      <c r="C53" s="83" t="s">
        <v>329</v>
      </c>
      <c r="D53" s="84">
        <v>16919.070514797735</v>
      </c>
      <c r="E53" s="85">
        <v>0</v>
      </c>
      <c r="F53" s="85">
        <v>4809.6246060568274</v>
      </c>
      <c r="G53" s="85">
        <v>9943.0081775961226</v>
      </c>
      <c r="H53" s="85">
        <v>9398.6132444494324</v>
      </c>
      <c r="I53" s="85">
        <v>0</v>
      </c>
      <c r="J53" s="85">
        <v>0</v>
      </c>
      <c r="K53" s="85">
        <v>0</v>
      </c>
      <c r="L53" s="85">
        <v>0</v>
      </c>
      <c r="M53" s="654">
        <f>'2022-23 Input'!G53</f>
        <v>0</v>
      </c>
      <c r="N53" s="1065">
        <v>0</v>
      </c>
      <c r="O53" s="560">
        <f t="shared" si="27"/>
        <v>22763.87033923628</v>
      </c>
      <c r="P53" s="561">
        <f t="shared" si="0"/>
        <v>0</v>
      </c>
      <c r="Q53" s="561">
        <f t="shared" si="1"/>
        <v>6310.2551275922724</v>
      </c>
      <c r="R53" s="561">
        <f t="shared" si="2"/>
        <v>12797.812368882627</v>
      </c>
      <c r="S53" s="561">
        <f t="shared" si="3"/>
        <v>11850.888117551311</v>
      </c>
      <c r="T53" s="561">
        <f t="shared" si="4"/>
        <v>0</v>
      </c>
      <c r="U53" s="561">
        <f t="shared" si="5"/>
        <v>0</v>
      </c>
      <c r="V53" s="561">
        <f t="shared" si="6"/>
        <v>0</v>
      </c>
      <c r="W53" s="675">
        <f t="shared" si="7"/>
        <v>0</v>
      </c>
      <c r="X53" s="675">
        <f t="shared" si="8"/>
        <v>0</v>
      </c>
      <c r="Y53" s="675">
        <f t="shared" si="8"/>
        <v>0</v>
      </c>
      <c r="Z53" s="86">
        <v>31</v>
      </c>
      <c r="AA53" s="87">
        <v>0</v>
      </c>
      <c r="AB53" s="87">
        <v>8</v>
      </c>
      <c r="AC53" s="87">
        <v>15</v>
      </c>
      <c r="AD53" s="87">
        <v>15</v>
      </c>
      <c r="AE53" s="87">
        <v>0</v>
      </c>
      <c r="AF53" s="87">
        <v>0</v>
      </c>
      <c r="AG53" s="87">
        <v>0</v>
      </c>
      <c r="AH53" s="87">
        <v>0</v>
      </c>
      <c r="AI53" s="1094">
        <f>'2022-23 Input'!N53</f>
        <v>0</v>
      </c>
      <c r="AJ53" s="665">
        <v>0</v>
      </c>
      <c r="AK53" s="127">
        <f t="shared" si="63"/>
        <v>0</v>
      </c>
      <c r="AL53" s="128">
        <f t="shared" si="64"/>
        <v>0</v>
      </c>
      <c r="AM53" s="129">
        <f t="shared" si="65"/>
        <v>0</v>
      </c>
      <c r="AN53" s="91">
        <f t="shared" si="66"/>
        <v>545.77646821928181</v>
      </c>
      <c r="AO53" s="92" t="str">
        <f t="shared" si="67"/>
        <v/>
      </c>
      <c r="AP53" s="92">
        <f t="shared" si="68"/>
        <v>601.20307575710342</v>
      </c>
      <c r="AQ53" s="92">
        <f t="shared" si="69"/>
        <v>662.86721183974146</v>
      </c>
      <c r="AR53" s="92">
        <f t="shared" si="70"/>
        <v>626.57421629662883</v>
      </c>
      <c r="AS53" s="92" t="str">
        <f t="shared" si="71"/>
        <v/>
      </c>
      <c r="AT53" s="92" t="str">
        <f t="shared" si="72"/>
        <v/>
      </c>
      <c r="AU53" s="92" t="str">
        <f t="shared" si="73"/>
        <v/>
      </c>
      <c r="AV53" s="92" t="str">
        <f t="shared" si="74"/>
        <v/>
      </c>
      <c r="AW53" s="92" t="str">
        <f t="shared" si="74"/>
        <v/>
      </c>
      <c r="AX53" s="92" t="str">
        <f t="shared" si="74"/>
        <v/>
      </c>
      <c r="AY53" s="93" t="str">
        <f t="shared" si="75"/>
        <v/>
      </c>
      <c r="AZ53" s="94" t="str">
        <f t="shared" si="76"/>
        <v/>
      </c>
      <c r="BA53" s="95" t="str">
        <f t="shared" si="77"/>
        <v/>
      </c>
      <c r="BB53" s="248" t="s">
        <v>422</v>
      </c>
      <c r="BC53" s="229" t="s">
        <v>433</v>
      </c>
      <c r="BD53" s="249">
        <v>0</v>
      </c>
      <c r="BE53" s="267">
        <f t="shared" si="28"/>
        <v>0</v>
      </c>
      <c r="BF53" s="268">
        <f t="shared" ref="BF53:BL53" si="94">IF(BF$6=$BB53,1,
IF(BE53&lt;&gt;0,BE53+1,0
))</f>
        <v>0</v>
      </c>
      <c r="BG53" s="268">
        <f t="shared" si="94"/>
        <v>0</v>
      </c>
      <c r="BH53" s="268">
        <f t="shared" si="94"/>
        <v>1</v>
      </c>
      <c r="BI53" s="268">
        <f t="shared" si="94"/>
        <v>2</v>
      </c>
      <c r="BJ53" s="268">
        <f t="shared" si="94"/>
        <v>3</v>
      </c>
      <c r="BK53" s="268">
        <f t="shared" si="94"/>
        <v>4</v>
      </c>
      <c r="BL53" s="269">
        <f t="shared" si="94"/>
        <v>5</v>
      </c>
      <c r="BM53" s="256">
        <f>IF($BC53=Lookup!$A$2,$BD53*ROUNDUP(BE53/10,0)+1,
IF($BC53=Lookup!$A$3,($BD53+1)^BD53,
IF($BC53=Lookup!$A$4,BE53*$BD53+1,"Error")))</f>
        <v>1</v>
      </c>
      <c r="BN53" s="229">
        <f>IF($BC53=Lookup!$A$2,$BD53*ROUNDUP(BF53/10,0)+1,
IF($BC53=Lookup!$A$3,($BD53+1)^BE53,
IF($BC53=Lookup!$A$4,BF53*$BD53+1,"Error")))</f>
        <v>1</v>
      </c>
      <c r="BO53" s="229">
        <f>IF($BC53=Lookup!$A$2,$BD53*ROUNDUP(BG53/10,0)+1,
IF($BC53=Lookup!$A$3,($BD53+1)^BF53,
IF($BC53=Lookup!$A$4,BG53*$BD53+1,"Error")))</f>
        <v>1</v>
      </c>
      <c r="BP53" s="229">
        <f>IF($BC53=Lookup!$A$2,$BD53*ROUNDUP(BH53/10,0)+1,
IF($BC53=Lookup!$A$3,($BD53+1)^BG53,
IF($BC53=Lookup!$A$4,BH53*$BD53+1,"Error")))</f>
        <v>1</v>
      </c>
      <c r="BQ53" s="229">
        <f>IF($BC53=Lookup!$A$2,$BD53*ROUNDUP(BI53/10,0)+1,
IF($BC53=Lookup!$A$3,($BD53+1)^BH53,
IF($BC53=Lookup!$A$4,BI53*$BD53+1,"Error")))</f>
        <v>1</v>
      </c>
      <c r="BR53" s="229">
        <f>IF($BC53=Lookup!$A$2,$BD53*ROUNDUP(BJ53/10,0)+1,
IF($BC53=Lookup!$A$3,($BD53+1)^BI53,
IF($BC53=Lookup!$A$4,BJ53*$BD53+1,"Error")))</f>
        <v>1</v>
      </c>
      <c r="BS53" s="229">
        <f>IF($BC53=Lookup!$A$2,$BD53*ROUNDUP(BK53/10,0)+1,
IF($BC53=Lookup!$A$3,($BD53+1)^BJ53,
IF($BC53=Lookup!$A$4,BK53*$BD53+1,"Error")))</f>
        <v>1</v>
      </c>
      <c r="BT53" s="249">
        <f>IF($BC53=Lookup!$A$2,$BD53*ROUNDUP(BL53/10,0)+1,
IF($BC53=Lookup!$A$3,($BD53+1)^BK53,
IF($BC53=Lookup!$A$4,BL53*$BD53+1,"Error")))</f>
        <v>1</v>
      </c>
      <c r="BU53" s="320"/>
      <c r="BV53" s="321"/>
      <c r="BW53" s="321"/>
      <c r="BX53" s="321"/>
      <c r="BY53" s="321"/>
      <c r="BZ53" s="321"/>
      <c r="CA53" s="321"/>
      <c r="CB53" s="277"/>
      <c r="CC53" s="382" t="s">
        <v>293</v>
      </c>
      <c r="CD53" s="383">
        <f>HLOOKUP($CC53,$AK$6:$AM$132,ROWS(CC$6:CC53),0)</f>
        <v>0</v>
      </c>
      <c r="CE53" s="234">
        <f t="shared" si="30"/>
        <v>0</v>
      </c>
      <c r="CF53" s="96">
        <f t="shared" si="30"/>
        <v>0</v>
      </c>
      <c r="CG53" s="96">
        <f t="shared" si="30"/>
        <v>0</v>
      </c>
      <c r="CH53" s="96">
        <f t="shared" si="30"/>
        <v>0</v>
      </c>
      <c r="CI53" s="96">
        <f t="shared" si="84"/>
        <v>0</v>
      </c>
      <c r="CJ53" s="96">
        <f t="shared" si="84"/>
        <v>0</v>
      </c>
      <c r="CK53" s="96">
        <f t="shared" si="84"/>
        <v>0</v>
      </c>
      <c r="CL53" s="286">
        <f t="shared" si="84"/>
        <v>0</v>
      </c>
      <c r="CM53" s="305" t="s">
        <v>292</v>
      </c>
      <c r="CN53" s="315">
        <v>0.05</v>
      </c>
      <c r="CO53" s="306"/>
      <c r="CP53" s="307" t="str">
        <f>IF($CO53&lt;&gt;"",$CO53,HLOOKUP($CM53,$AY$6:$BA$132,ROWS(CO$6:CO53),0))</f>
        <v/>
      </c>
      <c r="CQ53" s="784" t="str">
        <f t="shared" si="79"/>
        <v/>
      </c>
      <c r="CR53" s="784" t="str">
        <f t="shared" si="79"/>
        <v/>
      </c>
      <c r="CS53" s="97" t="str">
        <f t="shared" si="79"/>
        <v/>
      </c>
      <c r="CT53" s="97" t="str">
        <f t="shared" si="79"/>
        <v/>
      </c>
      <c r="CU53" s="97" t="str">
        <f t="shared" si="79"/>
        <v/>
      </c>
      <c r="CV53" s="97" t="str">
        <f t="shared" si="79"/>
        <v/>
      </c>
      <c r="CW53" s="97" t="str">
        <f t="shared" si="79"/>
        <v/>
      </c>
      <c r="CX53" s="98" t="str">
        <f t="shared" si="62"/>
        <v/>
      </c>
      <c r="CY53" s="392"/>
    </row>
    <row r="54" spans="1:103" x14ac:dyDescent="0.25">
      <c r="A54" s="81" t="s">
        <v>106</v>
      </c>
      <c r="B54" s="82" t="s">
        <v>111</v>
      </c>
      <c r="C54" s="83" t="s">
        <v>331</v>
      </c>
      <c r="D54" s="84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654">
        <f>'2022-23 Input'!G54</f>
        <v>0</v>
      </c>
      <c r="N54" s="1065">
        <v>0</v>
      </c>
      <c r="O54" s="560">
        <f t="shared" si="27"/>
        <v>0</v>
      </c>
      <c r="P54" s="561">
        <f t="shared" si="0"/>
        <v>0</v>
      </c>
      <c r="Q54" s="561">
        <f t="shared" si="1"/>
        <v>0</v>
      </c>
      <c r="R54" s="561">
        <f t="shared" si="2"/>
        <v>0</v>
      </c>
      <c r="S54" s="561">
        <f t="shared" si="3"/>
        <v>0</v>
      </c>
      <c r="T54" s="561">
        <f t="shared" si="4"/>
        <v>0</v>
      </c>
      <c r="U54" s="561">
        <f t="shared" si="5"/>
        <v>0</v>
      </c>
      <c r="V54" s="561">
        <f t="shared" si="6"/>
        <v>0</v>
      </c>
      <c r="W54" s="675">
        <f t="shared" si="7"/>
        <v>0</v>
      </c>
      <c r="X54" s="675">
        <f t="shared" si="8"/>
        <v>0</v>
      </c>
      <c r="Y54" s="675">
        <f t="shared" si="8"/>
        <v>0</v>
      </c>
      <c r="Z54" s="86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1094">
        <f>'2022-23 Input'!N54</f>
        <v>0</v>
      </c>
      <c r="AJ54" s="665">
        <v>0</v>
      </c>
      <c r="AK54" s="127">
        <f t="shared" si="63"/>
        <v>0</v>
      </c>
      <c r="AL54" s="128">
        <f t="shared" si="64"/>
        <v>0</v>
      </c>
      <c r="AM54" s="129">
        <f t="shared" si="65"/>
        <v>0</v>
      </c>
      <c r="AN54" s="91" t="str">
        <f t="shared" si="66"/>
        <v/>
      </c>
      <c r="AO54" s="92" t="str">
        <f t="shared" si="67"/>
        <v/>
      </c>
      <c r="AP54" s="92" t="str">
        <f t="shared" si="68"/>
        <v/>
      </c>
      <c r="AQ54" s="92" t="str">
        <f t="shared" si="69"/>
        <v/>
      </c>
      <c r="AR54" s="92" t="str">
        <f t="shared" si="70"/>
        <v/>
      </c>
      <c r="AS54" s="92" t="str">
        <f t="shared" si="71"/>
        <v/>
      </c>
      <c r="AT54" s="92" t="str">
        <f t="shared" si="72"/>
        <v/>
      </c>
      <c r="AU54" s="92" t="str">
        <f t="shared" si="73"/>
        <v/>
      </c>
      <c r="AV54" s="92" t="str">
        <f t="shared" si="74"/>
        <v/>
      </c>
      <c r="AW54" s="92" t="str">
        <f t="shared" si="74"/>
        <v/>
      </c>
      <c r="AX54" s="92" t="str">
        <f t="shared" si="74"/>
        <v/>
      </c>
      <c r="AY54" s="93" t="str">
        <f t="shared" si="75"/>
        <v/>
      </c>
      <c r="AZ54" s="94" t="str">
        <f t="shared" si="76"/>
        <v/>
      </c>
      <c r="BA54" s="95" t="str">
        <f t="shared" si="77"/>
        <v/>
      </c>
      <c r="BB54" s="248" t="s">
        <v>422</v>
      </c>
      <c r="BC54" s="229" t="s">
        <v>433</v>
      </c>
      <c r="BD54" s="249">
        <v>0</v>
      </c>
      <c r="BE54" s="267">
        <f t="shared" si="28"/>
        <v>0</v>
      </c>
      <c r="BF54" s="268">
        <f t="shared" ref="BF54:BL54" si="95">IF(BF$6=$BB54,1,
IF(BE54&lt;&gt;0,BE54+1,0
))</f>
        <v>0</v>
      </c>
      <c r="BG54" s="268">
        <f t="shared" si="95"/>
        <v>0</v>
      </c>
      <c r="BH54" s="268">
        <f t="shared" si="95"/>
        <v>1</v>
      </c>
      <c r="BI54" s="268">
        <f t="shared" si="95"/>
        <v>2</v>
      </c>
      <c r="BJ54" s="268">
        <f t="shared" si="95"/>
        <v>3</v>
      </c>
      <c r="BK54" s="268">
        <f t="shared" si="95"/>
        <v>4</v>
      </c>
      <c r="BL54" s="269">
        <f t="shared" si="95"/>
        <v>5</v>
      </c>
      <c r="BM54" s="256">
        <f>IF($BC54=Lookup!$A$2,$BD54*ROUNDUP(BE54/10,0)+1,
IF($BC54=Lookup!$A$3,($BD54+1)^BD54,
IF($BC54=Lookup!$A$4,BE54*$BD54+1,"Error")))</f>
        <v>1</v>
      </c>
      <c r="BN54" s="229">
        <f>IF($BC54=Lookup!$A$2,$BD54*ROUNDUP(BF54/10,0)+1,
IF($BC54=Lookup!$A$3,($BD54+1)^BE54,
IF($BC54=Lookup!$A$4,BF54*$BD54+1,"Error")))</f>
        <v>1</v>
      </c>
      <c r="BO54" s="229">
        <f>IF($BC54=Lookup!$A$2,$BD54*ROUNDUP(BG54/10,0)+1,
IF($BC54=Lookup!$A$3,($BD54+1)^BF54,
IF($BC54=Lookup!$A$4,BG54*$BD54+1,"Error")))</f>
        <v>1</v>
      </c>
      <c r="BP54" s="229">
        <f>IF($BC54=Lookup!$A$2,$BD54*ROUNDUP(BH54/10,0)+1,
IF($BC54=Lookup!$A$3,($BD54+1)^BG54,
IF($BC54=Lookup!$A$4,BH54*$BD54+1,"Error")))</f>
        <v>1</v>
      </c>
      <c r="BQ54" s="229">
        <f>IF($BC54=Lookup!$A$2,$BD54*ROUNDUP(BI54/10,0)+1,
IF($BC54=Lookup!$A$3,($BD54+1)^BH54,
IF($BC54=Lookup!$A$4,BI54*$BD54+1,"Error")))</f>
        <v>1</v>
      </c>
      <c r="BR54" s="229">
        <f>IF($BC54=Lookup!$A$2,$BD54*ROUNDUP(BJ54/10,0)+1,
IF($BC54=Lookup!$A$3,($BD54+1)^BI54,
IF($BC54=Lookup!$A$4,BJ54*$BD54+1,"Error")))</f>
        <v>1</v>
      </c>
      <c r="BS54" s="229">
        <f>IF($BC54=Lookup!$A$2,$BD54*ROUNDUP(BK54/10,0)+1,
IF($BC54=Lookup!$A$3,($BD54+1)^BJ54,
IF($BC54=Lookup!$A$4,BK54*$BD54+1,"Error")))</f>
        <v>1</v>
      </c>
      <c r="BT54" s="249">
        <f>IF($BC54=Lookup!$A$2,$BD54*ROUNDUP(BL54/10,0)+1,
IF($BC54=Lookup!$A$3,($BD54+1)^BK54,
IF($BC54=Lookup!$A$4,BL54*$BD54+1,"Error")))</f>
        <v>1</v>
      </c>
      <c r="BU54" s="320"/>
      <c r="BV54" s="321"/>
      <c r="BW54" s="321"/>
      <c r="BX54" s="321"/>
      <c r="BY54" s="321"/>
      <c r="BZ54" s="321"/>
      <c r="CA54" s="321"/>
      <c r="CB54" s="277"/>
      <c r="CC54" s="382" t="s">
        <v>293</v>
      </c>
      <c r="CD54" s="383">
        <f>HLOOKUP($CC54,$AK$6:$AM$132,ROWS(CC$6:CC54),0)</f>
        <v>0</v>
      </c>
      <c r="CE54" s="234">
        <f t="shared" si="30"/>
        <v>0</v>
      </c>
      <c r="CF54" s="96">
        <f t="shared" si="30"/>
        <v>0</v>
      </c>
      <c r="CG54" s="96">
        <f t="shared" si="30"/>
        <v>0</v>
      </c>
      <c r="CH54" s="96">
        <f t="shared" si="30"/>
        <v>0</v>
      </c>
      <c r="CI54" s="96">
        <f t="shared" si="84"/>
        <v>0</v>
      </c>
      <c r="CJ54" s="96">
        <f t="shared" si="84"/>
        <v>0</v>
      </c>
      <c r="CK54" s="96">
        <f t="shared" si="84"/>
        <v>0</v>
      </c>
      <c r="CL54" s="286">
        <f t="shared" si="84"/>
        <v>0</v>
      </c>
      <c r="CM54" s="305" t="s">
        <v>293</v>
      </c>
      <c r="CN54" s="315">
        <v>0.05</v>
      </c>
      <c r="CO54" s="306"/>
      <c r="CP54" s="307" t="str">
        <f>IF($CO54&lt;&gt;"",$CO54,HLOOKUP($CM54,$AY$6:$BA$132,ROWS(CO$6:CO54),0))</f>
        <v/>
      </c>
      <c r="CQ54" s="784" t="str">
        <f t="shared" si="79"/>
        <v/>
      </c>
      <c r="CR54" s="784" t="str">
        <f t="shared" si="79"/>
        <v/>
      </c>
      <c r="CS54" s="97" t="str">
        <f t="shared" si="79"/>
        <v/>
      </c>
      <c r="CT54" s="97" t="str">
        <f t="shared" si="79"/>
        <v/>
      </c>
      <c r="CU54" s="97" t="str">
        <f t="shared" si="79"/>
        <v/>
      </c>
      <c r="CV54" s="97" t="str">
        <f t="shared" si="79"/>
        <v/>
      </c>
      <c r="CW54" s="97" t="str">
        <f t="shared" si="79"/>
        <v/>
      </c>
      <c r="CX54" s="98" t="str">
        <f t="shared" si="62"/>
        <v/>
      </c>
      <c r="CY54" s="392"/>
    </row>
    <row r="55" spans="1:103" x14ac:dyDescent="0.25">
      <c r="A55" s="81" t="s">
        <v>106</v>
      </c>
      <c r="B55" s="82" t="s">
        <v>113</v>
      </c>
      <c r="C55" s="83" t="s">
        <v>333</v>
      </c>
      <c r="D55" s="84">
        <v>0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654">
        <f>'2022-23 Input'!G55</f>
        <v>0</v>
      </c>
      <c r="N55" s="1065">
        <v>0</v>
      </c>
      <c r="O55" s="560">
        <f t="shared" si="27"/>
        <v>0</v>
      </c>
      <c r="P55" s="561">
        <f t="shared" si="0"/>
        <v>0</v>
      </c>
      <c r="Q55" s="561">
        <f t="shared" si="1"/>
        <v>0</v>
      </c>
      <c r="R55" s="561">
        <f t="shared" si="2"/>
        <v>0</v>
      </c>
      <c r="S55" s="561">
        <f t="shared" si="3"/>
        <v>0</v>
      </c>
      <c r="T55" s="561">
        <f t="shared" si="4"/>
        <v>0</v>
      </c>
      <c r="U55" s="561">
        <f t="shared" si="5"/>
        <v>0</v>
      </c>
      <c r="V55" s="561">
        <f t="shared" si="6"/>
        <v>0</v>
      </c>
      <c r="W55" s="675">
        <f t="shared" si="7"/>
        <v>0</v>
      </c>
      <c r="X55" s="675">
        <f t="shared" si="8"/>
        <v>0</v>
      </c>
      <c r="Y55" s="675">
        <f t="shared" si="8"/>
        <v>0</v>
      </c>
      <c r="Z55" s="86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1094">
        <f>'2022-23 Input'!N55</f>
        <v>0</v>
      </c>
      <c r="AJ55" s="665">
        <v>0</v>
      </c>
      <c r="AK55" s="127">
        <f t="shared" si="63"/>
        <v>0</v>
      </c>
      <c r="AL55" s="128">
        <f t="shared" si="64"/>
        <v>0</v>
      </c>
      <c r="AM55" s="129">
        <f t="shared" si="65"/>
        <v>0</v>
      </c>
      <c r="AN55" s="91" t="str">
        <f t="shared" si="66"/>
        <v/>
      </c>
      <c r="AO55" s="92" t="str">
        <f t="shared" si="67"/>
        <v/>
      </c>
      <c r="AP55" s="92" t="str">
        <f t="shared" si="68"/>
        <v/>
      </c>
      <c r="AQ55" s="92" t="str">
        <f t="shared" si="69"/>
        <v/>
      </c>
      <c r="AR55" s="92" t="str">
        <f t="shared" si="70"/>
        <v/>
      </c>
      <c r="AS55" s="92" t="str">
        <f t="shared" si="71"/>
        <v/>
      </c>
      <c r="AT55" s="92" t="str">
        <f t="shared" si="72"/>
        <v/>
      </c>
      <c r="AU55" s="92" t="str">
        <f t="shared" si="73"/>
        <v/>
      </c>
      <c r="AV55" s="92" t="str">
        <f t="shared" ref="AV55:AX70" si="96">IFERROR(L55/AH55,"")</f>
        <v/>
      </c>
      <c r="AW55" s="92" t="str">
        <f t="shared" si="96"/>
        <v/>
      </c>
      <c r="AX55" s="92" t="str">
        <f t="shared" si="96"/>
        <v/>
      </c>
      <c r="AY55" s="93" t="str">
        <f t="shared" si="75"/>
        <v/>
      </c>
      <c r="AZ55" s="94" t="str">
        <f t="shared" si="76"/>
        <v/>
      </c>
      <c r="BA55" s="95" t="str">
        <f t="shared" si="77"/>
        <v/>
      </c>
      <c r="BB55" s="248" t="s">
        <v>422</v>
      </c>
      <c r="BC55" s="229" t="s">
        <v>433</v>
      </c>
      <c r="BD55" s="249">
        <v>0</v>
      </c>
      <c r="BE55" s="267">
        <f t="shared" si="28"/>
        <v>0</v>
      </c>
      <c r="BF55" s="268">
        <f t="shared" ref="BF55:BL55" si="97">IF(BF$6=$BB55,1,
IF(BE55&lt;&gt;0,BE55+1,0
))</f>
        <v>0</v>
      </c>
      <c r="BG55" s="268">
        <f t="shared" si="97"/>
        <v>0</v>
      </c>
      <c r="BH55" s="268">
        <f t="shared" si="97"/>
        <v>1</v>
      </c>
      <c r="BI55" s="268">
        <f t="shared" si="97"/>
        <v>2</v>
      </c>
      <c r="BJ55" s="268">
        <f t="shared" si="97"/>
        <v>3</v>
      </c>
      <c r="BK55" s="268">
        <f t="shared" si="97"/>
        <v>4</v>
      </c>
      <c r="BL55" s="269">
        <f t="shared" si="97"/>
        <v>5</v>
      </c>
      <c r="BM55" s="256">
        <f>IF($BC55=Lookup!$A$2,$BD55*ROUNDUP(BE55/10,0)+1,
IF($BC55=Lookup!$A$3,($BD55+1)^BD55,
IF($BC55=Lookup!$A$4,BE55*$BD55+1,"Error")))</f>
        <v>1</v>
      </c>
      <c r="BN55" s="229">
        <f>IF($BC55=Lookup!$A$2,$BD55*ROUNDUP(BF55/10,0)+1,
IF($BC55=Lookup!$A$3,($BD55+1)^BE55,
IF($BC55=Lookup!$A$4,BF55*$BD55+1,"Error")))</f>
        <v>1</v>
      </c>
      <c r="BO55" s="229">
        <f>IF($BC55=Lookup!$A$2,$BD55*ROUNDUP(BG55/10,0)+1,
IF($BC55=Lookup!$A$3,($BD55+1)^BF55,
IF($BC55=Lookup!$A$4,BG55*$BD55+1,"Error")))</f>
        <v>1</v>
      </c>
      <c r="BP55" s="229">
        <f>IF($BC55=Lookup!$A$2,$BD55*ROUNDUP(BH55/10,0)+1,
IF($BC55=Lookup!$A$3,($BD55+1)^BG55,
IF($BC55=Lookup!$A$4,BH55*$BD55+1,"Error")))</f>
        <v>1</v>
      </c>
      <c r="BQ55" s="229">
        <f>IF($BC55=Lookup!$A$2,$BD55*ROUNDUP(BI55/10,0)+1,
IF($BC55=Lookup!$A$3,($BD55+1)^BH55,
IF($BC55=Lookup!$A$4,BI55*$BD55+1,"Error")))</f>
        <v>1</v>
      </c>
      <c r="BR55" s="229">
        <f>IF($BC55=Lookup!$A$2,$BD55*ROUNDUP(BJ55/10,0)+1,
IF($BC55=Lookup!$A$3,($BD55+1)^BI55,
IF($BC55=Lookup!$A$4,BJ55*$BD55+1,"Error")))</f>
        <v>1</v>
      </c>
      <c r="BS55" s="229">
        <f>IF($BC55=Lookup!$A$2,$BD55*ROUNDUP(BK55/10,0)+1,
IF($BC55=Lookup!$A$3,($BD55+1)^BJ55,
IF($BC55=Lookup!$A$4,BK55*$BD55+1,"Error")))</f>
        <v>1</v>
      </c>
      <c r="BT55" s="249">
        <f>IF($BC55=Lookup!$A$2,$BD55*ROUNDUP(BL55/10,0)+1,
IF($BC55=Lookup!$A$3,($BD55+1)^BK55,
IF($BC55=Lookup!$A$4,BL55*$BD55+1,"Error")))</f>
        <v>1</v>
      </c>
      <c r="BU55" s="320"/>
      <c r="BV55" s="321"/>
      <c r="BW55" s="321"/>
      <c r="BX55" s="321"/>
      <c r="BY55" s="321"/>
      <c r="BZ55" s="321"/>
      <c r="CA55" s="321"/>
      <c r="CB55" s="277"/>
      <c r="CC55" s="382" t="s">
        <v>293</v>
      </c>
      <c r="CD55" s="383">
        <f>HLOOKUP($CC55,$AK$6:$AM$132,ROWS(CC$6:CC55),0)</f>
        <v>0</v>
      </c>
      <c r="CE55" s="234">
        <f t="shared" si="30"/>
        <v>0</v>
      </c>
      <c r="CF55" s="96">
        <f t="shared" si="30"/>
        <v>0</v>
      </c>
      <c r="CG55" s="96">
        <f t="shared" si="30"/>
        <v>0</v>
      </c>
      <c r="CH55" s="96">
        <f t="shared" si="30"/>
        <v>0</v>
      </c>
      <c r="CI55" s="96">
        <f t="shared" si="84"/>
        <v>0</v>
      </c>
      <c r="CJ55" s="96">
        <f t="shared" si="84"/>
        <v>0</v>
      </c>
      <c r="CK55" s="96">
        <f t="shared" si="84"/>
        <v>0</v>
      </c>
      <c r="CL55" s="286">
        <f t="shared" si="84"/>
        <v>0</v>
      </c>
      <c r="CM55" s="305" t="s">
        <v>293</v>
      </c>
      <c r="CN55" s="315">
        <v>0.05</v>
      </c>
      <c r="CO55" s="306"/>
      <c r="CP55" s="307" t="str">
        <f>IF($CO55&lt;&gt;"",$CO55,HLOOKUP($CM55,$AY$6:$BA$132,ROWS(CO$6:CO55),0))</f>
        <v/>
      </c>
      <c r="CQ55" s="784" t="str">
        <f t="shared" si="79"/>
        <v/>
      </c>
      <c r="CR55" s="784" t="str">
        <f t="shared" si="79"/>
        <v/>
      </c>
      <c r="CS55" s="97" t="str">
        <f t="shared" si="79"/>
        <v/>
      </c>
      <c r="CT55" s="97" t="str">
        <f t="shared" si="79"/>
        <v/>
      </c>
      <c r="CU55" s="97" t="str">
        <f t="shared" si="79"/>
        <v/>
      </c>
      <c r="CV55" s="97" t="str">
        <f t="shared" si="79"/>
        <v/>
      </c>
      <c r="CW55" s="97" t="str">
        <f t="shared" si="79"/>
        <v/>
      </c>
      <c r="CX55" s="98" t="str">
        <f t="shared" si="62"/>
        <v/>
      </c>
      <c r="CY55" s="392"/>
    </row>
    <row r="56" spans="1:103" x14ac:dyDescent="0.25">
      <c r="A56" s="81" t="s">
        <v>106</v>
      </c>
      <c r="B56" s="82" t="s">
        <v>115</v>
      </c>
      <c r="C56" s="83" t="s">
        <v>335</v>
      </c>
      <c r="D56" s="84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654">
        <f>'2022-23 Input'!G56</f>
        <v>0</v>
      </c>
      <c r="N56" s="1065">
        <v>0</v>
      </c>
      <c r="O56" s="560">
        <f t="shared" si="27"/>
        <v>0</v>
      </c>
      <c r="P56" s="561">
        <f t="shared" si="0"/>
        <v>0</v>
      </c>
      <c r="Q56" s="561">
        <f t="shared" si="1"/>
        <v>0</v>
      </c>
      <c r="R56" s="561">
        <f t="shared" si="2"/>
        <v>0</v>
      </c>
      <c r="S56" s="561">
        <f t="shared" si="3"/>
        <v>0</v>
      </c>
      <c r="T56" s="561">
        <f t="shared" si="4"/>
        <v>0</v>
      </c>
      <c r="U56" s="561">
        <f t="shared" si="5"/>
        <v>0</v>
      </c>
      <c r="V56" s="561">
        <f t="shared" si="6"/>
        <v>0</v>
      </c>
      <c r="W56" s="675">
        <f t="shared" si="7"/>
        <v>0</v>
      </c>
      <c r="X56" s="675">
        <f t="shared" si="8"/>
        <v>0</v>
      </c>
      <c r="Y56" s="675">
        <f t="shared" si="8"/>
        <v>0</v>
      </c>
      <c r="Z56" s="86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1094">
        <f>'2022-23 Input'!N56</f>
        <v>0</v>
      </c>
      <c r="AJ56" s="665">
        <v>0</v>
      </c>
      <c r="AK56" s="127">
        <f t="shared" si="63"/>
        <v>0</v>
      </c>
      <c r="AL56" s="128">
        <f t="shared" si="64"/>
        <v>0</v>
      </c>
      <c r="AM56" s="129">
        <f t="shared" si="65"/>
        <v>0</v>
      </c>
      <c r="AN56" s="91" t="str">
        <f t="shared" si="66"/>
        <v/>
      </c>
      <c r="AO56" s="92" t="str">
        <f t="shared" si="67"/>
        <v/>
      </c>
      <c r="AP56" s="92" t="str">
        <f t="shared" si="68"/>
        <v/>
      </c>
      <c r="AQ56" s="92" t="str">
        <f t="shared" si="69"/>
        <v/>
      </c>
      <c r="AR56" s="92" t="str">
        <f t="shared" si="70"/>
        <v/>
      </c>
      <c r="AS56" s="92" t="str">
        <f t="shared" si="71"/>
        <v/>
      </c>
      <c r="AT56" s="92" t="str">
        <f t="shared" si="72"/>
        <v/>
      </c>
      <c r="AU56" s="92" t="str">
        <f t="shared" si="73"/>
        <v/>
      </c>
      <c r="AV56" s="92" t="str">
        <f t="shared" si="96"/>
        <v/>
      </c>
      <c r="AW56" s="92" t="str">
        <f t="shared" si="96"/>
        <v/>
      </c>
      <c r="AX56" s="92" t="str">
        <f t="shared" si="96"/>
        <v/>
      </c>
      <c r="AY56" s="93" t="str">
        <f t="shared" si="75"/>
        <v/>
      </c>
      <c r="AZ56" s="94" t="str">
        <f t="shared" si="76"/>
        <v/>
      </c>
      <c r="BA56" s="95" t="str">
        <f t="shared" si="77"/>
        <v/>
      </c>
      <c r="BB56" s="248" t="s">
        <v>422</v>
      </c>
      <c r="BC56" s="229" t="s">
        <v>433</v>
      </c>
      <c r="BD56" s="249">
        <v>0</v>
      </c>
      <c r="BE56" s="267">
        <f t="shared" si="28"/>
        <v>0</v>
      </c>
      <c r="BF56" s="268">
        <f t="shared" ref="BF56:BL56" si="98">IF(BF$6=$BB56,1,
IF(BE56&lt;&gt;0,BE56+1,0
))</f>
        <v>0</v>
      </c>
      <c r="BG56" s="268">
        <f t="shared" si="98"/>
        <v>0</v>
      </c>
      <c r="BH56" s="268">
        <f t="shared" si="98"/>
        <v>1</v>
      </c>
      <c r="BI56" s="268">
        <f t="shared" si="98"/>
        <v>2</v>
      </c>
      <c r="BJ56" s="268">
        <f t="shared" si="98"/>
        <v>3</v>
      </c>
      <c r="BK56" s="268">
        <f t="shared" si="98"/>
        <v>4</v>
      </c>
      <c r="BL56" s="269">
        <f t="shared" si="98"/>
        <v>5</v>
      </c>
      <c r="BM56" s="256">
        <f>IF($BC56=Lookup!$A$2,$BD56*ROUNDUP(BE56/10,0)+1,
IF($BC56=Lookup!$A$3,($BD56+1)^BD56,
IF($BC56=Lookup!$A$4,BE56*$BD56+1,"Error")))</f>
        <v>1</v>
      </c>
      <c r="BN56" s="229">
        <f>IF($BC56=Lookup!$A$2,$BD56*ROUNDUP(BF56/10,0)+1,
IF($BC56=Lookup!$A$3,($BD56+1)^BE56,
IF($BC56=Lookup!$A$4,BF56*$BD56+1,"Error")))</f>
        <v>1</v>
      </c>
      <c r="BO56" s="229">
        <f>IF($BC56=Lookup!$A$2,$BD56*ROUNDUP(BG56/10,0)+1,
IF($BC56=Lookup!$A$3,($BD56+1)^BF56,
IF($BC56=Lookup!$A$4,BG56*$BD56+1,"Error")))</f>
        <v>1</v>
      </c>
      <c r="BP56" s="229">
        <f>IF($BC56=Lookup!$A$2,$BD56*ROUNDUP(BH56/10,0)+1,
IF($BC56=Lookup!$A$3,($BD56+1)^BG56,
IF($BC56=Lookup!$A$4,BH56*$BD56+1,"Error")))</f>
        <v>1</v>
      </c>
      <c r="BQ56" s="229">
        <f>IF($BC56=Lookup!$A$2,$BD56*ROUNDUP(BI56/10,0)+1,
IF($BC56=Lookup!$A$3,($BD56+1)^BH56,
IF($BC56=Lookup!$A$4,BI56*$BD56+1,"Error")))</f>
        <v>1</v>
      </c>
      <c r="BR56" s="229">
        <f>IF($BC56=Lookup!$A$2,$BD56*ROUNDUP(BJ56/10,0)+1,
IF($BC56=Lookup!$A$3,($BD56+1)^BI56,
IF($BC56=Lookup!$A$4,BJ56*$BD56+1,"Error")))</f>
        <v>1</v>
      </c>
      <c r="BS56" s="229">
        <f>IF($BC56=Lookup!$A$2,$BD56*ROUNDUP(BK56/10,0)+1,
IF($BC56=Lookup!$A$3,($BD56+1)^BJ56,
IF($BC56=Lookup!$A$4,BK56*$BD56+1,"Error")))</f>
        <v>1</v>
      </c>
      <c r="BT56" s="249">
        <f>IF($BC56=Lookup!$A$2,$BD56*ROUNDUP(BL56/10,0)+1,
IF($BC56=Lookup!$A$3,($BD56+1)^BK56,
IF($BC56=Lookup!$A$4,BL56*$BD56+1,"Error")))</f>
        <v>1</v>
      </c>
      <c r="BU56" s="320"/>
      <c r="BV56" s="321"/>
      <c r="BW56" s="321"/>
      <c r="BX56" s="321"/>
      <c r="BY56" s="321"/>
      <c r="BZ56" s="321"/>
      <c r="CA56" s="321"/>
      <c r="CB56" s="277"/>
      <c r="CC56" s="382" t="s">
        <v>293</v>
      </c>
      <c r="CD56" s="383">
        <f>HLOOKUP($CC56,$AK$6:$AM$132,ROWS(CC$6:CC56),0)</f>
        <v>0</v>
      </c>
      <c r="CE56" s="239">
        <f t="shared" si="30"/>
        <v>0</v>
      </c>
      <c r="CF56" s="140">
        <f t="shared" si="30"/>
        <v>0</v>
      </c>
      <c r="CG56" s="140">
        <f t="shared" si="30"/>
        <v>0</v>
      </c>
      <c r="CH56" s="140">
        <f t="shared" si="30"/>
        <v>0</v>
      </c>
      <c r="CI56" s="140">
        <f t="shared" si="84"/>
        <v>0</v>
      </c>
      <c r="CJ56" s="140">
        <f t="shared" si="84"/>
        <v>0</v>
      </c>
      <c r="CK56" s="140">
        <f t="shared" si="84"/>
        <v>0</v>
      </c>
      <c r="CL56" s="291">
        <f t="shared" si="84"/>
        <v>0</v>
      </c>
      <c r="CM56" s="305" t="s">
        <v>293</v>
      </c>
      <c r="CN56" s="315">
        <v>0.05</v>
      </c>
      <c r="CO56" s="306"/>
      <c r="CP56" s="307" t="str">
        <f>IF($CO56&lt;&gt;"",$CO56,HLOOKUP($CM56,$AY$6:$BA$132,ROWS(CO$6:CO56),0))</f>
        <v/>
      </c>
      <c r="CQ56" s="784" t="str">
        <f t="shared" si="79"/>
        <v/>
      </c>
      <c r="CR56" s="784" t="str">
        <f t="shared" si="79"/>
        <v/>
      </c>
      <c r="CS56" s="97" t="str">
        <f t="shared" si="79"/>
        <v/>
      </c>
      <c r="CT56" s="97" t="str">
        <f t="shared" si="79"/>
        <v/>
      </c>
      <c r="CU56" s="97" t="str">
        <f t="shared" si="79"/>
        <v/>
      </c>
      <c r="CV56" s="97" t="str">
        <f t="shared" si="79"/>
        <v/>
      </c>
      <c r="CW56" s="97" t="str">
        <f t="shared" si="79"/>
        <v/>
      </c>
      <c r="CX56" s="98" t="str">
        <f t="shared" si="62"/>
        <v/>
      </c>
      <c r="CY56" s="392"/>
    </row>
    <row r="57" spans="1:103" x14ac:dyDescent="0.25">
      <c r="A57" s="81" t="s">
        <v>106</v>
      </c>
      <c r="B57" s="82" t="s">
        <v>117</v>
      </c>
      <c r="C57" s="83" t="s">
        <v>337</v>
      </c>
      <c r="D57" s="84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654">
        <f>'2022-23 Input'!G57</f>
        <v>0</v>
      </c>
      <c r="N57" s="1065">
        <v>0</v>
      </c>
      <c r="O57" s="560">
        <f t="shared" si="27"/>
        <v>0</v>
      </c>
      <c r="P57" s="561">
        <f t="shared" si="0"/>
        <v>0</v>
      </c>
      <c r="Q57" s="561">
        <f t="shared" si="1"/>
        <v>0</v>
      </c>
      <c r="R57" s="561">
        <f t="shared" si="2"/>
        <v>0</v>
      </c>
      <c r="S57" s="561">
        <f t="shared" si="3"/>
        <v>0</v>
      </c>
      <c r="T57" s="561">
        <f t="shared" si="4"/>
        <v>0</v>
      </c>
      <c r="U57" s="561">
        <f t="shared" si="5"/>
        <v>0</v>
      </c>
      <c r="V57" s="561">
        <f t="shared" si="6"/>
        <v>0</v>
      </c>
      <c r="W57" s="675">
        <f t="shared" si="7"/>
        <v>0</v>
      </c>
      <c r="X57" s="675">
        <f t="shared" si="8"/>
        <v>0</v>
      </c>
      <c r="Y57" s="675">
        <f t="shared" si="8"/>
        <v>0</v>
      </c>
      <c r="Z57" s="86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1094">
        <f>'2022-23 Input'!N57</f>
        <v>0</v>
      </c>
      <c r="AJ57" s="665">
        <v>0</v>
      </c>
      <c r="AK57" s="127">
        <f t="shared" si="63"/>
        <v>0</v>
      </c>
      <c r="AL57" s="128">
        <f t="shared" si="64"/>
        <v>0</v>
      </c>
      <c r="AM57" s="129">
        <f t="shared" si="65"/>
        <v>0</v>
      </c>
      <c r="AN57" s="91" t="str">
        <f t="shared" si="66"/>
        <v/>
      </c>
      <c r="AO57" s="92" t="str">
        <f t="shared" si="67"/>
        <v/>
      </c>
      <c r="AP57" s="92" t="str">
        <f t="shared" si="68"/>
        <v/>
      </c>
      <c r="AQ57" s="92" t="str">
        <f t="shared" si="69"/>
        <v/>
      </c>
      <c r="AR57" s="92" t="str">
        <f t="shared" si="70"/>
        <v/>
      </c>
      <c r="AS57" s="92" t="str">
        <f t="shared" si="71"/>
        <v/>
      </c>
      <c r="AT57" s="92" t="str">
        <f t="shared" si="72"/>
        <v/>
      </c>
      <c r="AU57" s="92" t="str">
        <f t="shared" si="73"/>
        <v/>
      </c>
      <c r="AV57" s="92" t="str">
        <f t="shared" si="96"/>
        <v/>
      </c>
      <c r="AW57" s="92" t="str">
        <f t="shared" si="96"/>
        <v/>
      </c>
      <c r="AX57" s="92" t="str">
        <f t="shared" si="96"/>
        <v/>
      </c>
      <c r="AY57" s="93" t="str">
        <f t="shared" si="75"/>
        <v/>
      </c>
      <c r="AZ57" s="94" t="str">
        <f t="shared" si="76"/>
        <v/>
      </c>
      <c r="BA57" s="95" t="str">
        <f t="shared" si="77"/>
        <v/>
      </c>
      <c r="BB57" s="248" t="s">
        <v>422</v>
      </c>
      <c r="BC57" s="229" t="s">
        <v>433</v>
      </c>
      <c r="BD57" s="249">
        <v>0</v>
      </c>
      <c r="BE57" s="267">
        <f t="shared" si="28"/>
        <v>0</v>
      </c>
      <c r="BF57" s="268">
        <f t="shared" ref="BF57:BL57" si="99">IF(BF$6=$BB57,1,
IF(BE57&lt;&gt;0,BE57+1,0
))</f>
        <v>0</v>
      </c>
      <c r="BG57" s="268">
        <f t="shared" si="99"/>
        <v>0</v>
      </c>
      <c r="BH57" s="268">
        <f t="shared" si="99"/>
        <v>1</v>
      </c>
      <c r="BI57" s="268">
        <f t="shared" si="99"/>
        <v>2</v>
      </c>
      <c r="BJ57" s="268">
        <f t="shared" si="99"/>
        <v>3</v>
      </c>
      <c r="BK57" s="268">
        <f t="shared" si="99"/>
        <v>4</v>
      </c>
      <c r="BL57" s="269">
        <f t="shared" si="99"/>
        <v>5</v>
      </c>
      <c r="BM57" s="256">
        <f>IF($BC57=Lookup!$A$2,$BD57*ROUNDUP(BE57/10,0)+1,
IF($BC57=Lookup!$A$3,($BD57+1)^BD57,
IF($BC57=Lookup!$A$4,BE57*$BD57+1,"Error")))</f>
        <v>1</v>
      </c>
      <c r="BN57" s="229">
        <f>IF($BC57=Lookup!$A$2,$BD57*ROUNDUP(BF57/10,0)+1,
IF($BC57=Lookup!$A$3,($BD57+1)^BE57,
IF($BC57=Lookup!$A$4,BF57*$BD57+1,"Error")))</f>
        <v>1</v>
      </c>
      <c r="BO57" s="229">
        <f>IF($BC57=Lookup!$A$2,$BD57*ROUNDUP(BG57/10,0)+1,
IF($BC57=Lookup!$A$3,($BD57+1)^BF57,
IF($BC57=Lookup!$A$4,BG57*$BD57+1,"Error")))</f>
        <v>1</v>
      </c>
      <c r="BP57" s="229">
        <f>IF($BC57=Lookup!$A$2,$BD57*ROUNDUP(BH57/10,0)+1,
IF($BC57=Lookup!$A$3,($BD57+1)^BG57,
IF($BC57=Lookup!$A$4,BH57*$BD57+1,"Error")))</f>
        <v>1</v>
      </c>
      <c r="BQ57" s="229">
        <f>IF($BC57=Lookup!$A$2,$BD57*ROUNDUP(BI57/10,0)+1,
IF($BC57=Lookup!$A$3,($BD57+1)^BH57,
IF($BC57=Lookup!$A$4,BI57*$BD57+1,"Error")))</f>
        <v>1</v>
      </c>
      <c r="BR57" s="229">
        <f>IF($BC57=Lookup!$A$2,$BD57*ROUNDUP(BJ57/10,0)+1,
IF($BC57=Lookup!$A$3,($BD57+1)^BI57,
IF($BC57=Lookup!$A$4,BJ57*$BD57+1,"Error")))</f>
        <v>1</v>
      </c>
      <c r="BS57" s="229">
        <f>IF($BC57=Lookup!$A$2,$BD57*ROUNDUP(BK57/10,0)+1,
IF($BC57=Lookup!$A$3,($BD57+1)^BJ57,
IF($BC57=Lookup!$A$4,BK57*$BD57+1,"Error")))</f>
        <v>1</v>
      </c>
      <c r="BT57" s="249">
        <f>IF($BC57=Lookup!$A$2,$BD57*ROUNDUP(BL57/10,0)+1,
IF($BC57=Lookup!$A$3,($BD57+1)^BK57,
IF($BC57=Lookup!$A$4,BL57*$BD57+1,"Error")))</f>
        <v>1</v>
      </c>
      <c r="BU57" s="320"/>
      <c r="BV57" s="321"/>
      <c r="BW57" s="321"/>
      <c r="BX57" s="321"/>
      <c r="BY57" s="321"/>
      <c r="BZ57" s="321"/>
      <c r="CA57" s="321"/>
      <c r="CB57" s="277"/>
      <c r="CC57" s="382" t="s">
        <v>293</v>
      </c>
      <c r="CD57" s="383">
        <f>HLOOKUP($CC57,$AK$6:$AM$132,ROWS(CC$6:CC57),0)</f>
        <v>0</v>
      </c>
      <c r="CE57" s="239">
        <f t="shared" si="30"/>
        <v>0</v>
      </c>
      <c r="CF57" s="140">
        <f t="shared" si="30"/>
        <v>0</v>
      </c>
      <c r="CG57" s="140">
        <f t="shared" si="30"/>
        <v>0</v>
      </c>
      <c r="CH57" s="140">
        <f t="shared" si="30"/>
        <v>0</v>
      </c>
      <c r="CI57" s="140">
        <f t="shared" si="84"/>
        <v>0</v>
      </c>
      <c r="CJ57" s="140">
        <f t="shared" si="84"/>
        <v>0</v>
      </c>
      <c r="CK57" s="140">
        <f t="shared" si="84"/>
        <v>0</v>
      </c>
      <c r="CL57" s="291">
        <f t="shared" si="84"/>
        <v>0</v>
      </c>
      <c r="CM57" s="305" t="s">
        <v>293</v>
      </c>
      <c r="CN57" s="315">
        <v>0.05</v>
      </c>
      <c r="CO57" s="306"/>
      <c r="CP57" s="307" t="str">
        <f>IF($CO57&lt;&gt;"",$CO57,HLOOKUP($CM57,$AY$6:$BA$132,ROWS(CO$6:CO57),0))</f>
        <v/>
      </c>
      <c r="CQ57" s="784" t="str">
        <f t="shared" si="79"/>
        <v/>
      </c>
      <c r="CR57" s="784" t="str">
        <f t="shared" si="79"/>
        <v/>
      </c>
      <c r="CS57" s="97" t="str">
        <f t="shared" si="79"/>
        <v/>
      </c>
      <c r="CT57" s="97" t="str">
        <f t="shared" si="79"/>
        <v/>
      </c>
      <c r="CU57" s="97" t="str">
        <f t="shared" si="79"/>
        <v/>
      </c>
      <c r="CV57" s="97" t="str">
        <f t="shared" si="79"/>
        <v/>
      </c>
      <c r="CW57" s="97" t="str">
        <f t="shared" si="79"/>
        <v/>
      </c>
      <c r="CX57" s="98" t="str">
        <f t="shared" si="62"/>
        <v/>
      </c>
      <c r="CY57" s="392"/>
    </row>
    <row r="58" spans="1:103" x14ac:dyDescent="0.25">
      <c r="A58" s="81" t="s">
        <v>106</v>
      </c>
      <c r="B58" s="82" t="s">
        <v>119</v>
      </c>
      <c r="C58" s="83" t="s">
        <v>339</v>
      </c>
      <c r="D58" s="84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654">
        <f>'2022-23 Input'!G58</f>
        <v>0</v>
      </c>
      <c r="N58" s="1065">
        <v>0</v>
      </c>
      <c r="O58" s="560">
        <f t="shared" si="27"/>
        <v>0</v>
      </c>
      <c r="P58" s="561">
        <f t="shared" si="0"/>
        <v>0</v>
      </c>
      <c r="Q58" s="561">
        <f t="shared" si="1"/>
        <v>0</v>
      </c>
      <c r="R58" s="561">
        <f t="shared" si="2"/>
        <v>0</v>
      </c>
      <c r="S58" s="561">
        <f t="shared" si="3"/>
        <v>0</v>
      </c>
      <c r="T58" s="561">
        <f t="shared" si="4"/>
        <v>0</v>
      </c>
      <c r="U58" s="561">
        <f t="shared" si="5"/>
        <v>0</v>
      </c>
      <c r="V58" s="561">
        <f t="shared" si="6"/>
        <v>0</v>
      </c>
      <c r="W58" s="675">
        <f t="shared" si="7"/>
        <v>0</v>
      </c>
      <c r="X58" s="675">
        <f t="shared" si="8"/>
        <v>0</v>
      </c>
      <c r="Y58" s="675">
        <f t="shared" si="8"/>
        <v>0</v>
      </c>
      <c r="Z58" s="86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1094">
        <f>'2022-23 Input'!N58</f>
        <v>0</v>
      </c>
      <c r="AJ58" s="665">
        <v>0</v>
      </c>
      <c r="AK58" s="127">
        <f t="shared" si="63"/>
        <v>0</v>
      </c>
      <c r="AL58" s="128">
        <f t="shared" si="64"/>
        <v>0</v>
      </c>
      <c r="AM58" s="129">
        <f t="shared" si="65"/>
        <v>0</v>
      </c>
      <c r="AN58" s="91" t="str">
        <f t="shared" si="66"/>
        <v/>
      </c>
      <c r="AO58" s="92" t="str">
        <f t="shared" si="67"/>
        <v/>
      </c>
      <c r="AP58" s="92" t="str">
        <f t="shared" si="68"/>
        <v/>
      </c>
      <c r="AQ58" s="92" t="str">
        <f t="shared" si="69"/>
        <v/>
      </c>
      <c r="AR58" s="92" t="str">
        <f t="shared" si="70"/>
        <v/>
      </c>
      <c r="AS58" s="92" t="str">
        <f t="shared" si="71"/>
        <v/>
      </c>
      <c r="AT58" s="92" t="str">
        <f t="shared" si="72"/>
        <v/>
      </c>
      <c r="AU58" s="92" t="str">
        <f t="shared" si="73"/>
        <v/>
      </c>
      <c r="AV58" s="92" t="str">
        <f t="shared" si="96"/>
        <v/>
      </c>
      <c r="AW58" s="92" t="str">
        <f t="shared" si="96"/>
        <v/>
      </c>
      <c r="AX58" s="92" t="str">
        <f t="shared" si="96"/>
        <v/>
      </c>
      <c r="AY58" s="93" t="str">
        <f t="shared" si="75"/>
        <v/>
      </c>
      <c r="AZ58" s="94" t="str">
        <f t="shared" si="76"/>
        <v/>
      </c>
      <c r="BA58" s="95" t="str">
        <f t="shared" si="77"/>
        <v/>
      </c>
      <c r="BB58" s="248" t="s">
        <v>422</v>
      </c>
      <c r="BC58" s="229" t="s">
        <v>433</v>
      </c>
      <c r="BD58" s="249">
        <v>0</v>
      </c>
      <c r="BE58" s="267">
        <f t="shared" si="28"/>
        <v>0</v>
      </c>
      <c r="BF58" s="268">
        <f t="shared" ref="BF58:BL58" si="100">IF(BF$6=$BB58,1,
IF(BE58&lt;&gt;0,BE58+1,0
))</f>
        <v>0</v>
      </c>
      <c r="BG58" s="268">
        <f t="shared" si="100"/>
        <v>0</v>
      </c>
      <c r="BH58" s="268">
        <f t="shared" si="100"/>
        <v>1</v>
      </c>
      <c r="BI58" s="268">
        <f t="shared" si="100"/>
        <v>2</v>
      </c>
      <c r="BJ58" s="268">
        <f t="shared" si="100"/>
        <v>3</v>
      </c>
      <c r="BK58" s="268">
        <f t="shared" si="100"/>
        <v>4</v>
      </c>
      <c r="BL58" s="269">
        <f t="shared" si="100"/>
        <v>5</v>
      </c>
      <c r="BM58" s="256">
        <f>IF($BC58=Lookup!$A$2,$BD58*ROUNDUP(BE58/10,0)+1,
IF($BC58=Lookup!$A$3,($BD58+1)^BD58,
IF($BC58=Lookup!$A$4,BE58*$BD58+1,"Error")))</f>
        <v>1</v>
      </c>
      <c r="BN58" s="229">
        <f>IF($BC58=Lookup!$A$2,$BD58*ROUNDUP(BF58/10,0)+1,
IF($BC58=Lookup!$A$3,($BD58+1)^BE58,
IF($BC58=Lookup!$A$4,BF58*$BD58+1,"Error")))</f>
        <v>1</v>
      </c>
      <c r="BO58" s="229">
        <f>IF($BC58=Lookup!$A$2,$BD58*ROUNDUP(BG58/10,0)+1,
IF($BC58=Lookup!$A$3,($BD58+1)^BF58,
IF($BC58=Lookup!$A$4,BG58*$BD58+1,"Error")))</f>
        <v>1</v>
      </c>
      <c r="BP58" s="229">
        <f>IF($BC58=Lookup!$A$2,$BD58*ROUNDUP(BH58/10,0)+1,
IF($BC58=Lookup!$A$3,($BD58+1)^BG58,
IF($BC58=Lookup!$A$4,BH58*$BD58+1,"Error")))</f>
        <v>1</v>
      </c>
      <c r="BQ58" s="229">
        <f>IF($BC58=Lookup!$A$2,$BD58*ROUNDUP(BI58/10,0)+1,
IF($BC58=Lookup!$A$3,($BD58+1)^BH58,
IF($BC58=Lookup!$A$4,BI58*$BD58+1,"Error")))</f>
        <v>1</v>
      </c>
      <c r="BR58" s="229">
        <f>IF($BC58=Lookup!$A$2,$BD58*ROUNDUP(BJ58/10,0)+1,
IF($BC58=Lookup!$A$3,($BD58+1)^BI58,
IF($BC58=Lookup!$A$4,BJ58*$BD58+1,"Error")))</f>
        <v>1</v>
      </c>
      <c r="BS58" s="229">
        <f>IF($BC58=Lookup!$A$2,$BD58*ROUNDUP(BK58/10,0)+1,
IF($BC58=Lookup!$A$3,($BD58+1)^BJ58,
IF($BC58=Lookup!$A$4,BK58*$BD58+1,"Error")))</f>
        <v>1</v>
      </c>
      <c r="BT58" s="249">
        <f>IF($BC58=Lookup!$A$2,$BD58*ROUNDUP(BL58/10,0)+1,
IF($BC58=Lookup!$A$3,($BD58+1)^BK58,
IF($BC58=Lookup!$A$4,BL58*$BD58+1,"Error")))</f>
        <v>1</v>
      </c>
      <c r="BU58" s="320"/>
      <c r="BV58" s="321"/>
      <c r="BW58" s="321"/>
      <c r="BX58" s="321"/>
      <c r="BY58" s="321"/>
      <c r="BZ58" s="321"/>
      <c r="CA58" s="321"/>
      <c r="CB58" s="277"/>
      <c r="CC58" s="382" t="s">
        <v>293</v>
      </c>
      <c r="CD58" s="383">
        <f>HLOOKUP($CC58,$AK$6:$AM$132,ROWS(CC$6:CC58),0)</f>
        <v>0</v>
      </c>
      <c r="CE58" s="239">
        <f t="shared" si="30"/>
        <v>0</v>
      </c>
      <c r="CF58" s="140">
        <f t="shared" si="30"/>
        <v>0</v>
      </c>
      <c r="CG58" s="140">
        <f t="shared" si="30"/>
        <v>0</v>
      </c>
      <c r="CH58" s="140">
        <f t="shared" si="30"/>
        <v>0</v>
      </c>
      <c r="CI58" s="140">
        <f t="shared" si="84"/>
        <v>0</v>
      </c>
      <c r="CJ58" s="140">
        <f t="shared" si="84"/>
        <v>0</v>
      </c>
      <c r="CK58" s="140">
        <f t="shared" si="84"/>
        <v>0</v>
      </c>
      <c r="CL58" s="291">
        <f t="shared" si="84"/>
        <v>0</v>
      </c>
      <c r="CM58" s="305" t="s">
        <v>293</v>
      </c>
      <c r="CN58" s="315">
        <v>0.05</v>
      </c>
      <c r="CO58" s="306"/>
      <c r="CP58" s="307" t="str">
        <f>IF($CO58&lt;&gt;"",$CO58,HLOOKUP($CM58,$AY$6:$BA$132,ROWS(CO$6:CO58),0))</f>
        <v/>
      </c>
      <c r="CQ58" s="784" t="str">
        <f t="shared" si="79"/>
        <v/>
      </c>
      <c r="CR58" s="784" t="str">
        <f t="shared" si="79"/>
        <v/>
      </c>
      <c r="CS58" s="97" t="str">
        <f t="shared" si="79"/>
        <v/>
      </c>
      <c r="CT58" s="97" t="str">
        <f t="shared" si="79"/>
        <v/>
      </c>
      <c r="CU58" s="97" t="str">
        <f t="shared" si="79"/>
        <v/>
      </c>
      <c r="CV58" s="97" t="str">
        <f t="shared" si="79"/>
        <v/>
      </c>
      <c r="CW58" s="97" t="str">
        <f t="shared" si="79"/>
        <v/>
      </c>
      <c r="CX58" s="98" t="str">
        <f t="shared" si="62"/>
        <v/>
      </c>
      <c r="CY58" s="392"/>
    </row>
    <row r="59" spans="1:103" x14ac:dyDescent="0.25">
      <c r="A59" s="81" t="s">
        <v>106</v>
      </c>
      <c r="B59" s="82" t="s">
        <v>121</v>
      </c>
      <c r="C59" s="83" t="s">
        <v>341</v>
      </c>
      <c r="D59" s="84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654">
        <f>'2022-23 Input'!G59</f>
        <v>0</v>
      </c>
      <c r="N59" s="1065">
        <v>0</v>
      </c>
      <c r="O59" s="560">
        <f t="shared" si="27"/>
        <v>0</v>
      </c>
      <c r="P59" s="561">
        <f t="shared" si="0"/>
        <v>0</v>
      </c>
      <c r="Q59" s="561">
        <f t="shared" si="1"/>
        <v>0</v>
      </c>
      <c r="R59" s="561">
        <f t="shared" si="2"/>
        <v>0</v>
      </c>
      <c r="S59" s="561">
        <f t="shared" si="3"/>
        <v>0</v>
      </c>
      <c r="T59" s="561">
        <f t="shared" si="4"/>
        <v>0</v>
      </c>
      <c r="U59" s="561">
        <f t="shared" si="5"/>
        <v>0</v>
      </c>
      <c r="V59" s="561">
        <f t="shared" si="6"/>
        <v>0</v>
      </c>
      <c r="W59" s="675">
        <f t="shared" si="7"/>
        <v>0</v>
      </c>
      <c r="X59" s="675">
        <f t="shared" si="8"/>
        <v>0</v>
      </c>
      <c r="Y59" s="675">
        <f t="shared" si="8"/>
        <v>0</v>
      </c>
      <c r="Z59" s="86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1094">
        <f>'2022-23 Input'!N59</f>
        <v>0</v>
      </c>
      <c r="AJ59" s="665">
        <v>0</v>
      </c>
      <c r="AK59" s="127">
        <f t="shared" si="63"/>
        <v>0</v>
      </c>
      <c r="AL59" s="128">
        <f t="shared" si="64"/>
        <v>0</v>
      </c>
      <c r="AM59" s="129">
        <f t="shared" si="65"/>
        <v>0</v>
      </c>
      <c r="AN59" s="91" t="str">
        <f t="shared" si="66"/>
        <v/>
      </c>
      <c r="AO59" s="92" t="str">
        <f t="shared" si="67"/>
        <v/>
      </c>
      <c r="AP59" s="92" t="str">
        <f t="shared" si="68"/>
        <v/>
      </c>
      <c r="AQ59" s="92" t="str">
        <f t="shared" si="69"/>
        <v/>
      </c>
      <c r="AR59" s="92" t="str">
        <f t="shared" si="70"/>
        <v/>
      </c>
      <c r="AS59" s="92" t="str">
        <f t="shared" si="71"/>
        <v/>
      </c>
      <c r="AT59" s="92" t="str">
        <f t="shared" si="72"/>
        <v/>
      </c>
      <c r="AU59" s="92" t="str">
        <f t="shared" si="73"/>
        <v/>
      </c>
      <c r="AV59" s="92" t="str">
        <f t="shared" si="96"/>
        <v/>
      </c>
      <c r="AW59" s="92" t="str">
        <f t="shared" si="96"/>
        <v/>
      </c>
      <c r="AX59" s="92" t="str">
        <f t="shared" si="96"/>
        <v/>
      </c>
      <c r="AY59" s="93" t="str">
        <f t="shared" si="75"/>
        <v/>
      </c>
      <c r="AZ59" s="94" t="str">
        <f t="shared" si="76"/>
        <v/>
      </c>
      <c r="BA59" s="95" t="str">
        <f t="shared" si="77"/>
        <v/>
      </c>
      <c r="BB59" s="248" t="s">
        <v>422</v>
      </c>
      <c r="BC59" s="229" t="s">
        <v>433</v>
      </c>
      <c r="BD59" s="249">
        <v>0</v>
      </c>
      <c r="BE59" s="267">
        <f t="shared" si="28"/>
        <v>0</v>
      </c>
      <c r="BF59" s="268">
        <f t="shared" ref="BF59:BL59" si="101">IF(BF$6=$BB59,1,
IF(BE59&lt;&gt;0,BE59+1,0
))</f>
        <v>0</v>
      </c>
      <c r="BG59" s="268">
        <f t="shared" si="101"/>
        <v>0</v>
      </c>
      <c r="BH59" s="268">
        <f t="shared" si="101"/>
        <v>1</v>
      </c>
      <c r="BI59" s="268">
        <f t="shared" si="101"/>
        <v>2</v>
      </c>
      <c r="BJ59" s="268">
        <f t="shared" si="101"/>
        <v>3</v>
      </c>
      <c r="BK59" s="268">
        <f t="shared" si="101"/>
        <v>4</v>
      </c>
      <c r="BL59" s="269">
        <f t="shared" si="101"/>
        <v>5</v>
      </c>
      <c r="BM59" s="256">
        <f>IF($BC59=Lookup!$A$2,$BD59*ROUNDUP(BE59/10,0)+1,
IF($BC59=Lookup!$A$3,($BD59+1)^BD59,
IF($BC59=Lookup!$A$4,BE59*$BD59+1,"Error")))</f>
        <v>1</v>
      </c>
      <c r="BN59" s="229">
        <f>IF($BC59=Lookup!$A$2,$BD59*ROUNDUP(BF59/10,0)+1,
IF($BC59=Lookup!$A$3,($BD59+1)^BE59,
IF($BC59=Lookup!$A$4,BF59*$BD59+1,"Error")))</f>
        <v>1</v>
      </c>
      <c r="BO59" s="229">
        <f>IF($BC59=Lookup!$A$2,$BD59*ROUNDUP(BG59/10,0)+1,
IF($BC59=Lookup!$A$3,($BD59+1)^BF59,
IF($BC59=Lookup!$A$4,BG59*$BD59+1,"Error")))</f>
        <v>1</v>
      </c>
      <c r="BP59" s="229">
        <f>IF($BC59=Lookup!$A$2,$BD59*ROUNDUP(BH59/10,0)+1,
IF($BC59=Lookup!$A$3,($BD59+1)^BG59,
IF($BC59=Lookup!$A$4,BH59*$BD59+1,"Error")))</f>
        <v>1</v>
      </c>
      <c r="BQ59" s="229">
        <f>IF($BC59=Lookup!$A$2,$BD59*ROUNDUP(BI59/10,0)+1,
IF($BC59=Lookup!$A$3,($BD59+1)^BH59,
IF($BC59=Lookup!$A$4,BI59*$BD59+1,"Error")))</f>
        <v>1</v>
      </c>
      <c r="BR59" s="229">
        <f>IF($BC59=Lookup!$A$2,$BD59*ROUNDUP(BJ59/10,0)+1,
IF($BC59=Lookup!$A$3,($BD59+1)^BI59,
IF($BC59=Lookup!$A$4,BJ59*$BD59+1,"Error")))</f>
        <v>1</v>
      </c>
      <c r="BS59" s="229">
        <f>IF($BC59=Lookup!$A$2,$BD59*ROUNDUP(BK59/10,0)+1,
IF($BC59=Lookup!$A$3,($BD59+1)^BJ59,
IF($BC59=Lookup!$A$4,BK59*$BD59+1,"Error")))</f>
        <v>1</v>
      </c>
      <c r="BT59" s="249">
        <f>IF($BC59=Lookup!$A$2,$BD59*ROUNDUP(BL59/10,0)+1,
IF($BC59=Lookup!$A$3,($BD59+1)^BK59,
IF($BC59=Lookup!$A$4,BL59*$BD59+1,"Error")))</f>
        <v>1</v>
      </c>
      <c r="BU59" s="320"/>
      <c r="BV59" s="321"/>
      <c r="BW59" s="321"/>
      <c r="BX59" s="321"/>
      <c r="BY59" s="321"/>
      <c r="BZ59" s="321"/>
      <c r="CA59" s="321"/>
      <c r="CB59" s="277"/>
      <c r="CC59" s="382" t="s">
        <v>293</v>
      </c>
      <c r="CD59" s="383">
        <f>HLOOKUP($CC59,$AK$6:$AM$132,ROWS(CC$6:CC59),0)</f>
        <v>0</v>
      </c>
      <c r="CE59" s="239">
        <f t="shared" si="30"/>
        <v>0</v>
      </c>
      <c r="CF59" s="140">
        <f t="shared" si="30"/>
        <v>0</v>
      </c>
      <c r="CG59" s="140">
        <f t="shared" si="30"/>
        <v>0</v>
      </c>
      <c r="CH59" s="140">
        <f t="shared" si="30"/>
        <v>0</v>
      </c>
      <c r="CI59" s="140">
        <f t="shared" si="84"/>
        <v>0</v>
      </c>
      <c r="CJ59" s="140">
        <f t="shared" si="84"/>
        <v>0</v>
      </c>
      <c r="CK59" s="140">
        <f t="shared" si="84"/>
        <v>0</v>
      </c>
      <c r="CL59" s="291">
        <f t="shared" si="84"/>
        <v>0</v>
      </c>
      <c r="CM59" s="305" t="s">
        <v>293</v>
      </c>
      <c r="CN59" s="315">
        <v>0.05</v>
      </c>
      <c r="CO59" s="306"/>
      <c r="CP59" s="307" t="str">
        <f>IF($CO59&lt;&gt;"",$CO59,HLOOKUP($CM59,$AY$6:$BA$132,ROWS(CO$6:CO59),0))</f>
        <v/>
      </c>
      <c r="CQ59" s="784" t="str">
        <f t="shared" si="79"/>
        <v/>
      </c>
      <c r="CR59" s="784" t="str">
        <f t="shared" si="79"/>
        <v/>
      </c>
      <c r="CS59" s="97" t="str">
        <f t="shared" si="79"/>
        <v/>
      </c>
      <c r="CT59" s="97" t="str">
        <f t="shared" si="79"/>
        <v/>
      </c>
      <c r="CU59" s="97" t="str">
        <f t="shared" si="79"/>
        <v/>
      </c>
      <c r="CV59" s="97" t="str">
        <f t="shared" si="79"/>
        <v/>
      </c>
      <c r="CW59" s="97" t="str">
        <f t="shared" si="79"/>
        <v/>
      </c>
      <c r="CX59" s="98" t="str">
        <f t="shared" si="62"/>
        <v/>
      </c>
      <c r="CY59" s="392"/>
    </row>
    <row r="60" spans="1:103" x14ac:dyDescent="0.25">
      <c r="A60" s="81" t="s">
        <v>106</v>
      </c>
      <c r="B60" s="82" t="s">
        <v>123</v>
      </c>
      <c r="C60" s="83" t="s">
        <v>343</v>
      </c>
      <c r="D60" s="84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654">
        <f>'2022-23 Input'!G60</f>
        <v>0</v>
      </c>
      <c r="N60" s="1065">
        <v>0</v>
      </c>
      <c r="O60" s="560">
        <f t="shared" si="27"/>
        <v>0</v>
      </c>
      <c r="P60" s="561">
        <f t="shared" si="0"/>
        <v>0</v>
      </c>
      <c r="Q60" s="561">
        <f t="shared" si="1"/>
        <v>0</v>
      </c>
      <c r="R60" s="561">
        <f t="shared" si="2"/>
        <v>0</v>
      </c>
      <c r="S60" s="561">
        <f t="shared" si="3"/>
        <v>0</v>
      </c>
      <c r="T60" s="561">
        <f t="shared" si="4"/>
        <v>0</v>
      </c>
      <c r="U60" s="561">
        <f t="shared" si="5"/>
        <v>0</v>
      </c>
      <c r="V60" s="561">
        <f t="shared" si="6"/>
        <v>0</v>
      </c>
      <c r="W60" s="675">
        <f t="shared" si="7"/>
        <v>0</v>
      </c>
      <c r="X60" s="675">
        <f t="shared" si="8"/>
        <v>0</v>
      </c>
      <c r="Y60" s="675">
        <f t="shared" si="8"/>
        <v>0</v>
      </c>
      <c r="Z60" s="86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1094">
        <f>'2022-23 Input'!N60</f>
        <v>0</v>
      </c>
      <c r="AJ60" s="665">
        <v>0</v>
      </c>
      <c r="AK60" s="127">
        <f t="shared" si="63"/>
        <v>0</v>
      </c>
      <c r="AL60" s="128">
        <f t="shared" si="64"/>
        <v>0</v>
      </c>
      <c r="AM60" s="129">
        <f t="shared" si="65"/>
        <v>0</v>
      </c>
      <c r="AN60" s="91" t="str">
        <f t="shared" si="66"/>
        <v/>
      </c>
      <c r="AO60" s="92" t="str">
        <f t="shared" si="67"/>
        <v/>
      </c>
      <c r="AP60" s="92" t="str">
        <f t="shared" si="68"/>
        <v/>
      </c>
      <c r="AQ60" s="92" t="str">
        <f t="shared" si="69"/>
        <v/>
      </c>
      <c r="AR60" s="92" t="str">
        <f t="shared" si="70"/>
        <v/>
      </c>
      <c r="AS60" s="92" t="str">
        <f t="shared" si="71"/>
        <v/>
      </c>
      <c r="AT60" s="92" t="str">
        <f t="shared" si="72"/>
        <v/>
      </c>
      <c r="AU60" s="92" t="str">
        <f t="shared" si="73"/>
        <v/>
      </c>
      <c r="AV60" s="92" t="str">
        <f t="shared" si="96"/>
        <v/>
      </c>
      <c r="AW60" s="92" t="str">
        <f t="shared" si="96"/>
        <v/>
      </c>
      <c r="AX60" s="92" t="str">
        <f t="shared" si="96"/>
        <v/>
      </c>
      <c r="AY60" s="93" t="str">
        <f t="shared" si="75"/>
        <v/>
      </c>
      <c r="AZ60" s="94" t="str">
        <f t="shared" si="76"/>
        <v/>
      </c>
      <c r="BA60" s="95" t="str">
        <f t="shared" si="77"/>
        <v/>
      </c>
      <c r="BB60" s="248" t="s">
        <v>422</v>
      </c>
      <c r="BC60" s="229" t="s">
        <v>433</v>
      </c>
      <c r="BD60" s="249">
        <v>0</v>
      </c>
      <c r="BE60" s="267">
        <f t="shared" si="28"/>
        <v>0</v>
      </c>
      <c r="BF60" s="268">
        <f t="shared" ref="BF60:BL60" si="102">IF(BF$6=$BB60,1,
IF(BE60&lt;&gt;0,BE60+1,0
))</f>
        <v>0</v>
      </c>
      <c r="BG60" s="268">
        <f t="shared" si="102"/>
        <v>0</v>
      </c>
      <c r="BH60" s="268">
        <f t="shared" si="102"/>
        <v>1</v>
      </c>
      <c r="BI60" s="268">
        <f t="shared" si="102"/>
        <v>2</v>
      </c>
      <c r="BJ60" s="268">
        <f t="shared" si="102"/>
        <v>3</v>
      </c>
      <c r="BK60" s="268">
        <f t="shared" si="102"/>
        <v>4</v>
      </c>
      <c r="BL60" s="269">
        <f t="shared" si="102"/>
        <v>5</v>
      </c>
      <c r="BM60" s="256">
        <f>IF($BC60=Lookup!$A$2,$BD60*ROUNDUP(BE60/10,0)+1,
IF($BC60=Lookup!$A$3,($BD60+1)^BD60,
IF($BC60=Lookup!$A$4,BE60*$BD60+1,"Error")))</f>
        <v>1</v>
      </c>
      <c r="BN60" s="229">
        <f>IF($BC60=Lookup!$A$2,$BD60*ROUNDUP(BF60/10,0)+1,
IF($BC60=Lookup!$A$3,($BD60+1)^BE60,
IF($BC60=Lookup!$A$4,BF60*$BD60+1,"Error")))</f>
        <v>1</v>
      </c>
      <c r="BO60" s="229">
        <f>IF($BC60=Lookup!$A$2,$BD60*ROUNDUP(BG60/10,0)+1,
IF($BC60=Lookup!$A$3,($BD60+1)^BF60,
IF($BC60=Lookup!$A$4,BG60*$BD60+1,"Error")))</f>
        <v>1</v>
      </c>
      <c r="BP60" s="229">
        <f>IF($BC60=Lookup!$A$2,$BD60*ROUNDUP(BH60/10,0)+1,
IF($BC60=Lookup!$A$3,($BD60+1)^BG60,
IF($BC60=Lookup!$A$4,BH60*$BD60+1,"Error")))</f>
        <v>1</v>
      </c>
      <c r="BQ60" s="229">
        <f>IF($BC60=Lookup!$A$2,$BD60*ROUNDUP(BI60/10,0)+1,
IF($BC60=Lookup!$A$3,($BD60+1)^BH60,
IF($BC60=Lookup!$A$4,BI60*$BD60+1,"Error")))</f>
        <v>1</v>
      </c>
      <c r="BR60" s="229">
        <f>IF($BC60=Lookup!$A$2,$BD60*ROUNDUP(BJ60/10,0)+1,
IF($BC60=Lookup!$A$3,($BD60+1)^BI60,
IF($BC60=Lookup!$A$4,BJ60*$BD60+1,"Error")))</f>
        <v>1</v>
      </c>
      <c r="BS60" s="229">
        <f>IF($BC60=Lookup!$A$2,$BD60*ROUNDUP(BK60/10,0)+1,
IF($BC60=Lookup!$A$3,($BD60+1)^BJ60,
IF($BC60=Lookup!$A$4,BK60*$BD60+1,"Error")))</f>
        <v>1</v>
      </c>
      <c r="BT60" s="249">
        <f>IF($BC60=Lookup!$A$2,$BD60*ROUNDUP(BL60/10,0)+1,
IF($BC60=Lookup!$A$3,($BD60+1)^BK60,
IF($BC60=Lookup!$A$4,BL60*$BD60+1,"Error")))</f>
        <v>1</v>
      </c>
      <c r="BU60" s="320"/>
      <c r="BV60" s="321"/>
      <c r="BW60" s="321"/>
      <c r="BX60" s="321"/>
      <c r="BY60" s="321"/>
      <c r="BZ60" s="321"/>
      <c r="CA60" s="321"/>
      <c r="CB60" s="277"/>
      <c r="CC60" s="382" t="s">
        <v>293</v>
      </c>
      <c r="CD60" s="383">
        <f>HLOOKUP($CC60,$AK$6:$AM$132,ROWS(CC$6:CC60),0)</f>
        <v>0</v>
      </c>
      <c r="CE60" s="239">
        <f t="shared" si="30"/>
        <v>0</v>
      </c>
      <c r="CF60" s="140">
        <f t="shared" si="30"/>
        <v>0</v>
      </c>
      <c r="CG60" s="140">
        <f t="shared" si="30"/>
        <v>0</v>
      </c>
      <c r="CH60" s="140">
        <f t="shared" si="30"/>
        <v>0</v>
      </c>
      <c r="CI60" s="140">
        <f t="shared" si="84"/>
        <v>0</v>
      </c>
      <c r="CJ60" s="140">
        <f t="shared" si="84"/>
        <v>0</v>
      </c>
      <c r="CK60" s="140">
        <f t="shared" si="84"/>
        <v>0</v>
      </c>
      <c r="CL60" s="291">
        <f t="shared" si="84"/>
        <v>0</v>
      </c>
      <c r="CM60" s="305" t="s">
        <v>293</v>
      </c>
      <c r="CN60" s="315">
        <v>0.05</v>
      </c>
      <c r="CO60" s="306"/>
      <c r="CP60" s="307" t="str">
        <f>IF($CO60&lt;&gt;"",$CO60,HLOOKUP($CM60,$AY$6:$BA$132,ROWS(CO$6:CO60),0))</f>
        <v/>
      </c>
      <c r="CQ60" s="784" t="str">
        <f t="shared" si="79"/>
        <v/>
      </c>
      <c r="CR60" s="784" t="str">
        <f t="shared" si="79"/>
        <v/>
      </c>
      <c r="CS60" s="97" t="str">
        <f t="shared" si="79"/>
        <v/>
      </c>
      <c r="CT60" s="97" t="str">
        <f t="shared" si="79"/>
        <v/>
      </c>
      <c r="CU60" s="97" t="str">
        <f t="shared" si="79"/>
        <v/>
      </c>
      <c r="CV60" s="97" t="str">
        <f t="shared" si="79"/>
        <v/>
      </c>
      <c r="CW60" s="97" t="str">
        <f t="shared" si="79"/>
        <v/>
      </c>
      <c r="CX60" s="98" t="str">
        <f t="shared" si="62"/>
        <v/>
      </c>
      <c r="CY60" s="392"/>
    </row>
    <row r="61" spans="1:103" x14ac:dyDescent="0.25">
      <c r="A61" s="81" t="s">
        <v>106</v>
      </c>
      <c r="B61" s="82" t="s">
        <v>125</v>
      </c>
      <c r="C61" s="83" t="s">
        <v>345</v>
      </c>
      <c r="D61" s="84">
        <v>0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654">
        <f>'2022-23 Input'!G61</f>
        <v>0</v>
      </c>
      <c r="N61" s="1065">
        <v>0</v>
      </c>
      <c r="O61" s="560">
        <f t="shared" si="27"/>
        <v>0</v>
      </c>
      <c r="P61" s="561">
        <f t="shared" si="0"/>
        <v>0</v>
      </c>
      <c r="Q61" s="561">
        <f t="shared" si="1"/>
        <v>0</v>
      </c>
      <c r="R61" s="561">
        <f t="shared" si="2"/>
        <v>0</v>
      </c>
      <c r="S61" s="561">
        <f t="shared" si="3"/>
        <v>0</v>
      </c>
      <c r="T61" s="561">
        <f t="shared" si="4"/>
        <v>0</v>
      </c>
      <c r="U61" s="561">
        <f t="shared" si="5"/>
        <v>0</v>
      </c>
      <c r="V61" s="561">
        <f t="shared" si="6"/>
        <v>0</v>
      </c>
      <c r="W61" s="675">
        <f t="shared" si="7"/>
        <v>0</v>
      </c>
      <c r="X61" s="675">
        <f t="shared" si="8"/>
        <v>0</v>
      </c>
      <c r="Y61" s="675">
        <f t="shared" si="8"/>
        <v>0</v>
      </c>
      <c r="Z61" s="86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1094">
        <f>'2022-23 Input'!N61</f>
        <v>0</v>
      </c>
      <c r="AJ61" s="665">
        <v>0</v>
      </c>
      <c r="AK61" s="127">
        <f t="shared" si="63"/>
        <v>0</v>
      </c>
      <c r="AL61" s="128">
        <f t="shared" si="64"/>
        <v>0</v>
      </c>
      <c r="AM61" s="129">
        <f t="shared" si="65"/>
        <v>0</v>
      </c>
      <c r="AN61" s="91" t="str">
        <f t="shared" si="66"/>
        <v/>
      </c>
      <c r="AO61" s="92" t="str">
        <f t="shared" si="67"/>
        <v/>
      </c>
      <c r="AP61" s="92" t="str">
        <f t="shared" si="68"/>
        <v/>
      </c>
      <c r="AQ61" s="92" t="str">
        <f t="shared" si="69"/>
        <v/>
      </c>
      <c r="AR61" s="92" t="str">
        <f t="shared" si="70"/>
        <v/>
      </c>
      <c r="AS61" s="92" t="str">
        <f t="shared" si="71"/>
        <v/>
      </c>
      <c r="AT61" s="92" t="str">
        <f t="shared" si="72"/>
        <v/>
      </c>
      <c r="AU61" s="92" t="str">
        <f t="shared" si="73"/>
        <v/>
      </c>
      <c r="AV61" s="92" t="str">
        <f t="shared" si="96"/>
        <v/>
      </c>
      <c r="AW61" s="92" t="str">
        <f t="shared" si="96"/>
        <v/>
      </c>
      <c r="AX61" s="92" t="str">
        <f t="shared" si="96"/>
        <v/>
      </c>
      <c r="AY61" s="93" t="str">
        <f t="shared" si="75"/>
        <v/>
      </c>
      <c r="AZ61" s="94" t="str">
        <f t="shared" si="76"/>
        <v/>
      </c>
      <c r="BA61" s="95" t="str">
        <f t="shared" si="77"/>
        <v/>
      </c>
      <c r="BB61" s="248" t="s">
        <v>422</v>
      </c>
      <c r="BC61" s="229" t="s">
        <v>433</v>
      </c>
      <c r="BD61" s="249">
        <v>0</v>
      </c>
      <c r="BE61" s="267">
        <f t="shared" si="28"/>
        <v>0</v>
      </c>
      <c r="BF61" s="268">
        <f t="shared" ref="BF61:BL61" si="103">IF(BF$6=$BB61,1,
IF(BE61&lt;&gt;0,BE61+1,0
))</f>
        <v>0</v>
      </c>
      <c r="BG61" s="268">
        <f t="shared" si="103"/>
        <v>0</v>
      </c>
      <c r="BH61" s="268">
        <f t="shared" si="103"/>
        <v>1</v>
      </c>
      <c r="BI61" s="268">
        <f t="shared" si="103"/>
        <v>2</v>
      </c>
      <c r="BJ61" s="268">
        <f t="shared" si="103"/>
        <v>3</v>
      </c>
      <c r="BK61" s="268">
        <f t="shared" si="103"/>
        <v>4</v>
      </c>
      <c r="BL61" s="269">
        <f t="shared" si="103"/>
        <v>5</v>
      </c>
      <c r="BM61" s="256">
        <f>IF($BC61=Lookup!$A$2,$BD61*ROUNDUP(BE61/10,0)+1,
IF($BC61=Lookup!$A$3,($BD61+1)^BD61,
IF($BC61=Lookup!$A$4,BE61*$BD61+1,"Error")))</f>
        <v>1</v>
      </c>
      <c r="BN61" s="229">
        <f>IF($BC61=Lookup!$A$2,$BD61*ROUNDUP(BF61/10,0)+1,
IF($BC61=Lookup!$A$3,($BD61+1)^BE61,
IF($BC61=Lookup!$A$4,BF61*$BD61+1,"Error")))</f>
        <v>1</v>
      </c>
      <c r="BO61" s="229">
        <f>IF($BC61=Lookup!$A$2,$BD61*ROUNDUP(BG61/10,0)+1,
IF($BC61=Lookup!$A$3,($BD61+1)^BF61,
IF($BC61=Lookup!$A$4,BG61*$BD61+1,"Error")))</f>
        <v>1</v>
      </c>
      <c r="BP61" s="229">
        <f>IF($BC61=Lookup!$A$2,$BD61*ROUNDUP(BH61/10,0)+1,
IF($BC61=Lookup!$A$3,($BD61+1)^BG61,
IF($BC61=Lookup!$A$4,BH61*$BD61+1,"Error")))</f>
        <v>1</v>
      </c>
      <c r="BQ61" s="229">
        <f>IF($BC61=Lookup!$A$2,$BD61*ROUNDUP(BI61/10,0)+1,
IF($BC61=Lookup!$A$3,($BD61+1)^BH61,
IF($BC61=Lookup!$A$4,BI61*$BD61+1,"Error")))</f>
        <v>1</v>
      </c>
      <c r="BR61" s="229">
        <f>IF($BC61=Lookup!$A$2,$BD61*ROUNDUP(BJ61/10,0)+1,
IF($BC61=Lookup!$A$3,($BD61+1)^BI61,
IF($BC61=Lookup!$A$4,BJ61*$BD61+1,"Error")))</f>
        <v>1</v>
      </c>
      <c r="BS61" s="229">
        <f>IF($BC61=Lookup!$A$2,$BD61*ROUNDUP(BK61/10,0)+1,
IF($BC61=Lookup!$A$3,($BD61+1)^BJ61,
IF($BC61=Lookup!$A$4,BK61*$BD61+1,"Error")))</f>
        <v>1</v>
      </c>
      <c r="BT61" s="249">
        <f>IF($BC61=Lookup!$A$2,$BD61*ROUNDUP(BL61/10,0)+1,
IF($BC61=Lookup!$A$3,($BD61+1)^BK61,
IF($BC61=Lookup!$A$4,BL61*$BD61+1,"Error")))</f>
        <v>1</v>
      </c>
      <c r="BU61" s="320"/>
      <c r="BV61" s="321"/>
      <c r="BW61" s="321"/>
      <c r="BX61" s="321"/>
      <c r="BY61" s="321"/>
      <c r="BZ61" s="321"/>
      <c r="CA61" s="321"/>
      <c r="CB61" s="277"/>
      <c r="CC61" s="382" t="s">
        <v>293</v>
      </c>
      <c r="CD61" s="383">
        <f>HLOOKUP($CC61,$AK$6:$AM$132,ROWS(CC$6:CC61),0)</f>
        <v>0</v>
      </c>
      <c r="CE61" s="239">
        <f t="shared" si="30"/>
        <v>0</v>
      </c>
      <c r="CF61" s="140">
        <f t="shared" si="30"/>
        <v>0</v>
      </c>
      <c r="CG61" s="140">
        <f t="shared" si="30"/>
        <v>0</v>
      </c>
      <c r="CH61" s="140">
        <f t="shared" si="30"/>
        <v>0</v>
      </c>
      <c r="CI61" s="140">
        <f t="shared" si="84"/>
        <v>0</v>
      </c>
      <c r="CJ61" s="140">
        <f t="shared" si="84"/>
        <v>0</v>
      </c>
      <c r="CK61" s="140">
        <f t="shared" si="84"/>
        <v>0</v>
      </c>
      <c r="CL61" s="291">
        <f t="shared" si="84"/>
        <v>0</v>
      </c>
      <c r="CM61" s="305" t="s">
        <v>293</v>
      </c>
      <c r="CN61" s="315">
        <v>0.05</v>
      </c>
      <c r="CO61" s="306"/>
      <c r="CP61" s="307" t="str">
        <f>IF($CO61&lt;&gt;"",$CO61,HLOOKUP($CM61,$AY$6:$BA$132,ROWS(CO$6:CO61),0))</f>
        <v/>
      </c>
      <c r="CQ61" s="784" t="str">
        <f t="shared" si="79"/>
        <v/>
      </c>
      <c r="CR61" s="784" t="str">
        <f t="shared" si="79"/>
        <v/>
      </c>
      <c r="CS61" s="97" t="str">
        <f t="shared" si="79"/>
        <v/>
      </c>
      <c r="CT61" s="97" t="str">
        <f t="shared" si="79"/>
        <v/>
      </c>
      <c r="CU61" s="97" t="str">
        <f t="shared" si="79"/>
        <v/>
      </c>
      <c r="CV61" s="97" t="str">
        <f t="shared" si="79"/>
        <v/>
      </c>
      <c r="CW61" s="97" t="str">
        <f t="shared" si="79"/>
        <v/>
      </c>
      <c r="CX61" s="98" t="str">
        <f t="shared" si="62"/>
        <v/>
      </c>
      <c r="CY61" s="392"/>
    </row>
    <row r="62" spans="1:103" x14ac:dyDescent="0.25">
      <c r="A62" s="81" t="s">
        <v>106</v>
      </c>
      <c r="B62" s="82" t="s">
        <v>127</v>
      </c>
      <c r="C62" s="83" t="s">
        <v>347</v>
      </c>
      <c r="D62" s="84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654">
        <f>'2022-23 Input'!G62</f>
        <v>0</v>
      </c>
      <c r="N62" s="1065">
        <v>0</v>
      </c>
      <c r="O62" s="560">
        <f t="shared" si="27"/>
        <v>0</v>
      </c>
      <c r="P62" s="561">
        <f t="shared" si="0"/>
        <v>0</v>
      </c>
      <c r="Q62" s="561">
        <f t="shared" si="1"/>
        <v>0</v>
      </c>
      <c r="R62" s="561">
        <f t="shared" si="2"/>
        <v>0</v>
      </c>
      <c r="S62" s="561">
        <f t="shared" si="3"/>
        <v>0</v>
      </c>
      <c r="T62" s="561">
        <f t="shared" si="4"/>
        <v>0</v>
      </c>
      <c r="U62" s="561">
        <f t="shared" si="5"/>
        <v>0</v>
      </c>
      <c r="V62" s="561">
        <f t="shared" si="6"/>
        <v>0</v>
      </c>
      <c r="W62" s="675">
        <f t="shared" si="7"/>
        <v>0</v>
      </c>
      <c r="X62" s="675">
        <f t="shared" si="8"/>
        <v>0</v>
      </c>
      <c r="Y62" s="675">
        <f t="shared" si="8"/>
        <v>0</v>
      </c>
      <c r="Z62" s="86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1094">
        <f>'2022-23 Input'!N62</f>
        <v>0</v>
      </c>
      <c r="AJ62" s="665">
        <v>0</v>
      </c>
      <c r="AK62" s="127">
        <f t="shared" si="63"/>
        <v>0</v>
      </c>
      <c r="AL62" s="128">
        <f t="shared" si="64"/>
        <v>0</v>
      </c>
      <c r="AM62" s="129">
        <f t="shared" si="65"/>
        <v>0</v>
      </c>
      <c r="AN62" s="91" t="str">
        <f t="shared" si="66"/>
        <v/>
      </c>
      <c r="AO62" s="92" t="str">
        <f t="shared" si="67"/>
        <v/>
      </c>
      <c r="AP62" s="92" t="str">
        <f t="shared" si="68"/>
        <v/>
      </c>
      <c r="AQ62" s="92" t="str">
        <f t="shared" si="69"/>
        <v/>
      </c>
      <c r="AR62" s="92" t="str">
        <f t="shared" si="70"/>
        <v/>
      </c>
      <c r="AS62" s="92" t="str">
        <f t="shared" si="71"/>
        <v/>
      </c>
      <c r="AT62" s="92" t="str">
        <f t="shared" si="72"/>
        <v/>
      </c>
      <c r="AU62" s="92" t="str">
        <f t="shared" si="73"/>
        <v/>
      </c>
      <c r="AV62" s="92" t="str">
        <f t="shared" si="96"/>
        <v/>
      </c>
      <c r="AW62" s="92" t="str">
        <f t="shared" si="96"/>
        <v/>
      </c>
      <c r="AX62" s="92" t="str">
        <f t="shared" si="96"/>
        <v/>
      </c>
      <c r="AY62" s="93" t="str">
        <f t="shared" si="75"/>
        <v/>
      </c>
      <c r="AZ62" s="94" t="str">
        <f t="shared" si="76"/>
        <v/>
      </c>
      <c r="BA62" s="95" t="str">
        <f t="shared" si="77"/>
        <v/>
      </c>
      <c r="BB62" s="248" t="s">
        <v>422</v>
      </c>
      <c r="BC62" s="229" t="s">
        <v>433</v>
      </c>
      <c r="BD62" s="249">
        <v>0</v>
      </c>
      <c r="BE62" s="267">
        <f t="shared" si="28"/>
        <v>0</v>
      </c>
      <c r="BF62" s="268">
        <f t="shared" ref="BF62:BL62" si="104">IF(BF$6=$BB62,1,
IF(BE62&lt;&gt;0,BE62+1,0
))</f>
        <v>0</v>
      </c>
      <c r="BG62" s="268">
        <f t="shared" si="104"/>
        <v>0</v>
      </c>
      <c r="BH62" s="268">
        <f t="shared" si="104"/>
        <v>1</v>
      </c>
      <c r="BI62" s="268">
        <f t="shared" si="104"/>
        <v>2</v>
      </c>
      <c r="BJ62" s="268">
        <f t="shared" si="104"/>
        <v>3</v>
      </c>
      <c r="BK62" s="268">
        <f t="shared" si="104"/>
        <v>4</v>
      </c>
      <c r="BL62" s="269">
        <f t="shared" si="104"/>
        <v>5</v>
      </c>
      <c r="BM62" s="256">
        <f>IF($BC62=Lookup!$A$2,$BD62*ROUNDUP(BE62/10,0)+1,
IF($BC62=Lookup!$A$3,($BD62+1)^BD62,
IF($BC62=Lookup!$A$4,BE62*$BD62+1,"Error")))</f>
        <v>1</v>
      </c>
      <c r="BN62" s="229">
        <f>IF($BC62=Lookup!$A$2,$BD62*ROUNDUP(BF62/10,0)+1,
IF($BC62=Lookup!$A$3,($BD62+1)^BE62,
IF($BC62=Lookup!$A$4,BF62*$BD62+1,"Error")))</f>
        <v>1</v>
      </c>
      <c r="BO62" s="229">
        <f>IF($BC62=Lookup!$A$2,$BD62*ROUNDUP(BG62/10,0)+1,
IF($BC62=Lookup!$A$3,($BD62+1)^BF62,
IF($BC62=Lookup!$A$4,BG62*$BD62+1,"Error")))</f>
        <v>1</v>
      </c>
      <c r="BP62" s="229">
        <f>IF($BC62=Lookup!$A$2,$BD62*ROUNDUP(BH62/10,0)+1,
IF($BC62=Lookup!$A$3,($BD62+1)^BG62,
IF($BC62=Lookup!$A$4,BH62*$BD62+1,"Error")))</f>
        <v>1</v>
      </c>
      <c r="BQ62" s="229">
        <f>IF($BC62=Lookup!$A$2,$BD62*ROUNDUP(BI62/10,0)+1,
IF($BC62=Lookup!$A$3,($BD62+1)^BH62,
IF($BC62=Lookup!$A$4,BI62*$BD62+1,"Error")))</f>
        <v>1</v>
      </c>
      <c r="BR62" s="229">
        <f>IF($BC62=Lookup!$A$2,$BD62*ROUNDUP(BJ62/10,0)+1,
IF($BC62=Lookup!$A$3,($BD62+1)^BI62,
IF($BC62=Lookup!$A$4,BJ62*$BD62+1,"Error")))</f>
        <v>1</v>
      </c>
      <c r="BS62" s="229">
        <f>IF($BC62=Lookup!$A$2,$BD62*ROUNDUP(BK62/10,0)+1,
IF($BC62=Lookup!$A$3,($BD62+1)^BJ62,
IF($BC62=Lookup!$A$4,BK62*$BD62+1,"Error")))</f>
        <v>1</v>
      </c>
      <c r="BT62" s="249">
        <f>IF($BC62=Lookup!$A$2,$BD62*ROUNDUP(BL62/10,0)+1,
IF($BC62=Lookup!$A$3,($BD62+1)^BK62,
IF($BC62=Lookup!$A$4,BL62*$BD62+1,"Error")))</f>
        <v>1</v>
      </c>
      <c r="BU62" s="320"/>
      <c r="BV62" s="321"/>
      <c r="BW62" s="321"/>
      <c r="BX62" s="321"/>
      <c r="BY62" s="321"/>
      <c r="BZ62" s="321"/>
      <c r="CA62" s="321"/>
      <c r="CB62" s="277"/>
      <c r="CC62" s="382" t="s">
        <v>293</v>
      </c>
      <c r="CD62" s="383">
        <f>HLOOKUP($CC62,$AK$6:$AM$132,ROWS(CC$6:CC62),0)</f>
        <v>0</v>
      </c>
      <c r="CE62" s="239">
        <f t="shared" si="30"/>
        <v>0</v>
      </c>
      <c r="CF62" s="140">
        <f t="shared" si="30"/>
        <v>0</v>
      </c>
      <c r="CG62" s="140">
        <f t="shared" si="30"/>
        <v>0</v>
      </c>
      <c r="CH62" s="140">
        <f t="shared" si="30"/>
        <v>0</v>
      </c>
      <c r="CI62" s="140">
        <f t="shared" si="84"/>
        <v>0</v>
      </c>
      <c r="CJ62" s="140">
        <f t="shared" si="84"/>
        <v>0</v>
      </c>
      <c r="CK62" s="140">
        <f t="shared" si="84"/>
        <v>0</v>
      </c>
      <c r="CL62" s="291">
        <f t="shared" si="84"/>
        <v>0</v>
      </c>
      <c r="CM62" s="305" t="s">
        <v>293</v>
      </c>
      <c r="CN62" s="315">
        <v>0.05</v>
      </c>
      <c r="CO62" s="306"/>
      <c r="CP62" s="307" t="str">
        <f>IF($CO62&lt;&gt;"",$CO62,HLOOKUP($CM62,$AY$6:$BA$132,ROWS(CO$6:CO62),0))</f>
        <v/>
      </c>
      <c r="CQ62" s="784" t="str">
        <f t="shared" si="79"/>
        <v/>
      </c>
      <c r="CR62" s="784" t="str">
        <f t="shared" si="79"/>
        <v/>
      </c>
      <c r="CS62" s="97" t="str">
        <f t="shared" si="79"/>
        <v/>
      </c>
      <c r="CT62" s="97" t="str">
        <f t="shared" si="79"/>
        <v/>
      </c>
      <c r="CU62" s="97" t="str">
        <f t="shared" si="79"/>
        <v/>
      </c>
      <c r="CV62" s="97" t="str">
        <f t="shared" si="79"/>
        <v/>
      </c>
      <c r="CW62" s="97" t="str">
        <f t="shared" si="79"/>
        <v/>
      </c>
      <c r="CX62" s="98" t="str">
        <f t="shared" si="62"/>
        <v/>
      </c>
      <c r="CY62" s="392"/>
    </row>
    <row r="63" spans="1:103" x14ac:dyDescent="0.25">
      <c r="A63" s="81" t="s">
        <v>106</v>
      </c>
      <c r="B63" s="82" t="s">
        <v>129</v>
      </c>
      <c r="C63" s="83" t="s">
        <v>349</v>
      </c>
      <c r="D63" s="84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654">
        <f>'2022-23 Input'!G63</f>
        <v>0</v>
      </c>
      <c r="N63" s="1065">
        <v>0</v>
      </c>
      <c r="O63" s="560">
        <f t="shared" si="27"/>
        <v>0</v>
      </c>
      <c r="P63" s="561">
        <f t="shared" si="0"/>
        <v>0</v>
      </c>
      <c r="Q63" s="561">
        <f t="shared" si="1"/>
        <v>0</v>
      </c>
      <c r="R63" s="561">
        <f t="shared" si="2"/>
        <v>0</v>
      </c>
      <c r="S63" s="561">
        <f t="shared" si="3"/>
        <v>0</v>
      </c>
      <c r="T63" s="561">
        <f t="shared" si="4"/>
        <v>0</v>
      </c>
      <c r="U63" s="561">
        <f t="shared" si="5"/>
        <v>0</v>
      </c>
      <c r="V63" s="561">
        <f t="shared" si="6"/>
        <v>0</v>
      </c>
      <c r="W63" s="675">
        <f t="shared" si="7"/>
        <v>0</v>
      </c>
      <c r="X63" s="675">
        <f t="shared" si="8"/>
        <v>0</v>
      </c>
      <c r="Y63" s="675">
        <f t="shared" si="8"/>
        <v>0</v>
      </c>
      <c r="Z63" s="86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1094">
        <f>'2022-23 Input'!N63</f>
        <v>0</v>
      </c>
      <c r="AJ63" s="665">
        <v>0</v>
      </c>
      <c r="AK63" s="127">
        <f t="shared" si="63"/>
        <v>0</v>
      </c>
      <c r="AL63" s="128">
        <f t="shared" si="64"/>
        <v>0</v>
      </c>
      <c r="AM63" s="129">
        <f t="shared" si="65"/>
        <v>0</v>
      </c>
      <c r="AN63" s="91" t="str">
        <f t="shared" si="66"/>
        <v/>
      </c>
      <c r="AO63" s="92" t="str">
        <f t="shared" si="67"/>
        <v/>
      </c>
      <c r="AP63" s="92" t="str">
        <f t="shared" si="68"/>
        <v/>
      </c>
      <c r="AQ63" s="92" t="str">
        <f t="shared" si="69"/>
        <v/>
      </c>
      <c r="AR63" s="92" t="str">
        <f t="shared" si="70"/>
        <v/>
      </c>
      <c r="AS63" s="92" t="str">
        <f t="shared" si="71"/>
        <v/>
      </c>
      <c r="AT63" s="92" t="str">
        <f t="shared" si="72"/>
        <v/>
      </c>
      <c r="AU63" s="92" t="str">
        <f t="shared" si="73"/>
        <v/>
      </c>
      <c r="AV63" s="92" t="str">
        <f t="shared" si="96"/>
        <v/>
      </c>
      <c r="AW63" s="92" t="str">
        <f t="shared" si="96"/>
        <v/>
      </c>
      <c r="AX63" s="92" t="str">
        <f t="shared" si="96"/>
        <v/>
      </c>
      <c r="AY63" s="93" t="str">
        <f t="shared" si="75"/>
        <v/>
      </c>
      <c r="AZ63" s="94" t="str">
        <f t="shared" si="76"/>
        <v/>
      </c>
      <c r="BA63" s="95" t="str">
        <f t="shared" si="77"/>
        <v/>
      </c>
      <c r="BB63" s="248" t="s">
        <v>422</v>
      </c>
      <c r="BC63" s="229" t="s">
        <v>433</v>
      </c>
      <c r="BD63" s="249">
        <v>0</v>
      </c>
      <c r="BE63" s="267">
        <f t="shared" si="28"/>
        <v>0</v>
      </c>
      <c r="BF63" s="268">
        <f t="shared" ref="BF63:BL63" si="105">IF(BF$6=$BB63,1,
IF(BE63&lt;&gt;0,BE63+1,0
))</f>
        <v>0</v>
      </c>
      <c r="BG63" s="268">
        <f t="shared" si="105"/>
        <v>0</v>
      </c>
      <c r="BH63" s="268">
        <f t="shared" si="105"/>
        <v>1</v>
      </c>
      <c r="BI63" s="268">
        <f t="shared" si="105"/>
        <v>2</v>
      </c>
      <c r="BJ63" s="268">
        <f t="shared" si="105"/>
        <v>3</v>
      </c>
      <c r="BK63" s="268">
        <f t="shared" si="105"/>
        <v>4</v>
      </c>
      <c r="BL63" s="269">
        <f t="shared" si="105"/>
        <v>5</v>
      </c>
      <c r="BM63" s="256">
        <f>IF($BC63=Lookup!$A$2,$BD63*ROUNDUP(BE63/10,0)+1,
IF($BC63=Lookup!$A$3,($BD63+1)^BD63,
IF($BC63=Lookup!$A$4,BE63*$BD63+1,"Error")))</f>
        <v>1</v>
      </c>
      <c r="BN63" s="229">
        <f>IF($BC63=Lookup!$A$2,$BD63*ROUNDUP(BF63/10,0)+1,
IF($BC63=Lookup!$A$3,($BD63+1)^BE63,
IF($BC63=Lookup!$A$4,BF63*$BD63+1,"Error")))</f>
        <v>1</v>
      </c>
      <c r="BO63" s="229">
        <f>IF($BC63=Lookup!$A$2,$BD63*ROUNDUP(BG63/10,0)+1,
IF($BC63=Lookup!$A$3,($BD63+1)^BF63,
IF($BC63=Lookup!$A$4,BG63*$BD63+1,"Error")))</f>
        <v>1</v>
      </c>
      <c r="BP63" s="229">
        <f>IF($BC63=Lookup!$A$2,$BD63*ROUNDUP(BH63/10,0)+1,
IF($BC63=Lookup!$A$3,($BD63+1)^BG63,
IF($BC63=Lookup!$A$4,BH63*$BD63+1,"Error")))</f>
        <v>1</v>
      </c>
      <c r="BQ63" s="229">
        <f>IF($BC63=Lookup!$A$2,$BD63*ROUNDUP(BI63/10,0)+1,
IF($BC63=Lookup!$A$3,($BD63+1)^BH63,
IF($BC63=Lookup!$A$4,BI63*$BD63+1,"Error")))</f>
        <v>1</v>
      </c>
      <c r="BR63" s="229">
        <f>IF($BC63=Lookup!$A$2,$BD63*ROUNDUP(BJ63/10,0)+1,
IF($BC63=Lookup!$A$3,($BD63+1)^BI63,
IF($BC63=Lookup!$A$4,BJ63*$BD63+1,"Error")))</f>
        <v>1</v>
      </c>
      <c r="BS63" s="229">
        <f>IF($BC63=Lookup!$A$2,$BD63*ROUNDUP(BK63/10,0)+1,
IF($BC63=Lookup!$A$3,($BD63+1)^BJ63,
IF($BC63=Lookup!$A$4,BK63*$BD63+1,"Error")))</f>
        <v>1</v>
      </c>
      <c r="BT63" s="249">
        <f>IF($BC63=Lookup!$A$2,$BD63*ROUNDUP(BL63/10,0)+1,
IF($BC63=Lookup!$A$3,($BD63+1)^BK63,
IF($BC63=Lookup!$A$4,BL63*$BD63+1,"Error")))</f>
        <v>1</v>
      </c>
      <c r="BU63" s="320"/>
      <c r="BV63" s="321"/>
      <c r="BW63" s="321"/>
      <c r="BX63" s="321"/>
      <c r="BY63" s="321"/>
      <c r="BZ63" s="321"/>
      <c r="CA63" s="321"/>
      <c r="CB63" s="277"/>
      <c r="CC63" s="382" t="s">
        <v>293</v>
      </c>
      <c r="CD63" s="383">
        <f>HLOOKUP($CC63,$AK$6:$AM$132,ROWS(CC$6:CC63),0)</f>
        <v>0</v>
      </c>
      <c r="CE63" s="239">
        <f t="shared" si="30"/>
        <v>0</v>
      </c>
      <c r="CF63" s="140">
        <f t="shared" si="30"/>
        <v>0</v>
      </c>
      <c r="CG63" s="140">
        <f t="shared" si="30"/>
        <v>0</v>
      </c>
      <c r="CH63" s="140">
        <f t="shared" si="30"/>
        <v>0</v>
      </c>
      <c r="CI63" s="140">
        <f t="shared" si="84"/>
        <v>0</v>
      </c>
      <c r="CJ63" s="140">
        <f t="shared" si="84"/>
        <v>0</v>
      </c>
      <c r="CK63" s="140">
        <f t="shared" si="84"/>
        <v>0</v>
      </c>
      <c r="CL63" s="291">
        <f t="shared" si="84"/>
        <v>0</v>
      </c>
      <c r="CM63" s="305" t="s">
        <v>293</v>
      </c>
      <c r="CN63" s="315">
        <v>0.05</v>
      </c>
      <c r="CO63" s="306"/>
      <c r="CP63" s="307" t="str">
        <f>IF($CO63&lt;&gt;"",$CO63,HLOOKUP($CM63,$AY$6:$BA$132,ROWS(CO$6:CO63),0))</f>
        <v/>
      </c>
      <c r="CQ63" s="784" t="str">
        <f t="shared" si="79"/>
        <v/>
      </c>
      <c r="CR63" s="784" t="str">
        <f t="shared" si="79"/>
        <v/>
      </c>
      <c r="CS63" s="97" t="str">
        <f t="shared" si="79"/>
        <v/>
      </c>
      <c r="CT63" s="97" t="str">
        <f t="shared" si="79"/>
        <v/>
      </c>
      <c r="CU63" s="97" t="str">
        <f t="shared" si="79"/>
        <v/>
      </c>
      <c r="CV63" s="97" t="str">
        <f t="shared" si="79"/>
        <v/>
      </c>
      <c r="CW63" s="97" t="str">
        <f t="shared" si="79"/>
        <v/>
      </c>
      <c r="CX63" s="98" t="str">
        <f t="shared" si="62"/>
        <v/>
      </c>
      <c r="CY63" s="392"/>
    </row>
    <row r="64" spans="1:103" x14ac:dyDescent="0.25">
      <c r="A64" s="81" t="s">
        <v>106</v>
      </c>
      <c r="B64" s="82" t="s">
        <v>131</v>
      </c>
      <c r="C64" s="83" t="s">
        <v>351</v>
      </c>
      <c r="D64" s="84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654">
        <f>'2022-23 Input'!G64</f>
        <v>0</v>
      </c>
      <c r="N64" s="1065">
        <v>0</v>
      </c>
      <c r="O64" s="560">
        <f t="shared" si="27"/>
        <v>0</v>
      </c>
      <c r="P64" s="561">
        <f t="shared" si="0"/>
        <v>0</v>
      </c>
      <c r="Q64" s="561">
        <f t="shared" si="1"/>
        <v>0</v>
      </c>
      <c r="R64" s="561">
        <f t="shared" si="2"/>
        <v>0</v>
      </c>
      <c r="S64" s="561">
        <f t="shared" si="3"/>
        <v>0</v>
      </c>
      <c r="T64" s="561">
        <f t="shared" si="4"/>
        <v>0</v>
      </c>
      <c r="U64" s="561">
        <f t="shared" si="5"/>
        <v>0</v>
      </c>
      <c r="V64" s="561">
        <f t="shared" si="6"/>
        <v>0</v>
      </c>
      <c r="W64" s="675">
        <f t="shared" si="7"/>
        <v>0</v>
      </c>
      <c r="X64" s="675">
        <f t="shared" si="8"/>
        <v>0</v>
      </c>
      <c r="Y64" s="675">
        <f t="shared" si="8"/>
        <v>0</v>
      </c>
      <c r="Z64" s="86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1094">
        <f>'2022-23 Input'!N64</f>
        <v>0</v>
      </c>
      <c r="AJ64" s="665">
        <v>0</v>
      </c>
      <c r="AK64" s="127">
        <f t="shared" si="63"/>
        <v>0</v>
      </c>
      <c r="AL64" s="128">
        <f t="shared" si="64"/>
        <v>0</v>
      </c>
      <c r="AM64" s="129">
        <f t="shared" si="65"/>
        <v>0</v>
      </c>
      <c r="AN64" s="91" t="str">
        <f t="shared" si="66"/>
        <v/>
      </c>
      <c r="AO64" s="92" t="str">
        <f t="shared" si="67"/>
        <v/>
      </c>
      <c r="AP64" s="92" t="str">
        <f t="shared" si="68"/>
        <v/>
      </c>
      <c r="AQ64" s="92" t="str">
        <f t="shared" si="69"/>
        <v/>
      </c>
      <c r="AR64" s="92" t="str">
        <f t="shared" si="70"/>
        <v/>
      </c>
      <c r="AS64" s="92" t="str">
        <f t="shared" si="71"/>
        <v/>
      </c>
      <c r="AT64" s="92" t="str">
        <f t="shared" si="72"/>
        <v/>
      </c>
      <c r="AU64" s="92" t="str">
        <f t="shared" si="73"/>
        <v/>
      </c>
      <c r="AV64" s="92" t="str">
        <f t="shared" si="96"/>
        <v/>
      </c>
      <c r="AW64" s="92" t="str">
        <f t="shared" si="96"/>
        <v/>
      </c>
      <c r="AX64" s="92" t="str">
        <f t="shared" si="96"/>
        <v/>
      </c>
      <c r="AY64" s="93" t="str">
        <f t="shared" si="75"/>
        <v/>
      </c>
      <c r="AZ64" s="94" t="str">
        <f t="shared" si="76"/>
        <v/>
      </c>
      <c r="BA64" s="95" t="str">
        <f t="shared" si="77"/>
        <v/>
      </c>
      <c r="BB64" s="248" t="s">
        <v>422</v>
      </c>
      <c r="BC64" s="229" t="s">
        <v>433</v>
      </c>
      <c r="BD64" s="249">
        <v>0</v>
      </c>
      <c r="BE64" s="267">
        <f t="shared" si="28"/>
        <v>0</v>
      </c>
      <c r="BF64" s="268">
        <f t="shared" ref="BF64:BL64" si="106">IF(BF$6=$BB64,1,
IF(BE64&lt;&gt;0,BE64+1,0
))</f>
        <v>0</v>
      </c>
      <c r="BG64" s="268">
        <f t="shared" si="106"/>
        <v>0</v>
      </c>
      <c r="BH64" s="268">
        <f t="shared" si="106"/>
        <v>1</v>
      </c>
      <c r="BI64" s="268">
        <f t="shared" si="106"/>
        <v>2</v>
      </c>
      <c r="BJ64" s="268">
        <f t="shared" si="106"/>
        <v>3</v>
      </c>
      <c r="BK64" s="268">
        <f t="shared" si="106"/>
        <v>4</v>
      </c>
      <c r="BL64" s="269">
        <f t="shared" si="106"/>
        <v>5</v>
      </c>
      <c r="BM64" s="256">
        <f>IF($BC64=Lookup!$A$2,$BD64*ROUNDUP(BE64/10,0)+1,
IF($BC64=Lookup!$A$3,($BD64+1)^BD64,
IF($BC64=Lookup!$A$4,BE64*$BD64+1,"Error")))</f>
        <v>1</v>
      </c>
      <c r="BN64" s="229">
        <f>IF($BC64=Lookup!$A$2,$BD64*ROUNDUP(BF64/10,0)+1,
IF($BC64=Lookup!$A$3,($BD64+1)^BE64,
IF($BC64=Lookup!$A$4,BF64*$BD64+1,"Error")))</f>
        <v>1</v>
      </c>
      <c r="BO64" s="229">
        <f>IF($BC64=Lookup!$A$2,$BD64*ROUNDUP(BG64/10,0)+1,
IF($BC64=Lookup!$A$3,($BD64+1)^BF64,
IF($BC64=Lookup!$A$4,BG64*$BD64+1,"Error")))</f>
        <v>1</v>
      </c>
      <c r="BP64" s="229">
        <f>IF($BC64=Lookup!$A$2,$BD64*ROUNDUP(BH64/10,0)+1,
IF($BC64=Lookup!$A$3,($BD64+1)^BG64,
IF($BC64=Lookup!$A$4,BH64*$BD64+1,"Error")))</f>
        <v>1</v>
      </c>
      <c r="BQ64" s="229">
        <f>IF($BC64=Lookup!$A$2,$BD64*ROUNDUP(BI64/10,0)+1,
IF($BC64=Lookup!$A$3,($BD64+1)^BH64,
IF($BC64=Lookup!$A$4,BI64*$BD64+1,"Error")))</f>
        <v>1</v>
      </c>
      <c r="BR64" s="229">
        <f>IF($BC64=Lookup!$A$2,$BD64*ROUNDUP(BJ64/10,0)+1,
IF($BC64=Lookup!$A$3,($BD64+1)^BI64,
IF($BC64=Lookup!$A$4,BJ64*$BD64+1,"Error")))</f>
        <v>1</v>
      </c>
      <c r="BS64" s="229">
        <f>IF($BC64=Lookup!$A$2,$BD64*ROUNDUP(BK64/10,0)+1,
IF($BC64=Lookup!$A$3,($BD64+1)^BJ64,
IF($BC64=Lookup!$A$4,BK64*$BD64+1,"Error")))</f>
        <v>1</v>
      </c>
      <c r="BT64" s="249">
        <f>IF($BC64=Lookup!$A$2,$BD64*ROUNDUP(BL64/10,0)+1,
IF($BC64=Lookup!$A$3,($BD64+1)^BK64,
IF($BC64=Lookup!$A$4,BL64*$BD64+1,"Error")))</f>
        <v>1</v>
      </c>
      <c r="BU64" s="320"/>
      <c r="BV64" s="321"/>
      <c r="BW64" s="321"/>
      <c r="BX64" s="321"/>
      <c r="BY64" s="321"/>
      <c r="BZ64" s="321"/>
      <c r="CA64" s="321"/>
      <c r="CB64" s="277"/>
      <c r="CC64" s="382" t="s">
        <v>293</v>
      </c>
      <c r="CD64" s="383">
        <f>HLOOKUP($CC64,$AK$6:$AM$132,ROWS(CC$6:CC64),0)</f>
        <v>0</v>
      </c>
      <c r="CE64" s="239">
        <f t="shared" si="30"/>
        <v>0</v>
      </c>
      <c r="CF64" s="140">
        <f t="shared" si="30"/>
        <v>0</v>
      </c>
      <c r="CG64" s="140">
        <f t="shared" si="30"/>
        <v>0</v>
      </c>
      <c r="CH64" s="140">
        <f t="shared" si="30"/>
        <v>0</v>
      </c>
      <c r="CI64" s="140">
        <f t="shared" si="84"/>
        <v>0</v>
      </c>
      <c r="CJ64" s="140">
        <f t="shared" si="84"/>
        <v>0</v>
      </c>
      <c r="CK64" s="140">
        <f t="shared" si="84"/>
        <v>0</v>
      </c>
      <c r="CL64" s="291">
        <f t="shared" si="84"/>
        <v>0</v>
      </c>
      <c r="CM64" s="305" t="s">
        <v>293</v>
      </c>
      <c r="CN64" s="315">
        <v>0.05</v>
      </c>
      <c r="CO64" s="306"/>
      <c r="CP64" s="307" t="str">
        <f>IF($CO64&lt;&gt;"",$CO64,HLOOKUP($CM64,$AY$6:$BA$132,ROWS(CO$6:CO64),0))</f>
        <v/>
      </c>
      <c r="CQ64" s="784" t="str">
        <f t="shared" si="79"/>
        <v/>
      </c>
      <c r="CR64" s="784" t="str">
        <f t="shared" si="79"/>
        <v/>
      </c>
      <c r="CS64" s="97" t="str">
        <f t="shared" si="79"/>
        <v/>
      </c>
      <c r="CT64" s="97" t="str">
        <f t="shared" si="79"/>
        <v/>
      </c>
      <c r="CU64" s="97" t="str">
        <f t="shared" si="79"/>
        <v/>
      </c>
      <c r="CV64" s="97" t="str">
        <f t="shared" si="79"/>
        <v/>
      </c>
      <c r="CW64" s="97" t="str">
        <f t="shared" si="79"/>
        <v/>
      </c>
      <c r="CX64" s="98" t="str">
        <f t="shared" si="62"/>
        <v/>
      </c>
      <c r="CY64" s="392"/>
    </row>
    <row r="65" spans="1:103" x14ac:dyDescent="0.25">
      <c r="A65" s="81" t="s">
        <v>106</v>
      </c>
      <c r="B65" s="82" t="s">
        <v>133</v>
      </c>
      <c r="C65" s="83" t="s">
        <v>353</v>
      </c>
      <c r="D65" s="84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654">
        <f>'2022-23 Input'!G65</f>
        <v>0</v>
      </c>
      <c r="N65" s="1065">
        <v>0</v>
      </c>
      <c r="O65" s="560">
        <f t="shared" si="27"/>
        <v>0</v>
      </c>
      <c r="P65" s="561">
        <f t="shared" si="0"/>
        <v>0</v>
      </c>
      <c r="Q65" s="561">
        <f t="shared" si="1"/>
        <v>0</v>
      </c>
      <c r="R65" s="561">
        <f t="shared" si="2"/>
        <v>0</v>
      </c>
      <c r="S65" s="561">
        <f t="shared" si="3"/>
        <v>0</v>
      </c>
      <c r="T65" s="561">
        <f t="shared" si="4"/>
        <v>0</v>
      </c>
      <c r="U65" s="561">
        <f t="shared" si="5"/>
        <v>0</v>
      </c>
      <c r="V65" s="561">
        <f t="shared" si="6"/>
        <v>0</v>
      </c>
      <c r="W65" s="675">
        <f t="shared" si="7"/>
        <v>0</v>
      </c>
      <c r="X65" s="675">
        <f t="shared" si="8"/>
        <v>0</v>
      </c>
      <c r="Y65" s="675">
        <f t="shared" si="8"/>
        <v>0</v>
      </c>
      <c r="Z65" s="86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1094">
        <f>'2022-23 Input'!N65</f>
        <v>0</v>
      </c>
      <c r="AJ65" s="665">
        <v>0</v>
      </c>
      <c r="AK65" s="127">
        <f t="shared" si="63"/>
        <v>0</v>
      </c>
      <c r="AL65" s="128">
        <f t="shared" si="64"/>
        <v>0</v>
      </c>
      <c r="AM65" s="129">
        <f t="shared" si="65"/>
        <v>0</v>
      </c>
      <c r="AN65" s="91" t="str">
        <f t="shared" si="66"/>
        <v/>
      </c>
      <c r="AO65" s="92" t="str">
        <f t="shared" si="67"/>
        <v/>
      </c>
      <c r="AP65" s="92" t="str">
        <f t="shared" si="68"/>
        <v/>
      </c>
      <c r="AQ65" s="92" t="str">
        <f t="shared" si="69"/>
        <v/>
      </c>
      <c r="AR65" s="92" t="str">
        <f t="shared" si="70"/>
        <v/>
      </c>
      <c r="AS65" s="92" t="str">
        <f t="shared" si="71"/>
        <v/>
      </c>
      <c r="AT65" s="92" t="str">
        <f t="shared" si="72"/>
        <v/>
      </c>
      <c r="AU65" s="92" t="str">
        <f t="shared" si="73"/>
        <v/>
      </c>
      <c r="AV65" s="92" t="str">
        <f t="shared" si="96"/>
        <v/>
      </c>
      <c r="AW65" s="92" t="str">
        <f t="shared" si="96"/>
        <v/>
      </c>
      <c r="AX65" s="92" t="str">
        <f t="shared" si="96"/>
        <v/>
      </c>
      <c r="AY65" s="93" t="str">
        <f t="shared" si="75"/>
        <v/>
      </c>
      <c r="AZ65" s="94" t="str">
        <f t="shared" si="76"/>
        <v/>
      </c>
      <c r="BA65" s="95" t="str">
        <f t="shared" si="77"/>
        <v/>
      </c>
      <c r="BB65" s="248" t="s">
        <v>422</v>
      </c>
      <c r="BC65" s="229" t="s">
        <v>433</v>
      </c>
      <c r="BD65" s="249">
        <v>0</v>
      </c>
      <c r="BE65" s="267">
        <f t="shared" si="28"/>
        <v>0</v>
      </c>
      <c r="BF65" s="268">
        <f t="shared" ref="BF65:BL65" si="107">IF(BF$6=$BB65,1,
IF(BE65&lt;&gt;0,BE65+1,0
))</f>
        <v>0</v>
      </c>
      <c r="BG65" s="268">
        <f t="shared" si="107"/>
        <v>0</v>
      </c>
      <c r="BH65" s="268">
        <f t="shared" si="107"/>
        <v>1</v>
      </c>
      <c r="BI65" s="268">
        <f t="shared" si="107"/>
        <v>2</v>
      </c>
      <c r="BJ65" s="268">
        <f t="shared" si="107"/>
        <v>3</v>
      </c>
      <c r="BK65" s="268">
        <f t="shared" si="107"/>
        <v>4</v>
      </c>
      <c r="BL65" s="269">
        <f t="shared" si="107"/>
        <v>5</v>
      </c>
      <c r="BM65" s="256">
        <f>IF($BC65=Lookup!$A$2,$BD65*ROUNDUP(BE65/10,0)+1,
IF($BC65=Lookup!$A$3,($BD65+1)^BD65,
IF($BC65=Lookup!$A$4,BE65*$BD65+1,"Error")))</f>
        <v>1</v>
      </c>
      <c r="BN65" s="229">
        <f>IF($BC65=Lookup!$A$2,$BD65*ROUNDUP(BF65/10,0)+1,
IF($BC65=Lookup!$A$3,($BD65+1)^BE65,
IF($BC65=Lookup!$A$4,BF65*$BD65+1,"Error")))</f>
        <v>1</v>
      </c>
      <c r="BO65" s="229">
        <f>IF($BC65=Lookup!$A$2,$BD65*ROUNDUP(BG65/10,0)+1,
IF($BC65=Lookup!$A$3,($BD65+1)^BF65,
IF($BC65=Lookup!$A$4,BG65*$BD65+1,"Error")))</f>
        <v>1</v>
      </c>
      <c r="BP65" s="229">
        <f>IF($BC65=Lookup!$A$2,$BD65*ROUNDUP(BH65/10,0)+1,
IF($BC65=Lookup!$A$3,($BD65+1)^BG65,
IF($BC65=Lookup!$A$4,BH65*$BD65+1,"Error")))</f>
        <v>1</v>
      </c>
      <c r="BQ65" s="229">
        <f>IF($BC65=Lookup!$A$2,$BD65*ROUNDUP(BI65/10,0)+1,
IF($BC65=Lookup!$A$3,($BD65+1)^BH65,
IF($BC65=Lookup!$A$4,BI65*$BD65+1,"Error")))</f>
        <v>1</v>
      </c>
      <c r="BR65" s="229">
        <f>IF($BC65=Lookup!$A$2,$BD65*ROUNDUP(BJ65/10,0)+1,
IF($BC65=Lookup!$A$3,($BD65+1)^BI65,
IF($BC65=Lookup!$A$4,BJ65*$BD65+1,"Error")))</f>
        <v>1</v>
      </c>
      <c r="BS65" s="229">
        <f>IF($BC65=Lookup!$A$2,$BD65*ROUNDUP(BK65/10,0)+1,
IF($BC65=Lookup!$A$3,($BD65+1)^BJ65,
IF($BC65=Lookup!$A$4,BK65*$BD65+1,"Error")))</f>
        <v>1</v>
      </c>
      <c r="BT65" s="249">
        <f>IF($BC65=Lookup!$A$2,$BD65*ROUNDUP(BL65/10,0)+1,
IF($BC65=Lookup!$A$3,($BD65+1)^BK65,
IF($BC65=Lookup!$A$4,BL65*$BD65+1,"Error")))</f>
        <v>1</v>
      </c>
      <c r="BU65" s="320"/>
      <c r="BV65" s="321"/>
      <c r="BW65" s="321"/>
      <c r="BX65" s="321"/>
      <c r="BY65" s="321"/>
      <c r="BZ65" s="321"/>
      <c r="CA65" s="321"/>
      <c r="CB65" s="277"/>
      <c r="CC65" s="382" t="s">
        <v>293</v>
      </c>
      <c r="CD65" s="383">
        <f>HLOOKUP($CC65,$AK$6:$AM$132,ROWS(CC$6:CC65),0)</f>
        <v>0</v>
      </c>
      <c r="CE65" s="239">
        <f t="shared" si="30"/>
        <v>0</v>
      </c>
      <c r="CF65" s="140">
        <f t="shared" si="30"/>
        <v>0</v>
      </c>
      <c r="CG65" s="140">
        <f t="shared" si="30"/>
        <v>0</v>
      </c>
      <c r="CH65" s="140">
        <f t="shared" si="30"/>
        <v>0</v>
      </c>
      <c r="CI65" s="140">
        <f t="shared" si="84"/>
        <v>0</v>
      </c>
      <c r="CJ65" s="140">
        <f t="shared" si="84"/>
        <v>0</v>
      </c>
      <c r="CK65" s="140">
        <f t="shared" si="84"/>
        <v>0</v>
      </c>
      <c r="CL65" s="291">
        <f t="shared" si="84"/>
        <v>0</v>
      </c>
      <c r="CM65" s="305" t="s">
        <v>293</v>
      </c>
      <c r="CN65" s="315">
        <v>0.05</v>
      </c>
      <c r="CO65" s="306"/>
      <c r="CP65" s="307" t="str">
        <f>IF($CO65&lt;&gt;"",$CO65,HLOOKUP($CM65,$AY$6:$BA$132,ROWS(CO$6:CO65),0))</f>
        <v/>
      </c>
      <c r="CQ65" s="784" t="str">
        <f t="shared" si="79"/>
        <v/>
      </c>
      <c r="CR65" s="784" t="str">
        <f t="shared" si="79"/>
        <v/>
      </c>
      <c r="CS65" s="97" t="str">
        <f t="shared" si="79"/>
        <v/>
      </c>
      <c r="CT65" s="97" t="str">
        <f t="shared" si="79"/>
        <v/>
      </c>
      <c r="CU65" s="97" t="str">
        <f t="shared" si="79"/>
        <v/>
      </c>
      <c r="CV65" s="97" t="str">
        <f t="shared" si="79"/>
        <v/>
      </c>
      <c r="CW65" s="97" t="str">
        <f t="shared" si="79"/>
        <v/>
      </c>
      <c r="CX65" s="98" t="str">
        <f t="shared" si="62"/>
        <v/>
      </c>
      <c r="CY65" s="392"/>
    </row>
    <row r="66" spans="1:103" ht="15.75" thickBot="1" x14ac:dyDescent="0.3">
      <c r="A66" s="100" t="s">
        <v>106</v>
      </c>
      <c r="B66" s="101" t="s">
        <v>827</v>
      </c>
      <c r="C66" s="102" t="s">
        <v>355</v>
      </c>
      <c r="D66" s="103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655">
        <f>'2022-23 Input'!G66</f>
        <v>0</v>
      </c>
      <c r="N66" s="1066">
        <v>0</v>
      </c>
      <c r="O66" s="563">
        <f t="shared" si="27"/>
        <v>0</v>
      </c>
      <c r="P66" s="564">
        <f t="shared" si="0"/>
        <v>0</v>
      </c>
      <c r="Q66" s="564">
        <f t="shared" si="1"/>
        <v>0</v>
      </c>
      <c r="R66" s="564">
        <f t="shared" si="2"/>
        <v>0</v>
      </c>
      <c r="S66" s="564">
        <f t="shared" si="3"/>
        <v>0</v>
      </c>
      <c r="T66" s="564">
        <f t="shared" si="4"/>
        <v>0</v>
      </c>
      <c r="U66" s="564">
        <f t="shared" si="5"/>
        <v>0</v>
      </c>
      <c r="V66" s="564">
        <f t="shared" si="6"/>
        <v>0</v>
      </c>
      <c r="W66" s="676">
        <f t="shared" si="7"/>
        <v>0</v>
      </c>
      <c r="X66" s="676">
        <f t="shared" si="8"/>
        <v>0</v>
      </c>
      <c r="Y66" s="676">
        <f t="shared" si="8"/>
        <v>0</v>
      </c>
      <c r="Z66" s="105">
        <v>0</v>
      </c>
      <c r="AA66" s="106">
        <v>0</v>
      </c>
      <c r="AB66" s="106">
        <v>0</v>
      </c>
      <c r="AC66" s="106">
        <v>0</v>
      </c>
      <c r="AD66" s="106">
        <v>0</v>
      </c>
      <c r="AE66" s="106">
        <v>0</v>
      </c>
      <c r="AF66" s="106">
        <v>0</v>
      </c>
      <c r="AG66" s="106">
        <v>0</v>
      </c>
      <c r="AH66" s="106">
        <v>0</v>
      </c>
      <c r="AI66" s="1095">
        <f>'2022-23 Input'!N66</f>
        <v>0</v>
      </c>
      <c r="AJ66" s="666">
        <v>0</v>
      </c>
      <c r="AK66" s="133">
        <f t="shared" si="63"/>
        <v>0</v>
      </c>
      <c r="AL66" s="134">
        <f t="shared" si="64"/>
        <v>0</v>
      </c>
      <c r="AM66" s="135">
        <f t="shared" si="65"/>
        <v>0</v>
      </c>
      <c r="AN66" s="110" t="str">
        <f t="shared" si="66"/>
        <v/>
      </c>
      <c r="AO66" s="111" t="str">
        <f t="shared" si="67"/>
        <v/>
      </c>
      <c r="AP66" s="111" t="str">
        <f t="shared" si="68"/>
        <v/>
      </c>
      <c r="AQ66" s="111" t="str">
        <f t="shared" si="69"/>
        <v/>
      </c>
      <c r="AR66" s="111" t="str">
        <f t="shared" si="70"/>
        <v/>
      </c>
      <c r="AS66" s="111" t="str">
        <f t="shared" si="71"/>
        <v/>
      </c>
      <c r="AT66" s="111" t="str">
        <f t="shared" si="72"/>
        <v/>
      </c>
      <c r="AU66" s="111" t="str">
        <f t="shared" si="73"/>
        <v/>
      </c>
      <c r="AV66" s="111" t="str">
        <f t="shared" si="96"/>
        <v/>
      </c>
      <c r="AW66" s="111" t="str">
        <f t="shared" si="96"/>
        <v/>
      </c>
      <c r="AX66" s="111" t="str">
        <f t="shared" si="96"/>
        <v/>
      </c>
      <c r="AY66" s="112" t="str">
        <f t="shared" si="75"/>
        <v/>
      </c>
      <c r="AZ66" s="113" t="str">
        <f t="shared" si="76"/>
        <v/>
      </c>
      <c r="BA66" s="114" t="str">
        <f t="shared" si="77"/>
        <v/>
      </c>
      <c r="BB66" s="250" t="s">
        <v>422</v>
      </c>
      <c r="BC66" s="230" t="s">
        <v>433</v>
      </c>
      <c r="BD66" s="251">
        <v>0</v>
      </c>
      <c r="BE66" s="270">
        <f t="shared" si="28"/>
        <v>0</v>
      </c>
      <c r="BF66" s="271">
        <f t="shared" ref="BF66:BL66" si="108">IF(BF$6=$BB66,1,
IF(BE66&lt;&gt;0,BE66+1,0
))</f>
        <v>0</v>
      </c>
      <c r="BG66" s="271">
        <f t="shared" si="108"/>
        <v>0</v>
      </c>
      <c r="BH66" s="271">
        <f t="shared" si="108"/>
        <v>1</v>
      </c>
      <c r="BI66" s="271">
        <f t="shared" si="108"/>
        <v>2</v>
      </c>
      <c r="BJ66" s="271">
        <f t="shared" si="108"/>
        <v>3</v>
      </c>
      <c r="BK66" s="271">
        <f t="shared" si="108"/>
        <v>4</v>
      </c>
      <c r="BL66" s="272">
        <f t="shared" si="108"/>
        <v>5</v>
      </c>
      <c r="BM66" s="257">
        <f>IF($BC66=Lookup!$A$2,$BD66*ROUNDUP(BE66/10,0)+1,
IF($BC66=Lookup!$A$3,($BD66+1)^BD66,
IF($BC66=Lookup!$A$4,BE66*$BD66+1,"Error")))</f>
        <v>1</v>
      </c>
      <c r="BN66" s="230">
        <f>IF($BC66=Lookup!$A$2,$BD66*ROUNDUP(BF66/10,0)+1,
IF($BC66=Lookup!$A$3,($BD66+1)^BE66,
IF($BC66=Lookup!$A$4,BF66*$BD66+1,"Error")))</f>
        <v>1</v>
      </c>
      <c r="BO66" s="230">
        <f>IF($BC66=Lookup!$A$2,$BD66*ROUNDUP(BG66/10,0)+1,
IF($BC66=Lookup!$A$3,($BD66+1)^BF66,
IF($BC66=Lookup!$A$4,BG66*$BD66+1,"Error")))</f>
        <v>1</v>
      </c>
      <c r="BP66" s="230">
        <f>IF($BC66=Lookup!$A$2,$BD66*ROUNDUP(BH66/10,0)+1,
IF($BC66=Lookup!$A$3,($BD66+1)^BG66,
IF($BC66=Lookup!$A$4,BH66*$BD66+1,"Error")))</f>
        <v>1</v>
      </c>
      <c r="BQ66" s="230">
        <f>IF($BC66=Lookup!$A$2,$BD66*ROUNDUP(BI66/10,0)+1,
IF($BC66=Lookup!$A$3,($BD66+1)^BH66,
IF($BC66=Lookup!$A$4,BI66*$BD66+1,"Error")))</f>
        <v>1</v>
      </c>
      <c r="BR66" s="230">
        <f>IF($BC66=Lookup!$A$2,$BD66*ROUNDUP(BJ66/10,0)+1,
IF($BC66=Lookup!$A$3,($BD66+1)^BI66,
IF($BC66=Lookup!$A$4,BJ66*$BD66+1,"Error")))</f>
        <v>1</v>
      </c>
      <c r="BS66" s="230">
        <f>IF($BC66=Lookup!$A$2,$BD66*ROUNDUP(BK66/10,0)+1,
IF($BC66=Lookup!$A$3,($BD66+1)^BJ66,
IF($BC66=Lookup!$A$4,BK66*$BD66+1,"Error")))</f>
        <v>1</v>
      </c>
      <c r="BT66" s="251">
        <f>IF($BC66=Lookup!$A$2,$BD66*ROUNDUP(BL66/10,0)+1,
IF($BC66=Lookup!$A$3,($BD66+1)^BK66,
IF($BC66=Lookup!$A$4,BL66*$BD66+1,"Error")))</f>
        <v>1</v>
      </c>
      <c r="BU66" s="322"/>
      <c r="BV66" s="323"/>
      <c r="BW66" s="323"/>
      <c r="BX66" s="323"/>
      <c r="BY66" s="323"/>
      <c r="BZ66" s="323"/>
      <c r="CA66" s="323"/>
      <c r="CB66" s="278"/>
      <c r="CC66" s="384" t="s">
        <v>293</v>
      </c>
      <c r="CD66" s="385">
        <f>HLOOKUP($CC66,$AK$6:$AM$132,ROWS(CC$6:CC66),0)</f>
        <v>0</v>
      </c>
      <c r="CE66" s="240">
        <f t="shared" si="30"/>
        <v>0</v>
      </c>
      <c r="CF66" s="141">
        <f t="shared" si="30"/>
        <v>0</v>
      </c>
      <c r="CG66" s="141">
        <f t="shared" si="30"/>
        <v>0</v>
      </c>
      <c r="CH66" s="141">
        <f t="shared" si="30"/>
        <v>0</v>
      </c>
      <c r="CI66" s="141">
        <f t="shared" si="84"/>
        <v>0</v>
      </c>
      <c r="CJ66" s="141">
        <f t="shared" si="84"/>
        <v>0</v>
      </c>
      <c r="CK66" s="141">
        <f t="shared" si="84"/>
        <v>0</v>
      </c>
      <c r="CL66" s="292">
        <f t="shared" si="84"/>
        <v>0</v>
      </c>
      <c r="CM66" s="308" t="s">
        <v>293</v>
      </c>
      <c r="CN66" s="316">
        <v>0.05</v>
      </c>
      <c r="CO66" s="309"/>
      <c r="CP66" s="310" t="str">
        <f>IF($CO66&lt;&gt;"",$CO66,HLOOKUP($CM66,$AY$6:$BA$132,ROWS(CO$6:CO66),0))</f>
        <v/>
      </c>
      <c r="CQ66" s="785" t="str">
        <f t="shared" si="79"/>
        <v/>
      </c>
      <c r="CR66" s="785" t="str">
        <f t="shared" si="79"/>
        <v/>
      </c>
      <c r="CS66" s="117" t="str">
        <f t="shared" si="79"/>
        <v/>
      </c>
      <c r="CT66" s="117" t="str">
        <f t="shared" si="79"/>
        <v/>
      </c>
      <c r="CU66" s="117" t="str">
        <f t="shared" si="79"/>
        <v/>
      </c>
      <c r="CV66" s="117" t="str">
        <f t="shared" si="79"/>
        <v/>
      </c>
      <c r="CW66" s="117" t="str">
        <f t="shared" si="79"/>
        <v/>
      </c>
      <c r="CX66" s="118" t="str">
        <f t="shared" si="62"/>
        <v/>
      </c>
      <c r="CY66" s="393"/>
    </row>
    <row r="67" spans="1:103" x14ac:dyDescent="0.25">
      <c r="A67" s="142" t="s">
        <v>138</v>
      </c>
      <c r="B67" s="143" t="s">
        <v>135</v>
      </c>
      <c r="C67" s="65" t="s">
        <v>356</v>
      </c>
      <c r="D67" s="66">
        <v>1653538.7118298896</v>
      </c>
      <c r="E67" s="67">
        <v>1843199.9699309876</v>
      </c>
      <c r="F67" s="67">
        <v>2384420.7419460486</v>
      </c>
      <c r="G67" s="67">
        <v>1547544.9534553122</v>
      </c>
      <c r="H67" s="67">
        <v>1890162.4697993908</v>
      </c>
      <c r="I67" s="67">
        <v>1374825.0019708117</v>
      </c>
      <c r="J67" s="67">
        <v>1206354.3284754944</v>
      </c>
      <c r="K67" s="67">
        <v>1090212.7120080814</v>
      </c>
      <c r="L67" s="67">
        <v>1315208.0275939258</v>
      </c>
      <c r="M67" s="653">
        <f>'2022-23 Input'!G67</f>
        <v>1441980.5165265973</v>
      </c>
      <c r="N67" s="1064">
        <v>1795236.5057464184</v>
      </c>
      <c r="O67" s="557">
        <f t="shared" si="27"/>
        <v>2224764.1088842275</v>
      </c>
      <c r="P67" s="558">
        <f t="shared" si="0"/>
        <v>2443034.2371015963</v>
      </c>
      <c r="Q67" s="558">
        <f t="shared" si="1"/>
        <v>3128373.7184507921</v>
      </c>
      <c r="R67" s="558">
        <f t="shared" si="2"/>
        <v>1991871.0306764022</v>
      </c>
      <c r="S67" s="558">
        <f t="shared" si="3"/>
        <v>2383341.3899455792</v>
      </c>
      <c r="T67" s="558">
        <f t="shared" si="4"/>
        <v>1706361.706376662</v>
      </c>
      <c r="U67" s="558">
        <f t="shared" si="5"/>
        <v>1502499.808271053</v>
      </c>
      <c r="V67" s="558">
        <f t="shared" si="6"/>
        <v>1307556.1986759256</v>
      </c>
      <c r="W67" s="674">
        <f t="shared" si="7"/>
        <v>1486089.3687180937</v>
      </c>
      <c r="X67" s="674">
        <f t="shared" si="8"/>
        <v>1533489.9355121327</v>
      </c>
      <c r="Y67" s="674">
        <f t="shared" si="8"/>
        <v>1844602.7796670755</v>
      </c>
      <c r="Z67" s="68">
        <v>301</v>
      </c>
      <c r="AA67" s="69">
        <v>382</v>
      </c>
      <c r="AB67" s="69">
        <v>448</v>
      </c>
      <c r="AC67" s="69">
        <v>276</v>
      </c>
      <c r="AD67" s="69">
        <v>350</v>
      </c>
      <c r="AE67" s="69">
        <v>261</v>
      </c>
      <c r="AF67" s="69">
        <v>180</v>
      </c>
      <c r="AG67" s="69">
        <v>145</v>
      </c>
      <c r="AH67" s="69">
        <v>210</v>
      </c>
      <c r="AI67" s="1093">
        <f>'2022-23 Input'!N67</f>
        <v>140</v>
      </c>
      <c r="AJ67" s="664">
        <v>161</v>
      </c>
      <c r="AK67" s="70">
        <f t="shared" si="63"/>
        <v>187.2</v>
      </c>
      <c r="AL67" s="71">
        <f t="shared" si="64"/>
        <v>165</v>
      </c>
      <c r="AM67" s="72">
        <f t="shared" si="65"/>
        <v>140</v>
      </c>
      <c r="AN67" s="73">
        <f t="shared" si="66"/>
        <v>5493.4840924581049</v>
      </c>
      <c r="AO67" s="74">
        <f t="shared" si="67"/>
        <v>4825.1308113376635</v>
      </c>
      <c r="AP67" s="74">
        <f t="shared" si="68"/>
        <v>5322.367727558144</v>
      </c>
      <c r="AQ67" s="74">
        <f t="shared" si="69"/>
        <v>5607.0469328091021</v>
      </c>
      <c r="AR67" s="74">
        <f t="shared" si="70"/>
        <v>5400.4641994268304</v>
      </c>
      <c r="AS67" s="74">
        <f t="shared" si="71"/>
        <v>5267.5287431831866</v>
      </c>
      <c r="AT67" s="74">
        <f t="shared" si="72"/>
        <v>6701.9684915305243</v>
      </c>
      <c r="AU67" s="74">
        <f t="shared" si="73"/>
        <v>7518.7083586764229</v>
      </c>
      <c r="AV67" s="74">
        <f t="shared" si="96"/>
        <v>6262.895369494885</v>
      </c>
      <c r="AW67" s="74">
        <f t="shared" si="96"/>
        <v>10299.860832332837</v>
      </c>
      <c r="AX67" s="74">
        <f t="shared" si="96"/>
        <v>11150.537302772786</v>
      </c>
      <c r="AY67" s="75">
        <f t="shared" si="75"/>
        <v>6868.141652323623</v>
      </c>
      <c r="AZ67" s="76">
        <f t="shared" si="76"/>
        <v>7772.527790158797</v>
      </c>
      <c r="BA67" s="77">
        <f t="shared" si="77"/>
        <v>10299.860832332837</v>
      </c>
      <c r="BB67" s="246" t="s">
        <v>422</v>
      </c>
      <c r="BC67" s="228" t="s">
        <v>433</v>
      </c>
      <c r="BD67" s="247">
        <v>-7.8321678319999994E-3</v>
      </c>
      <c r="BE67" s="264">
        <f t="shared" si="28"/>
        <v>0</v>
      </c>
      <c r="BF67" s="265">
        <f t="shared" ref="BF67:BL67" si="109">IF(BF$6=$BB67,1,
IF(BE67&lt;&gt;0,BE67+1,0
))</f>
        <v>0</v>
      </c>
      <c r="BG67" s="265">
        <f t="shared" si="109"/>
        <v>0</v>
      </c>
      <c r="BH67" s="265">
        <f t="shared" si="109"/>
        <v>1</v>
      </c>
      <c r="BI67" s="265">
        <f t="shared" si="109"/>
        <v>2</v>
      </c>
      <c r="BJ67" s="265">
        <f t="shared" si="109"/>
        <v>3</v>
      </c>
      <c r="BK67" s="265">
        <f t="shared" si="109"/>
        <v>4</v>
      </c>
      <c r="BL67" s="266">
        <f t="shared" si="109"/>
        <v>5</v>
      </c>
      <c r="BM67" s="255">
        <f>IF($BC67=Lookup!$A$2,$BD67*ROUNDUP(BE67/10,0)+1,
IF($BC67=Lookup!$A$3,($BD67+1)^BD67,
IF($BC67=Lookup!$A$4,BE67*$BD67+1,"Error")))</f>
        <v>1</v>
      </c>
      <c r="BN67" s="228">
        <f>IF($BC67=Lookup!$A$2,$BD67*ROUNDUP(BF67/10,0)+1,
IF($BC67=Lookup!$A$3,($BD67+1)^BE67,
IF($BC67=Lookup!$A$4,BF67*$BD67+1,"Error")))</f>
        <v>1</v>
      </c>
      <c r="BO67" s="228">
        <f>IF($BC67=Lookup!$A$2,$BD67*ROUNDUP(BG67/10,0)+1,
IF($BC67=Lookup!$A$3,($BD67+1)^BF67,
IF($BC67=Lookup!$A$4,BG67*$BD67+1,"Error")))</f>
        <v>1</v>
      </c>
      <c r="BP67" s="228">
        <f>IF($BC67=Lookup!$A$2,$BD67*ROUNDUP(BH67/10,0)+1,
IF($BC67=Lookup!$A$3,($BD67+1)^BG67,
IF($BC67=Lookup!$A$4,BH67*$BD67+1,"Error")))</f>
        <v>0.99216783216799997</v>
      </c>
      <c r="BQ67" s="228">
        <f>IF($BC67=Lookup!$A$2,$BD67*ROUNDUP(BI67/10,0)+1,
IF($BC67=Lookup!$A$3,($BD67+1)^BH67,
IF($BC67=Lookup!$A$4,BI67*$BD67+1,"Error")))</f>
        <v>0.99216783216799997</v>
      </c>
      <c r="BR67" s="228">
        <f>IF($BC67=Lookup!$A$2,$BD67*ROUNDUP(BJ67/10,0)+1,
IF($BC67=Lookup!$A$3,($BD67+1)^BI67,
IF($BC67=Lookup!$A$4,BJ67*$BD67+1,"Error")))</f>
        <v>0.99216783216799997</v>
      </c>
      <c r="BS67" s="228">
        <f>IF($BC67=Lookup!$A$2,$BD67*ROUNDUP(BK67/10,0)+1,
IF($BC67=Lookup!$A$3,($BD67+1)^BJ67,
IF($BC67=Lookup!$A$4,BK67*$BD67+1,"Error")))</f>
        <v>0.99216783216799997</v>
      </c>
      <c r="BT67" s="247">
        <f>IF($BC67=Lookup!$A$2,$BD67*ROUNDUP(BL67/10,0)+1,
IF($BC67=Lookup!$A$3,($BD67+1)^BK67,
IF($BC67=Lookup!$A$4,BL67*$BD67+1,"Error")))</f>
        <v>0.99216783216799997</v>
      </c>
      <c r="BU67" s="318"/>
      <c r="BV67" s="319"/>
      <c r="BW67" s="319"/>
      <c r="BX67" s="319"/>
      <c r="BY67" s="319"/>
      <c r="BZ67" s="319"/>
      <c r="CA67" s="319"/>
      <c r="CB67" s="276"/>
      <c r="CC67" s="380" t="s">
        <v>293</v>
      </c>
      <c r="CD67" s="381">
        <f>HLOOKUP($CC67,$AK$6:$AM$132,ROWS(CC$6:CC67),0)</f>
        <v>165</v>
      </c>
      <c r="CE67" s="233">
        <f t="shared" si="30"/>
        <v>165</v>
      </c>
      <c r="CF67" s="78">
        <f t="shared" si="30"/>
        <v>165</v>
      </c>
      <c r="CG67" s="78">
        <f t="shared" si="30"/>
        <v>165</v>
      </c>
      <c r="CH67" s="78">
        <f t="shared" si="30"/>
        <v>163.70769230772001</v>
      </c>
      <c r="CI67" s="78">
        <f t="shared" si="84"/>
        <v>163.70769230772001</v>
      </c>
      <c r="CJ67" s="78">
        <f t="shared" si="84"/>
        <v>163.70769230772001</v>
      </c>
      <c r="CK67" s="78">
        <f t="shared" si="84"/>
        <v>163.70769230772001</v>
      </c>
      <c r="CL67" s="285">
        <f t="shared" si="84"/>
        <v>163.70769230772001</v>
      </c>
      <c r="CM67" s="302" t="s">
        <v>293</v>
      </c>
      <c r="CN67" s="314">
        <v>0.05</v>
      </c>
      <c r="CO67" s="303"/>
      <c r="CP67" s="304">
        <f>IF($CO67&lt;&gt;"",$CO67,HLOOKUP($CM67,$AY$6:$BA$132,ROWS(CO$6:CO67),0))</f>
        <v>7772.527790158797</v>
      </c>
      <c r="CQ67" s="783">
        <f t="shared" si="79"/>
        <v>1282467.0853762014</v>
      </c>
      <c r="CR67" s="783">
        <f t="shared" si="79"/>
        <v>1282467.0853762014</v>
      </c>
      <c r="CS67" s="79">
        <f t="shared" si="79"/>
        <v>1282467.0853762014</v>
      </c>
      <c r="CT67" s="79">
        <f t="shared" si="79"/>
        <v>1272422.5879245193</v>
      </c>
      <c r="CU67" s="79">
        <f t="shared" si="79"/>
        <v>1272422.5879245193</v>
      </c>
      <c r="CV67" s="79">
        <f t="shared" si="79"/>
        <v>1272422.5879245193</v>
      </c>
      <c r="CW67" s="79">
        <f t="shared" si="79"/>
        <v>1272422.5879245193</v>
      </c>
      <c r="CX67" s="80">
        <f t="shared" si="62"/>
        <v>1272422.5879245193</v>
      </c>
      <c r="CY67" s="391"/>
    </row>
    <row r="68" spans="1:103" x14ac:dyDescent="0.25">
      <c r="A68" s="81" t="s">
        <v>138</v>
      </c>
      <c r="B68" s="82" t="s">
        <v>139</v>
      </c>
      <c r="C68" s="83" t="s">
        <v>357</v>
      </c>
      <c r="D68" s="84">
        <v>642963.92433991272</v>
      </c>
      <c r="E68" s="85">
        <v>806561.14372983074</v>
      </c>
      <c r="F68" s="85">
        <v>740403.56943600532</v>
      </c>
      <c r="G68" s="85">
        <v>396753.80945880845</v>
      </c>
      <c r="H68" s="85">
        <v>456102.51230733423</v>
      </c>
      <c r="I68" s="85">
        <v>423852.10516172991</v>
      </c>
      <c r="J68" s="85">
        <v>404998.73696687602</v>
      </c>
      <c r="K68" s="85">
        <v>379536.97577549604</v>
      </c>
      <c r="L68" s="85">
        <v>642264.94190337474</v>
      </c>
      <c r="M68" s="654">
        <f>'2022-23 Input'!G68</f>
        <v>511080.08224521286</v>
      </c>
      <c r="N68" s="1065">
        <v>399190.91691361711</v>
      </c>
      <c r="O68" s="560">
        <f t="shared" si="27"/>
        <v>865079.87502499484</v>
      </c>
      <c r="P68" s="561">
        <f t="shared" si="0"/>
        <v>1069041.0810507853</v>
      </c>
      <c r="Q68" s="561">
        <f t="shared" si="1"/>
        <v>971413.73874324583</v>
      </c>
      <c r="R68" s="561">
        <f t="shared" si="2"/>
        <v>510668.47370539169</v>
      </c>
      <c r="S68" s="561">
        <f t="shared" si="3"/>
        <v>575108.23170433834</v>
      </c>
      <c r="T68" s="561">
        <f t="shared" si="4"/>
        <v>526063.3174246453</v>
      </c>
      <c r="U68" s="561">
        <f t="shared" si="5"/>
        <v>504421.05630088184</v>
      </c>
      <c r="V68" s="561">
        <f t="shared" si="6"/>
        <v>455201.00787293498</v>
      </c>
      <c r="W68" s="675">
        <f t="shared" si="7"/>
        <v>725712.64928261412</v>
      </c>
      <c r="X68" s="675">
        <f t="shared" si="8"/>
        <v>543513.69757171825</v>
      </c>
      <c r="Y68" s="675">
        <f t="shared" si="8"/>
        <v>410168.06008551485</v>
      </c>
      <c r="Z68" s="86">
        <v>18</v>
      </c>
      <c r="AA68" s="87">
        <v>25</v>
      </c>
      <c r="AB68" s="87">
        <v>21</v>
      </c>
      <c r="AC68" s="87">
        <v>11</v>
      </c>
      <c r="AD68" s="87">
        <v>13</v>
      </c>
      <c r="AE68" s="87">
        <v>15</v>
      </c>
      <c r="AF68" s="87">
        <v>12</v>
      </c>
      <c r="AG68" s="87">
        <v>13</v>
      </c>
      <c r="AH68" s="87">
        <v>17</v>
      </c>
      <c r="AI68" s="1094">
        <f>'2022-23 Input'!N68</f>
        <v>15</v>
      </c>
      <c r="AJ68" s="665">
        <v>5</v>
      </c>
      <c r="AK68" s="88">
        <f t="shared" si="63"/>
        <v>14.4</v>
      </c>
      <c r="AL68" s="89">
        <f t="shared" si="64"/>
        <v>15</v>
      </c>
      <c r="AM68" s="90">
        <f t="shared" si="65"/>
        <v>15</v>
      </c>
      <c r="AN68" s="91">
        <f t="shared" si="66"/>
        <v>35720.218018884043</v>
      </c>
      <c r="AO68" s="92">
        <f t="shared" si="67"/>
        <v>32262.44574919323</v>
      </c>
      <c r="AP68" s="92">
        <f t="shared" si="68"/>
        <v>35257.31283028597</v>
      </c>
      <c r="AQ68" s="92">
        <f t="shared" si="69"/>
        <v>36068.528132618951</v>
      </c>
      <c r="AR68" s="92">
        <f t="shared" si="70"/>
        <v>35084.808639025709</v>
      </c>
      <c r="AS68" s="92">
        <f t="shared" si="71"/>
        <v>28256.807010781995</v>
      </c>
      <c r="AT68" s="92">
        <f t="shared" si="72"/>
        <v>33749.894747239669</v>
      </c>
      <c r="AU68" s="92">
        <f t="shared" si="73"/>
        <v>29195.151982730466</v>
      </c>
      <c r="AV68" s="92">
        <f t="shared" si="96"/>
        <v>37780.290700198515</v>
      </c>
      <c r="AW68" s="92">
        <f t="shared" si="96"/>
        <v>34072.005483014189</v>
      </c>
      <c r="AX68" s="92">
        <f t="shared" si="96"/>
        <v>79838.183382723422</v>
      </c>
      <c r="AY68" s="93">
        <f t="shared" si="75"/>
        <v>32801.845028509582</v>
      </c>
      <c r="AZ68" s="94">
        <f t="shared" si="76"/>
        <v>34064.044442757418</v>
      </c>
      <c r="BA68" s="95">
        <f t="shared" si="77"/>
        <v>34072.005483014189</v>
      </c>
      <c r="BB68" s="248" t="s">
        <v>422</v>
      </c>
      <c r="BC68" s="229" t="s">
        <v>433</v>
      </c>
      <c r="BD68" s="249">
        <v>-7.8321678319999994E-3</v>
      </c>
      <c r="BE68" s="267">
        <f t="shared" si="28"/>
        <v>0</v>
      </c>
      <c r="BF68" s="268">
        <f t="shared" ref="BF68:BL68" si="110">IF(BF$6=$BB68,1,
IF(BE68&lt;&gt;0,BE68+1,0
))</f>
        <v>0</v>
      </c>
      <c r="BG68" s="268">
        <f t="shared" si="110"/>
        <v>0</v>
      </c>
      <c r="BH68" s="268">
        <f t="shared" si="110"/>
        <v>1</v>
      </c>
      <c r="BI68" s="268">
        <f t="shared" si="110"/>
        <v>2</v>
      </c>
      <c r="BJ68" s="268">
        <f t="shared" si="110"/>
        <v>3</v>
      </c>
      <c r="BK68" s="268">
        <f t="shared" si="110"/>
        <v>4</v>
      </c>
      <c r="BL68" s="269">
        <f t="shared" si="110"/>
        <v>5</v>
      </c>
      <c r="BM68" s="256">
        <f>IF($BC68=Lookup!$A$2,$BD68*ROUNDUP(BE68/10,0)+1,
IF($BC68=Lookup!$A$3,($BD68+1)^BD68,
IF($BC68=Lookup!$A$4,BE68*$BD68+1,"Error")))</f>
        <v>1</v>
      </c>
      <c r="BN68" s="229">
        <f>IF($BC68=Lookup!$A$2,$BD68*ROUNDUP(BF68/10,0)+1,
IF($BC68=Lookup!$A$3,($BD68+1)^BE68,
IF($BC68=Lookup!$A$4,BF68*$BD68+1,"Error")))</f>
        <v>1</v>
      </c>
      <c r="BO68" s="229">
        <f>IF($BC68=Lookup!$A$2,$BD68*ROUNDUP(BG68/10,0)+1,
IF($BC68=Lookup!$A$3,($BD68+1)^BF68,
IF($BC68=Lookup!$A$4,BG68*$BD68+1,"Error")))</f>
        <v>1</v>
      </c>
      <c r="BP68" s="229">
        <f>IF($BC68=Lookup!$A$2,$BD68*ROUNDUP(BH68/10,0)+1,
IF($BC68=Lookup!$A$3,($BD68+1)^BG68,
IF($BC68=Lookup!$A$4,BH68*$BD68+1,"Error")))</f>
        <v>0.99216783216799997</v>
      </c>
      <c r="BQ68" s="229">
        <f>IF($BC68=Lookup!$A$2,$BD68*ROUNDUP(BI68/10,0)+1,
IF($BC68=Lookup!$A$3,($BD68+1)^BH68,
IF($BC68=Lookup!$A$4,BI68*$BD68+1,"Error")))</f>
        <v>0.99216783216799997</v>
      </c>
      <c r="BR68" s="229">
        <f>IF($BC68=Lookup!$A$2,$BD68*ROUNDUP(BJ68/10,0)+1,
IF($BC68=Lookup!$A$3,($BD68+1)^BI68,
IF($BC68=Lookup!$A$4,BJ68*$BD68+1,"Error")))</f>
        <v>0.99216783216799997</v>
      </c>
      <c r="BS68" s="229">
        <f>IF($BC68=Lookup!$A$2,$BD68*ROUNDUP(BK68/10,0)+1,
IF($BC68=Lookup!$A$3,($BD68+1)^BJ68,
IF($BC68=Lookup!$A$4,BK68*$BD68+1,"Error")))</f>
        <v>0.99216783216799997</v>
      </c>
      <c r="BT68" s="249">
        <f>IF($BC68=Lookup!$A$2,$BD68*ROUNDUP(BL68/10,0)+1,
IF($BC68=Lookup!$A$3,($BD68+1)^BK68,
IF($BC68=Lookup!$A$4,BL68*$BD68+1,"Error")))</f>
        <v>0.99216783216799997</v>
      </c>
      <c r="BU68" s="320"/>
      <c r="BV68" s="321"/>
      <c r="BW68" s="321"/>
      <c r="BX68" s="321"/>
      <c r="BY68" s="321"/>
      <c r="BZ68" s="321"/>
      <c r="CA68" s="321"/>
      <c r="CB68" s="277"/>
      <c r="CC68" s="382" t="s">
        <v>293</v>
      </c>
      <c r="CD68" s="383">
        <f>HLOOKUP($CC68,$AK$6:$AM$132,ROWS(CC$6:CC68),0)</f>
        <v>15</v>
      </c>
      <c r="CE68" s="234">
        <f t="shared" si="30"/>
        <v>15</v>
      </c>
      <c r="CF68" s="96">
        <f t="shared" si="30"/>
        <v>15</v>
      </c>
      <c r="CG68" s="96">
        <f t="shared" si="30"/>
        <v>15</v>
      </c>
      <c r="CH68" s="96">
        <f t="shared" si="30"/>
        <v>14.882517482519999</v>
      </c>
      <c r="CI68" s="96">
        <f t="shared" si="84"/>
        <v>14.882517482519999</v>
      </c>
      <c r="CJ68" s="96">
        <f t="shared" si="84"/>
        <v>14.882517482519999</v>
      </c>
      <c r="CK68" s="96">
        <f t="shared" si="84"/>
        <v>14.882517482519999</v>
      </c>
      <c r="CL68" s="286">
        <f t="shared" si="84"/>
        <v>14.882517482519999</v>
      </c>
      <c r="CM68" s="305" t="s">
        <v>293</v>
      </c>
      <c r="CN68" s="315">
        <v>0.05</v>
      </c>
      <c r="CO68" s="306"/>
      <c r="CP68" s="307">
        <f>IF($CO68&lt;&gt;"",$CO68,HLOOKUP($CM68,$AY$6:$BA$132,ROWS(CO$6:CO68),0))</f>
        <v>34064.044442757418</v>
      </c>
      <c r="CQ68" s="784">
        <f t="shared" si="79"/>
        <v>510960.66664136125</v>
      </c>
      <c r="CR68" s="784">
        <f t="shared" si="79"/>
        <v>510960.66664136125</v>
      </c>
      <c r="CS68" s="97">
        <f t="shared" si="79"/>
        <v>510960.66664136125</v>
      </c>
      <c r="CT68" s="97">
        <f t="shared" si="79"/>
        <v>506958.7369446755</v>
      </c>
      <c r="CU68" s="97">
        <f t="shared" si="79"/>
        <v>506958.7369446755</v>
      </c>
      <c r="CV68" s="97">
        <f t="shared" si="79"/>
        <v>506958.7369446755</v>
      </c>
      <c r="CW68" s="97">
        <f t="shared" si="79"/>
        <v>506958.7369446755</v>
      </c>
      <c r="CX68" s="98">
        <f t="shared" si="62"/>
        <v>506958.7369446755</v>
      </c>
      <c r="CY68" s="392"/>
    </row>
    <row r="69" spans="1:103" x14ac:dyDescent="0.25">
      <c r="A69" s="81" t="s">
        <v>138</v>
      </c>
      <c r="B69" s="82" t="s">
        <v>141</v>
      </c>
      <c r="C69" s="83" t="s">
        <v>358</v>
      </c>
      <c r="D69" s="84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85">
        <v>0</v>
      </c>
      <c r="L69" s="85">
        <v>0</v>
      </c>
      <c r="M69" s="654">
        <f>'2022-23 Input'!G69</f>
        <v>0</v>
      </c>
      <c r="N69" s="1065">
        <v>0</v>
      </c>
      <c r="O69" s="560">
        <f t="shared" si="27"/>
        <v>0</v>
      </c>
      <c r="P69" s="561">
        <f t="shared" si="0"/>
        <v>0</v>
      </c>
      <c r="Q69" s="561">
        <f t="shared" si="1"/>
        <v>0</v>
      </c>
      <c r="R69" s="561">
        <f t="shared" si="2"/>
        <v>0</v>
      </c>
      <c r="S69" s="561">
        <f t="shared" si="3"/>
        <v>0</v>
      </c>
      <c r="T69" s="561">
        <f t="shared" si="4"/>
        <v>0</v>
      </c>
      <c r="U69" s="561">
        <f t="shared" si="5"/>
        <v>0</v>
      </c>
      <c r="V69" s="561">
        <f t="shared" si="6"/>
        <v>0</v>
      </c>
      <c r="W69" s="675">
        <f t="shared" si="7"/>
        <v>0</v>
      </c>
      <c r="X69" s="675">
        <f t="shared" si="8"/>
        <v>0</v>
      </c>
      <c r="Y69" s="675">
        <f t="shared" si="8"/>
        <v>0</v>
      </c>
      <c r="Z69" s="86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87">
        <v>0</v>
      </c>
      <c r="AI69" s="1094">
        <f>'2022-23 Input'!N69</f>
        <v>0</v>
      </c>
      <c r="AJ69" s="665">
        <v>0</v>
      </c>
      <c r="AK69" s="88">
        <f t="shared" si="63"/>
        <v>0</v>
      </c>
      <c r="AL69" s="89">
        <f t="shared" si="64"/>
        <v>0</v>
      </c>
      <c r="AM69" s="90">
        <f t="shared" si="65"/>
        <v>0</v>
      </c>
      <c r="AN69" s="91" t="str">
        <f t="shared" si="66"/>
        <v/>
      </c>
      <c r="AO69" s="92" t="str">
        <f t="shared" si="67"/>
        <v/>
      </c>
      <c r="AP69" s="92" t="str">
        <f t="shared" si="68"/>
        <v/>
      </c>
      <c r="AQ69" s="92" t="str">
        <f t="shared" si="69"/>
        <v/>
      </c>
      <c r="AR69" s="92" t="str">
        <f t="shared" si="70"/>
        <v/>
      </c>
      <c r="AS69" s="92" t="str">
        <f t="shared" si="71"/>
        <v/>
      </c>
      <c r="AT69" s="92" t="str">
        <f t="shared" si="72"/>
        <v/>
      </c>
      <c r="AU69" s="92" t="str">
        <f t="shared" si="73"/>
        <v/>
      </c>
      <c r="AV69" s="92" t="str">
        <f t="shared" si="96"/>
        <v/>
      </c>
      <c r="AW69" s="92" t="str">
        <f t="shared" si="96"/>
        <v/>
      </c>
      <c r="AX69" s="92" t="str">
        <f t="shared" si="96"/>
        <v/>
      </c>
      <c r="AY69" s="93" t="str">
        <f t="shared" si="75"/>
        <v/>
      </c>
      <c r="AZ69" s="94" t="str">
        <f t="shared" si="76"/>
        <v/>
      </c>
      <c r="BA69" s="95" t="str">
        <f t="shared" si="77"/>
        <v/>
      </c>
      <c r="BB69" s="248" t="s">
        <v>422</v>
      </c>
      <c r="BC69" s="229" t="s">
        <v>433</v>
      </c>
      <c r="BD69" s="249">
        <v>-7.8321678319999994E-3</v>
      </c>
      <c r="BE69" s="267">
        <f t="shared" si="28"/>
        <v>0</v>
      </c>
      <c r="BF69" s="268">
        <f t="shared" ref="BF69:BL69" si="111">IF(BF$6=$BB69,1,
IF(BE69&lt;&gt;0,BE69+1,0
))</f>
        <v>0</v>
      </c>
      <c r="BG69" s="268">
        <f t="shared" si="111"/>
        <v>0</v>
      </c>
      <c r="BH69" s="268">
        <f t="shared" si="111"/>
        <v>1</v>
      </c>
      <c r="BI69" s="268">
        <f t="shared" si="111"/>
        <v>2</v>
      </c>
      <c r="BJ69" s="268">
        <f t="shared" si="111"/>
        <v>3</v>
      </c>
      <c r="BK69" s="268">
        <f t="shared" si="111"/>
        <v>4</v>
      </c>
      <c r="BL69" s="269">
        <f t="shared" si="111"/>
        <v>5</v>
      </c>
      <c r="BM69" s="256">
        <f>IF($BC69=Lookup!$A$2,$BD69*ROUNDUP(BE69/10,0)+1,
IF($BC69=Lookup!$A$3,($BD69+1)^BD69,
IF($BC69=Lookup!$A$4,BE69*$BD69+1,"Error")))</f>
        <v>1</v>
      </c>
      <c r="BN69" s="229">
        <f>IF($BC69=Lookup!$A$2,$BD69*ROUNDUP(BF69/10,0)+1,
IF($BC69=Lookup!$A$3,($BD69+1)^BE69,
IF($BC69=Lookup!$A$4,BF69*$BD69+1,"Error")))</f>
        <v>1</v>
      </c>
      <c r="BO69" s="229">
        <f>IF($BC69=Lookup!$A$2,$BD69*ROUNDUP(BG69/10,0)+1,
IF($BC69=Lookup!$A$3,($BD69+1)^BF69,
IF($BC69=Lookup!$A$4,BG69*$BD69+1,"Error")))</f>
        <v>1</v>
      </c>
      <c r="BP69" s="229">
        <f>IF($BC69=Lookup!$A$2,$BD69*ROUNDUP(BH69/10,0)+1,
IF($BC69=Lookup!$A$3,($BD69+1)^BG69,
IF($BC69=Lookup!$A$4,BH69*$BD69+1,"Error")))</f>
        <v>0.99216783216799997</v>
      </c>
      <c r="BQ69" s="229">
        <f>IF($BC69=Lookup!$A$2,$BD69*ROUNDUP(BI69/10,0)+1,
IF($BC69=Lookup!$A$3,($BD69+1)^BH69,
IF($BC69=Lookup!$A$4,BI69*$BD69+1,"Error")))</f>
        <v>0.99216783216799997</v>
      </c>
      <c r="BR69" s="229">
        <f>IF($BC69=Lookup!$A$2,$BD69*ROUNDUP(BJ69/10,0)+1,
IF($BC69=Lookup!$A$3,($BD69+1)^BI69,
IF($BC69=Lookup!$A$4,BJ69*$BD69+1,"Error")))</f>
        <v>0.99216783216799997</v>
      </c>
      <c r="BS69" s="229">
        <f>IF($BC69=Lookup!$A$2,$BD69*ROUNDUP(BK69/10,0)+1,
IF($BC69=Lookup!$A$3,($BD69+1)^BJ69,
IF($BC69=Lookup!$A$4,BK69*$BD69+1,"Error")))</f>
        <v>0.99216783216799997</v>
      </c>
      <c r="BT69" s="249">
        <f>IF($BC69=Lookup!$A$2,$BD69*ROUNDUP(BL69/10,0)+1,
IF($BC69=Lookup!$A$3,($BD69+1)^BK69,
IF($BC69=Lookup!$A$4,BL69*$BD69+1,"Error")))</f>
        <v>0.99216783216799997</v>
      </c>
      <c r="BU69" s="320"/>
      <c r="BV69" s="321"/>
      <c r="BW69" s="321"/>
      <c r="BX69" s="321"/>
      <c r="BY69" s="321"/>
      <c r="BZ69" s="321"/>
      <c r="CA69" s="321"/>
      <c r="CB69" s="277"/>
      <c r="CC69" s="382" t="s">
        <v>293</v>
      </c>
      <c r="CD69" s="383">
        <f>HLOOKUP($CC69,$AK$6:$AM$132,ROWS(CC$6:CC69),0)</f>
        <v>0</v>
      </c>
      <c r="CE69" s="234">
        <f t="shared" si="30"/>
        <v>0</v>
      </c>
      <c r="CF69" s="96">
        <f t="shared" si="30"/>
        <v>0</v>
      </c>
      <c r="CG69" s="96">
        <f t="shared" si="30"/>
        <v>0</v>
      </c>
      <c r="CH69" s="96">
        <f t="shared" si="30"/>
        <v>0</v>
      </c>
      <c r="CI69" s="96">
        <f t="shared" si="84"/>
        <v>0</v>
      </c>
      <c r="CJ69" s="96">
        <f t="shared" si="84"/>
        <v>0</v>
      </c>
      <c r="CK69" s="96">
        <f t="shared" si="84"/>
        <v>0</v>
      </c>
      <c r="CL69" s="286">
        <f t="shared" si="84"/>
        <v>0</v>
      </c>
      <c r="CM69" s="305" t="s">
        <v>293</v>
      </c>
      <c r="CN69" s="315">
        <v>0.05</v>
      </c>
      <c r="CO69" s="306"/>
      <c r="CP69" s="307" t="str">
        <f>IF($CO69&lt;&gt;"",$CO69,HLOOKUP($CM69,$AY$6:$BA$132,ROWS(CO$6:CO69),0))</f>
        <v/>
      </c>
      <c r="CQ69" s="784" t="str">
        <f t="shared" si="79"/>
        <v/>
      </c>
      <c r="CR69" s="784" t="str">
        <f t="shared" si="79"/>
        <v/>
      </c>
      <c r="CS69" s="97" t="str">
        <f t="shared" si="79"/>
        <v/>
      </c>
      <c r="CT69" s="97" t="str">
        <f t="shared" si="79"/>
        <v/>
      </c>
      <c r="CU69" s="97" t="str">
        <f t="shared" si="79"/>
        <v/>
      </c>
      <c r="CV69" s="97" t="str">
        <f t="shared" si="79"/>
        <v/>
      </c>
      <c r="CW69" s="97" t="str">
        <f t="shared" si="79"/>
        <v/>
      </c>
      <c r="CX69" s="98" t="str">
        <f t="shared" si="62"/>
        <v/>
      </c>
      <c r="CY69" s="392"/>
    </row>
    <row r="70" spans="1:103" x14ac:dyDescent="0.25">
      <c r="A70" s="81" t="s">
        <v>138</v>
      </c>
      <c r="B70" s="82" t="s">
        <v>143</v>
      </c>
      <c r="C70" s="83" t="s">
        <v>359</v>
      </c>
      <c r="D70" s="84">
        <v>520302.00001763529</v>
      </c>
      <c r="E70" s="85">
        <v>606409.19001760415</v>
      </c>
      <c r="F70" s="85">
        <v>720266.87809707026</v>
      </c>
      <c r="G70" s="85">
        <v>700500.2520705621</v>
      </c>
      <c r="H70" s="85">
        <v>554756.24803390098</v>
      </c>
      <c r="I70" s="85">
        <v>766435.17641775077</v>
      </c>
      <c r="J70" s="85">
        <v>486147.53255131654</v>
      </c>
      <c r="K70" s="85">
        <v>447238.39309140382</v>
      </c>
      <c r="L70" s="85">
        <v>455418.01804045704</v>
      </c>
      <c r="M70" s="654">
        <f>'2022-23 Input'!G70</f>
        <v>669691.3048063491</v>
      </c>
      <c r="N70" s="1065">
        <v>1214642.9481919731</v>
      </c>
      <c r="O70" s="560">
        <f t="shared" si="27"/>
        <v>700043.61381954781</v>
      </c>
      <c r="P70" s="561">
        <f t="shared" si="0"/>
        <v>803753.49233622407</v>
      </c>
      <c r="Q70" s="561">
        <f t="shared" si="1"/>
        <v>944994.28396620566</v>
      </c>
      <c r="R70" s="561">
        <f t="shared" si="2"/>
        <v>901625.60768620786</v>
      </c>
      <c r="S70" s="561">
        <f t="shared" si="3"/>
        <v>699502.58160106128</v>
      </c>
      <c r="T70" s="561">
        <f t="shared" si="4"/>
        <v>951259.71202483028</v>
      </c>
      <c r="U70" s="561">
        <f t="shared" si="5"/>
        <v>605490.90529054834</v>
      </c>
      <c r="V70" s="561">
        <f t="shared" si="6"/>
        <v>536399.29779885965</v>
      </c>
      <c r="W70" s="675">
        <f t="shared" si="7"/>
        <v>514589.22142585157</v>
      </c>
      <c r="X70" s="675">
        <f t="shared" si="8"/>
        <v>712190.53520518355</v>
      </c>
      <c r="Y70" s="675">
        <f t="shared" si="8"/>
        <v>1248043.7821791966</v>
      </c>
      <c r="Z70" s="86">
        <v>71</v>
      </c>
      <c r="AA70" s="87">
        <v>92</v>
      </c>
      <c r="AB70" s="87">
        <v>94</v>
      </c>
      <c r="AC70" s="87">
        <v>84</v>
      </c>
      <c r="AD70" s="87">
        <v>68</v>
      </c>
      <c r="AE70" s="87">
        <v>98</v>
      </c>
      <c r="AF70" s="87">
        <v>46</v>
      </c>
      <c r="AG70" s="87">
        <v>43</v>
      </c>
      <c r="AH70" s="87">
        <v>46</v>
      </c>
      <c r="AI70" s="1094">
        <f>'2022-23 Input'!N70</f>
        <v>43</v>
      </c>
      <c r="AJ70" s="665">
        <v>48</v>
      </c>
      <c r="AK70" s="88">
        <f t="shared" si="63"/>
        <v>55.2</v>
      </c>
      <c r="AL70" s="89">
        <f t="shared" si="64"/>
        <v>44</v>
      </c>
      <c r="AM70" s="90">
        <f t="shared" si="65"/>
        <v>43</v>
      </c>
      <c r="AN70" s="91">
        <f t="shared" si="66"/>
        <v>7328.1971833469761</v>
      </c>
      <c r="AO70" s="92">
        <f t="shared" si="67"/>
        <v>6591.4042393217842</v>
      </c>
      <c r="AP70" s="92">
        <f t="shared" si="68"/>
        <v>7662.4135967773436</v>
      </c>
      <c r="AQ70" s="92">
        <f t="shared" si="69"/>
        <v>8339.2887151257401</v>
      </c>
      <c r="AR70" s="92">
        <f t="shared" si="70"/>
        <v>8158.180118145603</v>
      </c>
      <c r="AS70" s="92">
        <f t="shared" si="71"/>
        <v>7820.7671063035796</v>
      </c>
      <c r="AT70" s="92">
        <f t="shared" si="72"/>
        <v>10568.424620680795</v>
      </c>
      <c r="AU70" s="92">
        <f t="shared" si="73"/>
        <v>10400.892862590787</v>
      </c>
      <c r="AV70" s="92">
        <f t="shared" si="96"/>
        <v>9900.3916965316748</v>
      </c>
      <c r="AW70" s="92">
        <f t="shared" si="96"/>
        <v>15574.216390845328</v>
      </c>
      <c r="AX70" s="92">
        <f t="shared" si="96"/>
        <v>25305.061420666108</v>
      </c>
      <c r="AY70" s="93">
        <f t="shared" si="75"/>
        <v>10235.255162707526</v>
      </c>
      <c r="AZ70" s="94">
        <f t="shared" si="76"/>
        <v>11911.725120744015</v>
      </c>
      <c r="BA70" s="95">
        <f t="shared" si="77"/>
        <v>15574.216390845328</v>
      </c>
      <c r="BB70" s="248" t="s">
        <v>422</v>
      </c>
      <c r="BC70" s="229" t="s">
        <v>433</v>
      </c>
      <c r="BD70" s="249">
        <v>-7.8321678319999994E-3</v>
      </c>
      <c r="BE70" s="267">
        <f t="shared" si="28"/>
        <v>0</v>
      </c>
      <c r="BF70" s="268">
        <f t="shared" ref="BF70:BL70" si="112">IF(BF$6=$BB70,1,
IF(BE70&lt;&gt;0,BE70+1,0
))</f>
        <v>0</v>
      </c>
      <c r="BG70" s="268">
        <f t="shared" si="112"/>
        <v>0</v>
      </c>
      <c r="BH70" s="268">
        <f t="shared" si="112"/>
        <v>1</v>
      </c>
      <c r="BI70" s="268">
        <f t="shared" si="112"/>
        <v>2</v>
      </c>
      <c r="BJ70" s="268">
        <f t="shared" si="112"/>
        <v>3</v>
      </c>
      <c r="BK70" s="268">
        <f t="shared" si="112"/>
        <v>4</v>
      </c>
      <c r="BL70" s="269">
        <f t="shared" si="112"/>
        <v>5</v>
      </c>
      <c r="BM70" s="256">
        <f>IF($BC70=Lookup!$A$2,$BD70*ROUNDUP(BE70/10,0)+1,
IF($BC70=Lookup!$A$3,($BD70+1)^BD70,
IF($BC70=Lookup!$A$4,BE70*$BD70+1,"Error")))</f>
        <v>1</v>
      </c>
      <c r="BN70" s="229">
        <f>IF($BC70=Lookup!$A$2,$BD70*ROUNDUP(BF70/10,0)+1,
IF($BC70=Lookup!$A$3,($BD70+1)^BE70,
IF($BC70=Lookup!$A$4,BF70*$BD70+1,"Error")))</f>
        <v>1</v>
      </c>
      <c r="BO70" s="229">
        <f>IF($BC70=Lookup!$A$2,$BD70*ROUNDUP(BG70/10,0)+1,
IF($BC70=Lookup!$A$3,($BD70+1)^BF70,
IF($BC70=Lookup!$A$4,BG70*$BD70+1,"Error")))</f>
        <v>1</v>
      </c>
      <c r="BP70" s="229">
        <f>IF($BC70=Lookup!$A$2,$BD70*ROUNDUP(BH70/10,0)+1,
IF($BC70=Lookup!$A$3,($BD70+1)^BG70,
IF($BC70=Lookup!$A$4,BH70*$BD70+1,"Error")))</f>
        <v>0.99216783216799997</v>
      </c>
      <c r="BQ70" s="229">
        <f>IF($BC70=Lookup!$A$2,$BD70*ROUNDUP(BI70/10,0)+1,
IF($BC70=Lookup!$A$3,($BD70+1)^BH70,
IF($BC70=Lookup!$A$4,BI70*$BD70+1,"Error")))</f>
        <v>0.99216783216799997</v>
      </c>
      <c r="BR70" s="229">
        <f>IF($BC70=Lookup!$A$2,$BD70*ROUNDUP(BJ70/10,0)+1,
IF($BC70=Lookup!$A$3,($BD70+1)^BI70,
IF($BC70=Lookup!$A$4,BJ70*$BD70+1,"Error")))</f>
        <v>0.99216783216799997</v>
      </c>
      <c r="BS70" s="229">
        <f>IF($BC70=Lookup!$A$2,$BD70*ROUNDUP(BK70/10,0)+1,
IF($BC70=Lookup!$A$3,($BD70+1)^BJ70,
IF($BC70=Lookup!$A$4,BK70*$BD70+1,"Error")))</f>
        <v>0.99216783216799997</v>
      </c>
      <c r="BT70" s="249">
        <f>IF($BC70=Lookup!$A$2,$BD70*ROUNDUP(BL70/10,0)+1,
IF($BC70=Lookup!$A$3,($BD70+1)^BK70,
IF($BC70=Lookup!$A$4,BL70*$BD70+1,"Error")))</f>
        <v>0.99216783216799997</v>
      </c>
      <c r="BU70" s="320"/>
      <c r="BV70" s="321"/>
      <c r="BW70" s="321"/>
      <c r="BX70" s="321"/>
      <c r="BY70" s="321"/>
      <c r="BZ70" s="321"/>
      <c r="CA70" s="321"/>
      <c r="CB70" s="277"/>
      <c r="CC70" s="382" t="s">
        <v>293</v>
      </c>
      <c r="CD70" s="383">
        <f>HLOOKUP($CC70,$AK$6:$AM$132,ROWS(CC$6:CC70),0)</f>
        <v>44</v>
      </c>
      <c r="CE70" s="234">
        <f t="shared" si="30"/>
        <v>44</v>
      </c>
      <c r="CF70" s="96">
        <f t="shared" si="30"/>
        <v>44</v>
      </c>
      <c r="CG70" s="96">
        <f t="shared" si="30"/>
        <v>44</v>
      </c>
      <c r="CH70" s="96">
        <f t="shared" si="30"/>
        <v>43.655384615392002</v>
      </c>
      <c r="CI70" s="96">
        <f t="shared" si="84"/>
        <v>43.655384615392002</v>
      </c>
      <c r="CJ70" s="96">
        <f t="shared" si="84"/>
        <v>43.655384615392002</v>
      </c>
      <c r="CK70" s="96">
        <f t="shared" si="84"/>
        <v>43.655384615392002</v>
      </c>
      <c r="CL70" s="286">
        <f t="shared" si="84"/>
        <v>43.655384615392002</v>
      </c>
      <c r="CM70" s="305" t="s">
        <v>293</v>
      </c>
      <c r="CN70" s="315">
        <v>0.05</v>
      </c>
      <c r="CO70" s="306"/>
      <c r="CP70" s="307">
        <f>IF($CO70&lt;&gt;"",$CO70,HLOOKUP($CM70,$AY$6:$BA$132,ROWS(CO$6:CO70),0))</f>
        <v>11911.725120744015</v>
      </c>
      <c r="CQ70" s="784">
        <f t="shared" si="79"/>
        <v>524115.90531273664</v>
      </c>
      <c r="CR70" s="784">
        <f t="shared" si="79"/>
        <v>524115.90531273664</v>
      </c>
      <c r="CS70" s="97">
        <f t="shared" si="79"/>
        <v>524115.90531273664</v>
      </c>
      <c r="CT70" s="97">
        <f t="shared" si="79"/>
        <v>520010.94157890673</v>
      </c>
      <c r="CU70" s="97">
        <f t="shared" si="79"/>
        <v>520010.94157890673</v>
      </c>
      <c r="CV70" s="97">
        <f t="shared" si="79"/>
        <v>520010.94157890673</v>
      </c>
      <c r="CW70" s="97">
        <f t="shared" si="79"/>
        <v>520010.94157890673</v>
      </c>
      <c r="CX70" s="98">
        <f t="shared" si="62"/>
        <v>520010.94157890673</v>
      </c>
      <c r="CY70" s="392"/>
    </row>
    <row r="71" spans="1:103" x14ac:dyDescent="0.25">
      <c r="A71" s="81" t="s">
        <v>138</v>
      </c>
      <c r="B71" s="82" t="s">
        <v>145</v>
      </c>
      <c r="C71" s="83" t="s">
        <v>360</v>
      </c>
      <c r="D71" s="84">
        <v>3200542.0553508261</v>
      </c>
      <c r="E71" s="85">
        <v>3257265.5672121658</v>
      </c>
      <c r="F71" s="85">
        <v>3980934.5188483428</v>
      </c>
      <c r="G71" s="85">
        <v>3067488.2758615189</v>
      </c>
      <c r="H71" s="85">
        <v>3336406.6991731185</v>
      </c>
      <c r="I71" s="85">
        <v>2844948.8324714205</v>
      </c>
      <c r="J71" s="85">
        <v>2649652.4245409998</v>
      </c>
      <c r="K71" s="85">
        <v>2367508.9610489854</v>
      </c>
      <c r="L71" s="85">
        <v>2324763.9915336273</v>
      </c>
      <c r="M71" s="654">
        <f>'2022-23 Input'!G71</f>
        <v>3045196.1397277894</v>
      </c>
      <c r="N71" s="1065">
        <v>3605100.7561792443</v>
      </c>
      <c r="O71" s="560">
        <f t="shared" si="27"/>
        <v>4306189.5332581745</v>
      </c>
      <c r="P71" s="561">
        <f t="shared" ref="P71:P132" si="113">E71*P$4</f>
        <v>4317280.5066448748</v>
      </c>
      <c r="Q71" s="561">
        <f t="shared" ref="Q71:Q132" si="114">F71*Q$4</f>
        <v>5223008.9700840618</v>
      </c>
      <c r="R71" s="561">
        <f t="shared" ref="R71:R132" si="115">G71*R$4</f>
        <v>3948215.5397074227</v>
      </c>
      <c r="S71" s="561">
        <f t="shared" ref="S71:S132" si="116">H71*S$4</f>
        <v>4206937.9256455936</v>
      </c>
      <c r="T71" s="561">
        <f t="shared" ref="T71:T132" si="117">I71*T$4</f>
        <v>3531003.3912470913</v>
      </c>
      <c r="U71" s="561">
        <f t="shared" ref="U71:U132" si="118">J71*U$4</f>
        <v>3300110.2295449297</v>
      </c>
      <c r="V71" s="561">
        <f t="shared" ref="V71:V132" si="119">K71*V$4</f>
        <v>2839492.6818808313</v>
      </c>
      <c r="W71" s="675">
        <f t="shared" ref="W71:W132" si="120">L71*W$4</f>
        <v>2626814.1465932759</v>
      </c>
      <c r="X71" s="675">
        <f t="shared" ref="X71:Y132" si="121">M71*X$4</f>
        <v>3238447.106886988</v>
      </c>
      <c r="Y71" s="675">
        <f t="shared" si="121"/>
        <v>3704235.5447552577</v>
      </c>
      <c r="Z71" s="86">
        <v>194</v>
      </c>
      <c r="AA71" s="87">
        <v>224</v>
      </c>
      <c r="AB71" s="87">
        <v>254</v>
      </c>
      <c r="AC71" s="87">
        <v>174</v>
      </c>
      <c r="AD71" s="87">
        <v>197</v>
      </c>
      <c r="AE71" s="87">
        <v>171</v>
      </c>
      <c r="AF71" s="87">
        <v>128</v>
      </c>
      <c r="AG71" s="87">
        <v>103</v>
      </c>
      <c r="AH71" s="87">
        <v>119</v>
      </c>
      <c r="AI71" s="1094">
        <f>'2022-23 Input'!N71</f>
        <v>109</v>
      </c>
      <c r="AJ71" s="665">
        <v>80</v>
      </c>
      <c r="AK71" s="88">
        <f t="shared" ref="AK71:AK102" si="122">IFERROR(IF($AM$4="N",SUM(AD71:AH71)/5,SUM(AE71:AI71)/5),"")</f>
        <v>126</v>
      </c>
      <c r="AL71" s="89">
        <f t="shared" ref="AL71:AL102" si="123">IFERROR(IF($AM$4="N",SUM(AF71:AH71)/3,SUM(AG71:AI71)/3),"")</f>
        <v>110.33333333333333</v>
      </c>
      <c r="AM71" s="90">
        <f t="shared" ref="AM71:AM102" si="124">IFERROR(IF($AM$4="N",AH71,AI71),"")</f>
        <v>109</v>
      </c>
      <c r="AN71" s="91">
        <f t="shared" ref="AN71:AN102" si="125">IFERROR(D71/Z71,"")</f>
        <v>16497.63946057127</v>
      </c>
      <c r="AO71" s="92">
        <f t="shared" ref="AO71:AO102" si="126">IFERROR(E71/AA71,"")</f>
        <v>14541.364139340027</v>
      </c>
      <c r="AP71" s="92">
        <f t="shared" ref="AP71:AP102" si="127">IFERROR(F71/AB71,"")</f>
        <v>15672.970546647019</v>
      </c>
      <c r="AQ71" s="92">
        <f t="shared" ref="AQ71:AQ102" si="128">IFERROR(G71/AC71,"")</f>
        <v>17629.242964721372</v>
      </c>
      <c r="AR71" s="92">
        <f t="shared" ref="AR71:AR102" si="129">IFERROR(H71/AD71,"")</f>
        <v>16936.074615091973</v>
      </c>
      <c r="AS71" s="92">
        <f t="shared" ref="AS71:AS102" si="130">IFERROR(I71/AE71,"")</f>
        <v>16637.127675271466</v>
      </c>
      <c r="AT71" s="92">
        <f t="shared" ref="AT71:AT102" si="131">IFERROR(J71/AF71,"")</f>
        <v>20700.409566726561</v>
      </c>
      <c r="AU71" s="92">
        <f t="shared" ref="AU71:AU102" si="132">IFERROR(K71/AG71,"")</f>
        <v>22985.52389367947</v>
      </c>
      <c r="AV71" s="92">
        <f t="shared" ref="AV71:AX86" si="133">IFERROR(L71/AH71,"")</f>
        <v>19535.831861627121</v>
      </c>
      <c r="AW71" s="92">
        <f t="shared" si="133"/>
        <v>27937.579263557702</v>
      </c>
      <c r="AX71" s="92">
        <f t="shared" si="133"/>
        <v>45063.759452240556</v>
      </c>
      <c r="AY71" s="93">
        <f t="shared" ref="AY71:AY102" si="134">IFERROR(IF($BA$3="N",
IF($BA$4="N",SUM(H71:L71)/SUM(AD71:AH71),SUM(I71:M71)/SUM(AE71:AI71)),
IF($BA$4="N",SUM(S71:W71)/SUM(AD71:AH71),SUM(T71:X71)/SUM(AE71:AI71))),"")</f>
        <v>21003.286268766387</v>
      </c>
      <c r="AZ71" s="94">
        <f t="shared" ref="AZ71:AZ102" si="135">IFERROR(IF($BA$3="N",
IF($BA$4="N",SUM(J71:L71)/SUM(AF71:AH71),SUM(K71:M71)/SUM(AG71:AI71)),
IF($BA$4="N",SUM(U71:W71)/SUM(AF71:AH71),SUM(V71:X71)/SUM(AG71:AI71))),"")</f>
        <v>23376.039553807863</v>
      </c>
      <c r="BA71" s="95">
        <f t="shared" ref="BA71:BA102" si="136">IFERROR(IF($BA$3="N",
IF($BA$4="N",L71/AH71,M71/AI71),
IF($BA$4="N",W71/AH71,X71/AI71)),"")</f>
        <v>27937.579263557702</v>
      </c>
      <c r="BB71" s="248" t="s">
        <v>422</v>
      </c>
      <c r="BC71" s="229" t="s">
        <v>433</v>
      </c>
      <c r="BD71" s="249">
        <v>-7.8321678319999994E-3</v>
      </c>
      <c r="BE71" s="267">
        <f t="shared" si="28"/>
        <v>0</v>
      </c>
      <c r="BF71" s="268">
        <f t="shared" ref="BF71:BL71" si="137">IF(BF$6=$BB71,1,
IF(BE71&lt;&gt;0,BE71+1,0
))</f>
        <v>0</v>
      </c>
      <c r="BG71" s="268">
        <f t="shared" si="137"/>
        <v>0</v>
      </c>
      <c r="BH71" s="268">
        <f t="shared" si="137"/>
        <v>1</v>
      </c>
      <c r="BI71" s="268">
        <f t="shared" si="137"/>
        <v>2</v>
      </c>
      <c r="BJ71" s="268">
        <f t="shared" si="137"/>
        <v>3</v>
      </c>
      <c r="BK71" s="268">
        <f t="shared" si="137"/>
        <v>4</v>
      </c>
      <c r="BL71" s="269">
        <f t="shared" si="137"/>
        <v>5</v>
      </c>
      <c r="BM71" s="256">
        <f>IF($BC71=Lookup!$A$2,$BD71*ROUNDUP(BE71/10,0)+1,
IF($BC71=Lookup!$A$3,($BD71+1)^BD71,
IF($BC71=Lookup!$A$4,BE71*$BD71+1,"Error")))</f>
        <v>1</v>
      </c>
      <c r="BN71" s="229">
        <f>IF($BC71=Lookup!$A$2,$BD71*ROUNDUP(BF71/10,0)+1,
IF($BC71=Lookup!$A$3,($BD71+1)^BE71,
IF($BC71=Lookup!$A$4,BF71*$BD71+1,"Error")))</f>
        <v>1</v>
      </c>
      <c r="BO71" s="229">
        <f>IF($BC71=Lookup!$A$2,$BD71*ROUNDUP(BG71/10,0)+1,
IF($BC71=Lookup!$A$3,($BD71+1)^BF71,
IF($BC71=Lookup!$A$4,BG71*$BD71+1,"Error")))</f>
        <v>1</v>
      </c>
      <c r="BP71" s="229">
        <f>IF($BC71=Lookup!$A$2,$BD71*ROUNDUP(BH71/10,0)+1,
IF($BC71=Lookup!$A$3,($BD71+1)^BG71,
IF($BC71=Lookup!$A$4,BH71*$BD71+1,"Error")))</f>
        <v>0.99216783216799997</v>
      </c>
      <c r="BQ71" s="229">
        <f>IF($BC71=Lookup!$A$2,$BD71*ROUNDUP(BI71/10,0)+1,
IF($BC71=Lookup!$A$3,($BD71+1)^BH71,
IF($BC71=Lookup!$A$4,BI71*$BD71+1,"Error")))</f>
        <v>0.99216783216799997</v>
      </c>
      <c r="BR71" s="229">
        <f>IF($BC71=Lookup!$A$2,$BD71*ROUNDUP(BJ71/10,0)+1,
IF($BC71=Lookup!$A$3,($BD71+1)^BI71,
IF($BC71=Lookup!$A$4,BJ71*$BD71+1,"Error")))</f>
        <v>0.99216783216799997</v>
      </c>
      <c r="BS71" s="229">
        <f>IF($BC71=Lookup!$A$2,$BD71*ROUNDUP(BK71/10,0)+1,
IF($BC71=Lookup!$A$3,($BD71+1)^BJ71,
IF($BC71=Lookup!$A$4,BK71*$BD71+1,"Error")))</f>
        <v>0.99216783216799997</v>
      </c>
      <c r="BT71" s="249">
        <f>IF($BC71=Lookup!$A$2,$BD71*ROUNDUP(BL71/10,0)+1,
IF($BC71=Lookup!$A$3,($BD71+1)^BK71,
IF($BC71=Lookup!$A$4,BL71*$BD71+1,"Error")))</f>
        <v>0.99216783216799997</v>
      </c>
      <c r="BU71" s="320"/>
      <c r="BV71" s="321"/>
      <c r="BW71" s="321"/>
      <c r="BX71" s="321"/>
      <c r="BY71" s="321"/>
      <c r="BZ71" s="321"/>
      <c r="CA71" s="321"/>
      <c r="CB71" s="277"/>
      <c r="CC71" s="382" t="s">
        <v>293</v>
      </c>
      <c r="CD71" s="383">
        <f>HLOOKUP($CC71,$AK$6:$AM$132,ROWS(CC$6:CC71),0)</f>
        <v>110.33333333333333</v>
      </c>
      <c r="CE71" s="234">
        <f t="shared" si="30"/>
        <v>110.33333333333333</v>
      </c>
      <c r="CF71" s="96">
        <f t="shared" si="30"/>
        <v>110.33333333333333</v>
      </c>
      <c r="CG71" s="96">
        <f t="shared" si="30"/>
        <v>110.33333333333333</v>
      </c>
      <c r="CH71" s="96">
        <f t="shared" si="30"/>
        <v>109.46918414920266</v>
      </c>
      <c r="CI71" s="96">
        <f t="shared" si="84"/>
        <v>109.46918414920266</v>
      </c>
      <c r="CJ71" s="96">
        <f t="shared" si="84"/>
        <v>109.46918414920266</v>
      </c>
      <c r="CK71" s="96">
        <f t="shared" si="84"/>
        <v>109.46918414920266</v>
      </c>
      <c r="CL71" s="286">
        <f t="shared" si="84"/>
        <v>109.46918414920266</v>
      </c>
      <c r="CM71" s="305" t="s">
        <v>293</v>
      </c>
      <c r="CN71" s="315">
        <v>0.05</v>
      </c>
      <c r="CO71" s="306"/>
      <c r="CP71" s="307">
        <f>IF($CO71&lt;&gt;"",$CO71,HLOOKUP($CM71,$AY$6:$BA$132,ROWS(CO$6:CO71),0))</f>
        <v>23376.039553807863</v>
      </c>
      <c r="CQ71" s="784">
        <f t="shared" ref="CQ71:CX102" si="138">IFERROR(CE71*$CP71,"")</f>
        <v>2579156.3641034672</v>
      </c>
      <c r="CR71" s="784">
        <f t="shared" si="138"/>
        <v>2579156.3641034672</v>
      </c>
      <c r="CS71" s="97">
        <f t="shared" si="138"/>
        <v>2579156.3641034672</v>
      </c>
      <c r="CT71" s="97">
        <f t="shared" si="138"/>
        <v>2558955.9785948382</v>
      </c>
      <c r="CU71" s="97">
        <f t="shared" si="138"/>
        <v>2558955.9785948382</v>
      </c>
      <c r="CV71" s="97">
        <f t="shared" si="138"/>
        <v>2558955.9785948382</v>
      </c>
      <c r="CW71" s="97">
        <f t="shared" si="138"/>
        <v>2558955.9785948382</v>
      </c>
      <c r="CX71" s="98">
        <f t="shared" si="62"/>
        <v>2558955.9785948382</v>
      </c>
      <c r="CY71" s="392"/>
    </row>
    <row r="72" spans="1:103" x14ac:dyDescent="0.25">
      <c r="A72" s="81" t="s">
        <v>138</v>
      </c>
      <c r="B72" s="82" t="s">
        <v>147</v>
      </c>
      <c r="C72" s="83" t="s">
        <v>362</v>
      </c>
      <c r="D72" s="84">
        <v>1450169.8880002245</v>
      </c>
      <c r="E72" s="85">
        <v>3029376.0201685331</v>
      </c>
      <c r="F72" s="85">
        <v>2941168.8344119862</v>
      </c>
      <c r="G72" s="85">
        <v>2040026.8850392764</v>
      </c>
      <c r="H72" s="85">
        <v>1990253.4440732235</v>
      </c>
      <c r="I72" s="85">
        <v>1777642.7056041013</v>
      </c>
      <c r="J72" s="85">
        <v>2655420.7154141394</v>
      </c>
      <c r="K72" s="85">
        <v>2204533.6577237076</v>
      </c>
      <c r="L72" s="85">
        <v>3069681.0437350422</v>
      </c>
      <c r="M72" s="654">
        <f>'2022-23 Input'!G72</f>
        <v>2458398.5288629089</v>
      </c>
      <c r="N72" s="1065">
        <v>2783486.6254053451</v>
      </c>
      <c r="O72" s="560">
        <f t="shared" ref="O72:O132" si="139">D72*O$4</f>
        <v>1951140.2397329956</v>
      </c>
      <c r="P72" s="561">
        <f t="shared" si="113"/>
        <v>4015228.6540040486</v>
      </c>
      <c r="Q72" s="561">
        <f t="shared" si="114"/>
        <v>3858830.4158063713</v>
      </c>
      <c r="R72" s="561">
        <f t="shared" si="115"/>
        <v>2625752.7737969472</v>
      </c>
      <c r="S72" s="561">
        <f t="shared" si="116"/>
        <v>2509547.9809441413</v>
      </c>
      <c r="T72" s="561">
        <f t="shared" si="117"/>
        <v>2206318.2122193025</v>
      </c>
      <c r="U72" s="561">
        <f t="shared" si="118"/>
        <v>3307294.5664568688</v>
      </c>
      <c r="V72" s="561">
        <f t="shared" si="119"/>
        <v>2644026.819350624</v>
      </c>
      <c r="W72" s="675">
        <f t="shared" si="120"/>
        <v>3468516.2109264303</v>
      </c>
      <c r="X72" s="675">
        <f t="shared" si="121"/>
        <v>2614410.7762079933</v>
      </c>
      <c r="Y72" s="675">
        <f t="shared" si="121"/>
        <v>2860028.2748005111</v>
      </c>
      <c r="Z72" s="86">
        <v>33</v>
      </c>
      <c r="AA72" s="87">
        <v>72</v>
      </c>
      <c r="AB72" s="87">
        <v>59</v>
      </c>
      <c r="AC72" s="87">
        <v>34</v>
      </c>
      <c r="AD72" s="87">
        <v>34</v>
      </c>
      <c r="AE72" s="87">
        <v>34</v>
      </c>
      <c r="AF72" s="87">
        <v>32</v>
      </c>
      <c r="AG72" s="87">
        <v>42</v>
      </c>
      <c r="AH72" s="87">
        <v>72</v>
      </c>
      <c r="AI72" s="1094">
        <f>'2022-23 Input'!N72</f>
        <v>50</v>
      </c>
      <c r="AJ72" s="665">
        <v>57</v>
      </c>
      <c r="AK72" s="88">
        <f t="shared" si="122"/>
        <v>46</v>
      </c>
      <c r="AL72" s="89">
        <f t="shared" si="123"/>
        <v>54.666666666666664</v>
      </c>
      <c r="AM72" s="90">
        <f t="shared" si="124"/>
        <v>50</v>
      </c>
      <c r="AN72" s="91">
        <f t="shared" si="125"/>
        <v>43944.542060612861</v>
      </c>
      <c r="AO72" s="92">
        <f t="shared" si="126"/>
        <v>42074.666946785183</v>
      </c>
      <c r="AP72" s="92">
        <f t="shared" si="127"/>
        <v>49850.319227321801</v>
      </c>
      <c r="AQ72" s="92">
        <f t="shared" si="128"/>
        <v>60000.790736449308</v>
      </c>
      <c r="AR72" s="92">
        <f t="shared" si="129"/>
        <v>58536.866002153634</v>
      </c>
      <c r="AS72" s="92">
        <f t="shared" si="130"/>
        <v>52283.608988355918</v>
      </c>
      <c r="AT72" s="92">
        <f t="shared" si="131"/>
        <v>82981.897356691858</v>
      </c>
      <c r="AU72" s="92">
        <f t="shared" si="132"/>
        <v>52488.896612469231</v>
      </c>
      <c r="AV72" s="92">
        <f t="shared" si="133"/>
        <v>42634.458940764474</v>
      </c>
      <c r="AW72" s="92">
        <f t="shared" si="133"/>
        <v>49167.97057725818</v>
      </c>
      <c r="AX72" s="92">
        <f t="shared" si="133"/>
        <v>48833.098691321844</v>
      </c>
      <c r="AY72" s="93">
        <f t="shared" si="134"/>
        <v>52894.246310173476</v>
      </c>
      <c r="AZ72" s="94">
        <f t="shared" si="135"/>
        <v>47150.080672693039</v>
      </c>
      <c r="BA72" s="95">
        <f t="shared" si="136"/>
        <v>49167.97057725818</v>
      </c>
      <c r="BB72" s="248" t="s">
        <v>422</v>
      </c>
      <c r="BC72" s="229" t="s">
        <v>433</v>
      </c>
      <c r="BD72" s="249">
        <v>-7.8321678319999994E-3</v>
      </c>
      <c r="BE72" s="267">
        <f t="shared" ref="BE72:BE132" si="140">IF(BE$6=$BB72,1,0
)</f>
        <v>0</v>
      </c>
      <c r="BF72" s="268">
        <f t="shared" ref="BF72:BL72" si="141">IF(BF$6=$BB72,1,
IF(BE72&lt;&gt;0,BE72+1,0
))</f>
        <v>0</v>
      </c>
      <c r="BG72" s="268">
        <f t="shared" si="141"/>
        <v>0</v>
      </c>
      <c r="BH72" s="268">
        <f t="shared" si="141"/>
        <v>1</v>
      </c>
      <c r="BI72" s="268">
        <f t="shared" si="141"/>
        <v>2</v>
      </c>
      <c r="BJ72" s="268">
        <f t="shared" si="141"/>
        <v>3</v>
      </c>
      <c r="BK72" s="268">
        <f t="shared" si="141"/>
        <v>4</v>
      </c>
      <c r="BL72" s="269">
        <f t="shared" si="141"/>
        <v>5</v>
      </c>
      <c r="BM72" s="256">
        <f>IF($BC72=Lookup!$A$2,$BD72*ROUNDUP(BE72/10,0)+1,
IF($BC72=Lookup!$A$3,($BD72+1)^BD72,
IF($BC72=Lookup!$A$4,BE72*$BD72+1,"Error")))</f>
        <v>1</v>
      </c>
      <c r="BN72" s="229">
        <f>IF($BC72=Lookup!$A$2,$BD72*ROUNDUP(BF72/10,0)+1,
IF($BC72=Lookup!$A$3,($BD72+1)^BE72,
IF($BC72=Lookup!$A$4,BF72*$BD72+1,"Error")))</f>
        <v>1</v>
      </c>
      <c r="BO72" s="229">
        <f>IF($BC72=Lookup!$A$2,$BD72*ROUNDUP(BG72/10,0)+1,
IF($BC72=Lookup!$A$3,($BD72+1)^BF72,
IF($BC72=Lookup!$A$4,BG72*$BD72+1,"Error")))</f>
        <v>1</v>
      </c>
      <c r="BP72" s="229">
        <f>IF($BC72=Lookup!$A$2,$BD72*ROUNDUP(BH72/10,0)+1,
IF($BC72=Lookup!$A$3,($BD72+1)^BG72,
IF($BC72=Lookup!$A$4,BH72*$BD72+1,"Error")))</f>
        <v>0.99216783216799997</v>
      </c>
      <c r="BQ72" s="229">
        <f>IF($BC72=Lookup!$A$2,$BD72*ROUNDUP(BI72/10,0)+1,
IF($BC72=Lookup!$A$3,($BD72+1)^BH72,
IF($BC72=Lookup!$A$4,BI72*$BD72+1,"Error")))</f>
        <v>0.99216783216799997</v>
      </c>
      <c r="BR72" s="229">
        <f>IF($BC72=Lookup!$A$2,$BD72*ROUNDUP(BJ72/10,0)+1,
IF($BC72=Lookup!$A$3,($BD72+1)^BI72,
IF($BC72=Lookup!$A$4,BJ72*$BD72+1,"Error")))</f>
        <v>0.99216783216799997</v>
      </c>
      <c r="BS72" s="229">
        <f>IF($BC72=Lookup!$A$2,$BD72*ROUNDUP(BK72/10,0)+1,
IF($BC72=Lookup!$A$3,($BD72+1)^BJ72,
IF($BC72=Lookup!$A$4,BK72*$BD72+1,"Error")))</f>
        <v>0.99216783216799997</v>
      </c>
      <c r="BT72" s="249">
        <f>IF($BC72=Lookup!$A$2,$BD72*ROUNDUP(BL72/10,0)+1,
IF($BC72=Lookup!$A$3,($BD72+1)^BK72,
IF($BC72=Lookup!$A$4,BL72*$BD72+1,"Error")))</f>
        <v>0.99216783216799997</v>
      </c>
      <c r="BU72" s="320"/>
      <c r="BV72" s="321"/>
      <c r="BW72" s="321"/>
      <c r="BX72" s="321"/>
      <c r="BY72" s="321"/>
      <c r="BZ72" s="321"/>
      <c r="CA72" s="321"/>
      <c r="CB72" s="277"/>
      <c r="CC72" s="382" t="s">
        <v>293</v>
      </c>
      <c r="CD72" s="383">
        <f>HLOOKUP($CC72,$AK$6:$AM$132,ROWS(CC$6:CC72),0)</f>
        <v>54.666666666666664</v>
      </c>
      <c r="CE72" s="234">
        <f t="shared" ref="CE72:CK123" si="142">IFERROR(IF(BU72&lt;&gt;"",BU72,BM72*$CD72),"")</f>
        <v>54.666666666666664</v>
      </c>
      <c r="CF72" s="96">
        <f t="shared" si="142"/>
        <v>54.666666666666664</v>
      </c>
      <c r="CG72" s="96">
        <f t="shared" si="142"/>
        <v>54.666666666666664</v>
      </c>
      <c r="CH72" s="96">
        <f t="shared" si="142"/>
        <v>54.238508158517327</v>
      </c>
      <c r="CI72" s="96">
        <f t="shared" si="84"/>
        <v>54.238508158517327</v>
      </c>
      <c r="CJ72" s="96">
        <f t="shared" si="84"/>
        <v>54.238508158517327</v>
      </c>
      <c r="CK72" s="96">
        <f t="shared" si="84"/>
        <v>54.238508158517327</v>
      </c>
      <c r="CL72" s="286">
        <f t="shared" si="84"/>
        <v>54.238508158517327</v>
      </c>
      <c r="CM72" s="305" t="s">
        <v>293</v>
      </c>
      <c r="CN72" s="315">
        <v>0.05</v>
      </c>
      <c r="CO72" s="306"/>
      <c r="CP72" s="307">
        <f>IF($CO72&lt;&gt;"",$CO72,HLOOKUP($CM72,$AY$6:$BA$132,ROWS(CO$6:CO72),0))</f>
        <v>47150.080672693039</v>
      </c>
      <c r="CQ72" s="784">
        <f t="shared" si="138"/>
        <v>2577537.7434405526</v>
      </c>
      <c r="CR72" s="784">
        <f t="shared" si="138"/>
        <v>2577537.7434405526</v>
      </c>
      <c r="CS72" s="97">
        <f t="shared" si="138"/>
        <v>2577537.7434405526</v>
      </c>
      <c r="CT72" s="97">
        <f t="shared" si="138"/>
        <v>2557350.0352406115</v>
      </c>
      <c r="CU72" s="97">
        <f t="shared" si="138"/>
        <v>2557350.0352406115</v>
      </c>
      <c r="CV72" s="97">
        <f t="shared" si="138"/>
        <v>2557350.0352406115</v>
      </c>
      <c r="CW72" s="97">
        <f t="shared" si="138"/>
        <v>2557350.0352406115</v>
      </c>
      <c r="CX72" s="98">
        <f t="shared" si="62"/>
        <v>2557350.0352406115</v>
      </c>
      <c r="CY72" s="392"/>
    </row>
    <row r="73" spans="1:103" x14ac:dyDescent="0.25">
      <c r="A73" s="81" t="s">
        <v>138</v>
      </c>
      <c r="B73" s="82" t="s">
        <v>149</v>
      </c>
      <c r="C73" s="83" t="s">
        <v>363</v>
      </c>
      <c r="D73" s="84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654">
        <f>'2022-23 Input'!G73</f>
        <v>0</v>
      </c>
      <c r="N73" s="1065">
        <v>0</v>
      </c>
      <c r="O73" s="560">
        <f t="shared" si="139"/>
        <v>0</v>
      </c>
      <c r="P73" s="561">
        <f t="shared" si="113"/>
        <v>0</v>
      </c>
      <c r="Q73" s="561">
        <f t="shared" si="114"/>
        <v>0</v>
      </c>
      <c r="R73" s="561">
        <f t="shared" si="115"/>
        <v>0</v>
      </c>
      <c r="S73" s="561">
        <f t="shared" si="116"/>
        <v>0</v>
      </c>
      <c r="T73" s="561">
        <f t="shared" si="117"/>
        <v>0</v>
      </c>
      <c r="U73" s="561">
        <f t="shared" si="118"/>
        <v>0</v>
      </c>
      <c r="V73" s="561">
        <f t="shared" si="119"/>
        <v>0</v>
      </c>
      <c r="W73" s="675">
        <f t="shared" si="120"/>
        <v>0</v>
      </c>
      <c r="X73" s="675">
        <f t="shared" si="121"/>
        <v>0</v>
      </c>
      <c r="Y73" s="675">
        <f t="shared" si="121"/>
        <v>0</v>
      </c>
      <c r="Z73" s="86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1094">
        <f>'2022-23 Input'!N73</f>
        <v>0</v>
      </c>
      <c r="AJ73" s="665">
        <v>0</v>
      </c>
      <c r="AK73" s="88">
        <f t="shared" si="122"/>
        <v>0</v>
      </c>
      <c r="AL73" s="89">
        <f t="shared" si="123"/>
        <v>0</v>
      </c>
      <c r="AM73" s="90">
        <f t="shared" si="124"/>
        <v>0</v>
      </c>
      <c r="AN73" s="91" t="str">
        <f t="shared" si="125"/>
        <v/>
      </c>
      <c r="AO73" s="92" t="str">
        <f t="shared" si="126"/>
        <v/>
      </c>
      <c r="AP73" s="92" t="str">
        <f t="shared" si="127"/>
        <v/>
      </c>
      <c r="AQ73" s="92" t="str">
        <f t="shared" si="128"/>
        <v/>
      </c>
      <c r="AR73" s="92" t="str">
        <f t="shared" si="129"/>
        <v/>
      </c>
      <c r="AS73" s="92" t="str">
        <f t="shared" si="130"/>
        <v/>
      </c>
      <c r="AT73" s="92" t="str">
        <f t="shared" si="131"/>
        <v/>
      </c>
      <c r="AU73" s="92" t="str">
        <f t="shared" si="132"/>
        <v/>
      </c>
      <c r="AV73" s="92" t="str">
        <f t="shared" si="133"/>
        <v/>
      </c>
      <c r="AW73" s="92" t="str">
        <f t="shared" si="133"/>
        <v/>
      </c>
      <c r="AX73" s="92" t="str">
        <f t="shared" si="133"/>
        <v/>
      </c>
      <c r="AY73" s="93" t="str">
        <f t="shared" si="134"/>
        <v/>
      </c>
      <c r="AZ73" s="94" t="str">
        <f t="shared" si="135"/>
        <v/>
      </c>
      <c r="BA73" s="95" t="str">
        <f t="shared" si="136"/>
        <v/>
      </c>
      <c r="BB73" s="248" t="s">
        <v>422</v>
      </c>
      <c r="BC73" s="229" t="s">
        <v>433</v>
      </c>
      <c r="BD73" s="249">
        <v>-7.8321678319999994E-3</v>
      </c>
      <c r="BE73" s="267">
        <f t="shared" si="140"/>
        <v>0</v>
      </c>
      <c r="BF73" s="268">
        <f t="shared" ref="BF73:BL73" si="143">IF(BF$6=$BB73,1,
IF(BE73&lt;&gt;0,BE73+1,0
))</f>
        <v>0</v>
      </c>
      <c r="BG73" s="268">
        <f t="shared" si="143"/>
        <v>0</v>
      </c>
      <c r="BH73" s="268">
        <f t="shared" si="143"/>
        <v>1</v>
      </c>
      <c r="BI73" s="268">
        <f t="shared" si="143"/>
        <v>2</v>
      </c>
      <c r="BJ73" s="268">
        <f t="shared" si="143"/>
        <v>3</v>
      </c>
      <c r="BK73" s="268">
        <f t="shared" si="143"/>
        <v>4</v>
      </c>
      <c r="BL73" s="269">
        <f t="shared" si="143"/>
        <v>5</v>
      </c>
      <c r="BM73" s="256">
        <f>IF($BC73=Lookup!$A$2,$BD73*ROUNDUP(BE73/10,0)+1,
IF($BC73=Lookup!$A$3,($BD73+1)^BD73,
IF($BC73=Lookup!$A$4,BE73*$BD73+1,"Error")))</f>
        <v>1</v>
      </c>
      <c r="BN73" s="229">
        <f>IF($BC73=Lookup!$A$2,$BD73*ROUNDUP(BF73/10,0)+1,
IF($BC73=Lookup!$A$3,($BD73+1)^BE73,
IF($BC73=Lookup!$A$4,BF73*$BD73+1,"Error")))</f>
        <v>1</v>
      </c>
      <c r="BO73" s="229">
        <f>IF($BC73=Lookup!$A$2,$BD73*ROUNDUP(BG73/10,0)+1,
IF($BC73=Lookup!$A$3,($BD73+1)^BF73,
IF($BC73=Lookup!$A$4,BG73*$BD73+1,"Error")))</f>
        <v>1</v>
      </c>
      <c r="BP73" s="229">
        <f>IF($BC73=Lookup!$A$2,$BD73*ROUNDUP(BH73/10,0)+1,
IF($BC73=Lookup!$A$3,($BD73+1)^BG73,
IF($BC73=Lookup!$A$4,BH73*$BD73+1,"Error")))</f>
        <v>0.99216783216799997</v>
      </c>
      <c r="BQ73" s="229">
        <f>IF($BC73=Lookup!$A$2,$BD73*ROUNDUP(BI73/10,0)+1,
IF($BC73=Lookup!$A$3,($BD73+1)^BH73,
IF($BC73=Lookup!$A$4,BI73*$BD73+1,"Error")))</f>
        <v>0.99216783216799997</v>
      </c>
      <c r="BR73" s="229">
        <f>IF($BC73=Lookup!$A$2,$BD73*ROUNDUP(BJ73/10,0)+1,
IF($BC73=Lookup!$A$3,($BD73+1)^BI73,
IF($BC73=Lookup!$A$4,BJ73*$BD73+1,"Error")))</f>
        <v>0.99216783216799997</v>
      </c>
      <c r="BS73" s="229">
        <f>IF($BC73=Lookup!$A$2,$BD73*ROUNDUP(BK73/10,0)+1,
IF($BC73=Lookup!$A$3,($BD73+1)^BJ73,
IF($BC73=Lookup!$A$4,BK73*$BD73+1,"Error")))</f>
        <v>0.99216783216799997</v>
      </c>
      <c r="BT73" s="249">
        <f>IF($BC73=Lookup!$A$2,$BD73*ROUNDUP(BL73/10,0)+1,
IF($BC73=Lookup!$A$3,($BD73+1)^BK73,
IF($BC73=Lookup!$A$4,BL73*$BD73+1,"Error")))</f>
        <v>0.99216783216799997</v>
      </c>
      <c r="BU73" s="320"/>
      <c r="BV73" s="321"/>
      <c r="BW73" s="321"/>
      <c r="BX73" s="321"/>
      <c r="BY73" s="321"/>
      <c r="BZ73" s="321"/>
      <c r="CA73" s="321"/>
      <c r="CB73" s="277"/>
      <c r="CC73" s="382" t="s">
        <v>293</v>
      </c>
      <c r="CD73" s="383">
        <f>HLOOKUP($CC73,$AK$6:$AM$132,ROWS(CC$6:CC73),0)</f>
        <v>0</v>
      </c>
      <c r="CE73" s="234">
        <f t="shared" si="142"/>
        <v>0</v>
      </c>
      <c r="CF73" s="96">
        <f t="shared" si="142"/>
        <v>0</v>
      </c>
      <c r="CG73" s="96">
        <f t="shared" si="142"/>
        <v>0</v>
      </c>
      <c r="CH73" s="96">
        <f t="shared" si="142"/>
        <v>0</v>
      </c>
      <c r="CI73" s="96">
        <f t="shared" si="84"/>
        <v>0</v>
      </c>
      <c r="CJ73" s="96">
        <f t="shared" si="84"/>
        <v>0</v>
      </c>
      <c r="CK73" s="96">
        <f t="shared" si="84"/>
        <v>0</v>
      </c>
      <c r="CL73" s="286">
        <f t="shared" si="84"/>
        <v>0</v>
      </c>
      <c r="CM73" s="305" t="s">
        <v>293</v>
      </c>
      <c r="CN73" s="315">
        <v>0.05</v>
      </c>
      <c r="CO73" s="306"/>
      <c r="CP73" s="307" t="str">
        <f>IF($CO73&lt;&gt;"",$CO73,HLOOKUP($CM73,$AY$6:$BA$132,ROWS(CO$6:CO73),0))</f>
        <v/>
      </c>
      <c r="CQ73" s="784" t="str">
        <f t="shared" si="138"/>
        <v/>
      </c>
      <c r="CR73" s="784" t="str">
        <f t="shared" si="138"/>
        <v/>
      </c>
      <c r="CS73" s="97" t="str">
        <f t="shared" si="138"/>
        <v/>
      </c>
      <c r="CT73" s="97" t="str">
        <f t="shared" si="138"/>
        <v/>
      </c>
      <c r="CU73" s="97" t="str">
        <f t="shared" si="138"/>
        <v/>
      </c>
      <c r="CV73" s="97" t="str">
        <f t="shared" si="138"/>
        <v/>
      </c>
      <c r="CW73" s="97" t="str">
        <f t="shared" si="138"/>
        <v/>
      </c>
      <c r="CX73" s="98" t="str">
        <f t="shared" si="62"/>
        <v/>
      </c>
      <c r="CY73" s="392"/>
    </row>
    <row r="74" spans="1:103" x14ac:dyDescent="0.25">
      <c r="A74" s="81" t="s">
        <v>138</v>
      </c>
      <c r="B74" s="82" t="s">
        <v>151</v>
      </c>
      <c r="C74" s="83" t="s">
        <v>364</v>
      </c>
      <c r="D74" s="84">
        <v>0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654">
        <f>'2022-23 Input'!G74</f>
        <v>0</v>
      </c>
      <c r="N74" s="1065">
        <v>0</v>
      </c>
      <c r="O74" s="560">
        <f t="shared" si="139"/>
        <v>0</v>
      </c>
      <c r="P74" s="561">
        <f t="shared" si="113"/>
        <v>0</v>
      </c>
      <c r="Q74" s="561">
        <f t="shared" si="114"/>
        <v>0</v>
      </c>
      <c r="R74" s="561">
        <f t="shared" si="115"/>
        <v>0</v>
      </c>
      <c r="S74" s="561">
        <f t="shared" si="116"/>
        <v>0</v>
      </c>
      <c r="T74" s="561">
        <f t="shared" si="117"/>
        <v>0</v>
      </c>
      <c r="U74" s="561">
        <f t="shared" si="118"/>
        <v>0</v>
      </c>
      <c r="V74" s="561">
        <f t="shared" si="119"/>
        <v>0</v>
      </c>
      <c r="W74" s="675">
        <f t="shared" si="120"/>
        <v>0</v>
      </c>
      <c r="X74" s="675">
        <f t="shared" si="121"/>
        <v>0</v>
      </c>
      <c r="Y74" s="675">
        <f t="shared" si="121"/>
        <v>0</v>
      </c>
      <c r="Z74" s="86">
        <v>0</v>
      </c>
      <c r="AA74" s="87">
        <v>0</v>
      </c>
      <c r="AB74" s="87">
        <v>0</v>
      </c>
      <c r="AC74" s="87">
        <v>0</v>
      </c>
      <c r="AD74" s="87">
        <v>0</v>
      </c>
      <c r="AE74" s="87">
        <v>0</v>
      </c>
      <c r="AF74" s="87">
        <v>0</v>
      </c>
      <c r="AG74" s="87">
        <v>0</v>
      </c>
      <c r="AH74" s="87">
        <v>0</v>
      </c>
      <c r="AI74" s="1094">
        <f>'2022-23 Input'!N74</f>
        <v>0</v>
      </c>
      <c r="AJ74" s="665">
        <v>0</v>
      </c>
      <c r="AK74" s="88">
        <f t="shared" si="122"/>
        <v>0</v>
      </c>
      <c r="AL74" s="89">
        <f t="shared" si="123"/>
        <v>0</v>
      </c>
      <c r="AM74" s="90">
        <f t="shared" si="124"/>
        <v>0</v>
      </c>
      <c r="AN74" s="91" t="str">
        <f t="shared" si="125"/>
        <v/>
      </c>
      <c r="AO74" s="92" t="str">
        <f t="shared" si="126"/>
        <v/>
      </c>
      <c r="AP74" s="92" t="str">
        <f t="shared" si="127"/>
        <v/>
      </c>
      <c r="AQ74" s="92" t="str">
        <f t="shared" si="128"/>
        <v/>
      </c>
      <c r="AR74" s="92" t="str">
        <f t="shared" si="129"/>
        <v/>
      </c>
      <c r="AS74" s="92" t="str">
        <f t="shared" si="130"/>
        <v/>
      </c>
      <c r="AT74" s="92" t="str">
        <f t="shared" si="131"/>
        <v/>
      </c>
      <c r="AU74" s="92" t="str">
        <f t="shared" si="132"/>
        <v/>
      </c>
      <c r="AV74" s="92" t="str">
        <f t="shared" si="133"/>
        <v/>
      </c>
      <c r="AW74" s="92" t="str">
        <f t="shared" si="133"/>
        <v/>
      </c>
      <c r="AX74" s="92" t="str">
        <f t="shared" si="133"/>
        <v/>
      </c>
      <c r="AY74" s="93" t="str">
        <f t="shared" si="134"/>
        <v/>
      </c>
      <c r="AZ74" s="94" t="str">
        <f t="shared" si="135"/>
        <v/>
      </c>
      <c r="BA74" s="95" t="str">
        <f t="shared" si="136"/>
        <v/>
      </c>
      <c r="BB74" s="248" t="s">
        <v>422</v>
      </c>
      <c r="BC74" s="229" t="s">
        <v>433</v>
      </c>
      <c r="BD74" s="249">
        <v>-7.8321678319999994E-3</v>
      </c>
      <c r="BE74" s="267">
        <f t="shared" si="140"/>
        <v>0</v>
      </c>
      <c r="BF74" s="268">
        <f t="shared" ref="BF74:BL74" si="144">IF(BF$6=$BB74,1,
IF(BE74&lt;&gt;0,BE74+1,0
))</f>
        <v>0</v>
      </c>
      <c r="BG74" s="268">
        <f t="shared" si="144"/>
        <v>0</v>
      </c>
      <c r="BH74" s="268">
        <f t="shared" si="144"/>
        <v>1</v>
      </c>
      <c r="BI74" s="268">
        <f t="shared" si="144"/>
        <v>2</v>
      </c>
      <c r="BJ74" s="268">
        <f t="shared" si="144"/>
        <v>3</v>
      </c>
      <c r="BK74" s="268">
        <f t="shared" si="144"/>
        <v>4</v>
      </c>
      <c r="BL74" s="269">
        <f t="shared" si="144"/>
        <v>5</v>
      </c>
      <c r="BM74" s="256">
        <f>IF($BC74=Lookup!$A$2,$BD74*ROUNDUP(BE74/10,0)+1,
IF($BC74=Lookup!$A$3,($BD74+1)^BD74,
IF($BC74=Lookup!$A$4,BE74*$BD74+1,"Error")))</f>
        <v>1</v>
      </c>
      <c r="BN74" s="229">
        <f>IF($BC74=Lookup!$A$2,$BD74*ROUNDUP(BF74/10,0)+1,
IF($BC74=Lookup!$A$3,($BD74+1)^BE74,
IF($BC74=Lookup!$A$4,BF74*$BD74+1,"Error")))</f>
        <v>1</v>
      </c>
      <c r="BO74" s="229">
        <f>IF($BC74=Lookup!$A$2,$BD74*ROUNDUP(BG74/10,0)+1,
IF($BC74=Lookup!$A$3,($BD74+1)^BF74,
IF($BC74=Lookup!$A$4,BG74*$BD74+1,"Error")))</f>
        <v>1</v>
      </c>
      <c r="BP74" s="229">
        <f>IF($BC74=Lookup!$A$2,$BD74*ROUNDUP(BH74/10,0)+1,
IF($BC74=Lookup!$A$3,($BD74+1)^BG74,
IF($BC74=Lookup!$A$4,BH74*$BD74+1,"Error")))</f>
        <v>0.99216783216799997</v>
      </c>
      <c r="BQ74" s="229">
        <f>IF($BC74=Lookup!$A$2,$BD74*ROUNDUP(BI74/10,0)+1,
IF($BC74=Lookup!$A$3,($BD74+1)^BH74,
IF($BC74=Lookup!$A$4,BI74*$BD74+1,"Error")))</f>
        <v>0.99216783216799997</v>
      </c>
      <c r="BR74" s="229">
        <f>IF($BC74=Lookup!$A$2,$BD74*ROUNDUP(BJ74/10,0)+1,
IF($BC74=Lookup!$A$3,($BD74+1)^BI74,
IF($BC74=Lookup!$A$4,BJ74*$BD74+1,"Error")))</f>
        <v>0.99216783216799997</v>
      </c>
      <c r="BS74" s="229">
        <f>IF($BC74=Lookup!$A$2,$BD74*ROUNDUP(BK74/10,0)+1,
IF($BC74=Lookup!$A$3,($BD74+1)^BJ74,
IF($BC74=Lookup!$A$4,BK74*$BD74+1,"Error")))</f>
        <v>0.99216783216799997</v>
      </c>
      <c r="BT74" s="249">
        <f>IF($BC74=Lookup!$A$2,$BD74*ROUNDUP(BL74/10,0)+1,
IF($BC74=Lookup!$A$3,($BD74+1)^BK74,
IF($BC74=Lookup!$A$4,BL74*$BD74+1,"Error")))</f>
        <v>0.99216783216799997</v>
      </c>
      <c r="BU74" s="320"/>
      <c r="BV74" s="321"/>
      <c r="BW74" s="321"/>
      <c r="BX74" s="321"/>
      <c r="BY74" s="321"/>
      <c r="BZ74" s="321"/>
      <c r="CA74" s="321"/>
      <c r="CB74" s="277"/>
      <c r="CC74" s="382" t="s">
        <v>293</v>
      </c>
      <c r="CD74" s="383">
        <f>HLOOKUP($CC74,$AK$6:$AM$132,ROWS(CC$6:CC74),0)</f>
        <v>0</v>
      </c>
      <c r="CE74" s="234">
        <f t="shared" si="142"/>
        <v>0</v>
      </c>
      <c r="CF74" s="96">
        <f t="shared" si="142"/>
        <v>0</v>
      </c>
      <c r="CG74" s="96">
        <f t="shared" si="142"/>
        <v>0</v>
      </c>
      <c r="CH74" s="96">
        <f t="shared" si="142"/>
        <v>0</v>
      </c>
      <c r="CI74" s="96">
        <f t="shared" si="84"/>
        <v>0</v>
      </c>
      <c r="CJ74" s="96">
        <f t="shared" si="84"/>
        <v>0</v>
      </c>
      <c r="CK74" s="96">
        <f t="shared" si="84"/>
        <v>0</v>
      </c>
      <c r="CL74" s="286">
        <f t="shared" si="84"/>
        <v>0</v>
      </c>
      <c r="CM74" s="305" t="s">
        <v>293</v>
      </c>
      <c r="CN74" s="315">
        <v>0.05</v>
      </c>
      <c r="CO74" s="306"/>
      <c r="CP74" s="307" t="str">
        <f>IF($CO74&lt;&gt;"",$CO74,HLOOKUP($CM74,$AY$6:$BA$132,ROWS(CO$6:CO74),0))</f>
        <v/>
      </c>
      <c r="CQ74" s="784" t="str">
        <f t="shared" si="138"/>
        <v/>
      </c>
      <c r="CR74" s="784" t="str">
        <f t="shared" si="138"/>
        <v/>
      </c>
      <c r="CS74" s="97" t="str">
        <f t="shared" si="138"/>
        <v/>
      </c>
      <c r="CT74" s="97" t="str">
        <f t="shared" si="138"/>
        <v/>
      </c>
      <c r="CU74" s="97" t="str">
        <f t="shared" si="138"/>
        <v/>
      </c>
      <c r="CV74" s="97" t="str">
        <f t="shared" si="138"/>
        <v/>
      </c>
      <c r="CW74" s="97" t="str">
        <f t="shared" si="138"/>
        <v/>
      </c>
      <c r="CX74" s="98" t="str">
        <f t="shared" si="62"/>
        <v/>
      </c>
      <c r="CY74" s="392"/>
    </row>
    <row r="75" spans="1:103" x14ac:dyDescent="0.25">
      <c r="A75" s="81" t="s">
        <v>138</v>
      </c>
      <c r="B75" s="82" t="s">
        <v>153</v>
      </c>
      <c r="C75" s="83" t="s">
        <v>365</v>
      </c>
      <c r="D75" s="84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654">
        <f>'2022-23 Input'!G75</f>
        <v>0</v>
      </c>
      <c r="N75" s="1065">
        <v>0</v>
      </c>
      <c r="O75" s="560">
        <f t="shared" si="139"/>
        <v>0</v>
      </c>
      <c r="P75" s="561">
        <f t="shared" si="113"/>
        <v>0</v>
      </c>
      <c r="Q75" s="561">
        <f t="shared" si="114"/>
        <v>0</v>
      </c>
      <c r="R75" s="561">
        <f t="shared" si="115"/>
        <v>0</v>
      </c>
      <c r="S75" s="561">
        <f t="shared" si="116"/>
        <v>0</v>
      </c>
      <c r="T75" s="561">
        <f t="shared" si="117"/>
        <v>0</v>
      </c>
      <c r="U75" s="561">
        <f t="shared" si="118"/>
        <v>0</v>
      </c>
      <c r="V75" s="561">
        <f t="shared" si="119"/>
        <v>0</v>
      </c>
      <c r="W75" s="675">
        <f t="shared" si="120"/>
        <v>0</v>
      </c>
      <c r="X75" s="675">
        <f t="shared" si="121"/>
        <v>0</v>
      </c>
      <c r="Y75" s="675">
        <f t="shared" si="121"/>
        <v>0</v>
      </c>
      <c r="Z75" s="86">
        <v>0</v>
      </c>
      <c r="AA75" s="87">
        <v>0</v>
      </c>
      <c r="AB75" s="87">
        <v>0</v>
      </c>
      <c r="AC75" s="87">
        <v>0</v>
      </c>
      <c r="AD75" s="87">
        <v>0</v>
      </c>
      <c r="AE75" s="87">
        <v>0</v>
      </c>
      <c r="AF75" s="87">
        <v>0</v>
      </c>
      <c r="AG75" s="87">
        <v>0</v>
      </c>
      <c r="AH75" s="87">
        <v>0</v>
      </c>
      <c r="AI75" s="1094">
        <f>'2022-23 Input'!N75</f>
        <v>0</v>
      </c>
      <c r="AJ75" s="665">
        <v>0</v>
      </c>
      <c r="AK75" s="88">
        <f t="shared" si="122"/>
        <v>0</v>
      </c>
      <c r="AL75" s="89">
        <f t="shared" si="123"/>
        <v>0</v>
      </c>
      <c r="AM75" s="90">
        <f t="shared" si="124"/>
        <v>0</v>
      </c>
      <c r="AN75" s="91" t="str">
        <f t="shared" si="125"/>
        <v/>
      </c>
      <c r="AO75" s="92" t="str">
        <f t="shared" si="126"/>
        <v/>
      </c>
      <c r="AP75" s="92" t="str">
        <f t="shared" si="127"/>
        <v/>
      </c>
      <c r="AQ75" s="92" t="str">
        <f t="shared" si="128"/>
        <v/>
      </c>
      <c r="AR75" s="92" t="str">
        <f t="shared" si="129"/>
        <v/>
      </c>
      <c r="AS75" s="92" t="str">
        <f t="shared" si="130"/>
        <v/>
      </c>
      <c r="AT75" s="92" t="str">
        <f t="shared" si="131"/>
        <v/>
      </c>
      <c r="AU75" s="92" t="str">
        <f t="shared" si="132"/>
        <v/>
      </c>
      <c r="AV75" s="92" t="str">
        <f t="shared" si="133"/>
        <v/>
      </c>
      <c r="AW75" s="92" t="str">
        <f t="shared" si="133"/>
        <v/>
      </c>
      <c r="AX75" s="92" t="str">
        <f t="shared" si="133"/>
        <v/>
      </c>
      <c r="AY75" s="93" t="str">
        <f t="shared" si="134"/>
        <v/>
      </c>
      <c r="AZ75" s="94" t="str">
        <f t="shared" si="135"/>
        <v/>
      </c>
      <c r="BA75" s="95" t="str">
        <f t="shared" si="136"/>
        <v/>
      </c>
      <c r="BB75" s="248" t="s">
        <v>422</v>
      </c>
      <c r="BC75" s="229" t="s">
        <v>433</v>
      </c>
      <c r="BD75" s="249">
        <v>-7.8321678319999994E-3</v>
      </c>
      <c r="BE75" s="267">
        <f t="shared" si="140"/>
        <v>0</v>
      </c>
      <c r="BF75" s="268">
        <f t="shared" ref="BF75:BL75" si="145">IF(BF$6=$BB75,1,
IF(BE75&lt;&gt;0,BE75+1,0
))</f>
        <v>0</v>
      </c>
      <c r="BG75" s="268">
        <f t="shared" si="145"/>
        <v>0</v>
      </c>
      <c r="BH75" s="268">
        <f t="shared" si="145"/>
        <v>1</v>
      </c>
      <c r="BI75" s="268">
        <f t="shared" si="145"/>
        <v>2</v>
      </c>
      <c r="BJ75" s="268">
        <f t="shared" si="145"/>
        <v>3</v>
      </c>
      <c r="BK75" s="268">
        <f t="shared" si="145"/>
        <v>4</v>
      </c>
      <c r="BL75" s="269">
        <f t="shared" si="145"/>
        <v>5</v>
      </c>
      <c r="BM75" s="256">
        <f>IF($BC75=Lookup!$A$2,$BD75*ROUNDUP(BE75/10,0)+1,
IF($BC75=Lookup!$A$3,($BD75+1)^BD75,
IF($BC75=Lookup!$A$4,BE75*$BD75+1,"Error")))</f>
        <v>1</v>
      </c>
      <c r="BN75" s="229">
        <f>IF($BC75=Lookup!$A$2,$BD75*ROUNDUP(BF75/10,0)+1,
IF($BC75=Lookup!$A$3,($BD75+1)^BE75,
IF($BC75=Lookup!$A$4,BF75*$BD75+1,"Error")))</f>
        <v>1</v>
      </c>
      <c r="BO75" s="229">
        <f>IF($BC75=Lookup!$A$2,$BD75*ROUNDUP(BG75/10,0)+1,
IF($BC75=Lookup!$A$3,($BD75+1)^BF75,
IF($BC75=Lookup!$A$4,BG75*$BD75+1,"Error")))</f>
        <v>1</v>
      </c>
      <c r="BP75" s="229">
        <f>IF($BC75=Lookup!$A$2,$BD75*ROUNDUP(BH75/10,0)+1,
IF($BC75=Lookup!$A$3,($BD75+1)^BG75,
IF($BC75=Lookup!$A$4,BH75*$BD75+1,"Error")))</f>
        <v>0.99216783216799997</v>
      </c>
      <c r="BQ75" s="229">
        <f>IF($BC75=Lookup!$A$2,$BD75*ROUNDUP(BI75/10,0)+1,
IF($BC75=Lookup!$A$3,($BD75+1)^BH75,
IF($BC75=Lookup!$A$4,BI75*$BD75+1,"Error")))</f>
        <v>0.99216783216799997</v>
      </c>
      <c r="BR75" s="229">
        <f>IF($BC75=Lookup!$A$2,$BD75*ROUNDUP(BJ75/10,0)+1,
IF($BC75=Lookup!$A$3,($BD75+1)^BI75,
IF($BC75=Lookup!$A$4,BJ75*$BD75+1,"Error")))</f>
        <v>0.99216783216799997</v>
      </c>
      <c r="BS75" s="229">
        <f>IF($BC75=Lookup!$A$2,$BD75*ROUNDUP(BK75/10,0)+1,
IF($BC75=Lookup!$A$3,($BD75+1)^BJ75,
IF($BC75=Lookup!$A$4,BK75*$BD75+1,"Error")))</f>
        <v>0.99216783216799997</v>
      </c>
      <c r="BT75" s="249">
        <f>IF($BC75=Lookup!$A$2,$BD75*ROUNDUP(BL75/10,0)+1,
IF($BC75=Lookup!$A$3,($BD75+1)^BK75,
IF($BC75=Lookup!$A$4,BL75*$BD75+1,"Error")))</f>
        <v>0.99216783216799997</v>
      </c>
      <c r="BU75" s="320"/>
      <c r="BV75" s="321"/>
      <c r="BW75" s="321"/>
      <c r="BX75" s="321"/>
      <c r="BY75" s="321"/>
      <c r="BZ75" s="321"/>
      <c r="CA75" s="321"/>
      <c r="CB75" s="277"/>
      <c r="CC75" s="382" t="s">
        <v>293</v>
      </c>
      <c r="CD75" s="383">
        <f>HLOOKUP($CC75,$AK$6:$AM$132,ROWS(CC$6:CC75),0)</f>
        <v>0</v>
      </c>
      <c r="CE75" s="234">
        <f t="shared" si="142"/>
        <v>0</v>
      </c>
      <c r="CF75" s="96">
        <f t="shared" si="142"/>
        <v>0</v>
      </c>
      <c r="CG75" s="96">
        <f t="shared" si="142"/>
        <v>0</v>
      </c>
      <c r="CH75" s="96">
        <f t="shared" si="142"/>
        <v>0</v>
      </c>
      <c r="CI75" s="96">
        <f t="shared" si="84"/>
        <v>0</v>
      </c>
      <c r="CJ75" s="96">
        <f t="shared" si="84"/>
        <v>0</v>
      </c>
      <c r="CK75" s="96">
        <f t="shared" si="84"/>
        <v>0</v>
      </c>
      <c r="CL75" s="286">
        <f t="shared" si="84"/>
        <v>0</v>
      </c>
      <c r="CM75" s="305" t="s">
        <v>293</v>
      </c>
      <c r="CN75" s="315">
        <v>0.05</v>
      </c>
      <c r="CO75" s="306"/>
      <c r="CP75" s="307" t="str">
        <f>IF($CO75&lt;&gt;"",$CO75,HLOOKUP($CM75,$AY$6:$BA$132,ROWS(CO$6:CO75),0))</f>
        <v/>
      </c>
      <c r="CQ75" s="784" t="str">
        <f t="shared" si="138"/>
        <v/>
      </c>
      <c r="CR75" s="784" t="str">
        <f t="shared" si="138"/>
        <v/>
      </c>
      <c r="CS75" s="97" t="str">
        <f t="shared" si="138"/>
        <v/>
      </c>
      <c r="CT75" s="97" t="str">
        <f t="shared" si="138"/>
        <v/>
      </c>
      <c r="CU75" s="97" t="str">
        <f t="shared" si="138"/>
        <v/>
      </c>
      <c r="CV75" s="97" t="str">
        <f t="shared" si="138"/>
        <v/>
      </c>
      <c r="CW75" s="97" t="str">
        <f t="shared" si="138"/>
        <v/>
      </c>
      <c r="CX75" s="98" t="str">
        <f t="shared" si="62"/>
        <v/>
      </c>
      <c r="CY75" s="392"/>
    </row>
    <row r="76" spans="1:103" x14ac:dyDescent="0.25">
      <c r="A76" s="81" t="s">
        <v>138</v>
      </c>
      <c r="B76" s="82" t="s">
        <v>155</v>
      </c>
      <c r="C76" s="83" t="s">
        <v>366</v>
      </c>
      <c r="D76" s="84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654">
        <f>'2022-23 Input'!G76</f>
        <v>0</v>
      </c>
      <c r="N76" s="1065">
        <v>0</v>
      </c>
      <c r="O76" s="560">
        <f t="shared" si="139"/>
        <v>0</v>
      </c>
      <c r="P76" s="561">
        <f t="shared" si="113"/>
        <v>0</v>
      </c>
      <c r="Q76" s="561">
        <f t="shared" si="114"/>
        <v>0</v>
      </c>
      <c r="R76" s="561">
        <f t="shared" si="115"/>
        <v>0</v>
      </c>
      <c r="S76" s="561">
        <f t="shared" si="116"/>
        <v>0</v>
      </c>
      <c r="T76" s="561">
        <f t="shared" si="117"/>
        <v>0</v>
      </c>
      <c r="U76" s="561">
        <f t="shared" si="118"/>
        <v>0</v>
      </c>
      <c r="V76" s="561">
        <f t="shared" si="119"/>
        <v>0</v>
      </c>
      <c r="W76" s="675">
        <f t="shared" si="120"/>
        <v>0</v>
      </c>
      <c r="X76" s="675">
        <f t="shared" si="121"/>
        <v>0</v>
      </c>
      <c r="Y76" s="675">
        <f t="shared" si="121"/>
        <v>0</v>
      </c>
      <c r="Z76" s="86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1094">
        <f>'2022-23 Input'!N76</f>
        <v>0</v>
      </c>
      <c r="AJ76" s="665">
        <v>0</v>
      </c>
      <c r="AK76" s="88">
        <f t="shared" si="122"/>
        <v>0</v>
      </c>
      <c r="AL76" s="89">
        <f t="shared" si="123"/>
        <v>0</v>
      </c>
      <c r="AM76" s="90">
        <f t="shared" si="124"/>
        <v>0</v>
      </c>
      <c r="AN76" s="91" t="str">
        <f t="shared" si="125"/>
        <v/>
      </c>
      <c r="AO76" s="92" t="str">
        <f t="shared" si="126"/>
        <v/>
      </c>
      <c r="AP76" s="92" t="str">
        <f t="shared" si="127"/>
        <v/>
      </c>
      <c r="AQ76" s="92" t="str">
        <f t="shared" si="128"/>
        <v/>
      </c>
      <c r="AR76" s="92" t="str">
        <f t="shared" si="129"/>
        <v/>
      </c>
      <c r="AS76" s="92" t="str">
        <f t="shared" si="130"/>
        <v/>
      </c>
      <c r="AT76" s="92" t="str">
        <f t="shared" si="131"/>
        <v/>
      </c>
      <c r="AU76" s="92" t="str">
        <f t="shared" si="132"/>
        <v/>
      </c>
      <c r="AV76" s="92" t="str">
        <f t="shared" si="133"/>
        <v/>
      </c>
      <c r="AW76" s="92" t="str">
        <f t="shared" si="133"/>
        <v/>
      </c>
      <c r="AX76" s="92" t="str">
        <f t="shared" si="133"/>
        <v/>
      </c>
      <c r="AY76" s="93" t="str">
        <f t="shared" si="134"/>
        <v/>
      </c>
      <c r="AZ76" s="94" t="str">
        <f t="shared" si="135"/>
        <v/>
      </c>
      <c r="BA76" s="95" t="str">
        <f t="shared" si="136"/>
        <v/>
      </c>
      <c r="BB76" s="248" t="s">
        <v>422</v>
      </c>
      <c r="BC76" s="229" t="s">
        <v>433</v>
      </c>
      <c r="BD76" s="249">
        <v>-7.8321678319999994E-3</v>
      </c>
      <c r="BE76" s="267">
        <f t="shared" si="140"/>
        <v>0</v>
      </c>
      <c r="BF76" s="268">
        <f t="shared" ref="BF76:BL76" si="146">IF(BF$6=$BB76,1,
IF(BE76&lt;&gt;0,BE76+1,0
))</f>
        <v>0</v>
      </c>
      <c r="BG76" s="268">
        <f t="shared" si="146"/>
        <v>0</v>
      </c>
      <c r="BH76" s="268">
        <f t="shared" si="146"/>
        <v>1</v>
      </c>
      <c r="BI76" s="268">
        <f t="shared" si="146"/>
        <v>2</v>
      </c>
      <c r="BJ76" s="268">
        <f t="shared" si="146"/>
        <v>3</v>
      </c>
      <c r="BK76" s="268">
        <f t="shared" si="146"/>
        <v>4</v>
      </c>
      <c r="BL76" s="269">
        <f t="shared" si="146"/>
        <v>5</v>
      </c>
      <c r="BM76" s="256">
        <f>IF($BC76=Lookup!$A$2,$BD76*ROUNDUP(BE76/10,0)+1,
IF($BC76=Lookup!$A$3,($BD76+1)^BD76,
IF($BC76=Lookup!$A$4,BE76*$BD76+1,"Error")))</f>
        <v>1</v>
      </c>
      <c r="BN76" s="229">
        <f>IF($BC76=Lookup!$A$2,$BD76*ROUNDUP(BF76/10,0)+1,
IF($BC76=Lookup!$A$3,($BD76+1)^BE76,
IF($BC76=Lookup!$A$4,BF76*$BD76+1,"Error")))</f>
        <v>1</v>
      </c>
      <c r="BO76" s="229">
        <f>IF($BC76=Lookup!$A$2,$BD76*ROUNDUP(BG76/10,0)+1,
IF($BC76=Lookup!$A$3,($BD76+1)^BF76,
IF($BC76=Lookup!$A$4,BG76*$BD76+1,"Error")))</f>
        <v>1</v>
      </c>
      <c r="BP76" s="229">
        <f>IF($BC76=Lookup!$A$2,$BD76*ROUNDUP(BH76/10,0)+1,
IF($BC76=Lookup!$A$3,($BD76+1)^BG76,
IF($BC76=Lookup!$A$4,BH76*$BD76+1,"Error")))</f>
        <v>0.99216783216799997</v>
      </c>
      <c r="BQ76" s="229">
        <f>IF($BC76=Lookup!$A$2,$BD76*ROUNDUP(BI76/10,0)+1,
IF($BC76=Lookup!$A$3,($BD76+1)^BH76,
IF($BC76=Lookup!$A$4,BI76*$BD76+1,"Error")))</f>
        <v>0.99216783216799997</v>
      </c>
      <c r="BR76" s="229">
        <f>IF($BC76=Lookup!$A$2,$BD76*ROUNDUP(BJ76/10,0)+1,
IF($BC76=Lookup!$A$3,($BD76+1)^BI76,
IF($BC76=Lookup!$A$4,BJ76*$BD76+1,"Error")))</f>
        <v>0.99216783216799997</v>
      </c>
      <c r="BS76" s="229">
        <f>IF($BC76=Lookup!$A$2,$BD76*ROUNDUP(BK76/10,0)+1,
IF($BC76=Lookup!$A$3,($BD76+1)^BJ76,
IF($BC76=Lookup!$A$4,BK76*$BD76+1,"Error")))</f>
        <v>0.99216783216799997</v>
      </c>
      <c r="BT76" s="249">
        <f>IF($BC76=Lookup!$A$2,$BD76*ROUNDUP(BL76/10,0)+1,
IF($BC76=Lookup!$A$3,($BD76+1)^BK76,
IF($BC76=Lookup!$A$4,BL76*$BD76+1,"Error")))</f>
        <v>0.99216783216799997</v>
      </c>
      <c r="BU76" s="320"/>
      <c r="BV76" s="321"/>
      <c r="BW76" s="321"/>
      <c r="BX76" s="321"/>
      <c r="BY76" s="321"/>
      <c r="BZ76" s="321"/>
      <c r="CA76" s="321"/>
      <c r="CB76" s="277"/>
      <c r="CC76" s="382" t="s">
        <v>293</v>
      </c>
      <c r="CD76" s="383">
        <f>HLOOKUP($CC76,$AK$6:$AM$132,ROWS(CC$6:CC76),0)</f>
        <v>0</v>
      </c>
      <c r="CE76" s="234">
        <f t="shared" si="142"/>
        <v>0</v>
      </c>
      <c r="CF76" s="96">
        <f t="shared" si="142"/>
        <v>0</v>
      </c>
      <c r="CG76" s="96">
        <f t="shared" si="142"/>
        <v>0</v>
      </c>
      <c r="CH76" s="96">
        <f t="shared" si="142"/>
        <v>0</v>
      </c>
      <c r="CI76" s="96">
        <f t="shared" si="84"/>
        <v>0</v>
      </c>
      <c r="CJ76" s="96">
        <f t="shared" si="84"/>
        <v>0</v>
      </c>
      <c r="CK76" s="96">
        <f t="shared" si="84"/>
        <v>0</v>
      </c>
      <c r="CL76" s="286">
        <f t="shared" si="84"/>
        <v>0</v>
      </c>
      <c r="CM76" s="305" t="s">
        <v>293</v>
      </c>
      <c r="CN76" s="315">
        <v>0.05</v>
      </c>
      <c r="CO76" s="306"/>
      <c r="CP76" s="307" t="str">
        <f>IF($CO76&lt;&gt;"",$CO76,HLOOKUP($CM76,$AY$6:$BA$132,ROWS(CO$6:CO76),0))</f>
        <v/>
      </c>
      <c r="CQ76" s="784" t="str">
        <f t="shared" si="138"/>
        <v/>
      </c>
      <c r="CR76" s="784" t="str">
        <f t="shared" si="138"/>
        <v/>
      </c>
      <c r="CS76" s="97" t="str">
        <f t="shared" si="138"/>
        <v/>
      </c>
      <c r="CT76" s="97" t="str">
        <f t="shared" si="138"/>
        <v/>
      </c>
      <c r="CU76" s="97" t="str">
        <f t="shared" si="138"/>
        <v/>
      </c>
      <c r="CV76" s="97" t="str">
        <f t="shared" si="138"/>
        <v/>
      </c>
      <c r="CW76" s="97" t="str">
        <f t="shared" si="138"/>
        <v/>
      </c>
      <c r="CX76" s="98" t="str">
        <f t="shared" si="62"/>
        <v/>
      </c>
      <c r="CY76" s="392"/>
    </row>
    <row r="77" spans="1:103" x14ac:dyDescent="0.25">
      <c r="A77" s="81" t="s">
        <v>138</v>
      </c>
      <c r="B77" s="82" t="s">
        <v>157</v>
      </c>
      <c r="C77" s="83" t="s">
        <v>367</v>
      </c>
      <c r="D77" s="84">
        <v>1082558.8235948905</v>
      </c>
      <c r="E77" s="85">
        <v>1720368.306348694</v>
      </c>
      <c r="F77" s="85">
        <v>1279780.4209302748</v>
      </c>
      <c r="G77" s="85">
        <v>788434.64856165717</v>
      </c>
      <c r="H77" s="85">
        <v>973448.5734372742</v>
      </c>
      <c r="I77" s="85">
        <v>1654910.0025438992</v>
      </c>
      <c r="J77" s="85">
        <v>1214548.3576289036</v>
      </c>
      <c r="K77" s="85">
        <v>1507506.5515413375</v>
      </c>
      <c r="L77" s="85">
        <v>2460130.0809016107</v>
      </c>
      <c r="M77" s="654">
        <f>'2022-23 Input'!G77</f>
        <v>2779685.0744639272</v>
      </c>
      <c r="N77" s="1065">
        <v>4026868.587387233</v>
      </c>
      <c r="O77" s="560">
        <f t="shared" si="139"/>
        <v>1456535.6101185833</v>
      </c>
      <c r="P77" s="561">
        <f t="shared" si="113"/>
        <v>2280229.3518872568</v>
      </c>
      <c r="Q77" s="561">
        <f t="shared" si="114"/>
        <v>1679079.2680987138</v>
      </c>
      <c r="R77" s="561">
        <f t="shared" si="115"/>
        <v>1014807.4422943376</v>
      </c>
      <c r="S77" s="561">
        <f t="shared" si="116"/>
        <v>1227439.6053915778</v>
      </c>
      <c r="T77" s="561">
        <f t="shared" si="117"/>
        <v>2053988.7271417007</v>
      </c>
      <c r="U77" s="561">
        <f t="shared" si="118"/>
        <v>1512705.3730386808</v>
      </c>
      <c r="V77" s="561">
        <f t="shared" si="119"/>
        <v>1808041.2329642999</v>
      </c>
      <c r="W77" s="675">
        <f t="shared" si="120"/>
        <v>2779767.9775265632</v>
      </c>
      <c r="X77" s="675">
        <f t="shared" si="121"/>
        <v>2956086.4635337824</v>
      </c>
      <c r="Y77" s="675">
        <f t="shared" si="121"/>
        <v>4137601.3499458879</v>
      </c>
      <c r="Z77" s="86">
        <v>11</v>
      </c>
      <c r="AA77" s="87">
        <v>18</v>
      </c>
      <c r="AB77" s="87">
        <v>13</v>
      </c>
      <c r="AC77" s="87">
        <v>6</v>
      </c>
      <c r="AD77" s="87">
        <v>10</v>
      </c>
      <c r="AE77" s="87">
        <v>14</v>
      </c>
      <c r="AF77" s="87">
        <v>13</v>
      </c>
      <c r="AG77" s="87">
        <v>17</v>
      </c>
      <c r="AH77" s="87">
        <v>34</v>
      </c>
      <c r="AI77" s="1094">
        <f>'2022-23 Input'!N77</f>
        <v>46</v>
      </c>
      <c r="AJ77" s="665">
        <v>38</v>
      </c>
      <c r="AK77" s="88">
        <f t="shared" si="122"/>
        <v>24.8</v>
      </c>
      <c r="AL77" s="89">
        <f t="shared" si="123"/>
        <v>32.333333333333336</v>
      </c>
      <c r="AM77" s="90">
        <f t="shared" si="124"/>
        <v>46</v>
      </c>
      <c r="AN77" s="91">
        <f t="shared" si="125"/>
        <v>98414.438508626408</v>
      </c>
      <c r="AO77" s="92">
        <f t="shared" si="126"/>
        <v>95576.017019371895</v>
      </c>
      <c r="AP77" s="92">
        <f t="shared" si="127"/>
        <v>98444.647763867295</v>
      </c>
      <c r="AQ77" s="92">
        <f t="shared" si="128"/>
        <v>131405.7747602762</v>
      </c>
      <c r="AR77" s="92">
        <f t="shared" si="129"/>
        <v>97344.857343727417</v>
      </c>
      <c r="AS77" s="92">
        <f t="shared" si="130"/>
        <v>118207.85732456423</v>
      </c>
      <c r="AT77" s="92">
        <f t="shared" si="131"/>
        <v>93426.796740684891</v>
      </c>
      <c r="AU77" s="92">
        <f t="shared" si="132"/>
        <v>88676.855973019847</v>
      </c>
      <c r="AV77" s="92">
        <f t="shared" si="133"/>
        <v>72356.767085341489</v>
      </c>
      <c r="AW77" s="92">
        <f t="shared" si="133"/>
        <v>60427.936401389721</v>
      </c>
      <c r="AX77" s="92">
        <f t="shared" si="133"/>
        <v>105970.22598387455</v>
      </c>
      <c r="AY77" s="93">
        <f t="shared" si="134"/>
        <v>77554.677960319983</v>
      </c>
      <c r="AZ77" s="94">
        <f t="shared" si="135"/>
        <v>69560.017596978098</v>
      </c>
      <c r="BA77" s="95">
        <f t="shared" si="136"/>
        <v>60427.936401389721</v>
      </c>
      <c r="BB77" s="248" t="s">
        <v>422</v>
      </c>
      <c r="BC77" s="229" t="s">
        <v>433</v>
      </c>
      <c r="BD77" s="249">
        <v>-7.8321678319999994E-3</v>
      </c>
      <c r="BE77" s="267">
        <f t="shared" si="140"/>
        <v>0</v>
      </c>
      <c r="BF77" s="268">
        <f t="shared" ref="BF77:BL77" si="147">IF(BF$6=$BB77,1,
IF(BE77&lt;&gt;0,BE77+1,0
))</f>
        <v>0</v>
      </c>
      <c r="BG77" s="268">
        <f t="shared" si="147"/>
        <v>0</v>
      </c>
      <c r="BH77" s="268">
        <f t="shared" si="147"/>
        <v>1</v>
      </c>
      <c r="BI77" s="268">
        <f t="shared" si="147"/>
        <v>2</v>
      </c>
      <c r="BJ77" s="268">
        <f t="shared" si="147"/>
        <v>3</v>
      </c>
      <c r="BK77" s="268">
        <f t="shared" si="147"/>
        <v>4</v>
      </c>
      <c r="BL77" s="269">
        <f t="shared" si="147"/>
        <v>5</v>
      </c>
      <c r="BM77" s="256">
        <f>IF($BC77=Lookup!$A$2,$BD77*ROUNDUP(BE77/10,0)+1,
IF($BC77=Lookup!$A$3,($BD77+1)^BD77,
IF($BC77=Lookup!$A$4,BE77*$BD77+1,"Error")))</f>
        <v>1</v>
      </c>
      <c r="BN77" s="229">
        <f>IF($BC77=Lookup!$A$2,$BD77*ROUNDUP(BF77/10,0)+1,
IF($BC77=Lookup!$A$3,($BD77+1)^BE77,
IF($BC77=Lookup!$A$4,BF77*$BD77+1,"Error")))</f>
        <v>1</v>
      </c>
      <c r="BO77" s="229">
        <f>IF($BC77=Lookup!$A$2,$BD77*ROUNDUP(BG77/10,0)+1,
IF($BC77=Lookup!$A$3,($BD77+1)^BF77,
IF($BC77=Lookup!$A$4,BG77*$BD77+1,"Error")))</f>
        <v>1</v>
      </c>
      <c r="BP77" s="229">
        <f>IF($BC77=Lookup!$A$2,$BD77*ROUNDUP(BH77/10,0)+1,
IF($BC77=Lookup!$A$3,($BD77+1)^BG77,
IF($BC77=Lookup!$A$4,BH77*$BD77+1,"Error")))</f>
        <v>0.99216783216799997</v>
      </c>
      <c r="BQ77" s="229">
        <f>IF($BC77=Lookup!$A$2,$BD77*ROUNDUP(BI77/10,0)+1,
IF($BC77=Lookup!$A$3,($BD77+1)^BH77,
IF($BC77=Lookup!$A$4,BI77*$BD77+1,"Error")))</f>
        <v>0.99216783216799997</v>
      </c>
      <c r="BR77" s="229">
        <f>IF($BC77=Lookup!$A$2,$BD77*ROUNDUP(BJ77/10,0)+1,
IF($BC77=Lookup!$A$3,($BD77+1)^BI77,
IF($BC77=Lookup!$A$4,BJ77*$BD77+1,"Error")))</f>
        <v>0.99216783216799997</v>
      </c>
      <c r="BS77" s="229">
        <f>IF($BC77=Lookup!$A$2,$BD77*ROUNDUP(BK77/10,0)+1,
IF($BC77=Lookup!$A$3,($BD77+1)^BJ77,
IF($BC77=Lookup!$A$4,BK77*$BD77+1,"Error")))</f>
        <v>0.99216783216799997</v>
      </c>
      <c r="BT77" s="249">
        <f>IF($BC77=Lookup!$A$2,$BD77*ROUNDUP(BL77/10,0)+1,
IF($BC77=Lookup!$A$3,($BD77+1)^BK77,
IF($BC77=Lookup!$A$4,BL77*$BD77+1,"Error")))</f>
        <v>0.99216783216799997</v>
      </c>
      <c r="BU77" s="320"/>
      <c r="BV77" s="321"/>
      <c r="BW77" s="321"/>
      <c r="BX77" s="321"/>
      <c r="BY77" s="321"/>
      <c r="BZ77" s="321"/>
      <c r="CA77" s="321"/>
      <c r="CB77" s="277"/>
      <c r="CC77" s="382" t="s">
        <v>293</v>
      </c>
      <c r="CD77" s="383">
        <f>HLOOKUP($CC77,$AK$6:$AM$132,ROWS(CC$6:CC77),0)</f>
        <v>32.333333333333336</v>
      </c>
      <c r="CE77" s="234">
        <f t="shared" si="142"/>
        <v>32.333333333333336</v>
      </c>
      <c r="CF77" s="96">
        <f t="shared" si="142"/>
        <v>32.333333333333336</v>
      </c>
      <c r="CG77" s="96">
        <f t="shared" si="142"/>
        <v>32.333333333333336</v>
      </c>
      <c r="CH77" s="96">
        <f t="shared" si="142"/>
        <v>32.08009324009867</v>
      </c>
      <c r="CI77" s="96">
        <f t="shared" si="84"/>
        <v>32.08009324009867</v>
      </c>
      <c r="CJ77" s="96">
        <f t="shared" si="84"/>
        <v>32.08009324009867</v>
      </c>
      <c r="CK77" s="96">
        <f t="shared" si="84"/>
        <v>32.08009324009867</v>
      </c>
      <c r="CL77" s="286">
        <f t="shared" si="84"/>
        <v>32.08009324009867</v>
      </c>
      <c r="CM77" s="305" t="s">
        <v>293</v>
      </c>
      <c r="CN77" s="315">
        <v>0.05</v>
      </c>
      <c r="CO77" s="306"/>
      <c r="CP77" s="307">
        <f>IF($CO77&lt;&gt;"",$CO77,HLOOKUP($CM77,$AY$6:$BA$132,ROWS(CO$6:CO77),0))</f>
        <v>69560.017596978098</v>
      </c>
      <c r="CQ77" s="784">
        <f t="shared" si="138"/>
        <v>2249107.2356356252</v>
      </c>
      <c r="CR77" s="784">
        <f t="shared" si="138"/>
        <v>2249107.2356356252</v>
      </c>
      <c r="CS77" s="97">
        <f t="shared" si="138"/>
        <v>2249107.2356356252</v>
      </c>
      <c r="CT77" s="97">
        <f t="shared" si="138"/>
        <v>2231491.8502939614</v>
      </c>
      <c r="CU77" s="97">
        <f t="shared" si="138"/>
        <v>2231491.8502939614</v>
      </c>
      <c r="CV77" s="97">
        <f t="shared" si="138"/>
        <v>2231491.8502939614</v>
      </c>
      <c r="CW77" s="97">
        <f t="shared" si="138"/>
        <v>2231491.8502939614</v>
      </c>
      <c r="CX77" s="98">
        <f t="shared" si="62"/>
        <v>2231491.8502939614</v>
      </c>
      <c r="CY77" s="392"/>
    </row>
    <row r="78" spans="1:103" x14ac:dyDescent="0.25">
      <c r="A78" s="81" t="s">
        <v>138</v>
      </c>
      <c r="B78" s="82" t="s">
        <v>159</v>
      </c>
      <c r="C78" s="83" t="s">
        <v>368</v>
      </c>
      <c r="D78" s="84">
        <v>645863.06400198909</v>
      </c>
      <c r="E78" s="85">
        <v>567452.46818267496</v>
      </c>
      <c r="F78" s="85">
        <v>431920.3464760218</v>
      </c>
      <c r="G78" s="85">
        <v>711656.86415655992</v>
      </c>
      <c r="H78" s="85">
        <v>905696.60202734265</v>
      </c>
      <c r="I78" s="85">
        <v>588072.84679806302</v>
      </c>
      <c r="J78" s="85">
        <v>609972.16221037728</v>
      </c>
      <c r="K78" s="85">
        <v>628313.17615654296</v>
      </c>
      <c r="L78" s="85">
        <v>552547.37763625546</v>
      </c>
      <c r="M78" s="654">
        <f>'2022-23 Input'!G78</f>
        <v>654651.8341790823</v>
      </c>
      <c r="N78" s="1065">
        <v>515904.38219995861</v>
      </c>
      <c r="O78" s="560">
        <f t="shared" si="139"/>
        <v>868980.54080359789</v>
      </c>
      <c r="P78" s="561">
        <f t="shared" si="113"/>
        <v>752119.0485642124</v>
      </c>
      <c r="Q78" s="561">
        <f t="shared" si="114"/>
        <v>566681.97714005632</v>
      </c>
      <c r="R78" s="561">
        <f t="shared" si="115"/>
        <v>915985.46997322922</v>
      </c>
      <c r="S78" s="561">
        <f t="shared" si="116"/>
        <v>1142009.8710212633</v>
      </c>
      <c r="T78" s="561">
        <f t="shared" si="117"/>
        <v>729885.61082149146</v>
      </c>
      <c r="U78" s="561">
        <f t="shared" si="118"/>
        <v>759712.99239250727</v>
      </c>
      <c r="V78" s="561">
        <f t="shared" si="119"/>
        <v>753572.93044218014</v>
      </c>
      <c r="W78" s="675">
        <f t="shared" si="120"/>
        <v>624338.3300514865</v>
      </c>
      <c r="X78" s="675">
        <f t="shared" si="121"/>
        <v>696196.64584397548</v>
      </c>
      <c r="Y78" s="675">
        <f t="shared" si="121"/>
        <v>530090.9681829355</v>
      </c>
      <c r="Z78" s="86">
        <v>5</v>
      </c>
      <c r="AA78" s="87">
        <v>4</v>
      </c>
      <c r="AB78" s="87">
        <v>3</v>
      </c>
      <c r="AC78" s="87">
        <v>5</v>
      </c>
      <c r="AD78" s="87">
        <v>7</v>
      </c>
      <c r="AE78" s="87">
        <v>5</v>
      </c>
      <c r="AF78" s="87">
        <v>3</v>
      </c>
      <c r="AG78" s="87">
        <v>7</v>
      </c>
      <c r="AH78" s="87">
        <v>3</v>
      </c>
      <c r="AI78" s="1094">
        <f>'2022-23 Input'!N78</f>
        <v>8</v>
      </c>
      <c r="AJ78" s="665">
        <v>5</v>
      </c>
      <c r="AK78" s="88">
        <f t="shared" si="122"/>
        <v>5.2</v>
      </c>
      <c r="AL78" s="89">
        <f t="shared" si="123"/>
        <v>6</v>
      </c>
      <c r="AM78" s="90">
        <f t="shared" si="124"/>
        <v>8</v>
      </c>
      <c r="AN78" s="91">
        <f t="shared" si="125"/>
        <v>129172.61280039782</v>
      </c>
      <c r="AO78" s="92">
        <f t="shared" si="126"/>
        <v>141863.11704566874</v>
      </c>
      <c r="AP78" s="92">
        <f t="shared" si="127"/>
        <v>143973.4488253406</v>
      </c>
      <c r="AQ78" s="92">
        <f t="shared" si="128"/>
        <v>142331.37283131198</v>
      </c>
      <c r="AR78" s="92">
        <f t="shared" si="129"/>
        <v>129385.22886104895</v>
      </c>
      <c r="AS78" s="92">
        <f t="shared" si="130"/>
        <v>117614.56935961261</v>
      </c>
      <c r="AT78" s="92">
        <f t="shared" si="131"/>
        <v>203324.05407012577</v>
      </c>
      <c r="AU78" s="92">
        <f t="shared" si="132"/>
        <v>89759.025165220417</v>
      </c>
      <c r="AV78" s="92">
        <f t="shared" si="133"/>
        <v>184182.45921208514</v>
      </c>
      <c r="AW78" s="92">
        <f t="shared" si="133"/>
        <v>81831.479272385288</v>
      </c>
      <c r="AX78" s="92">
        <f t="shared" si="133"/>
        <v>103180.87643999173</v>
      </c>
      <c r="AY78" s="93">
        <f t="shared" si="134"/>
        <v>116675.28449924312</v>
      </c>
      <c r="AZ78" s="94">
        <f t="shared" si="135"/>
        <v>101972.91044288228</v>
      </c>
      <c r="BA78" s="95">
        <f t="shared" si="136"/>
        <v>81831.479272385288</v>
      </c>
      <c r="BB78" s="248" t="s">
        <v>422</v>
      </c>
      <c r="BC78" s="229" t="s">
        <v>433</v>
      </c>
      <c r="BD78" s="249">
        <v>-7.8321678319999994E-3</v>
      </c>
      <c r="BE78" s="267">
        <f t="shared" si="140"/>
        <v>0</v>
      </c>
      <c r="BF78" s="268">
        <f t="shared" ref="BF78:BL78" si="148">IF(BF$6=$BB78,1,
IF(BE78&lt;&gt;0,BE78+1,0
))</f>
        <v>0</v>
      </c>
      <c r="BG78" s="268">
        <f t="shared" si="148"/>
        <v>0</v>
      </c>
      <c r="BH78" s="268">
        <f t="shared" si="148"/>
        <v>1</v>
      </c>
      <c r="BI78" s="268">
        <f t="shared" si="148"/>
        <v>2</v>
      </c>
      <c r="BJ78" s="268">
        <f t="shared" si="148"/>
        <v>3</v>
      </c>
      <c r="BK78" s="268">
        <f t="shared" si="148"/>
        <v>4</v>
      </c>
      <c r="BL78" s="269">
        <f t="shared" si="148"/>
        <v>5</v>
      </c>
      <c r="BM78" s="256">
        <f>IF($BC78=Lookup!$A$2,$BD78*ROUNDUP(BE78/10,0)+1,
IF($BC78=Lookup!$A$3,($BD78+1)^BD78,
IF($BC78=Lookup!$A$4,BE78*$BD78+1,"Error")))</f>
        <v>1</v>
      </c>
      <c r="BN78" s="229">
        <f>IF($BC78=Lookup!$A$2,$BD78*ROUNDUP(BF78/10,0)+1,
IF($BC78=Lookup!$A$3,($BD78+1)^BE78,
IF($BC78=Lookup!$A$4,BF78*$BD78+1,"Error")))</f>
        <v>1</v>
      </c>
      <c r="BO78" s="229">
        <f>IF($BC78=Lookup!$A$2,$BD78*ROUNDUP(BG78/10,0)+1,
IF($BC78=Lookup!$A$3,($BD78+1)^BF78,
IF($BC78=Lookup!$A$4,BG78*$BD78+1,"Error")))</f>
        <v>1</v>
      </c>
      <c r="BP78" s="229">
        <f>IF($BC78=Lookup!$A$2,$BD78*ROUNDUP(BH78/10,0)+1,
IF($BC78=Lookup!$A$3,($BD78+1)^BG78,
IF($BC78=Lookup!$A$4,BH78*$BD78+1,"Error")))</f>
        <v>0.99216783216799997</v>
      </c>
      <c r="BQ78" s="229">
        <f>IF($BC78=Lookup!$A$2,$BD78*ROUNDUP(BI78/10,0)+1,
IF($BC78=Lookup!$A$3,($BD78+1)^BH78,
IF($BC78=Lookup!$A$4,BI78*$BD78+1,"Error")))</f>
        <v>0.99216783216799997</v>
      </c>
      <c r="BR78" s="229">
        <f>IF($BC78=Lookup!$A$2,$BD78*ROUNDUP(BJ78/10,0)+1,
IF($BC78=Lookup!$A$3,($BD78+1)^BI78,
IF($BC78=Lookup!$A$4,BJ78*$BD78+1,"Error")))</f>
        <v>0.99216783216799997</v>
      </c>
      <c r="BS78" s="229">
        <f>IF($BC78=Lookup!$A$2,$BD78*ROUNDUP(BK78/10,0)+1,
IF($BC78=Lookup!$A$3,($BD78+1)^BJ78,
IF($BC78=Lookup!$A$4,BK78*$BD78+1,"Error")))</f>
        <v>0.99216783216799997</v>
      </c>
      <c r="BT78" s="249">
        <f>IF($BC78=Lookup!$A$2,$BD78*ROUNDUP(BL78/10,0)+1,
IF($BC78=Lookup!$A$3,($BD78+1)^BK78,
IF($BC78=Lookup!$A$4,BL78*$BD78+1,"Error")))</f>
        <v>0.99216783216799997</v>
      </c>
      <c r="BU78" s="320"/>
      <c r="BV78" s="321"/>
      <c r="BW78" s="321"/>
      <c r="BX78" s="321"/>
      <c r="BY78" s="321"/>
      <c r="BZ78" s="321"/>
      <c r="CA78" s="321"/>
      <c r="CB78" s="277"/>
      <c r="CC78" s="382" t="s">
        <v>293</v>
      </c>
      <c r="CD78" s="383">
        <f>HLOOKUP($CC78,$AK$6:$AM$132,ROWS(CC$6:CC78),0)</f>
        <v>6</v>
      </c>
      <c r="CE78" s="234">
        <f t="shared" si="142"/>
        <v>6</v>
      </c>
      <c r="CF78" s="96">
        <f t="shared" si="142"/>
        <v>6</v>
      </c>
      <c r="CG78" s="96">
        <f t="shared" si="142"/>
        <v>6</v>
      </c>
      <c r="CH78" s="96">
        <f t="shared" si="142"/>
        <v>5.9530069930079996</v>
      </c>
      <c r="CI78" s="96">
        <f t="shared" si="84"/>
        <v>5.9530069930079996</v>
      </c>
      <c r="CJ78" s="96">
        <f t="shared" si="84"/>
        <v>5.9530069930079996</v>
      </c>
      <c r="CK78" s="96">
        <f t="shared" si="84"/>
        <v>5.9530069930079996</v>
      </c>
      <c r="CL78" s="286">
        <f t="shared" si="84"/>
        <v>5.9530069930079996</v>
      </c>
      <c r="CM78" s="305" t="s">
        <v>293</v>
      </c>
      <c r="CN78" s="315">
        <v>0.05</v>
      </c>
      <c r="CO78" s="306"/>
      <c r="CP78" s="307">
        <f>IF($CO78&lt;&gt;"",$CO78,HLOOKUP($CM78,$AY$6:$BA$132,ROWS(CO$6:CO78),0))</f>
        <v>101972.91044288228</v>
      </c>
      <c r="CQ78" s="784">
        <f t="shared" si="138"/>
        <v>611837.46265729365</v>
      </c>
      <c r="CR78" s="784">
        <f t="shared" si="138"/>
        <v>611837.46265729365</v>
      </c>
      <c r="CS78" s="97">
        <f t="shared" si="138"/>
        <v>611837.46265729365</v>
      </c>
      <c r="CT78" s="97">
        <f t="shared" si="138"/>
        <v>607045.44896385667</v>
      </c>
      <c r="CU78" s="97">
        <f t="shared" si="138"/>
        <v>607045.44896385667</v>
      </c>
      <c r="CV78" s="97">
        <f t="shared" si="138"/>
        <v>607045.44896385667</v>
      </c>
      <c r="CW78" s="97">
        <f t="shared" si="138"/>
        <v>607045.44896385667</v>
      </c>
      <c r="CX78" s="98">
        <f t="shared" si="62"/>
        <v>607045.44896385667</v>
      </c>
      <c r="CY78" s="392"/>
    </row>
    <row r="79" spans="1:103" x14ac:dyDescent="0.25">
      <c r="A79" s="81" t="s">
        <v>138</v>
      </c>
      <c r="B79" s="82" t="s">
        <v>161</v>
      </c>
      <c r="C79" s="83" t="s">
        <v>369</v>
      </c>
      <c r="D79" s="84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654">
        <f>'2022-23 Input'!G79</f>
        <v>0</v>
      </c>
      <c r="N79" s="1065">
        <v>0</v>
      </c>
      <c r="O79" s="560">
        <f t="shared" si="139"/>
        <v>0</v>
      </c>
      <c r="P79" s="561">
        <f t="shared" si="113"/>
        <v>0</v>
      </c>
      <c r="Q79" s="561">
        <f t="shared" si="114"/>
        <v>0</v>
      </c>
      <c r="R79" s="561">
        <f t="shared" si="115"/>
        <v>0</v>
      </c>
      <c r="S79" s="561">
        <f t="shared" si="116"/>
        <v>0</v>
      </c>
      <c r="T79" s="561">
        <f t="shared" si="117"/>
        <v>0</v>
      </c>
      <c r="U79" s="561">
        <f t="shared" si="118"/>
        <v>0</v>
      </c>
      <c r="V79" s="561">
        <f t="shared" si="119"/>
        <v>0</v>
      </c>
      <c r="W79" s="675">
        <f t="shared" si="120"/>
        <v>0</v>
      </c>
      <c r="X79" s="675">
        <f t="shared" si="121"/>
        <v>0</v>
      </c>
      <c r="Y79" s="675">
        <f t="shared" si="121"/>
        <v>0</v>
      </c>
      <c r="Z79" s="86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1094">
        <f>'2022-23 Input'!N79</f>
        <v>0</v>
      </c>
      <c r="AJ79" s="665">
        <v>0</v>
      </c>
      <c r="AK79" s="88">
        <f t="shared" si="122"/>
        <v>0</v>
      </c>
      <c r="AL79" s="89">
        <f t="shared" si="123"/>
        <v>0</v>
      </c>
      <c r="AM79" s="90">
        <f t="shared" si="124"/>
        <v>0</v>
      </c>
      <c r="AN79" s="91" t="str">
        <f t="shared" si="125"/>
        <v/>
      </c>
      <c r="AO79" s="92" t="str">
        <f t="shared" si="126"/>
        <v/>
      </c>
      <c r="AP79" s="92" t="str">
        <f t="shared" si="127"/>
        <v/>
      </c>
      <c r="AQ79" s="92" t="str">
        <f t="shared" si="128"/>
        <v/>
      </c>
      <c r="AR79" s="92" t="str">
        <f t="shared" si="129"/>
        <v/>
      </c>
      <c r="AS79" s="92" t="str">
        <f t="shared" si="130"/>
        <v/>
      </c>
      <c r="AT79" s="92" t="str">
        <f t="shared" si="131"/>
        <v/>
      </c>
      <c r="AU79" s="92" t="str">
        <f t="shared" si="132"/>
        <v/>
      </c>
      <c r="AV79" s="92" t="str">
        <f t="shared" si="133"/>
        <v/>
      </c>
      <c r="AW79" s="92" t="str">
        <f t="shared" si="133"/>
        <v/>
      </c>
      <c r="AX79" s="92" t="str">
        <f t="shared" si="133"/>
        <v/>
      </c>
      <c r="AY79" s="93" t="str">
        <f t="shared" si="134"/>
        <v/>
      </c>
      <c r="AZ79" s="94" t="str">
        <f t="shared" si="135"/>
        <v/>
      </c>
      <c r="BA79" s="95" t="str">
        <f t="shared" si="136"/>
        <v/>
      </c>
      <c r="BB79" s="248" t="s">
        <v>422</v>
      </c>
      <c r="BC79" s="229" t="s">
        <v>433</v>
      </c>
      <c r="BD79" s="249">
        <v>-7.8321678319999994E-3</v>
      </c>
      <c r="BE79" s="267">
        <f t="shared" si="140"/>
        <v>0</v>
      </c>
      <c r="BF79" s="268">
        <f t="shared" ref="BF79:BL79" si="149">IF(BF$6=$BB79,1,
IF(BE79&lt;&gt;0,BE79+1,0
))</f>
        <v>0</v>
      </c>
      <c r="BG79" s="268">
        <f t="shared" si="149"/>
        <v>0</v>
      </c>
      <c r="BH79" s="268">
        <f t="shared" si="149"/>
        <v>1</v>
      </c>
      <c r="BI79" s="268">
        <f t="shared" si="149"/>
        <v>2</v>
      </c>
      <c r="BJ79" s="268">
        <f t="shared" si="149"/>
        <v>3</v>
      </c>
      <c r="BK79" s="268">
        <f t="shared" si="149"/>
        <v>4</v>
      </c>
      <c r="BL79" s="269">
        <f t="shared" si="149"/>
        <v>5</v>
      </c>
      <c r="BM79" s="256">
        <f>IF($BC79=Lookup!$A$2,$BD79*ROUNDUP(BE79/10,0)+1,
IF($BC79=Lookup!$A$3,($BD79+1)^BD79,
IF($BC79=Lookup!$A$4,BE79*$BD79+1,"Error")))</f>
        <v>1</v>
      </c>
      <c r="BN79" s="229">
        <f>IF($BC79=Lookup!$A$2,$BD79*ROUNDUP(BF79/10,0)+1,
IF($BC79=Lookup!$A$3,($BD79+1)^BE79,
IF($BC79=Lookup!$A$4,BF79*$BD79+1,"Error")))</f>
        <v>1</v>
      </c>
      <c r="BO79" s="229">
        <f>IF($BC79=Lookup!$A$2,$BD79*ROUNDUP(BG79/10,0)+1,
IF($BC79=Lookup!$A$3,($BD79+1)^BF79,
IF($BC79=Lookup!$A$4,BG79*$BD79+1,"Error")))</f>
        <v>1</v>
      </c>
      <c r="BP79" s="229">
        <f>IF($BC79=Lookup!$A$2,$BD79*ROUNDUP(BH79/10,0)+1,
IF($BC79=Lookup!$A$3,($BD79+1)^BG79,
IF($BC79=Lookup!$A$4,BH79*$BD79+1,"Error")))</f>
        <v>0.99216783216799997</v>
      </c>
      <c r="BQ79" s="229">
        <f>IF($BC79=Lookup!$A$2,$BD79*ROUNDUP(BI79/10,0)+1,
IF($BC79=Lookup!$A$3,($BD79+1)^BH79,
IF($BC79=Lookup!$A$4,BI79*$BD79+1,"Error")))</f>
        <v>0.99216783216799997</v>
      </c>
      <c r="BR79" s="229">
        <f>IF($BC79=Lookup!$A$2,$BD79*ROUNDUP(BJ79/10,0)+1,
IF($BC79=Lookup!$A$3,($BD79+1)^BI79,
IF($BC79=Lookup!$A$4,BJ79*$BD79+1,"Error")))</f>
        <v>0.99216783216799997</v>
      </c>
      <c r="BS79" s="229">
        <f>IF($BC79=Lookup!$A$2,$BD79*ROUNDUP(BK79/10,0)+1,
IF($BC79=Lookup!$A$3,($BD79+1)^BJ79,
IF($BC79=Lookup!$A$4,BK79*$BD79+1,"Error")))</f>
        <v>0.99216783216799997</v>
      </c>
      <c r="BT79" s="249">
        <f>IF($BC79=Lookup!$A$2,$BD79*ROUNDUP(BL79/10,0)+1,
IF($BC79=Lookup!$A$3,($BD79+1)^BK79,
IF($BC79=Lookup!$A$4,BL79*$BD79+1,"Error")))</f>
        <v>0.99216783216799997</v>
      </c>
      <c r="BU79" s="320"/>
      <c r="BV79" s="321"/>
      <c r="BW79" s="321"/>
      <c r="BX79" s="321"/>
      <c r="BY79" s="321"/>
      <c r="BZ79" s="321"/>
      <c r="CA79" s="321"/>
      <c r="CB79" s="277"/>
      <c r="CC79" s="382" t="s">
        <v>293</v>
      </c>
      <c r="CD79" s="383">
        <f>HLOOKUP($CC79,$AK$6:$AM$132,ROWS(CC$6:CC79),0)</f>
        <v>0</v>
      </c>
      <c r="CE79" s="234">
        <f t="shared" si="142"/>
        <v>0</v>
      </c>
      <c r="CF79" s="96">
        <f t="shared" si="142"/>
        <v>0</v>
      </c>
      <c r="CG79" s="96">
        <f t="shared" si="142"/>
        <v>0</v>
      </c>
      <c r="CH79" s="96">
        <f t="shared" si="142"/>
        <v>0</v>
      </c>
      <c r="CI79" s="96">
        <f t="shared" si="84"/>
        <v>0</v>
      </c>
      <c r="CJ79" s="96">
        <f t="shared" si="84"/>
        <v>0</v>
      </c>
      <c r="CK79" s="96">
        <f t="shared" si="84"/>
        <v>0</v>
      </c>
      <c r="CL79" s="286">
        <f t="shared" si="84"/>
        <v>0</v>
      </c>
      <c r="CM79" s="305" t="s">
        <v>293</v>
      </c>
      <c r="CN79" s="315">
        <v>0.05</v>
      </c>
      <c r="CO79" s="306"/>
      <c r="CP79" s="307" t="str">
        <f>IF($CO79&lt;&gt;"",$CO79,HLOOKUP($CM79,$AY$6:$BA$132,ROWS(CO$6:CO79),0))</f>
        <v/>
      </c>
      <c r="CQ79" s="784" t="str">
        <f t="shared" si="138"/>
        <v/>
      </c>
      <c r="CR79" s="784" t="str">
        <f t="shared" si="138"/>
        <v/>
      </c>
      <c r="CS79" s="97" t="str">
        <f t="shared" si="138"/>
        <v/>
      </c>
      <c r="CT79" s="97" t="str">
        <f t="shared" si="138"/>
        <v/>
      </c>
      <c r="CU79" s="97" t="str">
        <f t="shared" si="138"/>
        <v/>
      </c>
      <c r="CV79" s="97" t="str">
        <f t="shared" si="138"/>
        <v/>
      </c>
      <c r="CW79" s="97" t="str">
        <f t="shared" si="138"/>
        <v/>
      </c>
      <c r="CX79" s="98" t="str">
        <f t="shared" si="62"/>
        <v/>
      </c>
      <c r="CY79" s="392"/>
    </row>
    <row r="80" spans="1:103" x14ac:dyDescent="0.25">
      <c r="A80" s="81" t="s">
        <v>138</v>
      </c>
      <c r="B80" s="82" t="s">
        <v>163</v>
      </c>
      <c r="C80" s="83" t="s">
        <v>370</v>
      </c>
      <c r="D80" s="84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85">
        <v>0</v>
      </c>
      <c r="L80" s="85">
        <v>0</v>
      </c>
      <c r="M80" s="654">
        <f>'2022-23 Input'!G80</f>
        <v>0</v>
      </c>
      <c r="N80" s="1065">
        <v>0</v>
      </c>
      <c r="O80" s="560">
        <f t="shared" si="139"/>
        <v>0</v>
      </c>
      <c r="P80" s="561">
        <f t="shared" si="113"/>
        <v>0</v>
      </c>
      <c r="Q80" s="561">
        <f t="shared" si="114"/>
        <v>0</v>
      </c>
      <c r="R80" s="561">
        <f t="shared" si="115"/>
        <v>0</v>
      </c>
      <c r="S80" s="561">
        <f t="shared" si="116"/>
        <v>0</v>
      </c>
      <c r="T80" s="561">
        <f t="shared" si="117"/>
        <v>0</v>
      </c>
      <c r="U80" s="561">
        <f t="shared" si="118"/>
        <v>0</v>
      </c>
      <c r="V80" s="561">
        <f t="shared" si="119"/>
        <v>0</v>
      </c>
      <c r="W80" s="675">
        <f t="shared" si="120"/>
        <v>0</v>
      </c>
      <c r="X80" s="675">
        <f t="shared" si="121"/>
        <v>0</v>
      </c>
      <c r="Y80" s="675">
        <f t="shared" si="121"/>
        <v>0</v>
      </c>
      <c r="Z80" s="86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87">
        <v>0</v>
      </c>
      <c r="AI80" s="1094">
        <f>'2022-23 Input'!N80</f>
        <v>0</v>
      </c>
      <c r="AJ80" s="665">
        <v>0</v>
      </c>
      <c r="AK80" s="88">
        <f t="shared" si="122"/>
        <v>0</v>
      </c>
      <c r="AL80" s="89">
        <f t="shared" si="123"/>
        <v>0</v>
      </c>
      <c r="AM80" s="90">
        <f t="shared" si="124"/>
        <v>0</v>
      </c>
      <c r="AN80" s="91" t="str">
        <f t="shared" si="125"/>
        <v/>
      </c>
      <c r="AO80" s="92" t="str">
        <f t="shared" si="126"/>
        <v/>
      </c>
      <c r="AP80" s="92" t="str">
        <f t="shared" si="127"/>
        <v/>
      </c>
      <c r="AQ80" s="92" t="str">
        <f t="shared" si="128"/>
        <v/>
      </c>
      <c r="AR80" s="92" t="str">
        <f t="shared" si="129"/>
        <v/>
      </c>
      <c r="AS80" s="92" t="str">
        <f t="shared" si="130"/>
        <v/>
      </c>
      <c r="AT80" s="92" t="str">
        <f t="shared" si="131"/>
        <v/>
      </c>
      <c r="AU80" s="92" t="str">
        <f t="shared" si="132"/>
        <v/>
      </c>
      <c r="AV80" s="92" t="str">
        <f t="shared" si="133"/>
        <v/>
      </c>
      <c r="AW80" s="92" t="str">
        <f t="shared" si="133"/>
        <v/>
      </c>
      <c r="AX80" s="92" t="str">
        <f t="shared" si="133"/>
        <v/>
      </c>
      <c r="AY80" s="93" t="str">
        <f t="shared" si="134"/>
        <v/>
      </c>
      <c r="AZ80" s="94" t="str">
        <f t="shared" si="135"/>
        <v/>
      </c>
      <c r="BA80" s="95" t="str">
        <f t="shared" si="136"/>
        <v/>
      </c>
      <c r="BB80" s="248" t="s">
        <v>422</v>
      </c>
      <c r="BC80" s="229" t="s">
        <v>433</v>
      </c>
      <c r="BD80" s="249">
        <v>-7.8321678319999994E-3</v>
      </c>
      <c r="BE80" s="267">
        <f t="shared" si="140"/>
        <v>0</v>
      </c>
      <c r="BF80" s="268">
        <f t="shared" ref="BF80:BL80" si="150">IF(BF$6=$BB80,1,
IF(BE80&lt;&gt;0,BE80+1,0
))</f>
        <v>0</v>
      </c>
      <c r="BG80" s="268">
        <f t="shared" si="150"/>
        <v>0</v>
      </c>
      <c r="BH80" s="268">
        <f t="shared" si="150"/>
        <v>1</v>
      </c>
      <c r="BI80" s="268">
        <f t="shared" si="150"/>
        <v>2</v>
      </c>
      <c r="BJ80" s="268">
        <f t="shared" si="150"/>
        <v>3</v>
      </c>
      <c r="BK80" s="268">
        <f t="shared" si="150"/>
        <v>4</v>
      </c>
      <c r="BL80" s="269">
        <f t="shared" si="150"/>
        <v>5</v>
      </c>
      <c r="BM80" s="256">
        <f>IF($BC80=Lookup!$A$2,$BD80*ROUNDUP(BE80/10,0)+1,
IF($BC80=Lookup!$A$3,($BD80+1)^BD80,
IF($BC80=Lookup!$A$4,BE80*$BD80+1,"Error")))</f>
        <v>1</v>
      </c>
      <c r="BN80" s="229">
        <f>IF($BC80=Lookup!$A$2,$BD80*ROUNDUP(BF80/10,0)+1,
IF($BC80=Lookup!$A$3,($BD80+1)^BE80,
IF($BC80=Lookup!$A$4,BF80*$BD80+1,"Error")))</f>
        <v>1</v>
      </c>
      <c r="BO80" s="229">
        <f>IF($BC80=Lookup!$A$2,$BD80*ROUNDUP(BG80/10,0)+1,
IF($BC80=Lookup!$A$3,($BD80+1)^BF80,
IF($BC80=Lookup!$A$4,BG80*$BD80+1,"Error")))</f>
        <v>1</v>
      </c>
      <c r="BP80" s="229">
        <f>IF($BC80=Lookup!$A$2,$BD80*ROUNDUP(BH80/10,0)+1,
IF($BC80=Lookup!$A$3,($BD80+1)^BG80,
IF($BC80=Lookup!$A$4,BH80*$BD80+1,"Error")))</f>
        <v>0.99216783216799997</v>
      </c>
      <c r="BQ80" s="229">
        <f>IF($BC80=Lookup!$A$2,$BD80*ROUNDUP(BI80/10,0)+1,
IF($BC80=Lookup!$A$3,($BD80+1)^BH80,
IF($BC80=Lookup!$A$4,BI80*$BD80+1,"Error")))</f>
        <v>0.99216783216799997</v>
      </c>
      <c r="BR80" s="229">
        <f>IF($BC80=Lookup!$A$2,$BD80*ROUNDUP(BJ80/10,0)+1,
IF($BC80=Lookup!$A$3,($BD80+1)^BI80,
IF($BC80=Lookup!$A$4,BJ80*$BD80+1,"Error")))</f>
        <v>0.99216783216799997</v>
      </c>
      <c r="BS80" s="229">
        <f>IF($BC80=Lookup!$A$2,$BD80*ROUNDUP(BK80/10,0)+1,
IF($BC80=Lookup!$A$3,($BD80+1)^BJ80,
IF($BC80=Lookup!$A$4,BK80*$BD80+1,"Error")))</f>
        <v>0.99216783216799997</v>
      </c>
      <c r="BT80" s="249">
        <f>IF($BC80=Lookup!$A$2,$BD80*ROUNDUP(BL80/10,0)+1,
IF($BC80=Lookup!$A$3,($BD80+1)^BK80,
IF($BC80=Lookup!$A$4,BL80*$BD80+1,"Error")))</f>
        <v>0.99216783216799997</v>
      </c>
      <c r="BU80" s="320"/>
      <c r="BV80" s="321"/>
      <c r="BW80" s="321"/>
      <c r="BX80" s="321"/>
      <c r="BY80" s="321"/>
      <c r="BZ80" s="321"/>
      <c r="CA80" s="321"/>
      <c r="CB80" s="277"/>
      <c r="CC80" s="382" t="s">
        <v>293</v>
      </c>
      <c r="CD80" s="383">
        <f>HLOOKUP($CC80,$AK$6:$AM$132,ROWS(CC$6:CC80),0)</f>
        <v>0</v>
      </c>
      <c r="CE80" s="234">
        <f t="shared" si="142"/>
        <v>0</v>
      </c>
      <c r="CF80" s="96">
        <f t="shared" si="142"/>
        <v>0</v>
      </c>
      <c r="CG80" s="96">
        <f t="shared" si="142"/>
        <v>0</v>
      </c>
      <c r="CH80" s="96">
        <f t="shared" si="142"/>
        <v>0</v>
      </c>
      <c r="CI80" s="96">
        <f t="shared" si="84"/>
        <v>0</v>
      </c>
      <c r="CJ80" s="96">
        <f t="shared" si="84"/>
        <v>0</v>
      </c>
      <c r="CK80" s="96">
        <f t="shared" si="84"/>
        <v>0</v>
      </c>
      <c r="CL80" s="286">
        <f t="shared" si="84"/>
        <v>0</v>
      </c>
      <c r="CM80" s="305" t="s">
        <v>293</v>
      </c>
      <c r="CN80" s="315">
        <v>0.05</v>
      </c>
      <c r="CO80" s="306"/>
      <c r="CP80" s="307" t="str">
        <f>IF($CO80&lt;&gt;"",$CO80,HLOOKUP($CM80,$AY$6:$BA$132,ROWS(CO$6:CO80),0))</f>
        <v/>
      </c>
      <c r="CQ80" s="784" t="str">
        <f t="shared" si="138"/>
        <v/>
      </c>
      <c r="CR80" s="784" t="str">
        <f t="shared" si="138"/>
        <v/>
      </c>
      <c r="CS80" s="97" t="str">
        <f t="shared" si="138"/>
        <v/>
      </c>
      <c r="CT80" s="97" t="str">
        <f t="shared" si="138"/>
        <v/>
      </c>
      <c r="CU80" s="97" t="str">
        <f t="shared" si="138"/>
        <v/>
      </c>
      <c r="CV80" s="97" t="str">
        <f t="shared" si="138"/>
        <v/>
      </c>
      <c r="CW80" s="97" t="str">
        <f t="shared" si="138"/>
        <v/>
      </c>
      <c r="CX80" s="98" t="str">
        <f t="shared" si="62"/>
        <v/>
      </c>
      <c r="CY80" s="392"/>
    </row>
    <row r="81" spans="1:103" x14ac:dyDescent="0.25">
      <c r="A81" s="81" t="s">
        <v>138</v>
      </c>
      <c r="B81" s="82" t="s">
        <v>165</v>
      </c>
      <c r="C81" s="83" t="s">
        <v>371</v>
      </c>
      <c r="D81" s="84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85">
        <v>0</v>
      </c>
      <c r="L81" s="85">
        <v>0</v>
      </c>
      <c r="M81" s="654">
        <f>'2022-23 Input'!G81</f>
        <v>0</v>
      </c>
      <c r="N81" s="1065">
        <v>0</v>
      </c>
      <c r="O81" s="560">
        <f t="shared" si="139"/>
        <v>0</v>
      </c>
      <c r="P81" s="561">
        <f t="shared" si="113"/>
        <v>0</v>
      </c>
      <c r="Q81" s="561">
        <f t="shared" si="114"/>
        <v>0</v>
      </c>
      <c r="R81" s="561">
        <f t="shared" si="115"/>
        <v>0</v>
      </c>
      <c r="S81" s="561">
        <f t="shared" si="116"/>
        <v>0</v>
      </c>
      <c r="T81" s="561">
        <f t="shared" si="117"/>
        <v>0</v>
      </c>
      <c r="U81" s="561">
        <f t="shared" si="118"/>
        <v>0</v>
      </c>
      <c r="V81" s="561">
        <f t="shared" si="119"/>
        <v>0</v>
      </c>
      <c r="W81" s="675">
        <f t="shared" si="120"/>
        <v>0</v>
      </c>
      <c r="X81" s="675">
        <f t="shared" si="121"/>
        <v>0</v>
      </c>
      <c r="Y81" s="675">
        <f t="shared" si="121"/>
        <v>0</v>
      </c>
      <c r="Z81" s="86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87">
        <v>0</v>
      </c>
      <c r="AI81" s="1094">
        <f>'2022-23 Input'!N81</f>
        <v>0</v>
      </c>
      <c r="AJ81" s="665">
        <v>0</v>
      </c>
      <c r="AK81" s="88">
        <f t="shared" si="122"/>
        <v>0</v>
      </c>
      <c r="AL81" s="89">
        <f t="shared" si="123"/>
        <v>0</v>
      </c>
      <c r="AM81" s="90">
        <f t="shared" si="124"/>
        <v>0</v>
      </c>
      <c r="AN81" s="91" t="str">
        <f t="shared" si="125"/>
        <v/>
      </c>
      <c r="AO81" s="92" t="str">
        <f t="shared" si="126"/>
        <v/>
      </c>
      <c r="AP81" s="92" t="str">
        <f t="shared" si="127"/>
        <v/>
      </c>
      <c r="AQ81" s="92" t="str">
        <f t="shared" si="128"/>
        <v/>
      </c>
      <c r="AR81" s="92" t="str">
        <f t="shared" si="129"/>
        <v/>
      </c>
      <c r="AS81" s="92" t="str">
        <f t="shared" si="130"/>
        <v/>
      </c>
      <c r="AT81" s="92" t="str">
        <f t="shared" si="131"/>
        <v/>
      </c>
      <c r="AU81" s="92" t="str">
        <f t="shared" si="132"/>
        <v/>
      </c>
      <c r="AV81" s="92" t="str">
        <f t="shared" si="133"/>
        <v/>
      </c>
      <c r="AW81" s="92" t="str">
        <f t="shared" si="133"/>
        <v/>
      </c>
      <c r="AX81" s="92" t="str">
        <f t="shared" si="133"/>
        <v/>
      </c>
      <c r="AY81" s="93" t="str">
        <f t="shared" si="134"/>
        <v/>
      </c>
      <c r="AZ81" s="94" t="str">
        <f t="shared" si="135"/>
        <v/>
      </c>
      <c r="BA81" s="95" t="str">
        <f t="shared" si="136"/>
        <v/>
      </c>
      <c r="BB81" s="248" t="s">
        <v>422</v>
      </c>
      <c r="BC81" s="229" t="s">
        <v>433</v>
      </c>
      <c r="BD81" s="249">
        <v>-7.8321678319999994E-3</v>
      </c>
      <c r="BE81" s="267">
        <f t="shared" si="140"/>
        <v>0</v>
      </c>
      <c r="BF81" s="268">
        <f t="shared" ref="BF81:BL81" si="151">IF(BF$6=$BB81,1,
IF(BE81&lt;&gt;0,BE81+1,0
))</f>
        <v>0</v>
      </c>
      <c r="BG81" s="268">
        <f t="shared" si="151"/>
        <v>0</v>
      </c>
      <c r="BH81" s="268">
        <f t="shared" si="151"/>
        <v>1</v>
      </c>
      <c r="BI81" s="268">
        <f t="shared" si="151"/>
        <v>2</v>
      </c>
      <c r="BJ81" s="268">
        <f t="shared" si="151"/>
        <v>3</v>
      </c>
      <c r="BK81" s="268">
        <f t="shared" si="151"/>
        <v>4</v>
      </c>
      <c r="BL81" s="269">
        <f t="shared" si="151"/>
        <v>5</v>
      </c>
      <c r="BM81" s="256">
        <f>IF($BC81=Lookup!$A$2,$BD81*ROUNDUP(BE81/10,0)+1,
IF($BC81=Lookup!$A$3,($BD81+1)^BD81,
IF($BC81=Lookup!$A$4,BE81*$BD81+1,"Error")))</f>
        <v>1</v>
      </c>
      <c r="BN81" s="229">
        <f>IF($BC81=Lookup!$A$2,$BD81*ROUNDUP(BF81/10,0)+1,
IF($BC81=Lookup!$A$3,($BD81+1)^BE81,
IF($BC81=Lookup!$A$4,BF81*$BD81+1,"Error")))</f>
        <v>1</v>
      </c>
      <c r="BO81" s="229">
        <f>IF($BC81=Lookup!$A$2,$BD81*ROUNDUP(BG81/10,0)+1,
IF($BC81=Lookup!$A$3,($BD81+1)^BF81,
IF($BC81=Lookup!$A$4,BG81*$BD81+1,"Error")))</f>
        <v>1</v>
      </c>
      <c r="BP81" s="229">
        <f>IF($BC81=Lookup!$A$2,$BD81*ROUNDUP(BH81/10,0)+1,
IF($BC81=Lookup!$A$3,($BD81+1)^BG81,
IF($BC81=Lookup!$A$4,BH81*$BD81+1,"Error")))</f>
        <v>0.99216783216799997</v>
      </c>
      <c r="BQ81" s="229">
        <f>IF($BC81=Lookup!$A$2,$BD81*ROUNDUP(BI81/10,0)+1,
IF($BC81=Lookup!$A$3,($BD81+1)^BH81,
IF($BC81=Lookup!$A$4,BI81*$BD81+1,"Error")))</f>
        <v>0.99216783216799997</v>
      </c>
      <c r="BR81" s="229">
        <f>IF($BC81=Lookup!$A$2,$BD81*ROUNDUP(BJ81/10,0)+1,
IF($BC81=Lookup!$A$3,($BD81+1)^BI81,
IF($BC81=Lookup!$A$4,BJ81*$BD81+1,"Error")))</f>
        <v>0.99216783216799997</v>
      </c>
      <c r="BS81" s="229">
        <f>IF($BC81=Lookup!$A$2,$BD81*ROUNDUP(BK81/10,0)+1,
IF($BC81=Lookup!$A$3,($BD81+1)^BJ81,
IF($BC81=Lookup!$A$4,BK81*$BD81+1,"Error")))</f>
        <v>0.99216783216799997</v>
      </c>
      <c r="BT81" s="249">
        <f>IF($BC81=Lookup!$A$2,$BD81*ROUNDUP(BL81/10,0)+1,
IF($BC81=Lookup!$A$3,($BD81+1)^BK81,
IF($BC81=Lookup!$A$4,BL81*$BD81+1,"Error")))</f>
        <v>0.99216783216799997</v>
      </c>
      <c r="BU81" s="320"/>
      <c r="BV81" s="321"/>
      <c r="BW81" s="321"/>
      <c r="BX81" s="321"/>
      <c r="BY81" s="321"/>
      <c r="BZ81" s="321"/>
      <c r="CA81" s="321"/>
      <c r="CB81" s="277"/>
      <c r="CC81" s="382" t="s">
        <v>293</v>
      </c>
      <c r="CD81" s="383">
        <f>HLOOKUP($CC81,$AK$6:$AM$132,ROWS(CC$6:CC81),0)</f>
        <v>0</v>
      </c>
      <c r="CE81" s="234">
        <f t="shared" si="142"/>
        <v>0</v>
      </c>
      <c r="CF81" s="96">
        <f t="shared" si="142"/>
        <v>0</v>
      </c>
      <c r="CG81" s="96">
        <f t="shared" si="142"/>
        <v>0</v>
      </c>
      <c r="CH81" s="96">
        <f t="shared" si="142"/>
        <v>0</v>
      </c>
      <c r="CI81" s="96">
        <f t="shared" si="84"/>
        <v>0</v>
      </c>
      <c r="CJ81" s="96">
        <f t="shared" si="84"/>
        <v>0</v>
      </c>
      <c r="CK81" s="96">
        <f t="shared" si="84"/>
        <v>0</v>
      </c>
      <c r="CL81" s="286">
        <f t="shared" si="84"/>
        <v>0</v>
      </c>
      <c r="CM81" s="305" t="s">
        <v>293</v>
      </c>
      <c r="CN81" s="315">
        <v>0.05</v>
      </c>
      <c r="CO81" s="306"/>
      <c r="CP81" s="307" t="str">
        <f>IF($CO81&lt;&gt;"",$CO81,HLOOKUP($CM81,$AY$6:$BA$132,ROWS(CO$6:CO81),0))</f>
        <v/>
      </c>
      <c r="CQ81" s="784" t="str">
        <f t="shared" si="138"/>
        <v/>
      </c>
      <c r="CR81" s="784" t="str">
        <f t="shared" si="138"/>
        <v/>
      </c>
      <c r="CS81" s="97" t="str">
        <f t="shared" si="138"/>
        <v/>
      </c>
      <c r="CT81" s="97" t="str">
        <f t="shared" si="138"/>
        <v/>
      </c>
      <c r="CU81" s="97" t="str">
        <f t="shared" si="138"/>
        <v/>
      </c>
      <c r="CV81" s="97" t="str">
        <f t="shared" si="138"/>
        <v/>
      </c>
      <c r="CW81" s="97" t="str">
        <f t="shared" si="138"/>
        <v/>
      </c>
      <c r="CX81" s="98" t="str">
        <f t="shared" si="62"/>
        <v/>
      </c>
      <c r="CY81" s="392"/>
    </row>
    <row r="82" spans="1:103" x14ac:dyDescent="0.25">
      <c r="A82" s="81" t="s">
        <v>138</v>
      </c>
      <c r="B82" s="82" t="s">
        <v>167</v>
      </c>
      <c r="C82" s="83" t="s">
        <v>372</v>
      </c>
      <c r="D82" s="84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85">
        <v>0</v>
      </c>
      <c r="L82" s="85">
        <v>0</v>
      </c>
      <c r="M82" s="654">
        <f>'2022-23 Input'!G82</f>
        <v>0</v>
      </c>
      <c r="N82" s="1065">
        <v>0</v>
      </c>
      <c r="O82" s="560">
        <f t="shared" si="139"/>
        <v>0</v>
      </c>
      <c r="P82" s="561">
        <f t="shared" si="113"/>
        <v>0</v>
      </c>
      <c r="Q82" s="561">
        <f t="shared" si="114"/>
        <v>0</v>
      </c>
      <c r="R82" s="561">
        <f t="shared" si="115"/>
        <v>0</v>
      </c>
      <c r="S82" s="561">
        <f t="shared" si="116"/>
        <v>0</v>
      </c>
      <c r="T82" s="561">
        <f t="shared" si="117"/>
        <v>0</v>
      </c>
      <c r="U82" s="561">
        <f t="shared" si="118"/>
        <v>0</v>
      </c>
      <c r="V82" s="561">
        <f t="shared" si="119"/>
        <v>0</v>
      </c>
      <c r="W82" s="675">
        <f t="shared" si="120"/>
        <v>0</v>
      </c>
      <c r="X82" s="675">
        <f t="shared" si="121"/>
        <v>0</v>
      </c>
      <c r="Y82" s="675">
        <f t="shared" si="121"/>
        <v>0</v>
      </c>
      <c r="Z82" s="86">
        <v>0</v>
      </c>
      <c r="AA82" s="87">
        <v>0</v>
      </c>
      <c r="AB82" s="87">
        <v>0</v>
      </c>
      <c r="AC82" s="87">
        <v>0</v>
      </c>
      <c r="AD82" s="87">
        <v>0</v>
      </c>
      <c r="AE82" s="87">
        <v>0</v>
      </c>
      <c r="AF82" s="87">
        <v>0</v>
      </c>
      <c r="AG82" s="87">
        <v>0</v>
      </c>
      <c r="AH82" s="87">
        <v>0</v>
      </c>
      <c r="AI82" s="1094">
        <f>'2022-23 Input'!N82</f>
        <v>0</v>
      </c>
      <c r="AJ82" s="665">
        <v>0</v>
      </c>
      <c r="AK82" s="88">
        <f t="shared" si="122"/>
        <v>0</v>
      </c>
      <c r="AL82" s="89">
        <f t="shared" si="123"/>
        <v>0</v>
      </c>
      <c r="AM82" s="90">
        <f t="shared" si="124"/>
        <v>0</v>
      </c>
      <c r="AN82" s="91" t="str">
        <f t="shared" si="125"/>
        <v/>
      </c>
      <c r="AO82" s="92" t="str">
        <f t="shared" si="126"/>
        <v/>
      </c>
      <c r="AP82" s="92" t="str">
        <f t="shared" si="127"/>
        <v/>
      </c>
      <c r="AQ82" s="92" t="str">
        <f t="shared" si="128"/>
        <v/>
      </c>
      <c r="AR82" s="92" t="str">
        <f t="shared" si="129"/>
        <v/>
      </c>
      <c r="AS82" s="92" t="str">
        <f t="shared" si="130"/>
        <v/>
      </c>
      <c r="AT82" s="92" t="str">
        <f t="shared" si="131"/>
        <v/>
      </c>
      <c r="AU82" s="92" t="str">
        <f t="shared" si="132"/>
        <v/>
      </c>
      <c r="AV82" s="92" t="str">
        <f t="shared" si="133"/>
        <v/>
      </c>
      <c r="AW82" s="92" t="str">
        <f t="shared" si="133"/>
        <v/>
      </c>
      <c r="AX82" s="92" t="str">
        <f t="shared" si="133"/>
        <v/>
      </c>
      <c r="AY82" s="93" t="str">
        <f t="shared" si="134"/>
        <v/>
      </c>
      <c r="AZ82" s="94" t="str">
        <f t="shared" si="135"/>
        <v/>
      </c>
      <c r="BA82" s="95" t="str">
        <f t="shared" si="136"/>
        <v/>
      </c>
      <c r="BB82" s="248" t="s">
        <v>422</v>
      </c>
      <c r="BC82" s="229" t="s">
        <v>433</v>
      </c>
      <c r="BD82" s="249">
        <v>-7.8321678319999994E-3</v>
      </c>
      <c r="BE82" s="267">
        <f t="shared" si="140"/>
        <v>0</v>
      </c>
      <c r="BF82" s="268">
        <f t="shared" ref="BF82:BL82" si="152">IF(BF$6=$BB82,1,
IF(BE82&lt;&gt;0,BE82+1,0
))</f>
        <v>0</v>
      </c>
      <c r="BG82" s="268">
        <f t="shared" si="152"/>
        <v>0</v>
      </c>
      <c r="BH82" s="268">
        <f t="shared" si="152"/>
        <v>1</v>
      </c>
      <c r="BI82" s="268">
        <f t="shared" si="152"/>
        <v>2</v>
      </c>
      <c r="BJ82" s="268">
        <f t="shared" si="152"/>
        <v>3</v>
      </c>
      <c r="BK82" s="268">
        <f t="shared" si="152"/>
        <v>4</v>
      </c>
      <c r="BL82" s="269">
        <f t="shared" si="152"/>
        <v>5</v>
      </c>
      <c r="BM82" s="256">
        <f>IF($BC82=Lookup!$A$2,$BD82*ROUNDUP(BE82/10,0)+1,
IF($BC82=Lookup!$A$3,($BD82+1)^BD82,
IF($BC82=Lookup!$A$4,BE82*$BD82+1,"Error")))</f>
        <v>1</v>
      </c>
      <c r="BN82" s="229">
        <f>IF($BC82=Lookup!$A$2,$BD82*ROUNDUP(BF82/10,0)+1,
IF($BC82=Lookup!$A$3,($BD82+1)^BE82,
IF($BC82=Lookup!$A$4,BF82*$BD82+1,"Error")))</f>
        <v>1</v>
      </c>
      <c r="BO82" s="229">
        <f>IF($BC82=Lookup!$A$2,$BD82*ROUNDUP(BG82/10,0)+1,
IF($BC82=Lookup!$A$3,($BD82+1)^BF82,
IF($BC82=Lookup!$A$4,BG82*$BD82+1,"Error")))</f>
        <v>1</v>
      </c>
      <c r="BP82" s="229">
        <f>IF($BC82=Lookup!$A$2,$BD82*ROUNDUP(BH82/10,0)+1,
IF($BC82=Lookup!$A$3,($BD82+1)^BG82,
IF($BC82=Lookup!$A$4,BH82*$BD82+1,"Error")))</f>
        <v>0.99216783216799997</v>
      </c>
      <c r="BQ82" s="229">
        <f>IF($BC82=Lookup!$A$2,$BD82*ROUNDUP(BI82/10,0)+1,
IF($BC82=Lookup!$A$3,($BD82+1)^BH82,
IF($BC82=Lookup!$A$4,BI82*$BD82+1,"Error")))</f>
        <v>0.99216783216799997</v>
      </c>
      <c r="BR82" s="229">
        <f>IF($BC82=Lookup!$A$2,$BD82*ROUNDUP(BJ82/10,0)+1,
IF($BC82=Lookup!$A$3,($BD82+1)^BI82,
IF($BC82=Lookup!$A$4,BJ82*$BD82+1,"Error")))</f>
        <v>0.99216783216799997</v>
      </c>
      <c r="BS82" s="229">
        <f>IF($BC82=Lookup!$A$2,$BD82*ROUNDUP(BK82/10,0)+1,
IF($BC82=Lookup!$A$3,($BD82+1)^BJ82,
IF($BC82=Lookup!$A$4,BK82*$BD82+1,"Error")))</f>
        <v>0.99216783216799997</v>
      </c>
      <c r="BT82" s="249">
        <f>IF($BC82=Lookup!$A$2,$BD82*ROUNDUP(BL82/10,0)+1,
IF($BC82=Lookup!$A$3,($BD82+1)^BK82,
IF($BC82=Lookup!$A$4,BL82*$BD82+1,"Error")))</f>
        <v>0.99216783216799997</v>
      </c>
      <c r="BU82" s="320"/>
      <c r="BV82" s="321"/>
      <c r="BW82" s="321"/>
      <c r="BX82" s="321"/>
      <c r="BY82" s="321"/>
      <c r="BZ82" s="321"/>
      <c r="CA82" s="321"/>
      <c r="CB82" s="277"/>
      <c r="CC82" s="382" t="s">
        <v>293</v>
      </c>
      <c r="CD82" s="383">
        <f>HLOOKUP($CC82,$AK$6:$AM$132,ROWS(CC$6:CC82),0)</f>
        <v>0</v>
      </c>
      <c r="CE82" s="234">
        <f t="shared" si="142"/>
        <v>0</v>
      </c>
      <c r="CF82" s="96">
        <f t="shared" si="142"/>
        <v>0</v>
      </c>
      <c r="CG82" s="96">
        <f t="shared" si="142"/>
        <v>0</v>
      </c>
      <c r="CH82" s="96">
        <f t="shared" si="142"/>
        <v>0</v>
      </c>
      <c r="CI82" s="96">
        <f t="shared" si="84"/>
        <v>0</v>
      </c>
      <c r="CJ82" s="96">
        <f t="shared" si="84"/>
        <v>0</v>
      </c>
      <c r="CK82" s="96">
        <f t="shared" si="84"/>
        <v>0</v>
      </c>
      <c r="CL82" s="286">
        <f t="shared" si="84"/>
        <v>0</v>
      </c>
      <c r="CM82" s="305" t="s">
        <v>293</v>
      </c>
      <c r="CN82" s="315">
        <v>0.05</v>
      </c>
      <c r="CO82" s="306"/>
      <c r="CP82" s="307" t="str">
        <f>IF($CO82&lt;&gt;"",$CO82,HLOOKUP($CM82,$AY$6:$BA$132,ROWS(CO$6:CO82),0))</f>
        <v/>
      </c>
      <c r="CQ82" s="784" t="str">
        <f t="shared" si="138"/>
        <v/>
      </c>
      <c r="CR82" s="784" t="str">
        <f t="shared" si="138"/>
        <v/>
      </c>
      <c r="CS82" s="97" t="str">
        <f t="shared" si="138"/>
        <v/>
      </c>
      <c r="CT82" s="97" t="str">
        <f t="shared" si="138"/>
        <v/>
      </c>
      <c r="CU82" s="97" t="str">
        <f t="shared" si="138"/>
        <v/>
      </c>
      <c r="CV82" s="97" t="str">
        <f t="shared" si="138"/>
        <v/>
      </c>
      <c r="CW82" s="97" t="str">
        <f t="shared" si="138"/>
        <v/>
      </c>
      <c r="CX82" s="98" t="str">
        <f t="shared" si="62"/>
        <v/>
      </c>
      <c r="CY82" s="392"/>
    </row>
    <row r="83" spans="1:103" x14ac:dyDescent="0.25">
      <c r="A83" s="81" t="s">
        <v>138</v>
      </c>
      <c r="B83" s="82" t="s">
        <v>169</v>
      </c>
      <c r="C83" s="83" t="s">
        <v>373</v>
      </c>
      <c r="D83" s="84">
        <v>0</v>
      </c>
      <c r="E83" s="85">
        <v>0</v>
      </c>
      <c r="F83" s="85">
        <v>118004.10838271493</v>
      </c>
      <c r="G83" s="85">
        <v>63133.876765104644</v>
      </c>
      <c r="H83" s="85">
        <v>66483.408136118247</v>
      </c>
      <c r="I83" s="85">
        <v>-21586.75</v>
      </c>
      <c r="J83" s="85">
        <v>197091.6807952309</v>
      </c>
      <c r="K83" s="85">
        <v>0</v>
      </c>
      <c r="L83" s="85">
        <v>0</v>
      </c>
      <c r="M83" s="654">
        <f>'2022-23 Input'!G83</f>
        <v>38861.019999999997</v>
      </c>
      <c r="N83" s="1065">
        <v>0</v>
      </c>
      <c r="O83" s="560">
        <f t="shared" si="139"/>
        <v>0</v>
      </c>
      <c r="P83" s="561">
        <f t="shared" si="113"/>
        <v>0</v>
      </c>
      <c r="Q83" s="561">
        <f t="shared" si="114"/>
        <v>154822.06845441755</v>
      </c>
      <c r="R83" s="561">
        <f t="shared" si="115"/>
        <v>81260.670264811997</v>
      </c>
      <c r="S83" s="561">
        <f t="shared" si="116"/>
        <v>83830.179091574275</v>
      </c>
      <c r="T83" s="561">
        <f t="shared" si="117"/>
        <v>-26792.357945428481</v>
      </c>
      <c r="U83" s="561">
        <f t="shared" si="118"/>
        <v>245475.31816865326</v>
      </c>
      <c r="V83" s="561">
        <f t="shared" si="119"/>
        <v>0</v>
      </c>
      <c r="W83" s="675">
        <f t="shared" si="120"/>
        <v>0</v>
      </c>
      <c r="X83" s="675">
        <f t="shared" si="121"/>
        <v>41327.176318083424</v>
      </c>
      <c r="Y83" s="675">
        <f t="shared" si="121"/>
        <v>0</v>
      </c>
      <c r="Z83" s="86">
        <v>0</v>
      </c>
      <c r="AA83" s="87">
        <v>0</v>
      </c>
      <c r="AB83" s="87">
        <v>2</v>
      </c>
      <c r="AC83" s="87">
        <v>1</v>
      </c>
      <c r="AD83" s="87">
        <v>1</v>
      </c>
      <c r="AE83" s="87">
        <v>0</v>
      </c>
      <c r="AF83" s="87">
        <v>0</v>
      </c>
      <c r="AG83" s="87">
        <v>1</v>
      </c>
      <c r="AH83" s="87">
        <v>0</v>
      </c>
      <c r="AI83" s="1094">
        <f>'2022-23 Input'!N83</f>
        <v>1</v>
      </c>
      <c r="AJ83" s="665">
        <v>0</v>
      </c>
      <c r="AK83" s="88">
        <f t="shared" si="122"/>
        <v>0.4</v>
      </c>
      <c r="AL83" s="89">
        <f t="shared" si="123"/>
        <v>0.66666666666666663</v>
      </c>
      <c r="AM83" s="90">
        <f t="shared" si="124"/>
        <v>1</v>
      </c>
      <c r="AN83" s="91" t="str">
        <f t="shared" si="125"/>
        <v/>
      </c>
      <c r="AO83" s="92" t="str">
        <f t="shared" si="126"/>
        <v/>
      </c>
      <c r="AP83" s="92">
        <f t="shared" si="127"/>
        <v>59002.054191357463</v>
      </c>
      <c r="AQ83" s="92">
        <f t="shared" si="128"/>
        <v>63133.876765104644</v>
      </c>
      <c r="AR83" s="92">
        <f t="shared" si="129"/>
        <v>66483.408136118247</v>
      </c>
      <c r="AS83" s="92" t="str">
        <f t="shared" si="130"/>
        <v/>
      </c>
      <c r="AT83" s="92" t="str">
        <f t="shared" si="131"/>
        <v/>
      </c>
      <c r="AU83" s="92">
        <f t="shared" si="132"/>
        <v>0</v>
      </c>
      <c r="AV83" s="92" t="str">
        <f t="shared" si="133"/>
        <v/>
      </c>
      <c r="AW83" s="92">
        <f t="shared" si="133"/>
        <v>38861.019999999997</v>
      </c>
      <c r="AX83" s="92" t="str">
        <f t="shared" si="133"/>
        <v/>
      </c>
      <c r="AY83" s="93">
        <f t="shared" si="134"/>
        <v>107182.97539761545</v>
      </c>
      <c r="AZ83" s="94">
        <f t="shared" si="135"/>
        <v>19430.509999999998</v>
      </c>
      <c r="BA83" s="95">
        <f t="shared" si="136"/>
        <v>38861.019999999997</v>
      </c>
      <c r="BB83" s="248" t="s">
        <v>422</v>
      </c>
      <c r="BC83" s="229" t="s">
        <v>433</v>
      </c>
      <c r="BD83" s="249">
        <v>-7.8321678319999994E-3</v>
      </c>
      <c r="BE83" s="267">
        <f t="shared" si="140"/>
        <v>0</v>
      </c>
      <c r="BF83" s="268">
        <f t="shared" ref="BF83:BL83" si="153">IF(BF$6=$BB83,1,
IF(BE83&lt;&gt;0,BE83+1,0
))</f>
        <v>0</v>
      </c>
      <c r="BG83" s="268">
        <f t="shared" si="153"/>
        <v>0</v>
      </c>
      <c r="BH83" s="268">
        <f t="shared" si="153"/>
        <v>1</v>
      </c>
      <c r="BI83" s="268">
        <f t="shared" si="153"/>
        <v>2</v>
      </c>
      <c r="BJ83" s="268">
        <f t="shared" si="153"/>
        <v>3</v>
      </c>
      <c r="BK83" s="268">
        <f t="shared" si="153"/>
        <v>4</v>
      </c>
      <c r="BL83" s="269">
        <f t="shared" si="153"/>
        <v>5</v>
      </c>
      <c r="BM83" s="256">
        <f>IF($BC83=Lookup!$A$2,$BD83*ROUNDUP(BE83/10,0)+1,
IF($BC83=Lookup!$A$3,($BD83+1)^BD83,
IF($BC83=Lookup!$A$4,BE83*$BD83+1,"Error")))</f>
        <v>1</v>
      </c>
      <c r="BN83" s="229">
        <f>IF($BC83=Lookup!$A$2,$BD83*ROUNDUP(BF83/10,0)+1,
IF($BC83=Lookup!$A$3,($BD83+1)^BE83,
IF($BC83=Lookup!$A$4,BF83*$BD83+1,"Error")))</f>
        <v>1</v>
      </c>
      <c r="BO83" s="229">
        <f>IF($BC83=Lookup!$A$2,$BD83*ROUNDUP(BG83/10,0)+1,
IF($BC83=Lookup!$A$3,($BD83+1)^BF83,
IF($BC83=Lookup!$A$4,BG83*$BD83+1,"Error")))</f>
        <v>1</v>
      </c>
      <c r="BP83" s="229">
        <f>IF($BC83=Lookup!$A$2,$BD83*ROUNDUP(BH83/10,0)+1,
IF($BC83=Lookup!$A$3,($BD83+1)^BG83,
IF($BC83=Lookup!$A$4,BH83*$BD83+1,"Error")))</f>
        <v>0.99216783216799997</v>
      </c>
      <c r="BQ83" s="229">
        <f>IF($BC83=Lookup!$A$2,$BD83*ROUNDUP(BI83/10,0)+1,
IF($BC83=Lookup!$A$3,($BD83+1)^BH83,
IF($BC83=Lookup!$A$4,BI83*$BD83+1,"Error")))</f>
        <v>0.99216783216799997</v>
      </c>
      <c r="BR83" s="229">
        <f>IF($BC83=Lookup!$A$2,$BD83*ROUNDUP(BJ83/10,0)+1,
IF($BC83=Lookup!$A$3,($BD83+1)^BI83,
IF($BC83=Lookup!$A$4,BJ83*$BD83+1,"Error")))</f>
        <v>0.99216783216799997</v>
      </c>
      <c r="BS83" s="229">
        <f>IF($BC83=Lookup!$A$2,$BD83*ROUNDUP(BK83/10,0)+1,
IF($BC83=Lookup!$A$3,($BD83+1)^BJ83,
IF($BC83=Lookup!$A$4,BK83*$BD83+1,"Error")))</f>
        <v>0.99216783216799997</v>
      </c>
      <c r="BT83" s="249">
        <f>IF($BC83=Lookup!$A$2,$BD83*ROUNDUP(BL83/10,0)+1,
IF($BC83=Lookup!$A$3,($BD83+1)^BK83,
IF($BC83=Lookup!$A$4,BL83*$BD83+1,"Error")))</f>
        <v>0.99216783216799997</v>
      </c>
      <c r="BU83" s="320"/>
      <c r="BV83" s="321"/>
      <c r="BW83" s="321"/>
      <c r="BX83" s="321"/>
      <c r="BY83" s="321"/>
      <c r="BZ83" s="321"/>
      <c r="CA83" s="321"/>
      <c r="CB83" s="277"/>
      <c r="CC83" s="382" t="s">
        <v>293</v>
      </c>
      <c r="CD83" s="383">
        <f>HLOOKUP($CC83,$AK$6:$AM$132,ROWS(CC$6:CC83),0)</f>
        <v>0.66666666666666663</v>
      </c>
      <c r="CE83" s="234">
        <f t="shared" si="142"/>
        <v>0.66666666666666663</v>
      </c>
      <c r="CF83" s="96">
        <f t="shared" si="142"/>
        <v>0.66666666666666663</v>
      </c>
      <c r="CG83" s="96">
        <f t="shared" si="142"/>
        <v>0.66666666666666663</v>
      </c>
      <c r="CH83" s="96">
        <f t="shared" si="142"/>
        <v>0.66144522144533324</v>
      </c>
      <c r="CI83" s="96">
        <f t="shared" si="84"/>
        <v>0.66144522144533324</v>
      </c>
      <c r="CJ83" s="96">
        <f t="shared" si="84"/>
        <v>0.66144522144533324</v>
      </c>
      <c r="CK83" s="96">
        <f t="shared" si="84"/>
        <v>0.66144522144533324</v>
      </c>
      <c r="CL83" s="286">
        <f t="shared" si="84"/>
        <v>0.66144522144533324</v>
      </c>
      <c r="CM83" s="305" t="s">
        <v>293</v>
      </c>
      <c r="CN83" s="315">
        <v>0.05</v>
      </c>
      <c r="CO83" s="306"/>
      <c r="CP83" s="307">
        <f>IF($CO83&lt;&gt;"",$CO83,HLOOKUP($CM83,$AY$6:$BA$132,ROWS(CO$6:CO83),0))</f>
        <v>19430.509999999998</v>
      </c>
      <c r="CQ83" s="784">
        <f t="shared" si="138"/>
        <v>12953.673333333332</v>
      </c>
      <c r="CR83" s="784">
        <f t="shared" si="138"/>
        <v>12953.673333333332</v>
      </c>
      <c r="CS83" s="97">
        <f t="shared" si="138"/>
        <v>12953.673333333332</v>
      </c>
      <c r="CT83" s="97">
        <f t="shared" si="138"/>
        <v>12852.217989745761</v>
      </c>
      <c r="CU83" s="97">
        <f t="shared" si="138"/>
        <v>12852.217989745761</v>
      </c>
      <c r="CV83" s="97">
        <f t="shared" si="138"/>
        <v>12852.217989745761</v>
      </c>
      <c r="CW83" s="97">
        <f t="shared" si="138"/>
        <v>12852.217989745761</v>
      </c>
      <c r="CX83" s="98">
        <f t="shared" si="62"/>
        <v>12852.217989745761</v>
      </c>
      <c r="CY83" s="392"/>
    </row>
    <row r="84" spans="1:103" x14ac:dyDescent="0.25">
      <c r="A84" s="81" t="s">
        <v>138</v>
      </c>
      <c r="B84" s="82" t="s">
        <v>171</v>
      </c>
      <c r="C84" s="83" t="s">
        <v>374</v>
      </c>
      <c r="D84" s="84">
        <v>0</v>
      </c>
      <c r="E84" s="85">
        <v>113823.75386127747</v>
      </c>
      <c r="F84" s="85">
        <v>71944.751237833611</v>
      </c>
      <c r="G84" s="85">
        <v>85253.803644495361</v>
      </c>
      <c r="H84" s="85">
        <v>202143.28965037951</v>
      </c>
      <c r="I84" s="85">
        <v>145732.09403785903</v>
      </c>
      <c r="J84" s="85">
        <v>83064.477985318037</v>
      </c>
      <c r="K84" s="85">
        <v>0</v>
      </c>
      <c r="L84" s="85">
        <v>0</v>
      </c>
      <c r="M84" s="654">
        <f>'2022-23 Input'!G84</f>
        <v>98552.394061430037</v>
      </c>
      <c r="N84" s="1065">
        <v>0</v>
      </c>
      <c r="O84" s="560">
        <f t="shared" si="139"/>
        <v>0</v>
      </c>
      <c r="P84" s="561">
        <f t="shared" si="113"/>
        <v>150865.52312006464</v>
      </c>
      <c r="Q84" s="561">
        <f t="shared" si="114"/>
        <v>94391.927143372974</v>
      </c>
      <c r="R84" s="561">
        <f t="shared" si="115"/>
        <v>109731.59865585013</v>
      </c>
      <c r="S84" s="561">
        <f t="shared" si="116"/>
        <v>254886.27386334669</v>
      </c>
      <c r="T84" s="561">
        <f t="shared" si="117"/>
        <v>180875.13996313309</v>
      </c>
      <c r="U84" s="561">
        <f t="shared" si="118"/>
        <v>103455.8083816008</v>
      </c>
      <c r="V84" s="561">
        <f t="shared" si="119"/>
        <v>0</v>
      </c>
      <c r="W84" s="675">
        <f t="shared" si="120"/>
        <v>0</v>
      </c>
      <c r="X84" s="675">
        <f t="shared" si="121"/>
        <v>104806.62025716148</v>
      </c>
      <c r="Y84" s="675">
        <f t="shared" si="121"/>
        <v>0</v>
      </c>
      <c r="Z84" s="86">
        <v>0</v>
      </c>
      <c r="AA84" s="87">
        <v>2</v>
      </c>
      <c r="AB84" s="87">
        <v>1</v>
      </c>
      <c r="AC84" s="87">
        <v>1</v>
      </c>
      <c r="AD84" s="87">
        <v>2</v>
      </c>
      <c r="AE84" s="87">
        <v>3</v>
      </c>
      <c r="AF84" s="87">
        <v>1</v>
      </c>
      <c r="AG84" s="87">
        <v>0</v>
      </c>
      <c r="AH84" s="87">
        <v>0</v>
      </c>
      <c r="AI84" s="1094">
        <f>'2022-23 Input'!N84</f>
        <v>2</v>
      </c>
      <c r="AJ84" s="665">
        <v>0</v>
      </c>
      <c r="AK84" s="88">
        <f t="shared" si="122"/>
        <v>1.2</v>
      </c>
      <c r="AL84" s="89">
        <f t="shared" si="123"/>
        <v>0.66666666666666663</v>
      </c>
      <c r="AM84" s="90">
        <f t="shared" si="124"/>
        <v>2</v>
      </c>
      <c r="AN84" s="91" t="str">
        <f t="shared" si="125"/>
        <v/>
      </c>
      <c r="AO84" s="92">
        <f t="shared" si="126"/>
        <v>56911.876930638733</v>
      </c>
      <c r="AP84" s="92">
        <f t="shared" si="127"/>
        <v>71944.751237833611</v>
      </c>
      <c r="AQ84" s="92">
        <f t="shared" si="128"/>
        <v>85253.803644495361</v>
      </c>
      <c r="AR84" s="92">
        <f t="shared" si="129"/>
        <v>101071.64482518975</v>
      </c>
      <c r="AS84" s="92">
        <f t="shared" si="130"/>
        <v>48577.364679286344</v>
      </c>
      <c r="AT84" s="92">
        <f t="shared" si="131"/>
        <v>83064.477985318037</v>
      </c>
      <c r="AU84" s="92" t="str">
        <f t="shared" si="132"/>
        <v/>
      </c>
      <c r="AV84" s="92" t="str">
        <f t="shared" si="133"/>
        <v/>
      </c>
      <c r="AW84" s="92">
        <f t="shared" si="133"/>
        <v>49276.197030715019</v>
      </c>
      <c r="AX84" s="92" t="str">
        <f t="shared" si="133"/>
        <v/>
      </c>
      <c r="AY84" s="93">
        <f t="shared" si="134"/>
        <v>54558.161014101177</v>
      </c>
      <c r="AZ84" s="94">
        <f t="shared" si="135"/>
        <v>49276.197030715019</v>
      </c>
      <c r="BA84" s="95">
        <f t="shared" si="136"/>
        <v>49276.197030715019</v>
      </c>
      <c r="BB84" s="248" t="s">
        <v>422</v>
      </c>
      <c r="BC84" s="229" t="s">
        <v>433</v>
      </c>
      <c r="BD84" s="249">
        <v>-7.8321678319999994E-3</v>
      </c>
      <c r="BE84" s="267">
        <f t="shared" si="140"/>
        <v>0</v>
      </c>
      <c r="BF84" s="268">
        <f t="shared" ref="BF84:BL84" si="154">IF(BF$6=$BB84,1,
IF(BE84&lt;&gt;0,BE84+1,0
))</f>
        <v>0</v>
      </c>
      <c r="BG84" s="268">
        <f t="shared" si="154"/>
        <v>0</v>
      </c>
      <c r="BH84" s="268">
        <f t="shared" si="154"/>
        <v>1</v>
      </c>
      <c r="BI84" s="268">
        <f t="shared" si="154"/>
        <v>2</v>
      </c>
      <c r="BJ84" s="268">
        <f t="shared" si="154"/>
        <v>3</v>
      </c>
      <c r="BK84" s="268">
        <f t="shared" si="154"/>
        <v>4</v>
      </c>
      <c r="BL84" s="269">
        <f t="shared" si="154"/>
        <v>5</v>
      </c>
      <c r="BM84" s="256">
        <f>IF($BC84=Lookup!$A$2,$BD84*ROUNDUP(BE84/10,0)+1,
IF($BC84=Lookup!$A$3,($BD84+1)^BD84,
IF($BC84=Lookup!$A$4,BE84*$BD84+1,"Error")))</f>
        <v>1</v>
      </c>
      <c r="BN84" s="229">
        <f>IF($BC84=Lookup!$A$2,$BD84*ROUNDUP(BF84/10,0)+1,
IF($BC84=Lookup!$A$3,($BD84+1)^BE84,
IF($BC84=Lookup!$A$4,BF84*$BD84+1,"Error")))</f>
        <v>1</v>
      </c>
      <c r="BO84" s="229">
        <f>IF($BC84=Lookup!$A$2,$BD84*ROUNDUP(BG84/10,0)+1,
IF($BC84=Lookup!$A$3,($BD84+1)^BF84,
IF($BC84=Lookup!$A$4,BG84*$BD84+1,"Error")))</f>
        <v>1</v>
      </c>
      <c r="BP84" s="229">
        <f>IF($BC84=Lookup!$A$2,$BD84*ROUNDUP(BH84/10,0)+1,
IF($BC84=Lookup!$A$3,($BD84+1)^BG84,
IF($BC84=Lookup!$A$4,BH84*$BD84+1,"Error")))</f>
        <v>0.99216783216799997</v>
      </c>
      <c r="BQ84" s="229">
        <f>IF($BC84=Lookup!$A$2,$BD84*ROUNDUP(BI84/10,0)+1,
IF($BC84=Lookup!$A$3,($BD84+1)^BH84,
IF($BC84=Lookup!$A$4,BI84*$BD84+1,"Error")))</f>
        <v>0.99216783216799997</v>
      </c>
      <c r="BR84" s="229">
        <f>IF($BC84=Lookup!$A$2,$BD84*ROUNDUP(BJ84/10,0)+1,
IF($BC84=Lookup!$A$3,($BD84+1)^BI84,
IF($BC84=Lookup!$A$4,BJ84*$BD84+1,"Error")))</f>
        <v>0.99216783216799997</v>
      </c>
      <c r="BS84" s="229">
        <f>IF($BC84=Lookup!$A$2,$BD84*ROUNDUP(BK84/10,0)+1,
IF($BC84=Lookup!$A$3,($BD84+1)^BJ84,
IF($BC84=Lookup!$A$4,BK84*$BD84+1,"Error")))</f>
        <v>0.99216783216799997</v>
      </c>
      <c r="BT84" s="249">
        <f>IF($BC84=Lookup!$A$2,$BD84*ROUNDUP(BL84/10,0)+1,
IF($BC84=Lookup!$A$3,($BD84+1)^BK84,
IF($BC84=Lookup!$A$4,BL84*$BD84+1,"Error")))</f>
        <v>0.99216783216799997</v>
      </c>
      <c r="BU84" s="320"/>
      <c r="BV84" s="321"/>
      <c r="BW84" s="321"/>
      <c r="BX84" s="321"/>
      <c r="BY84" s="321"/>
      <c r="BZ84" s="321"/>
      <c r="CA84" s="321"/>
      <c r="CB84" s="277"/>
      <c r="CC84" s="382" t="s">
        <v>293</v>
      </c>
      <c r="CD84" s="383">
        <f>HLOOKUP($CC84,$AK$6:$AM$132,ROWS(CC$6:CC84),0)</f>
        <v>0.66666666666666663</v>
      </c>
      <c r="CE84" s="234">
        <f t="shared" si="142"/>
        <v>0.66666666666666663</v>
      </c>
      <c r="CF84" s="96">
        <f t="shared" si="142"/>
        <v>0.66666666666666663</v>
      </c>
      <c r="CG84" s="96">
        <f t="shared" si="142"/>
        <v>0.66666666666666663</v>
      </c>
      <c r="CH84" s="96">
        <f t="shared" si="142"/>
        <v>0.66144522144533324</v>
      </c>
      <c r="CI84" s="96">
        <f t="shared" si="84"/>
        <v>0.66144522144533324</v>
      </c>
      <c r="CJ84" s="96">
        <f t="shared" si="84"/>
        <v>0.66144522144533324</v>
      </c>
      <c r="CK84" s="96">
        <f t="shared" si="84"/>
        <v>0.66144522144533324</v>
      </c>
      <c r="CL84" s="286">
        <f t="shared" si="84"/>
        <v>0.66144522144533324</v>
      </c>
      <c r="CM84" s="305" t="s">
        <v>293</v>
      </c>
      <c r="CN84" s="315">
        <v>0.05</v>
      </c>
      <c r="CO84" s="306"/>
      <c r="CP84" s="307">
        <f>IF($CO84&lt;&gt;"",$CO84,HLOOKUP($CM84,$AY$6:$BA$132,ROWS(CO$6:CO84),0))</f>
        <v>49276.197030715019</v>
      </c>
      <c r="CQ84" s="784">
        <f t="shared" si="138"/>
        <v>32850.798020476679</v>
      </c>
      <c r="CR84" s="784">
        <f t="shared" si="138"/>
        <v>32850.798020476679</v>
      </c>
      <c r="CS84" s="97">
        <f t="shared" si="138"/>
        <v>32850.798020476679</v>
      </c>
      <c r="CT84" s="97">
        <f t="shared" si="138"/>
        <v>32593.505056965168</v>
      </c>
      <c r="CU84" s="97">
        <f t="shared" si="138"/>
        <v>32593.505056965168</v>
      </c>
      <c r="CV84" s="97">
        <f t="shared" si="138"/>
        <v>32593.505056965168</v>
      </c>
      <c r="CW84" s="97">
        <f t="shared" si="138"/>
        <v>32593.505056965168</v>
      </c>
      <c r="CX84" s="98">
        <f t="shared" si="62"/>
        <v>32593.505056965168</v>
      </c>
      <c r="CY84" s="392"/>
    </row>
    <row r="85" spans="1:103" x14ac:dyDescent="0.25">
      <c r="A85" s="81" t="s">
        <v>138</v>
      </c>
      <c r="B85" s="82" t="s">
        <v>173</v>
      </c>
      <c r="C85" s="83" t="s">
        <v>375</v>
      </c>
      <c r="D85" s="84">
        <v>0</v>
      </c>
      <c r="E85" s="85">
        <v>70709.717137220126</v>
      </c>
      <c r="F85" s="85">
        <v>222586.29116524648</v>
      </c>
      <c r="G85" s="85">
        <v>0</v>
      </c>
      <c r="H85" s="85">
        <v>0</v>
      </c>
      <c r="I85" s="85">
        <v>125300.59687523704</v>
      </c>
      <c r="J85" s="85">
        <v>0</v>
      </c>
      <c r="K85" s="85">
        <v>155591.02701398701</v>
      </c>
      <c r="L85" s="85">
        <v>0</v>
      </c>
      <c r="M85" s="654">
        <f>'2022-23 Input'!G85</f>
        <v>0</v>
      </c>
      <c r="N85" s="1065">
        <v>0</v>
      </c>
      <c r="O85" s="560">
        <f t="shared" si="139"/>
        <v>0</v>
      </c>
      <c r="P85" s="561">
        <f t="shared" si="113"/>
        <v>93720.845638070488</v>
      </c>
      <c r="Q85" s="561">
        <f t="shared" si="114"/>
        <v>292034.49337572843</v>
      </c>
      <c r="R85" s="561">
        <f t="shared" si="115"/>
        <v>0</v>
      </c>
      <c r="S85" s="561">
        <f t="shared" si="116"/>
        <v>0</v>
      </c>
      <c r="T85" s="561">
        <f t="shared" si="117"/>
        <v>155516.62210648609</v>
      </c>
      <c r="U85" s="561">
        <f t="shared" si="118"/>
        <v>0</v>
      </c>
      <c r="V85" s="561">
        <f t="shared" si="119"/>
        <v>186609.46583145697</v>
      </c>
      <c r="W85" s="675">
        <f t="shared" si="120"/>
        <v>0</v>
      </c>
      <c r="X85" s="675">
        <f t="shared" si="121"/>
        <v>0</v>
      </c>
      <c r="Y85" s="675">
        <f t="shared" si="121"/>
        <v>0</v>
      </c>
      <c r="Z85" s="86">
        <v>0</v>
      </c>
      <c r="AA85" s="87">
        <v>1</v>
      </c>
      <c r="AB85" s="87">
        <v>2</v>
      </c>
      <c r="AC85" s="87">
        <v>0</v>
      </c>
      <c r="AD85" s="87">
        <v>0</v>
      </c>
      <c r="AE85" s="87">
        <v>1</v>
      </c>
      <c r="AF85" s="87">
        <v>0</v>
      </c>
      <c r="AG85" s="87">
        <v>1</v>
      </c>
      <c r="AH85" s="87">
        <v>0</v>
      </c>
      <c r="AI85" s="1094">
        <f>'2022-23 Input'!N85</f>
        <v>0</v>
      </c>
      <c r="AJ85" s="665">
        <v>0</v>
      </c>
      <c r="AK85" s="88">
        <f t="shared" si="122"/>
        <v>0.4</v>
      </c>
      <c r="AL85" s="89">
        <f t="shared" si="123"/>
        <v>0.33333333333333331</v>
      </c>
      <c r="AM85" s="90">
        <f t="shared" si="124"/>
        <v>0</v>
      </c>
      <c r="AN85" s="91" t="str">
        <f t="shared" si="125"/>
        <v/>
      </c>
      <c r="AO85" s="92">
        <f t="shared" si="126"/>
        <v>70709.717137220126</v>
      </c>
      <c r="AP85" s="92">
        <f t="shared" si="127"/>
        <v>111293.14558262324</v>
      </c>
      <c r="AQ85" s="92" t="str">
        <f t="shared" si="128"/>
        <v/>
      </c>
      <c r="AR85" s="92" t="str">
        <f t="shared" si="129"/>
        <v/>
      </c>
      <c r="AS85" s="92">
        <f t="shared" si="130"/>
        <v>125300.59687523704</v>
      </c>
      <c r="AT85" s="92" t="str">
        <f t="shared" si="131"/>
        <v/>
      </c>
      <c r="AU85" s="92">
        <f t="shared" si="132"/>
        <v>155591.02701398701</v>
      </c>
      <c r="AV85" s="92" t="str">
        <f t="shared" si="133"/>
        <v/>
      </c>
      <c r="AW85" s="92" t="str">
        <f t="shared" si="133"/>
        <v/>
      </c>
      <c r="AX85" s="92" t="str">
        <f t="shared" si="133"/>
        <v/>
      </c>
      <c r="AY85" s="93">
        <f t="shared" si="134"/>
        <v>140445.81194461201</v>
      </c>
      <c r="AZ85" s="94">
        <f t="shared" si="135"/>
        <v>155591.02701398701</v>
      </c>
      <c r="BA85" s="95" t="str">
        <f t="shared" si="136"/>
        <v/>
      </c>
      <c r="BB85" s="248" t="s">
        <v>422</v>
      </c>
      <c r="BC85" s="229" t="s">
        <v>433</v>
      </c>
      <c r="BD85" s="249">
        <v>-7.8321678319999994E-3</v>
      </c>
      <c r="BE85" s="267">
        <f t="shared" si="140"/>
        <v>0</v>
      </c>
      <c r="BF85" s="268">
        <f t="shared" ref="BF85:BL85" si="155">IF(BF$6=$BB85,1,
IF(BE85&lt;&gt;0,BE85+1,0
))</f>
        <v>0</v>
      </c>
      <c r="BG85" s="268">
        <f t="shared" si="155"/>
        <v>0</v>
      </c>
      <c r="BH85" s="268">
        <f t="shared" si="155"/>
        <v>1</v>
      </c>
      <c r="BI85" s="268">
        <f t="shared" si="155"/>
        <v>2</v>
      </c>
      <c r="BJ85" s="268">
        <f t="shared" si="155"/>
        <v>3</v>
      </c>
      <c r="BK85" s="268">
        <f t="shared" si="155"/>
        <v>4</v>
      </c>
      <c r="BL85" s="269">
        <f t="shared" si="155"/>
        <v>5</v>
      </c>
      <c r="BM85" s="256">
        <f>IF($BC85=Lookup!$A$2,$BD85*ROUNDUP(BE85/10,0)+1,
IF($BC85=Lookup!$A$3,($BD85+1)^BD85,
IF($BC85=Lookup!$A$4,BE85*$BD85+1,"Error")))</f>
        <v>1</v>
      </c>
      <c r="BN85" s="229">
        <f>IF($BC85=Lookup!$A$2,$BD85*ROUNDUP(BF85/10,0)+1,
IF($BC85=Lookup!$A$3,($BD85+1)^BE85,
IF($BC85=Lookup!$A$4,BF85*$BD85+1,"Error")))</f>
        <v>1</v>
      </c>
      <c r="BO85" s="229">
        <f>IF($BC85=Lookup!$A$2,$BD85*ROUNDUP(BG85/10,0)+1,
IF($BC85=Lookup!$A$3,($BD85+1)^BF85,
IF($BC85=Lookup!$A$4,BG85*$BD85+1,"Error")))</f>
        <v>1</v>
      </c>
      <c r="BP85" s="229">
        <f>IF($BC85=Lookup!$A$2,$BD85*ROUNDUP(BH85/10,0)+1,
IF($BC85=Lookup!$A$3,($BD85+1)^BG85,
IF($BC85=Lookup!$A$4,BH85*$BD85+1,"Error")))</f>
        <v>0.99216783216799997</v>
      </c>
      <c r="BQ85" s="229">
        <f>IF($BC85=Lookup!$A$2,$BD85*ROUNDUP(BI85/10,0)+1,
IF($BC85=Lookup!$A$3,($BD85+1)^BH85,
IF($BC85=Lookup!$A$4,BI85*$BD85+1,"Error")))</f>
        <v>0.99216783216799997</v>
      </c>
      <c r="BR85" s="229">
        <f>IF($BC85=Lookup!$A$2,$BD85*ROUNDUP(BJ85/10,0)+1,
IF($BC85=Lookup!$A$3,($BD85+1)^BI85,
IF($BC85=Lookup!$A$4,BJ85*$BD85+1,"Error")))</f>
        <v>0.99216783216799997</v>
      </c>
      <c r="BS85" s="229">
        <f>IF($BC85=Lookup!$A$2,$BD85*ROUNDUP(BK85/10,0)+1,
IF($BC85=Lookup!$A$3,($BD85+1)^BJ85,
IF($BC85=Lookup!$A$4,BK85*$BD85+1,"Error")))</f>
        <v>0.99216783216799997</v>
      </c>
      <c r="BT85" s="249">
        <f>IF($BC85=Lookup!$A$2,$BD85*ROUNDUP(BL85/10,0)+1,
IF($BC85=Lookup!$A$3,($BD85+1)^BK85,
IF($BC85=Lookup!$A$4,BL85*$BD85+1,"Error")))</f>
        <v>0.99216783216799997</v>
      </c>
      <c r="BU85" s="320"/>
      <c r="BV85" s="321"/>
      <c r="BW85" s="321"/>
      <c r="BX85" s="321"/>
      <c r="BY85" s="321"/>
      <c r="BZ85" s="321"/>
      <c r="CA85" s="321"/>
      <c r="CB85" s="277"/>
      <c r="CC85" s="382" t="s">
        <v>293</v>
      </c>
      <c r="CD85" s="383">
        <f>HLOOKUP($CC85,$AK$6:$AM$132,ROWS(CC$6:CC85),0)</f>
        <v>0.33333333333333331</v>
      </c>
      <c r="CE85" s="234">
        <f t="shared" si="142"/>
        <v>0.33333333333333331</v>
      </c>
      <c r="CF85" s="96">
        <f t="shared" si="142"/>
        <v>0.33333333333333331</v>
      </c>
      <c r="CG85" s="96">
        <f t="shared" si="142"/>
        <v>0.33333333333333331</v>
      </c>
      <c r="CH85" s="96">
        <f t="shared" si="142"/>
        <v>0.33072261072266662</v>
      </c>
      <c r="CI85" s="96">
        <f t="shared" si="84"/>
        <v>0.33072261072266662</v>
      </c>
      <c r="CJ85" s="96">
        <f t="shared" si="84"/>
        <v>0.33072261072266662</v>
      </c>
      <c r="CK85" s="96">
        <f t="shared" si="84"/>
        <v>0.33072261072266662</v>
      </c>
      <c r="CL85" s="286">
        <f t="shared" si="84"/>
        <v>0.33072261072266662</v>
      </c>
      <c r="CM85" s="305" t="s">
        <v>293</v>
      </c>
      <c r="CN85" s="315">
        <v>0.05</v>
      </c>
      <c r="CO85" s="306"/>
      <c r="CP85" s="307">
        <f>IF($CO85&lt;&gt;"",$CO85,HLOOKUP($CM85,$AY$6:$BA$132,ROWS(CO$6:CO85),0))</f>
        <v>155591.02701398701</v>
      </c>
      <c r="CQ85" s="784">
        <f t="shared" si="138"/>
        <v>51863.675671329001</v>
      </c>
      <c r="CR85" s="784">
        <f t="shared" si="138"/>
        <v>51863.675671329001</v>
      </c>
      <c r="CS85" s="97">
        <f t="shared" si="138"/>
        <v>51863.675671329001</v>
      </c>
      <c r="CT85" s="97">
        <f t="shared" si="138"/>
        <v>51457.470659086735</v>
      </c>
      <c r="CU85" s="97">
        <f t="shared" si="138"/>
        <v>51457.470659086735</v>
      </c>
      <c r="CV85" s="97">
        <f t="shared" si="138"/>
        <v>51457.470659086735</v>
      </c>
      <c r="CW85" s="97">
        <f t="shared" si="138"/>
        <v>51457.470659086735</v>
      </c>
      <c r="CX85" s="98">
        <f t="shared" si="62"/>
        <v>51457.470659086735</v>
      </c>
      <c r="CY85" s="392"/>
    </row>
    <row r="86" spans="1:103" x14ac:dyDescent="0.25">
      <c r="A86" s="81" t="s">
        <v>138</v>
      </c>
      <c r="B86" s="82" t="s">
        <v>175</v>
      </c>
      <c r="C86" s="83" t="s">
        <v>376</v>
      </c>
      <c r="D86" s="84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654">
        <f>'2022-23 Input'!G86</f>
        <v>0</v>
      </c>
      <c r="N86" s="1065">
        <v>0</v>
      </c>
      <c r="O86" s="560">
        <f t="shared" si="139"/>
        <v>0</v>
      </c>
      <c r="P86" s="561">
        <f t="shared" si="113"/>
        <v>0</v>
      </c>
      <c r="Q86" s="561">
        <f t="shared" si="114"/>
        <v>0</v>
      </c>
      <c r="R86" s="561">
        <f t="shared" si="115"/>
        <v>0</v>
      </c>
      <c r="S86" s="561">
        <f t="shared" si="116"/>
        <v>0</v>
      </c>
      <c r="T86" s="561">
        <f t="shared" si="117"/>
        <v>0</v>
      </c>
      <c r="U86" s="561">
        <f t="shared" si="118"/>
        <v>0</v>
      </c>
      <c r="V86" s="561">
        <f t="shared" si="119"/>
        <v>0</v>
      </c>
      <c r="W86" s="675">
        <f t="shared" si="120"/>
        <v>0</v>
      </c>
      <c r="X86" s="675">
        <f t="shared" si="121"/>
        <v>0</v>
      </c>
      <c r="Y86" s="675">
        <f t="shared" si="121"/>
        <v>0</v>
      </c>
      <c r="Z86" s="86">
        <v>0</v>
      </c>
      <c r="AA86" s="87">
        <v>0</v>
      </c>
      <c r="AB86" s="87">
        <v>0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87">
        <v>0</v>
      </c>
      <c r="AI86" s="1094">
        <f>'2022-23 Input'!N86</f>
        <v>0</v>
      </c>
      <c r="AJ86" s="665">
        <v>0</v>
      </c>
      <c r="AK86" s="88">
        <f t="shared" si="122"/>
        <v>0</v>
      </c>
      <c r="AL86" s="89">
        <f t="shared" si="123"/>
        <v>0</v>
      </c>
      <c r="AM86" s="90">
        <f t="shared" si="124"/>
        <v>0</v>
      </c>
      <c r="AN86" s="91" t="str">
        <f t="shared" si="125"/>
        <v/>
      </c>
      <c r="AO86" s="92" t="str">
        <f t="shared" si="126"/>
        <v/>
      </c>
      <c r="AP86" s="92" t="str">
        <f t="shared" si="127"/>
        <v/>
      </c>
      <c r="AQ86" s="92" t="str">
        <f t="shared" si="128"/>
        <v/>
      </c>
      <c r="AR86" s="92" t="str">
        <f t="shared" si="129"/>
        <v/>
      </c>
      <c r="AS86" s="92" t="str">
        <f t="shared" si="130"/>
        <v/>
      </c>
      <c r="AT86" s="92" t="str">
        <f t="shared" si="131"/>
        <v/>
      </c>
      <c r="AU86" s="92" t="str">
        <f t="shared" si="132"/>
        <v/>
      </c>
      <c r="AV86" s="92" t="str">
        <f t="shared" si="133"/>
        <v/>
      </c>
      <c r="AW86" s="92" t="str">
        <f t="shared" si="133"/>
        <v/>
      </c>
      <c r="AX86" s="92" t="str">
        <f t="shared" si="133"/>
        <v/>
      </c>
      <c r="AY86" s="93" t="str">
        <f t="shared" si="134"/>
        <v/>
      </c>
      <c r="AZ86" s="94" t="str">
        <f t="shared" si="135"/>
        <v/>
      </c>
      <c r="BA86" s="95" t="str">
        <f t="shared" si="136"/>
        <v/>
      </c>
      <c r="BB86" s="248" t="s">
        <v>422</v>
      </c>
      <c r="BC86" s="229" t="s">
        <v>433</v>
      </c>
      <c r="BD86" s="249">
        <v>-7.8321678319999994E-3</v>
      </c>
      <c r="BE86" s="267">
        <f t="shared" si="140"/>
        <v>0</v>
      </c>
      <c r="BF86" s="268">
        <f t="shared" ref="BF86:BL86" si="156">IF(BF$6=$BB86,1,
IF(BE86&lt;&gt;0,BE86+1,0
))</f>
        <v>0</v>
      </c>
      <c r="BG86" s="268">
        <f t="shared" si="156"/>
        <v>0</v>
      </c>
      <c r="BH86" s="268">
        <f t="shared" si="156"/>
        <v>1</v>
      </c>
      <c r="BI86" s="268">
        <f t="shared" si="156"/>
        <v>2</v>
      </c>
      <c r="BJ86" s="268">
        <f t="shared" si="156"/>
        <v>3</v>
      </c>
      <c r="BK86" s="268">
        <f t="shared" si="156"/>
        <v>4</v>
      </c>
      <c r="BL86" s="269">
        <f t="shared" si="156"/>
        <v>5</v>
      </c>
      <c r="BM86" s="256">
        <f>IF($BC86=Lookup!$A$2,$BD86*ROUNDUP(BE86/10,0)+1,
IF($BC86=Lookup!$A$3,($BD86+1)^BD86,
IF($BC86=Lookup!$A$4,BE86*$BD86+1,"Error")))</f>
        <v>1</v>
      </c>
      <c r="BN86" s="229">
        <f>IF($BC86=Lookup!$A$2,$BD86*ROUNDUP(BF86/10,0)+1,
IF($BC86=Lookup!$A$3,($BD86+1)^BE86,
IF($BC86=Lookup!$A$4,BF86*$BD86+1,"Error")))</f>
        <v>1</v>
      </c>
      <c r="BO86" s="229">
        <f>IF($BC86=Lookup!$A$2,$BD86*ROUNDUP(BG86/10,0)+1,
IF($BC86=Lookup!$A$3,($BD86+1)^BF86,
IF($BC86=Lookup!$A$4,BG86*$BD86+1,"Error")))</f>
        <v>1</v>
      </c>
      <c r="BP86" s="229">
        <f>IF($BC86=Lookup!$A$2,$BD86*ROUNDUP(BH86/10,0)+1,
IF($BC86=Lookup!$A$3,($BD86+1)^BG86,
IF($BC86=Lookup!$A$4,BH86*$BD86+1,"Error")))</f>
        <v>0.99216783216799997</v>
      </c>
      <c r="BQ86" s="229">
        <f>IF($BC86=Lookup!$A$2,$BD86*ROUNDUP(BI86/10,0)+1,
IF($BC86=Lookup!$A$3,($BD86+1)^BH86,
IF($BC86=Lookup!$A$4,BI86*$BD86+1,"Error")))</f>
        <v>0.99216783216799997</v>
      </c>
      <c r="BR86" s="229">
        <f>IF($BC86=Lookup!$A$2,$BD86*ROUNDUP(BJ86/10,0)+1,
IF($BC86=Lookup!$A$3,($BD86+1)^BI86,
IF($BC86=Lookup!$A$4,BJ86*$BD86+1,"Error")))</f>
        <v>0.99216783216799997</v>
      </c>
      <c r="BS86" s="229">
        <f>IF($BC86=Lookup!$A$2,$BD86*ROUNDUP(BK86/10,0)+1,
IF($BC86=Lookup!$A$3,($BD86+1)^BJ86,
IF($BC86=Lookup!$A$4,BK86*$BD86+1,"Error")))</f>
        <v>0.99216783216799997</v>
      </c>
      <c r="BT86" s="249">
        <f>IF($BC86=Lookup!$A$2,$BD86*ROUNDUP(BL86/10,0)+1,
IF($BC86=Lookup!$A$3,($BD86+1)^BK86,
IF($BC86=Lookup!$A$4,BL86*$BD86+1,"Error")))</f>
        <v>0.99216783216799997</v>
      </c>
      <c r="BU86" s="320"/>
      <c r="BV86" s="321"/>
      <c r="BW86" s="321"/>
      <c r="BX86" s="321"/>
      <c r="BY86" s="321"/>
      <c r="BZ86" s="321"/>
      <c r="CA86" s="321"/>
      <c r="CB86" s="277"/>
      <c r="CC86" s="382" t="s">
        <v>293</v>
      </c>
      <c r="CD86" s="383">
        <f>HLOOKUP($CC86,$AK$6:$AM$132,ROWS(CC$6:CC86),0)</f>
        <v>0</v>
      </c>
      <c r="CE86" s="234">
        <f t="shared" si="142"/>
        <v>0</v>
      </c>
      <c r="CF86" s="96">
        <f t="shared" si="142"/>
        <v>0</v>
      </c>
      <c r="CG86" s="96">
        <f t="shared" si="142"/>
        <v>0</v>
      </c>
      <c r="CH86" s="96">
        <f t="shared" si="142"/>
        <v>0</v>
      </c>
      <c r="CI86" s="96">
        <f t="shared" si="84"/>
        <v>0</v>
      </c>
      <c r="CJ86" s="96">
        <f t="shared" si="84"/>
        <v>0</v>
      </c>
      <c r="CK86" s="96">
        <f t="shared" si="84"/>
        <v>0</v>
      </c>
      <c r="CL86" s="286">
        <f t="shared" si="84"/>
        <v>0</v>
      </c>
      <c r="CM86" s="305" t="s">
        <v>293</v>
      </c>
      <c r="CN86" s="315">
        <v>0.05</v>
      </c>
      <c r="CO86" s="306"/>
      <c r="CP86" s="307" t="str">
        <f>IF($CO86&lt;&gt;"",$CO86,HLOOKUP($CM86,$AY$6:$BA$132,ROWS(CO$6:CO86),0))</f>
        <v/>
      </c>
      <c r="CQ86" s="784" t="str">
        <f t="shared" si="138"/>
        <v/>
      </c>
      <c r="CR86" s="784" t="str">
        <f t="shared" si="138"/>
        <v/>
      </c>
      <c r="CS86" s="97" t="str">
        <f t="shared" si="138"/>
        <v/>
      </c>
      <c r="CT86" s="97" t="str">
        <f t="shared" si="138"/>
        <v/>
      </c>
      <c r="CU86" s="97" t="str">
        <f t="shared" si="138"/>
        <v/>
      </c>
      <c r="CV86" s="97" t="str">
        <f t="shared" si="138"/>
        <v/>
      </c>
      <c r="CW86" s="97" t="str">
        <f t="shared" si="138"/>
        <v/>
      </c>
      <c r="CX86" s="98" t="str">
        <f t="shared" si="62"/>
        <v/>
      </c>
      <c r="CY86" s="392"/>
    </row>
    <row r="87" spans="1:103" x14ac:dyDescent="0.25">
      <c r="A87" s="81" t="s">
        <v>138</v>
      </c>
      <c r="B87" s="82" t="s">
        <v>177</v>
      </c>
      <c r="C87" s="83" t="s">
        <v>377</v>
      </c>
      <c r="D87" s="84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654">
        <f>'2022-23 Input'!G87</f>
        <v>0</v>
      </c>
      <c r="N87" s="1065">
        <v>0</v>
      </c>
      <c r="O87" s="560">
        <f t="shared" si="139"/>
        <v>0</v>
      </c>
      <c r="P87" s="561">
        <f t="shared" si="113"/>
        <v>0</v>
      </c>
      <c r="Q87" s="561">
        <f t="shared" si="114"/>
        <v>0</v>
      </c>
      <c r="R87" s="561">
        <f t="shared" si="115"/>
        <v>0</v>
      </c>
      <c r="S87" s="561">
        <f t="shared" si="116"/>
        <v>0</v>
      </c>
      <c r="T87" s="561">
        <f t="shared" si="117"/>
        <v>0</v>
      </c>
      <c r="U87" s="561">
        <f t="shared" si="118"/>
        <v>0</v>
      </c>
      <c r="V87" s="561">
        <f t="shared" si="119"/>
        <v>0</v>
      </c>
      <c r="W87" s="675">
        <f t="shared" si="120"/>
        <v>0</v>
      </c>
      <c r="X87" s="675">
        <f t="shared" si="121"/>
        <v>0</v>
      </c>
      <c r="Y87" s="675">
        <f t="shared" si="121"/>
        <v>0</v>
      </c>
      <c r="Z87" s="86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87">
        <v>0</v>
      </c>
      <c r="AI87" s="1094">
        <f>'2022-23 Input'!N87</f>
        <v>0</v>
      </c>
      <c r="AJ87" s="665">
        <v>0</v>
      </c>
      <c r="AK87" s="88">
        <f t="shared" si="122"/>
        <v>0</v>
      </c>
      <c r="AL87" s="89">
        <f t="shared" si="123"/>
        <v>0</v>
      </c>
      <c r="AM87" s="90">
        <f t="shared" si="124"/>
        <v>0</v>
      </c>
      <c r="AN87" s="91" t="str">
        <f t="shared" si="125"/>
        <v/>
      </c>
      <c r="AO87" s="92" t="str">
        <f t="shared" si="126"/>
        <v/>
      </c>
      <c r="AP87" s="92" t="str">
        <f t="shared" si="127"/>
        <v/>
      </c>
      <c r="AQ87" s="92" t="str">
        <f t="shared" si="128"/>
        <v/>
      </c>
      <c r="AR87" s="92" t="str">
        <f t="shared" si="129"/>
        <v/>
      </c>
      <c r="AS87" s="92" t="str">
        <f t="shared" si="130"/>
        <v/>
      </c>
      <c r="AT87" s="92" t="str">
        <f t="shared" si="131"/>
        <v/>
      </c>
      <c r="AU87" s="92" t="str">
        <f t="shared" si="132"/>
        <v/>
      </c>
      <c r="AV87" s="92" t="str">
        <f t="shared" ref="AV87:AX102" si="157">IFERROR(L87/AH87,"")</f>
        <v/>
      </c>
      <c r="AW87" s="92" t="str">
        <f t="shared" si="157"/>
        <v/>
      </c>
      <c r="AX87" s="92" t="str">
        <f t="shared" si="157"/>
        <v/>
      </c>
      <c r="AY87" s="93" t="str">
        <f t="shared" si="134"/>
        <v/>
      </c>
      <c r="AZ87" s="94" t="str">
        <f t="shared" si="135"/>
        <v/>
      </c>
      <c r="BA87" s="95" t="str">
        <f t="shared" si="136"/>
        <v/>
      </c>
      <c r="BB87" s="248" t="s">
        <v>422</v>
      </c>
      <c r="BC87" s="229" t="s">
        <v>433</v>
      </c>
      <c r="BD87" s="249">
        <v>-7.8321678319999994E-3</v>
      </c>
      <c r="BE87" s="267">
        <f t="shared" si="140"/>
        <v>0</v>
      </c>
      <c r="BF87" s="268">
        <f t="shared" ref="BF87:BL87" si="158">IF(BF$6=$BB87,1,
IF(BE87&lt;&gt;0,BE87+1,0
))</f>
        <v>0</v>
      </c>
      <c r="BG87" s="268">
        <f t="shared" si="158"/>
        <v>0</v>
      </c>
      <c r="BH87" s="268">
        <f t="shared" si="158"/>
        <v>1</v>
      </c>
      <c r="BI87" s="268">
        <f t="shared" si="158"/>
        <v>2</v>
      </c>
      <c r="BJ87" s="268">
        <f t="shared" si="158"/>
        <v>3</v>
      </c>
      <c r="BK87" s="268">
        <f t="shared" si="158"/>
        <v>4</v>
      </c>
      <c r="BL87" s="269">
        <f t="shared" si="158"/>
        <v>5</v>
      </c>
      <c r="BM87" s="256">
        <f>IF($BC87=Lookup!$A$2,$BD87*ROUNDUP(BE87/10,0)+1,
IF($BC87=Lookup!$A$3,($BD87+1)^BD87,
IF($BC87=Lookup!$A$4,BE87*$BD87+1,"Error")))</f>
        <v>1</v>
      </c>
      <c r="BN87" s="229">
        <f>IF($BC87=Lookup!$A$2,$BD87*ROUNDUP(BF87/10,0)+1,
IF($BC87=Lookup!$A$3,($BD87+1)^BE87,
IF($BC87=Lookup!$A$4,BF87*$BD87+1,"Error")))</f>
        <v>1</v>
      </c>
      <c r="BO87" s="229">
        <f>IF($BC87=Lookup!$A$2,$BD87*ROUNDUP(BG87/10,0)+1,
IF($BC87=Lookup!$A$3,($BD87+1)^BF87,
IF($BC87=Lookup!$A$4,BG87*$BD87+1,"Error")))</f>
        <v>1</v>
      </c>
      <c r="BP87" s="229">
        <f>IF($BC87=Lookup!$A$2,$BD87*ROUNDUP(BH87/10,0)+1,
IF($BC87=Lookup!$A$3,($BD87+1)^BG87,
IF($BC87=Lookup!$A$4,BH87*$BD87+1,"Error")))</f>
        <v>0.99216783216799997</v>
      </c>
      <c r="BQ87" s="229">
        <f>IF($BC87=Lookup!$A$2,$BD87*ROUNDUP(BI87/10,0)+1,
IF($BC87=Lookup!$A$3,($BD87+1)^BH87,
IF($BC87=Lookup!$A$4,BI87*$BD87+1,"Error")))</f>
        <v>0.99216783216799997</v>
      </c>
      <c r="BR87" s="229">
        <f>IF($BC87=Lookup!$A$2,$BD87*ROUNDUP(BJ87/10,0)+1,
IF($BC87=Lookup!$A$3,($BD87+1)^BI87,
IF($BC87=Lookup!$A$4,BJ87*$BD87+1,"Error")))</f>
        <v>0.99216783216799997</v>
      </c>
      <c r="BS87" s="229">
        <f>IF($BC87=Lookup!$A$2,$BD87*ROUNDUP(BK87/10,0)+1,
IF($BC87=Lookup!$A$3,($BD87+1)^BJ87,
IF($BC87=Lookup!$A$4,BK87*$BD87+1,"Error")))</f>
        <v>0.99216783216799997</v>
      </c>
      <c r="BT87" s="249">
        <f>IF($BC87=Lookup!$A$2,$BD87*ROUNDUP(BL87/10,0)+1,
IF($BC87=Lookup!$A$3,($BD87+1)^BK87,
IF($BC87=Lookup!$A$4,BL87*$BD87+1,"Error")))</f>
        <v>0.99216783216799997</v>
      </c>
      <c r="BU87" s="320"/>
      <c r="BV87" s="321"/>
      <c r="BW87" s="321"/>
      <c r="BX87" s="321"/>
      <c r="BY87" s="321"/>
      <c r="BZ87" s="321"/>
      <c r="CA87" s="321"/>
      <c r="CB87" s="277"/>
      <c r="CC87" s="382" t="s">
        <v>293</v>
      </c>
      <c r="CD87" s="383">
        <f>HLOOKUP($CC87,$AK$6:$AM$132,ROWS(CC$6:CC87),0)</f>
        <v>0</v>
      </c>
      <c r="CE87" s="234">
        <f t="shared" si="142"/>
        <v>0</v>
      </c>
      <c r="CF87" s="96">
        <f t="shared" si="142"/>
        <v>0</v>
      </c>
      <c r="CG87" s="96">
        <f t="shared" si="142"/>
        <v>0</v>
      </c>
      <c r="CH87" s="96">
        <f t="shared" si="142"/>
        <v>0</v>
      </c>
      <c r="CI87" s="96">
        <f t="shared" si="84"/>
        <v>0</v>
      </c>
      <c r="CJ87" s="96">
        <f t="shared" si="84"/>
        <v>0</v>
      </c>
      <c r="CK87" s="96">
        <f t="shared" si="84"/>
        <v>0</v>
      </c>
      <c r="CL87" s="286">
        <f t="shared" si="84"/>
        <v>0</v>
      </c>
      <c r="CM87" s="305" t="s">
        <v>293</v>
      </c>
      <c r="CN87" s="315">
        <v>0.05</v>
      </c>
      <c r="CO87" s="306"/>
      <c r="CP87" s="307" t="str">
        <f>IF($CO87&lt;&gt;"",$CO87,HLOOKUP($CM87,$AY$6:$BA$132,ROWS(CO$6:CO87),0))</f>
        <v/>
      </c>
      <c r="CQ87" s="784" t="str">
        <f t="shared" si="138"/>
        <v/>
      </c>
      <c r="CR87" s="784" t="str">
        <f t="shared" si="138"/>
        <v/>
      </c>
      <c r="CS87" s="97" t="str">
        <f t="shared" si="138"/>
        <v/>
      </c>
      <c r="CT87" s="97" t="str">
        <f t="shared" si="138"/>
        <v/>
      </c>
      <c r="CU87" s="97" t="str">
        <f t="shared" si="138"/>
        <v/>
      </c>
      <c r="CV87" s="97" t="str">
        <f t="shared" si="138"/>
        <v/>
      </c>
      <c r="CW87" s="97" t="str">
        <f t="shared" si="138"/>
        <v/>
      </c>
      <c r="CX87" s="98" t="str">
        <f t="shared" si="62"/>
        <v/>
      </c>
      <c r="CY87" s="392"/>
    </row>
    <row r="88" spans="1:103" x14ac:dyDescent="0.25">
      <c r="A88" s="81" t="s">
        <v>138</v>
      </c>
      <c r="B88" s="82" t="s">
        <v>179</v>
      </c>
      <c r="C88" s="83" t="s">
        <v>378</v>
      </c>
      <c r="D88" s="84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654">
        <f>'2022-23 Input'!G88</f>
        <v>0</v>
      </c>
      <c r="N88" s="1065">
        <v>0</v>
      </c>
      <c r="O88" s="560">
        <f t="shared" si="139"/>
        <v>0</v>
      </c>
      <c r="P88" s="561">
        <f t="shared" si="113"/>
        <v>0</v>
      </c>
      <c r="Q88" s="561">
        <f t="shared" si="114"/>
        <v>0</v>
      </c>
      <c r="R88" s="561">
        <f t="shared" si="115"/>
        <v>0</v>
      </c>
      <c r="S88" s="561">
        <f t="shared" si="116"/>
        <v>0</v>
      </c>
      <c r="T88" s="561">
        <f t="shared" si="117"/>
        <v>0</v>
      </c>
      <c r="U88" s="561">
        <f t="shared" si="118"/>
        <v>0</v>
      </c>
      <c r="V88" s="561">
        <f t="shared" si="119"/>
        <v>0</v>
      </c>
      <c r="W88" s="675">
        <f t="shared" si="120"/>
        <v>0</v>
      </c>
      <c r="X88" s="675">
        <f t="shared" si="121"/>
        <v>0</v>
      </c>
      <c r="Y88" s="675">
        <f t="shared" si="121"/>
        <v>0</v>
      </c>
      <c r="Z88" s="86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87">
        <v>0</v>
      </c>
      <c r="AI88" s="1094">
        <f>'2022-23 Input'!N88</f>
        <v>0</v>
      </c>
      <c r="AJ88" s="665">
        <v>0</v>
      </c>
      <c r="AK88" s="88">
        <f t="shared" si="122"/>
        <v>0</v>
      </c>
      <c r="AL88" s="89">
        <f t="shared" si="123"/>
        <v>0</v>
      </c>
      <c r="AM88" s="90">
        <f t="shared" si="124"/>
        <v>0</v>
      </c>
      <c r="AN88" s="91" t="str">
        <f t="shared" si="125"/>
        <v/>
      </c>
      <c r="AO88" s="92" t="str">
        <f t="shared" si="126"/>
        <v/>
      </c>
      <c r="AP88" s="92" t="str">
        <f t="shared" si="127"/>
        <v/>
      </c>
      <c r="AQ88" s="92" t="str">
        <f t="shared" si="128"/>
        <v/>
      </c>
      <c r="AR88" s="92" t="str">
        <f t="shared" si="129"/>
        <v/>
      </c>
      <c r="AS88" s="92" t="str">
        <f t="shared" si="130"/>
        <v/>
      </c>
      <c r="AT88" s="92" t="str">
        <f t="shared" si="131"/>
        <v/>
      </c>
      <c r="AU88" s="92" t="str">
        <f t="shared" si="132"/>
        <v/>
      </c>
      <c r="AV88" s="92" t="str">
        <f t="shared" si="157"/>
        <v/>
      </c>
      <c r="AW88" s="92" t="str">
        <f t="shared" si="157"/>
        <v/>
      </c>
      <c r="AX88" s="92" t="str">
        <f t="shared" si="157"/>
        <v/>
      </c>
      <c r="AY88" s="93" t="str">
        <f t="shared" si="134"/>
        <v/>
      </c>
      <c r="AZ88" s="94" t="str">
        <f t="shared" si="135"/>
        <v/>
      </c>
      <c r="BA88" s="95" t="str">
        <f t="shared" si="136"/>
        <v/>
      </c>
      <c r="BB88" s="248" t="s">
        <v>422</v>
      </c>
      <c r="BC88" s="229" t="s">
        <v>433</v>
      </c>
      <c r="BD88" s="249">
        <v>-7.8321678319999994E-3</v>
      </c>
      <c r="BE88" s="267">
        <f t="shared" si="140"/>
        <v>0</v>
      </c>
      <c r="BF88" s="268">
        <f t="shared" ref="BF88:BL88" si="159">IF(BF$6=$BB88,1,
IF(BE88&lt;&gt;0,BE88+1,0
))</f>
        <v>0</v>
      </c>
      <c r="BG88" s="268">
        <f t="shared" si="159"/>
        <v>0</v>
      </c>
      <c r="BH88" s="268">
        <f t="shared" si="159"/>
        <v>1</v>
      </c>
      <c r="BI88" s="268">
        <f t="shared" si="159"/>
        <v>2</v>
      </c>
      <c r="BJ88" s="268">
        <f t="shared" si="159"/>
        <v>3</v>
      </c>
      <c r="BK88" s="268">
        <f t="shared" si="159"/>
        <v>4</v>
      </c>
      <c r="BL88" s="269">
        <f t="shared" si="159"/>
        <v>5</v>
      </c>
      <c r="BM88" s="256">
        <f>IF($BC88=Lookup!$A$2,$BD88*ROUNDUP(BE88/10,0)+1,
IF($BC88=Lookup!$A$3,($BD88+1)^BD88,
IF($BC88=Lookup!$A$4,BE88*$BD88+1,"Error")))</f>
        <v>1</v>
      </c>
      <c r="BN88" s="229">
        <f>IF($BC88=Lookup!$A$2,$BD88*ROUNDUP(BF88/10,0)+1,
IF($BC88=Lookup!$A$3,($BD88+1)^BE88,
IF($BC88=Lookup!$A$4,BF88*$BD88+1,"Error")))</f>
        <v>1</v>
      </c>
      <c r="BO88" s="229">
        <f>IF($BC88=Lookup!$A$2,$BD88*ROUNDUP(BG88/10,0)+1,
IF($BC88=Lookup!$A$3,($BD88+1)^BF88,
IF($BC88=Lookup!$A$4,BG88*$BD88+1,"Error")))</f>
        <v>1</v>
      </c>
      <c r="BP88" s="229">
        <f>IF($BC88=Lookup!$A$2,$BD88*ROUNDUP(BH88/10,0)+1,
IF($BC88=Lookup!$A$3,($BD88+1)^BG88,
IF($BC88=Lookup!$A$4,BH88*$BD88+1,"Error")))</f>
        <v>0.99216783216799997</v>
      </c>
      <c r="BQ88" s="229">
        <f>IF($BC88=Lookup!$A$2,$BD88*ROUNDUP(BI88/10,0)+1,
IF($BC88=Lookup!$A$3,($BD88+1)^BH88,
IF($BC88=Lookup!$A$4,BI88*$BD88+1,"Error")))</f>
        <v>0.99216783216799997</v>
      </c>
      <c r="BR88" s="229">
        <f>IF($BC88=Lookup!$A$2,$BD88*ROUNDUP(BJ88/10,0)+1,
IF($BC88=Lookup!$A$3,($BD88+1)^BI88,
IF($BC88=Lookup!$A$4,BJ88*$BD88+1,"Error")))</f>
        <v>0.99216783216799997</v>
      </c>
      <c r="BS88" s="229">
        <f>IF($BC88=Lookup!$A$2,$BD88*ROUNDUP(BK88/10,0)+1,
IF($BC88=Lookup!$A$3,($BD88+1)^BJ88,
IF($BC88=Lookup!$A$4,BK88*$BD88+1,"Error")))</f>
        <v>0.99216783216799997</v>
      </c>
      <c r="BT88" s="249">
        <f>IF($BC88=Lookup!$A$2,$BD88*ROUNDUP(BL88/10,0)+1,
IF($BC88=Lookup!$A$3,($BD88+1)^BK88,
IF($BC88=Lookup!$A$4,BL88*$BD88+1,"Error")))</f>
        <v>0.99216783216799997</v>
      </c>
      <c r="BU88" s="320"/>
      <c r="BV88" s="321"/>
      <c r="BW88" s="321"/>
      <c r="BX88" s="321"/>
      <c r="BY88" s="321"/>
      <c r="BZ88" s="321"/>
      <c r="CA88" s="321"/>
      <c r="CB88" s="277"/>
      <c r="CC88" s="382" t="s">
        <v>293</v>
      </c>
      <c r="CD88" s="383">
        <f>HLOOKUP($CC88,$AK$6:$AM$132,ROWS(CC$6:CC88),0)</f>
        <v>0</v>
      </c>
      <c r="CE88" s="234">
        <f t="shared" si="142"/>
        <v>0</v>
      </c>
      <c r="CF88" s="96">
        <f t="shared" si="142"/>
        <v>0</v>
      </c>
      <c r="CG88" s="96">
        <f t="shared" si="142"/>
        <v>0</v>
      </c>
      <c r="CH88" s="96">
        <f t="shared" si="142"/>
        <v>0</v>
      </c>
      <c r="CI88" s="96">
        <f t="shared" si="84"/>
        <v>0</v>
      </c>
      <c r="CJ88" s="96">
        <f t="shared" si="84"/>
        <v>0</v>
      </c>
      <c r="CK88" s="96">
        <f t="shared" si="84"/>
        <v>0</v>
      </c>
      <c r="CL88" s="286">
        <f t="shared" si="84"/>
        <v>0</v>
      </c>
      <c r="CM88" s="305" t="s">
        <v>293</v>
      </c>
      <c r="CN88" s="315">
        <v>0.05</v>
      </c>
      <c r="CO88" s="306"/>
      <c r="CP88" s="307" t="str">
        <f>IF($CO88&lt;&gt;"",$CO88,HLOOKUP($CM88,$AY$6:$BA$132,ROWS(CO$6:CO88),0))</f>
        <v/>
      </c>
      <c r="CQ88" s="784" t="str">
        <f t="shared" si="138"/>
        <v/>
      </c>
      <c r="CR88" s="784" t="str">
        <f t="shared" si="138"/>
        <v/>
      </c>
      <c r="CS88" s="97" t="str">
        <f t="shared" si="138"/>
        <v/>
      </c>
      <c r="CT88" s="97" t="str">
        <f t="shared" si="138"/>
        <v/>
      </c>
      <c r="CU88" s="97" t="str">
        <f t="shared" si="138"/>
        <v/>
      </c>
      <c r="CV88" s="97" t="str">
        <f t="shared" si="138"/>
        <v/>
      </c>
      <c r="CW88" s="97" t="str">
        <f t="shared" si="138"/>
        <v/>
      </c>
      <c r="CX88" s="98" t="str">
        <f t="shared" si="62"/>
        <v/>
      </c>
      <c r="CY88" s="392"/>
    </row>
    <row r="89" spans="1:103" x14ac:dyDescent="0.25">
      <c r="A89" s="81" t="s">
        <v>138</v>
      </c>
      <c r="B89" s="82" t="s">
        <v>181</v>
      </c>
      <c r="C89" s="83" t="s">
        <v>379</v>
      </c>
      <c r="D89" s="84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654">
        <f>'2022-23 Input'!G89</f>
        <v>0</v>
      </c>
      <c r="N89" s="1065">
        <v>0</v>
      </c>
      <c r="O89" s="560">
        <f t="shared" si="139"/>
        <v>0</v>
      </c>
      <c r="P89" s="561">
        <f t="shared" si="113"/>
        <v>0</v>
      </c>
      <c r="Q89" s="561">
        <f t="shared" si="114"/>
        <v>0</v>
      </c>
      <c r="R89" s="561">
        <f t="shared" si="115"/>
        <v>0</v>
      </c>
      <c r="S89" s="561">
        <f t="shared" si="116"/>
        <v>0</v>
      </c>
      <c r="T89" s="561">
        <f t="shared" si="117"/>
        <v>0</v>
      </c>
      <c r="U89" s="561">
        <f t="shared" si="118"/>
        <v>0</v>
      </c>
      <c r="V89" s="561">
        <f t="shared" si="119"/>
        <v>0</v>
      </c>
      <c r="W89" s="675">
        <f t="shared" si="120"/>
        <v>0</v>
      </c>
      <c r="X89" s="675">
        <f t="shared" si="121"/>
        <v>0</v>
      </c>
      <c r="Y89" s="675">
        <f t="shared" si="121"/>
        <v>0</v>
      </c>
      <c r="Z89" s="86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0</v>
      </c>
      <c r="AF89" s="87">
        <v>0</v>
      </c>
      <c r="AG89" s="87">
        <v>0</v>
      </c>
      <c r="AH89" s="87">
        <v>0</v>
      </c>
      <c r="AI89" s="1094">
        <f>'2022-23 Input'!N89</f>
        <v>0</v>
      </c>
      <c r="AJ89" s="665">
        <v>0</v>
      </c>
      <c r="AK89" s="88">
        <f t="shared" si="122"/>
        <v>0</v>
      </c>
      <c r="AL89" s="89">
        <f t="shared" si="123"/>
        <v>0</v>
      </c>
      <c r="AM89" s="90">
        <f t="shared" si="124"/>
        <v>0</v>
      </c>
      <c r="AN89" s="91" t="str">
        <f t="shared" si="125"/>
        <v/>
      </c>
      <c r="AO89" s="92" t="str">
        <f t="shared" si="126"/>
        <v/>
      </c>
      <c r="AP89" s="92" t="str">
        <f t="shared" si="127"/>
        <v/>
      </c>
      <c r="AQ89" s="92" t="str">
        <f t="shared" si="128"/>
        <v/>
      </c>
      <c r="AR89" s="92" t="str">
        <f t="shared" si="129"/>
        <v/>
      </c>
      <c r="AS89" s="92" t="str">
        <f t="shared" si="130"/>
        <v/>
      </c>
      <c r="AT89" s="92" t="str">
        <f t="shared" si="131"/>
        <v/>
      </c>
      <c r="AU89" s="92" t="str">
        <f t="shared" si="132"/>
        <v/>
      </c>
      <c r="AV89" s="92" t="str">
        <f t="shared" si="157"/>
        <v/>
      </c>
      <c r="AW89" s="92" t="str">
        <f t="shared" si="157"/>
        <v/>
      </c>
      <c r="AX89" s="92" t="str">
        <f t="shared" si="157"/>
        <v/>
      </c>
      <c r="AY89" s="93" t="str">
        <f t="shared" si="134"/>
        <v/>
      </c>
      <c r="AZ89" s="94" t="str">
        <f t="shared" si="135"/>
        <v/>
      </c>
      <c r="BA89" s="95" t="str">
        <f t="shared" si="136"/>
        <v/>
      </c>
      <c r="BB89" s="248" t="s">
        <v>422</v>
      </c>
      <c r="BC89" s="229" t="s">
        <v>433</v>
      </c>
      <c r="BD89" s="249">
        <v>-7.8321678319999994E-3</v>
      </c>
      <c r="BE89" s="267">
        <f t="shared" si="140"/>
        <v>0</v>
      </c>
      <c r="BF89" s="268">
        <f t="shared" ref="BF89:BL89" si="160">IF(BF$6=$BB89,1,
IF(BE89&lt;&gt;0,BE89+1,0
))</f>
        <v>0</v>
      </c>
      <c r="BG89" s="268">
        <f t="shared" si="160"/>
        <v>0</v>
      </c>
      <c r="BH89" s="268">
        <f t="shared" si="160"/>
        <v>1</v>
      </c>
      <c r="BI89" s="268">
        <f t="shared" si="160"/>
        <v>2</v>
      </c>
      <c r="BJ89" s="268">
        <f t="shared" si="160"/>
        <v>3</v>
      </c>
      <c r="BK89" s="268">
        <f t="shared" si="160"/>
        <v>4</v>
      </c>
      <c r="BL89" s="269">
        <f t="shared" si="160"/>
        <v>5</v>
      </c>
      <c r="BM89" s="256">
        <f>IF($BC89=Lookup!$A$2,$BD89*ROUNDUP(BE89/10,0)+1,
IF($BC89=Lookup!$A$3,($BD89+1)^BD89,
IF($BC89=Lookup!$A$4,BE89*$BD89+1,"Error")))</f>
        <v>1</v>
      </c>
      <c r="BN89" s="229">
        <f>IF($BC89=Lookup!$A$2,$BD89*ROUNDUP(BF89/10,0)+1,
IF($BC89=Lookup!$A$3,($BD89+1)^BE89,
IF($BC89=Lookup!$A$4,BF89*$BD89+1,"Error")))</f>
        <v>1</v>
      </c>
      <c r="BO89" s="229">
        <f>IF($BC89=Lookup!$A$2,$BD89*ROUNDUP(BG89/10,0)+1,
IF($BC89=Lookup!$A$3,($BD89+1)^BF89,
IF($BC89=Lookup!$A$4,BG89*$BD89+1,"Error")))</f>
        <v>1</v>
      </c>
      <c r="BP89" s="229">
        <f>IF($BC89=Lookup!$A$2,$BD89*ROUNDUP(BH89/10,0)+1,
IF($BC89=Lookup!$A$3,($BD89+1)^BG89,
IF($BC89=Lookup!$A$4,BH89*$BD89+1,"Error")))</f>
        <v>0.99216783216799997</v>
      </c>
      <c r="BQ89" s="229">
        <f>IF($BC89=Lookup!$A$2,$BD89*ROUNDUP(BI89/10,0)+1,
IF($BC89=Lookup!$A$3,($BD89+1)^BH89,
IF($BC89=Lookup!$A$4,BI89*$BD89+1,"Error")))</f>
        <v>0.99216783216799997</v>
      </c>
      <c r="BR89" s="229">
        <f>IF($BC89=Lookup!$A$2,$BD89*ROUNDUP(BJ89/10,0)+1,
IF($BC89=Lookup!$A$3,($BD89+1)^BI89,
IF($BC89=Lookup!$A$4,BJ89*$BD89+1,"Error")))</f>
        <v>0.99216783216799997</v>
      </c>
      <c r="BS89" s="229">
        <f>IF($BC89=Lookup!$A$2,$BD89*ROUNDUP(BK89/10,0)+1,
IF($BC89=Lookup!$A$3,($BD89+1)^BJ89,
IF($BC89=Lookup!$A$4,BK89*$BD89+1,"Error")))</f>
        <v>0.99216783216799997</v>
      </c>
      <c r="BT89" s="249">
        <f>IF($BC89=Lookup!$A$2,$BD89*ROUNDUP(BL89/10,0)+1,
IF($BC89=Lookup!$A$3,($BD89+1)^BK89,
IF($BC89=Lookup!$A$4,BL89*$BD89+1,"Error")))</f>
        <v>0.99216783216799997</v>
      </c>
      <c r="BU89" s="320"/>
      <c r="BV89" s="321"/>
      <c r="BW89" s="321"/>
      <c r="BX89" s="321"/>
      <c r="BY89" s="321"/>
      <c r="BZ89" s="321"/>
      <c r="CA89" s="321"/>
      <c r="CB89" s="277"/>
      <c r="CC89" s="382" t="s">
        <v>293</v>
      </c>
      <c r="CD89" s="383">
        <f>HLOOKUP($CC89,$AK$6:$AM$132,ROWS(CC$6:CC89),0)</f>
        <v>0</v>
      </c>
      <c r="CE89" s="234">
        <f t="shared" si="142"/>
        <v>0</v>
      </c>
      <c r="CF89" s="96">
        <f t="shared" si="142"/>
        <v>0</v>
      </c>
      <c r="CG89" s="96">
        <f t="shared" si="142"/>
        <v>0</v>
      </c>
      <c r="CH89" s="96">
        <f t="shared" si="142"/>
        <v>0</v>
      </c>
      <c r="CI89" s="96">
        <f t="shared" si="84"/>
        <v>0</v>
      </c>
      <c r="CJ89" s="96">
        <f t="shared" si="84"/>
        <v>0</v>
      </c>
      <c r="CK89" s="96">
        <f t="shared" si="84"/>
        <v>0</v>
      </c>
      <c r="CL89" s="286">
        <f t="shared" si="84"/>
        <v>0</v>
      </c>
      <c r="CM89" s="305" t="s">
        <v>293</v>
      </c>
      <c r="CN89" s="315">
        <v>0.05</v>
      </c>
      <c r="CO89" s="306"/>
      <c r="CP89" s="307" t="str">
        <f>IF($CO89&lt;&gt;"",$CO89,HLOOKUP($CM89,$AY$6:$BA$132,ROWS(CO$6:CO89),0))</f>
        <v/>
      </c>
      <c r="CQ89" s="784" t="str">
        <f t="shared" si="138"/>
        <v/>
      </c>
      <c r="CR89" s="784" t="str">
        <f t="shared" si="138"/>
        <v/>
      </c>
      <c r="CS89" s="97" t="str">
        <f t="shared" si="138"/>
        <v/>
      </c>
      <c r="CT89" s="97" t="str">
        <f t="shared" si="138"/>
        <v/>
      </c>
      <c r="CU89" s="97" t="str">
        <f t="shared" si="138"/>
        <v/>
      </c>
      <c r="CV89" s="97" t="str">
        <f t="shared" si="138"/>
        <v/>
      </c>
      <c r="CW89" s="97" t="str">
        <f t="shared" si="138"/>
        <v/>
      </c>
      <c r="CX89" s="98" t="str">
        <f t="shared" si="62"/>
        <v/>
      </c>
      <c r="CY89" s="392"/>
    </row>
    <row r="90" spans="1:103" x14ac:dyDescent="0.25">
      <c r="A90" s="81" t="s">
        <v>138</v>
      </c>
      <c r="B90" s="82" t="s">
        <v>183</v>
      </c>
      <c r="C90" s="83" t="s">
        <v>380</v>
      </c>
      <c r="D90" s="84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654">
        <f>'2022-23 Input'!G90</f>
        <v>0</v>
      </c>
      <c r="N90" s="1065">
        <v>0</v>
      </c>
      <c r="O90" s="560">
        <f t="shared" si="139"/>
        <v>0</v>
      </c>
      <c r="P90" s="561">
        <f t="shared" si="113"/>
        <v>0</v>
      </c>
      <c r="Q90" s="561">
        <f t="shared" si="114"/>
        <v>0</v>
      </c>
      <c r="R90" s="561">
        <f t="shared" si="115"/>
        <v>0</v>
      </c>
      <c r="S90" s="561">
        <f t="shared" si="116"/>
        <v>0</v>
      </c>
      <c r="T90" s="561">
        <f t="shared" si="117"/>
        <v>0</v>
      </c>
      <c r="U90" s="561">
        <f t="shared" si="118"/>
        <v>0</v>
      </c>
      <c r="V90" s="561">
        <f t="shared" si="119"/>
        <v>0</v>
      </c>
      <c r="W90" s="675">
        <f t="shared" si="120"/>
        <v>0</v>
      </c>
      <c r="X90" s="675">
        <f t="shared" si="121"/>
        <v>0</v>
      </c>
      <c r="Y90" s="675">
        <f t="shared" si="121"/>
        <v>0</v>
      </c>
      <c r="Z90" s="86">
        <v>0</v>
      </c>
      <c r="AA90" s="87">
        <v>0</v>
      </c>
      <c r="AB90" s="87">
        <v>0</v>
      </c>
      <c r="AC90" s="87">
        <v>0</v>
      </c>
      <c r="AD90" s="87">
        <v>0</v>
      </c>
      <c r="AE90" s="87">
        <v>0</v>
      </c>
      <c r="AF90" s="87">
        <v>0</v>
      </c>
      <c r="AG90" s="87">
        <v>0</v>
      </c>
      <c r="AH90" s="87">
        <v>0</v>
      </c>
      <c r="AI90" s="1094">
        <f>'2022-23 Input'!N90</f>
        <v>0</v>
      </c>
      <c r="AJ90" s="665">
        <v>0</v>
      </c>
      <c r="AK90" s="88">
        <f t="shared" si="122"/>
        <v>0</v>
      </c>
      <c r="AL90" s="89">
        <f t="shared" si="123"/>
        <v>0</v>
      </c>
      <c r="AM90" s="90">
        <f t="shared" si="124"/>
        <v>0</v>
      </c>
      <c r="AN90" s="91" t="str">
        <f t="shared" si="125"/>
        <v/>
      </c>
      <c r="AO90" s="92" t="str">
        <f t="shared" si="126"/>
        <v/>
      </c>
      <c r="AP90" s="92" t="str">
        <f t="shared" si="127"/>
        <v/>
      </c>
      <c r="AQ90" s="92" t="str">
        <f t="shared" si="128"/>
        <v/>
      </c>
      <c r="AR90" s="92" t="str">
        <f t="shared" si="129"/>
        <v/>
      </c>
      <c r="AS90" s="92" t="str">
        <f t="shared" si="130"/>
        <v/>
      </c>
      <c r="AT90" s="92" t="str">
        <f t="shared" si="131"/>
        <v/>
      </c>
      <c r="AU90" s="92" t="str">
        <f t="shared" si="132"/>
        <v/>
      </c>
      <c r="AV90" s="92" t="str">
        <f t="shared" si="157"/>
        <v/>
      </c>
      <c r="AW90" s="92" t="str">
        <f t="shared" si="157"/>
        <v/>
      </c>
      <c r="AX90" s="92" t="str">
        <f t="shared" si="157"/>
        <v/>
      </c>
      <c r="AY90" s="93" t="str">
        <f t="shared" si="134"/>
        <v/>
      </c>
      <c r="AZ90" s="94" t="str">
        <f t="shared" si="135"/>
        <v/>
      </c>
      <c r="BA90" s="95" t="str">
        <f t="shared" si="136"/>
        <v/>
      </c>
      <c r="BB90" s="248" t="s">
        <v>422</v>
      </c>
      <c r="BC90" s="229" t="s">
        <v>433</v>
      </c>
      <c r="BD90" s="249">
        <v>-7.8321678319999994E-3</v>
      </c>
      <c r="BE90" s="267">
        <f t="shared" si="140"/>
        <v>0</v>
      </c>
      <c r="BF90" s="268">
        <f t="shared" ref="BF90:BL90" si="161">IF(BF$6=$BB90,1,
IF(BE90&lt;&gt;0,BE90+1,0
))</f>
        <v>0</v>
      </c>
      <c r="BG90" s="268">
        <f t="shared" si="161"/>
        <v>0</v>
      </c>
      <c r="BH90" s="268">
        <f t="shared" si="161"/>
        <v>1</v>
      </c>
      <c r="BI90" s="268">
        <f t="shared" si="161"/>
        <v>2</v>
      </c>
      <c r="BJ90" s="268">
        <f t="shared" si="161"/>
        <v>3</v>
      </c>
      <c r="BK90" s="268">
        <f t="shared" si="161"/>
        <v>4</v>
      </c>
      <c r="BL90" s="269">
        <f t="shared" si="161"/>
        <v>5</v>
      </c>
      <c r="BM90" s="256">
        <f>IF($BC90=Lookup!$A$2,$BD90*ROUNDUP(BE90/10,0)+1,
IF($BC90=Lookup!$A$3,($BD90+1)^BD90,
IF($BC90=Lookup!$A$4,BE90*$BD90+1,"Error")))</f>
        <v>1</v>
      </c>
      <c r="BN90" s="229">
        <f>IF($BC90=Lookup!$A$2,$BD90*ROUNDUP(BF90/10,0)+1,
IF($BC90=Lookup!$A$3,($BD90+1)^BE90,
IF($BC90=Lookup!$A$4,BF90*$BD90+1,"Error")))</f>
        <v>1</v>
      </c>
      <c r="BO90" s="229">
        <f>IF($BC90=Lookup!$A$2,$BD90*ROUNDUP(BG90/10,0)+1,
IF($BC90=Lookup!$A$3,($BD90+1)^BF90,
IF($BC90=Lookup!$A$4,BG90*$BD90+1,"Error")))</f>
        <v>1</v>
      </c>
      <c r="BP90" s="229">
        <f>IF($BC90=Lookup!$A$2,$BD90*ROUNDUP(BH90/10,0)+1,
IF($BC90=Lookup!$A$3,($BD90+1)^BG90,
IF($BC90=Lookup!$A$4,BH90*$BD90+1,"Error")))</f>
        <v>0.99216783216799997</v>
      </c>
      <c r="BQ90" s="229">
        <f>IF($BC90=Lookup!$A$2,$BD90*ROUNDUP(BI90/10,0)+1,
IF($BC90=Lookup!$A$3,($BD90+1)^BH90,
IF($BC90=Lookup!$A$4,BI90*$BD90+1,"Error")))</f>
        <v>0.99216783216799997</v>
      </c>
      <c r="BR90" s="229">
        <f>IF($BC90=Lookup!$A$2,$BD90*ROUNDUP(BJ90/10,0)+1,
IF($BC90=Lookup!$A$3,($BD90+1)^BI90,
IF($BC90=Lookup!$A$4,BJ90*$BD90+1,"Error")))</f>
        <v>0.99216783216799997</v>
      </c>
      <c r="BS90" s="229">
        <f>IF($BC90=Lookup!$A$2,$BD90*ROUNDUP(BK90/10,0)+1,
IF($BC90=Lookup!$A$3,($BD90+1)^BJ90,
IF($BC90=Lookup!$A$4,BK90*$BD90+1,"Error")))</f>
        <v>0.99216783216799997</v>
      </c>
      <c r="BT90" s="249">
        <f>IF($BC90=Lookup!$A$2,$BD90*ROUNDUP(BL90/10,0)+1,
IF($BC90=Lookup!$A$3,($BD90+1)^BK90,
IF($BC90=Lookup!$A$4,BL90*$BD90+1,"Error")))</f>
        <v>0.99216783216799997</v>
      </c>
      <c r="BU90" s="320"/>
      <c r="BV90" s="321"/>
      <c r="BW90" s="321"/>
      <c r="BX90" s="321"/>
      <c r="BY90" s="321"/>
      <c r="BZ90" s="321"/>
      <c r="CA90" s="321"/>
      <c r="CB90" s="277"/>
      <c r="CC90" s="382" t="s">
        <v>293</v>
      </c>
      <c r="CD90" s="383">
        <f>HLOOKUP($CC90,$AK$6:$AM$132,ROWS(CC$6:CC90),0)</f>
        <v>0</v>
      </c>
      <c r="CE90" s="234">
        <f t="shared" si="142"/>
        <v>0</v>
      </c>
      <c r="CF90" s="96">
        <f t="shared" si="142"/>
        <v>0</v>
      </c>
      <c r="CG90" s="96">
        <f t="shared" si="142"/>
        <v>0</v>
      </c>
      <c r="CH90" s="96">
        <f t="shared" si="142"/>
        <v>0</v>
      </c>
      <c r="CI90" s="96">
        <f t="shared" si="84"/>
        <v>0</v>
      </c>
      <c r="CJ90" s="96">
        <f t="shared" si="84"/>
        <v>0</v>
      </c>
      <c r="CK90" s="96">
        <f t="shared" si="84"/>
        <v>0</v>
      </c>
      <c r="CL90" s="286">
        <f t="shared" si="84"/>
        <v>0</v>
      </c>
      <c r="CM90" s="305" t="s">
        <v>293</v>
      </c>
      <c r="CN90" s="315">
        <v>0.05</v>
      </c>
      <c r="CO90" s="306"/>
      <c r="CP90" s="307" t="str">
        <f>IF($CO90&lt;&gt;"",$CO90,HLOOKUP($CM90,$AY$6:$BA$132,ROWS(CO$6:CO90),0))</f>
        <v/>
      </c>
      <c r="CQ90" s="784" t="str">
        <f t="shared" si="138"/>
        <v/>
      </c>
      <c r="CR90" s="784" t="str">
        <f t="shared" si="138"/>
        <v/>
      </c>
      <c r="CS90" s="97" t="str">
        <f t="shared" si="138"/>
        <v/>
      </c>
      <c r="CT90" s="97" t="str">
        <f t="shared" si="138"/>
        <v/>
      </c>
      <c r="CU90" s="97" t="str">
        <f t="shared" si="138"/>
        <v/>
      </c>
      <c r="CV90" s="97" t="str">
        <f t="shared" si="138"/>
        <v/>
      </c>
      <c r="CW90" s="97" t="str">
        <f t="shared" si="138"/>
        <v/>
      </c>
      <c r="CX90" s="98" t="str">
        <f t="shared" si="62"/>
        <v/>
      </c>
      <c r="CY90" s="392"/>
    </row>
    <row r="91" spans="1:103" x14ac:dyDescent="0.25">
      <c r="A91" s="81" t="s">
        <v>138</v>
      </c>
      <c r="B91" s="82" t="s">
        <v>185</v>
      </c>
      <c r="C91" s="83" t="s">
        <v>381</v>
      </c>
      <c r="D91" s="84">
        <v>0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654">
        <f>'2022-23 Input'!G91</f>
        <v>0</v>
      </c>
      <c r="N91" s="1065">
        <v>0</v>
      </c>
      <c r="O91" s="560">
        <f t="shared" si="139"/>
        <v>0</v>
      </c>
      <c r="P91" s="561">
        <f t="shared" si="113"/>
        <v>0</v>
      </c>
      <c r="Q91" s="561">
        <f t="shared" si="114"/>
        <v>0</v>
      </c>
      <c r="R91" s="561">
        <f t="shared" si="115"/>
        <v>0</v>
      </c>
      <c r="S91" s="561">
        <f t="shared" si="116"/>
        <v>0</v>
      </c>
      <c r="T91" s="561">
        <f t="shared" si="117"/>
        <v>0</v>
      </c>
      <c r="U91" s="561">
        <f t="shared" si="118"/>
        <v>0</v>
      </c>
      <c r="V91" s="561">
        <f t="shared" si="119"/>
        <v>0</v>
      </c>
      <c r="W91" s="675">
        <f t="shared" si="120"/>
        <v>0</v>
      </c>
      <c r="X91" s="675">
        <f t="shared" si="121"/>
        <v>0</v>
      </c>
      <c r="Y91" s="675">
        <f t="shared" si="121"/>
        <v>0</v>
      </c>
      <c r="Z91" s="86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87">
        <v>0</v>
      </c>
      <c r="AI91" s="1094">
        <f>'2022-23 Input'!N91</f>
        <v>0</v>
      </c>
      <c r="AJ91" s="665">
        <v>0</v>
      </c>
      <c r="AK91" s="88">
        <f t="shared" si="122"/>
        <v>0</v>
      </c>
      <c r="AL91" s="89">
        <f t="shared" si="123"/>
        <v>0</v>
      </c>
      <c r="AM91" s="90">
        <f t="shared" si="124"/>
        <v>0</v>
      </c>
      <c r="AN91" s="91" t="str">
        <f t="shared" si="125"/>
        <v/>
      </c>
      <c r="AO91" s="92" t="str">
        <f t="shared" si="126"/>
        <v/>
      </c>
      <c r="AP91" s="92" t="str">
        <f t="shared" si="127"/>
        <v/>
      </c>
      <c r="AQ91" s="92" t="str">
        <f t="shared" si="128"/>
        <v/>
      </c>
      <c r="AR91" s="92" t="str">
        <f t="shared" si="129"/>
        <v/>
      </c>
      <c r="AS91" s="92" t="str">
        <f t="shared" si="130"/>
        <v/>
      </c>
      <c r="AT91" s="92" t="str">
        <f t="shared" si="131"/>
        <v/>
      </c>
      <c r="AU91" s="92" t="str">
        <f t="shared" si="132"/>
        <v/>
      </c>
      <c r="AV91" s="92" t="str">
        <f t="shared" si="157"/>
        <v/>
      </c>
      <c r="AW91" s="92" t="str">
        <f t="shared" si="157"/>
        <v/>
      </c>
      <c r="AX91" s="92" t="str">
        <f t="shared" si="157"/>
        <v/>
      </c>
      <c r="AY91" s="93" t="str">
        <f t="shared" si="134"/>
        <v/>
      </c>
      <c r="AZ91" s="94" t="str">
        <f t="shared" si="135"/>
        <v/>
      </c>
      <c r="BA91" s="95" t="str">
        <f t="shared" si="136"/>
        <v/>
      </c>
      <c r="BB91" s="248" t="s">
        <v>422</v>
      </c>
      <c r="BC91" s="229" t="s">
        <v>433</v>
      </c>
      <c r="BD91" s="249">
        <v>-7.8321678319999994E-3</v>
      </c>
      <c r="BE91" s="267">
        <f t="shared" si="140"/>
        <v>0</v>
      </c>
      <c r="BF91" s="268">
        <f t="shared" ref="BF91:BL91" si="162">IF(BF$6=$BB91,1,
IF(BE91&lt;&gt;0,BE91+1,0
))</f>
        <v>0</v>
      </c>
      <c r="BG91" s="268">
        <f t="shared" si="162"/>
        <v>0</v>
      </c>
      <c r="BH91" s="268">
        <f t="shared" si="162"/>
        <v>1</v>
      </c>
      <c r="BI91" s="268">
        <f t="shared" si="162"/>
        <v>2</v>
      </c>
      <c r="BJ91" s="268">
        <f t="shared" si="162"/>
        <v>3</v>
      </c>
      <c r="BK91" s="268">
        <f t="shared" si="162"/>
        <v>4</v>
      </c>
      <c r="BL91" s="269">
        <f t="shared" si="162"/>
        <v>5</v>
      </c>
      <c r="BM91" s="256">
        <f>IF($BC91=Lookup!$A$2,$BD91*ROUNDUP(BE91/10,0)+1,
IF($BC91=Lookup!$A$3,($BD91+1)^BD91,
IF($BC91=Lookup!$A$4,BE91*$BD91+1,"Error")))</f>
        <v>1</v>
      </c>
      <c r="BN91" s="229">
        <f>IF($BC91=Lookup!$A$2,$BD91*ROUNDUP(BF91/10,0)+1,
IF($BC91=Lookup!$A$3,($BD91+1)^BE91,
IF($BC91=Lookup!$A$4,BF91*$BD91+1,"Error")))</f>
        <v>1</v>
      </c>
      <c r="BO91" s="229">
        <f>IF($BC91=Lookup!$A$2,$BD91*ROUNDUP(BG91/10,0)+1,
IF($BC91=Lookup!$A$3,($BD91+1)^BF91,
IF($BC91=Lookup!$A$4,BG91*$BD91+1,"Error")))</f>
        <v>1</v>
      </c>
      <c r="BP91" s="229">
        <f>IF($BC91=Lookup!$A$2,$BD91*ROUNDUP(BH91/10,0)+1,
IF($BC91=Lookup!$A$3,($BD91+1)^BG91,
IF($BC91=Lookup!$A$4,BH91*$BD91+1,"Error")))</f>
        <v>0.99216783216799997</v>
      </c>
      <c r="BQ91" s="229">
        <f>IF($BC91=Lookup!$A$2,$BD91*ROUNDUP(BI91/10,0)+1,
IF($BC91=Lookup!$A$3,($BD91+1)^BH91,
IF($BC91=Lookup!$A$4,BI91*$BD91+1,"Error")))</f>
        <v>0.99216783216799997</v>
      </c>
      <c r="BR91" s="229">
        <f>IF($BC91=Lookup!$A$2,$BD91*ROUNDUP(BJ91/10,0)+1,
IF($BC91=Lookup!$A$3,($BD91+1)^BI91,
IF($BC91=Lookup!$A$4,BJ91*$BD91+1,"Error")))</f>
        <v>0.99216783216799997</v>
      </c>
      <c r="BS91" s="229">
        <f>IF($BC91=Lookup!$A$2,$BD91*ROUNDUP(BK91/10,0)+1,
IF($BC91=Lookup!$A$3,($BD91+1)^BJ91,
IF($BC91=Lookup!$A$4,BK91*$BD91+1,"Error")))</f>
        <v>0.99216783216799997</v>
      </c>
      <c r="BT91" s="249">
        <f>IF($BC91=Lookup!$A$2,$BD91*ROUNDUP(BL91/10,0)+1,
IF($BC91=Lookup!$A$3,($BD91+1)^BK91,
IF($BC91=Lookup!$A$4,BL91*$BD91+1,"Error")))</f>
        <v>0.99216783216799997</v>
      </c>
      <c r="BU91" s="320"/>
      <c r="BV91" s="321"/>
      <c r="BW91" s="321"/>
      <c r="BX91" s="321"/>
      <c r="BY91" s="321"/>
      <c r="BZ91" s="321"/>
      <c r="CA91" s="321"/>
      <c r="CB91" s="277"/>
      <c r="CC91" s="382" t="s">
        <v>293</v>
      </c>
      <c r="CD91" s="383">
        <f>HLOOKUP($CC91,$AK$6:$AM$132,ROWS(CC$6:CC91),0)</f>
        <v>0</v>
      </c>
      <c r="CE91" s="234">
        <f t="shared" si="142"/>
        <v>0</v>
      </c>
      <c r="CF91" s="96">
        <f t="shared" si="142"/>
        <v>0</v>
      </c>
      <c r="CG91" s="96">
        <f t="shared" si="142"/>
        <v>0</v>
      </c>
      <c r="CH91" s="96">
        <f t="shared" si="142"/>
        <v>0</v>
      </c>
      <c r="CI91" s="96">
        <f t="shared" si="84"/>
        <v>0</v>
      </c>
      <c r="CJ91" s="96">
        <f t="shared" si="84"/>
        <v>0</v>
      </c>
      <c r="CK91" s="96">
        <f t="shared" si="84"/>
        <v>0</v>
      </c>
      <c r="CL91" s="286">
        <f t="shared" si="84"/>
        <v>0</v>
      </c>
      <c r="CM91" s="305" t="s">
        <v>293</v>
      </c>
      <c r="CN91" s="315">
        <v>0.05</v>
      </c>
      <c r="CO91" s="306"/>
      <c r="CP91" s="307" t="str">
        <f>IF($CO91&lt;&gt;"",$CO91,HLOOKUP($CM91,$AY$6:$BA$132,ROWS(CO$6:CO91),0))</f>
        <v/>
      </c>
      <c r="CQ91" s="784" t="str">
        <f t="shared" si="138"/>
        <v/>
      </c>
      <c r="CR91" s="784" t="str">
        <f t="shared" si="138"/>
        <v/>
      </c>
      <c r="CS91" s="97" t="str">
        <f t="shared" si="138"/>
        <v/>
      </c>
      <c r="CT91" s="97" t="str">
        <f t="shared" si="138"/>
        <v/>
      </c>
      <c r="CU91" s="97" t="str">
        <f t="shared" si="138"/>
        <v/>
      </c>
      <c r="CV91" s="97" t="str">
        <f t="shared" si="138"/>
        <v/>
      </c>
      <c r="CW91" s="97" t="str">
        <f t="shared" si="138"/>
        <v/>
      </c>
      <c r="CX91" s="98" t="str">
        <f t="shared" si="62"/>
        <v/>
      </c>
      <c r="CY91" s="392"/>
    </row>
    <row r="92" spans="1:103" x14ac:dyDescent="0.25">
      <c r="A92" s="81" t="s">
        <v>138</v>
      </c>
      <c r="B92" s="82" t="s">
        <v>187</v>
      </c>
      <c r="C92" s="83" t="s">
        <v>382</v>
      </c>
      <c r="D92" s="84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654">
        <f>'2022-23 Input'!G92</f>
        <v>0</v>
      </c>
      <c r="N92" s="1065">
        <v>0</v>
      </c>
      <c r="O92" s="560">
        <f t="shared" si="139"/>
        <v>0</v>
      </c>
      <c r="P92" s="561">
        <f t="shared" si="113"/>
        <v>0</v>
      </c>
      <c r="Q92" s="561">
        <f t="shared" si="114"/>
        <v>0</v>
      </c>
      <c r="R92" s="561">
        <f t="shared" si="115"/>
        <v>0</v>
      </c>
      <c r="S92" s="561">
        <f t="shared" si="116"/>
        <v>0</v>
      </c>
      <c r="T92" s="561">
        <f t="shared" si="117"/>
        <v>0</v>
      </c>
      <c r="U92" s="561">
        <f t="shared" si="118"/>
        <v>0</v>
      </c>
      <c r="V92" s="561">
        <f t="shared" si="119"/>
        <v>0</v>
      </c>
      <c r="W92" s="675">
        <f t="shared" si="120"/>
        <v>0</v>
      </c>
      <c r="X92" s="675">
        <f t="shared" si="121"/>
        <v>0</v>
      </c>
      <c r="Y92" s="675">
        <f t="shared" si="121"/>
        <v>0</v>
      </c>
      <c r="Z92" s="86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1094">
        <f>'2022-23 Input'!N92</f>
        <v>0</v>
      </c>
      <c r="AJ92" s="665">
        <v>0</v>
      </c>
      <c r="AK92" s="88">
        <f t="shared" si="122"/>
        <v>0</v>
      </c>
      <c r="AL92" s="89">
        <f t="shared" si="123"/>
        <v>0</v>
      </c>
      <c r="AM92" s="90">
        <f t="shared" si="124"/>
        <v>0</v>
      </c>
      <c r="AN92" s="91" t="str">
        <f t="shared" si="125"/>
        <v/>
      </c>
      <c r="AO92" s="92" t="str">
        <f t="shared" si="126"/>
        <v/>
      </c>
      <c r="AP92" s="92" t="str">
        <f t="shared" si="127"/>
        <v/>
      </c>
      <c r="AQ92" s="92" t="str">
        <f t="shared" si="128"/>
        <v/>
      </c>
      <c r="AR92" s="92" t="str">
        <f t="shared" si="129"/>
        <v/>
      </c>
      <c r="AS92" s="92" t="str">
        <f t="shared" si="130"/>
        <v/>
      </c>
      <c r="AT92" s="92" t="str">
        <f t="shared" si="131"/>
        <v/>
      </c>
      <c r="AU92" s="92" t="str">
        <f t="shared" si="132"/>
        <v/>
      </c>
      <c r="AV92" s="92" t="str">
        <f t="shared" si="157"/>
        <v/>
      </c>
      <c r="AW92" s="92" t="str">
        <f t="shared" si="157"/>
        <v/>
      </c>
      <c r="AX92" s="92" t="str">
        <f t="shared" si="157"/>
        <v/>
      </c>
      <c r="AY92" s="93" t="str">
        <f t="shared" si="134"/>
        <v/>
      </c>
      <c r="AZ92" s="94" t="str">
        <f t="shared" si="135"/>
        <v/>
      </c>
      <c r="BA92" s="95" t="str">
        <f t="shared" si="136"/>
        <v/>
      </c>
      <c r="BB92" s="248" t="s">
        <v>422</v>
      </c>
      <c r="BC92" s="229" t="s">
        <v>433</v>
      </c>
      <c r="BD92" s="249">
        <v>-7.8321678319999994E-3</v>
      </c>
      <c r="BE92" s="267">
        <f t="shared" si="140"/>
        <v>0</v>
      </c>
      <c r="BF92" s="268">
        <f t="shared" ref="BF92:BL92" si="163">IF(BF$6=$BB92,1,
IF(BE92&lt;&gt;0,BE92+1,0
))</f>
        <v>0</v>
      </c>
      <c r="BG92" s="268">
        <f t="shared" si="163"/>
        <v>0</v>
      </c>
      <c r="BH92" s="268">
        <f t="shared" si="163"/>
        <v>1</v>
      </c>
      <c r="BI92" s="268">
        <f t="shared" si="163"/>
        <v>2</v>
      </c>
      <c r="BJ92" s="268">
        <f t="shared" si="163"/>
        <v>3</v>
      </c>
      <c r="BK92" s="268">
        <f t="shared" si="163"/>
        <v>4</v>
      </c>
      <c r="BL92" s="269">
        <f t="shared" si="163"/>
        <v>5</v>
      </c>
      <c r="BM92" s="256">
        <f>IF($BC92=Lookup!$A$2,$BD92*ROUNDUP(BE92/10,0)+1,
IF($BC92=Lookup!$A$3,($BD92+1)^BD92,
IF($BC92=Lookup!$A$4,BE92*$BD92+1,"Error")))</f>
        <v>1</v>
      </c>
      <c r="BN92" s="229">
        <f>IF($BC92=Lookup!$A$2,$BD92*ROUNDUP(BF92/10,0)+1,
IF($BC92=Lookup!$A$3,($BD92+1)^BE92,
IF($BC92=Lookup!$A$4,BF92*$BD92+1,"Error")))</f>
        <v>1</v>
      </c>
      <c r="BO92" s="229">
        <f>IF($BC92=Lookup!$A$2,$BD92*ROUNDUP(BG92/10,0)+1,
IF($BC92=Lookup!$A$3,($BD92+1)^BF92,
IF($BC92=Lookup!$A$4,BG92*$BD92+1,"Error")))</f>
        <v>1</v>
      </c>
      <c r="BP92" s="229">
        <f>IF($BC92=Lookup!$A$2,$BD92*ROUNDUP(BH92/10,0)+1,
IF($BC92=Lookup!$A$3,($BD92+1)^BG92,
IF($BC92=Lookup!$A$4,BH92*$BD92+1,"Error")))</f>
        <v>0.99216783216799997</v>
      </c>
      <c r="BQ92" s="229">
        <f>IF($BC92=Lookup!$A$2,$BD92*ROUNDUP(BI92/10,0)+1,
IF($BC92=Lookup!$A$3,($BD92+1)^BH92,
IF($BC92=Lookup!$A$4,BI92*$BD92+1,"Error")))</f>
        <v>0.99216783216799997</v>
      </c>
      <c r="BR92" s="229">
        <f>IF($BC92=Lookup!$A$2,$BD92*ROUNDUP(BJ92/10,0)+1,
IF($BC92=Lookup!$A$3,($BD92+1)^BI92,
IF($BC92=Lookup!$A$4,BJ92*$BD92+1,"Error")))</f>
        <v>0.99216783216799997</v>
      </c>
      <c r="BS92" s="229">
        <f>IF($BC92=Lookup!$A$2,$BD92*ROUNDUP(BK92/10,0)+1,
IF($BC92=Lookup!$A$3,($BD92+1)^BJ92,
IF($BC92=Lookup!$A$4,BK92*$BD92+1,"Error")))</f>
        <v>0.99216783216799997</v>
      </c>
      <c r="BT92" s="249">
        <f>IF($BC92=Lookup!$A$2,$BD92*ROUNDUP(BL92/10,0)+1,
IF($BC92=Lookup!$A$3,($BD92+1)^BK92,
IF($BC92=Lookup!$A$4,BL92*$BD92+1,"Error")))</f>
        <v>0.99216783216799997</v>
      </c>
      <c r="BU92" s="320"/>
      <c r="BV92" s="321"/>
      <c r="BW92" s="321"/>
      <c r="BX92" s="321"/>
      <c r="BY92" s="321"/>
      <c r="BZ92" s="321"/>
      <c r="CA92" s="321"/>
      <c r="CB92" s="277"/>
      <c r="CC92" s="382" t="s">
        <v>293</v>
      </c>
      <c r="CD92" s="383">
        <f>HLOOKUP($CC92,$AK$6:$AM$132,ROWS(CC$6:CC92),0)</f>
        <v>0</v>
      </c>
      <c r="CE92" s="234">
        <f t="shared" si="142"/>
        <v>0</v>
      </c>
      <c r="CF92" s="96">
        <f t="shared" si="142"/>
        <v>0</v>
      </c>
      <c r="CG92" s="96">
        <f t="shared" si="142"/>
        <v>0</v>
      </c>
      <c r="CH92" s="96">
        <f t="shared" si="142"/>
        <v>0</v>
      </c>
      <c r="CI92" s="96">
        <f t="shared" si="84"/>
        <v>0</v>
      </c>
      <c r="CJ92" s="96">
        <f t="shared" si="84"/>
        <v>0</v>
      </c>
      <c r="CK92" s="96">
        <f t="shared" si="84"/>
        <v>0</v>
      </c>
      <c r="CL92" s="286">
        <f t="shared" si="84"/>
        <v>0</v>
      </c>
      <c r="CM92" s="305" t="s">
        <v>293</v>
      </c>
      <c r="CN92" s="315">
        <v>0.05</v>
      </c>
      <c r="CO92" s="306"/>
      <c r="CP92" s="307" t="str">
        <f>IF($CO92&lt;&gt;"",$CO92,HLOOKUP($CM92,$AY$6:$BA$132,ROWS(CO$6:CO92),0))</f>
        <v/>
      </c>
      <c r="CQ92" s="784" t="str">
        <f t="shared" si="138"/>
        <v/>
      </c>
      <c r="CR92" s="784" t="str">
        <f t="shared" si="138"/>
        <v/>
      </c>
      <c r="CS92" s="97" t="str">
        <f t="shared" si="138"/>
        <v/>
      </c>
      <c r="CT92" s="97" t="str">
        <f t="shared" si="138"/>
        <v/>
      </c>
      <c r="CU92" s="97" t="str">
        <f t="shared" si="138"/>
        <v/>
      </c>
      <c r="CV92" s="97" t="str">
        <f t="shared" si="138"/>
        <v/>
      </c>
      <c r="CW92" s="97" t="str">
        <f t="shared" si="138"/>
        <v/>
      </c>
      <c r="CX92" s="98" t="str">
        <f t="shared" si="62"/>
        <v/>
      </c>
      <c r="CY92" s="392"/>
    </row>
    <row r="93" spans="1:103" x14ac:dyDescent="0.25">
      <c r="A93" s="81" t="s">
        <v>138</v>
      </c>
      <c r="B93" s="82" t="s">
        <v>189</v>
      </c>
      <c r="C93" s="83" t="s">
        <v>383</v>
      </c>
      <c r="D93" s="84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654">
        <f>'2022-23 Input'!G93</f>
        <v>0</v>
      </c>
      <c r="N93" s="1065">
        <v>0</v>
      </c>
      <c r="O93" s="560">
        <f t="shared" si="139"/>
        <v>0</v>
      </c>
      <c r="P93" s="561">
        <f t="shared" si="113"/>
        <v>0</v>
      </c>
      <c r="Q93" s="561">
        <f t="shared" si="114"/>
        <v>0</v>
      </c>
      <c r="R93" s="561">
        <f t="shared" si="115"/>
        <v>0</v>
      </c>
      <c r="S93" s="561">
        <f t="shared" si="116"/>
        <v>0</v>
      </c>
      <c r="T93" s="561">
        <f t="shared" si="117"/>
        <v>0</v>
      </c>
      <c r="U93" s="561">
        <f t="shared" si="118"/>
        <v>0</v>
      </c>
      <c r="V93" s="561">
        <f t="shared" si="119"/>
        <v>0</v>
      </c>
      <c r="W93" s="675">
        <f t="shared" si="120"/>
        <v>0</v>
      </c>
      <c r="X93" s="675">
        <f t="shared" si="121"/>
        <v>0</v>
      </c>
      <c r="Y93" s="675">
        <f t="shared" si="121"/>
        <v>0</v>
      </c>
      <c r="Z93" s="86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87">
        <v>0</v>
      </c>
      <c r="AI93" s="1094">
        <f>'2022-23 Input'!N93</f>
        <v>0</v>
      </c>
      <c r="AJ93" s="665">
        <v>0</v>
      </c>
      <c r="AK93" s="88">
        <f t="shared" si="122"/>
        <v>0</v>
      </c>
      <c r="AL93" s="89">
        <f t="shared" si="123"/>
        <v>0</v>
      </c>
      <c r="AM93" s="90">
        <f t="shared" si="124"/>
        <v>0</v>
      </c>
      <c r="AN93" s="91" t="str">
        <f t="shared" si="125"/>
        <v/>
      </c>
      <c r="AO93" s="92" t="str">
        <f t="shared" si="126"/>
        <v/>
      </c>
      <c r="AP93" s="92" t="str">
        <f t="shared" si="127"/>
        <v/>
      </c>
      <c r="AQ93" s="92" t="str">
        <f t="shared" si="128"/>
        <v/>
      </c>
      <c r="AR93" s="92" t="str">
        <f t="shared" si="129"/>
        <v/>
      </c>
      <c r="AS93" s="92" t="str">
        <f t="shared" si="130"/>
        <v/>
      </c>
      <c r="AT93" s="92" t="str">
        <f t="shared" si="131"/>
        <v/>
      </c>
      <c r="AU93" s="92" t="str">
        <f t="shared" si="132"/>
        <v/>
      </c>
      <c r="AV93" s="92" t="str">
        <f t="shared" si="157"/>
        <v/>
      </c>
      <c r="AW93" s="92" t="str">
        <f t="shared" si="157"/>
        <v/>
      </c>
      <c r="AX93" s="92" t="str">
        <f t="shared" si="157"/>
        <v/>
      </c>
      <c r="AY93" s="93" t="str">
        <f t="shared" si="134"/>
        <v/>
      </c>
      <c r="AZ93" s="94" t="str">
        <f t="shared" si="135"/>
        <v/>
      </c>
      <c r="BA93" s="95" t="str">
        <f t="shared" si="136"/>
        <v/>
      </c>
      <c r="BB93" s="248" t="s">
        <v>422</v>
      </c>
      <c r="BC93" s="229" t="s">
        <v>433</v>
      </c>
      <c r="BD93" s="249">
        <v>-7.8321678319999994E-3</v>
      </c>
      <c r="BE93" s="267">
        <f t="shared" si="140"/>
        <v>0</v>
      </c>
      <c r="BF93" s="268">
        <f t="shared" ref="BF93:BL93" si="164">IF(BF$6=$BB93,1,
IF(BE93&lt;&gt;0,BE93+1,0
))</f>
        <v>0</v>
      </c>
      <c r="BG93" s="268">
        <f t="shared" si="164"/>
        <v>0</v>
      </c>
      <c r="BH93" s="268">
        <f t="shared" si="164"/>
        <v>1</v>
      </c>
      <c r="BI93" s="268">
        <f t="shared" si="164"/>
        <v>2</v>
      </c>
      <c r="BJ93" s="268">
        <f t="shared" si="164"/>
        <v>3</v>
      </c>
      <c r="BK93" s="268">
        <f t="shared" si="164"/>
        <v>4</v>
      </c>
      <c r="BL93" s="269">
        <f t="shared" si="164"/>
        <v>5</v>
      </c>
      <c r="BM93" s="256">
        <f>IF($BC93=Lookup!$A$2,$BD93*ROUNDUP(BE93/10,0)+1,
IF($BC93=Lookup!$A$3,($BD93+1)^BD93,
IF($BC93=Lookup!$A$4,BE93*$BD93+1,"Error")))</f>
        <v>1</v>
      </c>
      <c r="BN93" s="229">
        <f>IF($BC93=Lookup!$A$2,$BD93*ROUNDUP(BF93/10,0)+1,
IF($BC93=Lookup!$A$3,($BD93+1)^BE93,
IF($BC93=Lookup!$A$4,BF93*$BD93+1,"Error")))</f>
        <v>1</v>
      </c>
      <c r="BO93" s="229">
        <f>IF($BC93=Lookup!$A$2,$BD93*ROUNDUP(BG93/10,0)+1,
IF($BC93=Lookup!$A$3,($BD93+1)^BF93,
IF($BC93=Lookup!$A$4,BG93*$BD93+1,"Error")))</f>
        <v>1</v>
      </c>
      <c r="BP93" s="229">
        <f>IF($BC93=Lookup!$A$2,$BD93*ROUNDUP(BH93/10,0)+1,
IF($BC93=Lookup!$A$3,($BD93+1)^BG93,
IF($BC93=Lookup!$A$4,BH93*$BD93+1,"Error")))</f>
        <v>0.99216783216799997</v>
      </c>
      <c r="BQ93" s="229">
        <f>IF($BC93=Lookup!$A$2,$BD93*ROUNDUP(BI93/10,0)+1,
IF($BC93=Lookup!$A$3,($BD93+1)^BH93,
IF($BC93=Lookup!$A$4,BI93*$BD93+1,"Error")))</f>
        <v>0.99216783216799997</v>
      </c>
      <c r="BR93" s="229">
        <f>IF($BC93=Lookup!$A$2,$BD93*ROUNDUP(BJ93/10,0)+1,
IF($BC93=Lookup!$A$3,($BD93+1)^BI93,
IF($BC93=Lookup!$A$4,BJ93*$BD93+1,"Error")))</f>
        <v>0.99216783216799997</v>
      </c>
      <c r="BS93" s="229">
        <f>IF($BC93=Lookup!$A$2,$BD93*ROUNDUP(BK93/10,0)+1,
IF($BC93=Lookup!$A$3,($BD93+1)^BJ93,
IF($BC93=Lookup!$A$4,BK93*$BD93+1,"Error")))</f>
        <v>0.99216783216799997</v>
      </c>
      <c r="BT93" s="249">
        <f>IF($BC93=Lookup!$A$2,$BD93*ROUNDUP(BL93/10,0)+1,
IF($BC93=Lookup!$A$3,($BD93+1)^BK93,
IF($BC93=Lookup!$A$4,BL93*$BD93+1,"Error")))</f>
        <v>0.99216783216799997</v>
      </c>
      <c r="BU93" s="320"/>
      <c r="BV93" s="321"/>
      <c r="BW93" s="321"/>
      <c r="BX93" s="321"/>
      <c r="BY93" s="321"/>
      <c r="BZ93" s="321"/>
      <c r="CA93" s="321"/>
      <c r="CB93" s="277"/>
      <c r="CC93" s="382" t="s">
        <v>293</v>
      </c>
      <c r="CD93" s="383">
        <f>HLOOKUP($CC93,$AK$6:$AM$132,ROWS(CC$6:CC93),0)</f>
        <v>0</v>
      </c>
      <c r="CE93" s="234">
        <f t="shared" si="142"/>
        <v>0</v>
      </c>
      <c r="CF93" s="96">
        <f t="shared" si="142"/>
        <v>0</v>
      </c>
      <c r="CG93" s="96">
        <f t="shared" si="142"/>
        <v>0</v>
      </c>
      <c r="CH93" s="96">
        <f t="shared" si="142"/>
        <v>0</v>
      </c>
      <c r="CI93" s="96">
        <f t="shared" si="84"/>
        <v>0</v>
      </c>
      <c r="CJ93" s="96">
        <f t="shared" si="84"/>
        <v>0</v>
      </c>
      <c r="CK93" s="96">
        <f t="shared" si="84"/>
        <v>0</v>
      </c>
      <c r="CL93" s="286">
        <f t="shared" si="84"/>
        <v>0</v>
      </c>
      <c r="CM93" s="305" t="s">
        <v>293</v>
      </c>
      <c r="CN93" s="315">
        <v>0.05</v>
      </c>
      <c r="CO93" s="306"/>
      <c r="CP93" s="307" t="str">
        <f>IF($CO93&lt;&gt;"",$CO93,HLOOKUP($CM93,$AY$6:$BA$132,ROWS(CO$6:CO93),0))</f>
        <v/>
      </c>
      <c r="CQ93" s="784" t="str">
        <f t="shared" si="138"/>
        <v/>
      </c>
      <c r="CR93" s="784" t="str">
        <f t="shared" si="138"/>
        <v/>
      </c>
      <c r="CS93" s="97" t="str">
        <f t="shared" si="138"/>
        <v/>
      </c>
      <c r="CT93" s="97" t="str">
        <f t="shared" si="138"/>
        <v/>
      </c>
      <c r="CU93" s="97" t="str">
        <f t="shared" si="138"/>
        <v/>
      </c>
      <c r="CV93" s="97" t="str">
        <f t="shared" si="138"/>
        <v/>
      </c>
      <c r="CW93" s="97" t="str">
        <f t="shared" si="138"/>
        <v/>
      </c>
      <c r="CX93" s="98" t="str">
        <f t="shared" si="62"/>
        <v/>
      </c>
      <c r="CY93" s="392"/>
    </row>
    <row r="94" spans="1:103" x14ac:dyDescent="0.25">
      <c r="A94" s="81" t="s">
        <v>138</v>
      </c>
      <c r="B94" s="82" t="s">
        <v>191</v>
      </c>
      <c r="C94" s="83" t="s">
        <v>384</v>
      </c>
      <c r="D94" s="84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654">
        <f>'2022-23 Input'!G94</f>
        <v>0</v>
      </c>
      <c r="N94" s="1065">
        <v>0</v>
      </c>
      <c r="O94" s="560">
        <f t="shared" si="139"/>
        <v>0</v>
      </c>
      <c r="P94" s="561">
        <f t="shared" si="113"/>
        <v>0</v>
      </c>
      <c r="Q94" s="561">
        <f t="shared" si="114"/>
        <v>0</v>
      </c>
      <c r="R94" s="561">
        <f t="shared" si="115"/>
        <v>0</v>
      </c>
      <c r="S94" s="561">
        <f t="shared" si="116"/>
        <v>0</v>
      </c>
      <c r="T94" s="561">
        <f t="shared" si="117"/>
        <v>0</v>
      </c>
      <c r="U94" s="561">
        <f t="shared" si="118"/>
        <v>0</v>
      </c>
      <c r="V94" s="561">
        <f t="shared" si="119"/>
        <v>0</v>
      </c>
      <c r="W94" s="675">
        <f t="shared" si="120"/>
        <v>0</v>
      </c>
      <c r="X94" s="675">
        <f t="shared" si="121"/>
        <v>0</v>
      </c>
      <c r="Y94" s="675">
        <f t="shared" si="121"/>
        <v>0</v>
      </c>
      <c r="Z94" s="86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87">
        <v>0</v>
      </c>
      <c r="AI94" s="1094">
        <f>'2022-23 Input'!N94</f>
        <v>0</v>
      </c>
      <c r="AJ94" s="665">
        <v>0</v>
      </c>
      <c r="AK94" s="88">
        <f t="shared" si="122"/>
        <v>0</v>
      </c>
      <c r="AL94" s="89">
        <f t="shared" si="123"/>
        <v>0</v>
      </c>
      <c r="AM94" s="90">
        <f t="shared" si="124"/>
        <v>0</v>
      </c>
      <c r="AN94" s="91" t="str">
        <f t="shared" si="125"/>
        <v/>
      </c>
      <c r="AO94" s="92" t="str">
        <f t="shared" si="126"/>
        <v/>
      </c>
      <c r="AP94" s="92" t="str">
        <f t="shared" si="127"/>
        <v/>
      </c>
      <c r="AQ94" s="92" t="str">
        <f t="shared" si="128"/>
        <v/>
      </c>
      <c r="AR94" s="92" t="str">
        <f t="shared" si="129"/>
        <v/>
      </c>
      <c r="AS94" s="92" t="str">
        <f t="shared" si="130"/>
        <v/>
      </c>
      <c r="AT94" s="92" t="str">
        <f t="shared" si="131"/>
        <v/>
      </c>
      <c r="AU94" s="92" t="str">
        <f t="shared" si="132"/>
        <v/>
      </c>
      <c r="AV94" s="92" t="str">
        <f t="shared" si="157"/>
        <v/>
      </c>
      <c r="AW94" s="92" t="str">
        <f t="shared" si="157"/>
        <v/>
      </c>
      <c r="AX94" s="92" t="str">
        <f t="shared" si="157"/>
        <v/>
      </c>
      <c r="AY94" s="93" t="str">
        <f t="shared" si="134"/>
        <v/>
      </c>
      <c r="AZ94" s="94" t="str">
        <f t="shared" si="135"/>
        <v/>
      </c>
      <c r="BA94" s="95" t="str">
        <f t="shared" si="136"/>
        <v/>
      </c>
      <c r="BB94" s="248" t="s">
        <v>422</v>
      </c>
      <c r="BC94" s="229" t="s">
        <v>433</v>
      </c>
      <c r="BD94" s="249">
        <v>-7.8321678319999994E-3</v>
      </c>
      <c r="BE94" s="267">
        <f t="shared" si="140"/>
        <v>0</v>
      </c>
      <c r="BF94" s="268">
        <f t="shared" ref="BF94:BL94" si="165">IF(BF$6=$BB94,1,
IF(BE94&lt;&gt;0,BE94+1,0
))</f>
        <v>0</v>
      </c>
      <c r="BG94" s="268">
        <f t="shared" si="165"/>
        <v>0</v>
      </c>
      <c r="BH94" s="268">
        <f t="shared" si="165"/>
        <v>1</v>
      </c>
      <c r="BI94" s="268">
        <f t="shared" si="165"/>
        <v>2</v>
      </c>
      <c r="BJ94" s="268">
        <f t="shared" si="165"/>
        <v>3</v>
      </c>
      <c r="BK94" s="268">
        <f t="shared" si="165"/>
        <v>4</v>
      </c>
      <c r="BL94" s="269">
        <f t="shared" si="165"/>
        <v>5</v>
      </c>
      <c r="BM94" s="256">
        <f>IF($BC94=Lookup!$A$2,$BD94*ROUNDUP(BE94/10,0)+1,
IF($BC94=Lookup!$A$3,($BD94+1)^BD94,
IF($BC94=Lookup!$A$4,BE94*$BD94+1,"Error")))</f>
        <v>1</v>
      </c>
      <c r="BN94" s="229">
        <f>IF($BC94=Lookup!$A$2,$BD94*ROUNDUP(BF94/10,0)+1,
IF($BC94=Lookup!$A$3,($BD94+1)^BE94,
IF($BC94=Lookup!$A$4,BF94*$BD94+1,"Error")))</f>
        <v>1</v>
      </c>
      <c r="BO94" s="229">
        <f>IF($BC94=Lookup!$A$2,$BD94*ROUNDUP(BG94/10,0)+1,
IF($BC94=Lookup!$A$3,($BD94+1)^BF94,
IF($BC94=Lookup!$A$4,BG94*$BD94+1,"Error")))</f>
        <v>1</v>
      </c>
      <c r="BP94" s="229">
        <f>IF($BC94=Lookup!$A$2,$BD94*ROUNDUP(BH94/10,0)+1,
IF($BC94=Lookup!$A$3,($BD94+1)^BG94,
IF($BC94=Lookup!$A$4,BH94*$BD94+1,"Error")))</f>
        <v>0.99216783216799997</v>
      </c>
      <c r="BQ94" s="229">
        <f>IF($BC94=Lookup!$A$2,$BD94*ROUNDUP(BI94/10,0)+1,
IF($BC94=Lookup!$A$3,($BD94+1)^BH94,
IF($BC94=Lookup!$A$4,BI94*$BD94+1,"Error")))</f>
        <v>0.99216783216799997</v>
      </c>
      <c r="BR94" s="229">
        <f>IF($BC94=Lookup!$A$2,$BD94*ROUNDUP(BJ94/10,0)+1,
IF($BC94=Lookup!$A$3,($BD94+1)^BI94,
IF($BC94=Lookup!$A$4,BJ94*$BD94+1,"Error")))</f>
        <v>0.99216783216799997</v>
      </c>
      <c r="BS94" s="229">
        <f>IF($BC94=Lookup!$A$2,$BD94*ROUNDUP(BK94/10,0)+1,
IF($BC94=Lookup!$A$3,($BD94+1)^BJ94,
IF($BC94=Lookup!$A$4,BK94*$BD94+1,"Error")))</f>
        <v>0.99216783216799997</v>
      </c>
      <c r="BT94" s="249">
        <f>IF($BC94=Lookup!$A$2,$BD94*ROUNDUP(BL94/10,0)+1,
IF($BC94=Lookup!$A$3,($BD94+1)^BK94,
IF($BC94=Lookup!$A$4,BL94*$BD94+1,"Error")))</f>
        <v>0.99216783216799997</v>
      </c>
      <c r="BU94" s="320"/>
      <c r="BV94" s="321"/>
      <c r="BW94" s="321"/>
      <c r="BX94" s="321"/>
      <c r="BY94" s="321"/>
      <c r="BZ94" s="321"/>
      <c r="CA94" s="321"/>
      <c r="CB94" s="277"/>
      <c r="CC94" s="382" t="s">
        <v>293</v>
      </c>
      <c r="CD94" s="383">
        <f>HLOOKUP($CC94,$AK$6:$AM$132,ROWS(CC$6:CC94),0)</f>
        <v>0</v>
      </c>
      <c r="CE94" s="234">
        <f t="shared" si="142"/>
        <v>0</v>
      </c>
      <c r="CF94" s="96">
        <f t="shared" si="142"/>
        <v>0</v>
      </c>
      <c r="CG94" s="96">
        <f t="shared" si="142"/>
        <v>0</v>
      </c>
      <c r="CH94" s="96">
        <f t="shared" si="142"/>
        <v>0</v>
      </c>
      <c r="CI94" s="96">
        <f t="shared" si="84"/>
        <v>0</v>
      </c>
      <c r="CJ94" s="96">
        <f t="shared" si="84"/>
        <v>0</v>
      </c>
      <c r="CK94" s="96">
        <f t="shared" si="84"/>
        <v>0</v>
      </c>
      <c r="CL94" s="286">
        <f t="shared" si="84"/>
        <v>0</v>
      </c>
      <c r="CM94" s="305" t="s">
        <v>293</v>
      </c>
      <c r="CN94" s="315">
        <v>0.05</v>
      </c>
      <c r="CO94" s="306"/>
      <c r="CP94" s="307" t="str">
        <f>IF($CO94&lt;&gt;"",$CO94,HLOOKUP($CM94,$AY$6:$BA$132,ROWS(CO$6:CO94),0))</f>
        <v/>
      </c>
      <c r="CQ94" s="784" t="str">
        <f t="shared" si="138"/>
        <v/>
      </c>
      <c r="CR94" s="784" t="str">
        <f t="shared" si="138"/>
        <v/>
      </c>
      <c r="CS94" s="97" t="str">
        <f t="shared" si="138"/>
        <v/>
      </c>
      <c r="CT94" s="97" t="str">
        <f t="shared" si="138"/>
        <v/>
      </c>
      <c r="CU94" s="97" t="str">
        <f t="shared" si="138"/>
        <v/>
      </c>
      <c r="CV94" s="97" t="str">
        <f t="shared" si="138"/>
        <v/>
      </c>
      <c r="CW94" s="97" t="str">
        <f t="shared" si="138"/>
        <v/>
      </c>
      <c r="CX94" s="98" t="str">
        <f t="shared" si="62"/>
        <v/>
      </c>
      <c r="CY94" s="392"/>
    </row>
    <row r="95" spans="1:103" ht="15.75" thickBot="1" x14ac:dyDescent="0.3">
      <c r="A95" s="100" t="s">
        <v>138</v>
      </c>
      <c r="B95" s="101" t="s">
        <v>385</v>
      </c>
      <c r="C95" s="102" t="s">
        <v>386</v>
      </c>
      <c r="D95" s="103">
        <v>19332.839967772456</v>
      </c>
      <c r="E95" s="104">
        <v>0</v>
      </c>
      <c r="F95" s="104">
        <v>0</v>
      </c>
      <c r="G95" s="104">
        <v>0</v>
      </c>
      <c r="H95" s="104">
        <v>0</v>
      </c>
      <c r="I95" s="104">
        <v>29709.836920557962</v>
      </c>
      <c r="J95" s="104">
        <v>0</v>
      </c>
      <c r="K95" s="104">
        <v>0</v>
      </c>
      <c r="L95" s="104">
        <v>0</v>
      </c>
      <c r="M95" s="655">
        <f>'2022-23 Input'!G95</f>
        <v>0</v>
      </c>
      <c r="N95" s="1066">
        <v>0</v>
      </c>
      <c r="O95" s="563">
        <f t="shared" si="139"/>
        <v>26011.491702848922</v>
      </c>
      <c r="P95" s="564">
        <f t="shared" si="113"/>
        <v>0</v>
      </c>
      <c r="Q95" s="564">
        <f t="shared" si="114"/>
        <v>0</v>
      </c>
      <c r="R95" s="564">
        <f t="shared" si="115"/>
        <v>0</v>
      </c>
      <c r="S95" s="564">
        <f t="shared" si="116"/>
        <v>0</v>
      </c>
      <c r="T95" s="564">
        <f t="shared" si="117"/>
        <v>36874.313422627099</v>
      </c>
      <c r="U95" s="564">
        <f t="shared" si="118"/>
        <v>0</v>
      </c>
      <c r="V95" s="564">
        <f t="shared" si="119"/>
        <v>0</v>
      </c>
      <c r="W95" s="676">
        <f t="shared" si="120"/>
        <v>0</v>
      </c>
      <c r="X95" s="676">
        <f t="shared" si="121"/>
        <v>0</v>
      </c>
      <c r="Y95" s="676">
        <f t="shared" si="121"/>
        <v>0</v>
      </c>
      <c r="Z95" s="105">
        <v>1</v>
      </c>
      <c r="AA95" s="106">
        <v>0</v>
      </c>
      <c r="AB95" s="106">
        <v>0</v>
      </c>
      <c r="AC95" s="106">
        <v>0</v>
      </c>
      <c r="AD95" s="106">
        <v>0</v>
      </c>
      <c r="AE95" s="106">
        <v>1</v>
      </c>
      <c r="AF95" s="106">
        <v>0</v>
      </c>
      <c r="AG95" s="106">
        <v>0</v>
      </c>
      <c r="AH95" s="106">
        <v>0</v>
      </c>
      <c r="AI95" s="1095">
        <f>'2022-23 Input'!N95</f>
        <v>0</v>
      </c>
      <c r="AJ95" s="666">
        <v>0</v>
      </c>
      <c r="AK95" s="107">
        <f t="shared" si="122"/>
        <v>0.2</v>
      </c>
      <c r="AL95" s="108">
        <f t="shared" si="123"/>
        <v>0</v>
      </c>
      <c r="AM95" s="109">
        <f t="shared" si="124"/>
        <v>0</v>
      </c>
      <c r="AN95" s="110">
        <f t="shared" si="125"/>
        <v>19332.839967772456</v>
      </c>
      <c r="AO95" s="111" t="str">
        <f t="shared" si="126"/>
        <v/>
      </c>
      <c r="AP95" s="111" t="str">
        <f t="shared" si="127"/>
        <v/>
      </c>
      <c r="AQ95" s="111" t="str">
        <f t="shared" si="128"/>
        <v/>
      </c>
      <c r="AR95" s="111" t="str">
        <f t="shared" si="129"/>
        <v/>
      </c>
      <c r="AS95" s="111">
        <f t="shared" si="130"/>
        <v>29709.836920557962</v>
      </c>
      <c r="AT95" s="111" t="str">
        <f t="shared" si="131"/>
        <v/>
      </c>
      <c r="AU95" s="111" t="str">
        <f t="shared" si="132"/>
        <v/>
      </c>
      <c r="AV95" s="111" t="str">
        <f t="shared" si="157"/>
        <v/>
      </c>
      <c r="AW95" s="111" t="str">
        <f t="shared" si="157"/>
        <v/>
      </c>
      <c r="AX95" s="111" t="str">
        <f t="shared" si="157"/>
        <v/>
      </c>
      <c r="AY95" s="112">
        <f t="shared" si="134"/>
        <v>29709.836920557962</v>
      </c>
      <c r="AZ95" s="113" t="str">
        <f t="shared" si="135"/>
        <v/>
      </c>
      <c r="BA95" s="114" t="str">
        <f t="shared" si="136"/>
        <v/>
      </c>
      <c r="BB95" s="250" t="s">
        <v>422</v>
      </c>
      <c r="BC95" s="230" t="s">
        <v>433</v>
      </c>
      <c r="BD95" s="251">
        <v>-7.8321678319999994E-3</v>
      </c>
      <c r="BE95" s="270">
        <f t="shared" si="140"/>
        <v>0</v>
      </c>
      <c r="BF95" s="271">
        <f t="shared" ref="BF95:BL95" si="166">IF(BF$6=$BB95,1,
IF(BE95&lt;&gt;0,BE95+1,0
))</f>
        <v>0</v>
      </c>
      <c r="BG95" s="271">
        <f t="shared" si="166"/>
        <v>0</v>
      </c>
      <c r="BH95" s="271">
        <f t="shared" si="166"/>
        <v>1</v>
      </c>
      <c r="BI95" s="271">
        <f t="shared" si="166"/>
        <v>2</v>
      </c>
      <c r="BJ95" s="271">
        <f t="shared" si="166"/>
        <v>3</v>
      </c>
      <c r="BK95" s="271">
        <f t="shared" si="166"/>
        <v>4</v>
      </c>
      <c r="BL95" s="272">
        <f t="shared" si="166"/>
        <v>5</v>
      </c>
      <c r="BM95" s="257">
        <f>IF($BC95=Lookup!$A$2,$BD95*ROUNDUP(BE95/10,0)+1,
IF($BC95=Lookup!$A$3,($BD95+1)^BD95,
IF($BC95=Lookup!$A$4,BE95*$BD95+1,"Error")))</f>
        <v>1</v>
      </c>
      <c r="BN95" s="230">
        <f>IF($BC95=Lookup!$A$2,$BD95*ROUNDUP(BF95/10,0)+1,
IF($BC95=Lookup!$A$3,($BD95+1)^BE95,
IF($BC95=Lookup!$A$4,BF95*$BD95+1,"Error")))</f>
        <v>1</v>
      </c>
      <c r="BO95" s="230">
        <f>IF($BC95=Lookup!$A$2,$BD95*ROUNDUP(BG95/10,0)+1,
IF($BC95=Lookup!$A$3,($BD95+1)^BF95,
IF($BC95=Lookup!$A$4,BG95*$BD95+1,"Error")))</f>
        <v>1</v>
      </c>
      <c r="BP95" s="230">
        <f>IF($BC95=Lookup!$A$2,$BD95*ROUNDUP(BH95/10,0)+1,
IF($BC95=Lookup!$A$3,($BD95+1)^BG95,
IF($BC95=Lookup!$A$4,BH95*$BD95+1,"Error")))</f>
        <v>0.99216783216799997</v>
      </c>
      <c r="BQ95" s="230">
        <f>IF($BC95=Lookup!$A$2,$BD95*ROUNDUP(BI95/10,0)+1,
IF($BC95=Lookup!$A$3,($BD95+1)^BH95,
IF($BC95=Lookup!$A$4,BI95*$BD95+1,"Error")))</f>
        <v>0.99216783216799997</v>
      </c>
      <c r="BR95" s="230">
        <f>IF($BC95=Lookup!$A$2,$BD95*ROUNDUP(BJ95/10,0)+1,
IF($BC95=Lookup!$A$3,($BD95+1)^BI95,
IF($BC95=Lookup!$A$4,BJ95*$BD95+1,"Error")))</f>
        <v>0.99216783216799997</v>
      </c>
      <c r="BS95" s="230">
        <f>IF($BC95=Lookup!$A$2,$BD95*ROUNDUP(BK95/10,0)+1,
IF($BC95=Lookup!$A$3,($BD95+1)^BJ95,
IF($BC95=Lookup!$A$4,BK95*$BD95+1,"Error")))</f>
        <v>0.99216783216799997</v>
      </c>
      <c r="BT95" s="251">
        <f>IF($BC95=Lookup!$A$2,$BD95*ROUNDUP(BL95/10,0)+1,
IF($BC95=Lookup!$A$3,($BD95+1)^BK95,
IF($BC95=Lookup!$A$4,BL95*$BD95+1,"Error")))</f>
        <v>0.99216783216799997</v>
      </c>
      <c r="BU95" s="322"/>
      <c r="BV95" s="323"/>
      <c r="BW95" s="323"/>
      <c r="BX95" s="323"/>
      <c r="BY95" s="323"/>
      <c r="BZ95" s="323"/>
      <c r="CA95" s="323"/>
      <c r="CB95" s="278"/>
      <c r="CC95" s="384" t="s">
        <v>293</v>
      </c>
      <c r="CD95" s="385">
        <f>HLOOKUP($CC95,$AK$6:$AM$132,ROWS(CC$6:CC95),0)</f>
        <v>0</v>
      </c>
      <c r="CE95" s="240">
        <f t="shared" si="142"/>
        <v>0</v>
      </c>
      <c r="CF95" s="141">
        <f t="shared" si="142"/>
        <v>0</v>
      </c>
      <c r="CG95" s="141">
        <f t="shared" si="142"/>
        <v>0</v>
      </c>
      <c r="CH95" s="141">
        <f t="shared" si="142"/>
        <v>0</v>
      </c>
      <c r="CI95" s="141">
        <f t="shared" si="84"/>
        <v>0</v>
      </c>
      <c r="CJ95" s="141">
        <f t="shared" si="84"/>
        <v>0</v>
      </c>
      <c r="CK95" s="141">
        <f t="shared" si="84"/>
        <v>0</v>
      </c>
      <c r="CL95" s="292">
        <f t="shared" si="84"/>
        <v>0</v>
      </c>
      <c r="CM95" s="308" t="s">
        <v>292</v>
      </c>
      <c r="CN95" s="316">
        <v>0.05</v>
      </c>
      <c r="CO95" s="309"/>
      <c r="CP95" s="310">
        <f>IF($CO95&lt;&gt;"",$CO95,HLOOKUP($CM95,$AY$6:$BA$132,ROWS(CO$6:CO95),0))</f>
        <v>29709.836920557962</v>
      </c>
      <c r="CQ95" s="785">
        <f t="shared" si="138"/>
        <v>0</v>
      </c>
      <c r="CR95" s="785">
        <f t="shared" si="138"/>
        <v>0</v>
      </c>
      <c r="CS95" s="117">
        <f t="shared" si="138"/>
        <v>0</v>
      </c>
      <c r="CT95" s="117">
        <f t="shared" si="138"/>
        <v>0</v>
      </c>
      <c r="CU95" s="117">
        <f t="shared" si="138"/>
        <v>0</v>
      </c>
      <c r="CV95" s="117">
        <f t="shared" si="138"/>
        <v>0</v>
      </c>
      <c r="CW95" s="117">
        <f t="shared" si="138"/>
        <v>0</v>
      </c>
      <c r="CX95" s="118">
        <f t="shared" si="62"/>
        <v>0</v>
      </c>
      <c r="CY95" s="393"/>
    </row>
    <row r="96" spans="1:103" x14ac:dyDescent="0.25">
      <c r="A96" s="63" t="s">
        <v>196</v>
      </c>
      <c r="B96" s="64" t="s">
        <v>193</v>
      </c>
      <c r="C96" s="65" t="s">
        <v>387</v>
      </c>
      <c r="D96" s="66">
        <v>92593.898260677088</v>
      </c>
      <c r="E96" s="67">
        <v>61895.180898435887</v>
      </c>
      <c r="F96" s="67">
        <v>70451.114295281906</v>
      </c>
      <c r="G96" s="67">
        <v>57660.37346455532</v>
      </c>
      <c r="H96" s="67">
        <v>72487.093906268245</v>
      </c>
      <c r="I96" s="67">
        <v>469297.43187741813</v>
      </c>
      <c r="J96" s="67">
        <v>384727.49430249876</v>
      </c>
      <c r="K96" s="67">
        <v>541606.61683867709</v>
      </c>
      <c r="L96" s="67">
        <v>795196.64171593275</v>
      </c>
      <c r="M96" s="653">
        <f>'2022-23 Input'!G96</f>
        <v>1303552.0150755711</v>
      </c>
      <c r="N96" s="1064">
        <v>994870.75281857909</v>
      </c>
      <c r="O96" s="557">
        <f t="shared" si="139"/>
        <v>124581.04553479885</v>
      </c>
      <c r="P96" s="558">
        <f t="shared" si="113"/>
        <v>82037.786736800583</v>
      </c>
      <c r="Q96" s="558">
        <f t="shared" si="114"/>
        <v>92432.266889716426</v>
      </c>
      <c r="R96" s="558">
        <f t="shared" si="115"/>
        <v>74215.632486534174</v>
      </c>
      <c r="S96" s="558">
        <f t="shared" si="116"/>
        <v>91400.339338034159</v>
      </c>
      <c r="T96" s="558">
        <f t="shared" si="117"/>
        <v>582467.70716898679</v>
      </c>
      <c r="U96" s="558">
        <f t="shared" si="118"/>
        <v>479173.46734819585</v>
      </c>
      <c r="V96" s="558">
        <f t="shared" si="119"/>
        <v>649580.65640869143</v>
      </c>
      <c r="W96" s="674">
        <f t="shared" si="120"/>
        <v>898514.34183858417</v>
      </c>
      <c r="X96" s="674">
        <f t="shared" si="121"/>
        <v>1386276.6331614836</v>
      </c>
      <c r="Y96" s="674">
        <f t="shared" si="121"/>
        <v>1022228.1856370879</v>
      </c>
      <c r="Z96" s="68">
        <v>121</v>
      </c>
      <c r="AA96" s="69">
        <v>100</v>
      </c>
      <c r="AB96" s="69">
        <v>136</v>
      </c>
      <c r="AC96" s="69">
        <v>102</v>
      </c>
      <c r="AD96" s="69">
        <v>95</v>
      </c>
      <c r="AE96" s="69">
        <v>4240</v>
      </c>
      <c r="AF96" s="69">
        <v>72</v>
      </c>
      <c r="AG96" s="69">
        <v>74</v>
      </c>
      <c r="AH96" s="69">
        <v>132</v>
      </c>
      <c r="AI96" s="1093">
        <f>'2022-23 Input'!N96</f>
        <v>121</v>
      </c>
      <c r="AJ96" s="664">
        <v>125</v>
      </c>
      <c r="AK96" s="70">
        <f t="shared" si="122"/>
        <v>927.8</v>
      </c>
      <c r="AL96" s="71">
        <f t="shared" si="123"/>
        <v>109</v>
      </c>
      <c r="AM96" s="72">
        <f t="shared" si="124"/>
        <v>121</v>
      </c>
      <c r="AN96" s="73">
        <f t="shared" si="125"/>
        <v>765.23882860063713</v>
      </c>
      <c r="AO96" s="74">
        <f t="shared" si="126"/>
        <v>618.95180898435888</v>
      </c>
      <c r="AP96" s="74">
        <f t="shared" si="127"/>
        <v>518.02289923001399</v>
      </c>
      <c r="AQ96" s="74">
        <f t="shared" si="128"/>
        <v>565.29777906426784</v>
      </c>
      <c r="AR96" s="74">
        <f t="shared" si="129"/>
        <v>763.02204111861306</v>
      </c>
      <c r="AS96" s="74">
        <f t="shared" si="130"/>
        <v>110.68335657486277</v>
      </c>
      <c r="AT96" s="74">
        <f t="shared" si="131"/>
        <v>5343.4374208680383</v>
      </c>
      <c r="AU96" s="74">
        <f t="shared" si="132"/>
        <v>7319.0083356577989</v>
      </c>
      <c r="AV96" s="74">
        <f t="shared" si="157"/>
        <v>6024.21698269646</v>
      </c>
      <c r="AW96" s="74">
        <f t="shared" si="157"/>
        <v>10773.157149384886</v>
      </c>
      <c r="AX96" s="74">
        <f t="shared" si="157"/>
        <v>7958.9660225486323</v>
      </c>
      <c r="AY96" s="75">
        <f t="shared" si="134"/>
        <v>753.26152183877946</v>
      </c>
      <c r="AZ96" s="76">
        <f t="shared" si="135"/>
        <v>8074.4809591137046</v>
      </c>
      <c r="BA96" s="77">
        <f t="shared" si="136"/>
        <v>10773.157149384886</v>
      </c>
      <c r="BB96" s="246" t="s">
        <v>422</v>
      </c>
      <c r="BC96" s="228" t="s">
        <v>433</v>
      </c>
      <c r="BD96" s="247">
        <v>-0.45359127389999998</v>
      </c>
      <c r="BE96" s="264">
        <f t="shared" si="140"/>
        <v>0</v>
      </c>
      <c r="BF96" s="265">
        <f t="shared" ref="BF96:BL96" si="167">IF(BF$6=$BB96,1,
IF(BE96&lt;&gt;0,BE96+1,0
))</f>
        <v>0</v>
      </c>
      <c r="BG96" s="265">
        <f t="shared" si="167"/>
        <v>0</v>
      </c>
      <c r="BH96" s="265">
        <f t="shared" si="167"/>
        <v>1</v>
      </c>
      <c r="BI96" s="265">
        <f t="shared" si="167"/>
        <v>2</v>
      </c>
      <c r="BJ96" s="265">
        <f t="shared" si="167"/>
        <v>3</v>
      </c>
      <c r="BK96" s="265">
        <f t="shared" si="167"/>
        <v>4</v>
      </c>
      <c r="BL96" s="266">
        <f t="shared" si="167"/>
        <v>5</v>
      </c>
      <c r="BM96" s="255">
        <f>IF($BC96=Lookup!$A$2,$BD96*ROUNDUP(BE96/10,0)+1,
IF($BC96=Lookup!$A$3,($BD96+1)^BD96,
IF($BC96=Lookup!$A$4,BE96*$BD96+1,"Error")))</f>
        <v>1</v>
      </c>
      <c r="BN96" s="228">
        <f>IF($BC96=Lookup!$A$2,$BD96*ROUNDUP(BF96/10,0)+1,
IF($BC96=Lookup!$A$3,($BD96+1)^BE96,
IF($BC96=Lookup!$A$4,BF96*$BD96+1,"Error")))</f>
        <v>1</v>
      </c>
      <c r="BO96" s="228">
        <f>IF($BC96=Lookup!$A$2,$BD96*ROUNDUP(BG96/10,0)+1,
IF($BC96=Lookup!$A$3,($BD96+1)^BF96,
IF($BC96=Lookup!$A$4,BG96*$BD96+1,"Error")))</f>
        <v>1</v>
      </c>
      <c r="BP96" s="228">
        <f>IF($BC96=Lookup!$A$2,$BD96*ROUNDUP(BH96/10,0)+1,
IF($BC96=Lookup!$A$3,($BD96+1)^BG96,
IF($BC96=Lookup!$A$4,BH96*$BD96+1,"Error")))</f>
        <v>0.54640872610000002</v>
      </c>
      <c r="BQ96" s="228">
        <f>IF($BC96=Lookup!$A$2,$BD96*ROUNDUP(BI96/10,0)+1,
IF($BC96=Lookup!$A$3,($BD96+1)^BH96,
IF($BC96=Lookup!$A$4,BI96*$BD96+1,"Error")))</f>
        <v>0.54640872610000002</v>
      </c>
      <c r="BR96" s="228">
        <f>IF($BC96=Lookup!$A$2,$BD96*ROUNDUP(BJ96/10,0)+1,
IF($BC96=Lookup!$A$3,($BD96+1)^BI96,
IF($BC96=Lookup!$A$4,BJ96*$BD96+1,"Error")))</f>
        <v>0.54640872610000002</v>
      </c>
      <c r="BS96" s="228">
        <f>IF($BC96=Lookup!$A$2,$BD96*ROUNDUP(BK96/10,0)+1,
IF($BC96=Lookup!$A$3,($BD96+1)^BJ96,
IF($BC96=Lookup!$A$4,BK96*$BD96+1,"Error")))</f>
        <v>0.54640872610000002</v>
      </c>
      <c r="BT96" s="247">
        <f>IF($BC96=Lookup!$A$2,$BD96*ROUNDUP(BL96/10,0)+1,
IF($BC96=Lookup!$A$3,($BD96+1)^BK96,
IF($BC96=Lookup!$A$4,BL96*$BD96+1,"Error")))</f>
        <v>0.54640872610000002</v>
      </c>
      <c r="BU96" s="318"/>
      <c r="BV96" s="319"/>
      <c r="BW96" s="319"/>
      <c r="BX96" s="319"/>
      <c r="BY96" s="319"/>
      <c r="BZ96" s="319"/>
      <c r="CA96" s="319"/>
      <c r="CB96" s="276"/>
      <c r="CC96" s="380" t="s">
        <v>293</v>
      </c>
      <c r="CD96" s="381">
        <f>HLOOKUP($CC96,$AK$6:$AM$132,ROWS(CC$6:CC96),0)</f>
        <v>109</v>
      </c>
      <c r="CE96" s="233">
        <f t="shared" si="142"/>
        <v>109</v>
      </c>
      <c r="CF96" s="78">
        <f t="shared" si="142"/>
        <v>109</v>
      </c>
      <c r="CG96" s="78">
        <f t="shared" si="142"/>
        <v>109</v>
      </c>
      <c r="CH96" s="78">
        <f t="shared" si="142"/>
        <v>59.558551144900001</v>
      </c>
      <c r="CI96" s="78">
        <f t="shared" si="84"/>
        <v>59.558551144900001</v>
      </c>
      <c r="CJ96" s="78">
        <f t="shared" si="84"/>
        <v>59.558551144900001</v>
      </c>
      <c r="CK96" s="78">
        <f t="shared" si="84"/>
        <v>59.558551144900001</v>
      </c>
      <c r="CL96" s="285">
        <f t="shared" si="84"/>
        <v>59.558551144900001</v>
      </c>
      <c r="CM96" s="302" t="s">
        <v>293</v>
      </c>
      <c r="CN96" s="314">
        <v>0.05</v>
      </c>
      <c r="CO96" s="303"/>
      <c r="CP96" s="304">
        <f>IF($CO96&lt;&gt;"",$CO96,HLOOKUP($CM96,$AY$6:$BA$132,ROWS(CO$6:CO96),0))</f>
        <v>8074.4809591137046</v>
      </c>
      <c r="CQ96" s="783">
        <f t="shared" si="138"/>
        <v>880118.42454339378</v>
      </c>
      <c r="CR96" s="783">
        <f t="shared" si="138"/>
        <v>880118.42454339378</v>
      </c>
      <c r="CS96" s="79">
        <f t="shared" si="138"/>
        <v>880118.42454339378</v>
      </c>
      <c r="CT96" s="79">
        <f t="shared" si="138"/>
        <v>480904.38717189478</v>
      </c>
      <c r="CU96" s="79">
        <f t="shared" si="138"/>
        <v>480904.38717189478</v>
      </c>
      <c r="CV96" s="79">
        <f t="shared" si="138"/>
        <v>480904.38717189478</v>
      </c>
      <c r="CW96" s="79">
        <f t="shared" si="138"/>
        <v>480904.38717189478</v>
      </c>
      <c r="CX96" s="80">
        <f t="shared" si="62"/>
        <v>480904.38717189478</v>
      </c>
      <c r="CY96" s="391"/>
    </row>
    <row r="97" spans="1:103" x14ac:dyDescent="0.25">
      <c r="A97" s="81" t="s">
        <v>196</v>
      </c>
      <c r="B97" s="82" t="s">
        <v>197</v>
      </c>
      <c r="C97" s="83" t="s">
        <v>388</v>
      </c>
      <c r="D97" s="84">
        <v>2121075.2314679255</v>
      </c>
      <c r="E97" s="85">
        <v>2079053.7580876688</v>
      </c>
      <c r="F97" s="85">
        <v>3039641.8949359539</v>
      </c>
      <c r="G97" s="85">
        <v>3012907.812089683</v>
      </c>
      <c r="H97" s="85">
        <v>2704286.5364583144</v>
      </c>
      <c r="I97" s="85">
        <v>3678804.5876866723</v>
      </c>
      <c r="J97" s="85">
        <v>2377358.460051063</v>
      </c>
      <c r="K97" s="85">
        <v>3385188.0677274</v>
      </c>
      <c r="L97" s="85">
        <v>3301975.3160761828</v>
      </c>
      <c r="M97" s="654">
        <f>'2022-23 Input'!G97</f>
        <v>3639398.2955099083</v>
      </c>
      <c r="N97" s="1065">
        <v>4013302.4830246754</v>
      </c>
      <c r="O97" s="560">
        <f t="shared" si="139"/>
        <v>2853814.0736910729</v>
      </c>
      <c r="P97" s="561">
        <f t="shared" si="113"/>
        <v>2755642.1411905126</v>
      </c>
      <c r="Q97" s="561">
        <f t="shared" si="114"/>
        <v>3988027.6372108334</v>
      </c>
      <c r="R97" s="561">
        <f t="shared" si="115"/>
        <v>3877964.1105742902</v>
      </c>
      <c r="S97" s="561">
        <f t="shared" si="116"/>
        <v>3409885.7297159908</v>
      </c>
      <c r="T97" s="561">
        <f t="shared" si="117"/>
        <v>4565942.0396579271</v>
      </c>
      <c r="U97" s="561">
        <f t="shared" si="118"/>
        <v>2960971.3714313982</v>
      </c>
      <c r="V97" s="561">
        <f t="shared" si="119"/>
        <v>4060055.063463551</v>
      </c>
      <c r="W97" s="675">
        <f t="shared" si="120"/>
        <v>3730991.8355405917</v>
      </c>
      <c r="X97" s="675">
        <f t="shared" si="121"/>
        <v>3870357.8817609595</v>
      </c>
      <c r="Y97" s="675">
        <f t="shared" si="121"/>
        <v>4123662.1983431173</v>
      </c>
      <c r="Z97" s="86">
        <v>161</v>
      </c>
      <c r="AA97" s="87">
        <v>149</v>
      </c>
      <c r="AB97" s="87">
        <v>190</v>
      </c>
      <c r="AC97" s="87">
        <v>188</v>
      </c>
      <c r="AD97" s="87">
        <v>147</v>
      </c>
      <c r="AE97" s="87">
        <v>168</v>
      </c>
      <c r="AF97" s="87">
        <v>86</v>
      </c>
      <c r="AG97" s="87">
        <v>163</v>
      </c>
      <c r="AH97" s="87">
        <v>188</v>
      </c>
      <c r="AI97" s="1094">
        <f>'2022-23 Input'!N97</f>
        <v>228</v>
      </c>
      <c r="AJ97" s="665">
        <v>199</v>
      </c>
      <c r="AK97" s="88">
        <f t="shared" si="122"/>
        <v>166.6</v>
      </c>
      <c r="AL97" s="89">
        <f t="shared" si="123"/>
        <v>193</v>
      </c>
      <c r="AM97" s="90">
        <f t="shared" si="124"/>
        <v>228</v>
      </c>
      <c r="AN97" s="91">
        <f t="shared" si="125"/>
        <v>13174.380319676557</v>
      </c>
      <c r="AO97" s="92">
        <f t="shared" si="126"/>
        <v>13953.380926762879</v>
      </c>
      <c r="AP97" s="92">
        <f t="shared" si="127"/>
        <v>15998.11523650502</v>
      </c>
      <c r="AQ97" s="92">
        <f t="shared" si="128"/>
        <v>16026.105383455761</v>
      </c>
      <c r="AR97" s="92">
        <f t="shared" si="129"/>
        <v>18396.507050736833</v>
      </c>
      <c r="AS97" s="92">
        <f t="shared" si="130"/>
        <v>21897.646355277811</v>
      </c>
      <c r="AT97" s="92">
        <f t="shared" si="131"/>
        <v>27643.703023849568</v>
      </c>
      <c r="AU97" s="92">
        <f t="shared" si="132"/>
        <v>20768.024955382822</v>
      </c>
      <c r="AV97" s="92">
        <f t="shared" si="157"/>
        <v>17563.698489766928</v>
      </c>
      <c r="AW97" s="92">
        <f t="shared" si="157"/>
        <v>15962.273225920651</v>
      </c>
      <c r="AX97" s="92">
        <f t="shared" si="157"/>
        <v>20167.349160928017</v>
      </c>
      <c r="AY97" s="93">
        <f t="shared" si="134"/>
        <v>19667.1365270723</v>
      </c>
      <c r="AZ97" s="94">
        <f t="shared" si="135"/>
        <v>17835.166976361816</v>
      </c>
      <c r="BA97" s="95">
        <f t="shared" si="136"/>
        <v>15962.273225920651</v>
      </c>
      <c r="BB97" s="248" t="s">
        <v>422</v>
      </c>
      <c r="BC97" s="229" t="s">
        <v>433</v>
      </c>
      <c r="BD97" s="249">
        <v>-0.19650000000000001</v>
      </c>
      <c r="BE97" s="267">
        <f t="shared" si="140"/>
        <v>0</v>
      </c>
      <c r="BF97" s="268">
        <f t="shared" ref="BF97:BL97" si="168">IF(BF$6=$BB97,1,
IF(BE97&lt;&gt;0,BE97+1,0
))</f>
        <v>0</v>
      </c>
      <c r="BG97" s="268">
        <f t="shared" si="168"/>
        <v>0</v>
      </c>
      <c r="BH97" s="268">
        <f t="shared" si="168"/>
        <v>1</v>
      </c>
      <c r="BI97" s="268">
        <f t="shared" si="168"/>
        <v>2</v>
      </c>
      <c r="BJ97" s="268">
        <f t="shared" si="168"/>
        <v>3</v>
      </c>
      <c r="BK97" s="268">
        <f t="shared" si="168"/>
        <v>4</v>
      </c>
      <c r="BL97" s="269">
        <f t="shared" si="168"/>
        <v>5</v>
      </c>
      <c r="BM97" s="256">
        <f>IF($BC97=Lookup!$A$2,$BD97*ROUNDUP(BE97/10,0)+1,
IF($BC97=Lookup!$A$3,($BD97+1)^BD97,
IF($BC97=Lookup!$A$4,BE97*$BD97+1,"Error")))</f>
        <v>1</v>
      </c>
      <c r="BN97" s="229">
        <f>IF($BC97=Lookup!$A$2,$BD97*ROUNDUP(BF97/10,0)+1,
IF($BC97=Lookup!$A$3,($BD97+1)^BE97,
IF($BC97=Lookup!$A$4,BF97*$BD97+1,"Error")))</f>
        <v>1</v>
      </c>
      <c r="BO97" s="229">
        <f>IF($BC97=Lookup!$A$2,$BD97*ROUNDUP(BG97/10,0)+1,
IF($BC97=Lookup!$A$3,($BD97+1)^BF97,
IF($BC97=Lookup!$A$4,BG97*$BD97+1,"Error")))</f>
        <v>1</v>
      </c>
      <c r="BP97" s="229">
        <f>IF($BC97=Lookup!$A$2,$BD97*ROUNDUP(BH97/10,0)+1,
IF($BC97=Lookup!$A$3,($BD97+1)^BG97,
IF($BC97=Lookup!$A$4,BH97*$BD97+1,"Error")))</f>
        <v>0.80349999999999999</v>
      </c>
      <c r="BQ97" s="229">
        <f>IF($BC97=Lookup!$A$2,$BD97*ROUNDUP(BI97/10,0)+1,
IF($BC97=Lookup!$A$3,($BD97+1)^BH97,
IF($BC97=Lookup!$A$4,BI97*$BD97+1,"Error")))</f>
        <v>0.80349999999999999</v>
      </c>
      <c r="BR97" s="229">
        <f>IF($BC97=Lookup!$A$2,$BD97*ROUNDUP(BJ97/10,0)+1,
IF($BC97=Lookup!$A$3,($BD97+1)^BI97,
IF($BC97=Lookup!$A$4,BJ97*$BD97+1,"Error")))</f>
        <v>0.80349999999999999</v>
      </c>
      <c r="BS97" s="229">
        <f>IF($BC97=Lookup!$A$2,$BD97*ROUNDUP(BK97/10,0)+1,
IF($BC97=Lookup!$A$3,($BD97+1)^BJ97,
IF($BC97=Lookup!$A$4,BK97*$BD97+1,"Error")))</f>
        <v>0.80349999999999999</v>
      </c>
      <c r="BT97" s="249">
        <f>IF($BC97=Lookup!$A$2,$BD97*ROUNDUP(BL97/10,0)+1,
IF($BC97=Lookup!$A$3,($BD97+1)^BK97,
IF($BC97=Lookup!$A$4,BL97*$BD97+1,"Error")))</f>
        <v>0.80349999999999999</v>
      </c>
      <c r="BU97" s="320"/>
      <c r="BV97" s="321"/>
      <c r="BW97" s="321"/>
      <c r="BX97" s="321"/>
      <c r="BY97" s="321"/>
      <c r="BZ97" s="321"/>
      <c r="CA97" s="321"/>
      <c r="CB97" s="277"/>
      <c r="CC97" s="382" t="s">
        <v>293</v>
      </c>
      <c r="CD97" s="383">
        <f>HLOOKUP($CC97,$AK$6:$AM$132,ROWS(CC$6:CC97),0)</f>
        <v>193</v>
      </c>
      <c r="CE97" s="234">
        <f t="shared" si="142"/>
        <v>193</v>
      </c>
      <c r="CF97" s="96">
        <f t="shared" si="142"/>
        <v>193</v>
      </c>
      <c r="CG97" s="96">
        <f t="shared" si="142"/>
        <v>193</v>
      </c>
      <c r="CH97" s="96">
        <f t="shared" si="142"/>
        <v>155.07550000000001</v>
      </c>
      <c r="CI97" s="96">
        <f t="shared" si="84"/>
        <v>155.07550000000001</v>
      </c>
      <c r="CJ97" s="96">
        <f t="shared" si="84"/>
        <v>155.07550000000001</v>
      </c>
      <c r="CK97" s="96">
        <f t="shared" si="84"/>
        <v>155.07550000000001</v>
      </c>
      <c r="CL97" s="286">
        <f t="shared" si="84"/>
        <v>155.07550000000001</v>
      </c>
      <c r="CM97" s="305" t="s">
        <v>293</v>
      </c>
      <c r="CN97" s="315">
        <v>0.05</v>
      </c>
      <c r="CO97" s="306"/>
      <c r="CP97" s="307">
        <f>IF($CO97&lt;&gt;"",$CO97,HLOOKUP($CM97,$AY$6:$BA$132,ROWS(CO$6:CO97),0))</f>
        <v>17835.166976361816</v>
      </c>
      <c r="CQ97" s="784">
        <f t="shared" si="138"/>
        <v>3442187.2264378304</v>
      </c>
      <c r="CR97" s="784">
        <f t="shared" si="138"/>
        <v>3442187.2264378304</v>
      </c>
      <c r="CS97" s="97">
        <f t="shared" si="138"/>
        <v>3442187.2264378304</v>
      </c>
      <c r="CT97" s="97">
        <f t="shared" si="138"/>
        <v>2765797.4364427966</v>
      </c>
      <c r="CU97" s="97">
        <f t="shared" si="138"/>
        <v>2765797.4364427966</v>
      </c>
      <c r="CV97" s="97">
        <f t="shared" si="138"/>
        <v>2765797.4364427966</v>
      </c>
      <c r="CW97" s="97">
        <f t="shared" si="138"/>
        <v>2765797.4364427966</v>
      </c>
      <c r="CX97" s="98">
        <f t="shared" si="62"/>
        <v>2765797.4364427966</v>
      </c>
      <c r="CY97" s="392"/>
    </row>
    <row r="98" spans="1:103" x14ac:dyDescent="0.25">
      <c r="A98" s="81" t="s">
        <v>196</v>
      </c>
      <c r="B98" s="82" t="s">
        <v>199</v>
      </c>
      <c r="C98" s="83" t="s">
        <v>389</v>
      </c>
      <c r="D98" s="84">
        <v>444928.85392109276</v>
      </c>
      <c r="E98" s="85">
        <v>183521.40428256968</v>
      </c>
      <c r="F98" s="85">
        <v>297393.21271986089</v>
      </c>
      <c r="G98" s="85">
        <v>107670.30264035083</v>
      </c>
      <c r="H98" s="85">
        <v>-17264.810000000001</v>
      </c>
      <c r="I98" s="85">
        <v>95505.643745117995</v>
      </c>
      <c r="J98" s="85">
        <v>0</v>
      </c>
      <c r="K98" s="85">
        <v>23311.647664314001</v>
      </c>
      <c r="L98" s="85">
        <v>0</v>
      </c>
      <c r="M98" s="654">
        <f>'2022-23 Input'!G98</f>
        <v>0</v>
      </c>
      <c r="N98" s="1065">
        <v>0</v>
      </c>
      <c r="O98" s="560">
        <f t="shared" si="139"/>
        <v>598632.33810547413</v>
      </c>
      <c r="P98" s="561">
        <f t="shared" si="113"/>
        <v>243244.94423687962</v>
      </c>
      <c r="Q98" s="561">
        <f t="shared" si="114"/>
        <v>390181.60442571319</v>
      </c>
      <c r="R98" s="561">
        <f t="shared" si="115"/>
        <v>138584.24998551668</v>
      </c>
      <c r="S98" s="561">
        <f t="shared" si="116"/>
        <v>-21769.523477478368</v>
      </c>
      <c r="T98" s="561">
        <f t="shared" si="117"/>
        <v>118536.66684553136</v>
      </c>
      <c r="U98" s="561">
        <f t="shared" si="118"/>
        <v>0</v>
      </c>
      <c r="V98" s="561">
        <f t="shared" si="119"/>
        <v>27959.029526154514</v>
      </c>
      <c r="W98" s="675">
        <f t="shared" si="120"/>
        <v>0</v>
      </c>
      <c r="X98" s="675">
        <f t="shared" si="121"/>
        <v>0</v>
      </c>
      <c r="Y98" s="675">
        <f t="shared" si="121"/>
        <v>0</v>
      </c>
      <c r="Z98" s="86">
        <v>9</v>
      </c>
      <c r="AA98" s="87">
        <v>4</v>
      </c>
      <c r="AB98" s="87">
        <v>6</v>
      </c>
      <c r="AC98" s="87">
        <v>2</v>
      </c>
      <c r="AD98" s="87">
        <v>-1</v>
      </c>
      <c r="AE98" s="87">
        <v>2</v>
      </c>
      <c r="AF98" s="87">
        <v>0</v>
      </c>
      <c r="AG98" s="87">
        <v>0</v>
      </c>
      <c r="AH98" s="87">
        <v>1</v>
      </c>
      <c r="AI98" s="1094">
        <f>'2022-23 Input'!N98</f>
        <v>0</v>
      </c>
      <c r="AJ98" s="665">
        <v>0</v>
      </c>
      <c r="AK98" s="88">
        <f t="shared" si="122"/>
        <v>0.6</v>
      </c>
      <c r="AL98" s="89">
        <f t="shared" si="123"/>
        <v>0.33333333333333331</v>
      </c>
      <c r="AM98" s="90">
        <f t="shared" si="124"/>
        <v>0</v>
      </c>
      <c r="AN98" s="91">
        <f t="shared" si="125"/>
        <v>49436.539324565863</v>
      </c>
      <c r="AO98" s="92">
        <f t="shared" si="126"/>
        <v>45880.35107064242</v>
      </c>
      <c r="AP98" s="92">
        <f t="shared" si="127"/>
        <v>49565.535453310149</v>
      </c>
      <c r="AQ98" s="92">
        <f t="shared" si="128"/>
        <v>53835.151320175413</v>
      </c>
      <c r="AR98" s="92">
        <f t="shared" si="129"/>
        <v>17264.810000000001</v>
      </c>
      <c r="AS98" s="92">
        <f t="shared" si="130"/>
        <v>47752.821872558998</v>
      </c>
      <c r="AT98" s="92" t="str">
        <f t="shared" si="131"/>
        <v/>
      </c>
      <c r="AU98" s="92" t="str">
        <f t="shared" si="132"/>
        <v/>
      </c>
      <c r="AV98" s="92">
        <f t="shared" si="157"/>
        <v>0</v>
      </c>
      <c r="AW98" s="92" t="str">
        <f t="shared" si="157"/>
        <v/>
      </c>
      <c r="AX98" s="92" t="str">
        <f t="shared" si="157"/>
        <v/>
      </c>
      <c r="AY98" s="93">
        <f t="shared" si="134"/>
        <v>39605.763803144</v>
      </c>
      <c r="AZ98" s="94">
        <f t="shared" si="135"/>
        <v>23311.647664314001</v>
      </c>
      <c r="BA98" s="95" t="str">
        <f t="shared" si="136"/>
        <v/>
      </c>
      <c r="BB98" s="248" t="s">
        <v>422</v>
      </c>
      <c r="BC98" s="229" t="s">
        <v>433</v>
      </c>
      <c r="BD98" s="249">
        <v>-0.19650000000000001</v>
      </c>
      <c r="BE98" s="267">
        <f t="shared" si="140"/>
        <v>0</v>
      </c>
      <c r="BF98" s="268">
        <f t="shared" ref="BF98:BL98" si="169">IF(BF$6=$BB98,1,
IF(BE98&lt;&gt;0,BE98+1,0
))</f>
        <v>0</v>
      </c>
      <c r="BG98" s="268">
        <f t="shared" si="169"/>
        <v>0</v>
      </c>
      <c r="BH98" s="268">
        <f t="shared" si="169"/>
        <v>1</v>
      </c>
      <c r="BI98" s="268">
        <f t="shared" si="169"/>
        <v>2</v>
      </c>
      <c r="BJ98" s="268">
        <f t="shared" si="169"/>
        <v>3</v>
      </c>
      <c r="BK98" s="268">
        <f t="shared" si="169"/>
        <v>4</v>
      </c>
      <c r="BL98" s="269">
        <f t="shared" si="169"/>
        <v>5</v>
      </c>
      <c r="BM98" s="256">
        <f>IF($BC98=Lookup!$A$2,$BD98*ROUNDUP(BE98/10,0)+1,
IF($BC98=Lookup!$A$3,($BD98+1)^BD98,
IF($BC98=Lookup!$A$4,BE98*$BD98+1,"Error")))</f>
        <v>1</v>
      </c>
      <c r="BN98" s="229">
        <f>IF($BC98=Lookup!$A$2,$BD98*ROUNDUP(BF98/10,0)+1,
IF($BC98=Lookup!$A$3,($BD98+1)^BE98,
IF($BC98=Lookup!$A$4,BF98*$BD98+1,"Error")))</f>
        <v>1</v>
      </c>
      <c r="BO98" s="229">
        <f>IF($BC98=Lookup!$A$2,$BD98*ROUNDUP(BG98/10,0)+1,
IF($BC98=Lookup!$A$3,($BD98+1)^BF98,
IF($BC98=Lookup!$A$4,BG98*$BD98+1,"Error")))</f>
        <v>1</v>
      </c>
      <c r="BP98" s="229">
        <f>IF($BC98=Lookup!$A$2,$BD98*ROUNDUP(BH98/10,0)+1,
IF($BC98=Lookup!$A$3,($BD98+1)^BG98,
IF($BC98=Lookup!$A$4,BH98*$BD98+1,"Error")))</f>
        <v>0.80349999999999999</v>
      </c>
      <c r="BQ98" s="229">
        <f>IF($BC98=Lookup!$A$2,$BD98*ROUNDUP(BI98/10,0)+1,
IF($BC98=Lookup!$A$3,($BD98+1)^BH98,
IF($BC98=Lookup!$A$4,BI98*$BD98+1,"Error")))</f>
        <v>0.80349999999999999</v>
      </c>
      <c r="BR98" s="229">
        <f>IF($BC98=Lookup!$A$2,$BD98*ROUNDUP(BJ98/10,0)+1,
IF($BC98=Lookup!$A$3,($BD98+1)^BI98,
IF($BC98=Lookup!$A$4,BJ98*$BD98+1,"Error")))</f>
        <v>0.80349999999999999</v>
      </c>
      <c r="BS98" s="229">
        <f>IF($BC98=Lookup!$A$2,$BD98*ROUNDUP(BK98/10,0)+1,
IF($BC98=Lookup!$A$3,($BD98+1)^BJ98,
IF($BC98=Lookup!$A$4,BK98*$BD98+1,"Error")))</f>
        <v>0.80349999999999999</v>
      </c>
      <c r="BT98" s="249">
        <f>IF($BC98=Lookup!$A$2,$BD98*ROUNDUP(BL98/10,0)+1,
IF($BC98=Lookup!$A$3,($BD98+1)^BK98,
IF($BC98=Lookup!$A$4,BL98*$BD98+1,"Error")))</f>
        <v>0.80349999999999999</v>
      </c>
      <c r="BU98" s="320"/>
      <c r="BV98" s="321"/>
      <c r="BW98" s="321"/>
      <c r="BX98" s="321"/>
      <c r="BY98" s="321"/>
      <c r="BZ98" s="321"/>
      <c r="CA98" s="321"/>
      <c r="CB98" s="277"/>
      <c r="CC98" s="382" t="s">
        <v>293</v>
      </c>
      <c r="CD98" s="383">
        <f>HLOOKUP($CC98,$AK$6:$AM$132,ROWS(CC$6:CC98),0)</f>
        <v>0.33333333333333331</v>
      </c>
      <c r="CE98" s="234">
        <f t="shared" si="142"/>
        <v>0.33333333333333331</v>
      </c>
      <c r="CF98" s="96">
        <f t="shared" si="142"/>
        <v>0.33333333333333331</v>
      </c>
      <c r="CG98" s="96">
        <f t="shared" si="142"/>
        <v>0.33333333333333331</v>
      </c>
      <c r="CH98" s="96">
        <f t="shared" si="142"/>
        <v>0.26783333333333331</v>
      </c>
      <c r="CI98" s="96">
        <f t="shared" si="84"/>
        <v>0.26783333333333331</v>
      </c>
      <c r="CJ98" s="96">
        <f t="shared" si="84"/>
        <v>0.26783333333333331</v>
      </c>
      <c r="CK98" s="96">
        <f t="shared" si="84"/>
        <v>0.26783333333333331</v>
      </c>
      <c r="CL98" s="286">
        <f t="shared" si="84"/>
        <v>0.26783333333333331</v>
      </c>
      <c r="CM98" s="305" t="s">
        <v>293</v>
      </c>
      <c r="CN98" s="315">
        <v>0.05</v>
      </c>
      <c r="CO98" s="306"/>
      <c r="CP98" s="307">
        <f>IF($CO98&lt;&gt;"",$CO98,HLOOKUP($CM98,$AY$6:$BA$132,ROWS(CO$6:CO98),0))</f>
        <v>23311.647664314001</v>
      </c>
      <c r="CQ98" s="784">
        <f t="shared" si="138"/>
        <v>7770.5492214380001</v>
      </c>
      <c r="CR98" s="784">
        <f t="shared" si="138"/>
        <v>7770.5492214380001</v>
      </c>
      <c r="CS98" s="97">
        <f t="shared" si="138"/>
        <v>7770.5492214380001</v>
      </c>
      <c r="CT98" s="97">
        <f t="shared" si="138"/>
        <v>6243.6362994254332</v>
      </c>
      <c r="CU98" s="97">
        <f t="shared" si="138"/>
        <v>6243.6362994254332</v>
      </c>
      <c r="CV98" s="97">
        <f t="shared" si="138"/>
        <v>6243.6362994254332</v>
      </c>
      <c r="CW98" s="97">
        <f t="shared" si="138"/>
        <v>6243.6362994254332</v>
      </c>
      <c r="CX98" s="98">
        <f t="shared" si="62"/>
        <v>6243.6362994254332</v>
      </c>
      <c r="CY98" s="392"/>
    </row>
    <row r="99" spans="1:103" x14ac:dyDescent="0.25">
      <c r="A99" s="81" t="s">
        <v>196</v>
      </c>
      <c r="B99" s="82" t="s">
        <v>201</v>
      </c>
      <c r="C99" s="83" t="s">
        <v>390</v>
      </c>
      <c r="D99" s="84">
        <v>831103.21564422792</v>
      </c>
      <c r="E99" s="85">
        <v>1258062.991597892</v>
      </c>
      <c r="F99" s="85">
        <v>1956176.6277903225</v>
      </c>
      <c r="G99" s="85">
        <v>1454119.5917369281</v>
      </c>
      <c r="H99" s="85">
        <v>2076778.3350549184</v>
      </c>
      <c r="I99" s="85">
        <v>1978020.6591545308</v>
      </c>
      <c r="J99" s="85">
        <v>2071548.4958924267</v>
      </c>
      <c r="K99" s="85">
        <v>1823668.612713879</v>
      </c>
      <c r="L99" s="85">
        <v>2162825.0749643096</v>
      </c>
      <c r="M99" s="654">
        <f>'2022-23 Input'!G99</f>
        <v>2626543.7955922522</v>
      </c>
      <c r="N99" s="1065">
        <v>2478540.3958416944</v>
      </c>
      <c r="O99" s="560">
        <f t="shared" si="139"/>
        <v>1118213.0734014327</v>
      </c>
      <c r="P99" s="561">
        <f t="shared" si="113"/>
        <v>1667475.5919289563</v>
      </c>
      <c r="Q99" s="561">
        <f t="shared" si="114"/>
        <v>2566514.9792449716</v>
      </c>
      <c r="R99" s="561">
        <f t="shared" si="115"/>
        <v>1871621.6827516039</v>
      </c>
      <c r="S99" s="561">
        <f t="shared" si="116"/>
        <v>2618648.8425008142</v>
      </c>
      <c r="T99" s="561">
        <f t="shared" si="117"/>
        <v>2455016.9675157485</v>
      </c>
      <c r="U99" s="561">
        <f t="shared" si="118"/>
        <v>2580088.7388002491</v>
      </c>
      <c r="V99" s="561">
        <f t="shared" si="119"/>
        <v>2187232.9799683006</v>
      </c>
      <c r="W99" s="675">
        <f t="shared" si="120"/>
        <v>2443834.9545215466</v>
      </c>
      <c r="X99" s="675">
        <f t="shared" si="121"/>
        <v>2793226.6972819827</v>
      </c>
      <c r="Y99" s="675">
        <f t="shared" si="121"/>
        <v>2546696.4876507018</v>
      </c>
      <c r="Z99" s="86">
        <v>143</v>
      </c>
      <c r="AA99" s="87">
        <v>118</v>
      </c>
      <c r="AB99" s="87">
        <v>192</v>
      </c>
      <c r="AC99" s="87">
        <v>165</v>
      </c>
      <c r="AD99" s="87">
        <v>166</v>
      </c>
      <c r="AE99" s="87">
        <v>194</v>
      </c>
      <c r="AF99" s="87">
        <v>139</v>
      </c>
      <c r="AG99" s="87">
        <v>222</v>
      </c>
      <c r="AH99" s="87">
        <v>349</v>
      </c>
      <c r="AI99" s="1094">
        <f>'2022-23 Input'!N99</f>
        <v>519</v>
      </c>
      <c r="AJ99" s="665">
        <v>400.00066666599997</v>
      </c>
      <c r="AK99" s="88">
        <f t="shared" si="122"/>
        <v>284.60000000000002</v>
      </c>
      <c r="AL99" s="89">
        <f t="shared" si="123"/>
        <v>363.33333333333331</v>
      </c>
      <c r="AM99" s="90">
        <f t="shared" si="124"/>
        <v>519</v>
      </c>
      <c r="AN99" s="91">
        <f t="shared" si="125"/>
        <v>5811.9105989106847</v>
      </c>
      <c r="AO99" s="92">
        <f t="shared" si="126"/>
        <v>10661.550776253322</v>
      </c>
      <c r="AP99" s="92">
        <f t="shared" si="127"/>
        <v>10188.41993640793</v>
      </c>
      <c r="AQ99" s="92">
        <f t="shared" si="128"/>
        <v>8812.8460105268368</v>
      </c>
      <c r="AR99" s="92">
        <f t="shared" si="129"/>
        <v>12510.712861776618</v>
      </c>
      <c r="AS99" s="92">
        <f t="shared" si="130"/>
        <v>10195.982779147067</v>
      </c>
      <c r="AT99" s="92">
        <f t="shared" si="131"/>
        <v>14903.226589154148</v>
      </c>
      <c r="AU99" s="92">
        <f t="shared" si="132"/>
        <v>8214.7234806931483</v>
      </c>
      <c r="AV99" s="92">
        <f t="shared" si="157"/>
        <v>6197.2065185223773</v>
      </c>
      <c r="AW99" s="92">
        <f t="shared" si="157"/>
        <v>5060.7780261893104</v>
      </c>
      <c r="AX99" s="92">
        <f t="shared" si="157"/>
        <v>6196.3406623801266</v>
      </c>
      <c r="AY99" s="93">
        <f t="shared" si="134"/>
        <v>7493.0475321977501</v>
      </c>
      <c r="AZ99" s="94">
        <f t="shared" si="135"/>
        <v>6067.0068653857252</v>
      </c>
      <c r="BA99" s="95">
        <f t="shared" si="136"/>
        <v>5060.7780261893104</v>
      </c>
      <c r="BB99" s="248" t="s">
        <v>422</v>
      </c>
      <c r="BC99" s="229" t="s">
        <v>433</v>
      </c>
      <c r="BD99" s="249">
        <v>-0.19650000000000001</v>
      </c>
      <c r="BE99" s="267">
        <f t="shared" si="140"/>
        <v>0</v>
      </c>
      <c r="BF99" s="268">
        <f t="shared" ref="BF99:BL99" si="170">IF(BF$6=$BB99,1,
IF(BE99&lt;&gt;0,BE99+1,0
))</f>
        <v>0</v>
      </c>
      <c r="BG99" s="268">
        <f t="shared" si="170"/>
        <v>0</v>
      </c>
      <c r="BH99" s="268">
        <f t="shared" si="170"/>
        <v>1</v>
      </c>
      <c r="BI99" s="268">
        <f t="shared" si="170"/>
        <v>2</v>
      </c>
      <c r="BJ99" s="268">
        <f t="shared" si="170"/>
        <v>3</v>
      </c>
      <c r="BK99" s="268">
        <f t="shared" si="170"/>
        <v>4</v>
      </c>
      <c r="BL99" s="269">
        <f t="shared" si="170"/>
        <v>5</v>
      </c>
      <c r="BM99" s="256">
        <f>IF($BC99=Lookup!$A$2,$BD99*ROUNDUP(BE99/10,0)+1,
IF($BC99=Lookup!$A$3,($BD99+1)^BD99,
IF($BC99=Lookup!$A$4,BE99*$BD99+1,"Error")))</f>
        <v>1</v>
      </c>
      <c r="BN99" s="229">
        <f>IF($BC99=Lookup!$A$2,$BD99*ROUNDUP(BF99/10,0)+1,
IF($BC99=Lookup!$A$3,($BD99+1)^BE99,
IF($BC99=Lookup!$A$4,BF99*$BD99+1,"Error")))</f>
        <v>1</v>
      </c>
      <c r="BO99" s="229">
        <f>IF($BC99=Lookup!$A$2,$BD99*ROUNDUP(BG99/10,0)+1,
IF($BC99=Lookup!$A$3,($BD99+1)^BF99,
IF($BC99=Lookup!$A$4,BG99*$BD99+1,"Error")))</f>
        <v>1</v>
      </c>
      <c r="BP99" s="229">
        <f>IF($BC99=Lookup!$A$2,$BD99*ROUNDUP(BH99/10,0)+1,
IF($BC99=Lookup!$A$3,($BD99+1)^BG99,
IF($BC99=Lookup!$A$4,BH99*$BD99+1,"Error")))</f>
        <v>0.80349999999999999</v>
      </c>
      <c r="BQ99" s="229">
        <f>IF($BC99=Lookup!$A$2,$BD99*ROUNDUP(BI99/10,0)+1,
IF($BC99=Lookup!$A$3,($BD99+1)^BH99,
IF($BC99=Lookup!$A$4,BI99*$BD99+1,"Error")))</f>
        <v>0.80349999999999999</v>
      </c>
      <c r="BR99" s="229">
        <f>IF($BC99=Lookup!$A$2,$BD99*ROUNDUP(BJ99/10,0)+1,
IF($BC99=Lookup!$A$3,($BD99+1)^BI99,
IF($BC99=Lookup!$A$4,BJ99*$BD99+1,"Error")))</f>
        <v>0.80349999999999999</v>
      </c>
      <c r="BS99" s="229">
        <f>IF($BC99=Lookup!$A$2,$BD99*ROUNDUP(BK99/10,0)+1,
IF($BC99=Lookup!$A$3,($BD99+1)^BJ99,
IF($BC99=Lookup!$A$4,BK99*$BD99+1,"Error")))</f>
        <v>0.80349999999999999</v>
      </c>
      <c r="BT99" s="249">
        <f>IF($BC99=Lookup!$A$2,$BD99*ROUNDUP(BL99/10,0)+1,
IF($BC99=Lookup!$A$3,($BD99+1)^BK99,
IF($BC99=Lookup!$A$4,BL99*$BD99+1,"Error")))</f>
        <v>0.80349999999999999</v>
      </c>
      <c r="BU99" s="320"/>
      <c r="BV99" s="321"/>
      <c r="BW99" s="321"/>
      <c r="BX99" s="321"/>
      <c r="BY99" s="321"/>
      <c r="BZ99" s="321"/>
      <c r="CA99" s="321"/>
      <c r="CB99" s="277"/>
      <c r="CC99" s="382" t="s">
        <v>293</v>
      </c>
      <c r="CD99" s="383">
        <f>HLOOKUP($CC99,$AK$6:$AM$132,ROWS(CC$6:CC99),0)</f>
        <v>363.33333333333331</v>
      </c>
      <c r="CE99" s="234">
        <f t="shared" si="142"/>
        <v>363.33333333333331</v>
      </c>
      <c r="CF99" s="96">
        <f t="shared" si="142"/>
        <v>363.33333333333331</v>
      </c>
      <c r="CG99" s="96">
        <f t="shared" si="142"/>
        <v>363.33333333333331</v>
      </c>
      <c r="CH99" s="96">
        <f t="shared" si="142"/>
        <v>291.93833333333333</v>
      </c>
      <c r="CI99" s="96">
        <f t="shared" si="84"/>
        <v>291.93833333333333</v>
      </c>
      <c r="CJ99" s="96">
        <f t="shared" si="84"/>
        <v>291.93833333333333</v>
      </c>
      <c r="CK99" s="96">
        <f t="shared" si="84"/>
        <v>291.93833333333333</v>
      </c>
      <c r="CL99" s="286">
        <f t="shared" si="84"/>
        <v>291.93833333333333</v>
      </c>
      <c r="CM99" s="305" t="s">
        <v>293</v>
      </c>
      <c r="CN99" s="315">
        <v>0.05</v>
      </c>
      <c r="CO99" s="306"/>
      <c r="CP99" s="307">
        <f>IF($CO99&lt;&gt;"",$CO99,HLOOKUP($CM99,$AY$6:$BA$132,ROWS(CO$6:CO99),0))</f>
        <v>6067.0068653857252</v>
      </c>
      <c r="CQ99" s="784">
        <f t="shared" si="138"/>
        <v>2204345.8277568133</v>
      </c>
      <c r="CR99" s="784">
        <f t="shared" si="138"/>
        <v>2204345.8277568133</v>
      </c>
      <c r="CS99" s="97">
        <f t="shared" si="138"/>
        <v>2204345.8277568133</v>
      </c>
      <c r="CT99" s="97">
        <f t="shared" si="138"/>
        <v>1771191.8726025997</v>
      </c>
      <c r="CU99" s="97">
        <f t="shared" si="138"/>
        <v>1771191.8726025997</v>
      </c>
      <c r="CV99" s="97">
        <f t="shared" si="138"/>
        <v>1771191.8726025997</v>
      </c>
      <c r="CW99" s="97">
        <f t="shared" si="138"/>
        <v>1771191.8726025997</v>
      </c>
      <c r="CX99" s="98">
        <f t="shared" si="62"/>
        <v>1771191.8726025997</v>
      </c>
      <c r="CY99" s="392"/>
    </row>
    <row r="100" spans="1:103" x14ac:dyDescent="0.25">
      <c r="A100" s="81" t="s">
        <v>196</v>
      </c>
      <c r="B100" s="82" t="s">
        <v>203</v>
      </c>
      <c r="C100" s="83" t="s">
        <v>391</v>
      </c>
      <c r="D100" s="84">
        <v>374262.75232543232</v>
      </c>
      <c r="E100" s="85">
        <v>667518.7038093122</v>
      </c>
      <c r="F100" s="85">
        <v>917870.42670181079</v>
      </c>
      <c r="G100" s="85">
        <v>543248.86646593292</v>
      </c>
      <c r="H100" s="85">
        <v>771639.38113529398</v>
      </c>
      <c r="I100" s="85">
        <v>633151.0001067241</v>
      </c>
      <c r="J100" s="85">
        <v>742878.37338709238</v>
      </c>
      <c r="K100" s="85">
        <v>497180.52736576775</v>
      </c>
      <c r="L100" s="85">
        <v>672452.98467343487</v>
      </c>
      <c r="M100" s="654">
        <f>'2022-23 Input'!G100</f>
        <v>724027.26447118807</v>
      </c>
      <c r="N100" s="1065">
        <v>433994.53337972221</v>
      </c>
      <c r="O100" s="560">
        <f t="shared" si="139"/>
        <v>503554.18515989883</v>
      </c>
      <c r="P100" s="561">
        <f t="shared" si="113"/>
        <v>884749.93159471906</v>
      </c>
      <c r="Q100" s="561">
        <f t="shared" si="114"/>
        <v>1204251.2755083768</v>
      </c>
      <c r="R100" s="561">
        <f t="shared" si="115"/>
        <v>699224.71534364496</v>
      </c>
      <c r="S100" s="561">
        <f t="shared" si="116"/>
        <v>972974.60115527827</v>
      </c>
      <c r="T100" s="561">
        <f t="shared" si="117"/>
        <v>785834.28391793021</v>
      </c>
      <c r="U100" s="561">
        <f t="shared" si="118"/>
        <v>925246.08005788887</v>
      </c>
      <c r="V100" s="561">
        <f t="shared" si="119"/>
        <v>596297.83551198989</v>
      </c>
      <c r="W100" s="675">
        <f t="shared" si="120"/>
        <v>759822.94094884221</v>
      </c>
      <c r="X100" s="675">
        <f t="shared" si="121"/>
        <v>769974.70519045589</v>
      </c>
      <c r="Y100" s="675">
        <f t="shared" si="121"/>
        <v>445928.72307913634</v>
      </c>
      <c r="Z100" s="86">
        <v>23</v>
      </c>
      <c r="AA100" s="87">
        <v>45</v>
      </c>
      <c r="AB100" s="87">
        <v>43</v>
      </c>
      <c r="AC100" s="87">
        <v>30</v>
      </c>
      <c r="AD100" s="87">
        <v>40</v>
      </c>
      <c r="AE100" s="87">
        <v>37</v>
      </c>
      <c r="AF100" s="87">
        <v>14</v>
      </c>
      <c r="AG100" s="87">
        <v>32</v>
      </c>
      <c r="AH100" s="87">
        <v>38</v>
      </c>
      <c r="AI100" s="1094">
        <f>'2022-23 Input'!N100</f>
        <v>40</v>
      </c>
      <c r="AJ100" s="665">
        <v>21</v>
      </c>
      <c r="AK100" s="88">
        <f t="shared" si="122"/>
        <v>32.200000000000003</v>
      </c>
      <c r="AL100" s="89">
        <f t="shared" si="123"/>
        <v>36.666666666666664</v>
      </c>
      <c r="AM100" s="90">
        <f t="shared" si="124"/>
        <v>40</v>
      </c>
      <c r="AN100" s="91">
        <f t="shared" si="125"/>
        <v>16272.293579366622</v>
      </c>
      <c r="AO100" s="92">
        <f t="shared" si="126"/>
        <v>14833.748973540271</v>
      </c>
      <c r="AP100" s="92">
        <f t="shared" si="127"/>
        <v>21345.823876786297</v>
      </c>
      <c r="AQ100" s="92">
        <f t="shared" si="128"/>
        <v>18108.295548864429</v>
      </c>
      <c r="AR100" s="92">
        <f t="shared" si="129"/>
        <v>19290.984528382349</v>
      </c>
      <c r="AS100" s="92">
        <f t="shared" si="130"/>
        <v>17112.189192073623</v>
      </c>
      <c r="AT100" s="92">
        <f t="shared" si="131"/>
        <v>53062.740956220885</v>
      </c>
      <c r="AU100" s="92">
        <f t="shared" si="132"/>
        <v>15536.891480180242</v>
      </c>
      <c r="AV100" s="92">
        <f t="shared" si="157"/>
        <v>17696.131175616709</v>
      </c>
      <c r="AW100" s="92">
        <f t="shared" si="157"/>
        <v>18100.681611779703</v>
      </c>
      <c r="AX100" s="92">
        <f t="shared" si="157"/>
        <v>20666.406351415342</v>
      </c>
      <c r="AY100" s="93">
        <f t="shared" si="134"/>
        <v>20308.634472075821</v>
      </c>
      <c r="AZ100" s="94">
        <f t="shared" si="135"/>
        <v>17215.097968276281</v>
      </c>
      <c r="BA100" s="95">
        <f t="shared" si="136"/>
        <v>18100.681611779703</v>
      </c>
      <c r="BB100" s="248" t="s">
        <v>422</v>
      </c>
      <c r="BC100" s="229" t="s">
        <v>433</v>
      </c>
      <c r="BD100" s="249">
        <v>-0.19650000000000001</v>
      </c>
      <c r="BE100" s="267">
        <f t="shared" si="140"/>
        <v>0</v>
      </c>
      <c r="BF100" s="268">
        <f t="shared" ref="BF100:BL100" si="171">IF(BF$6=$BB100,1,
IF(BE100&lt;&gt;0,BE100+1,0
))</f>
        <v>0</v>
      </c>
      <c r="BG100" s="268">
        <f t="shared" si="171"/>
        <v>0</v>
      </c>
      <c r="BH100" s="268">
        <f t="shared" si="171"/>
        <v>1</v>
      </c>
      <c r="BI100" s="268">
        <f t="shared" si="171"/>
        <v>2</v>
      </c>
      <c r="BJ100" s="268">
        <f t="shared" si="171"/>
        <v>3</v>
      </c>
      <c r="BK100" s="268">
        <f t="shared" si="171"/>
        <v>4</v>
      </c>
      <c r="BL100" s="269">
        <f t="shared" si="171"/>
        <v>5</v>
      </c>
      <c r="BM100" s="256">
        <f>IF($BC100=Lookup!$A$2,$BD100*ROUNDUP(BE100/10,0)+1,
IF($BC100=Lookup!$A$3,($BD100+1)^BD100,
IF($BC100=Lookup!$A$4,BE100*$BD100+1,"Error")))</f>
        <v>1</v>
      </c>
      <c r="BN100" s="229">
        <f>IF($BC100=Lookup!$A$2,$BD100*ROUNDUP(BF100/10,0)+1,
IF($BC100=Lookup!$A$3,($BD100+1)^BE100,
IF($BC100=Lookup!$A$4,BF100*$BD100+1,"Error")))</f>
        <v>1</v>
      </c>
      <c r="BO100" s="229">
        <f>IF($BC100=Lookup!$A$2,$BD100*ROUNDUP(BG100/10,0)+1,
IF($BC100=Lookup!$A$3,($BD100+1)^BF100,
IF($BC100=Lookup!$A$4,BG100*$BD100+1,"Error")))</f>
        <v>1</v>
      </c>
      <c r="BP100" s="229">
        <f>IF($BC100=Lookup!$A$2,$BD100*ROUNDUP(BH100/10,0)+1,
IF($BC100=Lookup!$A$3,($BD100+1)^BG100,
IF($BC100=Lookup!$A$4,BH100*$BD100+1,"Error")))</f>
        <v>0.80349999999999999</v>
      </c>
      <c r="BQ100" s="229">
        <f>IF($BC100=Lookup!$A$2,$BD100*ROUNDUP(BI100/10,0)+1,
IF($BC100=Lookup!$A$3,($BD100+1)^BH100,
IF($BC100=Lookup!$A$4,BI100*$BD100+1,"Error")))</f>
        <v>0.80349999999999999</v>
      </c>
      <c r="BR100" s="229">
        <f>IF($BC100=Lookup!$A$2,$BD100*ROUNDUP(BJ100/10,0)+1,
IF($BC100=Lookup!$A$3,($BD100+1)^BI100,
IF($BC100=Lookup!$A$4,BJ100*$BD100+1,"Error")))</f>
        <v>0.80349999999999999</v>
      </c>
      <c r="BS100" s="229">
        <f>IF($BC100=Lookup!$A$2,$BD100*ROUNDUP(BK100/10,0)+1,
IF($BC100=Lookup!$A$3,($BD100+1)^BJ100,
IF($BC100=Lookup!$A$4,BK100*$BD100+1,"Error")))</f>
        <v>0.80349999999999999</v>
      </c>
      <c r="BT100" s="249">
        <f>IF($BC100=Lookup!$A$2,$BD100*ROUNDUP(BL100/10,0)+1,
IF($BC100=Lookup!$A$3,($BD100+1)^BK100,
IF($BC100=Lookup!$A$4,BL100*$BD100+1,"Error")))</f>
        <v>0.80349999999999999</v>
      </c>
      <c r="BU100" s="320"/>
      <c r="BV100" s="321"/>
      <c r="BW100" s="321"/>
      <c r="BX100" s="321"/>
      <c r="BY100" s="321"/>
      <c r="BZ100" s="321"/>
      <c r="CA100" s="321"/>
      <c r="CB100" s="277"/>
      <c r="CC100" s="382" t="s">
        <v>293</v>
      </c>
      <c r="CD100" s="383">
        <f>HLOOKUP($CC100,$AK$6:$AM$132,ROWS(CC$6:CC100),0)</f>
        <v>36.666666666666664</v>
      </c>
      <c r="CE100" s="234">
        <f t="shared" si="142"/>
        <v>36.666666666666664</v>
      </c>
      <c r="CF100" s="96">
        <f t="shared" si="142"/>
        <v>36.666666666666664</v>
      </c>
      <c r="CG100" s="96">
        <f t="shared" si="142"/>
        <v>36.666666666666664</v>
      </c>
      <c r="CH100" s="96">
        <f t="shared" si="142"/>
        <v>29.461666666666666</v>
      </c>
      <c r="CI100" s="96">
        <f t="shared" si="84"/>
        <v>29.461666666666666</v>
      </c>
      <c r="CJ100" s="96">
        <f t="shared" si="84"/>
        <v>29.461666666666666</v>
      </c>
      <c r="CK100" s="96">
        <f t="shared" si="84"/>
        <v>29.461666666666666</v>
      </c>
      <c r="CL100" s="286">
        <f t="shared" si="84"/>
        <v>29.461666666666666</v>
      </c>
      <c r="CM100" s="305" t="s">
        <v>293</v>
      </c>
      <c r="CN100" s="315">
        <v>0.05</v>
      </c>
      <c r="CO100" s="306"/>
      <c r="CP100" s="307">
        <f>IF($CO100&lt;&gt;"",$CO100,HLOOKUP($CM100,$AY$6:$BA$132,ROWS(CO$6:CO100),0))</f>
        <v>17215.097968276281</v>
      </c>
      <c r="CQ100" s="784">
        <f t="shared" si="138"/>
        <v>631220.25883679697</v>
      </c>
      <c r="CR100" s="784">
        <f t="shared" si="138"/>
        <v>631220.25883679697</v>
      </c>
      <c r="CS100" s="97">
        <f t="shared" si="138"/>
        <v>631220.25883679697</v>
      </c>
      <c r="CT100" s="97">
        <f t="shared" si="138"/>
        <v>507185.47797536635</v>
      </c>
      <c r="CU100" s="97">
        <f t="shared" si="138"/>
        <v>507185.47797536635</v>
      </c>
      <c r="CV100" s="97">
        <f t="shared" si="138"/>
        <v>507185.47797536635</v>
      </c>
      <c r="CW100" s="97">
        <f t="shared" si="138"/>
        <v>507185.47797536635</v>
      </c>
      <c r="CX100" s="98">
        <f t="shared" si="62"/>
        <v>507185.47797536635</v>
      </c>
      <c r="CY100" s="392"/>
    </row>
    <row r="101" spans="1:103" x14ac:dyDescent="0.25">
      <c r="A101" s="81" t="s">
        <v>196</v>
      </c>
      <c r="B101" s="82" t="s">
        <v>205</v>
      </c>
      <c r="C101" s="83" t="s">
        <v>206</v>
      </c>
      <c r="D101" s="84">
        <v>30539.624660101301</v>
      </c>
      <c r="E101" s="85">
        <v>10467.965503409805</v>
      </c>
      <c r="F101" s="85">
        <v>145581.53333695643</v>
      </c>
      <c r="G101" s="85">
        <v>96014.341813624749</v>
      </c>
      <c r="H101" s="85">
        <v>16187.27126152269</v>
      </c>
      <c r="I101" s="85">
        <v>10583.286269080994</v>
      </c>
      <c r="J101" s="85">
        <v>36958.16925579399</v>
      </c>
      <c r="K101" s="85">
        <v>12958.241257101001</v>
      </c>
      <c r="L101" s="85">
        <v>44069.960175890061</v>
      </c>
      <c r="M101" s="654">
        <f>'2022-23 Input'!G101</f>
        <v>17616.95767047202</v>
      </c>
      <c r="N101" s="1065">
        <v>10141.37705257599</v>
      </c>
      <c r="O101" s="560">
        <f t="shared" si="139"/>
        <v>41089.7309851303</v>
      </c>
      <c r="P101" s="561">
        <f t="shared" si="113"/>
        <v>13874.565177312865</v>
      </c>
      <c r="Q101" s="561">
        <f t="shared" si="114"/>
        <v>191003.80850210172</v>
      </c>
      <c r="R101" s="561">
        <f t="shared" si="115"/>
        <v>123581.66757030733</v>
      </c>
      <c r="S101" s="561">
        <f t="shared" si="116"/>
        <v>20410.834626273274</v>
      </c>
      <c r="T101" s="561">
        <f t="shared" si="117"/>
        <v>13135.427702648909</v>
      </c>
      <c r="U101" s="561">
        <f t="shared" si="118"/>
        <v>46030.95534216224</v>
      </c>
      <c r="V101" s="561">
        <f t="shared" si="119"/>
        <v>15541.580549406523</v>
      </c>
      <c r="W101" s="675">
        <f t="shared" si="120"/>
        <v>49795.848202837151</v>
      </c>
      <c r="X101" s="675">
        <f t="shared" si="121"/>
        <v>18734.946119165412</v>
      </c>
      <c r="Y101" s="675">
        <f t="shared" si="121"/>
        <v>10420.249499692352</v>
      </c>
      <c r="Z101" s="86">
        <v>17</v>
      </c>
      <c r="AA101" s="87">
        <v>6</v>
      </c>
      <c r="AB101" s="87">
        <v>49</v>
      </c>
      <c r="AC101" s="87">
        <v>21</v>
      </c>
      <c r="AD101" s="87">
        <v>8</v>
      </c>
      <c r="AE101" s="87">
        <v>6</v>
      </c>
      <c r="AF101" s="87">
        <v>3</v>
      </c>
      <c r="AG101" s="87">
        <v>5</v>
      </c>
      <c r="AH101" s="87">
        <v>6</v>
      </c>
      <c r="AI101" s="1094">
        <f>'2022-23 Input'!N101</f>
        <v>18</v>
      </c>
      <c r="AJ101" s="665">
        <v>4</v>
      </c>
      <c r="AK101" s="88">
        <f t="shared" si="122"/>
        <v>7.6</v>
      </c>
      <c r="AL101" s="89">
        <f t="shared" si="123"/>
        <v>9.6666666666666661</v>
      </c>
      <c r="AM101" s="90">
        <f t="shared" si="124"/>
        <v>18</v>
      </c>
      <c r="AN101" s="91">
        <f t="shared" si="125"/>
        <v>1796.4485094177235</v>
      </c>
      <c r="AO101" s="92">
        <f t="shared" si="126"/>
        <v>1744.6609172349674</v>
      </c>
      <c r="AP101" s="92">
        <f t="shared" si="127"/>
        <v>2971.051700754213</v>
      </c>
      <c r="AQ101" s="92">
        <f t="shared" si="128"/>
        <v>4572.1115149345114</v>
      </c>
      <c r="AR101" s="92">
        <f t="shared" si="129"/>
        <v>2023.4089076903363</v>
      </c>
      <c r="AS101" s="92">
        <f t="shared" si="130"/>
        <v>1763.8810448468323</v>
      </c>
      <c r="AT101" s="92">
        <f t="shared" si="131"/>
        <v>12319.38975193133</v>
      </c>
      <c r="AU101" s="92">
        <f t="shared" si="132"/>
        <v>2591.6482514202003</v>
      </c>
      <c r="AV101" s="92">
        <f t="shared" si="157"/>
        <v>7344.9933626483435</v>
      </c>
      <c r="AW101" s="92">
        <f t="shared" si="157"/>
        <v>978.71987058177888</v>
      </c>
      <c r="AX101" s="92">
        <f t="shared" si="157"/>
        <v>2535.3442631439975</v>
      </c>
      <c r="AY101" s="93">
        <f t="shared" si="134"/>
        <v>3215.4372270615281</v>
      </c>
      <c r="AZ101" s="94">
        <f t="shared" si="135"/>
        <v>2573.9710035676926</v>
      </c>
      <c r="BA101" s="95">
        <f t="shared" si="136"/>
        <v>978.71987058177888</v>
      </c>
      <c r="BB101" s="248" t="s">
        <v>422</v>
      </c>
      <c r="BC101" s="229" t="s">
        <v>433</v>
      </c>
      <c r="BD101" s="249">
        <v>-0.19650000000000001</v>
      </c>
      <c r="BE101" s="267">
        <f t="shared" si="140"/>
        <v>0</v>
      </c>
      <c r="BF101" s="268">
        <f t="shared" ref="BF101:BL101" si="172">IF(BF$6=$BB101,1,
IF(BE101&lt;&gt;0,BE101+1,0
))</f>
        <v>0</v>
      </c>
      <c r="BG101" s="268">
        <f t="shared" si="172"/>
        <v>0</v>
      </c>
      <c r="BH101" s="268">
        <f t="shared" si="172"/>
        <v>1</v>
      </c>
      <c r="BI101" s="268">
        <f t="shared" si="172"/>
        <v>2</v>
      </c>
      <c r="BJ101" s="268">
        <f t="shared" si="172"/>
        <v>3</v>
      </c>
      <c r="BK101" s="268">
        <f t="shared" si="172"/>
        <v>4</v>
      </c>
      <c r="BL101" s="269">
        <f t="shared" si="172"/>
        <v>5</v>
      </c>
      <c r="BM101" s="256">
        <f>IF($BC101=Lookup!$A$2,$BD101*ROUNDUP(BE101/10,0)+1,
IF($BC101=Lookup!$A$3,($BD101+1)^BD101,
IF($BC101=Lookup!$A$4,BE101*$BD101+1,"Error")))</f>
        <v>1</v>
      </c>
      <c r="BN101" s="229">
        <f>IF($BC101=Lookup!$A$2,$BD101*ROUNDUP(BF101/10,0)+1,
IF($BC101=Lookup!$A$3,($BD101+1)^BE101,
IF($BC101=Lookup!$A$4,BF101*$BD101+1,"Error")))</f>
        <v>1</v>
      </c>
      <c r="BO101" s="229">
        <f>IF($BC101=Lookup!$A$2,$BD101*ROUNDUP(BG101/10,0)+1,
IF($BC101=Lookup!$A$3,($BD101+1)^BF101,
IF($BC101=Lookup!$A$4,BG101*$BD101+1,"Error")))</f>
        <v>1</v>
      </c>
      <c r="BP101" s="229">
        <f>IF($BC101=Lookup!$A$2,$BD101*ROUNDUP(BH101/10,0)+1,
IF($BC101=Lookup!$A$3,($BD101+1)^BG101,
IF($BC101=Lookup!$A$4,BH101*$BD101+1,"Error")))</f>
        <v>0.80349999999999999</v>
      </c>
      <c r="BQ101" s="229">
        <f>IF($BC101=Lookup!$A$2,$BD101*ROUNDUP(BI101/10,0)+1,
IF($BC101=Lookup!$A$3,($BD101+1)^BH101,
IF($BC101=Lookup!$A$4,BI101*$BD101+1,"Error")))</f>
        <v>0.80349999999999999</v>
      </c>
      <c r="BR101" s="229">
        <f>IF($BC101=Lookup!$A$2,$BD101*ROUNDUP(BJ101/10,0)+1,
IF($BC101=Lookup!$A$3,($BD101+1)^BI101,
IF($BC101=Lookup!$A$4,BJ101*$BD101+1,"Error")))</f>
        <v>0.80349999999999999</v>
      </c>
      <c r="BS101" s="229">
        <f>IF($BC101=Lookup!$A$2,$BD101*ROUNDUP(BK101/10,0)+1,
IF($BC101=Lookup!$A$3,($BD101+1)^BJ101,
IF($BC101=Lookup!$A$4,BK101*$BD101+1,"Error")))</f>
        <v>0.80349999999999999</v>
      </c>
      <c r="BT101" s="249">
        <f>IF($BC101=Lookup!$A$2,$BD101*ROUNDUP(BL101/10,0)+1,
IF($BC101=Lookup!$A$3,($BD101+1)^BK101,
IF($BC101=Lookup!$A$4,BL101*$BD101+1,"Error")))</f>
        <v>0.80349999999999999</v>
      </c>
      <c r="BU101" s="320"/>
      <c r="BV101" s="321"/>
      <c r="BW101" s="321"/>
      <c r="BX101" s="321"/>
      <c r="BY101" s="321"/>
      <c r="BZ101" s="321"/>
      <c r="CA101" s="321"/>
      <c r="CB101" s="277"/>
      <c r="CC101" s="382" t="s">
        <v>293</v>
      </c>
      <c r="CD101" s="383">
        <f>HLOOKUP($CC101,$AK$6:$AM$132,ROWS(CC$6:CC101),0)</f>
        <v>9.6666666666666661</v>
      </c>
      <c r="CE101" s="234">
        <f t="shared" si="142"/>
        <v>9.6666666666666661</v>
      </c>
      <c r="CF101" s="96">
        <f t="shared" si="142"/>
        <v>9.6666666666666661</v>
      </c>
      <c r="CG101" s="96">
        <f t="shared" si="142"/>
        <v>9.6666666666666661</v>
      </c>
      <c r="CH101" s="96">
        <f t="shared" si="142"/>
        <v>7.7671666666666663</v>
      </c>
      <c r="CI101" s="96">
        <f t="shared" si="84"/>
        <v>7.7671666666666663</v>
      </c>
      <c r="CJ101" s="96">
        <f t="shared" si="84"/>
        <v>7.7671666666666663</v>
      </c>
      <c r="CK101" s="96">
        <f t="shared" si="84"/>
        <v>7.7671666666666663</v>
      </c>
      <c r="CL101" s="286">
        <f t="shared" si="84"/>
        <v>7.7671666666666663</v>
      </c>
      <c r="CM101" s="305" t="s">
        <v>293</v>
      </c>
      <c r="CN101" s="315">
        <v>0.05</v>
      </c>
      <c r="CO101" s="306"/>
      <c r="CP101" s="307">
        <f>IF($CO101&lt;&gt;"",$CO101,HLOOKUP($CM101,$AY$6:$BA$132,ROWS(CO$6:CO101),0))</f>
        <v>2573.9710035676926</v>
      </c>
      <c r="CQ101" s="784">
        <f t="shared" si="138"/>
        <v>24881.719701154361</v>
      </c>
      <c r="CR101" s="784">
        <f t="shared" si="138"/>
        <v>24881.719701154361</v>
      </c>
      <c r="CS101" s="97">
        <f t="shared" si="138"/>
        <v>24881.719701154361</v>
      </c>
      <c r="CT101" s="97">
        <f t="shared" si="138"/>
        <v>19992.461779877529</v>
      </c>
      <c r="CU101" s="97">
        <f t="shared" si="138"/>
        <v>19992.461779877529</v>
      </c>
      <c r="CV101" s="97">
        <f t="shared" si="138"/>
        <v>19992.461779877529</v>
      </c>
      <c r="CW101" s="97">
        <f t="shared" si="138"/>
        <v>19992.461779877529</v>
      </c>
      <c r="CX101" s="98">
        <f t="shared" si="62"/>
        <v>19992.461779877529</v>
      </c>
      <c r="CY101" s="392"/>
    </row>
    <row r="102" spans="1:103" x14ac:dyDescent="0.25">
      <c r="A102" s="81" t="s">
        <v>196</v>
      </c>
      <c r="B102" s="82" t="s">
        <v>207</v>
      </c>
      <c r="C102" s="83" t="s">
        <v>208</v>
      </c>
      <c r="D102" s="84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654">
        <f>'2022-23 Input'!G102</f>
        <v>0</v>
      </c>
      <c r="N102" s="1065">
        <v>0</v>
      </c>
      <c r="O102" s="560">
        <f t="shared" si="139"/>
        <v>0</v>
      </c>
      <c r="P102" s="561">
        <f t="shared" si="113"/>
        <v>0</v>
      </c>
      <c r="Q102" s="561">
        <f t="shared" si="114"/>
        <v>0</v>
      </c>
      <c r="R102" s="561">
        <f t="shared" si="115"/>
        <v>0</v>
      </c>
      <c r="S102" s="561">
        <f t="shared" si="116"/>
        <v>0</v>
      </c>
      <c r="T102" s="561">
        <f t="shared" si="117"/>
        <v>0</v>
      </c>
      <c r="U102" s="561">
        <f t="shared" si="118"/>
        <v>0</v>
      </c>
      <c r="V102" s="561">
        <f t="shared" si="119"/>
        <v>0</v>
      </c>
      <c r="W102" s="675">
        <f t="shared" si="120"/>
        <v>0</v>
      </c>
      <c r="X102" s="675">
        <f t="shared" si="121"/>
        <v>0</v>
      </c>
      <c r="Y102" s="675">
        <f t="shared" si="121"/>
        <v>0</v>
      </c>
      <c r="Z102" s="86">
        <v>0</v>
      </c>
      <c r="AA102" s="87">
        <v>0</v>
      </c>
      <c r="AB102" s="87">
        <v>0</v>
      </c>
      <c r="AC102" s="87">
        <v>0</v>
      </c>
      <c r="AD102" s="87">
        <v>0</v>
      </c>
      <c r="AE102" s="87">
        <v>0</v>
      </c>
      <c r="AF102" s="87">
        <v>0</v>
      </c>
      <c r="AG102" s="87">
        <v>0</v>
      </c>
      <c r="AH102" s="87">
        <v>0</v>
      </c>
      <c r="AI102" s="1094">
        <f>'2022-23 Input'!N102</f>
        <v>0</v>
      </c>
      <c r="AJ102" s="665">
        <v>0</v>
      </c>
      <c r="AK102" s="88">
        <f t="shared" si="122"/>
        <v>0</v>
      </c>
      <c r="AL102" s="89">
        <f t="shared" si="123"/>
        <v>0</v>
      </c>
      <c r="AM102" s="90">
        <f t="shared" si="124"/>
        <v>0</v>
      </c>
      <c r="AN102" s="91" t="str">
        <f t="shared" si="125"/>
        <v/>
      </c>
      <c r="AO102" s="92" t="str">
        <f t="shared" si="126"/>
        <v/>
      </c>
      <c r="AP102" s="92" t="str">
        <f t="shared" si="127"/>
        <v/>
      </c>
      <c r="AQ102" s="92" t="str">
        <f t="shared" si="128"/>
        <v/>
      </c>
      <c r="AR102" s="92" t="str">
        <f t="shared" si="129"/>
        <v/>
      </c>
      <c r="AS102" s="92" t="str">
        <f t="shared" si="130"/>
        <v/>
      </c>
      <c r="AT102" s="92" t="str">
        <f t="shared" si="131"/>
        <v/>
      </c>
      <c r="AU102" s="92" t="str">
        <f t="shared" si="132"/>
        <v/>
      </c>
      <c r="AV102" s="92" t="str">
        <f t="shared" si="157"/>
        <v/>
      </c>
      <c r="AW102" s="92" t="str">
        <f t="shared" si="157"/>
        <v/>
      </c>
      <c r="AX102" s="92" t="str">
        <f t="shared" si="157"/>
        <v/>
      </c>
      <c r="AY102" s="93" t="str">
        <f t="shared" si="134"/>
        <v/>
      </c>
      <c r="AZ102" s="94" t="str">
        <f t="shared" si="135"/>
        <v/>
      </c>
      <c r="BA102" s="95" t="str">
        <f t="shared" si="136"/>
        <v/>
      </c>
      <c r="BB102" s="248" t="s">
        <v>422</v>
      </c>
      <c r="BC102" s="229" t="s">
        <v>433</v>
      </c>
      <c r="BD102" s="249">
        <v>-0.19650000000000001</v>
      </c>
      <c r="BE102" s="267">
        <f t="shared" si="140"/>
        <v>0</v>
      </c>
      <c r="BF102" s="268">
        <f t="shared" ref="BF102:BL102" si="173">IF(BF$6=$BB102,1,
IF(BE102&lt;&gt;0,BE102+1,0
))</f>
        <v>0</v>
      </c>
      <c r="BG102" s="268">
        <f t="shared" si="173"/>
        <v>0</v>
      </c>
      <c r="BH102" s="268">
        <f t="shared" si="173"/>
        <v>1</v>
      </c>
      <c r="BI102" s="268">
        <f t="shared" si="173"/>
        <v>2</v>
      </c>
      <c r="BJ102" s="268">
        <f t="shared" si="173"/>
        <v>3</v>
      </c>
      <c r="BK102" s="268">
        <f t="shared" si="173"/>
        <v>4</v>
      </c>
      <c r="BL102" s="269">
        <f t="shared" si="173"/>
        <v>5</v>
      </c>
      <c r="BM102" s="256">
        <f>IF($BC102=Lookup!$A$2,$BD102*ROUNDUP(BE102/10,0)+1,
IF($BC102=Lookup!$A$3,($BD102+1)^BD102,
IF($BC102=Lookup!$A$4,BE102*$BD102+1,"Error")))</f>
        <v>1</v>
      </c>
      <c r="BN102" s="229">
        <f>IF($BC102=Lookup!$A$2,$BD102*ROUNDUP(BF102/10,0)+1,
IF($BC102=Lookup!$A$3,($BD102+1)^BE102,
IF($BC102=Lookup!$A$4,BF102*$BD102+1,"Error")))</f>
        <v>1</v>
      </c>
      <c r="BO102" s="229">
        <f>IF($BC102=Lookup!$A$2,$BD102*ROUNDUP(BG102/10,0)+1,
IF($BC102=Lookup!$A$3,($BD102+1)^BF102,
IF($BC102=Lookup!$A$4,BG102*$BD102+1,"Error")))</f>
        <v>1</v>
      </c>
      <c r="BP102" s="229">
        <f>IF($BC102=Lookup!$A$2,$BD102*ROUNDUP(BH102/10,0)+1,
IF($BC102=Lookup!$A$3,($BD102+1)^BG102,
IF($BC102=Lookup!$A$4,BH102*$BD102+1,"Error")))</f>
        <v>0.80349999999999999</v>
      </c>
      <c r="BQ102" s="229">
        <f>IF($BC102=Lookup!$A$2,$BD102*ROUNDUP(BI102/10,0)+1,
IF($BC102=Lookup!$A$3,($BD102+1)^BH102,
IF($BC102=Lookup!$A$4,BI102*$BD102+1,"Error")))</f>
        <v>0.80349999999999999</v>
      </c>
      <c r="BR102" s="229">
        <f>IF($BC102=Lookup!$A$2,$BD102*ROUNDUP(BJ102/10,0)+1,
IF($BC102=Lookup!$A$3,($BD102+1)^BI102,
IF($BC102=Lookup!$A$4,BJ102*$BD102+1,"Error")))</f>
        <v>0.80349999999999999</v>
      </c>
      <c r="BS102" s="229">
        <f>IF($BC102=Lookup!$A$2,$BD102*ROUNDUP(BK102/10,0)+1,
IF($BC102=Lookup!$A$3,($BD102+1)^BJ102,
IF($BC102=Lookup!$A$4,BK102*$BD102+1,"Error")))</f>
        <v>0.80349999999999999</v>
      </c>
      <c r="BT102" s="249">
        <f>IF($BC102=Lookup!$A$2,$BD102*ROUNDUP(BL102/10,0)+1,
IF($BC102=Lookup!$A$3,($BD102+1)^BK102,
IF($BC102=Lookup!$A$4,BL102*$BD102+1,"Error")))</f>
        <v>0.80349999999999999</v>
      </c>
      <c r="BU102" s="320"/>
      <c r="BV102" s="321"/>
      <c r="BW102" s="321"/>
      <c r="BX102" s="321"/>
      <c r="BY102" s="321"/>
      <c r="BZ102" s="321"/>
      <c r="CA102" s="321"/>
      <c r="CB102" s="277"/>
      <c r="CC102" s="382" t="s">
        <v>293</v>
      </c>
      <c r="CD102" s="383">
        <f>HLOOKUP($CC102,$AK$6:$AM$132,ROWS(CC$6:CC102),0)</f>
        <v>0</v>
      </c>
      <c r="CE102" s="234">
        <f t="shared" si="142"/>
        <v>0</v>
      </c>
      <c r="CF102" s="96">
        <f t="shared" si="142"/>
        <v>0</v>
      </c>
      <c r="CG102" s="96">
        <f t="shared" si="142"/>
        <v>0</v>
      </c>
      <c r="CH102" s="96">
        <f t="shared" si="142"/>
        <v>0</v>
      </c>
      <c r="CI102" s="96">
        <f t="shared" si="84"/>
        <v>0</v>
      </c>
      <c r="CJ102" s="96">
        <f t="shared" si="84"/>
        <v>0</v>
      </c>
      <c r="CK102" s="96">
        <f t="shared" si="84"/>
        <v>0</v>
      </c>
      <c r="CL102" s="286">
        <f t="shared" si="84"/>
        <v>0</v>
      </c>
      <c r="CM102" s="305" t="s">
        <v>293</v>
      </c>
      <c r="CN102" s="315">
        <v>0.05</v>
      </c>
      <c r="CO102" s="306"/>
      <c r="CP102" s="307" t="str">
        <f>IF($CO102&lt;&gt;"",$CO102,HLOOKUP($CM102,$AY$6:$BA$132,ROWS(CO$6:CO102),0))</f>
        <v/>
      </c>
      <c r="CQ102" s="784" t="str">
        <f t="shared" si="138"/>
        <v/>
      </c>
      <c r="CR102" s="784" t="str">
        <f t="shared" si="138"/>
        <v/>
      </c>
      <c r="CS102" s="97" t="str">
        <f t="shared" si="138"/>
        <v/>
      </c>
      <c r="CT102" s="97" t="str">
        <f t="shared" si="138"/>
        <v/>
      </c>
      <c r="CU102" s="97" t="str">
        <f t="shared" si="138"/>
        <v/>
      </c>
      <c r="CV102" s="97" t="str">
        <f t="shared" si="138"/>
        <v/>
      </c>
      <c r="CW102" s="97" t="str">
        <f t="shared" si="138"/>
        <v/>
      </c>
      <c r="CX102" s="98" t="str">
        <f t="shared" si="138"/>
        <v/>
      </c>
      <c r="CY102" s="392"/>
    </row>
    <row r="103" spans="1:103" x14ac:dyDescent="0.25">
      <c r="A103" s="81" t="s">
        <v>196</v>
      </c>
      <c r="B103" s="82" t="s">
        <v>209</v>
      </c>
      <c r="C103" s="83" t="s">
        <v>210</v>
      </c>
      <c r="D103" s="84">
        <v>11787.808656061392</v>
      </c>
      <c r="E103" s="85">
        <v>38825.181646557219</v>
      </c>
      <c r="F103" s="85">
        <v>0</v>
      </c>
      <c r="G103" s="85">
        <v>0</v>
      </c>
      <c r="H103" s="85">
        <v>0</v>
      </c>
      <c r="I103" s="85">
        <v>59933.61654733702</v>
      </c>
      <c r="J103" s="85">
        <v>0</v>
      </c>
      <c r="K103" s="85">
        <v>29865.75</v>
      </c>
      <c r="L103" s="85">
        <v>156417.22255973902</v>
      </c>
      <c r="M103" s="654">
        <f>'2022-23 Input'!G103</f>
        <v>120828.217046758</v>
      </c>
      <c r="N103" s="1065">
        <v>118796.53226581504</v>
      </c>
      <c r="O103" s="560">
        <f t="shared" si="139"/>
        <v>15859.981645895785</v>
      </c>
      <c r="P103" s="561">
        <f t="shared" si="113"/>
        <v>51460.096338748968</v>
      </c>
      <c r="Q103" s="561">
        <f t="shared" si="114"/>
        <v>0</v>
      </c>
      <c r="R103" s="561">
        <f t="shared" si="115"/>
        <v>0</v>
      </c>
      <c r="S103" s="561">
        <f t="shared" si="116"/>
        <v>0</v>
      </c>
      <c r="T103" s="561">
        <f t="shared" si="117"/>
        <v>74386.505958530528</v>
      </c>
      <c r="U103" s="561">
        <f t="shared" si="118"/>
        <v>0</v>
      </c>
      <c r="V103" s="561">
        <f t="shared" si="119"/>
        <v>35819.749770369628</v>
      </c>
      <c r="W103" s="675">
        <f t="shared" si="120"/>
        <v>176740.07963264175</v>
      </c>
      <c r="X103" s="675">
        <f t="shared" si="121"/>
        <v>128496.08759860194</v>
      </c>
      <c r="Y103" s="675">
        <f t="shared" si="121"/>
        <v>122063.25625114312</v>
      </c>
      <c r="Z103" s="86">
        <v>1</v>
      </c>
      <c r="AA103" s="87">
        <v>1</v>
      </c>
      <c r="AB103" s="87">
        <v>0</v>
      </c>
      <c r="AC103" s="87">
        <v>0</v>
      </c>
      <c r="AD103" s="87">
        <v>0</v>
      </c>
      <c r="AE103" s="87">
        <v>1</v>
      </c>
      <c r="AF103" s="87">
        <v>0</v>
      </c>
      <c r="AG103" s="87">
        <v>0</v>
      </c>
      <c r="AH103" s="87">
        <v>5</v>
      </c>
      <c r="AI103" s="1094">
        <f>'2022-23 Input'!N103</f>
        <v>1</v>
      </c>
      <c r="AJ103" s="665">
        <v>2</v>
      </c>
      <c r="AK103" s="88">
        <f t="shared" ref="AK103:AK132" si="174">IFERROR(IF($AM$4="N",SUM(AD103:AH103)/5,SUM(AE103:AI103)/5),"")</f>
        <v>1.4</v>
      </c>
      <c r="AL103" s="89">
        <f t="shared" ref="AL103:AL132" si="175">IFERROR(IF($AM$4="N",SUM(AF103:AH103)/3,SUM(AG103:AI103)/3),"")</f>
        <v>2</v>
      </c>
      <c r="AM103" s="90">
        <f t="shared" ref="AM103:AM132" si="176">IFERROR(IF($AM$4="N",AH103,AI103),"")</f>
        <v>1</v>
      </c>
      <c r="AN103" s="91">
        <f t="shared" ref="AN103:AN132" si="177">IFERROR(D103/Z103,"")</f>
        <v>11787.808656061392</v>
      </c>
      <c r="AO103" s="92">
        <f t="shared" ref="AO103:AO132" si="178">IFERROR(E103/AA103,"")</f>
        <v>38825.181646557219</v>
      </c>
      <c r="AP103" s="92" t="str">
        <f t="shared" ref="AP103:AP132" si="179">IFERROR(F103/AB103,"")</f>
        <v/>
      </c>
      <c r="AQ103" s="92" t="str">
        <f t="shared" ref="AQ103:AQ132" si="180">IFERROR(G103/AC103,"")</f>
        <v/>
      </c>
      <c r="AR103" s="92" t="str">
        <f t="shared" ref="AR103:AR132" si="181">IFERROR(H103/AD103,"")</f>
        <v/>
      </c>
      <c r="AS103" s="92">
        <f t="shared" ref="AS103:AS132" si="182">IFERROR(I103/AE103,"")</f>
        <v>59933.61654733702</v>
      </c>
      <c r="AT103" s="92" t="str">
        <f t="shared" ref="AT103:AT132" si="183">IFERROR(J103/AF103,"")</f>
        <v/>
      </c>
      <c r="AU103" s="92" t="str">
        <f t="shared" ref="AU103:AU132" si="184">IFERROR(K103/AG103,"")</f>
        <v/>
      </c>
      <c r="AV103" s="92">
        <f t="shared" ref="AV103:AX118" si="185">IFERROR(L103/AH103,"")</f>
        <v>31283.444511947804</v>
      </c>
      <c r="AW103" s="92">
        <f t="shared" si="185"/>
        <v>120828.217046758</v>
      </c>
      <c r="AX103" s="92">
        <f t="shared" si="185"/>
        <v>59398.26613290752</v>
      </c>
      <c r="AY103" s="93">
        <f t="shared" ref="AY103:AY132" si="186">IFERROR(IF($BA$3="N",
IF($BA$4="N",SUM(H103:L103)/SUM(AD103:AH103),SUM(I103:M103)/SUM(AE103:AI103)),
IF($BA$4="N",SUM(S103:W103)/SUM(AD103:AH103),SUM(T103:X103)/SUM(AE103:AI103))),"")</f>
        <v>52434.972307690579</v>
      </c>
      <c r="AZ103" s="94">
        <f t="shared" ref="AZ103:AZ132" si="187">IFERROR(IF($BA$3="N",
IF($BA$4="N",SUM(J103:L103)/SUM(AF103:AH103),SUM(K103:M103)/SUM(AG103:AI103)),
IF($BA$4="N",SUM(U103:W103)/SUM(AF103:AH103),SUM(V103:X103)/SUM(AG103:AI103))),"")</f>
        <v>51185.198267749503</v>
      </c>
      <c r="BA103" s="95">
        <f t="shared" ref="BA103:BA132" si="188">IFERROR(IF($BA$3="N",
IF($BA$4="N",L103/AH103,M103/AI103),
IF($BA$4="N",W103/AH103,X103/AI103)),"")</f>
        <v>120828.217046758</v>
      </c>
      <c r="BB103" s="248" t="s">
        <v>422</v>
      </c>
      <c r="BC103" s="229" t="s">
        <v>433</v>
      </c>
      <c r="BD103" s="249">
        <v>-0.19650000000000001</v>
      </c>
      <c r="BE103" s="267">
        <f t="shared" si="140"/>
        <v>0</v>
      </c>
      <c r="BF103" s="268">
        <f t="shared" ref="BF103:BL103" si="189">IF(BF$6=$BB103,1,
IF(BE103&lt;&gt;0,BE103+1,0
))</f>
        <v>0</v>
      </c>
      <c r="BG103" s="268">
        <f t="shared" si="189"/>
        <v>0</v>
      </c>
      <c r="BH103" s="268">
        <f t="shared" si="189"/>
        <v>1</v>
      </c>
      <c r="BI103" s="268">
        <f t="shared" si="189"/>
        <v>2</v>
      </c>
      <c r="BJ103" s="268">
        <f t="shared" si="189"/>
        <v>3</v>
      </c>
      <c r="BK103" s="268">
        <f t="shared" si="189"/>
        <v>4</v>
      </c>
      <c r="BL103" s="269">
        <f t="shared" si="189"/>
        <v>5</v>
      </c>
      <c r="BM103" s="256">
        <f>IF($BC103=Lookup!$A$2,$BD103*ROUNDUP(BE103/10,0)+1,
IF($BC103=Lookup!$A$3,($BD103+1)^BD103,
IF($BC103=Lookup!$A$4,BE103*$BD103+1,"Error")))</f>
        <v>1</v>
      </c>
      <c r="BN103" s="229">
        <f>IF($BC103=Lookup!$A$2,$BD103*ROUNDUP(BF103/10,0)+1,
IF($BC103=Lookup!$A$3,($BD103+1)^BE103,
IF($BC103=Lookup!$A$4,BF103*$BD103+1,"Error")))</f>
        <v>1</v>
      </c>
      <c r="BO103" s="229">
        <f>IF($BC103=Lookup!$A$2,$BD103*ROUNDUP(BG103/10,0)+1,
IF($BC103=Lookup!$A$3,($BD103+1)^BF103,
IF($BC103=Lookup!$A$4,BG103*$BD103+1,"Error")))</f>
        <v>1</v>
      </c>
      <c r="BP103" s="229">
        <f>IF($BC103=Lookup!$A$2,$BD103*ROUNDUP(BH103/10,0)+1,
IF($BC103=Lookup!$A$3,($BD103+1)^BG103,
IF($BC103=Lookup!$A$4,BH103*$BD103+1,"Error")))</f>
        <v>0.80349999999999999</v>
      </c>
      <c r="BQ103" s="229">
        <f>IF($BC103=Lookup!$A$2,$BD103*ROUNDUP(BI103/10,0)+1,
IF($BC103=Lookup!$A$3,($BD103+1)^BH103,
IF($BC103=Lookup!$A$4,BI103*$BD103+1,"Error")))</f>
        <v>0.80349999999999999</v>
      </c>
      <c r="BR103" s="229">
        <f>IF($BC103=Lookup!$A$2,$BD103*ROUNDUP(BJ103/10,0)+1,
IF($BC103=Lookup!$A$3,($BD103+1)^BI103,
IF($BC103=Lookup!$A$4,BJ103*$BD103+1,"Error")))</f>
        <v>0.80349999999999999</v>
      </c>
      <c r="BS103" s="229">
        <f>IF($BC103=Lookup!$A$2,$BD103*ROUNDUP(BK103/10,0)+1,
IF($BC103=Lookup!$A$3,($BD103+1)^BJ103,
IF($BC103=Lookup!$A$4,BK103*$BD103+1,"Error")))</f>
        <v>0.80349999999999999</v>
      </c>
      <c r="BT103" s="249">
        <f>IF($BC103=Lookup!$A$2,$BD103*ROUNDUP(BL103/10,0)+1,
IF($BC103=Lookup!$A$3,($BD103+1)^BK103,
IF($BC103=Lookup!$A$4,BL103*$BD103+1,"Error")))</f>
        <v>0.80349999999999999</v>
      </c>
      <c r="BU103" s="320">
        <v>0</v>
      </c>
      <c r="BV103" s="321">
        <v>0</v>
      </c>
      <c r="BW103" s="321">
        <v>0</v>
      </c>
      <c r="BX103" s="321">
        <v>0</v>
      </c>
      <c r="BY103" s="321">
        <v>0</v>
      </c>
      <c r="BZ103" s="321">
        <v>0</v>
      </c>
      <c r="CA103" s="321">
        <v>0</v>
      </c>
      <c r="CB103" s="277">
        <v>0</v>
      </c>
      <c r="CC103" s="382" t="s">
        <v>293</v>
      </c>
      <c r="CD103" s="383">
        <f>HLOOKUP($CC103,$AK$6:$AM$132,ROWS(CC$6:CC103),0)</f>
        <v>2</v>
      </c>
      <c r="CE103" s="234">
        <f t="shared" si="142"/>
        <v>0</v>
      </c>
      <c r="CF103" s="96">
        <f t="shared" si="142"/>
        <v>0</v>
      </c>
      <c r="CG103" s="96">
        <f t="shared" si="142"/>
        <v>0</v>
      </c>
      <c r="CH103" s="96">
        <f t="shared" si="142"/>
        <v>0</v>
      </c>
      <c r="CI103" s="96">
        <f t="shared" si="84"/>
        <v>0</v>
      </c>
      <c r="CJ103" s="96">
        <f t="shared" si="84"/>
        <v>0</v>
      </c>
      <c r="CK103" s="96">
        <f t="shared" si="84"/>
        <v>0</v>
      </c>
      <c r="CL103" s="286">
        <f t="shared" si="84"/>
        <v>0</v>
      </c>
      <c r="CM103" s="305" t="s">
        <v>293</v>
      </c>
      <c r="CN103" s="315">
        <v>0.05</v>
      </c>
      <c r="CO103" s="306"/>
      <c r="CP103" s="307">
        <f>IF($CO103&lt;&gt;"",$CO103,HLOOKUP($CM103,$AY$6:$BA$132,ROWS(CO$6:CO103),0))</f>
        <v>51185.198267749503</v>
      </c>
      <c r="CQ103" s="784">
        <f t="shared" ref="CQ103:CX132" si="190">IFERROR(CE103*$CP103,"")</f>
        <v>0</v>
      </c>
      <c r="CR103" s="784">
        <f t="shared" si="190"/>
        <v>0</v>
      </c>
      <c r="CS103" s="97">
        <f t="shared" si="190"/>
        <v>0</v>
      </c>
      <c r="CT103" s="97">
        <f t="shared" si="190"/>
        <v>0</v>
      </c>
      <c r="CU103" s="97">
        <f t="shared" si="190"/>
        <v>0</v>
      </c>
      <c r="CV103" s="97">
        <f t="shared" si="190"/>
        <v>0</v>
      </c>
      <c r="CW103" s="97">
        <f t="shared" si="190"/>
        <v>0</v>
      </c>
      <c r="CX103" s="98">
        <f t="shared" si="190"/>
        <v>0</v>
      </c>
      <c r="CY103" s="392"/>
    </row>
    <row r="104" spans="1:103" x14ac:dyDescent="0.25">
      <c r="A104" s="81" t="s">
        <v>196</v>
      </c>
      <c r="B104" s="82" t="s">
        <v>211</v>
      </c>
      <c r="C104" s="83" t="s">
        <v>212</v>
      </c>
      <c r="D104" s="84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654">
        <f>'2022-23 Input'!G104</f>
        <v>0</v>
      </c>
      <c r="N104" s="1065">
        <v>0</v>
      </c>
      <c r="O104" s="560">
        <f t="shared" si="139"/>
        <v>0</v>
      </c>
      <c r="P104" s="561">
        <f t="shared" si="113"/>
        <v>0</v>
      </c>
      <c r="Q104" s="561">
        <f t="shared" si="114"/>
        <v>0</v>
      </c>
      <c r="R104" s="561">
        <f t="shared" si="115"/>
        <v>0</v>
      </c>
      <c r="S104" s="561">
        <f t="shared" si="116"/>
        <v>0</v>
      </c>
      <c r="T104" s="561">
        <f t="shared" si="117"/>
        <v>0</v>
      </c>
      <c r="U104" s="561">
        <f t="shared" si="118"/>
        <v>0</v>
      </c>
      <c r="V104" s="561">
        <f t="shared" si="119"/>
        <v>0</v>
      </c>
      <c r="W104" s="675">
        <f t="shared" si="120"/>
        <v>0</v>
      </c>
      <c r="X104" s="675">
        <f t="shared" si="121"/>
        <v>0</v>
      </c>
      <c r="Y104" s="675">
        <f t="shared" si="121"/>
        <v>0</v>
      </c>
      <c r="Z104" s="86">
        <v>0</v>
      </c>
      <c r="AA104" s="87">
        <v>0</v>
      </c>
      <c r="AB104" s="87">
        <v>0</v>
      </c>
      <c r="AC104" s="87">
        <v>0</v>
      </c>
      <c r="AD104" s="87">
        <v>0</v>
      </c>
      <c r="AE104" s="87">
        <v>0</v>
      </c>
      <c r="AF104" s="87">
        <v>0</v>
      </c>
      <c r="AG104" s="87">
        <v>0</v>
      </c>
      <c r="AH104" s="87">
        <v>0</v>
      </c>
      <c r="AI104" s="1094">
        <f>'2022-23 Input'!N104</f>
        <v>0</v>
      </c>
      <c r="AJ104" s="665">
        <v>0</v>
      </c>
      <c r="AK104" s="88">
        <f t="shared" si="174"/>
        <v>0</v>
      </c>
      <c r="AL104" s="89">
        <f t="shared" si="175"/>
        <v>0</v>
      </c>
      <c r="AM104" s="90">
        <f t="shared" si="176"/>
        <v>0</v>
      </c>
      <c r="AN104" s="91" t="str">
        <f t="shared" si="177"/>
        <v/>
      </c>
      <c r="AO104" s="92" t="str">
        <f t="shared" si="178"/>
        <v/>
      </c>
      <c r="AP104" s="92" t="str">
        <f t="shared" si="179"/>
        <v/>
      </c>
      <c r="AQ104" s="92" t="str">
        <f t="shared" si="180"/>
        <v/>
      </c>
      <c r="AR104" s="92" t="str">
        <f t="shared" si="181"/>
        <v/>
      </c>
      <c r="AS104" s="92" t="str">
        <f t="shared" si="182"/>
        <v/>
      </c>
      <c r="AT104" s="92" t="str">
        <f t="shared" si="183"/>
        <v/>
      </c>
      <c r="AU104" s="92" t="str">
        <f t="shared" si="184"/>
        <v/>
      </c>
      <c r="AV104" s="92" t="str">
        <f t="shared" si="185"/>
        <v/>
      </c>
      <c r="AW104" s="92" t="str">
        <f t="shared" si="185"/>
        <v/>
      </c>
      <c r="AX104" s="92" t="str">
        <f t="shared" si="185"/>
        <v/>
      </c>
      <c r="AY104" s="93" t="str">
        <f t="shared" si="186"/>
        <v/>
      </c>
      <c r="AZ104" s="94" t="str">
        <f t="shared" si="187"/>
        <v/>
      </c>
      <c r="BA104" s="95" t="str">
        <f t="shared" si="188"/>
        <v/>
      </c>
      <c r="BB104" s="248" t="s">
        <v>422</v>
      </c>
      <c r="BC104" s="229" t="s">
        <v>433</v>
      </c>
      <c r="BD104" s="249">
        <v>-0.19650000000000001</v>
      </c>
      <c r="BE104" s="267">
        <f t="shared" si="140"/>
        <v>0</v>
      </c>
      <c r="BF104" s="268">
        <f t="shared" ref="BF104:BL104" si="191">IF(BF$6=$BB104,1,
IF(BE104&lt;&gt;0,BE104+1,0
))</f>
        <v>0</v>
      </c>
      <c r="BG104" s="268">
        <f t="shared" si="191"/>
        <v>0</v>
      </c>
      <c r="BH104" s="268">
        <f t="shared" si="191"/>
        <v>1</v>
      </c>
      <c r="BI104" s="268">
        <f t="shared" si="191"/>
        <v>2</v>
      </c>
      <c r="BJ104" s="268">
        <f t="shared" si="191"/>
        <v>3</v>
      </c>
      <c r="BK104" s="268">
        <f t="shared" si="191"/>
        <v>4</v>
      </c>
      <c r="BL104" s="269">
        <f t="shared" si="191"/>
        <v>5</v>
      </c>
      <c r="BM104" s="256">
        <f>IF($BC104=Lookup!$A$2,$BD104*ROUNDUP(BE104/10,0)+1,
IF($BC104=Lookup!$A$3,($BD104+1)^BD104,
IF($BC104=Lookup!$A$4,BE104*$BD104+1,"Error")))</f>
        <v>1</v>
      </c>
      <c r="BN104" s="229">
        <f>IF($BC104=Lookup!$A$2,$BD104*ROUNDUP(BF104/10,0)+1,
IF($BC104=Lookup!$A$3,($BD104+1)^BE104,
IF($BC104=Lookup!$A$4,BF104*$BD104+1,"Error")))</f>
        <v>1</v>
      </c>
      <c r="BO104" s="229">
        <f>IF($BC104=Lookup!$A$2,$BD104*ROUNDUP(BG104/10,0)+1,
IF($BC104=Lookup!$A$3,($BD104+1)^BF104,
IF($BC104=Lookup!$A$4,BG104*$BD104+1,"Error")))</f>
        <v>1</v>
      </c>
      <c r="BP104" s="229">
        <f>IF($BC104=Lookup!$A$2,$BD104*ROUNDUP(BH104/10,0)+1,
IF($BC104=Lookup!$A$3,($BD104+1)^BG104,
IF($BC104=Lookup!$A$4,BH104*$BD104+1,"Error")))</f>
        <v>0.80349999999999999</v>
      </c>
      <c r="BQ104" s="229">
        <f>IF($BC104=Lookup!$A$2,$BD104*ROUNDUP(BI104/10,0)+1,
IF($BC104=Lookup!$A$3,($BD104+1)^BH104,
IF($BC104=Lookup!$A$4,BI104*$BD104+1,"Error")))</f>
        <v>0.80349999999999999</v>
      </c>
      <c r="BR104" s="229">
        <f>IF($BC104=Lookup!$A$2,$BD104*ROUNDUP(BJ104/10,0)+1,
IF($BC104=Lookup!$A$3,($BD104+1)^BI104,
IF($BC104=Lookup!$A$4,BJ104*$BD104+1,"Error")))</f>
        <v>0.80349999999999999</v>
      </c>
      <c r="BS104" s="229">
        <f>IF($BC104=Lookup!$A$2,$BD104*ROUNDUP(BK104/10,0)+1,
IF($BC104=Lookup!$A$3,($BD104+1)^BJ104,
IF($BC104=Lookup!$A$4,BK104*$BD104+1,"Error")))</f>
        <v>0.80349999999999999</v>
      </c>
      <c r="BT104" s="249">
        <f>IF($BC104=Lookup!$A$2,$BD104*ROUNDUP(BL104/10,0)+1,
IF($BC104=Lookup!$A$3,($BD104+1)^BK104,
IF($BC104=Lookup!$A$4,BL104*$BD104+1,"Error")))</f>
        <v>0.80349999999999999</v>
      </c>
      <c r="BU104" s="320"/>
      <c r="BV104" s="321"/>
      <c r="BW104" s="321"/>
      <c r="BX104" s="321"/>
      <c r="BY104" s="321"/>
      <c r="BZ104" s="321"/>
      <c r="CA104" s="321"/>
      <c r="CB104" s="277"/>
      <c r="CC104" s="382" t="s">
        <v>293</v>
      </c>
      <c r="CD104" s="383">
        <f>HLOOKUP($CC104,$AK$6:$AM$132,ROWS(CC$6:CC104),0)</f>
        <v>0</v>
      </c>
      <c r="CE104" s="234">
        <f t="shared" si="142"/>
        <v>0</v>
      </c>
      <c r="CF104" s="96">
        <f t="shared" si="142"/>
        <v>0</v>
      </c>
      <c r="CG104" s="96">
        <f t="shared" si="142"/>
        <v>0</v>
      </c>
      <c r="CH104" s="96">
        <f t="shared" si="142"/>
        <v>0</v>
      </c>
      <c r="CI104" s="96">
        <f t="shared" si="84"/>
        <v>0</v>
      </c>
      <c r="CJ104" s="96">
        <f t="shared" si="84"/>
        <v>0</v>
      </c>
      <c r="CK104" s="96">
        <f t="shared" si="84"/>
        <v>0</v>
      </c>
      <c r="CL104" s="286">
        <f t="shared" si="84"/>
        <v>0</v>
      </c>
      <c r="CM104" s="305" t="s">
        <v>293</v>
      </c>
      <c r="CN104" s="315">
        <v>0.05</v>
      </c>
      <c r="CO104" s="306"/>
      <c r="CP104" s="307" t="str">
        <f>IF($CO104&lt;&gt;"",$CO104,HLOOKUP($CM104,$AY$6:$BA$132,ROWS(CO$6:CO104),0))</f>
        <v/>
      </c>
      <c r="CQ104" s="784" t="str">
        <f t="shared" si="190"/>
        <v/>
      </c>
      <c r="CR104" s="784" t="str">
        <f t="shared" si="190"/>
        <v/>
      </c>
      <c r="CS104" s="97" t="str">
        <f t="shared" si="190"/>
        <v/>
      </c>
      <c r="CT104" s="97" t="str">
        <f t="shared" si="190"/>
        <v/>
      </c>
      <c r="CU104" s="97" t="str">
        <f t="shared" si="190"/>
        <v/>
      </c>
      <c r="CV104" s="97" t="str">
        <f t="shared" si="190"/>
        <v/>
      </c>
      <c r="CW104" s="97" t="str">
        <f t="shared" si="190"/>
        <v/>
      </c>
      <c r="CX104" s="98" t="str">
        <f t="shared" si="190"/>
        <v/>
      </c>
      <c r="CY104" s="392"/>
    </row>
    <row r="105" spans="1:103" x14ac:dyDescent="0.25">
      <c r="A105" s="81" t="s">
        <v>196</v>
      </c>
      <c r="B105" s="82" t="s">
        <v>213</v>
      </c>
      <c r="C105" s="83" t="s">
        <v>214</v>
      </c>
      <c r="D105" s="84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654">
        <f>'2022-23 Input'!G105</f>
        <v>0</v>
      </c>
      <c r="N105" s="1065">
        <v>0</v>
      </c>
      <c r="O105" s="560">
        <f t="shared" si="139"/>
        <v>0</v>
      </c>
      <c r="P105" s="561">
        <f t="shared" si="113"/>
        <v>0</v>
      </c>
      <c r="Q105" s="561">
        <f t="shared" si="114"/>
        <v>0</v>
      </c>
      <c r="R105" s="561">
        <f t="shared" si="115"/>
        <v>0</v>
      </c>
      <c r="S105" s="561">
        <f t="shared" si="116"/>
        <v>0</v>
      </c>
      <c r="T105" s="561">
        <f t="shared" si="117"/>
        <v>0</v>
      </c>
      <c r="U105" s="561">
        <f t="shared" si="118"/>
        <v>0</v>
      </c>
      <c r="V105" s="561">
        <f t="shared" si="119"/>
        <v>0</v>
      </c>
      <c r="W105" s="675">
        <f t="shared" si="120"/>
        <v>0</v>
      </c>
      <c r="X105" s="675">
        <f t="shared" si="121"/>
        <v>0</v>
      </c>
      <c r="Y105" s="675">
        <f t="shared" si="121"/>
        <v>0</v>
      </c>
      <c r="Z105" s="86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87">
        <v>0</v>
      </c>
      <c r="AI105" s="1094">
        <f>'2022-23 Input'!N105</f>
        <v>0</v>
      </c>
      <c r="AJ105" s="665">
        <v>0</v>
      </c>
      <c r="AK105" s="88">
        <f t="shared" si="174"/>
        <v>0</v>
      </c>
      <c r="AL105" s="89">
        <f t="shared" si="175"/>
        <v>0</v>
      </c>
      <c r="AM105" s="90">
        <f t="shared" si="176"/>
        <v>0</v>
      </c>
      <c r="AN105" s="91" t="str">
        <f t="shared" si="177"/>
        <v/>
      </c>
      <c r="AO105" s="92" t="str">
        <f t="shared" si="178"/>
        <v/>
      </c>
      <c r="AP105" s="92" t="str">
        <f t="shared" si="179"/>
        <v/>
      </c>
      <c r="AQ105" s="92" t="str">
        <f t="shared" si="180"/>
        <v/>
      </c>
      <c r="AR105" s="92" t="str">
        <f t="shared" si="181"/>
        <v/>
      </c>
      <c r="AS105" s="92" t="str">
        <f t="shared" si="182"/>
        <v/>
      </c>
      <c r="AT105" s="92" t="str">
        <f t="shared" si="183"/>
        <v/>
      </c>
      <c r="AU105" s="92" t="str">
        <f t="shared" si="184"/>
        <v/>
      </c>
      <c r="AV105" s="92" t="str">
        <f t="shared" si="185"/>
        <v/>
      </c>
      <c r="AW105" s="92" t="str">
        <f t="shared" si="185"/>
        <v/>
      </c>
      <c r="AX105" s="92" t="str">
        <f t="shared" si="185"/>
        <v/>
      </c>
      <c r="AY105" s="93" t="str">
        <f t="shared" si="186"/>
        <v/>
      </c>
      <c r="AZ105" s="94" t="str">
        <f t="shared" si="187"/>
        <v/>
      </c>
      <c r="BA105" s="95" t="str">
        <f t="shared" si="188"/>
        <v/>
      </c>
      <c r="BB105" s="248" t="s">
        <v>422</v>
      </c>
      <c r="BC105" s="229" t="s">
        <v>433</v>
      </c>
      <c r="BD105" s="249">
        <v>-0.19650000000000001</v>
      </c>
      <c r="BE105" s="267">
        <f t="shared" si="140"/>
        <v>0</v>
      </c>
      <c r="BF105" s="268">
        <f t="shared" ref="BF105:BL105" si="192">IF(BF$6=$BB105,1,
IF(BE105&lt;&gt;0,BE105+1,0
))</f>
        <v>0</v>
      </c>
      <c r="BG105" s="268">
        <f t="shared" si="192"/>
        <v>0</v>
      </c>
      <c r="BH105" s="268">
        <f t="shared" si="192"/>
        <v>1</v>
      </c>
      <c r="BI105" s="268">
        <f t="shared" si="192"/>
        <v>2</v>
      </c>
      <c r="BJ105" s="268">
        <f t="shared" si="192"/>
        <v>3</v>
      </c>
      <c r="BK105" s="268">
        <f t="shared" si="192"/>
        <v>4</v>
      </c>
      <c r="BL105" s="269">
        <f t="shared" si="192"/>
        <v>5</v>
      </c>
      <c r="BM105" s="256">
        <f>IF($BC105=Lookup!$A$2,$BD105*ROUNDUP(BE105/10,0)+1,
IF($BC105=Lookup!$A$3,($BD105+1)^BD105,
IF($BC105=Lookup!$A$4,BE105*$BD105+1,"Error")))</f>
        <v>1</v>
      </c>
      <c r="BN105" s="229">
        <f>IF($BC105=Lookup!$A$2,$BD105*ROUNDUP(BF105/10,0)+1,
IF($BC105=Lookup!$A$3,($BD105+1)^BE105,
IF($BC105=Lookup!$A$4,BF105*$BD105+1,"Error")))</f>
        <v>1</v>
      </c>
      <c r="BO105" s="229">
        <f>IF($BC105=Lookup!$A$2,$BD105*ROUNDUP(BG105/10,0)+1,
IF($BC105=Lookup!$A$3,($BD105+1)^BF105,
IF($BC105=Lookup!$A$4,BG105*$BD105+1,"Error")))</f>
        <v>1</v>
      </c>
      <c r="BP105" s="229">
        <f>IF($BC105=Lookup!$A$2,$BD105*ROUNDUP(BH105/10,0)+1,
IF($BC105=Lookup!$A$3,($BD105+1)^BG105,
IF($BC105=Lookup!$A$4,BH105*$BD105+1,"Error")))</f>
        <v>0.80349999999999999</v>
      </c>
      <c r="BQ105" s="229">
        <f>IF($BC105=Lookup!$A$2,$BD105*ROUNDUP(BI105/10,0)+1,
IF($BC105=Lookup!$A$3,($BD105+1)^BH105,
IF($BC105=Lookup!$A$4,BI105*$BD105+1,"Error")))</f>
        <v>0.80349999999999999</v>
      </c>
      <c r="BR105" s="229">
        <f>IF($BC105=Lookup!$A$2,$BD105*ROUNDUP(BJ105/10,0)+1,
IF($BC105=Lookup!$A$3,($BD105+1)^BI105,
IF($BC105=Lookup!$A$4,BJ105*$BD105+1,"Error")))</f>
        <v>0.80349999999999999</v>
      </c>
      <c r="BS105" s="229">
        <f>IF($BC105=Lookup!$A$2,$BD105*ROUNDUP(BK105/10,0)+1,
IF($BC105=Lookup!$A$3,($BD105+1)^BJ105,
IF($BC105=Lookup!$A$4,BK105*$BD105+1,"Error")))</f>
        <v>0.80349999999999999</v>
      </c>
      <c r="BT105" s="249">
        <f>IF($BC105=Lookup!$A$2,$BD105*ROUNDUP(BL105/10,0)+1,
IF($BC105=Lookup!$A$3,($BD105+1)^BK105,
IF($BC105=Lookup!$A$4,BL105*$BD105+1,"Error")))</f>
        <v>0.80349999999999999</v>
      </c>
      <c r="BU105" s="320"/>
      <c r="BV105" s="321"/>
      <c r="BW105" s="321"/>
      <c r="BX105" s="321"/>
      <c r="BY105" s="321"/>
      <c r="BZ105" s="321"/>
      <c r="CA105" s="321"/>
      <c r="CB105" s="277"/>
      <c r="CC105" s="382" t="s">
        <v>293</v>
      </c>
      <c r="CD105" s="383">
        <f>HLOOKUP($CC105,$AK$6:$AM$132,ROWS(CC$6:CC105),0)</f>
        <v>0</v>
      </c>
      <c r="CE105" s="234">
        <f t="shared" si="142"/>
        <v>0</v>
      </c>
      <c r="CF105" s="96">
        <f t="shared" si="142"/>
        <v>0</v>
      </c>
      <c r="CG105" s="96">
        <f t="shared" si="142"/>
        <v>0</v>
      </c>
      <c r="CH105" s="96">
        <f t="shared" si="142"/>
        <v>0</v>
      </c>
      <c r="CI105" s="96">
        <f t="shared" si="84"/>
        <v>0</v>
      </c>
      <c r="CJ105" s="96">
        <f t="shared" si="84"/>
        <v>0</v>
      </c>
      <c r="CK105" s="96">
        <f t="shared" si="84"/>
        <v>0</v>
      </c>
      <c r="CL105" s="286">
        <f t="shared" si="84"/>
        <v>0</v>
      </c>
      <c r="CM105" s="305" t="s">
        <v>293</v>
      </c>
      <c r="CN105" s="315">
        <v>0.05</v>
      </c>
      <c r="CO105" s="306"/>
      <c r="CP105" s="307" t="str">
        <f>IF($CO105&lt;&gt;"",$CO105,HLOOKUP($CM105,$AY$6:$BA$132,ROWS(CO$6:CO105),0))</f>
        <v/>
      </c>
      <c r="CQ105" s="784" t="str">
        <f t="shared" si="190"/>
        <v/>
      </c>
      <c r="CR105" s="784" t="str">
        <f t="shared" si="190"/>
        <v/>
      </c>
      <c r="CS105" s="97" t="str">
        <f t="shared" si="190"/>
        <v/>
      </c>
      <c r="CT105" s="97" t="str">
        <f t="shared" si="190"/>
        <v/>
      </c>
      <c r="CU105" s="97" t="str">
        <f t="shared" si="190"/>
        <v/>
      </c>
      <c r="CV105" s="97" t="str">
        <f t="shared" si="190"/>
        <v/>
      </c>
      <c r="CW105" s="97" t="str">
        <f t="shared" si="190"/>
        <v/>
      </c>
      <c r="CX105" s="98" t="str">
        <f t="shared" si="190"/>
        <v/>
      </c>
      <c r="CY105" s="392"/>
    </row>
    <row r="106" spans="1:103" x14ac:dyDescent="0.25">
      <c r="A106" s="81" t="s">
        <v>196</v>
      </c>
      <c r="B106" s="82" t="s">
        <v>215</v>
      </c>
      <c r="C106" s="83" t="s">
        <v>392</v>
      </c>
      <c r="D106" s="84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654">
        <f>'2022-23 Input'!G106</f>
        <v>0</v>
      </c>
      <c r="N106" s="1065">
        <v>0</v>
      </c>
      <c r="O106" s="560">
        <f t="shared" si="139"/>
        <v>0</v>
      </c>
      <c r="P106" s="561">
        <f t="shared" si="113"/>
        <v>0</v>
      </c>
      <c r="Q106" s="561">
        <f t="shared" si="114"/>
        <v>0</v>
      </c>
      <c r="R106" s="561">
        <f t="shared" si="115"/>
        <v>0</v>
      </c>
      <c r="S106" s="561">
        <f t="shared" si="116"/>
        <v>0</v>
      </c>
      <c r="T106" s="561">
        <f t="shared" si="117"/>
        <v>0</v>
      </c>
      <c r="U106" s="561">
        <f t="shared" si="118"/>
        <v>0</v>
      </c>
      <c r="V106" s="561">
        <f t="shared" si="119"/>
        <v>0</v>
      </c>
      <c r="W106" s="675">
        <f t="shared" si="120"/>
        <v>0</v>
      </c>
      <c r="X106" s="675">
        <f t="shared" si="121"/>
        <v>0</v>
      </c>
      <c r="Y106" s="675">
        <f t="shared" si="121"/>
        <v>0</v>
      </c>
      <c r="Z106" s="86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87">
        <v>0</v>
      </c>
      <c r="AI106" s="1094">
        <f>'2022-23 Input'!N106</f>
        <v>0</v>
      </c>
      <c r="AJ106" s="665">
        <v>0</v>
      </c>
      <c r="AK106" s="88">
        <f t="shared" si="174"/>
        <v>0</v>
      </c>
      <c r="AL106" s="89">
        <f t="shared" si="175"/>
        <v>0</v>
      </c>
      <c r="AM106" s="90">
        <f t="shared" si="176"/>
        <v>0</v>
      </c>
      <c r="AN106" s="91" t="str">
        <f t="shared" si="177"/>
        <v/>
      </c>
      <c r="AO106" s="92" t="str">
        <f t="shared" si="178"/>
        <v/>
      </c>
      <c r="AP106" s="92" t="str">
        <f t="shared" si="179"/>
        <v/>
      </c>
      <c r="AQ106" s="92" t="str">
        <f t="shared" si="180"/>
        <v/>
      </c>
      <c r="AR106" s="92" t="str">
        <f t="shared" si="181"/>
        <v/>
      </c>
      <c r="AS106" s="92" t="str">
        <f t="shared" si="182"/>
        <v/>
      </c>
      <c r="AT106" s="92" t="str">
        <f t="shared" si="183"/>
        <v/>
      </c>
      <c r="AU106" s="92" t="str">
        <f t="shared" si="184"/>
        <v/>
      </c>
      <c r="AV106" s="92" t="str">
        <f t="shared" si="185"/>
        <v/>
      </c>
      <c r="AW106" s="92" t="str">
        <f t="shared" si="185"/>
        <v/>
      </c>
      <c r="AX106" s="92" t="str">
        <f t="shared" si="185"/>
        <v/>
      </c>
      <c r="AY106" s="93" t="str">
        <f t="shared" si="186"/>
        <v/>
      </c>
      <c r="AZ106" s="94" t="str">
        <f t="shared" si="187"/>
        <v/>
      </c>
      <c r="BA106" s="95" t="str">
        <f t="shared" si="188"/>
        <v/>
      </c>
      <c r="BB106" s="248" t="s">
        <v>422</v>
      </c>
      <c r="BC106" s="229" t="s">
        <v>433</v>
      </c>
      <c r="BD106" s="249">
        <v>-0.19650000000000001</v>
      </c>
      <c r="BE106" s="267">
        <f t="shared" si="140"/>
        <v>0</v>
      </c>
      <c r="BF106" s="268">
        <f t="shared" ref="BF106:BL106" si="193">IF(BF$6=$BB106,1,
IF(BE106&lt;&gt;0,BE106+1,0
))</f>
        <v>0</v>
      </c>
      <c r="BG106" s="268">
        <f t="shared" si="193"/>
        <v>0</v>
      </c>
      <c r="BH106" s="268">
        <f t="shared" si="193"/>
        <v>1</v>
      </c>
      <c r="BI106" s="268">
        <f t="shared" si="193"/>
        <v>2</v>
      </c>
      <c r="BJ106" s="268">
        <f t="shared" si="193"/>
        <v>3</v>
      </c>
      <c r="BK106" s="268">
        <f t="shared" si="193"/>
        <v>4</v>
      </c>
      <c r="BL106" s="269">
        <f t="shared" si="193"/>
        <v>5</v>
      </c>
      <c r="BM106" s="256">
        <f>IF($BC106=Lookup!$A$2,$BD106*ROUNDUP(BE106/10,0)+1,
IF($BC106=Lookup!$A$3,($BD106+1)^BD106,
IF($BC106=Lookup!$A$4,BE106*$BD106+1,"Error")))</f>
        <v>1</v>
      </c>
      <c r="BN106" s="229">
        <f>IF($BC106=Lookup!$A$2,$BD106*ROUNDUP(BF106/10,0)+1,
IF($BC106=Lookup!$A$3,($BD106+1)^BE106,
IF($BC106=Lookup!$A$4,BF106*$BD106+1,"Error")))</f>
        <v>1</v>
      </c>
      <c r="BO106" s="229">
        <f>IF($BC106=Lookup!$A$2,$BD106*ROUNDUP(BG106/10,0)+1,
IF($BC106=Lookup!$A$3,($BD106+1)^BF106,
IF($BC106=Lookup!$A$4,BG106*$BD106+1,"Error")))</f>
        <v>1</v>
      </c>
      <c r="BP106" s="229">
        <f>IF($BC106=Lookup!$A$2,$BD106*ROUNDUP(BH106/10,0)+1,
IF($BC106=Lookup!$A$3,($BD106+1)^BG106,
IF($BC106=Lookup!$A$4,BH106*$BD106+1,"Error")))</f>
        <v>0.80349999999999999</v>
      </c>
      <c r="BQ106" s="229">
        <f>IF($BC106=Lookup!$A$2,$BD106*ROUNDUP(BI106/10,0)+1,
IF($BC106=Lookup!$A$3,($BD106+1)^BH106,
IF($BC106=Lookup!$A$4,BI106*$BD106+1,"Error")))</f>
        <v>0.80349999999999999</v>
      </c>
      <c r="BR106" s="229">
        <f>IF($BC106=Lookup!$A$2,$BD106*ROUNDUP(BJ106/10,0)+1,
IF($BC106=Lookup!$A$3,($BD106+1)^BI106,
IF($BC106=Lookup!$A$4,BJ106*$BD106+1,"Error")))</f>
        <v>0.80349999999999999</v>
      </c>
      <c r="BS106" s="229">
        <f>IF($BC106=Lookup!$A$2,$BD106*ROUNDUP(BK106/10,0)+1,
IF($BC106=Lookup!$A$3,($BD106+1)^BJ106,
IF($BC106=Lookup!$A$4,BK106*$BD106+1,"Error")))</f>
        <v>0.80349999999999999</v>
      </c>
      <c r="BT106" s="249">
        <f>IF($BC106=Lookup!$A$2,$BD106*ROUNDUP(BL106/10,0)+1,
IF($BC106=Lookup!$A$3,($BD106+1)^BK106,
IF($BC106=Lookup!$A$4,BL106*$BD106+1,"Error")))</f>
        <v>0.80349999999999999</v>
      </c>
      <c r="BU106" s="320"/>
      <c r="BV106" s="321"/>
      <c r="BW106" s="321"/>
      <c r="BX106" s="321"/>
      <c r="BY106" s="321"/>
      <c r="BZ106" s="321"/>
      <c r="CA106" s="321"/>
      <c r="CB106" s="277"/>
      <c r="CC106" s="382" t="s">
        <v>293</v>
      </c>
      <c r="CD106" s="383">
        <f>HLOOKUP($CC106,$AK$6:$AM$132,ROWS(CC$6:CC106),0)</f>
        <v>0</v>
      </c>
      <c r="CE106" s="234">
        <f t="shared" si="142"/>
        <v>0</v>
      </c>
      <c r="CF106" s="96">
        <f t="shared" si="142"/>
        <v>0</v>
      </c>
      <c r="CG106" s="96">
        <f t="shared" si="142"/>
        <v>0</v>
      </c>
      <c r="CH106" s="96">
        <f t="shared" si="142"/>
        <v>0</v>
      </c>
      <c r="CI106" s="96">
        <f t="shared" si="84"/>
        <v>0</v>
      </c>
      <c r="CJ106" s="96">
        <f t="shared" si="84"/>
        <v>0</v>
      </c>
      <c r="CK106" s="96">
        <f t="shared" si="84"/>
        <v>0</v>
      </c>
      <c r="CL106" s="286">
        <f t="shared" ref="CL106:CL132" si="194">IFERROR(IF(CB106&lt;&gt;"",CB106,BT106*$CD106),"")</f>
        <v>0</v>
      </c>
      <c r="CM106" s="305" t="s">
        <v>293</v>
      </c>
      <c r="CN106" s="315">
        <v>0.05</v>
      </c>
      <c r="CO106" s="306"/>
      <c r="CP106" s="307" t="str">
        <f>IF($CO106&lt;&gt;"",$CO106,HLOOKUP($CM106,$AY$6:$BA$132,ROWS(CO$6:CO106),0))</f>
        <v/>
      </c>
      <c r="CQ106" s="784" t="str">
        <f t="shared" si="190"/>
        <v/>
      </c>
      <c r="CR106" s="784" t="str">
        <f t="shared" si="190"/>
        <v/>
      </c>
      <c r="CS106" s="97" t="str">
        <f t="shared" si="190"/>
        <v/>
      </c>
      <c r="CT106" s="97" t="str">
        <f t="shared" si="190"/>
        <v/>
      </c>
      <c r="CU106" s="97" t="str">
        <f t="shared" si="190"/>
        <v/>
      </c>
      <c r="CV106" s="97" t="str">
        <f t="shared" si="190"/>
        <v/>
      </c>
      <c r="CW106" s="97" t="str">
        <f t="shared" si="190"/>
        <v/>
      </c>
      <c r="CX106" s="98" t="str">
        <f t="shared" si="190"/>
        <v/>
      </c>
      <c r="CY106" s="392"/>
    </row>
    <row r="107" spans="1:103" x14ac:dyDescent="0.25">
      <c r="A107" s="81" t="s">
        <v>196</v>
      </c>
      <c r="B107" s="82" t="s">
        <v>217</v>
      </c>
      <c r="C107" s="83" t="s">
        <v>218</v>
      </c>
      <c r="D107" s="84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654">
        <f>'2022-23 Input'!G107</f>
        <v>0</v>
      </c>
      <c r="N107" s="1065">
        <v>0</v>
      </c>
      <c r="O107" s="560">
        <f t="shared" si="139"/>
        <v>0</v>
      </c>
      <c r="P107" s="561">
        <f t="shared" si="113"/>
        <v>0</v>
      </c>
      <c r="Q107" s="561">
        <f t="shared" si="114"/>
        <v>0</v>
      </c>
      <c r="R107" s="561">
        <f t="shared" si="115"/>
        <v>0</v>
      </c>
      <c r="S107" s="561">
        <f t="shared" si="116"/>
        <v>0</v>
      </c>
      <c r="T107" s="561">
        <f t="shared" si="117"/>
        <v>0</v>
      </c>
      <c r="U107" s="561">
        <f t="shared" si="118"/>
        <v>0</v>
      </c>
      <c r="V107" s="561">
        <f t="shared" si="119"/>
        <v>0</v>
      </c>
      <c r="W107" s="675">
        <f t="shared" si="120"/>
        <v>0</v>
      </c>
      <c r="X107" s="675">
        <f t="shared" si="121"/>
        <v>0</v>
      </c>
      <c r="Y107" s="675">
        <f t="shared" si="121"/>
        <v>0</v>
      </c>
      <c r="Z107" s="86">
        <v>0</v>
      </c>
      <c r="AA107" s="87">
        <v>0</v>
      </c>
      <c r="AB107" s="87">
        <v>0</v>
      </c>
      <c r="AC107" s="87">
        <v>0</v>
      </c>
      <c r="AD107" s="87">
        <v>0</v>
      </c>
      <c r="AE107" s="87">
        <v>0</v>
      </c>
      <c r="AF107" s="87">
        <v>0</v>
      </c>
      <c r="AG107" s="87">
        <v>0</v>
      </c>
      <c r="AH107" s="87">
        <v>0</v>
      </c>
      <c r="AI107" s="1094">
        <f>'2022-23 Input'!N107</f>
        <v>0</v>
      </c>
      <c r="AJ107" s="665">
        <v>0</v>
      </c>
      <c r="AK107" s="88">
        <f t="shared" si="174"/>
        <v>0</v>
      </c>
      <c r="AL107" s="89">
        <f t="shared" si="175"/>
        <v>0</v>
      </c>
      <c r="AM107" s="90">
        <f t="shared" si="176"/>
        <v>0</v>
      </c>
      <c r="AN107" s="91" t="str">
        <f t="shared" si="177"/>
        <v/>
      </c>
      <c r="AO107" s="92" t="str">
        <f t="shared" si="178"/>
        <v/>
      </c>
      <c r="AP107" s="92" t="str">
        <f t="shared" si="179"/>
        <v/>
      </c>
      <c r="AQ107" s="92" t="str">
        <f t="shared" si="180"/>
        <v/>
      </c>
      <c r="AR107" s="92" t="str">
        <f t="shared" si="181"/>
        <v/>
      </c>
      <c r="AS107" s="92" t="str">
        <f t="shared" si="182"/>
        <v/>
      </c>
      <c r="AT107" s="92" t="str">
        <f t="shared" si="183"/>
        <v/>
      </c>
      <c r="AU107" s="92" t="str">
        <f t="shared" si="184"/>
        <v/>
      </c>
      <c r="AV107" s="92" t="str">
        <f t="shared" si="185"/>
        <v/>
      </c>
      <c r="AW107" s="92" t="str">
        <f t="shared" si="185"/>
        <v/>
      </c>
      <c r="AX107" s="92" t="str">
        <f t="shared" si="185"/>
        <v/>
      </c>
      <c r="AY107" s="93" t="str">
        <f t="shared" si="186"/>
        <v/>
      </c>
      <c r="AZ107" s="94" t="str">
        <f t="shared" si="187"/>
        <v/>
      </c>
      <c r="BA107" s="95" t="str">
        <f t="shared" si="188"/>
        <v/>
      </c>
      <c r="BB107" s="248" t="s">
        <v>422</v>
      </c>
      <c r="BC107" s="229" t="s">
        <v>433</v>
      </c>
      <c r="BD107" s="249">
        <v>-0.19650000000000001</v>
      </c>
      <c r="BE107" s="267">
        <f t="shared" si="140"/>
        <v>0</v>
      </c>
      <c r="BF107" s="268">
        <f t="shared" ref="BF107:BL107" si="195">IF(BF$6=$BB107,1,
IF(BE107&lt;&gt;0,BE107+1,0
))</f>
        <v>0</v>
      </c>
      <c r="BG107" s="268">
        <f t="shared" si="195"/>
        <v>0</v>
      </c>
      <c r="BH107" s="268">
        <f t="shared" si="195"/>
        <v>1</v>
      </c>
      <c r="BI107" s="268">
        <f t="shared" si="195"/>
        <v>2</v>
      </c>
      <c r="BJ107" s="268">
        <f t="shared" si="195"/>
        <v>3</v>
      </c>
      <c r="BK107" s="268">
        <f t="shared" si="195"/>
        <v>4</v>
      </c>
      <c r="BL107" s="269">
        <f t="shared" si="195"/>
        <v>5</v>
      </c>
      <c r="BM107" s="256">
        <f>IF($BC107=Lookup!$A$2,$BD107*ROUNDUP(BE107/10,0)+1,
IF($BC107=Lookup!$A$3,($BD107+1)^BD107,
IF($BC107=Lookup!$A$4,BE107*$BD107+1,"Error")))</f>
        <v>1</v>
      </c>
      <c r="BN107" s="229">
        <f>IF($BC107=Lookup!$A$2,$BD107*ROUNDUP(BF107/10,0)+1,
IF($BC107=Lookup!$A$3,($BD107+1)^BE107,
IF($BC107=Lookup!$A$4,BF107*$BD107+1,"Error")))</f>
        <v>1</v>
      </c>
      <c r="BO107" s="229">
        <f>IF($BC107=Lookup!$A$2,$BD107*ROUNDUP(BG107/10,0)+1,
IF($BC107=Lookup!$A$3,($BD107+1)^BF107,
IF($BC107=Lookup!$A$4,BG107*$BD107+1,"Error")))</f>
        <v>1</v>
      </c>
      <c r="BP107" s="229">
        <f>IF($BC107=Lookup!$A$2,$BD107*ROUNDUP(BH107/10,0)+1,
IF($BC107=Lookup!$A$3,($BD107+1)^BG107,
IF($BC107=Lookup!$A$4,BH107*$BD107+1,"Error")))</f>
        <v>0.80349999999999999</v>
      </c>
      <c r="BQ107" s="229">
        <f>IF($BC107=Lookup!$A$2,$BD107*ROUNDUP(BI107/10,0)+1,
IF($BC107=Lookup!$A$3,($BD107+1)^BH107,
IF($BC107=Lookup!$A$4,BI107*$BD107+1,"Error")))</f>
        <v>0.80349999999999999</v>
      </c>
      <c r="BR107" s="229">
        <f>IF($BC107=Lookup!$A$2,$BD107*ROUNDUP(BJ107/10,0)+1,
IF($BC107=Lookup!$A$3,($BD107+1)^BI107,
IF($BC107=Lookup!$A$4,BJ107*$BD107+1,"Error")))</f>
        <v>0.80349999999999999</v>
      </c>
      <c r="BS107" s="229">
        <f>IF($BC107=Lookup!$A$2,$BD107*ROUNDUP(BK107/10,0)+1,
IF($BC107=Lookup!$A$3,($BD107+1)^BJ107,
IF($BC107=Lookup!$A$4,BK107*$BD107+1,"Error")))</f>
        <v>0.80349999999999999</v>
      </c>
      <c r="BT107" s="249">
        <f>IF($BC107=Lookup!$A$2,$BD107*ROUNDUP(BL107/10,0)+1,
IF($BC107=Lookup!$A$3,($BD107+1)^BK107,
IF($BC107=Lookup!$A$4,BL107*$BD107+1,"Error")))</f>
        <v>0.80349999999999999</v>
      </c>
      <c r="BU107" s="320"/>
      <c r="BV107" s="321"/>
      <c r="BW107" s="321"/>
      <c r="BX107" s="321"/>
      <c r="BY107" s="321"/>
      <c r="BZ107" s="321"/>
      <c r="CA107" s="321"/>
      <c r="CB107" s="277"/>
      <c r="CC107" s="382" t="s">
        <v>293</v>
      </c>
      <c r="CD107" s="383">
        <f>HLOOKUP($CC107,$AK$6:$AM$132,ROWS(CC$6:CC107),0)</f>
        <v>0</v>
      </c>
      <c r="CE107" s="234">
        <f t="shared" si="142"/>
        <v>0</v>
      </c>
      <c r="CF107" s="96">
        <f t="shared" si="142"/>
        <v>0</v>
      </c>
      <c r="CG107" s="96">
        <f t="shared" si="142"/>
        <v>0</v>
      </c>
      <c r="CH107" s="96">
        <f t="shared" si="142"/>
        <v>0</v>
      </c>
      <c r="CI107" s="96">
        <f t="shared" si="142"/>
        <v>0</v>
      </c>
      <c r="CJ107" s="96">
        <f t="shared" si="142"/>
        <v>0</v>
      </c>
      <c r="CK107" s="96">
        <f t="shared" si="142"/>
        <v>0</v>
      </c>
      <c r="CL107" s="286">
        <f t="shared" si="194"/>
        <v>0</v>
      </c>
      <c r="CM107" s="305" t="s">
        <v>293</v>
      </c>
      <c r="CN107" s="315">
        <v>0.05</v>
      </c>
      <c r="CO107" s="306"/>
      <c r="CP107" s="307" t="str">
        <f>IF($CO107&lt;&gt;"",$CO107,HLOOKUP($CM107,$AY$6:$BA$132,ROWS(CO$6:CO107),0))</f>
        <v/>
      </c>
      <c r="CQ107" s="784" t="str">
        <f t="shared" si="190"/>
        <v/>
      </c>
      <c r="CR107" s="784" t="str">
        <f t="shared" si="190"/>
        <v/>
      </c>
      <c r="CS107" s="97" t="str">
        <f t="shared" si="190"/>
        <v/>
      </c>
      <c r="CT107" s="97" t="str">
        <f t="shared" si="190"/>
        <v/>
      </c>
      <c r="CU107" s="97" t="str">
        <f t="shared" si="190"/>
        <v/>
      </c>
      <c r="CV107" s="97" t="str">
        <f t="shared" si="190"/>
        <v/>
      </c>
      <c r="CW107" s="97" t="str">
        <f t="shared" si="190"/>
        <v/>
      </c>
      <c r="CX107" s="98" t="str">
        <f t="shared" si="190"/>
        <v/>
      </c>
      <c r="CY107" s="392"/>
    </row>
    <row r="108" spans="1:103" x14ac:dyDescent="0.25">
      <c r="A108" s="81" t="s">
        <v>196</v>
      </c>
      <c r="B108" s="82" t="s">
        <v>219</v>
      </c>
      <c r="C108" s="83" t="s">
        <v>220</v>
      </c>
      <c r="D108" s="84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654">
        <f>'2022-23 Input'!G108</f>
        <v>0</v>
      </c>
      <c r="N108" s="1065">
        <v>0</v>
      </c>
      <c r="O108" s="560">
        <f t="shared" si="139"/>
        <v>0</v>
      </c>
      <c r="P108" s="561">
        <f t="shared" si="113"/>
        <v>0</v>
      </c>
      <c r="Q108" s="561">
        <f t="shared" si="114"/>
        <v>0</v>
      </c>
      <c r="R108" s="561">
        <f t="shared" si="115"/>
        <v>0</v>
      </c>
      <c r="S108" s="561">
        <f t="shared" si="116"/>
        <v>0</v>
      </c>
      <c r="T108" s="561">
        <f t="shared" si="117"/>
        <v>0</v>
      </c>
      <c r="U108" s="561">
        <f t="shared" si="118"/>
        <v>0</v>
      </c>
      <c r="V108" s="561">
        <f t="shared" si="119"/>
        <v>0</v>
      </c>
      <c r="W108" s="675">
        <f t="shared" si="120"/>
        <v>0</v>
      </c>
      <c r="X108" s="675">
        <f t="shared" si="121"/>
        <v>0</v>
      </c>
      <c r="Y108" s="675">
        <f t="shared" si="121"/>
        <v>0</v>
      </c>
      <c r="Z108" s="86">
        <v>0</v>
      </c>
      <c r="AA108" s="87">
        <v>0</v>
      </c>
      <c r="AB108" s="87">
        <v>0</v>
      </c>
      <c r="AC108" s="87">
        <v>0</v>
      </c>
      <c r="AD108" s="87">
        <v>0</v>
      </c>
      <c r="AE108" s="87">
        <v>0</v>
      </c>
      <c r="AF108" s="87">
        <v>0</v>
      </c>
      <c r="AG108" s="87">
        <v>0</v>
      </c>
      <c r="AH108" s="87">
        <v>0</v>
      </c>
      <c r="AI108" s="1094">
        <f>'2022-23 Input'!N108</f>
        <v>0</v>
      </c>
      <c r="AJ108" s="665">
        <v>0</v>
      </c>
      <c r="AK108" s="88">
        <f t="shared" si="174"/>
        <v>0</v>
      </c>
      <c r="AL108" s="89">
        <f t="shared" si="175"/>
        <v>0</v>
      </c>
      <c r="AM108" s="90">
        <f t="shared" si="176"/>
        <v>0</v>
      </c>
      <c r="AN108" s="91" t="str">
        <f t="shared" si="177"/>
        <v/>
      </c>
      <c r="AO108" s="92" t="str">
        <f t="shared" si="178"/>
        <v/>
      </c>
      <c r="AP108" s="92" t="str">
        <f t="shared" si="179"/>
        <v/>
      </c>
      <c r="AQ108" s="92" t="str">
        <f t="shared" si="180"/>
        <v/>
      </c>
      <c r="AR108" s="92" t="str">
        <f t="shared" si="181"/>
        <v/>
      </c>
      <c r="AS108" s="92" t="str">
        <f t="shared" si="182"/>
        <v/>
      </c>
      <c r="AT108" s="92" t="str">
        <f t="shared" si="183"/>
        <v/>
      </c>
      <c r="AU108" s="92" t="str">
        <f t="shared" si="184"/>
        <v/>
      </c>
      <c r="AV108" s="92" t="str">
        <f t="shared" si="185"/>
        <v/>
      </c>
      <c r="AW108" s="92" t="str">
        <f t="shared" si="185"/>
        <v/>
      </c>
      <c r="AX108" s="92" t="str">
        <f t="shared" si="185"/>
        <v/>
      </c>
      <c r="AY108" s="93" t="str">
        <f t="shared" si="186"/>
        <v/>
      </c>
      <c r="AZ108" s="94" t="str">
        <f t="shared" si="187"/>
        <v/>
      </c>
      <c r="BA108" s="95" t="str">
        <f t="shared" si="188"/>
        <v/>
      </c>
      <c r="BB108" s="248" t="s">
        <v>422</v>
      </c>
      <c r="BC108" s="229" t="s">
        <v>433</v>
      </c>
      <c r="BD108" s="249">
        <v>-0.19650000000000001</v>
      </c>
      <c r="BE108" s="267">
        <f t="shared" si="140"/>
        <v>0</v>
      </c>
      <c r="BF108" s="268">
        <f t="shared" ref="BF108:BL108" si="196">IF(BF$6=$BB108,1,
IF(BE108&lt;&gt;0,BE108+1,0
))</f>
        <v>0</v>
      </c>
      <c r="BG108" s="268">
        <f t="shared" si="196"/>
        <v>0</v>
      </c>
      <c r="BH108" s="268">
        <f t="shared" si="196"/>
        <v>1</v>
      </c>
      <c r="BI108" s="268">
        <f t="shared" si="196"/>
        <v>2</v>
      </c>
      <c r="BJ108" s="268">
        <f t="shared" si="196"/>
        <v>3</v>
      </c>
      <c r="BK108" s="268">
        <f t="shared" si="196"/>
        <v>4</v>
      </c>
      <c r="BL108" s="269">
        <f t="shared" si="196"/>
        <v>5</v>
      </c>
      <c r="BM108" s="256">
        <f>IF($BC108=Lookup!$A$2,$BD108*ROUNDUP(BE108/10,0)+1,
IF($BC108=Lookup!$A$3,($BD108+1)^BD108,
IF($BC108=Lookup!$A$4,BE108*$BD108+1,"Error")))</f>
        <v>1</v>
      </c>
      <c r="BN108" s="229">
        <f>IF($BC108=Lookup!$A$2,$BD108*ROUNDUP(BF108/10,0)+1,
IF($BC108=Lookup!$A$3,($BD108+1)^BE108,
IF($BC108=Lookup!$A$4,BF108*$BD108+1,"Error")))</f>
        <v>1</v>
      </c>
      <c r="BO108" s="229">
        <f>IF($BC108=Lookup!$A$2,$BD108*ROUNDUP(BG108/10,0)+1,
IF($BC108=Lookup!$A$3,($BD108+1)^BF108,
IF($BC108=Lookup!$A$4,BG108*$BD108+1,"Error")))</f>
        <v>1</v>
      </c>
      <c r="BP108" s="229">
        <f>IF($BC108=Lookup!$A$2,$BD108*ROUNDUP(BH108/10,0)+1,
IF($BC108=Lookup!$A$3,($BD108+1)^BG108,
IF($BC108=Lookup!$A$4,BH108*$BD108+1,"Error")))</f>
        <v>0.80349999999999999</v>
      </c>
      <c r="BQ108" s="229">
        <f>IF($BC108=Lookup!$A$2,$BD108*ROUNDUP(BI108/10,0)+1,
IF($BC108=Lookup!$A$3,($BD108+1)^BH108,
IF($BC108=Lookup!$A$4,BI108*$BD108+1,"Error")))</f>
        <v>0.80349999999999999</v>
      </c>
      <c r="BR108" s="229">
        <f>IF($BC108=Lookup!$A$2,$BD108*ROUNDUP(BJ108/10,0)+1,
IF($BC108=Lookup!$A$3,($BD108+1)^BI108,
IF($BC108=Lookup!$A$4,BJ108*$BD108+1,"Error")))</f>
        <v>0.80349999999999999</v>
      </c>
      <c r="BS108" s="229">
        <f>IF($BC108=Lookup!$A$2,$BD108*ROUNDUP(BK108/10,0)+1,
IF($BC108=Lookup!$A$3,($BD108+1)^BJ108,
IF($BC108=Lookup!$A$4,BK108*$BD108+1,"Error")))</f>
        <v>0.80349999999999999</v>
      </c>
      <c r="BT108" s="249">
        <f>IF($BC108=Lookup!$A$2,$BD108*ROUNDUP(BL108/10,0)+1,
IF($BC108=Lookup!$A$3,($BD108+1)^BK108,
IF($BC108=Lookup!$A$4,BL108*$BD108+1,"Error")))</f>
        <v>0.80349999999999999</v>
      </c>
      <c r="BU108" s="320"/>
      <c r="BV108" s="321"/>
      <c r="BW108" s="321"/>
      <c r="BX108" s="321"/>
      <c r="BY108" s="321"/>
      <c r="BZ108" s="321"/>
      <c r="CA108" s="321"/>
      <c r="CB108" s="277"/>
      <c r="CC108" s="382" t="s">
        <v>293</v>
      </c>
      <c r="CD108" s="383">
        <f>HLOOKUP($CC108,$AK$6:$AM$132,ROWS(CC$6:CC108),0)</f>
        <v>0</v>
      </c>
      <c r="CE108" s="234">
        <f t="shared" si="142"/>
        <v>0</v>
      </c>
      <c r="CF108" s="96">
        <f t="shared" si="142"/>
        <v>0</v>
      </c>
      <c r="CG108" s="96">
        <f t="shared" si="142"/>
        <v>0</v>
      </c>
      <c r="CH108" s="96">
        <f t="shared" si="142"/>
        <v>0</v>
      </c>
      <c r="CI108" s="96">
        <f t="shared" si="142"/>
        <v>0</v>
      </c>
      <c r="CJ108" s="96">
        <f t="shared" si="142"/>
        <v>0</v>
      </c>
      <c r="CK108" s="96">
        <f t="shared" si="142"/>
        <v>0</v>
      </c>
      <c r="CL108" s="286">
        <f t="shared" si="194"/>
        <v>0</v>
      </c>
      <c r="CM108" s="305" t="s">
        <v>293</v>
      </c>
      <c r="CN108" s="315">
        <v>0.05</v>
      </c>
      <c r="CO108" s="306"/>
      <c r="CP108" s="307" t="str">
        <f>IF($CO108&lt;&gt;"",$CO108,HLOOKUP($CM108,$AY$6:$BA$132,ROWS(CO$6:CO108),0))</f>
        <v/>
      </c>
      <c r="CQ108" s="784" t="str">
        <f t="shared" si="190"/>
        <v/>
      </c>
      <c r="CR108" s="784" t="str">
        <f t="shared" si="190"/>
        <v/>
      </c>
      <c r="CS108" s="97" t="str">
        <f t="shared" si="190"/>
        <v/>
      </c>
      <c r="CT108" s="97" t="str">
        <f t="shared" si="190"/>
        <v/>
      </c>
      <c r="CU108" s="97" t="str">
        <f t="shared" si="190"/>
        <v/>
      </c>
      <c r="CV108" s="97" t="str">
        <f t="shared" si="190"/>
        <v/>
      </c>
      <c r="CW108" s="97" t="str">
        <f t="shared" si="190"/>
        <v/>
      </c>
      <c r="CX108" s="98" t="str">
        <f t="shared" si="190"/>
        <v/>
      </c>
      <c r="CY108" s="392"/>
    </row>
    <row r="109" spans="1:103" ht="15.75" thickBot="1" x14ac:dyDescent="0.3">
      <c r="A109" s="100" t="s">
        <v>196</v>
      </c>
      <c r="B109" s="101" t="s">
        <v>393</v>
      </c>
      <c r="C109" s="102" t="s">
        <v>394</v>
      </c>
      <c r="D109" s="103">
        <v>0</v>
      </c>
      <c r="E109" s="104">
        <v>0</v>
      </c>
      <c r="F109" s="104">
        <v>48021.935764918941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655">
        <f>'2022-23 Input'!G109</f>
        <v>0</v>
      </c>
      <c r="N109" s="1066">
        <v>0</v>
      </c>
      <c r="O109" s="563">
        <f t="shared" si="139"/>
        <v>0</v>
      </c>
      <c r="P109" s="564">
        <f t="shared" si="113"/>
        <v>0</v>
      </c>
      <c r="Q109" s="564">
        <f t="shared" si="114"/>
        <v>63005.055740914941</v>
      </c>
      <c r="R109" s="564">
        <f t="shared" si="115"/>
        <v>0</v>
      </c>
      <c r="S109" s="564">
        <f t="shared" si="116"/>
        <v>0</v>
      </c>
      <c r="T109" s="564">
        <f t="shared" si="117"/>
        <v>0</v>
      </c>
      <c r="U109" s="564">
        <f t="shared" si="118"/>
        <v>0</v>
      </c>
      <c r="V109" s="564">
        <f t="shared" si="119"/>
        <v>0</v>
      </c>
      <c r="W109" s="676">
        <f t="shared" si="120"/>
        <v>0</v>
      </c>
      <c r="X109" s="676">
        <f t="shared" si="121"/>
        <v>0</v>
      </c>
      <c r="Y109" s="676">
        <f t="shared" si="121"/>
        <v>0</v>
      </c>
      <c r="Z109" s="105">
        <v>0</v>
      </c>
      <c r="AA109" s="106">
        <v>0</v>
      </c>
      <c r="AB109" s="106">
        <v>1</v>
      </c>
      <c r="AC109" s="106">
        <v>0</v>
      </c>
      <c r="AD109" s="106">
        <v>0</v>
      </c>
      <c r="AE109" s="106">
        <v>0</v>
      </c>
      <c r="AF109" s="106">
        <v>0</v>
      </c>
      <c r="AG109" s="106">
        <v>0</v>
      </c>
      <c r="AH109" s="106">
        <v>0</v>
      </c>
      <c r="AI109" s="1095">
        <f>'2022-23 Input'!N109</f>
        <v>0</v>
      </c>
      <c r="AJ109" s="666">
        <v>0</v>
      </c>
      <c r="AK109" s="107">
        <f t="shared" si="174"/>
        <v>0</v>
      </c>
      <c r="AL109" s="108">
        <f t="shared" si="175"/>
        <v>0</v>
      </c>
      <c r="AM109" s="109">
        <f t="shared" si="176"/>
        <v>0</v>
      </c>
      <c r="AN109" s="110" t="str">
        <f t="shared" si="177"/>
        <v/>
      </c>
      <c r="AO109" s="111" t="str">
        <f t="shared" si="178"/>
        <v/>
      </c>
      <c r="AP109" s="111">
        <f t="shared" si="179"/>
        <v>48021.935764918941</v>
      </c>
      <c r="AQ109" s="111" t="str">
        <f t="shared" si="180"/>
        <v/>
      </c>
      <c r="AR109" s="111" t="str">
        <f t="shared" si="181"/>
        <v/>
      </c>
      <c r="AS109" s="111" t="str">
        <f t="shared" si="182"/>
        <v/>
      </c>
      <c r="AT109" s="111" t="str">
        <f t="shared" si="183"/>
        <v/>
      </c>
      <c r="AU109" s="111" t="str">
        <f t="shared" si="184"/>
        <v/>
      </c>
      <c r="AV109" s="111" t="str">
        <f t="shared" si="185"/>
        <v/>
      </c>
      <c r="AW109" s="111" t="str">
        <f t="shared" si="185"/>
        <v/>
      </c>
      <c r="AX109" s="111" t="str">
        <f t="shared" si="185"/>
        <v/>
      </c>
      <c r="AY109" s="112" t="str">
        <f t="shared" si="186"/>
        <v/>
      </c>
      <c r="AZ109" s="113" t="str">
        <f t="shared" si="187"/>
        <v/>
      </c>
      <c r="BA109" s="114" t="str">
        <f t="shared" si="188"/>
        <v/>
      </c>
      <c r="BB109" s="250" t="s">
        <v>422</v>
      </c>
      <c r="BC109" s="230" t="s">
        <v>433</v>
      </c>
      <c r="BD109" s="251">
        <v>-0.19650000000000001</v>
      </c>
      <c r="BE109" s="270">
        <f t="shared" si="140"/>
        <v>0</v>
      </c>
      <c r="BF109" s="271">
        <f t="shared" ref="BF109:BL109" si="197">IF(BF$6=$BB109,1,
IF(BE109&lt;&gt;0,BE109+1,0
))</f>
        <v>0</v>
      </c>
      <c r="BG109" s="271">
        <f t="shared" si="197"/>
        <v>0</v>
      </c>
      <c r="BH109" s="271">
        <f t="shared" si="197"/>
        <v>1</v>
      </c>
      <c r="BI109" s="271">
        <f t="shared" si="197"/>
        <v>2</v>
      </c>
      <c r="BJ109" s="271">
        <f t="shared" si="197"/>
        <v>3</v>
      </c>
      <c r="BK109" s="271">
        <f t="shared" si="197"/>
        <v>4</v>
      </c>
      <c r="BL109" s="272">
        <f t="shared" si="197"/>
        <v>5</v>
      </c>
      <c r="BM109" s="257">
        <f>IF($BC109=Lookup!$A$2,$BD109*ROUNDUP(BE109/10,0)+1,
IF($BC109=Lookup!$A$3,($BD109+1)^BD109,
IF($BC109=Lookup!$A$4,BE109*$BD109+1,"Error")))</f>
        <v>1</v>
      </c>
      <c r="BN109" s="230">
        <f>IF($BC109=Lookup!$A$2,$BD109*ROUNDUP(BF109/10,0)+1,
IF($BC109=Lookup!$A$3,($BD109+1)^BE109,
IF($BC109=Lookup!$A$4,BF109*$BD109+1,"Error")))</f>
        <v>1</v>
      </c>
      <c r="BO109" s="230">
        <f>IF($BC109=Lookup!$A$2,$BD109*ROUNDUP(BG109/10,0)+1,
IF($BC109=Lookup!$A$3,($BD109+1)^BF109,
IF($BC109=Lookup!$A$4,BG109*$BD109+1,"Error")))</f>
        <v>1</v>
      </c>
      <c r="BP109" s="230">
        <f>IF($BC109=Lookup!$A$2,$BD109*ROUNDUP(BH109/10,0)+1,
IF($BC109=Lookup!$A$3,($BD109+1)^BG109,
IF($BC109=Lookup!$A$4,BH109*$BD109+1,"Error")))</f>
        <v>0.80349999999999999</v>
      </c>
      <c r="BQ109" s="230">
        <f>IF($BC109=Lookup!$A$2,$BD109*ROUNDUP(BI109/10,0)+1,
IF($BC109=Lookup!$A$3,($BD109+1)^BH109,
IF($BC109=Lookup!$A$4,BI109*$BD109+1,"Error")))</f>
        <v>0.80349999999999999</v>
      </c>
      <c r="BR109" s="230">
        <f>IF($BC109=Lookup!$A$2,$BD109*ROUNDUP(BJ109/10,0)+1,
IF($BC109=Lookup!$A$3,($BD109+1)^BI109,
IF($BC109=Lookup!$A$4,BJ109*$BD109+1,"Error")))</f>
        <v>0.80349999999999999</v>
      </c>
      <c r="BS109" s="230">
        <f>IF($BC109=Lookup!$A$2,$BD109*ROUNDUP(BK109/10,0)+1,
IF($BC109=Lookup!$A$3,($BD109+1)^BJ109,
IF($BC109=Lookup!$A$4,BK109*$BD109+1,"Error")))</f>
        <v>0.80349999999999999</v>
      </c>
      <c r="BT109" s="251">
        <f>IF($BC109=Lookup!$A$2,$BD109*ROUNDUP(BL109/10,0)+1,
IF($BC109=Lookup!$A$3,($BD109+1)^BK109,
IF($BC109=Lookup!$A$4,BL109*$BD109+1,"Error")))</f>
        <v>0.80349999999999999</v>
      </c>
      <c r="BU109" s="322"/>
      <c r="BV109" s="323"/>
      <c r="BW109" s="323"/>
      <c r="BX109" s="323"/>
      <c r="BY109" s="323"/>
      <c r="BZ109" s="323"/>
      <c r="CA109" s="323"/>
      <c r="CB109" s="278"/>
      <c r="CC109" s="384" t="s">
        <v>293</v>
      </c>
      <c r="CD109" s="385">
        <f>HLOOKUP($CC109,$AK$6:$AM$132,ROWS(CC$6:CC109),0)</f>
        <v>0</v>
      </c>
      <c r="CE109" s="235">
        <f t="shared" si="142"/>
        <v>0</v>
      </c>
      <c r="CF109" s="115">
        <f t="shared" si="142"/>
        <v>0</v>
      </c>
      <c r="CG109" s="115">
        <f t="shared" si="142"/>
        <v>0</v>
      </c>
      <c r="CH109" s="115">
        <f t="shared" si="142"/>
        <v>0</v>
      </c>
      <c r="CI109" s="115">
        <f t="shared" si="142"/>
        <v>0</v>
      </c>
      <c r="CJ109" s="115">
        <f t="shared" si="142"/>
        <v>0</v>
      </c>
      <c r="CK109" s="115">
        <f t="shared" si="142"/>
        <v>0</v>
      </c>
      <c r="CL109" s="287">
        <f t="shared" si="194"/>
        <v>0</v>
      </c>
      <c r="CM109" s="308" t="s">
        <v>293</v>
      </c>
      <c r="CN109" s="316">
        <v>0.05</v>
      </c>
      <c r="CO109" s="309"/>
      <c r="CP109" s="310" t="str">
        <f>IF($CO109&lt;&gt;"",$CO109,HLOOKUP($CM109,$AY$6:$BA$132,ROWS(CO$6:CO109),0))</f>
        <v/>
      </c>
      <c r="CQ109" s="785" t="str">
        <f t="shared" si="190"/>
        <v/>
      </c>
      <c r="CR109" s="785" t="str">
        <f t="shared" si="190"/>
        <v/>
      </c>
      <c r="CS109" s="117" t="str">
        <f t="shared" si="190"/>
        <v/>
      </c>
      <c r="CT109" s="117" t="str">
        <f t="shared" si="190"/>
        <v/>
      </c>
      <c r="CU109" s="117" t="str">
        <f t="shared" si="190"/>
        <v/>
      </c>
      <c r="CV109" s="117" t="str">
        <f t="shared" si="190"/>
        <v/>
      </c>
      <c r="CW109" s="117" t="str">
        <f t="shared" si="190"/>
        <v/>
      </c>
      <c r="CX109" s="118" t="str">
        <f t="shared" si="190"/>
        <v/>
      </c>
      <c r="CY109" s="393"/>
    </row>
    <row r="110" spans="1:103" x14ac:dyDescent="0.25">
      <c r="A110" s="63" t="s">
        <v>224</v>
      </c>
      <c r="B110" s="64" t="s">
        <v>221</v>
      </c>
      <c r="C110" s="65" t="s">
        <v>395</v>
      </c>
      <c r="D110" s="66">
        <v>7831.3600590420756</v>
      </c>
      <c r="E110" s="67">
        <v>1448.9037541660246</v>
      </c>
      <c r="F110" s="67">
        <v>-261.37</v>
      </c>
      <c r="G110" s="67">
        <v>5147.6824567957347</v>
      </c>
      <c r="H110" s="67">
        <v>7317.0879403451281</v>
      </c>
      <c r="I110" s="67">
        <v>9580.2078715700009</v>
      </c>
      <c r="J110" s="67">
        <v>2924.2848597279994</v>
      </c>
      <c r="K110" s="67">
        <v>9649.0406670640004</v>
      </c>
      <c r="L110" s="67">
        <v>0</v>
      </c>
      <c r="M110" s="653">
        <f>'2022-23 Input'!G110</f>
        <v>1490.6420801289999</v>
      </c>
      <c r="N110" s="1064">
        <v>0</v>
      </c>
      <c r="O110" s="557">
        <f t="shared" si="139"/>
        <v>10536.75287942015</v>
      </c>
      <c r="P110" s="558">
        <f t="shared" si="113"/>
        <v>1920.4218399727761</v>
      </c>
      <c r="Q110" s="558">
        <f t="shared" si="114"/>
        <v>-342.9189422853899</v>
      </c>
      <c r="R110" s="558">
        <f t="shared" si="115"/>
        <v>6625.6683128453242</v>
      </c>
      <c r="S110" s="558">
        <f t="shared" si="116"/>
        <v>9226.2537325413432</v>
      </c>
      <c r="T110" s="558">
        <f t="shared" si="117"/>
        <v>11890.458660368744</v>
      </c>
      <c r="U110" s="558">
        <f t="shared" si="118"/>
        <v>3642.1616247887619</v>
      </c>
      <c r="V110" s="558">
        <f t="shared" si="119"/>
        <v>11572.661735210164</v>
      </c>
      <c r="W110" s="674">
        <f t="shared" si="120"/>
        <v>0</v>
      </c>
      <c r="X110" s="674">
        <f t="shared" si="121"/>
        <v>1585.2396070058332</v>
      </c>
      <c r="Y110" s="674">
        <f t="shared" si="121"/>
        <v>0</v>
      </c>
      <c r="Z110" s="68">
        <v>12</v>
      </c>
      <c r="AA110" s="69">
        <v>2</v>
      </c>
      <c r="AB110" s="69">
        <v>-1</v>
      </c>
      <c r="AC110" s="69">
        <v>6</v>
      </c>
      <c r="AD110" s="69">
        <v>8</v>
      </c>
      <c r="AE110" s="69">
        <v>7</v>
      </c>
      <c r="AF110" s="69">
        <v>3</v>
      </c>
      <c r="AG110" s="69">
        <v>5</v>
      </c>
      <c r="AH110" s="69">
        <v>2</v>
      </c>
      <c r="AI110" s="1093">
        <f>'2022-23 Input'!N110</f>
        <v>2</v>
      </c>
      <c r="AJ110" s="664">
        <v>0</v>
      </c>
      <c r="AK110" s="70">
        <f t="shared" si="174"/>
        <v>3.8</v>
      </c>
      <c r="AL110" s="71">
        <f t="shared" si="175"/>
        <v>3</v>
      </c>
      <c r="AM110" s="72">
        <f t="shared" si="176"/>
        <v>2</v>
      </c>
      <c r="AN110" s="73">
        <f t="shared" si="177"/>
        <v>652.6133382535063</v>
      </c>
      <c r="AO110" s="74">
        <f t="shared" si="178"/>
        <v>724.45187708301228</v>
      </c>
      <c r="AP110" s="74">
        <f t="shared" si="179"/>
        <v>261.37</v>
      </c>
      <c r="AQ110" s="74">
        <f t="shared" si="180"/>
        <v>857.94707613262244</v>
      </c>
      <c r="AR110" s="74">
        <f t="shared" si="181"/>
        <v>914.63599254314101</v>
      </c>
      <c r="AS110" s="74">
        <f t="shared" si="182"/>
        <v>1368.6011245100001</v>
      </c>
      <c r="AT110" s="74">
        <f t="shared" si="183"/>
        <v>974.76161990933315</v>
      </c>
      <c r="AU110" s="74">
        <f t="shared" si="184"/>
        <v>1929.8081334128001</v>
      </c>
      <c r="AV110" s="74">
        <f t="shared" si="185"/>
        <v>0</v>
      </c>
      <c r="AW110" s="74">
        <f t="shared" si="185"/>
        <v>745.32104006449993</v>
      </c>
      <c r="AX110" s="74" t="str">
        <f t="shared" si="185"/>
        <v/>
      </c>
      <c r="AY110" s="75">
        <f t="shared" si="186"/>
        <v>1244.4302883416317</v>
      </c>
      <c r="AZ110" s="76">
        <f t="shared" si="187"/>
        <v>1237.742527465889</v>
      </c>
      <c r="BA110" s="77">
        <f t="shared" si="188"/>
        <v>745.32104006449993</v>
      </c>
      <c r="BB110" s="246" t="s">
        <v>422</v>
      </c>
      <c r="BC110" s="228" t="s">
        <v>433</v>
      </c>
      <c r="BD110" s="247">
        <v>0</v>
      </c>
      <c r="BE110" s="264">
        <f t="shared" si="140"/>
        <v>0</v>
      </c>
      <c r="BF110" s="265">
        <f t="shared" ref="BF110:BL110" si="198">IF(BF$6=$BB110,1,
IF(BE110&lt;&gt;0,BE110+1,0
))</f>
        <v>0</v>
      </c>
      <c r="BG110" s="265">
        <f t="shared" si="198"/>
        <v>0</v>
      </c>
      <c r="BH110" s="265">
        <f t="shared" si="198"/>
        <v>1</v>
      </c>
      <c r="BI110" s="265">
        <f t="shared" si="198"/>
        <v>2</v>
      </c>
      <c r="BJ110" s="265">
        <f t="shared" si="198"/>
        <v>3</v>
      </c>
      <c r="BK110" s="265">
        <f t="shared" si="198"/>
        <v>4</v>
      </c>
      <c r="BL110" s="266">
        <f t="shared" si="198"/>
        <v>5</v>
      </c>
      <c r="BM110" s="255">
        <f>IF($BC110=Lookup!$A$2,$BD110*ROUNDUP(BE110/10,0)+1,
IF($BC110=Lookup!$A$3,($BD110+1)^BD110,
IF($BC110=Lookup!$A$4,BE110*$BD110+1,"Error")))</f>
        <v>1</v>
      </c>
      <c r="BN110" s="228">
        <f>IF($BC110=Lookup!$A$2,$BD110*ROUNDUP(BF110/10,0)+1,
IF($BC110=Lookup!$A$3,($BD110+1)^BE110,
IF($BC110=Lookup!$A$4,BF110*$BD110+1,"Error")))</f>
        <v>1</v>
      </c>
      <c r="BO110" s="228">
        <f>IF($BC110=Lookup!$A$2,$BD110*ROUNDUP(BG110/10,0)+1,
IF($BC110=Lookup!$A$3,($BD110+1)^BF110,
IF($BC110=Lookup!$A$4,BG110*$BD110+1,"Error")))</f>
        <v>1</v>
      </c>
      <c r="BP110" s="228">
        <f>IF($BC110=Lookup!$A$2,$BD110*ROUNDUP(BH110/10,0)+1,
IF($BC110=Lookup!$A$3,($BD110+1)^BG110,
IF($BC110=Lookup!$A$4,BH110*$BD110+1,"Error")))</f>
        <v>1</v>
      </c>
      <c r="BQ110" s="228">
        <f>IF($BC110=Lookup!$A$2,$BD110*ROUNDUP(BI110/10,0)+1,
IF($BC110=Lookup!$A$3,($BD110+1)^BH110,
IF($BC110=Lookup!$A$4,BI110*$BD110+1,"Error")))</f>
        <v>1</v>
      </c>
      <c r="BR110" s="228">
        <f>IF($BC110=Lookup!$A$2,$BD110*ROUNDUP(BJ110/10,0)+1,
IF($BC110=Lookup!$A$3,($BD110+1)^BI110,
IF($BC110=Lookup!$A$4,BJ110*$BD110+1,"Error")))</f>
        <v>1</v>
      </c>
      <c r="BS110" s="228">
        <f>IF($BC110=Lookup!$A$2,$BD110*ROUNDUP(BK110/10,0)+1,
IF($BC110=Lookup!$A$3,($BD110+1)^BJ110,
IF($BC110=Lookup!$A$4,BK110*$BD110+1,"Error")))</f>
        <v>1</v>
      </c>
      <c r="BT110" s="247">
        <f>IF($BC110=Lookup!$A$2,$BD110*ROUNDUP(BL110/10,0)+1,
IF($BC110=Lookup!$A$3,($BD110+1)^BK110,
IF($BC110=Lookup!$A$4,BL110*$BD110+1,"Error")))</f>
        <v>1</v>
      </c>
      <c r="BU110" s="318">
        <v>0</v>
      </c>
      <c r="BV110" s="319">
        <v>0</v>
      </c>
      <c r="BW110" s="319">
        <v>0</v>
      </c>
      <c r="BX110" s="319">
        <v>0</v>
      </c>
      <c r="BY110" s="319">
        <v>0</v>
      </c>
      <c r="BZ110" s="319">
        <v>0</v>
      </c>
      <c r="CA110" s="319">
        <v>0</v>
      </c>
      <c r="CB110" s="276">
        <v>0</v>
      </c>
      <c r="CC110" s="380" t="s">
        <v>293</v>
      </c>
      <c r="CD110" s="381">
        <f>HLOOKUP($CC110,$AK$6:$AM$132,ROWS(CC$6:CC110),0)</f>
        <v>3</v>
      </c>
      <c r="CE110" s="233">
        <f t="shared" si="142"/>
        <v>0</v>
      </c>
      <c r="CF110" s="78">
        <f t="shared" si="142"/>
        <v>0</v>
      </c>
      <c r="CG110" s="78">
        <f t="shared" si="142"/>
        <v>0</v>
      </c>
      <c r="CH110" s="78">
        <f t="shared" si="142"/>
        <v>0</v>
      </c>
      <c r="CI110" s="78">
        <f t="shared" si="142"/>
        <v>0</v>
      </c>
      <c r="CJ110" s="78">
        <f t="shared" si="142"/>
        <v>0</v>
      </c>
      <c r="CK110" s="78">
        <f t="shared" si="142"/>
        <v>0</v>
      </c>
      <c r="CL110" s="285">
        <f t="shared" si="194"/>
        <v>0</v>
      </c>
      <c r="CM110" s="302" t="s">
        <v>293</v>
      </c>
      <c r="CN110" s="314">
        <v>0.05</v>
      </c>
      <c r="CO110" s="303"/>
      <c r="CP110" s="304">
        <f>IF($CO110&lt;&gt;"",$CO110,HLOOKUP($CM110,$AY$6:$BA$132,ROWS(CO$6:CO110),0))</f>
        <v>1237.742527465889</v>
      </c>
      <c r="CQ110" s="783">
        <f t="shared" si="190"/>
        <v>0</v>
      </c>
      <c r="CR110" s="783">
        <f t="shared" si="190"/>
        <v>0</v>
      </c>
      <c r="CS110" s="79">
        <f t="shared" si="190"/>
        <v>0</v>
      </c>
      <c r="CT110" s="79">
        <f t="shared" si="190"/>
        <v>0</v>
      </c>
      <c r="CU110" s="79">
        <f t="shared" si="190"/>
        <v>0</v>
      </c>
      <c r="CV110" s="79">
        <f t="shared" si="190"/>
        <v>0</v>
      </c>
      <c r="CW110" s="79">
        <f t="shared" si="190"/>
        <v>0</v>
      </c>
      <c r="CX110" s="80">
        <f t="shared" si="190"/>
        <v>0</v>
      </c>
      <c r="CY110" s="391"/>
    </row>
    <row r="111" spans="1:103" x14ac:dyDescent="0.25">
      <c r="A111" s="81" t="s">
        <v>224</v>
      </c>
      <c r="B111" s="82" t="s">
        <v>225</v>
      </c>
      <c r="C111" s="83" t="s">
        <v>396</v>
      </c>
      <c r="D111" s="84">
        <v>0</v>
      </c>
      <c r="E111" s="85">
        <v>2237.446203111605</v>
      </c>
      <c r="F111" s="85">
        <v>1809.3537045379285</v>
      </c>
      <c r="G111" s="85">
        <v>3370.6819549459283</v>
      </c>
      <c r="H111" s="85">
        <v>13193.868278230691</v>
      </c>
      <c r="I111" s="85">
        <v>22577.922454159994</v>
      </c>
      <c r="J111" s="85">
        <v>840.29459426300025</v>
      </c>
      <c r="K111" s="85">
        <v>4965.5028859199992</v>
      </c>
      <c r="L111" s="85">
        <v>-181.82</v>
      </c>
      <c r="M111" s="654">
        <f>'2022-23 Input'!G111</f>
        <v>1374.1213029910002</v>
      </c>
      <c r="N111" s="1065">
        <v>0</v>
      </c>
      <c r="O111" s="560">
        <f t="shared" si="139"/>
        <v>0</v>
      </c>
      <c r="P111" s="561">
        <f t="shared" si="113"/>
        <v>2965.5803857675219</v>
      </c>
      <c r="Q111" s="561">
        <f t="shared" si="114"/>
        <v>2373.8824600386361</v>
      </c>
      <c r="R111" s="561">
        <f t="shared" si="115"/>
        <v>4338.4612024935095</v>
      </c>
      <c r="S111" s="561">
        <f t="shared" si="116"/>
        <v>16636.396533857027</v>
      </c>
      <c r="T111" s="561">
        <f t="shared" si="117"/>
        <v>28022.54994642462</v>
      </c>
      <c r="U111" s="561">
        <f t="shared" si="118"/>
        <v>1046.5768116129466</v>
      </c>
      <c r="V111" s="561">
        <f t="shared" si="119"/>
        <v>5955.4195309912739</v>
      </c>
      <c r="W111" s="675">
        <f t="shared" si="120"/>
        <v>-205.44336968094376</v>
      </c>
      <c r="X111" s="675">
        <f t="shared" si="121"/>
        <v>1461.3243134416855</v>
      </c>
      <c r="Y111" s="675">
        <f t="shared" si="121"/>
        <v>0</v>
      </c>
      <c r="Z111" s="86">
        <v>0</v>
      </c>
      <c r="AA111" s="87">
        <v>2</v>
      </c>
      <c r="AB111" s="87">
        <v>5</v>
      </c>
      <c r="AC111" s="87">
        <v>5</v>
      </c>
      <c r="AD111" s="87">
        <v>30</v>
      </c>
      <c r="AE111" s="87">
        <v>20</v>
      </c>
      <c r="AF111" s="87">
        <v>6</v>
      </c>
      <c r="AG111" s="87">
        <v>5</v>
      </c>
      <c r="AH111" s="87">
        <v>-1</v>
      </c>
      <c r="AI111" s="1094">
        <f>'2022-23 Input'!N111</f>
        <v>1</v>
      </c>
      <c r="AJ111" s="665">
        <v>0</v>
      </c>
      <c r="AK111" s="88">
        <f t="shared" si="174"/>
        <v>6.2</v>
      </c>
      <c r="AL111" s="89">
        <f t="shared" si="175"/>
        <v>1.6666666666666667</v>
      </c>
      <c r="AM111" s="90">
        <f t="shared" si="176"/>
        <v>1</v>
      </c>
      <c r="AN111" s="91" t="str">
        <f t="shared" si="177"/>
        <v/>
      </c>
      <c r="AO111" s="92">
        <f t="shared" si="178"/>
        <v>1118.7231015558025</v>
      </c>
      <c r="AP111" s="92">
        <f t="shared" si="179"/>
        <v>361.87074090758568</v>
      </c>
      <c r="AQ111" s="92">
        <f t="shared" si="180"/>
        <v>674.13639098918566</v>
      </c>
      <c r="AR111" s="92">
        <f t="shared" si="181"/>
        <v>439.79560927435637</v>
      </c>
      <c r="AS111" s="92">
        <f t="shared" si="182"/>
        <v>1128.8961227079997</v>
      </c>
      <c r="AT111" s="92">
        <f t="shared" si="183"/>
        <v>140.04909904383337</v>
      </c>
      <c r="AU111" s="92">
        <f t="shared" si="184"/>
        <v>993.1005771839998</v>
      </c>
      <c r="AV111" s="92">
        <f t="shared" si="185"/>
        <v>181.82</v>
      </c>
      <c r="AW111" s="92">
        <f t="shared" si="185"/>
        <v>1374.1213029910002</v>
      </c>
      <c r="AX111" s="92" t="str">
        <f t="shared" si="185"/>
        <v/>
      </c>
      <c r="AY111" s="93">
        <f t="shared" si="186"/>
        <v>954.06520120432231</v>
      </c>
      <c r="AZ111" s="94">
        <f t="shared" si="187"/>
        <v>1231.5608377822</v>
      </c>
      <c r="BA111" s="95">
        <f t="shared" si="188"/>
        <v>1374.1213029910002</v>
      </c>
      <c r="BB111" s="248" t="s">
        <v>422</v>
      </c>
      <c r="BC111" s="229" t="s">
        <v>433</v>
      </c>
      <c r="BD111" s="249">
        <v>0</v>
      </c>
      <c r="BE111" s="267">
        <f t="shared" si="140"/>
        <v>0</v>
      </c>
      <c r="BF111" s="268">
        <f t="shared" ref="BF111:BL111" si="199">IF(BF$6=$BB111,1,
IF(BE111&lt;&gt;0,BE111+1,0
))</f>
        <v>0</v>
      </c>
      <c r="BG111" s="268">
        <f t="shared" si="199"/>
        <v>0</v>
      </c>
      <c r="BH111" s="268">
        <f t="shared" si="199"/>
        <v>1</v>
      </c>
      <c r="BI111" s="268">
        <f t="shared" si="199"/>
        <v>2</v>
      </c>
      <c r="BJ111" s="268">
        <f t="shared" si="199"/>
        <v>3</v>
      </c>
      <c r="BK111" s="268">
        <f t="shared" si="199"/>
        <v>4</v>
      </c>
      <c r="BL111" s="269">
        <f t="shared" si="199"/>
        <v>5</v>
      </c>
      <c r="BM111" s="256">
        <f>IF($BC111=Lookup!$A$2,$BD111*ROUNDUP(BE111/10,0)+1,
IF($BC111=Lookup!$A$3,($BD111+1)^BD111,
IF($BC111=Lookup!$A$4,BE111*$BD111+1,"Error")))</f>
        <v>1</v>
      </c>
      <c r="BN111" s="229">
        <f>IF($BC111=Lookup!$A$2,$BD111*ROUNDUP(BF111/10,0)+1,
IF($BC111=Lookup!$A$3,($BD111+1)^BE111,
IF($BC111=Lookup!$A$4,BF111*$BD111+1,"Error")))</f>
        <v>1</v>
      </c>
      <c r="BO111" s="229">
        <f>IF($BC111=Lookup!$A$2,$BD111*ROUNDUP(BG111/10,0)+1,
IF($BC111=Lookup!$A$3,($BD111+1)^BF111,
IF($BC111=Lookup!$A$4,BG111*$BD111+1,"Error")))</f>
        <v>1</v>
      </c>
      <c r="BP111" s="229">
        <f>IF($BC111=Lookup!$A$2,$BD111*ROUNDUP(BH111/10,0)+1,
IF($BC111=Lookup!$A$3,($BD111+1)^BG111,
IF($BC111=Lookup!$A$4,BH111*$BD111+1,"Error")))</f>
        <v>1</v>
      </c>
      <c r="BQ111" s="229">
        <f>IF($BC111=Lookup!$A$2,$BD111*ROUNDUP(BI111/10,0)+1,
IF($BC111=Lookup!$A$3,($BD111+1)^BH111,
IF($BC111=Lookup!$A$4,BI111*$BD111+1,"Error")))</f>
        <v>1</v>
      </c>
      <c r="BR111" s="229">
        <f>IF($BC111=Lookup!$A$2,$BD111*ROUNDUP(BJ111/10,0)+1,
IF($BC111=Lookup!$A$3,($BD111+1)^BI111,
IF($BC111=Lookup!$A$4,BJ111*$BD111+1,"Error")))</f>
        <v>1</v>
      </c>
      <c r="BS111" s="229">
        <f>IF($BC111=Lookup!$A$2,$BD111*ROUNDUP(BK111/10,0)+1,
IF($BC111=Lookup!$A$3,($BD111+1)^BJ111,
IF($BC111=Lookup!$A$4,BK111*$BD111+1,"Error")))</f>
        <v>1</v>
      </c>
      <c r="BT111" s="249">
        <f>IF($BC111=Lookup!$A$2,$BD111*ROUNDUP(BL111/10,0)+1,
IF($BC111=Lookup!$A$3,($BD111+1)^BK111,
IF($BC111=Lookup!$A$4,BL111*$BD111+1,"Error")))</f>
        <v>1</v>
      </c>
      <c r="BU111" s="320">
        <v>0</v>
      </c>
      <c r="BV111" s="321">
        <v>0</v>
      </c>
      <c r="BW111" s="321">
        <v>0</v>
      </c>
      <c r="BX111" s="321">
        <v>0</v>
      </c>
      <c r="BY111" s="321">
        <v>0</v>
      </c>
      <c r="BZ111" s="321">
        <v>0</v>
      </c>
      <c r="CA111" s="321">
        <v>0</v>
      </c>
      <c r="CB111" s="277">
        <v>0</v>
      </c>
      <c r="CC111" s="382" t="s">
        <v>293</v>
      </c>
      <c r="CD111" s="383">
        <f>HLOOKUP($CC111,$AK$6:$AM$132,ROWS(CC$6:CC111),0)</f>
        <v>1.6666666666666667</v>
      </c>
      <c r="CE111" s="234">
        <f t="shared" si="142"/>
        <v>0</v>
      </c>
      <c r="CF111" s="96">
        <f t="shared" si="142"/>
        <v>0</v>
      </c>
      <c r="CG111" s="96">
        <f t="shared" si="142"/>
        <v>0</v>
      </c>
      <c r="CH111" s="96">
        <f t="shared" si="142"/>
        <v>0</v>
      </c>
      <c r="CI111" s="96">
        <f t="shared" si="142"/>
        <v>0</v>
      </c>
      <c r="CJ111" s="96">
        <f t="shared" si="142"/>
        <v>0</v>
      </c>
      <c r="CK111" s="96">
        <f t="shared" si="142"/>
        <v>0</v>
      </c>
      <c r="CL111" s="286">
        <f t="shared" si="194"/>
        <v>0</v>
      </c>
      <c r="CM111" s="305" t="s">
        <v>293</v>
      </c>
      <c r="CN111" s="315">
        <v>0.05</v>
      </c>
      <c r="CO111" s="306"/>
      <c r="CP111" s="307">
        <f>IF($CO111&lt;&gt;"",$CO111,HLOOKUP($CM111,$AY$6:$BA$132,ROWS(CO$6:CO111),0))</f>
        <v>1231.5608377822</v>
      </c>
      <c r="CQ111" s="784">
        <f t="shared" si="190"/>
        <v>0</v>
      </c>
      <c r="CR111" s="784">
        <f t="shared" si="190"/>
        <v>0</v>
      </c>
      <c r="CS111" s="97">
        <f t="shared" si="190"/>
        <v>0</v>
      </c>
      <c r="CT111" s="97">
        <f t="shared" si="190"/>
        <v>0</v>
      </c>
      <c r="CU111" s="97">
        <f t="shared" si="190"/>
        <v>0</v>
      </c>
      <c r="CV111" s="97">
        <f t="shared" si="190"/>
        <v>0</v>
      </c>
      <c r="CW111" s="97">
        <f t="shared" si="190"/>
        <v>0</v>
      </c>
      <c r="CX111" s="98">
        <f t="shared" si="190"/>
        <v>0</v>
      </c>
      <c r="CY111" s="392"/>
    </row>
    <row r="112" spans="1:103" x14ac:dyDescent="0.25">
      <c r="A112" s="81" t="s">
        <v>224</v>
      </c>
      <c r="B112" s="82" t="s">
        <v>227</v>
      </c>
      <c r="C112" s="83" t="s">
        <v>228</v>
      </c>
      <c r="D112" s="84">
        <v>2510.0844749205849</v>
      </c>
      <c r="E112" s="85">
        <v>0</v>
      </c>
      <c r="F112" s="85">
        <v>0</v>
      </c>
      <c r="G112" s="85">
        <v>779.55030087466082</v>
      </c>
      <c r="H112" s="85">
        <v>748.78808618811911</v>
      </c>
      <c r="I112" s="85">
        <v>0</v>
      </c>
      <c r="J112" s="85">
        <v>3047.5319768239997</v>
      </c>
      <c r="K112" s="85">
        <v>4797.8954641959999</v>
      </c>
      <c r="L112" s="85">
        <v>977.00912242599998</v>
      </c>
      <c r="M112" s="654">
        <f>'2022-23 Input'!G112</f>
        <v>8760.1118653000049</v>
      </c>
      <c r="N112" s="1065">
        <v>0</v>
      </c>
      <c r="O112" s="560">
        <f t="shared" si="139"/>
        <v>3377.2090185242228</v>
      </c>
      <c r="P112" s="561">
        <f t="shared" si="113"/>
        <v>0</v>
      </c>
      <c r="Q112" s="561">
        <f t="shared" si="114"/>
        <v>0</v>
      </c>
      <c r="R112" s="561">
        <f t="shared" si="115"/>
        <v>1003.372249575268</v>
      </c>
      <c r="S112" s="561">
        <f t="shared" si="116"/>
        <v>944.16097379168116</v>
      </c>
      <c r="T112" s="561">
        <f t="shared" si="117"/>
        <v>0</v>
      </c>
      <c r="U112" s="561">
        <f t="shared" si="118"/>
        <v>3795.6644269387043</v>
      </c>
      <c r="V112" s="561">
        <f t="shared" si="119"/>
        <v>5754.398096545111</v>
      </c>
      <c r="W112" s="675">
        <f t="shared" si="120"/>
        <v>1103.9492152690527</v>
      </c>
      <c r="X112" s="675">
        <f t="shared" si="121"/>
        <v>9316.0366769422944</v>
      </c>
      <c r="Y112" s="675">
        <f t="shared" si="121"/>
        <v>0</v>
      </c>
      <c r="Z112" s="86">
        <v>5</v>
      </c>
      <c r="AA112" s="87">
        <v>0</v>
      </c>
      <c r="AB112" s="87">
        <v>0</v>
      </c>
      <c r="AC112" s="87">
        <v>1</v>
      </c>
      <c r="AD112" s="87">
        <v>2</v>
      </c>
      <c r="AE112" s="87">
        <v>0</v>
      </c>
      <c r="AF112" s="87">
        <v>5</v>
      </c>
      <c r="AG112" s="87">
        <v>5</v>
      </c>
      <c r="AH112" s="87">
        <v>2</v>
      </c>
      <c r="AI112" s="1094">
        <f>'2022-23 Input'!N112</f>
        <v>5</v>
      </c>
      <c r="AJ112" s="665">
        <v>0</v>
      </c>
      <c r="AK112" s="88">
        <f t="shared" si="174"/>
        <v>3.4</v>
      </c>
      <c r="AL112" s="89">
        <f t="shared" si="175"/>
        <v>4</v>
      </c>
      <c r="AM112" s="90">
        <f t="shared" si="176"/>
        <v>5</v>
      </c>
      <c r="AN112" s="91">
        <f t="shared" si="177"/>
        <v>502.01689498411696</v>
      </c>
      <c r="AO112" s="92" t="str">
        <f t="shared" si="178"/>
        <v/>
      </c>
      <c r="AP112" s="92" t="str">
        <f t="shared" si="179"/>
        <v/>
      </c>
      <c r="AQ112" s="92">
        <f t="shared" si="180"/>
        <v>779.55030087466082</v>
      </c>
      <c r="AR112" s="92">
        <f t="shared" si="181"/>
        <v>374.39404309405955</v>
      </c>
      <c r="AS112" s="92" t="str">
        <f t="shared" si="182"/>
        <v/>
      </c>
      <c r="AT112" s="92">
        <f t="shared" si="183"/>
        <v>609.50639536479991</v>
      </c>
      <c r="AU112" s="92">
        <f t="shared" si="184"/>
        <v>959.57909283920003</v>
      </c>
      <c r="AV112" s="92">
        <f t="shared" si="185"/>
        <v>488.50456121299999</v>
      </c>
      <c r="AW112" s="92">
        <f t="shared" si="185"/>
        <v>1752.022373060001</v>
      </c>
      <c r="AX112" s="92" t="str">
        <f t="shared" si="185"/>
        <v/>
      </c>
      <c r="AY112" s="93">
        <f t="shared" si="186"/>
        <v>1034.2675546321179</v>
      </c>
      <c r="AZ112" s="94">
        <f t="shared" si="187"/>
        <v>1211.2513709935004</v>
      </c>
      <c r="BA112" s="95">
        <f t="shared" si="188"/>
        <v>1752.022373060001</v>
      </c>
      <c r="BB112" s="248" t="s">
        <v>422</v>
      </c>
      <c r="BC112" s="229" t="s">
        <v>433</v>
      </c>
      <c r="BD112" s="249">
        <v>0</v>
      </c>
      <c r="BE112" s="267">
        <f t="shared" si="140"/>
        <v>0</v>
      </c>
      <c r="BF112" s="268">
        <f t="shared" ref="BF112:BL112" si="200">IF(BF$6=$BB112,1,
IF(BE112&lt;&gt;0,BE112+1,0
))</f>
        <v>0</v>
      </c>
      <c r="BG112" s="268">
        <f t="shared" si="200"/>
        <v>0</v>
      </c>
      <c r="BH112" s="268">
        <f t="shared" si="200"/>
        <v>1</v>
      </c>
      <c r="BI112" s="268">
        <f t="shared" si="200"/>
        <v>2</v>
      </c>
      <c r="BJ112" s="268">
        <f t="shared" si="200"/>
        <v>3</v>
      </c>
      <c r="BK112" s="268">
        <f t="shared" si="200"/>
        <v>4</v>
      </c>
      <c r="BL112" s="269">
        <f t="shared" si="200"/>
        <v>5</v>
      </c>
      <c r="BM112" s="256">
        <f>IF($BC112=Lookup!$A$2,$BD112*ROUNDUP(BE112/10,0)+1,
IF($BC112=Lookup!$A$3,($BD112+1)^BD112,
IF($BC112=Lookup!$A$4,BE112*$BD112+1,"Error")))</f>
        <v>1</v>
      </c>
      <c r="BN112" s="229">
        <f>IF($BC112=Lookup!$A$2,$BD112*ROUNDUP(BF112/10,0)+1,
IF($BC112=Lookup!$A$3,($BD112+1)^BE112,
IF($BC112=Lookup!$A$4,BF112*$BD112+1,"Error")))</f>
        <v>1</v>
      </c>
      <c r="BO112" s="229">
        <f>IF($BC112=Lookup!$A$2,$BD112*ROUNDUP(BG112/10,0)+1,
IF($BC112=Lookup!$A$3,($BD112+1)^BF112,
IF($BC112=Lookup!$A$4,BG112*$BD112+1,"Error")))</f>
        <v>1</v>
      </c>
      <c r="BP112" s="229">
        <f>IF($BC112=Lookup!$A$2,$BD112*ROUNDUP(BH112/10,0)+1,
IF($BC112=Lookup!$A$3,($BD112+1)^BG112,
IF($BC112=Lookup!$A$4,BH112*$BD112+1,"Error")))</f>
        <v>1</v>
      </c>
      <c r="BQ112" s="229">
        <f>IF($BC112=Lookup!$A$2,$BD112*ROUNDUP(BI112/10,0)+1,
IF($BC112=Lookup!$A$3,($BD112+1)^BH112,
IF($BC112=Lookup!$A$4,BI112*$BD112+1,"Error")))</f>
        <v>1</v>
      </c>
      <c r="BR112" s="229">
        <f>IF($BC112=Lookup!$A$2,$BD112*ROUNDUP(BJ112/10,0)+1,
IF($BC112=Lookup!$A$3,($BD112+1)^BI112,
IF($BC112=Lookup!$A$4,BJ112*$BD112+1,"Error")))</f>
        <v>1</v>
      </c>
      <c r="BS112" s="229">
        <f>IF($BC112=Lookup!$A$2,$BD112*ROUNDUP(BK112/10,0)+1,
IF($BC112=Lookup!$A$3,($BD112+1)^BJ112,
IF($BC112=Lookup!$A$4,BK112*$BD112+1,"Error")))</f>
        <v>1</v>
      </c>
      <c r="BT112" s="249">
        <f>IF($BC112=Lookup!$A$2,$BD112*ROUNDUP(BL112/10,0)+1,
IF($BC112=Lookup!$A$3,($BD112+1)^BK112,
IF($BC112=Lookup!$A$4,BL112*$BD112+1,"Error")))</f>
        <v>1</v>
      </c>
      <c r="BU112" s="320">
        <v>0</v>
      </c>
      <c r="BV112" s="321">
        <v>0</v>
      </c>
      <c r="BW112" s="321">
        <v>0</v>
      </c>
      <c r="BX112" s="321">
        <v>0</v>
      </c>
      <c r="BY112" s="321">
        <v>0</v>
      </c>
      <c r="BZ112" s="321">
        <v>0</v>
      </c>
      <c r="CA112" s="321">
        <v>0</v>
      </c>
      <c r="CB112" s="277">
        <v>0</v>
      </c>
      <c r="CC112" s="382" t="s">
        <v>293</v>
      </c>
      <c r="CD112" s="383">
        <f>HLOOKUP($CC112,$AK$6:$AM$132,ROWS(CC$6:CC112),0)</f>
        <v>4</v>
      </c>
      <c r="CE112" s="234">
        <f t="shared" si="142"/>
        <v>0</v>
      </c>
      <c r="CF112" s="96">
        <f t="shared" si="142"/>
        <v>0</v>
      </c>
      <c r="CG112" s="96">
        <f t="shared" si="142"/>
        <v>0</v>
      </c>
      <c r="CH112" s="96">
        <f t="shared" si="142"/>
        <v>0</v>
      </c>
      <c r="CI112" s="96">
        <f t="shared" si="142"/>
        <v>0</v>
      </c>
      <c r="CJ112" s="96">
        <f t="shared" si="142"/>
        <v>0</v>
      </c>
      <c r="CK112" s="96">
        <f t="shared" si="142"/>
        <v>0</v>
      </c>
      <c r="CL112" s="286">
        <f t="shared" si="194"/>
        <v>0</v>
      </c>
      <c r="CM112" s="305" t="s">
        <v>293</v>
      </c>
      <c r="CN112" s="315">
        <v>0.05</v>
      </c>
      <c r="CO112" s="306"/>
      <c r="CP112" s="307">
        <f>IF($CO112&lt;&gt;"",$CO112,HLOOKUP($CM112,$AY$6:$BA$132,ROWS(CO$6:CO112),0))</f>
        <v>1211.2513709935004</v>
      </c>
      <c r="CQ112" s="784">
        <f t="shared" si="190"/>
        <v>0</v>
      </c>
      <c r="CR112" s="784">
        <f t="shared" si="190"/>
        <v>0</v>
      </c>
      <c r="CS112" s="97">
        <f t="shared" si="190"/>
        <v>0</v>
      </c>
      <c r="CT112" s="97">
        <f t="shared" si="190"/>
        <v>0</v>
      </c>
      <c r="CU112" s="97">
        <f t="shared" si="190"/>
        <v>0</v>
      </c>
      <c r="CV112" s="97">
        <f t="shared" si="190"/>
        <v>0</v>
      </c>
      <c r="CW112" s="97">
        <f t="shared" si="190"/>
        <v>0</v>
      </c>
      <c r="CX112" s="98">
        <f t="shared" si="190"/>
        <v>0</v>
      </c>
      <c r="CY112" s="392"/>
    </row>
    <row r="113" spans="1:103" x14ac:dyDescent="0.25">
      <c r="A113" s="81" t="s">
        <v>224</v>
      </c>
      <c r="B113" s="82" t="s">
        <v>229</v>
      </c>
      <c r="C113" s="83" t="s">
        <v>230</v>
      </c>
      <c r="D113" s="84">
        <v>0</v>
      </c>
      <c r="E113" s="85">
        <v>0</v>
      </c>
      <c r="F113" s="85">
        <v>-414.02000000000004</v>
      </c>
      <c r="G113" s="85">
        <v>260.49452854027663</v>
      </c>
      <c r="H113" s="85">
        <v>1256.7167207652717</v>
      </c>
      <c r="I113" s="85">
        <v>526.1460127360001</v>
      </c>
      <c r="J113" s="85">
        <v>1724.9280749709994</v>
      </c>
      <c r="K113" s="85">
        <v>3515.2586743739998</v>
      </c>
      <c r="L113" s="85">
        <v>1717.5899086839997</v>
      </c>
      <c r="M113" s="654">
        <f>'2022-23 Input'!G113</f>
        <v>2189.6512641440022</v>
      </c>
      <c r="N113" s="1065">
        <v>0</v>
      </c>
      <c r="O113" s="560">
        <f t="shared" si="139"/>
        <v>0</v>
      </c>
      <c r="P113" s="561">
        <f t="shared" si="113"/>
        <v>0</v>
      </c>
      <c r="Q113" s="561">
        <f t="shared" si="114"/>
        <v>-543.19661967707509</v>
      </c>
      <c r="R113" s="561">
        <f t="shared" si="115"/>
        <v>335.28687091807154</v>
      </c>
      <c r="S113" s="561">
        <f t="shared" si="116"/>
        <v>1584.6177373072283</v>
      </c>
      <c r="T113" s="561">
        <f t="shared" si="117"/>
        <v>653.0252263440716</v>
      </c>
      <c r="U113" s="561">
        <f t="shared" si="118"/>
        <v>2148.3771730653102</v>
      </c>
      <c r="V113" s="561">
        <f t="shared" si="119"/>
        <v>4216.0563888132037</v>
      </c>
      <c r="W113" s="675">
        <f t="shared" si="120"/>
        <v>1940.7516146189935</v>
      </c>
      <c r="X113" s="675">
        <f t="shared" si="121"/>
        <v>2328.6085611853073</v>
      </c>
      <c r="Y113" s="675">
        <f t="shared" si="121"/>
        <v>0</v>
      </c>
      <c r="Z113" s="86">
        <v>0</v>
      </c>
      <c r="AA113" s="87">
        <v>0</v>
      </c>
      <c r="AB113" s="87">
        <v>-3</v>
      </c>
      <c r="AC113" s="87">
        <v>1</v>
      </c>
      <c r="AD113" s="87">
        <v>5</v>
      </c>
      <c r="AE113" s="87">
        <v>2</v>
      </c>
      <c r="AF113" s="87">
        <v>2</v>
      </c>
      <c r="AG113" s="87">
        <v>3</v>
      </c>
      <c r="AH113" s="87">
        <v>9</v>
      </c>
      <c r="AI113" s="1094">
        <f>'2022-23 Input'!N113</f>
        <v>7</v>
      </c>
      <c r="AJ113" s="665">
        <v>0</v>
      </c>
      <c r="AK113" s="88">
        <f t="shared" si="174"/>
        <v>4.5999999999999996</v>
      </c>
      <c r="AL113" s="89">
        <f t="shared" si="175"/>
        <v>6.333333333333333</v>
      </c>
      <c r="AM113" s="90">
        <f t="shared" si="176"/>
        <v>7</v>
      </c>
      <c r="AN113" s="91" t="str">
        <f t="shared" si="177"/>
        <v/>
      </c>
      <c r="AO113" s="92" t="str">
        <f t="shared" si="178"/>
        <v/>
      </c>
      <c r="AP113" s="92">
        <f t="shared" si="179"/>
        <v>138.00666666666669</v>
      </c>
      <c r="AQ113" s="92">
        <f t="shared" si="180"/>
        <v>260.49452854027663</v>
      </c>
      <c r="AR113" s="92">
        <f t="shared" si="181"/>
        <v>251.34334415305435</v>
      </c>
      <c r="AS113" s="92">
        <f t="shared" si="182"/>
        <v>263.07300636800005</v>
      </c>
      <c r="AT113" s="92">
        <f t="shared" si="183"/>
        <v>862.46403748549972</v>
      </c>
      <c r="AU113" s="92">
        <f t="shared" si="184"/>
        <v>1171.752891458</v>
      </c>
      <c r="AV113" s="92">
        <f t="shared" si="185"/>
        <v>190.84332318711108</v>
      </c>
      <c r="AW113" s="92">
        <f t="shared" si="185"/>
        <v>312.80732344914315</v>
      </c>
      <c r="AX113" s="92" t="str">
        <f t="shared" si="185"/>
        <v/>
      </c>
      <c r="AY113" s="93">
        <f t="shared" si="186"/>
        <v>420.59017108300009</v>
      </c>
      <c r="AZ113" s="94">
        <f t="shared" si="187"/>
        <v>390.6578866948422</v>
      </c>
      <c r="BA113" s="95">
        <f t="shared" si="188"/>
        <v>312.80732344914315</v>
      </c>
      <c r="BB113" s="248" t="s">
        <v>422</v>
      </c>
      <c r="BC113" s="229" t="s">
        <v>433</v>
      </c>
      <c r="BD113" s="249">
        <v>0</v>
      </c>
      <c r="BE113" s="267">
        <f t="shared" si="140"/>
        <v>0</v>
      </c>
      <c r="BF113" s="268">
        <f t="shared" ref="BF113:BL113" si="201">IF(BF$6=$BB113,1,
IF(BE113&lt;&gt;0,BE113+1,0
))</f>
        <v>0</v>
      </c>
      <c r="BG113" s="268">
        <f t="shared" si="201"/>
        <v>0</v>
      </c>
      <c r="BH113" s="268">
        <f t="shared" si="201"/>
        <v>1</v>
      </c>
      <c r="BI113" s="268">
        <f t="shared" si="201"/>
        <v>2</v>
      </c>
      <c r="BJ113" s="268">
        <f t="shared" si="201"/>
        <v>3</v>
      </c>
      <c r="BK113" s="268">
        <f t="shared" si="201"/>
        <v>4</v>
      </c>
      <c r="BL113" s="269">
        <f t="shared" si="201"/>
        <v>5</v>
      </c>
      <c r="BM113" s="256">
        <f>IF($BC113=Lookup!$A$2,$BD113*ROUNDUP(BE113/10,0)+1,
IF($BC113=Lookup!$A$3,($BD113+1)^BD113,
IF($BC113=Lookup!$A$4,BE113*$BD113+1,"Error")))</f>
        <v>1</v>
      </c>
      <c r="BN113" s="229">
        <f>IF($BC113=Lookup!$A$2,$BD113*ROUNDUP(BF113/10,0)+1,
IF($BC113=Lookup!$A$3,($BD113+1)^BE113,
IF($BC113=Lookup!$A$4,BF113*$BD113+1,"Error")))</f>
        <v>1</v>
      </c>
      <c r="BO113" s="229">
        <f>IF($BC113=Lookup!$A$2,$BD113*ROUNDUP(BG113/10,0)+1,
IF($BC113=Lookup!$A$3,($BD113+1)^BF113,
IF($BC113=Lookup!$A$4,BG113*$BD113+1,"Error")))</f>
        <v>1</v>
      </c>
      <c r="BP113" s="229">
        <f>IF($BC113=Lookup!$A$2,$BD113*ROUNDUP(BH113/10,0)+1,
IF($BC113=Lookup!$A$3,($BD113+1)^BG113,
IF($BC113=Lookup!$A$4,BH113*$BD113+1,"Error")))</f>
        <v>1</v>
      </c>
      <c r="BQ113" s="229">
        <f>IF($BC113=Lookup!$A$2,$BD113*ROUNDUP(BI113/10,0)+1,
IF($BC113=Lookup!$A$3,($BD113+1)^BH113,
IF($BC113=Lookup!$A$4,BI113*$BD113+1,"Error")))</f>
        <v>1</v>
      </c>
      <c r="BR113" s="229">
        <f>IF($BC113=Lookup!$A$2,$BD113*ROUNDUP(BJ113/10,0)+1,
IF($BC113=Lookup!$A$3,($BD113+1)^BI113,
IF($BC113=Lookup!$A$4,BJ113*$BD113+1,"Error")))</f>
        <v>1</v>
      </c>
      <c r="BS113" s="229">
        <f>IF($BC113=Lookup!$A$2,$BD113*ROUNDUP(BK113/10,0)+1,
IF($BC113=Lookup!$A$3,($BD113+1)^BJ113,
IF($BC113=Lookup!$A$4,BK113*$BD113+1,"Error")))</f>
        <v>1</v>
      </c>
      <c r="BT113" s="249">
        <f>IF($BC113=Lookup!$A$2,$BD113*ROUNDUP(BL113/10,0)+1,
IF($BC113=Lookup!$A$3,($BD113+1)^BK113,
IF($BC113=Lookup!$A$4,BL113*$BD113+1,"Error")))</f>
        <v>1</v>
      </c>
      <c r="BU113" s="320">
        <v>0</v>
      </c>
      <c r="BV113" s="321">
        <v>0</v>
      </c>
      <c r="BW113" s="321">
        <v>0</v>
      </c>
      <c r="BX113" s="321">
        <v>0</v>
      </c>
      <c r="BY113" s="321">
        <v>0</v>
      </c>
      <c r="BZ113" s="321">
        <v>0</v>
      </c>
      <c r="CA113" s="321">
        <v>0</v>
      </c>
      <c r="CB113" s="277">
        <v>0</v>
      </c>
      <c r="CC113" s="382" t="s">
        <v>293</v>
      </c>
      <c r="CD113" s="383">
        <f>HLOOKUP($CC113,$AK$6:$AM$132,ROWS(CC$6:CC113),0)</f>
        <v>6.333333333333333</v>
      </c>
      <c r="CE113" s="234">
        <f t="shared" si="142"/>
        <v>0</v>
      </c>
      <c r="CF113" s="96">
        <f t="shared" si="142"/>
        <v>0</v>
      </c>
      <c r="CG113" s="96">
        <f t="shared" si="142"/>
        <v>0</v>
      </c>
      <c r="CH113" s="96">
        <f t="shared" si="142"/>
        <v>0</v>
      </c>
      <c r="CI113" s="96">
        <f t="shared" si="142"/>
        <v>0</v>
      </c>
      <c r="CJ113" s="96">
        <f t="shared" si="142"/>
        <v>0</v>
      </c>
      <c r="CK113" s="96">
        <f t="shared" si="142"/>
        <v>0</v>
      </c>
      <c r="CL113" s="286">
        <f t="shared" si="194"/>
        <v>0</v>
      </c>
      <c r="CM113" s="305" t="s">
        <v>293</v>
      </c>
      <c r="CN113" s="315">
        <v>0.05</v>
      </c>
      <c r="CO113" s="306"/>
      <c r="CP113" s="307">
        <f>IF($CO113&lt;&gt;"",$CO113,HLOOKUP($CM113,$AY$6:$BA$132,ROWS(CO$6:CO113),0))</f>
        <v>390.6578866948422</v>
      </c>
      <c r="CQ113" s="784">
        <f t="shared" si="190"/>
        <v>0</v>
      </c>
      <c r="CR113" s="784">
        <f t="shared" si="190"/>
        <v>0</v>
      </c>
      <c r="CS113" s="97">
        <f t="shared" si="190"/>
        <v>0</v>
      </c>
      <c r="CT113" s="97">
        <f t="shared" si="190"/>
        <v>0</v>
      </c>
      <c r="CU113" s="97">
        <f t="shared" si="190"/>
        <v>0</v>
      </c>
      <c r="CV113" s="97">
        <f t="shared" si="190"/>
        <v>0</v>
      </c>
      <c r="CW113" s="97">
        <f t="shared" si="190"/>
        <v>0</v>
      </c>
      <c r="CX113" s="98">
        <f t="shared" si="190"/>
        <v>0</v>
      </c>
      <c r="CY113" s="392"/>
    </row>
    <row r="114" spans="1:103" x14ac:dyDescent="0.25">
      <c r="A114" s="81" t="s">
        <v>224</v>
      </c>
      <c r="B114" s="82" t="s">
        <v>231</v>
      </c>
      <c r="C114" s="83" t="s">
        <v>232</v>
      </c>
      <c r="D114" s="84">
        <v>2173.240654885426</v>
      </c>
      <c r="E114" s="85">
        <v>0</v>
      </c>
      <c r="F114" s="85">
        <v>1056.1678608701725</v>
      </c>
      <c r="G114" s="85">
        <v>969.94766636028783</v>
      </c>
      <c r="H114" s="85">
        <v>4445.771972663274</v>
      </c>
      <c r="I114" s="85">
        <v>972.13004398300018</v>
      </c>
      <c r="J114" s="85">
        <v>-27.53109340200001</v>
      </c>
      <c r="K114" s="85">
        <v>495.03021981199998</v>
      </c>
      <c r="L114" s="85">
        <v>78.10089747400005</v>
      </c>
      <c r="M114" s="654">
        <f>'2022-23 Input'!G114</f>
        <v>143.90196896400002</v>
      </c>
      <c r="N114" s="1065">
        <v>0</v>
      </c>
      <c r="O114" s="560">
        <f t="shared" si="139"/>
        <v>2924.0003722722354</v>
      </c>
      <c r="P114" s="561">
        <f t="shared" si="113"/>
        <v>0</v>
      </c>
      <c r="Q114" s="561">
        <f t="shared" si="114"/>
        <v>1385.6983040342134</v>
      </c>
      <c r="R114" s="561">
        <f t="shared" si="115"/>
        <v>1248.4358878115313</v>
      </c>
      <c r="S114" s="561">
        <f t="shared" si="116"/>
        <v>5605.7574531320333</v>
      </c>
      <c r="T114" s="561">
        <f t="shared" si="117"/>
        <v>1206.5575460825587</v>
      </c>
      <c r="U114" s="561">
        <f t="shared" si="118"/>
        <v>-34.289645738057928</v>
      </c>
      <c r="V114" s="561">
        <f t="shared" si="119"/>
        <v>593.71884524704433</v>
      </c>
      <c r="W114" s="675">
        <f t="shared" si="120"/>
        <v>88.2483310535941</v>
      </c>
      <c r="X114" s="675">
        <f t="shared" si="121"/>
        <v>153.03412118093138</v>
      </c>
      <c r="Y114" s="675">
        <f t="shared" si="121"/>
        <v>0</v>
      </c>
      <c r="Z114" s="86">
        <v>34</v>
      </c>
      <c r="AA114" s="87">
        <v>0</v>
      </c>
      <c r="AB114" s="87">
        <v>36</v>
      </c>
      <c r="AC114" s="87">
        <v>0</v>
      </c>
      <c r="AD114" s="87">
        <v>47</v>
      </c>
      <c r="AE114" s="87">
        <v>4</v>
      </c>
      <c r="AF114" s="87">
        <v>-6</v>
      </c>
      <c r="AG114" s="87">
        <v>8</v>
      </c>
      <c r="AH114" s="87">
        <v>1</v>
      </c>
      <c r="AI114" s="1094">
        <f>'2022-23 Input'!N114</f>
        <v>4</v>
      </c>
      <c r="AJ114" s="665">
        <v>0</v>
      </c>
      <c r="AK114" s="88">
        <f t="shared" si="174"/>
        <v>2.2000000000000002</v>
      </c>
      <c r="AL114" s="89">
        <f t="shared" si="175"/>
        <v>4.333333333333333</v>
      </c>
      <c r="AM114" s="90">
        <f t="shared" si="176"/>
        <v>4</v>
      </c>
      <c r="AN114" s="91">
        <f t="shared" si="177"/>
        <v>63.918842790747824</v>
      </c>
      <c r="AO114" s="92" t="str">
        <f t="shared" si="178"/>
        <v/>
      </c>
      <c r="AP114" s="92">
        <f t="shared" si="179"/>
        <v>29.33799613528257</v>
      </c>
      <c r="AQ114" s="92" t="str">
        <f t="shared" si="180"/>
        <v/>
      </c>
      <c r="AR114" s="92">
        <f t="shared" si="181"/>
        <v>94.590893035388802</v>
      </c>
      <c r="AS114" s="92">
        <f t="shared" si="182"/>
        <v>243.03251099575004</v>
      </c>
      <c r="AT114" s="92">
        <f t="shared" si="183"/>
        <v>4.5885155670000017</v>
      </c>
      <c r="AU114" s="92">
        <f t="shared" si="184"/>
        <v>61.878777476499998</v>
      </c>
      <c r="AV114" s="92">
        <f t="shared" si="185"/>
        <v>78.10089747400005</v>
      </c>
      <c r="AW114" s="92">
        <f t="shared" si="185"/>
        <v>35.975492241000005</v>
      </c>
      <c r="AX114" s="92" t="str">
        <f t="shared" si="185"/>
        <v/>
      </c>
      <c r="AY114" s="93">
        <f t="shared" si="186"/>
        <v>151.05745789372727</v>
      </c>
      <c r="AZ114" s="94">
        <f t="shared" si="187"/>
        <v>55.156391250000006</v>
      </c>
      <c r="BA114" s="95">
        <f t="shared" si="188"/>
        <v>35.975492241000005</v>
      </c>
      <c r="BB114" s="248" t="s">
        <v>422</v>
      </c>
      <c r="BC114" s="229" t="s">
        <v>433</v>
      </c>
      <c r="BD114" s="249">
        <v>0</v>
      </c>
      <c r="BE114" s="267">
        <f t="shared" si="140"/>
        <v>0</v>
      </c>
      <c r="BF114" s="268">
        <f t="shared" ref="BF114:BL114" si="202">IF(BF$6=$BB114,1,
IF(BE114&lt;&gt;0,BE114+1,0
))</f>
        <v>0</v>
      </c>
      <c r="BG114" s="268">
        <f t="shared" si="202"/>
        <v>0</v>
      </c>
      <c r="BH114" s="268">
        <f t="shared" si="202"/>
        <v>1</v>
      </c>
      <c r="BI114" s="268">
        <f t="shared" si="202"/>
        <v>2</v>
      </c>
      <c r="BJ114" s="268">
        <f t="shared" si="202"/>
        <v>3</v>
      </c>
      <c r="BK114" s="268">
        <f t="shared" si="202"/>
        <v>4</v>
      </c>
      <c r="BL114" s="269">
        <f t="shared" si="202"/>
        <v>5</v>
      </c>
      <c r="BM114" s="256">
        <f>IF($BC114=Lookup!$A$2,$BD114*ROUNDUP(BE114/10,0)+1,
IF($BC114=Lookup!$A$3,($BD114+1)^BD114,
IF($BC114=Lookup!$A$4,BE114*$BD114+1,"Error")))</f>
        <v>1</v>
      </c>
      <c r="BN114" s="229">
        <f>IF($BC114=Lookup!$A$2,$BD114*ROUNDUP(BF114/10,0)+1,
IF($BC114=Lookup!$A$3,($BD114+1)^BE114,
IF($BC114=Lookup!$A$4,BF114*$BD114+1,"Error")))</f>
        <v>1</v>
      </c>
      <c r="BO114" s="229">
        <f>IF($BC114=Lookup!$A$2,$BD114*ROUNDUP(BG114/10,0)+1,
IF($BC114=Lookup!$A$3,($BD114+1)^BF114,
IF($BC114=Lookup!$A$4,BG114*$BD114+1,"Error")))</f>
        <v>1</v>
      </c>
      <c r="BP114" s="229">
        <f>IF($BC114=Lookup!$A$2,$BD114*ROUNDUP(BH114/10,0)+1,
IF($BC114=Lookup!$A$3,($BD114+1)^BG114,
IF($BC114=Lookup!$A$4,BH114*$BD114+1,"Error")))</f>
        <v>1</v>
      </c>
      <c r="BQ114" s="229">
        <f>IF($BC114=Lookup!$A$2,$BD114*ROUNDUP(BI114/10,0)+1,
IF($BC114=Lookup!$A$3,($BD114+1)^BH114,
IF($BC114=Lookup!$A$4,BI114*$BD114+1,"Error")))</f>
        <v>1</v>
      </c>
      <c r="BR114" s="229">
        <f>IF($BC114=Lookup!$A$2,$BD114*ROUNDUP(BJ114/10,0)+1,
IF($BC114=Lookup!$A$3,($BD114+1)^BI114,
IF($BC114=Lookup!$A$4,BJ114*$BD114+1,"Error")))</f>
        <v>1</v>
      </c>
      <c r="BS114" s="229">
        <f>IF($BC114=Lookup!$A$2,$BD114*ROUNDUP(BK114/10,0)+1,
IF($BC114=Lookup!$A$3,($BD114+1)^BJ114,
IF($BC114=Lookup!$A$4,BK114*$BD114+1,"Error")))</f>
        <v>1</v>
      </c>
      <c r="BT114" s="249">
        <f>IF($BC114=Lookup!$A$2,$BD114*ROUNDUP(BL114/10,0)+1,
IF($BC114=Lookup!$A$3,($BD114+1)^BK114,
IF($BC114=Lookup!$A$4,BL114*$BD114+1,"Error")))</f>
        <v>1</v>
      </c>
      <c r="BU114" s="320">
        <v>0</v>
      </c>
      <c r="BV114" s="321">
        <v>0</v>
      </c>
      <c r="BW114" s="321">
        <v>0</v>
      </c>
      <c r="BX114" s="321">
        <v>0</v>
      </c>
      <c r="BY114" s="321">
        <v>0</v>
      </c>
      <c r="BZ114" s="321">
        <v>0</v>
      </c>
      <c r="CA114" s="321">
        <v>0</v>
      </c>
      <c r="CB114" s="277">
        <v>0</v>
      </c>
      <c r="CC114" s="382" t="s">
        <v>293</v>
      </c>
      <c r="CD114" s="383">
        <f>HLOOKUP($CC114,$AK$6:$AM$132,ROWS(CC$6:CC114),0)</f>
        <v>4.333333333333333</v>
      </c>
      <c r="CE114" s="234">
        <f t="shared" si="142"/>
        <v>0</v>
      </c>
      <c r="CF114" s="96">
        <f t="shared" si="142"/>
        <v>0</v>
      </c>
      <c r="CG114" s="96">
        <f t="shared" si="142"/>
        <v>0</v>
      </c>
      <c r="CH114" s="96">
        <f t="shared" si="142"/>
        <v>0</v>
      </c>
      <c r="CI114" s="96">
        <f t="shared" si="142"/>
        <v>0</v>
      </c>
      <c r="CJ114" s="96">
        <f t="shared" si="142"/>
        <v>0</v>
      </c>
      <c r="CK114" s="96">
        <f t="shared" si="142"/>
        <v>0</v>
      </c>
      <c r="CL114" s="286">
        <f t="shared" si="194"/>
        <v>0</v>
      </c>
      <c r="CM114" s="305" t="s">
        <v>293</v>
      </c>
      <c r="CN114" s="315">
        <v>0.05</v>
      </c>
      <c r="CO114" s="306"/>
      <c r="CP114" s="307">
        <f>IF($CO114&lt;&gt;"",$CO114,HLOOKUP($CM114,$AY$6:$BA$132,ROWS(CO$6:CO114),0))</f>
        <v>55.156391250000006</v>
      </c>
      <c r="CQ114" s="784">
        <f t="shared" si="190"/>
        <v>0</v>
      </c>
      <c r="CR114" s="784">
        <f t="shared" si="190"/>
        <v>0</v>
      </c>
      <c r="CS114" s="97">
        <f t="shared" si="190"/>
        <v>0</v>
      </c>
      <c r="CT114" s="97">
        <f t="shared" si="190"/>
        <v>0</v>
      </c>
      <c r="CU114" s="97">
        <f t="shared" si="190"/>
        <v>0</v>
      </c>
      <c r="CV114" s="97">
        <f t="shared" si="190"/>
        <v>0</v>
      </c>
      <c r="CW114" s="97">
        <f t="shared" si="190"/>
        <v>0</v>
      </c>
      <c r="CX114" s="98">
        <f t="shared" si="190"/>
        <v>0</v>
      </c>
      <c r="CY114" s="392"/>
    </row>
    <row r="115" spans="1:103" x14ac:dyDescent="0.25">
      <c r="A115" s="81" t="s">
        <v>224</v>
      </c>
      <c r="B115" s="82" t="s">
        <v>233</v>
      </c>
      <c r="C115" s="83" t="s">
        <v>234</v>
      </c>
      <c r="D115" s="84">
        <v>233.8873741879498</v>
      </c>
      <c r="E115" s="85">
        <v>0</v>
      </c>
      <c r="F115" s="85">
        <v>369.10360968412112</v>
      </c>
      <c r="G115" s="85">
        <v>502.84112607619113</v>
      </c>
      <c r="H115" s="85">
        <v>812.50167201181512</v>
      </c>
      <c r="I115" s="85">
        <v>110.47386513299996</v>
      </c>
      <c r="J115" s="85">
        <v>177.5811884150001</v>
      </c>
      <c r="K115" s="85">
        <v>478.23820478499999</v>
      </c>
      <c r="L115" s="85">
        <v>7081.0102465170003</v>
      </c>
      <c r="M115" s="654">
        <f>'2022-23 Input'!G115</f>
        <v>0</v>
      </c>
      <c r="N115" s="1065">
        <v>0</v>
      </c>
      <c r="O115" s="560">
        <f t="shared" si="139"/>
        <v>314.68524558381023</v>
      </c>
      <c r="P115" s="561">
        <f t="shared" si="113"/>
        <v>0</v>
      </c>
      <c r="Q115" s="561">
        <f t="shared" si="114"/>
        <v>484.26605741515169</v>
      </c>
      <c r="R115" s="561">
        <f t="shared" si="115"/>
        <v>647.21523586603075</v>
      </c>
      <c r="S115" s="561">
        <f t="shared" si="116"/>
        <v>1024.4986318616675</v>
      </c>
      <c r="T115" s="561">
        <f t="shared" si="117"/>
        <v>137.11444929219664</v>
      </c>
      <c r="U115" s="561">
        <f t="shared" si="118"/>
        <v>221.17523454594496</v>
      </c>
      <c r="V115" s="561">
        <f t="shared" si="119"/>
        <v>573.57919442938771</v>
      </c>
      <c r="W115" s="675">
        <f t="shared" si="120"/>
        <v>8001.0263215803698</v>
      </c>
      <c r="X115" s="675">
        <f t="shared" si="121"/>
        <v>0</v>
      </c>
      <c r="Y115" s="675">
        <f t="shared" si="121"/>
        <v>0</v>
      </c>
      <c r="Z115" s="86">
        <v>18</v>
      </c>
      <c r="AA115" s="87">
        <v>0</v>
      </c>
      <c r="AB115" s="87">
        <v>28</v>
      </c>
      <c r="AC115" s="87">
        <v>53</v>
      </c>
      <c r="AD115" s="87">
        <v>23</v>
      </c>
      <c r="AE115" s="87">
        <v>-11</v>
      </c>
      <c r="AF115" s="87">
        <v>23</v>
      </c>
      <c r="AG115" s="87">
        <v>16</v>
      </c>
      <c r="AH115" s="87">
        <v>24</v>
      </c>
      <c r="AI115" s="1094">
        <f>'2022-23 Input'!N115</f>
        <v>0</v>
      </c>
      <c r="AJ115" s="665">
        <v>0</v>
      </c>
      <c r="AK115" s="88">
        <f t="shared" si="174"/>
        <v>10.4</v>
      </c>
      <c r="AL115" s="89">
        <f t="shared" si="175"/>
        <v>13.333333333333334</v>
      </c>
      <c r="AM115" s="90">
        <f t="shared" si="176"/>
        <v>0</v>
      </c>
      <c r="AN115" s="91">
        <f t="shared" si="177"/>
        <v>12.993743010441655</v>
      </c>
      <c r="AO115" s="92" t="str">
        <f t="shared" si="178"/>
        <v/>
      </c>
      <c r="AP115" s="92">
        <f t="shared" si="179"/>
        <v>13.182271774432897</v>
      </c>
      <c r="AQ115" s="92">
        <f t="shared" si="180"/>
        <v>9.487568416531909</v>
      </c>
      <c r="AR115" s="92">
        <f t="shared" si="181"/>
        <v>35.326159652687615</v>
      </c>
      <c r="AS115" s="92">
        <f t="shared" si="182"/>
        <v>-10.043078648454541</v>
      </c>
      <c r="AT115" s="92">
        <f t="shared" si="183"/>
        <v>7.7209212354347869</v>
      </c>
      <c r="AU115" s="92">
        <f t="shared" si="184"/>
        <v>29.8898877990625</v>
      </c>
      <c r="AV115" s="92">
        <f t="shared" si="185"/>
        <v>295.04209360487499</v>
      </c>
      <c r="AW115" s="92" t="str">
        <f t="shared" si="185"/>
        <v/>
      </c>
      <c r="AX115" s="92" t="str">
        <f t="shared" si="185"/>
        <v/>
      </c>
      <c r="AY115" s="93">
        <f t="shared" si="186"/>
        <v>150.90968278557693</v>
      </c>
      <c r="AZ115" s="94">
        <f t="shared" si="187"/>
        <v>188.98121128254999</v>
      </c>
      <c r="BA115" s="95" t="str">
        <f t="shared" si="188"/>
        <v/>
      </c>
      <c r="BB115" s="248" t="s">
        <v>422</v>
      </c>
      <c r="BC115" s="229" t="s">
        <v>433</v>
      </c>
      <c r="BD115" s="249">
        <v>0</v>
      </c>
      <c r="BE115" s="267">
        <f t="shared" si="140"/>
        <v>0</v>
      </c>
      <c r="BF115" s="268">
        <f t="shared" ref="BF115:BL115" si="203">IF(BF$6=$BB115,1,
IF(BE115&lt;&gt;0,BE115+1,0
))</f>
        <v>0</v>
      </c>
      <c r="BG115" s="268">
        <f t="shared" si="203"/>
        <v>0</v>
      </c>
      <c r="BH115" s="268">
        <f t="shared" si="203"/>
        <v>1</v>
      </c>
      <c r="BI115" s="268">
        <f t="shared" si="203"/>
        <v>2</v>
      </c>
      <c r="BJ115" s="268">
        <f t="shared" si="203"/>
        <v>3</v>
      </c>
      <c r="BK115" s="268">
        <f t="shared" si="203"/>
        <v>4</v>
      </c>
      <c r="BL115" s="269">
        <f t="shared" si="203"/>
        <v>5</v>
      </c>
      <c r="BM115" s="256">
        <f>IF($BC115=Lookup!$A$2,$BD115*ROUNDUP(BE115/10,0)+1,
IF($BC115=Lookup!$A$3,($BD115+1)^BD115,
IF($BC115=Lookup!$A$4,BE115*$BD115+1,"Error")))</f>
        <v>1</v>
      </c>
      <c r="BN115" s="229">
        <f>IF($BC115=Lookup!$A$2,$BD115*ROUNDUP(BF115/10,0)+1,
IF($BC115=Lookup!$A$3,($BD115+1)^BE115,
IF($BC115=Lookup!$A$4,BF115*$BD115+1,"Error")))</f>
        <v>1</v>
      </c>
      <c r="BO115" s="229">
        <f>IF($BC115=Lookup!$A$2,$BD115*ROUNDUP(BG115/10,0)+1,
IF($BC115=Lookup!$A$3,($BD115+1)^BF115,
IF($BC115=Lookup!$A$4,BG115*$BD115+1,"Error")))</f>
        <v>1</v>
      </c>
      <c r="BP115" s="229">
        <f>IF($BC115=Lookup!$A$2,$BD115*ROUNDUP(BH115/10,0)+1,
IF($BC115=Lookup!$A$3,($BD115+1)^BG115,
IF($BC115=Lookup!$A$4,BH115*$BD115+1,"Error")))</f>
        <v>1</v>
      </c>
      <c r="BQ115" s="229">
        <f>IF($BC115=Lookup!$A$2,$BD115*ROUNDUP(BI115/10,0)+1,
IF($BC115=Lookup!$A$3,($BD115+1)^BH115,
IF($BC115=Lookup!$A$4,BI115*$BD115+1,"Error")))</f>
        <v>1</v>
      </c>
      <c r="BR115" s="229">
        <f>IF($BC115=Lookup!$A$2,$BD115*ROUNDUP(BJ115/10,0)+1,
IF($BC115=Lookup!$A$3,($BD115+1)^BI115,
IF($BC115=Lookup!$A$4,BJ115*$BD115+1,"Error")))</f>
        <v>1</v>
      </c>
      <c r="BS115" s="229">
        <f>IF($BC115=Lookup!$A$2,$BD115*ROUNDUP(BK115/10,0)+1,
IF($BC115=Lookup!$A$3,($BD115+1)^BJ115,
IF($BC115=Lookup!$A$4,BK115*$BD115+1,"Error")))</f>
        <v>1</v>
      </c>
      <c r="BT115" s="249">
        <f>IF($BC115=Lookup!$A$2,$BD115*ROUNDUP(BL115/10,0)+1,
IF($BC115=Lookup!$A$3,($BD115+1)^BK115,
IF($BC115=Lookup!$A$4,BL115*$BD115+1,"Error")))</f>
        <v>1</v>
      </c>
      <c r="BU115" s="320">
        <v>0</v>
      </c>
      <c r="BV115" s="321">
        <v>0</v>
      </c>
      <c r="BW115" s="321">
        <v>0</v>
      </c>
      <c r="BX115" s="321">
        <v>0</v>
      </c>
      <c r="BY115" s="321">
        <v>0</v>
      </c>
      <c r="BZ115" s="321">
        <v>0</v>
      </c>
      <c r="CA115" s="321">
        <v>0</v>
      </c>
      <c r="CB115" s="277">
        <v>0</v>
      </c>
      <c r="CC115" s="382" t="s">
        <v>293</v>
      </c>
      <c r="CD115" s="383">
        <f>HLOOKUP($CC115,$AK$6:$AM$132,ROWS(CC$6:CC115),0)</f>
        <v>13.333333333333334</v>
      </c>
      <c r="CE115" s="234">
        <f t="shared" si="142"/>
        <v>0</v>
      </c>
      <c r="CF115" s="96">
        <f t="shared" si="142"/>
        <v>0</v>
      </c>
      <c r="CG115" s="96">
        <f t="shared" si="142"/>
        <v>0</v>
      </c>
      <c r="CH115" s="96">
        <f t="shared" si="142"/>
        <v>0</v>
      </c>
      <c r="CI115" s="96">
        <f t="shared" si="142"/>
        <v>0</v>
      </c>
      <c r="CJ115" s="96">
        <f t="shared" si="142"/>
        <v>0</v>
      </c>
      <c r="CK115" s="96">
        <f t="shared" si="142"/>
        <v>0</v>
      </c>
      <c r="CL115" s="286">
        <f t="shared" si="194"/>
        <v>0</v>
      </c>
      <c r="CM115" s="305" t="s">
        <v>293</v>
      </c>
      <c r="CN115" s="315">
        <v>0.05</v>
      </c>
      <c r="CO115" s="306"/>
      <c r="CP115" s="307">
        <f>IF($CO115&lt;&gt;"",$CO115,HLOOKUP($CM115,$AY$6:$BA$132,ROWS(CO$6:CO115),0))</f>
        <v>188.98121128254999</v>
      </c>
      <c r="CQ115" s="784">
        <f t="shared" si="190"/>
        <v>0</v>
      </c>
      <c r="CR115" s="784">
        <f t="shared" si="190"/>
        <v>0</v>
      </c>
      <c r="CS115" s="97">
        <f t="shared" si="190"/>
        <v>0</v>
      </c>
      <c r="CT115" s="97">
        <f t="shared" si="190"/>
        <v>0</v>
      </c>
      <c r="CU115" s="97">
        <f t="shared" si="190"/>
        <v>0</v>
      </c>
      <c r="CV115" s="97">
        <f t="shared" si="190"/>
        <v>0</v>
      </c>
      <c r="CW115" s="97">
        <f t="shared" si="190"/>
        <v>0</v>
      </c>
      <c r="CX115" s="98">
        <f t="shared" si="190"/>
        <v>0</v>
      </c>
      <c r="CY115" s="392"/>
    </row>
    <row r="116" spans="1:103" x14ac:dyDescent="0.25">
      <c r="A116" s="81" t="s">
        <v>224</v>
      </c>
      <c r="B116" s="82" t="s">
        <v>235</v>
      </c>
      <c r="C116" s="83" t="s">
        <v>236</v>
      </c>
      <c r="D116" s="84">
        <v>8611.6842413205177</v>
      </c>
      <c r="E116" s="85">
        <v>0</v>
      </c>
      <c r="F116" s="85">
        <v>-468.8</v>
      </c>
      <c r="G116" s="85">
        <v>0</v>
      </c>
      <c r="H116" s="85">
        <v>0</v>
      </c>
      <c r="I116" s="85">
        <v>3195.8055269769998</v>
      </c>
      <c r="J116" s="85">
        <v>10388.899184773001</v>
      </c>
      <c r="K116" s="85">
        <v>2780.087338024</v>
      </c>
      <c r="L116" s="85">
        <v>0</v>
      </c>
      <c r="M116" s="654">
        <f>'2022-23 Input'!G116</f>
        <v>0</v>
      </c>
      <c r="N116" s="1065">
        <v>0</v>
      </c>
      <c r="O116" s="560">
        <f t="shared" si="139"/>
        <v>11586.644981496385</v>
      </c>
      <c r="P116" s="561">
        <f t="shared" si="113"/>
        <v>0</v>
      </c>
      <c r="Q116" s="561">
        <f t="shared" si="114"/>
        <v>-615.06829453797593</v>
      </c>
      <c r="R116" s="561">
        <f t="shared" si="115"/>
        <v>0</v>
      </c>
      <c r="S116" s="561">
        <f t="shared" si="116"/>
        <v>0</v>
      </c>
      <c r="T116" s="561">
        <f t="shared" si="117"/>
        <v>3966.4685792324681</v>
      </c>
      <c r="U116" s="561">
        <f t="shared" si="118"/>
        <v>12939.248995769503</v>
      </c>
      <c r="V116" s="561">
        <f t="shared" si="119"/>
        <v>3334.3221847029686</v>
      </c>
      <c r="W116" s="675">
        <f t="shared" si="120"/>
        <v>0</v>
      </c>
      <c r="X116" s="675">
        <f t="shared" si="121"/>
        <v>0</v>
      </c>
      <c r="Y116" s="675">
        <f t="shared" si="121"/>
        <v>0</v>
      </c>
      <c r="Z116" s="86">
        <v>5</v>
      </c>
      <c r="AA116" s="87">
        <v>0</v>
      </c>
      <c r="AB116" s="87">
        <v>-1</v>
      </c>
      <c r="AC116" s="87">
        <v>0</v>
      </c>
      <c r="AD116" s="87">
        <v>0</v>
      </c>
      <c r="AE116" s="87">
        <v>2</v>
      </c>
      <c r="AF116" s="87">
        <v>2</v>
      </c>
      <c r="AG116" s="87">
        <v>1</v>
      </c>
      <c r="AH116" s="87">
        <v>0</v>
      </c>
      <c r="AI116" s="1094">
        <f>'2022-23 Input'!N116</f>
        <v>0</v>
      </c>
      <c r="AJ116" s="665">
        <v>0</v>
      </c>
      <c r="AK116" s="88">
        <f t="shared" si="174"/>
        <v>1</v>
      </c>
      <c r="AL116" s="89">
        <f t="shared" si="175"/>
        <v>0.33333333333333331</v>
      </c>
      <c r="AM116" s="90">
        <f t="shared" si="176"/>
        <v>0</v>
      </c>
      <c r="AN116" s="91">
        <f t="shared" si="177"/>
        <v>1722.3368482641035</v>
      </c>
      <c r="AO116" s="92" t="str">
        <f t="shared" si="178"/>
        <v/>
      </c>
      <c r="AP116" s="92">
        <f t="shared" si="179"/>
        <v>468.8</v>
      </c>
      <c r="AQ116" s="92" t="str">
        <f t="shared" si="180"/>
        <v/>
      </c>
      <c r="AR116" s="92" t="str">
        <f t="shared" si="181"/>
        <v/>
      </c>
      <c r="AS116" s="92">
        <f t="shared" si="182"/>
        <v>1597.9027634884999</v>
      </c>
      <c r="AT116" s="92">
        <f t="shared" si="183"/>
        <v>5194.4495923865006</v>
      </c>
      <c r="AU116" s="92">
        <f t="shared" si="184"/>
        <v>2780.087338024</v>
      </c>
      <c r="AV116" s="92" t="str">
        <f t="shared" si="185"/>
        <v/>
      </c>
      <c r="AW116" s="92" t="str">
        <f t="shared" si="185"/>
        <v/>
      </c>
      <c r="AX116" s="92" t="str">
        <f t="shared" si="185"/>
        <v/>
      </c>
      <c r="AY116" s="93">
        <f t="shared" si="186"/>
        <v>3272.9584099548001</v>
      </c>
      <c r="AZ116" s="94">
        <f t="shared" si="187"/>
        <v>2780.087338024</v>
      </c>
      <c r="BA116" s="95" t="str">
        <f t="shared" si="188"/>
        <v/>
      </c>
      <c r="BB116" s="248" t="s">
        <v>422</v>
      </c>
      <c r="BC116" s="229" t="s">
        <v>433</v>
      </c>
      <c r="BD116" s="249">
        <v>0</v>
      </c>
      <c r="BE116" s="267">
        <f t="shared" si="140"/>
        <v>0</v>
      </c>
      <c r="BF116" s="268">
        <f t="shared" ref="BF116:BL116" si="204">IF(BF$6=$BB116,1,
IF(BE116&lt;&gt;0,BE116+1,0
))</f>
        <v>0</v>
      </c>
      <c r="BG116" s="268">
        <f t="shared" si="204"/>
        <v>0</v>
      </c>
      <c r="BH116" s="268">
        <f t="shared" si="204"/>
        <v>1</v>
      </c>
      <c r="BI116" s="268">
        <f t="shared" si="204"/>
        <v>2</v>
      </c>
      <c r="BJ116" s="268">
        <f t="shared" si="204"/>
        <v>3</v>
      </c>
      <c r="BK116" s="268">
        <f t="shared" si="204"/>
        <v>4</v>
      </c>
      <c r="BL116" s="269">
        <f t="shared" si="204"/>
        <v>5</v>
      </c>
      <c r="BM116" s="256">
        <f>IF($BC116=Lookup!$A$2,$BD116*ROUNDUP(BE116/10,0)+1,
IF($BC116=Lookup!$A$3,($BD116+1)^BD116,
IF($BC116=Lookup!$A$4,BE116*$BD116+1,"Error")))</f>
        <v>1</v>
      </c>
      <c r="BN116" s="229">
        <f>IF($BC116=Lookup!$A$2,$BD116*ROUNDUP(BF116/10,0)+1,
IF($BC116=Lookup!$A$3,($BD116+1)^BE116,
IF($BC116=Lookup!$A$4,BF116*$BD116+1,"Error")))</f>
        <v>1</v>
      </c>
      <c r="BO116" s="229">
        <f>IF($BC116=Lookup!$A$2,$BD116*ROUNDUP(BG116/10,0)+1,
IF($BC116=Lookup!$A$3,($BD116+1)^BF116,
IF($BC116=Lookup!$A$4,BG116*$BD116+1,"Error")))</f>
        <v>1</v>
      </c>
      <c r="BP116" s="229">
        <f>IF($BC116=Lookup!$A$2,$BD116*ROUNDUP(BH116/10,0)+1,
IF($BC116=Lookup!$A$3,($BD116+1)^BG116,
IF($BC116=Lookup!$A$4,BH116*$BD116+1,"Error")))</f>
        <v>1</v>
      </c>
      <c r="BQ116" s="229">
        <f>IF($BC116=Lookup!$A$2,$BD116*ROUNDUP(BI116/10,0)+1,
IF($BC116=Lookup!$A$3,($BD116+1)^BH116,
IF($BC116=Lookup!$A$4,BI116*$BD116+1,"Error")))</f>
        <v>1</v>
      </c>
      <c r="BR116" s="229">
        <f>IF($BC116=Lookup!$A$2,$BD116*ROUNDUP(BJ116/10,0)+1,
IF($BC116=Lookup!$A$3,($BD116+1)^BI116,
IF($BC116=Lookup!$A$4,BJ116*$BD116+1,"Error")))</f>
        <v>1</v>
      </c>
      <c r="BS116" s="229">
        <f>IF($BC116=Lookup!$A$2,$BD116*ROUNDUP(BK116/10,0)+1,
IF($BC116=Lookup!$A$3,($BD116+1)^BJ116,
IF($BC116=Lookup!$A$4,BK116*$BD116+1,"Error")))</f>
        <v>1</v>
      </c>
      <c r="BT116" s="249">
        <f>IF($BC116=Lookup!$A$2,$BD116*ROUNDUP(BL116/10,0)+1,
IF($BC116=Lookup!$A$3,($BD116+1)^BK116,
IF($BC116=Lookup!$A$4,BL116*$BD116+1,"Error")))</f>
        <v>1</v>
      </c>
      <c r="BU116" s="320">
        <v>0</v>
      </c>
      <c r="BV116" s="321">
        <v>0</v>
      </c>
      <c r="BW116" s="321">
        <v>0</v>
      </c>
      <c r="BX116" s="321">
        <v>0</v>
      </c>
      <c r="BY116" s="321">
        <v>0</v>
      </c>
      <c r="BZ116" s="321">
        <v>0</v>
      </c>
      <c r="CA116" s="321">
        <v>0</v>
      </c>
      <c r="CB116" s="277">
        <v>0</v>
      </c>
      <c r="CC116" s="382" t="s">
        <v>293</v>
      </c>
      <c r="CD116" s="383">
        <f>HLOOKUP($CC116,$AK$6:$AM$132,ROWS(CC$6:CC116),0)</f>
        <v>0.33333333333333331</v>
      </c>
      <c r="CE116" s="234">
        <f t="shared" si="142"/>
        <v>0</v>
      </c>
      <c r="CF116" s="96">
        <f t="shared" si="142"/>
        <v>0</v>
      </c>
      <c r="CG116" s="96">
        <f t="shared" si="142"/>
        <v>0</v>
      </c>
      <c r="CH116" s="96">
        <f t="shared" si="142"/>
        <v>0</v>
      </c>
      <c r="CI116" s="96">
        <f t="shared" si="142"/>
        <v>0</v>
      </c>
      <c r="CJ116" s="96">
        <f t="shared" si="142"/>
        <v>0</v>
      </c>
      <c r="CK116" s="96">
        <f t="shared" si="142"/>
        <v>0</v>
      </c>
      <c r="CL116" s="286">
        <f t="shared" si="194"/>
        <v>0</v>
      </c>
      <c r="CM116" s="305" t="s">
        <v>293</v>
      </c>
      <c r="CN116" s="315">
        <v>0.05</v>
      </c>
      <c r="CO116" s="306"/>
      <c r="CP116" s="307">
        <f>IF($CO116&lt;&gt;"",$CO116,HLOOKUP($CM116,$AY$6:$BA$132,ROWS(CO$6:CO116),0))</f>
        <v>2780.087338024</v>
      </c>
      <c r="CQ116" s="784">
        <f t="shared" si="190"/>
        <v>0</v>
      </c>
      <c r="CR116" s="784">
        <f t="shared" si="190"/>
        <v>0</v>
      </c>
      <c r="CS116" s="97">
        <f t="shared" si="190"/>
        <v>0</v>
      </c>
      <c r="CT116" s="97">
        <f t="shared" si="190"/>
        <v>0</v>
      </c>
      <c r="CU116" s="97">
        <f t="shared" si="190"/>
        <v>0</v>
      </c>
      <c r="CV116" s="97">
        <f t="shared" si="190"/>
        <v>0</v>
      </c>
      <c r="CW116" s="97">
        <f t="shared" si="190"/>
        <v>0</v>
      </c>
      <c r="CX116" s="98">
        <f t="shared" si="190"/>
        <v>0</v>
      </c>
      <c r="CY116" s="392"/>
    </row>
    <row r="117" spans="1:103" x14ac:dyDescent="0.25">
      <c r="A117" s="81" t="s">
        <v>224</v>
      </c>
      <c r="B117" s="82" t="s">
        <v>237</v>
      </c>
      <c r="C117" s="83" t="s">
        <v>238</v>
      </c>
      <c r="D117" s="84">
        <v>0</v>
      </c>
      <c r="E117" s="85">
        <v>593.52975292601684</v>
      </c>
      <c r="F117" s="85">
        <v>0</v>
      </c>
      <c r="G117" s="85">
        <v>765.51839545891687</v>
      </c>
      <c r="H117" s="85">
        <v>3028.8198802286779</v>
      </c>
      <c r="I117" s="85">
        <v>1452.011812813</v>
      </c>
      <c r="J117" s="85">
        <v>6830.8010178229952</v>
      </c>
      <c r="K117" s="85">
        <v>6907.9812794910004</v>
      </c>
      <c r="L117" s="85">
        <v>0</v>
      </c>
      <c r="M117" s="654">
        <f>'2022-23 Input'!G117</f>
        <v>1276.8226884989995</v>
      </c>
      <c r="N117" s="1065">
        <v>0</v>
      </c>
      <c r="O117" s="560">
        <f t="shared" si="139"/>
        <v>0</v>
      </c>
      <c r="P117" s="561">
        <f t="shared" si="113"/>
        <v>786.68268814642033</v>
      </c>
      <c r="Q117" s="561">
        <f t="shared" si="114"/>
        <v>0</v>
      </c>
      <c r="R117" s="561">
        <f t="shared" si="115"/>
        <v>985.31154908291319</v>
      </c>
      <c r="S117" s="561">
        <f t="shared" si="116"/>
        <v>3819.09592353993</v>
      </c>
      <c r="T117" s="561">
        <f t="shared" si="117"/>
        <v>1802.1619850082293</v>
      </c>
      <c r="U117" s="561">
        <f t="shared" si="118"/>
        <v>8507.6805191943658</v>
      </c>
      <c r="V117" s="561">
        <f t="shared" si="119"/>
        <v>8285.1480659205099</v>
      </c>
      <c r="W117" s="675">
        <f t="shared" si="120"/>
        <v>0</v>
      </c>
      <c r="X117" s="675">
        <f t="shared" si="121"/>
        <v>1357.8510387665447</v>
      </c>
      <c r="Y117" s="675">
        <f t="shared" si="121"/>
        <v>0</v>
      </c>
      <c r="Z117" s="86">
        <v>0</v>
      </c>
      <c r="AA117" s="87">
        <v>1</v>
      </c>
      <c r="AB117" s="87">
        <v>0</v>
      </c>
      <c r="AC117" s="87">
        <v>1</v>
      </c>
      <c r="AD117" s="87">
        <v>3</v>
      </c>
      <c r="AE117" s="87">
        <v>2</v>
      </c>
      <c r="AF117" s="87">
        <v>4</v>
      </c>
      <c r="AG117" s="87">
        <v>0</v>
      </c>
      <c r="AH117" s="87">
        <v>2</v>
      </c>
      <c r="AI117" s="1094">
        <f>'2022-23 Input'!N117</f>
        <v>1</v>
      </c>
      <c r="AJ117" s="665">
        <v>0</v>
      </c>
      <c r="AK117" s="88">
        <f t="shared" si="174"/>
        <v>1.8</v>
      </c>
      <c r="AL117" s="89">
        <f t="shared" si="175"/>
        <v>1</v>
      </c>
      <c r="AM117" s="90">
        <f t="shared" si="176"/>
        <v>1</v>
      </c>
      <c r="AN117" s="91" t="str">
        <f t="shared" si="177"/>
        <v/>
      </c>
      <c r="AO117" s="92">
        <f t="shared" si="178"/>
        <v>593.52975292601684</v>
      </c>
      <c r="AP117" s="92" t="str">
        <f t="shared" si="179"/>
        <v/>
      </c>
      <c r="AQ117" s="92">
        <f t="shared" si="180"/>
        <v>765.51839545891687</v>
      </c>
      <c r="AR117" s="92">
        <f t="shared" si="181"/>
        <v>1009.6066267428927</v>
      </c>
      <c r="AS117" s="92">
        <f t="shared" si="182"/>
        <v>726.0059064065</v>
      </c>
      <c r="AT117" s="92">
        <f t="shared" si="183"/>
        <v>1707.7002544557488</v>
      </c>
      <c r="AU117" s="92" t="str">
        <f t="shared" si="184"/>
        <v/>
      </c>
      <c r="AV117" s="92">
        <f t="shared" si="185"/>
        <v>0</v>
      </c>
      <c r="AW117" s="92">
        <f t="shared" si="185"/>
        <v>1276.8226884989995</v>
      </c>
      <c r="AX117" s="92" t="str">
        <f t="shared" si="185"/>
        <v/>
      </c>
      <c r="AY117" s="93">
        <f t="shared" si="186"/>
        <v>1829.735199847333</v>
      </c>
      <c r="AZ117" s="94">
        <f t="shared" si="187"/>
        <v>2728.2679893299996</v>
      </c>
      <c r="BA117" s="95">
        <f t="shared" si="188"/>
        <v>1276.8226884989995</v>
      </c>
      <c r="BB117" s="248" t="s">
        <v>422</v>
      </c>
      <c r="BC117" s="229" t="s">
        <v>433</v>
      </c>
      <c r="BD117" s="249">
        <v>0</v>
      </c>
      <c r="BE117" s="267">
        <f t="shared" si="140"/>
        <v>0</v>
      </c>
      <c r="BF117" s="268">
        <f t="shared" ref="BF117:BL117" si="205">IF(BF$6=$BB117,1,
IF(BE117&lt;&gt;0,BE117+1,0
))</f>
        <v>0</v>
      </c>
      <c r="BG117" s="268">
        <f t="shared" si="205"/>
        <v>0</v>
      </c>
      <c r="BH117" s="268">
        <f t="shared" si="205"/>
        <v>1</v>
      </c>
      <c r="BI117" s="268">
        <f t="shared" si="205"/>
        <v>2</v>
      </c>
      <c r="BJ117" s="268">
        <f t="shared" si="205"/>
        <v>3</v>
      </c>
      <c r="BK117" s="268">
        <f t="shared" si="205"/>
        <v>4</v>
      </c>
      <c r="BL117" s="269">
        <f t="shared" si="205"/>
        <v>5</v>
      </c>
      <c r="BM117" s="256">
        <f>IF($BC117=Lookup!$A$2,$BD117*ROUNDUP(BE117/10,0)+1,
IF($BC117=Lookup!$A$3,($BD117+1)^BD117,
IF($BC117=Lookup!$A$4,BE117*$BD117+1,"Error")))</f>
        <v>1</v>
      </c>
      <c r="BN117" s="229">
        <f>IF($BC117=Lookup!$A$2,$BD117*ROUNDUP(BF117/10,0)+1,
IF($BC117=Lookup!$A$3,($BD117+1)^BE117,
IF($BC117=Lookup!$A$4,BF117*$BD117+1,"Error")))</f>
        <v>1</v>
      </c>
      <c r="BO117" s="229">
        <f>IF($BC117=Lookup!$A$2,$BD117*ROUNDUP(BG117/10,0)+1,
IF($BC117=Lookup!$A$3,($BD117+1)^BF117,
IF($BC117=Lookup!$A$4,BG117*$BD117+1,"Error")))</f>
        <v>1</v>
      </c>
      <c r="BP117" s="229">
        <f>IF($BC117=Lookup!$A$2,$BD117*ROUNDUP(BH117/10,0)+1,
IF($BC117=Lookup!$A$3,($BD117+1)^BG117,
IF($BC117=Lookup!$A$4,BH117*$BD117+1,"Error")))</f>
        <v>1</v>
      </c>
      <c r="BQ117" s="229">
        <f>IF($BC117=Lookup!$A$2,$BD117*ROUNDUP(BI117/10,0)+1,
IF($BC117=Lookup!$A$3,($BD117+1)^BH117,
IF($BC117=Lookup!$A$4,BI117*$BD117+1,"Error")))</f>
        <v>1</v>
      </c>
      <c r="BR117" s="229">
        <f>IF($BC117=Lookup!$A$2,$BD117*ROUNDUP(BJ117/10,0)+1,
IF($BC117=Lookup!$A$3,($BD117+1)^BI117,
IF($BC117=Lookup!$A$4,BJ117*$BD117+1,"Error")))</f>
        <v>1</v>
      </c>
      <c r="BS117" s="229">
        <f>IF($BC117=Lookup!$A$2,$BD117*ROUNDUP(BK117/10,0)+1,
IF($BC117=Lookup!$A$3,($BD117+1)^BJ117,
IF($BC117=Lookup!$A$4,BK117*$BD117+1,"Error")))</f>
        <v>1</v>
      </c>
      <c r="BT117" s="249">
        <f>IF($BC117=Lookup!$A$2,$BD117*ROUNDUP(BL117/10,0)+1,
IF($BC117=Lookup!$A$3,($BD117+1)^BK117,
IF($BC117=Lookup!$A$4,BL117*$BD117+1,"Error")))</f>
        <v>1</v>
      </c>
      <c r="BU117" s="320">
        <v>0</v>
      </c>
      <c r="BV117" s="321">
        <v>0</v>
      </c>
      <c r="BW117" s="321">
        <v>0</v>
      </c>
      <c r="BX117" s="321">
        <v>0</v>
      </c>
      <c r="BY117" s="321">
        <v>0</v>
      </c>
      <c r="BZ117" s="321">
        <v>0</v>
      </c>
      <c r="CA117" s="321">
        <v>0</v>
      </c>
      <c r="CB117" s="277">
        <v>0</v>
      </c>
      <c r="CC117" s="382" t="s">
        <v>293</v>
      </c>
      <c r="CD117" s="383">
        <f>HLOOKUP($CC117,$AK$6:$AM$132,ROWS(CC$6:CC117),0)</f>
        <v>1</v>
      </c>
      <c r="CE117" s="234">
        <f t="shared" si="142"/>
        <v>0</v>
      </c>
      <c r="CF117" s="96">
        <f t="shared" si="142"/>
        <v>0</v>
      </c>
      <c r="CG117" s="96">
        <f t="shared" si="142"/>
        <v>0</v>
      </c>
      <c r="CH117" s="96">
        <f t="shared" si="142"/>
        <v>0</v>
      </c>
      <c r="CI117" s="96">
        <f t="shared" si="142"/>
        <v>0</v>
      </c>
      <c r="CJ117" s="96">
        <f t="shared" si="142"/>
        <v>0</v>
      </c>
      <c r="CK117" s="96">
        <f t="shared" si="142"/>
        <v>0</v>
      </c>
      <c r="CL117" s="286">
        <f t="shared" si="194"/>
        <v>0</v>
      </c>
      <c r="CM117" s="305" t="s">
        <v>293</v>
      </c>
      <c r="CN117" s="315">
        <v>0.05</v>
      </c>
      <c r="CO117" s="306"/>
      <c r="CP117" s="307">
        <f>IF($CO117&lt;&gt;"",$CO117,HLOOKUP($CM117,$AY$6:$BA$132,ROWS(CO$6:CO117),0))</f>
        <v>2728.2679893299996</v>
      </c>
      <c r="CQ117" s="784">
        <f t="shared" si="190"/>
        <v>0</v>
      </c>
      <c r="CR117" s="784">
        <f t="shared" si="190"/>
        <v>0</v>
      </c>
      <c r="CS117" s="97">
        <f t="shared" si="190"/>
        <v>0</v>
      </c>
      <c r="CT117" s="97">
        <f t="shared" si="190"/>
        <v>0</v>
      </c>
      <c r="CU117" s="97">
        <f t="shared" si="190"/>
        <v>0</v>
      </c>
      <c r="CV117" s="97">
        <f t="shared" si="190"/>
        <v>0</v>
      </c>
      <c r="CW117" s="97">
        <f t="shared" si="190"/>
        <v>0</v>
      </c>
      <c r="CX117" s="98">
        <f t="shared" si="190"/>
        <v>0</v>
      </c>
      <c r="CY117" s="392"/>
    </row>
    <row r="118" spans="1:103" ht="15.75" thickBot="1" x14ac:dyDescent="0.3">
      <c r="A118" s="100" t="s">
        <v>224</v>
      </c>
      <c r="B118" s="101" t="s">
        <v>397</v>
      </c>
      <c r="C118" s="102" t="s">
        <v>398</v>
      </c>
      <c r="D118" s="103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655">
        <f>'2022-23 Input'!G118</f>
        <v>0</v>
      </c>
      <c r="N118" s="1066">
        <v>0</v>
      </c>
      <c r="O118" s="563">
        <f t="shared" si="139"/>
        <v>0</v>
      </c>
      <c r="P118" s="564">
        <f t="shared" si="113"/>
        <v>0</v>
      </c>
      <c r="Q118" s="564">
        <f t="shared" si="114"/>
        <v>0</v>
      </c>
      <c r="R118" s="564">
        <f t="shared" si="115"/>
        <v>0</v>
      </c>
      <c r="S118" s="564">
        <f t="shared" si="116"/>
        <v>0</v>
      </c>
      <c r="T118" s="564">
        <f t="shared" si="117"/>
        <v>0</v>
      </c>
      <c r="U118" s="564">
        <f t="shared" si="118"/>
        <v>0</v>
      </c>
      <c r="V118" s="564">
        <f t="shared" si="119"/>
        <v>0</v>
      </c>
      <c r="W118" s="676">
        <f t="shared" si="120"/>
        <v>0</v>
      </c>
      <c r="X118" s="676">
        <f t="shared" si="121"/>
        <v>0</v>
      </c>
      <c r="Y118" s="676">
        <f t="shared" si="121"/>
        <v>0</v>
      </c>
      <c r="Z118" s="105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0</v>
      </c>
      <c r="AF118" s="106">
        <v>0</v>
      </c>
      <c r="AG118" s="106">
        <v>0</v>
      </c>
      <c r="AH118" s="106">
        <v>0</v>
      </c>
      <c r="AI118" s="1095">
        <f>'2022-23 Input'!N118</f>
        <v>0</v>
      </c>
      <c r="AJ118" s="666">
        <v>0</v>
      </c>
      <c r="AK118" s="107">
        <f t="shared" si="174"/>
        <v>0</v>
      </c>
      <c r="AL118" s="108">
        <f t="shared" si="175"/>
        <v>0</v>
      </c>
      <c r="AM118" s="109">
        <f t="shared" si="176"/>
        <v>0</v>
      </c>
      <c r="AN118" s="110" t="str">
        <f t="shared" si="177"/>
        <v/>
      </c>
      <c r="AO118" s="111" t="str">
        <f t="shared" si="178"/>
        <v/>
      </c>
      <c r="AP118" s="111" t="str">
        <f t="shared" si="179"/>
        <v/>
      </c>
      <c r="AQ118" s="111" t="str">
        <f t="shared" si="180"/>
        <v/>
      </c>
      <c r="AR118" s="111" t="str">
        <f t="shared" si="181"/>
        <v/>
      </c>
      <c r="AS118" s="111" t="str">
        <f t="shared" si="182"/>
        <v/>
      </c>
      <c r="AT118" s="111" t="str">
        <f t="shared" si="183"/>
        <v/>
      </c>
      <c r="AU118" s="111" t="str">
        <f t="shared" si="184"/>
        <v/>
      </c>
      <c r="AV118" s="111" t="str">
        <f t="shared" si="185"/>
        <v/>
      </c>
      <c r="AW118" s="111" t="str">
        <f t="shared" si="185"/>
        <v/>
      </c>
      <c r="AX118" s="111" t="str">
        <f t="shared" si="185"/>
        <v/>
      </c>
      <c r="AY118" s="112" t="str">
        <f t="shared" si="186"/>
        <v/>
      </c>
      <c r="AZ118" s="113" t="str">
        <f t="shared" si="187"/>
        <v/>
      </c>
      <c r="BA118" s="114" t="str">
        <f t="shared" si="188"/>
        <v/>
      </c>
      <c r="BB118" s="250" t="s">
        <v>422</v>
      </c>
      <c r="BC118" s="230" t="s">
        <v>433</v>
      </c>
      <c r="BD118" s="251">
        <v>0</v>
      </c>
      <c r="BE118" s="270">
        <f t="shared" si="140"/>
        <v>0</v>
      </c>
      <c r="BF118" s="271">
        <f t="shared" ref="BF118:BL118" si="206">IF(BF$6=$BB118,1,
IF(BE118&lt;&gt;0,BE118+1,0
))</f>
        <v>0</v>
      </c>
      <c r="BG118" s="271">
        <f t="shared" si="206"/>
        <v>0</v>
      </c>
      <c r="BH118" s="271">
        <f t="shared" si="206"/>
        <v>1</v>
      </c>
      <c r="BI118" s="271">
        <f t="shared" si="206"/>
        <v>2</v>
      </c>
      <c r="BJ118" s="271">
        <f t="shared" si="206"/>
        <v>3</v>
      </c>
      <c r="BK118" s="271">
        <f t="shared" si="206"/>
        <v>4</v>
      </c>
      <c r="BL118" s="272">
        <f t="shared" si="206"/>
        <v>5</v>
      </c>
      <c r="BM118" s="257">
        <f>IF($BC118=Lookup!$A$2,$BD118*ROUNDUP(BE118/10,0)+1,
IF($BC118=Lookup!$A$3,($BD118+1)^BD118,
IF($BC118=Lookup!$A$4,BE118*$BD118+1,"Error")))</f>
        <v>1</v>
      </c>
      <c r="BN118" s="230">
        <f>IF($BC118=Lookup!$A$2,$BD118*ROUNDUP(BF118/10,0)+1,
IF($BC118=Lookup!$A$3,($BD118+1)^BE118,
IF($BC118=Lookup!$A$4,BF118*$BD118+1,"Error")))</f>
        <v>1</v>
      </c>
      <c r="BO118" s="230">
        <f>IF($BC118=Lookup!$A$2,$BD118*ROUNDUP(BG118/10,0)+1,
IF($BC118=Lookup!$A$3,($BD118+1)^BF118,
IF($BC118=Lookup!$A$4,BG118*$BD118+1,"Error")))</f>
        <v>1</v>
      </c>
      <c r="BP118" s="230">
        <f>IF($BC118=Lookup!$A$2,$BD118*ROUNDUP(BH118/10,0)+1,
IF($BC118=Lookup!$A$3,($BD118+1)^BG118,
IF($BC118=Lookup!$A$4,BH118*$BD118+1,"Error")))</f>
        <v>1</v>
      </c>
      <c r="BQ118" s="230">
        <f>IF($BC118=Lookup!$A$2,$BD118*ROUNDUP(BI118/10,0)+1,
IF($BC118=Lookup!$A$3,($BD118+1)^BH118,
IF($BC118=Lookup!$A$4,BI118*$BD118+1,"Error")))</f>
        <v>1</v>
      </c>
      <c r="BR118" s="230">
        <f>IF($BC118=Lookup!$A$2,$BD118*ROUNDUP(BJ118/10,0)+1,
IF($BC118=Lookup!$A$3,($BD118+1)^BI118,
IF($BC118=Lookup!$A$4,BJ118*$BD118+1,"Error")))</f>
        <v>1</v>
      </c>
      <c r="BS118" s="230">
        <f>IF($BC118=Lookup!$A$2,$BD118*ROUNDUP(BK118/10,0)+1,
IF($BC118=Lookup!$A$3,($BD118+1)^BJ118,
IF($BC118=Lookup!$A$4,BK118*$BD118+1,"Error")))</f>
        <v>1</v>
      </c>
      <c r="BT118" s="251">
        <f>IF($BC118=Lookup!$A$2,$BD118*ROUNDUP(BL118/10,0)+1,
IF($BC118=Lookup!$A$3,($BD118+1)^BK118,
IF($BC118=Lookup!$A$4,BL118*$BD118+1,"Error")))</f>
        <v>1</v>
      </c>
      <c r="BU118" s="322">
        <v>0</v>
      </c>
      <c r="BV118" s="323">
        <v>0</v>
      </c>
      <c r="BW118" s="323">
        <v>0</v>
      </c>
      <c r="BX118" s="323">
        <v>0</v>
      </c>
      <c r="BY118" s="323">
        <v>0</v>
      </c>
      <c r="BZ118" s="323">
        <v>0</v>
      </c>
      <c r="CA118" s="323">
        <v>0</v>
      </c>
      <c r="CB118" s="278">
        <v>0</v>
      </c>
      <c r="CC118" s="384" t="s">
        <v>293</v>
      </c>
      <c r="CD118" s="385">
        <f>HLOOKUP($CC118,$AK$6:$AM$132,ROWS(CC$6:CC118),0)</f>
        <v>0</v>
      </c>
      <c r="CE118" s="235">
        <f t="shared" si="142"/>
        <v>0</v>
      </c>
      <c r="CF118" s="115">
        <f t="shared" si="142"/>
        <v>0</v>
      </c>
      <c r="CG118" s="115">
        <f t="shared" si="142"/>
        <v>0</v>
      </c>
      <c r="CH118" s="115">
        <f t="shared" si="142"/>
        <v>0</v>
      </c>
      <c r="CI118" s="115">
        <f t="shared" si="142"/>
        <v>0</v>
      </c>
      <c r="CJ118" s="115">
        <f t="shared" si="142"/>
        <v>0</v>
      </c>
      <c r="CK118" s="115">
        <f t="shared" si="142"/>
        <v>0</v>
      </c>
      <c r="CL118" s="287">
        <f t="shared" si="194"/>
        <v>0</v>
      </c>
      <c r="CM118" s="308" t="s">
        <v>293</v>
      </c>
      <c r="CN118" s="316">
        <v>0.05</v>
      </c>
      <c r="CO118" s="309"/>
      <c r="CP118" s="310" t="str">
        <f>IF($CO118&lt;&gt;"",$CO118,HLOOKUP($CM118,$AY$6:$BA$132,ROWS(CO$6:CO118),0))</f>
        <v/>
      </c>
      <c r="CQ118" s="785" t="str">
        <f t="shared" si="190"/>
        <v/>
      </c>
      <c r="CR118" s="785" t="str">
        <f t="shared" si="190"/>
        <v/>
      </c>
      <c r="CS118" s="117" t="str">
        <f t="shared" si="190"/>
        <v/>
      </c>
      <c r="CT118" s="117" t="str">
        <f t="shared" si="190"/>
        <v/>
      </c>
      <c r="CU118" s="117" t="str">
        <f t="shared" si="190"/>
        <v/>
      </c>
      <c r="CV118" s="117" t="str">
        <f t="shared" si="190"/>
        <v/>
      </c>
      <c r="CW118" s="117" t="str">
        <f t="shared" si="190"/>
        <v/>
      </c>
      <c r="CX118" s="118" t="str">
        <f t="shared" si="190"/>
        <v/>
      </c>
      <c r="CY118" s="393"/>
    </row>
    <row r="119" spans="1:103" x14ac:dyDescent="0.25">
      <c r="A119" s="63" t="s">
        <v>242</v>
      </c>
      <c r="B119" s="64" t="s">
        <v>239</v>
      </c>
      <c r="C119" s="65" t="s">
        <v>241</v>
      </c>
      <c r="D119" s="66">
        <v>0</v>
      </c>
      <c r="E119" s="67">
        <v>0</v>
      </c>
      <c r="F119" s="67">
        <v>0</v>
      </c>
      <c r="G119" s="67">
        <v>17817.401676791247</v>
      </c>
      <c r="H119" s="67">
        <v>20995.652105335754</v>
      </c>
      <c r="I119" s="67">
        <v>0</v>
      </c>
      <c r="J119" s="67">
        <v>0</v>
      </c>
      <c r="K119" s="67">
        <v>0</v>
      </c>
      <c r="L119" s="67">
        <v>0</v>
      </c>
      <c r="M119" s="653">
        <f>'2022-23 Input'!G119</f>
        <v>0</v>
      </c>
      <c r="N119" s="1064">
        <v>5185.1099999999997</v>
      </c>
      <c r="O119" s="557">
        <f t="shared" si="139"/>
        <v>0</v>
      </c>
      <c r="P119" s="558">
        <f t="shared" si="113"/>
        <v>0</v>
      </c>
      <c r="Q119" s="558">
        <f t="shared" si="114"/>
        <v>0</v>
      </c>
      <c r="R119" s="558">
        <f t="shared" si="115"/>
        <v>22933.076136292326</v>
      </c>
      <c r="S119" s="558">
        <f t="shared" si="116"/>
        <v>26473.812421455827</v>
      </c>
      <c r="T119" s="558">
        <f t="shared" si="117"/>
        <v>0</v>
      </c>
      <c r="U119" s="558">
        <f t="shared" si="118"/>
        <v>0</v>
      </c>
      <c r="V119" s="558">
        <f t="shared" si="119"/>
        <v>0</v>
      </c>
      <c r="W119" s="674">
        <f t="shared" si="120"/>
        <v>0</v>
      </c>
      <c r="X119" s="674">
        <f t="shared" si="121"/>
        <v>0</v>
      </c>
      <c r="Y119" s="674">
        <f t="shared" si="121"/>
        <v>5327.6926400863604</v>
      </c>
      <c r="Z119" s="68">
        <v>0</v>
      </c>
      <c r="AA119" s="69">
        <v>0</v>
      </c>
      <c r="AB119" s="69">
        <v>0</v>
      </c>
      <c r="AC119" s="69">
        <v>2</v>
      </c>
      <c r="AD119" s="69">
        <v>2</v>
      </c>
      <c r="AE119" s="69">
        <v>0</v>
      </c>
      <c r="AF119" s="69">
        <v>0</v>
      </c>
      <c r="AG119" s="69">
        <v>0</v>
      </c>
      <c r="AH119" s="69">
        <v>0</v>
      </c>
      <c r="AI119" s="1093">
        <f>'2022-23 Input'!N119</f>
        <v>0</v>
      </c>
      <c r="AJ119" s="664">
        <v>0</v>
      </c>
      <c r="AK119" s="70">
        <f t="shared" si="174"/>
        <v>0</v>
      </c>
      <c r="AL119" s="71">
        <f t="shared" si="175"/>
        <v>0</v>
      </c>
      <c r="AM119" s="72">
        <f t="shared" si="176"/>
        <v>0</v>
      </c>
      <c r="AN119" s="73" t="str">
        <f t="shared" si="177"/>
        <v/>
      </c>
      <c r="AO119" s="74" t="str">
        <f t="shared" si="178"/>
        <v/>
      </c>
      <c r="AP119" s="74" t="str">
        <f t="shared" si="179"/>
        <v/>
      </c>
      <c r="AQ119" s="74">
        <f t="shared" si="180"/>
        <v>8908.7008383956236</v>
      </c>
      <c r="AR119" s="74">
        <f t="shared" si="181"/>
        <v>10497.826052667877</v>
      </c>
      <c r="AS119" s="74" t="str">
        <f t="shared" si="182"/>
        <v/>
      </c>
      <c r="AT119" s="74" t="str">
        <f t="shared" si="183"/>
        <v/>
      </c>
      <c r="AU119" s="74" t="str">
        <f t="shared" si="184"/>
        <v/>
      </c>
      <c r="AV119" s="74" t="str">
        <f t="shared" ref="AV119:AX132" si="207">IFERROR(L119/AH119,"")</f>
        <v/>
      </c>
      <c r="AW119" s="74" t="str">
        <f t="shared" si="207"/>
        <v/>
      </c>
      <c r="AX119" s="74" t="str">
        <f t="shared" si="207"/>
        <v/>
      </c>
      <c r="AY119" s="75" t="str">
        <f t="shared" si="186"/>
        <v/>
      </c>
      <c r="AZ119" s="76" t="str">
        <f t="shared" si="187"/>
        <v/>
      </c>
      <c r="BA119" s="77" t="str">
        <f t="shared" si="188"/>
        <v/>
      </c>
      <c r="BB119" s="252" t="s">
        <v>422</v>
      </c>
      <c r="BC119" s="231" t="s">
        <v>433</v>
      </c>
      <c r="BD119" s="253">
        <v>0</v>
      </c>
      <c r="BE119" s="273">
        <f t="shared" si="140"/>
        <v>0</v>
      </c>
      <c r="BF119" s="274">
        <f t="shared" ref="BF119:BL119" si="208">IF(BF$6=$BB119,1,
IF(BE119&lt;&gt;0,BE119+1,0
))</f>
        <v>0</v>
      </c>
      <c r="BG119" s="274">
        <f t="shared" si="208"/>
        <v>0</v>
      </c>
      <c r="BH119" s="274">
        <f t="shared" si="208"/>
        <v>1</v>
      </c>
      <c r="BI119" s="274">
        <f t="shared" si="208"/>
        <v>2</v>
      </c>
      <c r="BJ119" s="274">
        <f t="shared" si="208"/>
        <v>3</v>
      </c>
      <c r="BK119" s="274">
        <f t="shared" si="208"/>
        <v>4</v>
      </c>
      <c r="BL119" s="275">
        <f t="shared" si="208"/>
        <v>5</v>
      </c>
      <c r="BM119" s="258">
        <f>IF($BC119=Lookup!$A$2,$BD119*ROUNDUP(BE119/10,0)+1,
IF($BC119=Lookup!$A$3,($BD119+1)^BD119,
IF($BC119=Lookup!$A$4,BE119*$BD119+1,"Error")))</f>
        <v>1</v>
      </c>
      <c r="BN119" s="231">
        <f>IF($BC119=Lookup!$A$2,$BD119*ROUNDUP(BF119/10,0)+1,
IF($BC119=Lookup!$A$3,($BD119+1)^BE119,
IF($BC119=Lookup!$A$4,BF119*$BD119+1,"Error")))</f>
        <v>1</v>
      </c>
      <c r="BO119" s="231">
        <f>IF($BC119=Lookup!$A$2,$BD119*ROUNDUP(BG119/10,0)+1,
IF($BC119=Lookup!$A$3,($BD119+1)^BF119,
IF($BC119=Lookup!$A$4,BG119*$BD119+1,"Error")))</f>
        <v>1</v>
      </c>
      <c r="BP119" s="231">
        <f>IF($BC119=Lookup!$A$2,$BD119*ROUNDUP(BH119/10,0)+1,
IF($BC119=Lookup!$A$3,($BD119+1)^BG119,
IF($BC119=Lookup!$A$4,BH119*$BD119+1,"Error")))</f>
        <v>1</v>
      </c>
      <c r="BQ119" s="231">
        <f>IF($BC119=Lookup!$A$2,$BD119*ROUNDUP(BI119/10,0)+1,
IF($BC119=Lookup!$A$3,($BD119+1)^BH119,
IF($BC119=Lookup!$A$4,BI119*$BD119+1,"Error")))</f>
        <v>1</v>
      </c>
      <c r="BR119" s="231">
        <f>IF($BC119=Lookup!$A$2,$BD119*ROUNDUP(BJ119/10,0)+1,
IF($BC119=Lookup!$A$3,($BD119+1)^BI119,
IF($BC119=Lookup!$A$4,BJ119*$BD119+1,"Error")))</f>
        <v>1</v>
      </c>
      <c r="BS119" s="231">
        <f>IF($BC119=Lookup!$A$2,$BD119*ROUNDUP(BK119/10,0)+1,
IF($BC119=Lookup!$A$3,($BD119+1)^BJ119,
IF($BC119=Lookup!$A$4,BK119*$BD119+1,"Error")))</f>
        <v>1</v>
      </c>
      <c r="BT119" s="253">
        <f>IF($BC119=Lookup!$A$2,$BD119*ROUNDUP(BL119/10,0)+1,
IF($BC119=Lookup!$A$3,($BD119+1)^BK119,
IF($BC119=Lookup!$A$4,BL119*$BD119+1,"Error")))</f>
        <v>1</v>
      </c>
      <c r="BU119" s="324"/>
      <c r="BV119" s="325"/>
      <c r="BW119" s="325"/>
      <c r="BX119" s="325"/>
      <c r="BY119" s="325"/>
      <c r="BZ119" s="325"/>
      <c r="CA119" s="325"/>
      <c r="CB119" s="279"/>
      <c r="CC119" s="386" t="s">
        <v>293</v>
      </c>
      <c r="CD119" s="387">
        <f>HLOOKUP($CC119,$AK$6:$AM$132,ROWS(CC$6:CC119),0)</f>
        <v>0</v>
      </c>
      <c r="CE119" s="241">
        <f t="shared" si="142"/>
        <v>0</v>
      </c>
      <c r="CF119" s="144">
        <f t="shared" si="142"/>
        <v>0</v>
      </c>
      <c r="CG119" s="144">
        <f t="shared" si="142"/>
        <v>0</v>
      </c>
      <c r="CH119" s="144">
        <f t="shared" si="142"/>
        <v>0</v>
      </c>
      <c r="CI119" s="144">
        <f t="shared" si="142"/>
        <v>0</v>
      </c>
      <c r="CJ119" s="144">
        <f t="shared" si="142"/>
        <v>0</v>
      </c>
      <c r="CK119" s="144">
        <f t="shared" si="142"/>
        <v>0</v>
      </c>
      <c r="CL119" s="293">
        <f t="shared" si="194"/>
        <v>0</v>
      </c>
      <c r="CM119" s="302" t="s">
        <v>293</v>
      </c>
      <c r="CN119" s="314">
        <v>0.05</v>
      </c>
      <c r="CO119" s="303"/>
      <c r="CP119" s="304" t="str">
        <f>IF($CO119&lt;&gt;"",$CO119,HLOOKUP($CM119,$AY$6:$BA$132,ROWS(CO$6:CO119),0))</f>
        <v/>
      </c>
      <c r="CQ119" s="783" t="str">
        <f t="shared" si="190"/>
        <v/>
      </c>
      <c r="CR119" s="783" t="str">
        <f t="shared" si="190"/>
        <v/>
      </c>
      <c r="CS119" s="79" t="str">
        <f t="shared" si="190"/>
        <v/>
      </c>
      <c r="CT119" s="79" t="str">
        <f t="shared" si="190"/>
        <v/>
      </c>
      <c r="CU119" s="79" t="str">
        <f t="shared" si="190"/>
        <v/>
      </c>
      <c r="CV119" s="79" t="str">
        <f t="shared" si="190"/>
        <v/>
      </c>
      <c r="CW119" s="79" t="str">
        <f t="shared" si="190"/>
        <v/>
      </c>
      <c r="CX119" s="80" t="str">
        <f t="shared" si="190"/>
        <v/>
      </c>
      <c r="CY119" s="394"/>
    </row>
    <row r="120" spans="1:103" x14ac:dyDescent="0.25">
      <c r="A120" s="81" t="s">
        <v>242</v>
      </c>
      <c r="B120" s="82" t="s">
        <v>243</v>
      </c>
      <c r="C120" s="83" t="s">
        <v>244</v>
      </c>
      <c r="D120" s="84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85">
        <v>0</v>
      </c>
      <c r="K120" s="85">
        <v>0</v>
      </c>
      <c r="L120" s="85">
        <v>0</v>
      </c>
      <c r="M120" s="654">
        <f>'2022-23 Input'!G120</f>
        <v>0</v>
      </c>
      <c r="N120" s="1065">
        <v>0</v>
      </c>
      <c r="O120" s="560">
        <f t="shared" si="139"/>
        <v>0</v>
      </c>
      <c r="P120" s="561">
        <f t="shared" si="113"/>
        <v>0</v>
      </c>
      <c r="Q120" s="561">
        <f t="shared" si="114"/>
        <v>0</v>
      </c>
      <c r="R120" s="561">
        <f t="shared" si="115"/>
        <v>0</v>
      </c>
      <c r="S120" s="561">
        <f t="shared" si="116"/>
        <v>0</v>
      </c>
      <c r="T120" s="561">
        <f t="shared" si="117"/>
        <v>0</v>
      </c>
      <c r="U120" s="561">
        <f t="shared" si="118"/>
        <v>0</v>
      </c>
      <c r="V120" s="561">
        <f t="shared" si="119"/>
        <v>0</v>
      </c>
      <c r="W120" s="675">
        <f t="shared" si="120"/>
        <v>0</v>
      </c>
      <c r="X120" s="675">
        <f t="shared" si="121"/>
        <v>0</v>
      </c>
      <c r="Y120" s="675">
        <f t="shared" si="121"/>
        <v>0</v>
      </c>
      <c r="Z120" s="86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87">
        <v>0</v>
      </c>
      <c r="AI120" s="1094">
        <f>'2022-23 Input'!N120</f>
        <v>0</v>
      </c>
      <c r="AJ120" s="665">
        <v>0</v>
      </c>
      <c r="AK120" s="88">
        <f t="shared" si="174"/>
        <v>0</v>
      </c>
      <c r="AL120" s="89">
        <f t="shared" si="175"/>
        <v>0</v>
      </c>
      <c r="AM120" s="90">
        <f t="shared" si="176"/>
        <v>0</v>
      </c>
      <c r="AN120" s="91" t="str">
        <f t="shared" si="177"/>
        <v/>
      </c>
      <c r="AO120" s="92" t="str">
        <f t="shared" si="178"/>
        <v/>
      </c>
      <c r="AP120" s="92" t="str">
        <f t="shared" si="179"/>
        <v/>
      </c>
      <c r="AQ120" s="92" t="str">
        <f t="shared" si="180"/>
        <v/>
      </c>
      <c r="AR120" s="92" t="str">
        <f t="shared" si="181"/>
        <v/>
      </c>
      <c r="AS120" s="92" t="str">
        <f t="shared" si="182"/>
        <v/>
      </c>
      <c r="AT120" s="92" t="str">
        <f t="shared" si="183"/>
        <v/>
      </c>
      <c r="AU120" s="92" t="str">
        <f t="shared" si="184"/>
        <v/>
      </c>
      <c r="AV120" s="92" t="str">
        <f t="shared" si="207"/>
        <v/>
      </c>
      <c r="AW120" s="92" t="str">
        <f t="shared" si="207"/>
        <v/>
      </c>
      <c r="AX120" s="92" t="str">
        <f t="shared" si="207"/>
        <v/>
      </c>
      <c r="AY120" s="93" t="str">
        <f t="shared" si="186"/>
        <v/>
      </c>
      <c r="AZ120" s="94" t="str">
        <f t="shared" si="187"/>
        <v/>
      </c>
      <c r="BA120" s="95" t="str">
        <f t="shared" si="188"/>
        <v/>
      </c>
      <c r="BB120" s="248" t="s">
        <v>422</v>
      </c>
      <c r="BC120" s="229" t="s">
        <v>433</v>
      </c>
      <c r="BD120" s="249">
        <v>0</v>
      </c>
      <c r="BE120" s="267">
        <f t="shared" si="140"/>
        <v>0</v>
      </c>
      <c r="BF120" s="268">
        <f t="shared" ref="BF120:BL120" si="209">IF(BF$6=$BB120,1,
IF(BE120&lt;&gt;0,BE120+1,0
))</f>
        <v>0</v>
      </c>
      <c r="BG120" s="268">
        <f t="shared" si="209"/>
        <v>0</v>
      </c>
      <c r="BH120" s="268">
        <f t="shared" si="209"/>
        <v>1</v>
      </c>
      <c r="BI120" s="268">
        <f t="shared" si="209"/>
        <v>2</v>
      </c>
      <c r="BJ120" s="268">
        <f t="shared" si="209"/>
        <v>3</v>
      </c>
      <c r="BK120" s="268">
        <f t="shared" si="209"/>
        <v>4</v>
      </c>
      <c r="BL120" s="269">
        <f t="shared" si="209"/>
        <v>5</v>
      </c>
      <c r="BM120" s="256">
        <f>IF($BC120=Lookup!$A$2,$BD120*ROUNDUP(BE120/10,0)+1,
IF($BC120=Lookup!$A$3,($BD120+1)^BD120,
IF($BC120=Lookup!$A$4,BE120*$BD120+1,"Error")))</f>
        <v>1</v>
      </c>
      <c r="BN120" s="229">
        <f>IF($BC120=Lookup!$A$2,$BD120*ROUNDUP(BF120/10,0)+1,
IF($BC120=Lookup!$A$3,($BD120+1)^BE120,
IF($BC120=Lookup!$A$4,BF120*$BD120+1,"Error")))</f>
        <v>1</v>
      </c>
      <c r="BO120" s="229">
        <f>IF($BC120=Lookup!$A$2,$BD120*ROUNDUP(BG120/10,0)+1,
IF($BC120=Lookup!$A$3,($BD120+1)^BF120,
IF($BC120=Lookup!$A$4,BG120*$BD120+1,"Error")))</f>
        <v>1</v>
      </c>
      <c r="BP120" s="229">
        <f>IF($BC120=Lookup!$A$2,$BD120*ROUNDUP(BH120/10,0)+1,
IF($BC120=Lookup!$A$3,($BD120+1)^BG120,
IF($BC120=Lookup!$A$4,BH120*$BD120+1,"Error")))</f>
        <v>1</v>
      </c>
      <c r="BQ120" s="229">
        <f>IF($BC120=Lookup!$A$2,$BD120*ROUNDUP(BI120/10,0)+1,
IF($BC120=Lookup!$A$3,($BD120+1)^BH120,
IF($BC120=Lookup!$A$4,BI120*$BD120+1,"Error")))</f>
        <v>1</v>
      </c>
      <c r="BR120" s="229">
        <f>IF($BC120=Lookup!$A$2,$BD120*ROUNDUP(BJ120/10,0)+1,
IF($BC120=Lookup!$A$3,($BD120+1)^BI120,
IF($BC120=Lookup!$A$4,BJ120*$BD120+1,"Error")))</f>
        <v>1</v>
      </c>
      <c r="BS120" s="229">
        <f>IF($BC120=Lookup!$A$2,$BD120*ROUNDUP(BK120/10,0)+1,
IF($BC120=Lookup!$A$3,($BD120+1)^BJ120,
IF($BC120=Lookup!$A$4,BK120*$BD120+1,"Error")))</f>
        <v>1</v>
      </c>
      <c r="BT120" s="249">
        <f>IF($BC120=Lookup!$A$2,$BD120*ROUNDUP(BL120/10,0)+1,
IF($BC120=Lookup!$A$3,($BD120+1)^BK120,
IF($BC120=Lookup!$A$4,BL120*$BD120+1,"Error")))</f>
        <v>1</v>
      </c>
      <c r="BU120" s="320"/>
      <c r="BV120" s="321"/>
      <c r="BW120" s="321"/>
      <c r="BX120" s="321"/>
      <c r="BY120" s="321"/>
      <c r="BZ120" s="321"/>
      <c r="CA120" s="321"/>
      <c r="CB120" s="277"/>
      <c r="CC120" s="382" t="s">
        <v>293</v>
      </c>
      <c r="CD120" s="383">
        <f>HLOOKUP($CC120,$AK$6:$AM$132,ROWS(CC$6:CC120),0)</f>
        <v>0</v>
      </c>
      <c r="CE120" s="234">
        <f t="shared" si="142"/>
        <v>0</v>
      </c>
      <c r="CF120" s="96">
        <f t="shared" si="142"/>
        <v>0</v>
      </c>
      <c r="CG120" s="96">
        <f t="shared" si="142"/>
        <v>0</v>
      </c>
      <c r="CH120" s="96">
        <f t="shared" si="142"/>
        <v>0</v>
      </c>
      <c r="CI120" s="96">
        <f t="shared" si="142"/>
        <v>0</v>
      </c>
      <c r="CJ120" s="96">
        <f t="shared" si="142"/>
        <v>0</v>
      </c>
      <c r="CK120" s="96">
        <f t="shared" si="142"/>
        <v>0</v>
      </c>
      <c r="CL120" s="286">
        <f t="shared" si="194"/>
        <v>0</v>
      </c>
      <c r="CM120" s="305" t="s">
        <v>293</v>
      </c>
      <c r="CN120" s="315">
        <v>0.05</v>
      </c>
      <c r="CO120" s="306"/>
      <c r="CP120" s="307" t="str">
        <f>IF($CO120&lt;&gt;"",$CO120,HLOOKUP($CM120,$AY$6:$BA$132,ROWS(CO$6:CO120),0))</f>
        <v/>
      </c>
      <c r="CQ120" s="784" t="str">
        <f t="shared" si="190"/>
        <v/>
      </c>
      <c r="CR120" s="784" t="str">
        <f t="shared" si="190"/>
        <v/>
      </c>
      <c r="CS120" s="97" t="str">
        <f t="shared" si="190"/>
        <v/>
      </c>
      <c r="CT120" s="97" t="str">
        <f t="shared" si="190"/>
        <v/>
      </c>
      <c r="CU120" s="97" t="str">
        <f t="shared" si="190"/>
        <v/>
      </c>
      <c r="CV120" s="97" t="str">
        <f t="shared" si="190"/>
        <v/>
      </c>
      <c r="CW120" s="97" t="str">
        <f t="shared" si="190"/>
        <v/>
      </c>
      <c r="CX120" s="98" t="str">
        <f t="shared" si="190"/>
        <v/>
      </c>
      <c r="CY120" s="392"/>
    </row>
    <row r="121" spans="1:103" x14ac:dyDescent="0.25">
      <c r="A121" s="81" t="s">
        <v>242</v>
      </c>
      <c r="B121" s="82" t="s">
        <v>245</v>
      </c>
      <c r="C121" s="83" t="s">
        <v>246</v>
      </c>
      <c r="D121" s="84">
        <v>0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  <c r="K121" s="85">
        <v>0</v>
      </c>
      <c r="L121" s="85">
        <v>0</v>
      </c>
      <c r="M121" s="654">
        <f>'2022-23 Input'!G121</f>
        <v>0</v>
      </c>
      <c r="N121" s="1065">
        <v>0</v>
      </c>
      <c r="O121" s="560">
        <f t="shared" si="139"/>
        <v>0</v>
      </c>
      <c r="P121" s="561">
        <f t="shared" si="113"/>
        <v>0</v>
      </c>
      <c r="Q121" s="561">
        <f t="shared" si="114"/>
        <v>0</v>
      </c>
      <c r="R121" s="561">
        <f t="shared" si="115"/>
        <v>0</v>
      </c>
      <c r="S121" s="561">
        <f t="shared" si="116"/>
        <v>0</v>
      </c>
      <c r="T121" s="561">
        <f t="shared" si="117"/>
        <v>0</v>
      </c>
      <c r="U121" s="561">
        <f t="shared" si="118"/>
        <v>0</v>
      </c>
      <c r="V121" s="561">
        <f t="shared" si="119"/>
        <v>0</v>
      </c>
      <c r="W121" s="675">
        <f t="shared" si="120"/>
        <v>0</v>
      </c>
      <c r="X121" s="675">
        <f t="shared" si="121"/>
        <v>0</v>
      </c>
      <c r="Y121" s="675">
        <f t="shared" si="121"/>
        <v>0</v>
      </c>
      <c r="Z121" s="86">
        <v>0</v>
      </c>
      <c r="AA121" s="87">
        <v>0</v>
      </c>
      <c r="AB121" s="87">
        <v>0</v>
      </c>
      <c r="AC121" s="87">
        <v>0</v>
      </c>
      <c r="AD121" s="87">
        <v>0</v>
      </c>
      <c r="AE121" s="87">
        <v>0</v>
      </c>
      <c r="AF121" s="87">
        <v>0</v>
      </c>
      <c r="AG121" s="87">
        <v>0</v>
      </c>
      <c r="AH121" s="87">
        <v>0</v>
      </c>
      <c r="AI121" s="1094">
        <f>'2022-23 Input'!N121</f>
        <v>0</v>
      </c>
      <c r="AJ121" s="665">
        <v>0</v>
      </c>
      <c r="AK121" s="88">
        <f t="shared" si="174"/>
        <v>0</v>
      </c>
      <c r="AL121" s="89">
        <f t="shared" si="175"/>
        <v>0</v>
      </c>
      <c r="AM121" s="90">
        <f t="shared" si="176"/>
        <v>0</v>
      </c>
      <c r="AN121" s="91" t="str">
        <f t="shared" si="177"/>
        <v/>
      </c>
      <c r="AO121" s="92" t="str">
        <f t="shared" si="178"/>
        <v/>
      </c>
      <c r="AP121" s="92" t="str">
        <f t="shared" si="179"/>
        <v/>
      </c>
      <c r="AQ121" s="92" t="str">
        <f t="shared" si="180"/>
        <v/>
      </c>
      <c r="AR121" s="92" t="str">
        <f t="shared" si="181"/>
        <v/>
      </c>
      <c r="AS121" s="92" t="str">
        <f t="shared" si="182"/>
        <v/>
      </c>
      <c r="AT121" s="92" t="str">
        <f t="shared" si="183"/>
        <v/>
      </c>
      <c r="AU121" s="92" t="str">
        <f t="shared" si="184"/>
        <v/>
      </c>
      <c r="AV121" s="92" t="str">
        <f t="shared" si="207"/>
        <v/>
      </c>
      <c r="AW121" s="92" t="str">
        <f t="shared" si="207"/>
        <v/>
      </c>
      <c r="AX121" s="92" t="str">
        <f t="shared" si="207"/>
        <v/>
      </c>
      <c r="AY121" s="93" t="str">
        <f t="shared" si="186"/>
        <v/>
      </c>
      <c r="AZ121" s="94" t="str">
        <f t="shared" si="187"/>
        <v/>
      </c>
      <c r="BA121" s="95" t="str">
        <f t="shared" si="188"/>
        <v/>
      </c>
      <c r="BB121" s="248" t="s">
        <v>422</v>
      </c>
      <c r="BC121" s="229" t="s">
        <v>433</v>
      </c>
      <c r="BD121" s="249">
        <v>0</v>
      </c>
      <c r="BE121" s="267">
        <f t="shared" si="140"/>
        <v>0</v>
      </c>
      <c r="BF121" s="268">
        <f t="shared" ref="BF121:BL121" si="210">IF(BF$6=$BB121,1,
IF(BE121&lt;&gt;0,BE121+1,0
))</f>
        <v>0</v>
      </c>
      <c r="BG121" s="268">
        <f t="shared" si="210"/>
        <v>0</v>
      </c>
      <c r="BH121" s="268">
        <f t="shared" si="210"/>
        <v>1</v>
      </c>
      <c r="BI121" s="268">
        <f t="shared" si="210"/>
        <v>2</v>
      </c>
      <c r="BJ121" s="268">
        <f t="shared" si="210"/>
        <v>3</v>
      </c>
      <c r="BK121" s="268">
        <f t="shared" si="210"/>
        <v>4</v>
      </c>
      <c r="BL121" s="269">
        <f t="shared" si="210"/>
        <v>5</v>
      </c>
      <c r="BM121" s="256">
        <f>IF($BC121=Lookup!$A$2,$BD121*ROUNDUP(BE121/10,0)+1,
IF($BC121=Lookup!$A$3,($BD121+1)^BD121,
IF($BC121=Lookup!$A$4,BE121*$BD121+1,"Error")))</f>
        <v>1</v>
      </c>
      <c r="BN121" s="229">
        <f>IF($BC121=Lookup!$A$2,$BD121*ROUNDUP(BF121/10,0)+1,
IF($BC121=Lookup!$A$3,($BD121+1)^BE121,
IF($BC121=Lookup!$A$4,BF121*$BD121+1,"Error")))</f>
        <v>1</v>
      </c>
      <c r="BO121" s="229">
        <f>IF($BC121=Lookup!$A$2,$BD121*ROUNDUP(BG121/10,0)+1,
IF($BC121=Lookup!$A$3,($BD121+1)^BF121,
IF($BC121=Lookup!$A$4,BG121*$BD121+1,"Error")))</f>
        <v>1</v>
      </c>
      <c r="BP121" s="229">
        <f>IF($BC121=Lookup!$A$2,$BD121*ROUNDUP(BH121/10,0)+1,
IF($BC121=Lookup!$A$3,($BD121+1)^BG121,
IF($BC121=Lookup!$A$4,BH121*$BD121+1,"Error")))</f>
        <v>1</v>
      </c>
      <c r="BQ121" s="229">
        <f>IF($BC121=Lookup!$A$2,$BD121*ROUNDUP(BI121/10,0)+1,
IF($BC121=Lookup!$A$3,($BD121+1)^BH121,
IF($BC121=Lookup!$A$4,BI121*$BD121+1,"Error")))</f>
        <v>1</v>
      </c>
      <c r="BR121" s="229">
        <f>IF($BC121=Lookup!$A$2,$BD121*ROUNDUP(BJ121/10,0)+1,
IF($BC121=Lookup!$A$3,($BD121+1)^BI121,
IF($BC121=Lookup!$A$4,BJ121*$BD121+1,"Error")))</f>
        <v>1</v>
      </c>
      <c r="BS121" s="229">
        <f>IF($BC121=Lookup!$A$2,$BD121*ROUNDUP(BK121/10,0)+1,
IF($BC121=Lookup!$A$3,($BD121+1)^BJ121,
IF($BC121=Lookup!$A$4,BK121*$BD121+1,"Error")))</f>
        <v>1</v>
      </c>
      <c r="BT121" s="249">
        <f>IF($BC121=Lookup!$A$2,$BD121*ROUNDUP(BL121/10,0)+1,
IF($BC121=Lookup!$A$3,($BD121+1)^BK121,
IF($BC121=Lookup!$A$4,BL121*$BD121+1,"Error")))</f>
        <v>1</v>
      </c>
      <c r="BU121" s="320">
        <v>0</v>
      </c>
      <c r="BV121" s="321">
        <v>0</v>
      </c>
      <c r="BW121" s="321">
        <v>0</v>
      </c>
      <c r="BX121" s="321">
        <v>0</v>
      </c>
      <c r="BY121" s="321">
        <v>0</v>
      </c>
      <c r="BZ121" s="321">
        <v>0</v>
      </c>
      <c r="CA121" s="321">
        <v>0</v>
      </c>
      <c r="CB121" s="277">
        <v>0</v>
      </c>
      <c r="CC121" s="382" t="s">
        <v>293</v>
      </c>
      <c r="CD121" s="383">
        <f>HLOOKUP($CC121,$AK$6:$AM$132,ROWS(CC$6:CC121),0)</f>
        <v>0</v>
      </c>
      <c r="CE121" s="234">
        <f t="shared" si="142"/>
        <v>0</v>
      </c>
      <c r="CF121" s="96">
        <f t="shared" si="142"/>
        <v>0</v>
      </c>
      <c r="CG121" s="96">
        <f t="shared" si="142"/>
        <v>0</v>
      </c>
      <c r="CH121" s="96">
        <f t="shared" si="142"/>
        <v>0</v>
      </c>
      <c r="CI121" s="96">
        <f t="shared" si="142"/>
        <v>0</v>
      </c>
      <c r="CJ121" s="96">
        <f t="shared" si="142"/>
        <v>0</v>
      </c>
      <c r="CK121" s="96">
        <f t="shared" si="142"/>
        <v>0</v>
      </c>
      <c r="CL121" s="286">
        <f t="shared" si="194"/>
        <v>0</v>
      </c>
      <c r="CM121" s="305" t="s">
        <v>293</v>
      </c>
      <c r="CN121" s="315">
        <v>0.05</v>
      </c>
      <c r="CO121" s="306"/>
      <c r="CP121" s="307" t="str">
        <f>IF($CO121&lt;&gt;"",$CO121,HLOOKUP($CM121,$AY$6:$BA$132,ROWS(CO$6:CO121),0))</f>
        <v/>
      </c>
      <c r="CQ121" s="784" t="str">
        <f t="shared" si="190"/>
        <v/>
      </c>
      <c r="CR121" s="784" t="str">
        <f t="shared" si="190"/>
        <v/>
      </c>
      <c r="CS121" s="97" t="str">
        <f t="shared" si="190"/>
        <v/>
      </c>
      <c r="CT121" s="97" t="str">
        <f t="shared" si="190"/>
        <v/>
      </c>
      <c r="CU121" s="97" t="str">
        <f t="shared" si="190"/>
        <v/>
      </c>
      <c r="CV121" s="97" t="str">
        <f t="shared" si="190"/>
        <v/>
      </c>
      <c r="CW121" s="97" t="str">
        <f t="shared" si="190"/>
        <v/>
      </c>
      <c r="CX121" s="98" t="str">
        <f t="shared" si="190"/>
        <v/>
      </c>
      <c r="CY121" s="392"/>
    </row>
    <row r="122" spans="1:103" x14ac:dyDescent="0.25">
      <c r="A122" s="81" t="s">
        <v>242</v>
      </c>
      <c r="B122" s="82" t="s">
        <v>247</v>
      </c>
      <c r="C122" s="83" t="s">
        <v>248</v>
      </c>
      <c r="D122" s="84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654">
        <f>'2022-23 Input'!G122</f>
        <v>0</v>
      </c>
      <c r="N122" s="1065">
        <v>0</v>
      </c>
      <c r="O122" s="560">
        <f t="shared" si="139"/>
        <v>0</v>
      </c>
      <c r="P122" s="561">
        <f t="shared" si="113"/>
        <v>0</v>
      </c>
      <c r="Q122" s="561">
        <f t="shared" si="114"/>
        <v>0</v>
      </c>
      <c r="R122" s="561">
        <f t="shared" si="115"/>
        <v>0</v>
      </c>
      <c r="S122" s="561">
        <f t="shared" si="116"/>
        <v>0</v>
      </c>
      <c r="T122" s="561">
        <f t="shared" si="117"/>
        <v>0</v>
      </c>
      <c r="U122" s="561">
        <f t="shared" si="118"/>
        <v>0</v>
      </c>
      <c r="V122" s="561">
        <f t="shared" si="119"/>
        <v>0</v>
      </c>
      <c r="W122" s="675">
        <f t="shared" si="120"/>
        <v>0</v>
      </c>
      <c r="X122" s="675">
        <f t="shared" si="121"/>
        <v>0</v>
      </c>
      <c r="Y122" s="675">
        <f t="shared" si="121"/>
        <v>0</v>
      </c>
      <c r="Z122" s="86">
        <v>0</v>
      </c>
      <c r="AA122" s="87">
        <v>0</v>
      </c>
      <c r="AB122" s="87">
        <v>0</v>
      </c>
      <c r="AC122" s="87">
        <v>0</v>
      </c>
      <c r="AD122" s="87">
        <v>0</v>
      </c>
      <c r="AE122" s="87">
        <v>0</v>
      </c>
      <c r="AF122" s="87">
        <v>0</v>
      </c>
      <c r="AG122" s="87">
        <v>0</v>
      </c>
      <c r="AH122" s="87">
        <v>0</v>
      </c>
      <c r="AI122" s="1094">
        <f>'2022-23 Input'!N122</f>
        <v>0</v>
      </c>
      <c r="AJ122" s="665">
        <v>0</v>
      </c>
      <c r="AK122" s="88">
        <f t="shared" si="174"/>
        <v>0</v>
      </c>
      <c r="AL122" s="89">
        <f t="shared" si="175"/>
        <v>0</v>
      </c>
      <c r="AM122" s="90">
        <f t="shared" si="176"/>
        <v>0</v>
      </c>
      <c r="AN122" s="91" t="str">
        <f t="shared" si="177"/>
        <v/>
      </c>
      <c r="AO122" s="92" t="str">
        <f t="shared" si="178"/>
        <v/>
      </c>
      <c r="AP122" s="92" t="str">
        <f t="shared" si="179"/>
        <v/>
      </c>
      <c r="AQ122" s="92" t="str">
        <f t="shared" si="180"/>
        <v/>
      </c>
      <c r="AR122" s="92" t="str">
        <f t="shared" si="181"/>
        <v/>
      </c>
      <c r="AS122" s="92" t="str">
        <f t="shared" si="182"/>
        <v/>
      </c>
      <c r="AT122" s="92" t="str">
        <f t="shared" si="183"/>
        <v/>
      </c>
      <c r="AU122" s="92" t="str">
        <f t="shared" si="184"/>
        <v/>
      </c>
      <c r="AV122" s="92" t="str">
        <f t="shared" si="207"/>
        <v/>
      </c>
      <c r="AW122" s="92" t="str">
        <f t="shared" si="207"/>
        <v/>
      </c>
      <c r="AX122" s="92" t="str">
        <f t="shared" si="207"/>
        <v/>
      </c>
      <c r="AY122" s="93" t="str">
        <f t="shared" si="186"/>
        <v/>
      </c>
      <c r="AZ122" s="94" t="str">
        <f t="shared" si="187"/>
        <v/>
      </c>
      <c r="BA122" s="95" t="str">
        <f t="shared" si="188"/>
        <v/>
      </c>
      <c r="BB122" s="248" t="s">
        <v>422</v>
      </c>
      <c r="BC122" s="229" t="s">
        <v>433</v>
      </c>
      <c r="BD122" s="249">
        <v>0</v>
      </c>
      <c r="BE122" s="267">
        <f t="shared" si="140"/>
        <v>0</v>
      </c>
      <c r="BF122" s="268">
        <f t="shared" ref="BF122:BL122" si="211">IF(BF$6=$BB122,1,
IF(BE122&lt;&gt;0,BE122+1,0
))</f>
        <v>0</v>
      </c>
      <c r="BG122" s="268">
        <f t="shared" si="211"/>
        <v>0</v>
      </c>
      <c r="BH122" s="268">
        <f t="shared" si="211"/>
        <v>1</v>
      </c>
      <c r="BI122" s="268">
        <f t="shared" si="211"/>
        <v>2</v>
      </c>
      <c r="BJ122" s="268">
        <f t="shared" si="211"/>
        <v>3</v>
      </c>
      <c r="BK122" s="268">
        <f t="shared" si="211"/>
        <v>4</v>
      </c>
      <c r="BL122" s="269">
        <f t="shared" si="211"/>
        <v>5</v>
      </c>
      <c r="BM122" s="256">
        <f>IF($BC122=Lookup!$A$2,$BD122*ROUNDUP(BE122/10,0)+1,
IF($BC122=Lookup!$A$3,($BD122+1)^BD122,
IF($BC122=Lookup!$A$4,BE122*$BD122+1,"Error")))</f>
        <v>1</v>
      </c>
      <c r="BN122" s="229">
        <f>IF($BC122=Lookup!$A$2,$BD122*ROUNDUP(BF122/10,0)+1,
IF($BC122=Lookup!$A$3,($BD122+1)^BE122,
IF($BC122=Lookup!$A$4,BF122*$BD122+1,"Error")))</f>
        <v>1</v>
      </c>
      <c r="BO122" s="229">
        <f>IF($BC122=Lookup!$A$2,$BD122*ROUNDUP(BG122/10,0)+1,
IF($BC122=Lookup!$A$3,($BD122+1)^BF122,
IF($BC122=Lookup!$A$4,BG122*$BD122+1,"Error")))</f>
        <v>1</v>
      </c>
      <c r="BP122" s="229">
        <f>IF($BC122=Lookup!$A$2,$BD122*ROUNDUP(BH122/10,0)+1,
IF($BC122=Lookup!$A$3,($BD122+1)^BG122,
IF($BC122=Lookup!$A$4,BH122*$BD122+1,"Error")))</f>
        <v>1</v>
      </c>
      <c r="BQ122" s="229">
        <f>IF($BC122=Lookup!$A$2,$BD122*ROUNDUP(BI122/10,0)+1,
IF($BC122=Lookup!$A$3,($BD122+1)^BH122,
IF($BC122=Lookup!$A$4,BI122*$BD122+1,"Error")))</f>
        <v>1</v>
      </c>
      <c r="BR122" s="229">
        <f>IF($BC122=Lookup!$A$2,$BD122*ROUNDUP(BJ122/10,0)+1,
IF($BC122=Lookup!$A$3,($BD122+1)^BI122,
IF($BC122=Lookup!$A$4,BJ122*$BD122+1,"Error")))</f>
        <v>1</v>
      </c>
      <c r="BS122" s="229">
        <f>IF($BC122=Lookup!$A$2,$BD122*ROUNDUP(BK122/10,0)+1,
IF($BC122=Lookup!$A$3,($BD122+1)^BJ122,
IF($BC122=Lookup!$A$4,BK122*$BD122+1,"Error")))</f>
        <v>1</v>
      </c>
      <c r="BT122" s="249">
        <f>IF($BC122=Lookup!$A$2,$BD122*ROUNDUP(BL122/10,0)+1,
IF($BC122=Lookup!$A$3,($BD122+1)^BK122,
IF($BC122=Lookup!$A$4,BL122*$BD122+1,"Error")))</f>
        <v>1</v>
      </c>
      <c r="BU122" s="320"/>
      <c r="BV122" s="321"/>
      <c r="BW122" s="321"/>
      <c r="BX122" s="321"/>
      <c r="BY122" s="321"/>
      <c r="BZ122" s="321"/>
      <c r="CA122" s="321"/>
      <c r="CB122" s="277"/>
      <c r="CC122" s="382" t="s">
        <v>293</v>
      </c>
      <c r="CD122" s="383">
        <f>HLOOKUP($CC122,$AK$6:$AM$132,ROWS(CC$6:CC122),0)</f>
        <v>0</v>
      </c>
      <c r="CE122" s="234">
        <f t="shared" si="142"/>
        <v>0</v>
      </c>
      <c r="CF122" s="96">
        <f t="shared" si="142"/>
        <v>0</v>
      </c>
      <c r="CG122" s="96">
        <f t="shared" si="142"/>
        <v>0</v>
      </c>
      <c r="CH122" s="96">
        <f t="shared" si="142"/>
        <v>0</v>
      </c>
      <c r="CI122" s="96">
        <f t="shared" si="142"/>
        <v>0</v>
      </c>
      <c r="CJ122" s="96">
        <f t="shared" si="142"/>
        <v>0</v>
      </c>
      <c r="CK122" s="96">
        <f t="shared" si="142"/>
        <v>0</v>
      </c>
      <c r="CL122" s="286">
        <f t="shared" si="194"/>
        <v>0</v>
      </c>
      <c r="CM122" s="305" t="s">
        <v>293</v>
      </c>
      <c r="CN122" s="315">
        <v>0.05</v>
      </c>
      <c r="CO122" s="306"/>
      <c r="CP122" s="307" t="str">
        <f>IF($CO122&lt;&gt;"",$CO122,HLOOKUP($CM122,$AY$6:$BA$132,ROWS(CO$6:CO122),0))</f>
        <v/>
      </c>
      <c r="CQ122" s="784" t="str">
        <f t="shared" si="190"/>
        <v/>
      </c>
      <c r="CR122" s="784" t="str">
        <f t="shared" si="190"/>
        <v/>
      </c>
      <c r="CS122" s="97" t="str">
        <f t="shared" si="190"/>
        <v/>
      </c>
      <c r="CT122" s="97" t="str">
        <f t="shared" si="190"/>
        <v/>
      </c>
      <c r="CU122" s="97" t="str">
        <f t="shared" si="190"/>
        <v/>
      </c>
      <c r="CV122" s="97" t="str">
        <f t="shared" si="190"/>
        <v/>
      </c>
      <c r="CW122" s="97" t="str">
        <f t="shared" si="190"/>
        <v/>
      </c>
      <c r="CX122" s="98" t="str">
        <f t="shared" si="190"/>
        <v/>
      </c>
      <c r="CY122" s="392"/>
    </row>
    <row r="123" spans="1:103" x14ac:dyDescent="0.25">
      <c r="A123" s="81" t="s">
        <v>242</v>
      </c>
      <c r="B123" s="82" t="s">
        <v>249</v>
      </c>
      <c r="C123" s="83" t="s">
        <v>250</v>
      </c>
      <c r="D123" s="84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654">
        <f>'2022-23 Input'!G123</f>
        <v>0</v>
      </c>
      <c r="N123" s="1065">
        <v>0</v>
      </c>
      <c r="O123" s="560">
        <f t="shared" si="139"/>
        <v>0</v>
      </c>
      <c r="P123" s="561">
        <f t="shared" si="113"/>
        <v>0</v>
      </c>
      <c r="Q123" s="561">
        <f t="shared" si="114"/>
        <v>0</v>
      </c>
      <c r="R123" s="561">
        <f t="shared" si="115"/>
        <v>0</v>
      </c>
      <c r="S123" s="561">
        <f t="shared" si="116"/>
        <v>0</v>
      </c>
      <c r="T123" s="561">
        <f t="shared" si="117"/>
        <v>0</v>
      </c>
      <c r="U123" s="561">
        <f t="shared" si="118"/>
        <v>0</v>
      </c>
      <c r="V123" s="561">
        <f t="shared" si="119"/>
        <v>0</v>
      </c>
      <c r="W123" s="675">
        <f t="shared" si="120"/>
        <v>0</v>
      </c>
      <c r="X123" s="675">
        <f t="shared" si="121"/>
        <v>0</v>
      </c>
      <c r="Y123" s="675">
        <f t="shared" si="121"/>
        <v>0</v>
      </c>
      <c r="Z123" s="86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87">
        <v>0</v>
      </c>
      <c r="AI123" s="1094">
        <f>'2022-23 Input'!N123</f>
        <v>0</v>
      </c>
      <c r="AJ123" s="665">
        <v>0</v>
      </c>
      <c r="AK123" s="88">
        <f t="shared" si="174"/>
        <v>0</v>
      </c>
      <c r="AL123" s="89">
        <f t="shared" si="175"/>
        <v>0</v>
      </c>
      <c r="AM123" s="90">
        <f t="shared" si="176"/>
        <v>0</v>
      </c>
      <c r="AN123" s="91" t="str">
        <f t="shared" si="177"/>
        <v/>
      </c>
      <c r="AO123" s="92" t="str">
        <f t="shared" si="178"/>
        <v/>
      </c>
      <c r="AP123" s="92" t="str">
        <f t="shared" si="179"/>
        <v/>
      </c>
      <c r="AQ123" s="92" t="str">
        <f t="shared" si="180"/>
        <v/>
      </c>
      <c r="AR123" s="92" t="str">
        <f t="shared" si="181"/>
        <v/>
      </c>
      <c r="AS123" s="92" t="str">
        <f t="shared" si="182"/>
        <v/>
      </c>
      <c r="AT123" s="92" t="str">
        <f t="shared" si="183"/>
        <v/>
      </c>
      <c r="AU123" s="92" t="str">
        <f t="shared" si="184"/>
        <v/>
      </c>
      <c r="AV123" s="92" t="str">
        <f t="shared" si="207"/>
        <v/>
      </c>
      <c r="AW123" s="92" t="str">
        <f t="shared" si="207"/>
        <v/>
      </c>
      <c r="AX123" s="92" t="str">
        <f t="shared" si="207"/>
        <v/>
      </c>
      <c r="AY123" s="93" t="str">
        <f t="shared" si="186"/>
        <v/>
      </c>
      <c r="AZ123" s="94" t="str">
        <f t="shared" si="187"/>
        <v/>
      </c>
      <c r="BA123" s="95" t="str">
        <f t="shared" si="188"/>
        <v/>
      </c>
      <c r="BB123" s="248" t="s">
        <v>422</v>
      </c>
      <c r="BC123" s="229" t="s">
        <v>433</v>
      </c>
      <c r="BD123" s="249">
        <v>0</v>
      </c>
      <c r="BE123" s="267">
        <f t="shared" si="140"/>
        <v>0</v>
      </c>
      <c r="BF123" s="268">
        <f t="shared" ref="BF123:BL123" si="212">IF(BF$6=$BB123,1,
IF(BE123&lt;&gt;0,BE123+1,0
))</f>
        <v>0</v>
      </c>
      <c r="BG123" s="268">
        <f t="shared" si="212"/>
        <v>0</v>
      </c>
      <c r="BH123" s="268">
        <f t="shared" si="212"/>
        <v>1</v>
      </c>
      <c r="BI123" s="268">
        <f t="shared" si="212"/>
        <v>2</v>
      </c>
      <c r="BJ123" s="268">
        <f t="shared" si="212"/>
        <v>3</v>
      </c>
      <c r="BK123" s="268">
        <f t="shared" si="212"/>
        <v>4</v>
      </c>
      <c r="BL123" s="269">
        <f t="shared" si="212"/>
        <v>5</v>
      </c>
      <c r="BM123" s="256">
        <f>IF($BC123=Lookup!$A$2,$BD123*ROUNDUP(BE123/10,0)+1,
IF($BC123=Lookup!$A$3,($BD123+1)^BD123,
IF($BC123=Lookup!$A$4,BE123*$BD123+1,"Error")))</f>
        <v>1</v>
      </c>
      <c r="BN123" s="229">
        <f>IF($BC123=Lookup!$A$2,$BD123*ROUNDUP(BF123/10,0)+1,
IF($BC123=Lookup!$A$3,($BD123+1)^BE123,
IF($BC123=Lookup!$A$4,BF123*$BD123+1,"Error")))</f>
        <v>1</v>
      </c>
      <c r="BO123" s="229">
        <f>IF($BC123=Lookup!$A$2,$BD123*ROUNDUP(BG123/10,0)+1,
IF($BC123=Lookup!$A$3,($BD123+1)^BF123,
IF($BC123=Lookup!$A$4,BG123*$BD123+1,"Error")))</f>
        <v>1</v>
      </c>
      <c r="BP123" s="229">
        <f>IF($BC123=Lookup!$A$2,$BD123*ROUNDUP(BH123/10,0)+1,
IF($BC123=Lookup!$A$3,($BD123+1)^BG123,
IF($BC123=Lookup!$A$4,BH123*$BD123+1,"Error")))</f>
        <v>1</v>
      </c>
      <c r="BQ123" s="229">
        <f>IF($BC123=Lookup!$A$2,$BD123*ROUNDUP(BI123/10,0)+1,
IF($BC123=Lookup!$A$3,($BD123+1)^BH123,
IF($BC123=Lookup!$A$4,BI123*$BD123+1,"Error")))</f>
        <v>1</v>
      </c>
      <c r="BR123" s="229">
        <f>IF($BC123=Lookup!$A$2,$BD123*ROUNDUP(BJ123/10,0)+1,
IF($BC123=Lookup!$A$3,($BD123+1)^BI123,
IF($BC123=Lookup!$A$4,BJ123*$BD123+1,"Error")))</f>
        <v>1</v>
      </c>
      <c r="BS123" s="229">
        <f>IF($BC123=Lookup!$A$2,$BD123*ROUNDUP(BK123/10,0)+1,
IF($BC123=Lookup!$A$3,($BD123+1)^BJ123,
IF($BC123=Lookup!$A$4,BK123*$BD123+1,"Error")))</f>
        <v>1</v>
      </c>
      <c r="BT123" s="249">
        <f>IF($BC123=Lookup!$A$2,$BD123*ROUNDUP(BL123/10,0)+1,
IF($BC123=Lookup!$A$3,($BD123+1)^BK123,
IF($BC123=Lookup!$A$4,BL123*$BD123+1,"Error")))</f>
        <v>1</v>
      </c>
      <c r="BU123" s="320">
        <v>0</v>
      </c>
      <c r="BV123" s="321">
        <v>0</v>
      </c>
      <c r="BW123" s="321">
        <v>0</v>
      </c>
      <c r="BX123" s="321">
        <v>0</v>
      </c>
      <c r="BY123" s="321">
        <v>0</v>
      </c>
      <c r="BZ123" s="321">
        <v>0</v>
      </c>
      <c r="CA123" s="321">
        <v>0</v>
      </c>
      <c r="CB123" s="277">
        <v>0</v>
      </c>
      <c r="CC123" s="382" t="s">
        <v>293</v>
      </c>
      <c r="CD123" s="383">
        <f>HLOOKUP($CC123,$AK$6:$AM$132,ROWS(CC$6:CC123),0)</f>
        <v>0</v>
      </c>
      <c r="CE123" s="234">
        <f t="shared" si="142"/>
        <v>0</v>
      </c>
      <c r="CF123" s="96">
        <f t="shared" si="142"/>
        <v>0</v>
      </c>
      <c r="CG123" s="96">
        <f t="shared" si="142"/>
        <v>0</v>
      </c>
      <c r="CH123" s="96">
        <f t="shared" ref="CH123:CK132" si="213">IFERROR(IF(BX123&lt;&gt;"",BX123,BP123*$CD123),"")</f>
        <v>0</v>
      </c>
      <c r="CI123" s="96">
        <f t="shared" si="213"/>
        <v>0</v>
      </c>
      <c r="CJ123" s="96">
        <f t="shared" si="213"/>
        <v>0</v>
      </c>
      <c r="CK123" s="96">
        <f t="shared" si="213"/>
        <v>0</v>
      </c>
      <c r="CL123" s="286">
        <f t="shared" si="194"/>
        <v>0</v>
      </c>
      <c r="CM123" s="305" t="s">
        <v>293</v>
      </c>
      <c r="CN123" s="315">
        <v>0.05</v>
      </c>
      <c r="CO123" s="306"/>
      <c r="CP123" s="307" t="str">
        <f>IF($CO123&lt;&gt;"",$CO123,HLOOKUP($CM123,$AY$6:$BA$132,ROWS(CO$6:CO123),0))</f>
        <v/>
      </c>
      <c r="CQ123" s="784" t="str">
        <f t="shared" si="190"/>
        <v/>
      </c>
      <c r="CR123" s="784" t="str">
        <f t="shared" si="190"/>
        <v/>
      </c>
      <c r="CS123" s="97" t="str">
        <f t="shared" si="190"/>
        <v/>
      </c>
      <c r="CT123" s="97" t="str">
        <f t="shared" si="190"/>
        <v/>
      </c>
      <c r="CU123" s="97" t="str">
        <f t="shared" si="190"/>
        <v/>
      </c>
      <c r="CV123" s="97" t="str">
        <f t="shared" si="190"/>
        <v/>
      </c>
      <c r="CW123" s="97" t="str">
        <f t="shared" si="190"/>
        <v/>
      </c>
      <c r="CX123" s="98" t="str">
        <f t="shared" si="190"/>
        <v/>
      </c>
      <c r="CY123" s="392"/>
    </row>
    <row r="124" spans="1:103" x14ac:dyDescent="0.25">
      <c r="A124" s="81" t="s">
        <v>242</v>
      </c>
      <c r="B124" s="82" t="s">
        <v>251</v>
      </c>
      <c r="C124" s="83" t="s">
        <v>252</v>
      </c>
      <c r="D124" s="84">
        <v>4198.0699237157569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54487.563675813035</v>
      </c>
      <c r="M124" s="654">
        <f>'2022-23 Input'!G124</f>
        <v>-13494.56</v>
      </c>
      <c r="N124" s="1065">
        <v>0</v>
      </c>
      <c r="O124" s="560">
        <f t="shared" si="139"/>
        <v>5648.3197073344363</v>
      </c>
      <c r="P124" s="561">
        <f t="shared" si="113"/>
        <v>0</v>
      </c>
      <c r="Q124" s="561">
        <f t="shared" si="114"/>
        <v>0</v>
      </c>
      <c r="R124" s="561">
        <f t="shared" si="115"/>
        <v>0</v>
      </c>
      <c r="S124" s="561">
        <f t="shared" si="116"/>
        <v>0</v>
      </c>
      <c r="T124" s="561">
        <f t="shared" si="117"/>
        <v>0</v>
      </c>
      <c r="U124" s="561">
        <f t="shared" si="118"/>
        <v>0</v>
      </c>
      <c r="V124" s="561">
        <f t="shared" si="119"/>
        <v>0</v>
      </c>
      <c r="W124" s="675">
        <f t="shared" si="120"/>
        <v>61566.982110131015</v>
      </c>
      <c r="X124" s="675">
        <f t="shared" si="121"/>
        <v>-14350.937274805343</v>
      </c>
      <c r="Y124" s="675">
        <f t="shared" si="121"/>
        <v>0</v>
      </c>
      <c r="Z124" s="86">
        <v>468</v>
      </c>
      <c r="AA124" s="87">
        <v>0</v>
      </c>
      <c r="AB124" s="87">
        <v>0</v>
      </c>
      <c r="AC124" s="87">
        <v>0</v>
      </c>
      <c r="AD124" s="87">
        <v>0</v>
      </c>
      <c r="AE124" s="87">
        <v>0</v>
      </c>
      <c r="AF124" s="87">
        <v>485</v>
      </c>
      <c r="AG124" s="87">
        <v>0</v>
      </c>
      <c r="AH124" s="87">
        <v>0</v>
      </c>
      <c r="AI124" s="1094">
        <f>'2022-23 Input'!N124</f>
        <v>534</v>
      </c>
      <c r="AJ124" s="665">
        <v>0</v>
      </c>
      <c r="AK124" s="88">
        <f t="shared" si="174"/>
        <v>203.8</v>
      </c>
      <c r="AL124" s="89">
        <f t="shared" si="175"/>
        <v>178</v>
      </c>
      <c r="AM124" s="90">
        <f t="shared" si="176"/>
        <v>534</v>
      </c>
      <c r="AN124" s="91">
        <f t="shared" si="177"/>
        <v>8.970234879734523</v>
      </c>
      <c r="AO124" s="92" t="str">
        <f t="shared" si="178"/>
        <v/>
      </c>
      <c r="AP124" s="92" t="str">
        <f t="shared" si="179"/>
        <v/>
      </c>
      <c r="AQ124" s="92" t="str">
        <f t="shared" si="180"/>
        <v/>
      </c>
      <c r="AR124" s="92" t="str">
        <f t="shared" si="181"/>
        <v/>
      </c>
      <c r="AS124" s="92" t="str">
        <f t="shared" si="182"/>
        <v/>
      </c>
      <c r="AT124" s="92">
        <f t="shared" si="183"/>
        <v>0</v>
      </c>
      <c r="AU124" s="92" t="str">
        <f t="shared" si="184"/>
        <v/>
      </c>
      <c r="AV124" s="92" t="str">
        <f t="shared" si="207"/>
        <v/>
      </c>
      <c r="AW124" s="92">
        <f t="shared" si="207"/>
        <v>-25.270711610486892</v>
      </c>
      <c r="AX124" s="92" t="str">
        <f t="shared" si="207"/>
        <v/>
      </c>
      <c r="AY124" s="93">
        <f t="shared" si="186"/>
        <v>40.228659151926436</v>
      </c>
      <c r="AZ124" s="94">
        <f t="shared" si="187"/>
        <v>76.765924486541266</v>
      </c>
      <c r="BA124" s="95">
        <f t="shared" si="188"/>
        <v>-25.270711610486892</v>
      </c>
      <c r="BB124" s="248" t="s">
        <v>422</v>
      </c>
      <c r="BC124" s="229" t="s">
        <v>433</v>
      </c>
      <c r="BD124" s="249">
        <v>0</v>
      </c>
      <c r="BE124" s="267">
        <f t="shared" si="140"/>
        <v>0</v>
      </c>
      <c r="BF124" s="268">
        <f t="shared" ref="BF124:BL124" si="214">IF(BF$6=$BB124,1,
IF(BE124&lt;&gt;0,BE124+1,0
))</f>
        <v>0</v>
      </c>
      <c r="BG124" s="268">
        <f t="shared" si="214"/>
        <v>0</v>
      </c>
      <c r="BH124" s="268">
        <f t="shared" si="214"/>
        <v>1</v>
      </c>
      <c r="BI124" s="268">
        <f t="shared" si="214"/>
        <v>2</v>
      </c>
      <c r="BJ124" s="268">
        <f t="shared" si="214"/>
        <v>3</v>
      </c>
      <c r="BK124" s="268">
        <f t="shared" si="214"/>
        <v>4</v>
      </c>
      <c r="BL124" s="269">
        <f t="shared" si="214"/>
        <v>5</v>
      </c>
      <c r="BM124" s="256">
        <f>IF($BC124=Lookup!$A$2,$BD124*ROUNDUP(BE124/10,0)+1,
IF($BC124=Lookup!$A$3,($BD124+1)^BD124,
IF($BC124=Lookup!$A$4,BE124*$BD124+1,"Error")))</f>
        <v>1</v>
      </c>
      <c r="BN124" s="229">
        <f>IF($BC124=Lookup!$A$2,$BD124*ROUNDUP(BF124/10,0)+1,
IF($BC124=Lookup!$A$3,($BD124+1)^BE124,
IF($BC124=Lookup!$A$4,BF124*$BD124+1,"Error")))</f>
        <v>1</v>
      </c>
      <c r="BO124" s="229">
        <f>IF($BC124=Lookup!$A$2,$BD124*ROUNDUP(BG124/10,0)+1,
IF($BC124=Lookup!$A$3,($BD124+1)^BF124,
IF($BC124=Lookup!$A$4,BG124*$BD124+1,"Error")))</f>
        <v>1</v>
      </c>
      <c r="BP124" s="229">
        <f>IF($BC124=Lookup!$A$2,$BD124*ROUNDUP(BH124/10,0)+1,
IF($BC124=Lookup!$A$3,($BD124+1)^BG124,
IF($BC124=Lookup!$A$4,BH124*$BD124+1,"Error")))</f>
        <v>1</v>
      </c>
      <c r="BQ124" s="229">
        <f>IF($BC124=Lookup!$A$2,$BD124*ROUNDUP(BI124/10,0)+1,
IF($BC124=Lookup!$A$3,($BD124+1)^BH124,
IF($BC124=Lookup!$A$4,BI124*$BD124+1,"Error")))</f>
        <v>1</v>
      </c>
      <c r="BR124" s="229">
        <f>IF($BC124=Lookup!$A$2,$BD124*ROUNDUP(BJ124/10,0)+1,
IF($BC124=Lookup!$A$3,($BD124+1)^BI124,
IF($BC124=Lookup!$A$4,BJ124*$BD124+1,"Error")))</f>
        <v>1</v>
      </c>
      <c r="BS124" s="229">
        <f>IF($BC124=Lookup!$A$2,$BD124*ROUNDUP(BK124/10,0)+1,
IF($BC124=Lookup!$A$3,($BD124+1)^BJ124,
IF($BC124=Lookup!$A$4,BK124*$BD124+1,"Error")))</f>
        <v>1</v>
      </c>
      <c r="BT124" s="249">
        <f>IF($BC124=Lookup!$A$2,$BD124*ROUNDUP(BL124/10,0)+1,
IF($BC124=Lookup!$A$3,($BD124+1)^BK124,
IF($BC124=Lookup!$A$4,BL124*$BD124+1,"Error")))</f>
        <v>1</v>
      </c>
      <c r="BU124" s="320">
        <v>0</v>
      </c>
      <c r="BV124" s="321">
        <v>0</v>
      </c>
      <c r="BW124" s="321">
        <v>0</v>
      </c>
      <c r="BX124" s="321">
        <v>0</v>
      </c>
      <c r="BY124" s="321">
        <v>0</v>
      </c>
      <c r="BZ124" s="321">
        <v>0</v>
      </c>
      <c r="CA124" s="321">
        <v>0</v>
      </c>
      <c r="CB124" s="277">
        <v>0</v>
      </c>
      <c r="CC124" s="382" t="s">
        <v>293</v>
      </c>
      <c r="CD124" s="383">
        <f>HLOOKUP($CC124,$AK$6:$AM$132,ROWS(CC$6:CC124),0)</f>
        <v>178</v>
      </c>
      <c r="CE124" s="234">
        <f t="shared" ref="CE124:CG132" si="215">IFERROR(IF(BU124&lt;&gt;"",BU124,BM124*$CD124),"")</f>
        <v>0</v>
      </c>
      <c r="CF124" s="96">
        <f t="shared" si="215"/>
        <v>0</v>
      </c>
      <c r="CG124" s="96">
        <f t="shared" si="215"/>
        <v>0</v>
      </c>
      <c r="CH124" s="96">
        <f t="shared" si="213"/>
        <v>0</v>
      </c>
      <c r="CI124" s="96">
        <f t="shared" si="213"/>
        <v>0</v>
      </c>
      <c r="CJ124" s="96">
        <f t="shared" si="213"/>
        <v>0</v>
      </c>
      <c r="CK124" s="96">
        <f t="shared" si="213"/>
        <v>0</v>
      </c>
      <c r="CL124" s="286">
        <f t="shared" si="194"/>
        <v>0</v>
      </c>
      <c r="CM124" s="305" t="s">
        <v>293</v>
      </c>
      <c r="CN124" s="315">
        <v>0.05</v>
      </c>
      <c r="CO124" s="306"/>
      <c r="CP124" s="307">
        <f>IF($CO124&lt;&gt;"",$CO124,HLOOKUP($CM124,$AY$6:$BA$132,ROWS(CO$6:CO124),0))</f>
        <v>76.765924486541266</v>
      </c>
      <c r="CQ124" s="784">
        <f t="shared" si="190"/>
        <v>0</v>
      </c>
      <c r="CR124" s="784">
        <f t="shared" si="190"/>
        <v>0</v>
      </c>
      <c r="CS124" s="97">
        <f t="shared" si="190"/>
        <v>0</v>
      </c>
      <c r="CT124" s="97">
        <f t="shared" si="190"/>
        <v>0</v>
      </c>
      <c r="CU124" s="97">
        <f t="shared" si="190"/>
        <v>0</v>
      </c>
      <c r="CV124" s="97">
        <f t="shared" si="190"/>
        <v>0</v>
      </c>
      <c r="CW124" s="97">
        <f t="shared" si="190"/>
        <v>0</v>
      </c>
      <c r="CX124" s="98">
        <f t="shared" si="190"/>
        <v>0</v>
      </c>
      <c r="CY124" s="392"/>
    </row>
    <row r="125" spans="1:103" x14ac:dyDescent="0.25">
      <c r="A125" s="81" t="s">
        <v>242</v>
      </c>
      <c r="B125" s="82" t="s">
        <v>253</v>
      </c>
      <c r="C125" s="83" t="s">
        <v>254</v>
      </c>
      <c r="D125" s="84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654">
        <f>'2022-23 Input'!G125</f>
        <v>0</v>
      </c>
      <c r="N125" s="1065">
        <v>0</v>
      </c>
      <c r="O125" s="560">
        <f t="shared" si="139"/>
        <v>0</v>
      </c>
      <c r="P125" s="561">
        <f t="shared" si="113"/>
        <v>0</v>
      </c>
      <c r="Q125" s="561">
        <f t="shared" si="114"/>
        <v>0</v>
      </c>
      <c r="R125" s="561">
        <f t="shared" si="115"/>
        <v>0</v>
      </c>
      <c r="S125" s="561">
        <f t="shared" si="116"/>
        <v>0</v>
      </c>
      <c r="T125" s="561">
        <f t="shared" si="117"/>
        <v>0</v>
      </c>
      <c r="U125" s="561">
        <f t="shared" si="118"/>
        <v>0</v>
      </c>
      <c r="V125" s="561">
        <f t="shared" si="119"/>
        <v>0</v>
      </c>
      <c r="W125" s="675">
        <f t="shared" si="120"/>
        <v>0</v>
      </c>
      <c r="X125" s="675">
        <f t="shared" si="121"/>
        <v>0</v>
      </c>
      <c r="Y125" s="675">
        <f t="shared" si="121"/>
        <v>0</v>
      </c>
      <c r="Z125" s="86">
        <v>0</v>
      </c>
      <c r="AA125" s="87">
        <v>0</v>
      </c>
      <c r="AB125" s="87">
        <v>0</v>
      </c>
      <c r="AC125" s="87">
        <v>0</v>
      </c>
      <c r="AD125" s="87">
        <v>0</v>
      </c>
      <c r="AE125" s="87">
        <v>0</v>
      </c>
      <c r="AF125" s="87">
        <v>0</v>
      </c>
      <c r="AG125" s="87">
        <v>0</v>
      </c>
      <c r="AH125" s="87">
        <v>0</v>
      </c>
      <c r="AI125" s="1094">
        <f>'2022-23 Input'!N125</f>
        <v>0</v>
      </c>
      <c r="AJ125" s="665">
        <v>0</v>
      </c>
      <c r="AK125" s="88">
        <f t="shared" si="174"/>
        <v>0</v>
      </c>
      <c r="AL125" s="89">
        <f t="shared" si="175"/>
        <v>0</v>
      </c>
      <c r="AM125" s="90">
        <f t="shared" si="176"/>
        <v>0</v>
      </c>
      <c r="AN125" s="91" t="str">
        <f t="shared" si="177"/>
        <v/>
      </c>
      <c r="AO125" s="92" t="str">
        <f t="shared" si="178"/>
        <v/>
      </c>
      <c r="AP125" s="92" t="str">
        <f t="shared" si="179"/>
        <v/>
      </c>
      <c r="AQ125" s="92" t="str">
        <f t="shared" si="180"/>
        <v/>
      </c>
      <c r="AR125" s="92" t="str">
        <f t="shared" si="181"/>
        <v/>
      </c>
      <c r="AS125" s="92" t="str">
        <f t="shared" si="182"/>
        <v/>
      </c>
      <c r="AT125" s="92" t="str">
        <f t="shared" si="183"/>
        <v/>
      </c>
      <c r="AU125" s="92" t="str">
        <f t="shared" si="184"/>
        <v/>
      </c>
      <c r="AV125" s="92" t="str">
        <f t="shared" si="207"/>
        <v/>
      </c>
      <c r="AW125" s="92" t="str">
        <f t="shared" si="207"/>
        <v/>
      </c>
      <c r="AX125" s="92" t="str">
        <f t="shared" si="207"/>
        <v/>
      </c>
      <c r="AY125" s="93" t="str">
        <f t="shared" si="186"/>
        <v/>
      </c>
      <c r="AZ125" s="94" t="str">
        <f t="shared" si="187"/>
        <v/>
      </c>
      <c r="BA125" s="95" t="str">
        <f t="shared" si="188"/>
        <v/>
      </c>
      <c r="BB125" s="248" t="s">
        <v>422</v>
      </c>
      <c r="BC125" s="229" t="s">
        <v>433</v>
      </c>
      <c r="BD125" s="249">
        <v>0</v>
      </c>
      <c r="BE125" s="267">
        <f t="shared" si="140"/>
        <v>0</v>
      </c>
      <c r="BF125" s="268">
        <f t="shared" ref="BF125:BL125" si="216">IF(BF$6=$BB125,1,
IF(BE125&lt;&gt;0,BE125+1,0
))</f>
        <v>0</v>
      </c>
      <c r="BG125" s="268">
        <f t="shared" si="216"/>
        <v>0</v>
      </c>
      <c r="BH125" s="268">
        <f t="shared" si="216"/>
        <v>1</v>
      </c>
      <c r="BI125" s="268">
        <f t="shared" si="216"/>
        <v>2</v>
      </c>
      <c r="BJ125" s="268">
        <f t="shared" si="216"/>
        <v>3</v>
      </c>
      <c r="BK125" s="268">
        <f t="shared" si="216"/>
        <v>4</v>
      </c>
      <c r="BL125" s="269">
        <f t="shared" si="216"/>
        <v>5</v>
      </c>
      <c r="BM125" s="256">
        <f>IF($BC125=Lookup!$A$2,$BD125*ROUNDUP(BE125/10,0)+1,
IF($BC125=Lookup!$A$3,($BD125+1)^BD125,
IF($BC125=Lookup!$A$4,BE125*$BD125+1,"Error")))</f>
        <v>1</v>
      </c>
      <c r="BN125" s="229">
        <f>IF($BC125=Lookup!$A$2,$BD125*ROUNDUP(BF125/10,0)+1,
IF($BC125=Lookup!$A$3,($BD125+1)^BE125,
IF($BC125=Lookup!$A$4,BF125*$BD125+1,"Error")))</f>
        <v>1</v>
      </c>
      <c r="BO125" s="229">
        <f>IF($BC125=Lookup!$A$2,$BD125*ROUNDUP(BG125/10,0)+1,
IF($BC125=Lookup!$A$3,($BD125+1)^BF125,
IF($BC125=Lookup!$A$4,BG125*$BD125+1,"Error")))</f>
        <v>1</v>
      </c>
      <c r="BP125" s="229">
        <f>IF($BC125=Lookup!$A$2,$BD125*ROUNDUP(BH125/10,0)+1,
IF($BC125=Lookup!$A$3,($BD125+1)^BG125,
IF($BC125=Lookup!$A$4,BH125*$BD125+1,"Error")))</f>
        <v>1</v>
      </c>
      <c r="BQ125" s="229">
        <f>IF($BC125=Lookup!$A$2,$BD125*ROUNDUP(BI125/10,0)+1,
IF($BC125=Lookup!$A$3,($BD125+1)^BH125,
IF($BC125=Lookup!$A$4,BI125*$BD125+1,"Error")))</f>
        <v>1</v>
      </c>
      <c r="BR125" s="229">
        <f>IF($BC125=Lookup!$A$2,$BD125*ROUNDUP(BJ125/10,0)+1,
IF($BC125=Lookup!$A$3,($BD125+1)^BI125,
IF($BC125=Lookup!$A$4,BJ125*$BD125+1,"Error")))</f>
        <v>1</v>
      </c>
      <c r="BS125" s="229">
        <f>IF($BC125=Lookup!$A$2,$BD125*ROUNDUP(BK125/10,0)+1,
IF($BC125=Lookup!$A$3,($BD125+1)^BJ125,
IF($BC125=Lookup!$A$4,BK125*$BD125+1,"Error")))</f>
        <v>1</v>
      </c>
      <c r="BT125" s="249">
        <f>IF($BC125=Lookup!$A$2,$BD125*ROUNDUP(BL125/10,0)+1,
IF($BC125=Lookup!$A$3,($BD125+1)^BK125,
IF($BC125=Lookup!$A$4,BL125*$BD125+1,"Error")))</f>
        <v>1</v>
      </c>
      <c r="BU125" s="320"/>
      <c r="BV125" s="321"/>
      <c r="BW125" s="321"/>
      <c r="BX125" s="321"/>
      <c r="BY125" s="321"/>
      <c r="BZ125" s="321"/>
      <c r="CA125" s="321"/>
      <c r="CB125" s="277"/>
      <c r="CC125" s="382" t="s">
        <v>293</v>
      </c>
      <c r="CD125" s="383">
        <f>HLOOKUP($CC125,$AK$6:$AM$132,ROWS(CC$6:CC125),0)</f>
        <v>0</v>
      </c>
      <c r="CE125" s="234">
        <f t="shared" si="215"/>
        <v>0</v>
      </c>
      <c r="CF125" s="96">
        <f t="shared" si="215"/>
        <v>0</v>
      </c>
      <c r="CG125" s="96">
        <f t="shared" si="215"/>
        <v>0</v>
      </c>
      <c r="CH125" s="96">
        <f t="shared" si="213"/>
        <v>0</v>
      </c>
      <c r="CI125" s="96">
        <f t="shared" si="213"/>
        <v>0</v>
      </c>
      <c r="CJ125" s="96">
        <f t="shared" si="213"/>
        <v>0</v>
      </c>
      <c r="CK125" s="96">
        <f t="shared" si="213"/>
        <v>0</v>
      </c>
      <c r="CL125" s="286">
        <f t="shared" si="194"/>
        <v>0</v>
      </c>
      <c r="CM125" s="305" t="s">
        <v>293</v>
      </c>
      <c r="CN125" s="315">
        <v>0.05</v>
      </c>
      <c r="CO125" s="306"/>
      <c r="CP125" s="307" t="str">
        <f>IF($CO125&lt;&gt;"",$CO125,HLOOKUP($CM125,$AY$6:$BA$132,ROWS(CO$6:CO125),0))</f>
        <v/>
      </c>
      <c r="CQ125" s="784" t="str">
        <f t="shared" si="190"/>
        <v/>
      </c>
      <c r="CR125" s="784" t="str">
        <f t="shared" si="190"/>
        <v/>
      </c>
      <c r="CS125" s="97" t="str">
        <f t="shared" si="190"/>
        <v/>
      </c>
      <c r="CT125" s="97" t="str">
        <f t="shared" si="190"/>
        <v/>
      </c>
      <c r="CU125" s="97" t="str">
        <f t="shared" si="190"/>
        <v/>
      </c>
      <c r="CV125" s="97" t="str">
        <f t="shared" si="190"/>
        <v/>
      </c>
      <c r="CW125" s="97" t="str">
        <f t="shared" si="190"/>
        <v/>
      </c>
      <c r="CX125" s="98" t="str">
        <f t="shared" si="190"/>
        <v/>
      </c>
      <c r="CY125" s="392"/>
    </row>
    <row r="126" spans="1:103" ht="15.75" thickBot="1" x14ac:dyDescent="0.3">
      <c r="A126" s="81" t="s">
        <v>242</v>
      </c>
      <c r="B126" s="82" t="s">
        <v>399</v>
      </c>
      <c r="C126" s="102" t="s">
        <v>400</v>
      </c>
      <c r="D126" s="103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655">
        <f>'2022-23 Input'!G126</f>
        <v>0</v>
      </c>
      <c r="N126" s="1066">
        <v>0</v>
      </c>
      <c r="O126" s="563">
        <f t="shared" si="139"/>
        <v>0</v>
      </c>
      <c r="P126" s="564">
        <f t="shared" si="113"/>
        <v>0</v>
      </c>
      <c r="Q126" s="564">
        <f t="shared" si="114"/>
        <v>0</v>
      </c>
      <c r="R126" s="564">
        <f t="shared" si="115"/>
        <v>0</v>
      </c>
      <c r="S126" s="564">
        <f t="shared" si="116"/>
        <v>0</v>
      </c>
      <c r="T126" s="564">
        <f t="shared" si="117"/>
        <v>0</v>
      </c>
      <c r="U126" s="564">
        <f t="shared" si="118"/>
        <v>0</v>
      </c>
      <c r="V126" s="564">
        <f t="shared" si="119"/>
        <v>0</v>
      </c>
      <c r="W126" s="676">
        <f t="shared" si="120"/>
        <v>0</v>
      </c>
      <c r="X126" s="676">
        <f t="shared" si="121"/>
        <v>0</v>
      </c>
      <c r="Y126" s="676">
        <f t="shared" si="121"/>
        <v>0</v>
      </c>
      <c r="Z126" s="105">
        <v>0</v>
      </c>
      <c r="AA126" s="106">
        <v>0</v>
      </c>
      <c r="AB126" s="106">
        <v>0</v>
      </c>
      <c r="AC126" s="106">
        <v>0</v>
      </c>
      <c r="AD126" s="106">
        <v>0</v>
      </c>
      <c r="AE126" s="106">
        <v>0</v>
      </c>
      <c r="AF126" s="106">
        <v>0</v>
      </c>
      <c r="AG126" s="106">
        <v>0</v>
      </c>
      <c r="AH126" s="106">
        <v>0</v>
      </c>
      <c r="AI126" s="1095">
        <f>'2022-23 Input'!N126</f>
        <v>0</v>
      </c>
      <c r="AJ126" s="666">
        <v>0</v>
      </c>
      <c r="AK126" s="107">
        <f t="shared" si="174"/>
        <v>0</v>
      </c>
      <c r="AL126" s="108">
        <f t="shared" si="175"/>
        <v>0</v>
      </c>
      <c r="AM126" s="109">
        <f t="shared" si="176"/>
        <v>0</v>
      </c>
      <c r="AN126" s="110" t="str">
        <f t="shared" si="177"/>
        <v/>
      </c>
      <c r="AO126" s="111" t="str">
        <f t="shared" si="178"/>
        <v/>
      </c>
      <c r="AP126" s="111" t="str">
        <f t="shared" si="179"/>
        <v/>
      </c>
      <c r="AQ126" s="111" t="str">
        <f t="shared" si="180"/>
        <v/>
      </c>
      <c r="AR126" s="111" t="str">
        <f t="shared" si="181"/>
        <v/>
      </c>
      <c r="AS126" s="111" t="str">
        <f t="shared" si="182"/>
        <v/>
      </c>
      <c r="AT126" s="111" t="str">
        <f t="shared" si="183"/>
        <v/>
      </c>
      <c r="AU126" s="111" t="str">
        <f t="shared" si="184"/>
        <v/>
      </c>
      <c r="AV126" s="111" t="str">
        <f t="shared" si="207"/>
        <v/>
      </c>
      <c r="AW126" s="111" t="str">
        <f t="shared" si="207"/>
        <v/>
      </c>
      <c r="AX126" s="111" t="str">
        <f t="shared" si="207"/>
        <v/>
      </c>
      <c r="AY126" s="112" t="str">
        <f t="shared" si="186"/>
        <v/>
      </c>
      <c r="AZ126" s="113" t="str">
        <f t="shared" si="187"/>
        <v/>
      </c>
      <c r="BA126" s="114" t="str">
        <f t="shared" si="188"/>
        <v/>
      </c>
      <c r="BB126" s="250" t="s">
        <v>422</v>
      </c>
      <c r="BC126" s="230" t="s">
        <v>433</v>
      </c>
      <c r="BD126" s="251">
        <v>0</v>
      </c>
      <c r="BE126" s="270">
        <f t="shared" si="140"/>
        <v>0</v>
      </c>
      <c r="BF126" s="271">
        <f t="shared" ref="BF126:BL126" si="217">IF(BF$6=$BB126,1,
IF(BE126&lt;&gt;0,BE126+1,0
))</f>
        <v>0</v>
      </c>
      <c r="BG126" s="271">
        <f t="shared" si="217"/>
        <v>0</v>
      </c>
      <c r="BH126" s="271">
        <f t="shared" si="217"/>
        <v>1</v>
      </c>
      <c r="BI126" s="271">
        <f t="shared" si="217"/>
        <v>2</v>
      </c>
      <c r="BJ126" s="271">
        <f t="shared" si="217"/>
        <v>3</v>
      </c>
      <c r="BK126" s="271">
        <f t="shared" si="217"/>
        <v>4</v>
      </c>
      <c r="BL126" s="272">
        <f t="shared" si="217"/>
        <v>5</v>
      </c>
      <c r="BM126" s="257">
        <f>IF($BC126=Lookup!$A$2,$BD126*ROUNDUP(BE126/10,0)+1,
IF($BC126=Lookup!$A$3,($BD126+1)^BD126,
IF($BC126=Lookup!$A$4,BE126*$BD126+1,"Error")))</f>
        <v>1</v>
      </c>
      <c r="BN126" s="230">
        <f>IF($BC126=Lookup!$A$2,$BD126*ROUNDUP(BF126/10,0)+1,
IF($BC126=Lookup!$A$3,($BD126+1)^BE126,
IF($BC126=Lookup!$A$4,BF126*$BD126+1,"Error")))</f>
        <v>1</v>
      </c>
      <c r="BO126" s="230">
        <f>IF($BC126=Lookup!$A$2,$BD126*ROUNDUP(BG126/10,0)+1,
IF($BC126=Lookup!$A$3,($BD126+1)^BF126,
IF($BC126=Lookup!$A$4,BG126*$BD126+1,"Error")))</f>
        <v>1</v>
      </c>
      <c r="BP126" s="230">
        <f>IF($BC126=Lookup!$A$2,$BD126*ROUNDUP(BH126/10,0)+1,
IF($BC126=Lookup!$A$3,($BD126+1)^BG126,
IF($BC126=Lookup!$A$4,BH126*$BD126+1,"Error")))</f>
        <v>1</v>
      </c>
      <c r="BQ126" s="230">
        <f>IF($BC126=Lookup!$A$2,$BD126*ROUNDUP(BI126/10,0)+1,
IF($BC126=Lookup!$A$3,($BD126+1)^BH126,
IF($BC126=Lookup!$A$4,BI126*$BD126+1,"Error")))</f>
        <v>1</v>
      </c>
      <c r="BR126" s="230">
        <f>IF($BC126=Lookup!$A$2,$BD126*ROUNDUP(BJ126/10,0)+1,
IF($BC126=Lookup!$A$3,($BD126+1)^BI126,
IF($BC126=Lookup!$A$4,BJ126*$BD126+1,"Error")))</f>
        <v>1</v>
      </c>
      <c r="BS126" s="230">
        <f>IF($BC126=Lookup!$A$2,$BD126*ROUNDUP(BK126/10,0)+1,
IF($BC126=Lookup!$A$3,($BD126+1)^BJ126,
IF($BC126=Lookup!$A$4,BK126*$BD126+1,"Error")))</f>
        <v>1</v>
      </c>
      <c r="BT126" s="251">
        <f>IF($BC126=Lookup!$A$2,$BD126*ROUNDUP(BL126/10,0)+1,
IF($BC126=Lookup!$A$3,($BD126+1)^BK126,
IF($BC126=Lookup!$A$4,BL126*$BD126+1,"Error")))</f>
        <v>1</v>
      </c>
      <c r="BU126" s="322"/>
      <c r="BV126" s="323"/>
      <c r="BW126" s="323"/>
      <c r="BX126" s="323"/>
      <c r="BY126" s="323"/>
      <c r="BZ126" s="323"/>
      <c r="CA126" s="323"/>
      <c r="CB126" s="278"/>
      <c r="CC126" s="384" t="s">
        <v>293</v>
      </c>
      <c r="CD126" s="385">
        <f>HLOOKUP($CC126,$AK$6:$AM$132,ROWS(CC$6:CC126),0)</f>
        <v>0</v>
      </c>
      <c r="CE126" s="235">
        <f t="shared" si="215"/>
        <v>0</v>
      </c>
      <c r="CF126" s="115">
        <f t="shared" si="215"/>
        <v>0</v>
      </c>
      <c r="CG126" s="115">
        <f t="shared" si="215"/>
        <v>0</v>
      </c>
      <c r="CH126" s="115">
        <f t="shared" si="213"/>
        <v>0</v>
      </c>
      <c r="CI126" s="115">
        <f t="shared" si="213"/>
        <v>0</v>
      </c>
      <c r="CJ126" s="115">
        <f t="shared" si="213"/>
        <v>0</v>
      </c>
      <c r="CK126" s="115">
        <f t="shared" si="213"/>
        <v>0</v>
      </c>
      <c r="CL126" s="287">
        <f t="shared" si="194"/>
        <v>0</v>
      </c>
      <c r="CM126" s="308" t="s">
        <v>293</v>
      </c>
      <c r="CN126" s="316">
        <v>0.05</v>
      </c>
      <c r="CO126" s="309"/>
      <c r="CP126" s="310" t="str">
        <f>IF($CO126&lt;&gt;"",$CO126,HLOOKUP($CM126,$AY$6:$BA$132,ROWS(CO$6:CO126),0))</f>
        <v/>
      </c>
      <c r="CQ126" s="785" t="str">
        <f t="shared" si="190"/>
        <v/>
      </c>
      <c r="CR126" s="785" t="str">
        <f t="shared" si="190"/>
        <v/>
      </c>
      <c r="CS126" s="117" t="str">
        <f t="shared" si="190"/>
        <v/>
      </c>
      <c r="CT126" s="117" t="str">
        <f t="shared" si="190"/>
        <v/>
      </c>
      <c r="CU126" s="117" t="str">
        <f t="shared" si="190"/>
        <v/>
      </c>
      <c r="CV126" s="117" t="str">
        <f t="shared" si="190"/>
        <v/>
      </c>
      <c r="CW126" s="117" t="str">
        <f t="shared" si="190"/>
        <v/>
      </c>
      <c r="CX126" s="118" t="str">
        <f t="shared" si="190"/>
        <v/>
      </c>
      <c r="CY126" s="393"/>
    </row>
    <row r="127" spans="1:103" x14ac:dyDescent="0.25">
      <c r="A127" s="81" t="s">
        <v>258</v>
      </c>
      <c r="B127" s="82" t="s">
        <v>255</v>
      </c>
      <c r="C127" s="145" t="s">
        <v>401</v>
      </c>
      <c r="D127" s="146">
        <v>0</v>
      </c>
      <c r="E127" s="147">
        <v>0</v>
      </c>
      <c r="F127" s="147">
        <v>0</v>
      </c>
      <c r="G127" s="147">
        <v>0</v>
      </c>
      <c r="H127" s="147">
        <v>0</v>
      </c>
      <c r="I127" s="147">
        <v>0</v>
      </c>
      <c r="J127" s="147">
        <v>0</v>
      </c>
      <c r="K127" s="147">
        <v>0</v>
      </c>
      <c r="L127" s="147">
        <v>0</v>
      </c>
      <c r="M127" s="656">
        <f>'2022-23 Input'!G127</f>
        <v>0</v>
      </c>
      <c r="N127" s="1067">
        <v>0</v>
      </c>
      <c r="O127" s="566">
        <f t="shared" si="139"/>
        <v>0</v>
      </c>
      <c r="P127" s="567">
        <f t="shared" si="113"/>
        <v>0</v>
      </c>
      <c r="Q127" s="567">
        <f t="shared" si="114"/>
        <v>0</v>
      </c>
      <c r="R127" s="567">
        <f t="shared" si="115"/>
        <v>0</v>
      </c>
      <c r="S127" s="567">
        <f t="shared" si="116"/>
        <v>0</v>
      </c>
      <c r="T127" s="567">
        <f t="shared" si="117"/>
        <v>0</v>
      </c>
      <c r="U127" s="567">
        <f t="shared" si="118"/>
        <v>0</v>
      </c>
      <c r="V127" s="567">
        <f t="shared" si="119"/>
        <v>0</v>
      </c>
      <c r="W127" s="677">
        <f t="shared" si="120"/>
        <v>0</v>
      </c>
      <c r="X127" s="677">
        <f t="shared" si="121"/>
        <v>0</v>
      </c>
      <c r="Y127" s="677">
        <f t="shared" si="121"/>
        <v>0</v>
      </c>
      <c r="Z127" s="148">
        <v>0</v>
      </c>
      <c r="AA127" s="149">
        <v>0</v>
      </c>
      <c r="AB127" s="149">
        <v>0</v>
      </c>
      <c r="AC127" s="149">
        <v>0</v>
      </c>
      <c r="AD127" s="149">
        <v>0</v>
      </c>
      <c r="AE127" s="149">
        <v>0</v>
      </c>
      <c r="AF127" s="149">
        <v>0</v>
      </c>
      <c r="AG127" s="149">
        <v>0</v>
      </c>
      <c r="AH127" s="149">
        <v>0</v>
      </c>
      <c r="AI127" s="1099">
        <f>'2022-23 Input'!N127</f>
        <v>0</v>
      </c>
      <c r="AJ127" s="670">
        <v>0</v>
      </c>
      <c r="AK127" s="150">
        <f t="shared" si="174"/>
        <v>0</v>
      </c>
      <c r="AL127" s="151">
        <f t="shared" si="175"/>
        <v>0</v>
      </c>
      <c r="AM127" s="152">
        <f t="shared" si="176"/>
        <v>0</v>
      </c>
      <c r="AN127" s="153" t="str">
        <f t="shared" si="177"/>
        <v/>
      </c>
      <c r="AO127" s="154" t="str">
        <f t="shared" si="178"/>
        <v/>
      </c>
      <c r="AP127" s="154" t="str">
        <f t="shared" si="179"/>
        <v/>
      </c>
      <c r="AQ127" s="154" t="str">
        <f t="shared" si="180"/>
        <v/>
      </c>
      <c r="AR127" s="154" t="str">
        <f t="shared" si="181"/>
        <v/>
      </c>
      <c r="AS127" s="154" t="str">
        <f t="shared" si="182"/>
        <v/>
      </c>
      <c r="AT127" s="154" t="str">
        <f t="shared" si="183"/>
        <v/>
      </c>
      <c r="AU127" s="154" t="str">
        <f t="shared" si="184"/>
        <v/>
      </c>
      <c r="AV127" s="154" t="str">
        <f t="shared" si="207"/>
        <v/>
      </c>
      <c r="AW127" s="154" t="str">
        <f t="shared" si="207"/>
        <v/>
      </c>
      <c r="AX127" s="154" t="str">
        <f t="shared" si="207"/>
        <v/>
      </c>
      <c r="AY127" s="155" t="str">
        <f t="shared" si="186"/>
        <v/>
      </c>
      <c r="AZ127" s="156" t="str">
        <f t="shared" si="187"/>
        <v/>
      </c>
      <c r="BA127" s="157" t="str">
        <f t="shared" si="188"/>
        <v/>
      </c>
      <c r="BB127" s="246" t="s">
        <v>422</v>
      </c>
      <c r="BC127" s="228" t="s">
        <v>433</v>
      </c>
      <c r="BD127" s="247">
        <v>0</v>
      </c>
      <c r="BE127" s="264">
        <f t="shared" si="140"/>
        <v>0</v>
      </c>
      <c r="BF127" s="265">
        <f t="shared" ref="BF127:BL127" si="218">IF(BF$6=$BB127,1,
IF(BE127&lt;&gt;0,BE127+1,0
))</f>
        <v>0</v>
      </c>
      <c r="BG127" s="265">
        <f t="shared" si="218"/>
        <v>0</v>
      </c>
      <c r="BH127" s="265">
        <f t="shared" si="218"/>
        <v>1</v>
      </c>
      <c r="BI127" s="265">
        <f t="shared" si="218"/>
        <v>2</v>
      </c>
      <c r="BJ127" s="265">
        <f t="shared" si="218"/>
        <v>3</v>
      </c>
      <c r="BK127" s="265">
        <f t="shared" si="218"/>
        <v>4</v>
      </c>
      <c r="BL127" s="266">
        <f t="shared" si="218"/>
        <v>5</v>
      </c>
      <c r="BM127" s="255">
        <f>IF($BC127=Lookup!$A$2,$BD127*ROUNDUP(BE127/10,0)+1,
IF($BC127=Lookup!$A$3,($BD127+1)^BD127,
IF($BC127=Lookup!$A$4,BE127*$BD127+1,"Error")))</f>
        <v>1</v>
      </c>
      <c r="BN127" s="228">
        <f>IF($BC127=Lookup!$A$2,$BD127*ROUNDUP(BF127/10,0)+1,
IF($BC127=Lookup!$A$3,($BD127+1)^BE127,
IF($BC127=Lookup!$A$4,BF127*$BD127+1,"Error")))</f>
        <v>1</v>
      </c>
      <c r="BO127" s="228">
        <f>IF($BC127=Lookup!$A$2,$BD127*ROUNDUP(BG127/10,0)+1,
IF($BC127=Lookup!$A$3,($BD127+1)^BF127,
IF($BC127=Lookup!$A$4,BG127*$BD127+1,"Error")))</f>
        <v>1</v>
      </c>
      <c r="BP127" s="228">
        <f>IF($BC127=Lookup!$A$2,$BD127*ROUNDUP(BH127/10,0)+1,
IF($BC127=Lookup!$A$3,($BD127+1)^BG127,
IF($BC127=Lookup!$A$4,BH127*$BD127+1,"Error")))</f>
        <v>1</v>
      </c>
      <c r="BQ127" s="228">
        <f>IF($BC127=Lookup!$A$2,$BD127*ROUNDUP(BI127/10,0)+1,
IF($BC127=Lookup!$A$3,($BD127+1)^BH127,
IF($BC127=Lookup!$A$4,BI127*$BD127+1,"Error")))</f>
        <v>1</v>
      </c>
      <c r="BR127" s="228">
        <f>IF($BC127=Lookup!$A$2,$BD127*ROUNDUP(BJ127/10,0)+1,
IF($BC127=Lookup!$A$3,($BD127+1)^BI127,
IF($BC127=Lookup!$A$4,BJ127*$BD127+1,"Error")))</f>
        <v>1</v>
      </c>
      <c r="BS127" s="228">
        <f>IF($BC127=Lookup!$A$2,$BD127*ROUNDUP(BK127/10,0)+1,
IF($BC127=Lookup!$A$3,($BD127+1)^BJ127,
IF($BC127=Lookup!$A$4,BK127*$BD127+1,"Error")))</f>
        <v>1</v>
      </c>
      <c r="BT127" s="247">
        <f>IF($BC127=Lookup!$A$2,$BD127*ROUNDUP(BL127/10,0)+1,
IF($BC127=Lookup!$A$3,($BD127+1)^BK127,
IF($BC127=Lookup!$A$4,BL127*$BD127+1,"Error")))</f>
        <v>1</v>
      </c>
      <c r="BU127" s="318"/>
      <c r="BV127" s="319"/>
      <c r="BW127" s="319"/>
      <c r="BX127" s="319"/>
      <c r="BY127" s="319"/>
      <c r="BZ127" s="319"/>
      <c r="CA127" s="319"/>
      <c r="CB127" s="276"/>
      <c r="CC127" s="380" t="s">
        <v>293</v>
      </c>
      <c r="CD127" s="381">
        <f>HLOOKUP($CC127,$AK$6:$AM$132,ROWS(CC$6:CC127),0)</f>
        <v>0</v>
      </c>
      <c r="CE127" s="233">
        <f t="shared" si="215"/>
        <v>0</v>
      </c>
      <c r="CF127" s="78">
        <f t="shared" si="215"/>
        <v>0</v>
      </c>
      <c r="CG127" s="78">
        <f t="shared" si="215"/>
        <v>0</v>
      </c>
      <c r="CH127" s="78">
        <f t="shared" si="213"/>
        <v>0</v>
      </c>
      <c r="CI127" s="78">
        <f t="shared" si="213"/>
        <v>0</v>
      </c>
      <c r="CJ127" s="78">
        <f t="shared" si="213"/>
        <v>0</v>
      </c>
      <c r="CK127" s="78">
        <f t="shared" si="213"/>
        <v>0</v>
      </c>
      <c r="CL127" s="285">
        <f t="shared" si="194"/>
        <v>0</v>
      </c>
      <c r="CM127" s="311" t="s">
        <v>293</v>
      </c>
      <c r="CN127" s="317">
        <v>0.05</v>
      </c>
      <c r="CO127" s="312"/>
      <c r="CP127" s="313" t="str">
        <f>IF($CO127&lt;&gt;"",$CO127,HLOOKUP($CM127,$AY$6:$BA$132,ROWS(CO$6:CO127),0))</f>
        <v/>
      </c>
      <c r="CQ127" s="783" t="str">
        <f t="shared" si="190"/>
        <v/>
      </c>
      <c r="CR127" s="783" t="str">
        <f t="shared" si="190"/>
        <v/>
      </c>
      <c r="CS127" s="79" t="str">
        <f t="shared" si="190"/>
        <v/>
      </c>
      <c r="CT127" s="79" t="str">
        <f t="shared" si="190"/>
        <v/>
      </c>
      <c r="CU127" s="79" t="str">
        <f t="shared" si="190"/>
        <v/>
      </c>
      <c r="CV127" s="79" t="str">
        <f t="shared" si="190"/>
        <v/>
      </c>
      <c r="CW127" s="79" t="str">
        <f t="shared" si="190"/>
        <v/>
      </c>
      <c r="CX127" s="80" t="str">
        <f t="shared" si="190"/>
        <v/>
      </c>
      <c r="CY127" s="391"/>
    </row>
    <row r="128" spans="1:103" x14ac:dyDescent="0.25">
      <c r="A128" s="81" t="s">
        <v>258</v>
      </c>
      <c r="B128" s="82" t="s">
        <v>259</v>
      </c>
      <c r="C128" s="83" t="s">
        <v>257</v>
      </c>
      <c r="D128" s="84">
        <v>46001.175760706268</v>
      </c>
      <c r="E128" s="85">
        <v>61872.849969623399</v>
      </c>
      <c r="F128" s="85">
        <v>119551.27787942653</v>
      </c>
      <c r="G128" s="85">
        <v>74949.084127293376</v>
      </c>
      <c r="H128" s="85">
        <v>81774.085613318457</v>
      </c>
      <c r="I128" s="85">
        <v>101409.148992124</v>
      </c>
      <c r="J128" s="85">
        <v>410028.51244687027</v>
      </c>
      <c r="K128" s="85">
        <v>74559.850515380007</v>
      </c>
      <c r="L128" s="85">
        <v>141579.15219526907</v>
      </c>
      <c r="M128" s="654">
        <f>'2022-23 Input'!G128</f>
        <v>129941.08776184497</v>
      </c>
      <c r="N128" s="1065">
        <v>175395.17728438595</v>
      </c>
      <c r="O128" s="560">
        <f t="shared" si="139"/>
        <v>61892.57261817465</v>
      </c>
      <c r="P128" s="561">
        <f t="shared" si="113"/>
        <v>82008.188633217054</v>
      </c>
      <c r="Q128" s="561">
        <f t="shared" si="114"/>
        <v>156851.96372682281</v>
      </c>
      <c r="R128" s="561">
        <f t="shared" si="115"/>
        <v>96468.221563164552</v>
      </c>
      <c r="S128" s="561">
        <f t="shared" si="116"/>
        <v>103110.48176078753</v>
      </c>
      <c r="T128" s="561">
        <f t="shared" si="117"/>
        <v>125863.79231418691</v>
      </c>
      <c r="U128" s="561">
        <f t="shared" si="118"/>
        <v>510685.58117218403</v>
      </c>
      <c r="V128" s="561">
        <f t="shared" si="119"/>
        <v>89424.012066567113</v>
      </c>
      <c r="W128" s="675">
        <f t="shared" si="120"/>
        <v>159974.13982822167</v>
      </c>
      <c r="X128" s="675">
        <f t="shared" si="121"/>
        <v>138187.26952862585</v>
      </c>
      <c r="Y128" s="675">
        <f t="shared" si="121"/>
        <v>180218.27793907275</v>
      </c>
      <c r="Z128" s="86">
        <v>8</v>
      </c>
      <c r="AA128" s="87">
        <v>11</v>
      </c>
      <c r="AB128" s="87">
        <v>20</v>
      </c>
      <c r="AC128" s="87">
        <v>12</v>
      </c>
      <c r="AD128" s="87">
        <v>13</v>
      </c>
      <c r="AE128" s="87">
        <v>18</v>
      </c>
      <c r="AF128" s="87">
        <v>14</v>
      </c>
      <c r="AG128" s="87">
        <v>0</v>
      </c>
      <c r="AH128" s="87">
        <v>26</v>
      </c>
      <c r="AI128" s="1094">
        <f>'2022-23 Input'!N128</f>
        <v>22</v>
      </c>
      <c r="AJ128" s="665">
        <v>23</v>
      </c>
      <c r="AK128" s="88">
        <f t="shared" si="174"/>
        <v>16</v>
      </c>
      <c r="AL128" s="89">
        <f t="shared" si="175"/>
        <v>16</v>
      </c>
      <c r="AM128" s="90">
        <f t="shared" si="176"/>
        <v>22</v>
      </c>
      <c r="AN128" s="91">
        <f t="shared" si="177"/>
        <v>5750.1469700882835</v>
      </c>
      <c r="AO128" s="92">
        <f t="shared" si="178"/>
        <v>5624.8045426930366</v>
      </c>
      <c r="AP128" s="92">
        <f t="shared" si="179"/>
        <v>5977.5638939713263</v>
      </c>
      <c r="AQ128" s="92">
        <f t="shared" si="180"/>
        <v>6245.757010607781</v>
      </c>
      <c r="AR128" s="92">
        <f t="shared" si="181"/>
        <v>6290.3142779475738</v>
      </c>
      <c r="AS128" s="92">
        <f t="shared" si="182"/>
        <v>5633.8416106735558</v>
      </c>
      <c r="AT128" s="92">
        <f t="shared" si="183"/>
        <v>29287.750889062161</v>
      </c>
      <c r="AU128" s="92" t="str">
        <f t="shared" si="184"/>
        <v/>
      </c>
      <c r="AV128" s="92">
        <f t="shared" si="207"/>
        <v>5445.3520075103488</v>
      </c>
      <c r="AW128" s="92">
        <f t="shared" si="207"/>
        <v>5906.413080083862</v>
      </c>
      <c r="AX128" s="92">
        <f t="shared" si="207"/>
        <v>7625.8772732341722</v>
      </c>
      <c r="AY128" s="93">
        <f t="shared" si="186"/>
        <v>10718.971898893604</v>
      </c>
      <c r="AZ128" s="94">
        <f t="shared" si="187"/>
        <v>7210.0018848436257</v>
      </c>
      <c r="BA128" s="95">
        <f t="shared" si="188"/>
        <v>5906.413080083862</v>
      </c>
      <c r="BB128" s="248" t="s">
        <v>422</v>
      </c>
      <c r="BC128" s="229" t="s">
        <v>433</v>
      </c>
      <c r="BD128" s="249">
        <v>0</v>
      </c>
      <c r="BE128" s="267">
        <f t="shared" si="140"/>
        <v>0</v>
      </c>
      <c r="BF128" s="268">
        <f t="shared" ref="BF128:BL128" si="219">IF(BF$6=$BB128,1,
IF(BE128&lt;&gt;0,BE128+1,0
))</f>
        <v>0</v>
      </c>
      <c r="BG128" s="268">
        <f t="shared" si="219"/>
        <v>0</v>
      </c>
      <c r="BH128" s="268">
        <f t="shared" si="219"/>
        <v>1</v>
      </c>
      <c r="BI128" s="268">
        <f t="shared" si="219"/>
        <v>2</v>
      </c>
      <c r="BJ128" s="268">
        <f t="shared" si="219"/>
        <v>3</v>
      </c>
      <c r="BK128" s="268">
        <f t="shared" si="219"/>
        <v>4</v>
      </c>
      <c r="BL128" s="269">
        <f t="shared" si="219"/>
        <v>5</v>
      </c>
      <c r="BM128" s="256">
        <f>IF($BC128=Lookup!$A$2,$BD128*ROUNDUP(BE128/10,0)+1,
IF($BC128=Lookup!$A$3,($BD128+1)^BD128,
IF($BC128=Lookup!$A$4,BE128*$BD128+1,"Error")))</f>
        <v>1</v>
      </c>
      <c r="BN128" s="229">
        <f>IF($BC128=Lookup!$A$2,$BD128*ROUNDUP(BF128/10,0)+1,
IF($BC128=Lookup!$A$3,($BD128+1)^BE128,
IF($BC128=Lookup!$A$4,BF128*$BD128+1,"Error")))</f>
        <v>1</v>
      </c>
      <c r="BO128" s="229">
        <f>IF($BC128=Lookup!$A$2,$BD128*ROUNDUP(BG128/10,0)+1,
IF($BC128=Lookup!$A$3,($BD128+1)^BF128,
IF($BC128=Lookup!$A$4,BG128*$BD128+1,"Error")))</f>
        <v>1</v>
      </c>
      <c r="BP128" s="229">
        <f>IF($BC128=Lookup!$A$2,$BD128*ROUNDUP(BH128/10,0)+1,
IF($BC128=Lookup!$A$3,($BD128+1)^BG128,
IF($BC128=Lookup!$A$4,BH128*$BD128+1,"Error")))</f>
        <v>1</v>
      </c>
      <c r="BQ128" s="229">
        <f>IF($BC128=Lookup!$A$2,$BD128*ROUNDUP(BI128/10,0)+1,
IF($BC128=Lookup!$A$3,($BD128+1)^BH128,
IF($BC128=Lookup!$A$4,BI128*$BD128+1,"Error")))</f>
        <v>1</v>
      </c>
      <c r="BR128" s="229">
        <f>IF($BC128=Lookup!$A$2,$BD128*ROUNDUP(BJ128/10,0)+1,
IF($BC128=Lookup!$A$3,($BD128+1)^BI128,
IF($BC128=Lookup!$A$4,BJ128*$BD128+1,"Error")))</f>
        <v>1</v>
      </c>
      <c r="BS128" s="229">
        <f>IF($BC128=Lookup!$A$2,$BD128*ROUNDUP(BK128/10,0)+1,
IF($BC128=Lookup!$A$3,($BD128+1)^BJ128,
IF($BC128=Lookup!$A$4,BK128*$BD128+1,"Error")))</f>
        <v>1</v>
      </c>
      <c r="BT128" s="249">
        <f>IF($BC128=Lookup!$A$2,$BD128*ROUNDUP(BL128/10,0)+1,
IF($BC128=Lookup!$A$3,($BD128+1)^BK128,
IF($BC128=Lookup!$A$4,BL128*$BD128+1,"Error")))</f>
        <v>1</v>
      </c>
      <c r="BU128" s="320"/>
      <c r="BV128" s="321"/>
      <c r="BW128" s="321"/>
      <c r="BX128" s="321"/>
      <c r="BY128" s="321"/>
      <c r="BZ128" s="321"/>
      <c r="CA128" s="321"/>
      <c r="CB128" s="277"/>
      <c r="CC128" s="382" t="s">
        <v>293</v>
      </c>
      <c r="CD128" s="383">
        <f>HLOOKUP($CC128,$AK$6:$AM$132,ROWS(CC$6:CC128),0)</f>
        <v>16</v>
      </c>
      <c r="CE128" s="234">
        <f t="shared" si="215"/>
        <v>16</v>
      </c>
      <c r="CF128" s="96">
        <f t="shared" si="215"/>
        <v>16</v>
      </c>
      <c r="CG128" s="96">
        <f t="shared" si="215"/>
        <v>16</v>
      </c>
      <c r="CH128" s="96">
        <f t="shared" si="213"/>
        <v>16</v>
      </c>
      <c r="CI128" s="96">
        <f t="shared" si="213"/>
        <v>16</v>
      </c>
      <c r="CJ128" s="96">
        <f t="shared" si="213"/>
        <v>16</v>
      </c>
      <c r="CK128" s="96">
        <f t="shared" si="213"/>
        <v>16</v>
      </c>
      <c r="CL128" s="286">
        <f t="shared" si="194"/>
        <v>16</v>
      </c>
      <c r="CM128" s="305" t="s">
        <v>293</v>
      </c>
      <c r="CN128" s="315">
        <v>0.05</v>
      </c>
      <c r="CO128" s="306"/>
      <c r="CP128" s="307">
        <f>IF($CO128&lt;&gt;"",$CO128,HLOOKUP($CM128,$AY$6:$BA$132,ROWS(CO$6:CO128),0))</f>
        <v>7210.0018848436257</v>
      </c>
      <c r="CQ128" s="784">
        <f t="shared" si="190"/>
        <v>115360.03015749801</v>
      </c>
      <c r="CR128" s="784">
        <f t="shared" si="190"/>
        <v>115360.03015749801</v>
      </c>
      <c r="CS128" s="97">
        <f t="shared" si="190"/>
        <v>115360.03015749801</v>
      </c>
      <c r="CT128" s="97">
        <f t="shared" si="190"/>
        <v>115360.03015749801</v>
      </c>
      <c r="CU128" s="97">
        <f t="shared" si="190"/>
        <v>115360.03015749801</v>
      </c>
      <c r="CV128" s="97">
        <f t="shared" si="190"/>
        <v>115360.03015749801</v>
      </c>
      <c r="CW128" s="97">
        <f t="shared" si="190"/>
        <v>115360.03015749801</v>
      </c>
      <c r="CX128" s="98">
        <f t="shared" si="190"/>
        <v>115360.03015749801</v>
      </c>
      <c r="CY128" s="392"/>
    </row>
    <row r="129" spans="1:103" x14ac:dyDescent="0.25">
      <c r="A129" s="81" t="s">
        <v>258</v>
      </c>
      <c r="B129" s="82" t="s">
        <v>261</v>
      </c>
      <c r="C129" s="83" t="s">
        <v>402</v>
      </c>
      <c r="D129" s="84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654">
        <f>'2022-23 Input'!G129</f>
        <v>0</v>
      </c>
      <c r="N129" s="1065">
        <v>0</v>
      </c>
      <c r="O129" s="560">
        <f t="shared" si="139"/>
        <v>0</v>
      </c>
      <c r="P129" s="561">
        <f t="shared" si="113"/>
        <v>0</v>
      </c>
      <c r="Q129" s="561">
        <f t="shared" si="114"/>
        <v>0</v>
      </c>
      <c r="R129" s="561">
        <f t="shared" si="115"/>
        <v>0</v>
      </c>
      <c r="S129" s="561">
        <f t="shared" si="116"/>
        <v>0</v>
      </c>
      <c r="T129" s="561">
        <f t="shared" si="117"/>
        <v>0</v>
      </c>
      <c r="U129" s="561">
        <f t="shared" si="118"/>
        <v>0</v>
      </c>
      <c r="V129" s="561">
        <f t="shared" si="119"/>
        <v>0</v>
      </c>
      <c r="W129" s="675">
        <f t="shared" si="120"/>
        <v>0</v>
      </c>
      <c r="X129" s="675">
        <f t="shared" si="121"/>
        <v>0</v>
      </c>
      <c r="Y129" s="675">
        <f t="shared" si="121"/>
        <v>0</v>
      </c>
      <c r="Z129" s="86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87">
        <v>0</v>
      </c>
      <c r="AI129" s="1094">
        <f>'2022-23 Input'!N129</f>
        <v>0</v>
      </c>
      <c r="AJ129" s="665">
        <v>0</v>
      </c>
      <c r="AK129" s="88">
        <f t="shared" si="174"/>
        <v>0</v>
      </c>
      <c r="AL129" s="89">
        <f t="shared" si="175"/>
        <v>0</v>
      </c>
      <c r="AM129" s="90">
        <f t="shared" si="176"/>
        <v>0</v>
      </c>
      <c r="AN129" s="91" t="str">
        <f t="shared" si="177"/>
        <v/>
      </c>
      <c r="AO129" s="92" t="str">
        <f t="shared" si="178"/>
        <v/>
      </c>
      <c r="AP129" s="92" t="str">
        <f t="shared" si="179"/>
        <v/>
      </c>
      <c r="AQ129" s="92" t="str">
        <f t="shared" si="180"/>
        <v/>
      </c>
      <c r="AR129" s="92" t="str">
        <f t="shared" si="181"/>
        <v/>
      </c>
      <c r="AS129" s="92" t="str">
        <f t="shared" si="182"/>
        <v/>
      </c>
      <c r="AT129" s="92" t="str">
        <f t="shared" si="183"/>
        <v/>
      </c>
      <c r="AU129" s="92" t="str">
        <f t="shared" si="184"/>
        <v/>
      </c>
      <c r="AV129" s="92" t="str">
        <f t="shared" si="207"/>
        <v/>
      </c>
      <c r="AW129" s="92" t="str">
        <f t="shared" si="207"/>
        <v/>
      </c>
      <c r="AX129" s="92" t="str">
        <f t="shared" si="207"/>
        <v/>
      </c>
      <c r="AY129" s="93" t="str">
        <f t="shared" si="186"/>
        <v/>
      </c>
      <c r="AZ129" s="94" t="str">
        <f t="shared" si="187"/>
        <v/>
      </c>
      <c r="BA129" s="95" t="str">
        <f t="shared" si="188"/>
        <v/>
      </c>
      <c r="BB129" s="248" t="s">
        <v>422</v>
      </c>
      <c r="BC129" s="229" t="s">
        <v>433</v>
      </c>
      <c r="BD129" s="249">
        <v>0</v>
      </c>
      <c r="BE129" s="267">
        <f t="shared" si="140"/>
        <v>0</v>
      </c>
      <c r="BF129" s="268">
        <f t="shared" ref="BF129:BL129" si="220">IF(BF$6=$BB129,1,
IF(BE129&lt;&gt;0,BE129+1,0
))</f>
        <v>0</v>
      </c>
      <c r="BG129" s="268">
        <f t="shared" si="220"/>
        <v>0</v>
      </c>
      <c r="BH129" s="268">
        <f t="shared" si="220"/>
        <v>1</v>
      </c>
      <c r="BI129" s="268">
        <f t="shared" si="220"/>
        <v>2</v>
      </c>
      <c r="BJ129" s="268">
        <f t="shared" si="220"/>
        <v>3</v>
      </c>
      <c r="BK129" s="268">
        <f t="shared" si="220"/>
        <v>4</v>
      </c>
      <c r="BL129" s="269">
        <f t="shared" si="220"/>
        <v>5</v>
      </c>
      <c r="BM129" s="256">
        <f>IF($BC129=Lookup!$A$2,$BD129*ROUNDUP(BE129/10,0)+1,
IF($BC129=Lookup!$A$3,($BD129+1)^BD129,
IF($BC129=Lookup!$A$4,BE129*$BD129+1,"Error")))</f>
        <v>1</v>
      </c>
      <c r="BN129" s="229">
        <f>IF($BC129=Lookup!$A$2,$BD129*ROUNDUP(BF129/10,0)+1,
IF($BC129=Lookup!$A$3,($BD129+1)^BE129,
IF($BC129=Lookup!$A$4,BF129*$BD129+1,"Error")))</f>
        <v>1</v>
      </c>
      <c r="BO129" s="229">
        <f>IF($BC129=Lookup!$A$2,$BD129*ROUNDUP(BG129/10,0)+1,
IF($BC129=Lookup!$A$3,($BD129+1)^BF129,
IF($BC129=Lookup!$A$4,BG129*$BD129+1,"Error")))</f>
        <v>1</v>
      </c>
      <c r="BP129" s="229">
        <f>IF($BC129=Lookup!$A$2,$BD129*ROUNDUP(BH129/10,0)+1,
IF($BC129=Lookup!$A$3,($BD129+1)^BG129,
IF($BC129=Lookup!$A$4,BH129*$BD129+1,"Error")))</f>
        <v>1</v>
      </c>
      <c r="BQ129" s="229">
        <f>IF($BC129=Lookup!$A$2,$BD129*ROUNDUP(BI129/10,0)+1,
IF($BC129=Lookup!$A$3,($BD129+1)^BH129,
IF($BC129=Lookup!$A$4,BI129*$BD129+1,"Error")))</f>
        <v>1</v>
      </c>
      <c r="BR129" s="229">
        <f>IF($BC129=Lookup!$A$2,$BD129*ROUNDUP(BJ129/10,0)+1,
IF($BC129=Lookup!$A$3,($BD129+1)^BI129,
IF($BC129=Lookup!$A$4,BJ129*$BD129+1,"Error")))</f>
        <v>1</v>
      </c>
      <c r="BS129" s="229">
        <f>IF($BC129=Lookup!$A$2,$BD129*ROUNDUP(BK129/10,0)+1,
IF($BC129=Lookup!$A$3,($BD129+1)^BJ129,
IF($BC129=Lookup!$A$4,BK129*$BD129+1,"Error")))</f>
        <v>1</v>
      </c>
      <c r="BT129" s="249">
        <f>IF($BC129=Lookup!$A$2,$BD129*ROUNDUP(BL129/10,0)+1,
IF($BC129=Lookup!$A$3,($BD129+1)^BK129,
IF($BC129=Lookup!$A$4,BL129*$BD129+1,"Error")))</f>
        <v>1</v>
      </c>
      <c r="BU129" s="320"/>
      <c r="BV129" s="321"/>
      <c r="BW129" s="321"/>
      <c r="BX129" s="321"/>
      <c r="BY129" s="321"/>
      <c r="BZ129" s="321"/>
      <c r="CA129" s="321"/>
      <c r="CB129" s="277"/>
      <c r="CC129" s="382" t="s">
        <v>293</v>
      </c>
      <c r="CD129" s="383">
        <f>HLOOKUP($CC129,$AK$6:$AM$132,ROWS(CC$6:CC129),0)</f>
        <v>0</v>
      </c>
      <c r="CE129" s="234">
        <f t="shared" si="215"/>
        <v>0</v>
      </c>
      <c r="CF129" s="96">
        <f t="shared" si="215"/>
        <v>0</v>
      </c>
      <c r="CG129" s="96">
        <f t="shared" si="215"/>
        <v>0</v>
      </c>
      <c r="CH129" s="96">
        <f t="shared" si="213"/>
        <v>0</v>
      </c>
      <c r="CI129" s="96">
        <f t="shared" si="213"/>
        <v>0</v>
      </c>
      <c r="CJ129" s="96">
        <f t="shared" si="213"/>
        <v>0</v>
      </c>
      <c r="CK129" s="96">
        <f t="shared" si="213"/>
        <v>0</v>
      </c>
      <c r="CL129" s="286">
        <f t="shared" si="194"/>
        <v>0</v>
      </c>
      <c r="CM129" s="305" t="s">
        <v>293</v>
      </c>
      <c r="CN129" s="315">
        <v>0.05</v>
      </c>
      <c r="CO129" s="306"/>
      <c r="CP129" s="307" t="str">
        <f>IF($CO129&lt;&gt;"",$CO129,HLOOKUP($CM129,$AY$6:$BA$132,ROWS(CO$6:CO129),0))</f>
        <v/>
      </c>
      <c r="CQ129" s="784" t="str">
        <f t="shared" si="190"/>
        <v/>
      </c>
      <c r="CR129" s="784" t="str">
        <f t="shared" si="190"/>
        <v/>
      </c>
      <c r="CS129" s="97" t="str">
        <f t="shared" si="190"/>
        <v/>
      </c>
      <c r="CT129" s="97" t="str">
        <f t="shared" si="190"/>
        <v/>
      </c>
      <c r="CU129" s="97" t="str">
        <f t="shared" si="190"/>
        <v/>
      </c>
      <c r="CV129" s="97" t="str">
        <f t="shared" si="190"/>
        <v/>
      </c>
      <c r="CW129" s="97" t="str">
        <f t="shared" si="190"/>
        <v/>
      </c>
      <c r="CX129" s="98" t="str">
        <f t="shared" si="190"/>
        <v/>
      </c>
      <c r="CY129" s="392"/>
    </row>
    <row r="130" spans="1:103" x14ac:dyDescent="0.25">
      <c r="A130" s="81" t="s">
        <v>258</v>
      </c>
      <c r="B130" s="82" t="s">
        <v>263</v>
      </c>
      <c r="C130" s="83" t="s">
        <v>403</v>
      </c>
      <c r="D130" s="84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654">
        <f>'2022-23 Input'!G130</f>
        <v>0</v>
      </c>
      <c r="N130" s="1065">
        <v>0</v>
      </c>
      <c r="O130" s="560">
        <f t="shared" si="139"/>
        <v>0</v>
      </c>
      <c r="P130" s="561">
        <f t="shared" si="113"/>
        <v>0</v>
      </c>
      <c r="Q130" s="561">
        <f t="shared" si="114"/>
        <v>0</v>
      </c>
      <c r="R130" s="561">
        <f t="shared" si="115"/>
        <v>0</v>
      </c>
      <c r="S130" s="561">
        <f t="shared" si="116"/>
        <v>0</v>
      </c>
      <c r="T130" s="561">
        <f t="shared" si="117"/>
        <v>0</v>
      </c>
      <c r="U130" s="561">
        <f t="shared" si="118"/>
        <v>0</v>
      </c>
      <c r="V130" s="561">
        <f t="shared" si="119"/>
        <v>0</v>
      </c>
      <c r="W130" s="675">
        <f t="shared" si="120"/>
        <v>0</v>
      </c>
      <c r="X130" s="675">
        <f t="shared" si="121"/>
        <v>0</v>
      </c>
      <c r="Y130" s="675">
        <f t="shared" si="121"/>
        <v>0</v>
      </c>
      <c r="Z130" s="86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87">
        <v>0</v>
      </c>
      <c r="AI130" s="1094">
        <f>'2022-23 Input'!N130</f>
        <v>0</v>
      </c>
      <c r="AJ130" s="665">
        <v>0</v>
      </c>
      <c r="AK130" s="88">
        <f t="shared" si="174"/>
        <v>0</v>
      </c>
      <c r="AL130" s="89">
        <f t="shared" si="175"/>
        <v>0</v>
      </c>
      <c r="AM130" s="90">
        <f t="shared" si="176"/>
        <v>0</v>
      </c>
      <c r="AN130" s="91" t="str">
        <f t="shared" si="177"/>
        <v/>
      </c>
      <c r="AO130" s="92" t="str">
        <f t="shared" si="178"/>
        <v/>
      </c>
      <c r="AP130" s="92" t="str">
        <f t="shared" si="179"/>
        <v/>
      </c>
      <c r="AQ130" s="92" t="str">
        <f t="shared" si="180"/>
        <v/>
      </c>
      <c r="AR130" s="92" t="str">
        <f t="shared" si="181"/>
        <v/>
      </c>
      <c r="AS130" s="92" t="str">
        <f t="shared" si="182"/>
        <v/>
      </c>
      <c r="AT130" s="92" t="str">
        <f t="shared" si="183"/>
        <v/>
      </c>
      <c r="AU130" s="92" t="str">
        <f t="shared" si="184"/>
        <v/>
      </c>
      <c r="AV130" s="92" t="str">
        <f t="shared" si="207"/>
        <v/>
      </c>
      <c r="AW130" s="92" t="str">
        <f t="shared" si="207"/>
        <v/>
      </c>
      <c r="AX130" s="92" t="str">
        <f t="shared" si="207"/>
        <v/>
      </c>
      <c r="AY130" s="93" t="str">
        <f t="shared" si="186"/>
        <v/>
      </c>
      <c r="AZ130" s="94" t="str">
        <f t="shared" si="187"/>
        <v/>
      </c>
      <c r="BA130" s="95" t="str">
        <f t="shared" si="188"/>
        <v/>
      </c>
      <c r="BB130" s="248" t="s">
        <v>422</v>
      </c>
      <c r="BC130" s="229" t="s">
        <v>433</v>
      </c>
      <c r="BD130" s="249">
        <v>0</v>
      </c>
      <c r="BE130" s="267">
        <f t="shared" si="140"/>
        <v>0</v>
      </c>
      <c r="BF130" s="268">
        <f t="shared" ref="BF130:BL130" si="221">IF(BF$6=$BB130,1,
IF(BE130&lt;&gt;0,BE130+1,0
))</f>
        <v>0</v>
      </c>
      <c r="BG130" s="268">
        <f t="shared" si="221"/>
        <v>0</v>
      </c>
      <c r="BH130" s="268">
        <f t="shared" si="221"/>
        <v>1</v>
      </c>
      <c r="BI130" s="268">
        <f t="shared" si="221"/>
        <v>2</v>
      </c>
      <c r="BJ130" s="268">
        <f t="shared" si="221"/>
        <v>3</v>
      </c>
      <c r="BK130" s="268">
        <f t="shared" si="221"/>
        <v>4</v>
      </c>
      <c r="BL130" s="269">
        <f t="shared" si="221"/>
        <v>5</v>
      </c>
      <c r="BM130" s="256">
        <f>IF($BC130=Lookup!$A$2,$BD130*ROUNDUP(BE130/10,0)+1,
IF($BC130=Lookup!$A$3,($BD130+1)^BD130,
IF($BC130=Lookup!$A$4,BE130*$BD130+1,"Error")))</f>
        <v>1</v>
      </c>
      <c r="BN130" s="229">
        <f>IF($BC130=Lookup!$A$2,$BD130*ROUNDUP(BF130/10,0)+1,
IF($BC130=Lookup!$A$3,($BD130+1)^BE130,
IF($BC130=Lookup!$A$4,BF130*$BD130+1,"Error")))</f>
        <v>1</v>
      </c>
      <c r="BO130" s="229">
        <f>IF($BC130=Lookup!$A$2,$BD130*ROUNDUP(BG130/10,0)+1,
IF($BC130=Lookup!$A$3,($BD130+1)^BF130,
IF($BC130=Lookup!$A$4,BG130*$BD130+1,"Error")))</f>
        <v>1</v>
      </c>
      <c r="BP130" s="229">
        <f>IF($BC130=Lookup!$A$2,$BD130*ROUNDUP(BH130/10,0)+1,
IF($BC130=Lookup!$A$3,($BD130+1)^BG130,
IF($BC130=Lookup!$A$4,BH130*$BD130+1,"Error")))</f>
        <v>1</v>
      </c>
      <c r="BQ130" s="229">
        <f>IF($BC130=Lookup!$A$2,$BD130*ROUNDUP(BI130/10,0)+1,
IF($BC130=Lookup!$A$3,($BD130+1)^BH130,
IF($BC130=Lookup!$A$4,BI130*$BD130+1,"Error")))</f>
        <v>1</v>
      </c>
      <c r="BR130" s="229">
        <f>IF($BC130=Lookup!$A$2,$BD130*ROUNDUP(BJ130/10,0)+1,
IF($BC130=Lookup!$A$3,($BD130+1)^BI130,
IF($BC130=Lookup!$A$4,BJ130*$BD130+1,"Error")))</f>
        <v>1</v>
      </c>
      <c r="BS130" s="229">
        <f>IF($BC130=Lookup!$A$2,$BD130*ROUNDUP(BK130/10,0)+1,
IF($BC130=Lookup!$A$3,($BD130+1)^BJ130,
IF($BC130=Lookup!$A$4,BK130*$BD130+1,"Error")))</f>
        <v>1</v>
      </c>
      <c r="BT130" s="249">
        <f>IF($BC130=Lookup!$A$2,$BD130*ROUNDUP(BL130/10,0)+1,
IF($BC130=Lookup!$A$3,($BD130+1)^BK130,
IF($BC130=Lookup!$A$4,BL130*$BD130+1,"Error")))</f>
        <v>1</v>
      </c>
      <c r="BU130" s="320"/>
      <c r="BV130" s="321"/>
      <c r="BW130" s="321"/>
      <c r="BX130" s="321"/>
      <c r="BY130" s="321"/>
      <c r="BZ130" s="321"/>
      <c r="CA130" s="321"/>
      <c r="CB130" s="277"/>
      <c r="CC130" s="382" t="s">
        <v>293</v>
      </c>
      <c r="CD130" s="383">
        <f>HLOOKUP($CC130,$AK$6:$AM$132,ROWS(CC$6:CC130),0)</f>
        <v>0</v>
      </c>
      <c r="CE130" s="234">
        <f t="shared" si="215"/>
        <v>0</v>
      </c>
      <c r="CF130" s="96">
        <f t="shared" si="215"/>
        <v>0</v>
      </c>
      <c r="CG130" s="96">
        <f t="shared" si="215"/>
        <v>0</v>
      </c>
      <c r="CH130" s="96">
        <f t="shared" si="213"/>
        <v>0</v>
      </c>
      <c r="CI130" s="96">
        <f t="shared" si="213"/>
        <v>0</v>
      </c>
      <c r="CJ130" s="96">
        <f t="shared" si="213"/>
        <v>0</v>
      </c>
      <c r="CK130" s="96">
        <f t="shared" si="213"/>
        <v>0</v>
      </c>
      <c r="CL130" s="286">
        <f t="shared" si="194"/>
        <v>0</v>
      </c>
      <c r="CM130" s="305" t="s">
        <v>293</v>
      </c>
      <c r="CN130" s="315">
        <v>0.05</v>
      </c>
      <c r="CO130" s="306"/>
      <c r="CP130" s="307" t="str">
        <f>IF($CO130&lt;&gt;"",$CO130,HLOOKUP($CM130,$AY$6:$BA$132,ROWS(CO$6:CO130),0))</f>
        <v/>
      </c>
      <c r="CQ130" s="784" t="str">
        <f t="shared" si="190"/>
        <v/>
      </c>
      <c r="CR130" s="784" t="str">
        <f t="shared" si="190"/>
        <v/>
      </c>
      <c r="CS130" s="97" t="str">
        <f t="shared" si="190"/>
        <v/>
      </c>
      <c r="CT130" s="97" t="str">
        <f t="shared" si="190"/>
        <v/>
      </c>
      <c r="CU130" s="97" t="str">
        <f t="shared" si="190"/>
        <v/>
      </c>
      <c r="CV130" s="97" t="str">
        <f t="shared" si="190"/>
        <v/>
      </c>
      <c r="CW130" s="97" t="str">
        <f t="shared" si="190"/>
        <v/>
      </c>
      <c r="CX130" s="98" t="str">
        <f t="shared" si="190"/>
        <v/>
      </c>
      <c r="CY130" s="392"/>
    </row>
    <row r="131" spans="1:103" x14ac:dyDescent="0.25">
      <c r="A131" s="81" t="s">
        <v>258</v>
      </c>
      <c r="B131" s="82" t="s">
        <v>404</v>
      </c>
      <c r="C131" s="83" t="s">
        <v>405</v>
      </c>
      <c r="D131" s="84">
        <v>62885.946627390149</v>
      </c>
      <c r="E131" s="85">
        <v>33743.081457605869</v>
      </c>
      <c r="F131" s="85">
        <v>0</v>
      </c>
      <c r="G131" s="85">
        <v>207647.25454338163</v>
      </c>
      <c r="H131" s="85">
        <v>458163.29079832823</v>
      </c>
      <c r="I131" s="85">
        <v>0</v>
      </c>
      <c r="J131" s="85">
        <v>2244455.141553808</v>
      </c>
      <c r="K131" s="85">
        <v>0</v>
      </c>
      <c r="L131" s="85">
        <v>0</v>
      </c>
      <c r="M131" s="654">
        <f>'2022-23 Input'!G131</f>
        <v>11845.6</v>
      </c>
      <c r="N131" s="1065">
        <v>0</v>
      </c>
      <c r="O131" s="560">
        <f t="shared" si="139"/>
        <v>84610.294279109585</v>
      </c>
      <c r="P131" s="561">
        <f t="shared" si="113"/>
        <v>44724.12359540441</v>
      </c>
      <c r="Q131" s="561">
        <f t="shared" si="114"/>
        <v>0</v>
      </c>
      <c r="R131" s="561">
        <f t="shared" si="115"/>
        <v>267266.25937486498</v>
      </c>
      <c r="S131" s="561">
        <f t="shared" si="116"/>
        <v>577706.70604269346</v>
      </c>
      <c r="T131" s="561">
        <f t="shared" si="117"/>
        <v>0</v>
      </c>
      <c r="U131" s="561">
        <f t="shared" si="118"/>
        <v>2795441.8865634962</v>
      </c>
      <c r="V131" s="561">
        <f t="shared" si="119"/>
        <v>0</v>
      </c>
      <c r="W131" s="675">
        <f t="shared" si="120"/>
        <v>0</v>
      </c>
      <c r="X131" s="675">
        <f t="shared" si="121"/>
        <v>12597.332746116523</v>
      </c>
      <c r="Y131" s="675">
        <f t="shared" si="121"/>
        <v>0</v>
      </c>
      <c r="Z131" s="86">
        <v>2</v>
      </c>
      <c r="AA131" s="87">
        <v>1</v>
      </c>
      <c r="AB131" s="87">
        <v>0</v>
      </c>
      <c r="AC131" s="87">
        <v>5</v>
      </c>
      <c r="AD131" s="87">
        <v>12</v>
      </c>
      <c r="AE131" s="87">
        <v>0</v>
      </c>
      <c r="AF131" s="87">
        <v>0</v>
      </c>
      <c r="AG131" s="87">
        <v>2</v>
      </c>
      <c r="AH131" s="87">
        <v>0</v>
      </c>
      <c r="AI131" s="1094">
        <f>'2022-23 Input'!N131</f>
        <v>2</v>
      </c>
      <c r="AJ131" s="665">
        <v>0</v>
      </c>
      <c r="AK131" s="88">
        <f t="shared" si="174"/>
        <v>0.8</v>
      </c>
      <c r="AL131" s="89">
        <f t="shared" si="175"/>
        <v>1.3333333333333333</v>
      </c>
      <c r="AM131" s="90">
        <f t="shared" si="176"/>
        <v>2</v>
      </c>
      <c r="AN131" s="91">
        <f t="shared" si="177"/>
        <v>31442.973313695074</v>
      </c>
      <c r="AO131" s="92">
        <f t="shared" si="178"/>
        <v>33743.081457605869</v>
      </c>
      <c r="AP131" s="92" t="str">
        <f t="shared" si="179"/>
        <v/>
      </c>
      <c r="AQ131" s="92">
        <f t="shared" si="180"/>
        <v>41529.450908676328</v>
      </c>
      <c r="AR131" s="92">
        <f t="shared" si="181"/>
        <v>38180.274233194017</v>
      </c>
      <c r="AS131" s="92" t="str">
        <f t="shared" si="182"/>
        <v/>
      </c>
      <c r="AT131" s="92" t="str">
        <f t="shared" si="183"/>
        <v/>
      </c>
      <c r="AU131" s="92">
        <f t="shared" si="184"/>
        <v>0</v>
      </c>
      <c r="AV131" s="92" t="str">
        <f t="shared" si="207"/>
        <v/>
      </c>
      <c r="AW131" s="92">
        <f t="shared" si="207"/>
        <v>5922.8</v>
      </c>
      <c r="AX131" s="92" t="str">
        <f t="shared" si="207"/>
        <v/>
      </c>
      <c r="AY131" s="93">
        <f t="shared" si="186"/>
        <v>564075.18538845202</v>
      </c>
      <c r="AZ131" s="94">
        <f t="shared" si="187"/>
        <v>2961.4</v>
      </c>
      <c r="BA131" s="95">
        <f t="shared" si="188"/>
        <v>5922.8</v>
      </c>
      <c r="BB131" s="248" t="s">
        <v>422</v>
      </c>
      <c r="BC131" s="229" t="s">
        <v>433</v>
      </c>
      <c r="BD131" s="249">
        <v>0</v>
      </c>
      <c r="BE131" s="267">
        <f t="shared" si="140"/>
        <v>0</v>
      </c>
      <c r="BF131" s="268">
        <f t="shared" ref="BF131:BL131" si="222">IF(BF$6=$BB131,1,
IF(BE131&lt;&gt;0,BE131+1,0
))</f>
        <v>0</v>
      </c>
      <c r="BG131" s="268">
        <f t="shared" si="222"/>
        <v>0</v>
      </c>
      <c r="BH131" s="268">
        <f t="shared" si="222"/>
        <v>1</v>
      </c>
      <c r="BI131" s="268">
        <f t="shared" si="222"/>
        <v>2</v>
      </c>
      <c r="BJ131" s="268">
        <f t="shared" si="222"/>
        <v>3</v>
      </c>
      <c r="BK131" s="268">
        <f t="shared" si="222"/>
        <v>4</v>
      </c>
      <c r="BL131" s="269">
        <f t="shared" si="222"/>
        <v>5</v>
      </c>
      <c r="BM131" s="256">
        <f>IF($BC131=Lookup!$A$2,$BD131*ROUNDUP(BE131/10,0)+1,
IF($BC131=Lookup!$A$3,($BD131+1)^BD131,
IF($BC131=Lookup!$A$4,BE131*$BD131+1,"Error")))</f>
        <v>1</v>
      </c>
      <c r="BN131" s="229">
        <f>IF($BC131=Lookup!$A$2,$BD131*ROUNDUP(BF131/10,0)+1,
IF($BC131=Lookup!$A$3,($BD131+1)^BE131,
IF($BC131=Lookup!$A$4,BF131*$BD131+1,"Error")))</f>
        <v>1</v>
      </c>
      <c r="BO131" s="229">
        <f>IF($BC131=Lookup!$A$2,$BD131*ROUNDUP(BG131/10,0)+1,
IF($BC131=Lookup!$A$3,($BD131+1)^BF131,
IF($BC131=Lookup!$A$4,BG131*$BD131+1,"Error")))</f>
        <v>1</v>
      </c>
      <c r="BP131" s="229">
        <f>IF($BC131=Lookup!$A$2,$BD131*ROUNDUP(BH131/10,0)+1,
IF($BC131=Lookup!$A$3,($BD131+1)^BG131,
IF($BC131=Lookup!$A$4,BH131*$BD131+1,"Error")))</f>
        <v>1</v>
      </c>
      <c r="BQ131" s="229">
        <f>IF($BC131=Lookup!$A$2,$BD131*ROUNDUP(BI131/10,0)+1,
IF($BC131=Lookup!$A$3,($BD131+1)^BH131,
IF($BC131=Lookup!$A$4,BI131*$BD131+1,"Error")))</f>
        <v>1</v>
      </c>
      <c r="BR131" s="229">
        <f>IF($BC131=Lookup!$A$2,$BD131*ROUNDUP(BJ131/10,0)+1,
IF($BC131=Lookup!$A$3,($BD131+1)^BI131,
IF($BC131=Lookup!$A$4,BJ131*$BD131+1,"Error")))</f>
        <v>1</v>
      </c>
      <c r="BS131" s="229">
        <f>IF($BC131=Lookup!$A$2,$BD131*ROUNDUP(BK131/10,0)+1,
IF($BC131=Lookup!$A$3,($BD131+1)^BJ131,
IF($BC131=Lookup!$A$4,BK131*$BD131+1,"Error")))</f>
        <v>1</v>
      </c>
      <c r="BT131" s="249">
        <f>IF($BC131=Lookup!$A$2,$BD131*ROUNDUP(BL131/10,0)+1,
IF($BC131=Lookup!$A$3,($BD131+1)^BK131,
IF($BC131=Lookup!$A$4,BL131*$BD131+1,"Error")))</f>
        <v>1</v>
      </c>
      <c r="BU131" s="320"/>
      <c r="BV131" s="321"/>
      <c r="BW131" s="321"/>
      <c r="BX131" s="321"/>
      <c r="BY131" s="321"/>
      <c r="BZ131" s="321"/>
      <c r="CA131" s="321"/>
      <c r="CB131" s="277"/>
      <c r="CC131" s="382" t="s">
        <v>293</v>
      </c>
      <c r="CD131" s="383">
        <f>HLOOKUP($CC131,$AK$6:$AM$132,ROWS(CC$6:CC131),0)</f>
        <v>1.3333333333333333</v>
      </c>
      <c r="CE131" s="234">
        <f t="shared" si="215"/>
        <v>1.3333333333333333</v>
      </c>
      <c r="CF131" s="96">
        <f t="shared" si="215"/>
        <v>1.3333333333333333</v>
      </c>
      <c r="CG131" s="96">
        <f t="shared" si="215"/>
        <v>1.3333333333333333</v>
      </c>
      <c r="CH131" s="96">
        <f t="shared" si="213"/>
        <v>1.3333333333333333</v>
      </c>
      <c r="CI131" s="96">
        <f t="shared" si="213"/>
        <v>1.3333333333333333</v>
      </c>
      <c r="CJ131" s="96">
        <f t="shared" si="213"/>
        <v>1.3333333333333333</v>
      </c>
      <c r="CK131" s="96">
        <f t="shared" si="213"/>
        <v>1.3333333333333333</v>
      </c>
      <c r="CL131" s="286">
        <f t="shared" si="194"/>
        <v>1.3333333333333333</v>
      </c>
      <c r="CM131" s="305" t="s">
        <v>293</v>
      </c>
      <c r="CN131" s="315">
        <v>0.05</v>
      </c>
      <c r="CO131" s="306"/>
      <c r="CP131" s="307">
        <f>IF($CO131&lt;&gt;"",$CO131,HLOOKUP($CM131,$AY$6:$BA$132,ROWS(CO$6:CO131),0))</f>
        <v>2961.4</v>
      </c>
      <c r="CQ131" s="784">
        <f t="shared" si="190"/>
        <v>3948.5333333333333</v>
      </c>
      <c r="CR131" s="784">
        <f t="shared" si="190"/>
        <v>3948.5333333333333</v>
      </c>
      <c r="CS131" s="97">
        <f t="shared" si="190"/>
        <v>3948.5333333333333</v>
      </c>
      <c r="CT131" s="97">
        <f t="shared" si="190"/>
        <v>3948.5333333333333</v>
      </c>
      <c r="CU131" s="97">
        <f t="shared" si="190"/>
        <v>3948.5333333333333</v>
      </c>
      <c r="CV131" s="97">
        <f t="shared" si="190"/>
        <v>3948.5333333333333</v>
      </c>
      <c r="CW131" s="97">
        <f t="shared" si="190"/>
        <v>3948.5333333333333</v>
      </c>
      <c r="CX131" s="98">
        <f t="shared" si="190"/>
        <v>3948.5333333333333</v>
      </c>
      <c r="CY131" s="392"/>
    </row>
    <row r="132" spans="1:103" ht="15.75" thickBot="1" x14ac:dyDescent="0.3">
      <c r="A132" s="100" t="s">
        <v>258</v>
      </c>
      <c r="B132" s="101" t="s">
        <v>265</v>
      </c>
      <c r="C132" s="159" t="s">
        <v>406</v>
      </c>
      <c r="D132" s="103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22720.410000000003</v>
      </c>
      <c r="M132" s="655">
        <f>'2022-23 Input'!G132</f>
        <v>44547.44</v>
      </c>
      <c r="N132" s="1066">
        <v>0</v>
      </c>
      <c r="O132" s="563">
        <f t="shared" si="139"/>
        <v>0</v>
      </c>
      <c r="P132" s="564">
        <f t="shared" si="113"/>
        <v>0</v>
      </c>
      <c r="Q132" s="564">
        <f t="shared" si="114"/>
        <v>0</v>
      </c>
      <c r="R132" s="564">
        <f t="shared" si="115"/>
        <v>0</v>
      </c>
      <c r="S132" s="564">
        <f t="shared" si="116"/>
        <v>0</v>
      </c>
      <c r="T132" s="564">
        <f t="shared" si="117"/>
        <v>0</v>
      </c>
      <c r="U132" s="564">
        <f t="shared" si="118"/>
        <v>0</v>
      </c>
      <c r="V132" s="564">
        <f t="shared" si="119"/>
        <v>0</v>
      </c>
      <c r="W132" s="676">
        <f t="shared" si="120"/>
        <v>25672.410026029109</v>
      </c>
      <c r="X132" s="676">
        <f t="shared" si="121"/>
        <v>47374.461797432043</v>
      </c>
      <c r="Y132" s="676">
        <f t="shared" si="121"/>
        <v>0</v>
      </c>
      <c r="Z132" s="105">
        <v>0</v>
      </c>
      <c r="AA132" s="106">
        <v>0</v>
      </c>
      <c r="AB132" s="106">
        <v>0</v>
      </c>
      <c r="AC132" s="106">
        <v>0</v>
      </c>
      <c r="AD132" s="106">
        <v>0</v>
      </c>
      <c r="AE132" s="106">
        <v>117</v>
      </c>
      <c r="AF132" s="106">
        <v>47</v>
      </c>
      <c r="AG132" s="106">
        <v>6</v>
      </c>
      <c r="AH132" s="106">
        <v>55</v>
      </c>
      <c r="AI132" s="1095">
        <f>'2022-23 Input'!N132</f>
        <v>15</v>
      </c>
      <c r="AJ132" s="666">
        <v>36</v>
      </c>
      <c r="AK132" s="107">
        <f t="shared" si="174"/>
        <v>48</v>
      </c>
      <c r="AL132" s="108">
        <f t="shared" si="175"/>
        <v>25.333333333333332</v>
      </c>
      <c r="AM132" s="109">
        <f t="shared" si="176"/>
        <v>15</v>
      </c>
      <c r="AN132" s="110" t="str">
        <f t="shared" si="177"/>
        <v/>
      </c>
      <c r="AO132" s="111" t="str">
        <f t="shared" si="178"/>
        <v/>
      </c>
      <c r="AP132" s="111" t="str">
        <f t="shared" si="179"/>
        <v/>
      </c>
      <c r="AQ132" s="111" t="str">
        <f t="shared" si="180"/>
        <v/>
      </c>
      <c r="AR132" s="111" t="str">
        <f t="shared" si="181"/>
        <v/>
      </c>
      <c r="AS132" s="111">
        <f t="shared" si="182"/>
        <v>0</v>
      </c>
      <c r="AT132" s="111">
        <f t="shared" si="183"/>
        <v>0</v>
      </c>
      <c r="AU132" s="111">
        <f t="shared" si="184"/>
        <v>0</v>
      </c>
      <c r="AV132" s="111">
        <f t="shared" si="207"/>
        <v>413.09836363636367</v>
      </c>
      <c r="AW132" s="111">
        <f t="shared" si="207"/>
        <v>2969.8293333333336</v>
      </c>
      <c r="AX132" s="111">
        <f t="shared" si="207"/>
        <v>0</v>
      </c>
      <c r="AY132" s="112">
        <f t="shared" si="186"/>
        <v>280.28270833333335</v>
      </c>
      <c r="AZ132" s="113">
        <f t="shared" si="187"/>
        <v>885.1032894736843</v>
      </c>
      <c r="BA132" s="114">
        <f t="shared" si="188"/>
        <v>2969.8293333333336</v>
      </c>
      <c r="BB132" s="250" t="s">
        <v>422</v>
      </c>
      <c r="BC132" s="230" t="s">
        <v>433</v>
      </c>
      <c r="BD132" s="251">
        <v>0</v>
      </c>
      <c r="BE132" s="270">
        <f t="shared" si="140"/>
        <v>0</v>
      </c>
      <c r="BF132" s="271">
        <f t="shared" ref="BF132:BL132" si="223">IF(BF$6=$BB132,1,
IF(BE132&lt;&gt;0,BE132+1,0
))</f>
        <v>0</v>
      </c>
      <c r="BG132" s="271">
        <f t="shared" si="223"/>
        <v>0</v>
      </c>
      <c r="BH132" s="271">
        <f t="shared" si="223"/>
        <v>1</v>
      </c>
      <c r="BI132" s="271">
        <f t="shared" si="223"/>
        <v>2</v>
      </c>
      <c r="BJ132" s="271">
        <f t="shared" si="223"/>
        <v>3</v>
      </c>
      <c r="BK132" s="271">
        <f t="shared" si="223"/>
        <v>4</v>
      </c>
      <c r="BL132" s="272">
        <f t="shared" si="223"/>
        <v>5</v>
      </c>
      <c r="BM132" s="257">
        <f>IF($BC132=Lookup!$A$2,$BD132*ROUNDUP(BE132/10,0)+1,
IF($BC132=Lookup!$A$3,($BD132+1)^BD132,
IF($BC132=Lookup!$A$4,BE132*$BD132+1,"Error")))</f>
        <v>1</v>
      </c>
      <c r="BN132" s="230">
        <f>IF($BC132=Lookup!$A$2,$BD132*ROUNDUP(BF132/10,0)+1,
IF($BC132=Lookup!$A$3,($BD132+1)^BE132,
IF($BC132=Lookup!$A$4,BF132*$BD132+1,"Error")))</f>
        <v>1</v>
      </c>
      <c r="BO132" s="230">
        <f>IF($BC132=Lookup!$A$2,$BD132*ROUNDUP(BG132/10,0)+1,
IF($BC132=Lookup!$A$3,($BD132+1)^BF132,
IF($BC132=Lookup!$A$4,BG132*$BD132+1,"Error")))</f>
        <v>1</v>
      </c>
      <c r="BP132" s="230">
        <f>IF($BC132=Lookup!$A$2,$BD132*ROUNDUP(BH132/10,0)+1,
IF($BC132=Lookup!$A$3,($BD132+1)^BG132,
IF($BC132=Lookup!$A$4,BH132*$BD132+1,"Error")))</f>
        <v>1</v>
      </c>
      <c r="BQ132" s="230">
        <f>IF($BC132=Lookup!$A$2,$BD132*ROUNDUP(BI132/10,0)+1,
IF($BC132=Lookup!$A$3,($BD132+1)^BH132,
IF($BC132=Lookup!$A$4,BI132*$BD132+1,"Error")))</f>
        <v>1</v>
      </c>
      <c r="BR132" s="230">
        <f>IF($BC132=Lookup!$A$2,$BD132*ROUNDUP(BJ132/10,0)+1,
IF($BC132=Lookup!$A$3,($BD132+1)^BI132,
IF($BC132=Lookup!$A$4,BJ132*$BD132+1,"Error")))</f>
        <v>1</v>
      </c>
      <c r="BS132" s="230">
        <f>IF($BC132=Lookup!$A$2,$BD132*ROUNDUP(BK132/10,0)+1,
IF($BC132=Lookup!$A$3,($BD132+1)^BJ132,
IF($BC132=Lookup!$A$4,BK132*$BD132+1,"Error")))</f>
        <v>1</v>
      </c>
      <c r="BT132" s="251">
        <f>IF($BC132=Lookup!$A$2,$BD132*ROUNDUP(BL132/10,0)+1,
IF($BC132=Lookup!$A$3,($BD132+1)^BK132,
IF($BC132=Lookup!$A$4,BL132*$BD132+1,"Error")))</f>
        <v>1</v>
      </c>
      <c r="BU132" s="322"/>
      <c r="BV132" s="323"/>
      <c r="BW132" s="323"/>
      <c r="BX132" s="323"/>
      <c r="BY132" s="323"/>
      <c r="BZ132" s="323"/>
      <c r="CA132" s="323"/>
      <c r="CB132" s="278"/>
      <c r="CC132" s="384" t="s">
        <v>293</v>
      </c>
      <c r="CD132" s="385">
        <f>HLOOKUP($CC132,$AK$6:$AM$132,ROWS(CC$6:CC132),0)</f>
        <v>25.333333333333332</v>
      </c>
      <c r="CE132" s="235">
        <f t="shared" si="215"/>
        <v>25.333333333333332</v>
      </c>
      <c r="CF132" s="115">
        <f t="shared" si="215"/>
        <v>25.333333333333332</v>
      </c>
      <c r="CG132" s="115">
        <f t="shared" si="215"/>
        <v>25.333333333333332</v>
      </c>
      <c r="CH132" s="115">
        <f t="shared" si="213"/>
        <v>25.333333333333332</v>
      </c>
      <c r="CI132" s="115">
        <f t="shared" si="213"/>
        <v>25.333333333333332</v>
      </c>
      <c r="CJ132" s="115">
        <f t="shared" si="213"/>
        <v>25.333333333333332</v>
      </c>
      <c r="CK132" s="115">
        <f t="shared" si="213"/>
        <v>25.333333333333332</v>
      </c>
      <c r="CL132" s="287">
        <f t="shared" si="194"/>
        <v>25.333333333333332</v>
      </c>
      <c r="CM132" s="308" t="s">
        <v>293</v>
      </c>
      <c r="CN132" s="316">
        <v>0.05</v>
      </c>
      <c r="CO132" s="309"/>
      <c r="CP132" s="310">
        <f>IF($CO132&lt;&gt;"",$CO132,HLOOKUP($CM132,$AY$6:$BA$132,ROWS(CO$6:CO132),0))</f>
        <v>885.1032894736843</v>
      </c>
      <c r="CQ132" s="785">
        <f t="shared" si="190"/>
        <v>22422.616666666669</v>
      </c>
      <c r="CR132" s="785">
        <f t="shared" si="190"/>
        <v>22422.616666666669</v>
      </c>
      <c r="CS132" s="117">
        <f t="shared" si="190"/>
        <v>22422.616666666669</v>
      </c>
      <c r="CT132" s="117">
        <f t="shared" si="190"/>
        <v>22422.616666666669</v>
      </c>
      <c r="CU132" s="117">
        <f t="shared" si="190"/>
        <v>22422.616666666669</v>
      </c>
      <c r="CV132" s="117">
        <f t="shared" si="190"/>
        <v>22422.616666666669</v>
      </c>
      <c r="CW132" s="117">
        <f t="shared" si="190"/>
        <v>22422.616666666669</v>
      </c>
      <c r="CX132" s="118">
        <f t="shared" si="190"/>
        <v>22422.616666666669</v>
      </c>
      <c r="CY132" s="393"/>
    </row>
    <row r="133" spans="1:103" ht="15.75" thickBot="1" x14ac:dyDescent="0.3">
      <c r="A133" s="19"/>
      <c r="B133" s="19"/>
      <c r="C133" s="160" t="s">
        <v>407</v>
      </c>
      <c r="D133" s="161">
        <f>SUM(D7:D132)</f>
        <v>14039261.530000005</v>
      </c>
      <c r="E133" s="162">
        <f t="shared" ref="E133:X133" si="224">SUM(E7:E132)</f>
        <v>16977676.569999997</v>
      </c>
      <c r="F133" s="162">
        <f t="shared" si="224"/>
        <v>20137962.82</v>
      </c>
      <c r="G133" s="162">
        <f t="shared" si="224"/>
        <v>15794143.479999995</v>
      </c>
      <c r="H133" s="162">
        <f t="shared" si="224"/>
        <v>17408807.839999996</v>
      </c>
      <c r="I133" s="162">
        <f t="shared" si="224"/>
        <v>17960491.530561559</v>
      </c>
      <c r="J133" s="162">
        <f t="shared" si="224"/>
        <v>19040831.821361676</v>
      </c>
      <c r="K133" s="162">
        <f t="shared" si="224"/>
        <v>17282745.582094178</v>
      </c>
      <c r="L133" s="162">
        <f t="shared" si="224"/>
        <v>19400944.3029892</v>
      </c>
      <c r="M133" s="162">
        <f t="shared" si="224"/>
        <v>21656445.592070933</v>
      </c>
      <c r="N133" s="162">
        <f t="shared" si="224"/>
        <v>24223962.343858149</v>
      </c>
      <c r="O133" s="569">
        <f t="shared" si="224"/>
        <v>18889213.1425323</v>
      </c>
      <c r="P133" s="570">
        <f t="shared" si="224"/>
        <v>22502737.523645114</v>
      </c>
      <c r="Q133" s="570">
        <f t="shared" si="224"/>
        <v>26421122.967505492</v>
      </c>
      <c r="R133" s="570">
        <f t="shared" si="224"/>
        <v>20328906.622011755</v>
      </c>
      <c r="S133" s="570">
        <f t="shared" si="224"/>
        <v>21951093.060843959</v>
      </c>
      <c r="T133" s="570">
        <f t="shared" si="224"/>
        <v>22291633.430814825</v>
      </c>
      <c r="U133" s="570">
        <f t="shared" si="224"/>
        <v>23715127.044863448</v>
      </c>
      <c r="V133" s="570">
        <f t="shared" si="224"/>
        <v>20728212.822231982</v>
      </c>
      <c r="W133" s="1106">
        <f t="shared" si="224"/>
        <v>21921655.332737926</v>
      </c>
      <c r="X133" s="1106">
        <f t="shared" si="224"/>
        <v>23030783.685206831</v>
      </c>
      <c r="Y133" s="678">
        <f t="shared" ref="Y133" si="225">SUM(Y7:Y132)</f>
        <v>24890084.471323121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82"/>
      <c r="AJ133" s="282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19"/>
      <c r="BC133" s="19"/>
      <c r="BD133" s="326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207"/>
      <c r="CM133" s="207"/>
      <c r="CN133" s="207"/>
      <c r="CO133" s="207"/>
      <c r="CP133" s="19"/>
      <c r="CQ133" s="787">
        <f>SUM(CQ7:CQ132)</f>
        <v>19770089.448329978</v>
      </c>
      <c r="CR133" s="1110">
        <f t="shared" ref="CR133:CX133" si="226">SUM(CR7:CR132)</f>
        <v>19770089.448329978</v>
      </c>
      <c r="CS133" s="163">
        <f t="shared" si="226"/>
        <v>19770089.448329978</v>
      </c>
      <c r="CT133" s="163">
        <f t="shared" si="226"/>
        <v>18255458.661342591</v>
      </c>
      <c r="CU133" s="163">
        <f t="shared" si="226"/>
        <v>18255458.661342591</v>
      </c>
      <c r="CV133" s="163">
        <f t="shared" si="226"/>
        <v>18255458.661342591</v>
      </c>
      <c r="CW133" s="163">
        <f t="shared" si="226"/>
        <v>18255458.661342591</v>
      </c>
      <c r="CX133" s="164">
        <f t="shared" si="226"/>
        <v>18255458.661342591</v>
      </c>
    </row>
    <row r="134" spans="1:103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82"/>
      <c r="N134" s="282"/>
      <c r="O134" s="19"/>
      <c r="P134" s="19"/>
      <c r="Q134" s="19"/>
      <c r="R134" s="19"/>
      <c r="S134" s="19"/>
      <c r="T134" s="19"/>
      <c r="U134" s="19"/>
      <c r="V134" s="19"/>
      <c r="W134" s="19"/>
      <c r="X134" s="282"/>
      <c r="Y134" s="282"/>
      <c r="Z134" s="19"/>
      <c r="AA134" s="19"/>
      <c r="AB134" s="19"/>
      <c r="AC134" s="19"/>
      <c r="AD134" s="19"/>
      <c r="AE134" s="19"/>
      <c r="AF134" s="19"/>
      <c r="AG134" s="19"/>
      <c r="AH134" s="19"/>
      <c r="AI134" s="282"/>
      <c r="AJ134" s="282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/>
      <c r="AX134" s="282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207"/>
      <c r="CM134" s="207"/>
      <c r="CN134" s="207"/>
      <c r="CO134" s="207"/>
      <c r="CP134" s="19"/>
      <c r="CQ134" s="780"/>
      <c r="CR134" s="780"/>
      <c r="CS134" s="19"/>
      <c r="CT134" s="19"/>
      <c r="CU134" s="19"/>
      <c r="CV134" s="19"/>
      <c r="CW134" s="19"/>
      <c r="CX134" s="19"/>
    </row>
    <row r="135" spans="1:103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82"/>
      <c r="N135" s="282"/>
      <c r="O135" s="19"/>
      <c r="P135" s="19"/>
      <c r="Q135" s="19"/>
      <c r="R135" s="19"/>
      <c r="S135" s="19"/>
      <c r="T135" s="19"/>
      <c r="U135" s="19"/>
      <c r="V135" s="19"/>
      <c r="W135" s="19"/>
      <c r="X135" s="282"/>
      <c r="Y135" s="282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294"/>
      <c r="AJ135" s="294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282"/>
      <c r="AX135" s="282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65"/>
      <c r="CF135" s="165"/>
      <c r="CG135" s="165"/>
      <c r="CH135" s="165"/>
      <c r="CI135" s="165"/>
      <c r="CJ135" s="165"/>
      <c r="CK135" s="165"/>
      <c r="CL135" s="212"/>
      <c r="CM135" s="212"/>
      <c r="CN135" s="212"/>
      <c r="CO135" s="212"/>
      <c r="CP135" s="19"/>
      <c r="CQ135" s="780"/>
      <c r="CR135" s="780"/>
      <c r="CS135" s="19"/>
      <c r="CT135" s="19"/>
      <c r="CU135" s="19"/>
      <c r="CV135" s="19"/>
      <c r="CW135" s="19"/>
      <c r="CX135" s="19"/>
    </row>
    <row r="136" spans="1:103" x14ac:dyDescent="0.25">
      <c r="A136" s="63" t="s">
        <v>296</v>
      </c>
      <c r="B136" s="166"/>
      <c r="C136" s="64" t="s">
        <v>409</v>
      </c>
      <c r="D136" s="167">
        <f>SUMIF($A$7:$A$132,$A136,D$7:D$132)</f>
        <v>0</v>
      </c>
      <c r="E136" s="168">
        <f t="shared" ref="E136:AF146" si="227">SUMIF($A$7:$A$132,$A136,E$7:E$132)</f>
        <v>3060.277779812589</v>
      </c>
      <c r="F136" s="168">
        <f t="shared" si="227"/>
        <v>0</v>
      </c>
      <c r="G136" s="168">
        <f t="shared" si="227"/>
        <v>0</v>
      </c>
      <c r="H136" s="168">
        <f t="shared" si="227"/>
        <v>0</v>
      </c>
      <c r="I136" s="168">
        <f t="shared" si="227"/>
        <v>0</v>
      </c>
      <c r="J136" s="168">
        <f t="shared" si="227"/>
        <v>0</v>
      </c>
      <c r="K136" s="168">
        <f t="shared" si="227"/>
        <v>0</v>
      </c>
      <c r="L136" s="168">
        <f t="shared" si="227"/>
        <v>0</v>
      </c>
      <c r="M136" s="658">
        <f t="shared" si="227"/>
        <v>0</v>
      </c>
      <c r="N136" s="658">
        <f t="shared" ref="N136:N146" si="228">SUMIF($A$7:$A$132,$A136,N$7:N$132)</f>
        <v>0</v>
      </c>
      <c r="O136" s="578">
        <f>SUMIF($A$7:$A$132,$A136,O$7:O$132)</f>
        <v>0</v>
      </c>
      <c r="P136" s="575">
        <f t="shared" si="227"/>
        <v>4056.1868018060691</v>
      </c>
      <c r="Q136" s="575">
        <f t="shared" si="227"/>
        <v>0</v>
      </c>
      <c r="R136" s="575">
        <f t="shared" si="227"/>
        <v>0</v>
      </c>
      <c r="S136" s="575">
        <f t="shared" si="227"/>
        <v>0</v>
      </c>
      <c r="T136" s="575">
        <f t="shared" si="227"/>
        <v>0</v>
      </c>
      <c r="U136" s="575">
        <f t="shared" si="227"/>
        <v>0</v>
      </c>
      <c r="V136" s="575">
        <f t="shared" si="227"/>
        <v>0</v>
      </c>
      <c r="W136" s="575">
        <f t="shared" si="227"/>
        <v>0</v>
      </c>
      <c r="X136" s="679">
        <f t="shared" si="227"/>
        <v>0</v>
      </c>
      <c r="Y136" s="679">
        <f t="shared" ref="Y136:Y143" si="229">SUMIF($A$7:$A$132,$A136,Y$7:Y$132)</f>
        <v>0</v>
      </c>
      <c r="Z136" s="169">
        <f t="shared" si="227"/>
        <v>0</v>
      </c>
      <c r="AA136" s="170">
        <f t="shared" si="227"/>
        <v>3</v>
      </c>
      <c r="AB136" s="170">
        <f t="shared" si="227"/>
        <v>0</v>
      </c>
      <c r="AC136" s="170">
        <f t="shared" si="227"/>
        <v>0</v>
      </c>
      <c r="AD136" s="170">
        <f t="shared" si="227"/>
        <v>0</v>
      </c>
      <c r="AE136" s="170">
        <f t="shared" si="227"/>
        <v>0</v>
      </c>
      <c r="AF136" s="170">
        <f t="shared" si="227"/>
        <v>0</v>
      </c>
      <c r="AG136" s="170">
        <f t="shared" ref="AG136:AJ146" si="230">SUMIF($A$7:$A$132,$A136,AG$7:AG$132)</f>
        <v>0</v>
      </c>
      <c r="AH136" s="170">
        <f t="shared" si="230"/>
        <v>0</v>
      </c>
      <c r="AI136" s="170">
        <f t="shared" si="230"/>
        <v>0</v>
      </c>
      <c r="AJ136" s="170">
        <f t="shared" si="230"/>
        <v>0</v>
      </c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282"/>
      <c r="AX136" s="282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420">
        <f t="shared" ref="CE136:CL146" si="231">SUMIF($A$7:$A$132,$A136,CE$7:CE$132)</f>
        <v>0</v>
      </c>
      <c r="CF136" s="144">
        <f t="shared" si="231"/>
        <v>0</v>
      </c>
      <c r="CG136" s="144">
        <f t="shared" si="231"/>
        <v>0</v>
      </c>
      <c r="CH136" s="144">
        <f t="shared" si="231"/>
        <v>0</v>
      </c>
      <c r="CI136" s="144">
        <f t="shared" si="231"/>
        <v>0</v>
      </c>
      <c r="CJ136" s="144">
        <f t="shared" si="231"/>
        <v>0</v>
      </c>
      <c r="CK136" s="144">
        <f t="shared" si="231"/>
        <v>0</v>
      </c>
      <c r="CL136" s="293">
        <f t="shared" si="231"/>
        <v>0</v>
      </c>
      <c r="CM136" s="212"/>
      <c r="CN136" s="212"/>
      <c r="CO136" s="212"/>
      <c r="CP136" s="19"/>
      <c r="CQ136" s="788">
        <f t="shared" ref="CQ136:CX146" si="232">SUMIF($A$7:$A$132,$A136,CQ$7:CQ$132)</f>
        <v>0</v>
      </c>
      <c r="CR136" s="783">
        <f t="shared" si="232"/>
        <v>0</v>
      </c>
      <c r="CS136" s="79">
        <f t="shared" si="232"/>
        <v>0</v>
      </c>
      <c r="CT136" s="79">
        <f t="shared" si="232"/>
        <v>0</v>
      </c>
      <c r="CU136" s="79">
        <f t="shared" si="232"/>
        <v>0</v>
      </c>
      <c r="CV136" s="79">
        <f t="shared" si="232"/>
        <v>0</v>
      </c>
      <c r="CW136" s="79">
        <f t="shared" si="232"/>
        <v>0</v>
      </c>
      <c r="CX136" s="80">
        <f t="shared" si="232"/>
        <v>0</v>
      </c>
    </row>
    <row r="137" spans="1:103" x14ac:dyDescent="0.25">
      <c r="A137" s="81" t="s">
        <v>27</v>
      </c>
      <c r="B137" s="171"/>
      <c r="C137" s="82" t="s">
        <v>410</v>
      </c>
      <c r="D137" s="172">
        <f t="shared" ref="D137:D146" si="233">SUMIF($A$7:$A$132,$A137,D$7:D$132)</f>
        <v>182518.23162054294</v>
      </c>
      <c r="E137" s="173">
        <f t="shared" si="227"/>
        <v>144489.86980526501</v>
      </c>
      <c r="F137" s="173">
        <f t="shared" si="227"/>
        <v>192232.63356554572</v>
      </c>
      <c r="G137" s="173">
        <f t="shared" si="227"/>
        <v>228131.80961958549</v>
      </c>
      <c r="H137" s="173">
        <f t="shared" si="227"/>
        <v>205113.79748192566</v>
      </c>
      <c r="I137" s="173">
        <f t="shared" si="227"/>
        <v>644059.31942845928</v>
      </c>
      <c r="J137" s="173">
        <f t="shared" si="227"/>
        <v>145451.05623834193</v>
      </c>
      <c r="K137" s="173">
        <f t="shared" si="227"/>
        <v>496877.39515103993</v>
      </c>
      <c r="L137" s="173">
        <f t="shared" si="227"/>
        <v>295956.22319615993</v>
      </c>
      <c r="M137" s="659">
        <f t="shared" si="227"/>
        <v>408706.5417645229</v>
      </c>
      <c r="N137" s="659">
        <f t="shared" si="228"/>
        <v>518553.01056291396</v>
      </c>
      <c r="O137" s="580">
        <f t="shared" si="227"/>
        <v>245570.30810426909</v>
      </c>
      <c r="P137" s="576">
        <f t="shared" si="227"/>
        <v>191511.34147524493</v>
      </c>
      <c r="Q137" s="576">
        <f t="shared" si="227"/>
        <v>252210.32014015332</v>
      </c>
      <c r="R137" s="576">
        <f t="shared" si="227"/>
        <v>293632.27332585416</v>
      </c>
      <c r="S137" s="576">
        <f t="shared" si="227"/>
        <v>258631.84302853746</v>
      </c>
      <c r="T137" s="576">
        <f t="shared" si="227"/>
        <v>799373.12583952397</v>
      </c>
      <c r="U137" s="576">
        <f t="shared" si="227"/>
        <v>181157.54132295991</v>
      </c>
      <c r="V137" s="576">
        <f t="shared" si="227"/>
        <v>595934.27122584637</v>
      </c>
      <c r="W137" s="576">
        <f t="shared" si="227"/>
        <v>334408.99665308866</v>
      </c>
      <c r="X137" s="680">
        <f t="shared" si="227"/>
        <v>434643.43740479706</v>
      </c>
      <c r="Y137" s="680">
        <f t="shared" si="229"/>
        <v>532812.42979814543</v>
      </c>
      <c r="Z137" s="174">
        <f t="shared" si="227"/>
        <v>90</v>
      </c>
      <c r="AA137" s="175">
        <f t="shared" si="227"/>
        <v>77</v>
      </c>
      <c r="AB137" s="175">
        <f t="shared" si="227"/>
        <v>78</v>
      </c>
      <c r="AC137" s="175">
        <f t="shared" si="227"/>
        <v>74</v>
      </c>
      <c r="AD137" s="175">
        <f t="shared" si="227"/>
        <v>68</v>
      </c>
      <c r="AE137" s="175">
        <f t="shared" si="227"/>
        <v>135</v>
      </c>
      <c r="AF137" s="175">
        <f t="shared" si="227"/>
        <v>36</v>
      </c>
      <c r="AG137" s="175">
        <f t="shared" si="230"/>
        <v>69</v>
      </c>
      <c r="AH137" s="175">
        <f t="shared" si="230"/>
        <v>107</v>
      </c>
      <c r="AI137" s="175">
        <f t="shared" si="230"/>
        <v>83</v>
      </c>
      <c r="AJ137" s="175">
        <f t="shared" si="230"/>
        <v>37</v>
      </c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282"/>
      <c r="AX137" s="282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421">
        <f t="shared" si="231"/>
        <v>86.333333333333343</v>
      </c>
      <c r="CF137" s="96">
        <f t="shared" si="231"/>
        <v>86.333333333333343</v>
      </c>
      <c r="CG137" s="96">
        <f t="shared" si="231"/>
        <v>86.333333333333343</v>
      </c>
      <c r="CH137" s="96">
        <f t="shared" si="231"/>
        <v>86.333333333333343</v>
      </c>
      <c r="CI137" s="96">
        <f t="shared" si="231"/>
        <v>86.333333333333343</v>
      </c>
      <c r="CJ137" s="96">
        <f t="shared" si="231"/>
        <v>86.333333333333343</v>
      </c>
      <c r="CK137" s="96">
        <f t="shared" si="231"/>
        <v>86.333333333333343</v>
      </c>
      <c r="CL137" s="286">
        <f t="shared" si="231"/>
        <v>86.333333333333343</v>
      </c>
      <c r="CM137" s="212"/>
      <c r="CN137" s="212"/>
      <c r="CO137" s="212"/>
      <c r="CP137" s="19"/>
      <c r="CQ137" s="789">
        <f t="shared" si="232"/>
        <v>100031.76277157001</v>
      </c>
      <c r="CR137" s="784">
        <f t="shared" si="232"/>
        <v>100031.76277157001</v>
      </c>
      <c r="CS137" s="97">
        <f t="shared" si="232"/>
        <v>100031.76277157001</v>
      </c>
      <c r="CT137" s="97">
        <f t="shared" si="232"/>
        <v>100031.76277157001</v>
      </c>
      <c r="CU137" s="97">
        <f t="shared" si="232"/>
        <v>100031.76277157001</v>
      </c>
      <c r="CV137" s="97">
        <f t="shared" si="232"/>
        <v>100031.76277157001</v>
      </c>
      <c r="CW137" s="97">
        <f t="shared" si="232"/>
        <v>100031.76277157001</v>
      </c>
      <c r="CX137" s="98">
        <f t="shared" si="232"/>
        <v>100031.76277157001</v>
      </c>
    </row>
    <row r="138" spans="1:103" x14ac:dyDescent="0.25">
      <c r="A138" s="81" t="s">
        <v>68</v>
      </c>
      <c r="B138" s="171"/>
      <c r="C138" s="82" t="s">
        <v>411</v>
      </c>
      <c r="D138" s="172">
        <f t="shared" si="233"/>
        <v>52357.967209133523</v>
      </c>
      <c r="E138" s="173">
        <f t="shared" si="227"/>
        <v>63699.095363241911</v>
      </c>
      <c r="F138" s="173">
        <f t="shared" si="227"/>
        <v>64636.464796537119</v>
      </c>
      <c r="G138" s="173">
        <f t="shared" si="227"/>
        <v>57645.717918898888</v>
      </c>
      <c r="H138" s="173">
        <f t="shared" si="227"/>
        <v>61388.592371065984</v>
      </c>
      <c r="I138" s="173">
        <f t="shared" si="227"/>
        <v>116680.88573214297</v>
      </c>
      <c r="J138" s="173">
        <f t="shared" si="227"/>
        <v>85520.188276899033</v>
      </c>
      <c r="K138" s="173">
        <f t="shared" si="227"/>
        <v>173605.18738889898</v>
      </c>
      <c r="L138" s="173">
        <f t="shared" si="227"/>
        <v>296647.53932342277</v>
      </c>
      <c r="M138" s="659">
        <f t="shared" si="227"/>
        <v>394890.69861704513</v>
      </c>
      <c r="N138" s="659">
        <f t="shared" si="228"/>
        <v>305320.53071212402</v>
      </c>
      <c r="O138" s="580">
        <f t="shared" si="227"/>
        <v>70445.357842339436</v>
      </c>
      <c r="P138" s="576">
        <f t="shared" si="227"/>
        <v>84428.750750590669</v>
      </c>
      <c r="Q138" s="576">
        <f t="shared" si="227"/>
        <v>84803.413326301205</v>
      </c>
      <c r="R138" s="576">
        <f t="shared" si="227"/>
        <v>74196.769088242174</v>
      </c>
      <c r="S138" s="576">
        <f t="shared" si="227"/>
        <v>77406.030119721589</v>
      </c>
      <c r="T138" s="576">
        <f t="shared" si="227"/>
        <v>144818.28232249938</v>
      </c>
      <c r="U138" s="576">
        <f t="shared" si="227"/>
        <v>106514.36601692879</v>
      </c>
      <c r="V138" s="576">
        <f t="shared" si="227"/>
        <v>208214.90741429533</v>
      </c>
      <c r="W138" s="576">
        <f t="shared" si="227"/>
        <v>335190.13357256766</v>
      </c>
      <c r="X138" s="680">
        <f t="shared" si="227"/>
        <v>419950.82805643725</v>
      </c>
      <c r="Y138" s="680">
        <f t="shared" si="229"/>
        <v>313716.38101067184</v>
      </c>
      <c r="Z138" s="174">
        <f t="shared" si="227"/>
        <v>186</v>
      </c>
      <c r="AA138" s="175">
        <f t="shared" si="227"/>
        <v>199</v>
      </c>
      <c r="AB138" s="175">
        <f t="shared" si="227"/>
        <v>194</v>
      </c>
      <c r="AC138" s="175">
        <f t="shared" si="227"/>
        <v>168</v>
      </c>
      <c r="AD138" s="175">
        <f t="shared" si="227"/>
        <v>165</v>
      </c>
      <c r="AE138" s="175">
        <f t="shared" si="227"/>
        <v>204</v>
      </c>
      <c r="AF138" s="175">
        <f t="shared" si="227"/>
        <v>116</v>
      </c>
      <c r="AG138" s="175">
        <f t="shared" si="230"/>
        <v>174</v>
      </c>
      <c r="AH138" s="175">
        <f t="shared" si="230"/>
        <v>392</v>
      </c>
      <c r="AI138" s="175">
        <f t="shared" si="230"/>
        <v>409</v>
      </c>
      <c r="AJ138" s="175">
        <f t="shared" si="230"/>
        <v>290</v>
      </c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282"/>
      <c r="AX138" s="282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421">
        <f t="shared" si="231"/>
        <v>325</v>
      </c>
      <c r="CF138" s="96">
        <f t="shared" si="231"/>
        <v>325</v>
      </c>
      <c r="CG138" s="96">
        <f t="shared" si="231"/>
        <v>325</v>
      </c>
      <c r="CH138" s="96">
        <f t="shared" si="231"/>
        <v>354.99999989999992</v>
      </c>
      <c r="CI138" s="96">
        <f t="shared" si="231"/>
        <v>354.99999989999992</v>
      </c>
      <c r="CJ138" s="96">
        <f t="shared" si="231"/>
        <v>354.99999989999992</v>
      </c>
      <c r="CK138" s="96">
        <f t="shared" si="231"/>
        <v>354.99999989999992</v>
      </c>
      <c r="CL138" s="286">
        <f t="shared" si="231"/>
        <v>354.99999989999992</v>
      </c>
      <c r="CM138" s="212"/>
      <c r="CN138" s="212"/>
      <c r="CO138" s="212"/>
      <c r="CP138" s="19"/>
      <c r="CQ138" s="789">
        <f t="shared" si="232"/>
        <v>1047773.8447743645</v>
      </c>
      <c r="CR138" s="784">
        <f t="shared" si="232"/>
        <v>1047773.8447743645</v>
      </c>
      <c r="CS138" s="97">
        <f t="shared" si="232"/>
        <v>1047773.8447743645</v>
      </c>
      <c r="CT138" s="97">
        <f t="shared" si="232"/>
        <v>1144491.4301234523</v>
      </c>
      <c r="CU138" s="97">
        <f t="shared" si="232"/>
        <v>1144491.4301234523</v>
      </c>
      <c r="CV138" s="97">
        <f t="shared" si="232"/>
        <v>1144491.4301234523</v>
      </c>
      <c r="CW138" s="97">
        <f t="shared" si="232"/>
        <v>1144491.4301234523</v>
      </c>
      <c r="CX138" s="98">
        <f t="shared" si="232"/>
        <v>1144491.4301234523</v>
      </c>
    </row>
    <row r="139" spans="1:103" x14ac:dyDescent="0.25">
      <c r="A139" s="81" t="s">
        <v>81</v>
      </c>
      <c r="B139" s="171"/>
      <c r="C139" s="82" t="s">
        <v>270</v>
      </c>
      <c r="D139" s="172">
        <f t="shared" si="233"/>
        <v>1858.0397689318927</v>
      </c>
      <c r="E139" s="173">
        <f t="shared" si="227"/>
        <v>14131.232105874038</v>
      </c>
      <c r="F139" s="173">
        <f t="shared" si="227"/>
        <v>27581.838934747106</v>
      </c>
      <c r="G139" s="173">
        <f t="shared" si="227"/>
        <v>26913.35049745697</v>
      </c>
      <c r="H139" s="173">
        <f t="shared" si="227"/>
        <v>35315.926211796053</v>
      </c>
      <c r="I139" s="173">
        <f t="shared" si="227"/>
        <v>19542.607839693006</v>
      </c>
      <c r="J139" s="173">
        <f t="shared" si="227"/>
        <v>35068.233452441993</v>
      </c>
      <c r="K139" s="173">
        <f t="shared" si="227"/>
        <v>28225.119767199998</v>
      </c>
      <c r="L139" s="173">
        <f t="shared" si="227"/>
        <v>88629.250407928979</v>
      </c>
      <c r="M139" s="659">
        <f t="shared" si="227"/>
        <v>93520.212394566945</v>
      </c>
      <c r="N139" s="659">
        <f t="shared" si="228"/>
        <v>97376.529260310999</v>
      </c>
      <c r="O139" s="580">
        <f t="shared" si="227"/>
        <v>2499.9113484465429</v>
      </c>
      <c r="P139" s="576">
        <f t="shared" si="227"/>
        <v>18729.972010780883</v>
      </c>
      <c r="Q139" s="576">
        <f t="shared" si="227"/>
        <v>36187.531215477909</v>
      </c>
      <c r="R139" s="576">
        <f t="shared" si="227"/>
        <v>34640.62421878647</v>
      </c>
      <c r="S139" s="576">
        <f t="shared" si="227"/>
        <v>44530.51523860314</v>
      </c>
      <c r="T139" s="576">
        <f t="shared" si="227"/>
        <v>24255.274389530234</v>
      </c>
      <c r="U139" s="576">
        <f t="shared" si="227"/>
        <v>43677.063027812532</v>
      </c>
      <c r="V139" s="576">
        <f t="shared" si="227"/>
        <v>33852.04548018441</v>
      </c>
      <c r="W139" s="576">
        <f t="shared" si="227"/>
        <v>100144.60376251835</v>
      </c>
      <c r="X139" s="680">
        <f t="shared" si="227"/>
        <v>99455.091681455582</v>
      </c>
      <c r="Y139" s="680">
        <f t="shared" si="229"/>
        <v>100054.23573604281</v>
      </c>
      <c r="Z139" s="630">
        <f t="shared" si="227"/>
        <v>0</v>
      </c>
      <c r="AA139" s="631">
        <f t="shared" si="227"/>
        <v>0</v>
      </c>
      <c r="AB139" s="631">
        <f t="shared" si="227"/>
        <v>2</v>
      </c>
      <c r="AC139" s="631">
        <f t="shared" si="227"/>
        <v>2</v>
      </c>
      <c r="AD139" s="631">
        <f t="shared" si="227"/>
        <v>1</v>
      </c>
      <c r="AE139" s="631">
        <f t="shared" si="227"/>
        <v>2.490543331</v>
      </c>
      <c r="AF139" s="631">
        <f t="shared" si="227"/>
        <v>1.472166664</v>
      </c>
      <c r="AG139" s="631">
        <f t="shared" si="230"/>
        <v>0.87099999999999878</v>
      </c>
      <c r="AH139" s="631">
        <f t="shared" si="230"/>
        <v>6.1323331620000001</v>
      </c>
      <c r="AI139" s="631">
        <f t="shared" si="230"/>
        <v>3.4406665713333333</v>
      </c>
      <c r="AJ139" s="631">
        <f t="shared" si="230"/>
        <v>1.2911666759999998</v>
      </c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282"/>
      <c r="AX139" s="282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421">
        <f t="shared" si="231"/>
        <v>3.481333244444444</v>
      </c>
      <c r="CF139" s="96">
        <f t="shared" si="231"/>
        <v>3.481333244444444</v>
      </c>
      <c r="CG139" s="96">
        <f t="shared" si="231"/>
        <v>3.481333244444444</v>
      </c>
      <c r="CH139" s="96">
        <f t="shared" si="231"/>
        <v>8.9210208788862193</v>
      </c>
      <c r="CI139" s="96">
        <f t="shared" si="231"/>
        <v>8.9210208788862193</v>
      </c>
      <c r="CJ139" s="96">
        <f t="shared" si="231"/>
        <v>8.9210208788862193</v>
      </c>
      <c r="CK139" s="96">
        <f t="shared" si="231"/>
        <v>8.9210208788862193</v>
      </c>
      <c r="CL139" s="286">
        <f t="shared" si="231"/>
        <v>8.9210208788862193</v>
      </c>
      <c r="CM139" s="212"/>
      <c r="CN139" s="212"/>
      <c r="CO139" s="212"/>
      <c r="CP139" s="19"/>
      <c r="CQ139" s="789">
        <f t="shared" si="232"/>
        <v>70124.860856565298</v>
      </c>
      <c r="CR139" s="784">
        <f t="shared" si="232"/>
        <v>70124.860856565298</v>
      </c>
      <c r="CS139" s="97">
        <f t="shared" si="232"/>
        <v>70124.860856565298</v>
      </c>
      <c r="CT139" s="97">
        <f t="shared" si="232"/>
        <v>179697.05969077424</v>
      </c>
      <c r="CU139" s="97">
        <f t="shared" si="232"/>
        <v>179697.05969077424</v>
      </c>
      <c r="CV139" s="97">
        <f t="shared" si="232"/>
        <v>179697.05969077424</v>
      </c>
      <c r="CW139" s="97">
        <f t="shared" si="232"/>
        <v>179697.05969077424</v>
      </c>
      <c r="CX139" s="98">
        <f t="shared" si="232"/>
        <v>179697.05969077424</v>
      </c>
    </row>
    <row r="140" spans="1:103" x14ac:dyDescent="0.25">
      <c r="A140" s="81" t="s">
        <v>94</v>
      </c>
      <c r="B140" s="171"/>
      <c r="C140" s="82" t="s">
        <v>412</v>
      </c>
      <c r="D140" s="172">
        <f t="shared" si="233"/>
        <v>464185.90690443252</v>
      </c>
      <c r="E140" s="173">
        <f t="shared" si="227"/>
        <v>285132.15551020193</v>
      </c>
      <c r="F140" s="173">
        <f t="shared" si="227"/>
        <v>285197.4261246656</v>
      </c>
      <c r="G140" s="173">
        <f t="shared" si="227"/>
        <v>421573.35021214018</v>
      </c>
      <c r="H140" s="173">
        <f t="shared" si="227"/>
        <v>419594.56624925241</v>
      </c>
      <c r="I140" s="173">
        <f t="shared" si="227"/>
        <v>371746.16219179996</v>
      </c>
      <c r="J140" s="173">
        <f t="shared" si="227"/>
        <v>956452.68931833096</v>
      </c>
      <c r="K140" s="173">
        <f t="shared" si="227"/>
        <v>1331700.257111087</v>
      </c>
      <c r="L140" s="173">
        <f t="shared" si="227"/>
        <v>521337.42598284589</v>
      </c>
      <c r="M140" s="659">
        <f t="shared" si="227"/>
        <v>298335.18860135489</v>
      </c>
      <c r="N140" s="659">
        <f t="shared" si="228"/>
        <v>414356.34623731289</v>
      </c>
      <c r="O140" s="580">
        <f t="shared" si="227"/>
        <v>624541.86173120444</v>
      </c>
      <c r="P140" s="576">
        <f t="shared" si="227"/>
        <v>377922.97600573488</v>
      </c>
      <c r="Q140" s="576">
        <f t="shared" si="227"/>
        <v>374180.66231467249</v>
      </c>
      <c r="R140" s="576">
        <f t="shared" si="227"/>
        <v>542614.12033159891</v>
      </c>
      <c r="S140" s="576">
        <f t="shared" si="227"/>
        <v>529074.67623364832</v>
      </c>
      <c r="T140" s="576">
        <f t="shared" si="227"/>
        <v>461392.11517630104</v>
      </c>
      <c r="U140" s="576">
        <f t="shared" si="227"/>
        <v>1191250.3220651541</v>
      </c>
      <c r="V140" s="576">
        <f t="shared" si="227"/>
        <v>1597186.4084731184</v>
      </c>
      <c r="W140" s="576">
        <f t="shared" si="227"/>
        <v>589073.35570732306</v>
      </c>
      <c r="X140" s="680">
        <f t="shared" si="227"/>
        <v>317267.81595585676</v>
      </c>
      <c r="Y140" s="680">
        <f t="shared" si="229"/>
        <v>425750.51565378701</v>
      </c>
      <c r="Z140" s="630">
        <f t="shared" si="227"/>
        <v>3</v>
      </c>
      <c r="AA140" s="631">
        <f t="shared" si="227"/>
        <v>2</v>
      </c>
      <c r="AB140" s="631">
        <f t="shared" si="227"/>
        <v>2</v>
      </c>
      <c r="AC140" s="631">
        <f t="shared" si="227"/>
        <v>2</v>
      </c>
      <c r="AD140" s="631">
        <f t="shared" si="227"/>
        <v>2</v>
      </c>
      <c r="AE140" s="631">
        <f t="shared" si="227"/>
        <v>2.9201567260000005</v>
      </c>
      <c r="AF140" s="631">
        <f t="shared" si="227"/>
        <v>3.429666664</v>
      </c>
      <c r="AG140" s="631">
        <f t="shared" si="230"/>
        <v>2.1753333333333309</v>
      </c>
      <c r="AH140" s="631">
        <f t="shared" si="230"/>
        <v>2.1383333289999999</v>
      </c>
      <c r="AI140" s="631">
        <f t="shared" si="230"/>
        <v>1.2659999820000003</v>
      </c>
      <c r="AJ140" s="631">
        <f t="shared" si="230"/>
        <v>1.223333338</v>
      </c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282"/>
      <c r="AX140" s="282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421">
        <f t="shared" si="231"/>
        <v>1.8598888814444436</v>
      </c>
      <c r="CF140" s="96">
        <f t="shared" si="231"/>
        <v>1.8598888814444436</v>
      </c>
      <c r="CG140" s="96">
        <f t="shared" si="231"/>
        <v>1.8598888814444436</v>
      </c>
      <c r="CH140" s="96">
        <f t="shared" si="231"/>
        <v>1.8598888814444436</v>
      </c>
      <c r="CI140" s="96">
        <f t="shared" si="231"/>
        <v>1.8598888814444436</v>
      </c>
      <c r="CJ140" s="96">
        <f t="shared" si="231"/>
        <v>1.8598888814444436</v>
      </c>
      <c r="CK140" s="96">
        <f t="shared" si="231"/>
        <v>1.8598888814444436</v>
      </c>
      <c r="CL140" s="286">
        <f t="shared" si="231"/>
        <v>1.8598888814444436</v>
      </c>
      <c r="CM140" s="212"/>
      <c r="CN140" s="212"/>
      <c r="CO140" s="212"/>
      <c r="CP140" s="19"/>
      <c r="CQ140" s="789">
        <f t="shared" si="232"/>
        <v>717124.29056509584</v>
      </c>
      <c r="CR140" s="784">
        <f t="shared" si="232"/>
        <v>717124.29056509584</v>
      </c>
      <c r="CS140" s="97">
        <f t="shared" si="232"/>
        <v>717124.29056509584</v>
      </c>
      <c r="CT140" s="97">
        <f t="shared" si="232"/>
        <v>717124.29056509584</v>
      </c>
      <c r="CU140" s="97">
        <f t="shared" si="232"/>
        <v>717124.29056509584</v>
      </c>
      <c r="CV140" s="97">
        <f t="shared" si="232"/>
        <v>717124.29056509584</v>
      </c>
      <c r="CW140" s="97">
        <f t="shared" si="232"/>
        <v>717124.29056509584</v>
      </c>
      <c r="CX140" s="98">
        <f t="shared" si="232"/>
        <v>717124.29056509584</v>
      </c>
    </row>
    <row r="141" spans="1:103" x14ac:dyDescent="0.25">
      <c r="A141" s="81" t="s">
        <v>106</v>
      </c>
      <c r="B141" s="171"/>
      <c r="C141" s="82" t="s">
        <v>272</v>
      </c>
      <c r="D141" s="172">
        <f t="shared" si="233"/>
        <v>82333.243342137692</v>
      </c>
      <c r="E141" s="173">
        <f t="shared" si="227"/>
        <v>52756.805883334746</v>
      </c>
      <c r="F141" s="173">
        <f t="shared" si="227"/>
        <v>80105.537047336256</v>
      </c>
      <c r="G141" s="173">
        <f t="shared" si="227"/>
        <v>75254.137751031652</v>
      </c>
      <c r="H141" s="173">
        <f t="shared" si="227"/>
        <v>96091.320164142948</v>
      </c>
      <c r="I141" s="173">
        <f t="shared" si="227"/>
        <v>33500.034601654013</v>
      </c>
      <c r="J141" s="173">
        <f t="shared" si="227"/>
        <v>17227.80081405901</v>
      </c>
      <c r="K141" s="173">
        <f t="shared" si="227"/>
        <v>49967.819500222002</v>
      </c>
      <c r="L141" s="173">
        <f t="shared" si="227"/>
        <v>16964.166522874995</v>
      </c>
      <c r="M141" s="659">
        <f t="shared" si="227"/>
        <v>142854.69152212312</v>
      </c>
      <c r="N141" s="659">
        <f t="shared" si="228"/>
        <v>317698.84339424863</v>
      </c>
      <c r="O141" s="580">
        <f t="shared" si="227"/>
        <v>110775.78253545197</v>
      </c>
      <c r="P141" s="576">
        <f t="shared" si="227"/>
        <v>69925.501907389596</v>
      </c>
      <c r="Q141" s="576">
        <f t="shared" si="227"/>
        <v>105098.92503147134</v>
      </c>
      <c r="R141" s="576">
        <f t="shared" si="227"/>
        <v>96860.86119186836</v>
      </c>
      <c r="S141" s="576">
        <f t="shared" si="227"/>
        <v>121163.35194509529</v>
      </c>
      <c r="T141" s="576">
        <f t="shared" si="227"/>
        <v>41578.510810184671</v>
      </c>
      <c r="U141" s="576">
        <f t="shared" si="227"/>
        <v>21457.018729121566</v>
      </c>
      <c r="V141" s="576">
        <f t="shared" si="227"/>
        <v>59929.343514525775</v>
      </c>
      <c r="W141" s="576">
        <f t="shared" si="227"/>
        <v>19168.273755846982</v>
      </c>
      <c r="X141" s="680">
        <f t="shared" si="227"/>
        <v>151920.38254271762</v>
      </c>
      <c r="Y141" s="680">
        <f t="shared" si="229"/>
        <v>326435.07846805337</v>
      </c>
      <c r="Z141" s="174">
        <f t="shared" si="227"/>
        <v>246</v>
      </c>
      <c r="AA141" s="175">
        <f t="shared" si="227"/>
        <v>230</v>
      </c>
      <c r="AB141" s="175">
        <f t="shared" si="227"/>
        <v>318</v>
      </c>
      <c r="AC141" s="175">
        <f t="shared" si="227"/>
        <v>220</v>
      </c>
      <c r="AD141" s="175">
        <f t="shared" si="227"/>
        <v>284</v>
      </c>
      <c r="AE141" s="175">
        <f t="shared" si="227"/>
        <v>105.86999695399999</v>
      </c>
      <c r="AF141" s="175">
        <f t="shared" si="227"/>
        <v>78.486969862000009</v>
      </c>
      <c r="AG141" s="175">
        <f t="shared" si="230"/>
        <v>16.69697063200001</v>
      </c>
      <c r="AH141" s="175">
        <f t="shared" si="230"/>
        <v>100.88575587999998</v>
      </c>
      <c r="AI141" s="175">
        <f t="shared" si="230"/>
        <v>101.23181820400004</v>
      </c>
      <c r="AJ141" s="175">
        <f t="shared" si="230"/>
        <v>436.4948388310001</v>
      </c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282"/>
      <c r="AX141" s="282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421">
        <f t="shared" si="231"/>
        <v>72.938181572000005</v>
      </c>
      <c r="CF141" s="96">
        <f t="shared" si="231"/>
        <v>72.938181572000005</v>
      </c>
      <c r="CG141" s="96">
        <f t="shared" si="231"/>
        <v>72.938181572000005</v>
      </c>
      <c r="CH141" s="96">
        <f t="shared" si="231"/>
        <v>72.938181572000005</v>
      </c>
      <c r="CI141" s="96">
        <f t="shared" si="231"/>
        <v>72.938181572000005</v>
      </c>
      <c r="CJ141" s="96">
        <f t="shared" si="231"/>
        <v>72.938181572000005</v>
      </c>
      <c r="CK141" s="96">
        <f t="shared" si="231"/>
        <v>72.938181572000005</v>
      </c>
      <c r="CL141" s="286">
        <f t="shared" si="231"/>
        <v>72.938181572000005</v>
      </c>
      <c r="CM141" s="212"/>
      <c r="CN141" s="212"/>
      <c r="CO141" s="212"/>
      <c r="CP141" s="19"/>
      <c r="CQ141" s="789">
        <f t="shared" si="232"/>
        <v>69928.89251507337</v>
      </c>
      <c r="CR141" s="784">
        <f t="shared" si="232"/>
        <v>69928.89251507337</v>
      </c>
      <c r="CS141" s="97">
        <f t="shared" si="232"/>
        <v>69928.89251507337</v>
      </c>
      <c r="CT141" s="97">
        <f t="shared" si="232"/>
        <v>69928.89251507337</v>
      </c>
      <c r="CU141" s="97">
        <f t="shared" si="232"/>
        <v>69928.89251507337</v>
      </c>
      <c r="CV141" s="97">
        <f t="shared" si="232"/>
        <v>69928.89251507337</v>
      </c>
      <c r="CW141" s="97">
        <f t="shared" si="232"/>
        <v>69928.89251507337</v>
      </c>
      <c r="CX141" s="98">
        <f t="shared" si="232"/>
        <v>69928.89251507337</v>
      </c>
    </row>
    <row r="142" spans="1:103" x14ac:dyDescent="0.25">
      <c r="A142" s="81" t="s">
        <v>138</v>
      </c>
      <c r="B142" s="171"/>
      <c r="C142" s="82" t="s">
        <v>413</v>
      </c>
      <c r="D142" s="172">
        <f t="shared" si="233"/>
        <v>9215271.3071031403</v>
      </c>
      <c r="E142" s="173">
        <f t="shared" si="227"/>
        <v>12015166.136588989</v>
      </c>
      <c r="F142" s="173">
        <f t="shared" si="227"/>
        <v>12891430.460931545</v>
      </c>
      <c r="G142" s="173">
        <f t="shared" si="227"/>
        <v>9400793.3690132927</v>
      </c>
      <c r="H142" s="173">
        <f t="shared" si="227"/>
        <v>10375453.24663808</v>
      </c>
      <c r="I142" s="173">
        <f t="shared" si="227"/>
        <v>9709842.4488014299</v>
      </c>
      <c r="J142" s="173">
        <f t="shared" si="227"/>
        <v>9507250.4165686555</v>
      </c>
      <c r="K142" s="173">
        <f t="shared" si="227"/>
        <v>8780441.4543595426</v>
      </c>
      <c r="L142" s="173">
        <f t="shared" si="227"/>
        <v>10820013.481344292</v>
      </c>
      <c r="M142" s="659">
        <f t="shared" si="227"/>
        <v>11698096.894873295</v>
      </c>
      <c r="N142" s="659">
        <f t="shared" si="228"/>
        <v>14340430.722023789</v>
      </c>
      <c r="O142" s="580">
        <f t="shared" si="227"/>
        <v>12398745.01334497</v>
      </c>
      <c r="P142" s="576">
        <f t="shared" si="227"/>
        <v>15925272.740347134</v>
      </c>
      <c r="Q142" s="576">
        <f t="shared" si="227"/>
        <v>16913630.861262966</v>
      </c>
      <c r="R142" s="576">
        <f t="shared" si="227"/>
        <v>12099918.606760601</v>
      </c>
      <c r="S142" s="576">
        <f t="shared" si="227"/>
        <v>13082604.039208476</v>
      </c>
      <c r="T142" s="576">
        <f t="shared" si="227"/>
        <v>12051354.394802541</v>
      </c>
      <c r="U142" s="576">
        <f t="shared" si="227"/>
        <v>11841166.057845723</v>
      </c>
      <c r="V142" s="576">
        <f t="shared" si="227"/>
        <v>10530899.634817112</v>
      </c>
      <c r="W142" s="576">
        <f t="shared" si="227"/>
        <v>12225827.904524317</v>
      </c>
      <c r="X142" s="680">
        <f t="shared" si="227"/>
        <v>12440468.957337018</v>
      </c>
      <c r="Y142" s="680">
        <f t="shared" si="229"/>
        <v>14734770.759616379</v>
      </c>
      <c r="Z142" s="174">
        <f t="shared" si="227"/>
        <v>634</v>
      </c>
      <c r="AA142" s="175">
        <f t="shared" si="227"/>
        <v>820</v>
      </c>
      <c r="AB142" s="175">
        <f t="shared" si="227"/>
        <v>897</v>
      </c>
      <c r="AC142" s="175">
        <f t="shared" si="227"/>
        <v>592</v>
      </c>
      <c r="AD142" s="175">
        <f t="shared" si="227"/>
        <v>682</v>
      </c>
      <c r="AE142" s="175">
        <f t="shared" si="227"/>
        <v>603</v>
      </c>
      <c r="AF142" s="175">
        <f t="shared" si="227"/>
        <v>415</v>
      </c>
      <c r="AG142" s="175">
        <f t="shared" si="230"/>
        <v>372</v>
      </c>
      <c r="AH142" s="175">
        <f t="shared" si="230"/>
        <v>501</v>
      </c>
      <c r="AI142" s="175">
        <f t="shared" si="230"/>
        <v>414</v>
      </c>
      <c r="AJ142" s="175">
        <f t="shared" si="230"/>
        <v>394</v>
      </c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282"/>
      <c r="AX142" s="282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421">
        <f t="shared" si="231"/>
        <v>429</v>
      </c>
      <c r="CF142" s="96">
        <f t="shared" si="231"/>
        <v>429</v>
      </c>
      <c r="CG142" s="96">
        <f t="shared" si="231"/>
        <v>429</v>
      </c>
      <c r="CH142" s="96">
        <f t="shared" si="231"/>
        <v>425.64000000007195</v>
      </c>
      <c r="CI142" s="96">
        <f t="shared" si="231"/>
        <v>425.64000000007195</v>
      </c>
      <c r="CJ142" s="96">
        <f t="shared" si="231"/>
        <v>425.64000000007195</v>
      </c>
      <c r="CK142" s="96">
        <f t="shared" si="231"/>
        <v>425.64000000007195</v>
      </c>
      <c r="CL142" s="286">
        <f t="shared" si="231"/>
        <v>425.64000000007195</v>
      </c>
      <c r="CM142" s="212"/>
      <c r="CN142" s="212"/>
      <c r="CO142" s="212"/>
      <c r="CP142" s="19"/>
      <c r="CQ142" s="789">
        <f t="shared" si="232"/>
        <v>10432850.610192377</v>
      </c>
      <c r="CR142" s="784">
        <f t="shared" si="232"/>
        <v>10432850.610192377</v>
      </c>
      <c r="CS142" s="97">
        <f t="shared" si="232"/>
        <v>10432850.610192377</v>
      </c>
      <c r="CT142" s="97">
        <f t="shared" si="232"/>
        <v>10351138.773247167</v>
      </c>
      <c r="CU142" s="97">
        <f t="shared" si="232"/>
        <v>10351138.773247167</v>
      </c>
      <c r="CV142" s="97">
        <f t="shared" si="232"/>
        <v>10351138.773247167</v>
      </c>
      <c r="CW142" s="97">
        <f t="shared" si="232"/>
        <v>10351138.773247167</v>
      </c>
      <c r="CX142" s="98">
        <f t="shared" si="232"/>
        <v>10351138.773247167</v>
      </c>
    </row>
    <row r="143" spans="1:103" x14ac:dyDescent="0.25">
      <c r="A143" s="81" t="s">
        <v>196</v>
      </c>
      <c r="B143" s="171"/>
      <c r="C143" s="82" t="s">
        <v>274</v>
      </c>
      <c r="D143" s="172">
        <f t="shared" si="233"/>
        <v>3906291.3849355183</v>
      </c>
      <c r="E143" s="173">
        <f t="shared" si="227"/>
        <v>4299345.1858258462</v>
      </c>
      <c r="F143" s="173">
        <f t="shared" si="227"/>
        <v>6475136.745545106</v>
      </c>
      <c r="G143" s="173">
        <f t="shared" si="227"/>
        <v>5271621.2882110756</v>
      </c>
      <c r="H143" s="173">
        <f t="shared" si="227"/>
        <v>5624113.8078163182</v>
      </c>
      <c r="I143" s="173">
        <f t="shared" si="227"/>
        <v>6925296.2253868803</v>
      </c>
      <c r="J143" s="173">
        <f t="shared" si="227"/>
        <v>5613470.9928888753</v>
      </c>
      <c r="K143" s="173">
        <f t="shared" si="227"/>
        <v>6313779.4635671386</v>
      </c>
      <c r="L143" s="173">
        <f t="shared" si="227"/>
        <v>7132937.2001654897</v>
      </c>
      <c r="M143" s="659">
        <f t="shared" si="227"/>
        <v>8431966.5453661494</v>
      </c>
      <c r="N143" s="659">
        <f t="shared" si="228"/>
        <v>8049646.0743830623</v>
      </c>
      <c r="O143" s="580">
        <f t="shared" si="227"/>
        <v>5255744.4285237044</v>
      </c>
      <c r="P143" s="576">
        <f t="shared" si="227"/>
        <v>5698485.0572039308</v>
      </c>
      <c r="Q143" s="576">
        <f t="shared" si="227"/>
        <v>8495416.6275226288</v>
      </c>
      <c r="R143" s="576">
        <f t="shared" si="227"/>
        <v>6785192.0587118967</v>
      </c>
      <c r="S143" s="576">
        <f t="shared" si="227"/>
        <v>7091550.823858913</v>
      </c>
      <c r="T143" s="576">
        <f t="shared" si="227"/>
        <v>8595319.5987673029</v>
      </c>
      <c r="U143" s="576">
        <f t="shared" si="227"/>
        <v>6991510.6129798945</v>
      </c>
      <c r="V143" s="576">
        <f t="shared" si="227"/>
        <v>7572486.8951984635</v>
      </c>
      <c r="W143" s="576">
        <f t="shared" si="227"/>
        <v>8059700.0006850427</v>
      </c>
      <c r="X143" s="680">
        <f t="shared" si="227"/>
        <v>8967066.9511126485</v>
      </c>
      <c r="Y143" s="680">
        <f t="shared" si="229"/>
        <v>8270999.1004608795</v>
      </c>
      <c r="Z143" s="174">
        <f t="shared" si="227"/>
        <v>475</v>
      </c>
      <c r="AA143" s="175">
        <f t="shared" si="227"/>
        <v>423</v>
      </c>
      <c r="AB143" s="175">
        <f t="shared" si="227"/>
        <v>617</v>
      </c>
      <c r="AC143" s="175">
        <f t="shared" si="227"/>
        <v>508</v>
      </c>
      <c r="AD143" s="175">
        <f t="shared" si="227"/>
        <v>455</v>
      </c>
      <c r="AE143" s="175">
        <f t="shared" si="227"/>
        <v>4648</v>
      </c>
      <c r="AF143" s="175">
        <f t="shared" si="227"/>
        <v>314</v>
      </c>
      <c r="AG143" s="175">
        <f t="shared" si="230"/>
        <v>496</v>
      </c>
      <c r="AH143" s="175">
        <f t="shared" si="230"/>
        <v>719</v>
      </c>
      <c r="AI143" s="175">
        <f t="shared" si="230"/>
        <v>927</v>
      </c>
      <c r="AJ143" s="175">
        <f t="shared" si="230"/>
        <v>751.00066666599992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282"/>
      <c r="AX143" s="282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421">
        <f t="shared" si="231"/>
        <v>711.99999999999989</v>
      </c>
      <c r="CF143" s="96">
        <f t="shared" si="231"/>
        <v>711.99999999999989</v>
      </c>
      <c r="CG143" s="96">
        <f t="shared" si="231"/>
        <v>711.99999999999989</v>
      </c>
      <c r="CH143" s="96">
        <f t="shared" si="231"/>
        <v>544.06905114489996</v>
      </c>
      <c r="CI143" s="96">
        <f t="shared" si="231"/>
        <v>544.06905114489996</v>
      </c>
      <c r="CJ143" s="96">
        <f t="shared" si="231"/>
        <v>544.06905114489996</v>
      </c>
      <c r="CK143" s="96">
        <f t="shared" si="231"/>
        <v>544.06905114489996</v>
      </c>
      <c r="CL143" s="286">
        <f t="shared" si="231"/>
        <v>544.06905114489996</v>
      </c>
      <c r="CM143" s="212"/>
      <c r="CN143" s="212"/>
      <c r="CO143" s="212"/>
      <c r="CP143" s="19"/>
      <c r="CQ143" s="789">
        <f t="shared" si="232"/>
        <v>7190524.006497426</v>
      </c>
      <c r="CR143" s="784">
        <f t="shared" si="232"/>
        <v>7190524.006497426</v>
      </c>
      <c r="CS143" s="97">
        <f t="shared" si="232"/>
        <v>7190524.006497426</v>
      </c>
      <c r="CT143" s="97">
        <f t="shared" si="232"/>
        <v>5551315.272271961</v>
      </c>
      <c r="CU143" s="97">
        <f t="shared" si="232"/>
        <v>5551315.272271961</v>
      </c>
      <c r="CV143" s="97">
        <f t="shared" si="232"/>
        <v>5551315.272271961</v>
      </c>
      <c r="CW143" s="97">
        <f t="shared" si="232"/>
        <v>5551315.272271961</v>
      </c>
      <c r="CX143" s="98">
        <f t="shared" si="232"/>
        <v>5551315.272271961</v>
      </c>
    </row>
    <row r="144" spans="1:103" x14ac:dyDescent="0.25">
      <c r="A144" s="81" t="s">
        <v>224</v>
      </c>
      <c r="B144" s="171"/>
      <c r="C144" s="82" t="s">
        <v>414</v>
      </c>
      <c r="D144" s="172">
        <f t="shared" si="233"/>
        <v>21360.256804356555</v>
      </c>
      <c r="E144" s="173">
        <f t="shared" si="227"/>
        <v>4279.879710203646</v>
      </c>
      <c r="F144" s="173">
        <f t="shared" si="227"/>
        <v>2090.4351750922219</v>
      </c>
      <c r="G144" s="173">
        <f t="shared" si="227"/>
        <v>11796.716429051996</v>
      </c>
      <c r="H144" s="173">
        <f t="shared" si="227"/>
        <v>30803.554550432978</v>
      </c>
      <c r="I144" s="173">
        <f t="shared" si="227"/>
        <v>38414.697587371986</v>
      </c>
      <c r="J144" s="173">
        <f t="shared" si="227"/>
        <v>25906.789803394997</v>
      </c>
      <c r="K144" s="173">
        <f t="shared" si="227"/>
        <v>33589.034733666005</v>
      </c>
      <c r="L144" s="173">
        <f t="shared" si="227"/>
        <v>9671.8901751009998</v>
      </c>
      <c r="M144" s="659">
        <f t="shared" si="227"/>
        <v>15235.251170027008</v>
      </c>
      <c r="N144" s="659">
        <f t="shared" si="228"/>
        <v>0</v>
      </c>
      <c r="O144" s="580">
        <f t="shared" ref="O144:Y146" si="234">SUMIF($A$7:$A$132,$A144,O$7:O$132)</f>
        <v>28739.292497296803</v>
      </c>
      <c r="P144" s="576">
        <f t="shared" si="234"/>
        <v>5672.6849138867183</v>
      </c>
      <c r="Q144" s="576">
        <f t="shared" si="234"/>
        <v>2742.6629649875604</v>
      </c>
      <c r="R144" s="576">
        <f t="shared" si="234"/>
        <v>15183.751308592649</v>
      </c>
      <c r="S144" s="576">
        <f t="shared" si="234"/>
        <v>38840.780986030906</v>
      </c>
      <c r="T144" s="576">
        <f t="shared" si="234"/>
        <v>47678.336392752884</v>
      </c>
      <c r="U144" s="576">
        <f t="shared" si="234"/>
        <v>32266.59514017748</v>
      </c>
      <c r="V144" s="576">
        <f t="shared" si="234"/>
        <v>40285.304041859657</v>
      </c>
      <c r="W144" s="576">
        <f t="shared" si="234"/>
        <v>10928.532112841067</v>
      </c>
      <c r="X144" s="680">
        <f t="shared" si="234"/>
        <v>16202.094318522597</v>
      </c>
      <c r="Y144" s="680">
        <f t="shared" si="234"/>
        <v>0</v>
      </c>
      <c r="Z144" s="174">
        <f t="shared" si="227"/>
        <v>74</v>
      </c>
      <c r="AA144" s="175">
        <f t="shared" si="227"/>
        <v>5</v>
      </c>
      <c r="AB144" s="175">
        <f t="shared" si="227"/>
        <v>64</v>
      </c>
      <c r="AC144" s="175">
        <f t="shared" si="227"/>
        <v>67</v>
      </c>
      <c r="AD144" s="175">
        <f t="shared" si="227"/>
        <v>118</v>
      </c>
      <c r="AE144" s="175">
        <f t="shared" si="227"/>
        <v>26</v>
      </c>
      <c r="AF144" s="175">
        <f t="shared" si="227"/>
        <v>39</v>
      </c>
      <c r="AG144" s="175">
        <f t="shared" si="230"/>
        <v>43</v>
      </c>
      <c r="AH144" s="175">
        <f t="shared" si="230"/>
        <v>39</v>
      </c>
      <c r="AI144" s="175">
        <f t="shared" si="230"/>
        <v>20</v>
      </c>
      <c r="AJ144" s="175">
        <f t="shared" si="230"/>
        <v>0</v>
      </c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282"/>
      <c r="AX144" s="282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421">
        <f t="shared" si="231"/>
        <v>0</v>
      </c>
      <c r="CF144" s="96">
        <f t="shared" si="231"/>
        <v>0</v>
      </c>
      <c r="CG144" s="96">
        <f t="shared" si="231"/>
        <v>0</v>
      </c>
      <c r="CH144" s="96">
        <f t="shared" si="231"/>
        <v>0</v>
      </c>
      <c r="CI144" s="96">
        <f t="shared" si="231"/>
        <v>0</v>
      </c>
      <c r="CJ144" s="96">
        <f t="shared" si="231"/>
        <v>0</v>
      </c>
      <c r="CK144" s="96">
        <f t="shared" si="231"/>
        <v>0</v>
      </c>
      <c r="CL144" s="286">
        <f t="shared" si="231"/>
        <v>0</v>
      </c>
      <c r="CM144" s="212"/>
      <c r="CN144" s="212"/>
      <c r="CO144" s="212"/>
      <c r="CP144" s="19"/>
      <c r="CQ144" s="789">
        <f t="shared" si="232"/>
        <v>0</v>
      </c>
      <c r="CR144" s="784">
        <f t="shared" si="232"/>
        <v>0</v>
      </c>
      <c r="CS144" s="97">
        <f t="shared" si="232"/>
        <v>0</v>
      </c>
      <c r="CT144" s="97">
        <f t="shared" si="232"/>
        <v>0</v>
      </c>
      <c r="CU144" s="97">
        <f t="shared" si="232"/>
        <v>0</v>
      </c>
      <c r="CV144" s="97">
        <f t="shared" si="232"/>
        <v>0</v>
      </c>
      <c r="CW144" s="97">
        <f t="shared" si="232"/>
        <v>0</v>
      </c>
      <c r="CX144" s="98">
        <f t="shared" si="232"/>
        <v>0</v>
      </c>
    </row>
    <row r="145" spans="1:102" x14ac:dyDescent="0.25">
      <c r="A145" s="81" t="s">
        <v>242</v>
      </c>
      <c r="B145" s="171"/>
      <c r="C145" s="82" t="s">
        <v>415</v>
      </c>
      <c r="D145" s="172">
        <f t="shared" si="233"/>
        <v>4198.0699237157569</v>
      </c>
      <c r="E145" s="173">
        <f t="shared" si="227"/>
        <v>0</v>
      </c>
      <c r="F145" s="173">
        <f t="shared" si="227"/>
        <v>0</v>
      </c>
      <c r="G145" s="173">
        <f t="shared" si="227"/>
        <v>17817.401676791247</v>
      </c>
      <c r="H145" s="173">
        <f t="shared" si="227"/>
        <v>20995.652105335754</v>
      </c>
      <c r="I145" s="173">
        <f t="shared" si="227"/>
        <v>0</v>
      </c>
      <c r="J145" s="173">
        <f t="shared" si="227"/>
        <v>0</v>
      </c>
      <c r="K145" s="173">
        <f t="shared" si="227"/>
        <v>0</v>
      </c>
      <c r="L145" s="173">
        <f t="shared" si="227"/>
        <v>54487.563675813035</v>
      </c>
      <c r="M145" s="659">
        <f t="shared" si="227"/>
        <v>-13494.56</v>
      </c>
      <c r="N145" s="659">
        <f t="shared" si="228"/>
        <v>5185.1099999999997</v>
      </c>
      <c r="O145" s="580">
        <f t="shared" si="234"/>
        <v>5648.3197073344363</v>
      </c>
      <c r="P145" s="576">
        <f t="shared" si="234"/>
        <v>0</v>
      </c>
      <c r="Q145" s="576">
        <f t="shared" si="234"/>
        <v>0</v>
      </c>
      <c r="R145" s="576">
        <f t="shared" si="234"/>
        <v>22933.076136292326</v>
      </c>
      <c r="S145" s="576">
        <f t="shared" si="234"/>
        <v>26473.812421455827</v>
      </c>
      <c r="T145" s="576">
        <f t="shared" si="234"/>
        <v>0</v>
      </c>
      <c r="U145" s="576">
        <f t="shared" si="234"/>
        <v>0</v>
      </c>
      <c r="V145" s="576">
        <f t="shared" si="234"/>
        <v>0</v>
      </c>
      <c r="W145" s="576">
        <f t="shared" si="234"/>
        <v>61566.982110131015</v>
      </c>
      <c r="X145" s="680">
        <f t="shared" si="234"/>
        <v>-14350.937274805343</v>
      </c>
      <c r="Y145" s="680">
        <f t="shared" si="234"/>
        <v>5327.6926400863604</v>
      </c>
      <c r="Z145" s="174">
        <f t="shared" si="227"/>
        <v>468</v>
      </c>
      <c r="AA145" s="175">
        <f t="shared" si="227"/>
        <v>0</v>
      </c>
      <c r="AB145" s="175">
        <f t="shared" si="227"/>
        <v>0</v>
      </c>
      <c r="AC145" s="175">
        <f t="shared" si="227"/>
        <v>2</v>
      </c>
      <c r="AD145" s="175">
        <f t="shared" si="227"/>
        <v>2</v>
      </c>
      <c r="AE145" s="175">
        <f t="shared" si="227"/>
        <v>0</v>
      </c>
      <c r="AF145" s="175">
        <f t="shared" si="227"/>
        <v>485</v>
      </c>
      <c r="AG145" s="175">
        <f t="shared" si="230"/>
        <v>0</v>
      </c>
      <c r="AH145" s="175">
        <f t="shared" si="230"/>
        <v>0</v>
      </c>
      <c r="AI145" s="175">
        <f t="shared" si="230"/>
        <v>534</v>
      </c>
      <c r="AJ145" s="175">
        <f t="shared" si="230"/>
        <v>0</v>
      </c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282"/>
      <c r="AX145" s="282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421">
        <f t="shared" si="231"/>
        <v>0</v>
      </c>
      <c r="CF145" s="96">
        <f t="shared" si="231"/>
        <v>0</v>
      </c>
      <c r="CG145" s="96">
        <f t="shared" si="231"/>
        <v>0</v>
      </c>
      <c r="CH145" s="96">
        <f t="shared" si="231"/>
        <v>0</v>
      </c>
      <c r="CI145" s="96">
        <f t="shared" si="231"/>
        <v>0</v>
      </c>
      <c r="CJ145" s="96">
        <f t="shared" si="231"/>
        <v>0</v>
      </c>
      <c r="CK145" s="96">
        <f t="shared" si="231"/>
        <v>0</v>
      </c>
      <c r="CL145" s="286">
        <f t="shared" si="231"/>
        <v>0</v>
      </c>
      <c r="CM145" s="212"/>
      <c r="CN145" s="212"/>
      <c r="CO145" s="212"/>
      <c r="CP145" s="19"/>
      <c r="CQ145" s="789">
        <f t="shared" si="232"/>
        <v>0</v>
      </c>
      <c r="CR145" s="784">
        <f t="shared" si="232"/>
        <v>0</v>
      </c>
      <c r="CS145" s="97">
        <f t="shared" si="232"/>
        <v>0</v>
      </c>
      <c r="CT145" s="97">
        <f t="shared" si="232"/>
        <v>0</v>
      </c>
      <c r="CU145" s="97">
        <f t="shared" si="232"/>
        <v>0</v>
      </c>
      <c r="CV145" s="97">
        <f t="shared" si="232"/>
        <v>0</v>
      </c>
      <c r="CW145" s="97">
        <f t="shared" si="232"/>
        <v>0</v>
      </c>
      <c r="CX145" s="98">
        <f t="shared" si="232"/>
        <v>0</v>
      </c>
    </row>
    <row r="146" spans="1:102" ht="15.75" thickBot="1" x14ac:dyDescent="0.3">
      <c r="A146" s="100" t="s">
        <v>258</v>
      </c>
      <c r="B146" s="176"/>
      <c r="C146" s="101" t="s">
        <v>64</v>
      </c>
      <c r="D146" s="177">
        <f t="shared" si="233"/>
        <v>108887.12238809641</v>
      </c>
      <c r="E146" s="178">
        <f t="shared" si="227"/>
        <v>95615.931427229269</v>
      </c>
      <c r="F146" s="178">
        <f t="shared" si="227"/>
        <v>119551.27787942653</v>
      </c>
      <c r="G146" s="178">
        <f t="shared" si="227"/>
        <v>282596.338670675</v>
      </c>
      <c r="H146" s="178">
        <f t="shared" si="227"/>
        <v>539937.37641164672</v>
      </c>
      <c r="I146" s="178">
        <f t="shared" si="227"/>
        <v>101409.148992124</v>
      </c>
      <c r="J146" s="178">
        <f t="shared" si="227"/>
        <v>2654483.6540006781</v>
      </c>
      <c r="K146" s="178">
        <f t="shared" si="227"/>
        <v>74559.850515380007</v>
      </c>
      <c r="L146" s="178">
        <f t="shared" si="227"/>
        <v>164299.56219526907</v>
      </c>
      <c r="M146" s="660">
        <f t="shared" si="227"/>
        <v>186334.12776184498</v>
      </c>
      <c r="N146" s="660">
        <f t="shared" si="228"/>
        <v>175395.17728438595</v>
      </c>
      <c r="O146" s="582">
        <f t="shared" si="234"/>
        <v>146502.86689728423</v>
      </c>
      <c r="P146" s="577">
        <f t="shared" si="234"/>
        <v>126732.31222862146</v>
      </c>
      <c r="Q146" s="577">
        <f t="shared" si="234"/>
        <v>156851.96372682281</v>
      </c>
      <c r="R146" s="577">
        <f t="shared" si="234"/>
        <v>363734.48093802953</v>
      </c>
      <c r="S146" s="577">
        <f t="shared" si="234"/>
        <v>680817.18780348101</v>
      </c>
      <c r="T146" s="577">
        <f t="shared" si="234"/>
        <v>125863.79231418691</v>
      </c>
      <c r="U146" s="577">
        <f t="shared" si="234"/>
        <v>3306127.4677356803</v>
      </c>
      <c r="V146" s="577">
        <f t="shared" si="234"/>
        <v>89424.012066567113</v>
      </c>
      <c r="W146" s="577">
        <f t="shared" si="234"/>
        <v>185646.54985425077</v>
      </c>
      <c r="X146" s="681">
        <f t="shared" si="234"/>
        <v>198159.06407217443</v>
      </c>
      <c r="Y146" s="681">
        <f t="shared" si="234"/>
        <v>180218.27793907275</v>
      </c>
      <c r="Z146" s="179">
        <f t="shared" si="227"/>
        <v>10</v>
      </c>
      <c r="AA146" s="180">
        <f t="shared" si="227"/>
        <v>12</v>
      </c>
      <c r="AB146" s="180">
        <f t="shared" si="227"/>
        <v>20</v>
      </c>
      <c r="AC146" s="180">
        <f t="shared" si="227"/>
        <v>17</v>
      </c>
      <c r="AD146" s="180">
        <f t="shared" si="227"/>
        <v>25</v>
      </c>
      <c r="AE146" s="180">
        <f t="shared" si="227"/>
        <v>135</v>
      </c>
      <c r="AF146" s="180">
        <f t="shared" si="227"/>
        <v>61</v>
      </c>
      <c r="AG146" s="180">
        <f t="shared" si="230"/>
        <v>8</v>
      </c>
      <c r="AH146" s="180">
        <f t="shared" si="230"/>
        <v>81</v>
      </c>
      <c r="AI146" s="180">
        <f t="shared" si="230"/>
        <v>39</v>
      </c>
      <c r="AJ146" s="180">
        <f t="shared" si="230"/>
        <v>59</v>
      </c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282"/>
      <c r="AX146" s="282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422">
        <f t="shared" si="231"/>
        <v>42.666666666666664</v>
      </c>
      <c r="CF146" s="115">
        <f t="shared" si="231"/>
        <v>42.666666666666664</v>
      </c>
      <c r="CG146" s="115">
        <f t="shared" si="231"/>
        <v>42.666666666666664</v>
      </c>
      <c r="CH146" s="115">
        <f t="shared" si="231"/>
        <v>42.666666666666664</v>
      </c>
      <c r="CI146" s="115">
        <f t="shared" si="231"/>
        <v>42.666666666666664</v>
      </c>
      <c r="CJ146" s="115">
        <f t="shared" si="231"/>
        <v>42.666666666666664</v>
      </c>
      <c r="CK146" s="115">
        <f t="shared" si="231"/>
        <v>42.666666666666664</v>
      </c>
      <c r="CL146" s="287">
        <f t="shared" si="231"/>
        <v>42.666666666666664</v>
      </c>
      <c r="CM146" s="212"/>
      <c r="CN146" s="212"/>
      <c r="CO146" s="212"/>
      <c r="CP146" s="19"/>
      <c r="CQ146" s="790">
        <f t="shared" si="232"/>
        <v>141731.18015749802</v>
      </c>
      <c r="CR146" s="1111">
        <f t="shared" si="232"/>
        <v>141731.18015749802</v>
      </c>
      <c r="CS146" s="181">
        <f t="shared" si="232"/>
        <v>141731.18015749802</v>
      </c>
      <c r="CT146" s="181">
        <f t="shared" si="232"/>
        <v>141731.18015749802</v>
      </c>
      <c r="CU146" s="181">
        <f t="shared" si="232"/>
        <v>141731.18015749802</v>
      </c>
      <c r="CV146" s="181">
        <f t="shared" si="232"/>
        <v>141731.18015749802</v>
      </c>
      <c r="CW146" s="181">
        <f t="shared" si="232"/>
        <v>141731.18015749802</v>
      </c>
      <c r="CX146" s="182">
        <f t="shared" si="232"/>
        <v>141731.18015749802</v>
      </c>
    </row>
    <row r="147" spans="1:102" ht="15.75" thickBot="1" x14ac:dyDescent="0.3">
      <c r="D147" s="183">
        <f>SUM(D136:D146)</f>
        <v>14039261.530000007</v>
      </c>
      <c r="E147" s="184">
        <f t="shared" ref="E147:M147" si="235">SUM(E136:E146)</f>
        <v>16977676.57</v>
      </c>
      <c r="F147" s="184">
        <f t="shared" si="235"/>
        <v>20137962.820000004</v>
      </c>
      <c r="G147" s="184">
        <f t="shared" si="235"/>
        <v>15794143.48</v>
      </c>
      <c r="H147" s="184">
        <f t="shared" si="235"/>
        <v>17408807.839999996</v>
      </c>
      <c r="I147" s="184">
        <f t="shared" si="235"/>
        <v>17960491.530561555</v>
      </c>
      <c r="J147" s="184">
        <f t="shared" si="235"/>
        <v>19040831.821361676</v>
      </c>
      <c r="K147" s="184">
        <f t="shared" si="235"/>
        <v>17282745.582094174</v>
      </c>
      <c r="L147" s="184">
        <f t="shared" si="235"/>
        <v>19400944.302989196</v>
      </c>
      <c r="M147" s="661">
        <f t="shared" si="235"/>
        <v>21656445.592070933</v>
      </c>
      <c r="N147" s="661">
        <f t="shared" ref="N147" si="236">SUM(N136:N146)</f>
        <v>24223962.343858145</v>
      </c>
      <c r="O147" s="183">
        <f>SUM(O136:O146)</f>
        <v>18889213.1425323</v>
      </c>
      <c r="P147" s="184">
        <f t="shared" ref="P147:X147" si="237">SUM(P136:P146)</f>
        <v>22502737.523645122</v>
      </c>
      <c r="Q147" s="184">
        <f t="shared" si="237"/>
        <v>26421122.967505481</v>
      </c>
      <c r="R147" s="184">
        <f t="shared" si="237"/>
        <v>20328906.622011762</v>
      </c>
      <c r="S147" s="184">
        <f t="shared" si="237"/>
        <v>21951093.060843959</v>
      </c>
      <c r="T147" s="184">
        <f t="shared" si="237"/>
        <v>22291633.430814825</v>
      </c>
      <c r="U147" s="184">
        <f t="shared" si="237"/>
        <v>23715127.044863455</v>
      </c>
      <c r="V147" s="184">
        <f t="shared" si="237"/>
        <v>20728212.822231971</v>
      </c>
      <c r="W147" s="184">
        <f t="shared" si="237"/>
        <v>21921655.33273793</v>
      </c>
      <c r="X147" s="661">
        <f t="shared" si="237"/>
        <v>23030783.685206819</v>
      </c>
      <c r="Y147" s="661">
        <f t="shared" ref="Y147" si="238">SUM(Y136:Y146)</f>
        <v>24890084.471323118</v>
      </c>
      <c r="CE147" s="19">
        <v>45541.028283188287</v>
      </c>
      <c r="CF147" s="19">
        <v>33016.763392520574</v>
      </c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791">
        <f>SUM(CQ136:CQ146)</f>
        <v>19770089.44832997</v>
      </c>
      <c r="CR147" s="1112">
        <f t="shared" ref="CR147:CX147" si="239">SUM(CR136:CR146)</f>
        <v>19770089.44832997</v>
      </c>
      <c r="CS147" s="184">
        <f t="shared" si="239"/>
        <v>19770089.44832997</v>
      </c>
      <c r="CT147" s="184">
        <f t="shared" si="239"/>
        <v>18255458.661342591</v>
      </c>
      <c r="CU147" s="184">
        <f t="shared" si="239"/>
        <v>18255458.661342591</v>
      </c>
      <c r="CV147" s="184">
        <f t="shared" si="239"/>
        <v>18255458.661342591</v>
      </c>
      <c r="CW147" s="184">
        <f t="shared" si="239"/>
        <v>18255458.661342591</v>
      </c>
      <c r="CX147" s="185">
        <f t="shared" si="239"/>
        <v>18255458.661342591</v>
      </c>
    </row>
  </sheetData>
  <autoFilter ref="A6:CZ133" xr:uid="{13708E13-6367-4A39-967D-55ADEF8291E3}"/>
  <phoneticPr fontId="17" type="noConversion"/>
  <dataValidations disablePrompts="1" count="1">
    <dataValidation type="list" allowBlank="1" showInputMessage="1" showErrorMessage="1" sqref="CM7:CM132 CC7:CC132" xr:uid="{727C1E2D-086D-4CDB-914E-E9BC62F8C703}">
      <formula1>$AY$6:$BA$6</formula1>
    </dataValidation>
  </dataValidations>
  <pageMargins left="0.7" right="0.7" top="0.75" bottom="0.75" header="0.3" footer="0.3"/>
  <pageSetup paperSize="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85F02115-E47F-48FC-943B-FE808F81667E}">
          <x14:formula1>
            <xm:f>Lookup!$A$2:$A$4</xm:f>
          </x14:formula1>
          <xm:sqref>BC7:BC132</xm:sqref>
        </x14:dataValidation>
        <x14:dataValidation type="list" allowBlank="1" showInputMessage="1" showErrorMessage="1" xr:uid="{91C84A68-6343-4D28-B509-9482AAA9C6F8}">
          <x14:formula1>
            <xm:f>Lookup!$B$2:$B$9</xm:f>
          </x14:formula1>
          <xm:sqref>BB7:BB132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0FE13-A7ED-4229-A645-670CC1E53E7E}">
  <sheetPr codeName="Sheet9">
    <tabColor theme="9" tint="-0.249977111117893"/>
  </sheetPr>
  <dimension ref="A1:CI199"/>
  <sheetViews>
    <sheetView zoomScaleNormal="100" workbookViewId="0">
      <pane xSplit="3" ySplit="7" topLeftCell="D116" activePane="bottomRight" state="frozen"/>
      <selection activeCell="N133" sqref="N133"/>
      <selection pane="topRight" activeCell="N133" sqref="N133"/>
      <selection pane="bottomLeft" activeCell="N133" sqref="N133"/>
      <selection pane="bottomRight" activeCell="O1" sqref="O1:Y1048576"/>
    </sheetView>
  </sheetViews>
  <sheetFormatPr defaultRowHeight="15" x14ac:dyDescent="0.25"/>
  <cols>
    <col min="1" max="1" width="5.7109375" bestFit="1" customWidth="1"/>
    <col min="3" max="3" width="37" customWidth="1"/>
    <col min="4" max="14" width="10" customWidth="1"/>
    <col min="15" max="23" width="0" hidden="1" customWidth="1"/>
    <col min="24" max="25" width="9.7109375" style="280" hidden="1" customWidth="1"/>
    <col min="35" max="36" width="9.140625" style="280"/>
    <col min="40" max="45" width="9.28515625" bestFit="1" customWidth="1"/>
    <col min="46" max="47" width="10" bestFit="1" customWidth="1"/>
    <col min="48" max="49" width="9.28515625" bestFit="1" customWidth="1"/>
    <col min="50" max="50" width="9.28515625" customWidth="1"/>
    <col min="57" max="60" width="9.140625" customWidth="1"/>
    <col min="61" max="61" width="9.140625" style="280" customWidth="1"/>
    <col min="62" max="62" width="9.140625" customWidth="1"/>
    <col min="63" max="70" width="13.7109375" customWidth="1"/>
    <col min="74" max="74" width="10" bestFit="1" customWidth="1"/>
  </cols>
  <sheetData>
    <row r="1" spans="1:72" x14ac:dyDescent="0.25">
      <c r="A1" t="s">
        <v>503</v>
      </c>
      <c r="AT1" t="s">
        <v>279</v>
      </c>
      <c r="AW1" s="22"/>
      <c r="AX1" s="22"/>
      <c r="BI1"/>
    </row>
    <row r="2" spans="1:72" x14ac:dyDescent="0.25">
      <c r="BI2"/>
    </row>
    <row r="3" spans="1:72" ht="15.75" thickBot="1" x14ac:dyDescent="0.3">
      <c r="C3" s="25"/>
      <c r="D3" s="25"/>
      <c r="E3" s="25"/>
      <c r="F3" s="25"/>
      <c r="G3" s="25"/>
      <c r="H3" s="25"/>
      <c r="I3" s="25"/>
      <c r="J3" s="25"/>
      <c r="K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388"/>
      <c r="Y3" s="388"/>
      <c r="Z3" s="25"/>
      <c r="BA3" s="395">
        <f>'Business Case Split'!AD206</f>
        <v>-2.9802322387695313E-8</v>
      </c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</row>
    <row r="4" spans="1:72" ht="15.75" thickBot="1" x14ac:dyDescent="0.3">
      <c r="AK4" s="220" t="s">
        <v>427</v>
      </c>
      <c r="AL4" s="221"/>
      <c r="AM4" s="222" t="s">
        <v>630</v>
      </c>
      <c r="AY4" s="223" t="s">
        <v>427</v>
      </c>
      <c r="AZ4" s="224"/>
      <c r="BA4" s="225" t="s">
        <v>630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</row>
    <row r="5" spans="1:72" s="186" customFormat="1" x14ac:dyDescent="0.25">
      <c r="A5" s="27" t="s">
        <v>281</v>
      </c>
      <c r="B5" s="27" t="s">
        <v>282</v>
      </c>
      <c r="C5" s="28" t="s">
        <v>419</v>
      </c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552" t="s">
        <v>582</v>
      </c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3" t="s">
        <v>587</v>
      </c>
      <c r="AL5" s="34"/>
      <c r="AM5" s="35"/>
      <c r="AN5" s="36" t="s">
        <v>463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188"/>
      <c r="BC5" s="189"/>
      <c r="BD5" s="189"/>
      <c r="BE5" s="189"/>
      <c r="BF5" s="189"/>
      <c r="BG5" s="189"/>
      <c r="BH5" s="189"/>
      <c r="BI5" s="283"/>
      <c r="BJ5" s="42" t="s">
        <v>289</v>
      </c>
      <c r="BK5" s="190"/>
      <c r="BL5" s="191"/>
      <c r="BM5" s="191"/>
      <c r="BN5" s="771"/>
      <c r="BO5" s="191"/>
      <c r="BP5" s="191"/>
      <c r="BQ5" s="191"/>
      <c r="BR5" s="192"/>
    </row>
    <row r="6" spans="1:72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46" t="s">
        <v>14</v>
      </c>
      <c r="N6" s="46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556" t="s">
        <v>13</v>
      </c>
      <c r="X6" s="556" t="s">
        <v>14</v>
      </c>
      <c r="Y6" s="556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48" t="s">
        <v>14</v>
      </c>
      <c r="AJ6" s="48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59" t="s">
        <v>14</v>
      </c>
      <c r="BC6" s="59" t="s">
        <v>15</v>
      </c>
      <c r="BD6" s="59" t="s">
        <v>280</v>
      </c>
      <c r="BE6" s="59" t="s">
        <v>422</v>
      </c>
      <c r="BF6" s="59" t="s">
        <v>423</v>
      </c>
      <c r="BG6" s="59" t="s">
        <v>424</v>
      </c>
      <c r="BH6" s="59" t="s">
        <v>425</v>
      </c>
      <c r="BI6" s="284" t="s">
        <v>426</v>
      </c>
      <c r="BJ6" s="60" t="s">
        <v>446</v>
      </c>
      <c r="BK6" s="61" t="s">
        <v>14</v>
      </c>
      <c r="BL6" s="61" t="s">
        <v>15</v>
      </c>
      <c r="BM6" s="764" t="s">
        <v>280</v>
      </c>
      <c r="BN6" s="772" t="s">
        <v>422</v>
      </c>
      <c r="BO6" s="61" t="s">
        <v>423</v>
      </c>
      <c r="BP6" s="61" t="s">
        <v>424</v>
      </c>
      <c r="BQ6" s="61" t="s">
        <v>425</v>
      </c>
      <c r="BR6" s="62" t="s">
        <v>426</v>
      </c>
    </row>
    <row r="7" spans="1:72" x14ac:dyDescent="0.25">
      <c r="A7" s="63" t="s">
        <v>296</v>
      </c>
      <c r="B7" s="64" t="s">
        <v>22</v>
      </c>
      <c r="C7" s="65" t="s">
        <v>24</v>
      </c>
      <c r="D7" s="66">
        <f>SUM('Defect P1'!D7,'Defect P2'!D7,RTS!D7)</f>
        <v>7886723.1264655096</v>
      </c>
      <c r="E7" s="67">
        <f>SUM('Defect P1'!E7,'Defect P2'!E7,RTS!E7)</f>
        <v>4317944.511506076</v>
      </c>
      <c r="F7" s="67">
        <f>SUM('Defect P1'!F7,'Defect P2'!F7,RTS!F7)</f>
        <v>6005681.1190525647</v>
      </c>
      <c r="G7" s="67">
        <f>SUM('Defect P1'!G7,'Defect P2'!G7,RTS!G7)</f>
        <v>4170415.2232045089</v>
      </c>
      <c r="H7" s="67">
        <f>SUM('Defect P1'!H7,'Defect P2'!H7,RTS!H7)</f>
        <v>6420967.1500479393</v>
      </c>
      <c r="I7" s="67">
        <f>SUM('Defect P1'!I7,'Defect P2'!I7,RTS!I7)</f>
        <v>3689144.5943493401</v>
      </c>
      <c r="J7" s="67">
        <f>SUM('Defect P1'!J7,'Defect P2'!J7,RTS!J7)</f>
        <v>7934044.6888067247</v>
      </c>
      <c r="K7" s="67">
        <f>SUM('Defect P1'!K7,'Defect P2'!K7,RTS!K7)</f>
        <v>5804194.2899999982</v>
      </c>
      <c r="L7" s="67">
        <f>SUM('Defect P1'!L7,'Defect P2'!L7,RTS!L7)</f>
        <v>6724282.7699999986</v>
      </c>
      <c r="M7" s="67">
        <f>SUM('Defect P1'!M7,'Defect P2'!M7,RTS!M7)</f>
        <v>7067323.7300000042</v>
      </c>
      <c r="N7" s="67">
        <v>6456776.9100000234</v>
      </c>
      <c r="O7" s="557">
        <f>SUM('Defect P1'!O7,'Defect P2'!O7,RTS!O7)</f>
        <v>10611241.468335669</v>
      </c>
      <c r="P7" s="558">
        <f>SUM('Defect P1'!P7,'Defect P2'!P7,RTS!P7)</f>
        <v>5723137.1786042498</v>
      </c>
      <c r="Q7" s="558">
        <f>SUM('Defect P1'!Q7,'Defect P2'!Q7,RTS!Q7)</f>
        <v>7879488.1472580712</v>
      </c>
      <c r="R7" s="558">
        <f>SUM('Defect P1'!R7,'Defect P2'!R7,RTS!R7)</f>
        <v>5367811.2874494921</v>
      </c>
      <c r="S7" s="558">
        <f>SUM('Defect P1'!S7,'Defect P2'!S7,RTS!S7)</f>
        <v>8096318.1825392805</v>
      </c>
      <c r="T7" s="558">
        <f>SUM('Defect P1'!T7,'Defect P2'!T7,RTS!T7)</f>
        <v>4578775.5212920001</v>
      </c>
      <c r="U7" s="558">
        <f>SUM('Defect P1'!U7,'Defect P2'!U7,RTS!U7)</f>
        <v>9881757.2435876802</v>
      </c>
      <c r="V7" s="558">
        <f>SUM('Defect P1'!V7,'Defect P2'!V7,RTS!V7)</f>
        <v>6961311.438233031</v>
      </c>
      <c r="W7" s="558">
        <f>SUM('Defect P1'!W7,'Defect P2'!W7,RTS!W7)</f>
        <v>7597950.2307573995</v>
      </c>
      <c r="X7" s="558">
        <f>SUM('Defect P1'!X7,'Defect P2'!X7,RTS!X7)</f>
        <v>7515822.6388984444</v>
      </c>
      <c r="Y7" s="558">
        <f>SUM('Defect P1'!Y7,'Defect P2'!Y7,RTS!Y7)</f>
        <v>6634328.4563079048</v>
      </c>
      <c r="Z7" s="68">
        <f>SUM('Defect P1'!Z7,'Defect P2'!Z7,RTS!Z7)</f>
        <v>2422</v>
      </c>
      <c r="AA7" s="69">
        <f>SUM('Defect P1'!AA7,'Defect P2'!AA7,RTS!AA7)</f>
        <v>1171</v>
      </c>
      <c r="AB7" s="69">
        <f>SUM('Defect P1'!AB7,'Defect P2'!AB7,RTS!AB7)</f>
        <v>1487</v>
      </c>
      <c r="AC7" s="69">
        <f>SUM('Defect P1'!AC7,'Defect P2'!AC7,RTS!AC7)</f>
        <v>1285</v>
      </c>
      <c r="AD7" s="69">
        <f>SUM('Defect P1'!AD7,'Defect P2'!AD7,RTS!AD7)</f>
        <v>1563</v>
      </c>
      <c r="AE7" s="69">
        <f>SUM('Defect P1'!AE7,'Defect P2'!AE7,RTS!AE7)</f>
        <v>1101</v>
      </c>
      <c r="AF7" s="69">
        <f>SUM('Defect P1'!AF7,'Defect P2'!AF7,RTS!AF7)</f>
        <v>5017</v>
      </c>
      <c r="AG7" s="69">
        <f>SUM('Defect P1'!AG7,'Defect P2'!AG7,RTS!AG7)</f>
        <v>4542</v>
      </c>
      <c r="AH7" s="69">
        <f>SUM('Defect P1'!AH7,'Defect P2'!AH7,RTS!AH7)</f>
        <v>5172</v>
      </c>
      <c r="AI7" s="69">
        <f>SUM('Defect P1'!AI7,'Defect P2'!AI7,RTS!AI7)</f>
        <v>4260</v>
      </c>
      <c r="AJ7" s="69">
        <f>SUM('Defect P1'!AJ7,'Defect P2'!AJ7,RTS!AJ7)</f>
        <v>4039</v>
      </c>
      <c r="AK7" s="70">
        <f>IFERROR(IF($AM$4="N",SUM(AD7:AH7)/5,SUM(AE7:AI7)/5),"")</f>
        <v>4018.4</v>
      </c>
      <c r="AL7" s="71" cm="1">
        <f t="array" ref="AL7">IFERROR(IF($AM$4="N",SSUM(AF7:AH7)/3,SUM(AG7:AI7)/3),"")</f>
        <v>4658</v>
      </c>
      <c r="AM7" s="72">
        <f>IFERROR(IF($AM$4="N",AH7,AI7),"")</f>
        <v>4260</v>
      </c>
      <c r="AN7" s="73">
        <f t="shared" ref="AN7:AN38" si="0">IFERROR(D7/Z7,"")</f>
        <v>3256.2853536191205</v>
      </c>
      <c r="AO7" s="74">
        <f t="shared" ref="AO7:AO38" si="1">IFERROR(E7/AA7,"")</f>
        <v>3687.3992412519865</v>
      </c>
      <c r="AP7" s="74">
        <f t="shared" ref="AP7:AP38" si="2">IFERROR(F7/AB7,"")</f>
        <v>4038.7902616358874</v>
      </c>
      <c r="AQ7" s="74">
        <f t="shared" ref="AQ7:AQ38" si="3">IFERROR(G7/AC7,"")</f>
        <v>3245.4593176688786</v>
      </c>
      <c r="AR7" s="74">
        <f t="shared" ref="AR7:AR38" si="4">IFERROR(H7/AD7,"")</f>
        <v>4108.1043826282403</v>
      </c>
      <c r="AS7" s="74">
        <f t="shared" ref="AS7:AS38" si="5">IFERROR(I7/AE7,"")</f>
        <v>3350.7217024063034</v>
      </c>
      <c r="AT7" s="74">
        <f t="shared" ref="AT7:AT38" si="6">IFERROR(J7/AF7,"")</f>
        <v>1581.4320687276709</v>
      </c>
      <c r="AU7" s="74">
        <f t="shared" ref="AU7:AU38" si="7">IFERROR(K7/AG7,"")</f>
        <v>1277.8939431968292</v>
      </c>
      <c r="AV7" s="74">
        <f t="shared" ref="AV7:AV38" si="8">IFERROR(L7/AH7,"")</f>
        <v>1300.1320127610206</v>
      </c>
      <c r="AW7" s="74">
        <f t="shared" ref="AW7:AW70" si="9">IFERROR(M7/AI7,"")</f>
        <v>1658.9961807511747</v>
      </c>
      <c r="AX7" s="74">
        <f t="shared" ref="AX7:AX70" si="10">IFERROR(N7/AJ7,"")</f>
        <v>1598.6078014360048</v>
      </c>
      <c r="AY7" s="75">
        <f t="shared" ref="AY7:AY38" si="11">IFERROR(IF($BA$4="N",SUM(H7:L7)/SUM(AD7:AH7),SUM(I7:M7)/SUM(AE7:AI7)),"")</f>
        <v>1553.8020143916019</v>
      </c>
      <c r="AZ7" s="76">
        <f t="shared" ref="AZ7:AZ38" si="12">IFERROR(IF($BA$4="N",SUM(J7:L7)/SUM(AF7:AH7),SUM(K7:M7)/SUM(AG7:AI7)),"")</f>
        <v>1402.3043359095461</v>
      </c>
      <c r="BA7" s="77">
        <f t="shared" ref="BA7:BA38" si="13">IFERROR(IF($BA$4="N",L7/AH7,M7/AI7),"")</f>
        <v>1658.9961807511747</v>
      </c>
      <c r="BB7" s="78">
        <f>SUM('Defect P1'!CE7,'Defect P2'!CE7,RTS!CE7)</f>
        <v>4658</v>
      </c>
      <c r="BC7" s="78">
        <f>SUM('Defect P1'!CF7,'Defect P2'!CF7,RTS!CF7)</f>
        <v>4658</v>
      </c>
      <c r="BD7" s="78">
        <f>SUM('Defect P1'!CG7,'Defect P2'!CG7,RTS!CG7)</f>
        <v>4658</v>
      </c>
      <c r="BE7" s="78">
        <f>SUM('Defect P1'!CH7,'Defect P2'!CH7,RTS!CH7)</f>
        <v>4658</v>
      </c>
      <c r="BF7" s="78">
        <f>SUM('Defect P1'!CI7,'Defect P2'!CI7,RTS!CI7)</f>
        <v>4658</v>
      </c>
      <c r="BG7" s="78">
        <f>SUM('Defect P1'!CJ7,'Defect P2'!CJ7,RTS!CJ7)</f>
        <v>4658</v>
      </c>
      <c r="BH7" s="78">
        <f>SUM('Defect P1'!CK7,'Defect P2'!CK7,RTS!CK7)</f>
        <v>4658</v>
      </c>
      <c r="BI7" s="285">
        <f>SUM('Defect P1'!CL7,'Defect P2'!CL7,RTS!CL7)</f>
        <v>4658</v>
      </c>
      <c r="BJ7" s="124">
        <f>IFERROR(SUM(BK7:BR7)/SUM(BB7:BI7),"")</f>
        <v>1800</v>
      </c>
      <c r="BK7" s="639">
        <f>SUM('Defect P1'!CQ7,'Defect P2'!CQ7,RTS!CQ7)</f>
        <v>8384400</v>
      </c>
      <c r="BL7" s="79">
        <f>SUM('Defect P1'!CR7,'Defect P2'!CR7,RTS!CR7)</f>
        <v>8384400</v>
      </c>
      <c r="BM7" s="523">
        <f>SUM('Defect P1'!CS7,'Defect P2'!CS7,RTS!CS7)</f>
        <v>8384400</v>
      </c>
      <c r="BN7" s="415">
        <f>SUM('Defect P1'!CT7,'Defect P2'!CT7,RTS!CT7)</f>
        <v>8384400</v>
      </c>
      <c r="BO7" s="79">
        <f>SUM('Defect P1'!CU7,'Defect P2'!CU7,RTS!CU7)</f>
        <v>8384400</v>
      </c>
      <c r="BP7" s="79">
        <f>SUM('Defect P1'!CV7,'Defect P2'!CV7,RTS!CV7)</f>
        <v>8384400</v>
      </c>
      <c r="BQ7" s="79">
        <f>SUM('Defect P1'!CW7,'Defect P2'!CW7,RTS!CW7)</f>
        <v>8384400</v>
      </c>
      <c r="BR7" s="80">
        <f>SUM('Defect P1'!CX7,'Defect P2'!CX7,RTS!CX7)</f>
        <v>8384400</v>
      </c>
      <c r="BS7" s="25"/>
      <c r="BT7" s="187"/>
    </row>
    <row r="8" spans="1:72" x14ac:dyDescent="0.25">
      <c r="A8" s="81" t="s">
        <v>27</v>
      </c>
      <c r="B8" s="82" t="s">
        <v>25</v>
      </c>
      <c r="C8" s="83" t="s">
        <v>297</v>
      </c>
      <c r="D8" s="84">
        <f>SUM('Defect P1'!D8,'Defect P2'!D8,RTS!D8)</f>
        <v>5942666.2396374885</v>
      </c>
      <c r="E8" s="85">
        <f>SUM('Defect P1'!E8,'Defect P2'!E8,RTS!E8)</f>
        <v>7742697.8404184235</v>
      </c>
      <c r="F8" s="85">
        <f>SUM('Defect P1'!F8,'Defect P2'!F8,RTS!F8)</f>
        <v>9257758.4127600435</v>
      </c>
      <c r="G8" s="85">
        <f>SUM('Defect P1'!G8,'Defect P2'!G8,RTS!G8)</f>
        <v>8092222.5264707757</v>
      </c>
      <c r="H8" s="85">
        <f>SUM('Defect P1'!H8,'Defect P2'!H8,RTS!H8)</f>
        <v>8318957.1481448952</v>
      </c>
      <c r="I8" s="85">
        <f>SUM('Defect P1'!I8,'Defect P2'!I8,RTS!I8)</f>
        <v>5726978.3287276411</v>
      </c>
      <c r="J8" s="85">
        <f>SUM('Defect P1'!J8,'Defect P2'!J8,RTS!J8)</f>
        <v>12761307.126640366</v>
      </c>
      <c r="K8" s="85">
        <f>SUM('Defect P1'!K8,'Defect P2'!K8,RTS!K8)</f>
        <v>8129555.2495756978</v>
      </c>
      <c r="L8" s="85">
        <f>SUM('Defect P1'!L8,'Defect P2'!L8,RTS!L8)</f>
        <v>9789998.6158891078</v>
      </c>
      <c r="M8" s="85">
        <f>SUM('Defect P1'!M8,'Defect P2'!M8,RTS!M8)</f>
        <v>13904403.3936742</v>
      </c>
      <c r="N8" s="85">
        <v>12993742.492351698</v>
      </c>
      <c r="O8" s="560">
        <f>SUM('Defect P1'!O8,'Defect P2'!O8,RTS!O8)</f>
        <v>7995597.8450558437</v>
      </c>
      <c r="P8" s="561">
        <f>SUM('Defect P1'!P8,'Defect P2'!P8,RTS!P8)</f>
        <v>10262411.143801743</v>
      </c>
      <c r="Q8" s="561">
        <f>SUM('Defect P1'!Q8,'Defect P2'!Q8,RTS!Q8)</f>
        <v>12146232.248679439</v>
      </c>
      <c r="R8" s="561">
        <f>SUM('Defect P1'!R8,'Defect P2'!R8,RTS!R8)</f>
        <v>10415635.157011028</v>
      </c>
      <c r="S8" s="561">
        <f>SUM('Defect P1'!S8,'Defect P2'!S8,RTS!S8)</f>
        <v>10489529.450059211</v>
      </c>
      <c r="T8" s="561">
        <f>SUM('Defect P1'!T8,'Defect P2'!T8,RTS!T8)</f>
        <v>7108029.3851081217</v>
      </c>
      <c r="U8" s="561">
        <f>SUM('Defect P1'!U8,'Defect P2'!U8,RTS!U8)</f>
        <v>15894054.556338971</v>
      </c>
      <c r="V8" s="561">
        <f>SUM('Defect P1'!V8,'Defect P2'!V8,RTS!V8)</f>
        <v>9750253.5440829825</v>
      </c>
      <c r="W8" s="561">
        <f>SUM('Defect P1'!W8,'Defect P2'!W8,RTS!W8)</f>
        <v>11061986.056649618</v>
      </c>
      <c r="X8" s="561">
        <f>SUM('Defect P1'!X8,'Defect P2'!X8,RTS!X8)</f>
        <v>14786789.709794834</v>
      </c>
      <c r="Y8" s="561">
        <f>SUM('Defect P1'!Y8,'Defect P2'!Y8,RTS!Y8)</f>
        <v>13046904.814489968</v>
      </c>
      <c r="Z8" s="86">
        <f>SUM('Defect P1'!Z8,'Defect P2'!Z8,RTS!Z8)</f>
        <v>1160.8</v>
      </c>
      <c r="AA8" s="87">
        <f>SUM('Defect P1'!AA8,'Defect P2'!AA8,RTS!AA8)</f>
        <v>1478.6000000000001</v>
      </c>
      <c r="AB8" s="87">
        <f>SUM('Defect P1'!AB8,'Defect P2'!AB8,RTS!AB8)</f>
        <v>1523.6</v>
      </c>
      <c r="AC8" s="87">
        <f>SUM('Defect P1'!AC8,'Defect P2'!AC8,RTS!AC8)</f>
        <v>1466.1999999999998</v>
      </c>
      <c r="AD8" s="87">
        <f>SUM('Defect P1'!AD8,'Defect P2'!AD8,RTS!AD8)</f>
        <v>1504</v>
      </c>
      <c r="AE8" s="87">
        <f>SUM('Defect P1'!AE8,'Defect P2'!AE8,RTS!AE8)</f>
        <v>1301</v>
      </c>
      <c r="AF8" s="87">
        <f>SUM('Defect P1'!AF8,'Defect P2'!AF8,RTS!AF8)</f>
        <v>3297</v>
      </c>
      <c r="AG8" s="87">
        <f>SUM('Defect P1'!AG8,'Defect P2'!AG8,RTS!AG8)</f>
        <v>2260</v>
      </c>
      <c r="AH8" s="87">
        <f>SUM('Defect P1'!AH8,'Defect P2'!AH8,RTS!AH8)</f>
        <v>2830</v>
      </c>
      <c r="AI8" s="87">
        <f>SUM('Defect P1'!AI8,'Defect P2'!AI8,RTS!AI8)</f>
        <v>2519</v>
      </c>
      <c r="AJ8" s="87">
        <f>SUM('Defect P1'!AJ8,'Defect P2'!AJ8,RTS!AJ8)</f>
        <v>2328</v>
      </c>
      <c r="AK8" s="88">
        <f t="shared" ref="AK8:AK71" si="14">IFERROR(IF($AM$4="N",SUM(AD8:AH8)/5,SUM(AE8:AI8)/5),"")</f>
        <v>2441.4</v>
      </c>
      <c r="AL8" s="89" cm="1">
        <f t="array" ref="AL8">IFERROR(IF($AM$4="N",SSUM(AF8:AH8)/3,SUM(AG8:AI8)/3),"")</f>
        <v>2536.3333333333335</v>
      </c>
      <c r="AM8" s="90">
        <f t="shared" ref="AM8:AM71" si="15">IFERROR(IF($AM$4="N",AH8,AI8),"")</f>
        <v>2519</v>
      </c>
      <c r="AN8" s="91">
        <f t="shared" si="0"/>
        <v>5119.4574772893593</v>
      </c>
      <c r="AO8" s="92">
        <f t="shared" si="1"/>
        <v>5236.5060465429615</v>
      </c>
      <c r="AP8" s="92">
        <f t="shared" si="2"/>
        <v>6076.239441296957</v>
      </c>
      <c r="AQ8" s="92">
        <f t="shared" si="3"/>
        <v>5519.1805527695924</v>
      </c>
      <c r="AR8" s="92">
        <f t="shared" si="4"/>
        <v>5531.221508075063</v>
      </c>
      <c r="AS8" s="92">
        <f t="shared" si="5"/>
        <v>4401.9818053248591</v>
      </c>
      <c r="AT8" s="92">
        <f t="shared" si="6"/>
        <v>3870.5814760813973</v>
      </c>
      <c r="AU8" s="92">
        <f t="shared" si="7"/>
        <v>3597.1483405202202</v>
      </c>
      <c r="AV8" s="92">
        <f t="shared" si="8"/>
        <v>3459.3634685120523</v>
      </c>
      <c r="AW8" s="92">
        <f t="shared" si="9"/>
        <v>5519.8107954244542</v>
      </c>
      <c r="AX8" s="92">
        <f t="shared" si="10"/>
        <v>5581.5045070239248</v>
      </c>
      <c r="AY8" s="93">
        <f t="shared" si="11"/>
        <v>4121.5894744414691</v>
      </c>
      <c r="AZ8" s="94">
        <f>IFERROR(IF($BA$4="N",SUM(J8:L8)/SUM(AF8:AH8),SUM(K8:M8)/SUM(AG8:AI8)),"")</f>
        <v>4182.4099433748206</v>
      </c>
      <c r="BA8" s="95">
        <f t="shared" si="13"/>
        <v>5519.8107954244542</v>
      </c>
      <c r="BB8" s="96">
        <f>SUM('Defect P1'!CE8,'Defect P2'!CE8,RTS!CE8)</f>
        <v>2598.6666666666665</v>
      </c>
      <c r="BC8" s="96">
        <f>SUM('Defect P1'!CF8,'Defect P2'!CF8,RTS!CF8)</f>
        <v>2598.6666666666665</v>
      </c>
      <c r="BD8" s="96">
        <f>SUM('Defect P1'!CG8,'Defect P2'!CG8,RTS!CG8)</f>
        <v>2598.6666666666665</v>
      </c>
      <c r="BE8" s="96">
        <f>SUM('Defect P1'!CH8,'Defect P2'!CH8,RTS!CH8)</f>
        <v>2598.6666666666665</v>
      </c>
      <c r="BF8" s="96">
        <f>SUM('Defect P1'!CI8,'Defect P2'!CI8,RTS!CI8)</f>
        <v>2598.6666666666665</v>
      </c>
      <c r="BG8" s="96">
        <f>SUM('Defect P1'!CJ8,'Defect P2'!CJ8,RTS!CJ8)</f>
        <v>2598.6666666666665</v>
      </c>
      <c r="BH8" s="96">
        <f>SUM('Defect P1'!CK8,'Defect P2'!CK8,RTS!CK8)</f>
        <v>2598.6666666666665</v>
      </c>
      <c r="BI8" s="286">
        <f>SUM('Defect P1'!CL8,'Defect P2'!CL8,RTS!CL8)</f>
        <v>2598.6666666666665</v>
      </c>
      <c r="BJ8" s="99">
        <f t="shared" ref="BJ8:BJ71" si="16">IFERROR(SUM(BK8:BR8)/SUM(BB8:BI8),"")</f>
        <v>4254.4177488285777</v>
      </c>
      <c r="BK8" s="640">
        <f>SUM('Defect P1'!CQ8,'Defect P2'!CQ8,RTS!CQ8)</f>
        <v>11055813.589955863</v>
      </c>
      <c r="BL8" s="97">
        <f>SUM('Defect P1'!CR8,'Defect P2'!CR8,RTS!CR8)</f>
        <v>11055813.589955863</v>
      </c>
      <c r="BM8" s="524">
        <f>SUM('Defect P1'!CS8,'Defect P2'!CS8,RTS!CS8)</f>
        <v>11055813.589955863</v>
      </c>
      <c r="BN8" s="416">
        <f>SUM('Defect P1'!CT8,'Defect P2'!CT8,RTS!CT8)</f>
        <v>11055813.589955863</v>
      </c>
      <c r="BO8" s="97">
        <f>SUM('Defect P1'!CU8,'Defect P2'!CU8,RTS!CU8)</f>
        <v>11055813.589955863</v>
      </c>
      <c r="BP8" s="97">
        <f>SUM('Defect P1'!CV8,'Defect P2'!CV8,RTS!CV8)</f>
        <v>11055813.589955863</v>
      </c>
      <c r="BQ8" s="97">
        <f>SUM('Defect P1'!CW8,'Defect P2'!CW8,RTS!CW8)</f>
        <v>11055813.589955863</v>
      </c>
      <c r="BR8" s="98">
        <f>SUM('Defect P1'!CX8,'Defect P2'!CX8,RTS!CX8)</f>
        <v>11055813.589955863</v>
      </c>
      <c r="BS8" s="25"/>
      <c r="BT8" s="187"/>
    </row>
    <row r="9" spans="1:72" x14ac:dyDescent="0.25">
      <c r="A9" s="81" t="s">
        <v>27</v>
      </c>
      <c r="B9" s="82" t="s">
        <v>28</v>
      </c>
      <c r="C9" s="83" t="s">
        <v>29</v>
      </c>
      <c r="D9" s="84">
        <f>SUM('Defect P1'!D9,'Defect P2'!D9,RTS!D9)</f>
        <v>6028821.4088313514</v>
      </c>
      <c r="E9" s="85">
        <f>SUM('Defect P1'!E9,'Defect P2'!E9,RTS!E9)</f>
        <v>6761018.8860284528</v>
      </c>
      <c r="F9" s="85">
        <f>SUM('Defect P1'!F9,'Defect P2'!F9,RTS!F9)</f>
        <v>7539172.8766123373</v>
      </c>
      <c r="G9" s="85">
        <f>SUM('Defect P1'!G9,'Defect P2'!G9,RTS!G9)</f>
        <v>7175102.3303439189</v>
      </c>
      <c r="H9" s="85">
        <f>SUM('Defect P1'!H9,'Defect P2'!H9,RTS!H9)</f>
        <v>8965158.1857326981</v>
      </c>
      <c r="I9" s="85">
        <f>SUM('Defect P1'!I9,'Defect P2'!I9,RTS!I9)</f>
        <v>26695596.643257845</v>
      </c>
      <c r="J9" s="85">
        <f>SUM('Defect P1'!J9,'Defect P2'!J9,RTS!J9)</f>
        <v>38813844.970652543</v>
      </c>
      <c r="K9" s="85">
        <f>SUM('Defect P1'!K9,'Defect P2'!K9,RTS!K9)</f>
        <v>78342527.749592692</v>
      </c>
      <c r="L9" s="85">
        <f>SUM('Defect P1'!L9,'Defect P2'!L9,RTS!L9)</f>
        <v>42163626.926450938</v>
      </c>
      <c r="M9" s="85">
        <f>SUM('Defect P1'!M9,'Defect P2'!M9,RTS!M9)</f>
        <v>50550468.972782575</v>
      </c>
      <c r="N9" s="85">
        <v>67152334.583481103</v>
      </c>
      <c r="O9" s="560">
        <f>SUM('Defect P1'!O9,'Defect P2'!O9,RTS!O9)</f>
        <v>8111515.8618800379</v>
      </c>
      <c r="P9" s="561">
        <f>SUM('Defect P1'!P9,'Defect P2'!P9,RTS!P9)</f>
        <v>8961263.5013641231</v>
      </c>
      <c r="Q9" s="561">
        <f>SUM('Defect P1'!Q9,'Defect P2'!Q9,RTS!Q9)</f>
        <v>9891438.1472801119</v>
      </c>
      <c r="R9" s="561">
        <f>SUM('Defect P1'!R9,'Defect P2'!R9,RTS!R9)</f>
        <v>9235194.3909870405</v>
      </c>
      <c r="S9" s="561">
        <f>SUM('Defect P1'!S9,'Defect P2'!S9,RTS!S9)</f>
        <v>11304336.485812198</v>
      </c>
      <c r="T9" s="561">
        <f>SUM('Defect P1'!T9,'Defect P2'!T9,RTS!T9)</f>
        <v>33133194.243364248</v>
      </c>
      <c r="U9" s="561">
        <f>SUM('Defect P1'!U9,'Defect P2'!U9,RTS!U9)</f>
        <v>48342177.128311664</v>
      </c>
      <c r="V9" s="561">
        <f>SUM('Defect P1'!V9,'Defect P2'!V9,RTS!V9)</f>
        <v>93960799.255623907</v>
      </c>
      <c r="W9" s="561">
        <f>SUM('Defect P1'!W9,'Defect P2'!W9,RTS!W9)</f>
        <v>47641830.347267926</v>
      </c>
      <c r="X9" s="561">
        <f>SUM('Defect P1'!X9,'Defect P2'!X9,RTS!X9)</f>
        <v>53758448.548185073</v>
      </c>
      <c r="Y9" s="561">
        <f>SUM('Defect P1'!Y9,'Defect P2'!Y9,RTS!Y9)</f>
        <v>67432428.071940139</v>
      </c>
      <c r="Z9" s="86">
        <f>SUM('Defect P1'!Z9,'Defect P2'!Z9,RTS!Z9)</f>
        <v>729.59999999999991</v>
      </c>
      <c r="AA9" s="87">
        <f>SUM('Defect P1'!AA9,'Defect P2'!AA9,RTS!AA9)</f>
        <v>809.19999999999993</v>
      </c>
      <c r="AB9" s="87">
        <f>SUM('Defect P1'!AB9,'Defect P2'!AB9,RTS!AB9)</f>
        <v>861.19999999999993</v>
      </c>
      <c r="AC9" s="87">
        <f>SUM('Defect P1'!AC9,'Defect P2'!AC9,RTS!AC9)</f>
        <v>864.40000000000009</v>
      </c>
      <c r="AD9" s="87">
        <f>SUM('Defect P1'!AD9,'Defect P2'!AD9,RTS!AD9)</f>
        <v>1083.9999999999998</v>
      </c>
      <c r="AE9" s="87">
        <f>SUM('Defect P1'!AE9,'Defect P2'!AE9,RTS!AE9)</f>
        <v>3653</v>
      </c>
      <c r="AF9" s="87">
        <f>SUM('Defect P1'!AF9,'Defect P2'!AF9,RTS!AF9)</f>
        <v>6642</v>
      </c>
      <c r="AG9" s="87">
        <f>SUM('Defect P1'!AG9,'Defect P2'!AG9,RTS!AG9)</f>
        <v>11835</v>
      </c>
      <c r="AH9" s="87">
        <f>SUM('Defect P1'!AH9,'Defect P2'!AH9,RTS!AH9)</f>
        <v>7414</v>
      </c>
      <c r="AI9" s="87">
        <f>SUM('Defect P1'!AI9,'Defect P2'!AI9,RTS!AI9)</f>
        <v>7578</v>
      </c>
      <c r="AJ9" s="87">
        <f>SUM('Defect P1'!AJ9,'Defect P2'!AJ9,RTS!AJ9)</f>
        <v>8188</v>
      </c>
      <c r="AK9" s="88">
        <f t="shared" si="14"/>
        <v>7424.4</v>
      </c>
      <c r="AL9" s="89" cm="1">
        <f t="array" ref="AL9">IFERROR(IF($AM$4="N",SSUM(AF9:AH9)/3,SUM(AG9:AI9)/3),"")</f>
        <v>8942.3333333333339</v>
      </c>
      <c r="AM9" s="90">
        <f t="shared" si="15"/>
        <v>7578</v>
      </c>
      <c r="AN9" s="91">
        <f t="shared" si="0"/>
        <v>8263.1872379815686</v>
      </c>
      <c r="AO9" s="92">
        <f t="shared" si="1"/>
        <v>8355.1889347855322</v>
      </c>
      <c r="AP9" s="92">
        <f t="shared" si="2"/>
        <v>8754.2648358248225</v>
      </c>
      <c r="AQ9" s="92">
        <f t="shared" si="3"/>
        <v>8300.6736815639961</v>
      </c>
      <c r="AR9" s="92">
        <f t="shared" si="4"/>
        <v>8270.441130749723</v>
      </c>
      <c r="AS9" s="92">
        <f t="shared" si="5"/>
        <v>7307.8556373550082</v>
      </c>
      <c r="AT9" s="92">
        <f t="shared" si="6"/>
        <v>5843.6984297880972</v>
      </c>
      <c r="AU9" s="92">
        <f t="shared" si="7"/>
        <v>6619.5629699698093</v>
      </c>
      <c r="AV9" s="92">
        <f t="shared" si="8"/>
        <v>5687.0281799906852</v>
      </c>
      <c r="AW9" s="92">
        <f t="shared" si="9"/>
        <v>6670.6873809425406</v>
      </c>
      <c r="AX9" s="92">
        <f t="shared" si="10"/>
        <v>8201.3110141037014</v>
      </c>
      <c r="AY9" s="93">
        <f t="shared" si="11"/>
        <v>6372.6648688846672</v>
      </c>
      <c r="AZ9" s="94">
        <f t="shared" si="12"/>
        <v>6376.2859674516794</v>
      </c>
      <c r="BA9" s="95">
        <f t="shared" si="13"/>
        <v>6670.6873809425406</v>
      </c>
      <c r="BB9" s="96">
        <f>SUM('Defect P1'!CE9,'Defect P2'!CE9,RTS!CE9)</f>
        <v>9089.5333333333328</v>
      </c>
      <c r="BC9" s="96">
        <f>SUM('Defect P1'!CF9,'Defect P2'!CF9,RTS!CF9)</f>
        <v>9089.5333333333328</v>
      </c>
      <c r="BD9" s="96">
        <f>SUM('Defect P1'!CG9,'Defect P2'!CG9,RTS!CG9)</f>
        <v>9089.5333333333328</v>
      </c>
      <c r="BE9" s="96">
        <f>SUM('Defect P1'!CH9,'Defect P2'!CH9,RTS!CH9)</f>
        <v>9089.5333333333328</v>
      </c>
      <c r="BF9" s="96">
        <f>SUM('Defect P1'!CI9,'Defect P2'!CI9,RTS!CI9)</f>
        <v>9089.5333333333328</v>
      </c>
      <c r="BG9" s="96">
        <f>SUM('Defect P1'!CJ9,'Defect P2'!CJ9,RTS!CJ9)</f>
        <v>9089.5333333333328</v>
      </c>
      <c r="BH9" s="96">
        <f>SUM('Defect P1'!CK9,'Defect P2'!CK9,RTS!CK9)</f>
        <v>9089.5333333333328</v>
      </c>
      <c r="BI9" s="286">
        <f>SUM('Defect P1'!CL9,'Defect P2'!CL9,RTS!CL9)</f>
        <v>9089.5333333333328</v>
      </c>
      <c r="BJ9" s="99">
        <f t="shared" si="16"/>
        <v>6241.4580192514422</v>
      </c>
      <c r="BK9" s="640">
        <f>SUM('Defect P1'!CQ9,'Defect P2'!CQ9,RTS!CQ9)</f>
        <v>56731940.714586623</v>
      </c>
      <c r="BL9" s="97">
        <f>SUM('Defect P1'!CR9,'Defect P2'!CR9,RTS!CR9)</f>
        <v>56731940.714586623</v>
      </c>
      <c r="BM9" s="524">
        <f>SUM('Defect P1'!CS9,'Defect P2'!CS9,RTS!CS9)</f>
        <v>56731940.714586623</v>
      </c>
      <c r="BN9" s="416">
        <f>SUM('Defect P1'!CT9,'Defect P2'!CT9,RTS!CT9)</f>
        <v>56731940.714586623</v>
      </c>
      <c r="BO9" s="97">
        <f>SUM('Defect P1'!CU9,'Defect P2'!CU9,RTS!CU9)</f>
        <v>56731940.714586623</v>
      </c>
      <c r="BP9" s="97">
        <f>SUM('Defect P1'!CV9,'Defect P2'!CV9,RTS!CV9)</f>
        <v>56731940.714586623</v>
      </c>
      <c r="BQ9" s="97">
        <f>SUM('Defect P1'!CW9,'Defect P2'!CW9,RTS!CW9)</f>
        <v>56731940.714586623</v>
      </c>
      <c r="BR9" s="98">
        <f>SUM('Defect P1'!CX9,'Defect P2'!CX9,RTS!CX9)</f>
        <v>56731940.714586623</v>
      </c>
    </row>
    <row r="10" spans="1:72" x14ac:dyDescent="0.25">
      <c r="A10" s="81" t="s">
        <v>27</v>
      </c>
      <c r="B10" s="82" t="s">
        <v>30</v>
      </c>
      <c r="C10" s="83" t="s">
        <v>298</v>
      </c>
      <c r="D10" s="84">
        <f>SUM('Defect P1'!D10,'Defect P2'!D10,RTS!D10)</f>
        <v>6028821.4088313524</v>
      </c>
      <c r="E10" s="85">
        <f>SUM('Defect P1'!E10,'Defect P2'!E10,RTS!E10)</f>
        <v>6761018.8860284546</v>
      </c>
      <c r="F10" s="85">
        <f>SUM('Defect P1'!F10,'Defect P2'!F10,RTS!F10)</f>
        <v>7539172.8766123382</v>
      </c>
      <c r="G10" s="85">
        <f>SUM('Defect P1'!G10,'Defect P2'!G10,RTS!G10)</f>
        <v>7175102.3303439207</v>
      </c>
      <c r="H10" s="85">
        <f>SUM('Defect P1'!H10,'Defect P2'!H10,RTS!H10)</f>
        <v>8965158.1857326999</v>
      </c>
      <c r="I10" s="85">
        <f>SUM('Defect P1'!I10,'Defect P2'!I10,RTS!I10)</f>
        <v>4923215.387788225</v>
      </c>
      <c r="J10" s="85">
        <f>SUM('Defect P1'!J10,'Defect P2'!J10,RTS!J10)</f>
        <v>0</v>
      </c>
      <c r="K10" s="85">
        <f>SUM('Defect P1'!K10,'Defect P2'!K10,RTS!K10)</f>
        <v>0</v>
      </c>
      <c r="L10" s="85">
        <f>SUM('Defect P1'!L10,'Defect P2'!L10,RTS!L10)</f>
        <v>0</v>
      </c>
      <c r="M10" s="85">
        <f>SUM('Defect P1'!M10,'Defect P2'!M10,RTS!M10)</f>
        <v>0</v>
      </c>
      <c r="N10" s="85">
        <v>0</v>
      </c>
      <c r="O10" s="560">
        <f>SUM('Defect P1'!O10,'Defect P2'!O10,RTS!O10)</f>
        <v>8111515.8618800398</v>
      </c>
      <c r="P10" s="561">
        <f>SUM('Defect P1'!P10,'Defect P2'!P10,RTS!P10)</f>
        <v>8961263.5013641249</v>
      </c>
      <c r="Q10" s="561">
        <f>SUM('Defect P1'!Q10,'Defect P2'!Q10,RTS!Q10)</f>
        <v>9891438.1472801156</v>
      </c>
      <c r="R10" s="561">
        <f>SUM('Defect P1'!R10,'Defect P2'!R10,RTS!R10)</f>
        <v>9235194.3909870405</v>
      </c>
      <c r="S10" s="561">
        <f>SUM('Defect P1'!S10,'Defect P2'!S10,RTS!S10)</f>
        <v>11304336.485812202</v>
      </c>
      <c r="T10" s="561">
        <f>SUM('Defect P1'!T10,'Defect P2'!T10,RTS!T10)</f>
        <v>6110440.3818112314</v>
      </c>
      <c r="U10" s="561">
        <f>SUM('Defect P1'!U10,'Defect P2'!U10,RTS!U10)</f>
        <v>0</v>
      </c>
      <c r="V10" s="561">
        <f>SUM('Defect P1'!V10,'Defect P2'!V10,RTS!V10)</f>
        <v>0</v>
      </c>
      <c r="W10" s="561">
        <f>SUM('Defect P1'!W10,'Defect P2'!W10,RTS!W10)</f>
        <v>0</v>
      </c>
      <c r="X10" s="561">
        <f>SUM('Defect P1'!X10,'Defect P2'!X10,RTS!X10)</f>
        <v>0</v>
      </c>
      <c r="Y10" s="561">
        <f>SUM('Defect P1'!Y10,'Defect P2'!Y10,RTS!Y10)</f>
        <v>0</v>
      </c>
      <c r="Z10" s="86">
        <f>SUM('Defect P1'!Z10,'Defect P2'!Z10,RTS!Z10)</f>
        <v>729.6</v>
      </c>
      <c r="AA10" s="87">
        <f>SUM('Defect P1'!AA10,'Defect P2'!AA10,RTS!AA10)</f>
        <v>809.2</v>
      </c>
      <c r="AB10" s="87">
        <f>SUM('Defect P1'!AB10,'Defect P2'!AB10,RTS!AB10)</f>
        <v>861.2</v>
      </c>
      <c r="AC10" s="87">
        <f>SUM('Defect P1'!AC10,'Defect P2'!AC10,RTS!AC10)</f>
        <v>864.40000000000009</v>
      </c>
      <c r="AD10" s="87">
        <f>SUM('Defect P1'!AD10,'Defect P2'!AD10,RTS!AD10)</f>
        <v>1084</v>
      </c>
      <c r="AE10" s="87">
        <f>SUM('Defect P1'!AE10,'Defect P2'!AE10,RTS!AE10)</f>
        <v>391</v>
      </c>
      <c r="AF10" s="87">
        <f>SUM('Defect P1'!AF10,'Defect P2'!AF10,RTS!AF10)</f>
        <v>0</v>
      </c>
      <c r="AG10" s="87">
        <f>SUM('Defect P1'!AG10,'Defect P2'!AG10,RTS!AG10)</f>
        <v>0</v>
      </c>
      <c r="AH10" s="87">
        <f>SUM('Defect P1'!AH10,'Defect P2'!AH10,RTS!AH10)</f>
        <v>0</v>
      </c>
      <c r="AI10" s="87">
        <f>SUM('Defect P1'!AI10,'Defect P2'!AI10,RTS!AI10)</f>
        <v>0</v>
      </c>
      <c r="AJ10" s="87">
        <f>SUM('Defect P1'!AJ10,'Defect P2'!AJ10,RTS!AJ10)</f>
        <v>0</v>
      </c>
      <c r="AK10" s="88">
        <f t="shared" si="14"/>
        <v>78.2</v>
      </c>
      <c r="AL10" s="89" cm="1">
        <f t="array" ref="AL10">IFERROR(IF($AM$4="N",SSUM(AF10:AH10)/3,SUM(AG10:AI10)/3),"")</f>
        <v>0</v>
      </c>
      <c r="AM10" s="90">
        <f t="shared" si="15"/>
        <v>0</v>
      </c>
      <c r="AN10" s="91">
        <f t="shared" si="0"/>
        <v>8263.1872379815686</v>
      </c>
      <c r="AO10" s="92">
        <f t="shared" si="1"/>
        <v>8355.188934785534</v>
      </c>
      <c r="AP10" s="92">
        <f t="shared" si="2"/>
        <v>8754.2648358248225</v>
      </c>
      <c r="AQ10" s="92">
        <f t="shared" si="3"/>
        <v>8300.6736815639979</v>
      </c>
      <c r="AR10" s="92">
        <f t="shared" si="4"/>
        <v>8270.441130749723</v>
      </c>
      <c r="AS10" s="92">
        <f t="shared" si="5"/>
        <v>12591.343702783184</v>
      </c>
      <c r="AT10" s="92" t="str">
        <f t="shared" si="6"/>
        <v/>
      </c>
      <c r="AU10" s="92" t="str">
        <f t="shared" si="7"/>
        <v/>
      </c>
      <c r="AV10" s="92" t="str">
        <f t="shared" si="8"/>
        <v/>
      </c>
      <c r="AW10" s="92" t="str">
        <f t="shared" si="9"/>
        <v/>
      </c>
      <c r="AX10" s="92" t="str">
        <f t="shared" si="10"/>
        <v/>
      </c>
      <c r="AY10" s="93">
        <f t="shared" si="11"/>
        <v>12591.343702783184</v>
      </c>
      <c r="AZ10" s="94" t="str">
        <f t="shared" si="12"/>
        <v/>
      </c>
      <c r="BA10" s="95" t="str">
        <f t="shared" si="13"/>
        <v/>
      </c>
      <c r="BB10" s="96">
        <f>SUM('Defect P1'!CE10,'Defect P2'!CE10,RTS!CE10)</f>
        <v>6.8</v>
      </c>
      <c r="BC10" s="96">
        <f>SUM('Defect P1'!CF10,'Defect P2'!CF10,RTS!CF10)</f>
        <v>6.8</v>
      </c>
      <c r="BD10" s="96">
        <f>SUM('Defect P1'!CG10,'Defect P2'!CG10,RTS!CG10)</f>
        <v>6.8</v>
      </c>
      <c r="BE10" s="96">
        <f>SUM('Defect P1'!CH10,'Defect P2'!CH10,RTS!CH10)</f>
        <v>6.8</v>
      </c>
      <c r="BF10" s="96">
        <f>SUM('Defect P1'!CI10,'Defect P2'!CI10,RTS!CI10)</f>
        <v>6.8</v>
      </c>
      <c r="BG10" s="96">
        <f>SUM('Defect P1'!CJ10,'Defect P2'!CJ10,RTS!CJ10)</f>
        <v>6.8</v>
      </c>
      <c r="BH10" s="96">
        <f>SUM('Defect P1'!CK10,'Defect P2'!CK10,RTS!CK10)</f>
        <v>6.8</v>
      </c>
      <c r="BI10" s="286">
        <f>SUM('Defect P1'!CL10,'Defect P2'!CL10,RTS!CL10)</f>
        <v>6.8</v>
      </c>
      <c r="BJ10" s="99">
        <f t="shared" si="16"/>
        <v>9334.5164167033236</v>
      </c>
      <c r="BK10" s="640">
        <f>SUM('Defect P1'!CQ10,'Defect P2'!CQ10,RTS!CQ10)</f>
        <v>63474.71163358257</v>
      </c>
      <c r="BL10" s="97">
        <f>SUM('Defect P1'!CR10,'Defect P2'!CR10,RTS!CR10)</f>
        <v>63474.71163358257</v>
      </c>
      <c r="BM10" s="524">
        <f>SUM('Defect P1'!CS10,'Defect P2'!CS10,RTS!CS10)</f>
        <v>63474.71163358257</v>
      </c>
      <c r="BN10" s="416">
        <f>SUM('Defect P1'!CT10,'Defect P2'!CT10,RTS!CT10)</f>
        <v>63474.71163358257</v>
      </c>
      <c r="BO10" s="97">
        <f>SUM('Defect P1'!CU10,'Defect P2'!CU10,RTS!CU10)</f>
        <v>63474.71163358257</v>
      </c>
      <c r="BP10" s="97">
        <f>SUM('Defect P1'!CV10,'Defect P2'!CV10,RTS!CV10)</f>
        <v>63474.71163358257</v>
      </c>
      <c r="BQ10" s="97">
        <f>SUM('Defect P1'!CW10,'Defect P2'!CW10,RTS!CW10)</f>
        <v>63474.71163358257</v>
      </c>
      <c r="BR10" s="98">
        <f>SUM('Defect P1'!CX10,'Defect P2'!CX10,RTS!CX10)</f>
        <v>63474.71163358257</v>
      </c>
    </row>
    <row r="11" spans="1:72" x14ac:dyDescent="0.25">
      <c r="A11" s="81" t="s">
        <v>27</v>
      </c>
      <c r="B11" s="82" t="s">
        <v>32</v>
      </c>
      <c r="C11" s="83" t="s">
        <v>33</v>
      </c>
      <c r="D11" s="84">
        <f>SUM('Defect P1'!D11,'Defect P2'!D11,RTS!D11)</f>
        <v>1681184.9306626131</v>
      </c>
      <c r="E11" s="85">
        <f>SUM('Defect P1'!E11,'Defect P2'!E11,RTS!E11)</f>
        <v>2836629.1939625819</v>
      </c>
      <c r="F11" s="85">
        <f>SUM('Defect P1'!F11,'Defect P2'!F11,RTS!F11)</f>
        <v>2677395.8142266367</v>
      </c>
      <c r="G11" s="85">
        <f>SUM('Defect P1'!G11,'Defect P2'!G11,RTS!G11)</f>
        <v>2236083.5508756717</v>
      </c>
      <c r="H11" s="85">
        <f>SUM('Defect P1'!H11,'Defect P2'!H11,RTS!H11)</f>
        <v>2397335.4268340888</v>
      </c>
      <c r="I11" s="85">
        <f>SUM('Defect P1'!I11,'Defect P2'!I11,RTS!I11)</f>
        <v>89746.423908826124</v>
      </c>
      <c r="J11" s="85">
        <f>SUM('Defect P1'!J11,'Defect P2'!J11,RTS!J11)</f>
        <v>4880379.7994521484</v>
      </c>
      <c r="K11" s="85">
        <f>SUM('Defect P1'!K11,'Defect P2'!K11,RTS!K11)</f>
        <v>4786383.6449455414</v>
      </c>
      <c r="L11" s="85">
        <f>SUM('Defect P1'!L11,'Defect P2'!L11,RTS!L11)</f>
        <v>6501635.8499413915</v>
      </c>
      <c r="M11" s="85">
        <f>SUM('Defect P1'!M11,'Defect P2'!M11,RTS!M11)</f>
        <v>7934326.5640219832</v>
      </c>
      <c r="N11" s="85">
        <v>11110600.732787864</v>
      </c>
      <c r="O11" s="560">
        <f>SUM('Defect P1'!O11,'Defect P2'!O11,RTS!O11)</f>
        <v>2261960.8887148835</v>
      </c>
      <c r="P11" s="561">
        <f>SUM('Defect P1'!P11,'Defect P2'!P11,RTS!P11)</f>
        <v>3759756.0502737863</v>
      </c>
      <c r="Q11" s="561">
        <f>SUM('Defect P1'!Q11,'Defect P2'!Q11,RTS!Q11)</f>
        <v>3512758.6972258808</v>
      </c>
      <c r="R11" s="561">
        <f>SUM('Defect P1'!R11,'Defect P2'!R11,RTS!R11)</f>
        <v>2878100.5923068905</v>
      </c>
      <c r="S11" s="561">
        <f>SUM('Defect P1'!S11,'Defect P2'!S11,RTS!S11)</f>
        <v>3022845.3054424189</v>
      </c>
      <c r="T11" s="561">
        <f>SUM('Defect P1'!T11,'Defect P2'!T11,RTS!T11)</f>
        <v>111388.62096829909</v>
      </c>
      <c r="U11" s="561">
        <f>SUM('Defect P1'!U11,'Defect P2'!U11,RTS!U11)</f>
        <v>6078454.3478477104</v>
      </c>
      <c r="V11" s="561">
        <f>SUM('Defect P1'!V11,'Defect P2'!V11,RTS!V11)</f>
        <v>5740591.2949428363</v>
      </c>
      <c r="W11" s="561">
        <f>SUM('Defect P1'!W11,'Defect P2'!W11,RTS!W11)</f>
        <v>7346375.4122230029</v>
      </c>
      <c r="X11" s="561">
        <f>SUM('Defect P1'!X11,'Defect P2'!X11,RTS!X11)</f>
        <v>8437846.2756919283</v>
      </c>
      <c r="Y11" s="561">
        <f>SUM('Defect P1'!Y11,'Defect P2'!Y11,RTS!Y11)</f>
        <v>11161680.346100468</v>
      </c>
      <c r="Z11" s="86">
        <f>SUM('Defect P1'!Z11,'Defect P2'!Z11,RTS!Z11)</f>
        <v>135</v>
      </c>
      <c r="AA11" s="87">
        <f>SUM('Defect P1'!AA11,'Defect P2'!AA11,RTS!AA11)</f>
        <v>182</v>
      </c>
      <c r="AB11" s="87">
        <f>SUM('Defect P1'!AB11,'Defect P2'!AB11,RTS!AB11)</f>
        <v>164</v>
      </c>
      <c r="AC11" s="87">
        <f>SUM('Defect P1'!AC11,'Defect P2'!AC11,RTS!AC11)</f>
        <v>143</v>
      </c>
      <c r="AD11" s="87">
        <f>SUM('Defect P1'!AD11,'Defect P2'!AD11,RTS!AD11)</f>
        <v>160</v>
      </c>
      <c r="AE11" s="87">
        <f>SUM('Defect P1'!AE11,'Defect P2'!AE11,RTS!AE11)</f>
        <v>5</v>
      </c>
      <c r="AF11" s="87">
        <f>SUM('Defect P1'!AF11,'Defect P2'!AF11,RTS!AF11)</f>
        <v>390</v>
      </c>
      <c r="AG11" s="87">
        <f>SUM('Defect P1'!AG11,'Defect P2'!AG11,RTS!AG11)</f>
        <v>602</v>
      </c>
      <c r="AH11" s="87">
        <f>SUM('Defect P1'!AH11,'Defect P2'!AH11,RTS!AH11)</f>
        <v>646</v>
      </c>
      <c r="AI11" s="87">
        <f>SUM('Defect P1'!AI11,'Defect P2'!AI11,RTS!AI11)</f>
        <v>508</v>
      </c>
      <c r="AJ11" s="87">
        <f>SUM('Defect P1'!AJ11,'Defect P2'!AJ11,RTS!AJ11)</f>
        <v>605</v>
      </c>
      <c r="AK11" s="88">
        <f t="shared" si="14"/>
        <v>430.2</v>
      </c>
      <c r="AL11" s="89" cm="1">
        <f t="array" ref="AL11">IFERROR(IF($AM$4="N",SSUM(AF11:AH11)/3,SUM(AG11:AI11)/3),"")</f>
        <v>585.33333333333337</v>
      </c>
      <c r="AM11" s="90">
        <f t="shared" si="15"/>
        <v>508</v>
      </c>
      <c r="AN11" s="91">
        <f t="shared" si="0"/>
        <v>12453.221708611949</v>
      </c>
      <c r="AO11" s="92">
        <f t="shared" si="1"/>
        <v>15585.874692102099</v>
      </c>
      <c r="AP11" s="92">
        <f t="shared" si="2"/>
        <v>16325.584233089248</v>
      </c>
      <c r="AQ11" s="92">
        <f t="shared" si="3"/>
        <v>15636.94790822148</v>
      </c>
      <c r="AR11" s="92">
        <f t="shared" si="4"/>
        <v>14983.346417713055</v>
      </c>
      <c r="AS11" s="92">
        <f t="shared" si="5"/>
        <v>17949.284781765225</v>
      </c>
      <c r="AT11" s="92">
        <f t="shared" si="6"/>
        <v>12513.794357569612</v>
      </c>
      <c r="AU11" s="92">
        <f t="shared" si="7"/>
        <v>7950.8033969195039</v>
      </c>
      <c r="AV11" s="92">
        <f t="shared" si="8"/>
        <v>10064.451780095033</v>
      </c>
      <c r="AW11" s="92">
        <f t="shared" si="9"/>
        <v>15618.753078783431</v>
      </c>
      <c r="AX11" s="92">
        <f t="shared" si="10"/>
        <v>18364.629310393164</v>
      </c>
      <c r="AY11" s="93">
        <f t="shared" si="11"/>
        <v>11247.081488735421</v>
      </c>
      <c r="AZ11" s="94">
        <f t="shared" si="12"/>
        <v>10946.666320563165</v>
      </c>
      <c r="BA11" s="95">
        <f t="shared" si="13"/>
        <v>15618.753078783431</v>
      </c>
      <c r="BB11" s="96">
        <f>SUM('Defect P1'!CE11,'Defect P2'!CE11,RTS!CE11)</f>
        <v>590.5333333333333</v>
      </c>
      <c r="BC11" s="96">
        <f>SUM('Defect P1'!CF11,'Defect P2'!CF11,RTS!CF11)</f>
        <v>590.5333333333333</v>
      </c>
      <c r="BD11" s="96">
        <f>SUM('Defect P1'!CG11,'Defect P2'!CG11,RTS!CG11)</f>
        <v>590.5333333333333</v>
      </c>
      <c r="BE11" s="96">
        <f>SUM('Defect P1'!CH11,'Defect P2'!CH11,RTS!CH11)</f>
        <v>590.5333333333333</v>
      </c>
      <c r="BF11" s="96">
        <f>SUM('Defect P1'!CI11,'Defect P2'!CI11,RTS!CI11)</f>
        <v>590.5333333333333</v>
      </c>
      <c r="BG11" s="96">
        <f>SUM('Defect P1'!CJ11,'Defect P2'!CJ11,RTS!CJ11)</f>
        <v>590.5333333333333</v>
      </c>
      <c r="BH11" s="96">
        <f>SUM('Defect P1'!CK11,'Defect P2'!CK11,RTS!CK11)</f>
        <v>590.5333333333333</v>
      </c>
      <c r="BI11" s="286">
        <f>SUM('Defect P1'!CL11,'Defect P2'!CL11,RTS!CL11)</f>
        <v>590.5333333333333</v>
      </c>
      <c r="BJ11" s="99">
        <f t="shared" si="16"/>
        <v>10823.088184715138</v>
      </c>
      <c r="BK11" s="640">
        <f>SUM('Defect P1'!CQ11,'Defect P2'!CQ11,RTS!CQ11)</f>
        <v>6391394.3426804459</v>
      </c>
      <c r="BL11" s="97">
        <f>SUM('Defect P1'!CR11,'Defect P2'!CR11,RTS!CR11)</f>
        <v>6391394.3426804459</v>
      </c>
      <c r="BM11" s="524">
        <f>SUM('Defect P1'!CS11,'Defect P2'!CS11,RTS!CS11)</f>
        <v>6391394.3426804459</v>
      </c>
      <c r="BN11" s="416">
        <f>SUM('Defect P1'!CT11,'Defect P2'!CT11,RTS!CT11)</f>
        <v>6391394.3426804459</v>
      </c>
      <c r="BO11" s="97">
        <f>SUM('Defect P1'!CU11,'Defect P2'!CU11,RTS!CU11)</f>
        <v>6391394.3426804459</v>
      </c>
      <c r="BP11" s="97">
        <f>SUM('Defect P1'!CV11,'Defect P2'!CV11,RTS!CV11)</f>
        <v>6391394.3426804459</v>
      </c>
      <c r="BQ11" s="97">
        <f>SUM('Defect P1'!CW11,'Defect P2'!CW11,RTS!CW11)</f>
        <v>6391394.3426804459</v>
      </c>
      <c r="BR11" s="98">
        <f>SUM('Defect P1'!CX11,'Defect P2'!CX11,RTS!CX11)</f>
        <v>6391394.3426804459</v>
      </c>
    </row>
    <row r="12" spans="1:72" x14ac:dyDescent="0.25">
      <c r="A12" s="81" t="s">
        <v>27</v>
      </c>
      <c r="B12" s="82" t="s">
        <v>34</v>
      </c>
      <c r="C12" s="83" t="s">
        <v>35</v>
      </c>
      <c r="D12" s="84">
        <f>SUM('Defect P1'!D12,'Defect P2'!D12,RTS!D12)</f>
        <v>41392.867953223038</v>
      </c>
      <c r="E12" s="85">
        <f>SUM('Defect P1'!E12,'Defect P2'!E12,RTS!E12)</f>
        <v>47440.164383061659</v>
      </c>
      <c r="F12" s="85">
        <f>SUM('Defect P1'!F12,'Defect P2'!F12,RTS!F12)</f>
        <v>0</v>
      </c>
      <c r="G12" s="85">
        <f>SUM('Defect P1'!G12,'Defect P2'!G12,RTS!G12)</f>
        <v>0</v>
      </c>
      <c r="H12" s="85">
        <f>SUM('Defect P1'!H12,'Defect P2'!H12,RTS!H12)</f>
        <v>22149.027489887732</v>
      </c>
      <c r="I12" s="85">
        <f>SUM('Defect P1'!I12,'Defect P2'!I12,RTS!I12)</f>
        <v>6713362.7280821409</v>
      </c>
      <c r="J12" s="85">
        <f>SUM('Defect P1'!J12,'Defect P2'!J12,RTS!J12)</f>
        <v>128797.37127638905</v>
      </c>
      <c r="K12" s="85">
        <f>SUM('Defect P1'!K12,'Defect P2'!K12,RTS!K12)</f>
        <v>175102.39200178496</v>
      </c>
      <c r="L12" s="85">
        <f>SUM('Defect P1'!L12,'Defect P2'!L12,RTS!L12)</f>
        <v>121625.33933916573</v>
      </c>
      <c r="M12" s="85">
        <f>SUM('Defect P1'!M12,'Defect P2'!M12,RTS!M12)</f>
        <v>50954.985998544988</v>
      </c>
      <c r="N12" s="85">
        <v>331215.16270108987</v>
      </c>
      <c r="O12" s="560">
        <f>SUM('Defect P1'!O12,'Defect P2'!O12,RTS!O12)</f>
        <v>55692.295757747343</v>
      </c>
      <c r="P12" s="561">
        <f>SUM('Defect P1'!P12,'Defect P2'!P12,RTS!P12)</f>
        <v>62878.660857338647</v>
      </c>
      <c r="Q12" s="561">
        <f>SUM('Defect P1'!Q12,'Defect P2'!Q12,RTS!Q12)</f>
        <v>0</v>
      </c>
      <c r="R12" s="561">
        <f>SUM('Defect P1'!R12,'Defect P2'!R12,RTS!R12)</f>
        <v>0</v>
      </c>
      <c r="S12" s="561">
        <f>SUM('Defect P1'!S12,'Defect P2'!S12,RTS!S12)</f>
        <v>27928.125125293864</v>
      </c>
      <c r="T12" s="561">
        <f>SUM('Defect P1'!T12,'Defect P2'!T12,RTS!T12)</f>
        <v>8332278.7000486394</v>
      </c>
      <c r="U12" s="561">
        <f>SUM('Defect P1'!U12,'Defect P2'!U12,RTS!U12)</f>
        <v>160415.57698321075</v>
      </c>
      <c r="V12" s="561">
        <f>SUM('Defect P1'!V12,'Defect P2'!V12,RTS!V12)</f>
        <v>210010.59292658346</v>
      </c>
      <c r="W12" s="561">
        <f>SUM('Defect P1'!W12,'Defect P2'!W12,RTS!W12)</f>
        <v>137427.78326051292</v>
      </c>
      <c r="X12" s="561">
        <f>SUM('Defect P1'!X12,'Defect P2'!X12,RTS!X12)</f>
        <v>54188.636599022393</v>
      </c>
      <c r="Y12" s="561">
        <f>SUM('Defect P1'!Y12,'Defect P2'!Y12,RTS!Y12)</f>
        <v>332566.02579609968</v>
      </c>
      <c r="Z12" s="86">
        <f>SUM('Defect P1'!Z12,'Defect P2'!Z12,RTS!Z12)</f>
        <v>2</v>
      </c>
      <c r="AA12" s="87">
        <f>SUM('Defect P1'!AA12,'Defect P2'!AA12,RTS!AA12)</f>
        <v>2</v>
      </c>
      <c r="AB12" s="87">
        <f>SUM('Defect P1'!AB12,'Defect P2'!AB12,RTS!AB12)</f>
        <v>0</v>
      </c>
      <c r="AC12" s="87">
        <f>SUM('Defect P1'!AC12,'Defect P2'!AC12,RTS!AC12)</f>
        <v>0</v>
      </c>
      <c r="AD12" s="87">
        <f>SUM('Defect P1'!AD12,'Defect P2'!AD12,RTS!AD12)</f>
        <v>1</v>
      </c>
      <c r="AE12" s="87">
        <f>SUM('Defect P1'!AE12,'Defect P2'!AE12,RTS!AE12)</f>
        <v>26</v>
      </c>
      <c r="AF12" s="87">
        <f>SUM('Defect P1'!AF12,'Defect P2'!AF12,RTS!AF12)</f>
        <v>8</v>
      </c>
      <c r="AG12" s="87">
        <f>SUM('Defect P1'!AG12,'Defect P2'!AG12,RTS!AG12)</f>
        <v>9</v>
      </c>
      <c r="AH12" s="87">
        <f>SUM('Defect P1'!AH12,'Defect P2'!AH12,RTS!AH12)</f>
        <v>13</v>
      </c>
      <c r="AI12" s="87">
        <f>SUM('Defect P1'!AI12,'Defect P2'!AI12,RTS!AI12)</f>
        <v>4</v>
      </c>
      <c r="AJ12" s="87">
        <f>SUM('Defect P1'!AJ12,'Defect P2'!AJ12,RTS!AJ12)</f>
        <v>16</v>
      </c>
      <c r="AK12" s="88">
        <f t="shared" si="14"/>
        <v>12</v>
      </c>
      <c r="AL12" s="89" cm="1">
        <f t="array" ref="AL12">IFERROR(IF($AM$4="N",SSUM(AF12:AH12)/3,SUM(AG12:AI12)/3),"")</f>
        <v>8.6666666666666661</v>
      </c>
      <c r="AM12" s="90">
        <f t="shared" si="15"/>
        <v>4</v>
      </c>
      <c r="AN12" s="91">
        <f t="shared" si="0"/>
        <v>20696.433976611519</v>
      </c>
      <c r="AO12" s="92">
        <f t="shared" si="1"/>
        <v>23720.08219153083</v>
      </c>
      <c r="AP12" s="92" t="str">
        <f t="shared" si="2"/>
        <v/>
      </c>
      <c r="AQ12" s="92" t="str">
        <f t="shared" si="3"/>
        <v/>
      </c>
      <c r="AR12" s="92">
        <f t="shared" si="4"/>
        <v>22149.027489887732</v>
      </c>
      <c r="AS12" s="92">
        <f t="shared" si="5"/>
        <v>258206.25877239002</v>
      </c>
      <c r="AT12" s="92">
        <f t="shared" si="6"/>
        <v>16099.671409548631</v>
      </c>
      <c r="AU12" s="92">
        <f t="shared" si="7"/>
        <v>19455.821333531661</v>
      </c>
      <c r="AV12" s="92">
        <f t="shared" si="8"/>
        <v>9355.7953337819799</v>
      </c>
      <c r="AW12" s="92">
        <f t="shared" si="9"/>
        <v>12738.746499636247</v>
      </c>
      <c r="AX12" s="92">
        <f t="shared" si="10"/>
        <v>20700.947668818117</v>
      </c>
      <c r="AY12" s="93">
        <f t="shared" si="11"/>
        <v>119830.71361163376</v>
      </c>
      <c r="AZ12" s="94">
        <f t="shared" si="12"/>
        <v>13372.412205365217</v>
      </c>
      <c r="BA12" s="95">
        <f t="shared" si="13"/>
        <v>12738.746499636247</v>
      </c>
      <c r="BB12" s="96">
        <f>SUM('Defect P1'!CE12,'Defect P2'!CE12,RTS!CE12)</f>
        <v>8.8666666666666654</v>
      </c>
      <c r="BC12" s="96">
        <f>SUM('Defect P1'!CF12,'Defect P2'!CF12,RTS!CF12)</f>
        <v>8.8666666666666654</v>
      </c>
      <c r="BD12" s="96">
        <f>SUM('Defect P1'!CG12,'Defect P2'!CG12,RTS!CG12)</f>
        <v>8.8666666666666654</v>
      </c>
      <c r="BE12" s="96">
        <f>SUM('Defect P1'!CH12,'Defect P2'!CH12,RTS!CH12)</f>
        <v>8.8666666666666654</v>
      </c>
      <c r="BF12" s="96">
        <f>SUM('Defect P1'!CI12,'Defect P2'!CI12,RTS!CI12)</f>
        <v>8.8666666666666654</v>
      </c>
      <c r="BG12" s="96">
        <f>SUM('Defect P1'!CJ12,'Defect P2'!CJ12,RTS!CJ12)</f>
        <v>8.8666666666666654</v>
      </c>
      <c r="BH12" s="96">
        <f>SUM('Defect P1'!CK12,'Defect P2'!CK12,RTS!CK12)</f>
        <v>8.8666666666666654</v>
      </c>
      <c r="BI12" s="286">
        <f>SUM('Defect P1'!CL12,'Defect P2'!CL12,RTS!CL12)</f>
        <v>8.8666666666666654</v>
      </c>
      <c r="BJ12" s="99">
        <f t="shared" si="16"/>
        <v>13070.77884734946</v>
      </c>
      <c r="BK12" s="640">
        <f>SUM('Defect P1'!CQ12,'Defect P2'!CQ12,RTS!CQ12)</f>
        <v>115894.23911316521</v>
      </c>
      <c r="BL12" s="97">
        <f>SUM('Defect P1'!CR12,'Defect P2'!CR12,RTS!CR12)</f>
        <v>115894.23911316521</v>
      </c>
      <c r="BM12" s="524">
        <f>SUM('Defect P1'!CS12,'Defect P2'!CS12,RTS!CS12)</f>
        <v>115894.23911316521</v>
      </c>
      <c r="BN12" s="416">
        <f>SUM('Defect P1'!CT12,'Defect P2'!CT12,RTS!CT12)</f>
        <v>115894.23911316521</v>
      </c>
      <c r="BO12" s="97">
        <f>SUM('Defect P1'!CU12,'Defect P2'!CU12,RTS!CU12)</f>
        <v>115894.23911316521</v>
      </c>
      <c r="BP12" s="97">
        <f>SUM('Defect P1'!CV12,'Defect P2'!CV12,RTS!CV12)</f>
        <v>115894.23911316521</v>
      </c>
      <c r="BQ12" s="97">
        <f>SUM('Defect P1'!CW12,'Defect P2'!CW12,RTS!CW12)</f>
        <v>115894.23911316521</v>
      </c>
      <c r="BR12" s="98">
        <f>SUM('Defect P1'!CX12,'Defect P2'!CX12,RTS!CX12)</f>
        <v>115894.23911316521</v>
      </c>
    </row>
    <row r="13" spans="1:72" x14ac:dyDescent="0.25">
      <c r="A13" s="81" t="s">
        <v>27</v>
      </c>
      <c r="B13" s="82" t="s">
        <v>36</v>
      </c>
      <c r="C13" s="83" t="s">
        <v>37</v>
      </c>
      <c r="D13" s="84">
        <f>SUM('Defect P1'!D13,'Defect P2'!D13,RTS!D13)</f>
        <v>0</v>
      </c>
      <c r="E13" s="85">
        <f>SUM('Defect P1'!E13,'Defect P2'!E13,RTS!E13)</f>
        <v>0</v>
      </c>
      <c r="F13" s="85">
        <f>SUM('Defect P1'!F13,'Defect P2'!F13,RTS!F13)</f>
        <v>0</v>
      </c>
      <c r="G13" s="85">
        <f>SUM('Defect P1'!G13,'Defect P2'!G13,RTS!G13)</f>
        <v>0</v>
      </c>
      <c r="H13" s="85">
        <f>SUM('Defect P1'!H13,'Defect P2'!H13,RTS!H13)</f>
        <v>0</v>
      </c>
      <c r="I13" s="85">
        <f>SUM('Defect P1'!I13,'Defect P2'!I13,RTS!I13)</f>
        <v>0</v>
      </c>
      <c r="J13" s="85">
        <f>SUM('Defect P1'!J13,'Defect P2'!J13,RTS!J13)</f>
        <v>0</v>
      </c>
      <c r="K13" s="85">
        <f>SUM('Defect P1'!K13,'Defect P2'!K13,RTS!K13)</f>
        <v>0</v>
      </c>
      <c r="L13" s="85">
        <f>SUM('Defect P1'!L13,'Defect P2'!L13,RTS!L13)</f>
        <v>0</v>
      </c>
      <c r="M13" s="85">
        <f>SUM('Defect P1'!M13,'Defect P2'!M13,RTS!M13)</f>
        <v>0</v>
      </c>
      <c r="N13" s="85">
        <v>0</v>
      </c>
      <c r="O13" s="560">
        <f>SUM('Defect P1'!O13,'Defect P2'!O13,RTS!O13)</f>
        <v>0</v>
      </c>
      <c r="P13" s="561">
        <f>SUM('Defect P1'!P13,'Defect P2'!P13,RTS!P13)</f>
        <v>0</v>
      </c>
      <c r="Q13" s="561">
        <f>SUM('Defect P1'!Q13,'Defect P2'!Q13,RTS!Q13)</f>
        <v>0</v>
      </c>
      <c r="R13" s="561">
        <f>SUM('Defect P1'!R13,'Defect P2'!R13,RTS!R13)</f>
        <v>0</v>
      </c>
      <c r="S13" s="561">
        <f>SUM('Defect P1'!S13,'Defect P2'!S13,RTS!S13)</f>
        <v>0</v>
      </c>
      <c r="T13" s="561">
        <f>SUM('Defect P1'!T13,'Defect P2'!T13,RTS!T13)</f>
        <v>0</v>
      </c>
      <c r="U13" s="561">
        <f>SUM('Defect P1'!U13,'Defect P2'!U13,RTS!U13)</f>
        <v>0</v>
      </c>
      <c r="V13" s="561">
        <f>SUM('Defect P1'!V13,'Defect P2'!V13,RTS!V13)</f>
        <v>0</v>
      </c>
      <c r="W13" s="561">
        <f>SUM('Defect P1'!W13,'Defect P2'!W13,RTS!W13)</f>
        <v>0</v>
      </c>
      <c r="X13" s="561">
        <f>SUM('Defect P1'!X13,'Defect P2'!X13,RTS!X13)</f>
        <v>0</v>
      </c>
      <c r="Y13" s="561">
        <f>SUM('Defect P1'!Y13,'Defect P2'!Y13,RTS!Y13)</f>
        <v>0</v>
      </c>
      <c r="Z13" s="86">
        <f>SUM('Defect P1'!Z13,'Defect P2'!Z13,RTS!Z13)</f>
        <v>0</v>
      </c>
      <c r="AA13" s="87">
        <f>SUM('Defect P1'!AA13,'Defect P2'!AA13,RTS!AA13)</f>
        <v>0</v>
      </c>
      <c r="AB13" s="87">
        <f>SUM('Defect P1'!AB13,'Defect P2'!AB13,RTS!AB13)</f>
        <v>0</v>
      </c>
      <c r="AC13" s="87">
        <f>SUM('Defect P1'!AC13,'Defect P2'!AC13,RTS!AC13)</f>
        <v>0</v>
      </c>
      <c r="AD13" s="87">
        <f>SUM('Defect P1'!AD13,'Defect P2'!AD13,RTS!AD13)</f>
        <v>0</v>
      </c>
      <c r="AE13" s="87">
        <f>SUM('Defect P1'!AE13,'Defect P2'!AE13,RTS!AE13)</f>
        <v>0</v>
      </c>
      <c r="AF13" s="87">
        <f>SUM('Defect P1'!AF13,'Defect P2'!AF13,RTS!AF13)</f>
        <v>0</v>
      </c>
      <c r="AG13" s="87">
        <f>SUM('Defect P1'!AG13,'Defect P2'!AG13,RTS!AG13)</f>
        <v>0</v>
      </c>
      <c r="AH13" s="87">
        <f>SUM('Defect P1'!AH13,'Defect P2'!AH13,RTS!AH13)</f>
        <v>0</v>
      </c>
      <c r="AI13" s="87">
        <f>SUM('Defect P1'!AI13,'Defect P2'!AI13,RTS!AI13)</f>
        <v>0</v>
      </c>
      <c r="AJ13" s="87">
        <f>SUM('Defect P1'!AJ13,'Defect P2'!AJ13,RTS!AJ13)</f>
        <v>0</v>
      </c>
      <c r="AK13" s="88">
        <f t="shared" si="14"/>
        <v>0</v>
      </c>
      <c r="AL13" s="89" cm="1">
        <f t="array" ref="AL13">IFERROR(IF($AM$4="N",SSUM(AF13:AH13)/3,SUM(AG13:AI13)/3),"")</f>
        <v>0</v>
      </c>
      <c r="AM13" s="90">
        <f t="shared" si="15"/>
        <v>0</v>
      </c>
      <c r="AN13" s="91" t="str">
        <f t="shared" si="0"/>
        <v/>
      </c>
      <c r="AO13" s="92" t="str">
        <f t="shared" si="1"/>
        <v/>
      </c>
      <c r="AP13" s="92" t="str">
        <f t="shared" si="2"/>
        <v/>
      </c>
      <c r="AQ13" s="92" t="str">
        <f t="shared" si="3"/>
        <v/>
      </c>
      <c r="AR13" s="92" t="str">
        <f t="shared" si="4"/>
        <v/>
      </c>
      <c r="AS13" s="92" t="str">
        <f t="shared" si="5"/>
        <v/>
      </c>
      <c r="AT13" s="92" t="str">
        <f t="shared" si="6"/>
        <v/>
      </c>
      <c r="AU13" s="92" t="str">
        <f t="shared" si="7"/>
        <v/>
      </c>
      <c r="AV13" s="92" t="str">
        <f t="shared" si="8"/>
        <v/>
      </c>
      <c r="AW13" s="92" t="str">
        <f t="shared" si="9"/>
        <v/>
      </c>
      <c r="AX13" s="92" t="str">
        <f t="shared" si="10"/>
        <v/>
      </c>
      <c r="AY13" s="93" t="str">
        <f t="shared" si="11"/>
        <v/>
      </c>
      <c r="AZ13" s="94" t="str">
        <f t="shared" si="12"/>
        <v/>
      </c>
      <c r="BA13" s="95" t="str">
        <f t="shared" si="13"/>
        <v/>
      </c>
      <c r="BB13" s="96">
        <f>SUM('Defect P1'!CE13,'Defect P2'!CE13,RTS!CE13)</f>
        <v>0</v>
      </c>
      <c r="BC13" s="96">
        <f>SUM('Defect P1'!CF13,'Defect P2'!CF13,RTS!CF13)</f>
        <v>0</v>
      </c>
      <c r="BD13" s="96">
        <f>SUM('Defect P1'!CG13,'Defect P2'!CG13,RTS!CG13)</f>
        <v>0</v>
      </c>
      <c r="BE13" s="96">
        <f>SUM('Defect P1'!CH13,'Defect P2'!CH13,RTS!CH13)</f>
        <v>0</v>
      </c>
      <c r="BF13" s="96">
        <f>SUM('Defect P1'!CI13,'Defect P2'!CI13,RTS!CI13)</f>
        <v>0</v>
      </c>
      <c r="BG13" s="96">
        <f>SUM('Defect P1'!CJ13,'Defect P2'!CJ13,RTS!CJ13)</f>
        <v>0</v>
      </c>
      <c r="BH13" s="96">
        <f>SUM('Defect P1'!CK13,'Defect P2'!CK13,RTS!CK13)</f>
        <v>0</v>
      </c>
      <c r="BI13" s="286">
        <f>SUM('Defect P1'!CL13,'Defect P2'!CL13,RTS!CL13)</f>
        <v>0</v>
      </c>
      <c r="BJ13" s="99" t="str">
        <f t="shared" si="16"/>
        <v/>
      </c>
      <c r="BK13" s="640">
        <f>SUM('Defect P1'!CQ13,'Defect P2'!CQ13,RTS!CQ13)</f>
        <v>0</v>
      </c>
      <c r="BL13" s="97">
        <f>SUM('Defect P1'!CR13,'Defect P2'!CR13,RTS!CR13)</f>
        <v>0</v>
      </c>
      <c r="BM13" s="524">
        <f>SUM('Defect P1'!CS13,'Defect P2'!CS13,RTS!CS13)</f>
        <v>0</v>
      </c>
      <c r="BN13" s="416">
        <f>SUM('Defect P1'!CT13,'Defect P2'!CT13,RTS!CT13)</f>
        <v>0</v>
      </c>
      <c r="BO13" s="97">
        <f>SUM('Defect P1'!CU13,'Defect P2'!CU13,RTS!CU13)</f>
        <v>0</v>
      </c>
      <c r="BP13" s="97">
        <f>SUM('Defect P1'!CV13,'Defect P2'!CV13,RTS!CV13)</f>
        <v>0</v>
      </c>
      <c r="BQ13" s="97">
        <f>SUM('Defect P1'!CW13,'Defect P2'!CW13,RTS!CW13)</f>
        <v>0</v>
      </c>
      <c r="BR13" s="98">
        <f>SUM('Defect P1'!CX13,'Defect P2'!CX13,RTS!CX13)</f>
        <v>0</v>
      </c>
    </row>
    <row r="14" spans="1:72" x14ac:dyDescent="0.25">
      <c r="A14" s="81" t="s">
        <v>27</v>
      </c>
      <c r="B14" s="82" t="s">
        <v>39</v>
      </c>
      <c r="C14" s="83" t="s">
        <v>299</v>
      </c>
      <c r="D14" s="84">
        <f>SUM('Defect P1'!D14,'Defect P2'!D14,RTS!D14)</f>
        <v>0</v>
      </c>
      <c r="E14" s="85">
        <f>SUM('Defect P1'!E14,'Defect P2'!E14,RTS!E14)</f>
        <v>0</v>
      </c>
      <c r="F14" s="85">
        <f>SUM('Defect P1'!F14,'Defect P2'!F14,RTS!F14)</f>
        <v>0</v>
      </c>
      <c r="G14" s="85">
        <f>SUM('Defect P1'!G14,'Defect P2'!G14,RTS!G14)</f>
        <v>0</v>
      </c>
      <c r="H14" s="85">
        <f>SUM('Defect P1'!H14,'Defect P2'!H14,RTS!H14)</f>
        <v>0</v>
      </c>
      <c r="I14" s="85">
        <f>SUM('Defect P1'!I14,'Defect P2'!I14,RTS!I14)</f>
        <v>0</v>
      </c>
      <c r="J14" s="85">
        <f>SUM('Defect P1'!J14,'Defect P2'!J14,RTS!J14)</f>
        <v>0</v>
      </c>
      <c r="K14" s="85">
        <f>SUM('Defect P1'!K14,'Defect P2'!K14,RTS!K14)</f>
        <v>0</v>
      </c>
      <c r="L14" s="85">
        <f>SUM('Defect P1'!L14,'Defect P2'!L14,RTS!L14)</f>
        <v>0</v>
      </c>
      <c r="M14" s="85">
        <f>SUM('Defect P1'!M14,'Defect P2'!M14,RTS!M14)</f>
        <v>0</v>
      </c>
      <c r="N14" s="85">
        <v>0</v>
      </c>
      <c r="O14" s="560">
        <f>SUM('Defect P1'!O14,'Defect P2'!O14,RTS!O14)</f>
        <v>0</v>
      </c>
      <c r="P14" s="561">
        <f>SUM('Defect P1'!P14,'Defect P2'!P14,RTS!P14)</f>
        <v>0</v>
      </c>
      <c r="Q14" s="561">
        <f>SUM('Defect P1'!Q14,'Defect P2'!Q14,RTS!Q14)</f>
        <v>0</v>
      </c>
      <c r="R14" s="561">
        <f>SUM('Defect P1'!R14,'Defect P2'!R14,RTS!R14)</f>
        <v>0</v>
      </c>
      <c r="S14" s="561">
        <f>SUM('Defect P1'!S14,'Defect P2'!S14,RTS!S14)</f>
        <v>0</v>
      </c>
      <c r="T14" s="561">
        <f>SUM('Defect P1'!T14,'Defect P2'!T14,RTS!T14)</f>
        <v>0</v>
      </c>
      <c r="U14" s="561">
        <f>SUM('Defect P1'!U14,'Defect P2'!U14,RTS!U14)</f>
        <v>0</v>
      </c>
      <c r="V14" s="561">
        <f>SUM('Defect P1'!V14,'Defect P2'!V14,RTS!V14)</f>
        <v>0</v>
      </c>
      <c r="W14" s="561">
        <f>SUM('Defect P1'!W14,'Defect P2'!W14,RTS!W14)</f>
        <v>0</v>
      </c>
      <c r="X14" s="561">
        <f>SUM('Defect P1'!X14,'Defect P2'!X14,RTS!X14)</f>
        <v>0</v>
      </c>
      <c r="Y14" s="561">
        <f>SUM('Defect P1'!Y14,'Defect P2'!Y14,RTS!Y14)</f>
        <v>0</v>
      </c>
      <c r="Z14" s="86">
        <f>SUM('Defect P1'!Z14,'Defect P2'!Z14,RTS!Z14)</f>
        <v>0</v>
      </c>
      <c r="AA14" s="87">
        <f>SUM('Defect P1'!AA14,'Defect P2'!AA14,RTS!AA14)</f>
        <v>0</v>
      </c>
      <c r="AB14" s="87">
        <f>SUM('Defect P1'!AB14,'Defect P2'!AB14,RTS!AB14)</f>
        <v>0</v>
      </c>
      <c r="AC14" s="87">
        <f>SUM('Defect P1'!AC14,'Defect P2'!AC14,RTS!AC14)</f>
        <v>0</v>
      </c>
      <c r="AD14" s="87">
        <f>SUM('Defect P1'!AD14,'Defect P2'!AD14,RTS!AD14)</f>
        <v>0</v>
      </c>
      <c r="AE14" s="87">
        <f>SUM('Defect P1'!AE14,'Defect P2'!AE14,RTS!AE14)</f>
        <v>0</v>
      </c>
      <c r="AF14" s="87">
        <f>SUM('Defect P1'!AF14,'Defect P2'!AF14,RTS!AF14)</f>
        <v>0</v>
      </c>
      <c r="AG14" s="87">
        <f>SUM('Defect P1'!AG14,'Defect P2'!AG14,RTS!AG14)</f>
        <v>0</v>
      </c>
      <c r="AH14" s="87">
        <f>SUM('Defect P1'!AH14,'Defect P2'!AH14,RTS!AH14)</f>
        <v>0</v>
      </c>
      <c r="AI14" s="87">
        <f>SUM('Defect P1'!AI14,'Defect P2'!AI14,RTS!AI14)</f>
        <v>0</v>
      </c>
      <c r="AJ14" s="87">
        <f>SUM('Defect P1'!AJ14,'Defect P2'!AJ14,RTS!AJ14)</f>
        <v>0</v>
      </c>
      <c r="AK14" s="88">
        <f t="shared" si="14"/>
        <v>0</v>
      </c>
      <c r="AL14" s="89" cm="1">
        <f t="array" ref="AL14">IFERROR(IF($AM$4="N",SSUM(AF14:AH14)/3,SUM(AG14:AI14)/3),"")</f>
        <v>0</v>
      </c>
      <c r="AM14" s="90">
        <f t="shared" si="15"/>
        <v>0</v>
      </c>
      <c r="AN14" s="91" t="str">
        <f t="shared" si="0"/>
        <v/>
      </c>
      <c r="AO14" s="92" t="str">
        <f t="shared" si="1"/>
        <v/>
      </c>
      <c r="AP14" s="92" t="str">
        <f t="shared" si="2"/>
        <v/>
      </c>
      <c r="AQ14" s="92" t="str">
        <f t="shared" si="3"/>
        <v/>
      </c>
      <c r="AR14" s="92" t="str">
        <f t="shared" si="4"/>
        <v/>
      </c>
      <c r="AS14" s="92" t="str">
        <f t="shared" si="5"/>
        <v/>
      </c>
      <c r="AT14" s="92" t="str">
        <f t="shared" si="6"/>
        <v/>
      </c>
      <c r="AU14" s="92" t="str">
        <f t="shared" si="7"/>
        <v/>
      </c>
      <c r="AV14" s="92" t="str">
        <f t="shared" si="8"/>
        <v/>
      </c>
      <c r="AW14" s="92" t="str">
        <f t="shared" si="9"/>
        <v/>
      </c>
      <c r="AX14" s="92" t="str">
        <f t="shared" si="10"/>
        <v/>
      </c>
      <c r="AY14" s="93" t="str">
        <f t="shared" si="11"/>
        <v/>
      </c>
      <c r="AZ14" s="94" t="str">
        <f t="shared" si="12"/>
        <v/>
      </c>
      <c r="BA14" s="95" t="str">
        <f t="shared" si="13"/>
        <v/>
      </c>
      <c r="BB14" s="96">
        <f>SUM('Defect P1'!CE14,'Defect P2'!CE14,RTS!CE14)</f>
        <v>0</v>
      </c>
      <c r="BC14" s="96">
        <f>SUM('Defect P1'!CF14,'Defect P2'!CF14,RTS!CF14)</f>
        <v>0</v>
      </c>
      <c r="BD14" s="96">
        <f>SUM('Defect P1'!CG14,'Defect P2'!CG14,RTS!CG14)</f>
        <v>0</v>
      </c>
      <c r="BE14" s="96">
        <f>SUM('Defect P1'!CH14,'Defect P2'!CH14,RTS!CH14)</f>
        <v>0</v>
      </c>
      <c r="BF14" s="96">
        <f>SUM('Defect P1'!CI14,'Defect P2'!CI14,RTS!CI14)</f>
        <v>0</v>
      </c>
      <c r="BG14" s="96">
        <f>SUM('Defect P1'!CJ14,'Defect P2'!CJ14,RTS!CJ14)</f>
        <v>0</v>
      </c>
      <c r="BH14" s="96">
        <f>SUM('Defect P1'!CK14,'Defect P2'!CK14,RTS!CK14)</f>
        <v>0</v>
      </c>
      <c r="BI14" s="286">
        <f>SUM('Defect P1'!CL14,'Defect P2'!CL14,RTS!CL14)</f>
        <v>0</v>
      </c>
      <c r="BJ14" s="99" t="str">
        <f t="shared" si="16"/>
        <v/>
      </c>
      <c r="BK14" s="640">
        <f>SUM('Defect P1'!CQ14,'Defect P2'!CQ14,RTS!CQ14)</f>
        <v>0</v>
      </c>
      <c r="BL14" s="97">
        <f>SUM('Defect P1'!CR14,'Defect P2'!CR14,RTS!CR14)</f>
        <v>0</v>
      </c>
      <c r="BM14" s="524">
        <f>SUM('Defect P1'!CS14,'Defect P2'!CS14,RTS!CS14)</f>
        <v>0</v>
      </c>
      <c r="BN14" s="416">
        <f>SUM('Defect P1'!CT14,'Defect P2'!CT14,RTS!CT14)</f>
        <v>0</v>
      </c>
      <c r="BO14" s="97">
        <f>SUM('Defect P1'!CU14,'Defect P2'!CU14,RTS!CU14)</f>
        <v>0</v>
      </c>
      <c r="BP14" s="97">
        <f>SUM('Defect P1'!CV14,'Defect P2'!CV14,RTS!CV14)</f>
        <v>0</v>
      </c>
      <c r="BQ14" s="97">
        <f>SUM('Defect P1'!CW14,'Defect P2'!CW14,RTS!CW14)</f>
        <v>0</v>
      </c>
      <c r="BR14" s="98">
        <f>SUM('Defect P1'!CX14,'Defect P2'!CX14,RTS!CX14)</f>
        <v>0</v>
      </c>
    </row>
    <row r="15" spans="1:72" x14ac:dyDescent="0.25">
      <c r="A15" s="81" t="s">
        <v>27</v>
      </c>
      <c r="B15" s="82" t="s">
        <v>41</v>
      </c>
      <c r="C15" s="83" t="s">
        <v>42</v>
      </c>
      <c r="D15" s="84">
        <f>SUM('Defect P1'!D15,'Defect P2'!D15,RTS!D15)</f>
        <v>0</v>
      </c>
      <c r="E15" s="85">
        <f>SUM('Defect P1'!E15,'Defect P2'!E15,RTS!E15)</f>
        <v>0</v>
      </c>
      <c r="F15" s="85">
        <f>SUM('Defect P1'!F15,'Defect P2'!F15,RTS!F15)</f>
        <v>0</v>
      </c>
      <c r="G15" s="85">
        <f>SUM('Defect P1'!G15,'Defect P2'!G15,RTS!G15)</f>
        <v>0</v>
      </c>
      <c r="H15" s="85">
        <f>SUM('Defect P1'!H15,'Defect P2'!H15,RTS!H15)</f>
        <v>0</v>
      </c>
      <c r="I15" s="85">
        <f>SUM('Defect P1'!I15,'Defect P2'!I15,RTS!I15)</f>
        <v>0</v>
      </c>
      <c r="J15" s="85">
        <f>SUM('Defect P1'!J15,'Defect P2'!J15,RTS!J15)</f>
        <v>0</v>
      </c>
      <c r="K15" s="85">
        <f>SUM('Defect P1'!K15,'Defect P2'!K15,RTS!K15)</f>
        <v>64127.299805579001</v>
      </c>
      <c r="L15" s="85">
        <f>SUM('Defect P1'!L15,'Defect P2'!L15,RTS!L15)</f>
        <v>107354.770183375</v>
      </c>
      <c r="M15" s="85">
        <f>SUM('Defect P1'!M15,'Defect P2'!M15,RTS!M15)</f>
        <v>0</v>
      </c>
      <c r="N15" s="85">
        <v>0</v>
      </c>
      <c r="O15" s="560">
        <f>SUM('Defect P1'!O15,'Defect P2'!O15,RTS!O15)</f>
        <v>0</v>
      </c>
      <c r="P15" s="561">
        <f>SUM('Defect P1'!P15,'Defect P2'!P15,RTS!P15)</f>
        <v>0</v>
      </c>
      <c r="Q15" s="561">
        <f>SUM('Defect P1'!Q15,'Defect P2'!Q15,RTS!Q15)</f>
        <v>0</v>
      </c>
      <c r="R15" s="561">
        <f>SUM('Defect P1'!R15,'Defect P2'!R15,RTS!R15)</f>
        <v>0</v>
      </c>
      <c r="S15" s="561">
        <f>SUM('Defect P1'!S15,'Defect P2'!S15,RTS!S15)</f>
        <v>0</v>
      </c>
      <c r="T15" s="561">
        <f>SUM('Defect P1'!T15,'Defect P2'!T15,RTS!T15)</f>
        <v>0</v>
      </c>
      <c r="U15" s="561">
        <f>SUM('Defect P1'!U15,'Defect P2'!U15,RTS!U15)</f>
        <v>0</v>
      </c>
      <c r="V15" s="561">
        <f>SUM('Defect P1'!V15,'Defect P2'!V15,RTS!V15)</f>
        <v>76911.640674863782</v>
      </c>
      <c r="W15" s="561">
        <f>SUM('Defect P1'!W15,'Defect P2'!W15,RTS!W15)</f>
        <v>121303.07852709202</v>
      </c>
      <c r="X15" s="561">
        <f>SUM('Defect P1'!X15,'Defect P2'!X15,RTS!X15)</f>
        <v>0</v>
      </c>
      <c r="Y15" s="561">
        <f>SUM('Defect P1'!Y15,'Defect P2'!Y15,RTS!Y15)</f>
        <v>0</v>
      </c>
      <c r="Z15" s="86">
        <f>SUM('Defect P1'!Z15,'Defect P2'!Z15,RTS!Z15)</f>
        <v>0</v>
      </c>
      <c r="AA15" s="87">
        <f>SUM('Defect P1'!AA15,'Defect P2'!AA15,RTS!AA15)</f>
        <v>0</v>
      </c>
      <c r="AB15" s="87">
        <f>SUM('Defect P1'!AB15,'Defect P2'!AB15,RTS!AB15)</f>
        <v>0</v>
      </c>
      <c r="AC15" s="87">
        <f>SUM('Defect P1'!AC15,'Defect P2'!AC15,RTS!AC15)</f>
        <v>0</v>
      </c>
      <c r="AD15" s="87">
        <f>SUM('Defect P1'!AD15,'Defect P2'!AD15,RTS!AD15)</f>
        <v>0</v>
      </c>
      <c r="AE15" s="87">
        <f>SUM('Defect P1'!AE15,'Defect P2'!AE15,RTS!AE15)</f>
        <v>0</v>
      </c>
      <c r="AF15" s="87">
        <f>SUM('Defect P1'!AF15,'Defect P2'!AF15,RTS!AF15)</f>
        <v>0</v>
      </c>
      <c r="AG15" s="87">
        <f>SUM('Defect P1'!AG15,'Defect P2'!AG15,RTS!AG15)</f>
        <v>12</v>
      </c>
      <c r="AH15" s="87">
        <f>SUM('Defect P1'!AH15,'Defect P2'!AH15,RTS!AH15)</f>
        <v>14</v>
      </c>
      <c r="AI15" s="87">
        <f>SUM('Defect P1'!AI15,'Defect P2'!AI15,RTS!AI15)</f>
        <v>0</v>
      </c>
      <c r="AJ15" s="87">
        <f>SUM('Defect P1'!AJ15,'Defect P2'!AJ15,RTS!AJ15)</f>
        <v>0</v>
      </c>
      <c r="AK15" s="88">
        <f t="shared" si="14"/>
        <v>5.2</v>
      </c>
      <c r="AL15" s="89" cm="1">
        <f t="array" ref="AL15">IFERROR(IF($AM$4="N",SSUM(AF15:AH15)/3,SUM(AG15:AI15)/3),"")</f>
        <v>8.6666666666666661</v>
      </c>
      <c r="AM15" s="90">
        <f t="shared" si="15"/>
        <v>0</v>
      </c>
      <c r="AN15" s="91" t="str">
        <f t="shared" si="0"/>
        <v/>
      </c>
      <c r="AO15" s="92" t="str">
        <f t="shared" si="1"/>
        <v/>
      </c>
      <c r="AP15" s="92" t="str">
        <f t="shared" si="2"/>
        <v/>
      </c>
      <c r="AQ15" s="92" t="str">
        <f t="shared" si="3"/>
        <v/>
      </c>
      <c r="AR15" s="92" t="str">
        <f t="shared" si="4"/>
        <v/>
      </c>
      <c r="AS15" s="92" t="str">
        <f t="shared" si="5"/>
        <v/>
      </c>
      <c r="AT15" s="92" t="str">
        <f t="shared" si="6"/>
        <v/>
      </c>
      <c r="AU15" s="92">
        <f t="shared" si="7"/>
        <v>5343.9416504649171</v>
      </c>
      <c r="AV15" s="92">
        <f t="shared" si="8"/>
        <v>7668.1978702410715</v>
      </c>
      <c r="AW15" s="92" t="str">
        <f t="shared" si="9"/>
        <v/>
      </c>
      <c r="AX15" s="92" t="str">
        <f t="shared" si="10"/>
        <v/>
      </c>
      <c r="AY15" s="93">
        <f t="shared" si="11"/>
        <v>6595.4642303443843</v>
      </c>
      <c r="AZ15" s="94">
        <f t="shared" si="12"/>
        <v>6595.4642303443843</v>
      </c>
      <c r="BA15" s="95" t="str">
        <f t="shared" si="13"/>
        <v/>
      </c>
      <c r="BB15" s="96">
        <f>SUM('Defect P1'!CE15,'Defect P2'!CE15,RTS!CE15)</f>
        <v>8.6666666666666661</v>
      </c>
      <c r="BC15" s="96">
        <f>SUM('Defect P1'!CF15,'Defect P2'!CF15,RTS!CF15)</f>
        <v>8.6666666666666661</v>
      </c>
      <c r="BD15" s="96">
        <f>SUM('Defect P1'!CG15,'Defect P2'!CG15,RTS!CG15)</f>
        <v>8.6666666666666661</v>
      </c>
      <c r="BE15" s="96">
        <f>SUM('Defect P1'!CH15,'Defect P2'!CH15,RTS!CH15)</f>
        <v>8.6666666666666661</v>
      </c>
      <c r="BF15" s="96">
        <f>SUM('Defect P1'!CI15,'Defect P2'!CI15,RTS!CI15)</f>
        <v>8.6666666666666661</v>
      </c>
      <c r="BG15" s="96">
        <f>SUM('Defect P1'!CJ15,'Defect P2'!CJ15,RTS!CJ15)</f>
        <v>8.6666666666666661</v>
      </c>
      <c r="BH15" s="96">
        <f>SUM('Defect P1'!CK15,'Defect P2'!CK15,RTS!CK15)</f>
        <v>8.6666666666666661</v>
      </c>
      <c r="BI15" s="286">
        <f>SUM('Defect P1'!CL15,'Defect P2'!CL15,RTS!CL15)</f>
        <v>8.6666666666666661</v>
      </c>
      <c r="BJ15" s="99">
        <f t="shared" si="16"/>
        <v>6595.4642303443852</v>
      </c>
      <c r="BK15" s="640">
        <f>SUM('Defect P1'!CQ15,'Defect P2'!CQ15,RTS!CQ15)</f>
        <v>57160.689996317997</v>
      </c>
      <c r="BL15" s="97">
        <f>SUM('Defect P1'!CR15,'Defect P2'!CR15,RTS!CR15)</f>
        <v>57160.689996317997</v>
      </c>
      <c r="BM15" s="524">
        <f>SUM('Defect P1'!CS15,'Defect P2'!CS15,RTS!CS15)</f>
        <v>57160.689996317997</v>
      </c>
      <c r="BN15" s="416">
        <f>SUM('Defect P1'!CT15,'Defect P2'!CT15,RTS!CT15)</f>
        <v>57160.689996317997</v>
      </c>
      <c r="BO15" s="97">
        <f>SUM('Defect P1'!CU15,'Defect P2'!CU15,RTS!CU15)</f>
        <v>57160.689996317997</v>
      </c>
      <c r="BP15" s="97">
        <f>SUM('Defect P1'!CV15,'Defect P2'!CV15,RTS!CV15)</f>
        <v>57160.689996317997</v>
      </c>
      <c r="BQ15" s="97">
        <f>SUM('Defect P1'!CW15,'Defect P2'!CW15,RTS!CW15)</f>
        <v>57160.689996317997</v>
      </c>
      <c r="BR15" s="98">
        <f>SUM('Defect P1'!CX15,'Defect P2'!CX15,RTS!CX15)</f>
        <v>57160.689996317997</v>
      </c>
    </row>
    <row r="16" spans="1:72" x14ac:dyDescent="0.25">
      <c r="A16" s="81" t="s">
        <v>27</v>
      </c>
      <c r="B16" s="82" t="s">
        <v>43</v>
      </c>
      <c r="C16" s="83" t="s">
        <v>300</v>
      </c>
      <c r="D16" s="84">
        <f>SUM('Defect P1'!D16,'Defect P2'!D16,RTS!D16)</f>
        <v>0</v>
      </c>
      <c r="E16" s="85">
        <f>SUM('Defect P1'!E16,'Defect P2'!E16,RTS!E16)</f>
        <v>0</v>
      </c>
      <c r="F16" s="85">
        <f>SUM('Defect P1'!F16,'Defect P2'!F16,RTS!F16)</f>
        <v>0</v>
      </c>
      <c r="G16" s="85">
        <f>SUM('Defect P1'!G16,'Defect P2'!G16,RTS!G16)</f>
        <v>0</v>
      </c>
      <c r="H16" s="85">
        <f>SUM('Defect P1'!H16,'Defect P2'!H16,RTS!H16)</f>
        <v>0</v>
      </c>
      <c r="I16" s="85">
        <f>SUM('Defect P1'!I16,'Defect P2'!I16,RTS!I16)</f>
        <v>0</v>
      </c>
      <c r="J16" s="85">
        <f>SUM('Defect P1'!J16,'Defect P2'!J16,RTS!J16)</f>
        <v>0</v>
      </c>
      <c r="K16" s="85">
        <f>SUM('Defect P1'!K16,'Defect P2'!K16,RTS!K16)</f>
        <v>0</v>
      </c>
      <c r="L16" s="85">
        <f>SUM('Defect P1'!L16,'Defect P2'!L16,RTS!L16)</f>
        <v>0</v>
      </c>
      <c r="M16" s="85">
        <f>SUM('Defect P1'!M16,'Defect P2'!M16,RTS!M16)</f>
        <v>0</v>
      </c>
      <c r="N16" s="85">
        <v>0</v>
      </c>
      <c r="O16" s="560">
        <f>SUM('Defect P1'!O16,'Defect P2'!O16,RTS!O16)</f>
        <v>0</v>
      </c>
      <c r="P16" s="561">
        <f>SUM('Defect P1'!P16,'Defect P2'!P16,RTS!P16)</f>
        <v>0</v>
      </c>
      <c r="Q16" s="561">
        <f>SUM('Defect P1'!Q16,'Defect P2'!Q16,RTS!Q16)</f>
        <v>0</v>
      </c>
      <c r="R16" s="561">
        <f>SUM('Defect P1'!R16,'Defect P2'!R16,RTS!R16)</f>
        <v>0</v>
      </c>
      <c r="S16" s="561">
        <f>SUM('Defect P1'!S16,'Defect P2'!S16,RTS!S16)</f>
        <v>0</v>
      </c>
      <c r="T16" s="561">
        <f>SUM('Defect P1'!T16,'Defect P2'!T16,RTS!T16)</f>
        <v>0</v>
      </c>
      <c r="U16" s="561">
        <f>SUM('Defect P1'!U16,'Defect P2'!U16,RTS!U16)</f>
        <v>0</v>
      </c>
      <c r="V16" s="561">
        <f>SUM('Defect P1'!V16,'Defect P2'!V16,RTS!V16)</f>
        <v>0</v>
      </c>
      <c r="W16" s="561">
        <f>SUM('Defect P1'!W16,'Defect P2'!W16,RTS!W16)</f>
        <v>0</v>
      </c>
      <c r="X16" s="561">
        <f>SUM('Defect P1'!X16,'Defect P2'!X16,RTS!X16)</f>
        <v>0</v>
      </c>
      <c r="Y16" s="561">
        <f>SUM('Defect P1'!Y16,'Defect P2'!Y16,RTS!Y16)</f>
        <v>0</v>
      </c>
      <c r="Z16" s="86">
        <f>SUM('Defect P1'!Z16,'Defect P2'!Z16,RTS!Z16)</f>
        <v>0</v>
      </c>
      <c r="AA16" s="87">
        <f>SUM('Defect P1'!AA16,'Defect P2'!AA16,RTS!AA16)</f>
        <v>0</v>
      </c>
      <c r="AB16" s="87">
        <f>SUM('Defect P1'!AB16,'Defect P2'!AB16,RTS!AB16)</f>
        <v>0</v>
      </c>
      <c r="AC16" s="87">
        <f>SUM('Defect P1'!AC16,'Defect P2'!AC16,RTS!AC16)</f>
        <v>0</v>
      </c>
      <c r="AD16" s="87">
        <f>SUM('Defect P1'!AD16,'Defect P2'!AD16,RTS!AD16)</f>
        <v>0</v>
      </c>
      <c r="AE16" s="87">
        <f>SUM('Defect P1'!AE16,'Defect P2'!AE16,RTS!AE16)</f>
        <v>0</v>
      </c>
      <c r="AF16" s="87">
        <f>SUM('Defect P1'!AF16,'Defect P2'!AF16,RTS!AF16)</f>
        <v>0</v>
      </c>
      <c r="AG16" s="87">
        <f>SUM('Defect P1'!AG16,'Defect P2'!AG16,RTS!AG16)</f>
        <v>0</v>
      </c>
      <c r="AH16" s="87">
        <f>SUM('Defect P1'!AH16,'Defect P2'!AH16,RTS!AH16)</f>
        <v>0</v>
      </c>
      <c r="AI16" s="87">
        <f>SUM('Defect P1'!AI16,'Defect P2'!AI16,RTS!AI16)</f>
        <v>0</v>
      </c>
      <c r="AJ16" s="87">
        <f>SUM('Defect P1'!AJ16,'Defect P2'!AJ16,RTS!AJ16)</f>
        <v>0</v>
      </c>
      <c r="AK16" s="88">
        <f t="shared" si="14"/>
        <v>0</v>
      </c>
      <c r="AL16" s="89" cm="1">
        <f t="array" ref="AL16">IFERROR(IF($AM$4="N",SSUM(AF16:AH16)/3,SUM(AG16:AI16)/3),"")</f>
        <v>0</v>
      </c>
      <c r="AM16" s="90">
        <f t="shared" si="15"/>
        <v>0</v>
      </c>
      <c r="AN16" s="91" t="str">
        <f t="shared" si="0"/>
        <v/>
      </c>
      <c r="AO16" s="92" t="str">
        <f t="shared" si="1"/>
        <v/>
      </c>
      <c r="AP16" s="92" t="str">
        <f t="shared" si="2"/>
        <v/>
      </c>
      <c r="AQ16" s="92" t="str">
        <f t="shared" si="3"/>
        <v/>
      </c>
      <c r="AR16" s="92" t="str">
        <f t="shared" si="4"/>
        <v/>
      </c>
      <c r="AS16" s="92" t="str">
        <f t="shared" si="5"/>
        <v/>
      </c>
      <c r="AT16" s="92" t="str">
        <f t="shared" si="6"/>
        <v/>
      </c>
      <c r="AU16" s="92" t="str">
        <f t="shared" si="7"/>
        <v/>
      </c>
      <c r="AV16" s="92" t="str">
        <f t="shared" si="8"/>
        <v/>
      </c>
      <c r="AW16" s="92" t="str">
        <f t="shared" si="9"/>
        <v/>
      </c>
      <c r="AX16" s="92" t="str">
        <f t="shared" si="10"/>
        <v/>
      </c>
      <c r="AY16" s="93" t="str">
        <f t="shared" si="11"/>
        <v/>
      </c>
      <c r="AZ16" s="94" t="str">
        <f t="shared" si="12"/>
        <v/>
      </c>
      <c r="BA16" s="95" t="str">
        <f t="shared" si="13"/>
        <v/>
      </c>
      <c r="BB16" s="96">
        <f>SUM('Defect P1'!CE16,'Defect P2'!CE16,RTS!CE16)</f>
        <v>0</v>
      </c>
      <c r="BC16" s="96">
        <f>SUM('Defect P1'!CF16,'Defect P2'!CF16,RTS!CF16)</f>
        <v>0</v>
      </c>
      <c r="BD16" s="96">
        <f>SUM('Defect P1'!CG16,'Defect P2'!CG16,RTS!CG16)</f>
        <v>0</v>
      </c>
      <c r="BE16" s="96">
        <f>SUM('Defect P1'!CH16,'Defect P2'!CH16,RTS!CH16)</f>
        <v>0</v>
      </c>
      <c r="BF16" s="96">
        <f>SUM('Defect P1'!CI16,'Defect P2'!CI16,RTS!CI16)</f>
        <v>0</v>
      </c>
      <c r="BG16" s="96">
        <f>SUM('Defect P1'!CJ16,'Defect P2'!CJ16,RTS!CJ16)</f>
        <v>0</v>
      </c>
      <c r="BH16" s="96">
        <f>SUM('Defect P1'!CK16,'Defect P2'!CK16,RTS!CK16)</f>
        <v>0</v>
      </c>
      <c r="BI16" s="286">
        <f>SUM('Defect P1'!CL16,'Defect P2'!CL16,RTS!CL16)</f>
        <v>0</v>
      </c>
      <c r="BJ16" s="99" t="str">
        <f t="shared" si="16"/>
        <v/>
      </c>
      <c r="BK16" s="640">
        <f>SUM('Defect P1'!CQ16,'Defect P2'!CQ16,RTS!CQ16)</f>
        <v>0</v>
      </c>
      <c r="BL16" s="97">
        <f>SUM('Defect P1'!CR16,'Defect P2'!CR16,RTS!CR16)</f>
        <v>0</v>
      </c>
      <c r="BM16" s="524">
        <f>SUM('Defect P1'!CS16,'Defect P2'!CS16,RTS!CS16)</f>
        <v>0</v>
      </c>
      <c r="BN16" s="416">
        <f>SUM('Defect P1'!CT16,'Defect P2'!CT16,RTS!CT16)</f>
        <v>0</v>
      </c>
      <c r="BO16" s="97">
        <f>SUM('Defect P1'!CU16,'Defect P2'!CU16,RTS!CU16)</f>
        <v>0</v>
      </c>
      <c r="BP16" s="97">
        <f>SUM('Defect P1'!CV16,'Defect P2'!CV16,RTS!CV16)</f>
        <v>0</v>
      </c>
      <c r="BQ16" s="97">
        <f>SUM('Defect P1'!CW16,'Defect P2'!CW16,RTS!CW16)</f>
        <v>0</v>
      </c>
      <c r="BR16" s="98">
        <f>SUM('Defect P1'!CX16,'Defect P2'!CX16,RTS!CX16)</f>
        <v>0</v>
      </c>
    </row>
    <row r="17" spans="1:70" x14ac:dyDescent="0.25">
      <c r="A17" s="81" t="s">
        <v>27</v>
      </c>
      <c r="B17" s="82" t="s">
        <v>45</v>
      </c>
      <c r="C17" s="83" t="s">
        <v>46</v>
      </c>
      <c r="D17" s="84">
        <f>SUM('Defect P1'!D17,'Defect P2'!D17,RTS!D17)</f>
        <v>163151.50180883301</v>
      </c>
      <c r="E17" s="85">
        <f>SUM('Defect P1'!E17,'Defect P2'!E17,RTS!E17)</f>
        <v>447309.72330555256</v>
      </c>
      <c r="F17" s="85">
        <f>SUM('Defect P1'!F17,'Defect P2'!F17,RTS!F17)</f>
        <v>0</v>
      </c>
      <c r="G17" s="85">
        <f>SUM('Defect P1'!G17,'Defect P2'!G17,RTS!G17)</f>
        <v>0</v>
      </c>
      <c r="H17" s="85">
        <f>SUM('Defect P1'!H17,'Defect P2'!H17,RTS!H17)</f>
        <v>0</v>
      </c>
      <c r="I17" s="85">
        <f>SUM('Defect P1'!I17,'Defect P2'!I17,RTS!I17)</f>
        <v>0</v>
      </c>
      <c r="J17" s="85">
        <f>SUM('Defect P1'!J17,'Defect P2'!J17,RTS!J17)</f>
        <v>0</v>
      </c>
      <c r="K17" s="85">
        <f>SUM('Defect P1'!K17,'Defect P2'!K17,RTS!K17)</f>
        <v>0</v>
      </c>
      <c r="L17" s="85">
        <f>SUM('Defect P1'!L17,'Defect P2'!L17,RTS!L17)</f>
        <v>0</v>
      </c>
      <c r="M17" s="85">
        <f>SUM('Defect P1'!M17,'Defect P2'!M17,RTS!M17)</f>
        <v>0</v>
      </c>
      <c r="N17" s="85">
        <v>0</v>
      </c>
      <c r="O17" s="560">
        <f>SUM('Defect P1'!O17,'Defect P2'!O17,RTS!O17)</f>
        <v>219513.21909673759</v>
      </c>
      <c r="P17" s="561">
        <f>SUM('Defect P1'!P17,'Defect P2'!P17,RTS!P17)</f>
        <v>592878.13935067644</v>
      </c>
      <c r="Q17" s="561">
        <f>SUM('Defect P1'!Q17,'Defect P2'!Q17,RTS!Q17)</f>
        <v>0</v>
      </c>
      <c r="R17" s="561">
        <f>SUM('Defect P1'!R17,'Defect P2'!R17,RTS!R17)</f>
        <v>0</v>
      </c>
      <c r="S17" s="561">
        <f>SUM('Defect P1'!S17,'Defect P2'!S17,RTS!S17)</f>
        <v>0</v>
      </c>
      <c r="T17" s="561">
        <f>SUM('Defect P1'!T17,'Defect P2'!T17,RTS!T17)</f>
        <v>0</v>
      </c>
      <c r="U17" s="561">
        <f>SUM('Defect P1'!U17,'Defect P2'!U17,RTS!U17)</f>
        <v>0</v>
      </c>
      <c r="V17" s="561">
        <f>SUM('Defect P1'!V17,'Defect P2'!V17,RTS!V17)</f>
        <v>0</v>
      </c>
      <c r="W17" s="561">
        <f>SUM('Defect P1'!W17,'Defect P2'!W17,RTS!W17)</f>
        <v>0</v>
      </c>
      <c r="X17" s="561">
        <f>SUM('Defect P1'!X17,'Defect P2'!X17,RTS!X17)</f>
        <v>0</v>
      </c>
      <c r="Y17" s="561">
        <f>SUM('Defect P1'!Y17,'Defect P2'!Y17,RTS!Y17)</f>
        <v>0</v>
      </c>
      <c r="Z17" s="86">
        <f>SUM('Defect P1'!Z17,'Defect P2'!Z17,RTS!Z17)</f>
        <v>3</v>
      </c>
      <c r="AA17" s="87">
        <f>SUM('Defect P1'!AA17,'Defect P2'!AA17,RTS!AA17)</f>
        <v>8</v>
      </c>
      <c r="AB17" s="87">
        <f>SUM('Defect P1'!AB17,'Defect P2'!AB17,RTS!AB17)</f>
        <v>0</v>
      </c>
      <c r="AC17" s="87">
        <f>SUM('Defect P1'!AC17,'Defect P2'!AC17,RTS!AC17)</f>
        <v>0</v>
      </c>
      <c r="AD17" s="87">
        <f>SUM('Defect P1'!AD17,'Defect P2'!AD17,RTS!AD17)</f>
        <v>0</v>
      </c>
      <c r="AE17" s="87">
        <f>SUM('Defect P1'!AE17,'Defect P2'!AE17,RTS!AE17)</f>
        <v>0</v>
      </c>
      <c r="AF17" s="87">
        <f>SUM('Defect P1'!AF17,'Defect P2'!AF17,RTS!AF17)</f>
        <v>0</v>
      </c>
      <c r="AG17" s="87">
        <f>SUM('Defect P1'!AG17,'Defect P2'!AG17,RTS!AG17)</f>
        <v>0</v>
      </c>
      <c r="AH17" s="87">
        <f>SUM('Defect P1'!AH17,'Defect P2'!AH17,RTS!AH17)</f>
        <v>0</v>
      </c>
      <c r="AI17" s="87">
        <f>SUM('Defect P1'!AI17,'Defect P2'!AI17,RTS!AI17)</f>
        <v>0</v>
      </c>
      <c r="AJ17" s="87">
        <f>SUM('Defect P1'!AJ17,'Defect P2'!AJ17,RTS!AJ17)</f>
        <v>0</v>
      </c>
      <c r="AK17" s="88">
        <f t="shared" si="14"/>
        <v>0</v>
      </c>
      <c r="AL17" s="89" cm="1">
        <f t="array" ref="AL17">IFERROR(IF($AM$4="N",SSUM(AF17:AH17)/3,SUM(AG17:AI17)/3),"")</f>
        <v>0</v>
      </c>
      <c r="AM17" s="90">
        <f t="shared" si="15"/>
        <v>0</v>
      </c>
      <c r="AN17" s="91">
        <f t="shared" si="0"/>
        <v>54383.833936277668</v>
      </c>
      <c r="AO17" s="92">
        <f t="shared" si="1"/>
        <v>55913.71541319407</v>
      </c>
      <c r="AP17" s="92" t="str">
        <f t="shared" si="2"/>
        <v/>
      </c>
      <c r="AQ17" s="92" t="str">
        <f t="shared" si="3"/>
        <v/>
      </c>
      <c r="AR17" s="92" t="str">
        <f t="shared" si="4"/>
        <v/>
      </c>
      <c r="AS17" s="92" t="str">
        <f t="shared" si="5"/>
        <v/>
      </c>
      <c r="AT17" s="92" t="str">
        <f t="shared" si="6"/>
        <v/>
      </c>
      <c r="AU17" s="92" t="str">
        <f t="shared" si="7"/>
        <v/>
      </c>
      <c r="AV17" s="92" t="str">
        <f t="shared" si="8"/>
        <v/>
      </c>
      <c r="AW17" s="92" t="str">
        <f t="shared" si="9"/>
        <v/>
      </c>
      <c r="AX17" s="92" t="str">
        <f t="shared" si="10"/>
        <v/>
      </c>
      <c r="AY17" s="93" t="str">
        <f t="shared" si="11"/>
        <v/>
      </c>
      <c r="AZ17" s="94" t="str">
        <f t="shared" si="12"/>
        <v/>
      </c>
      <c r="BA17" s="95" t="str">
        <f t="shared" si="13"/>
        <v/>
      </c>
      <c r="BB17" s="96">
        <f>SUM('Defect P1'!CE17,'Defect P2'!CE17,RTS!CE17)</f>
        <v>0</v>
      </c>
      <c r="BC17" s="96">
        <f>SUM('Defect P1'!CF17,'Defect P2'!CF17,RTS!CF17)</f>
        <v>0</v>
      </c>
      <c r="BD17" s="96">
        <f>SUM('Defect P1'!CG17,'Defect P2'!CG17,RTS!CG17)</f>
        <v>0</v>
      </c>
      <c r="BE17" s="96">
        <f>SUM('Defect P1'!CH17,'Defect P2'!CH17,RTS!CH17)</f>
        <v>0</v>
      </c>
      <c r="BF17" s="96">
        <f>SUM('Defect P1'!CI17,'Defect P2'!CI17,RTS!CI17)</f>
        <v>0</v>
      </c>
      <c r="BG17" s="96">
        <f>SUM('Defect P1'!CJ17,'Defect P2'!CJ17,RTS!CJ17)</f>
        <v>0</v>
      </c>
      <c r="BH17" s="96">
        <f>SUM('Defect P1'!CK17,'Defect P2'!CK17,RTS!CK17)</f>
        <v>0</v>
      </c>
      <c r="BI17" s="286">
        <f>SUM('Defect P1'!CL17,'Defect P2'!CL17,RTS!CL17)</f>
        <v>0</v>
      </c>
      <c r="BJ17" s="99" t="str">
        <f t="shared" si="16"/>
        <v/>
      </c>
      <c r="BK17" s="640">
        <f>SUM('Defect P1'!CQ17,'Defect P2'!CQ17,RTS!CQ17)</f>
        <v>0</v>
      </c>
      <c r="BL17" s="97">
        <f>SUM('Defect P1'!CR17,'Defect P2'!CR17,RTS!CR17)</f>
        <v>0</v>
      </c>
      <c r="BM17" s="524">
        <f>SUM('Defect P1'!CS17,'Defect P2'!CS17,RTS!CS17)</f>
        <v>0</v>
      </c>
      <c r="BN17" s="416">
        <f>SUM('Defect P1'!CT17,'Defect P2'!CT17,RTS!CT17)</f>
        <v>0</v>
      </c>
      <c r="BO17" s="97">
        <f>SUM('Defect P1'!CU17,'Defect P2'!CU17,RTS!CU17)</f>
        <v>0</v>
      </c>
      <c r="BP17" s="97">
        <f>SUM('Defect P1'!CV17,'Defect P2'!CV17,RTS!CV17)</f>
        <v>0</v>
      </c>
      <c r="BQ17" s="97">
        <f>SUM('Defect P1'!CW17,'Defect P2'!CW17,RTS!CW17)</f>
        <v>0</v>
      </c>
      <c r="BR17" s="98">
        <f>SUM('Defect P1'!CX17,'Defect P2'!CX17,RTS!CX17)</f>
        <v>0</v>
      </c>
    </row>
    <row r="18" spans="1:70" x14ac:dyDescent="0.25">
      <c r="A18" s="81" t="s">
        <v>27</v>
      </c>
      <c r="B18" s="82" t="s">
        <v>47</v>
      </c>
      <c r="C18" s="83" t="s">
        <v>48</v>
      </c>
      <c r="D18" s="84">
        <f>SUM('Defect P1'!D18,'Defect P2'!D18,RTS!D18)</f>
        <v>0</v>
      </c>
      <c r="E18" s="85">
        <f>SUM('Defect P1'!E18,'Defect P2'!E18,RTS!E18)</f>
        <v>0</v>
      </c>
      <c r="F18" s="85">
        <f>SUM('Defect P1'!F18,'Defect P2'!F18,RTS!F18)</f>
        <v>0</v>
      </c>
      <c r="G18" s="85">
        <f>SUM('Defect P1'!G18,'Defect P2'!G18,RTS!G18)</f>
        <v>0</v>
      </c>
      <c r="H18" s="85">
        <f>SUM('Defect P1'!H18,'Defect P2'!H18,RTS!H18)</f>
        <v>0</v>
      </c>
      <c r="I18" s="85">
        <f>SUM('Defect P1'!I18,'Defect P2'!I18,RTS!I18)</f>
        <v>0</v>
      </c>
      <c r="J18" s="85">
        <f>SUM('Defect P1'!J18,'Defect P2'!J18,RTS!J18)</f>
        <v>0</v>
      </c>
      <c r="K18" s="85">
        <f>SUM('Defect P1'!K18,'Defect P2'!K18,RTS!K18)</f>
        <v>0</v>
      </c>
      <c r="L18" s="85">
        <f>SUM('Defect P1'!L18,'Defect P2'!L18,RTS!L18)</f>
        <v>0</v>
      </c>
      <c r="M18" s="85">
        <f>SUM('Defect P1'!M18,'Defect P2'!M18,RTS!M18)</f>
        <v>0</v>
      </c>
      <c r="N18" s="85">
        <v>0</v>
      </c>
      <c r="O18" s="560">
        <f>SUM('Defect P1'!O18,'Defect P2'!O18,RTS!O18)</f>
        <v>0</v>
      </c>
      <c r="P18" s="561">
        <f>SUM('Defect P1'!P18,'Defect P2'!P18,RTS!P18)</f>
        <v>0</v>
      </c>
      <c r="Q18" s="561">
        <f>SUM('Defect P1'!Q18,'Defect P2'!Q18,RTS!Q18)</f>
        <v>0</v>
      </c>
      <c r="R18" s="561">
        <f>SUM('Defect P1'!R18,'Defect P2'!R18,RTS!R18)</f>
        <v>0</v>
      </c>
      <c r="S18" s="561">
        <f>SUM('Defect P1'!S18,'Defect P2'!S18,RTS!S18)</f>
        <v>0</v>
      </c>
      <c r="T18" s="561">
        <f>SUM('Defect P1'!T18,'Defect P2'!T18,RTS!T18)</f>
        <v>0</v>
      </c>
      <c r="U18" s="561">
        <f>SUM('Defect P1'!U18,'Defect P2'!U18,RTS!U18)</f>
        <v>0</v>
      </c>
      <c r="V18" s="561">
        <f>SUM('Defect P1'!V18,'Defect P2'!V18,RTS!V18)</f>
        <v>0</v>
      </c>
      <c r="W18" s="561">
        <f>SUM('Defect P1'!W18,'Defect P2'!W18,RTS!W18)</f>
        <v>0</v>
      </c>
      <c r="X18" s="561">
        <f>SUM('Defect P1'!X18,'Defect P2'!X18,RTS!X18)</f>
        <v>0</v>
      </c>
      <c r="Y18" s="561">
        <f>SUM('Defect P1'!Y18,'Defect P2'!Y18,RTS!Y18)</f>
        <v>0</v>
      </c>
      <c r="Z18" s="86">
        <f>SUM('Defect P1'!Z18,'Defect P2'!Z18,RTS!Z18)</f>
        <v>0</v>
      </c>
      <c r="AA18" s="87">
        <f>SUM('Defect P1'!AA18,'Defect P2'!AA18,RTS!AA18)</f>
        <v>0</v>
      </c>
      <c r="AB18" s="87">
        <f>SUM('Defect P1'!AB18,'Defect P2'!AB18,RTS!AB18)</f>
        <v>0</v>
      </c>
      <c r="AC18" s="87">
        <f>SUM('Defect P1'!AC18,'Defect P2'!AC18,RTS!AC18)</f>
        <v>0</v>
      </c>
      <c r="AD18" s="87">
        <f>SUM('Defect P1'!AD18,'Defect P2'!AD18,RTS!AD18)</f>
        <v>0</v>
      </c>
      <c r="AE18" s="87">
        <f>SUM('Defect P1'!AE18,'Defect P2'!AE18,RTS!AE18)</f>
        <v>0</v>
      </c>
      <c r="AF18" s="87">
        <f>SUM('Defect P1'!AF18,'Defect P2'!AF18,RTS!AF18)</f>
        <v>0</v>
      </c>
      <c r="AG18" s="87">
        <f>SUM('Defect P1'!AG18,'Defect P2'!AG18,RTS!AG18)</f>
        <v>0</v>
      </c>
      <c r="AH18" s="87">
        <f>SUM('Defect P1'!AH18,'Defect P2'!AH18,RTS!AH18)</f>
        <v>0</v>
      </c>
      <c r="AI18" s="87">
        <f>SUM('Defect P1'!AI18,'Defect P2'!AI18,RTS!AI18)</f>
        <v>0</v>
      </c>
      <c r="AJ18" s="87">
        <f>SUM('Defect P1'!AJ18,'Defect P2'!AJ18,RTS!AJ18)</f>
        <v>0</v>
      </c>
      <c r="AK18" s="88">
        <f t="shared" si="14"/>
        <v>0</v>
      </c>
      <c r="AL18" s="89" cm="1">
        <f t="array" ref="AL18">IFERROR(IF($AM$4="N",SSUM(AF18:AH18)/3,SUM(AG18:AI18)/3),"")</f>
        <v>0</v>
      </c>
      <c r="AM18" s="90">
        <f t="shared" si="15"/>
        <v>0</v>
      </c>
      <c r="AN18" s="91" t="str">
        <f t="shared" si="0"/>
        <v/>
      </c>
      <c r="AO18" s="92" t="str">
        <f t="shared" si="1"/>
        <v/>
      </c>
      <c r="AP18" s="92" t="str">
        <f t="shared" si="2"/>
        <v/>
      </c>
      <c r="AQ18" s="92" t="str">
        <f t="shared" si="3"/>
        <v/>
      </c>
      <c r="AR18" s="92" t="str">
        <f t="shared" si="4"/>
        <v/>
      </c>
      <c r="AS18" s="92" t="str">
        <f t="shared" si="5"/>
        <v/>
      </c>
      <c r="AT18" s="92" t="str">
        <f t="shared" si="6"/>
        <v/>
      </c>
      <c r="AU18" s="92" t="str">
        <f t="shared" si="7"/>
        <v/>
      </c>
      <c r="AV18" s="92" t="str">
        <f t="shared" si="8"/>
        <v/>
      </c>
      <c r="AW18" s="92" t="str">
        <f t="shared" si="9"/>
        <v/>
      </c>
      <c r="AX18" s="92" t="str">
        <f t="shared" si="10"/>
        <v/>
      </c>
      <c r="AY18" s="93" t="str">
        <f t="shared" si="11"/>
        <v/>
      </c>
      <c r="AZ18" s="94" t="str">
        <f t="shared" si="12"/>
        <v/>
      </c>
      <c r="BA18" s="95" t="str">
        <f t="shared" si="13"/>
        <v/>
      </c>
      <c r="BB18" s="96">
        <f>SUM('Defect P1'!CE18,'Defect P2'!CE18,RTS!CE18)</f>
        <v>0</v>
      </c>
      <c r="BC18" s="96">
        <f>SUM('Defect P1'!CF18,'Defect P2'!CF18,RTS!CF18)</f>
        <v>0</v>
      </c>
      <c r="BD18" s="96">
        <f>SUM('Defect P1'!CG18,'Defect P2'!CG18,RTS!CG18)</f>
        <v>0</v>
      </c>
      <c r="BE18" s="96">
        <f>SUM('Defect P1'!CH18,'Defect P2'!CH18,RTS!CH18)</f>
        <v>0</v>
      </c>
      <c r="BF18" s="96">
        <f>SUM('Defect P1'!CI18,'Defect P2'!CI18,RTS!CI18)</f>
        <v>0</v>
      </c>
      <c r="BG18" s="96">
        <f>SUM('Defect P1'!CJ18,'Defect P2'!CJ18,RTS!CJ18)</f>
        <v>0</v>
      </c>
      <c r="BH18" s="96">
        <f>SUM('Defect P1'!CK18,'Defect P2'!CK18,RTS!CK18)</f>
        <v>0</v>
      </c>
      <c r="BI18" s="286">
        <f>SUM('Defect P1'!CL18,'Defect P2'!CL18,RTS!CL18)</f>
        <v>0</v>
      </c>
      <c r="BJ18" s="99" t="str">
        <f t="shared" si="16"/>
        <v/>
      </c>
      <c r="BK18" s="640">
        <f>SUM('Defect P1'!CQ18,'Defect P2'!CQ18,RTS!CQ18)</f>
        <v>0</v>
      </c>
      <c r="BL18" s="97">
        <f>SUM('Defect P1'!CR18,'Defect P2'!CR18,RTS!CR18)</f>
        <v>0</v>
      </c>
      <c r="BM18" s="524">
        <f>SUM('Defect P1'!CS18,'Defect P2'!CS18,RTS!CS18)</f>
        <v>0</v>
      </c>
      <c r="BN18" s="416">
        <f>SUM('Defect P1'!CT18,'Defect P2'!CT18,RTS!CT18)</f>
        <v>0</v>
      </c>
      <c r="BO18" s="97">
        <f>SUM('Defect P1'!CU18,'Defect P2'!CU18,RTS!CU18)</f>
        <v>0</v>
      </c>
      <c r="BP18" s="97">
        <f>SUM('Defect P1'!CV18,'Defect P2'!CV18,RTS!CV18)</f>
        <v>0</v>
      </c>
      <c r="BQ18" s="97">
        <f>SUM('Defect P1'!CW18,'Defect P2'!CW18,RTS!CW18)</f>
        <v>0</v>
      </c>
      <c r="BR18" s="98">
        <f>SUM('Defect P1'!CX18,'Defect P2'!CX18,RTS!CX18)</f>
        <v>0</v>
      </c>
    </row>
    <row r="19" spans="1:70" x14ac:dyDescent="0.25">
      <c r="A19" s="81" t="s">
        <v>27</v>
      </c>
      <c r="B19" s="82" t="s">
        <v>49</v>
      </c>
      <c r="C19" s="83" t="s">
        <v>50</v>
      </c>
      <c r="D19" s="84">
        <f>SUM('Defect P1'!D19,'Defect P2'!D19,RTS!D19)</f>
        <v>0</v>
      </c>
      <c r="E19" s="85">
        <f>SUM('Defect P1'!E19,'Defect P2'!E19,RTS!E19)</f>
        <v>0</v>
      </c>
      <c r="F19" s="85">
        <f>SUM('Defect P1'!F19,'Defect P2'!F19,RTS!F19)</f>
        <v>0</v>
      </c>
      <c r="G19" s="85">
        <f>SUM('Defect P1'!G19,'Defect P2'!G19,RTS!G19)</f>
        <v>0</v>
      </c>
      <c r="H19" s="85">
        <f>SUM('Defect P1'!H19,'Defect P2'!H19,RTS!H19)</f>
        <v>0</v>
      </c>
      <c r="I19" s="85">
        <f>SUM('Defect P1'!I19,'Defect P2'!I19,RTS!I19)</f>
        <v>0</v>
      </c>
      <c r="J19" s="85">
        <f>SUM('Defect P1'!J19,'Defect P2'!J19,RTS!J19)</f>
        <v>0</v>
      </c>
      <c r="K19" s="85">
        <f>SUM('Defect P1'!K19,'Defect P2'!K19,RTS!K19)</f>
        <v>0</v>
      </c>
      <c r="L19" s="85">
        <f>SUM('Defect P1'!L19,'Defect P2'!L19,RTS!L19)</f>
        <v>0</v>
      </c>
      <c r="M19" s="85">
        <f>SUM('Defect P1'!M19,'Defect P2'!M19,RTS!M19)</f>
        <v>0</v>
      </c>
      <c r="N19" s="85">
        <v>0</v>
      </c>
      <c r="O19" s="560">
        <f>SUM('Defect P1'!O19,'Defect P2'!O19,RTS!O19)</f>
        <v>0</v>
      </c>
      <c r="P19" s="561">
        <f>SUM('Defect P1'!P19,'Defect P2'!P19,RTS!P19)</f>
        <v>0</v>
      </c>
      <c r="Q19" s="561">
        <f>SUM('Defect P1'!Q19,'Defect P2'!Q19,RTS!Q19)</f>
        <v>0</v>
      </c>
      <c r="R19" s="561">
        <f>SUM('Defect P1'!R19,'Defect P2'!R19,RTS!R19)</f>
        <v>0</v>
      </c>
      <c r="S19" s="561">
        <f>SUM('Defect P1'!S19,'Defect P2'!S19,RTS!S19)</f>
        <v>0</v>
      </c>
      <c r="T19" s="561">
        <f>SUM('Defect P1'!T19,'Defect P2'!T19,RTS!T19)</f>
        <v>0</v>
      </c>
      <c r="U19" s="561">
        <f>SUM('Defect P1'!U19,'Defect P2'!U19,RTS!U19)</f>
        <v>0</v>
      </c>
      <c r="V19" s="561">
        <f>SUM('Defect P1'!V19,'Defect P2'!V19,RTS!V19)</f>
        <v>0</v>
      </c>
      <c r="W19" s="561">
        <f>SUM('Defect P1'!W19,'Defect P2'!W19,RTS!W19)</f>
        <v>0</v>
      </c>
      <c r="X19" s="561">
        <f>SUM('Defect P1'!X19,'Defect P2'!X19,RTS!X19)</f>
        <v>0</v>
      </c>
      <c r="Y19" s="561">
        <f>SUM('Defect P1'!Y19,'Defect P2'!Y19,RTS!Y19)</f>
        <v>0</v>
      </c>
      <c r="Z19" s="86">
        <f>SUM('Defect P1'!Z19,'Defect P2'!Z19,RTS!Z19)</f>
        <v>0</v>
      </c>
      <c r="AA19" s="87">
        <f>SUM('Defect P1'!AA19,'Defect P2'!AA19,RTS!AA19)</f>
        <v>0</v>
      </c>
      <c r="AB19" s="87">
        <f>SUM('Defect P1'!AB19,'Defect P2'!AB19,RTS!AB19)</f>
        <v>0</v>
      </c>
      <c r="AC19" s="87">
        <f>SUM('Defect P1'!AC19,'Defect P2'!AC19,RTS!AC19)</f>
        <v>0</v>
      </c>
      <c r="AD19" s="87">
        <f>SUM('Defect P1'!AD19,'Defect P2'!AD19,RTS!AD19)</f>
        <v>0</v>
      </c>
      <c r="AE19" s="87">
        <f>SUM('Defect P1'!AE19,'Defect P2'!AE19,RTS!AE19)</f>
        <v>0</v>
      </c>
      <c r="AF19" s="87">
        <f>SUM('Defect P1'!AF19,'Defect P2'!AF19,RTS!AF19)</f>
        <v>0</v>
      </c>
      <c r="AG19" s="87">
        <f>SUM('Defect P1'!AG19,'Defect P2'!AG19,RTS!AG19)</f>
        <v>0</v>
      </c>
      <c r="AH19" s="87">
        <f>SUM('Defect P1'!AH19,'Defect P2'!AH19,RTS!AH19)</f>
        <v>0</v>
      </c>
      <c r="AI19" s="87">
        <f>SUM('Defect P1'!AI19,'Defect P2'!AI19,RTS!AI19)</f>
        <v>0</v>
      </c>
      <c r="AJ19" s="87">
        <f>SUM('Defect P1'!AJ19,'Defect P2'!AJ19,RTS!AJ19)</f>
        <v>0</v>
      </c>
      <c r="AK19" s="88">
        <f t="shared" si="14"/>
        <v>0</v>
      </c>
      <c r="AL19" s="89" cm="1">
        <f t="array" ref="AL19">IFERROR(IF($AM$4="N",SSUM(AF19:AH19)/3,SUM(AG19:AI19)/3),"")</f>
        <v>0</v>
      </c>
      <c r="AM19" s="90">
        <f t="shared" si="15"/>
        <v>0</v>
      </c>
      <c r="AN19" s="91" t="str">
        <f t="shared" si="0"/>
        <v/>
      </c>
      <c r="AO19" s="92" t="str">
        <f t="shared" si="1"/>
        <v/>
      </c>
      <c r="AP19" s="92" t="str">
        <f t="shared" si="2"/>
        <v/>
      </c>
      <c r="AQ19" s="92" t="str">
        <f t="shared" si="3"/>
        <v/>
      </c>
      <c r="AR19" s="92" t="str">
        <f t="shared" si="4"/>
        <v/>
      </c>
      <c r="AS19" s="92" t="str">
        <f t="shared" si="5"/>
        <v/>
      </c>
      <c r="AT19" s="92" t="str">
        <f t="shared" si="6"/>
        <v/>
      </c>
      <c r="AU19" s="92" t="str">
        <f t="shared" si="7"/>
        <v/>
      </c>
      <c r="AV19" s="92" t="str">
        <f t="shared" si="8"/>
        <v/>
      </c>
      <c r="AW19" s="92" t="str">
        <f t="shared" si="9"/>
        <v/>
      </c>
      <c r="AX19" s="92" t="str">
        <f t="shared" si="10"/>
        <v/>
      </c>
      <c r="AY19" s="93" t="str">
        <f t="shared" si="11"/>
        <v/>
      </c>
      <c r="AZ19" s="94" t="str">
        <f t="shared" si="12"/>
        <v/>
      </c>
      <c r="BA19" s="95" t="str">
        <f t="shared" si="13"/>
        <v/>
      </c>
      <c r="BB19" s="96">
        <f>SUM('Defect P1'!CE19,'Defect P2'!CE19,RTS!CE19)</f>
        <v>0</v>
      </c>
      <c r="BC19" s="96">
        <f>SUM('Defect P1'!CF19,'Defect P2'!CF19,RTS!CF19)</f>
        <v>0</v>
      </c>
      <c r="BD19" s="96">
        <f>SUM('Defect P1'!CG19,'Defect P2'!CG19,RTS!CG19)</f>
        <v>0</v>
      </c>
      <c r="BE19" s="96">
        <f>SUM('Defect P1'!CH19,'Defect P2'!CH19,RTS!CH19)</f>
        <v>0</v>
      </c>
      <c r="BF19" s="96">
        <f>SUM('Defect P1'!CI19,'Defect P2'!CI19,RTS!CI19)</f>
        <v>0</v>
      </c>
      <c r="BG19" s="96">
        <f>SUM('Defect P1'!CJ19,'Defect P2'!CJ19,RTS!CJ19)</f>
        <v>0</v>
      </c>
      <c r="BH19" s="96">
        <f>SUM('Defect P1'!CK19,'Defect P2'!CK19,RTS!CK19)</f>
        <v>0</v>
      </c>
      <c r="BI19" s="286">
        <f>SUM('Defect P1'!CL19,'Defect P2'!CL19,RTS!CL19)</f>
        <v>0</v>
      </c>
      <c r="BJ19" s="99" t="str">
        <f t="shared" si="16"/>
        <v/>
      </c>
      <c r="BK19" s="640">
        <f>SUM('Defect P1'!CQ19,'Defect P2'!CQ19,RTS!CQ19)</f>
        <v>0</v>
      </c>
      <c r="BL19" s="97">
        <f>SUM('Defect P1'!CR19,'Defect P2'!CR19,RTS!CR19)</f>
        <v>0</v>
      </c>
      <c r="BM19" s="524">
        <f>SUM('Defect P1'!CS19,'Defect P2'!CS19,RTS!CS19)</f>
        <v>0</v>
      </c>
      <c r="BN19" s="416">
        <f>SUM('Defect P1'!CT19,'Defect P2'!CT19,RTS!CT19)</f>
        <v>0</v>
      </c>
      <c r="BO19" s="97">
        <f>SUM('Defect P1'!CU19,'Defect P2'!CU19,RTS!CU19)</f>
        <v>0</v>
      </c>
      <c r="BP19" s="97">
        <f>SUM('Defect P1'!CV19,'Defect P2'!CV19,RTS!CV19)</f>
        <v>0</v>
      </c>
      <c r="BQ19" s="97">
        <f>SUM('Defect P1'!CW19,'Defect P2'!CW19,RTS!CW19)</f>
        <v>0</v>
      </c>
      <c r="BR19" s="98">
        <f>SUM('Defect P1'!CX19,'Defect P2'!CX19,RTS!CX19)</f>
        <v>0</v>
      </c>
    </row>
    <row r="20" spans="1:70" x14ac:dyDescent="0.25">
      <c r="A20" s="81" t="s">
        <v>27</v>
      </c>
      <c r="B20" s="82" t="s">
        <v>51</v>
      </c>
      <c r="C20" s="83" t="s">
        <v>301</v>
      </c>
      <c r="D20" s="84">
        <f>SUM('Defect P1'!D20,'Defect P2'!D20,RTS!D20)</f>
        <v>0</v>
      </c>
      <c r="E20" s="85">
        <f>SUM('Defect P1'!E20,'Defect P2'!E20,RTS!E20)</f>
        <v>0</v>
      </c>
      <c r="F20" s="85">
        <f>SUM('Defect P1'!F20,'Defect P2'!F20,RTS!F20)</f>
        <v>0</v>
      </c>
      <c r="G20" s="85">
        <f>SUM('Defect P1'!G20,'Defect P2'!G20,RTS!G20)</f>
        <v>0</v>
      </c>
      <c r="H20" s="85">
        <f>SUM('Defect P1'!H20,'Defect P2'!H20,RTS!H20)</f>
        <v>0</v>
      </c>
      <c r="I20" s="85">
        <f>SUM('Defect P1'!I20,'Defect P2'!I20,RTS!I20)</f>
        <v>0</v>
      </c>
      <c r="J20" s="85">
        <f>SUM('Defect P1'!J20,'Defect P2'!J20,RTS!J20)</f>
        <v>0</v>
      </c>
      <c r="K20" s="85">
        <f>SUM('Defect P1'!K20,'Defect P2'!K20,RTS!K20)</f>
        <v>0</v>
      </c>
      <c r="L20" s="85">
        <f>SUM('Defect P1'!L20,'Defect P2'!L20,RTS!L20)</f>
        <v>0</v>
      </c>
      <c r="M20" s="85">
        <f>SUM('Defect P1'!M20,'Defect P2'!M20,RTS!M20)</f>
        <v>0</v>
      </c>
      <c r="N20" s="85">
        <v>0</v>
      </c>
      <c r="O20" s="560">
        <f>SUM('Defect P1'!O20,'Defect P2'!O20,RTS!O20)</f>
        <v>0</v>
      </c>
      <c r="P20" s="561">
        <f>SUM('Defect P1'!P20,'Defect P2'!P20,RTS!P20)</f>
        <v>0</v>
      </c>
      <c r="Q20" s="561">
        <f>SUM('Defect P1'!Q20,'Defect P2'!Q20,RTS!Q20)</f>
        <v>0</v>
      </c>
      <c r="R20" s="561">
        <f>SUM('Defect P1'!R20,'Defect P2'!R20,RTS!R20)</f>
        <v>0</v>
      </c>
      <c r="S20" s="561">
        <f>SUM('Defect P1'!S20,'Defect P2'!S20,RTS!S20)</f>
        <v>0</v>
      </c>
      <c r="T20" s="561">
        <f>SUM('Defect P1'!T20,'Defect P2'!T20,RTS!T20)</f>
        <v>0</v>
      </c>
      <c r="U20" s="561">
        <f>SUM('Defect P1'!U20,'Defect P2'!U20,RTS!U20)</f>
        <v>0</v>
      </c>
      <c r="V20" s="561">
        <f>SUM('Defect P1'!V20,'Defect P2'!V20,RTS!V20)</f>
        <v>0</v>
      </c>
      <c r="W20" s="561">
        <f>SUM('Defect P1'!W20,'Defect P2'!W20,RTS!W20)</f>
        <v>0</v>
      </c>
      <c r="X20" s="561">
        <f>SUM('Defect P1'!X20,'Defect P2'!X20,RTS!X20)</f>
        <v>0</v>
      </c>
      <c r="Y20" s="561">
        <f>SUM('Defect P1'!Y20,'Defect P2'!Y20,RTS!Y20)</f>
        <v>0</v>
      </c>
      <c r="Z20" s="86">
        <f>SUM('Defect P1'!Z20,'Defect P2'!Z20,RTS!Z20)</f>
        <v>0</v>
      </c>
      <c r="AA20" s="87">
        <f>SUM('Defect P1'!AA20,'Defect P2'!AA20,RTS!AA20)</f>
        <v>0</v>
      </c>
      <c r="AB20" s="87">
        <f>SUM('Defect P1'!AB20,'Defect P2'!AB20,RTS!AB20)</f>
        <v>0</v>
      </c>
      <c r="AC20" s="87">
        <f>SUM('Defect P1'!AC20,'Defect P2'!AC20,RTS!AC20)</f>
        <v>0</v>
      </c>
      <c r="AD20" s="87">
        <f>SUM('Defect P1'!AD20,'Defect P2'!AD20,RTS!AD20)</f>
        <v>0</v>
      </c>
      <c r="AE20" s="87">
        <f>SUM('Defect P1'!AE20,'Defect P2'!AE20,RTS!AE20)</f>
        <v>0</v>
      </c>
      <c r="AF20" s="87">
        <f>SUM('Defect P1'!AF20,'Defect P2'!AF20,RTS!AF20)</f>
        <v>0</v>
      </c>
      <c r="AG20" s="87">
        <f>SUM('Defect P1'!AG20,'Defect P2'!AG20,RTS!AG20)</f>
        <v>0</v>
      </c>
      <c r="AH20" s="87">
        <f>SUM('Defect P1'!AH20,'Defect P2'!AH20,RTS!AH20)</f>
        <v>0</v>
      </c>
      <c r="AI20" s="87">
        <f>SUM('Defect P1'!AI20,'Defect P2'!AI20,RTS!AI20)</f>
        <v>0</v>
      </c>
      <c r="AJ20" s="87">
        <f>SUM('Defect P1'!AJ20,'Defect P2'!AJ20,RTS!AJ20)</f>
        <v>0</v>
      </c>
      <c r="AK20" s="88">
        <f t="shared" si="14"/>
        <v>0</v>
      </c>
      <c r="AL20" s="89" cm="1">
        <f t="array" ref="AL20">IFERROR(IF($AM$4="N",SSUM(AF20:AH20)/3,SUM(AG20:AI20)/3),"")</f>
        <v>0</v>
      </c>
      <c r="AM20" s="90">
        <f t="shared" si="15"/>
        <v>0</v>
      </c>
      <c r="AN20" s="91" t="str">
        <f t="shared" si="0"/>
        <v/>
      </c>
      <c r="AO20" s="92" t="str">
        <f t="shared" si="1"/>
        <v/>
      </c>
      <c r="AP20" s="92" t="str">
        <f t="shared" si="2"/>
        <v/>
      </c>
      <c r="AQ20" s="92" t="str">
        <f t="shared" si="3"/>
        <v/>
      </c>
      <c r="AR20" s="92" t="str">
        <f t="shared" si="4"/>
        <v/>
      </c>
      <c r="AS20" s="92" t="str">
        <f t="shared" si="5"/>
        <v/>
      </c>
      <c r="AT20" s="92" t="str">
        <f t="shared" si="6"/>
        <v/>
      </c>
      <c r="AU20" s="92" t="str">
        <f t="shared" si="7"/>
        <v/>
      </c>
      <c r="AV20" s="92" t="str">
        <f t="shared" si="8"/>
        <v/>
      </c>
      <c r="AW20" s="92" t="str">
        <f t="shared" si="9"/>
        <v/>
      </c>
      <c r="AX20" s="92" t="str">
        <f t="shared" si="10"/>
        <v/>
      </c>
      <c r="AY20" s="93" t="str">
        <f t="shared" si="11"/>
        <v/>
      </c>
      <c r="AZ20" s="94" t="str">
        <f t="shared" si="12"/>
        <v/>
      </c>
      <c r="BA20" s="95" t="str">
        <f t="shared" si="13"/>
        <v/>
      </c>
      <c r="BB20" s="96">
        <f>SUM('Defect P1'!CE20,'Defect P2'!CE20,RTS!CE20)</f>
        <v>0</v>
      </c>
      <c r="BC20" s="96">
        <f>SUM('Defect P1'!CF20,'Defect P2'!CF20,RTS!CF20)</f>
        <v>0</v>
      </c>
      <c r="BD20" s="96">
        <f>SUM('Defect P1'!CG20,'Defect P2'!CG20,RTS!CG20)</f>
        <v>0</v>
      </c>
      <c r="BE20" s="96">
        <f>SUM('Defect P1'!CH20,'Defect P2'!CH20,RTS!CH20)</f>
        <v>0</v>
      </c>
      <c r="BF20" s="96">
        <f>SUM('Defect P1'!CI20,'Defect P2'!CI20,RTS!CI20)</f>
        <v>0</v>
      </c>
      <c r="BG20" s="96">
        <f>SUM('Defect P1'!CJ20,'Defect P2'!CJ20,RTS!CJ20)</f>
        <v>0</v>
      </c>
      <c r="BH20" s="96">
        <f>SUM('Defect P1'!CK20,'Defect P2'!CK20,RTS!CK20)</f>
        <v>0</v>
      </c>
      <c r="BI20" s="286">
        <f>SUM('Defect P1'!CL20,'Defect P2'!CL20,RTS!CL20)</f>
        <v>0</v>
      </c>
      <c r="BJ20" s="99" t="str">
        <f t="shared" si="16"/>
        <v/>
      </c>
      <c r="BK20" s="640">
        <f>SUM('Defect P1'!CQ20,'Defect P2'!CQ20,RTS!CQ20)</f>
        <v>0</v>
      </c>
      <c r="BL20" s="97">
        <f>SUM('Defect P1'!CR20,'Defect P2'!CR20,RTS!CR20)</f>
        <v>0</v>
      </c>
      <c r="BM20" s="524">
        <f>SUM('Defect P1'!CS20,'Defect P2'!CS20,RTS!CS20)</f>
        <v>0</v>
      </c>
      <c r="BN20" s="416">
        <f>SUM('Defect P1'!CT20,'Defect P2'!CT20,RTS!CT20)</f>
        <v>0</v>
      </c>
      <c r="BO20" s="97">
        <f>SUM('Defect P1'!CU20,'Defect P2'!CU20,RTS!CU20)</f>
        <v>0</v>
      </c>
      <c r="BP20" s="97">
        <f>SUM('Defect P1'!CV20,'Defect P2'!CV20,RTS!CV20)</f>
        <v>0</v>
      </c>
      <c r="BQ20" s="97">
        <f>SUM('Defect P1'!CW20,'Defect P2'!CW20,RTS!CW20)</f>
        <v>0</v>
      </c>
      <c r="BR20" s="98">
        <f>SUM('Defect P1'!CX20,'Defect P2'!CX20,RTS!CX20)</f>
        <v>0</v>
      </c>
    </row>
    <row r="21" spans="1:70" x14ac:dyDescent="0.25">
      <c r="A21" s="81" t="s">
        <v>27</v>
      </c>
      <c r="B21" s="82" t="s">
        <v>53</v>
      </c>
      <c r="C21" s="83" t="s">
        <v>54</v>
      </c>
      <c r="D21" s="84">
        <f>SUM('Defect P1'!D21,'Defect P2'!D21,RTS!D21)</f>
        <v>0</v>
      </c>
      <c r="E21" s="85">
        <f>SUM('Defect P1'!E21,'Defect P2'!E21,RTS!E21)</f>
        <v>0</v>
      </c>
      <c r="F21" s="85">
        <f>SUM('Defect P1'!F21,'Defect P2'!F21,RTS!F21)</f>
        <v>0</v>
      </c>
      <c r="G21" s="85">
        <f>SUM('Defect P1'!G21,'Defect P2'!G21,RTS!G21)</f>
        <v>0</v>
      </c>
      <c r="H21" s="85">
        <f>SUM('Defect P1'!H21,'Defect P2'!H21,RTS!H21)</f>
        <v>0</v>
      </c>
      <c r="I21" s="85">
        <f>SUM('Defect P1'!I21,'Defect P2'!I21,RTS!I21)</f>
        <v>0</v>
      </c>
      <c r="J21" s="85">
        <f>SUM('Defect P1'!J21,'Defect P2'!J21,RTS!J21)</f>
        <v>0</v>
      </c>
      <c r="K21" s="85">
        <f>SUM('Defect P1'!K21,'Defect P2'!K21,RTS!K21)</f>
        <v>0</v>
      </c>
      <c r="L21" s="85">
        <f>SUM('Defect P1'!L21,'Defect P2'!L21,RTS!L21)</f>
        <v>0</v>
      </c>
      <c r="M21" s="85">
        <f>SUM('Defect P1'!M21,'Defect P2'!M21,RTS!M21)</f>
        <v>0</v>
      </c>
      <c r="N21" s="85">
        <v>0</v>
      </c>
      <c r="O21" s="560">
        <f>SUM('Defect P1'!O21,'Defect P2'!O21,RTS!O21)</f>
        <v>0</v>
      </c>
      <c r="P21" s="561">
        <f>SUM('Defect P1'!P21,'Defect P2'!P21,RTS!P21)</f>
        <v>0</v>
      </c>
      <c r="Q21" s="561">
        <f>SUM('Defect P1'!Q21,'Defect P2'!Q21,RTS!Q21)</f>
        <v>0</v>
      </c>
      <c r="R21" s="561">
        <f>SUM('Defect P1'!R21,'Defect P2'!R21,RTS!R21)</f>
        <v>0</v>
      </c>
      <c r="S21" s="561">
        <f>SUM('Defect P1'!S21,'Defect P2'!S21,RTS!S21)</f>
        <v>0</v>
      </c>
      <c r="T21" s="561">
        <f>SUM('Defect P1'!T21,'Defect P2'!T21,RTS!T21)</f>
        <v>0</v>
      </c>
      <c r="U21" s="561">
        <f>SUM('Defect P1'!U21,'Defect P2'!U21,RTS!U21)</f>
        <v>0</v>
      </c>
      <c r="V21" s="561">
        <f>SUM('Defect P1'!V21,'Defect P2'!V21,RTS!V21)</f>
        <v>0</v>
      </c>
      <c r="W21" s="561">
        <f>SUM('Defect P1'!W21,'Defect P2'!W21,RTS!W21)</f>
        <v>0</v>
      </c>
      <c r="X21" s="561">
        <f>SUM('Defect P1'!X21,'Defect P2'!X21,RTS!X21)</f>
        <v>0</v>
      </c>
      <c r="Y21" s="561">
        <f>SUM('Defect P1'!Y21,'Defect P2'!Y21,RTS!Y21)</f>
        <v>0</v>
      </c>
      <c r="Z21" s="86">
        <f>SUM('Defect P1'!Z21,'Defect P2'!Z21,RTS!Z21)</f>
        <v>0</v>
      </c>
      <c r="AA21" s="87">
        <f>SUM('Defect P1'!AA21,'Defect P2'!AA21,RTS!AA21)</f>
        <v>0</v>
      </c>
      <c r="AB21" s="87">
        <f>SUM('Defect P1'!AB21,'Defect P2'!AB21,RTS!AB21)</f>
        <v>0</v>
      </c>
      <c r="AC21" s="87">
        <f>SUM('Defect P1'!AC21,'Defect P2'!AC21,RTS!AC21)</f>
        <v>0</v>
      </c>
      <c r="AD21" s="87">
        <f>SUM('Defect P1'!AD21,'Defect P2'!AD21,RTS!AD21)</f>
        <v>0</v>
      </c>
      <c r="AE21" s="87">
        <f>SUM('Defect P1'!AE21,'Defect P2'!AE21,RTS!AE21)</f>
        <v>0</v>
      </c>
      <c r="AF21" s="87">
        <f>SUM('Defect P1'!AF21,'Defect P2'!AF21,RTS!AF21)</f>
        <v>0</v>
      </c>
      <c r="AG21" s="87">
        <f>SUM('Defect P1'!AG21,'Defect P2'!AG21,RTS!AG21)</f>
        <v>0</v>
      </c>
      <c r="AH21" s="87">
        <f>SUM('Defect P1'!AH21,'Defect P2'!AH21,RTS!AH21)</f>
        <v>0</v>
      </c>
      <c r="AI21" s="87">
        <f>SUM('Defect P1'!AI21,'Defect P2'!AI21,RTS!AI21)</f>
        <v>0</v>
      </c>
      <c r="AJ21" s="87">
        <f>SUM('Defect P1'!AJ21,'Defect P2'!AJ21,RTS!AJ21)</f>
        <v>0</v>
      </c>
      <c r="AK21" s="88">
        <f t="shared" si="14"/>
        <v>0</v>
      </c>
      <c r="AL21" s="89" cm="1">
        <f t="array" ref="AL21">IFERROR(IF($AM$4="N",SSUM(AF21:AH21)/3,SUM(AG21:AI21)/3),"")</f>
        <v>0</v>
      </c>
      <c r="AM21" s="90">
        <f t="shared" si="15"/>
        <v>0</v>
      </c>
      <c r="AN21" s="91" t="str">
        <f t="shared" si="0"/>
        <v/>
      </c>
      <c r="AO21" s="92" t="str">
        <f t="shared" si="1"/>
        <v/>
      </c>
      <c r="AP21" s="92" t="str">
        <f t="shared" si="2"/>
        <v/>
      </c>
      <c r="AQ21" s="92" t="str">
        <f t="shared" si="3"/>
        <v/>
      </c>
      <c r="AR21" s="92" t="str">
        <f t="shared" si="4"/>
        <v/>
      </c>
      <c r="AS21" s="92" t="str">
        <f t="shared" si="5"/>
        <v/>
      </c>
      <c r="AT21" s="92" t="str">
        <f t="shared" si="6"/>
        <v/>
      </c>
      <c r="AU21" s="92" t="str">
        <f t="shared" si="7"/>
        <v/>
      </c>
      <c r="AV21" s="92" t="str">
        <f t="shared" si="8"/>
        <v/>
      </c>
      <c r="AW21" s="92" t="str">
        <f t="shared" si="9"/>
        <v/>
      </c>
      <c r="AX21" s="92" t="str">
        <f t="shared" si="10"/>
        <v/>
      </c>
      <c r="AY21" s="93" t="str">
        <f t="shared" si="11"/>
        <v/>
      </c>
      <c r="AZ21" s="94" t="str">
        <f t="shared" si="12"/>
        <v/>
      </c>
      <c r="BA21" s="95" t="str">
        <f t="shared" si="13"/>
        <v/>
      </c>
      <c r="BB21" s="96">
        <f>SUM('Defect P1'!CE21,'Defect P2'!CE21,RTS!CE21)</f>
        <v>0</v>
      </c>
      <c r="BC21" s="96">
        <f>SUM('Defect P1'!CF21,'Defect P2'!CF21,RTS!CF21)</f>
        <v>0</v>
      </c>
      <c r="BD21" s="96">
        <f>SUM('Defect P1'!CG21,'Defect P2'!CG21,RTS!CG21)</f>
        <v>0</v>
      </c>
      <c r="BE21" s="96">
        <f>SUM('Defect P1'!CH21,'Defect P2'!CH21,RTS!CH21)</f>
        <v>0</v>
      </c>
      <c r="BF21" s="96">
        <f>SUM('Defect P1'!CI21,'Defect P2'!CI21,RTS!CI21)</f>
        <v>0</v>
      </c>
      <c r="BG21" s="96">
        <f>SUM('Defect P1'!CJ21,'Defect P2'!CJ21,RTS!CJ21)</f>
        <v>0</v>
      </c>
      <c r="BH21" s="96">
        <f>SUM('Defect P1'!CK21,'Defect P2'!CK21,RTS!CK21)</f>
        <v>0</v>
      </c>
      <c r="BI21" s="286">
        <f>SUM('Defect P1'!CL21,'Defect P2'!CL21,RTS!CL21)</f>
        <v>0</v>
      </c>
      <c r="BJ21" s="99" t="str">
        <f t="shared" si="16"/>
        <v/>
      </c>
      <c r="BK21" s="640">
        <f>SUM('Defect P1'!CQ21,'Defect P2'!CQ21,RTS!CQ21)</f>
        <v>0</v>
      </c>
      <c r="BL21" s="97">
        <f>SUM('Defect P1'!CR21,'Defect P2'!CR21,RTS!CR21)</f>
        <v>0</v>
      </c>
      <c r="BM21" s="524">
        <f>SUM('Defect P1'!CS21,'Defect P2'!CS21,RTS!CS21)</f>
        <v>0</v>
      </c>
      <c r="BN21" s="416">
        <f>SUM('Defect P1'!CT21,'Defect P2'!CT21,RTS!CT21)</f>
        <v>0</v>
      </c>
      <c r="BO21" s="97">
        <f>SUM('Defect P1'!CU21,'Defect P2'!CU21,RTS!CU21)</f>
        <v>0</v>
      </c>
      <c r="BP21" s="97">
        <f>SUM('Defect P1'!CV21,'Defect P2'!CV21,RTS!CV21)</f>
        <v>0</v>
      </c>
      <c r="BQ21" s="97">
        <f>SUM('Defect P1'!CW21,'Defect P2'!CW21,RTS!CW21)</f>
        <v>0</v>
      </c>
      <c r="BR21" s="98">
        <f>SUM('Defect P1'!CX21,'Defect P2'!CX21,RTS!CX21)</f>
        <v>0</v>
      </c>
    </row>
    <row r="22" spans="1:70" x14ac:dyDescent="0.25">
      <c r="A22" s="81" t="s">
        <v>27</v>
      </c>
      <c r="B22" s="82" t="s">
        <v>55</v>
      </c>
      <c r="C22" s="83" t="s">
        <v>302</v>
      </c>
      <c r="D22" s="84">
        <f>SUM('Defect P1'!D22,'Defect P2'!D22,RTS!D22)</f>
        <v>31623.191973714209</v>
      </c>
      <c r="E22" s="85">
        <f>SUM('Defect P1'!E22,'Defect P2'!E22,RTS!E22)</f>
        <v>0</v>
      </c>
      <c r="F22" s="85">
        <f>SUM('Defect P1'!F22,'Defect P2'!F22,RTS!F22)</f>
        <v>282688.3243127134</v>
      </c>
      <c r="G22" s="85">
        <f>SUM('Defect P1'!G22,'Defect P2'!G22,RTS!G22)</f>
        <v>0</v>
      </c>
      <c r="H22" s="85">
        <f>SUM('Defect P1'!H22,'Defect P2'!H22,RTS!H22)</f>
        <v>0</v>
      </c>
      <c r="I22" s="85">
        <f>SUM('Defect P1'!I22,'Defect P2'!I22,RTS!I22)</f>
        <v>0</v>
      </c>
      <c r="J22" s="85">
        <f>SUM('Defect P1'!J22,'Defect P2'!J22,RTS!J22)</f>
        <v>15674.699498721004</v>
      </c>
      <c r="K22" s="85">
        <f>SUM('Defect P1'!K22,'Defect P2'!K22,RTS!K22)</f>
        <v>0</v>
      </c>
      <c r="L22" s="85">
        <f>SUM('Defect P1'!L22,'Defect P2'!L22,RTS!L22)</f>
        <v>0</v>
      </c>
      <c r="M22" s="85">
        <f>SUM('Defect P1'!M22,'Defect P2'!M22,RTS!M22)</f>
        <v>0</v>
      </c>
      <c r="N22" s="85">
        <v>0</v>
      </c>
      <c r="O22" s="560">
        <f>SUM('Defect P1'!O22,'Defect P2'!O22,RTS!O22)</f>
        <v>42547.623474516477</v>
      </c>
      <c r="P22" s="561">
        <f>SUM('Defect P1'!P22,'Defect P2'!P22,RTS!P22)</f>
        <v>0</v>
      </c>
      <c r="Q22" s="561">
        <f>SUM('Defect P1'!Q22,'Defect P2'!Q22,RTS!Q22)</f>
        <v>370888.7063157399</v>
      </c>
      <c r="R22" s="561">
        <f>SUM('Defect P1'!R22,'Defect P2'!R22,RTS!R22)</f>
        <v>0</v>
      </c>
      <c r="S22" s="561">
        <f>SUM('Defect P1'!S22,'Defect P2'!S22,RTS!S22)</f>
        <v>0</v>
      </c>
      <c r="T22" s="561">
        <f>SUM('Defect P1'!T22,'Defect P2'!T22,RTS!T22)</f>
        <v>0</v>
      </c>
      <c r="U22" s="561">
        <f>SUM('Defect P1'!U22,'Defect P2'!U22,RTS!U22)</f>
        <v>19522.649718758061</v>
      </c>
      <c r="V22" s="561">
        <f>SUM('Defect P1'!V22,'Defect P2'!V22,RTS!V22)</f>
        <v>0</v>
      </c>
      <c r="W22" s="561">
        <f>SUM('Defect P1'!W22,'Defect P2'!W22,RTS!W22)</f>
        <v>0</v>
      </c>
      <c r="X22" s="561">
        <f>SUM('Defect P1'!X22,'Defect P2'!X22,RTS!X22)</f>
        <v>0</v>
      </c>
      <c r="Y22" s="561">
        <f>SUM('Defect P1'!Y22,'Defect P2'!Y22,RTS!Y22)</f>
        <v>0</v>
      </c>
      <c r="Z22" s="86">
        <f>SUM('Defect P1'!Z22,'Defect P2'!Z22,RTS!Z22)</f>
        <v>2</v>
      </c>
      <c r="AA22" s="87">
        <f>SUM('Defect P1'!AA22,'Defect P2'!AA22,RTS!AA22)</f>
        <v>0</v>
      </c>
      <c r="AB22" s="87">
        <f>SUM('Defect P1'!AB22,'Defect P2'!AB22,RTS!AB22)</f>
        <v>15</v>
      </c>
      <c r="AC22" s="87">
        <f>SUM('Defect P1'!AC22,'Defect P2'!AC22,RTS!AC22)</f>
        <v>0</v>
      </c>
      <c r="AD22" s="87">
        <f>SUM('Defect P1'!AD22,'Defect P2'!AD22,RTS!AD22)</f>
        <v>0</v>
      </c>
      <c r="AE22" s="87">
        <f>SUM('Defect P1'!AE22,'Defect P2'!AE22,RTS!AE22)</f>
        <v>0</v>
      </c>
      <c r="AF22" s="87">
        <f>SUM('Defect P1'!AF22,'Defect P2'!AF22,RTS!AF22)</f>
        <v>1</v>
      </c>
      <c r="AG22" s="87">
        <f>SUM('Defect P1'!AG22,'Defect P2'!AG22,RTS!AG22)</f>
        <v>0</v>
      </c>
      <c r="AH22" s="87">
        <f>SUM('Defect P1'!AH22,'Defect P2'!AH22,RTS!AH22)</f>
        <v>0</v>
      </c>
      <c r="AI22" s="87">
        <f>SUM('Defect P1'!AI22,'Defect P2'!AI22,RTS!AI22)</f>
        <v>0</v>
      </c>
      <c r="AJ22" s="87">
        <f>SUM('Defect P1'!AJ22,'Defect P2'!AJ22,RTS!AJ22)</f>
        <v>0</v>
      </c>
      <c r="AK22" s="88">
        <f t="shared" si="14"/>
        <v>0.2</v>
      </c>
      <c r="AL22" s="89" cm="1">
        <f t="array" ref="AL22">IFERROR(IF($AM$4="N",SSUM(AF22:AH22)/3,SUM(AG22:AI22)/3),"")</f>
        <v>0</v>
      </c>
      <c r="AM22" s="90">
        <f t="shared" si="15"/>
        <v>0</v>
      </c>
      <c r="AN22" s="91">
        <f t="shared" si="0"/>
        <v>15811.595986857104</v>
      </c>
      <c r="AO22" s="92" t="str">
        <f t="shared" si="1"/>
        <v/>
      </c>
      <c r="AP22" s="92">
        <f t="shared" si="2"/>
        <v>18845.888287514226</v>
      </c>
      <c r="AQ22" s="92" t="str">
        <f t="shared" si="3"/>
        <v/>
      </c>
      <c r="AR22" s="92" t="str">
        <f t="shared" si="4"/>
        <v/>
      </c>
      <c r="AS22" s="92" t="str">
        <f t="shared" si="5"/>
        <v/>
      </c>
      <c r="AT22" s="92">
        <f t="shared" si="6"/>
        <v>15674.699498721004</v>
      </c>
      <c r="AU22" s="92" t="str">
        <f t="shared" si="7"/>
        <v/>
      </c>
      <c r="AV22" s="92" t="str">
        <f t="shared" si="8"/>
        <v/>
      </c>
      <c r="AW22" s="92" t="str">
        <f t="shared" si="9"/>
        <v/>
      </c>
      <c r="AX22" s="92" t="str">
        <f t="shared" si="10"/>
        <v/>
      </c>
      <c r="AY22" s="93">
        <f t="shared" si="11"/>
        <v>15674.699498721004</v>
      </c>
      <c r="AZ22" s="94" t="str">
        <f t="shared" si="12"/>
        <v/>
      </c>
      <c r="BA22" s="95" t="str">
        <f t="shared" si="13"/>
        <v/>
      </c>
      <c r="BB22" s="96">
        <f>SUM('Defect P1'!CE22,'Defect P2'!CE22,RTS!CE22)</f>
        <v>0</v>
      </c>
      <c r="BC22" s="96">
        <f>SUM('Defect P1'!CF22,'Defect P2'!CF22,RTS!CF22)</f>
        <v>0</v>
      </c>
      <c r="BD22" s="96">
        <f>SUM('Defect P1'!CG22,'Defect P2'!CG22,RTS!CG22)</f>
        <v>0</v>
      </c>
      <c r="BE22" s="96">
        <f>SUM('Defect P1'!CH22,'Defect P2'!CH22,RTS!CH22)</f>
        <v>0</v>
      </c>
      <c r="BF22" s="96">
        <f>SUM('Defect P1'!CI22,'Defect P2'!CI22,RTS!CI22)</f>
        <v>0</v>
      </c>
      <c r="BG22" s="96">
        <f>SUM('Defect P1'!CJ22,'Defect P2'!CJ22,RTS!CJ22)</f>
        <v>0</v>
      </c>
      <c r="BH22" s="96">
        <f>SUM('Defect P1'!CK22,'Defect P2'!CK22,RTS!CK22)</f>
        <v>0</v>
      </c>
      <c r="BI22" s="286">
        <f>SUM('Defect P1'!CL22,'Defect P2'!CL22,RTS!CL22)</f>
        <v>0</v>
      </c>
      <c r="BJ22" s="99" t="str">
        <f t="shared" si="16"/>
        <v/>
      </c>
      <c r="BK22" s="640">
        <f>SUM('Defect P1'!CQ22,'Defect P2'!CQ22,RTS!CQ22)</f>
        <v>0</v>
      </c>
      <c r="BL22" s="97">
        <f>SUM('Defect P1'!CR22,'Defect P2'!CR22,RTS!CR22)</f>
        <v>0</v>
      </c>
      <c r="BM22" s="524">
        <f>SUM('Defect P1'!CS22,'Defect P2'!CS22,RTS!CS22)</f>
        <v>0</v>
      </c>
      <c r="BN22" s="416">
        <f>SUM('Defect P1'!CT22,'Defect P2'!CT22,RTS!CT22)</f>
        <v>0</v>
      </c>
      <c r="BO22" s="97">
        <f>SUM('Defect P1'!CU22,'Defect P2'!CU22,RTS!CU22)</f>
        <v>0</v>
      </c>
      <c r="BP22" s="97">
        <f>SUM('Defect P1'!CV22,'Defect P2'!CV22,RTS!CV22)</f>
        <v>0</v>
      </c>
      <c r="BQ22" s="97">
        <f>SUM('Defect P1'!CW22,'Defect P2'!CW22,RTS!CW22)</f>
        <v>0</v>
      </c>
      <c r="BR22" s="98">
        <f>SUM('Defect P1'!CX22,'Defect P2'!CX22,RTS!CX22)</f>
        <v>0</v>
      </c>
    </row>
    <row r="23" spans="1:70" x14ac:dyDescent="0.25">
      <c r="A23" s="81" t="s">
        <v>27</v>
      </c>
      <c r="B23" s="82" t="s">
        <v>57</v>
      </c>
      <c r="C23" s="83" t="s">
        <v>58</v>
      </c>
      <c r="D23" s="84">
        <f>SUM('Defect P1'!D23,'Defect P2'!D23,RTS!D23)</f>
        <v>0</v>
      </c>
      <c r="E23" s="85">
        <f>SUM('Defect P1'!E23,'Defect P2'!E23,RTS!E23)</f>
        <v>0</v>
      </c>
      <c r="F23" s="85">
        <f>SUM('Defect P1'!F23,'Defect P2'!F23,RTS!F23)</f>
        <v>0</v>
      </c>
      <c r="G23" s="85">
        <f>SUM('Defect P1'!G23,'Defect P2'!G23,RTS!G23)</f>
        <v>0</v>
      </c>
      <c r="H23" s="85">
        <f>SUM('Defect P1'!H23,'Defect P2'!H23,RTS!H23)</f>
        <v>0</v>
      </c>
      <c r="I23" s="85">
        <f>SUM('Defect P1'!I23,'Defect P2'!I23,RTS!I23)</f>
        <v>0</v>
      </c>
      <c r="J23" s="85">
        <f>SUM('Defect P1'!J23,'Defect P2'!J23,RTS!J23)</f>
        <v>0</v>
      </c>
      <c r="K23" s="85">
        <f>SUM('Defect P1'!K23,'Defect P2'!K23,RTS!K23)</f>
        <v>0</v>
      </c>
      <c r="L23" s="85">
        <f>SUM('Defect P1'!L23,'Defect P2'!L23,RTS!L23)</f>
        <v>0</v>
      </c>
      <c r="M23" s="85">
        <f>SUM('Defect P1'!M23,'Defect P2'!M23,RTS!M23)</f>
        <v>0</v>
      </c>
      <c r="N23" s="85">
        <v>0</v>
      </c>
      <c r="O23" s="560">
        <f>SUM('Defect P1'!O23,'Defect P2'!O23,RTS!O23)</f>
        <v>0</v>
      </c>
      <c r="P23" s="561">
        <f>SUM('Defect P1'!P23,'Defect P2'!P23,RTS!P23)</f>
        <v>0</v>
      </c>
      <c r="Q23" s="561">
        <f>SUM('Defect P1'!Q23,'Defect P2'!Q23,RTS!Q23)</f>
        <v>0</v>
      </c>
      <c r="R23" s="561">
        <f>SUM('Defect P1'!R23,'Defect P2'!R23,RTS!R23)</f>
        <v>0</v>
      </c>
      <c r="S23" s="561">
        <f>SUM('Defect P1'!S23,'Defect P2'!S23,RTS!S23)</f>
        <v>0</v>
      </c>
      <c r="T23" s="561">
        <f>SUM('Defect P1'!T23,'Defect P2'!T23,RTS!T23)</f>
        <v>0</v>
      </c>
      <c r="U23" s="561">
        <f>SUM('Defect P1'!U23,'Defect P2'!U23,RTS!U23)</f>
        <v>0</v>
      </c>
      <c r="V23" s="561">
        <f>SUM('Defect P1'!V23,'Defect P2'!V23,RTS!V23)</f>
        <v>0</v>
      </c>
      <c r="W23" s="561">
        <f>SUM('Defect P1'!W23,'Defect P2'!W23,RTS!W23)</f>
        <v>0</v>
      </c>
      <c r="X23" s="561">
        <f>SUM('Defect P1'!X23,'Defect P2'!X23,RTS!X23)</f>
        <v>0</v>
      </c>
      <c r="Y23" s="561">
        <f>SUM('Defect P1'!Y23,'Defect P2'!Y23,RTS!Y23)</f>
        <v>0</v>
      </c>
      <c r="Z23" s="86">
        <f>SUM('Defect P1'!Z23,'Defect P2'!Z23,RTS!Z23)</f>
        <v>0</v>
      </c>
      <c r="AA23" s="87">
        <f>SUM('Defect P1'!AA23,'Defect P2'!AA23,RTS!AA23)</f>
        <v>0</v>
      </c>
      <c r="AB23" s="87">
        <f>SUM('Defect P1'!AB23,'Defect P2'!AB23,RTS!AB23)</f>
        <v>0</v>
      </c>
      <c r="AC23" s="87">
        <f>SUM('Defect P1'!AC23,'Defect P2'!AC23,RTS!AC23)</f>
        <v>0</v>
      </c>
      <c r="AD23" s="87">
        <f>SUM('Defect P1'!AD23,'Defect P2'!AD23,RTS!AD23)</f>
        <v>0</v>
      </c>
      <c r="AE23" s="87">
        <f>SUM('Defect P1'!AE23,'Defect P2'!AE23,RTS!AE23)</f>
        <v>0</v>
      </c>
      <c r="AF23" s="87">
        <f>SUM('Defect P1'!AF23,'Defect P2'!AF23,RTS!AF23)</f>
        <v>0</v>
      </c>
      <c r="AG23" s="87">
        <f>SUM('Defect P1'!AG23,'Defect P2'!AG23,RTS!AG23)</f>
        <v>0</v>
      </c>
      <c r="AH23" s="87">
        <f>SUM('Defect P1'!AH23,'Defect P2'!AH23,RTS!AH23)</f>
        <v>0</v>
      </c>
      <c r="AI23" s="87">
        <f>SUM('Defect P1'!AI23,'Defect P2'!AI23,RTS!AI23)</f>
        <v>0</v>
      </c>
      <c r="AJ23" s="87">
        <f>SUM('Defect P1'!AJ23,'Defect P2'!AJ23,RTS!AJ23)</f>
        <v>0</v>
      </c>
      <c r="AK23" s="88">
        <f t="shared" si="14"/>
        <v>0</v>
      </c>
      <c r="AL23" s="89" cm="1">
        <f t="array" ref="AL23">IFERROR(IF($AM$4="N",SSUM(AF23:AH23)/3,SUM(AG23:AI23)/3),"")</f>
        <v>0</v>
      </c>
      <c r="AM23" s="90">
        <f t="shared" si="15"/>
        <v>0</v>
      </c>
      <c r="AN23" s="91" t="str">
        <f t="shared" si="0"/>
        <v/>
      </c>
      <c r="AO23" s="92" t="str">
        <f t="shared" si="1"/>
        <v/>
      </c>
      <c r="AP23" s="92" t="str">
        <f t="shared" si="2"/>
        <v/>
      </c>
      <c r="AQ23" s="92" t="str">
        <f t="shared" si="3"/>
        <v/>
      </c>
      <c r="AR23" s="92" t="str">
        <f t="shared" si="4"/>
        <v/>
      </c>
      <c r="AS23" s="92" t="str">
        <f t="shared" si="5"/>
        <v/>
      </c>
      <c r="AT23" s="92" t="str">
        <f t="shared" si="6"/>
        <v/>
      </c>
      <c r="AU23" s="92" t="str">
        <f t="shared" si="7"/>
        <v/>
      </c>
      <c r="AV23" s="92" t="str">
        <f t="shared" si="8"/>
        <v/>
      </c>
      <c r="AW23" s="92" t="str">
        <f t="shared" si="9"/>
        <v/>
      </c>
      <c r="AX23" s="92" t="str">
        <f t="shared" si="10"/>
        <v/>
      </c>
      <c r="AY23" s="93" t="str">
        <f t="shared" si="11"/>
        <v/>
      </c>
      <c r="AZ23" s="94" t="str">
        <f t="shared" si="12"/>
        <v/>
      </c>
      <c r="BA23" s="95" t="str">
        <f t="shared" si="13"/>
        <v/>
      </c>
      <c r="BB23" s="96">
        <f>SUM('Defect P1'!CE23,'Defect P2'!CE23,RTS!CE23)</f>
        <v>0</v>
      </c>
      <c r="BC23" s="96">
        <f>SUM('Defect P1'!CF23,'Defect P2'!CF23,RTS!CF23)</f>
        <v>0</v>
      </c>
      <c r="BD23" s="96">
        <f>SUM('Defect P1'!CG23,'Defect P2'!CG23,RTS!CG23)</f>
        <v>0</v>
      </c>
      <c r="BE23" s="96">
        <f>SUM('Defect P1'!CH23,'Defect P2'!CH23,RTS!CH23)</f>
        <v>0</v>
      </c>
      <c r="BF23" s="96">
        <f>SUM('Defect P1'!CI23,'Defect P2'!CI23,RTS!CI23)</f>
        <v>0</v>
      </c>
      <c r="BG23" s="96">
        <f>SUM('Defect P1'!CJ23,'Defect P2'!CJ23,RTS!CJ23)</f>
        <v>0</v>
      </c>
      <c r="BH23" s="96">
        <f>SUM('Defect P1'!CK23,'Defect P2'!CK23,RTS!CK23)</f>
        <v>0</v>
      </c>
      <c r="BI23" s="286">
        <f>SUM('Defect P1'!CL23,'Defect P2'!CL23,RTS!CL23)</f>
        <v>0</v>
      </c>
      <c r="BJ23" s="99" t="str">
        <f t="shared" si="16"/>
        <v/>
      </c>
      <c r="BK23" s="640">
        <f>SUM('Defect P1'!CQ23,'Defect P2'!CQ23,RTS!CQ23)</f>
        <v>0</v>
      </c>
      <c r="BL23" s="97">
        <f>SUM('Defect P1'!CR23,'Defect P2'!CR23,RTS!CR23)</f>
        <v>0</v>
      </c>
      <c r="BM23" s="524">
        <f>SUM('Defect P1'!CS23,'Defect P2'!CS23,RTS!CS23)</f>
        <v>0</v>
      </c>
      <c r="BN23" s="416">
        <f>SUM('Defect P1'!CT23,'Defect P2'!CT23,RTS!CT23)</f>
        <v>0</v>
      </c>
      <c r="BO23" s="97">
        <f>SUM('Defect P1'!CU23,'Defect P2'!CU23,RTS!CU23)</f>
        <v>0</v>
      </c>
      <c r="BP23" s="97">
        <f>SUM('Defect P1'!CV23,'Defect P2'!CV23,RTS!CV23)</f>
        <v>0</v>
      </c>
      <c r="BQ23" s="97">
        <f>SUM('Defect P1'!CW23,'Defect P2'!CW23,RTS!CW23)</f>
        <v>0</v>
      </c>
      <c r="BR23" s="98">
        <f>SUM('Defect P1'!CX23,'Defect P2'!CX23,RTS!CX23)</f>
        <v>0</v>
      </c>
    </row>
    <row r="24" spans="1:70" x14ac:dyDescent="0.25">
      <c r="A24" s="81" t="s">
        <v>27</v>
      </c>
      <c r="B24" s="82" t="s">
        <v>59</v>
      </c>
      <c r="C24" s="83" t="s">
        <v>60</v>
      </c>
      <c r="D24" s="84">
        <f>SUM('Defect P1'!D24,'Defect P2'!D24,RTS!D24)</f>
        <v>0</v>
      </c>
      <c r="E24" s="85">
        <f>SUM('Defect P1'!E24,'Defect P2'!E24,RTS!E24)</f>
        <v>0</v>
      </c>
      <c r="F24" s="85">
        <f>SUM('Defect P1'!F24,'Defect P2'!F24,RTS!F24)</f>
        <v>0</v>
      </c>
      <c r="G24" s="85">
        <f>SUM('Defect P1'!G24,'Defect P2'!G24,RTS!G24)</f>
        <v>0</v>
      </c>
      <c r="H24" s="85">
        <f>SUM('Defect P1'!H24,'Defect P2'!H24,RTS!H24)</f>
        <v>0</v>
      </c>
      <c r="I24" s="85">
        <f>SUM('Defect P1'!I24,'Defect P2'!I24,RTS!I24)</f>
        <v>0</v>
      </c>
      <c r="J24" s="85">
        <f>SUM('Defect P1'!J24,'Defect P2'!J24,RTS!J24)</f>
        <v>0</v>
      </c>
      <c r="K24" s="85">
        <f>SUM('Defect P1'!K24,'Defect P2'!K24,RTS!K24)</f>
        <v>0</v>
      </c>
      <c r="L24" s="85">
        <f>SUM('Defect P1'!L24,'Defect P2'!L24,RTS!L24)</f>
        <v>0</v>
      </c>
      <c r="M24" s="85">
        <f>SUM('Defect P1'!M24,'Defect P2'!M24,RTS!M24)</f>
        <v>0</v>
      </c>
      <c r="N24" s="85">
        <v>0</v>
      </c>
      <c r="O24" s="560">
        <f>SUM('Defect P1'!O24,'Defect P2'!O24,RTS!O24)</f>
        <v>0</v>
      </c>
      <c r="P24" s="561">
        <f>SUM('Defect P1'!P24,'Defect P2'!P24,RTS!P24)</f>
        <v>0</v>
      </c>
      <c r="Q24" s="561">
        <f>SUM('Defect P1'!Q24,'Defect P2'!Q24,RTS!Q24)</f>
        <v>0</v>
      </c>
      <c r="R24" s="561">
        <f>SUM('Defect P1'!R24,'Defect P2'!R24,RTS!R24)</f>
        <v>0</v>
      </c>
      <c r="S24" s="561">
        <f>SUM('Defect P1'!S24,'Defect P2'!S24,RTS!S24)</f>
        <v>0</v>
      </c>
      <c r="T24" s="561">
        <f>SUM('Defect P1'!T24,'Defect P2'!T24,RTS!T24)</f>
        <v>0</v>
      </c>
      <c r="U24" s="561">
        <f>SUM('Defect P1'!U24,'Defect P2'!U24,RTS!U24)</f>
        <v>0</v>
      </c>
      <c r="V24" s="561">
        <f>SUM('Defect P1'!V24,'Defect P2'!V24,RTS!V24)</f>
        <v>0</v>
      </c>
      <c r="W24" s="561">
        <f>SUM('Defect P1'!W24,'Defect P2'!W24,RTS!W24)</f>
        <v>0</v>
      </c>
      <c r="X24" s="561">
        <f>SUM('Defect P1'!X24,'Defect P2'!X24,RTS!X24)</f>
        <v>0</v>
      </c>
      <c r="Y24" s="561">
        <f>SUM('Defect P1'!Y24,'Defect P2'!Y24,RTS!Y24)</f>
        <v>0</v>
      </c>
      <c r="Z24" s="86">
        <f>SUM('Defect P1'!Z24,'Defect P2'!Z24,RTS!Z24)</f>
        <v>0</v>
      </c>
      <c r="AA24" s="87">
        <f>SUM('Defect P1'!AA24,'Defect P2'!AA24,RTS!AA24)</f>
        <v>0</v>
      </c>
      <c r="AB24" s="87">
        <f>SUM('Defect P1'!AB24,'Defect P2'!AB24,RTS!AB24)</f>
        <v>0</v>
      </c>
      <c r="AC24" s="87">
        <f>SUM('Defect P1'!AC24,'Defect P2'!AC24,RTS!AC24)</f>
        <v>0</v>
      </c>
      <c r="AD24" s="87">
        <f>SUM('Defect P1'!AD24,'Defect P2'!AD24,RTS!AD24)</f>
        <v>0</v>
      </c>
      <c r="AE24" s="87">
        <f>SUM('Defect P1'!AE24,'Defect P2'!AE24,RTS!AE24)</f>
        <v>0</v>
      </c>
      <c r="AF24" s="87">
        <f>SUM('Defect P1'!AF24,'Defect P2'!AF24,RTS!AF24)</f>
        <v>0</v>
      </c>
      <c r="AG24" s="87">
        <f>SUM('Defect P1'!AG24,'Defect P2'!AG24,RTS!AG24)</f>
        <v>0</v>
      </c>
      <c r="AH24" s="87">
        <f>SUM('Defect P1'!AH24,'Defect P2'!AH24,RTS!AH24)</f>
        <v>0</v>
      </c>
      <c r="AI24" s="87">
        <f>SUM('Defect P1'!AI24,'Defect P2'!AI24,RTS!AI24)</f>
        <v>0</v>
      </c>
      <c r="AJ24" s="87">
        <f>SUM('Defect P1'!AJ24,'Defect P2'!AJ24,RTS!AJ24)</f>
        <v>0</v>
      </c>
      <c r="AK24" s="88">
        <f t="shared" si="14"/>
        <v>0</v>
      </c>
      <c r="AL24" s="89" cm="1">
        <f t="array" ref="AL24">IFERROR(IF($AM$4="N",SSUM(AF24:AH24)/3,SUM(AG24:AI24)/3),"")</f>
        <v>0</v>
      </c>
      <c r="AM24" s="90">
        <f t="shared" si="15"/>
        <v>0</v>
      </c>
      <c r="AN24" s="91" t="str">
        <f t="shared" si="0"/>
        <v/>
      </c>
      <c r="AO24" s="92" t="str">
        <f t="shared" si="1"/>
        <v/>
      </c>
      <c r="AP24" s="92" t="str">
        <f t="shared" si="2"/>
        <v/>
      </c>
      <c r="AQ24" s="92" t="str">
        <f t="shared" si="3"/>
        <v/>
      </c>
      <c r="AR24" s="92" t="str">
        <f t="shared" si="4"/>
        <v/>
      </c>
      <c r="AS24" s="92" t="str">
        <f t="shared" si="5"/>
        <v/>
      </c>
      <c r="AT24" s="92" t="str">
        <f t="shared" si="6"/>
        <v/>
      </c>
      <c r="AU24" s="92" t="str">
        <f t="shared" si="7"/>
        <v/>
      </c>
      <c r="AV24" s="92" t="str">
        <f t="shared" si="8"/>
        <v/>
      </c>
      <c r="AW24" s="92" t="str">
        <f t="shared" si="9"/>
        <v/>
      </c>
      <c r="AX24" s="92" t="str">
        <f t="shared" si="10"/>
        <v/>
      </c>
      <c r="AY24" s="93" t="str">
        <f t="shared" si="11"/>
        <v/>
      </c>
      <c r="AZ24" s="94" t="str">
        <f t="shared" si="12"/>
        <v/>
      </c>
      <c r="BA24" s="95" t="str">
        <f t="shared" si="13"/>
        <v/>
      </c>
      <c r="BB24" s="96">
        <f>SUM('Defect P1'!CE24,'Defect P2'!CE24,RTS!CE24)</f>
        <v>0</v>
      </c>
      <c r="BC24" s="96">
        <f>SUM('Defect P1'!CF24,'Defect P2'!CF24,RTS!CF24)</f>
        <v>0</v>
      </c>
      <c r="BD24" s="96">
        <f>SUM('Defect P1'!CG24,'Defect P2'!CG24,RTS!CG24)</f>
        <v>0</v>
      </c>
      <c r="BE24" s="96">
        <f>SUM('Defect P1'!CH24,'Defect P2'!CH24,RTS!CH24)</f>
        <v>0</v>
      </c>
      <c r="BF24" s="96">
        <f>SUM('Defect P1'!CI24,'Defect P2'!CI24,RTS!CI24)</f>
        <v>0</v>
      </c>
      <c r="BG24" s="96">
        <f>SUM('Defect P1'!CJ24,'Defect P2'!CJ24,RTS!CJ24)</f>
        <v>0</v>
      </c>
      <c r="BH24" s="96">
        <f>SUM('Defect P1'!CK24,'Defect P2'!CK24,RTS!CK24)</f>
        <v>0</v>
      </c>
      <c r="BI24" s="286">
        <f>SUM('Defect P1'!CL24,'Defect P2'!CL24,RTS!CL24)</f>
        <v>0</v>
      </c>
      <c r="BJ24" s="99" t="str">
        <f t="shared" si="16"/>
        <v/>
      </c>
      <c r="BK24" s="640">
        <f>SUM('Defect P1'!CQ24,'Defect P2'!CQ24,RTS!CQ24)</f>
        <v>0</v>
      </c>
      <c r="BL24" s="97">
        <f>SUM('Defect P1'!CR24,'Defect P2'!CR24,RTS!CR24)</f>
        <v>0</v>
      </c>
      <c r="BM24" s="524">
        <f>SUM('Defect P1'!CS24,'Defect P2'!CS24,RTS!CS24)</f>
        <v>0</v>
      </c>
      <c r="BN24" s="416">
        <f>SUM('Defect P1'!CT24,'Defect P2'!CT24,RTS!CT24)</f>
        <v>0</v>
      </c>
      <c r="BO24" s="97">
        <f>SUM('Defect P1'!CU24,'Defect P2'!CU24,RTS!CU24)</f>
        <v>0</v>
      </c>
      <c r="BP24" s="97">
        <f>SUM('Defect P1'!CV24,'Defect P2'!CV24,RTS!CV24)</f>
        <v>0</v>
      </c>
      <c r="BQ24" s="97">
        <f>SUM('Defect P1'!CW24,'Defect P2'!CW24,RTS!CW24)</f>
        <v>0</v>
      </c>
      <c r="BR24" s="98">
        <f>SUM('Defect P1'!CX24,'Defect P2'!CX24,RTS!CX24)</f>
        <v>0</v>
      </c>
    </row>
    <row r="25" spans="1:70" x14ac:dyDescent="0.25">
      <c r="A25" s="81" t="s">
        <v>27</v>
      </c>
      <c r="B25" s="82" t="s">
        <v>61</v>
      </c>
      <c r="C25" s="83" t="s">
        <v>62</v>
      </c>
      <c r="D25" s="84">
        <f>SUM('Defect P1'!D25,'Defect P2'!D25,RTS!D25)</f>
        <v>0</v>
      </c>
      <c r="E25" s="85">
        <f>SUM('Defect P1'!E25,'Defect P2'!E25,RTS!E25)</f>
        <v>0</v>
      </c>
      <c r="F25" s="85">
        <f>SUM('Defect P1'!F25,'Defect P2'!F25,RTS!F25)</f>
        <v>0</v>
      </c>
      <c r="G25" s="85">
        <f>SUM('Defect P1'!G25,'Defect P2'!G25,RTS!G25)</f>
        <v>0</v>
      </c>
      <c r="H25" s="85">
        <f>SUM('Defect P1'!H25,'Defect P2'!H25,RTS!H25)</f>
        <v>0</v>
      </c>
      <c r="I25" s="85">
        <f>SUM('Defect P1'!I25,'Defect P2'!I25,RTS!I25)</f>
        <v>0</v>
      </c>
      <c r="J25" s="85">
        <f>SUM('Defect P1'!J25,'Defect P2'!J25,RTS!J25)</f>
        <v>0</v>
      </c>
      <c r="K25" s="85">
        <f>SUM('Defect P1'!K25,'Defect P2'!K25,RTS!K25)</f>
        <v>0</v>
      </c>
      <c r="L25" s="85">
        <f>SUM('Defect P1'!L25,'Defect P2'!L25,RTS!L25)</f>
        <v>0</v>
      </c>
      <c r="M25" s="85">
        <f>SUM('Defect P1'!M25,'Defect P2'!M25,RTS!M25)</f>
        <v>0</v>
      </c>
      <c r="N25" s="85">
        <v>0</v>
      </c>
      <c r="O25" s="560">
        <f>SUM('Defect P1'!O25,'Defect P2'!O25,RTS!O25)</f>
        <v>0</v>
      </c>
      <c r="P25" s="561">
        <f>SUM('Defect P1'!P25,'Defect P2'!P25,RTS!P25)</f>
        <v>0</v>
      </c>
      <c r="Q25" s="561">
        <f>SUM('Defect P1'!Q25,'Defect P2'!Q25,RTS!Q25)</f>
        <v>0</v>
      </c>
      <c r="R25" s="561">
        <f>SUM('Defect P1'!R25,'Defect P2'!R25,RTS!R25)</f>
        <v>0</v>
      </c>
      <c r="S25" s="561">
        <f>SUM('Defect P1'!S25,'Defect P2'!S25,RTS!S25)</f>
        <v>0</v>
      </c>
      <c r="T25" s="561">
        <f>SUM('Defect P1'!T25,'Defect P2'!T25,RTS!T25)</f>
        <v>0</v>
      </c>
      <c r="U25" s="561">
        <f>SUM('Defect P1'!U25,'Defect P2'!U25,RTS!U25)</f>
        <v>0</v>
      </c>
      <c r="V25" s="561">
        <f>SUM('Defect P1'!V25,'Defect P2'!V25,RTS!V25)</f>
        <v>0</v>
      </c>
      <c r="W25" s="561">
        <f>SUM('Defect P1'!W25,'Defect P2'!W25,RTS!W25)</f>
        <v>0</v>
      </c>
      <c r="X25" s="561">
        <f>SUM('Defect P1'!X25,'Defect P2'!X25,RTS!X25)</f>
        <v>0</v>
      </c>
      <c r="Y25" s="561">
        <f>SUM('Defect P1'!Y25,'Defect P2'!Y25,RTS!Y25)</f>
        <v>0</v>
      </c>
      <c r="Z25" s="86">
        <f>SUM('Defect P1'!Z25,'Defect P2'!Z25,RTS!Z25)</f>
        <v>0</v>
      </c>
      <c r="AA25" s="87">
        <f>SUM('Defect P1'!AA25,'Defect P2'!AA25,RTS!AA25)</f>
        <v>0</v>
      </c>
      <c r="AB25" s="87">
        <f>SUM('Defect P1'!AB25,'Defect P2'!AB25,RTS!AB25)</f>
        <v>0</v>
      </c>
      <c r="AC25" s="87">
        <f>SUM('Defect P1'!AC25,'Defect P2'!AC25,RTS!AC25)</f>
        <v>0</v>
      </c>
      <c r="AD25" s="87">
        <f>SUM('Defect P1'!AD25,'Defect P2'!AD25,RTS!AD25)</f>
        <v>0</v>
      </c>
      <c r="AE25" s="87">
        <f>SUM('Defect P1'!AE25,'Defect P2'!AE25,RTS!AE25)</f>
        <v>0</v>
      </c>
      <c r="AF25" s="87">
        <f>SUM('Defect P1'!AF25,'Defect P2'!AF25,RTS!AF25)</f>
        <v>0</v>
      </c>
      <c r="AG25" s="87">
        <f>SUM('Defect P1'!AG25,'Defect P2'!AG25,RTS!AG25)</f>
        <v>0</v>
      </c>
      <c r="AH25" s="87">
        <f>SUM('Defect P1'!AH25,'Defect P2'!AH25,RTS!AH25)</f>
        <v>0</v>
      </c>
      <c r="AI25" s="87">
        <f>SUM('Defect P1'!AI25,'Defect P2'!AI25,RTS!AI25)</f>
        <v>0</v>
      </c>
      <c r="AJ25" s="87">
        <f>SUM('Defect P1'!AJ25,'Defect P2'!AJ25,RTS!AJ25)</f>
        <v>0</v>
      </c>
      <c r="AK25" s="88">
        <f t="shared" si="14"/>
        <v>0</v>
      </c>
      <c r="AL25" s="89" cm="1">
        <f t="array" ref="AL25">IFERROR(IF($AM$4="N",SSUM(AF25:AH25)/3,SUM(AG25:AI25)/3),"")</f>
        <v>0</v>
      </c>
      <c r="AM25" s="90">
        <f t="shared" si="15"/>
        <v>0</v>
      </c>
      <c r="AN25" s="91" t="str">
        <f t="shared" si="0"/>
        <v/>
      </c>
      <c r="AO25" s="92" t="str">
        <f t="shared" si="1"/>
        <v/>
      </c>
      <c r="AP25" s="92" t="str">
        <f t="shared" si="2"/>
        <v/>
      </c>
      <c r="AQ25" s="92" t="str">
        <f t="shared" si="3"/>
        <v/>
      </c>
      <c r="AR25" s="92" t="str">
        <f t="shared" si="4"/>
        <v/>
      </c>
      <c r="AS25" s="92" t="str">
        <f t="shared" si="5"/>
        <v/>
      </c>
      <c r="AT25" s="92" t="str">
        <f t="shared" si="6"/>
        <v/>
      </c>
      <c r="AU25" s="92" t="str">
        <f t="shared" si="7"/>
        <v/>
      </c>
      <c r="AV25" s="92" t="str">
        <f t="shared" si="8"/>
        <v/>
      </c>
      <c r="AW25" s="92" t="str">
        <f t="shared" si="9"/>
        <v/>
      </c>
      <c r="AX25" s="92" t="str">
        <f t="shared" si="10"/>
        <v/>
      </c>
      <c r="AY25" s="93" t="str">
        <f t="shared" si="11"/>
        <v/>
      </c>
      <c r="AZ25" s="94" t="str">
        <f t="shared" si="12"/>
        <v/>
      </c>
      <c r="BA25" s="95" t="str">
        <f t="shared" si="13"/>
        <v/>
      </c>
      <c r="BB25" s="96">
        <f>SUM('Defect P1'!CE25,'Defect P2'!CE25,RTS!CE25)</f>
        <v>0</v>
      </c>
      <c r="BC25" s="96">
        <f>SUM('Defect P1'!CF25,'Defect P2'!CF25,RTS!CF25)</f>
        <v>0</v>
      </c>
      <c r="BD25" s="96">
        <f>SUM('Defect P1'!CG25,'Defect P2'!CG25,RTS!CG25)</f>
        <v>0</v>
      </c>
      <c r="BE25" s="96">
        <f>SUM('Defect P1'!CH25,'Defect P2'!CH25,RTS!CH25)</f>
        <v>0</v>
      </c>
      <c r="BF25" s="96">
        <f>SUM('Defect P1'!CI25,'Defect P2'!CI25,RTS!CI25)</f>
        <v>0</v>
      </c>
      <c r="BG25" s="96">
        <f>SUM('Defect P1'!CJ25,'Defect P2'!CJ25,RTS!CJ25)</f>
        <v>0</v>
      </c>
      <c r="BH25" s="96">
        <f>SUM('Defect P1'!CK25,'Defect P2'!CK25,RTS!CK25)</f>
        <v>0</v>
      </c>
      <c r="BI25" s="286">
        <f>SUM('Defect P1'!CL25,'Defect P2'!CL25,RTS!CL25)</f>
        <v>0</v>
      </c>
      <c r="BJ25" s="99" t="str">
        <f t="shared" si="16"/>
        <v/>
      </c>
      <c r="BK25" s="640">
        <f>SUM('Defect P1'!CQ25,'Defect P2'!CQ25,RTS!CQ25)</f>
        <v>0</v>
      </c>
      <c r="BL25" s="97">
        <f>SUM('Defect P1'!CR25,'Defect P2'!CR25,RTS!CR25)</f>
        <v>0</v>
      </c>
      <c r="BM25" s="524">
        <f>SUM('Defect P1'!CS25,'Defect P2'!CS25,RTS!CS25)</f>
        <v>0</v>
      </c>
      <c r="BN25" s="416">
        <f>SUM('Defect P1'!CT25,'Defect P2'!CT25,RTS!CT25)</f>
        <v>0</v>
      </c>
      <c r="BO25" s="97">
        <f>SUM('Defect P1'!CU25,'Defect P2'!CU25,RTS!CU25)</f>
        <v>0</v>
      </c>
      <c r="BP25" s="97">
        <f>SUM('Defect P1'!CV25,'Defect P2'!CV25,RTS!CV25)</f>
        <v>0</v>
      </c>
      <c r="BQ25" s="97">
        <f>SUM('Defect P1'!CW25,'Defect P2'!CW25,RTS!CW25)</f>
        <v>0</v>
      </c>
      <c r="BR25" s="98">
        <f>SUM('Defect P1'!CX25,'Defect P2'!CX25,RTS!CX25)</f>
        <v>0</v>
      </c>
    </row>
    <row r="26" spans="1:70" ht="15.75" thickBot="1" x14ac:dyDescent="0.3">
      <c r="A26" s="100" t="s">
        <v>27</v>
      </c>
      <c r="B26" s="101" t="s">
        <v>303</v>
      </c>
      <c r="C26" s="102" t="s">
        <v>304</v>
      </c>
      <c r="D26" s="103">
        <f>SUM('Defect P1'!D26,'Defect P2'!D26,RTS!D26)</f>
        <v>0</v>
      </c>
      <c r="E26" s="104">
        <f>SUM('Defect P1'!E26,'Defect P2'!E26,RTS!E26)</f>
        <v>0</v>
      </c>
      <c r="F26" s="104">
        <f>SUM('Defect P1'!F26,'Defect P2'!F26,RTS!F26)</f>
        <v>0</v>
      </c>
      <c r="G26" s="104">
        <f>SUM('Defect P1'!G26,'Defect P2'!G26,RTS!G26)</f>
        <v>0</v>
      </c>
      <c r="H26" s="104">
        <f>SUM('Defect P1'!H26,'Defect P2'!H26,RTS!H26)</f>
        <v>0</v>
      </c>
      <c r="I26" s="104">
        <f>SUM('Defect P1'!I26,'Defect P2'!I26,RTS!I26)</f>
        <v>0</v>
      </c>
      <c r="J26" s="104">
        <f>SUM('Defect P1'!J26,'Defect P2'!J26,RTS!J26)</f>
        <v>0</v>
      </c>
      <c r="K26" s="104">
        <f>SUM('Defect P1'!K26,'Defect P2'!K26,RTS!K26)</f>
        <v>0</v>
      </c>
      <c r="L26" s="104">
        <f>SUM('Defect P1'!L26,'Defect P2'!L26,RTS!L26)</f>
        <v>0</v>
      </c>
      <c r="M26" s="104">
        <f>SUM('Defect P1'!M26,'Defect P2'!M26,RTS!M26)</f>
        <v>0</v>
      </c>
      <c r="N26" s="104">
        <v>0</v>
      </c>
      <c r="O26" s="563">
        <f>SUM('Defect P1'!O26,'Defect P2'!O26,RTS!O26)</f>
        <v>0</v>
      </c>
      <c r="P26" s="564">
        <f>SUM('Defect P1'!P26,'Defect P2'!P26,RTS!P26)</f>
        <v>0</v>
      </c>
      <c r="Q26" s="564">
        <f>SUM('Defect P1'!Q26,'Defect P2'!Q26,RTS!Q26)</f>
        <v>0</v>
      </c>
      <c r="R26" s="564">
        <f>SUM('Defect P1'!R26,'Defect P2'!R26,RTS!R26)</f>
        <v>0</v>
      </c>
      <c r="S26" s="564">
        <f>SUM('Defect P1'!S26,'Defect P2'!S26,RTS!S26)</f>
        <v>0</v>
      </c>
      <c r="T26" s="564">
        <f>SUM('Defect P1'!T26,'Defect P2'!T26,RTS!T26)</f>
        <v>0</v>
      </c>
      <c r="U26" s="564">
        <f>SUM('Defect P1'!U26,'Defect P2'!U26,RTS!U26)</f>
        <v>0</v>
      </c>
      <c r="V26" s="564">
        <f>SUM('Defect P1'!V26,'Defect P2'!V26,RTS!V26)</f>
        <v>0</v>
      </c>
      <c r="W26" s="564">
        <f>SUM('Defect P1'!W26,'Defect P2'!W26,RTS!W26)</f>
        <v>0</v>
      </c>
      <c r="X26" s="564">
        <f>SUM('Defect P1'!X26,'Defect P2'!X26,RTS!X26)</f>
        <v>0</v>
      </c>
      <c r="Y26" s="564">
        <f>SUM('Defect P1'!Y26,'Defect P2'!Y26,RTS!Y26)</f>
        <v>0</v>
      </c>
      <c r="Z26" s="105">
        <f>SUM('Defect P1'!Z26,'Defect P2'!Z26,RTS!Z26)</f>
        <v>0</v>
      </c>
      <c r="AA26" s="106">
        <f>SUM('Defect P1'!AA26,'Defect P2'!AA26,RTS!AA26)</f>
        <v>0</v>
      </c>
      <c r="AB26" s="106">
        <f>SUM('Defect P1'!AB26,'Defect P2'!AB26,RTS!AB26)</f>
        <v>0</v>
      </c>
      <c r="AC26" s="106">
        <f>SUM('Defect P1'!AC26,'Defect P2'!AC26,RTS!AC26)</f>
        <v>0</v>
      </c>
      <c r="AD26" s="106">
        <f>SUM('Defect P1'!AD26,'Defect P2'!AD26,RTS!AD26)</f>
        <v>0</v>
      </c>
      <c r="AE26" s="106">
        <f>SUM('Defect P1'!AE26,'Defect P2'!AE26,RTS!AE26)</f>
        <v>0</v>
      </c>
      <c r="AF26" s="106">
        <f>SUM('Defect P1'!AF26,'Defect P2'!AF26,RTS!AF26)</f>
        <v>0</v>
      </c>
      <c r="AG26" s="106">
        <f>SUM('Defect P1'!AG26,'Defect P2'!AG26,RTS!AG26)</f>
        <v>0</v>
      </c>
      <c r="AH26" s="106">
        <f>SUM('Defect P1'!AH26,'Defect P2'!AH26,RTS!AH26)</f>
        <v>0</v>
      </c>
      <c r="AI26" s="106">
        <f>SUM('Defect P1'!AI26,'Defect P2'!AI26,RTS!AI26)</f>
        <v>0</v>
      </c>
      <c r="AJ26" s="106">
        <f>SUM('Defect P1'!AJ26,'Defect P2'!AJ26,RTS!AJ26)</f>
        <v>0</v>
      </c>
      <c r="AK26" s="107">
        <f t="shared" si="14"/>
        <v>0</v>
      </c>
      <c r="AL26" s="108" cm="1">
        <f t="array" ref="AL26">IFERROR(IF($AM$4="N",SSUM(AF26:AH26)/3,SUM(AG26:AI26)/3),"")</f>
        <v>0</v>
      </c>
      <c r="AM26" s="109">
        <f t="shared" si="15"/>
        <v>0</v>
      </c>
      <c r="AN26" s="110" t="str">
        <f t="shared" si="0"/>
        <v/>
      </c>
      <c r="AO26" s="111" t="str">
        <f t="shared" si="1"/>
        <v/>
      </c>
      <c r="AP26" s="111" t="str">
        <f t="shared" si="2"/>
        <v/>
      </c>
      <c r="AQ26" s="111" t="str">
        <f t="shared" si="3"/>
        <v/>
      </c>
      <c r="AR26" s="111" t="str">
        <f t="shared" si="4"/>
        <v/>
      </c>
      <c r="AS26" s="111" t="str">
        <f t="shared" si="5"/>
        <v/>
      </c>
      <c r="AT26" s="111" t="str">
        <f t="shared" si="6"/>
        <v/>
      </c>
      <c r="AU26" s="111" t="str">
        <f t="shared" si="7"/>
        <v/>
      </c>
      <c r="AV26" s="111" t="str">
        <f t="shared" si="8"/>
        <v/>
      </c>
      <c r="AW26" s="111" t="str">
        <f t="shared" si="9"/>
        <v/>
      </c>
      <c r="AX26" s="111" t="str">
        <f t="shared" si="10"/>
        <v/>
      </c>
      <c r="AY26" s="112" t="str">
        <f t="shared" si="11"/>
        <v/>
      </c>
      <c r="AZ26" s="113" t="str">
        <f t="shared" si="12"/>
        <v/>
      </c>
      <c r="BA26" s="114" t="str">
        <f t="shared" si="13"/>
        <v/>
      </c>
      <c r="BB26" s="115">
        <f>SUM('Defect P1'!CE26,'Defect P2'!CE26,RTS!CE26)</f>
        <v>0</v>
      </c>
      <c r="BC26" s="115">
        <f>SUM('Defect P1'!CF26,'Defect P2'!CF26,RTS!CF26)</f>
        <v>0</v>
      </c>
      <c r="BD26" s="115">
        <f>SUM('Defect P1'!CG26,'Defect P2'!CG26,RTS!CG26)</f>
        <v>0</v>
      </c>
      <c r="BE26" s="115">
        <f>SUM('Defect P1'!CH26,'Defect P2'!CH26,RTS!CH26)</f>
        <v>0</v>
      </c>
      <c r="BF26" s="115">
        <f>SUM('Defect P1'!CI26,'Defect P2'!CI26,RTS!CI26)</f>
        <v>0</v>
      </c>
      <c r="BG26" s="115">
        <f>SUM('Defect P1'!CJ26,'Defect P2'!CJ26,RTS!CJ26)</f>
        <v>0</v>
      </c>
      <c r="BH26" s="115">
        <f>SUM('Defect P1'!CK26,'Defect P2'!CK26,RTS!CK26)</f>
        <v>0</v>
      </c>
      <c r="BI26" s="287">
        <f>SUM('Defect P1'!CL26,'Defect P2'!CL26,RTS!CL26)</f>
        <v>0</v>
      </c>
      <c r="BJ26" s="116" t="str">
        <f t="shared" si="16"/>
        <v/>
      </c>
      <c r="BK26" s="641">
        <f>SUM('Defect P1'!CQ26,'Defect P2'!CQ26,RTS!CQ26)</f>
        <v>0</v>
      </c>
      <c r="BL26" s="117">
        <f>SUM('Defect P1'!CR26,'Defect P2'!CR26,RTS!CR26)</f>
        <v>0</v>
      </c>
      <c r="BM26" s="638">
        <f>SUM('Defect P1'!CS26,'Defect P2'!CS26,RTS!CS26)</f>
        <v>0</v>
      </c>
      <c r="BN26" s="467">
        <f>SUM('Defect P1'!CT26,'Defect P2'!CT26,RTS!CT26)</f>
        <v>0</v>
      </c>
      <c r="BO26" s="117">
        <f>SUM('Defect P1'!CU26,'Defect P2'!CU26,RTS!CU26)</f>
        <v>0</v>
      </c>
      <c r="BP26" s="117">
        <f>SUM('Defect P1'!CV26,'Defect P2'!CV26,RTS!CV26)</f>
        <v>0</v>
      </c>
      <c r="BQ26" s="117">
        <f>SUM('Defect P1'!CW26,'Defect P2'!CW26,RTS!CW26)</f>
        <v>0</v>
      </c>
      <c r="BR26" s="118">
        <f>SUM('Defect P1'!CX26,'Defect P2'!CX26,RTS!CX26)</f>
        <v>0</v>
      </c>
    </row>
    <row r="27" spans="1:70" x14ac:dyDescent="0.25">
      <c r="A27" s="63" t="s">
        <v>68</v>
      </c>
      <c r="B27" s="64" t="s">
        <v>65</v>
      </c>
      <c r="C27" s="65" t="s">
        <v>305</v>
      </c>
      <c r="D27" s="66">
        <f>SUM('Defect P1'!D27,'Defect P2'!D27,RTS!D27)</f>
        <v>2609680.910559928</v>
      </c>
      <c r="E27" s="67">
        <f>SUM('Defect P1'!E27,'Defect P2'!E27,RTS!E27)</f>
        <v>3518554.020579291</v>
      </c>
      <c r="F27" s="67">
        <f>SUM('Defect P1'!F27,'Defect P2'!F27,RTS!F27)</f>
        <v>4573074.3110725069</v>
      </c>
      <c r="G27" s="67">
        <f>SUM('Defect P1'!G27,'Defect P2'!G27,RTS!G27)</f>
        <v>3568509.2056032186</v>
      </c>
      <c r="H27" s="67">
        <f>SUM('Defect P1'!H27,'Defect P2'!H27,RTS!H27)</f>
        <v>5179902.829792548</v>
      </c>
      <c r="I27" s="67">
        <f>SUM('Defect P1'!I27,'Defect P2'!I27,RTS!I27)</f>
        <v>10854002.834097488</v>
      </c>
      <c r="J27" s="67">
        <f>SUM('Defect P1'!J27,'Defect P2'!J27,RTS!J27)</f>
        <v>10641440.234028462</v>
      </c>
      <c r="K27" s="67">
        <f>SUM('Defect P1'!K27,'Defect P2'!K27,RTS!K27)</f>
        <v>8124177.0373838991</v>
      </c>
      <c r="L27" s="67">
        <f>SUM('Defect P1'!L27,'Defect P2'!L27,RTS!L27)</f>
        <v>11623232.193544393</v>
      </c>
      <c r="M27" s="67">
        <f>SUM('Defect P1'!M27,'Defect P2'!M27,RTS!M27)</f>
        <v>11292136.009194085</v>
      </c>
      <c r="N27" s="67">
        <v>13508122.661820626</v>
      </c>
      <c r="O27" s="557">
        <f>SUM('Defect P1'!O27,'Defect P2'!O27,RTS!O27)</f>
        <v>3511211.672225629</v>
      </c>
      <c r="P27" s="558">
        <f>SUM('Defect P1'!P27,'Defect P2'!P27,RTS!P27)</f>
        <v>4663600.3025154835</v>
      </c>
      <c r="Q27" s="558">
        <f>SUM('Defect P1'!Q27,'Defect P2'!Q27,RTS!Q27)</f>
        <v>5999899.7809445299</v>
      </c>
      <c r="R27" s="558">
        <f>SUM('Defect P1'!R27,'Defect P2'!R27,RTS!R27)</f>
        <v>4593087.9703833861</v>
      </c>
      <c r="S27" s="558">
        <f>SUM('Defect P1'!S27,'Defect P2'!S27,RTS!S27)</f>
        <v>6531436.851272936</v>
      </c>
      <c r="T27" s="558">
        <f>SUM('Defect P1'!T27,'Defect P2'!T27,RTS!T27)</f>
        <v>13471427.105601124</v>
      </c>
      <c r="U27" s="558">
        <f>SUM('Defect P1'!U27,'Defect P2'!U27,RTS!U27)</f>
        <v>13253785.835510787</v>
      </c>
      <c r="V27" s="558">
        <f>SUM('Defect P1'!V27,'Defect P2'!V27,RTS!V27)</f>
        <v>9743803.1380184367</v>
      </c>
      <c r="W27" s="558">
        <f>SUM('Defect P1'!W27,'Defect P2'!W27,RTS!W27)</f>
        <v>13133406.602275809</v>
      </c>
      <c r="X27" s="558">
        <f>SUM('Defect P1'!X27,'Defect P2'!X27,RTS!X27)</f>
        <v>12008745.417895436</v>
      </c>
      <c r="Y27" s="558">
        <f>SUM('Defect P1'!Y27,'Defect P2'!Y27,RTS!Y27)</f>
        <v>13563803.43711709</v>
      </c>
      <c r="Z27" s="68">
        <f>SUM('Defect P1'!Z27,'Defect P2'!Z27,RTS!Z27)</f>
        <v>2729</v>
      </c>
      <c r="AA27" s="69">
        <f>SUM('Defect P1'!AA27,'Defect P2'!AA27,RTS!AA27)</f>
        <v>3382</v>
      </c>
      <c r="AB27" s="69">
        <f>SUM('Defect P1'!AB27,'Defect P2'!AB27,RTS!AB27)</f>
        <v>3537</v>
      </c>
      <c r="AC27" s="69">
        <f>SUM('Defect P1'!AC27,'Defect P2'!AC27,RTS!AC27)</f>
        <v>3028</v>
      </c>
      <c r="AD27" s="69">
        <f>SUM('Defect P1'!AD27,'Defect P2'!AD27,RTS!AD27)</f>
        <v>3780</v>
      </c>
      <c r="AE27" s="69">
        <f>SUM('Defect P1'!AE27,'Defect P2'!AE27,RTS!AE27)</f>
        <v>5795</v>
      </c>
      <c r="AF27" s="69">
        <f>SUM('Defect P1'!AF27,'Defect P2'!AF27,RTS!AF27)</f>
        <v>5623</v>
      </c>
      <c r="AG27" s="69">
        <f>SUM('Defect P1'!AG27,'Defect P2'!AG27,RTS!AG27)</f>
        <v>3314</v>
      </c>
      <c r="AH27" s="69">
        <f>SUM('Defect P1'!AH27,'Defect P2'!AH27,RTS!AH27)</f>
        <v>4722</v>
      </c>
      <c r="AI27" s="69">
        <f>SUM('Defect P1'!AI27,'Defect P2'!AI27,RTS!AI27)</f>
        <v>4543</v>
      </c>
      <c r="AJ27" s="69">
        <f>SUM('Defect P1'!AJ27,'Defect P2'!AJ27,RTS!AJ27)</f>
        <v>3640</v>
      </c>
      <c r="AK27" s="70">
        <f t="shared" si="14"/>
        <v>4799.3999999999996</v>
      </c>
      <c r="AL27" s="71" cm="1">
        <f t="array" ref="AL27">IFERROR(IF($AM$4="N",SSUM(AF27:AH27)/3,SUM(AG27:AI27)/3),"")</f>
        <v>4193</v>
      </c>
      <c r="AM27" s="72">
        <f t="shared" si="15"/>
        <v>4543</v>
      </c>
      <c r="AN27" s="73">
        <f t="shared" si="0"/>
        <v>956.27735821177282</v>
      </c>
      <c r="AO27" s="74">
        <f t="shared" si="1"/>
        <v>1040.3767062623569</v>
      </c>
      <c r="AP27" s="74">
        <f t="shared" si="2"/>
        <v>1292.92460024668</v>
      </c>
      <c r="AQ27" s="74">
        <f t="shared" si="3"/>
        <v>1178.5037006615648</v>
      </c>
      <c r="AR27" s="74">
        <f t="shared" si="4"/>
        <v>1370.3446639662825</v>
      </c>
      <c r="AS27" s="74">
        <f t="shared" si="5"/>
        <v>1872.9944493697133</v>
      </c>
      <c r="AT27" s="74">
        <f t="shared" si="6"/>
        <v>1892.4844805314713</v>
      </c>
      <c r="AU27" s="74">
        <f t="shared" si="7"/>
        <v>2451.4716467664148</v>
      </c>
      <c r="AV27" s="74">
        <f t="shared" si="8"/>
        <v>2461.5061824532813</v>
      </c>
      <c r="AW27" s="74">
        <f t="shared" si="9"/>
        <v>2485.6121525850949</v>
      </c>
      <c r="AX27" s="74">
        <f t="shared" si="10"/>
        <v>3711.0227092913806</v>
      </c>
      <c r="AY27" s="75">
        <f t="shared" si="11"/>
        <v>2189.231500114528</v>
      </c>
      <c r="AZ27" s="76">
        <f t="shared" si="12"/>
        <v>2467.5685857478638</v>
      </c>
      <c r="BA27" s="77">
        <f t="shared" si="13"/>
        <v>2485.6121525850949</v>
      </c>
      <c r="BB27" s="78">
        <f>SUM('Defect P1'!CE27,'Defect P2'!CE27,RTS!CE27)</f>
        <v>4423.9333333333334</v>
      </c>
      <c r="BC27" s="78">
        <f>SUM('Defect P1'!CF27,'Defect P2'!CF27,RTS!CF27)</f>
        <v>4423.9333333333334</v>
      </c>
      <c r="BD27" s="78">
        <f>SUM('Defect P1'!CG27,'Defect P2'!CG27,RTS!CG27)</f>
        <v>4423.9333333333334</v>
      </c>
      <c r="BE27" s="78">
        <f>SUM('Defect P1'!CH27,'Defect P2'!CH27,RTS!CH27)</f>
        <v>4819.2653395269335</v>
      </c>
      <c r="BF27" s="78">
        <f>SUM('Defect P1'!CI27,'Defect P2'!CI27,RTS!CI27)</f>
        <v>4819.2653395269335</v>
      </c>
      <c r="BG27" s="78">
        <f>SUM('Defect P1'!CJ27,'Defect P2'!CJ27,RTS!CJ27)</f>
        <v>4819.2653395269335</v>
      </c>
      <c r="BH27" s="78">
        <f>SUM('Defect P1'!CK27,'Defect P2'!CK27,RTS!CK27)</f>
        <v>4819.2653395269335</v>
      </c>
      <c r="BI27" s="285">
        <f>SUM('Defect P1'!CL27,'Defect P2'!CL27,RTS!CL27)</f>
        <v>4819.2653395269335</v>
      </c>
      <c r="BJ27" s="124">
        <f t="shared" si="16"/>
        <v>2417.3374658928428</v>
      </c>
      <c r="BK27" s="639">
        <f>SUM('Defect P1'!CQ27,'Defect P2'!CQ27,RTS!CQ27)</f>
        <v>10694267.51668511</v>
      </c>
      <c r="BL27" s="79">
        <f>SUM('Defect P1'!CR27,'Defect P2'!CR27,RTS!CR27)</f>
        <v>10694267.51668511</v>
      </c>
      <c r="BM27" s="523">
        <f>SUM('Defect P1'!CS27,'Defect P2'!CS27,RTS!CS27)</f>
        <v>10694267.51668511</v>
      </c>
      <c r="BN27" s="415">
        <f>SUM('Defect P1'!CT27,'Defect P2'!CT27,RTS!CT27)</f>
        <v>11649714.029273508</v>
      </c>
      <c r="BO27" s="79">
        <f>SUM('Defect P1'!CU27,'Defect P2'!CU27,RTS!CU27)</f>
        <v>11649714.029273508</v>
      </c>
      <c r="BP27" s="79">
        <f>SUM('Defect P1'!CV27,'Defect P2'!CV27,RTS!CV27)</f>
        <v>11649714.029273508</v>
      </c>
      <c r="BQ27" s="79">
        <f>SUM('Defect P1'!CW27,'Defect P2'!CW27,RTS!CW27)</f>
        <v>11649714.029273508</v>
      </c>
      <c r="BR27" s="80">
        <f>SUM('Defect P1'!CX27,'Defect P2'!CX27,RTS!CX27)</f>
        <v>11649714.029273508</v>
      </c>
    </row>
    <row r="28" spans="1:70" x14ac:dyDescent="0.25">
      <c r="A28" s="81" t="s">
        <v>68</v>
      </c>
      <c r="B28" s="82" t="s">
        <v>69</v>
      </c>
      <c r="C28" s="83" t="s">
        <v>70</v>
      </c>
      <c r="D28" s="84">
        <f>SUM('Defect P1'!D28,'Defect P2'!D28,RTS!D28)</f>
        <v>3058511.0631703143</v>
      </c>
      <c r="E28" s="85">
        <f>SUM('Defect P1'!E28,'Defect P2'!E28,RTS!E28)</f>
        <v>4457834.1064927857</v>
      </c>
      <c r="F28" s="85">
        <f>SUM('Defect P1'!F28,'Defect P2'!F28,RTS!F28)</f>
        <v>7216737.7365434403</v>
      </c>
      <c r="G28" s="85">
        <f>SUM('Defect P1'!G28,'Defect P2'!G28,RTS!G28)</f>
        <v>4354134.0523591237</v>
      </c>
      <c r="H28" s="85">
        <f>SUM('Defect P1'!H28,'Defect P2'!H28,RTS!H28)</f>
        <v>8764039.7759711742</v>
      </c>
      <c r="I28" s="85">
        <f>SUM('Defect P1'!I28,'Defect P2'!I28,RTS!I28)</f>
        <v>11273365.295100236</v>
      </c>
      <c r="J28" s="85">
        <f>SUM('Defect P1'!J28,'Defect P2'!J28,RTS!J28)</f>
        <v>16161904.296608523</v>
      </c>
      <c r="K28" s="85">
        <f>SUM('Defect P1'!K28,'Defect P2'!K28,RTS!K28)</f>
        <v>17287215.26510565</v>
      </c>
      <c r="L28" s="85">
        <f>SUM('Defect P1'!L28,'Defect P2'!L28,RTS!L28)</f>
        <v>16162136.838868769</v>
      </c>
      <c r="M28" s="85">
        <f>SUM('Defect P1'!M28,'Defect P2'!M28,RTS!M28)</f>
        <v>19097353.560687892</v>
      </c>
      <c r="N28" s="85">
        <v>19370342.559076477</v>
      </c>
      <c r="O28" s="560">
        <f>SUM('Defect P1'!O28,'Defect P2'!O28,RTS!O28)</f>
        <v>4115093.0373057248</v>
      </c>
      <c r="P28" s="561">
        <f>SUM('Defect P1'!P28,'Defect P2'!P28,RTS!P28)</f>
        <v>5908551.1735814754</v>
      </c>
      <c r="Q28" s="561">
        <f>SUM('Defect P1'!Q28,'Defect P2'!Q28,RTS!Q28)</f>
        <v>9468401.3902381118</v>
      </c>
      <c r="R28" s="561">
        <f>SUM('Defect P1'!R28,'Defect P2'!R28,RTS!R28)</f>
        <v>5604278.8697098941</v>
      </c>
      <c r="S28" s="561">
        <f>SUM('Defect P1'!S28,'Defect P2'!S28,RTS!S28)</f>
        <v>11050742.502266673</v>
      </c>
      <c r="T28" s="561">
        <f>SUM('Defect P1'!T28,'Defect P2'!T28,RTS!T28)</f>
        <v>13991918.10883512</v>
      </c>
      <c r="U28" s="561">
        <f>SUM('Defect P1'!U28,'Defect P2'!U28,RTS!U28)</f>
        <v>20129457.435309973</v>
      </c>
      <c r="V28" s="561">
        <f>SUM('Defect P1'!V28,'Defect P2'!V28,RTS!V28)</f>
        <v>20733573.575838491</v>
      </c>
      <c r="W28" s="561">
        <f>SUM('Defect P1'!W28,'Defect P2'!W28,RTS!W28)</f>
        <v>18262038.573433705</v>
      </c>
      <c r="X28" s="561">
        <f>SUM('Defect P1'!X28,'Defect P2'!X28,RTS!X28)</f>
        <v>20309289.303557314</v>
      </c>
      <c r="Y28" s="561">
        <f>SUM('Defect P1'!Y28,'Defect P2'!Y28,RTS!Y28)</f>
        <v>19453057.174229581</v>
      </c>
      <c r="Z28" s="86">
        <f>SUM('Defect P1'!Z28,'Defect P2'!Z28,RTS!Z28)</f>
        <v>2943</v>
      </c>
      <c r="AA28" s="87">
        <f>SUM('Defect P1'!AA28,'Defect P2'!AA28,RTS!AA28)</f>
        <v>3683</v>
      </c>
      <c r="AB28" s="87">
        <f>SUM('Defect P1'!AB28,'Defect P2'!AB28,RTS!AB28)</f>
        <v>4238</v>
      </c>
      <c r="AC28" s="87">
        <f>SUM('Defect P1'!AC28,'Defect P2'!AC28,RTS!AC28)</f>
        <v>2946</v>
      </c>
      <c r="AD28" s="87">
        <f>SUM('Defect P1'!AD28,'Defect P2'!AD28,RTS!AD28)</f>
        <v>5071</v>
      </c>
      <c r="AE28" s="87">
        <f>SUM('Defect P1'!AE28,'Defect P2'!AE28,RTS!AE28)</f>
        <v>5322</v>
      </c>
      <c r="AF28" s="87">
        <f>SUM('Defect P1'!AF28,'Defect P2'!AF28,RTS!AF28)</f>
        <v>7033</v>
      </c>
      <c r="AG28" s="87">
        <f>SUM('Defect P1'!AG28,'Defect P2'!AG28,RTS!AG28)</f>
        <v>6666</v>
      </c>
      <c r="AH28" s="87">
        <f>SUM('Defect P1'!AH28,'Defect P2'!AH28,RTS!AH28)</f>
        <v>6556</v>
      </c>
      <c r="AI28" s="87">
        <f>SUM('Defect P1'!AI28,'Defect P2'!AI28,RTS!AI28)</f>
        <v>6207</v>
      </c>
      <c r="AJ28" s="87">
        <f>SUM('Defect P1'!AJ28,'Defect P2'!AJ28,RTS!AJ28)</f>
        <v>5409</v>
      </c>
      <c r="AK28" s="88">
        <f t="shared" si="14"/>
        <v>6356.8</v>
      </c>
      <c r="AL28" s="89" cm="1">
        <f t="array" ref="AL28">IFERROR(IF($AM$4="N",SSUM(AF28:AH28)/3,SUM(AG28:AI28)/3),"")</f>
        <v>6476.333333333333</v>
      </c>
      <c r="AM28" s="90">
        <f t="shared" si="15"/>
        <v>6207</v>
      </c>
      <c r="AN28" s="91">
        <f t="shared" si="0"/>
        <v>1039.2494268332703</v>
      </c>
      <c r="AO28" s="92">
        <f t="shared" si="1"/>
        <v>1210.3812398840037</v>
      </c>
      <c r="AP28" s="92">
        <f t="shared" si="2"/>
        <v>1702.8640246681077</v>
      </c>
      <c r="AQ28" s="92">
        <f t="shared" si="3"/>
        <v>1477.9816878340541</v>
      </c>
      <c r="AR28" s="92">
        <f t="shared" si="4"/>
        <v>1728.2665699016318</v>
      </c>
      <c r="AS28" s="92">
        <f t="shared" si="5"/>
        <v>2118.2572895716339</v>
      </c>
      <c r="AT28" s="92">
        <f t="shared" si="6"/>
        <v>2298.0099952521714</v>
      </c>
      <c r="AU28" s="92">
        <f t="shared" si="7"/>
        <v>2593.3416239282401</v>
      </c>
      <c r="AV28" s="92">
        <f t="shared" si="8"/>
        <v>2465.2435690769935</v>
      </c>
      <c r="AW28" s="92">
        <f t="shared" si="9"/>
        <v>3076.7445723679543</v>
      </c>
      <c r="AX28" s="92">
        <f t="shared" si="10"/>
        <v>3581.1319207018814</v>
      </c>
      <c r="AY28" s="93">
        <f t="shared" si="11"/>
        <v>2516.4225791710001</v>
      </c>
      <c r="AZ28" s="94">
        <f t="shared" si="12"/>
        <v>2704.5501911916367</v>
      </c>
      <c r="BA28" s="95">
        <f t="shared" si="13"/>
        <v>3076.7445723679543</v>
      </c>
      <c r="BB28" s="96">
        <f>SUM('Defect P1'!CE28,'Defect P2'!CE28,RTS!CE28)</f>
        <v>6783.3333333333339</v>
      </c>
      <c r="BC28" s="96">
        <f>SUM('Defect P1'!CF28,'Defect P2'!CF28,RTS!CF28)</f>
        <v>6783.3333333333339</v>
      </c>
      <c r="BD28" s="96">
        <f>SUM('Defect P1'!CG28,'Defect P2'!CG28,RTS!CG28)</f>
        <v>6783.3333333333339</v>
      </c>
      <c r="BE28" s="96">
        <f>SUM('Defect P1'!CH28,'Defect P2'!CH28,RTS!CH28)</f>
        <v>7389.7526608666667</v>
      </c>
      <c r="BF28" s="96">
        <f>SUM('Defect P1'!CI28,'Defect P2'!CI28,RTS!CI28)</f>
        <v>7389.7526608666667</v>
      </c>
      <c r="BG28" s="96">
        <f>SUM('Defect P1'!CJ28,'Defect P2'!CJ28,RTS!CJ28)</f>
        <v>7389.7526608666667</v>
      </c>
      <c r="BH28" s="96">
        <f>SUM('Defect P1'!CK28,'Defect P2'!CK28,RTS!CK28)</f>
        <v>7389.7526608666667</v>
      </c>
      <c r="BI28" s="286">
        <f>SUM('Defect P1'!CL28,'Defect P2'!CL28,RTS!CL28)</f>
        <v>7389.7526608666667</v>
      </c>
      <c r="BJ28" s="99">
        <f t="shared" si="16"/>
        <v>2843.8294763730687</v>
      </c>
      <c r="BK28" s="640">
        <f>SUM('Defect P1'!CQ28,'Defect P2'!CQ28,RTS!CQ28)</f>
        <v>19290109.750506055</v>
      </c>
      <c r="BL28" s="97">
        <f>SUM('Defect P1'!CR28,'Defect P2'!CR28,RTS!CR28)</f>
        <v>19290109.750506055</v>
      </c>
      <c r="BM28" s="524">
        <f>SUM('Defect P1'!CS28,'Defect P2'!CS28,RTS!CS28)</f>
        <v>19290109.750506055</v>
      </c>
      <c r="BN28" s="416">
        <f>SUM('Defect P1'!CT28,'Defect P2'!CT28,RTS!CT28)</f>
        <v>21015516.558613703</v>
      </c>
      <c r="BO28" s="97">
        <f>SUM('Defect P1'!CU28,'Defect P2'!CU28,RTS!CU28)</f>
        <v>21015516.558613703</v>
      </c>
      <c r="BP28" s="97">
        <f>SUM('Defect P1'!CV28,'Defect P2'!CV28,RTS!CV28)</f>
        <v>21015516.558613703</v>
      </c>
      <c r="BQ28" s="97">
        <f>SUM('Defect P1'!CW28,'Defect P2'!CW28,RTS!CW28)</f>
        <v>21015516.558613703</v>
      </c>
      <c r="BR28" s="98">
        <f>SUM('Defect P1'!CX28,'Defect P2'!CX28,RTS!CX28)</f>
        <v>21015516.558613703</v>
      </c>
    </row>
    <row r="29" spans="1:70" x14ac:dyDescent="0.25">
      <c r="A29" s="81" t="s">
        <v>68</v>
      </c>
      <c r="B29" s="82" t="s">
        <v>71</v>
      </c>
      <c r="C29" s="83" t="s">
        <v>306</v>
      </c>
      <c r="D29" s="84">
        <f>SUM('Defect P1'!D29,'Defect P2'!D29,RTS!D29)</f>
        <v>2653788.9935006886</v>
      </c>
      <c r="E29" s="85">
        <f>SUM('Defect P1'!E29,'Defect P2'!E29,RTS!E29)</f>
        <v>3609662.0266207303</v>
      </c>
      <c r="F29" s="85">
        <f>SUM('Defect P1'!F29,'Defect P2'!F29,RTS!F29)</f>
        <v>6444443.0667161467</v>
      </c>
      <c r="G29" s="85">
        <f>SUM('Defect P1'!G29,'Defect P2'!G29,RTS!G29)</f>
        <v>4824872.5008961326</v>
      </c>
      <c r="H29" s="85">
        <f>SUM('Defect P1'!H29,'Defect P2'!H29,RTS!H29)</f>
        <v>7655480.9226712529</v>
      </c>
      <c r="I29" s="85">
        <f>SUM('Defect P1'!I29,'Defect P2'!I29,RTS!I29)</f>
        <v>3213815.7539412868</v>
      </c>
      <c r="J29" s="85">
        <f>SUM('Defect P1'!J29,'Defect P2'!J29,RTS!J29)</f>
        <v>12304422.564274507</v>
      </c>
      <c r="K29" s="85">
        <f>SUM('Defect P1'!K29,'Defect P2'!K29,RTS!K29)</f>
        <v>11339106.810838314</v>
      </c>
      <c r="L29" s="85">
        <f>SUM('Defect P1'!L29,'Defect P2'!L29,RTS!L29)</f>
        <v>11585830.853572812</v>
      </c>
      <c r="M29" s="85">
        <f>SUM('Defect P1'!M29,'Defect P2'!M29,RTS!M29)</f>
        <v>15524712.582156414</v>
      </c>
      <c r="N29" s="85">
        <v>18841301.644886497</v>
      </c>
      <c r="O29" s="560">
        <f>SUM('Defect P1'!O29,'Defect P2'!O29,RTS!O29)</f>
        <v>3570557.1711463626</v>
      </c>
      <c r="P29" s="561">
        <f>SUM('Defect P1'!P29,'Defect P2'!P29,RTS!P29)</f>
        <v>4784357.671039979</v>
      </c>
      <c r="Q29" s="561">
        <f>SUM('Defect P1'!Q29,'Defect P2'!Q29,RTS!Q29)</f>
        <v>8455146.3444799129</v>
      </c>
      <c r="R29" s="561">
        <f>SUM('Defect P1'!R29,'Defect P2'!R29,RTS!R29)</f>
        <v>6210174.2116014911</v>
      </c>
      <c r="S29" s="561">
        <f>SUM('Defect P1'!S29,'Defect P2'!S29,RTS!S29)</f>
        <v>9652939.8051574044</v>
      </c>
      <c r="T29" s="561">
        <f>SUM('Defect P1'!T29,'Defect P2'!T29,RTS!T29)</f>
        <v>3988821.9417120251</v>
      </c>
      <c r="U29" s="561">
        <f>SUM('Defect P1'!U29,'Defect P2'!U29,RTS!U29)</f>
        <v>15325010.328492399</v>
      </c>
      <c r="V29" s="561">
        <f>SUM('Defect P1'!V29,'Defect P2'!V29,RTS!V29)</f>
        <v>13599657.4197441</v>
      </c>
      <c r="W29" s="561">
        <f>SUM('Defect P1'!W29,'Defect P2'!W29,RTS!W29)</f>
        <v>13091145.809654843</v>
      </c>
      <c r="X29" s="561">
        <f>SUM('Defect P1'!X29,'Defect P2'!X29,RTS!X29)</f>
        <v>16509925.219933661</v>
      </c>
      <c r="Y29" s="561">
        <f>SUM('Defect P1'!Y29,'Defect P2'!Y29,RTS!Y29)</f>
        <v>18920189.90655797</v>
      </c>
      <c r="Z29" s="86">
        <f>SUM('Defect P1'!Z29,'Defect P2'!Z29,RTS!Z29)</f>
        <v>1811</v>
      </c>
      <c r="AA29" s="87">
        <f>SUM('Defect P1'!AA29,'Defect P2'!AA29,RTS!AA29)</f>
        <v>2053</v>
      </c>
      <c r="AB29" s="87">
        <f>SUM('Defect P1'!AB29,'Defect P2'!AB29,RTS!AB29)</f>
        <v>2980</v>
      </c>
      <c r="AC29" s="87">
        <f>SUM('Defect P1'!AC29,'Defect P2'!AC29,RTS!AC29)</f>
        <v>2437</v>
      </c>
      <c r="AD29" s="87">
        <f>SUM('Defect P1'!AD29,'Defect P2'!AD29,RTS!AD29)</f>
        <v>3898</v>
      </c>
      <c r="AE29" s="87">
        <f>SUM('Defect P1'!AE29,'Defect P2'!AE29,RTS!AE29)</f>
        <v>1886</v>
      </c>
      <c r="AF29" s="87">
        <f>SUM('Defect P1'!AF29,'Defect P2'!AF29,RTS!AF29)</f>
        <v>5421</v>
      </c>
      <c r="AG29" s="87">
        <f>SUM('Defect P1'!AG29,'Defect P2'!AG29,RTS!AG29)</f>
        <v>4604</v>
      </c>
      <c r="AH29" s="87">
        <f>SUM('Defect P1'!AH29,'Defect P2'!AH29,RTS!AH29)</f>
        <v>4656</v>
      </c>
      <c r="AI29" s="87">
        <f>SUM('Defect P1'!AI29,'Defect P2'!AI29,RTS!AI29)</f>
        <v>4570</v>
      </c>
      <c r="AJ29" s="87">
        <f>SUM('Defect P1'!AJ29,'Defect P2'!AJ29,RTS!AJ29)</f>
        <v>5469</v>
      </c>
      <c r="AK29" s="88">
        <f t="shared" si="14"/>
        <v>4227.3999999999996</v>
      </c>
      <c r="AL29" s="89" cm="1">
        <f t="array" ref="AL29">IFERROR(IF($AM$4="N",SSUM(AF29:AH29)/3,SUM(AG29:AI29)/3),"")</f>
        <v>4610</v>
      </c>
      <c r="AM29" s="90">
        <f t="shared" si="15"/>
        <v>4570</v>
      </c>
      <c r="AN29" s="91">
        <f t="shared" si="0"/>
        <v>1465.3721664829866</v>
      </c>
      <c r="AO29" s="92">
        <f t="shared" si="1"/>
        <v>1758.2377138922213</v>
      </c>
      <c r="AP29" s="92">
        <f t="shared" si="2"/>
        <v>2162.5647874886399</v>
      </c>
      <c r="AQ29" s="92">
        <f t="shared" si="3"/>
        <v>1979.8409933919297</v>
      </c>
      <c r="AR29" s="92">
        <f t="shared" si="4"/>
        <v>1963.9509806750264</v>
      </c>
      <c r="AS29" s="92">
        <f t="shared" si="5"/>
        <v>1704.0380455680206</v>
      </c>
      <c r="AT29" s="92">
        <f t="shared" si="6"/>
        <v>2269.7698882631444</v>
      </c>
      <c r="AU29" s="92">
        <f t="shared" si="7"/>
        <v>2462.8815835878181</v>
      </c>
      <c r="AV29" s="92">
        <f t="shared" si="8"/>
        <v>2488.3657331556728</v>
      </c>
      <c r="AW29" s="92">
        <f t="shared" si="9"/>
        <v>3397.092468743198</v>
      </c>
      <c r="AX29" s="92">
        <f t="shared" si="10"/>
        <v>3445.1090957920092</v>
      </c>
      <c r="AY29" s="93">
        <f t="shared" si="11"/>
        <v>2553.2425871591677</v>
      </c>
      <c r="AZ29" s="94">
        <f t="shared" si="12"/>
        <v>2780.1627076332279</v>
      </c>
      <c r="BA29" s="95">
        <f t="shared" si="13"/>
        <v>3397.092468743198</v>
      </c>
      <c r="BB29" s="96">
        <f>SUM('Defect P1'!CE29,'Defect P2'!CE29,RTS!CE29)</f>
        <v>4750.8</v>
      </c>
      <c r="BC29" s="96">
        <f>SUM('Defect P1'!CF29,'Defect P2'!CF29,RTS!CF29)</f>
        <v>4750.8</v>
      </c>
      <c r="BD29" s="96">
        <f>SUM('Defect P1'!CG29,'Defect P2'!CG29,RTS!CG29)</f>
        <v>4750.8</v>
      </c>
      <c r="BE29" s="96">
        <f>SUM('Defect P1'!CH29,'Defect P2'!CH29,RTS!CH29)</f>
        <v>5175.4694020314664</v>
      </c>
      <c r="BF29" s="96">
        <f>SUM('Defect P1'!CI29,'Defect P2'!CI29,RTS!CI29)</f>
        <v>5175.4694020314664</v>
      </c>
      <c r="BG29" s="96">
        <f>SUM('Defect P1'!CJ29,'Defect P2'!CJ29,RTS!CJ29)</f>
        <v>5175.4694020314664</v>
      </c>
      <c r="BH29" s="96">
        <f>SUM('Defect P1'!CK29,'Defect P2'!CK29,RTS!CK29)</f>
        <v>5175.4694020314664</v>
      </c>
      <c r="BI29" s="286">
        <f>SUM('Defect P1'!CL29,'Defect P2'!CL29,RTS!CL29)</f>
        <v>5175.4694020314664</v>
      </c>
      <c r="BJ29" s="99">
        <f t="shared" si="16"/>
        <v>2697.6829429918771</v>
      </c>
      <c r="BK29" s="640">
        <f>SUM('Defect P1'!CQ29,'Defect P2'!CQ29,RTS!CQ29)</f>
        <v>12816550.08218918</v>
      </c>
      <c r="BL29" s="97">
        <f>SUM('Defect P1'!CR29,'Defect P2'!CR29,RTS!CR29)</f>
        <v>12816550.08218918</v>
      </c>
      <c r="BM29" s="524">
        <f>SUM('Defect P1'!CS29,'Defect P2'!CS29,RTS!CS29)</f>
        <v>12816550.08218918</v>
      </c>
      <c r="BN29" s="416">
        <f>SUM('Defect P1'!CT29,'Defect P2'!CT29,RTS!CT29)</f>
        <v>13961536.753862638</v>
      </c>
      <c r="BO29" s="97">
        <f>SUM('Defect P1'!CU29,'Defect P2'!CU29,RTS!CU29)</f>
        <v>13961536.753862638</v>
      </c>
      <c r="BP29" s="97">
        <f>SUM('Defect P1'!CV29,'Defect P2'!CV29,RTS!CV29)</f>
        <v>13961536.753862638</v>
      </c>
      <c r="BQ29" s="97">
        <f>SUM('Defect P1'!CW29,'Defect P2'!CW29,RTS!CW29)</f>
        <v>13961536.753862638</v>
      </c>
      <c r="BR29" s="98">
        <f>SUM('Defect P1'!CX29,'Defect P2'!CX29,RTS!CX29)</f>
        <v>13961536.753862638</v>
      </c>
    </row>
    <row r="30" spans="1:70" x14ac:dyDescent="0.25">
      <c r="A30" s="81" t="s">
        <v>68</v>
      </c>
      <c r="B30" s="82" t="s">
        <v>73</v>
      </c>
      <c r="C30" s="83" t="s">
        <v>307</v>
      </c>
      <c r="D30" s="84">
        <f>SUM('Defect P1'!D30,'Defect P2'!D30,RTS!D30)</f>
        <v>1074007.3904024351</v>
      </c>
      <c r="E30" s="85">
        <f>SUM('Defect P1'!E30,'Defect P2'!E30,RTS!E30)</f>
        <v>1434361.468954087</v>
      </c>
      <c r="F30" s="85">
        <f>SUM('Defect P1'!F30,'Defect P2'!F30,RTS!F30)</f>
        <v>2344172.5967237917</v>
      </c>
      <c r="G30" s="85">
        <f>SUM('Defect P1'!G30,'Defect P2'!G30,RTS!G30)</f>
        <v>1160469.5146846629</v>
      </c>
      <c r="H30" s="85">
        <f>SUM('Defect P1'!H30,'Defect P2'!H30,RTS!H30)</f>
        <v>1833382.5566711216</v>
      </c>
      <c r="I30" s="85">
        <f>SUM('Defect P1'!I30,'Defect P2'!I30,RTS!I30)</f>
        <v>133480.1248454054</v>
      </c>
      <c r="J30" s="85">
        <f>SUM('Defect P1'!J30,'Defect P2'!J30,RTS!J30)</f>
        <v>2352898.4552073604</v>
      </c>
      <c r="K30" s="85">
        <f>SUM('Defect P1'!K30,'Defect P2'!K30,RTS!K30)</f>
        <v>4152554.463803255</v>
      </c>
      <c r="L30" s="85">
        <f>SUM('Defect P1'!L30,'Defect P2'!L30,RTS!L30)</f>
        <v>5260605.6513402741</v>
      </c>
      <c r="M30" s="85">
        <f>SUM('Defect P1'!M30,'Defect P2'!M30,RTS!M30)</f>
        <v>5810509.3455059621</v>
      </c>
      <c r="N30" s="85">
        <v>8694154.4893607907</v>
      </c>
      <c r="O30" s="560">
        <f>SUM('Defect P1'!O30,'Defect P2'!O30,RTS!O30)</f>
        <v>1445030.0302915212</v>
      </c>
      <c r="P30" s="561">
        <f>SUM('Defect P1'!P30,'Defect P2'!P30,RTS!P30)</f>
        <v>1901147.0454642938</v>
      </c>
      <c r="Q30" s="561">
        <f>SUM('Defect P1'!Q30,'Defect P2'!Q30,RTS!Q30)</f>
        <v>3075567.9205835345</v>
      </c>
      <c r="R30" s="561">
        <f>SUM('Defect P1'!R30,'Defect P2'!R30,RTS!R30)</f>
        <v>1493659.7499946111</v>
      </c>
      <c r="S30" s="561">
        <f>SUM('Defect P1'!S30,'Defect P2'!S30,RTS!S30)</f>
        <v>2311746.530118275</v>
      </c>
      <c r="T30" s="561">
        <f>SUM('Defect P1'!T30,'Defect P2'!T30,RTS!T30)</f>
        <v>165668.62929614616</v>
      </c>
      <c r="U30" s="561">
        <f>SUM('Defect P1'!U30,'Defect P2'!U30,RTS!U30)</f>
        <v>2930506.7295592087</v>
      </c>
      <c r="V30" s="561">
        <f>SUM('Defect P1'!V30,'Defect P2'!V30,RTS!V30)</f>
        <v>4980402.6954375496</v>
      </c>
      <c r="W30" s="561">
        <f>SUM('Defect P1'!W30,'Defect P2'!W30,RTS!W30)</f>
        <v>5944101.5926408647</v>
      </c>
      <c r="X30" s="561">
        <f>SUM('Defect P1'!X30,'Defect P2'!X30,RTS!X30)</f>
        <v>6179249.6496385448</v>
      </c>
      <c r="Y30" s="561">
        <f>SUM('Defect P1'!Y30,'Defect P2'!Y30,RTS!Y30)</f>
        <v>8730419.9887465574</v>
      </c>
      <c r="Z30" s="86">
        <f>SUM('Defect P1'!Z30,'Defect P2'!Z30,RTS!Z30)</f>
        <v>1285</v>
      </c>
      <c r="AA30" s="87">
        <f>SUM('Defect P1'!AA30,'Defect P2'!AA30,RTS!AA30)</f>
        <v>1371</v>
      </c>
      <c r="AB30" s="87">
        <f>SUM('Defect P1'!AB30,'Defect P2'!AB30,RTS!AB30)</f>
        <v>1256</v>
      </c>
      <c r="AC30" s="87">
        <f>SUM('Defect P1'!AC30,'Defect P2'!AC30,RTS!AC30)</f>
        <v>914</v>
      </c>
      <c r="AD30" s="87">
        <f>SUM('Defect P1'!AD30,'Defect P2'!AD30,RTS!AD30)</f>
        <v>1296</v>
      </c>
      <c r="AE30" s="87">
        <f>SUM('Defect P1'!AE30,'Defect P2'!AE30,RTS!AE30)</f>
        <v>13</v>
      </c>
      <c r="AF30" s="87">
        <f>SUM('Defect P1'!AF30,'Defect P2'!AF30,RTS!AF30)</f>
        <v>1084</v>
      </c>
      <c r="AG30" s="87">
        <f>SUM('Defect P1'!AG30,'Defect P2'!AG30,RTS!AG30)</f>
        <v>1132</v>
      </c>
      <c r="AH30" s="87">
        <f>SUM('Defect P1'!AH30,'Defect P2'!AH30,RTS!AH30)</f>
        <v>1300</v>
      </c>
      <c r="AI30" s="87">
        <f>SUM('Defect P1'!AI30,'Defect P2'!AI30,RTS!AI30)</f>
        <v>1250</v>
      </c>
      <c r="AJ30" s="87">
        <f>SUM('Defect P1'!AJ30,'Defect P2'!AJ30,RTS!AJ30)</f>
        <v>1172</v>
      </c>
      <c r="AK30" s="88">
        <f t="shared" si="14"/>
        <v>955.8</v>
      </c>
      <c r="AL30" s="89" cm="1">
        <f t="array" ref="AL30">IFERROR(IF($AM$4="N",SSUM(AF30:AH30)/3,SUM(AG30:AI30)/3),"")</f>
        <v>1227.3333333333333</v>
      </c>
      <c r="AM30" s="90">
        <f t="shared" si="15"/>
        <v>1250</v>
      </c>
      <c r="AN30" s="91">
        <f t="shared" si="0"/>
        <v>835.80341665559149</v>
      </c>
      <c r="AO30" s="92">
        <f t="shared" si="1"/>
        <v>1046.2155134603115</v>
      </c>
      <c r="AP30" s="92">
        <f t="shared" si="2"/>
        <v>1866.3794559902799</v>
      </c>
      <c r="AQ30" s="92">
        <f t="shared" si="3"/>
        <v>1269.6603005302659</v>
      </c>
      <c r="AR30" s="92">
        <f t="shared" si="4"/>
        <v>1414.6470344684581</v>
      </c>
      <c r="AS30" s="92">
        <f t="shared" si="5"/>
        <v>10267.701911185031</v>
      </c>
      <c r="AT30" s="92">
        <f t="shared" si="6"/>
        <v>2170.5705306340965</v>
      </c>
      <c r="AU30" s="92">
        <f t="shared" si="7"/>
        <v>3668.334331981674</v>
      </c>
      <c r="AV30" s="92">
        <f t="shared" si="8"/>
        <v>4046.619731800211</v>
      </c>
      <c r="AW30" s="92">
        <f t="shared" si="9"/>
        <v>4648.40747640477</v>
      </c>
      <c r="AX30" s="92">
        <f t="shared" si="10"/>
        <v>7418.220554062108</v>
      </c>
      <c r="AY30" s="93">
        <f t="shared" si="11"/>
        <v>3705.8062441310435</v>
      </c>
      <c r="AZ30" s="94">
        <f t="shared" si="12"/>
        <v>4134.6196253800899</v>
      </c>
      <c r="BA30" s="95">
        <f t="shared" si="13"/>
        <v>4648.40747640477</v>
      </c>
      <c r="BB30" s="96">
        <f>SUM('Defect P1'!CE30,'Defect P2'!CE30,RTS!CE30)</f>
        <v>1250.1333333333332</v>
      </c>
      <c r="BC30" s="96">
        <f>SUM('Defect P1'!CF30,'Defect P2'!CF30,RTS!CF30)</f>
        <v>1250.1333333333332</v>
      </c>
      <c r="BD30" s="96">
        <f>SUM('Defect P1'!CG30,'Defect P2'!CG30,RTS!CG30)</f>
        <v>1250.1333333333332</v>
      </c>
      <c r="BE30" s="96">
        <f>SUM('Defect P1'!CH30,'Defect P2'!CH30,RTS!CH30)</f>
        <v>1362.0336218101331</v>
      </c>
      <c r="BF30" s="96">
        <f>SUM('Defect P1'!CI30,'Defect P2'!CI30,RTS!CI30)</f>
        <v>1362.0336218101331</v>
      </c>
      <c r="BG30" s="96">
        <f>SUM('Defect P1'!CJ30,'Defect P2'!CJ30,RTS!CJ30)</f>
        <v>1362.0336218101331</v>
      </c>
      <c r="BH30" s="96">
        <f>SUM('Defect P1'!CK30,'Defect P2'!CK30,RTS!CK30)</f>
        <v>1362.0336218101331</v>
      </c>
      <c r="BI30" s="286">
        <f>SUM('Defect P1'!CL30,'Defect P2'!CL30,RTS!CL30)</f>
        <v>1362.0336218101331</v>
      </c>
      <c r="BJ30" s="99">
        <f t="shared" si="16"/>
        <v>4402.2875599705612</v>
      </c>
      <c r="BK30" s="640">
        <f>SUM('Defect P1'!CQ30,'Defect P2'!CQ30,RTS!CQ30)</f>
        <v>5503446.4216378639</v>
      </c>
      <c r="BL30" s="97">
        <f>SUM('Defect P1'!CR30,'Defect P2'!CR30,RTS!CR30)</f>
        <v>5503446.4216378639</v>
      </c>
      <c r="BM30" s="524">
        <f>SUM('Defect P1'!CS30,'Defect P2'!CS30,RTS!CS30)</f>
        <v>5503446.4216378639</v>
      </c>
      <c r="BN30" s="416">
        <f>SUM('Defect P1'!CT30,'Defect P2'!CT30,RTS!CT30)</f>
        <v>5996063.6695563979</v>
      </c>
      <c r="BO30" s="97">
        <f>SUM('Defect P1'!CU30,'Defect P2'!CU30,RTS!CU30)</f>
        <v>5996063.6695563979</v>
      </c>
      <c r="BP30" s="97">
        <f>SUM('Defect P1'!CV30,'Defect P2'!CV30,RTS!CV30)</f>
        <v>5996063.6695563979</v>
      </c>
      <c r="BQ30" s="97">
        <f>SUM('Defect P1'!CW30,'Defect P2'!CW30,RTS!CW30)</f>
        <v>5996063.6695563979</v>
      </c>
      <c r="BR30" s="98">
        <f>SUM('Defect P1'!CX30,'Defect P2'!CX30,RTS!CX30)</f>
        <v>5996063.6695563979</v>
      </c>
    </row>
    <row r="31" spans="1:70" x14ac:dyDescent="0.25">
      <c r="A31" s="81" t="s">
        <v>68</v>
      </c>
      <c r="B31" s="82" t="s">
        <v>75</v>
      </c>
      <c r="C31" s="83" t="s">
        <v>76</v>
      </c>
      <c r="D31" s="84">
        <f>SUM('Defect P1'!D31,'Defect P2'!D31,RTS!D31)</f>
        <v>-670.44</v>
      </c>
      <c r="E31" s="85">
        <f>SUM('Defect P1'!E31,'Defect P2'!E31,RTS!E31)</f>
        <v>54917.142373754526</v>
      </c>
      <c r="F31" s="85">
        <f>SUM('Defect P1'!F31,'Defect P2'!F31,RTS!F31)</f>
        <v>66985.035684686023</v>
      </c>
      <c r="G31" s="85">
        <f>SUM('Defect P1'!G31,'Defect P2'!G31,RTS!G31)</f>
        <v>41541.641464464541</v>
      </c>
      <c r="H31" s="85">
        <f>SUM('Defect P1'!H31,'Defect P2'!H31,RTS!H31)</f>
        <v>0</v>
      </c>
      <c r="I31" s="85">
        <f>SUM('Defect P1'!I31,'Defect P2'!I31,RTS!I31)</f>
        <v>0</v>
      </c>
      <c r="J31" s="85">
        <f>SUM('Defect P1'!J31,'Defect P2'!J31,RTS!J31)</f>
        <v>27788.138474576001</v>
      </c>
      <c r="K31" s="85">
        <f>SUM('Defect P1'!K31,'Defect P2'!K31,RTS!K31)</f>
        <v>87227.337855171994</v>
      </c>
      <c r="L31" s="85">
        <f>SUM('Defect P1'!L31,'Defect P2'!L31,RTS!L31)</f>
        <v>0</v>
      </c>
      <c r="M31" s="85">
        <f>SUM('Defect P1'!M31,'Defect P2'!M31,RTS!M31)</f>
        <v>315932.54908647679</v>
      </c>
      <c r="N31" s="85">
        <v>668258.37482574454</v>
      </c>
      <c r="O31" s="560">
        <f>SUM('Defect P1'!O31,'Defect P2'!O31,RTS!O31)</f>
        <v>-902.04773464885739</v>
      </c>
      <c r="P31" s="561">
        <f>SUM('Defect P1'!P31,'Defect P2'!P31,RTS!P31)</f>
        <v>72788.878695505016</v>
      </c>
      <c r="Q31" s="561">
        <f>SUM('Defect P1'!Q31,'Defect P2'!Q31,RTS!Q31)</f>
        <v>87884.751830514695</v>
      </c>
      <c r="R31" s="561">
        <f>SUM('Defect P1'!R31,'Defect P2'!R31,RTS!R31)</f>
        <v>53468.942543517493</v>
      </c>
      <c r="S31" s="561">
        <f>SUM('Defect P1'!S31,'Defect P2'!S31,RTS!S31)</f>
        <v>0</v>
      </c>
      <c r="T31" s="561">
        <f>SUM('Defect P1'!T31,'Defect P2'!T31,RTS!T31)</f>
        <v>0</v>
      </c>
      <c r="U31" s="561">
        <f>SUM('Defect P1'!U31,'Defect P2'!U31,RTS!U31)</f>
        <v>34609.79228467869</v>
      </c>
      <c r="V31" s="561">
        <f>SUM('Defect P1'!V31,'Defect P2'!V31,RTS!V31)</f>
        <v>104616.87434963968</v>
      </c>
      <c r="W31" s="561">
        <f>SUM('Defect P1'!W31,'Defect P2'!W31,RTS!W31)</f>
        <v>0</v>
      </c>
      <c r="X31" s="561">
        <f>SUM('Defect P1'!X31,'Defect P2'!X31,RTS!X31)</f>
        <v>335981.92123414087</v>
      </c>
      <c r="Y31" s="561">
        <f>SUM('Defect P1'!Y31,'Defect P2'!Y31,RTS!Y31)</f>
        <v>670983.87075147906</v>
      </c>
      <c r="Z31" s="86">
        <f>SUM('Defect P1'!Z31,'Defect P2'!Z31,RTS!Z31)</f>
        <v>-1</v>
      </c>
      <c r="AA31" s="87">
        <f>SUM('Defect P1'!AA31,'Defect P2'!AA31,RTS!AA31)</f>
        <v>8</v>
      </c>
      <c r="AB31" s="87">
        <f>SUM('Defect P1'!AB31,'Defect P2'!AB31,RTS!AB31)</f>
        <v>8</v>
      </c>
      <c r="AC31" s="87">
        <f>SUM('Defect P1'!AC31,'Defect P2'!AC31,RTS!AC31)</f>
        <v>5</v>
      </c>
      <c r="AD31" s="87">
        <f>SUM('Defect P1'!AD31,'Defect P2'!AD31,RTS!AD31)</f>
        <v>0</v>
      </c>
      <c r="AE31" s="87">
        <f>SUM('Defect P1'!AE31,'Defect P2'!AE31,RTS!AE31)</f>
        <v>0</v>
      </c>
      <c r="AF31" s="87">
        <f>SUM('Defect P1'!AF31,'Defect P2'!AF31,RTS!AF31)</f>
        <v>14</v>
      </c>
      <c r="AG31" s="87">
        <f>SUM('Defect P1'!AG31,'Defect P2'!AG31,RTS!AG31)</f>
        <v>9</v>
      </c>
      <c r="AH31" s="87">
        <f>SUM('Defect P1'!AH31,'Defect P2'!AH31,RTS!AH31)</f>
        <v>0</v>
      </c>
      <c r="AI31" s="87">
        <f>SUM('Defect P1'!AI31,'Defect P2'!AI31,RTS!AI31)</f>
        <v>49</v>
      </c>
      <c r="AJ31" s="87">
        <f>SUM('Defect P1'!AJ31,'Defect P2'!AJ31,RTS!AJ31)</f>
        <v>79</v>
      </c>
      <c r="AK31" s="88">
        <f t="shared" si="14"/>
        <v>14.4</v>
      </c>
      <c r="AL31" s="89" cm="1">
        <f t="array" ref="AL31">IFERROR(IF($AM$4="N",SSUM(AF31:AH31)/3,SUM(AG31:AI31)/3),"")</f>
        <v>19.333333333333332</v>
      </c>
      <c r="AM31" s="90">
        <f t="shared" si="15"/>
        <v>49</v>
      </c>
      <c r="AN31" s="91">
        <f t="shared" si="0"/>
        <v>670.44</v>
      </c>
      <c r="AO31" s="92">
        <f t="shared" si="1"/>
        <v>6864.6427967193158</v>
      </c>
      <c r="AP31" s="92">
        <f t="shared" si="2"/>
        <v>8373.1294605857529</v>
      </c>
      <c r="AQ31" s="92">
        <f t="shared" si="3"/>
        <v>8308.3282928929075</v>
      </c>
      <c r="AR31" s="92" t="str">
        <f t="shared" si="4"/>
        <v/>
      </c>
      <c r="AS31" s="92" t="str">
        <f t="shared" si="5"/>
        <v/>
      </c>
      <c r="AT31" s="92">
        <f t="shared" si="6"/>
        <v>1984.8670338982859</v>
      </c>
      <c r="AU31" s="92">
        <f t="shared" si="7"/>
        <v>9691.9264283524444</v>
      </c>
      <c r="AV31" s="92" t="str">
        <f t="shared" si="8"/>
        <v/>
      </c>
      <c r="AW31" s="92">
        <f t="shared" si="9"/>
        <v>6447.6030425811587</v>
      </c>
      <c r="AX31" s="92">
        <f t="shared" si="10"/>
        <v>8458.9667699461334</v>
      </c>
      <c r="AY31" s="93">
        <f t="shared" si="11"/>
        <v>5985.3892418920113</v>
      </c>
      <c r="AZ31" s="94">
        <f t="shared" si="12"/>
        <v>6951.0325334767031</v>
      </c>
      <c r="BA31" s="95">
        <f t="shared" si="13"/>
        <v>6447.6030425811587</v>
      </c>
      <c r="BB31" s="96">
        <f>SUM('Defect P1'!CE31,'Defect P2'!CE31,RTS!CE31)</f>
        <v>19.533333333333331</v>
      </c>
      <c r="BC31" s="96">
        <f>SUM('Defect P1'!CF31,'Defect P2'!CF31,RTS!CF31)</f>
        <v>19.533333333333331</v>
      </c>
      <c r="BD31" s="96">
        <f>SUM('Defect P1'!CG31,'Defect P2'!CG31,RTS!CG31)</f>
        <v>19.533333333333331</v>
      </c>
      <c r="BE31" s="96">
        <f>SUM('Defect P1'!CH31,'Defect P2'!CH31,RTS!CH31)</f>
        <v>21.278019904533334</v>
      </c>
      <c r="BF31" s="96">
        <f>SUM('Defect P1'!CI31,'Defect P2'!CI31,RTS!CI31)</f>
        <v>21.278019904533334</v>
      </c>
      <c r="BG31" s="96">
        <f>SUM('Defect P1'!CJ31,'Defect P2'!CJ31,RTS!CJ31)</f>
        <v>21.278019904533334</v>
      </c>
      <c r="BH31" s="96">
        <f>SUM('Defect P1'!CK31,'Defect P2'!CK31,RTS!CK31)</f>
        <v>21.278019904533334</v>
      </c>
      <c r="BI31" s="286">
        <f>SUM('Defect P1'!CL31,'Defect P2'!CL31,RTS!CL31)</f>
        <v>21.278019904533334</v>
      </c>
      <c r="BJ31" s="99">
        <f t="shared" si="16"/>
        <v>6879.8362810327289</v>
      </c>
      <c r="BK31" s="640">
        <f>SUM('Defect P1'!CQ31,'Defect P2'!CQ31,RTS!CQ31)</f>
        <v>134386.62898054958</v>
      </c>
      <c r="BL31" s="97">
        <f>SUM('Defect P1'!CR31,'Defect P2'!CR31,RTS!CR31)</f>
        <v>134386.62898054958</v>
      </c>
      <c r="BM31" s="524">
        <f>SUM('Defect P1'!CS31,'Defect P2'!CS31,RTS!CS31)</f>
        <v>134386.62898054958</v>
      </c>
      <c r="BN31" s="416">
        <f>SUM('Defect P1'!CT31,'Defect P2'!CT31,RTS!CT31)</f>
        <v>146388.99715311881</v>
      </c>
      <c r="BO31" s="97">
        <f>SUM('Defect P1'!CU31,'Defect P2'!CU31,RTS!CU31)</f>
        <v>146388.99715311881</v>
      </c>
      <c r="BP31" s="97">
        <f>SUM('Defect P1'!CV31,'Defect P2'!CV31,RTS!CV31)</f>
        <v>146388.99715311881</v>
      </c>
      <c r="BQ31" s="97">
        <f>SUM('Defect P1'!CW31,'Defect P2'!CW31,RTS!CW31)</f>
        <v>146388.99715311881</v>
      </c>
      <c r="BR31" s="98">
        <f>SUM('Defect P1'!CX31,'Defect P2'!CX31,RTS!CX31)</f>
        <v>146388.99715311881</v>
      </c>
    </row>
    <row r="32" spans="1:70" x14ac:dyDescent="0.25">
      <c r="A32" s="81" t="s">
        <v>68</v>
      </c>
      <c r="B32" s="82" t="s">
        <v>77</v>
      </c>
      <c r="C32" s="83" t="s">
        <v>78</v>
      </c>
      <c r="D32" s="84">
        <f>SUM('Defect P1'!D32,'Defect P2'!D32,RTS!D32)</f>
        <v>0</v>
      </c>
      <c r="E32" s="85">
        <f>SUM('Defect P1'!E32,'Defect P2'!E32,RTS!E32)</f>
        <v>0</v>
      </c>
      <c r="F32" s="85">
        <f>SUM('Defect P1'!F32,'Defect P2'!F32,RTS!F32)</f>
        <v>0</v>
      </c>
      <c r="G32" s="85">
        <f>SUM('Defect P1'!G32,'Defect P2'!G32,RTS!G32)</f>
        <v>0</v>
      </c>
      <c r="H32" s="85">
        <f>SUM('Defect P1'!H32,'Defect P2'!H32,RTS!H32)</f>
        <v>0</v>
      </c>
      <c r="I32" s="85">
        <f>SUM('Defect P1'!I32,'Defect P2'!I32,RTS!I32)</f>
        <v>0</v>
      </c>
      <c r="J32" s="85">
        <f>SUM('Defect P1'!J32,'Defect P2'!J32,RTS!J32)</f>
        <v>0</v>
      </c>
      <c r="K32" s="85">
        <f>SUM('Defect P1'!K32,'Defect P2'!K32,RTS!K32)</f>
        <v>0</v>
      </c>
      <c r="L32" s="85">
        <f>SUM('Defect P1'!L32,'Defect P2'!L32,RTS!L32)</f>
        <v>0</v>
      </c>
      <c r="M32" s="85">
        <f>SUM('Defect P1'!M32,'Defect P2'!M32,RTS!M32)</f>
        <v>0</v>
      </c>
      <c r="N32" s="85">
        <v>0</v>
      </c>
      <c r="O32" s="560">
        <f>SUM('Defect P1'!O32,'Defect P2'!O32,RTS!O32)</f>
        <v>0</v>
      </c>
      <c r="P32" s="561">
        <f>SUM('Defect P1'!P32,'Defect P2'!P32,RTS!P32)</f>
        <v>0</v>
      </c>
      <c r="Q32" s="561">
        <f>SUM('Defect P1'!Q32,'Defect P2'!Q32,RTS!Q32)</f>
        <v>0</v>
      </c>
      <c r="R32" s="561">
        <f>SUM('Defect P1'!R32,'Defect P2'!R32,RTS!R32)</f>
        <v>0</v>
      </c>
      <c r="S32" s="561">
        <f>SUM('Defect P1'!S32,'Defect P2'!S32,RTS!S32)</f>
        <v>0</v>
      </c>
      <c r="T32" s="561">
        <f>SUM('Defect P1'!T32,'Defect P2'!T32,RTS!T32)</f>
        <v>0</v>
      </c>
      <c r="U32" s="561">
        <f>SUM('Defect P1'!U32,'Defect P2'!U32,RTS!U32)</f>
        <v>0</v>
      </c>
      <c r="V32" s="561">
        <f>SUM('Defect P1'!V32,'Defect P2'!V32,RTS!V32)</f>
        <v>0</v>
      </c>
      <c r="W32" s="561">
        <f>SUM('Defect P1'!W32,'Defect P2'!W32,RTS!W32)</f>
        <v>0</v>
      </c>
      <c r="X32" s="561">
        <f>SUM('Defect P1'!X32,'Defect P2'!X32,RTS!X32)</f>
        <v>0</v>
      </c>
      <c r="Y32" s="561">
        <f>SUM('Defect P1'!Y32,'Defect P2'!Y32,RTS!Y32)</f>
        <v>0</v>
      </c>
      <c r="Z32" s="86">
        <f>SUM('Defect P1'!Z32,'Defect P2'!Z32,RTS!Z32)</f>
        <v>0</v>
      </c>
      <c r="AA32" s="87">
        <f>SUM('Defect P1'!AA32,'Defect P2'!AA32,RTS!AA32)</f>
        <v>0</v>
      </c>
      <c r="AB32" s="87">
        <f>SUM('Defect P1'!AB32,'Defect P2'!AB32,RTS!AB32)</f>
        <v>0</v>
      </c>
      <c r="AC32" s="87">
        <f>SUM('Defect P1'!AC32,'Defect P2'!AC32,RTS!AC32)</f>
        <v>0</v>
      </c>
      <c r="AD32" s="87">
        <f>SUM('Defect P1'!AD32,'Defect P2'!AD32,RTS!AD32)</f>
        <v>0</v>
      </c>
      <c r="AE32" s="87">
        <f>SUM('Defect P1'!AE32,'Defect P2'!AE32,RTS!AE32)</f>
        <v>0</v>
      </c>
      <c r="AF32" s="87">
        <f>SUM('Defect P1'!AF32,'Defect P2'!AF32,RTS!AF32)</f>
        <v>0</v>
      </c>
      <c r="AG32" s="87">
        <f>SUM('Defect P1'!AG32,'Defect P2'!AG32,RTS!AG32)</f>
        <v>0</v>
      </c>
      <c r="AH32" s="87">
        <f>SUM('Defect P1'!AH32,'Defect P2'!AH32,RTS!AH32)</f>
        <v>0</v>
      </c>
      <c r="AI32" s="87">
        <f>SUM('Defect P1'!AI32,'Defect P2'!AI32,RTS!AI32)</f>
        <v>0</v>
      </c>
      <c r="AJ32" s="87">
        <f>SUM('Defect P1'!AJ32,'Defect P2'!AJ32,RTS!AJ32)</f>
        <v>0</v>
      </c>
      <c r="AK32" s="88">
        <f t="shared" si="14"/>
        <v>0</v>
      </c>
      <c r="AL32" s="89" cm="1">
        <f t="array" ref="AL32">IFERROR(IF($AM$4="N",SSUM(AF32:AH32)/3,SUM(AG32:AI32)/3),"")</f>
        <v>0</v>
      </c>
      <c r="AM32" s="90">
        <f t="shared" si="15"/>
        <v>0</v>
      </c>
      <c r="AN32" s="91" t="str">
        <f t="shared" si="0"/>
        <v/>
      </c>
      <c r="AO32" s="92" t="str">
        <f t="shared" si="1"/>
        <v/>
      </c>
      <c r="AP32" s="92" t="str">
        <f t="shared" si="2"/>
        <v/>
      </c>
      <c r="AQ32" s="92" t="str">
        <f t="shared" si="3"/>
        <v/>
      </c>
      <c r="AR32" s="92" t="str">
        <f t="shared" si="4"/>
        <v/>
      </c>
      <c r="AS32" s="92" t="str">
        <f t="shared" si="5"/>
        <v/>
      </c>
      <c r="AT32" s="92" t="str">
        <f t="shared" si="6"/>
        <v/>
      </c>
      <c r="AU32" s="92" t="str">
        <f t="shared" si="7"/>
        <v/>
      </c>
      <c r="AV32" s="92" t="str">
        <f t="shared" si="8"/>
        <v/>
      </c>
      <c r="AW32" s="92" t="str">
        <f t="shared" si="9"/>
        <v/>
      </c>
      <c r="AX32" s="92" t="str">
        <f t="shared" si="10"/>
        <v/>
      </c>
      <c r="AY32" s="93" t="str">
        <f t="shared" si="11"/>
        <v/>
      </c>
      <c r="AZ32" s="94" t="str">
        <f t="shared" si="12"/>
        <v/>
      </c>
      <c r="BA32" s="95" t="str">
        <f t="shared" si="13"/>
        <v/>
      </c>
      <c r="BB32" s="96">
        <f>SUM('Defect P1'!CE32,'Defect P2'!CE32,RTS!CE32)</f>
        <v>0</v>
      </c>
      <c r="BC32" s="96">
        <f>SUM('Defect P1'!CF32,'Defect P2'!CF32,RTS!CF32)</f>
        <v>0</v>
      </c>
      <c r="BD32" s="96">
        <f>SUM('Defect P1'!CG32,'Defect P2'!CG32,RTS!CG32)</f>
        <v>0</v>
      </c>
      <c r="BE32" s="96">
        <f>SUM('Defect P1'!CH32,'Defect P2'!CH32,RTS!CH32)</f>
        <v>0</v>
      </c>
      <c r="BF32" s="96">
        <f>SUM('Defect P1'!CI32,'Defect P2'!CI32,RTS!CI32)</f>
        <v>0</v>
      </c>
      <c r="BG32" s="96">
        <f>SUM('Defect P1'!CJ32,'Defect P2'!CJ32,RTS!CJ32)</f>
        <v>0</v>
      </c>
      <c r="BH32" s="96">
        <f>SUM('Defect P1'!CK32,'Defect P2'!CK32,RTS!CK32)</f>
        <v>0</v>
      </c>
      <c r="BI32" s="286">
        <f>SUM('Defect P1'!CL32,'Defect P2'!CL32,RTS!CL32)</f>
        <v>0</v>
      </c>
      <c r="BJ32" s="99" t="str">
        <f t="shared" si="16"/>
        <v/>
      </c>
      <c r="BK32" s="640">
        <f>SUM('Defect P1'!CQ32,'Defect P2'!CQ32,RTS!CQ32)</f>
        <v>0</v>
      </c>
      <c r="BL32" s="97">
        <f>SUM('Defect P1'!CR32,'Defect P2'!CR32,RTS!CR32)</f>
        <v>0</v>
      </c>
      <c r="BM32" s="524">
        <f>SUM('Defect P1'!CS32,'Defect P2'!CS32,RTS!CS32)</f>
        <v>0</v>
      </c>
      <c r="BN32" s="416">
        <f>SUM('Defect P1'!CT32,'Defect P2'!CT32,RTS!CT32)</f>
        <v>0</v>
      </c>
      <c r="BO32" s="97">
        <f>SUM('Defect P1'!CU32,'Defect P2'!CU32,RTS!CU32)</f>
        <v>0</v>
      </c>
      <c r="BP32" s="97">
        <f>SUM('Defect P1'!CV32,'Defect P2'!CV32,RTS!CV32)</f>
        <v>0</v>
      </c>
      <c r="BQ32" s="97">
        <f>SUM('Defect P1'!CW32,'Defect P2'!CW32,RTS!CW32)</f>
        <v>0</v>
      </c>
      <c r="BR32" s="98">
        <f>SUM('Defect P1'!CX32,'Defect P2'!CX32,RTS!CX32)</f>
        <v>0</v>
      </c>
    </row>
    <row r="33" spans="1:70" ht="15.75" thickBot="1" x14ac:dyDescent="0.3">
      <c r="A33" s="100" t="s">
        <v>68</v>
      </c>
      <c r="B33" s="101" t="s">
        <v>308</v>
      </c>
      <c r="C33" s="102" t="s">
        <v>309</v>
      </c>
      <c r="D33" s="103">
        <f>SUM('Defect P1'!D33,'Defect P2'!D33,RTS!D33)</f>
        <v>0</v>
      </c>
      <c r="E33" s="104">
        <f>SUM('Defect P1'!E33,'Defect P2'!E33,RTS!E33)</f>
        <v>0</v>
      </c>
      <c r="F33" s="104">
        <f>SUM('Defect P1'!F33,'Defect P2'!F33,RTS!F33)</f>
        <v>0</v>
      </c>
      <c r="G33" s="104">
        <f>SUM('Defect P1'!G33,'Defect P2'!G33,RTS!G33)</f>
        <v>0</v>
      </c>
      <c r="H33" s="104">
        <f>SUM('Defect P1'!H33,'Defect P2'!H33,RTS!H33)</f>
        <v>0</v>
      </c>
      <c r="I33" s="104">
        <f>SUM('Defect P1'!I33,'Defect P2'!I33,RTS!I33)</f>
        <v>0</v>
      </c>
      <c r="J33" s="104">
        <f>SUM('Defect P1'!J33,'Defect P2'!J33,RTS!J33)</f>
        <v>0</v>
      </c>
      <c r="K33" s="104">
        <f>SUM('Defect P1'!K33,'Defect P2'!K33,RTS!K33)</f>
        <v>0</v>
      </c>
      <c r="L33" s="104">
        <f>SUM('Defect P1'!L33,'Defect P2'!L33,RTS!L33)</f>
        <v>0</v>
      </c>
      <c r="M33" s="104">
        <f>SUM('Defect P1'!M33,'Defect P2'!M33,RTS!M33)</f>
        <v>0</v>
      </c>
      <c r="N33" s="104">
        <v>0</v>
      </c>
      <c r="O33" s="563">
        <f>SUM('Defect P1'!O33,'Defect P2'!O33,RTS!O33)</f>
        <v>0</v>
      </c>
      <c r="P33" s="564">
        <f>SUM('Defect P1'!P33,'Defect P2'!P33,RTS!P33)</f>
        <v>0</v>
      </c>
      <c r="Q33" s="564">
        <f>SUM('Defect P1'!Q33,'Defect P2'!Q33,RTS!Q33)</f>
        <v>0</v>
      </c>
      <c r="R33" s="564">
        <f>SUM('Defect P1'!R33,'Defect P2'!R33,RTS!R33)</f>
        <v>0</v>
      </c>
      <c r="S33" s="564">
        <f>SUM('Defect P1'!S33,'Defect P2'!S33,RTS!S33)</f>
        <v>0</v>
      </c>
      <c r="T33" s="564">
        <f>SUM('Defect P1'!T33,'Defect P2'!T33,RTS!T33)</f>
        <v>0</v>
      </c>
      <c r="U33" s="564">
        <f>SUM('Defect P1'!U33,'Defect P2'!U33,RTS!U33)</f>
        <v>0</v>
      </c>
      <c r="V33" s="564">
        <f>SUM('Defect P1'!V33,'Defect P2'!V33,RTS!V33)</f>
        <v>0</v>
      </c>
      <c r="W33" s="564">
        <f>SUM('Defect P1'!W33,'Defect P2'!W33,RTS!W33)</f>
        <v>0</v>
      </c>
      <c r="X33" s="564">
        <f>SUM('Defect P1'!X33,'Defect P2'!X33,RTS!X33)</f>
        <v>0</v>
      </c>
      <c r="Y33" s="564">
        <f>SUM('Defect P1'!Y33,'Defect P2'!Y33,RTS!Y33)</f>
        <v>0</v>
      </c>
      <c r="Z33" s="105">
        <f>SUM('Defect P1'!Z33,'Defect P2'!Z33,RTS!Z33)</f>
        <v>0</v>
      </c>
      <c r="AA33" s="106">
        <f>SUM('Defect P1'!AA33,'Defect P2'!AA33,RTS!AA33)</f>
        <v>0</v>
      </c>
      <c r="AB33" s="106">
        <f>SUM('Defect P1'!AB33,'Defect P2'!AB33,RTS!AB33)</f>
        <v>0</v>
      </c>
      <c r="AC33" s="106">
        <f>SUM('Defect P1'!AC33,'Defect P2'!AC33,RTS!AC33)</f>
        <v>0</v>
      </c>
      <c r="AD33" s="106">
        <f>SUM('Defect P1'!AD33,'Defect P2'!AD33,RTS!AD33)</f>
        <v>0</v>
      </c>
      <c r="AE33" s="106">
        <f>SUM('Defect P1'!AE33,'Defect P2'!AE33,RTS!AE33)</f>
        <v>0</v>
      </c>
      <c r="AF33" s="106">
        <f>SUM('Defect P1'!AF33,'Defect P2'!AF33,RTS!AF33)</f>
        <v>0</v>
      </c>
      <c r="AG33" s="106">
        <f>SUM('Defect P1'!AG33,'Defect P2'!AG33,RTS!AG33)</f>
        <v>0</v>
      </c>
      <c r="AH33" s="106">
        <f>SUM('Defect P1'!AH33,'Defect P2'!AH33,RTS!AH33)</f>
        <v>0</v>
      </c>
      <c r="AI33" s="106">
        <f>SUM('Defect P1'!AI33,'Defect P2'!AI33,RTS!AI33)</f>
        <v>0</v>
      </c>
      <c r="AJ33" s="106">
        <f>SUM('Defect P1'!AJ33,'Defect P2'!AJ33,RTS!AJ33)</f>
        <v>0</v>
      </c>
      <c r="AK33" s="107">
        <f t="shared" si="14"/>
        <v>0</v>
      </c>
      <c r="AL33" s="108" cm="1">
        <f t="array" ref="AL33">IFERROR(IF($AM$4="N",SSUM(AF33:AH33)/3,SUM(AG33:AI33)/3),"")</f>
        <v>0</v>
      </c>
      <c r="AM33" s="109">
        <f t="shared" si="15"/>
        <v>0</v>
      </c>
      <c r="AN33" s="110" t="str">
        <f t="shared" si="0"/>
        <v/>
      </c>
      <c r="AO33" s="111" t="str">
        <f t="shared" si="1"/>
        <v/>
      </c>
      <c r="AP33" s="111" t="str">
        <f t="shared" si="2"/>
        <v/>
      </c>
      <c r="AQ33" s="111" t="str">
        <f t="shared" si="3"/>
        <v/>
      </c>
      <c r="AR33" s="111" t="str">
        <f t="shared" si="4"/>
        <v/>
      </c>
      <c r="AS33" s="111" t="str">
        <f t="shared" si="5"/>
        <v/>
      </c>
      <c r="AT33" s="111" t="str">
        <f t="shared" si="6"/>
        <v/>
      </c>
      <c r="AU33" s="111" t="str">
        <f t="shared" si="7"/>
        <v/>
      </c>
      <c r="AV33" s="111" t="str">
        <f t="shared" si="8"/>
        <v/>
      </c>
      <c r="AW33" s="111" t="str">
        <f t="shared" si="9"/>
        <v/>
      </c>
      <c r="AX33" s="111" t="str">
        <f t="shared" si="10"/>
        <v/>
      </c>
      <c r="AY33" s="112" t="str">
        <f t="shared" si="11"/>
        <v/>
      </c>
      <c r="AZ33" s="113" t="str">
        <f t="shared" si="12"/>
        <v/>
      </c>
      <c r="BA33" s="114" t="str">
        <f t="shared" si="13"/>
        <v/>
      </c>
      <c r="BB33" s="115">
        <f>SUM('Defect P1'!CE33,'Defect P2'!CE33,RTS!CE33)</f>
        <v>0</v>
      </c>
      <c r="BC33" s="115">
        <f>SUM('Defect P1'!CF33,'Defect P2'!CF33,RTS!CF33)</f>
        <v>0</v>
      </c>
      <c r="BD33" s="115">
        <f>SUM('Defect P1'!CG33,'Defect P2'!CG33,RTS!CG33)</f>
        <v>0</v>
      </c>
      <c r="BE33" s="115">
        <f>SUM('Defect P1'!CH33,'Defect P2'!CH33,RTS!CH33)</f>
        <v>0</v>
      </c>
      <c r="BF33" s="115">
        <f>SUM('Defect P1'!CI33,'Defect P2'!CI33,RTS!CI33)</f>
        <v>0</v>
      </c>
      <c r="BG33" s="115">
        <f>SUM('Defect P1'!CJ33,'Defect P2'!CJ33,RTS!CJ33)</f>
        <v>0</v>
      </c>
      <c r="BH33" s="115">
        <f>SUM('Defect P1'!CK33,'Defect P2'!CK33,RTS!CK33)</f>
        <v>0</v>
      </c>
      <c r="BI33" s="287">
        <f>SUM('Defect P1'!CL33,'Defect P2'!CL33,RTS!CL33)</f>
        <v>0</v>
      </c>
      <c r="BJ33" s="116" t="str">
        <f t="shared" si="16"/>
        <v/>
      </c>
      <c r="BK33" s="641">
        <f>SUM('Defect P1'!CQ33,'Defect P2'!CQ33,RTS!CQ33)</f>
        <v>0</v>
      </c>
      <c r="BL33" s="117">
        <f>SUM('Defect P1'!CR33,'Defect P2'!CR33,RTS!CR33)</f>
        <v>0</v>
      </c>
      <c r="BM33" s="638">
        <f>SUM('Defect P1'!CS33,'Defect P2'!CS33,RTS!CS33)</f>
        <v>0</v>
      </c>
      <c r="BN33" s="467">
        <f>SUM('Defect P1'!CT33,'Defect P2'!CT33,RTS!CT33)</f>
        <v>0</v>
      </c>
      <c r="BO33" s="117">
        <f>SUM('Defect P1'!CU33,'Defect P2'!CU33,RTS!CU33)</f>
        <v>0</v>
      </c>
      <c r="BP33" s="117">
        <f>SUM('Defect P1'!CV33,'Defect P2'!CV33,RTS!CV33)</f>
        <v>0</v>
      </c>
      <c r="BQ33" s="117">
        <f>SUM('Defect P1'!CW33,'Defect P2'!CW33,RTS!CW33)</f>
        <v>0</v>
      </c>
      <c r="BR33" s="118">
        <f>SUM('Defect P1'!CX33,'Defect P2'!CX33,RTS!CX33)</f>
        <v>0</v>
      </c>
    </row>
    <row r="34" spans="1:70" x14ac:dyDescent="0.25">
      <c r="A34" s="63" t="s">
        <v>81</v>
      </c>
      <c r="B34" s="334" t="s">
        <v>79</v>
      </c>
      <c r="C34" s="65" t="s">
        <v>305</v>
      </c>
      <c r="D34" s="66">
        <f>SUM('Defect P1'!D34,'Defect P2'!D34,RTS!D34)</f>
        <v>2855681.2991693579</v>
      </c>
      <c r="E34" s="67">
        <f>SUM('Defect P1'!E34,'Defect P2'!E34,RTS!E34)</f>
        <v>2984377.692545048</v>
      </c>
      <c r="F34" s="67">
        <f>SUM('Defect P1'!F34,'Defect P2'!F34,RTS!F34)</f>
        <v>3831398.8373504011</v>
      </c>
      <c r="G34" s="67">
        <f>SUM('Defect P1'!G34,'Defect P2'!G34,RTS!G34)</f>
        <v>2370162.7647397658</v>
      </c>
      <c r="H34" s="67">
        <f>SUM('Defect P1'!H34,'Defect P2'!H34,RTS!H34)</f>
        <v>3482519.7502377643</v>
      </c>
      <c r="I34" s="67">
        <f>SUM('Defect P1'!I34,'Defect P2'!I34,RTS!I34)</f>
        <v>7198591.2789287604</v>
      </c>
      <c r="J34" s="67">
        <f>SUM('Defect P1'!J34,'Defect P2'!J34,RTS!J34)</f>
        <v>7234059.18483325</v>
      </c>
      <c r="K34" s="67">
        <f>SUM('Defect P1'!K34,'Defect P2'!K34,RTS!K34)</f>
        <v>6717381.5760886697</v>
      </c>
      <c r="L34" s="67">
        <f>SUM('Defect P1'!L34,'Defect P2'!L34,RTS!L34)</f>
        <v>7781188.4515519412</v>
      </c>
      <c r="M34" s="67">
        <f>SUM('Defect P1'!M34,'Defect P2'!M34,RTS!M34)</f>
        <v>6793093.1959319161</v>
      </c>
      <c r="N34" s="67">
        <v>7999547.7906371765</v>
      </c>
      <c r="O34" s="557">
        <f>SUM('Defect P1'!O34,'Defect P2'!O34,RTS!O34)</f>
        <v>3842194.4496074594</v>
      </c>
      <c r="P34" s="558">
        <f>SUM('Defect P1'!P34,'Defect P2'!P34,RTS!P34)</f>
        <v>3955586.4790963503</v>
      </c>
      <c r="Q34" s="558">
        <f>SUM('Defect P1'!Q34,'Defect P2'!Q34,RTS!Q34)</f>
        <v>5026817.2964673527</v>
      </c>
      <c r="R34" s="558">
        <f>SUM('Defect P1'!R34,'Defect P2'!R34,RTS!R34)</f>
        <v>3050676.1942727352</v>
      </c>
      <c r="S34" s="558">
        <f>SUM('Defect P1'!S34,'Defect P2'!S34,RTS!S34)</f>
        <v>4391174.6184049016</v>
      </c>
      <c r="T34" s="558">
        <f>SUM('Defect P1'!T34,'Defect P2'!T34,RTS!T34)</f>
        <v>8934519.2883550841</v>
      </c>
      <c r="U34" s="558">
        <f>SUM('Defect P1'!U34,'Defect P2'!U34,RTS!U34)</f>
        <v>9009933.7165466975</v>
      </c>
      <c r="V34" s="558">
        <f>SUM('Defect P1'!V34,'Defect P2'!V34,RTS!V34)</f>
        <v>8056550.6363505796</v>
      </c>
      <c r="W34" s="558">
        <f>SUM('Defect P1'!W34,'Defect P2'!W34,RTS!W34)</f>
        <v>8792176.7440835759</v>
      </c>
      <c r="X34" s="558">
        <f>SUM('Defect P1'!X34,'Defect P2'!X34,RTS!X34)</f>
        <v>7224189.1811756659</v>
      </c>
      <c r="Y34" s="558">
        <f>SUM('Defect P1'!Y34,'Defect P2'!Y34,RTS!Y34)</f>
        <v>8034186.1130262734</v>
      </c>
      <c r="Z34" s="119">
        <f>SUM('Defect P1'!Z34,'Defect P2'!Z34,RTS!Z34)</f>
        <v>11</v>
      </c>
      <c r="AA34" s="120">
        <f>SUM('Defect P1'!AA34,'Defect P2'!AA34,RTS!AA34)</f>
        <v>16</v>
      </c>
      <c r="AB34" s="120">
        <f>SUM('Defect P1'!AB34,'Defect P2'!AB34,RTS!AB34)</f>
        <v>21</v>
      </c>
      <c r="AC34" s="120">
        <f>SUM('Defect P1'!AC34,'Defect P2'!AC34,RTS!AC34)</f>
        <v>26</v>
      </c>
      <c r="AD34" s="120">
        <f>SUM('Defect P1'!AD34,'Defect P2'!AD34,RTS!AD34)</f>
        <v>34</v>
      </c>
      <c r="AE34" s="120">
        <f>SUM('Defect P1'!AE34,'Defect P2'!AE34,RTS!AE34)</f>
        <v>55.675984778000085</v>
      </c>
      <c r="AF34" s="120">
        <f>SUM('Defect P1'!AF34,'Defect P2'!AF34,RTS!AF34)</f>
        <v>57.683500054000021</v>
      </c>
      <c r="AG34" s="120">
        <f>SUM('Defect P1'!AG34,'Defect P2'!AG34,RTS!AG34)</f>
        <v>44.429833333332944</v>
      </c>
      <c r="AH34" s="120">
        <f>SUM('Defect P1'!AH34,'Defect P2'!AH34,RTS!AH34)</f>
        <v>23.89550021900007</v>
      </c>
      <c r="AI34" s="120">
        <f>SUM('Defect P1'!AI34,'Defect P2'!AI34,RTS!AI34)</f>
        <v>32.457666654333238</v>
      </c>
      <c r="AJ34" s="120">
        <f>SUM('Defect P1'!AJ34,'Defect P2'!AJ34,RTS!AJ34)</f>
        <v>41.463500154999934</v>
      </c>
      <c r="AK34" s="121">
        <f t="shared" si="14"/>
        <v>42.828497007733269</v>
      </c>
      <c r="AL34" s="122" cm="1">
        <f t="array" ref="AL34">IFERROR(IF($AM$4="N",SSUM(AF34:AH34)/3,SUM(AG34:AI34)/3),"")</f>
        <v>33.594333402222084</v>
      </c>
      <c r="AM34" s="123">
        <f t="shared" si="15"/>
        <v>32.457666654333238</v>
      </c>
      <c r="AN34" s="368">
        <f t="shared" si="0"/>
        <v>259607.39083357799</v>
      </c>
      <c r="AO34" s="369">
        <f t="shared" si="1"/>
        <v>186523.6057840655</v>
      </c>
      <c r="AP34" s="369">
        <f t="shared" si="2"/>
        <v>182447.56368335243</v>
      </c>
      <c r="AQ34" s="369">
        <f t="shared" si="3"/>
        <v>91160.106336144832</v>
      </c>
      <c r="AR34" s="369">
        <f t="shared" si="4"/>
        <v>102427.05147758131</v>
      </c>
      <c r="AS34" s="369">
        <f t="shared" si="5"/>
        <v>129294.36825647717</v>
      </c>
      <c r="AT34" s="369">
        <f t="shared" si="6"/>
        <v>125409.50493748012</v>
      </c>
      <c r="AU34" s="369">
        <f t="shared" si="7"/>
        <v>151190.78943402282</v>
      </c>
      <c r="AV34" s="369">
        <f t="shared" si="8"/>
        <v>325634.04742474784</v>
      </c>
      <c r="AW34" s="369">
        <f t="shared" si="9"/>
        <v>209290.86703233514</v>
      </c>
      <c r="AX34" s="369">
        <f t="shared" si="10"/>
        <v>192929.87231500135</v>
      </c>
      <c r="AY34" s="75">
        <f t="shared" si="11"/>
        <v>166824.97021029727</v>
      </c>
      <c r="AZ34" s="76">
        <f t="shared" si="12"/>
        <v>211262.44684035709</v>
      </c>
      <c r="BA34" s="77">
        <f t="shared" si="13"/>
        <v>209290.86703233514</v>
      </c>
      <c r="BB34" s="360">
        <f>SUM('Defect P1'!CE34,'Defect P2'!CE34,RTS!CE34)</f>
        <v>33.53180539722208</v>
      </c>
      <c r="BC34" s="360">
        <f>SUM('Defect P1'!CF34,'Defect P2'!CF34,RTS!CF34)</f>
        <v>33.53180539722208</v>
      </c>
      <c r="BD34" s="360">
        <f>SUM('Defect P1'!CG34,'Defect P2'!CG34,RTS!CG34)</f>
        <v>33.53180539722208</v>
      </c>
      <c r="BE34" s="360">
        <f>SUM('Defect P1'!CH34,'Defect P2'!CH34,RTS!CH34)</f>
        <v>33.95824551683323</v>
      </c>
      <c r="BF34" s="360">
        <f>SUM('Defect P1'!CI34,'Defect P2'!CI34,RTS!CI34)</f>
        <v>33.95824551683323</v>
      </c>
      <c r="BG34" s="360">
        <f>SUM('Defect P1'!CJ34,'Defect P2'!CJ34,RTS!CJ34)</f>
        <v>33.95824551683323</v>
      </c>
      <c r="BH34" s="360">
        <f>SUM('Defect P1'!CK34,'Defect P2'!CK34,RTS!CK34)</f>
        <v>33.95824551683323</v>
      </c>
      <c r="BI34" s="361">
        <f>SUM('Defect P1'!CL34,'Defect P2'!CL34,RTS!CL34)</f>
        <v>33.95824551683323</v>
      </c>
      <c r="BJ34" s="124">
        <f t="shared" si="16"/>
        <v>210889.67861078406</v>
      </c>
      <c r="BK34" s="639">
        <f>SUM('Defect P1'!CQ34,'Defect P2'!CQ34,RTS!CQ34)</f>
        <v>7096743.4198653754</v>
      </c>
      <c r="BL34" s="79">
        <f>SUM('Defect P1'!CR34,'Defect P2'!CR34,RTS!CR34)</f>
        <v>7096743.4198653754</v>
      </c>
      <c r="BM34" s="523">
        <f>SUM('Defect P1'!CS34,'Defect P2'!CS34,RTS!CS34)</f>
        <v>7096743.4198653754</v>
      </c>
      <c r="BN34" s="415">
        <f>SUM('Defect P1'!CT34,'Defect P2'!CT34,RTS!CT34)</f>
        <v>7146304.4293875471</v>
      </c>
      <c r="BO34" s="79">
        <f>SUM('Defect P1'!CU34,'Defect P2'!CU34,RTS!CU34)</f>
        <v>7146304.4293875471</v>
      </c>
      <c r="BP34" s="79">
        <f>SUM('Defect P1'!CV34,'Defect P2'!CV34,RTS!CV34)</f>
        <v>7146304.4293875471</v>
      </c>
      <c r="BQ34" s="79">
        <f>SUM('Defect P1'!CW34,'Defect P2'!CW34,RTS!CW34)</f>
        <v>7146304.4293875471</v>
      </c>
      <c r="BR34" s="80">
        <f>SUM('Defect P1'!CX34,'Defect P2'!CX34,RTS!CX34)</f>
        <v>7146304.4293875471</v>
      </c>
    </row>
    <row r="35" spans="1:70" x14ac:dyDescent="0.25">
      <c r="A35" s="81" t="s">
        <v>81</v>
      </c>
      <c r="B35" s="82" t="s">
        <v>310</v>
      </c>
      <c r="C35" s="83" t="s">
        <v>70</v>
      </c>
      <c r="D35" s="84">
        <f>SUM('Defect P1'!D35,'Defect P2'!D35,RTS!D35)</f>
        <v>178364.56816678401</v>
      </c>
      <c r="E35" s="85">
        <f>SUM('Defect P1'!E35,'Defect P2'!E35,RTS!E35)</f>
        <v>508297.70464921958</v>
      </c>
      <c r="F35" s="85">
        <f>SUM('Defect P1'!F35,'Defect P2'!F35,RTS!F35)</f>
        <v>501200.06938663125</v>
      </c>
      <c r="G35" s="85">
        <f>SUM('Defect P1'!G35,'Defect P2'!G35,RTS!G35)</f>
        <v>187515.56824499977</v>
      </c>
      <c r="H35" s="85">
        <f>SUM('Defect P1'!H35,'Defect P2'!H35,RTS!H35)</f>
        <v>377460.80944364297</v>
      </c>
      <c r="I35" s="85">
        <f>SUM('Defect P1'!I35,'Defect P2'!I35,RTS!I35)</f>
        <v>630709.25105553283</v>
      </c>
      <c r="J35" s="85">
        <f>SUM('Defect P1'!J35,'Defect P2'!J35,RTS!J35)</f>
        <v>299478.11352922622</v>
      </c>
      <c r="K35" s="85">
        <f>SUM('Defect P1'!K35,'Defect P2'!K35,RTS!K35)</f>
        <v>2099190.7988299243</v>
      </c>
      <c r="L35" s="85">
        <f>SUM('Defect P1'!L35,'Defect P2'!L35,RTS!L35)</f>
        <v>1461693.2875349971</v>
      </c>
      <c r="M35" s="85">
        <f>SUM('Defect P1'!M35,'Defect P2'!M35,RTS!M35)</f>
        <v>1739151.3453661713</v>
      </c>
      <c r="N35" s="85">
        <v>2375748.7550115725</v>
      </c>
      <c r="O35" s="560">
        <f>SUM('Defect P1'!O35,'Defect P2'!O35,RTS!O35)</f>
        <v>239981.73536255179</v>
      </c>
      <c r="P35" s="561">
        <f>SUM('Defect P1'!P35,'Defect P2'!P35,RTS!P35)</f>
        <v>673713.4957444109</v>
      </c>
      <c r="Q35" s="561">
        <f>SUM('Defect P1'!Q35,'Defect P2'!Q35,RTS!Q35)</f>
        <v>657577.37180023559</v>
      </c>
      <c r="R35" s="561">
        <f>SUM('Defect P1'!R35,'Defect P2'!R35,RTS!R35)</f>
        <v>241354.42873829545</v>
      </c>
      <c r="S35" s="561">
        <f>SUM('Defect P1'!S35,'Defect P2'!S35,RTS!S35)</f>
        <v>475947.43023591762</v>
      </c>
      <c r="T35" s="561">
        <f>SUM('Defect P1'!T35,'Defect P2'!T35,RTS!T35)</f>
        <v>782803.71124754555</v>
      </c>
      <c r="U35" s="561">
        <f>SUM('Defect P1'!U35,'Defect P2'!U35,RTS!U35)</f>
        <v>372996.38882025162</v>
      </c>
      <c r="V35" s="561">
        <f>SUM('Defect P1'!V35,'Defect P2'!V35,RTS!V35)</f>
        <v>2517682.9356152187</v>
      </c>
      <c r="W35" s="561">
        <f>SUM('Defect P1'!W35,'Defect P2'!W35,RTS!W35)</f>
        <v>1651607.0533011022</v>
      </c>
      <c r="X35" s="561">
        <f>SUM('Defect P1'!X35,'Defect P2'!X35,RTS!X35)</f>
        <v>1849519.5003574218</v>
      </c>
      <c r="Y35" s="561">
        <f>SUM('Defect P1'!Y35,'Defect P2'!Y35,RTS!Y35)</f>
        <v>2385438.2610413944</v>
      </c>
      <c r="Z35" s="125">
        <f>SUM('Defect P1'!Z35,'Defect P2'!Z35,RTS!Z35)</f>
        <v>2</v>
      </c>
      <c r="AA35" s="126">
        <f>SUM('Defect P1'!AA35,'Defect P2'!AA35,RTS!AA35)</f>
        <v>14</v>
      </c>
      <c r="AB35" s="126">
        <f>SUM('Defect P1'!AB35,'Defect P2'!AB35,RTS!AB35)</f>
        <v>10</v>
      </c>
      <c r="AC35" s="126">
        <f>SUM('Defect P1'!AC35,'Defect P2'!AC35,RTS!AC35)</f>
        <v>4</v>
      </c>
      <c r="AD35" s="126">
        <f>SUM('Defect P1'!AD35,'Defect P2'!AD35,RTS!AD35)</f>
        <v>6</v>
      </c>
      <c r="AE35" s="126">
        <f>SUM('Defect P1'!AE35,'Defect P2'!AE35,RTS!AE35)</f>
        <v>10.476510225999998</v>
      </c>
      <c r="AF35" s="126">
        <f>SUM('Defect P1'!AF35,'Defect P2'!AF35,RTS!AF35)</f>
        <v>-1.8979999920000048</v>
      </c>
      <c r="AG35" s="126">
        <f>SUM('Defect P1'!AG35,'Defect P2'!AG35,RTS!AG35)</f>
        <v>9.0548333333333098</v>
      </c>
      <c r="AH35" s="126">
        <f>SUM('Defect P1'!AH35,'Defect P2'!AH35,RTS!AH35)</f>
        <v>18.861999876999999</v>
      </c>
      <c r="AI35" s="126">
        <f>SUM('Defect P1'!AI35,'Defect P2'!AI35,RTS!AI35)</f>
        <v>22.693332928333337</v>
      </c>
      <c r="AJ35" s="126">
        <f>SUM('Defect P1'!AJ35,'Defect P2'!AJ35,RTS!AJ35)</f>
        <v>20.654333201</v>
      </c>
      <c r="AK35" s="127">
        <f t="shared" si="14"/>
        <v>11.837735274533326</v>
      </c>
      <c r="AL35" s="128" cm="1">
        <f t="array" ref="AL35">IFERROR(IF($AM$4="N",SSUM(AF35:AH35)/3,SUM(AG35:AI35)/3),"")</f>
        <v>16.870055379555549</v>
      </c>
      <c r="AM35" s="129">
        <f t="shared" si="15"/>
        <v>22.693332928333337</v>
      </c>
      <c r="AN35" s="370">
        <f t="shared" si="0"/>
        <v>89182.284083392005</v>
      </c>
      <c r="AO35" s="371">
        <f t="shared" si="1"/>
        <v>36306.978903515686</v>
      </c>
      <c r="AP35" s="371">
        <f t="shared" si="2"/>
        <v>50120.006938663122</v>
      </c>
      <c r="AQ35" s="371">
        <f t="shared" si="3"/>
        <v>46878.892061249942</v>
      </c>
      <c r="AR35" s="371">
        <f t="shared" si="4"/>
        <v>62910.13490727383</v>
      </c>
      <c r="AS35" s="371">
        <f t="shared" si="5"/>
        <v>60202.227406820544</v>
      </c>
      <c r="AT35" s="371">
        <f t="shared" si="6"/>
        <v>-157786.15110195716</v>
      </c>
      <c r="AU35" s="371">
        <f t="shared" si="7"/>
        <v>231830.97043898431</v>
      </c>
      <c r="AV35" s="371">
        <f t="shared" si="8"/>
        <v>77494.077884994636</v>
      </c>
      <c r="AW35" s="371">
        <f t="shared" si="9"/>
        <v>76637.105305707926</v>
      </c>
      <c r="AX35" s="371">
        <f t="shared" si="10"/>
        <v>115024.22914802925</v>
      </c>
      <c r="AY35" s="93">
        <f t="shared" si="11"/>
        <v>105260.38387966</v>
      </c>
      <c r="AZ35" s="94">
        <f t="shared" si="12"/>
        <v>104722.74319767182</v>
      </c>
      <c r="BA35" s="95">
        <f t="shared" si="13"/>
        <v>76637.105305707926</v>
      </c>
      <c r="BB35" s="363">
        <f>SUM('Defect P1'!CE35,'Defect P2'!CE35,RTS!CE35)</f>
        <v>16.806529601644439</v>
      </c>
      <c r="BC35" s="363">
        <f>SUM('Defect P1'!CF35,'Defect P2'!CF35,RTS!CF35)</f>
        <v>16.806529601644439</v>
      </c>
      <c r="BD35" s="363">
        <f>SUM('Defect P1'!CG35,'Defect P2'!CG35,RTS!CG35)</f>
        <v>16.806529601644439</v>
      </c>
      <c r="BE35" s="363">
        <f>SUM('Defect P1'!CH35,'Defect P2'!CH35,RTS!CH35)</f>
        <v>18.629701359307603</v>
      </c>
      <c r="BF35" s="363">
        <f>SUM('Defect P1'!CI35,'Defect P2'!CI35,RTS!CI35)</f>
        <v>18.629701359307603</v>
      </c>
      <c r="BG35" s="363">
        <f>SUM('Defect P1'!CJ35,'Defect P2'!CJ35,RTS!CJ35)</f>
        <v>18.629701359307603</v>
      </c>
      <c r="BH35" s="363">
        <f>SUM('Defect P1'!CK35,'Defect P2'!CK35,RTS!CK35)</f>
        <v>18.629701359307603</v>
      </c>
      <c r="BI35" s="364">
        <f>SUM('Defect P1'!CL35,'Defect P2'!CL35,RTS!CL35)</f>
        <v>18.629701359307603</v>
      </c>
      <c r="BJ35" s="99">
        <f t="shared" si="16"/>
        <v>99394.58591257465</v>
      </c>
      <c r="BK35" s="640">
        <f>SUM('Defect P1'!CQ35,'Defect P2'!CQ35,RTS!CQ35)</f>
        <v>1766296.4198414921</v>
      </c>
      <c r="BL35" s="97">
        <f>SUM('Defect P1'!CR35,'Defect P2'!CR35,RTS!CR35)</f>
        <v>1766296.4198414921</v>
      </c>
      <c r="BM35" s="524">
        <f>SUM('Defect P1'!CS35,'Defect P2'!CS35,RTS!CS35)</f>
        <v>1766296.4198414921</v>
      </c>
      <c r="BN35" s="416">
        <f>SUM('Defect P1'!CT35,'Defect P2'!CT35,RTS!CT35)</f>
        <v>1794200.4306081394</v>
      </c>
      <c r="BO35" s="97">
        <f>SUM('Defect P1'!CU35,'Defect P2'!CU35,RTS!CU35)</f>
        <v>1794200.4306081394</v>
      </c>
      <c r="BP35" s="97">
        <f>SUM('Defect P1'!CV35,'Defect P2'!CV35,RTS!CV35)</f>
        <v>1794200.4306081394</v>
      </c>
      <c r="BQ35" s="97">
        <f>SUM('Defect P1'!CW35,'Defect P2'!CW35,RTS!CW35)</f>
        <v>1794200.4306081394</v>
      </c>
      <c r="BR35" s="98">
        <f>SUM('Defect P1'!CX35,'Defect P2'!CX35,RTS!CX35)</f>
        <v>1794200.4306081394</v>
      </c>
    </row>
    <row r="36" spans="1:70" x14ac:dyDescent="0.25">
      <c r="A36" s="81" t="s">
        <v>81</v>
      </c>
      <c r="B36" s="82" t="s">
        <v>311</v>
      </c>
      <c r="C36" s="83" t="s">
        <v>312</v>
      </c>
      <c r="D36" s="84">
        <f>SUM('Defect P1'!D36,'Defect P2'!D36,RTS!D36)</f>
        <v>147478.47299482615</v>
      </c>
      <c r="E36" s="85">
        <f>SUM('Defect P1'!E36,'Defect P2'!E36,RTS!E36)</f>
        <v>397842.52360695973</v>
      </c>
      <c r="F36" s="85">
        <f>SUM('Defect P1'!F36,'Defect P2'!F36,RTS!F36)</f>
        <v>191914.56907462576</v>
      </c>
      <c r="G36" s="85">
        <f>SUM('Defect P1'!G36,'Defect P2'!G36,RTS!G36)</f>
        <v>231578.2946466174</v>
      </c>
      <c r="H36" s="85">
        <f>SUM('Defect P1'!H36,'Defect P2'!H36,RTS!H36)</f>
        <v>886627.28849925124</v>
      </c>
      <c r="I36" s="85">
        <f>SUM('Defect P1'!I36,'Defect P2'!I36,RTS!I36)</f>
        <v>2402685.7059156224</v>
      </c>
      <c r="J36" s="85">
        <f>SUM('Defect P1'!J36,'Defect P2'!J36,RTS!J36)</f>
        <v>1299692.8449436051</v>
      </c>
      <c r="K36" s="85">
        <f>SUM('Defect P1'!K36,'Defect P2'!K36,RTS!K36)</f>
        <v>1173533.882372445</v>
      </c>
      <c r="L36" s="85">
        <f>SUM('Defect P1'!L36,'Defect P2'!L36,RTS!L36)</f>
        <v>1823163.480571493</v>
      </c>
      <c r="M36" s="85">
        <f>SUM('Defect P1'!M36,'Defect P2'!M36,RTS!M36)</f>
        <v>1075254.5468920446</v>
      </c>
      <c r="N36" s="85">
        <v>1926732.7654850809</v>
      </c>
      <c r="O36" s="560">
        <f>SUM('Defect P1'!O36,'Defect P2'!O36,RTS!O36)</f>
        <v>198425.84343782533</v>
      </c>
      <c r="P36" s="561">
        <f>SUM('Defect P1'!P36,'Defect P2'!P36,RTS!P36)</f>
        <v>527312.78320446901</v>
      </c>
      <c r="Q36" s="561">
        <f>SUM('Defect P1'!Q36,'Defect P2'!Q36,RTS!Q36)</f>
        <v>251793.01769991606</v>
      </c>
      <c r="R36" s="561">
        <f>SUM('Defect P1'!R36,'Defect P2'!R36,RTS!R36)</f>
        <v>298068.30193211656</v>
      </c>
      <c r="S36" s="561">
        <f>SUM('Defect P1'!S36,'Defect P2'!S36,RTS!S36)</f>
        <v>1117965.0151236786</v>
      </c>
      <c r="T36" s="561">
        <f>SUM('Defect P1'!T36,'Defect P2'!T36,RTS!T36)</f>
        <v>2982089.2660199362</v>
      </c>
      <c r="U36" s="561">
        <f>SUM('Defect P1'!U36,'Defect P2'!U36,RTS!U36)</f>
        <v>1618751.8080254432</v>
      </c>
      <c r="V36" s="561">
        <f>SUM('Defect P1'!V36,'Defect P2'!V36,RTS!V36)</f>
        <v>1407488.176711831</v>
      </c>
      <c r="W36" s="561">
        <f>SUM('Defect P1'!W36,'Defect P2'!W36,RTS!W36)</f>
        <v>2060042.0686824627</v>
      </c>
      <c r="X36" s="561">
        <f>SUM('Defect P1'!X36,'Defect P2'!X36,RTS!X36)</f>
        <v>1143491.1962225498</v>
      </c>
      <c r="Y36" s="561">
        <f>SUM('Defect P1'!Y36,'Defect P2'!Y36,RTS!Y36)</f>
        <v>1934794.0401069589</v>
      </c>
      <c r="Z36" s="125">
        <f>SUM('Defect P1'!Z36,'Defect P2'!Z36,RTS!Z36)</f>
        <v>8</v>
      </c>
      <c r="AA36" s="126">
        <f>SUM('Defect P1'!AA36,'Defect P2'!AA36,RTS!AA36)</f>
        <v>24</v>
      </c>
      <c r="AB36" s="126">
        <f>SUM('Defect P1'!AB36,'Defect P2'!AB36,RTS!AB36)</f>
        <v>9</v>
      </c>
      <c r="AC36" s="126">
        <f>SUM('Defect P1'!AC36,'Defect P2'!AC36,RTS!AC36)</f>
        <v>12</v>
      </c>
      <c r="AD36" s="126">
        <f>SUM('Defect P1'!AD36,'Defect P2'!AD36,RTS!AD36)</f>
        <v>54</v>
      </c>
      <c r="AE36" s="126">
        <f>SUM('Defect P1'!AE36,'Defect P2'!AE36,RTS!AE36)</f>
        <v>129.85104072100012</v>
      </c>
      <c r="AF36" s="126">
        <f>SUM('Defect P1'!AF36,'Defect P2'!AF36,RTS!AF36)</f>
        <v>45.601666661000024</v>
      </c>
      <c r="AG36" s="126">
        <f>SUM('Defect P1'!AG36,'Defect P2'!AG36,RTS!AG36)</f>
        <v>28.456333333333326</v>
      </c>
      <c r="AH36" s="126">
        <f>SUM('Defect P1'!AH36,'Defect P2'!AH36,RTS!AH36)</f>
        <v>27.818999618000007</v>
      </c>
      <c r="AI36" s="126">
        <f>SUM('Defect P1'!AI36,'Defect P2'!AI36,RTS!AI36)</f>
        <v>27.522999105000007</v>
      </c>
      <c r="AJ36" s="126">
        <f>SUM('Defect P1'!AJ36,'Defect P2'!AJ36,RTS!AJ36)</f>
        <v>20.090666325000019</v>
      </c>
      <c r="AK36" s="127">
        <f t="shared" si="14"/>
        <v>51.850207887666691</v>
      </c>
      <c r="AL36" s="128" cm="1">
        <f t="array" ref="AL36">IFERROR(IF($AM$4="N",SSUM(AF36:AH36)/3,SUM(AG36:AI36)/3),"")</f>
        <v>27.932777352111113</v>
      </c>
      <c r="AM36" s="129">
        <f t="shared" si="15"/>
        <v>27.522999105000007</v>
      </c>
      <c r="AN36" s="370">
        <f t="shared" si="0"/>
        <v>18434.809124353269</v>
      </c>
      <c r="AO36" s="371">
        <f t="shared" si="1"/>
        <v>16576.771816956654</v>
      </c>
      <c r="AP36" s="371">
        <f t="shared" si="2"/>
        <v>21323.841008291751</v>
      </c>
      <c r="AQ36" s="371">
        <f t="shared" si="3"/>
        <v>19298.191220551449</v>
      </c>
      <c r="AR36" s="371">
        <f t="shared" si="4"/>
        <v>16419.023861097245</v>
      </c>
      <c r="AS36" s="371">
        <f t="shared" si="5"/>
        <v>18503.399684551383</v>
      </c>
      <c r="AT36" s="371">
        <f t="shared" si="6"/>
        <v>28500.994373855709</v>
      </c>
      <c r="AU36" s="371">
        <f t="shared" si="7"/>
        <v>41239.813598816145</v>
      </c>
      <c r="AV36" s="371">
        <f t="shared" si="8"/>
        <v>65536.629843146235</v>
      </c>
      <c r="AW36" s="371">
        <f t="shared" si="9"/>
        <v>39067.491983339372</v>
      </c>
      <c r="AX36" s="371">
        <f t="shared" si="10"/>
        <v>95901.88470192907</v>
      </c>
      <c r="AY36" s="93">
        <f t="shared" si="11"/>
        <v>29987.653964814461</v>
      </c>
      <c r="AZ36" s="94">
        <f t="shared" si="12"/>
        <v>48592.27874725021</v>
      </c>
      <c r="BA36" s="95">
        <f t="shared" si="13"/>
        <v>39067.491983339372</v>
      </c>
      <c r="BB36" s="363">
        <f>SUM('Defect P1'!CE36,'Defect P2'!CE36,RTS!CE36)</f>
        <v>28.599643592800003</v>
      </c>
      <c r="BC36" s="363">
        <f>SUM('Defect P1'!CF36,'Defect P2'!CF36,RTS!CF36)</f>
        <v>28.599643592800003</v>
      </c>
      <c r="BD36" s="363">
        <f>SUM('Defect P1'!CG36,'Defect P2'!CG36,RTS!CG36)</f>
        <v>28.599643592800003</v>
      </c>
      <c r="BE36" s="363">
        <f>SUM('Defect P1'!CH36,'Defect P2'!CH36,RTS!CH36)</f>
        <v>30.928819540626534</v>
      </c>
      <c r="BF36" s="363">
        <f>SUM('Defect P1'!CI36,'Defect P2'!CI36,RTS!CI36)</f>
        <v>30.928819540626534</v>
      </c>
      <c r="BG36" s="363">
        <f>SUM('Defect P1'!CJ36,'Defect P2'!CJ36,RTS!CJ36)</f>
        <v>30.928819540626534</v>
      </c>
      <c r="BH36" s="363">
        <f>SUM('Defect P1'!CK36,'Defect P2'!CK36,RTS!CK36)</f>
        <v>30.928819540626534</v>
      </c>
      <c r="BI36" s="364">
        <f>SUM('Defect P1'!CL36,'Defect P2'!CL36,RTS!CL36)</f>
        <v>30.928819540626534</v>
      </c>
      <c r="BJ36" s="99">
        <f t="shared" si="16"/>
        <v>45639.973547537484</v>
      </c>
      <c r="BK36" s="640">
        <f>SUM('Defect P1'!CQ36,'Defect P2'!CQ36,RTS!CQ36)</f>
        <v>1358608.3198531242</v>
      </c>
      <c r="BL36" s="97">
        <f>SUM('Defect P1'!CR36,'Defect P2'!CR36,RTS!CR36)</f>
        <v>1358608.3198531242</v>
      </c>
      <c r="BM36" s="524">
        <f>SUM('Defect P1'!CS36,'Defect P2'!CS36,RTS!CS36)</f>
        <v>1358608.3198531242</v>
      </c>
      <c r="BN36" s="416">
        <f>SUM('Defect P1'!CT36,'Defect P2'!CT36,RTS!CT36)</f>
        <v>1379597.7000055162</v>
      </c>
      <c r="BO36" s="97">
        <f>SUM('Defect P1'!CU36,'Defect P2'!CU36,RTS!CU36)</f>
        <v>1379597.7000055162</v>
      </c>
      <c r="BP36" s="97">
        <f>SUM('Defect P1'!CV36,'Defect P2'!CV36,RTS!CV36)</f>
        <v>1379597.7000055162</v>
      </c>
      <c r="BQ36" s="97">
        <f>SUM('Defect P1'!CW36,'Defect P2'!CW36,RTS!CW36)</f>
        <v>1379597.7000055162</v>
      </c>
      <c r="BR36" s="98">
        <f>SUM('Defect P1'!CX36,'Defect P2'!CX36,RTS!CX36)</f>
        <v>1379597.7000055162</v>
      </c>
    </row>
    <row r="37" spans="1:70" x14ac:dyDescent="0.25">
      <c r="A37" s="81" t="s">
        <v>81</v>
      </c>
      <c r="B37" s="82" t="s">
        <v>313</v>
      </c>
      <c r="C37" s="83" t="s">
        <v>314</v>
      </c>
      <c r="D37" s="84">
        <f>SUM('Defect P1'!D37,'Defect P2'!D37,RTS!D37)</f>
        <v>0</v>
      </c>
      <c r="E37" s="85">
        <f>SUM('Defect P1'!E37,'Defect P2'!E37,RTS!E37)</f>
        <v>0</v>
      </c>
      <c r="F37" s="85">
        <f>SUM('Defect P1'!F37,'Defect P2'!F37,RTS!F37)</f>
        <v>0</v>
      </c>
      <c r="G37" s="85">
        <f>SUM('Defect P1'!G37,'Defect P2'!G37,RTS!G37)</f>
        <v>0</v>
      </c>
      <c r="H37" s="85">
        <f>SUM('Defect P1'!H37,'Defect P2'!H37,RTS!H37)</f>
        <v>0</v>
      </c>
      <c r="I37" s="85">
        <f>SUM('Defect P1'!I37,'Defect P2'!I37,RTS!I37)</f>
        <v>0</v>
      </c>
      <c r="J37" s="85">
        <f>SUM('Defect P1'!J37,'Defect P2'!J37,RTS!J37)</f>
        <v>0</v>
      </c>
      <c r="K37" s="85">
        <f>SUM('Defect P1'!K37,'Defect P2'!K37,RTS!K37)</f>
        <v>0</v>
      </c>
      <c r="L37" s="85">
        <f>SUM('Defect P1'!L37,'Defect P2'!L37,RTS!L37)</f>
        <v>0</v>
      </c>
      <c r="M37" s="85">
        <f>SUM('Defect P1'!M37,'Defect P2'!M37,RTS!M37)</f>
        <v>0</v>
      </c>
      <c r="N37" s="85">
        <v>0</v>
      </c>
      <c r="O37" s="560">
        <f>SUM('Defect P1'!O37,'Defect P2'!O37,RTS!O37)</f>
        <v>0</v>
      </c>
      <c r="P37" s="561">
        <f>SUM('Defect P1'!P37,'Defect P2'!P37,RTS!P37)</f>
        <v>0</v>
      </c>
      <c r="Q37" s="561">
        <f>SUM('Defect P1'!Q37,'Defect P2'!Q37,RTS!Q37)</f>
        <v>0</v>
      </c>
      <c r="R37" s="561">
        <f>SUM('Defect P1'!R37,'Defect P2'!R37,RTS!R37)</f>
        <v>0</v>
      </c>
      <c r="S37" s="561">
        <f>SUM('Defect P1'!S37,'Defect P2'!S37,RTS!S37)</f>
        <v>0</v>
      </c>
      <c r="T37" s="561">
        <f>SUM('Defect P1'!T37,'Defect P2'!T37,RTS!T37)</f>
        <v>0</v>
      </c>
      <c r="U37" s="561">
        <f>SUM('Defect P1'!U37,'Defect P2'!U37,RTS!U37)</f>
        <v>0</v>
      </c>
      <c r="V37" s="561">
        <f>SUM('Defect P1'!V37,'Defect P2'!V37,RTS!V37)</f>
        <v>0</v>
      </c>
      <c r="W37" s="561">
        <f>SUM('Defect P1'!W37,'Defect P2'!W37,RTS!W37)</f>
        <v>0</v>
      </c>
      <c r="X37" s="561">
        <f>SUM('Defect P1'!X37,'Defect P2'!X37,RTS!X37)</f>
        <v>0</v>
      </c>
      <c r="Y37" s="561">
        <f>SUM('Defect P1'!Y37,'Defect P2'!Y37,RTS!Y37)</f>
        <v>0</v>
      </c>
      <c r="Z37" s="125">
        <f>SUM('Defect P1'!Z37,'Defect P2'!Z37,RTS!Z37)</f>
        <v>0</v>
      </c>
      <c r="AA37" s="126">
        <f>SUM('Defect P1'!AA37,'Defect P2'!AA37,RTS!AA37)</f>
        <v>0</v>
      </c>
      <c r="AB37" s="126">
        <f>SUM('Defect P1'!AB37,'Defect P2'!AB37,RTS!AB37)</f>
        <v>0</v>
      </c>
      <c r="AC37" s="126">
        <f>SUM('Defect P1'!AC37,'Defect P2'!AC37,RTS!AC37)</f>
        <v>0</v>
      </c>
      <c r="AD37" s="126">
        <f>SUM('Defect P1'!AD37,'Defect P2'!AD37,RTS!AD37)</f>
        <v>0</v>
      </c>
      <c r="AE37" s="126">
        <f>SUM('Defect P1'!AE37,'Defect P2'!AE37,RTS!AE37)</f>
        <v>0</v>
      </c>
      <c r="AF37" s="126">
        <f>SUM('Defect P1'!AF37,'Defect P2'!AF37,RTS!AF37)</f>
        <v>0</v>
      </c>
      <c r="AG37" s="126">
        <f>SUM('Defect P1'!AG37,'Defect P2'!AG37,RTS!AG37)</f>
        <v>0</v>
      </c>
      <c r="AH37" s="126">
        <f>SUM('Defect P1'!AH37,'Defect P2'!AH37,RTS!AH37)</f>
        <v>0</v>
      </c>
      <c r="AI37" s="126">
        <f>SUM('Defect P1'!AI37,'Defect P2'!AI37,RTS!AI37)</f>
        <v>0</v>
      </c>
      <c r="AJ37" s="126">
        <f>SUM('Defect P1'!AJ37,'Defect P2'!AJ37,RTS!AJ37)</f>
        <v>0</v>
      </c>
      <c r="AK37" s="127">
        <f t="shared" si="14"/>
        <v>0</v>
      </c>
      <c r="AL37" s="128" cm="1">
        <f t="array" ref="AL37">IFERROR(IF($AM$4="N",SSUM(AF37:AH37)/3,SUM(AG37:AI37)/3),"")</f>
        <v>0</v>
      </c>
      <c r="AM37" s="129">
        <f t="shared" si="15"/>
        <v>0</v>
      </c>
      <c r="AN37" s="370" t="str">
        <f t="shared" si="0"/>
        <v/>
      </c>
      <c r="AO37" s="371" t="str">
        <f t="shared" si="1"/>
        <v/>
      </c>
      <c r="AP37" s="371" t="str">
        <f t="shared" si="2"/>
        <v/>
      </c>
      <c r="AQ37" s="371" t="str">
        <f t="shared" si="3"/>
        <v/>
      </c>
      <c r="AR37" s="371" t="str">
        <f t="shared" si="4"/>
        <v/>
      </c>
      <c r="AS37" s="371" t="str">
        <f t="shared" si="5"/>
        <v/>
      </c>
      <c r="AT37" s="371" t="str">
        <f t="shared" si="6"/>
        <v/>
      </c>
      <c r="AU37" s="371" t="str">
        <f t="shared" si="7"/>
        <v/>
      </c>
      <c r="AV37" s="371" t="str">
        <f t="shared" si="8"/>
        <v/>
      </c>
      <c r="AW37" s="371" t="str">
        <f t="shared" si="9"/>
        <v/>
      </c>
      <c r="AX37" s="371" t="str">
        <f t="shared" si="10"/>
        <v/>
      </c>
      <c r="AY37" s="93" t="str">
        <f t="shared" si="11"/>
        <v/>
      </c>
      <c r="AZ37" s="94" t="str">
        <f t="shared" si="12"/>
        <v/>
      </c>
      <c r="BA37" s="95" t="str">
        <f t="shared" si="13"/>
        <v/>
      </c>
      <c r="BB37" s="363">
        <f>SUM('Defect P1'!CE37,'Defect P2'!CE37,RTS!CE37)</f>
        <v>0</v>
      </c>
      <c r="BC37" s="363">
        <f>SUM('Defect P1'!CF37,'Defect P2'!CF37,RTS!CF37)</f>
        <v>0</v>
      </c>
      <c r="BD37" s="363">
        <f>SUM('Defect P1'!CG37,'Defect P2'!CG37,RTS!CG37)</f>
        <v>0</v>
      </c>
      <c r="BE37" s="363">
        <f>SUM('Defect P1'!CH37,'Defect P2'!CH37,RTS!CH37)</f>
        <v>0</v>
      </c>
      <c r="BF37" s="363">
        <f>SUM('Defect P1'!CI37,'Defect P2'!CI37,RTS!CI37)</f>
        <v>0</v>
      </c>
      <c r="BG37" s="363">
        <f>SUM('Defect P1'!CJ37,'Defect P2'!CJ37,RTS!CJ37)</f>
        <v>0</v>
      </c>
      <c r="BH37" s="363">
        <f>SUM('Defect P1'!CK37,'Defect P2'!CK37,RTS!CK37)</f>
        <v>0</v>
      </c>
      <c r="BI37" s="364">
        <f>SUM('Defect P1'!CL37,'Defect P2'!CL37,RTS!CL37)</f>
        <v>0</v>
      </c>
      <c r="BJ37" s="99" t="str">
        <f t="shared" si="16"/>
        <v/>
      </c>
      <c r="BK37" s="640">
        <f>SUM('Defect P1'!CQ37,'Defect P2'!CQ37,RTS!CQ37)</f>
        <v>0</v>
      </c>
      <c r="BL37" s="97">
        <f>SUM('Defect P1'!CR37,'Defect P2'!CR37,RTS!CR37)</f>
        <v>0</v>
      </c>
      <c r="BM37" s="524">
        <f>SUM('Defect P1'!CS37,'Defect P2'!CS37,RTS!CS37)</f>
        <v>0</v>
      </c>
      <c r="BN37" s="416">
        <f>SUM('Defect P1'!CT37,'Defect P2'!CT37,RTS!CT37)</f>
        <v>0</v>
      </c>
      <c r="BO37" s="97">
        <f>SUM('Defect P1'!CU37,'Defect P2'!CU37,RTS!CU37)</f>
        <v>0</v>
      </c>
      <c r="BP37" s="97">
        <f>SUM('Defect P1'!CV37,'Defect P2'!CV37,RTS!CV37)</f>
        <v>0</v>
      </c>
      <c r="BQ37" s="97">
        <f>SUM('Defect P1'!CW37,'Defect P2'!CW37,RTS!CW37)</f>
        <v>0</v>
      </c>
      <c r="BR37" s="98">
        <f>SUM('Defect P1'!CX37,'Defect P2'!CX37,RTS!CX37)</f>
        <v>0</v>
      </c>
    </row>
    <row r="38" spans="1:70" x14ac:dyDescent="0.25">
      <c r="A38" s="81" t="s">
        <v>81</v>
      </c>
      <c r="B38" s="82" t="s">
        <v>449</v>
      </c>
      <c r="C38" s="83" t="s">
        <v>315</v>
      </c>
      <c r="D38" s="84">
        <f>SUM('Defect P1'!D38,'Defect P2'!D38,RTS!D38)</f>
        <v>0</v>
      </c>
      <c r="E38" s="85">
        <f>SUM('Defect P1'!E38,'Defect P2'!E38,RTS!E38)</f>
        <v>37083.364133851916</v>
      </c>
      <c r="F38" s="85">
        <f>SUM('Defect P1'!F38,'Defect P2'!F38,RTS!F38)</f>
        <v>-5522.15</v>
      </c>
      <c r="G38" s="85">
        <f>SUM('Defect P1'!G38,'Defect P2'!G38,RTS!G38)</f>
        <v>-4875.08</v>
      </c>
      <c r="H38" s="85">
        <f>SUM('Defect P1'!H38,'Defect P2'!H38,RTS!H38)</f>
        <v>-9778.0400000000009</v>
      </c>
      <c r="I38" s="85">
        <f>SUM('Defect P1'!I38,'Defect P2'!I38,RTS!I38)</f>
        <v>103592.4142434391</v>
      </c>
      <c r="J38" s="85">
        <f>SUM('Defect P1'!J38,'Defect P2'!J38,RTS!J38)</f>
        <v>9052.2874035959994</v>
      </c>
      <c r="K38" s="85">
        <f>SUM('Defect P1'!K38,'Defect P2'!K38,RTS!K38)</f>
        <v>534925.81637122051</v>
      </c>
      <c r="L38" s="85">
        <f>SUM('Defect P1'!L38,'Defect P2'!L38,RTS!L38)</f>
        <v>767920.9246374924</v>
      </c>
      <c r="M38" s="85">
        <f>SUM('Defect P1'!M38,'Defect P2'!M38,RTS!M38)</f>
        <v>2384986.1705348091</v>
      </c>
      <c r="N38" s="85">
        <v>971708.04841073044</v>
      </c>
      <c r="O38" s="560">
        <f>SUM('Defect P1'!O38,'Defect P2'!O38,RTS!O38)</f>
        <v>0</v>
      </c>
      <c r="P38" s="561">
        <f>SUM('Defect P1'!P38,'Defect P2'!P38,RTS!P38)</f>
        <v>49151.437545486544</v>
      </c>
      <c r="Q38" s="561">
        <f>SUM('Defect P1'!Q38,'Defect P2'!Q38,RTS!Q38)</f>
        <v>-7245.0925398525678</v>
      </c>
      <c r="R38" s="561">
        <f>SUM('Defect P1'!R38,'Defect P2'!R38,RTS!R38)</f>
        <v>-6274.7971246641537</v>
      </c>
      <c r="S38" s="561">
        <f>SUM('Defect P1'!S38,'Defect P2'!S38,RTS!S38)</f>
        <v>-12329.314446189825</v>
      </c>
      <c r="T38" s="561">
        <f>SUM('Defect P1'!T38,'Defect P2'!T38,RTS!T38)</f>
        <v>128573.54825720981</v>
      </c>
      <c r="U38" s="561">
        <f>SUM('Defect P1'!U38,'Defect P2'!U38,RTS!U38)</f>
        <v>11274.515096659468</v>
      </c>
      <c r="V38" s="561">
        <f>SUM('Defect P1'!V38,'Defect P2'!V38,RTS!V38)</f>
        <v>641567.97964651196</v>
      </c>
      <c r="W38" s="561">
        <f>SUM('Defect P1'!W38,'Defect P2'!W38,RTS!W38)</f>
        <v>867694.76628551597</v>
      </c>
      <c r="X38" s="561">
        <f>SUM('Defect P1'!X38,'Defect P2'!X38,RTS!X38)</f>
        <v>2536339.6016337876</v>
      </c>
      <c r="Y38" s="561">
        <f>SUM('Defect P1'!Y38,'Defect P2'!Y38,RTS!Y38)</f>
        <v>975693.572116822</v>
      </c>
      <c r="Z38" s="125">
        <f>SUM('Defect P1'!Z38,'Defect P2'!Z38,RTS!Z38)</f>
        <v>0</v>
      </c>
      <c r="AA38" s="126">
        <f>SUM('Defect P1'!AA38,'Defect P2'!AA38,RTS!AA38)</f>
        <v>2</v>
      </c>
      <c r="AB38" s="126">
        <f>SUM('Defect P1'!AB38,'Defect P2'!AB38,RTS!AB38)</f>
        <v>-3</v>
      </c>
      <c r="AC38" s="126">
        <f>SUM('Defect P1'!AC38,'Defect P2'!AC38,RTS!AC38)</f>
        <v>-3</v>
      </c>
      <c r="AD38" s="126">
        <f>SUM('Defect P1'!AD38,'Defect P2'!AD38,RTS!AD38)</f>
        <v>-5</v>
      </c>
      <c r="AE38" s="126">
        <f>SUM('Defect P1'!AE38,'Defect P2'!AE38,RTS!AE38)</f>
        <v>1.9846199320000004</v>
      </c>
      <c r="AF38" s="126">
        <f>SUM('Defect P1'!AF38,'Defect P2'!AF38,RTS!AF38)</f>
        <v>2.3666666000000058E-2</v>
      </c>
      <c r="AG38" s="126">
        <f>SUM('Defect P1'!AG38,'Defect P2'!AG38,RTS!AG38)</f>
        <v>5.6576666666666595</v>
      </c>
      <c r="AH38" s="126">
        <f>SUM('Defect P1'!AH38,'Defect P2'!AH38,RTS!AH38)</f>
        <v>2.3523332279999996</v>
      </c>
      <c r="AI38" s="126">
        <f>SUM('Defect P1'!AI38,'Defect P2'!AI38,RTS!AI38)</f>
        <v>7.5156665823333322</v>
      </c>
      <c r="AJ38" s="126">
        <f>SUM('Defect P1'!AJ38,'Defect P2'!AJ38,RTS!AJ38)</f>
        <v>15.343666333000005</v>
      </c>
      <c r="AK38" s="127">
        <f t="shared" si="14"/>
        <v>3.5067906149999986</v>
      </c>
      <c r="AL38" s="128" cm="1">
        <f t="array" ref="AL38">IFERROR(IF($AM$4="N",SSUM(AF38:AH38)/3,SUM(AG38:AI38)/3),"")</f>
        <v>5.1752221589999969</v>
      </c>
      <c r="AM38" s="129">
        <f t="shared" si="15"/>
        <v>7.5156665823333322</v>
      </c>
      <c r="AN38" s="370" t="str">
        <f t="shared" si="0"/>
        <v/>
      </c>
      <c r="AO38" s="371">
        <f t="shared" si="1"/>
        <v>18541.682066925958</v>
      </c>
      <c r="AP38" s="371">
        <f t="shared" si="2"/>
        <v>1840.7166666666665</v>
      </c>
      <c r="AQ38" s="371">
        <f t="shared" si="3"/>
        <v>1625.0266666666666</v>
      </c>
      <c r="AR38" s="371">
        <f t="shared" si="4"/>
        <v>1955.6080000000002</v>
      </c>
      <c r="AS38" s="371">
        <f t="shared" si="5"/>
        <v>52197.608505848199</v>
      </c>
      <c r="AT38" s="371">
        <f t="shared" si="6"/>
        <v>382491.02782774629</v>
      </c>
      <c r="AU38" s="371">
        <f t="shared" si="7"/>
        <v>94548.839280838016</v>
      </c>
      <c r="AV38" s="371">
        <f t="shared" si="8"/>
        <v>326450.74069305818</v>
      </c>
      <c r="AW38" s="371">
        <f t="shared" si="9"/>
        <v>317335.28149599745</v>
      </c>
      <c r="AX38" s="371">
        <f t="shared" si="10"/>
        <v>63329.586770331007</v>
      </c>
      <c r="AY38" s="93">
        <f t="shared" si="11"/>
        <v>216749.61698222512</v>
      </c>
      <c r="AZ38" s="94">
        <f t="shared" si="12"/>
        <v>237531.37535233967</v>
      </c>
      <c r="BA38" s="95">
        <f t="shared" si="13"/>
        <v>317335.28149599745</v>
      </c>
      <c r="BB38" s="363">
        <f>SUM('Defect P1'!CE38,'Defect P2'!CE38,RTS!CE38)</f>
        <v>5.2039981609999959</v>
      </c>
      <c r="BC38" s="363">
        <f>SUM('Defect P1'!CF38,'Defect P2'!CF38,RTS!CF38)</f>
        <v>5.2039981609999959</v>
      </c>
      <c r="BD38" s="363">
        <f>SUM('Defect P1'!CG38,'Defect P2'!CG38,RTS!CG38)</f>
        <v>5.2039981609999959</v>
      </c>
      <c r="BE38" s="363">
        <f>SUM('Defect P1'!CH38,'Defect P2'!CH38,RTS!CH38)</f>
        <v>6.2859633454438004</v>
      </c>
      <c r="BF38" s="363">
        <f>SUM('Defect P1'!CI38,'Defect P2'!CI38,RTS!CI38)</f>
        <v>6.2859633454438004</v>
      </c>
      <c r="BG38" s="363">
        <f>SUM('Defect P1'!CJ38,'Defect P2'!CJ38,RTS!CJ38)</f>
        <v>6.2859633454438004</v>
      </c>
      <c r="BH38" s="363">
        <f>SUM('Defect P1'!CK38,'Defect P2'!CK38,RTS!CK38)</f>
        <v>6.2859633454438004</v>
      </c>
      <c r="BI38" s="364">
        <f>SUM('Defect P1'!CL38,'Defect P2'!CL38,RTS!CL38)</f>
        <v>6.2859633454438004</v>
      </c>
      <c r="BJ38" s="99">
        <f t="shared" si="16"/>
        <v>210049.0442533023</v>
      </c>
      <c r="BK38" s="640">
        <f>SUM('Defect P1'!CQ38,'Defect P2'!CQ38,RTS!CQ38)</f>
        <v>1229277.637181174</v>
      </c>
      <c r="BL38" s="97">
        <f>SUM('Defect P1'!CR38,'Defect P2'!CR38,RTS!CR38)</f>
        <v>1229277.637181174</v>
      </c>
      <c r="BM38" s="524">
        <f>SUM('Defect P1'!CS38,'Defect P2'!CS38,RTS!CS38)</f>
        <v>1229277.637181174</v>
      </c>
      <c r="BN38" s="416">
        <f>SUM('Defect P1'!CT38,'Defect P2'!CT38,RTS!CT38)</f>
        <v>1238650.9146214514</v>
      </c>
      <c r="BO38" s="97">
        <f>SUM('Defect P1'!CU38,'Defect P2'!CU38,RTS!CU38)</f>
        <v>1238650.9146214514</v>
      </c>
      <c r="BP38" s="97">
        <f>SUM('Defect P1'!CV38,'Defect P2'!CV38,RTS!CV38)</f>
        <v>1238650.9146214514</v>
      </c>
      <c r="BQ38" s="97">
        <f>SUM('Defect P1'!CW38,'Defect P2'!CW38,RTS!CW38)</f>
        <v>1238650.9146214514</v>
      </c>
      <c r="BR38" s="98">
        <f>SUM('Defect P1'!CX38,'Defect P2'!CX38,RTS!CX38)</f>
        <v>1238650.9146214514</v>
      </c>
    </row>
    <row r="39" spans="1:70" x14ac:dyDescent="0.25">
      <c r="A39" s="81" t="s">
        <v>81</v>
      </c>
      <c r="B39" s="82" t="s">
        <v>316</v>
      </c>
      <c r="C39" s="83" t="s">
        <v>74</v>
      </c>
      <c r="D39" s="84">
        <f>SUM('Defect P1'!D39,'Defect P2'!D39,RTS!D39)</f>
        <v>-3581.682991477142</v>
      </c>
      <c r="E39" s="85">
        <f>SUM('Defect P1'!E39,'Defect P2'!E39,RTS!E39)</f>
        <v>25713.567769293291</v>
      </c>
      <c r="F39" s="85">
        <f>SUM('Defect P1'!F39,'Defect P2'!F39,RTS!F39)</f>
        <v>12145.097529904009</v>
      </c>
      <c r="G39" s="85">
        <f>SUM('Defect P1'!G39,'Defect P2'!G39,RTS!G39)</f>
        <v>15989.710229896085</v>
      </c>
      <c r="H39" s="85">
        <f>SUM('Defect P1'!H39,'Defect P2'!H39,RTS!H39)</f>
        <v>3969.381489564299</v>
      </c>
      <c r="I39" s="85">
        <f>SUM('Defect P1'!I39,'Defect P2'!I39,RTS!I39)</f>
        <v>90519.310389801831</v>
      </c>
      <c r="J39" s="85">
        <f>SUM('Defect P1'!J39,'Defect P2'!J39,RTS!J39)</f>
        <v>225432.28468921478</v>
      </c>
      <c r="K39" s="85">
        <f>SUM('Defect P1'!K39,'Defect P2'!K39,RTS!K39)</f>
        <v>99708.123937259981</v>
      </c>
      <c r="L39" s="85">
        <f>SUM('Defect P1'!L39,'Defect P2'!L39,RTS!L39)</f>
        <v>301930.27318962</v>
      </c>
      <c r="M39" s="85">
        <f>SUM('Defect P1'!M39,'Defect P2'!M39,RTS!M39)</f>
        <v>320404.11919410998</v>
      </c>
      <c r="N39" s="85">
        <v>472417.66972222598</v>
      </c>
      <c r="O39" s="560">
        <f>SUM('Defect P1'!O39,'Defect P2'!O39,RTS!O39)</f>
        <v>-4818.9980142776358</v>
      </c>
      <c r="P39" s="561">
        <f>SUM('Defect P1'!P39,'Defect P2'!P39,RTS!P39)</f>
        <v>34081.557857646709</v>
      </c>
      <c r="Q39" s="561">
        <f>SUM('Defect P1'!Q39,'Defect P2'!Q39,RTS!Q39)</f>
        <v>15934.437766031235</v>
      </c>
      <c r="R39" s="561">
        <f>SUM('Defect P1'!R39,'Defect P2'!R39,RTS!R39)</f>
        <v>20580.623861508931</v>
      </c>
      <c r="S39" s="561">
        <f>SUM('Defect P1'!S39,'Defect P2'!S39,RTS!S39)</f>
        <v>5005.0677376778576</v>
      </c>
      <c r="T39" s="561">
        <f>SUM('Defect P1'!T39,'Defect P2'!T39,RTS!T39)</f>
        <v>112347.88770597307</v>
      </c>
      <c r="U39" s="561">
        <f>SUM('Defect P1'!U39,'Defect P2'!U39,RTS!U39)</f>
        <v>280773.19948915089</v>
      </c>
      <c r="V39" s="561">
        <f>SUM('Defect P1'!V39,'Defect P2'!V39,RTS!V39)</f>
        <v>119585.81483825635</v>
      </c>
      <c r="W39" s="561">
        <f>SUM('Defect P1'!W39,'Defect P2'!W39,RTS!W39)</f>
        <v>341159.23843781458</v>
      </c>
      <c r="X39" s="561">
        <f>SUM('Defect P1'!X39,'Defect P2'!X39,RTS!X39)</f>
        <v>340737.26132189023</v>
      </c>
      <c r="Y39" s="561">
        <f>SUM('Defect P1'!Y39,'Defect P2'!Y39,RTS!Y39)</f>
        <v>474387.37720223219</v>
      </c>
      <c r="Z39" s="125">
        <f>SUM('Defect P1'!Z39,'Defect P2'!Z39,RTS!Z39)</f>
        <v>-1</v>
      </c>
      <c r="AA39" s="126">
        <f>SUM('Defect P1'!AA39,'Defect P2'!AA39,RTS!AA39)</f>
        <v>0</v>
      </c>
      <c r="AB39" s="126">
        <f>SUM('Defect P1'!AB39,'Defect P2'!AB39,RTS!AB39)</f>
        <v>1</v>
      </c>
      <c r="AC39" s="126">
        <f>SUM('Defect P1'!AC39,'Defect P2'!AC39,RTS!AC39)</f>
        <v>0</v>
      </c>
      <c r="AD39" s="126">
        <f>SUM('Defect P1'!AD39,'Defect P2'!AD39,RTS!AD39)</f>
        <v>0</v>
      </c>
      <c r="AE39" s="126">
        <f>SUM('Defect P1'!AE39,'Defect P2'!AE39,RTS!AE39)</f>
        <v>2.01201009</v>
      </c>
      <c r="AF39" s="126">
        <f>SUM('Defect P1'!AF39,'Defect P2'!AF39,RTS!AF39)</f>
        <v>0.64899999900000016</v>
      </c>
      <c r="AG39" s="126">
        <f>SUM('Defect P1'!AG39,'Defect P2'!AG39,RTS!AG39)</f>
        <v>3.4739999999999971</v>
      </c>
      <c r="AH39" s="126">
        <f>SUM('Defect P1'!AH39,'Defect P2'!AH39,RTS!AH39)</f>
        <v>2.6029999790000002</v>
      </c>
      <c r="AI39" s="126">
        <f>SUM('Defect P1'!AI39,'Defect P2'!AI39,RTS!AI39)</f>
        <v>2.9073334020000003</v>
      </c>
      <c r="AJ39" s="126">
        <f>SUM('Defect P1'!AJ39,'Defect P2'!AJ39,RTS!AJ39)</f>
        <v>4.3823334399999982</v>
      </c>
      <c r="AK39" s="127">
        <f t="shared" si="14"/>
        <v>2.3290686939999996</v>
      </c>
      <c r="AL39" s="128" cm="1">
        <f t="array" ref="AL39">IFERROR(IF($AM$4="N",SSUM(AF39:AH39)/3,SUM(AG39:AI39)/3),"")</f>
        <v>2.9947777936666657</v>
      </c>
      <c r="AM39" s="129">
        <f t="shared" si="15"/>
        <v>2.9073334020000003</v>
      </c>
      <c r="AN39" s="370">
        <f t="shared" ref="AN39:AN70" si="17">IFERROR(D39/Z39,"")</f>
        <v>3581.682991477142</v>
      </c>
      <c r="AO39" s="371" t="str">
        <f t="shared" ref="AO39:AO70" si="18">IFERROR(E39/AA39,"")</f>
        <v/>
      </c>
      <c r="AP39" s="371">
        <f t="shared" ref="AP39:AP70" si="19">IFERROR(F39/AB39,"")</f>
        <v>12145.097529904009</v>
      </c>
      <c r="AQ39" s="371" t="str">
        <f t="shared" ref="AQ39:AQ70" si="20">IFERROR(G39/AC39,"")</f>
        <v/>
      </c>
      <c r="AR39" s="371" t="str">
        <f t="shared" ref="AR39:AR70" si="21">IFERROR(H39/AD39,"")</f>
        <v/>
      </c>
      <c r="AS39" s="371">
        <f t="shared" ref="AS39:AS70" si="22">IFERROR(I39/AE39,"")</f>
        <v>44989.491275265835</v>
      </c>
      <c r="AT39" s="371">
        <f t="shared" ref="AT39:AT70" si="23">IFERROR(J39/AF39,"")</f>
        <v>347353.28973277041</v>
      </c>
      <c r="AU39" s="371">
        <f t="shared" ref="AU39:AU70" si="24">IFERROR(K39/AG39,"")</f>
        <v>28701.244656666684</v>
      </c>
      <c r="AV39" s="371">
        <f t="shared" ref="AV39:AV70" si="25">IFERROR(L39/AH39,"")</f>
        <v>115993.19078965693</v>
      </c>
      <c r="AW39" s="371">
        <f t="shared" si="9"/>
        <v>110205.49585874773</v>
      </c>
      <c r="AX39" s="371">
        <f t="shared" si="10"/>
        <v>107800.48487643746</v>
      </c>
      <c r="AY39" s="93">
        <f t="shared" ref="AY39:AY70" si="26">IFERROR(IF($BA$4="N",SUM(H39:L39)/SUM(AD39:AH39),SUM(I39:M39)/SUM(AE39:AI39)),"")</f>
        <v>89133.833971837899</v>
      </c>
      <c r="AZ39" s="94">
        <f t="shared" ref="AZ39:AZ70" si="27">IFERROR(IF($BA$4="N",SUM(J39:L39)/SUM(AF39:AH39),SUM(K39:M39)/SUM(AG39:AI39)),"")</f>
        <v>80366.843671224415</v>
      </c>
      <c r="BA39" s="95">
        <f t="shared" ref="BA39:BA70" si="28">IFERROR(IF($BA$4="N",L39/AH39,M39/AI39),"")</f>
        <v>110205.49585874773</v>
      </c>
      <c r="BB39" s="363">
        <f>SUM('Defect P1'!CE39,'Defect P2'!CE39,RTS!CE39)</f>
        <v>3.2592398040666661</v>
      </c>
      <c r="BC39" s="363">
        <f>SUM('Defect P1'!CF39,'Defect P2'!CF39,RTS!CF39)</f>
        <v>3.2592398040666661</v>
      </c>
      <c r="BD39" s="363">
        <f>SUM('Defect P1'!CG39,'Defect P2'!CG39,RTS!CG39)</f>
        <v>3.2592398040666661</v>
      </c>
      <c r="BE39" s="363">
        <f>SUM('Defect P1'!CH39,'Defect P2'!CH39,RTS!CH39)</f>
        <v>3.7176093859478345</v>
      </c>
      <c r="BF39" s="363">
        <f>SUM('Defect P1'!CI39,'Defect P2'!CI39,RTS!CI39)</f>
        <v>3.7176093859478345</v>
      </c>
      <c r="BG39" s="363">
        <f>SUM('Defect P1'!CJ39,'Defect P2'!CJ39,RTS!CJ39)</f>
        <v>3.7176093859478345</v>
      </c>
      <c r="BH39" s="363">
        <f>SUM('Defect P1'!CK39,'Defect P2'!CK39,RTS!CK39)</f>
        <v>3.7176093859478345</v>
      </c>
      <c r="BI39" s="364">
        <f>SUM('Defect P1'!CL39,'Defect P2'!CL39,RTS!CL39)</f>
        <v>3.7176093859478345</v>
      </c>
      <c r="BJ39" s="99">
        <f t="shared" si="16"/>
        <v>73451.798864136086</v>
      </c>
      <c r="BK39" s="640">
        <f>SUM('Defect P1'!CQ39,'Defect P2'!CQ39,RTS!CQ39)</f>
        <v>250379.19203767768</v>
      </c>
      <c r="BL39" s="97">
        <f>SUM('Defect P1'!CR39,'Defect P2'!CR39,RTS!CR39)</f>
        <v>250379.19203767768</v>
      </c>
      <c r="BM39" s="524">
        <f>SUM('Defect P1'!CS39,'Defect P2'!CS39,RTS!CS39)</f>
        <v>250379.19203767768</v>
      </c>
      <c r="BN39" s="416">
        <f>SUM('Defect P1'!CT39,'Defect P2'!CT39,RTS!CT39)</f>
        <v>266475.79757243284</v>
      </c>
      <c r="BO39" s="97">
        <f>SUM('Defect P1'!CU39,'Defect P2'!CU39,RTS!CU39)</f>
        <v>266475.79757243284</v>
      </c>
      <c r="BP39" s="97">
        <f>SUM('Defect P1'!CV39,'Defect P2'!CV39,RTS!CV39)</f>
        <v>266475.79757243284</v>
      </c>
      <c r="BQ39" s="97">
        <f>SUM('Defect P1'!CW39,'Defect P2'!CW39,RTS!CW39)</f>
        <v>266475.79757243284</v>
      </c>
      <c r="BR39" s="98">
        <f>SUM('Defect P1'!CX39,'Defect P2'!CX39,RTS!CX39)</f>
        <v>266475.79757243284</v>
      </c>
    </row>
    <row r="40" spans="1:70" x14ac:dyDescent="0.25">
      <c r="A40" s="81" t="s">
        <v>81</v>
      </c>
      <c r="B40" s="82" t="s">
        <v>317</v>
      </c>
      <c r="C40" s="83" t="s">
        <v>76</v>
      </c>
      <c r="D40" s="84">
        <f>SUM('Defect P1'!D40,'Defect P2'!D40,RTS!D40)</f>
        <v>0</v>
      </c>
      <c r="E40" s="85">
        <f>SUM('Defect P1'!E40,'Defect P2'!E40,RTS!E40)</f>
        <v>0</v>
      </c>
      <c r="F40" s="85">
        <f>SUM('Defect P1'!F40,'Defect P2'!F40,RTS!F40)</f>
        <v>55619.348156523585</v>
      </c>
      <c r="G40" s="85">
        <f>SUM('Defect P1'!G40,'Defect P2'!G40,RTS!G40)</f>
        <v>0</v>
      </c>
      <c r="H40" s="85">
        <f>SUM('Defect P1'!H40,'Defect P2'!H40,RTS!H40)</f>
        <v>0</v>
      </c>
      <c r="I40" s="85">
        <f>SUM('Defect P1'!I40,'Defect P2'!I40,RTS!I40)</f>
        <v>0</v>
      </c>
      <c r="J40" s="85">
        <f>SUM('Defect P1'!J40,'Defect P2'!J40,RTS!J40)</f>
        <v>0</v>
      </c>
      <c r="K40" s="85">
        <f>SUM('Defect P1'!K40,'Defect P2'!K40,RTS!K40)</f>
        <v>2827.8290000000002</v>
      </c>
      <c r="L40" s="85">
        <f>SUM('Defect P1'!L40,'Defect P2'!L40,RTS!L40)</f>
        <v>0</v>
      </c>
      <c r="M40" s="85">
        <f>SUM('Defect P1'!M40,'Defect P2'!M40,RTS!M40)</f>
        <v>0</v>
      </c>
      <c r="N40" s="85">
        <v>78730.413235505213</v>
      </c>
      <c r="O40" s="560">
        <f>SUM('Defect P1'!O40,'Defect P2'!O40,RTS!O40)</f>
        <v>0</v>
      </c>
      <c r="P40" s="561">
        <f>SUM('Defect P1'!P40,'Defect P2'!P40,RTS!P40)</f>
        <v>0</v>
      </c>
      <c r="Q40" s="561">
        <f>SUM('Defect P1'!Q40,'Defect P2'!Q40,RTS!Q40)</f>
        <v>72972.904466610242</v>
      </c>
      <c r="R40" s="561">
        <f>SUM('Defect P1'!R40,'Defect P2'!R40,RTS!R40)</f>
        <v>0</v>
      </c>
      <c r="S40" s="561">
        <f>SUM('Defect P1'!S40,'Defect P2'!S40,RTS!S40)</f>
        <v>0</v>
      </c>
      <c r="T40" s="561">
        <f>SUM('Defect P1'!T40,'Defect P2'!T40,RTS!T40)</f>
        <v>0</v>
      </c>
      <c r="U40" s="561">
        <f>SUM('Defect P1'!U40,'Defect P2'!U40,RTS!U40)</f>
        <v>0</v>
      </c>
      <c r="V40" s="561">
        <f>SUM('Defect P1'!V40,'Defect P2'!V40,RTS!V40)</f>
        <v>3391.5815666237945</v>
      </c>
      <c r="W40" s="561">
        <f>SUM('Defect P1'!W40,'Defect P2'!W40,RTS!W40)</f>
        <v>0</v>
      </c>
      <c r="X40" s="561">
        <f>SUM('Defect P1'!X40,'Defect P2'!X40,RTS!X40)</f>
        <v>0</v>
      </c>
      <c r="Y40" s="561">
        <f>SUM('Defect P1'!Y40,'Defect P2'!Y40,RTS!Y40)</f>
        <v>79051.51571410973</v>
      </c>
      <c r="Z40" s="125">
        <f>SUM('Defect P1'!Z40,'Defect P2'!Z40,RTS!Z40)</f>
        <v>0</v>
      </c>
      <c r="AA40" s="126">
        <f>SUM('Defect P1'!AA40,'Defect P2'!AA40,RTS!AA40)</f>
        <v>0</v>
      </c>
      <c r="AB40" s="126">
        <f>SUM('Defect P1'!AB40,'Defect P2'!AB40,RTS!AB40)</f>
        <v>1</v>
      </c>
      <c r="AC40" s="126">
        <f>SUM('Defect P1'!AC40,'Defect P2'!AC40,RTS!AC40)</f>
        <v>0</v>
      </c>
      <c r="AD40" s="126">
        <f>SUM('Defect P1'!AD40,'Defect P2'!AD40,RTS!AD40)</f>
        <v>0</v>
      </c>
      <c r="AE40" s="126">
        <f>SUM('Defect P1'!AE40,'Defect P2'!AE40,RTS!AE40)</f>
        <v>0</v>
      </c>
      <c r="AF40" s="126">
        <f>SUM('Defect P1'!AF40,'Defect P2'!AF40,RTS!AF40)</f>
        <v>0</v>
      </c>
      <c r="AG40" s="126">
        <f>SUM('Defect P1'!AG40,'Defect P2'!AG40,RTS!AG40)</f>
        <v>0</v>
      </c>
      <c r="AH40" s="126">
        <f>SUM('Defect P1'!AH40,'Defect P2'!AH40,RTS!AH40)</f>
        <v>0</v>
      </c>
      <c r="AI40" s="126">
        <f>SUM('Defect P1'!AI40,'Defect P2'!AI40,RTS!AI40)</f>
        <v>0</v>
      </c>
      <c r="AJ40" s="126">
        <f>SUM('Defect P1'!AJ40,'Defect P2'!AJ40,RTS!AJ40)</f>
        <v>3.3333331000000001E-2</v>
      </c>
      <c r="AK40" s="127">
        <f t="shared" si="14"/>
        <v>0</v>
      </c>
      <c r="AL40" s="128" cm="1">
        <f t="array" ref="AL40">IFERROR(IF($AM$4="N",SSUM(AF40:AH40)/3,SUM(AG40:AI40)/3),"")</f>
        <v>0</v>
      </c>
      <c r="AM40" s="129">
        <f t="shared" si="15"/>
        <v>0</v>
      </c>
      <c r="AN40" s="370" t="str">
        <f t="shared" si="17"/>
        <v/>
      </c>
      <c r="AO40" s="371" t="str">
        <f t="shared" si="18"/>
        <v/>
      </c>
      <c r="AP40" s="371">
        <f t="shared" si="19"/>
        <v>55619.348156523585</v>
      </c>
      <c r="AQ40" s="371" t="str">
        <f t="shared" si="20"/>
        <v/>
      </c>
      <c r="AR40" s="371" t="str">
        <f t="shared" si="21"/>
        <v/>
      </c>
      <c r="AS40" s="371" t="str">
        <f t="shared" si="22"/>
        <v/>
      </c>
      <c r="AT40" s="371" t="str">
        <f t="shared" si="23"/>
        <v/>
      </c>
      <c r="AU40" s="371" t="str">
        <f t="shared" si="24"/>
        <v/>
      </c>
      <c r="AV40" s="371" t="str">
        <f t="shared" si="25"/>
        <v/>
      </c>
      <c r="AW40" s="371" t="str">
        <f t="shared" si="9"/>
        <v/>
      </c>
      <c r="AX40" s="371">
        <f t="shared" si="10"/>
        <v>2361912.5623990358</v>
      </c>
      <c r="AY40" s="93" t="str">
        <f t="shared" si="26"/>
        <v/>
      </c>
      <c r="AZ40" s="94" t="str">
        <f t="shared" si="27"/>
        <v/>
      </c>
      <c r="BA40" s="95" t="str">
        <f t="shared" si="28"/>
        <v/>
      </c>
      <c r="BB40" s="363">
        <f>SUM('Defect P1'!CE40,'Defect P2'!CE40,RTS!CE40)</f>
        <v>0</v>
      </c>
      <c r="BC40" s="363">
        <f>SUM('Defect P1'!CF40,'Defect P2'!CF40,RTS!CF40)</f>
        <v>0</v>
      </c>
      <c r="BD40" s="363">
        <f>SUM('Defect P1'!CG40,'Defect P2'!CG40,RTS!CG40)</f>
        <v>0</v>
      </c>
      <c r="BE40" s="363">
        <f>SUM('Defect P1'!CH40,'Defect P2'!CH40,RTS!CH40)</f>
        <v>0</v>
      </c>
      <c r="BF40" s="363">
        <f>SUM('Defect P1'!CI40,'Defect P2'!CI40,RTS!CI40)</f>
        <v>0</v>
      </c>
      <c r="BG40" s="363">
        <f>SUM('Defect P1'!CJ40,'Defect P2'!CJ40,RTS!CJ40)</f>
        <v>0</v>
      </c>
      <c r="BH40" s="363">
        <f>SUM('Defect P1'!CK40,'Defect P2'!CK40,RTS!CK40)</f>
        <v>0</v>
      </c>
      <c r="BI40" s="364">
        <f>SUM('Defect P1'!CL40,'Defect P2'!CL40,RTS!CL40)</f>
        <v>0</v>
      </c>
      <c r="BJ40" s="99" t="str">
        <f t="shared" si="16"/>
        <v/>
      </c>
      <c r="BK40" s="640">
        <f>SUM('Defect P1'!CQ40,'Defect P2'!CQ40,RTS!CQ40)</f>
        <v>0</v>
      </c>
      <c r="BL40" s="97">
        <f>SUM('Defect P1'!CR40,'Defect P2'!CR40,RTS!CR40)</f>
        <v>0</v>
      </c>
      <c r="BM40" s="524">
        <f>SUM('Defect P1'!CS40,'Defect P2'!CS40,RTS!CS40)</f>
        <v>0</v>
      </c>
      <c r="BN40" s="416">
        <f>SUM('Defect P1'!CT40,'Defect P2'!CT40,RTS!CT40)</f>
        <v>0</v>
      </c>
      <c r="BO40" s="97">
        <f>SUM('Defect P1'!CU40,'Defect P2'!CU40,RTS!CU40)</f>
        <v>0</v>
      </c>
      <c r="BP40" s="97">
        <f>SUM('Defect P1'!CV40,'Defect P2'!CV40,RTS!CV40)</f>
        <v>0</v>
      </c>
      <c r="BQ40" s="97">
        <f>SUM('Defect P1'!CW40,'Defect P2'!CW40,RTS!CW40)</f>
        <v>0</v>
      </c>
      <c r="BR40" s="98">
        <f>SUM('Defect P1'!CX40,'Defect P2'!CX40,RTS!CX40)</f>
        <v>0</v>
      </c>
    </row>
    <row r="41" spans="1:70" x14ac:dyDescent="0.25">
      <c r="A41" s="81" t="s">
        <v>81</v>
      </c>
      <c r="B41" s="82" t="s">
        <v>318</v>
      </c>
      <c r="C41" s="83" t="s">
        <v>78</v>
      </c>
      <c r="D41" s="84">
        <f>SUM('Defect P1'!D41,'Defect P2'!D41,RTS!D41)</f>
        <v>0</v>
      </c>
      <c r="E41" s="85">
        <f>SUM('Defect P1'!E41,'Defect P2'!E41,RTS!E41)</f>
        <v>0</v>
      </c>
      <c r="F41" s="85">
        <f>SUM('Defect P1'!F41,'Defect P2'!F41,RTS!F41)</f>
        <v>0</v>
      </c>
      <c r="G41" s="85">
        <f>SUM('Defect P1'!G41,'Defect P2'!G41,RTS!G41)</f>
        <v>0</v>
      </c>
      <c r="H41" s="85">
        <f>SUM('Defect P1'!H41,'Defect P2'!H41,RTS!H41)</f>
        <v>0</v>
      </c>
      <c r="I41" s="85">
        <f>SUM('Defect P1'!I41,'Defect P2'!I41,RTS!I41)</f>
        <v>0</v>
      </c>
      <c r="J41" s="85">
        <f>SUM('Defect P1'!J41,'Defect P2'!J41,RTS!J41)</f>
        <v>0</v>
      </c>
      <c r="K41" s="85">
        <f>SUM('Defect P1'!K41,'Defect P2'!K41,RTS!K41)</f>
        <v>0</v>
      </c>
      <c r="L41" s="85">
        <f>SUM('Defect P1'!L41,'Defect P2'!L41,RTS!L41)</f>
        <v>0</v>
      </c>
      <c r="M41" s="85">
        <f>SUM('Defect P1'!M41,'Defect P2'!M41,RTS!M41)</f>
        <v>0</v>
      </c>
      <c r="N41" s="85">
        <v>0</v>
      </c>
      <c r="O41" s="560">
        <f>SUM('Defect P1'!O41,'Defect P2'!O41,RTS!O41)</f>
        <v>0</v>
      </c>
      <c r="P41" s="561">
        <f>SUM('Defect P1'!P41,'Defect P2'!P41,RTS!P41)</f>
        <v>0</v>
      </c>
      <c r="Q41" s="561">
        <f>SUM('Defect P1'!Q41,'Defect P2'!Q41,RTS!Q41)</f>
        <v>0</v>
      </c>
      <c r="R41" s="561">
        <f>SUM('Defect P1'!R41,'Defect P2'!R41,RTS!R41)</f>
        <v>0</v>
      </c>
      <c r="S41" s="561">
        <f>SUM('Defect P1'!S41,'Defect P2'!S41,RTS!S41)</f>
        <v>0</v>
      </c>
      <c r="T41" s="561">
        <f>SUM('Defect P1'!T41,'Defect P2'!T41,RTS!T41)</f>
        <v>0</v>
      </c>
      <c r="U41" s="561">
        <f>SUM('Defect P1'!U41,'Defect P2'!U41,RTS!U41)</f>
        <v>0</v>
      </c>
      <c r="V41" s="561">
        <f>SUM('Defect P1'!V41,'Defect P2'!V41,RTS!V41)</f>
        <v>0</v>
      </c>
      <c r="W41" s="561">
        <f>SUM('Defect P1'!W41,'Defect P2'!W41,RTS!W41)</f>
        <v>0</v>
      </c>
      <c r="X41" s="561">
        <f>SUM('Defect P1'!X41,'Defect P2'!X41,RTS!X41)</f>
        <v>0</v>
      </c>
      <c r="Y41" s="561">
        <f>SUM('Defect P1'!Y41,'Defect P2'!Y41,RTS!Y41)</f>
        <v>0</v>
      </c>
      <c r="Z41" s="125">
        <f>SUM('Defect P1'!Z41,'Defect P2'!Z41,RTS!Z41)</f>
        <v>0</v>
      </c>
      <c r="AA41" s="126">
        <f>SUM('Defect P1'!AA41,'Defect P2'!AA41,RTS!AA41)</f>
        <v>0</v>
      </c>
      <c r="AB41" s="126">
        <f>SUM('Defect P1'!AB41,'Defect P2'!AB41,RTS!AB41)</f>
        <v>0</v>
      </c>
      <c r="AC41" s="126">
        <f>SUM('Defect P1'!AC41,'Defect P2'!AC41,RTS!AC41)</f>
        <v>0</v>
      </c>
      <c r="AD41" s="126">
        <f>SUM('Defect P1'!AD41,'Defect P2'!AD41,RTS!AD41)</f>
        <v>0</v>
      </c>
      <c r="AE41" s="126">
        <f>SUM('Defect P1'!AE41,'Defect P2'!AE41,RTS!AE41)</f>
        <v>0</v>
      </c>
      <c r="AF41" s="126">
        <f>SUM('Defect P1'!AF41,'Defect P2'!AF41,RTS!AF41)</f>
        <v>0</v>
      </c>
      <c r="AG41" s="126">
        <f>SUM('Defect P1'!AG41,'Defect P2'!AG41,RTS!AG41)</f>
        <v>0</v>
      </c>
      <c r="AH41" s="126">
        <f>SUM('Defect P1'!AH41,'Defect P2'!AH41,RTS!AH41)</f>
        <v>0</v>
      </c>
      <c r="AI41" s="126">
        <f>SUM('Defect P1'!AI41,'Defect P2'!AI41,RTS!AI41)</f>
        <v>0</v>
      </c>
      <c r="AJ41" s="126">
        <f>SUM('Defect P1'!AJ41,'Defect P2'!AJ41,RTS!AJ41)</f>
        <v>0</v>
      </c>
      <c r="AK41" s="127">
        <f t="shared" si="14"/>
        <v>0</v>
      </c>
      <c r="AL41" s="128" cm="1">
        <f t="array" ref="AL41">IFERROR(IF($AM$4="N",SSUM(AF41:AH41)/3,SUM(AG41:AI41)/3),"")</f>
        <v>0</v>
      </c>
      <c r="AM41" s="129">
        <f t="shared" si="15"/>
        <v>0</v>
      </c>
      <c r="AN41" s="370" t="str">
        <f t="shared" si="17"/>
        <v/>
      </c>
      <c r="AO41" s="371" t="str">
        <f t="shared" si="18"/>
        <v/>
      </c>
      <c r="AP41" s="371" t="str">
        <f t="shared" si="19"/>
        <v/>
      </c>
      <c r="AQ41" s="371" t="str">
        <f t="shared" si="20"/>
        <v/>
      </c>
      <c r="AR41" s="371" t="str">
        <f t="shared" si="21"/>
        <v/>
      </c>
      <c r="AS41" s="371" t="str">
        <f t="shared" si="22"/>
        <v/>
      </c>
      <c r="AT41" s="371" t="str">
        <f t="shared" si="23"/>
        <v/>
      </c>
      <c r="AU41" s="371" t="str">
        <f t="shared" si="24"/>
        <v/>
      </c>
      <c r="AV41" s="371" t="str">
        <f t="shared" si="25"/>
        <v/>
      </c>
      <c r="AW41" s="371" t="str">
        <f t="shared" si="9"/>
        <v/>
      </c>
      <c r="AX41" s="371" t="str">
        <f t="shared" si="10"/>
        <v/>
      </c>
      <c r="AY41" s="93" t="str">
        <f t="shared" si="26"/>
        <v/>
      </c>
      <c r="AZ41" s="94" t="str">
        <f t="shared" si="27"/>
        <v/>
      </c>
      <c r="BA41" s="95" t="str">
        <f t="shared" si="28"/>
        <v/>
      </c>
      <c r="BB41" s="363">
        <f>SUM('Defect P1'!CE41,'Defect P2'!CE41,RTS!CE41)</f>
        <v>0</v>
      </c>
      <c r="BC41" s="363">
        <f>SUM('Defect P1'!CF41,'Defect P2'!CF41,RTS!CF41)</f>
        <v>0</v>
      </c>
      <c r="BD41" s="363">
        <f>SUM('Defect P1'!CG41,'Defect P2'!CG41,RTS!CG41)</f>
        <v>0</v>
      </c>
      <c r="BE41" s="363">
        <f>SUM('Defect P1'!CH41,'Defect P2'!CH41,RTS!CH41)</f>
        <v>0</v>
      </c>
      <c r="BF41" s="363">
        <f>SUM('Defect P1'!CI41,'Defect P2'!CI41,RTS!CI41)</f>
        <v>0</v>
      </c>
      <c r="BG41" s="363">
        <f>SUM('Defect P1'!CJ41,'Defect P2'!CJ41,RTS!CJ41)</f>
        <v>0</v>
      </c>
      <c r="BH41" s="363">
        <f>SUM('Defect P1'!CK41,'Defect P2'!CK41,RTS!CK41)</f>
        <v>0</v>
      </c>
      <c r="BI41" s="364">
        <f>SUM('Defect P1'!CL41,'Defect P2'!CL41,RTS!CL41)</f>
        <v>0</v>
      </c>
      <c r="BJ41" s="99" t="str">
        <f t="shared" si="16"/>
        <v/>
      </c>
      <c r="BK41" s="640">
        <f>SUM('Defect P1'!CQ41,'Defect P2'!CQ41,RTS!CQ41)</f>
        <v>0</v>
      </c>
      <c r="BL41" s="97">
        <f>SUM('Defect P1'!CR41,'Defect P2'!CR41,RTS!CR41)</f>
        <v>0</v>
      </c>
      <c r="BM41" s="524">
        <f>SUM('Defect P1'!CS41,'Defect P2'!CS41,RTS!CS41)</f>
        <v>0</v>
      </c>
      <c r="BN41" s="416">
        <f>SUM('Defect P1'!CT41,'Defect P2'!CT41,RTS!CT41)</f>
        <v>0</v>
      </c>
      <c r="BO41" s="97">
        <f>SUM('Defect P1'!CU41,'Defect P2'!CU41,RTS!CU41)</f>
        <v>0</v>
      </c>
      <c r="BP41" s="97">
        <f>SUM('Defect P1'!CV41,'Defect P2'!CV41,RTS!CV41)</f>
        <v>0</v>
      </c>
      <c r="BQ41" s="97">
        <f>SUM('Defect P1'!CW41,'Defect P2'!CW41,RTS!CW41)</f>
        <v>0</v>
      </c>
      <c r="BR41" s="98">
        <f>SUM('Defect P1'!CX41,'Defect P2'!CX41,RTS!CX41)</f>
        <v>0</v>
      </c>
    </row>
    <row r="42" spans="1:70" ht="15.75" thickBot="1" x14ac:dyDescent="0.3">
      <c r="A42" s="100" t="s">
        <v>81</v>
      </c>
      <c r="B42" s="101" t="s">
        <v>319</v>
      </c>
      <c r="C42" s="102" t="s">
        <v>320</v>
      </c>
      <c r="D42" s="103">
        <f>SUM('Defect P1'!D42,'Defect P2'!D42,RTS!D42)</f>
        <v>0</v>
      </c>
      <c r="E42" s="104">
        <f>SUM('Defect P1'!E42,'Defect P2'!E42,RTS!E42)</f>
        <v>0</v>
      </c>
      <c r="F42" s="104">
        <f>SUM('Defect P1'!F42,'Defect P2'!F42,RTS!F42)</f>
        <v>0</v>
      </c>
      <c r="G42" s="104">
        <f>SUM('Defect P1'!G42,'Defect P2'!G42,RTS!G42)</f>
        <v>0</v>
      </c>
      <c r="H42" s="104">
        <f>SUM('Defect P1'!H42,'Defect P2'!H42,RTS!H42)</f>
        <v>0</v>
      </c>
      <c r="I42" s="104">
        <f>SUM('Defect P1'!I42,'Defect P2'!I42,RTS!I42)</f>
        <v>0</v>
      </c>
      <c r="J42" s="104">
        <f>SUM('Defect P1'!J42,'Defect P2'!J42,RTS!J42)</f>
        <v>0</v>
      </c>
      <c r="K42" s="104">
        <f>SUM('Defect P1'!K42,'Defect P2'!K42,RTS!K42)</f>
        <v>0</v>
      </c>
      <c r="L42" s="104">
        <f>SUM('Defect P1'!L42,'Defect P2'!L42,RTS!L42)</f>
        <v>0</v>
      </c>
      <c r="M42" s="104">
        <f>SUM('Defect P1'!M42,'Defect P2'!M42,RTS!M42)</f>
        <v>0</v>
      </c>
      <c r="N42" s="104">
        <v>0</v>
      </c>
      <c r="O42" s="563">
        <f>SUM('Defect P1'!O42,'Defect P2'!O42,RTS!O42)</f>
        <v>0</v>
      </c>
      <c r="P42" s="564">
        <f>SUM('Defect P1'!P42,'Defect P2'!P42,RTS!P42)</f>
        <v>0</v>
      </c>
      <c r="Q42" s="564">
        <f>SUM('Defect P1'!Q42,'Defect P2'!Q42,RTS!Q42)</f>
        <v>0</v>
      </c>
      <c r="R42" s="564">
        <f>SUM('Defect P1'!R42,'Defect P2'!R42,RTS!R42)</f>
        <v>0</v>
      </c>
      <c r="S42" s="564">
        <f>SUM('Defect P1'!S42,'Defect P2'!S42,RTS!S42)</f>
        <v>0</v>
      </c>
      <c r="T42" s="564">
        <f>SUM('Defect P1'!T42,'Defect P2'!T42,RTS!T42)</f>
        <v>0</v>
      </c>
      <c r="U42" s="564">
        <f>SUM('Defect P1'!U42,'Defect P2'!U42,RTS!U42)</f>
        <v>0</v>
      </c>
      <c r="V42" s="564">
        <f>SUM('Defect P1'!V42,'Defect P2'!V42,RTS!V42)</f>
        <v>0</v>
      </c>
      <c r="W42" s="564">
        <f>SUM('Defect P1'!W42,'Defect P2'!W42,RTS!W42)</f>
        <v>0</v>
      </c>
      <c r="X42" s="564">
        <f>SUM('Defect P1'!X42,'Defect P2'!X42,RTS!X42)</f>
        <v>0</v>
      </c>
      <c r="Y42" s="564">
        <f>SUM('Defect P1'!Y42,'Defect P2'!Y42,RTS!Y42)</f>
        <v>0</v>
      </c>
      <c r="Z42" s="131">
        <f>SUM('Defect P1'!Z42,'Defect P2'!Z42,RTS!Z42)</f>
        <v>0</v>
      </c>
      <c r="AA42" s="132">
        <f>SUM('Defect P1'!AA42,'Defect P2'!AA42,RTS!AA42)</f>
        <v>0</v>
      </c>
      <c r="AB42" s="132">
        <f>SUM('Defect P1'!AB42,'Defect P2'!AB42,RTS!AB42)</f>
        <v>0</v>
      </c>
      <c r="AC42" s="132">
        <f>SUM('Defect P1'!AC42,'Defect P2'!AC42,RTS!AC42)</f>
        <v>0</v>
      </c>
      <c r="AD42" s="132">
        <f>SUM('Defect P1'!AD42,'Defect P2'!AD42,RTS!AD42)</f>
        <v>0</v>
      </c>
      <c r="AE42" s="132">
        <f>SUM('Defect P1'!AE42,'Defect P2'!AE42,RTS!AE42)</f>
        <v>0</v>
      </c>
      <c r="AF42" s="132">
        <f>SUM('Defect P1'!AF42,'Defect P2'!AF42,RTS!AF42)</f>
        <v>0</v>
      </c>
      <c r="AG42" s="132">
        <f>SUM('Defect P1'!AG42,'Defect P2'!AG42,RTS!AG42)</f>
        <v>0</v>
      </c>
      <c r="AH42" s="132">
        <f>SUM('Defect P1'!AH42,'Defect P2'!AH42,RTS!AH42)</f>
        <v>0</v>
      </c>
      <c r="AI42" s="132">
        <f>SUM('Defect P1'!AI42,'Defect P2'!AI42,RTS!AI42)</f>
        <v>0</v>
      </c>
      <c r="AJ42" s="132">
        <f>SUM('Defect P1'!AJ42,'Defect P2'!AJ42,RTS!AJ42)</f>
        <v>0</v>
      </c>
      <c r="AK42" s="133">
        <f t="shared" si="14"/>
        <v>0</v>
      </c>
      <c r="AL42" s="134" cm="1">
        <f t="array" ref="AL42">IFERROR(IF($AM$4="N",SSUM(AF42:AH42)/3,SUM(AG42:AI42)/3),"")</f>
        <v>0</v>
      </c>
      <c r="AM42" s="135">
        <f t="shared" si="15"/>
        <v>0</v>
      </c>
      <c r="AN42" s="372" t="str">
        <f t="shared" si="17"/>
        <v/>
      </c>
      <c r="AO42" s="373" t="str">
        <f t="shared" si="18"/>
        <v/>
      </c>
      <c r="AP42" s="373" t="str">
        <f t="shared" si="19"/>
        <v/>
      </c>
      <c r="AQ42" s="373" t="str">
        <f t="shared" si="20"/>
        <v/>
      </c>
      <c r="AR42" s="373" t="str">
        <f t="shared" si="21"/>
        <v/>
      </c>
      <c r="AS42" s="373" t="str">
        <f t="shared" si="22"/>
        <v/>
      </c>
      <c r="AT42" s="373" t="str">
        <f t="shared" si="23"/>
        <v/>
      </c>
      <c r="AU42" s="373" t="str">
        <f t="shared" si="24"/>
        <v/>
      </c>
      <c r="AV42" s="373" t="str">
        <f t="shared" si="25"/>
        <v/>
      </c>
      <c r="AW42" s="373" t="str">
        <f t="shared" si="9"/>
        <v/>
      </c>
      <c r="AX42" s="373" t="str">
        <f t="shared" si="10"/>
        <v/>
      </c>
      <c r="AY42" s="112" t="str">
        <f t="shared" si="26"/>
        <v/>
      </c>
      <c r="AZ42" s="113" t="str">
        <f t="shared" si="27"/>
        <v/>
      </c>
      <c r="BA42" s="114" t="str">
        <f t="shared" si="28"/>
        <v/>
      </c>
      <c r="BB42" s="366">
        <f>SUM('Defect P1'!CE42,'Defect P2'!CE42,RTS!CE42)</f>
        <v>0</v>
      </c>
      <c r="BC42" s="366">
        <f>SUM('Defect P1'!CF42,'Defect P2'!CF42,RTS!CF42)</f>
        <v>0</v>
      </c>
      <c r="BD42" s="366">
        <f>SUM('Defect P1'!CG42,'Defect P2'!CG42,RTS!CG42)</f>
        <v>0</v>
      </c>
      <c r="BE42" s="366">
        <f>SUM('Defect P1'!CH42,'Defect P2'!CH42,RTS!CH42)</f>
        <v>0</v>
      </c>
      <c r="BF42" s="366">
        <f>SUM('Defect P1'!CI42,'Defect P2'!CI42,RTS!CI42)</f>
        <v>0</v>
      </c>
      <c r="BG42" s="366">
        <f>SUM('Defect P1'!CJ42,'Defect P2'!CJ42,RTS!CJ42)</f>
        <v>0</v>
      </c>
      <c r="BH42" s="366">
        <f>SUM('Defect P1'!CK42,'Defect P2'!CK42,RTS!CK42)</f>
        <v>0</v>
      </c>
      <c r="BI42" s="367">
        <f>SUM('Defect P1'!CL42,'Defect P2'!CL42,RTS!CL42)</f>
        <v>0</v>
      </c>
      <c r="BJ42" s="116" t="str">
        <f t="shared" si="16"/>
        <v/>
      </c>
      <c r="BK42" s="641">
        <f>SUM('Defect P1'!CQ42,'Defect P2'!CQ42,RTS!CQ42)</f>
        <v>0</v>
      </c>
      <c r="BL42" s="117">
        <f>SUM('Defect P1'!CR42,'Defect P2'!CR42,RTS!CR42)</f>
        <v>0</v>
      </c>
      <c r="BM42" s="638">
        <f>SUM('Defect P1'!CS42,'Defect P2'!CS42,RTS!CS42)</f>
        <v>0</v>
      </c>
      <c r="BN42" s="467">
        <f>SUM('Defect P1'!CT42,'Defect P2'!CT42,RTS!CT42)</f>
        <v>0</v>
      </c>
      <c r="BO42" s="117">
        <f>SUM('Defect P1'!CU42,'Defect P2'!CU42,RTS!CU42)</f>
        <v>0</v>
      </c>
      <c r="BP42" s="117">
        <f>SUM('Defect P1'!CV42,'Defect P2'!CV42,RTS!CV42)</f>
        <v>0</v>
      </c>
      <c r="BQ42" s="117">
        <f>SUM('Defect P1'!CW42,'Defect P2'!CW42,RTS!CW42)</f>
        <v>0</v>
      </c>
      <c r="BR42" s="118">
        <f>SUM('Defect P1'!CX42,'Defect P2'!CX42,RTS!CX42)</f>
        <v>0</v>
      </c>
    </row>
    <row r="43" spans="1:70" x14ac:dyDescent="0.25">
      <c r="A43" s="63" t="s">
        <v>94</v>
      </c>
      <c r="B43" s="334" t="s">
        <v>92</v>
      </c>
      <c r="C43" s="65" t="s">
        <v>305</v>
      </c>
      <c r="D43" s="66">
        <f>SUM('Defect P1'!D43,'Defect P2'!D43,RTS!D43)</f>
        <v>690018.17252569972</v>
      </c>
      <c r="E43" s="67">
        <f>SUM('Defect P1'!E43,'Defect P2'!E43,RTS!E43)</f>
        <v>1307573.9423649469</v>
      </c>
      <c r="F43" s="67">
        <f>SUM('Defect P1'!F43,'Defect P2'!F43,RTS!F43)</f>
        <v>1853389.478094378</v>
      </c>
      <c r="G43" s="67">
        <f>SUM('Defect P1'!G43,'Defect P2'!G43,RTS!G43)</f>
        <v>989767.45705245528</v>
      </c>
      <c r="H43" s="67">
        <f>SUM('Defect P1'!H43,'Defect P2'!H43,RTS!H43)</f>
        <v>984240.02434894792</v>
      </c>
      <c r="I43" s="67">
        <f>SUM('Defect P1'!I43,'Defect P2'!I43,RTS!I43)</f>
        <v>1076664.9793912135</v>
      </c>
      <c r="J43" s="67">
        <f>SUM('Defect P1'!J43,'Defect P2'!J43,RTS!J43)</f>
        <v>1945410.965360102</v>
      </c>
      <c r="K43" s="67">
        <f>SUM('Defect P1'!K43,'Defect P2'!K43,RTS!K43)</f>
        <v>3819071.331611088</v>
      </c>
      <c r="L43" s="67">
        <f>SUM('Defect P1'!L43,'Defect P2'!L43,RTS!L43)</f>
        <v>3722426.9895308465</v>
      </c>
      <c r="M43" s="67">
        <f>SUM('Defect P1'!M43,'Defect P2'!M43,RTS!M43)</f>
        <v>3679655.7672850648</v>
      </c>
      <c r="N43" s="67">
        <v>6017782.3382091811</v>
      </c>
      <c r="O43" s="557">
        <f>SUM('Defect P1'!O43,'Defect P2'!O43,RTS!O43)</f>
        <v>928389.31059207662</v>
      </c>
      <c r="P43" s="558">
        <f>SUM('Defect P1'!P43,'Defect P2'!P43,RTS!P43)</f>
        <v>1733098.9370942106</v>
      </c>
      <c r="Q43" s="558">
        <f>SUM('Defect P1'!Q43,'Defect P2'!Q43,RTS!Q43)</f>
        <v>2431657.648050637</v>
      </c>
      <c r="R43" s="558">
        <f>SUM('Defect P1'!R43,'Defect P2'!R43,RTS!R43)</f>
        <v>1273946.27238915</v>
      </c>
      <c r="S43" s="558">
        <f>SUM('Defect P1'!S43,'Defect P2'!S43,RTS!S43)</f>
        <v>1241046.748706664</v>
      </c>
      <c r="T43" s="558">
        <f>SUM('Defect P1'!T43,'Defect P2'!T43,RTS!T43)</f>
        <v>1336300.9028759205</v>
      </c>
      <c r="U43" s="558">
        <f>SUM('Defect P1'!U43,'Defect P2'!U43,RTS!U43)</f>
        <v>2422985.9614760224</v>
      </c>
      <c r="V43" s="558">
        <f>SUM('Defect P1'!V43,'Defect P2'!V43,RTS!V43)</f>
        <v>4580436.7696609488</v>
      </c>
      <c r="W43" s="558">
        <f>SUM('Defect P1'!W43,'Defect P2'!W43,RTS!W43)</f>
        <v>4206071.6319464762</v>
      </c>
      <c r="X43" s="558">
        <f>SUM('Defect P1'!X43,'Defect P2'!X43,RTS!X43)</f>
        <v>3913170.1299770935</v>
      </c>
      <c r="Y43" s="558">
        <f>SUM('Defect P1'!Y43,'Defect P2'!Y43,RTS!Y43)</f>
        <v>6183262.2013648208</v>
      </c>
      <c r="Z43" s="119">
        <f>SUM('Defect P1'!Z43,'Defect P2'!Z43,RTS!Z43)</f>
        <v>2</v>
      </c>
      <c r="AA43" s="120">
        <f>SUM('Defect P1'!AA43,'Defect P2'!AA43,RTS!AA43)</f>
        <v>2</v>
      </c>
      <c r="AB43" s="120">
        <f>SUM('Defect P1'!AB43,'Defect P2'!AB43,RTS!AB43)</f>
        <v>6</v>
      </c>
      <c r="AC43" s="120">
        <f>SUM('Defect P1'!AC43,'Defect P2'!AC43,RTS!AC43)</f>
        <v>4</v>
      </c>
      <c r="AD43" s="120">
        <f>SUM('Defect P1'!AD43,'Defect P2'!AD43,RTS!AD43)</f>
        <v>2</v>
      </c>
      <c r="AE43" s="120">
        <f>SUM('Defect P1'!AE43,'Defect P2'!AE43,RTS!AE43)</f>
        <v>5.4782900690000016</v>
      </c>
      <c r="AF43" s="120">
        <f>SUM('Defect P1'!AF43,'Defect P2'!AF43,RTS!AF43)</f>
        <v>5.0723333600000053</v>
      </c>
      <c r="AG43" s="120">
        <f>SUM('Defect P1'!AG43,'Defect P2'!AG43,RTS!AG43)</f>
        <v>11.298999999999984</v>
      </c>
      <c r="AH43" s="120">
        <f>SUM('Defect P1'!AH43,'Defect P2'!AH43,RTS!AH43)</f>
        <v>10.944999960000004</v>
      </c>
      <c r="AI43" s="120">
        <f>SUM('Defect P1'!AI43,'Defect P2'!AI43,RTS!AI43)</f>
        <v>5.8243333770000012</v>
      </c>
      <c r="AJ43" s="120">
        <f>SUM('Defect P1'!AJ43,'Defect P2'!AJ43,RTS!AJ43)</f>
        <v>10.032666703000004</v>
      </c>
      <c r="AK43" s="121">
        <f t="shared" si="14"/>
        <v>7.7237913531999993</v>
      </c>
      <c r="AL43" s="122" cm="1">
        <f t="array" ref="AL43">IFERROR(IF($AM$4="N",SSUM(AF43:AH43)/3,SUM(AG43:AI43)/3),"")</f>
        <v>9.3561111123333305</v>
      </c>
      <c r="AM43" s="123">
        <f t="shared" si="15"/>
        <v>5.8243333770000012</v>
      </c>
      <c r="AN43" s="368">
        <f t="shared" si="17"/>
        <v>345009.08626284986</v>
      </c>
      <c r="AO43" s="369">
        <f t="shared" si="18"/>
        <v>653786.97118247347</v>
      </c>
      <c r="AP43" s="369">
        <f t="shared" si="19"/>
        <v>308898.246349063</v>
      </c>
      <c r="AQ43" s="369">
        <f t="shared" si="20"/>
        <v>247441.86426311382</v>
      </c>
      <c r="AR43" s="369">
        <f t="shared" si="21"/>
        <v>492120.01217447396</v>
      </c>
      <c r="AS43" s="369">
        <f t="shared" si="22"/>
        <v>196533.03600766548</v>
      </c>
      <c r="AT43" s="369">
        <f t="shared" si="23"/>
        <v>383533.73630791885</v>
      </c>
      <c r="AU43" s="369">
        <f t="shared" si="24"/>
        <v>338000.82587937813</v>
      </c>
      <c r="AV43" s="369">
        <f t="shared" si="25"/>
        <v>340102.96967884549</v>
      </c>
      <c r="AW43" s="369">
        <f t="shared" si="9"/>
        <v>631772.86207823199</v>
      </c>
      <c r="AX43" s="369">
        <f t="shared" si="10"/>
        <v>599818.82348485896</v>
      </c>
      <c r="AY43" s="75">
        <f t="shared" si="26"/>
        <v>368814.46900497342</v>
      </c>
      <c r="AZ43" s="76">
        <f t="shared" si="27"/>
        <v>399779.84990064049</v>
      </c>
      <c r="BA43" s="77">
        <f t="shared" si="28"/>
        <v>631772.86207823199</v>
      </c>
      <c r="BB43" s="360">
        <f>SUM('Defect P1'!CE43,'Defect P2'!CE43,RTS!CE43)</f>
        <v>9.693136002422218</v>
      </c>
      <c r="BC43" s="360">
        <f>SUM('Defect P1'!CF43,'Defect P2'!CF43,RTS!CF43)</f>
        <v>16.710135995866665</v>
      </c>
      <c r="BD43" s="360">
        <f>SUM('Defect P1'!CG43,'Defect P2'!CG43,RTS!CG43)</f>
        <v>17.710135995866665</v>
      </c>
      <c r="BE43" s="360">
        <f>SUM('Defect P1'!CH43,'Defect P2'!CH43,RTS!CH43)</f>
        <v>17.710135995866665</v>
      </c>
      <c r="BF43" s="360">
        <f>SUM('Defect P1'!CI43,'Defect P2'!CI43,RTS!CI43)</f>
        <v>18.710135995866665</v>
      </c>
      <c r="BG43" s="360">
        <f>SUM('Defect P1'!CJ43,'Defect P2'!CJ43,RTS!CJ43)</f>
        <v>18.710135995866665</v>
      </c>
      <c r="BH43" s="360">
        <f>SUM('Defect P1'!CK43,'Defect P2'!CK43,RTS!CK43)</f>
        <v>19.710135995866665</v>
      </c>
      <c r="BI43" s="361">
        <f>SUM('Defect P1'!CL43,'Defect P2'!CL43,RTS!CL43)</f>
        <v>19.710135995866665</v>
      </c>
      <c r="BJ43" s="124">
        <f t="shared" si="16"/>
        <v>293900.34459643182</v>
      </c>
      <c r="BK43" s="639">
        <f>SUM('Defect P1'!CQ43,'Defect P2'!CQ43,RTS!CQ43)</f>
        <v>2802215.4065406229</v>
      </c>
      <c r="BL43" s="79">
        <f>SUM('Defect P1'!CR43,'Defect P2'!CR43,RTS!CR43)</f>
        <v>4907315.4045739574</v>
      </c>
      <c r="BM43" s="523">
        <f>SUM('Defect P1'!CS43,'Defect P2'!CS43,RTS!CS43)</f>
        <v>5207315.4045739574</v>
      </c>
      <c r="BN43" s="415">
        <f>SUM('Defect P1'!CT43,'Defect P2'!CT43,RTS!CT43)</f>
        <v>5207315.4045739574</v>
      </c>
      <c r="BO43" s="79">
        <f>SUM('Defect P1'!CU43,'Defect P2'!CU43,RTS!CU43)</f>
        <v>5507315.4045739574</v>
      </c>
      <c r="BP43" s="79">
        <f>SUM('Defect P1'!CV43,'Defect P2'!CV43,RTS!CV43)</f>
        <v>5507315.4045739574</v>
      </c>
      <c r="BQ43" s="79">
        <f>SUM('Defect P1'!CW43,'Defect P2'!CW43,RTS!CW43)</f>
        <v>5807315.4045739574</v>
      </c>
      <c r="BR43" s="80">
        <f>SUM('Defect P1'!CX43,'Defect P2'!CX43,RTS!CX43)</f>
        <v>5807315.4045739574</v>
      </c>
    </row>
    <row r="44" spans="1:70" x14ac:dyDescent="0.25">
      <c r="A44" s="81" t="s">
        <v>94</v>
      </c>
      <c r="B44" s="82" t="s">
        <v>450</v>
      </c>
      <c r="C44" s="83" t="s">
        <v>70</v>
      </c>
      <c r="D44" s="84">
        <f>SUM('Defect P1'!D44,'Defect P2'!D44,RTS!D44)</f>
        <v>192132.13835440404</v>
      </c>
      <c r="E44" s="85">
        <f>SUM('Defect P1'!E44,'Defect P2'!E44,RTS!E44)</f>
        <v>75764.718307345509</v>
      </c>
      <c r="F44" s="85">
        <f>SUM('Defect P1'!F44,'Defect P2'!F44,RTS!F44)</f>
        <v>157095.89200745692</v>
      </c>
      <c r="G44" s="85">
        <f>SUM('Defect P1'!G44,'Defect P2'!G44,RTS!G44)</f>
        <v>372200.91522323841</v>
      </c>
      <c r="H44" s="85">
        <f>SUM('Defect P1'!H44,'Defect P2'!H44,RTS!H44)</f>
        <v>198033.35001327447</v>
      </c>
      <c r="I44" s="85">
        <f>SUM('Defect P1'!I44,'Defect P2'!I44,RTS!I44)</f>
        <v>342651.00638260395</v>
      </c>
      <c r="J44" s="85">
        <f>SUM('Defect P1'!J44,'Defect P2'!J44,RTS!J44)</f>
        <v>128748.20916177092</v>
      </c>
      <c r="K44" s="85">
        <f>SUM('Defect P1'!K44,'Defect P2'!K44,RTS!K44)</f>
        <v>1712431.079957868</v>
      </c>
      <c r="L44" s="85">
        <f>SUM('Defect P1'!L44,'Defect P2'!L44,RTS!L44)</f>
        <v>454961.52798254282</v>
      </c>
      <c r="M44" s="85">
        <f>SUM('Defect P1'!M44,'Defect P2'!M44,RTS!M44)</f>
        <v>98613.178061802842</v>
      </c>
      <c r="N44" s="85">
        <v>0</v>
      </c>
      <c r="O44" s="560">
        <f>SUM('Defect P1'!O44,'Defect P2'!O44,RTS!O44)</f>
        <v>258505.39967160521</v>
      </c>
      <c r="P44" s="561">
        <f>SUM('Defect P1'!P44,'Defect P2'!P44,RTS!P44)</f>
        <v>100420.90050388481</v>
      </c>
      <c r="Q44" s="561">
        <f>SUM('Defect P1'!Q44,'Defect P2'!Q44,RTS!Q44)</f>
        <v>206110.71325927597</v>
      </c>
      <c r="R44" s="561">
        <f>SUM('Defect P1'!R44,'Defect P2'!R44,RTS!R44)</f>
        <v>479066.03227847401</v>
      </c>
      <c r="S44" s="561">
        <f>SUM('Defect P1'!S44,'Defect P2'!S44,RTS!S44)</f>
        <v>249703.97371518536</v>
      </c>
      <c r="T44" s="561">
        <f>SUM('Defect P1'!T44,'Defect P2'!T44,RTS!T44)</f>
        <v>425280.71216667746</v>
      </c>
      <c r="U44" s="561">
        <f>SUM('Defect P1'!U44,'Defect P2'!U44,RTS!U44)</f>
        <v>160354.34616068678</v>
      </c>
      <c r="V44" s="561">
        <f>SUM('Defect P1'!V44,'Defect P2'!V44,RTS!V44)</f>
        <v>2053819.267324432</v>
      </c>
      <c r="W44" s="561">
        <f>SUM('Defect P1'!W44,'Defect P2'!W44,RTS!W44)</f>
        <v>514073.4208773764</v>
      </c>
      <c r="X44" s="561">
        <f>SUM('Defect P1'!X44,'Defect P2'!X44,RTS!X44)</f>
        <v>104871.26166648953</v>
      </c>
      <c r="Y44" s="561">
        <f>SUM('Defect P1'!Y44,'Defect P2'!Y44,RTS!Y44)</f>
        <v>0</v>
      </c>
      <c r="Z44" s="125">
        <f>SUM('Defect P1'!Z44,'Defect P2'!Z44,RTS!Z44)</f>
        <v>1</v>
      </c>
      <c r="AA44" s="126">
        <f>SUM('Defect P1'!AA44,'Defect P2'!AA44,RTS!AA44)</f>
        <v>0</v>
      </c>
      <c r="AB44" s="126">
        <f>SUM('Defect P1'!AB44,'Defect P2'!AB44,RTS!AB44)</f>
        <v>1</v>
      </c>
      <c r="AC44" s="126">
        <f>SUM('Defect P1'!AC44,'Defect P2'!AC44,RTS!AC44)</f>
        <v>0</v>
      </c>
      <c r="AD44" s="126">
        <f>SUM('Defect P1'!AD44,'Defect P2'!AD44,RTS!AD44)</f>
        <v>1</v>
      </c>
      <c r="AE44" s="126">
        <f>SUM('Defect P1'!AE44,'Defect P2'!AE44,RTS!AE44)</f>
        <v>0.84673003699999994</v>
      </c>
      <c r="AF44" s="126">
        <f>SUM('Defect P1'!AF44,'Defect P2'!AF44,RTS!AF44)</f>
        <v>-0.67200000000000004</v>
      </c>
      <c r="AG44" s="126">
        <f>SUM('Defect P1'!AG44,'Defect P2'!AG44,RTS!AG44)</f>
        <v>0.83133333333333259</v>
      </c>
      <c r="AH44" s="126">
        <f>SUM('Defect P1'!AH44,'Defect P2'!AH44,RTS!AH44)</f>
        <v>0.99100005800000002</v>
      </c>
      <c r="AI44" s="126">
        <f>SUM('Defect P1'!AI44,'Defect P2'!AI44,RTS!AI44)</f>
        <v>-0.32133332100000001</v>
      </c>
      <c r="AJ44" s="126">
        <f>SUM('Defect P1'!AJ44,'Defect P2'!AJ44,RTS!AJ44)</f>
        <v>0</v>
      </c>
      <c r="AK44" s="127">
        <f t="shared" si="14"/>
        <v>0.3351460214666665</v>
      </c>
      <c r="AL44" s="128" cm="1">
        <f t="array" ref="AL44">IFERROR(IF($AM$4="N",SSUM(AF44:AH44)/3,SUM(AG44:AI44)/3),"")</f>
        <v>0.50033335677777757</v>
      </c>
      <c r="AM44" s="129">
        <f t="shared" si="15"/>
        <v>-0.32133332100000001</v>
      </c>
      <c r="AN44" s="370">
        <f t="shared" si="17"/>
        <v>192132.13835440404</v>
      </c>
      <c r="AO44" s="371" t="str">
        <f t="shared" si="18"/>
        <v/>
      </c>
      <c r="AP44" s="371">
        <f t="shared" si="19"/>
        <v>157095.89200745692</v>
      </c>
      <c r="AQ44" s="371" t="str">
        <f t="shared" si="20"/>
        <v/>
      </c>
      <c r="AR44" s="371">
        <f t="shared" si="21"/>
        <v>198033.35001327447</v>
      </c>
      <c r="AS44" s="371">
        <f t="shared" si="22"/>
        <v>404675.62435440562</v>
      </c>
      <c r="AT44" s="371">
        <f t="shared" si="23"/>
        <v>-191589.596966921</v>
      </c>
      <c r="AU44" s="371">
        <f t="shared" si="24"/>
        <v>2059860.9622588647</v>
      </c>
      <c r="AV44" s="371">
        <f t="shared" si="25"/>
        <v>459093.34142798081</v>
      </c>
      <c r="AW44" s="371">
        <f t="shared" si="9"/>
        <v>-306887.495373699</v>
      </c>
      <c r="AX44" s="371" t="str">
        <f t="shared" si="10"/>
        <v/>
      </c>
      <c r="AY44" s="93">
        <f t="shared" si="26"/>
        <v>1633559.5986293689</v>
      </c>
      <c r="AZ44" s="94">
        <f t="shared" si="27"/>
        <v>1509664.0105413143</v>
      </c>
      <c r="BA44" s="95">
        <f t="shared" si="28"/>
        <v>-306887.495373699</v>
      </c>
      <c r="BB44" s="363">
        <f>SUM('Defect P1'!CE44,'Defect P2'!CE44,RTS!CE44)</f>
        <v>0.57253335757777757</v>
      </c>
      <c r="BC44" s="363">
        <f>SUM('Defect P1'!CF44,'Defect P2'!CF44,RTS!CF44)</f>
        <v>1.6692000015777779</v>
      </c>
      <c r="BD44" s="363">
        <f>SUM('Defect P1'!CG44,'Defect P2'!CG44,RTS!CG44)</f>
        <v>1.6692000015777779</v>
      </c>
      <c r="BE44" s="363">
        <f>SUM('Defect P1'!CH44,'Defect P2'!CH44,RTS!CH44)</f>
        <v>1.6692000015777779</v>
      </c>
      <c r="BF44" s="363">
        <f>SUM('Defect P1'!CI44,'Defect P2'!CI44,RTS!CI44)</f>
        <v>1.6692000015777779</v>
      </c>
      <c r="BG44" s="363">
        <f>SUM('Defect P1'!CJ44,'Defect P2'!CJ44,RTS!CJ44)</f>
        <v>1.6692000015777779</v>
      </c>
      <c r="BH44" s="363">
        <f>SUM('Defect P1'!CK44,'Defect P2'!CK44,RTS!CK44)</f>
        <v>1.6692000015777779</v>
      </c>
      <c r="BI44" s="364">
        <f>SUM('Defect P1'!CL44,'Defect P2'!CL44,RTS!CL44)</f>
        <v>1.6692000015777779</v>
      </c>
      <c r="BJ44" s="99">
        <f t="shared" si="16"/>
        <v>479787.10598957445</v>
      </c>
      <c r="BK44" s="640">
        <f>SUM('Defect P1'!CQ44,'Defect P2'!CQ44,RTS!CQ44)</f>
        <v>238025.66726178757</v>
      </c>
      <c r="BL44" s="97">
        <f>SUM('Defect P1'!CR44,'Defect P2'!CR44,RTS!CR44)</f>
        <v>806098.98885378765</v>
      </c>
      <c r="BM44" s="524">
        <f>SUM('Defect P1'!CS44,'Defect P2'!CS44,RTS!CS44)</f>
        <v>806098.98885378765</v>
      </c>
      <c r="BN44" s="416">
        <f>SUM('Defect P1'!CT44,'Defect P2'!CT44,RTS!CT44)</f>
        <v>806098.98885378765</v>
      </c>
      <c r="BO44" s="97">
        <f>SUM('Defect P1'!CU44,'Defect P2'!CU44,RTS!CU44)</f>
        <v>806098.98885378765</v>
      </c>
      <c r="BP44" s="97">
        <f>SUM('Defect P1'!CV44,'Defect P2'!CV44,RTS!CV44)</f>
        <v>806098.98885378765</v>
      </c>
      <c r="BQ44" s="97">
        <f>SUM('Defect P1'!CW44,'Defect P2'!CW44,RTS!CW44)</f>
        <v>806098.98885378765</v>
      </c>
      <c r="BR44" s="98">
        <f>SUM('Defect P1'!CX44,'Defect P2'!CX44,RTS!CX44)</f>
        <v>806098.98885378765</v>
      </c>
    </row>
    <row r="45" spans="1:70" x14ac:dyDescent="0.25">
      <c r="A45" s="81" t="s">
        <v>94</v>
      </c>
      <c r="B45" s="82" t="s">
        <v>451</v>
      </c>
      <c r="C45" s="83" t="s">
        <v>72</v>
      </c>
      <c r="D45" s="84">
        <f>SUM('Defect P1'!D45,'Defect P2'!D45,RTS!D45)</f>
        <v>22288.417357633702</v>
      </c>
      <c r="E45" s="85">
        <f>SUM('Defect P1'!E45,'Defect P2'!E45,RTS!E45)</f>
        <v>110506.13427547851</v>
      </c>
      <c r="F45" s="85">
        <f>SUM('Defect P1'!F45,'Defect P2'!F45,RTS!F45)</f>
        <v>75497.790802261195</v>
      </c>
      <c r="G45" s="85">
        <f>SUM('Defect P1'!G45,'Defect P2'!G45,RTS!G45)</f>
        <v>76870.51970888926</v>
      </c>
      <c r="H45" s="85">
        <f>SUM('Defect P1'!H45,'Defect P2'!H45,RTS!H45)</f>
        <v>164993.84967568566</v>
      </c>
      <c r="I45" s="85">
        <f>SUM('Defect P1'!I45,'Defect P2'!I45,RTS!I45)</f>
        <v>93651.016201924038</v>
      </c>
      <c r="J45" s="85">
        <f>SUM('Defect P1'!J45,'Defect P2'!J45,RTS!J45)</f>
        <v>425004.25240817294</v>
      </c>
      <c r="K45" s="85">
        <f>SUM('Defect P1'!K45,'Defect P2'!K45,RTS!K45)</f>
        <v>1177855.3906466858</v>
      </c>
      <c r="L45" s="85">
        <f>SUM('Defect P1'!L45,'Defect P2'!L45,RTS!L45)</f>
        <v>17975.638656353007</v>
      </c>
      <c r="M45" s="85">
        <f>SUM('Defect P1'!M45,'Defect P2'!M45,RTS!M45)</f>
        <v>190716.96820777489</v>
      </c>
      <c r="N45" s="85">
        <v>255896.24752714825</v>
      </c>
      <c r="O45" s="560">
        <f>SUM('Defect P1'!O45,'Defect P2'!O45,RTS!O45)</f>
        <v>29988.091978941815</v>
      </c>
      <c r="P45" s="561">
        <f>SUM('Defect P1'!P45,'Defect P2'!P45,RTS!P45)</f>
        <v>146468.24753086793</v>
      </c>
      <c r="Q45" s="561">
        <f>SUM('Defect P1'!Q45,'Defect P2'!Q45,RTS!Q45)</f>
        <v>99053.535473830372</v>
      </c>
      <c r="R45" s="561">
        <f>SUM('Defect P1'!R45,'Defect P2'!R45,RTS!R45)</f>
        <v>98941.333483917697</v>
      </c>
      <c r="S45" s="561">
        <f>SUM('Defect P1'!S45,'Defect P2'!S45,RTS!S45)</f>
        <v>208043.84665422761</v>
      </c>
      <c r="T45" s="561">
        <f>SUM('Defect P1'!T45,'Defect P2'!T45,RTS!T45)</f>
        <v>116234.79903343815</v>
      </c>
      <c r="U45" s="561">
        <f>SUM('Defect P1'!U45,'Defect P2'!U45,RTS!U45)</f>
        <v>529337.68519290711</v>
      </c>
      <c r="V45" s="561">
        <f>SUM('Defect P1'!V45,'Defect P2'!V45,RTS!V45)</f>
        <v>1412671.2156448527</v>
      </c>
      <c r="W45" s="561">
        <f>SUM('Defect P1'!W45,'Defect P2'!W45,RTS!W45)</f>
        <v>20311.163665868407</v>
      </c>
      <c r="X45" s="561">
        <f>SUM('Defect P1'!X45,'Defect P2'!X45,RTS!X45)</f>
        <v>202820.04363171695</v>
      </c>
      <c r="Y45" s="561">
        <f>SUM('Defect P1'!Y45,'Defect P2'!Y45,RTS!Y45)</f>
        <v>262933.00519682426</v>
      </c>
      <c r="Z45" s="125">
        <f>SUM('Defect P1'!Z45,'Defect P2'!Z45,RTS!Z45)</f>
        <v>0</v>
      </c>
      <c r="AA45" s="126">
        <f>SUM('Defect P1'!AA45,'Defect P2'!AA45,RTS!AA45)</f>
        <v>0</v>
      </c>
      <c r="AB45" s="126">
        <f>SUM('Defect P1'!AB45,'Defect P2'!AB45,RTS!AB45)</f>
        <v>0</v>
      </c>
      <c r="AC45" s="126">
        <f>SUM('Defect P1'!AC45,'Defect P2'!AC45,RTS!AC45)</f>
        <v>0</v>
      </c>
      <c r="AD45" s="126">
        <f>SUM('Defect P1'!AD45,'Defect P2'!AD45,RTS!AD45)</f>
        <v>0</v>
      </c>
      <c r="AE45" s="126">
        <f>SUM('Defect P1'!AE45,'Defect P2'!AE45,RTS!AE45)</f>
        <v>0.26466000900000003</v>
      </c>
      <c r="AF45" s="126">
        <f>SUM('Defect P1'!AF45,'Defect P2'!AF45,RTS!AF45)</f>
        <v>0.71866666600000007</v>
      </c>
      <c r="AG45" s="126">
        <f>SUM('Defect P1'!AG45,'Defect P2'!AG45,RTS!AG45)</f>
        <v>1.2456666666666663</v>
      </c>
      <c r="AH45" s="126">
        <f>SUM('Defect P1'!AH45,'Defect P2'!AH45,RTS!AH45)</f>
        <v>3.2999998999999995E-2</v>
      </c>
      <c r="AI45" s="126">
        <f>SUM('Defect P1'!AI45,'Defect P2'!AI45,RTS!AI45)</f>
        <v>0.490999992</v>
      </c>
      <c r="AJ45" s="126">
        <f>SUM('Defect P1'!AJ45,'Defect P2'!AJ45,RTS!AJ45)</f>
        <v>9.8000001000000003E-2</v>
      </c>
      <c r="AK45" s="127">
        <f t="shared" si="14"/>
        <v>0.55059866653333323</v>
      </c>
      <c r="AL45" s="128" cm="1">
        <f t="array" ref="AL45">IFERROR(IF($AM$4="N",SSUM(AF45:AH45)/3,SUM(AG45:AI45)/3),"")</f>
        <v>0.58988888588888877</v>
      </c>
      <c r="AM45" s="129">
        <f t="shared" si="15"/>
        <v>0.490999992</v>
      </c>
      <c r="AN45" s="370" t="str">
        <f t="shared" si="17"/>
        <v/>
      </c>
      <c r="AO45" s="371" t="str">
        <f t="shared" si="18"/>
        <v/>
      </c>
      <c r="AP45" s="371" t="str">
        <f t="shared" si="19"/>
        <v/>
      </c>
      <c r="AQ45" s="371" t="str">
        <f t="shared" si="20"/>
        <v/>
      </c>
      <c r="AR45" s="371" t="str">
        <f t="shared" si="21"/>
        <v/>
      </c>
      <c r="AS45" s="371">
        <f t="shared" si="22"/>
        <v>353854.05054499197</v>
      </c>
      <c r="AT45" s="371">
        <f t="shared" si="23"/>
        <v>591378.83043009113</v>
      </c>
      <c r="AU45" s="371">
        <f t="shared" si="24"/>
        <v>945562.26169121184</v>
      </c>
      <c r="AV45" s="371">
        <f t="shared" si="25"/>
        <v>544716.33942634391</v>
      </c>
      <c r="AW45" s="371">
        <f t="shared" si="9"/>
        <v>388425.60349323769</v>
      </c>
      <c r="AX45" s="371">
        <f t="shared" si="10"/>
        <v>2611186.1726118578</v>
      </c>
      <c r="AY45" s="93">
        <f t="shared" si="26"/>
        <v>692047.90418996406</v>
      </c>
      <c r="AZ45" s="94">
        <f t="shared" si="27"/>
        <v>783508.00785216771</v>
      </c>
      <c r="BA45" s="95">
        <f t="shared" si="28"/>
        <v>388425.60349323769</v>
      </c>
      <c r="BB45" s="363">
        <f>SUM('Defect P1'!CE45,'Defect P2'!CE45,RTS!CE45)</f>
        <v>0.60135555248888872</v>
      </c>
      <c r="BC45" s="363">
        <f>SUM('Defect P1'!CF45,'Defect P2'!CF45,RTS!CF45)</f>
        <v>0.60135555248888872</v>
      </c>
      <c r="BD45" s="363">
        <f>SUM('Defect P1'!CG45,'Defect P2'!CG45,RTS!CG45)</f>
        <v>0.60135555248888872</v>
      </c>
      <c r="BE45" s="363">
        <f>SUM('Defect P1'!CH45,'Defect P2'!CH45,RTS!CH45)</f>
        <v>0.60135555248888872</v>
      </c>
      <c r="BF45" s="363">
        <f>SUM('Defect P1'!CI45,'Defect P2'!CI45,RTS!CI45)</f>
        <v>0.60135555248888872</v>
      </c>
      <c r="BG45" s="363">
        <f>SUM('Defect P1'!CJ45,'Defect P2'!CJ45,RTS!CJ45)</f>
        <v>0.60135555248888872</v>
      </c>
      <c r="BH45" s="363">
        <f>SUM('Defect P1'!CK45,'Defect P2'!CK45,RTS!CK45)</f>
        <v>0.60135555248888872</v>
      </c>
      <c r="BI45" s="364">
        <f>SUM('Defect P1'!CL45,'Defect P2'!CL45,RTS!CL45)</f>
        <v>0.60135555248888872</v>
      </c>
      <c r="BJ45" s="99">
        <f t="shared" si="16"/>
        <v>768568.05250081664</v>
      </c>
      <c r="BK45" s="640">
        <f>SUM('Defect P1'!CQ45,'Defect P2'!CQ45,RTS!CQ45)</f>
        <v>462182.66583693796</v>
      </c>
      <c r="BL45" s="97">
        <f>SUM('Defect P1'!CR45,'Defect P2'!CR45,RTS!CR45)</f>
        <v>462182.66583693796</v>
      </c>
      <c r="BM45" s="524">
        <f>SUM('Defect P1'!CS45,'Defect P2'!CS45,RTS!CS45)</f>
        <v>462182.66583693796</v>
      </c>
      <c r="BN45" s="416">
        <f>SUM('Defect P1'!CT45,'Defect P2'!CT45,RTS!CT45)</f>
        <v>462182.66583693796</v>
      </c>
      <c r="BO45" s="97">
        <f>SUM('Defect P1'!CU45,'Defect P2'!CU45,RTS!CU45)</f>
        <v>462182.66583693796</v>
      </c>
      <c r="BP45" s="97">
        <f>SUM('Defect P1'!CV45,'Defect P2'!CV45,RTS!CV45)</f>
        <v>462182.66583693796</v>
      </c>
      <c r="BQ45" s="97">
        <f>SUM('Defect P1'!CW45,'Defect P2'!CW45,RTS!CW45)</f>
        <v>462182.66583693796</v>
      </c>
      <c r="BR45" s="98">
        <f>SUM('Defect P1'!CX45,'Defect P2'!CX45,RTS!CX45)</f>
        <v>462182.66583693796</v>
      </c>
    </row>
    <row r="46" spans="1:70" x14ac:dyDescent="0.25">
      <c r="A46" s="81" t="s">
        <v>94</v>
      </c>
      <c r="B46" s="82" t="s">
        <v>452</v>
      </c>
      <c r="C46" s="83" t="s">
        <v>98</v>
      </c>
      <c r="D46" s="84">
        <f>SUM('Defect P1'!D46,'Defect P2'!D46,RTS!D46)</f>
        <v>151746.47338217567</v>
      </c>
      <c r="E46" s="85">
        <f>SUM('Defect P1'!E46,'Defect P2'!E46,RTS!E46)</f>
        <v>0</v>
      </c>
      <c r="F46" s="85">
        <f>SUM('Defect P1'!F46,'Defect P2'!F46,RTS!F46)</f>
        <v>58198.65790086468</v>
      </c>
      <c r="G46" s="85">
        <f>SUM('Defect P1'!G46,'Defect P2'!G46,RTS!G46)</f>
        <v>14484.418774395615</v>
      </c>
      <c r="H46" s="85">
        <f>SUM('Defect P1'!H46,'Defect P2'!H46,RTS!H46)</f>
        <v>0</v>
      </c>
      <c r="I46" s="85">
        <f>SUM('Defect P1'!I46,'Defect P2'!I46,RTS!I46)</f>
        <v>5017.3599460870018</v>
      </c>
      <c r="J46" s="85">
        <f>SUM('Defect P1'!J46,'Defect P2'!J46,RTS!J46)</f>
        <v>413133.696420883</v>
      </c>
      <c r="K46" s="85">
        <f>SUM('Defect P1'!K46,'Defect P2'!K46,RTS!K46)</f>
        <v>0</v>
      </c>
      <c r="L46" s="85">
        <f>SUM('Defect P1'!L46,'Defect P2'!L46,RTS!L46)</f>
        <v>0</v>
      </c>
      <c r="M46" s="85">
        <f>SUM('Defect P1'!M46,'Defect P2'!M46,RTS!M46)</f>
        <v>0</v>
      </c>
      <c r="N46" s="85">
        <v>80901.294870601094</v>
      </c>
      <c r="O46" s="560">
        <f>SUM('Defect P1'!O46,'Defect P2'!O46,RTS!O46)</f>
        <v>204168.25152936083</v>
      </c>
      <c r="P46" s="561">
        <f>SUM('Defect P1'!P46,'Defect P2'!P46,RTS!P46)</f>
        <v>0</v>
      </c>
      <c r="Q46" s="561">
        <f>SUM('Defect P1'!Q46,'Defect P2'!Q46,RTS!Q46)</f>
        <v>76356.973676373585</v>
      </c>
      <c r="R46" s="561">
        <f>SUM('Defect P1'!R46,'Defect P2'!R46,RTS!R46)</f>
        <v>18643.138015788274</v>
      </c>
      <c r="S46" s="561">
        <f>SUM('Defect P1'!S46,'Defect P2'!S46,RTS!S46)</f>
        <v>0</v>
      </c>
      <c r="T46" s="561">
        <f>SUM('Defect P1'!T46,'Defect P2'!T46,RTS!T46)</f>
        <v>6227.2877397764232</v>
      </c>
      <c r="U46" s="561">
        <f>SUM('Defect P1'!U46,'Defect P2'!U46,RTS!U46)</f>
        <v>514553.05046828749</v>
      </c>
      <c r="V46" s="561">
        <f>SUM('Defect P1'!V46,'Defect P2'!V46,RTS!V46)</f>
        <v>0</v>
      </c>
      <c r="W46" s="561">
        <f>SUM('Defect P1'!W46,'Defect P2'!W46,RTS!W46)</f>
        <v>0</v>
      </c>
      <c r="X46" s="561">
        <f>SUM('Defect P1'!X46,'Defect P2'!X46,RTS!X46)</f>
        <v>0</v>
      </c>
      <c r="Y46" s="561">
        <f>SUM('Defect P1'!Y46,'Defect P2'!Y46,RTS!Y46)</f>
        <v>83125.957454240677</v>
      </c>
      <c r="Z46" s="125">
        <f>SUM('Defect P1'!Z46,'Defect P2'!Z46,RTS!Z46)</f>
        <v>0</v>
      </c>
      <c r="AA46" s="126">
        <f>SUM('Defect P1'!AA46,'Defect P2'!AA46,RTS!AA46)</f>
        <v>0</v>
      </c>
      <c r="AB46" s="126">
        <f>SUM('Defect P1'!AB46,'Defect P2'!AB46,RTS!AB46)</f>
        <v>0</v>
      </c>
      <c r="AC46" s="126">
        <f>SUM('Defect P1'!AC46,'Defect P2'!AC46,RTS!AC46)</f>
        <v>0</v>
      </c>
      <c r="AD46" s="126">
        <f>SUM('Defect P1'!AD46,'Defect P2'!AD46,RTS!AD46)</f>
        <v>0</v>
      </c>
      <c r="AE46" s="126">
        <f>SUM('Defect P1'!AE46,'Defect P2'!AE46,RTS!AE46)</f>
        <v>4.2240000999999999E-2</v>
      </c>
      <c r="AF46" s="126">
        <f>SUM('Defect P1'!AF46,'Defect P2'!AF46,RTS!AF46)</f>
        <v>0.32733333399999998</v>
      </c>
      <c r="AG46" s="126">
        <f>SUM('Defect P1'!AG46,'Defect P2'!AG46,RTS!AG46)</f>
        <v>0</v>
      </c>
      <c r="AH46" s="126">
        <f>SUM('Defect P1'!AH46,'Defect P2'!AH46,RTS!AH46)</f>
        <v>0</v>
      </c>
      <c r="AI46" s="126">
        <f>SUM('Defect P1'!AI46,'Defect P2'!AI46,RTS!AI46)</f>
        <v>0</v>
      </c>
      <c r="AJ46" s="126">
        <f>SUM('Defect P1'!AJ46,'Defect P2'!AJ46,RTS!AJ46)</f>
        <v>0.206666671</v>
      </c>
      <c r="AK46" s="127">
        <f t="shared" si="14"/>
        <v>7.3914667000000003E-2</v>
      </c>
      <c r="AL46" s="128" cm="1">
        <f t="array" ref="AL46">IFERROR(IF($AM$4="N",SSUM(AF46:AH46)/3,SUM(AG46:AI46)/3),"")</f>
        <v>0</v>
      </c>
      <c r="AM46" s="129">
        <f t="shared" si="15"/>
        <v>0</v>
      </c>
      <c r="AN46" s="370" t="str">
        <f t="shared" si="17"/>
        <v/>
      </c>
      <c r="AO46" s="371" t="str">
        <f t="shared" si="18"/>
        <v/>
      </c>
      <c r="AP46" s="371" t="str">
        <f t="shared" si="19"/>
        <v/>
      </c>
      <c r="AQ46" s="371" t="str">
        <f t="shared" si="20"/>
        <v/>
      </c>
      <c r="AR46" s="371" t="str">
        <f t="shared" si="21"/>
        <v/>
      </c>
      <c r="AS46" s="371">
        <f t="shared" si="22"/>
        <v>118782.19288126915</v>
      </c>
      <c r="AT46" s="371">
        <f t="shared" si="23"/>
        <v>1262119.2329311718</v>
      </c>
      <c r="AU46" s="371" t="str">
        <f t="shared" si="24"/>
        <v/>
      </c>
      <c r="AV46" s="371" t="str">
        <f t="shared" si="25"/>
        <v/>
      </c>
      <c r="AW46" s="371" t="str">
        <f t="shared" si="9"/>
        <v/>
      </c>
      <c r="AX46" s="371">
        <f t="shared" si="10"/>
        <v>391457.87019814673</v>
      </c>
      <c r="AY46" s="93">
        <f t="shared" si="26"/>
        <v>1131442.711815153</v>
      </c>
      <c r="AZ46" s="94" t="str">
        <f t="shared" si="27"/>
        <v/>
      </c>
      <c r="BA46" s="95" t="str">
        <f t="shared" si="28"/>
        <v/>
      </c>
      <c r="BB46" s="363">
        <f>SUM('Defect P1'!CE46,'Defect P2'!CE46,RTS!CE46)</f>
        <v>0</v>
      </c>
      <c r="BC46" s="363">
        <f>SUM('Defect P1'!CF46,'Defect P2'!CF46,RTS!CF46)</f>
        <v>0</v>
      </c>
      <c r="BD46" s="363">
        <f>SUM('Defect P1'!CG46,'Defect P2'!CG46,RTS!CG46)</f>
        <v>0</v>
      </c>
      <c r="BE46" s="363">
        <f>SUM('Defect P1'!CH46,'Defect P2'!CH46,RTS!CH46)</f>
        <v>0</v>
      </c>
      <c r="BF46" s="363">
        <f>SUM('Defect P1'!CI46,'Defect P2'!CI46,RTS!CI46)</f>
        <v>0</v>
      </c>
      <c r="BG46" s="363">
        <f>SUM('Defect P1'!CJ46,'Defect P2'!CJ46,RTS!CJ46)</f>
        <v>0</v>
      </c>
      <c r="BH46" s="363">
        <f>SUM('Defect P1'!CK46,'Defect P2'!CK46,RTS!CK46)</f>
        <v>0</v>
      </c>
      <c r="BI46" s="364">
        <f>SUM('Defect P1'!CL46,'Defect P2'!CL46,RTS!CL46)</f>
        <v>0</v>
      </c>
      <c r="BJ46" s="99" t="str">
        <f t="shared" si="16"/>
        <v/>
      </c>
      <c r="BK46" s="640">
        <f>SUM('Defect P1'!CQ46,'Defect P2'!CQ46,RTS!CQ46)</f>
        <v>0</v>
      </c>
      <c r="BL46" s="97">
        <f>SUM('Defect P1'!CR46,'Defect P2'!CR46,RTS!CR46)</f>
        <v>0</v>
      </c>
      <c r="BM46" s="524">
        <f>SUM('Defect P1'!CS46,'Defect P2'!CS46,RTS!CS46)</f>
        <v>0</v>
      </c>
      <c r="BN46" s="416">
        <f>SUM('Defect P1'!CT46,'Defect P2'!CT46,RTS!CT46)</f>
        <v>0</v>
      </c>
      <c r="BO46" s="97">
        <f>SUM('Defect P1'!CU46,'Defect P2'!CU46,RTS!CU46)</f>
        <v>0</v>
      </c>
      <c r="BP46" s="97">
        <f>SUM('Defect P1'!CV46,'Defect P2'!CV46,RTS!CV46)</f>
        <v>0</v>
      </c>
      <c r="BQ46" s="97">
        <f>SUM('Defect P1'!CW46,'Defect P2'!CW46,RTS!CW46)</f>
        <v>0</v>
      </c>
      <c r="BR46" s="98">
        <f>SUM('Defect P1'!CX46,'Defect P2'!CX46,RTS!CX46)</f>
        <v>0</v>
      </c>
    </row>
    <row r="47" spans="1:70" x14ac:dyDescent="0.25">
      <c r="A47" s="81" t="s">
        <v>94</v>
      </c>
      <c r="B47" s="82" t="s">
        <v>453</v>
      </c>
      <c r="C47" s="83" t="s">
        <v>100</v>
      </c>
      <c r="D47" s="84">
        <f>SUM('Defect P1'!D47,'Defect P2'!D47,RTS!D47)</f>
        <v>0</v>
      </c>
      <c r="E47" s="85">
        <f>SUM('Defect P1'!E47,'Defect P2'!E47,RTS!E47)</f>
        <v>0</v>
      </c>
      <c r="F47" s="85">
        <f>SUM('Defect P1'!F47,'Defect P2'!F47,RTS!F47)</f>
        <v>0</v>
      </c>
      <c r="G47" s="85">
        <f>SUM('Defect P1'!G47,'Defect P2'!G47,RTS!G47)</f>
        <v>0</v>
      </c>
      <c r="H47" s="85">
        <f>SUM('Defect P1'!H47,'Defect P2'!H47,RTS!H47)</f>
        <v>0</v>
      </c>
      <c r="I47" s="85">
        <f>SUM('Defect P1'!I47,'Defect P2'!I47,RTS!I47)</f>
        <v>0</v>
      </c>
      <c r="J47" s="85">
        <f>SUM('Defect P1'!J47,'Defect P2'!J47,RTS!J47)</f>
        <v>0</v>
      </c>
      <c r="K47" s="85">
        <f>SUM('Defect P1'!K47,'Defect P2'!K47,RTS!K47)</f>
        <v>0</v>
      </c>
      <c r="L47" s="85">
        <f>SUM('Defect P1'!L47,'Defect P2'!L47,RTS!L47)</f>
        <v>0</v>
      </c>
      <c r="M47" s="85">
        <f>SUM('Defect P1'!M47,'Defect P2'!M47,RTS!M47)</f>
        <v>0</v>
      </c>
      <c r="N47" s="85">
        <v>0</v>
      </c>
      <c r="O47" s="560">
        <f>SUM('Defect P1'!O47,'Defect P2'!O47,RTS!O47)</f>
        <v>0</v>
      </c>
      <c r="P47" s="561">
        <f>SUM('Defect P1'!P47,'Defect P2'!P47,RTS!P47)</f>
        <v>0</v>
      </c>
      <c r="Q47" s="561">
        <f>SUM('Defect P1'!Q47,'Defect P2'!Q47,RTS!Q47)</f>
        <v>0</v>
      </c>
      <c r="R47" s="561">
        <f>SUM('Defect P1'!R47,'Defect P2'!R47,RTS!R47)</f>
        <v>0</v>
      </c>
      <c r="S47" s="561">
        <f>SUM('Defect P1'!S47,'Defect P2'!S47,RTS!S47)</f>
        <v>0</v>
      </c>
      <c r="T47" s="561">
        <f>SUM('Defect P1'!T47,'Defect P2'!T47,RTS!T47)</f>
        <v>0</v>
      </c>
      <c r="U47" s="561">
        <f>SUM('Defect P1'!U47,'Defect P2'!U47,RTS!U47)</f>
        <v>0</v>
      </c>
      <c r="V47" s="561">
        <f>SUM('Defect P1'!V47,'Defect P2'!V47,RTS!V47)</f>
        <v>0</v>
      </c>
      <c r="W47" s="561">
        <f>SUM('Defect P1'!W47,'Defect P2'!W47,RTS!W47)</f>
        <v>0</v>
      </c>
      <c r="X47" s="561">
        <f>SUM('Defect P1'!X47,'Defect P2'!X47,RTS!X47)</f>
        <v>0</v>
      </c>
      <c r="Y47" s="561">
        <f>SUM('Defect P1'!Y47,'Defect P2'!Y47,RTS!Y47)</f>
        <v>0</v>
      </c>
      <c r="Z47" s="125">
        <f>SUM('Defect P1'!Z47,'Defect P2'!Z47,RTS!Z47)</f>
        <v>0</v>
      </c>
      <c r="AA47" s="126">
        <f>SUM('Defect P1'!AA47,'Defect P2'!AA47,RTS!AA47)</f>
        <v>0</v>
      </c>
      <c r="AB47" s="126">
        <f>SUM('Defect P1'!AB47,'Defect P2'!AB47,RTS!AB47)</f>
        <v>0</v>
      </c>
      <c r="AC47" s="126">
        <f>SUM('Defect P1'!AC47,'Defect P2'!AC47,RTS!AC47)</f>
        <v>0</v>
      </c>
      <c r="AD47" s="126">
        <f>SUM('Defect P1'!AD47,'Defect P2'!AD47,RTS!AD47)</f>
        <v>0</v>
      </c>
      <c r="AE47" s="126">
        <f>SUM('Defect P1'!AE47,'Defect P2'!AE47,RTS!AE47)</f>
        <v>0</v>
      </c>
      <c r="AF47" s="126">
        <f>SUM('Defect P1'!AF47,'Defect P2'!AF47,RTS!AF47)</f>
        <v>0</v>
      </c>
      <c r="AG47" s="126">
        <f>SUM('Defect P1'!AG47,'Defect P2'!AG47,RTS!AG47)</f>
        <v>0</v>
      </c>
      <c r="AH47" s="126">
        <f>SUM('Defect P1'!AH47,'Defect P2'!AH47,RTS!AH47)</f>
        <v>0</v>
      </c>
      <c r="AI47" s="126">
        <f>SUM('Defect P1'!AI47,'Defect P2'!AI47,RTS!AI47)</f>
        <v>0</v>
      </c>
      <c r="AJ47" s="126">
        <f>SUM('Defect P1'!AJ47,'Defect P2'!AJ47,RTS!AJ47)</f>
        <v>0</v>
      </c>
      <c r="AK47" s="127">
        <f t="shared" si="14"/>
        <v>0</v>
      </c>
      <c r="AL47" s="128" cm="1">
        <f t="array" ref="AL47">IFERROR(IF($AM$4="N",SSUM(AF47:AH47)/3,SUM(AG47:AI47)/3),"")</f>
        <v>0</v>
      </c>
      <c r="AM47" s="129">
        <f t="shared" si="15"/>
        <v>0</v>
      </c>
      <c r="AN47" s="370" t="str">
        <f t="shared" si="17"/>
        <v/>
      </c>
      <c r="AO47" s="371" t="str">
        <f t="shared" si="18"/>
        <v/>
      </c>
      <c r="AP47" s="371" t="str">
        <f t="shared" si="19"/>
        <v/>
      </c>
      <c r="AQ47" s="371" t="str">
        <f t="shared" si="20"/>
        <v/>
      </c>
      <c r="AR47" s="371" t="str">
        <f t="shared" si="21"/>
        <v/>
      </c>
      <c r="AS47" s="371" t="str">
        <f t="shared" si="22"/>
        <v/>
      </c>
      <c r="AT47" s="371" t="str">
        <f t="shared" si="23"/>
        <v/>
      </c>
      <c r="AU47" s="371" t="str">
        <f t="shared" si="24"/>
        <v/>
      </c>
      <c r="AV47" s="371" t="str">
        <f t="shared" si="25"/>
        <v/>
      </c>
      <c r="AW47" s="371" t="str">
        <f t="shared" si="9"/>
        <v/>
      </c>
      <c r="AX47" s="371" t="str">
        <f t="shared" si="10"/>
        <v/>
      </c>
      <c r="AY47" s="93" t="str">
        <f t="shared" si="26"/>
        <v/>
      </c>
      <c r="AZ47" s="94" t="str">
        <f t="shared" si="27"/>
        <v/>
      </c>
      <c r="BA47" s="95" t="str">
        <f t="shared" si="28"/>
        <v/>
      </c>
      <c r="BB47" s="363">
        <f>SUM('Defect P1'!CE47,'Defect P2'!CE47,RTS!CE47)</f>
        <v>0</v>
      </c>
      <c r="BC47" s="363">
        <f>SUM('Defect P1'!CF47,'Defect P2'!CF47,RTS!CF47)</f>
        <v>0</v>
      </c>
      <c r="BD47" s="363">
        <f>SUM('Defect P1'!CG47,'Defect P2'!CG47,RTS!CG47)</f>
        <v>0</v>
      </c>
      <c r="BE47" s="363">
        <f>SUM('Defect P1'!CH47,'Defect P2'!CH47,RTS!CH47)</f>
        <v>0</v>
      </c>
      <c r="BF47" s="363">
        <f>SUM('Defect P1'!CI47,'Defect P2'!CI47,RTS!CI47)</f>
        <v>0</v>
      </c>
      <c r="BG47" s="363">
        <f>SUM('Defect P1'!CJ47,'Defect P2'!CJ47,RTS!CJ47)</f>
        <v>0</v>
      </c>
      <c r="BH47" s="363">
        <f>SUM('Defect P1'!CK47,'Defect P2'!CK47,RTS!CK47)</f>
        <v>0</v>
      </c>
      <c r="BI47" s="364">
        <f>SUM('Defect P1'!CL47,'Defect P2'!CL47,RTS!CL47)</f>
        <v>0</v>
      </c>
      <c r="BJ47" s="99" t="str">
        <f t="shared" si="16"/>
        <v/>
      </c>
      <c r="BK47" s="640">
        <f>SUM('Defect P1'!CQ47,'Defect P2'!CQ47,RTS!CQ47)</f>
        <v>0</v>
      </c>
      <c r="BL47" s="97">
        <f>SUM('Defect P1'!CR47,'Defect P2'!CR47,RTS!CR47)</f>
        <v>0</v>
      </c>
      <c r="BM47" s="524">
        <f>SUM('Defect P1'!CS47,'Defect P2'!CS47,RTS!CS47)</f>
        <v>0</v>
      </c>
      <c r="BN47" s="416">
        <f>SUM('Defect P1'!CT47,'Defect P2'!CT47,RTS!CT47)</f>
        <v>0</v>
      </c>
      <c r="BO47" s="97">
        <f>SUM('Defect P1'!CU47,'Defect P2'!CU47,RTS!CU47)</f>
        <v>0</v>
      </c>
      <c r="BP47" s="97">
        <f>SUM('Defect P1'!CV47,'Defect P2'!CV47,RTS!CV47)</f>
        <v>0</v>
      </c>
      <c r="BQ47" s="97">
        <f>SUM('Defect P1'!CW47,'Defect P2'!CW47,RTS!CW47)</f>
        <v>0</v>
      </c>
      <c r="BR47" s="98">
        <f>SUM('Defect P1'!CX47,'Defect P2'!CX47,RTS!CX47)</f>
        <v>0</v>
      </c>
    </row>
    <row r="48" spans="1:70" x14ac:dyDescent="0.25">
      <c r="A48" s="81" t="s">
        <v>94</v>
      </c>
      <c r="B48" s="82" t="s">
        <v>321</v>
      </c>
      <c r="C48" s="83" t="s">
        <v>76</v>
      </c>
      <c r="D48" s="84">
        <f>SUM('Defect P1'!D48,'Defect P2'!D48,RTS!D48)</f>
        <v>0</v>
      </c>
      <c r="E48" s="85">
        <f>SUM('Defect P1'!E48,'Defect P2'!E48,RTS!E48)</f>
        <v>0</v>
      </c>
      <c r="F48" s="85">
        <f>SUM('Defect P1'!F48,'Defect P2'!F48,RTS!F48)</f>
        <v>0</v>
      </c>
      <c r="G48" s="85">
        <f>SUM('Defect P1'!G48,'Defect P2'!G48,RTS!G48)</f>
        <v>0</v>
      </c>
      <c r="H48" s="85">
        <f>SUM('Defect P1'!H48,'Defect P2'!H48,RTS!H48)</f>
        <v>0</v>
      </c>
      <c r="I48" s="85">
        <f>SUM('Defect P1'!I48,'Defect P2'!I48,RTS!I48)</f>
        <v>0</v>
      </c>
      <c r="J48" s="85">
        <f>SUM('Defect P1'!J48,'Defect P2'!J48,RTS!J48)</f>
        <v>0</v>
      </c>
      <c r="K48" s="85">
        <f>SUM('Defect P1'!K48,'Defect P2'!K48,RTS!K48)</f>
        <v>0</v>
      </c>
      <c r="L48" s="85">
        <f>SUM('Defect P1'!L48,'Defect P2'!L48,RTS!L48)</f>
        <v>0</v>
      </c>
      <c r="M48" s="85">
        <f>SUM('Defect P1'!M48,'Defect P2'!M48,RTS!M48)</f>
        <v>0</v>
      </c>
      <c r="N48" s="85">
        <v>0</v>
      </c>
      <c r="O48" s="560">
        <f>SUM('Defect P1'!O48,'Defect P2'!O48,RTS!O48)</f>
        <v>0</v>
      </c>
      <c r="P48" s="561">
        <f>SUM('Defect P1'!P48,'Defect P2'!P48,RTS!P48)</f>
        <v>0</v>
      </c>
      <c r="Q48" s="561">
        <f>SUM('Defect P1'!Q48,'Defect P2'!Q48,RTS!Q48)</f>
        <v>0</v>
      </c>
      <c r="R48" s="561">
        <f>SUM('Defect P1'!R48,'Defect P2'!R48,RTS!R48)</f>
        <v>0</v>
      </c>
      <c r="S48" s="561">
        <f>SUM('Defect P1'!S48,'Defect P2'!S48,RTS!S48)</f>
        <v>0</v>
      </c>
      <c r="T48" s="561">
        <f>SUM('Defect P1'!T48,'Defect P2'!T48,RTS!T48)</f>
        <v>0</v>
      </c>
      <c r="U48" s="561">
        <f>SUM('Defect P1'!U48,'Defect P2'!U48,RTS!U48)</f>
        <v>0</v>
      </c>
      <c r="V48" s="561">
        <f>SUM('Defect P1'!V48,'Defect P2'!V48,RTS!V48)</f>
        <v>0</v>
      </c>
      <c r="W48" s="561">
        <f>SUM('Defect P1'!W48,'Defect P2'!W48,RTS!W48)</f>
        <v>0</v>
      </c>
      <c r="X48" s="561">
        <f>SUM('Defect P1'!X48,'Defect P2'!X48,RTS!X48)</f>
        <v>0</v>
      </c>
      <c r="Y48" s="561">
        <f>SUM('Defect P1'!Y48,'Defect P2'!Y48,RTS!Y48)</f>
        <v>0</v>
      </c>
      <c r="Z48" s="125">
        <f>SUM('Defect P1'!Z48,'Defect P2'!Z48,RTS!Z48)</f>
        <v>0</v>
      </c>
      <c r="AA48" s="126">
        <f>SUM('Defect P1'!AA48,'Defect P2'!AA48,RTS!AA48)</f>
        <v>0</v>
      </c>
      <c r="AB48" s="126">
        <f>SUM('Defect P1'!AB48,'Defect P2'!AB48,RTS!AB48)</f>
        <v>0</v>
      </c>
      <c r="AC48" s="126">
        <f>SUM('Defect P1'!AC48,'Defect P2'!AC48,RTS!AC48)</f>
        <v>0</v>
      </c>
      <c r="AD48" s="126">
        <f>SUM('Defect P1'!AD48,'Defect P2'!AD48,RTS!AD48)</f>
        <v>0</v>
      </c>
      <c r="AE48" s="126">
        <f>SUM('Defect P1'!AE48,'Defect P2'!AE48,RTS!AE48)</f>
        <v>0</v>
      </c>
      <c r="AF48" s="126">
        <f>SUM('Defect P1'!AF48,'Defect P2'!AF48,RTS!AF48)</f>
        <v>0</v>
      </c>
      <c r="AG48" s="126">
        <f>SUM('Defect P1'!AG48,'Defect P2'!AG48,RTS!AG48)</f>
        <v>0</v>
      </c>
      <c r="AH48" s="126">
        <f>SUM('Defect P1'!AH48,'Defect P2'!AH48,RTS!AH48)</f>
        <v>0</v>
      </c>
      <c r="AI48" s="126">
        <f>SUM('Defect P1'!AI48,'Defect P2'!AI48,RTS!AI48)</f>
        <v>0</v>
      </c>
      <c r="AJ48" s="126">
        <f>SUM('Defect P1'!AJ48,'Defect P2'!AJ48,RTS!AJ48)</f>
        <v>0</v>
      </c>
      <c r="AK48" s="127">
        <f t="shared" si="14"/>
        <v>0</v>
      </c>
      <c r="AL48" s="128" cm="1">
        <f t="array" ref="AL48">IFERROR(IF($AM$4="N",SSUM(AF48:AH48)/3,SUM(AG48:AI48)/3),"")</f>
        <v>0</v>
      </c>
      <c r="AM48" s="129">
        <f t="shared" si="15"/>
        <v>0</v>
      </c>
      <c r="AN48" s="370" t="str">
        <f t="shared" si="17"/>
        <v/>
      </c>
      <c r="AO48" s="371" t="str">
        <f t="shared" si="18"/>
        <v/>
      </c>
      <c r="AP48" s="371" t="str">
        <f t="shared" si="19"/>
        <v/>
      </c>
      <c r="AQ48" s="371" t="str">
        <f t="shared" si="20"/>
        <v/>
      </c>
      <c r="AR48" s="371" t="str">
        <f t="shared" si="21"/>
        <v/>
      </c>
      <c r="AS48" s="371" t="str">
        <f t="shared" si="22"/>
        <v/>
      </c>
      <c r="AT48" s="371" t="str">
        <f t="shared" si="23"/>
        <v/>
      </c>
      <c r="AU48" s="371" t="str">
        <f t="shared" si="24"/>
        <v/>
      </c>
      <c r="AV48" s="371" t="str">
        <f t="shared" si="25"/>
        <v/>
      </c>
      <c r="AW48" s="371" t="str">
        <f t="shared" si="9"/>
        <v/>
      </c>
      <c r="AX48" s="371" t="str">
        <f t="shared" si="10"/>
        <v/>
      </c>
      <c r="AY48" s="93" t="str">
        <f t="shared" si="26"/>
        <v/>
      </c>
      <c r="AZ48" s="94" t="str">
        <f t="shared" si="27"/>
        <v/>
      </c>
      <c r="BA48" s="95" t="str">
        <f t="shared" si="28"/>
        <v/>
      </c>
      <c r="BB48" s="363">
        <f>SUM('Defect P1'!CE48,'Defect P2'!CE48,RTS!CE48)</f>
        <v>0</v>
      </c>
      <c r="BC48" s="363">
        <f>SUM('Defect P1'!CF48,'Defect P2'!CF48,RTS!CF48)</f>
        <v>0</v>
      </c>
      <c r="BD48" s="363">
        <f>SUM('Defect P1'!CG48,'Defect P2'!CG48,RTS!CG48)</f>
        <v>0</v>
      </c>
      <c r="BE48" s="363">
        <f>SUM('Defect P1'!CH48,'Defect P2'!CH48,RTS!CH48)</f>
        <v>0</v>
      </c>
      <c r="BF48" s="363">
        <f>SUM('Defect P1'!CI48,'Defect P2'!CI48,RTS!CI48)</f>
        <v>0</v>
      </c>
      <c r="BG48" s="363">
        <f>SUM('Defect P1'!CJ48,'Defect P2'!CJ48,RTS!CJ48)</f>
        <v>0</v>
      </c>
      <c r="BH48" s="363">
        <f>SUM('Defect P1'!CK48,'Defect P2'!CK48,RTS!CK48)</f>
        <v>0</v>
      </c>
      <c r="BI48" s="364">
        <f>SUM('Defect P1'!CL48,'Defect P2'!CL48,RTS!CL48)</f>
        <v>0</v>
      </c>
      <c r="BJ48" s="99" t="str">
        <f t="shared" si="16"/>
        <v/>
      </c>
      <c r="BK48" s="640">
        <f>SUM('Defect P1'!CQ48,'Defect P2'!CQ48,RTS!CQ48)</f>
        <v>0</v>
      </c>
      <c r="BL48" s="97">
        <f>SUM('Defect P1'!CR48,'Defect P2'!CR48,RTS!CR48)</f>
        <v>0</v>
      </c>
      <c r="BM48" s="524">
        <f>SUM('Defect P1'!CS48,'Defect P2'!CS48,RTS!CS48)</f>
        <v>0</v>
      </c>
      <c r="BN48" s="416">
        <f>SUM('Defect P1'!CT48,'Defect P2'!CT48,RTS!CT48)</f>
        <v>0</v>
      </c>
      <c r="BO48" s="97">
        <f>SUM('Defect P1'!CU48,'Defect P2'!CU48,RTS!CU48)</f>
        <v>0</v>
      </c>
      <c r="BP48" s="97">
        <f>SUM('Defect P1'!CV48,'Defect P2'!CV48,RTS!CV48)</f>
        <v>0</v>
      </c>
      <c r="BQ48" s="97">
        <f>SUM('Defect P1'!CW48,'Defect P2'!CW48,RTS!CW48)</f>
        <v>0</v>
      </c>
      <c r="BR48" s="98">
        <f>SUM('Defect P1'!CX48,'Defect P2'!CX48,RTS!CX48)</f>
        <v>0</v>
      </c>
    </row>
    <row r="49" spans="1:70" x14ac:dyDescent="0.25">
      <c r="A49" s="81" t="s">
        <v>94</v>
      </c>
      <c r="B49" s="82" t="s">
        <v>322</v>
      </c>
      <c r="C49" s="83" t="s">
        <v>323</v>
      </c>
      <c r="D49" s="84">
        <f>SUM('Defect P1'!D49,'Defect P2'!D49,RTS!D49)</f>
        <v>0</v>
      </c>
      <c r="E49" s="85">
        <f>SUM('Defect P1'!E49,'Defect P2'!E49,RTS!E49)</f>
        <v>0</v>
      </c>
      <c r="F49" s="85">
        <f>SUM('Defect P1'!F49,'Defect P2'!F49,RTS!F49)</f>
        <v>0</v>
      </c>
      <c r="G49" s="85">
        <f>SUM('Defect P1'!G49,'Defect P2'!G49,RTS!G49)</f>
        <v>0</v>
      </c>
      <c r="H49" s="85">
        <f>SUM('Defect P1'!H49,'Defect P2'!H49,RTS!H49)</f>
        <v>0</v>
      </c>
      <c r="I49" s="85">
        <f>SUM('Defect P1'!I49,'Defect P2'!I49,RTS!I49)</f>
        <v>0</v>
      </c>
      <c r="J49" s="85">
        <f>SUM('Defect P1'!J49,'Defect P2'!J49,RTS!J49)</f>
        <v>0</v>
      </c>
      <c r="K49" s="85">
        <f>SUM('Defect P1'!K49,'Defect P2'!K49,RTS!K49)</f>
        <v>0</v>
      </c>
      <c r="L49" s="85">
        <f>SUM('Defect P1'!L49,'Defect P2'!L49,RTS!L49)</f>
        <v>0</v>
      </c>
      <c r="M49" s="85">
        <f>SUM('Defect P1'!M49,'Defect P2'!M49,RTS!M49)</f>
        <v>0</v>
      </c>
      <c r="N49" s="85">
        <v>0</v>
      </c>
      <c r="O49" s="560">
        <f>SUM('Defect P1'!O49,'Defect P2'!O49,RTS!O49)</f>
        <v>0</v>
      </c>
      <c r="P49" s="561">
        <f>SUM('Defect P1'!P49,'Defect P2'!P49,RTS!P49)</f>
        <v>0</v>
      </c>
      <c r="Q49" s="561">
        <f>SUM('Defect P1'!Q49,'Defect P2'!Q49,RTS!Q49)</f>
        <v>0</v>
      </c>
      <c r="R49" s="561">
        <f>SUM('Defect P1'!R49,'Defect P2'!R49,RTS!R49)</f>
        <v>0</v>
      </c>
      <c r="S49" s="561">
        <f>SUM('Defect P1'!S49,'Defect P2'!S49,RTS!S49)</f>
        <v>0</v>
      </c>
      <c r="T49" s="561">
        <f>SUM('Defect P1'!T49,'Defect P2'!T49,RTS!T49)</f>
        <v>0</v>
      </c>
      <c r="U49" s="561">
        <f>SUM('Defect P1'!U49,'Defect P2'!U49,RTS!U49)</f>
        <v>0</v>
      </c>
      <c r="V49" s="561">
        <f>SUM('Defect P1'!V49,'Defect P2'!V49,RTS!V49)</f>
        <v>0</v>
      </c>
      <c r="W49" s="561">
        <f>SUM('Defect P1'!W49,'Defect P2'!W49,RTS!W49)</f>
        <v>0</v>
      </c>
      <c r="X49" s="561">
        <f>SUM('Defect P1'!X49,'Defect P2'!X49,RTS!X49)</f>
        <v>0</v>
      </c>
      <c r="Y49" s="561">
        <f>SUM('Defect P1'!Y49,'Defect P2'!Y49,RTS!Y49)</f>
        <v>0</v>
      </c>
      <c r="Z49" s="125">
        <f>SUM('Defect P1'!Z49,'Defect P2'!Z49,RTS!Z49)</f>
        <v>0</v>
      </c>
      <c r="AA49" s="126">
        <f>SUM('Defect P1'!AA49,'Defect P2'!AA49,RTS!AA49)</f>
        <v>0</v>
      </c>
      <c r="AB49" s="126">
        <f>SUM('Defect P1'!AB49,'Defect P2'!AB49,RTS!AB49)</f>
        <v>0</v>
      </c>
      <c r="AC49" s="126">
        <f>SUM('Defect P1'!AC49,'Defect P2'!AC49,RTS!AC49)</f>
        <v>0</v>
      </c>
      <c r="AD49" s="126">
        <f>SUM('Defect P1'!AD49,'Defect P2'!AD49,RTS!AD49)</f>
        <v>0</v>
      </c>
      <c r="AE49" s="126">
        <f>SUM('Defect P1'!AE49,'Defect P2'!AE49,RTS!AE49)</f>
        <v>0</v>
      </c>
      <c r="AF49" s="126">
        <f>SUM('Defect P1'!AF49,'Defect P2'!AF49,RTS!AF49)</f>
        <v>0</v>
      </c>
      <c r="AG49" s="126">
        <f>SUM('Defect P1'!AG49,'Defect P2'!AG49,RTS!AG49)</f>
        <v>0</v>
      </c>
      <c r="AH49" s="126">
        <f>SUM('Defect P1'!AH49,'Defect P2'!AH49,RTS!AH49)</f>
        <v>0</v>
      </c>
      <c r="AI49" s="126">
        <f>SUM('Defect P1'!AI49,'Defect P2'!AI49,RTS!AI49)</f>
        <v>0</v>
      </c>
      <c r="AJ49" s="126">
        <f>SUM('Defect P1'!AJ49,'Defect P2'!AJ49,RTS!AJ49)</f>
        <v>0</v>
      </c>
      <c r="AK49" s="127">
        <f t="shared" si="14"/>
        <v>0</v>
      </c>
      <c r="AL49" s="128" cm="1">
        <f t="array" ref="AL49">IFERROR(IF($AM$4="N",SSUM(AF49:AH49)/3,SUM(AG49:AI49)/3),"")</f>
        <v>0</v>
      </c>
      <c r="AM49" s="129">
        <f t="shared" si="15"/>
        <v>0</v>
      </c>
      <c r="AN49" s="370" t="str">
        <f t="shared" si="17"/>
        <v/>
      </c>
      <c r="AO49" s="371" t="str">
        <f t="shared" si="18"/>
        <v/>
      </c>
      <c r="AP49" s="371" t="str">
        <f t="shared" si="19"/>
        <v/>
      </c>
      <c r="AQ49" s="371" t="str">
        <f t="shared" si="20"/>
        <v/>
      </c>
      <c r="AR49" s="371" t="str">
        <f t="shared" si="21"/>
        <v/>
      </c>
      <c r="AS49" s="371" t="str">
        <f t="shared" si="22"/>
        <v/>
      </c>
      <c r="AT49" s="371" t="str">
        <f t="shared" si="23"/>
        <v/>
      </c>
      <c r="AU49" s="371" t="str">
        <f t="shared" si="24"/>
        <v/>
      </c>
      <c r="AV49" s="371" t="str">
        <f t="shared" si="25"/>
        <v/>
      </c>
      <c r="AW49" s="371" t="str">
        <f t="shared" si="9"/>
        <v/>
      </c>
      <c r="AX49" s="371" t="str">
        <f t="shared" si="10"/>
        <v/>
      </c>
      <c r="AY49" s="93" t="str">
        <f t="shared" si="26"/>
        <v/>
      </c>
      <c r="AZ49" s="94" t="str">
        <f t="shared" si="27"/>
        <v/>
      </c>
      <c r="BA49" s="95" t="str">
        <f t="shared" si="28"/>
        <v/>
      </c>
      <c r="BB49" s="363">
        <f>SUM('Defect P1'!CE49,'Defect P2'!CE49,RTS!CE49)</f>
        <v>0</v>
      </c>
      <c r="BC49" s="363">
        <f>SUM('Defect P1'!CF49,'Defect P2'!CF49,RTS!CF49)</f>
        <v>0</v>
      </c>
      <c r="BD49" s="363">
        <f>SUM('Defect P1'!CG49,'Defect P2'!CG49,RTS!CG49)</f>
        <v>0</v>
      </c>
      <c r="BE49" s="363">
        <f>SUM('Defect P1'!CH49,'Defect P2'!CH49,RTS!CH49)</f>
        <v>0</v>
      </c>
      <c r="BF49" s="363">
        <f>SUM('Defect P1'!CI49,'Defect P2'!CI49,RTS!CI49)</f>
        <v>0</v>
      </c>
      <c r="BG49" s="363">
        <f>SUM('Defect P1'!CJ49,'Defect P2'!CJ49,RTS!CJ49)</f>
        <v>0</v>
      </c>
      <c r="BH49" s="363">
        <f>SUM('Defect P1'!CK49,'Defect P2'!CK49,RTS!CK49)</f>
        <v>0</v>
      </c>
      <c r="BI49" s="364">
        <f>SUM('Defect P1'!CL49,'Defect P2'!CL49,RTS!CL49)</f>
        <v>0</v>
      </c>
      <c r="BJ49" s="99" t="str">
        <f t="shared" si="16"/>
        <v/>
      </c>
      <c r="BK49" s="640">
        <f>SUM('Defect P1'!CQ49,'Defect P2'!CQ49,RTS!CQ49)</f>
        <v>0</v>
      </c>
      <c r="BL49" s="97">
        <f>SUM('Defect P1'!CR49,'Defect P2'!CR49,RTS!CR49)</f>
        <v>0</v>
      </c>
      <c r="BM49" s="524">
        <f>SUM('Defect P1'!CS49,'Defect P2'!CS49,RTS!CS49)</f>
        <v>0</v>
      </c>
      <c r="BN49" s="416">
        <f>SUM('Defect P1'!CT49,'Defect P2'!CT49,RTS!CT49)</f>
        <v>0</v>
      </c>
      <c r="BO49" s="97">
        <f>SUM('Defect P1'!CU49,'Defect P2'!CU49,RTS!CU49)</f>
        <v>0</v>
      </c>
      <c r="BP49" s="97">
        <f>SUM('Defect P1'!CV49,'Defect P2'!CV49,RTS!CV49)</f>
        <v>0</v>
      </c>
      <c r="BQ49" s="97">
        <f>SUM('Defect P1'!CW49,'Defect P2'!CW49,RTS!CW49)</f>
        <v>0</v>
      </c>
      <c r="BR49" s="98">
        <f>SUM('Defect P1'!CX49,'Defect P2'!CX49,RTS!CX49)</f>
        <v>0</v>
      </c>
    </row>
    <row r="50" spans="1:70" ht="15.75" thickBot="1" x14ac:dyDescent="0.3">
      <c r="A50" s="138" t="s">
        <v>94</v>
      </c>
      <c r="B50" s="139" t="s">
        <v>324</v>
      </c>
      <c r="C50" s="102" t="s">
        <v>325</v>
      </c>
      <c r="D50" s="103">
        <f>SUM('Defect P1'!D50,'Defect P2'!D50,RTS!D50)</f>
        <v>0</v>
      </c>
      <c r="E50" s="104">
        <f>SUM('Defect P1'!E50,'Defect P2'!E50,RTS!E50)</f>
        <v>0</v>
      </c>
      <c r="F50" s="104">
        <f>SUM('Defect P1'!F50,'Defect P2'!F50,RTS!F50)</f>
        <v>0</v>
      </c>
      <c r="G50" s="104">
        <f>SUM('Defect P1'!G50,'Defect P2'!G50,RTS!G50)</f>
        <v>0</v>
      </c>
      <c r="H50" s="104">
        <f>SUM('Defect P1'!H50,'Defect P2'!H50,RTS!H50)</f>
        <v>0</v>
      </c>
      <c r="I50" s="104">
        <f>SUM('Defect P1'!I50,'Defect P2'!I50,RTS!I50)</f>
        <v>0</v>
      </c>
      <c r="J50" s="104">
        <f>SUM('Defect P1'!J50,'Defect P2'!J50,RTS!J50)</f>
        <v>0</v>
      </c>
      <c r="K50" s="104">
        <f>SUM('Defect P1'!K50,'Defect P2'!K50,RTS!K50)</f>
        <v>0</v>
      </c>
      <c r="L50" s="104">
        <f>SUM('Defect P1'!L50,'Defect P2'!L50,RTS!L50)</f>
        <v>0</v>
      </c>
      <c r="M50" s="104">
        <f>SUM('Defect P1'!M50,'Defect P2'!M50,RTS!M50)</f>
        <v>0</v>
      </c>
      <c r="N50" s="104">
        <v>0</v>
      </c>
      <c r="O50" s="563">
        <f>SUM('Defect P1'!O50,'Defect P2'!O50,RTS!O50)</f>
        <v>0</v>
      </c>
      <c r="P50" s="564">
        <f>SUM('Defect P1'!P50,'Defect P2'!P50,RTS!P50)</f>
        <v>0</v>
      </c>
      <c r="Q50" s="564">
        <f>SUM('Defect P1'!Q50,'Defect P2'!Q50,RTS!Q50)</f>
        <v>0</v>
      </c>
      <c r="R50" s="564">
        <f>SUM('Defect P1'!R50,'Defect P2'!R50,RTS!R50)</f>
        <v>0</v>
      </c>
      <c r="S50" s="564">
        <f>SUM('Defect P1'!S50,'Defect P2'!S50,RTS!S50)</f>
        <v>0</v>
      </c>
      <c r="T50" s="564">
        <f>SUM('Defect P1'!T50,'Defect P2'!T50,RTS!T50)</f>
        <v>0</v>
      </c>
      <c r="U50" s="564">
        <f>SUM('Defect P1'!U50,'Defect P2'!U50,RTS!U50)</f>
        <v>0</v>
      </c>
      <c r="V50" s="564">
        <f>SUM('Defect P1'!V50,'Defect P2'!V50,RTS!V50)</f>
        <v>0</v>
      </c>
      <c r="W50" s="564">
        <f>SUM('Defect P1'!W50,'Defect P2'!W50,RTS!W50)</f>
        <v>0</v>
      </c>
      <c r="X50" s="564">
        <f>SUM('Defect P1'!X50,'Defect P2'!X50,RTS!X50)</f>
        <v>0</v>
      </c>
      <c r="Y50" s="564">
        <f>SUM('Defect P1'!Y50,'Defect P2'!Y50,RTS!Y50)</f>
        <v>0</v>
      </c>
      <c r="Z50" s="131">
        <f>SUM('Defect P1'!Z50,'Defect P2'!Z50,RTS!Z50)</f>
        <v>0</v>
      </c>
      <c r="AA50" s="132">
        <f>SUM('Defect P1'!AA50,'Defect P2'!AA50,RTS!AA50)</f>
        <v>0</v>
      </c>
      <c r="AB50" s="132">
        <f>SUM('Defect P1'!AB50,'Defect P2'!AB50,RTS!AB50)</f>
        <v>0</v>
      </c>
      <c r="AC50" s="132">
        <f>SUM('Defect P1'!AC50,'Defect P2'!AC50,RTS!AC50)</f>
        <v>0</v>
      </c>
      <c r="AD50" s="132">
        <f>SUM('Defect P1'!AD50,'Defect P2'!AD50,RTS!AD50)</f>
        <v>0</v>
      </c>
      <c r="AE50" s="132">
        <f>SUM('Defect P1'!AE50,'Defect P2'!AE50,RTS!AE50)</f>
        <v>0</v>
      </c>
      <c r="AF50" s="132">
        <f>SUM('Defect P1'!AF50,'Defect P2'!AF50,RTS!AF50)</f>
        <v>0</v>
      </c>
      <c r="AG50" s="132">
        <f>SUM('Defect P1'!AG50,'Defect P2'!AG50,RTS!AG50)</f>
        <v>0</v>
      </c>
      <c r="AH50" s="132">
        <f>SUM('Defect P1'!AH50,'Defect P2'!AH50,RTS!AH50)</f>
        <v>0</v>
      </c>
      <c r="AI50" s="132">
        <f>SUM('Defect P1'!AI50,'Defect P2'!AI50,RTS!AI50)</f>
        <v>0</v>
      </c>
      <c r="AJ50" s="132">
        <f>SUM('Defect P1'!AJ50,'Defect P2'!AJ50,RTS!AJ50)</f>
        <v>0</v>
      </c>
      <c r="AK50" s="133">
        <f t="shared" si="14"/>
        <v>0</v>
      </c>
      <c r="AL50" s="134" cm="1">
        <f t="array" ref="AL50">IFERROR(IF($AM$4="N",SSUM(AF50:AH50)/3,SUM(AG50:AI50)/3),"")</f>
        <v>0</v>
      </c>
      <c r="AM50" s="135">
        <f t="shared" si="15"/>
        <v>0</v>
      </c>
      <c r="AN50" s="372" t="str">
        <f t="shared" si="17"/>
        <v/>
      </c>
      <c r="AO50" s="373" t="str">
        <f t="shared" si="18"/>
        <v/>
      </c>
      <c r="AP50" s="373" t="str">
        <f t="shared" si="19"/>
        <v/>
      </c>
      <c r="AQ50" s="373" t="str">
        <f t="shared" si="20"/>
        <v/>
      </c>
      <c r="AR50" s="373" t="str">
        <f t="shared" si="21"/>
        <v/>
      </c>
      <c r="AS50" s="373" t="str">
        <f t="shared" si="22"/>
        <v/>
      </c>
      <c r="AT50" s="373" t="str">
        <f t="shared" si="23"/>
        <v/>
      </c>
      <c r="AU50" s="373" t="str">
        <f t="shared" si="24"/>
        <v/>
      </c>
      <c r="AV50" s="373" t="str">
        <f t="shared" si="25"/>
        <v/>
      </c>
      <c r="AW50" s="373" t="str">
        <f t="shared" si="9"/>
        <v/>
      </c>
      <c r="AX50" s="373" t="str">
        <f t="shared" si="10"/>
        <v/>
      </c>
      <c r="AY50" s="112" t="str">
        <f t="shared" si="26"/>
        <v/>
      </c>
      <c r="AZ50" s="113" t="str">
        <f t="shared" si="27"/>
        <v/>
      </c>
      <c r="BA50" s="114" t="str">
        <f t="shared" si="28"/>
        <v/>
      </c>
      <c r="BB50" s="366">
        <f>SUM('Defect P1'!CE50,'Defect P2'!CE50,RTS!CE50)</f>
        <v>0</v>
      </c>
      <c r="BC50" s="366">
        <f>SUM('Defect P1'!CF50,'Defect P2'!CF50,RTS!CF50)</f>
        <v>0</v>
      </c>
      <c r="BD50" s="366">
        <f>SUM('Defect P1'!CG50,'Defect P2'!CG50,RTS!CG50)</f>
        <v>0</v>
      </c>
      <c r="BE50" s="366">
        <f>SUM('Defect P1'!CH50,'Defect P2'!CH50,RTS!CH50)</f>
        <v>0</v>
      </c>
      <c r="BF50" s="366">
        <f>SUM('Defect P1'!CI50,'Defect P2'!CI50,RTS!CI50)</f>
        <v>0</v>
      </c>
      <c r="BG50" s="366">
        <f>SUM('Defect P1'!CJ50,'Defect P2'!CJ50,RTS!CJ50)</f>
        <v>0</v>
      </c>
      <c r="BH50" s="366">
        <f>SUM('Defect P1'!CK50,'Defect P2'!CK50,RTS!CK50)</f>
        <v>0</v>
      </c>
      <c r="BI50" s="367">
        <f>SUM('Defect P1'!CL50,'Defect P2'!CL50,RTS!CL50)</f>
        <v>0</v>
      </c>
      <c r="BJ50" s="116" t="str">
        <f t="shared" si="16"/>
        <v/>
      </c>
      <c r="BK50" s="641">
        <f>SUM('Defect P1'!CQ50,'Defect P2'!CQ50,RTS!CQ50)</f>
        <v>0</v>
      </c>
      <c r="BL50" s="117">
        <f>SUM('Defect P1'!CR50,'Defect P2'!CR50,RTS!CR50)</f>
        <v>0</v>
      </c>
      <c r="BM50" s="638">
        <f>SUM('Defect P1'!CS50,'Defect P2'!CS50,RTS!CS50)</f>
        <v>0</v>
      </c>
      <c r="BN50" s="467">
        <f>SUM('Defect P1'!CT50,'Defect P2'!CT50,RTS!CT50)</f>
        <v>0</v>
      </c>
      <c r="BO50" s="117">
        <f>SUM('Defect P1'!CU50,'Defect P2'!CU50,RTS!CU50)</f>
        <v>0</v>
      </c>
      <c r="BP50" s="117">
        <f>SUM('Defect P1'!CV50,'Defect P2'!CV50,RTS!CV50)</f>
        <v>0</v>
      </c>
      <c r="BQ50" s="117">
        <f>SUM('Defect P1'!CW50,'Defect P2'!CW50,RTS!CW50)</f>
        <v>0</v>
      </c>
      <c r="BR50" s="118">
        <f>SUM('Defect P1'!CX50,'Defect P2'!CX50,RTS!CX50)</f>
        <v>0</v>
      </c>
    </row>
    <row r="51" spans="1:70" x14ac:dyDescent="0.25">
      <c r="A51" s="63" t="s">
        <v>106</v>
      </c>
      <c r="B51" s="64" t="s">
        <v>103</v>
      </c>
      <c r="C51" s="65" t="s">
        <v>326</v>
      </c>
      <c r="D51" s="66">
        <f>SUM('Defect P1'!D51,'Defect P2'!D51,RTS!D51)</f>
        <v>1221436.045233631</v>
      </c>
      <c r="E51" s="67">
        <f>SUM('Defect P1'!E51,'Defect P2'!E51,RTS!E51)</f>
        <v>1834620.8826430636</v>
      </c>
      <c r="F51" s="67">
        <f>SUM('Defect P1'!F51,'Defect P2'!F51,RTS!F51)</f>
        <v>2789018.6267472138</v>
      </c>
      <c r="G51" s="67">
        <f>SUM('Defect P1'!G51,'Defect P2'!G51,RTS!G51)</f>
        <v>1570978.0971033401</v>
      </c>
      <c r="H51" s="67">
        <f>SUM('Defect P1'!H51,'Defect P2'!H51,RTS!H51)</f>
        <v>2167069.1267819577</v>
      </c>
      <c r="I51" s="67">
        <f>SUM('Defect P1'!I51,'Defect P2'!I51,RTS!I51)</f>
        <v>3551792.4947332456</v>
      </c>
      <c r="J51" s="67">
        <f>SUM('Defect P1'!J51,'Defect P2'!J51,RTS!J51)</f>
        <v>5497149.1701687686</v>
      </c>
      <c r="K51" s="67">
        <f>SUM('Defect P1'!K51,'Defect P2'!K51,RTS!K51)</f>
        <v>0</v>
      </c>
      <c r="L51" s="67">
        <f>SUM('Defect P1'!L51,'Defect P2'!L51,RTS!L51)</f>
        <v>6191419.1145479809</v>
      </c>
      <c r="M51" s="67">
        <f>SUM('Defect P1'!M51,'Defect P2'!M51,RTS!M51)</f>
        <v>11556783.626997527</v>
      </c>
      <c r="N51" s="67">
        <v>11766608.628443107</v>
      </c>
      <c r="O51" s="557">
        <f>SUM('Defect P1'!O51,'Defect P2'!O51,RTS!O51)</f>
        <v>1643388.8455662793</v>
      </c>
      <c r="P51" s="558">
        <f>SUM('Defect P1'!P51,'Defect P2'!P51,RTS!P51)</f>
        <v>2431663.249520544</v>
      </c>
      <c r="Q51" s="558">
        <f>SUM('Defect P1'!Q51,'Defect P2'!Q51,RTS!Q51)</f>
        <v>3659208.4688311787</v>
      </c>
      <c r="R51" s="558">
        <f>SUM('Defect P1'!R51,'Defect P2'!R51,RTS!R51)</f>
        <v>2022032.2223664848</v>
      </c>
      <c r="S51" s="558">
        <f>SUM('Defect P1'!S51,'Defect P2'!S51,RTS!S51)</f>
        <v>2732498.199099693</v>
      </c>
      <c r="T51" s="558">
        <f>SUM('Defect P1'!T51,'Defect P2'!T51,RTS!T51)</f>
        <v>4408301.1971130213</v>
      </c>
      <c r="U51" s="558">
        <f>SUM('Defect P1'!U51,'Defect P2'!U51,RTS!U51)</f>
        <v>6846633.1816902282</v>
      </c>
      <c r="V51" s="558">
        <f>SUM('Defect P1'!V51,'Defect P2'!V51,RTS!V51)</f>
        <v>0</v>
      </c>
      <c r="W51" s="558">
        <f>SUM('Defect P1'!W51,'Defect P2'!W51,RTS!W51)</f>
        <v>6995853.0744678378</v>
      </c>
      <c r="X51" s="558">
        <f>SUM('Defect P1'!X51,'Defect P2'!X51,RTS!X51)</f>
        <v>12290187.818612752</v>
      </c>
      <c r="Y51" s="558">
        <f>SUM('Defect P1'!Y51,'Defect P2'!Y51,RTS!Y51)</f>
        <v>12090172.472432217</v>
      </c>
      <c r="Z51" s="68">
        <f>SUM('Defect P1'!Z51,'Defect P2'!Z51,RTS!Z51)</f>
        <v>2600</v>
      </c>
      <c r="AA51" s="69">
        <f>SUM('Defect P1'!AA51,'Defect P2'!AA51,RTS!AA51)</f>
        <v>3418</v>
      </c>
      <c r="AB51" s="69">
        <f>SUM('Defect P1'!AB51,'Defect P2'!AB51,RTS!AB51)</f>
        <v>4487</v>
      </c>
      <c r="AC51" s="69">
        <f>SUM('Defect P1'!AC51,'Defect P2'!AC51,RTS!AC51)</f>
        <v>3184</v>
      </c>
      <c r="AD51" s="69">
        <f>SUM('Defect P1'!AD51,'Defect P2'!AD51,RTS!AD51)</f>
        <v>4068</v>
      </c>
      <c r="AE51" s="69">
        <f>SUM('Defect P1'!AE51,'Defect P2'!AE51,RTS!AE51)</f>
        <v>6092.6398348759985</v>
      </c>
      <c r="AF51" s="69">
        <f>SUM('Defect P1'!AF51,'Defect P2'!AF51,RTS!AF51)</f>
        <v>8108.2024248159933</v>
      </c>
      <c r="AG51" s="69">
        <f>SUM('Defect P1'!AG51,'Defect P2'!AG51,RTS!AG51)</f>
        <v>0</v>
      </c>
      <c r="AH51" s="69">
        <f>SUM('Defect P1'!AH51,'Defect P2'!AH51,RTS!AH51)</f>
        <v>8415.4222332029767</v>
      </c>
      <c r="AI51" s="69">
        <f>SUM('Defect P1'!AI51,'Defect P2'!AI51,RTS!AI51)</f>
        <v>10608.094603367008</v>
      </c>
      <c r="AJ51" s="69">
        <f>SUM('Defect P1'!AJ51,'Defect P2'!AJ51,RTS!AJ51)</f>
        <v>10919.950984478</v>
      </c>
      <c r="AK51" s="121">
        <f t="shared" si="14"/>
        <v>6644.8718192523957</v>
      </c>
      <c r="AL51" s="122" cm="1">
        <f t="array" ref="AL51">IFERROR(IF($AM$4="N",SSUM(AF51:AH51)/3,SUM(AG51:AI51)/3),"")</f>
        <v>6341.1722788566622</v>
      </c>
      <c r="AM51" s="123">
        <f t="shared" si="15"/>
        <v>10608.094603367008</v>
      </c>
      <c r="AN51" s="73">
        <f t="shared" si="17"/>
        <v>469.7830943206273</v>
      </c>
      <c r="AO51" s="74">
        <f t="shared" si="18"/>
        <v>536.7527450681871</v>
      </c>
      <c r="AP51" s="74">
        <f t="shared" si="19"/>
        <v>621.57758563566165</v>
      </c>
      <c r="AQ51" s="74">
        <f t="shared" si="20"/>
        <v>493.39764356260679</v>
      </c>
      <c r="AR51" s="74">
        <f t="shared" si="21"/>
        <v>532.71119144099259</v>
      </c>
      <c r="AS51" s="74">
        <f t="shared" si="22"/>
        <v>582.96446056137734</v>
      </c>
      <c r="AT51" s="74">
        <f t="shared" si="23"/>
        <v>677.97384452861888</v>
      </c>
      <c r="AU51" s="74" t="str">
        <f t="shared" si="24"/>
        <v/>
      </c>
      <c r="AV51" s="74">
        <f t="shared" si="25"/>
        <v>735.72293141986268</v>
      </c>
      <c r="AW51" s="74">
        <f t="shared" si="9"/>
        <v>1089.4306714920704</v>
      </c>
      <c r="AX51" s="74">
        <f t="shared" si="10"/>
        <v>1077.5330992939964</v>
      </c>
      <c r="AY51" s="75">
        <f t="shared" si="26"/>
        <v>806.55113101827828</v>
      </c>
      <c r="AZ51" s="76">
        <f t="shared" si="27"/>
        <v>932.96118136406449</v>
      </c>
      <c r="BA51" s="77">
        <f t="shared" si="28"/>
        <v>1089.4306714920704</v>
      </c>
      <c r="BB51" s="78">
        <f>SUM('Defect P1'!CE51,'Defect P2'!CE51,RTS!CE51)</f>
        <v>6535.9222160582622</v>
      </c>
      <c r="BC51" s="78">
        <f>SUM('Defect P1'!CF51,'Defect P2'!CF51,RTS!CF51)</f>
        <v>6535.9222160582622</v>
      </c>
      <c r="BD51" s="78">
        <f>SUM('Defect P1'!CG51,'Defect P2'!CG51,RTS!CG51)</f>
        <v>6535.9222160582622</v>
      </c>
      <c r="BE51" s="78">
        <f>SUM('Defect P1'!CH51,'Defect P2'!CH51,RTS!CH51)</f>
        <v>6535.9222160582622</v>
      </c>
      <c r="BF51" s="78">
        <f>SUM('Defect P1'!CI51,'Defect P2'!CI51,RTS!CI51)</f>
        <v>6535.9222160582622</v>
      </c>
      <c r="BG51" s="78">
        <f>SUM('Defect P1'!CJ51,'Defect P2'!CJ51,RTS!CJ51)</f>
        <v>6535.9222160582622</v>
      </c>
      <c r="BH51" s="78">
        <f>SUM('Defect P1'!CK51,'Defect P2'!CK51,RTS!CK51)</f>
        <v>6535.9222160582622</v>
      </c>
      <c r="BI51" s="285">
        <f>SUM('Defect P1'!CL51,'Defect P2'!CL51,RTS!CL51)</f>
        <v>6535.9222160582622</v>
      </c>
      <c r="BJ51" s="124">
        <f t="shared" si="16"/>
        <v>905.16187080376233</v>
      </c>
      <c r="BK51" s="639">
        <f>SUM('Defect P1'!CQ51,'Defect P2'!CQ51,RTS!CQ51)</f>
        <v>5916067.5805151705</v>
      </c>
      <c r="BL51" s="79">
        <f>SUM('Defect P1'!CR51,'Defect P2'!CR51,RTS!CR51)</f>
        <v>5916067.5805151705</v>
      </c>
      <c r="BM51" s="523">
        <f>SUM('Defect P1'!CS51,'Defect P2'!CS51,RTS!CS51)</f>
        <v>5916067.5805151705</v>
      </c>
      <c r="BN51" s="415">
        <f>SUM('Defect P1'!CT51,'Defect P2'!CT51,RTS!CT51)</f>
        <v>5916067.5805151705</v>
      </c>
      <c r="BO51" s="79">
        <f>SUM('Defect P1'!CU51,'Defect P2'!CU51,RTS!CU51)</f>
        <v>5916067.5805151705</v>
      </c>
      <c r="BP51" s="79">
        <f>SUM('Defect P1'!CV51,'Defect P2'!CV51,RTS!CV51)</f>
        <v>5916067.5805151705</v>
      </c>
      <c r="BQ51" s="79">
        <f>SUM('Defect P1'!CW51,'Defect P2'!CW51,RTS!CW51)</f>
        <v>5916067.5805151705</v>
      </c>
      <c r="BR51" s="80">
        <f>SUM('Defect P1'!CX51,'Defect P2'!CX51,RTS!CX51)</f>
        <v>5916067.5805151705</v>
      </c>
    </row>
    <row r="52" spans="1:70" x14ac:dyDescent="0.25">
      <c r="A52" s="81" t="s">
        <v>106</v>
      </c>
      <c r="B52" s="82" t="s">
        <v>107</v>
      </c>
      <c r="C52" s="83" t="s">
        <v>328</v>
      </c>
      <c r="D52" s="84">
        <f>SUM('Defect P1'!D52,'Defect P2'!D52,RTS!D52)</f>
        <v>1508165.4143019484</v>
      </c>
      <c r="E52" s="85">
        <f>SUM('Defect P1'!E52,'Defect P2'!E52,RTS!E52)</f>
        <v>1498533.575918142</v>
      </c>
      <c r="F52" s="85">
        <f>SUM('Defect P1'!F52,'Defect P2'!F52,RTS!F52)</f>
        <v>2008974.3442940786</v>
      </c>
      <c r="G52" s="85">
        <f>SUM('Defect P1'!G52,'Defect P2'!G52,RTS!G52)</f>
        <v>1182060.9104722717</v>
      </c>
      <c r="H52" s="85">
        <f>SUM('Defect P1'!H52,'Defect P2'!H52,RTS!H52)</f>
        <v>1568401.9477146508</v>
      </c>
      <c r="I52" s="85">
        <f>SUM('Defect P1'!I52,'Defect P2'!I52,RTS!I52)</f>
        <v>0</v>
      </c>
      <c r="J52" s="85">
        <f>SUM('Defect P1'!J52,'Defect P2'!J52,RTS!J52)</f>
        <v>0</v>
      </c>
      <c r="K52" s="85">
        <f>SUM('Defect P1'!K52,'Defect P2'!K52,RTS!K52)</f>
        <v>5812453.3298967285</v>
      </c>
      <c r="L52" s="85">
        <f>SUM('Defect P1'!L52,'Defect P2'!L52,RTS!L52)</f>
        <v>0</v>
      </c>
      <c r="M52" s="85">
        <f>SUM('Defect P1'!M52,'Defect P2'!M52,RTS!M52)</f>
        <v>9585142.3172064628</v>
      </c>
      <c r="N52" s="85">
        <v>10757135.656567734</v>
      </c>
      <c r="O52" s="560">
        <f>SUM('Defect P1'!O52,'Defect P2'!O52,RTS!O52)</f>
        <v>2029170.687081361</v>
      </c>
      <c r="P52" s="561">
        <f>SUM('Defect P1'!P52,'Defect P2'!P52,RTS!P52)</f>
        <v>1986202.7404174588</v>
      </c>
      <c r="Q52" s="561">
        <f>SUM('Defect P1'!Q52,'Defect P2'!Q52,RTS!Q52)</f>
        <v>2635785.8867651615</v>
      </c>
      <c r="R52" s="561">
        <f>SUM('Defect P1'!R52,'Defect P2'!R52,RTS!R52)</f>
        <v>1521450.3971646212</v>
      </c>
      <c r="S52" s="561">
        <f>SUM('Defect P1'!S52,'Defect P2'!S52,RTS!S52)</f>
        <v>1977627.4991092801</v>
      </c>
      <c r="T52" s="561">
        <f>SUM('Defect P1'!T52,'Defect P2'!T52,RTS!T52)</f>
        <v>0</v>
      </c>
      <c r="U52" s="561">
        <f>SUM('Defect P1'!U52,'Defect P2'!U52,RTS!U52)</f>
        <v>0</v>
      </c>
      <c r="V52" s="561">
        <f>SUM('Defect P1'!V52,'Defect P2'!V52,RTS!V52)</f>
        <v>6971216.9903267967</v>
      </c>
      <c r="W52" s="561">
        <f>SUM('Defect P1'!W52,'Defect P2'!W52,RTS!W52)</f>
        <v>0</v>
      </c>
      <c r="X52" s="561">
        <f>SUM('Defect P1'!X52,'Defect P2'!X52,RTS!X52)</f>
        <v>10193424.325380916</v>
      </c>
      <c r="Y52" s="561">
        <f>SUM('Defect P1'!Y52,'Defect P2'!Y52,RTS!Y52)</f>
        <v>11052940.528919633</v>
      </c>
      <c r="Z52" s="86">
        <f>SUM('Defect P1'!Z52,'Defect P2'!Z52,RTS!Z52)</f>
        <v>1332</v>
      </c>
      <c r="AA52" s="87">
        <f>SUM('Defect P1'!AA52,'Defect P2'!AA52,RTS!AA52)</f>
        <v>1412</v>
      </c>
      <c r="AB52" s="87">
        <f>SUM('Defect P1'!AB52,'Defect P2'!AB52,RTS!AB52)</f>
        <v>1482</v>
      </c>
      <c r="AC52" s="87">
        <f>SUM('Defect P1'!AC52,'Defect P2'!AC52,RTS!AC52)</f>
        <v>1081</v>
      </c>
      <c r="AD52" s="87">
        <f>SUM('Defect P1'!AD52,'Defect P2'!AD52,RTS!AD52)</f>
        <v>1346</v>
      </c>
      <c r="AE52" s="87">
        <f>SUM('Defect P1'!AE52,'Defect P2'!AE52,RTS!AE52)</f>
        <v>0</v>
      </c>
      <c r="AF52" s="87">
        <f>SUM('Defect P1'!AF52,'Defect P2'!AF52,RTS!AF52)</f>
        <v>0</v>
      </c>
      <c r="AG52" s="87">
        <f>SUM('Defect P1'!AG52,'Defect P2'!AG52,RTS!AG52)</f>
        <v>877.17429154601962</v>
      </c>
      <c r="AH52" s="87">
        <f>SUM('Defect P1'!AH52,'Defect P2'!AH52,RTS!AH52)</f>
        <v>0</v>
      </c>
      <c r="AI52" s="87">
        <f>SUM('Defect P1'!AI52,'Defect P2'!AI52,RTS!AI52)</f>
        <v>1091.4457947559845</v>
      </c>
      <c r="AJ52" s="87">
        <f>SUM('Defect P1'!AJ52,'Defect P2'!AJ52,RTS!AJ52)</f>
        <v>1197.2879210869883</v>
      </c>
      <c r="AK52" s="127">
        <f t="shared" si="14"/>
        <v>393.72401726040079</v>
      </c>
      <c r="AL52" s="128" cm="1">
        <f t="array" ref="AL52">IFERROR(IF($AM$4="N",SSUM(AF52:AH52)/3,SUM(AG52:AI52)/3),"")</f>
        <v>656.20669543400129</v>
      </c>
      <c r="AM52" s="129">
        <f t="shared" si="15"/>
        <v>1091.4457947559845</v>
      </c>
      <c r="AN52" s="91">
        <f t="shared" si="17"/>
        <v>1132.2563170435049</v>
      </c>
      <c r="AO52" s="92">
        <f t="shared" si="18"/>
        <v>1061.2844022083159</v>
      </c>
      <c r="AP52" s="92">
        <f t="shared" si="19"/>
        <v>1355.583228268609</v>
      </c>
      <c r="AQ52" s="92">
        <f t="shared" si="20"/>
        <v>1093.4883538133874</v>
      </c>
      <c r="AR52" s="92">
        <f t="shared" si="21"/>
        <v>1165.2317590747778</v>
      </c>
      <c r="AS52" s="92" t="str">
        <f t="shared" si="22"/>
        <v/>
      </c>
      <c r="AT52" s="92" t="str">
        <f t="shared" si="23"/>
        <v/>
      </c>
      <c r="AU52" s="92">
        <f t="shared" si="24"/>
        <v>6626.3379876903136</v>
      </c>
      <c r="AV52" s="92" t="str">
        <f t="shared" si="25"/>
        <v/>
      </c>
      <c r="AW52" s="92">
        <f t="shared" si="9"/>
        <v>8782.0598725651071</v>
      </c>
      <c r="AX52" s="92">
        <f t="shared" si="10"/>
        <v>8984.5854677975822</v>
      </c>
      <c r="AY52" s="93">
        <f t="shared" si="26"/>
        <v>7821.5170891744428</v>
      </c>
      <c r="AZ52" s="94">
        <f t="shared" si="27"/>
        <v>7821.5170891744428</v>
      </c>
      <c r="BA52" s="95">
        <f t="shared" si="28"/>
        <v>8782.0598725651071</v>
      </c>
      <c r="BB52" s="96">
        <f>SUM('Defect P1'!CE52,'Defect P2'!CE52,RTS!CE52)</f>
        <v>655.94204895453458</v>
      </c>
      <c r="BC52" s="96">
        <f>SUM('Defect P1'!CF52,'Defect P2'!CF52,RTS!CF52)</f>
        <v>655.94204895453458</v>
      </c>
      <c r="BD52" s="96">
        <f>SUM('Defect P1'!CG52,'Defect P2'!CG52,RTS!CG52)</f>
        <v>655.94204895453458</v>
      </c>
      <c r="BE52" s="96">
        <f>SUM('Defect P1'!CH52,'Defect P2'!CH52,RTS!CH52)</f>
        <v>655.94204895453458</v>
      </c>
      <c r="BF52" s="96">
        <f>SUM('Defect P1'!CI52,'Defect P2'!CI52,RTS!CI52)</f>
        <v>655.94204895453458</v>
      </c>
      <c r="BG52" s="96">
        <f>SUM('Defect P1'!CJ52,'Defect P2'!CJ52,RTS!CJ52)</f>
        <v>655.94204895453458</v>
      </c>
      <c r="BH52" s="96">
        <f>SUM('Defect P1'!CK52,'Defect P2'!CK52,RTS!CK52)</f>
        <v>655.94204895453458</v>
      </c>
      <c r="BI52" s="286">
        <f>SUM('Defect P1'!CL52,'Defect P2'!CL52,RTS!CL52)</f>
        <v>655.94204895453458</v>
      </c>
      <c r="BJ52" s="99">
        <f t="shared" si="16"/>
        <v>7822.2760581988177</v>
      </c>
      <c r="BK52" s="640">
        <f>SUM('Defect P1'!CQ52,'Defect P2'!CQ52,RTS!CQ52)</f>
        <v>5130959.7851029327</v>
      </c>
      <c r="BL52" s="97">
        <f>SUM('Defect P1'!CR52,'Defect P2'!CR52,RTS!CR52)</f>
        <v>5130959.7851029327</v>
      </c>
      <c r="BM52" s="524">
        <f>SUM('Defect P1'!CS52,'Defect P2'!CS52,RTS!CS52)</f>
        <v>5130959.7851029327</v>
      </c>
      <c r="BN52" s="416">
        <f>SUM('Defect P1'!CT52,'Defect P2'!CT52,RTS!CT52)</f>
        <v>5130959.7851029327</v>
      </c>
      <c r="BO52" s="97">
        <f>SUM('Defect P1'!CU52,'Defect P2'!CU52,RTS!CU52)</f>
        <v>5130959.7851029327</v>
      </c>
      <c r="BP52" s="97">
        <f>SUM('Defect P1'!CV52,'Defect P2'!CV52,RTS!CV52)</f>
        <v>5130959.7851029327</v>
      </c>
      <c r="BQ52" s="97">
        <f>SUM('Defect P1'!CW52,'Defect P2'!CW52,RTS!CW52)</f>
        <v>5130959.7851029327</v>
      </c>
      <c r="BR52" s="98">
        <f>SUM('Defect P1'!CX52,'Defect P2'!CX52,RTS!CX52)</f>
        <v>5130959.7851029327</v>
      </c>
    </row>
    <row r="53" spans="1:70" x14ac:dyDescent="0.25">
      <c r="A53" s="81" t="s">
        <v>106</v>
      </c>
      <c r="B53" s="82" t="s">
        <v>109</v>
      </c>
      <c r="C53" s="83" t="s">
        <v>329</v>
      </c>
      <c r="D53" s="84">
        <f>SUM('Defect P1'!D53,'Defect P2'!D53,RTS!D53)</f>
        <v>146495.69657188398</v>
      </c>
      <c r="E53" s="85">
        <f>SUM('Defect P1'!E53,'Defect P2'!E53,RTS!E53)</f>
        <v>49492.836314304172</v>
      </c>
      <c r="F53" s="85">
        <f>SUM('Defect P1'!F53,'Defect P2'!F53,RTS!F53)</f>
        <v>115161.61423465071</v>
      </c>
      <c r="G53" s="85">
        <f>SUM('Defect P1'!G53,'Defect P2'!G53,RTS!G53)</f>
        <v>120719.75370670095</v>
      </c>
      <c r="H53" s="85">
        <f>SUM('Defect P1'!H53,'Defect P2'!H53,RTS!H53)</f>
        <v>41381.329703710129</v>
      </c>
      <c r="I53" s="85">
        <f>SUM('Defect P1'!I53,'Defect P2'!I53,RTS!I53)</f>
        <v>0</v>
      </c>
      <c r="J53" s="85">
        <f>SUM('Defect P1'!J53,'Defect P2'!J53,RTS!J53)</f>
        <v>0</v>
      </c>
      <c r="K53" s="85">
        <f>SUM('Defect P1'!K53,'Defect P2'!K53,RTS!K53)</f>
        <v>0</v>
      </c>
      <c r="L53" s="85">
        <f>SUM('Defect P1'!L53,'Defect P2'!L53,RTS!L53)</f>
        <v>0</v>
      </c>
      <c r="M53" s="85">
        <f>SUM('Defect P1'!M53,'Defect P2'!M53,RTS!M53)</f>
        <v>0</v>
      </c>
      <c r="N53" s="85">
        <v>0</v>
      </c>
      <c r="O53" s="560">
        <f>SUM('Defect P1'!O53,'Defect P2'!O53,RTS!O53)</f>
        <v>197103.56068921054</v>
      </c>
      <c r="P53" s="561">
        <f>SUM('Defect P1'!P53,'Defect P2'!P53,RTS!P53)</f>
        <v>65599.335709427905</v>
      </c>
      <c r="Q53" s="561">
        <f>SUM('Defect P1'!Q53,'Defect P2'!Q53,RTS!Q53)</f>
        <v>151092.69979425534</v>
      </c>
      <c r="R53" s="561">
        <f>SUM('Defect P1'!R53,'Defect P2'!R53,RTS!R53)</f>
        <v>155380.41702884299</v>
      </c>
      <c r="S53" s="561">
        <f>SUM('Defect P1'!S53,'Defect P2'!S53,RTS!S53)</f>
        <v>52178.496520621455</v>
      </c>
      <c r="T53" s="561">
        <f>SUM('Defect P1'!T53,'Defect P2'!T53,RTS!T53)</f>
        <v>0</v>
      </c>
      <c r="U53" s="561">
        <f>SUM('Defect P1'!U53,'Defect P2'!U53,RTS!U53)</f>
        <v>0</v>
      </c>
      <c r="V53" s="561">
        <f>SUM('Defect P1'!V53,'Defect P2'!V53,RTS!V53)</f>
        <v>0</v>
      </c>
      <c r="W53" s="561">
        <f>SUM('Defect P1'!W53,'Defect P2'!W53,RTS!W53)</f>
        <v>0</v>
      </c>
      <c r="X53" s="561">
        <f>SUM('Defect P1'!X53,'Defect P2'!X53,RTS!X53)</f>
        <v>0</v>
      </c>
      <c r="Y53" s="561">
        <f>SUM('Defect P1'!Y53,'Defect P2'!Y53,RTS!Y53)</f>
        <v>0</v>
      </c>
      <c r="Z53" s="86">
        <f>SUM('Defect P1'!Z53,'Defect P2'!Z53,RTS!Z53)</f>
        <v>100</v>
      </c>
      <c r="AA53" s="87">
        <f>SUM('Defect P1'!AA53,'Defect P2'!AA53,RTS!AA53)</f>
        <v>23</v>
      </c>
      <c r="AB53" s="87">
        <f>SUM('Defect P1'!AB53,'Defect P2'!AB53,RTS!AB53)</f>
        <v>49</v>
      </c>
      <c r="AC53" s="87">
        <f>SUM('Defect P1'!AC53,'Defect P2'!AC53,RTS!AC53)</f>
        <v>62</v>
      </c>
      <c r="AD53" s="87">
        <f>SUM('Defect P1'!AD53,'Defect P2'!AD53,RTS!AD53)</f>
        <v>33</v>
      </c>
      <c r="AE53" s="87">
        <f>SUM('Defect P1'!AE53,'Defect P2'!AE53,RTS!AE53)</f>
        <v>0</v>
      </c>
      <c r="AF53" s="87">
        <f>SUM('Defect P1'!AF53,'Defect P2'!AF53,RTS!AF53)</f>
        <v>0</v>
      </c>
      <c r="AG53" s="87">
        <f>SUM('Defect P1'!AG53,'Defect P2'!AG53,RTS!AG53)</f>
        <v>0</v>
      </c>
      <c r="AH53" s="87">
        <f>SUM('Defect P1'!AH53,'Defect P2'!AH53,RTS!AH53)</f>
        <v>0</v>
      </c>
      <c r="AI53" s="87">
        <f>SUM('Defect P1'!AI53,'Defect P2'!AI53,RTS!AI53)</f>
        <v>0</v>
      </c>
      <c r="AJ53" s="87">
        <f>SUM('Defect P1'!AJ53,'Defect P2'!AJ53,RTS!AJ53)</f>
        <v>0</v>
      </c>
      <c r="AK53" s="127">
        <f t="shared" si="14"/>
        <v>0</v>
      </c>
      <c r="AL53" s="128" cm="1">
        <f t="array" ref="AL53">IFERROR(IF($AM$4="N",SSUM(AF53:AH53)/3,SUM(AG53:AI53)/3),"")</f>
        <v>0</v>
      </c>
      <c r="AM53" s="129">
        <f t="shared" si="15"/>
        <v>0</v>
      </c>
      <c r="AN53" s="91">
        <f t="shared" si="17"/>
        <v>1464.9569657188397</v>
      </c>
      <c r="AO53" s="92">
        <f t="shared" si="18"/>
        <v>2151.8624484480074</v>
      </c>
      <c r="AP53" s="92">
        <f t="shared" si="19"/>
        <v>2350.2370251969533</v>
      </c>
      <c r="AQ53" s="92">
        <f t="shared" si="20"/>
        <v>1947.0928017209831</v>
      </c>
      <c r="AR53" s="92">
        <f t="shared" si="21"/>
        <v>1253.979687991216</v>
      </c>
      <c r="AS53" s="92" t="str">
        <f t="shared" si="22"/>
        <v/>
      </c>
      <c r="AT53" s="92" t="str">
        <f t="shared" si="23"/>
        <v/>
      </c>
      <c r="AU53" s="92" t="str">
        <f t="shared" si="24"/>
        <v/>
      </c>
      <c r="AV53" s="92" t="str">
        <f t="shared" si="25"/>
        <v/>
      </c>
      <c r="AW53" s="92" t="str">
        <f t="shared" si="9"/>
        <v/>
      </c>
      <c r="AX53" s="92" t="str">
        <f t="shared" si="10"/>
        <v/>
      </c>
      <c r="AY53" s="93" t="str">
        <f t="shared" si="26"/>
        <v/>
      </c>
      <c r="AZ53" s="94" t="str">
        <f t="shared" si="27"/>
        <v/>
      </c>
      <c r="BA53" s="95" t="str">
        <f t="shared" si="28"/>
        <v/>
      </c>
      <c r="BB53" s="96">
        <f>SUM('Defect P1'!CE53,'Defect P2'!CE53,RTS!CE53)</f>
        <v>0</v>
      </c>
      <c r="BC53" s="96">
        <f>SUM('Defect P1'!CF53,'Defect P2'!CF53,RTS!CF53)</f>
        <v>0</v>
      </c>
      <c r="BD53" s="96">
        <f>SUM('Defect P1'!CG53,'Defect P2'!CG53,RTS!CG53)</f>
        <v>0</v>
      </c>
      <c r="BE53" s="96">
        <f>SUM('Defect P1'!CH53,'Defect P2'!CH53,RTS!CH53)</f>
        <v>0</v>
      </c>
      <c r="BF53" s="96">
        <f>SUM('Defect P1'!CI53,'Defect P2'!CI53,RTS!CI53)</f>
        <v>0</v>
      </c>
      <c r="BG53" s="96">
        <f>SUM('Defect P1'!CJ53,'Defect P2'!CJ53,RTS!CJ53)</f>
        <v>0</v>
      </c>
      <c r="BH53" s="96">
        <f>SUM('Defect P1'!CK53,'Defect P2'!CK53,RTS!CK53)</f>
        <v>0</v>
      </c>
      <c r="BI53" s="286">
        <f>SUM('Defect P1'!CL53,'Defect P2'!CL53,RTS!CL53)</f>
        <v>0</v>
      </c>
      <c r="BJ53" s="99" t="str">
        <f t="shared" si="16"/>
        <v/>
      </c>
      <c r="BK53" s="640">
        <f>SUM('Defect P1'!CQ53,'Defect P2'!CQ53,RTS!CQ53)</f>
        <v>0</v>
      </c>
      <c r="BL53" s="97">
        <f>SUM('Defect P1'!CR53,'Defect P2'!CR53,RTS!CR53)</f>
        <v>0</v>
      </c>
      <c r="BM53" s="524">
        <f>SUM('Defect P1'!CS53,'Defect P2'!CS53,RTS!CS53)</f>
        <v>0</v>
      </c>
      <c r="BN53" s="416">
        <f>SUM('Defect P1'!CT53,'Defect P2'!CT53,RTS!CT53)</f>
        <v>0</v>
      </c>
      <c r="BO53" s="97">
        <f>SUM('Defect P1'!CU53,'Defect P2'!CU53,RTS!CU53)</f>
        <v>0</v>
      </c>
      <c r="BP53" s="97">
        <f>SUM('Defect P1'!CV53,'Defect P2'!CV53,RTS!CV53)</f>
        <v>0</v>
      </c>
      <c r="BQ53" s="97">
        <f>SUM('Defect P1'!CW53,'Defect P2'!CW53,RTS!CW53)</f>
        <v>0</v>
      </c>
      <c r="BR53" s="98">
        <f>SUM('Defect P1'!CX53,'Defect P2'!CX53,RTS!CX53)</f>
        <v>0</v>
      </c>
    </row>
    <row r="54" spans="1:70" x14ac:dyDescent="0.25">
      <c r="A54" s="81" t="s">
        <v>106</v>
      </c>
      <c r="B54" s="82" t="s">
        <v>111</v>
      </c>
      <c r="C54" s="83" t="s">
        <v>331</v>
      </c>
      <c r="D54" s="84">
        <f>SUM('Defect P1'!D54,'Defect P2'!D54,RTS!D54)</f>
        <v>0</v>
      </c>
      <c r="E54" s="85">
        <f>SUM('Defect P1'!E54,'Defect P2'!E54,RTS!E54)</f>
        <v>0</v>
      </c>
      <c r="F54" s="85">
        <f>SUM('Defect P1'!F54,'Defect P2'!F54,RTS!F54)</f>
        <v>0</v>
      </c>
      <c r="G54" s="85">
        <f>SUM('Defect P1'!G54,'Defect P2'!G54,RTS!G54)</f>
        <v>0</v>
      </c>
      <c r="H54" s="85">
        <f>SUM('Defect P1'!H54,'Defect P2'!H54,RTS!H54)</f>
        <v>0</v>
      </c>
      <c r="I54" s="85">
        <f>SUM('Defect P1'!I54,'Defect P2'!I54,RTS!I54)</f>
        <v>0</v>
      </c>
      <c r="J54" s="85">
        <f>SUM('Defect P1'!J54,'Defect P2'!J54,RTS!J54)</f>
        <v>0</v>
      </c>
      <c r="K54" s="85">
        <f>SUM('Defect P1'!K54,'Defect P2'!K54,RTS!K54)</f>
        <v>0</v>
      </c>
      <c r="L54" s="85">
        <f>SUM('Defect P1'!L54,'Defect P2'!L54,RTS!L54)</f>
        <v>0</v>
      </c>
      <c r="M54" s="85">
        <f>SUM('Defect P1'!M54,'Defect P2'!M54,RTS!M54)</f>
        <v>0</v>
      </c>
      <c r="N54" s="85">
        <v>0</v>
      </c>
      <c r="O54" s="560">
        <f>SUM('Defect P1'!O54,'Defect P2'!O54,RTS!O54)</f>
        <v>0</v>
      </c>
      <c r="P54" s="561">
        <f>SUM('Defect P1'!P54,'Defect P2'!P54,RTS!P54)</f>
        <v>0</v>
      </c>
      <c r="Q54" s="561">
        <f>SUM('Defect P1'!Q54,'Defect P2'!Q54,RTS!Q54)</f>
        <v>0</v>
      </c>
      <c r="R54" s="561">
        <f>SUM('Defect P1'!R54,'Defect P2'!R54,RTS!R54)</f>
        <v>0</v>
      </c>
      <c r="S54" s="561">
        <f>SUM('Defect P1'!S54,'Defect P2'!S54,RTS!S54)</f>
        <v>0</v>
      </c>
      <c r="T54" s="561">
        <f>SUM('Defect P1'!T54,'Defect P2'!T54,RTS!T54)</f>
        <v>0</v>
      </c>
      <c r="U54" s="561">
        <f>SUM('Defect P1'!U54,'Defect P2'!U54,RTS!U54)</f>
        <v>0</v>
      </c>
      <c r="V54" s="561">
        <f>SUM('Defect P1'!V54,'Defect P2'!V54,RTS!V54)</f>
        <v>0</v>
      </c>
      <c r="W54" s="561">
        <f>SUM('Defect P1'!W54,'Defect P2'!W54,RTS!W54)</f>
        <v>0</v>
      </c>
      <c r="X54" s="561">
        <f>SUM('Defect P1'!X54,'Defect P2'!X54,RTS!X54)</f>
        <v>0</v>
      </c>
      <c r="Y54" s="561">
        <f>SUM('Defect P1'!Y54,'Defect P2'!Y54,RTS!Y54)</f>
        <v>0</v>
      </c>
      <c r="Z54" s="86">
        <f>SUM('Defect P1'!Z54,'Defect P2'!Z54,RTS!Z54)</f>
        <v>0</v>
      </c>
      <c r="AA54" s="87">
        <f>SUM('Defect P1'!AA54,'Defect P2'!AA54,RTS!AA54)</f>
        <v>0</v>
      </c>
      <c r="AB54" s="87">
        <f>SUM('Defect P1'!AB54,'Defect P2'!AB54,RTS!AB54)</f>
        <v>0</v>
      </c>
      <c r="AC54" s="87">
        <f>SUM('Defect P1'!AC54,'Defect P2'!AC54,RTS!AC54)</f>
        <v>0</v>
      </c>
      <c r="AD54" s="87">
        <f>SUM('Defect P1'!AD54,'Defect P2'!AD54,RTS!AD54)</f>
        <v>0</v>
      </c>
      <c r="AE54" s="87">
        <f>SUM('Defect P1'!AE54,'Defect P2'!AE54,RTS!AE54)</f>
        <v>0</v>
      </c>
      <c r="AF54" s="87">
        <f>SUM('Defect P1'!AF54,'Defect P2'!AF54,RTS!AF54)</f>
        <v>0</v>
      </c>
      <c r="AG54" s="87">
        <f>SUM('Defect P1'!AG54,'Defect P2'!AG54,RTS!AG54)</f>
        <v>0</v>
      </c>
      <c r="AH54" s="87">
        <f>SUM('Defect P1'!AH54,'Defect P2'!AH54,RTS!AH54)</f>
        <v>0</v>
      </c>
      <c r="AI54" s="87">
        <f>SUM('Defect P1'!AI54,'Defect P2'!AI54,RTS!AI54)</f>
        <v>0</v>
      </c>
      <c r="AJ54" s="87">
        <f>SUM('Defect P1'!AJ54,'Defect P2'!AJ54,RTS!AJ54)</f>
        <v>0</v>
      </c>
      <c r="AK54" s="127">
        <f t="shared" si="14"/>
        <v>0</v>
      </c>
      <c r="AL54" s="128" cm="1">
        <f t="array" ref="AL54">IFERROR(IF($AM$4="N",SSUM(AF54:AH54)/3,SUM(AG54:AI54)/3),"")</f>
        <v>0</v>
      </c>
      <c r="AM54" s="129">
        <f t="shared" si="15"/>
        <v>0</v>
      </c>
      <c r="AN54" s="91" t="str">
        <f t="shared" si="17"/>
        <v/>
      </c>
      <c r="AO54" s="92" t="str">
        <f t="shared" si="18"/>
        <v/>
      </c>
      <c r="AP54" s="92" t="str">
        <f t="shared" si="19"/>
        <v/>
      </c>
      <c r="AQ54" s="92" t="str">
        <f t="shared" si="20"/>
        <v/>
      </c>
      <c r="AR54" s="92" t="str">
        <f t="shared" si="21"/>
        <v/>
      </c>
      <c r="AS54" s="92" t="str">
        <f t="shared" si="22"/>
        <v/>
      </c>
      <c r="AT54" s="92" t="str">
        <f t="shared" si="23"/>
        <v/>
      </c>
      <c r="AU54" s="92" t="str">
        <f t="shared" si="24"/>
        <v/>
      </c>
      <c r="AV54" s="92" t="str">
        <f t="shared" si="25"/>
        <v/>
      </c>
      <c r="AW54" s="92" t="str">
        <f t="shared" si="9"/>
        <v/>
      </c>
      <c r="AX54" s="92" t="str">
        <f t="shared" si="10"/>
        <v/>
      </c>
      <c r="AY54" s="93" t="str">
        <f t="shared" si="26"/>
        <v/>
      </c>
      <c r="AZ54" s="94" t="str">
        <f t="shared" si="27"/>
        <v/>
      </c>
      <c r="BA54" s="95" t="str">
        <f t="shared" si="28"/>
        <v/>
      </c>
      <c r="BB54" s="96">
        <f>SUM('Defect P1'!CE54,'Defect P2'!CE54,RTS!CE54)</f>
        <v>0</v>
      </c>
      <c r="BC54" s="96">
        <f>SUM('Defect P1'!CF54,'Defect P2'!CF54,RTS!CF54)</f>
        <v>0</v>
      </c>
      <c r="BD54" s="96">
        <f>SUM('Defect P1'!CG54,'Defect P2'!CG54,RTS!CG54)</f>
        <v>0</v>
      </c>
      <c r="BE54" s="96">
        <f>SUM('Defect P1'!CH54,'Defect P2'!CH54,RTS!CH54)</f>
        <v>0</v>
      </c>
      <c r="BF54" s="96">
        <f>SUM('Defect P1'!CI54,'Defect P2'!CI54,RTS!CI54)</f>
        <v>0</v>
      </c>
      <c r="BG54" s="96">
        <f>SUM('Defect P1'!CJ54,'Defect P2'!CJ54,RTS!CJ54)</f>
        <v>0</v>
      </c>
      <c r="BH54" s="96">
        <f>SUM('Defect P1'!CK54,'Defect P2'!CK54,RTS!CK54)</f>
        <v>0</v>
      </c>
      <c r="BI54" s="286">
        <f>SUM('Defect P1'!CL54,'Defect P2'!CL54,RTS!CL54)</f>
        <v>0</v>
      </c>
      <c r="BJ54" s="99" t="str">
        <f t="shared" si="16"/>
        <v/>
      </c>
      <c r="BK54" s="640">
        <f>SUM('Defect P1'!CQ54,'Defect P2'!CQ54,RTS!CQ54)</f>
        <v>0</v>
      </c>
      <c r="BL54" s="97">
        <f>SUM('Defect P1'!CR54,'Defect P2'!CR54,RTS!CR54)</f>
        <v>0</v>
      </c>
      <c r="BM54" s="524">
        <f>SUM('Defect P1'!CS54,'Defect P2'!CS54,RTS!CS54)</f>
        <v>0</v>
      </c>
      <c r="BN54" s="416">
        <f>SUM('Defect P1'!CT54,'Defect P2'!CT54,RTS!CT54)</f>
        <v>0</v>
      </c>
      <c r="BO54" s="97">
        <f>SUM('Defect P1'!CU54,'Defect P2'!CU54,RTS!CU54)</f>
        <v>0</v>
      </c>
      <c r="BP54" s="97">
        <f>SUM('Defect P1'!CV54,'Defect P2'!CV54,RTS!CV54)</f>
        <v>0</v>
      </c>
      <c r="BQ54" s="97">
        <f>SUM('Defect P1'!CW54,'Defect P2'!CW54,RTS!CW54)</f>
        <v>0</v>
      </c>
      <c r="BR54" s="98">
        <f>SUM('Defect P1'!CX54,'Defect P2'!CX54,RTS!CX54)</f>
        <v>0</v>
      </c>
    </row>
    <row r="55" spans="1:70" x14ac:dyDescent="0.25">
      <c r="A55" s="81" t="s">
        <v>106</v>
      </c>
      <c r="B55" s="82" t="s">
        <v>113</v>
      </c>
      <c r="C55" s="83" t="s">
        <v>333</v>
      </c>
      <c r="D55" s="84">
        <f>SUM('Defect P1'!D55,'Defect P2'!D55,RTS!D55)</f>
        <v>0</v>
      </c>
      <c r="E55" s="85">
        <f>SUM('Defect P1'!E55,'Defect P2'!E55,RTS!E55)</f>
        <v>0</v>
      </c>
      <c r="F55" s="85">
        <f>SUM('Defect P1'!F55,'Defect P2'!F55,RTS!F55)</f>
        <v>0</v>
      </c>
      <c r="G55" s="85">
        <f>SUM('Defect P1'!G55,'Defect P2'!G55,RTS!G55)</f>
        <v>0</v>
      </c>
      <c r="H55" s="85">
        <f>SUM('Defect P1'!H55,'Defect P2'!H55,RTS!H55)</f>
        <v>0</v>
      </c>
      <c r="I55" s="85">
        <f>SUM('Defect P1'!I55,'Defect P2'!I55,RTS!I55)</f>
        <v>0</v>
      </c>
      <c r="J55" s="85">
        <f>SUM('Defect P1'!J55,'Defect P2'!J55,RTS!J55)</f>
        <v>0</v>
      </c>
      <c r="K55" s="85">
        <f>SUM('Defect P1'!K55,'Defect P2'!K55,RTS!K55)</f>
        <v>0</v>
      </c>
      <c r="L55" s="85">
        <f>SUM('Defect P1'!L55,'Defect P2'!L55,RTS!L55)</f>
        <v>0</v>
      </c>
      <c r="M55" s="85">
        <f>SUM('Defect P1'!M55,'Defect P2'!M55,RTS!M55)</f>
        <v>0</v>
      </c>
      <c r="N55" s="85">
        <v>0</v>
      </c>
      <c r="O55" s="560">
        <f>SUM('Defect P1'!O55,'Defect P2'!O55,RTS!O55)</f>
        <v>0</v>
      </c>
      <c r="P55" s="561">
        <f>SUM('Defect P1'!P55,'Defect P2'!P55,RTS!P55)</f>
        <v>0</v>
      </c>
      <c r="Q55" s="561">
        <f>SUM('Defect P1'!Q55,'Defect P2'!Q55,RTS!Q55)</f>
        <v>0</v>
      </c>
      <c r="R55" s="561">
        <f>SUM('Defect P1'!R55,'Defect P2'!R55,RTS!R55)</f>
        <v>0</v>
      </c>
      <c r="S55" s="561">
        <f>SUM('Defect P1'!S55,'Defect P2'!S55,RTS!S55)</f>
        <v>0</v>
      </c>
      <c r="T55" s="561">
        <f>SUM('Defect P1'!T55,'Defect P2'!T55,RTS!T55)</f>
        <v>0</v>
      </c>
      <c r="U55" s="561">
        <f>SUM('Defect P1'!U55,'Defect P2'!U55,RTS!U55)</f>
        <v>0</v>
      </c>
      <c r="V55" s="561">
        <f>SUM('Defect P1'!V55,'Defect P2'!V55,RTS!V55)</f>
        <v>0</v>
      </c>
      <c r="W55" s="561">
        <f>SUM('Defect P1'!W55,'Defect P2'!W55,RTS!W55)</f>
        <v>0</v>
      </c>
      <c r="X55" s="561">
        <f>SUM('Defect P1'!X55,'Defect P2'!X55,RTS!X55)</f>
        <v>0</v>
      </c>
      <c r="Y55" s="561">
        <f>SUM('Defect P1'!Y55,'Defect P2'!Y55,RTS!Y55)</f>
        <v>0</v>
      </c>
      <c r="Z55" s="86">
        <f>SUM('Defect P1'!Z55,'Defect P2'!Z55,RTS!Z55)</f>
        <v>0</v>
      </c>
      <c r="AA55" s="87">
        <f>SUM('Defect P1'!AA55,'Defect P2'!AA55,RTS!AA55)</f>
        <v>0</v>
      </c>
      <c r="AB55" s="87">
        <f>SUM('Defect P1'!AB55,'Defect P2'!AB55,RTS!AB55)</f>
        <v>0</v>
      </c>
      <c r="AC55" s="87">
        <f>SUM('Defect P1'!AC55,'Defect P2'!AC55,RTS!AC55)</f>
        <v>0</v>
      </c>
      <c r="AD55" s="87">
        <f>SUM('Defect P1'!AD55,'Defect P2'!AD55,RTS!AD55)</f>
        <v>0</v>
      </c>
      <c r="AE55" s="87">
        <f>SUM('Defect P1'!AE55,'Defect P2'!AE55,RTS!AE55)</f>
        <v>0</v>
      </c>
      <c r="AF55" s="87">
        <f>SUM('Defect P1'!AF55,'Defect P2'!AF55,RTS!AF55)</f>
        <v>0</v>
      </c>
      <c r="AG55" s="87">
        <f>SUM('Defect P1'!AG55,'Defect P2'!AG55,RTS!AG55)</f>
        <v>0</v>
      </c>
      <c r="AH55" s="87">
        <f>SUM('Defect P1'!AH55,'Defect P2'!AH55,RTS!AH55)</f>
        <v>0</v>
      </c>
      <c r="AI55" s="87">
        <f>SUM('Defect P1'!AI55,'Defect P2'!AI55,RTS!AI55)</f>
        <v>0</v>
      </c>
      <c r="AJ55" s="87">
        <f>SUM('Defect P1'!AJ55,'Defect P2'!AJ55,RTS!AJ55)</f>
        <v>0</v>
      </c>
      <c r="AK55" s="127">
        <f t="shared" si="14"/>
        <v>0</v>
      </c>
      <c r="AL55" s="128" cm="1">
        <f t="array" ref="AL55">IFERROR(IF($AM$4="N",SSUM(AF55:AH55)/3,SUM(AG55:AI55)/3),"")</f>
        <v>0</v>
      </c>
      <c r="AM55" s="129">
        <f t="shared" si="15"/>
        <v>0</v>
      </c>
      <c r="AN55" s="91" t="str">
        <f t="shared" si="17"/>
        <v/>
      </c>
      <c r="AO55" s="92" t="str">
        <f t="shared" si="18"/>
        <v/>
      </c>
      <c r="AP55" s="92" t="str">
        <f t="shared" si="19"/>
        <v/>
      </c>
      <c r="AQ55" s="92" t="str">
        <f t="shared" si="20"/>
        <v/>
      </c>
      <c r="AR55" s="92" t="str">
        <f t="shared" si="21"/>
        <v/>
      </c>
      <c r="AS55" s="92" t="str">
        <f t="shared" si="22"/>
        <v/>
      </c>
      <c r="AT55" s="92" t="str">
        <f t="shared" si="23"/>
        <v/>
      </c>
      <c r="AU55" s="92" t="str">
        <f t="shared" si="24"/>
        <v/>
      </c>
      <c r="AV55" s="92" t="str">
        <f t="shared" si="25"/>
        <v/>
      </c>
      <c r="AW55" s="92" t="str">
        <f t="shared" si="9"/>
        <v/>
      </c>
      <c r="AX55" s="92" t="str">
        <f t="shared" si="10"/>
        <v/>
      </c>
      <c r="AY55" s="93" t="str">
        <f t="shared" si="26"/>
        <v/>
      </c>
      <c r="AZ55" s="94" t="str">
        <f t="shared" si="27"/>
        <v/>
      </c>
      <c r="BA55" s="95" t="str">
        <f t="shared" si="28"/>
        <v/>
      </c>
      <c r="BB55" s="96">
        <f>SUM('Defect P1'!CE55,'Defect P2'!CE55,RTS!CE55)</f>
        <v>0</v>
      </c>
      <c r="BC55" s="96">
        <f>SUM('Defect P1'!CF55,'Defect P2'!CF55,RTS!CF55)</f>
        <v>0</v>
      </c>
      <c r="BD55" s="96">
        <f>SUM('Defect P1'!CG55,'Defect P2'!CG55,RTS!CG55)</f>
        <v>0</v>
      </c>
      <c r="BE55" s="96">
        <f>SUM('Defect P1'!CH55,'Defect P2'!CH55,RTS!CH55)</f>
        <v>0</v>
      </c>
      <c r="BF55" s="96">
        <f>SUM('Defect P1'!CI55,'Defect P2'!CI55,RTS!CI55)</f>
        <v>0</v>
      </c>
      <c r="BG55" s="96">
        <f>SUM('Defect P1'!CJ55,'Defect P2'!CJ55,RTS!CJ55)</f>
        <v>0</v>
      </c>
      <c r="BH55" s="96">
        <f>SUM('Defect P1'!CK55,'Defect P2'!CK55,RTS!CK55)</f>
        <v>0</v>
      </c>
      <c r="BI55" s="286">
        <f>SUM('Defect P1'!CL55,'Defect P2'!CL55,RTS!CL55)</f>
        <v>0</v>
      </c>
      <c r="BJ55" s="99" t="str">
        <f t="shared" si="16"/>
        <v/>
      </c>
      <c r="BK55" s="640">
        <f>SUM('Defect P1'!CQ55,'Defect P2'!CQ55,RTS!CQ55)</f>
        <v>0</v>
      </c>
      <c r="BL55" s="97">
        <f>SUM('Defect P1'!CR55,'Defect P2'!CR55,RTS!CR55)</f>
        <v>0</v>
      </c>
      <c r="BM55" s="524">
        <f>SUM('Defect P1'!CS55,'Defect P2'!CS55,RTS!CS55)</f>
        <v>0</v>
      </c>
      <c r="BN55" s="416">
        <f>SUM('Defect P1'!CT55,'Defect P2'!CT55,RTS!CT55)</f>
        <v>0</v>
      </c>
      <c r="BO55" s="97">
        <f>SUM('Defect P1'!CU55,'Defect P2'!CU55,RTS!CU55)</f>
        <v>0</v>
      </c>
      <c r="BP55" s="97">
        <f>SUM('Defect P1'!CV55,'Defect P2'!CV55,RTS!CV55)</f>
        <v>0</v>
      </c>
      <c r="BQ55" s="97">
        <f>SUM('Defect P1'!CW55,'Defect P2'!CW55,RTS!CW55)</f>
        <v>0</v>
      </c>
      <c r="BR55" s="98">
        <f>SUM('Defect P1'!CX55,'Defect P2'!CX55,RTS!CX55)</f>
        <v>0</v>
      </c>
    </row>
    <row r="56" spans="1:70" x14ac:dyDescent="0.25">
      <c r="A56" s="81" t="s">
        <v>106</v>
      </c>
      <c r="B56" s="82" t="s">
        <v>115</v>
      </c>
      <c r="C56" s="83" t="s">
        <v>335</v>
      </c>
      <c r="D56" s="84">
        <f>SUM('Defect P1'!D56,'Defect P2'!D56,RTS!D56)</f>
        <v>0</v>
      </c>
      <c r="E56" s="85">
        <f>SUM('Defect P1'!E56,'Defect P2'!E56,RTS!E56)</f>
        <v>0</v>
      </c>
      <c r="F56" s="85">
        <f>SUM('Defect P1'!F56,'Defect P2'!F56,RTS!F56)</f>
        <v>0</v>
      </c>
      <c r="G56" s="85">
        <f>SUM('Defect P1'!G56,'Defect P2'!G56,RTS!G56)</f>
        <v>0</v>
      </c>
      <c r="H56" s="85">
        <f>SUM('Defect P1'!H56,'Defect P2'!H56,RTS!H56)</f>
        <v>0</v>
      </c>
      <c r="I56" s="85">
        <f>SUM('Defect P1'!I56,'Defect P2'!I56,RTS!I56)</f>
        <v>0</v>
      </c>
      <c r="J56" s="85">
        <f>SUM('Defect P1'!J56,'Defect P2'!J56,RTS!J56)</f>
        <v>0</v>
      </c>
      <c r="K56" s="85">
        <f>SUM('Defect P1'!K56,'Defect P2'!K56,RTS!K56)</f>
        <v>0</v>
      </c>
      <c r="L56" s="85">
        <f>SUM('Defect P1'!L56,'Defect P2'!L56,RTS!L56)</f>
        <v>0</v>
      </c>
      <c r="M56" s="85">
        <f>SUM('Defect P1'!M56,'Defect P2'!M56,RTS!M56)</f>
        <v>0</v>
      </c>
      <c r="N56" s="85">
        <v>0</v>
      </c>
      <c r="O56" s="560">
        <f>SUM('Defect P1'!O56,'Defect P2'!O56,RTS!O56)</f>
        <v>0</v>
      </c>
      <c r="P56" s="561">
        <f>SUM('Defect P1'!P56,'Defect P2'!P56,RTS!P56)</f>
        <v>0</v>
      </c>
      <c r="Q56" s="561">
        <f>SUM('Defect P1'!Q56,'Defect P2'!Q56,RTS!Q56)</f>
        <v>0</v>
      </c>
      <c r="R56" s="561">
        <f>SUM('Defect P1'!R56,'Defect P2'!R56,RTS!R56)</f>
        <v>0</v>
      </c>
      <c r="S56" s="561">
        <f>SUM('Defect P1'!S56,'Defect P2'!S56,RTS!S56)</f>
        <v>0</v>
      </c>
      <c r="T56" s="561">
        <f>SUM('Defect P1'!T56,'Defect P2'!T56,RTS!T56)</f>
        <v>0</v>
      </c>
      <c r="U56" s="561">
        <f>SUM('Defect P1'!U56,'Defect P2'!U56,RTS!U56)</f>
        <v>0</v>
      </c>
      <c r="V56" s="561">
        <f>SUM('Defect P1'!V56,'Defect P2'!V56,RTS!V56)</f>
        <v>0</v>
      </c>
      <c r="W56" s="561">
        <f>SUM('Defect P1'!W56,'Defect P2'!W56,RTS!W56)</f>
        <v>0</v>
      </c>
      <c r="X56" s="561">
        <f>SUM('Defect P1'!X56,'Defect P2'!X56,RTS!X56)</f>
        <v>0</v>
      </c>
      <c r="Y56" s="561">
        <f>SUM('Defect P1'!Y56,'Defect P2'!Y56,RTS!Y56)</f>
        <v>0</v>
      </c>
      <c r="Z56" s="86">
        <f>SUM('Defect P1'!Z56,'Defect P2'!Z56,RTS!Z56)</f>
        <v>0</v>
      </c>
      <c r="AA56" s="87">
        <f>SUM('Defect P1'!AA56,'Defect P2'!AA56,RTS!AA56)</f>
        <v>0</v>
      </c>
      <c r="AB56" s="87">
        <f>SUM('Defect P1'!AB56,'Defect P2'!AB56,RTS!AB56)</f>
        <v>0</v>
      </c>
      <c r="AC56" s="87">
        <f>SUM('Defect P1'!AC56,'Defect P2'!AC56,RTS!AC56)</f>
        <v>0</v>
      </c>
      <c r="AD56" s="87">
        <f>SUM('Defect P1'!AD56,'Defect P2'!AD56,RTS!AD56)</f>
        <v>0</v>
      </c>
      <c r="AE56" s="87">
        <f>SUM('Defect P1'!AE56,'Defect P2'!AE56,RTS!AE56)</f>
        <v>0</v>
      </c>
      <c r="AF56" s="87">
        <f>SUM('Defect P1'!AF56,'Defect P2'!AF56,RTS!AF56)</f>
        <v>0</v>
      </c>
      <c r="AG56" s="87">
        <f>SUM('Defect P1'!AG56,'Defect P2'!AG56,RTS!AG56)</f>
        <v>0</v>
      </c>
      <c r="AH56" s="87">
        <f>SUM('Defect P1'!AH56,'Defect P2'!AH56,RTS!AH56)</f>
        <v>0</v>
      </c>
      <c r="AI56" s="87">
        <f>SUM('Defect P1'!AI56,'Defect P2'!AI56,RTS!AI56)</f>
        <v>0</v>
      </c>
      <c r="AJ56" s="87">
        <f>SUM('Defect P1'!AJ56,'Defect P2'!AJ56,RTS!AJ56)</f>
        <v>0</v>
      </c>
      <c r="AK56" s="127">
        <f t="shared" si="14"/>
        <v>0</v>
      </c>
      <c r="AL56" s="128" cm="1">
        <f t="array" ref="AL56">IFERROR(IF($AM$4="N",SSUM(AF56:AH56)/3,SUM(AG56:AI56)/3),"")</f>
        <v>0</v>
      </c>
      <c r="AM56" s="129">
        <f t="shared" si="15"/>
        <v>0</v>
      </c>
      <c r="AN56" s="91" t="str">
        <f t="shared" si="17"/>
        <v/>
      </c>
      <c r="AO56" s="92" t="str">
        <f t="shared" si="18"/>
        <v/>
      </c>
      <c r="AP56" s="92" t="str">
        <f t="shared" si="19"/>
        <v/>
      </c>
      <c r="AQ56" s="92" t="str">
        <f t="shared" si="20"/>
        <v/>
      </c>
      <c r="AR56" s="92" t="str">
        <f t="shared" si="21"/>
        <v/>
      </c>
      <c r="AS56" s="92" t="str">
        <f t="shared" si="22"/>
        <v/>
      </c>
      <c r="AT56" s="92" t="str">
        <f t="shared" si="23"/>
        <v/>
      </c>
      <c r="AU56" s="92" t="str">
        <f t="shared" si="24"/>
        <v/>
      </c>
      <c r="AV56" s="92" t="str">
        <f t="shared" si="25"/>
        <v/>
      </c>
      <c r="AW56" s="92" t="str">
        <f t="shared" si="9"/>
        <v/>
      </c>
      <c r="AX56" s="92" t="str">
        <f t="shared" si="10"/>
        <v/>
      </c>
      <c r="AY56" s="93" t="str">
        <f t="shared" si="26"/>
        <v/>
      </c>
      <c r="AZ56" s="94" t="str">
        <f t="shared" si="27"/>
        <v/>
      </c>
      <c r="BA56" s="95" t="str">
        <f t="shared" si="28"/>
        <v/>
      </c>
      <c r="BB56" s="140">
        <f>SUM('Defect P1'!CE56,'Defect P2'!CE56,RTS!CE56)</f>
        <v>0</v>
      </c>
      <c r="BC56" s="140">
        <f>SUM('Defect P1'!CF56,'Defect P2'!CF56,RTS!CF56)</f>
        <v>0</v>
      </c>
      <c r="BD56" s="140">
        <f>SUM('Defect P1'!CG56,'Defect P2'!CG56,RTS!CG56)</f>
        <v>0</v>
      </c>
      <c r="BE56" s="140">
        <f>SUM('Defect P1'!CH56,'Defect P2'!CH56,RTS!CH56)</f>
        <v>0</v>
      </c>
      <c r="BF56" s="140">
        <f>SUM('Defect P1'!CI56,'Defect P2'!CI56,RTS!CI56)</f>
        <v>0</v>
      </c>
      <c r="BG56" s="140">
        <f>SUM('Defect P1'!CJ56,'Defect P2'!CJ56,RTS!CJ56)</f>
        <v>0</v>
      </c>
      <c r="BH56" s="140">
        <f>SUM('Defect P1'!CK56,'Defect P2'!CK56,RTS!CK56)</f>
        <v>0</v>
      </c>
      <c r="BI56" s="291">
        <f>SUM('Defect P1'!CL56,'Defect P2'!CL56,RTS!CL56)</f>
        <v>0</v>
      </c>
      <c r="BJ56" s="99" t="str">
        <f t="shared" si="16"/>
        <v/>
      </c>
      <c r="BK56" s="640">
        <f>SUM('Defect P1'!CQ56,'Defect P2'!CQ56,RTS!CQ56)</f>
        <v>0</v>
      </c>
      <c r="BL56" s="97">
        <f>SUM('Defect P1'!CR56,'Defect P2'!CR56,RTS!CR56)</f>
        <v>0</v>
      </c>
      <c r="BM56" s="524">
        <f>SUM('Defect P1'!CS56,'Defect P2'!CS56,RTS!CS56)</f>
        <v>0</v>
      </c>
      <c r="BN56" s="416">
        <f>SUM('Defect P1'!CT56,'Defect P2'!CT56,RTS!CT56)</f>
        <v>0</v>
      </c>
      <c r="BO56" s="97">
        <f>SUM('Defect P1'!CU56,'Defect P2'!CU56,RTS!CU56)</f>
        <v>0</v>
      </c>
      <c r="BP56" s="97">
        <f>SUM('Defect P1'!CV56,'Defect P2'!CV56,RTS!CV56)</f>
        <v>0</v>
      </c>
      <c r="BQ56" s="97">
        <f>SUM('Defect P1'!CW56,'Defect P2'!CW56,RTS!CW56)</f>
        <v>0</v>
      </c>
      <c r="BR56" s="98">
        <f>SUM('Defect P1'!CX56,'Defect P2'!CX56,RTS!CX56)</f>
        <v>0</v>
      </c>
    </row>
    <row r="57" spans="1:70" x14ac:dyDescent="0.25">
      <c r="A57" s="81" t="s">
        <v>106</v>
      </c>
      <c r="B57" s="82" t="s">
        <v>117</v>
      </c>
      <c r="C57" s="83" t="s">
        <v>337</v>
      </c>
      <c r="D57" s="84">
        <f>SUM('Defect P1'!D57,'Defect P2'!D57,RTS!D57)</f>
        <v>0</v>
      </c>
      <c r="E57" s="85">
        <f>SUM('Defect P1'!E57,'Defect P2'!E57,RTS!E57)</f>
        <v>0</v>
      </c>
      <c r="F57" s="85">
        <f>SUM('Defect P1'!F57,'Defect P2'!F57,RTS!F57)</f>
        <v>0</v>
      </c>
      <c r="G57" s="85">
        <f>SUM('Defect P1'!G57,'Defect P2'!G57,RTS!G57)</f>
        <v>0</v>
      </c>
      <c r="H57" s="85">
        <f>SUM('Defect P1'!H57,'Defect P2'!H57,RTS!H57)</f>
        <v>0</v>
      </c>
      <c r="I57" s="85">
        <f>SUM('Defect P1'!I57,'Defect P2'!I57,RTS!I57)</f>
        <v>0</v>
      </c>
      <c r="J57" s="85">
        <f>SUM('Defect P1'!J57,'Defect P2'!J57,RTS!J57)</f>
        <v>0</v>
      </c>
      <c r="K57" s="85">
        <f>SUM('Defect P1'!K57,'Defect P2'!K57,RTS!K57)</f>
        <v>0</v>
      </c>
      <c r="L57" s="85">
        <f>SUM('Defect P1'!L57,'Defect P2'!L57,RTS!L57)</f>
        <v>0</v>
      </c>
      <c r="M57" s="85">
        <f>SUM('Defect P1'!M57,'Defect P2'!M57,RTS!M57)</f>
        <v>0</v>
      </c>
      <c r="N57" s="85">
        <v>0</v>
      </c>
      <c r="O57" s="560">
        <f>SUM('Defect P1'!O57,'Defect P2'!O57,RTS!O57)</f>
        <v>0</v>
      </c>
      <c r="P57" s="561">
        <f>SUM('Defect P1'!P57,'Defect P2'!P57,RTS!P57)</f>
        <v>0</v>
      </c>
      <c r="Q57" s="561">
        <f>SUM('Defect P1'!Q57,'Defect P2'!Q57,RTS!Q57)</f>
        <v>0</v>
      </c>
      <c r="R57" s="561">
        <f>SUM('Defect P1'!R57,'Defect P2'!R57,RTS!R57)</f>
        <v>0</v>
      </c>
      <c r="S57" s="561">
        <f>SUM('Defect P1'!S57,'Defect P2'!S57,RTS!S57)</f>
        <v>0</v>
      </c>
      <c r="T57" s="561">
        <f>SUM('Defect P1'!T57,'Defect P2'!T57,RTS!T57)</f>
        <v>0</v>
      </c>
      <c r="U57" s="561">
        <f>SUM('Defect P1'!U57,'Defect P2'!U57,RTS!U57)</f>
        <v>0</v>
      </c>
      <c r="V57" s="561">
        <f>SUM('Defect P1'!V57,'Defect P2'!V57,RTS!V57)</f>
        <v>0</v>
      </c>
      <c r="W57" s="561">
        <f>SUM('Defect P1'!W57,'Defect P2'!W57,RTS!W57)</f>
        <v>0</v>
      </c>
      <c r="X57" s="561">
        <f>SUM('Defect P1'!X57,'Defect P2'!X57,RTS!X57)</f>
        <v>0</v>
      </c>
      <c r="Y57" s="561">
        <f>SUM('Defect P1'!Y57,'Defect P2'!Y57,RTS!Y57)</f>
        <v>0</v>
      </c>
      <c r="Z57" s="86">
        <f>SUM('Defect P1'!Z57,'Defect P2'!Z57,RTS!Z57)</f>
        <v>0</v>
      </c>
      <c r="AA57" s="87">
        <f>SUM('Defect P1'!AA57,'Defect P2'!AA57,RTS!AA57)</f>
        <v>0</v>
      </c>
      <c r="AB57" s="87">
        <f>SUM('Defect P1'!AB57,'Defect P2'!AB57,RTS!AB57)</f>
        <v>0</v>
      </c>
      <c r="AC57" s="87">
        <f>SUM('Defect P1'!AC57,'Defect P2'!AC57,RTS!AC57)</f>
        <v>0</v>
      </c>
      <c r="AD57" s="87">
        <f>SUM('Defect P1'!AD57,'Defect P2'!AD57,RTS!AD57)</f>
        <v>0</v>
      </c>
      <c r="AE57" s="87">
        <f>SUM('Defect P1'!AE57,'Defect P2'!AE57,RTS!AE57)</f>
        <v>0</v>
      </c>
      <c r="AF57" s="87">
        <f>SUM('Defect P1'!AF57,'Defect P2'!AF57,RTS!AF57)</f>
        <v>0</v>
      </c>
      <c r="AG57" s="87">
        <f>SUM('Defect P1'!AG57,'Defect P2'!AG57,RTS!AG57)</f>
        <v>0</v>
      </c>
      <c r="AH57" s="87">
        <f>SUM('Defect P1'!AH57,'Defect P2'!AH57,RTS!AH57)</f>
        <v>0</v>
      </c>
      <c r="AI57" s="87">
        <f>SUM('Defect P1'!AI57,'Defect P2'!AI57,RTS!AI57)</f>
        <v>0</v>
      </c>
      <c r="AJ57" s="87">
        <f>SUM('Defect P1'!AJ57,'Defect P2'!AJ57,RTS!AJ57)</f>
        <v>0</v>
      </c>
      <c r="AK57" s="127">
        <f t="shared" si="14"/>
        <v>0</v>
      </c>
      <c r="AL57" s="128" cm="1">
        <f t="array" ref="AL57">IFERROR(IF($AM$4="N",SSUM(AF57:AH57)/3,SUM(AG57:AI57)/3),"")</f>
        <v>0</v>
      </c>
      <c r="AM57" s="129">
        <f t="shared" si="15"/>
        <v>0</v>
      </c>
      <c r="AN57" s="91" t="str">
        <f t="shared" si="17"/>
        <v/>
      </c>
      <c r="AO57" s="92" t="str">
        <f t="shared" si="18"/>
        <v/>
      </c>
      <c r="AP57" s="92" t="str">
        <f t="shared" si="19"/>
        <v/>
      </c>
      <c r="AQ57" s="92" t="str">
        <f t="shared" si="20"/>
        <v/>
      </c>
      <c r="AR57" s="92" t="str">
        <f t="shared" si="21"/>
        <v/>
      </c>
      <c r="AS57" s="92" t="str">
        <f t="shared" si="22"/>
        <v/>
      </c>
      <c r="AT57" s="92" t="str">
        <f t="shared" si="23"/>
        <v/>
      </c>
      <c r="AU57" s="92" t="str">
        <f t="shared" si="24"/>
        <v/>
      </c>
      <c r="AV57" s="92" t="str">
        <f t="shared" si="25"/>
        <v/>
      </c>
      <c r="AW57" s="92" t="str">
        <f t="shared" si="9"/>
        <v/>
      </c>
      <c r="AX57" s="92" t="str">
        <f t="shared" si="10"/>
        <v/>
      </c>
      <c r="AY57" s="93" t="str">
        <f t="shared" si="26"/>
        <v/>
      </c>
      <c r="AZ57" s="94" t="str">
        <f t="shared" si="27"/>
        <v/>
      </c>
      <c r="BA57" s="95" t="str">
        <f t="shared" si="28"/>
        <v/>
      </c>
      <c r="BB57" s="140">
        <f>SUM('Defect P1'!CE57,'Defect P2'!CE57,RTS!CE57)</f>
        <v>0</v>
      </c>
      <c r="BC57" s="140">
        <f>SUM('Defect P1'!CF57,'Defect P2'!CF57,RTS!CF57)</f>
        <v>0</v>
      </c>
      <c r="BD57" s="140">
        <f>SUM('Defect P1'!CG57,'Defect P2'!CG57,RTS!CG57)</f>
        <v>0</v>
      </c>
      <c r="BE57" s="140">
        <f>SUM('Defect P1'!CH57,'Defect P2'!CH57,RTS!CH57)</f>
        <v>0</v>
      </c>
      <c r="BF57" s="140">
        <f>SUM('Defect P1'!CI57,'Defect P2'!CI57,RTS!CI57)</f>
        <v>0</v>
      </c>
      <c r="BG57" s="140">
        <f>SUM('Defect P1'!CJ57,'Defect P2'!CJ57,RTS!CJ57)</f>
        <v>0</v>
      </c>
      <c r="BH57" s="140">
        <f>SUM('Defect P1'!CK57,'Defect P2'!CK57,RTS!CK57)</f>
        <v>0</v>
      </c>
      <c r="BI57" s="291">
        <f>SUM('Defect P1'!CL57,'Defect P2'!CL57,RTS!CL57)</f>
        <v>0</v>
      </c>
      <c r="BJ57" s="99" t="str">
        <f t="shared" si="16"/>
        <v/>
      </c>
      <c r="BK57" s="640">
        <f>SUM('Defect P1'!CQ57,'Defect P2'!CQ57,RTS!CQ57)</f>
        <v>0</v>
      </c>
      <c r="BL57" s="97">
        <f>SUM('Defect P1'!CR57,'Defect P2'!CR57,RTS!CR57)</f>
        <v>0</v>
      </c>
      <c r="BM57" s="524">
        <f>SUM('Defect P1'!CS57,'Defect P2'!CS57,RTS!CS57)</f>
        <v>0</v>
      </c>
      <c r="BN57" s="416">
        <f>SUM('Defect P1'!CT57,'Defect P2'!CT57,RTS!CT57)</f>
        <v>0</v>
      </c>
      <c r="BO57" s="97">
        <f>SUM('Defect P1'!CU57,'Defect P2'!CU57,RTS!CU57)</f>
        <v>0</v>
      </c>
      <c r="BP57" s="97">
        <f>SUM('Defect P1'!CV57,'Defect P2'!CV57,RTS!CV57)</f>
        <v>0</v>
      </c>
      <c r="BQ57" s="97">
        <f>SUM('Defect P1'!CW57,'Defect P2'!CW57,RTS!CW57)</f>
        <v>0</v>
      </c>
      <c r="BR57" s="98">
        <f>SUM('Defect P1'!CX57,'Defect P2'!CX57,RTS!CX57)</f>
        <v>0</v>
      </c>
    </row>
    <row r="58" spans="1:70" x14ac:dyDescent="0.25">
      <c r="A58" s="81" t="s">
        <v>106</v>
      </c>
      <c r="B58" s="82" t="s">
        <v>119</v>
      </c>
      <c r="C58" s="83" t="s">
        <v>339</v>
      </c>
      <c r="D58" s="84">
        <f>SUM('Defect P1'!D58,'Defect P2'!D58,RTS!D58)</f>
        <v>0</v>
      </c>
      <c r="E58" s="85">
        <f>SUM('Defect P1'!E58,'Defect P2'!E58,RTS!E58)</f>
        <v>0</v>
      </c>
      <c r="F58" s="85">
        <f>SUM('Defect P1'!F58,'Defect P2'!F58,RTS!F58)</f>
        <v>0</v>
      </c>
      <c r="G58" s="85">
        <f>SUM('Defect P1'!G58,'Defect P2'!G58,RTS!G58)</f>
        <v>0</v>
      </c>
      <c r="H58" s="85">
        <f>SUM('Defect P1'!H58,'Defect P2'!H58,RTS!H58)</f>
        <v>0</v>
      </c>
      <c r="I58" s="85">
        <f>SUM('Defect P1'!I58,'Defect P2'!I58,RTS!I58)</f>
        <v>0</v>
      </c>
      <c r="J58" s="85">
        <f>SUM('Defect P1'!J58,'Defect P2'!J58,RTS!J58)</f>
        <v>0</v>
      </c>
      <c r="K58" s="85">
        <f>SUM('Defect P1'!K58,'Defect P2'!K58,RTS!K58)</f>
        <v>0</v>
      </c>
      <c r="L58" s="85">
        <f>SUM('Defect P1'!L58,'Defect P2'!L58,RTS!L58)</f>
        <v>0</v>
      </c>
      <c r="M58" s="85">
        <f>SUM('Defect P1'!M58,'Defect P2'!M58,RTS!M58)</f>
        <v>0</v>
      </c>
      <c r="N58" s="85">
        <v>0</v>
      </c>
      <c r="O58" s="560">
        <f>SUM('Defect P1'!O58,'Defect P2'!O58,RTS!O58)</f>
        <v>0</v>
      </c>
      <c r="P58" s="561">
        <f>SUM('Defect P1'!P58,'Defect P2'!P58,RTS!P58)</f>
        <v>0</v>
      </c>
      <c r="Q58" s="561">
        <f>SUM('Defect P1'!Q58,'Defect P2'!Q58,RTS!Q58)</f>
        <v>0</v>
      </c>
      <c r="R58" s="561">
        <f>SUM('Defect P1'!R58,'Defect P2'!R58,RTS!R58)</f>
        <v>0</v>
      </c>
      <c r="S58" s="561">
        <f>SUM('Defect P1'!S58,'Defect P2'!S58,RTS!S58)</f>
        <v>0</v>
      </c>
      <c r="T58" s="561">
        <f>SUM('Defect P1'!T58,'Defect P2'!T58,RTS!T58)</f>
        <v>0</v>
      </c>
      <c r="U58" s="561">
        <f>SUM('Defect P1'!U58,'Defect P2'!U58,RTS!U58)</f>
        <v>0</v>
      </c>
      <c r="V58" s="561">
        <f>SUM('Defect P1'!V58,'Defect P2'!V58,RTS!V58)</f>
        <v>0</v>
      </c>
      <c r="W58" s="561">
        <f>SUM('Defect P1'!W58,'Defect P2'!W58,RTS!W58)</f>
        <v>0</v>
      </c>
      <c r="X58" s="561">
        <f>SUM('Defect P1'!X58,'Defect P2'!X58,RTS!X58)</f>
        <v>0</v>
      </c>
      <c r="Y58" s="561">
        <f>SUM('Defect P1'!Y58,'Defect P2'!Y58,RTS!Y58)</f>
        <v>0</v>
      </c>
      <c r="Z58" s="86">
        <f>SUM('Defect P1'!Z58,'Defect P2'!Z58,RTS!Z58)</f>
        <v>0</v>
      </c>
      <c r="AA58" s="87">
        <f>SUM('Defect P1'!AA58,'Defect P2'!AA58,RTS!AA58)</f>
        <v>0</v>
      </c>
      <c r="AB58" s="87">
        <f>SUM('Defect P1'!AB58,'Defect P2'!AB58,RTS!AB58)</f>
        <v>0</v>
      </c>
      <c r="AC58" s="87">
        <f>SUM('Defect P1'!AC58,'Defect P2'!AC58,RTS!AC58)</f>
        <v>0</v>
      </c>
      <c r="AD58" s="87">
        <f>SUM('Defect P1'!AD58,'Defect P2'!AD58,RTS!AD58)</f>
        <v>0</v>
      </c>
      <c r="AE58" s="87">
        <f>SUM('Defect P1'!AE58,'Defect P2'!AE58,RTS!AE58)</f>
        <v>0</v>
      </c>
      <c r="AF58" s="87">
        <f>SUM('Defect P1'!AF58,'Defect P2'!AF58,RTS!AF58)</f>
        <v>0</v>
      </c>
      <c r="AG58" s="87">
        <f>SUM('Defect P1'!AG58,'Defect P2'!AG58,RTS!AG58)</f>
        <v>0</v>
      </c>
      <c r="AH58" s="87">
        <f>SUM('Defect P1'!AH58,'Defect P2'!AH58,RTS!AH58)</f>
        <v>0</v>
      </c>
      <c r="AI58" s="87">
        <f>SUM('Defect P1'!AI58,'Defect P2'!AI58,RTS!AI58)</f>
        <v>0</v>
      </c>
      <c r="AJ58" s="87">
        <f>SUM('Defect P1'!AJ58,'Defect P2'!AJ58,RTS!AJ58)</f>
        <v>0</v>
      </c>
      <c r="AK58" s="127">
        <f t="shared" si="14"/>
        <v>0</v>
      </c>
      <c r="AL58" s="128" cm="1">
        <f t="array" ref="AL58">IFERROR(IF($AM$4="N",SSUM(AF58:AH58)/3,SUM(AG58:AI58)/3),"")</f>
        <v>0</v>
      </c>
      <c r="AM58" s="129">
        <f t="shared" si="15"/>
        <v>0</v>
      </c>
      <c r="AN58" s="91" t="str">
        <f t="shared" si="17"/>
        <v/>
      </c>
      <c r="AO58" s="92" t="str">
        <f t="shared" si="18"/>
        <v/>
      </c>
      <c r="AP58" s="92" t="str">
        <f t="shared" si="19"/>
        <v/>
      </c>
      <c r="AQ58" s="92" t="str">
        <f t="shared" si="20"/>
        <v/>
      </c>
      <c r="AR58" s="92" t="str">
        <f t="shared" si="21"/>
        <v/>
      </c>
      <c r="AS58" s="92" t="str">
        <f t="shared" si="22"/>
        <v/>
      </c>
      <c r="AT58" s="92" t="str">
        <f t="shared" si="23"/>
        <v/>
      </c>
      <c r="AU58" s="92" t="str">
        <f t="shared" si="24"/>
        <v/>
      </c>
      <c r="AV58" s="92" t="str">
        <f t="shared" si="25"/>
        <v/>
      </c>
      <c r="AW58" s="92" t="str">
        <f t="shared" si="9"/>
        <v/>
      </c>
      <c r="AX58" s="92" t="str">
        <f t="shared" si="10"/>
        <v/>
      </c>
      <c r="AY58" s="93" t="str">
        <f t="shared" si="26"/>
        <v/>
      </c>
      <c r="AZ58" s="94" t="str">
        <f t="shared" si="27"/>
        <v/>
      </c>
      <c r="BA58" s="95" t="str">
        <f t="shared" si="28"/>
        <v/>
      </c>
      <c r="BB58" s="140">
        <f>SUM('Defect P1'!CE58,'Defect P2'!CE58,RTS!CE58)</f>
        <v>0</v>
      </c>
      <c r="BC58" s="140">
        <f>SUM('Defect P1'!CF58,'Defect P2'!CF58,RTS!CF58)</f>
        <v>0</v>
      </c>
      <c r="BD58" s="140">
        <f>SUM('Defect P1'!CG58,'Defect P2'!CG58,RTS!CG58)</f>
        <v>0</v>
      </c>
      <c r="BE58" s="140">
        <f>SUM('Defect P1'!CH58,'Defect P2'!CH58,RTS!CH58)</f>
        <v>0</v>
      </c>
      <c r="BF58" s="140">
        <f>SUM('Defect P1'!CI58,'Defect P2'!CI58,RTS!CI58)</f>
        <v>0</v>
      </c>
      <c r="BG58" s="140">
        <f>SUM('Defect P1'!CJ58,'Defect P2'!CJ58,RTS!CJ58)</f>
        <v>0</v>
      </c>
      <c r="BH58" s="140">
        <f>SUM('Defect P1'!CK58,'Defect P2'!CK58,RTS!CK58)</f>
        <v>0</v>
      </c>
      <c r="BI58" s="291">
        <f>SUM('Defect P1'!CL58,'Defect P2'!CL58,RTS!CL58)</f>
        <v>0</v>
      </c>
      <c r="BJ58" s="99" t="str">
        <f t="shared" si="16"/>
        <v/>
      </c>
      <c r="BK58" s="640">
        <f>SUM('Defect P1'!CQ58,'Defect P2'!CQ58,RTS!CQ58)</f>
        <v>0</v>
      </c>
      <c r="BL58" s="97">
        <f>SUM('Defect P1'!CR58,'Defect P2'!CR58,RTS!CR58)</f>
        <v>0</v>
      </c>
      <c r="BM58" s="524">
        <f>SUM('Defect P1'!CS58,'Defect P2'!CS58,RTS!CS58)</f>
        <v>0</v>
      </c>
      <c r="BN58" s="416">
        <f>SUM('Defect P1'!CT58,'Defect P2'!CT58,RTS!CT58)</f>
        <v>0</v>
      </c>
      <c r="BO58" s="97">
        <f>SUM('Defect P1'!CU58,'Defect P2'!CU58,RTS!CU58)</f>
        <v>0</v>
      </c>
      <c r="BP58" s="97">
        <f>SUM('Defect P1'!CV58,'Defect P2'!CV58,RTS!CV58)</f>
        <v>0</v>
      </c>
      <c r="BQ58" s="97">
        <f>SUM('Defect P1'!CW58,'Defect P2'!CW58,RTS!CW58)</f>
        <v>0</v>
      </c>
      <c r="BR58" s="98">
        <f>SUM('Defect P1'!CX58,'Defect P2'!CX58,RTS!CX58)</f>
        <v>0</v>
      </c>
    </row>
    <row r="59" spans="1:70" x14ac:dyDescent="0.25">
      <c r="A59" s="81" t="s">
        <v>106</v>
      </c>
      <c r="B59" s="82" t="s">
        <v>121</v>
      </c>
      <c r="C59" s="83" t="s">
        <v>341</v>
      </c>
      <c r="D59" s="84">
        <f>SUM('Defect P1'!D59,'Defect P2'!D59,RTS!D59)</f>
        <v>0</v>
      </c>
      <c r="E59" s="85">
        <f>SUM('Defect P1'!E59,'Defect P2'!E59,RTS!E59)</f>
        <v>0</v>
      </c>
      <c r="F59" s="85">
        <f>SUM('Defect P1'!F59,'Defect P2'!F59,RTS!F59)</f>
        <v>0</v>
      </c>
      <c r="G59" s="85">
        <f>SUM('Defect P1'!G59,'Defect P2'!G59,RTS!G59)</f>
        <v>0</v>
      </c>
      <c r="H59" s="85">
        <f>SUM('Defect P1'!H59,'Defect P2'!H59,RTS!H59)</f>
        <v>0</v>
      </c>
      <c r="I59" s="85">
        <f>SUM('Defect P1'!I59,'Defect P2'!I59,RTS!I59)</f>
        <v>0</v>
      </c>
      <c r="J59" s="85">
        <f>SUM('Defect P1'!J59,'Defect P2'!J59,RTS!J59)</f>
        <v>0</v>
      </c>
      <c r="K59" s="85">
        <f>SUM('Defect P1'!K59,'Defect P2'!K59,RTS!K59)</f>
        <v>0</v>
      </c>
      <c r="L59" s="85">
        <f>SUM('Defect P1'!L59,'Defect P2'!L59,RTS!L59)</f>
        <v>0</v>
      </c>
      <c r="M59" s="85">
        <f>SUM('Defect P1'!M59,'Defect P2'!M59,RTS!M59)</f>
        <v>0</v>
      </c>
      <c r="N59" s="85">
        <v>0</v>
      </c>
      <c r="O59" s="560">
        <f>SUM('Defect P1'!O59,'Defect P2'!O59,RTS!O59)</f>
        <v>0</v>
      </c>
      <c r="P59" s="561">
        <f>SUM('Defect P1'!P59,'Defect P2'!P59,RTS!P59)</f>
        <v>0</v>
      </c>
      <c r="Q59" s="561">
        <f>SUM('Defect P1'!Q59,'Defect P2'!Q59,RTS!Q59)</f>
        <v>0</v>
      </c>
      <c r="R59" s="561">
        <f>SUM('Defect P1'!R59,'Defect P2'!R59,RTS!R59)</f>
        <v>0</v>
      </c>
      <c r="S59" s="561">
        <f>SUM('Defect P1'!S59,'Defect P2'!S59,RTS!S59)</f>
        <v>0</v>
      </c>
      <c r="T59" s="561">
        <f>SUM('Defect P1'!T59,'Defect P2'!T59,RTS!T59)</f>
        <v>0</v>
      </c>
      <c r="U59" s="561">
        <f>SUM('Defect P1'!U59,'Defect P2'!U59,RTS!U59)</f>
        <v>0</v>
      </c>
      <c r="V59" s="561">
        <f>SUM('Defect P1'!V59,'Defect P2'!V59,RTS!V59)</f>
        <v>0</v>
      </c>
      <c r="W59" s="561">
        <f>SUM('Defect P1'!W59,'Defect P2'!W59,RTS!W59)</f>
        <v>0</v>
      </c>
      <c r="X59" s="561">
        <f>SUM('Defect P1'!X59,'Defect P2'!X59,RTS!X59)</f>
        <v>0</v>
      </c>
      <c r="Y59" s="561">
        <f>SUM('Defect P1'!Y59,'Defect P2'!Y59,RTS!Y59)</f>
        <v>0</v>
      </c>
      <c r="Z59" s="86">
        <f>SUM('Defect P1'!Z59,'Defect P2'!Z59,RTS!Z59)</f>
        <v>0</v>
      </c>
      <c r="AA59" s="87">
        <f>SUM('Defect P1'!AA59,'Defect P2'!AA59,RTS!AA59)</f>
        <v>0</v>
      </c>
      <c r="AB59" s="87">
        <f>SUM('Defect P1'!AB59,'Defect P2'!AB59,RTS!AB59)</f>
        <v>0</v>
      </c>
      <c r="AC59" s="87">
        <f>SUM('Defect P1'!AC59,'Defect P2'!AC59,RTS!AC59)</f>
        <v>0</v>
      </c>
      <c r="AD59" s="87">
        <f>SUM('Defect P1'!AD59,'Defect P2'!AD59,RTS!AD59)</f>
        <v>0</v>
      </c>
      <c r="AE59" s="87">
        <f>SUM('Defect P1'!AE59,'Defect P2'!AE59,RTS!AE59)</f>
        <v>0</v>
      </c>
      <c r="AF59" s="87">
        <f>SUM('Defect P1'!AF59,'Defect P2'!AF59,RTS!AF59)</f>
        <v>0</v>
      </c>
      <c r="AG59" s="87">
        <f>SUM('Defect P1'!AG59,'Defect P2'!AG59,RTS!AG59)</f>
        <v>0</v>
      </c>
      <c r="AH59" s="87">
        <f>SUM('Defect P1'!AH59,'Defect P2'!AH59,RTS!AH59)</f>
        <v>0</v>
      </c>
      <c r="AI59" s="87">
        <f>SUM('Defect P1'!AI59,'Defect P2'!AI59,RTS!AI59)</f>
        <v>0</v>
      </c>
      <c r="AJ59" s="87">
        <f>SUM('Defect P1'!AJ59,'Defect P2'!AJ59,RTS!AJ59)</f>
        <v>0</v>
      </c>
      <c r="AK59" s="127">
        <f t="shared" si="14"/>
        <v>0</v>
      </c>
      <c r="AL59" s="128" cm="1">
        <f t="array" ref="AL59">IFERROR(IF($AM$4="N",SSUM(AF59:AH59)/3,SUM(AG59:AI59)/3),"")</f>
        <v>0</v>
      </c>
      <c r="AM59" s="129">
        <f t="shared" si="15"/>
        <v>0</v>
      </c>
      <c r="AN59" s="91" t="str">
        <f t="shared" si="17"/>
        <v/>
      </c>
      <c r="AO59" s="92" t="str">
        <f t="shared" si="18"/>
        <v/>
      </c>
      <c r="AP59" s="92" t="str">
        <f t="shared" si="19"/>
        <v/>
      </c>
      <c r="AQ59" s="92" t="str">
        <f t="shared" si="20"/>
        <v/>
      </c>
      <c r="AR59" s="92" t="str">
        <f t="shared" si="21"/>
        <v/>
      </c>
      <c r="AS59" s="92" t="str">
        <f t="shared" si="22"/>
        <v/>
      </c>
      <c r="AT59" s="92" t="str">
        <f t="shared" si="23"/>
        <v/>
      </c>
      <c r="AU59" s="92" t="str">
        <f t="shared" si="24"/>
        <v/>
      </c>
      <c r="AV59" s="92" t="str">
        <f t="shared" si="25"/>
        <v/>
      </c>
      <c r="AW59" s="92" t="str">
        <f t="shared" si="9"/>
        <v/>
      </c>
      <c r="AX59" s="92" t="str">
        <f t="shared" si="10"/>
        <v/>
      </c>
      <c r="AY59" s="93" t="str">
        <f t="shared" si="26"/>
        <v/>
      </c>
      <c r="AZ59" s="94" t="str">
        <f t="shared" si="27"/>
        <v/>
      </c>
      <c r="BA59" s="95" t="str">
        <f t="shared" si="28"/>
        <v/>
      </c>
      <c r="BB59" s="140">
        <f>SUM('Defect P1'!CE59,'Defect P2'!CE59,RTS!CE59)</f>
        <v>0</v>
      </c>
      <c r="BC59" s="140">
        <f>SUM('Defect P1'!CF59,'Defect P2'!CF59,RTS!CF59)</f>
        <v>0</v>
      </c>
      <c r="BD59" s="140">
        <f>SUM('Defect P1'!CG59,'Defect P2'!CG59,RTS!CG59)</f>
        <v>0</v>
      </c>
      <c r="BE59" s="140">
        <f>SUM('Defect P1'!CH59,'Defect P2'!CH59,RTS!CH59)</f>
        <v>0</v>
      </c>
      <c r="BF59" s="140">
        <f>SUM('Defect P1'!CI59,'Defect P2'!CI59,RTS!CI59)</f>
        <v>0</v>
      </c>
      <c r="BG59" s="140">
        <f>SUM('Defect P1'!CJ59,'Defect P2'!CJ59,RTS!CJ59)</f>
        <v>0</v>
      </c>
      <c r="BH59" s="140">
        <f>SUM('Defect P1'!CK59,'Defect P2'!CK59,RTS!CK59)</f>
        <v>0</v>
      </c>
      <c r="BI59" s="291">
        <f>SUM('Defect P1'!CL59,'Defect P2'!CL59,RTS!CL59)</f>
        <v>0</v>
      </c>
      <c r="BJ59" s="99" t="str">
        <f t="shared" si="16"/>
        <v/>
      </c>
      <c r="BK59" s="640">
        <f>SUM('Defect P1'!CQ59,'Defect P2'!CQ59,RTS!CQ59)</f>
        <v>0</v>
      </c>
      <c r="BL59" s="97">
        <f>SUM('Defect P1'!CR59,'Defect P2'!CR59,RTS!CR59)</f>
        <v>0</v>
      </c>
      <c r="BM59" s="524">
        <f>SUM('Defect P1'!CS59,'Defect P2'!CS59,RTS!CS59)</f>
        <v>0</v>
      </c>
      <c r="BN59" s="416">
        <f>SUM('Defect P1'!CT59,'Defect P2'!CT59,RTS!CT59)</f>
        <v>0</v>
      </c>
      <c r="BO59" s="97">
        <f>SUM('Defect P1'!CU59,'Defect P2'!CU59,RTS!CU59)</f>
        <v>0</v>
      </c>
      <c r="BP59" s="97">
        <f>SUM('Defect P1'!CV59,'Defect P2'!CV59,RTS!CV59)</f>
        <v>0</v>
      </c>
      <c r="BQ59" s="97">
        <f>SUM('Defect P1'!CW59,'Defect P2'!CW59,RTS!CW59)</f>
        <v>0</v>
      </c>
      <c r="BR59" s="98">
        <f>SUM('Defect P1'!CX59,'Defect P2'!CX59,RTS!CX59)</f>
        <v>0</v>
      </c>
    </row>
    <row r="60" spans="1:70" x14ac:dyDescent="0.25">
      <c r="A60" s="81" t="s">
        <v>106</v>
      </c>
      <c r="B60" s="82" t="s">
        <v>123</v>
      </c>
      <c r="C60" s="83" t="s">
        <v>343</v>
      </c>
      <c r="D60" s="84">
        <f>SUM('Defect P1'!D60,'Defect P2'!D60,RTS!D60)</f>
        <v>0</v>
      </c>
      <c r="E60" s="85">
        <f>SUM('Defect P1'!E60,'Defect P2'!E60,RTS!E60)</f>
        <v>0</v>
      </c>
      <c r="F60" s="85">
        <f>SUM('Defect P1'!F60,'Defect P2'!F60,RTS!F60)</f>
        <v>0</v>
      </c>
      <c r="G60" s="85">
        <f>SUM('Defect P1'!G60,'Defect P2'!G60,RTS!G60)</f>
        <v>0</v>
      </c>
      <c r="H60" s="85">
        <f>SUM('Defect P1'!H60,'Defect P2'!H60,RTS!H60)</f>
        <v>0</v>
      </c>
      <c r="I60" s="85">
        <f>SUM('Defect P1'!I60,'Defect P2'!I60,RTS!I60)</f>
        <v>0</v>
      </c>
      <c r="J60" s="85">
        <f>SUM('Defect P1'!J60,'Defect P2'!J60,RTS!J60)</f>
        <v>0</v>
      </c>
      <c r="K60" s="85">
        <f>SUM('Defect P1'!K60,'Defect P2'!K60,RTS!K60)</f>
        <v>0</v>
      </c>
      <c r="L60" s="85">
        <f>SUM('Defect P1'!L60,'Defect P2'!L60,RTS!L60)</f>
        <v>0</v>
      </c>
      <c r="M60" s="85">
        <f>SUM('Defect P1'!M60,'Defect P2'!M60,RTS!M60)</f>
        <v>0</v>
      </c>
      <c r="N60" s="85">
        <v>0</v>
      </c>
      <c r="O60" s="560">
        <f>SUM('Defect P1'!O60,'Defect P2'!O60,RTS!O60)</f>
        <v>0</v>
      </c>
      <c r="P60" s="561">
        <f>SUM('Defect P1'!P60,'Defect P2'!P60,RTS!P60)</f>
        <v>0</v>
      </c>
      <c r="Q60" s="561">
        <f>SUM('Defect P1'!Q60,'Defect P2'!Q60,RTS!Q60)</f>
        <v>0</v>
      </c>
      <c r="R60" s="561">
        <f>SUM('Defect P1'!R60,'Defect P2'!R60,RTS!R60)</f>
        <v>0</v>
      </c>
      <c r="S60" s="561">
        <f>SUM('Defect P1'!S60,'Defect P2'!S60,RTS!S60)</f>
        <v>0</v>
      </c>
      <c r="T60" s="561">
        <f>SUM('Defect P1'!T60,'Defect P2'!T60,RTS!T60)</f>
        <v>0</v>
      </c>
      <c r="U60" s="561">
        <f>SUM('Defect P1'!U60,'Defect P2'!U60,RTS!U60)</f>
        <v>0</v>
      </c>
      <c r="V60" s="561">
        <f>SUM('Defect P1'!V60,'Defect P2'!V60,RTS!V60)</f>
        <v>0</v>
      </c>
      <c r="W60" s="561">
        <f>SUM('Defect P1'!W60,'Defect P2'!W60,RTS!W60)</f>
        <v>0</v>
      </c>
      <c r="X60" s="561">
        <f>SUM('Defect P1'!X60,'Defect P2'!X60,RTS!X60)</f>
        <v>0</v>
      </c>
      <c r="Y60" s="561">
        <f>SUM('Defect P1'!Y60,'Defect P2'!Y60,RTS!Y60)</f>
        <v>0</v>
      </c>
      <c r="Z60" s="86">
        <f>SUM('Defect P1'!Z60,'Defect P2'!Z60,RTS!Z60)</f>
        <v>0</v>
      </c>
      <c r="AA60" s="87">
        <f>SUM('Defect P1'!AA60,'Defect P2'!AA60,RTS!AA60)</f>
        <v>0</v>
      </c>
      <c r="AB60" s="87">
        <f>SUM('Defect P1'!AB60,'Defect P2'!AB60,RTS!AB60)</f>
        <v>0</v>
      </c>
      <c r="AC60" s="87">
        <f>SUM('Defect P1'!AC60,'Defect P2'!AC60,RTS!AC60)</f>
        <v>0</v>
      </c>
      <c r="AD60" s="87">
        <f>SUM('Defect P1'!AD60,'Defect P2'!AD60,RTS!AD60)</f>
        <v>0</v>
      </c>
      <c r="AE60" s="87">
        <f>SUM('Defect P1'!AE60,'Defect P2'!AE60,RTS!AE60)</f>
        <v>0</v>
      </c>
      <c r="AF60" s="87">
        <f>SUM('Defect P1'!AF60,'Defect P2'!AF60,RTS!AF60)</f>
        <v>0</v>
      </c>
      <c r="AG60" s="87">
        <f>SUM('Defect P1'!AG60,'Defect P2'!AG60,RTS!AG60)</f>
        <v>0</v>
      </c>
      <c r="AH60" s="87">
        <f>SUM('Defect P1'!AH60,'Defect P2'!AH60,RTS!AH60)</f>
        <v>0</v>
      </c>
      <c r="AI60" s="87">
        <f>SUM('Defect P1'!AI60,'Defect P2'!AI60,RTS!AI60)</f>
        <v>0</v>
      </c>
      <c r="AJ60" s="87">
        <f>SUM('Defect P1'!AJ60,'Defect P2'!AJ60,RTS!AJ60)</f>
        <v>0</v>
      </c>
      <c r="AK60" s="127">
        <f t="shared" si="14"/>
        <v>0</v>
      </c>
      <c r="AL60" s="128" cm="1">
        <f t="array" ref="AL60">IFERROR(IF($AM$4="N",SSUM(AF60:AH60)/3,SUM(AG60:AI60)/3),"")</f>
        <v>0</v>
      </c>
      <c r="AM60" s="129">
        <f t="shared" si="15"/>
        <v>0</v>
      </c>
      <c r="AN60" s="91" t="str">
        <f t="shared" si="17"/>
        <v/>
      </c>
      <c r="AO60" s="92" t="str">
        <f t="shared" si="18"/>
        <v/>
      </c>
      <c r="AP60" s="92" t="str">
        <f t="shared" si="19"/>
        <v/>
      </c>
      <c r="AQ60" s="92" t="str">
        <f t="shared" si="20"/>
        <v/>
      </c>
      <c r="AR60" s="92" t="str">
        <f t="shared" si="21"/>
        <v/>
      </c>
      <c r="AS60" s="92" t="str">
        <f t="shared" si="22"/>
        <v/>
      </c>
      <c r="AT60" s="92" t="str">
        <f t="shared" si="23"/>
        <v/>
      </c>
      <c r="AU60" s="92" t="str">
        <f t="shared" si="24"/>
        <v/>
      </c>
      <c r="AV60" s="92" t="str">
        <f t="shared" si="25"/>
        <v/>
      </c>
      <c r="AW60" s="92" t="str">
        <f t="shared" si="9"/>
        <v/>
      </c>
      <c r="AX60" s="92" t="str">
        <f t="shared" si="10"/>
        <v/>
      </c>
      <c r="AY60" s="93" t="str">
        <f t="shared" si="26"/>
        <v/>
      </c>
      <c r="AZ60" s="94" t="str">
        <f t="shared" si="27"/>
        <v/>
      </c>
      <c r="BA60" s="95" t="str">
        <f t="shared" si="28"/>
        <v/>
      </c>
      <c r="BB60" s="140">
        <f>SUM('Defect P1'!CE60,'Defect P2'!CE60,RTS!CE60)</f>
        <v>0</v>
      </c>
      <c r="BC60" s="140">
        <f>SUM('Defect P1'!CF60,'Defect P2'!CF60,RTS!CF60)</f>
        <v>0</v>
      </c>
      <c r="BD60" s="140">
        <f>SUM('Defect P1'!CG60,'Defect P2'!CG60,RTS!CG60)</f>
        <v>0</v>
      </c>
      <c r="BE60" s="140">
        <f>SUM('Defect P1'!CH60,'Defect P2'!CH60,RTS!CH60)</f>
        <v>0</v>
      </c>
      <c r="BF60" s="140">
        <f>SUM('Defect P1'!CI60,'Defect P2'!CI60,RTS!CI60)</f>
        <v>0</v>
      </c>
      <c r="BG60" s="140">
        <f>SUM('Defect P1'!CJ60,'Defect P2'!CJ60,RTS!CJ60)</f>
        <v>0</v>
      </c>
      <c r="BH60" s="140">
        <f>SUM('Defect P1'!CK60,'Defect P2'!CK60,RTS!CK60)</f>
        <v>0</v>
      </c>
      <c r="BI60" s="291">
        <f>SUM('Defect P1'!CL60,'Defect P2'!CL60,RTS!CL60)</f>
        <v>0</v>
      </c>
      <c r="BJ60" s="99" t="str">
        <f t="shared" si="16"/>
        <v/>
      </c>
      <c r="BK60" s="640">
        <f>SUM('Defect P1'!CQ60,'Defect P2'!CQ60,RTS!CQ60)</f>
        <v>0</v>
      </c>
      <c r="BL60" s="97">
        <f>SUM('Defect P1'!CR60,'Defect P2'!CR60,RTS!CR60)</f>
        <v>0</v>
      </c>
      <c r="BM60" s="524">
        <f>SUM('Defect P1'!CS60,'Defect P2'!CS60,RTS!CS60)</f>
        <v>0</v>
      </c>
      <c r="BN60" s="416">
        <f>SUM('Defect P1'!CT60,'Defect P2'!CT60,RTS!CT60)</f>
        <v>0</v>
      </c>
      <c r="BO60" s="97">
        <f>SUM('Defect P1'!CU60,'Defect P2'!CU60,RTS!CU60)</f>
        <v>0</v>
      </c>
      <c r="BP60" s="97">
        <f>SUM('Defect P1'!CV60,'Defect P2'!CV60,RTS!CV60)</f>
        <v>0</v>
      </c>
      <c r="BQ60" s="97">
        <f>SUM('Defect P1'!CW60,'Defect P2'!CW60,RTS!CW60)</f>
        <v>0</v>
      </c>
      <c r="BR60" s="98">
        <f>SUM('Defect P1'!CX60,'Defect P2'!CX60,RTS!CX60)</f>
        <v>0</v>
      </c>
    </row>
    <row r="61" spans="1:70" x14ac:dyDescent="0.25">
      <c r="A61" s="81" t="s">
        <v>106</v>
      </c>
      <c r="B61" s="82" t="s">
        <v>125</v>
      </c>
      <c r="C61" s="83" t="s">
        <v>345</v>
      </c>
      <c r="D61" s="84">
        <f>SUM('Defect P1'!D61,'Defect P2'!D61,RTS!D61)</f>
        <v>0</v>
      </c>
      <c r="E61" s="85">
        <f>SUM('Defect P1'!E61,'Defect P2'!E61,RTS!E61)</f>
        <v>0</v>
      </c>
      <c r="F61" s="85">
        <f>SUM('Defect P1'!F61,'Defect P2'!F61,RTS!F61)</f>
        <v>0</v>
      </c>
      <c r="G61" s="85">
        <f>SUM('Defect P1'!G61,'Defect P2'!G61,RTS!G61)</f>
        <v>0</v>
      </c>
      <c r="H61" s="85">
        <f>SUM('Defect P1'!H61,'Defect P2'!H61,RTS!H61)</f>
        <v>0</v>
      </c>
      <c r="I61" s="85">
        <f>SUM('Defect P1'!I61,'Defect P2'!I61,RTS!I61)</f>
        <v>0</v>
      </c>
      <c r="J61" s="85">
        <f>SUM('Defect P1'!J61,'Defect P2'!J61,RTS!J61)</f>
        <v>0</v>
      </c>
      <c r="K61" s="85">
        <f>SUM('Defect P1'!K61,'Defect P2'!K61,RTS!K61)</f>
        <v>0</v>
      </c>
      <c r="L61" s="85">
        <f>SUM('Defect P1'!L61,'Defect P2'!L61,RTS!L61)</f>
        <v>0</v>
      </c>
      <c r="M61" s="85">
        <f>SUM('Defect P1'!M61,'Defect P2'!M61,RTS!M61)</f>
        <v>0</v>
      </c>
      <c r="N61" s="85">
        <v>0</v>
      </c>
      <c r="O61" s="560">
        <f>SUM('Defect P1'!O61,'Defect P2'!O61,RTS!O61)</f>
        <v>0</v>
      </c>
      <c r="P61" s="561">
        <f>SUM('Defect P1'!P61,'Defect P2'!P61,RTS!P61)</f>
        <v>0</v>
      </c>
      <c r="Q61" s="561">
        <f>SUM('Defect P1'!Q61,'Defect P2'!Q61,RTS!Q61)</f>
        <v>0</v>
      </c>
      <c r="R61" s="561">
        <f>SUM('Defect P1'!R61,'Defect P2'!R61,RTS!R61)</f>
        <v>0</v>
      </c>
      <c r="S61" s="561">
        <f>SUM('Defect P1'!S61,'Defect P2'!S61,RTS!S61)</f>
        <v>0</v>
      </c>
      <c r="T61" s="561">
        <f>SUM('Defect P1'!T61,'Defect P2'!T61,RTS!T61)</f>
        <v>0</v>
      </c>
      <c r="U61" s="561">
        <f>SUM('Defect P1'!U61,'Defect P2'!U61,RTS!U61)</f>
        <v>0</v>
      </c>
      <c r="V61" s="561">
        <f>SUM('Defect P1'!V61,'Defect P2'!V61,RTS!V61)</f>
        <v>0</v>
      </c>
      <c r="W61" s="561">
        <f>SUM('Defect P1'!W61,'Defect P2'!W61,RTS!W61)</f>
        <v>0</v>
      </c>
      <c r="X61" s="561">
        <f>SUM('Defect P1'!X61,'Defect P2'!X61,RTS!X61)</f>
        <v>0</v>
      </c>
      <c r="Y61" s="561">
        <f>SUM('Defect P1'!Y61,'Defect P2'!Y61,RTS!Y61)</f>
        <v>0</v>
      </c>
      <c r="Z61" s="86">
        <f>SUM('Defect P1'!Z61,'Defect P2'!Z61,RTS!Z61)</f>
        <v>0</v>
      </c>
      <c r="AA61" s="87">
        <f>SUM('Defect P1'!AA61,'Defect P2'!AA61,RTS!AA61)</f>
        <v>0</v>
      </c>
      <c r="AB61" s="87">
        <f>SUM('Defect P1'!AB61,'Defect P2'!AB61,RTS!AB61)</f>
        <v>0</v>
      </c>
      <c r="AC61" s="87">
        <f>SUM('Defect P1'!AC61,'Defect P2'!AC61,RTS!AC61)</f>
        <v>0</v>
      </c>
      <c r="AD61" s="87">
        <f>SUM('Defect P1'!AD61,'Defect P2'!AD61,RTS!AD61)</f>
        <v>0</v>
      </c>
      <c r="AE61" s="87">
        <f>SUM('Defect P1'!AE61,'Defect P2'!AE61,RTS!AE61)</f>
        <v>0</v>
      </c>
      <c r="AF61" s="87">
        <f>SUM('Defect P1'!AF61,'Defect P2'!AF61,RTS!AF61)</f>
        <v>0</v>
      </c>
      <c r="AG61" s="87">
        <f>SUM('Defect P1'!AG61,'Defect P2'!AG61,RTS!AG61)</f>
        <v>0</v>
      </c>
      <c r="AH61" s="87">
        <f>SUM('Defect P1'!AH61,'Defect P2'!AH61,RTS!AH61)</f>
        <v>0</v>
      </c>
      <c r="AI61" s="87">
        <f>SUM('Defect P1'!AI61,'Defect P2'!AI61,RTS!AI61)</f>
        <v>0</v>
      </c>
      <c r="AJ61" s="87">
        <f>SUM('Defect P1'!AJ61,'Defect P2'!AJ61,RTS!AJ61)</f>
        <v>0</v>
      </c>
      <c r="AK61" s="127">
        <f t="shared" si="14"/>
        <v>0</v>
      </c>
      <c r="AL61" s="128" cm="1">
        <f t="array" ref="AL61">IFERROR(IF($AM$4="N",SSUM(AF61:AH61)/3,SUM(AG61:AI61)/3),"")</f>
        <v>0</v>
      </c>
      <c r="AM61" s="129">
        <f t="shared" si="15"/>
        <v>0</v>
      </c>
      <c r="AN61" s="91" t="str">
        <f t="shared" si="17"/>
        <v/>
      </c>
      <c r="AO61" s="92" t="str">
        <f t="shared" si="18"/>
        <v/>
      </c>
      <c r="AP61" s="92" t="str">
        <f t="shared" si="19"/>
        <v/>
      </c>
      <c r="AQ61" s="92" t="str">
        <f t="shared" si="20"/>
        <v/>
      </c>
      <c r="AR61" s="92" t="str">
        <f t="shared" si="21"/>
        <v/>
      </c>
      <c r="AS61" s="92" t="str">
        <f t="shared" si="22"/>
        <v/>
      </c>
      <c r="AT61" s="92" t="str">
        <f t="shared" si="23"/>
        <v/>
      </c>
      <c r="AU61" s="92" t="str">
        <f t="shared" si="24"/>
        <v/>
      </c>
      <c r="AV61" s="92" t="str">
        <f t="shared" si="25"/>
        <v/>
      </c>
      <c r="AW61" s="92" t="str">
        <f t="shared" si="9"/>
        <v/>
      </c>
      <c r="AX61" s="92" t="str">
        <f t="shared" si="10"/>
        <v/>
      </c>
      <c r="AY61" s="93" t="str">
        <f t="shared" si="26"/>
        <v/>
      </c>
      <c r="AZ61" s="94" t="str">
        <f t="shared" si="27"/>
        <v/>
      </c>
      <c r="BA61" s="95" t="str">
        <f t="shared" si="28"/>
        <v/>
      </c>
      <c r="BB61" s="140">
        <f>SUM('Defect P1'!CE61,'Defect P2'!CE61,RTS!CE61)</f>
        <v>0</v>
      </c>
      <c r="BC61" s="140">
        <f>SUM('Defect P1'!CF61,'Defect P2'!CF61,RTS!CF61)</f>
        <v>0</v>
      </c>
      <c r="BD61" s="140">
        <f>SUM('Defect P1'!CG61,'Defect P2'!CG61,RTS!CG61)</f>
        <v>0</v>
      </c>
      <c r="BE61" s="140">
        <f>SUM('Defect P1'!CH61,'Defect P2'!CH61,RTS!CH61)</f>
        <v>0</v>
      </c>
      <c r="BF61" s="140">
        <f>SUM('Defect P1'!CI61,'Defect P2'!CI61,RTS!CI61)</f>
        <v>0</v>
      </c>
      <c r="BG61" s="140">
        <f>SUM('Defect P1'!CJ61,'Defect P2'!CJ61,RTS!CJ61)</f>
        <v>0</v>
      </c>
      <c r="BH61" s="140">
        <f>SUM('Defect P1'!CK61,'Defect P2'!CK61,RTS!CK61)</f>
        <v>0</v>
      </c>
      <c r="BI61" s="291">
        <f>SUM('Defect P1'!CL61,'Defect P2'!CL61,RTS!CL61)</f>
        <v>0</v>
      </c>
      <c r="BJ61" s="99" t="str">
        <f t="shared" si="16"/>
        <v/>
      </c>
      <c r="BK61" s="640">
        <f>SUM('Defect P1'!CQ61,'Defect P2'!CQ61,RTS!CQ61)</f>
        <v>0</v>
      </c>
      <c r="BL61" s="97">
        <f>SUM('Defect P1'!CR61,'Defect P2'!CR61,RTS!CR61)</f>
        <v>0</v>
      </c>
      <c r="BM61" s="524">
        <f>SUM('Defect P1'!CS61,'Defect P2'!CS61,RTS!CS61)</f>
        <v>0</v>
      </c>
      <c r="BN61" s="416">
        <f>SUM('Defect P1'!CT61,'Defect P2'!CT61,RTS!CT61)</f>
        <v>0</v>
      </c>
      <c r="BO61" s="97">
        <f>SUM('Defect P1'!CU61,'Defect P2'!CU61,RTS!CU61)</f>
        <v>0</v>
      </c>
      <c r="BP61" s="97">
        <f>SUM('Defect P1'!CV61,'Defect P2'!CV61,RTS!CV61)</f>
        <v>0</v>
      </c>
      <c r="BQ61" s="97">
        <f>SUM('Defect P1'!CW61,'Defect P2'!CW61,RTS!CW61)</f>
        <v>0</v>
      </c>
      <c r="BR61" s="98">
        <f>SUM('Defect P1'!CX61,'Defect P2'!CX61,RTS!CX61)</f>
        <v>0</v>
      </c>
    </row>
    <row r="62" spans="1:70" x14ac:dyDescent="0.25">
      <c r="A62" s="81" t="s">
        <v>106</v>
      </c>
      <c r="B62" s="82" t="s">
        <v>127</v>
      </c>
      <c r="C62" s="83" t="s">
        <v>347</v>
      </c>
      <c r="D62" s="84">
        <f>SUM('Defect P1'!D62,'Defect P2'!D62,RTS!D62)</f>
        <v>0</v>
      </c>
      <c r="E62" s="85">
        <f>SUM('Defect P1'!E62,'Defect P2'!E62,RTS!E62)</f>
        <v>0</v>
      </c>
      <c r="F62" s="85">
        <f>SUM('Defect P1'!F62,'Defect P2'!F62,RTS!F62)</f>
        <v>0</v>
      </c>
      <c r="G62" s="85">
        <f>SUM('Defect P1'!G62,'Defect P2'!G62,RTS!G62)</f>
        <v>0</v>
      </c>
      <c r="H62" s="85">
        <f>SUM('Defect P1'!H62,'Defect P2'!H62,RTS!H62)</f>
        <v>0</v>
      </c>
      <c r="I62" s="85">
        <f>SUM('Defect P1'!I62,'Defect P2'!I62,RTS!I62)</f>
        <v>0</v>
      </c>
      <c r="J62" s="85">
        <f>SUM('Defect P1'!J62,'Defect P2'!J62,RTS!J62)</f>
        <v>0</v>
      </c>
      <c r="K62" s="85">
        <f>SUM('Defect P1'!K62,'Defect P2'!K62,RTS!K62)</f>
        <v>0</v>
      </c>
      <c r="L62" s="85">
        <f>SUM('Defect P1'!L62,'Defect P2'!L62,RTS!L62)</f>
        <v>0</v>
      </c>
      <c r="M62" s="85">
        <f>SUM('Defect P1'!M62,'Defect P2'!M62,RTS!M62)</f>
        <v>0</v>
      </c>
      <c r="N62" s="85">
        <v>0</v>
      </c>
      <c r="O62" s="560">
        <f>SUM('Defect P1'!O62,'Defect P2'!O62,RTS!O62)</f>
        <v>0</v>
      </c>
      <c r="P62" s="561">
        <f>SUM('Defect P1'!P62,'Defect P2'!P62,RTS!P62)</f>
        <v>0</v>
      </c>
      <c r="Q62" s="561">
        <f>SUM('Defect P1'!Q62,'Defect P2'!Q62,RTS!Q62)</f>
        <v>0</v>
      </c>
      <c r="R62" s="561">
        <f>SUM('Defect P1'!R62,'Defect P2'!R62,RTS!R62)</f>
        <v>0</v>
      </c>
      <c r="S62" s="561">
        <f>SUM('Defect P1'!S62,'Defect P2'!S62,RTS!S62)</f>
        <v>0</v>
      </c>
      <c r="T62" s="561">
        <f>SUM('Defect P1'!T62,'Defect P2'!T62,RTS!T62)</f>
        <v>0</v>
      </c>
      <c r="U62" s="561">
        <f>SUM('Defect P1'!U62,'Defect P2'!U62,RTS!U62)</f>
        <v>0</v>
      </c>
      <c r="V62" s="561">
        <f>SUM('Defect P1'!V62,'Defect P2'!V62,RTS!V62)</f>
        <v>0</v>
      </c>
      <c r="W62" s="561">
        <f>SUM('Defect P1'!W62,'Defect P2'!W62,RTS!W62)</f>
        <v>0</v>
      </c>
      <c r="X62" s="561">
        <f>SUM('Defect P1'!X62,'Defect P2'!X62,RTS!X62)</f>
        <v>0</v>
      </c>
      <c r="Y62" s="561">
        <f>SUM('Defect P1'!Y62,'Defect P2'!Y62,RTS!Y62)</f>
        <v>0</v>
      </c>
      <c r="Z62" s="86">
        <f>SUM('Defect P1'!Z62,'Defect P2'!Z62,RTS!Z62)</f>
        <v>0</v>
      </c>
      <c r="AA62" s="87">
        <f>SUM('Defect P1'!AA62,'Defect P2'!AA62,RTS!AA62)</f>
        <v>0</v>
      </c>
      <c r="AB62" s="87">
        <f>SUM('Defect P1'!AB62,'Defect P2'!AB62,RTS!AB62)</f>
        <v>0</v>
      </c>
      <c r="AC62" s="87">
        <f>SUM('Defect P1'!AC62,'Defect P2'!AC62,RTS!AC62)</f>
        <v>0</v>
      </c>
      <c r="AD62" s="87">
        <f>SUM('Defect P1'!AD62,'Defect P2'!AD62,RTS!AD62)</f>
        <v>0</v>
      </c>
      <c r="AE62" s="87">
        <f>SUM('Defect P1'!AE62,'Defect P2'!AE62,RTS!AE62)</f>
        <v>0</v>
      </c>
      <c r="AF62" s="87">
        <f>SUM('Defect P1'!AF62,'Defect P2'!AF62,RTS!AF62)</f>
        <v>0</v>
      </c>
      <c r="AG62" s="87">
        <f>SUM('Defect P1'!AG62,'Defect P2'!AG62,RTS!AG62)</f>
        <v>0</v>
      </c>
      <c r="AH62" s="87">
        <f>SUM('Defect P1'!AH62,'Defect P2'!AH62,RTS!AH62)</f>
        <v>0</v>
      </c>
      <c r="AI62" s="87">
        <f>SUM('Defect P1'!AI62,'Defect P2'!AI62,RTS!AI62)</f>
        <v>0</v>
      </c>
      <c r="AJ62" s="87">
        <f>SUM('Defect P1'!AJ62,'Defect P2'!AJ62,RTS!AJ62)</f>
        <v>0</v>
      </c>
      <c r="AK62" s="127">
        <f t="shared" si="14"/>
        <v>0</v>
      </c>
      <c r="AL62" s="128" cm="1">
        <f t="array" ref="AL62">IFERROR(IF($AM$4="N",SSUM(AF62:AH62)/3,SUM(AG62:AI62)/3),"")</f>
        <v>0</v>
      </c>
      <c r="AM62" s="129">
        <f t="shared" si="15"/>
        <v>0</v>
      </c>
      <c r="AN62" s="91" t="str">
        <f t="shared" si="17"/>
        <v/>
      </c>
      <c r="AO62" s="92" t="str">
        <f t="shared" si="18"/>
        <v/>
      </c>
      <c r="AP62" s="92" t="str">
        <f t="shared" si="19"/>
        <v/>
      </c>
      <c r="AQ62" s="92" t="str">
        <f t="shared" si="20"/>
        <v/>
      </c>
      <c r="AR62" s="92" t="str">
        <f t="shared" si="21"/>
        <v/>
      </c>
      <c r="AS62" s="92" t="str">
        <f t="shared" si="22"/>
        <v/>
      </c>
      <c r="AT62" s="92" t="str">
        <f t="shared" si="23"/>
        <v/>
      </c>
      <c r="AU62" s="92" t="str">
        <f t="shared" si="24"/>
        <v/>
      </c>
      <c r="AV62" s="92" t="str">
        <f t="shared" si="25"/>
        <v/>
      </c>
      <c r="AW62" s="92" t="str">
        <f t="shared" si="9"/>
        <v/>
      </c>
      <c r="AX62" s="92" t="str">
        <f t="shared" si="10"/>
        <v/>
      </c>
      <c r="AY62" s="93" t="str">
        <f t="shared" si="26"/>
        <v/>
      </c>
      <c r="AZ62" s="94" t="str">
        <f t="shared" si="27"/>
        <v/>
      </c>
      <c r="BA62" s="95" t="str">
        <f t="shared" si="28"/>
        <v/>
      </c>
      <c r="BB62" s="140">
        <f>SUM('Defect P1'!CE62,'Defect P2'!CE62,RTS!CE62)</f>
        <v>0</v>
      </c>
      <c r="BC62" s="140">
        <f>SUM('Defect P1'!CF62,'Defect P2'!CF62,RTS!CF62)</f>
        <v>0</v>
      </c>
      <c r="BD62" s="140">
        <f>SUM('Defect P1'!CG62,'Defect P2'!CG62,RTS!CG62)</f>
        <v>0</v>
      </c>
      <c r="BE62" s="140">
        <f>SUM('Defect P1'!CH62,'Defect P2'!CH62,RTS!CH62)</f>
        <v>0</v>
      </c>
      <c r="BF62" s="140">
        <f>SUM('Defect P1'!CI62,'Defect P2'!CI62,RTS!CI62)</f>
        <v>0</v>
      </c>
      <c r="BG62" s="140">
        <f>SUM('Defect P1'!CJ62,'Defect P2'!CJ62,RTS!CJ62)</f>
        <v>0</v>
      </c>
      <c r="BH62" s="140">
        <f>SUM('Defect P1'!CK62,'Defect P2'!CK62,RTS!CK62)</f>
        <v>0</v>
      </c>
      <c r="BI62" s="291">
        <f>SUM('Defect P1'!CL62,'Defect P2'!CL62,RTS!CL62)</f>
        <v>0</v>
      </c>
      <c r="BJ62" s="99" t="str">
        <f t="shared" si="16"/>
        <v/>
      </c>
      <c r="BK62" s="640">
        <f>SUM('Defect P1'!CQ62,'Defect P2'!CQ62,RTS!CQ62)</f>
        <v>0</v>
      </c>
      <c r="BL62" s="97">
        <f>SUM('Defect P1'!CR62,'Defect P2'!CR62,RTS!CR62)</f>
        <v>0</v>
      </c>
      <c r="BM62" s="524">
        <f>SUM('Defect P1'!CS62,'Defect P2'!CS62,RTS!CS62)</f>
        <v>0</v>
      </c>
      <c r="BN62" s="416">
        <f>SUM('Defect P1'!CT62,'Defect P2'!CT62,RTS!CT62)</f>
        <v>0</v>
      </c>
      <c r="BO62" s="97">
        <f>SUM('Defect P1'!CU62,'Defect P2'!CU62,RTS!CU62)</f>
        <v>0</v>
      </c>
      <c r="BP62" s="97">
        <f>SUM('Defect P1'!CV62,'Defect P2'!CV62,RTS!CV62)</f>
        <v>0</v>
      </c>
      <c r="BQ62" s="97">
        <f>SUM('Defect P1'!CW62,'Defect P2'!CW62,RTS!CW62)</f>
        <v>0</v>
      </c>
      <c r="BR62" s="98">
        <f>SUM('Defect P1'!CX62,'Defect P2'!CX62,RTS!CX62)</f>
        <v>0</v>
      </c>
    </row>
    <row r="63" spans="1:70" x14ac:dyDescent="0.25">
      <c r="A63" s="81" t="s">
        <v>106</v>
      </c>
      <c r="B63" s="82" t="s">
        <v>129</v>
      </c>
      <c r="C63" s="83" t="s">
        <v>349</v>
      </c>
      <c r="D63" s="84">
        <f>SUM('Defect P1'!D63,'Defect P2'!D63,RTS!D63)</f>
        <v>0</v>
      </c>
      <c r="E63" s="85">
        <f>SUM('Defect P1'!E63,'Defect P2'!E63,RTS!E63)</f>
        <v>0</v>
      </c>
      <c r="F63" s="85">
        <f>SUM('Defect P1'!F63,'Defect P2'!F63,RTS!F63)</f>
        <v>0</v>
      </c>
      <c r="G63" s="85">
        <f>SUM('Defect P1'!G63,'Defect P2'!G63,RTS!G63)</f>
        <v>0</v>
      </c>
      <c r="H63" s="85">
        <f>SUM('Defect P1'!H63,'Defect P2'!H63,RTS!H63)</f>
        <v>0</v>
      </c>
      <c r="I63" s="85">
        <f>SUM('Defect P1'!I63,'Defect P2'!I63,RTS!I63)</f>
        <v>0</v>
      </c>
      <c r="J63" s="85">
        <f>SUM('Defect P1'!J63,'Defect P2'!J63,RTS!J63)</f>
        <v>0</v>
      </c>
      <c r="K63" s="85">
        <f>SUM('Defect P1'!K63,'Defect P2'!K63,RTS!K63)</f>
        <v>0</v>
      </c>
      <c r="L63" s="85">
        <f>SUM('Defect P1'!L63,'Defect P2'!L63,RTS!L63)</f>
        <v>0</v>
      </c>
      <c r="M63" s="85">
        <f>SUM('Defect P1'!M63,'Defect P2'!M63,RTS!M63)</f>
        <v>0</v>
      </c>
      <c r="N63" s="85">
        <v>0</v>
      </c>
      <c r="O63" s="560">
        <f>SUM('Defect P1'!O63,'Defect P2'!O63,RTS!O63)</f>
        <v>0</v>
      </c>
      <c r="P63" s="561">
        <f>SUM('Defect P1'!P63,'Defect P2'!P63,RTS!P63)</f>
        <v>0</v>
      </c>
      <c r="Q63" s="561">
        <f>SUM('Defect P1'!Q63,'Defect P2'!Q63,RTS!Q63)</f>
        <v>0</v>
      </c>
      <c r="R63" s="561">
        <f>SUM('Defect P1'!R63,'Defect P2'!R63,RTS!R63)</f>
        <v>0</v>
      </c>
      <c r="S63" s="561">
        <f>SUM('Defect P1'!S63,'Defect P2'!S63,RTS!S63)</f>
        <v>0</v>
      </c>
      <c r="T63" s="561">
        <f>SUM('Defect P1'!T63,'Defect P2'!T63,RTS!T63)</f>
        <v>0</v>
      </c>
      <c r="U63" s="561">
        <f>SUM('Defect P1'!U63,'Defect P2'!U63,RTS!U63)</f>
        <v>0</v>
      </c>
      <c r="V63" s="561">
        <f>SUM('Defect P1'!V63,'Defect P2'!V63,RTS!V63)</f>
        <v>0</v>
      </c>
      <c r="W63" s="561">
        <f>SUM('Defect P1'!W63,'Defect P2'!W63,RTS!W63)</f>
        <v>0</v>
      </c>
      <c r="X63" s="561">
        <f>SUM('Defect P1'!X63,'Defect P2'!X63,RTS!X63)</f>
        <v>0</v>
      </c>
      <c r="Y63" s="561">
        <f>SUM('Defect P1'!Y63,'Defect P2'!Y63,RTS!Y63)</f>
        <v>0</v>
      </c>
      <c r="Z63" s="86">
        <f>SUM('Defect P1'!Z63,'Defect P2'!Z63,RTS!Z63)</f>
        <v>0</v>
      </c>
      <c r="AA63" s="87">
        <f>SUM('Defect P1'!AA63,'Defect P2'!AA63,RTS!AA63)</f>
        <v>0</v>
      </c>
      <c r="AB63" s="87">
        <f>SUM('Defect P1'!AB63,'Defect P2'!AB63,RTS!AB63)</f>
        <v>0</v>
      </c>
      <c r="AC63" s="87">
        <f>SUM('Defect P1'!AC63,'Defect P2'!AC63,RTS!AC63)</f>
        <v>0</v>
      </c>
      <c r="AD63" s="87">
        <f>SUM('Defect P1'!AD63,'Defect P2'!AD63,RTS!AD63)</f>
        <v>0</v>
      </c>
      <c r="AE63" s="87">
        <f>SUM('Defect P1'!AE63,'Defect P2'!AE63,RTS!AE63)</f>
        <v>0</v>
      </c>
      <c r="AF63" s="87">
        <f>SUM('Defect P1'!AF63,'Defect P2'!AF63,RTS!AF63)</f>
        <v>0</v>
      </c>
      <c r="AG63" s="87">
        <f>SUM('Defect P1'!AG63,'Defect P2'!AG63,RTS!AG63)</f>
        <v>0</v>
      </c>
      <c r="AH63" s="87">
        <f>SUM('Defect P1'!AH63,'Defect P2'!AH63,RTS!AH63)</f>
        <v>0</v>
      </c>
      <c r="AI63" s="87">
        <f>SUM('Defect P1'!AI63,'Defect P2'!AI63,RTS!AI63)</f>
        <v>0</v>
      </c>
      <c r="AJ63" s="87">
        <f>SUM('Defect P1'!AJ63,'Defect P2'!AJ63,RTS!AJ63)</f>
        <v>0</v>
      </c>
      <c r="AK63" s="127">
        <f t="shared" si="14"/>
        <v>0</v>
      </c>
      <c r="AL63" s="128" cm="1">
        <f t="array" ref="AL63">IFERROR(IF($AM$4="N",SSUM(AF63:AH63)/3,SUM(AG63:AI63)/3),"")</f>
        <v>0</v>
      </c>
      <c r="AM63" s="129">
        <f t="shared" si="15"/>
        <v>0</v>
      </c>
      <c r="AN63" s="91" t="str">
        <f t="shared" si="17"/>
        <v/>
      </c>
      <c r="AO63" s="92" t="str">
        <f t="shared" si="18"/>
        <v/>
      </c>
      <c r="AP63" s="92" t="str">
        <f t="shared" si="19"/>
        <v/>
      </c>
      <c r="AQ63" s="92" t="str">
        <f t="shared" si="20"/>
        <v/>
      </c>
      <c r="AR63" s="92" t="str">
        <f t="shared" si="21"/>
        <v/>
      </c>
      <c r="AS63" s="92" t="str">
        <f t="shared" si="22"/>
        <v/>
      </c>
      <c r="AT63" s="92" t="str">
        <f t="shared" si="23"/>
        <v/>
      </c>
      <c r="AU63" s="92" t="str">
        <f t="shared" si="24"/>
        <v/>
      </c>
      <c r="AV63" s="92" t="str">
        <f t="shared" si="25"/>
        <v/>
      </c>
      <c r="AW63" s="92" t="str">
        <f t="shared" si="9"/>
        <v/>
      </c>
      <c r="AX63" s="92" t="str">
        <f t="shared" si="10"/>
        <v/>
      </c>
      <c r="AY63" s="93" t="str">
        <f t="shared" si="26"/>
        <v/>
      </c>
      <c r="AZ63" s="94" t="str">
        <f t="shared" si="27"/>
        <v/>
      </c>
      <c r="BA63" s="95" t="str">
        <f t="shared" si="28"/>
        <v/>
      </c>
      <c r="BB63" s="140">
        <f>SUM('Defect P1'!CE63,'Defect P2'!CE63,RTS!CE63)</f>
        <v>0</v>
      </c>
      <c r="BC63" s="140">
        <f>SUM('Defect P1'!CF63,'Defect P2'!CF63,RTS!CF63)</f>
        <v>0</v>
      </c>
      <c r="BD63" s="140">
        <f>SUM('Defect P1'!CG63,'Defect P2'!CG63,RTS!CG63)</f>
        <v>0</v>
      </c>
      <c r="BE63" s="140">
        <f>SUM('Defect P1'!CH63,'Defect P2'!CH63,RTS!CH63)</f>
        <v>0</v>
      </c>
      <c r="BF63" s="140">
        <f>SUM('Defect P1'!CI63,'Defect P2'!CI63,RTS!CI63)</f>
        <v>0</v>
      </c>
      <c r="BG63" s="140">
        <f>SUM('Defect P1'!CJ63,'Defect P2'!CJ63,RTS!CJ63)</f>
        <v>0</v>
      </c>
      <c r="BH63" s="140">
        <f>SUM('Defect P1'!CK63,'Defect P2'!CK63,RTS!CK63)</f>
        <v>0</v>
      </c>
      <c r="BI63" s="291">
        <f>SUM('Defect P1'!CL63,'Defect P2'!CL63,RTS!CL63)</f>
        <v>0</v>
      </c>
      <c r="BJ63" s="99" t="str">
        <f t="shared" si="16"/>
        <v/>
      </c>
      <c r="BK63" s="640">
        <f>SUM('Defect P1'!CQ63,'Defect P2'!CQ63,RTS!CQ63)</f>
        <v>0</v>
      </c>
      <c r="BL63" s="97">
        <f>SUM('Defect P1'!CR63,'Defect P2'!CR63,RTS!CR63)</f>
        <v>0</v>
      </c>
      <c r="BM63" s="524">
        <f>SUM('Defect P1'!CS63,'Defect P2'!CS63,RTS!CS63)</f>
        <v>0</v>
      </c>
      <c r="BN63" s="416">
        <f>SUM('Defect P1'!CT63,'Defect P2'!CT63,RTS!CT63)</f>
        <v>0</v>
      </c>
      <c r="BO63" s="97">
        <f>SUM('Defect P1'!CU63,'Defect P2'!CU63,RTS!CU63)</f>
        <v>0</v>
      </c>
      <c r="BP63" s="97">
        <f>SUM('Defect P1'!CV63,'Defect P2'!CV63,RTS!CV63)</f>
        <v>0</v>
      </c>
      <c r="BQ63" s="97">
        <f>SUM('Defect P1'!CW63,'Defect P2'!CW63,RTS!CW63)</f>
        <v>0</v>
      </c>
      <c r="BR63" s="98">
        <f>SUM('Defect P1'!CX63,'Defect P2'!CX63,RTS!CX63)</f>
        <v>0</v>
      </c>
    </row>
    <row r="64" spans="1:70" x14ac:dyDescent="0.25">
      <c r="A64" s="81" t="s">
        <v>106</v>
      </c>
      <c r="B64" s="82" t="s">
        <v>131</v>
      </c>
      <c r="C64" s="83" t="s">
        <v>351</v>
      </c>
      <c r="D64" s="84">
        <f>SUM('Defect P1'!D64,'Defect P2'!D64,RTS!D64)</f>
        <v>0</v>
      </c>
      <c r="E64" s="85">
        <f>SUM('Defect P1'!E64,'Defect P2'!E64,RTS!E64)</f>
        <v>0</v>
      </c>
      <c r="F64" s="85">
        <f>SUM('Defect P1'!F64,'Defect P2'!F64,RTS!F64)</f>
        <v>0</v>
      </c>
      <c r="G64" s="85">
        <f>SUM('Defect P1'!G64,'Defect P2'!G64,RTS!G64)</f>
        <v>0</v>
      </c>
      <c r="H64" s="85">
        <f>SUM('Defect P1'!H64,'Defect P2'!H64,RTS!H64)</f>
        <v>0</v>
      </c>
      <c r="I64" s="85">
        <f>SUM('Defect P1'!I64,'Defect P2'!I64,RTS!I64)</f>
        <v>0</v>
      </c>
      <c r="J64" s="85">
        <f>SUM('Defect P1'!J64,'Defect P2'!J64,RTS!J64)</f>
        <v>0</v>
      </c>
      <c r="K64" s="85">
        <f>SUM('Defect P1'!K64,'Defect P2'!K64,RTS!K64)</f>
        <v>0</v>
      </c>
      <c r="L64" s="85">
        <f>SUM('Defect P1'!L64,'Defect P2'!L64,RTS!L64)</f>
        <v>0</v>
      </c>
      <c r="M64" s="85">
        <f>SUM('Defect P1'!M64,'Defect P2'!M64,RTS!M64)</f>
        <v>0</v>
      </c>
      <c r="N64" s="85">
        <v>0</v>
      </c>
      <c r="O64" s="560">
        <f>SUM('Defect P1'!O64,'Defect P2'!O64,RTS!O64)</f>
        <v>0</v>
      </c>
      <c r="P64" s="561">
        <f>SUM('Defect P1'!P64,'Defect P2'!P64,RTS!P64)</f>
        <v>0</v>
      </c>
      <c r="Q64" s="561">
        <f>SUM('Defect P1'!Q64,'Defect P2'!Q64,RTS!Q64)</f>
        <v>0</v>
      </c>
      <c r="R64" s="561">
        <f>SUM('Defect P1'!R64,'Defect P2'!R64,RTS!R64)</f>
        <v>0</v>
      </c>
      <c r="S64" s="561">
        <f>SUM('Defect P1'!S64,'Defect P2'!S64,RTS!S64)</f>
        <v>0</v>
      </c>
      <c r="T64" s="561">
        <f>SUM('Defect P1'!T64,'Defect P2'!T64,RTS!T64)</f>
        <v>0</v>
      </c>
      <c r="U64" s="561">
        <f>SUM('Defect P1'!U64,'Defect P2'!U64,RTS!U64)</f>
        <v>0</v>
      </c>
      <c r="V64" s="561">
        <f>SUM('Defect P1'!V64,'Defect P2'!V64,RTS!V64)</f>
        <v>0</v>
      </c>
      <c r="W64" s="561">
        <f>SUM('Defect P1'!W64,'Defect P2'!W64,RTS!W64)</f>
        <v>0</v>
      </c>
      <c r="X64" s="561">
        <f>SUM('Defect P1'!X64,'Defect P2'!X64,RTS!X64)</f>
        <v>0</v>
      </c>
      <c r="Y64" s="561">
        <f>SUM('Defect P1'!Y64,'Defect P2'!Y64,RTS!Y64)</f>
        <v>0</v>
      </c>
      <c r="Z64" s="86">
        <f>SUM('Defect P1'!Z64,'Defect P2'!Z64,RTS!Z64)</f>
        <v>0</v>
      </c>
      <c r="AA64" s="87">
        <f>SUM('Defect P1'!AA64,'Defect P2'!AA64,RTS!AA64)</f>
        <v>0</v>
      </c>
      <c r="AB64" s="87">
        <f>SUM('Defect P1'!AB64,'Defect P2'!AB64,RTS!AB64)</f>
        <v>0</v>
      </c>
      <c r="AC64" s="87">
        <f>SUM('Defect P1'!AC64,'Defect P2'!AC64,RTS!AC64)</f>
        <v>0</v>
      </c>
      <c r="AD64" s="87">
        <f>SUM('Defect P1'!AD64,'Defect P2'!AD64,RTS!AD64)</f>
        <v>0</v>
      </c>
      <c r="AE64" s="87">
        <f>SUM('Defect P1'!AE64,'Defect P2'!AE64,RTS!AE64)</f>
        <v>0</v>
      </c>
      <c r="AF64" s="87">
        <f>SUM('Defect P1'!AF64,'Defect P2'!AF64,RTS!AF64)</f>
        <v>0</v>
      </c>
      <c r="AG64" s="87">
        <f>SUM('Defect P1'!AG64,'Defect P2'!AG64,RTS!AG64)</f>
        <v>0</v>
      </c>
      <c r="AH64" s="87">
        <f>SUM('Defect P1'!AH64,'Defect P2'!AH64,RTS!AH64)</f>
        <v>0</v>
      </c>
      <c r="AI64" s="87">
        <f>SUM('Defect P1'!AI64,'Defect P2'!AI64,RTS!AI64)</f>
        <v>0</v>
      </c>
      <c r="AJ64" s="87">
        <f>SUM('Defect P1'!AJ64,'Defect P2'!AJ64,RTS!AJ64)</f>
        <v>0</v>
      </c>
      <c r="AK64" s="127">
        <f t="shared" si="14"/>
        <v>0</v>
      </c>
      <c r="AL64" s="128" cm="1">
        <f t="array" ref="AL64">IFERROR(IF($AM$4="N",SSUM(AF64:AH64)/3,SUM(AG64:AI64)/3),"")</f>
        <v>0</v>
      </c>
      <c r="AM64" s="129">
        <f t="shared" si="15"/>
        <v>0</v>
      </c>
      <c r="AN64" s="91" t="str">
        <f t="shared" si="17"/>
        <v/>
      </c>
      <c r="AO64" s="92" t="str">
        <f t="shared" si="18"/>
        <v/>
      </c>
      <c r="AP64" s="92" t="str">
        <f t="shared" si="19"/>
        <v/>
      </c>
      <c r="AQ64" s="92" t="str">
        <f t="shared" si="20"/>
        <v/>
      </c>
      <c r="AR64" s="92" t="str">
        <f t="shared" si="21"/>
        <v/>
      </c>
      <c r="AS64" s="92" t="str">
        <f t="shared" si="22"/>
        <v/>
      </c>
      <c r="AT64" s="92" t="str">
        <f t="shared" si="23"/>
        <v/>
      </c>
      <c r="AU64" s="92" t="str">
        <f t="shared" si="24"/>
        <v/>
      </c>
      <c r="AV64" s="92" t="str">
        <f t="shared" si="25"/>
        <v/>
      </c>
      <c r="AW64" s="92" t="str">
        <f t="shared" si="9"/>
        <v/>
      </c>
      <c r="AX64" s="92" t="str">
        <f t="shared" si="10"/>
        <v/>
      </c>
      <c r="AY64" s="93" t="str">
        <f t="shared" si="26"/>
        <v/>
      </c>
      <c r="AZ64" s="94" t="str">
        <f t="shared" si="27"/>
        <v/>
      </c>
      <c r="BA64" s="95" t="str">
        <f t="shared" si="28"/>
        <v/>
      </c>
      <c r="BB64" s="140">
        <f>SUM('Defect P1'!CE64,'Defect P2'!CE64,RTS!CE64)</f>
        <v>0</v>
      </c>
      <c r="BC64" s="140">
        <f>SUM('Defect P1'!CF64,'Defect P2'!CF64,RTS!CF64)</f>
        <v>0</v>
      </c>
      <c r="BD64" s="140">
        <f>SUM('Defect P1'!CG64,'Defect P2'!CG64,RTS!CG64)</f>
        <v>0</v>
      </c>
      <c r="BE64" s="140">
        <f>SUM('Defect P1'!CH64,'Defect P2'!CH64,RTS!CH64)</f>
        <v>0</v>
      </c>
      <c r="BF64" s="140">
        <f>SUM('Defect P1'!CI64,'Defect P2'!CI64,RTS!CI64)</f>
        <v>0</v>
      </c>
      <c r="BG64" s="140">
        <f>SUM('Defect P1'!CJ64,'Defect P2'!CJ64,RTS!CJ64)</f>
        <v>0</v>
      </c>
      <c r="BH64" s="140">
        <f>SUM('Defect P1'!CK64,'Defect P2'!CK64,RTS!CK64)</f>
        <v>0</v>
      </c>
      <c r="BI64" s="291">
        <f>SUM('Defect P1'!CL64,'Defect P2'!CL64,RTS!CL64)</f>
        <v>0</v>
      </c>
      <c r="BJ64" s="99" t="str">
        <f t="shared" si="16"/>
        <v/>
      </c>
      <c r="BK64" s="640">
        <f>SUM('Defect P1'!CQ64,'Defect P2'!CQ64,RTS!CQ64)</f>
        <v>0</v>
      </c>
      <c r="BL64" s="97">
        <f>SUM('Defect P1'!CR64,'Defect P2'!CR64,RTS!CR64)</f>
        <v>0</v>
      </c>
      <c r="BM64" s="524">
        <f>SUM('Defect P1'!CS64,'Defect P2'!CS64,RTS!CS64)</f>
        <v>0</v>
      </c>
      <c r="BN64" s="416">
        <f>SUM('Defect P1'!CT64,'Defect P2'!CT64,RTS!CT64)</f>
        <v>0</v>
      </c>
      <c r="BO64" s="97">
        <f>SUM('Defect P1'!CU64,'Defect P2'!CU64,RTS!CU64)</f>
        <v>0</v>
      </c>
      <c r="BP64" s="97">
        <f>SUM('Defect P1'!CV64,'Defect P2'!CV64,RTS!CV64)</f>
        <v>0</v>
      </c>
      <c r="BQ64" s="97">
        <f>SUM('Defect P1'!CW64,'Defect P2'!CW64,RTS!CW64)</f>
        <v>0</v>
      </c>
      <c r="BR64" s="98">
        <f>SUM('Defect P1'!CX64,'Defect P2'!CX64,RTS!CX64)</f>
        <v>0</v>
      </c>
    </row>
    <row r="65" spans="1:71" x14ac:dyDescent="0.25">
      <c r="A65" s="81" t="s">
        <v>106</v>
      </c>
      <c r="B65" s="82" t="s">
        <v>133</v>
      </c>
      <c r="C65" s="83" t="s">
        <v>353</v>
      </c>
      <c r="D65" s="84">
        <f>SUM('Defect P1'!D65,'Defect P2'!D65,RTS!D65)</f>
        <v>0</v>
      </c>
      <c r="E65" s="85">
        <f>SUM('Defect P1'!E65,'Defect P2'!E65,RTS!E65)</f>
        <v>0</v>
      </c>
      <c r="F65" s="85">
        <f>SUM('Defect P1'!F65,'Defect P2'!F65,RTS!F65)</f>
        <v>0</v>
      </c>
      <c r="G65" s="85">
        <f>SUM('Defect P1'!G65,'Defect P2'!G65,RTS!G65)</f>
        <v>0</v>
      </c>
      <c r="H65" s="85">
        <f>SUM('Defect P1'!H65,'Defect P2'!H65,RTS!H65)</f>
        <v>0</v>
      </c>
      <c r="I65" s="85">
        <f>SUM('Defect P1'!I65,'Defect P2'!I65,RTS!I65)</f>
        <v>0</v>
      </c>
      <c r="J65" s="85">
        <f>SUM('Defect P1'!J65,'Defect P2'!J65,RTS!J65)</f>
        <v>0</v>
      </c>
      <c r="K65" s="85">
        <f>SUM('Defect P1'!K65,'Defect P2'!K65,RTS!K65)</f>
        <v>0</v>
      </c>
      <c r="L65" s="85">
        <f>SUM('Defect P1'!L65,'Defect P2'!L65,RTS!L65)</f>
        <v>0</v>
      </c>
      <c r="M65" s="85">
        <f>SUM('Defect P1'!M65,'Defect P2'!M65,RTS!M65)</f>
        <v>0</v>
      </c>
      <c r="N65" s="85">
        <v>0</v>
      </c>
      <c r="O65" s="560">
        <f>SUM('Defect P1'!O65,'Defect P2'!O65,RTS!O65)</f>
        <v>0</v>
      </c>
      <c r="P65" s="561">
        <f>SUM('Defect P1'!P65,'Defect P2'!P65,RTS!P65)</f>
        <v>0</v>
      </c>
      <c r="Q65" s="561">
        <f>SUM('Defect P1'!Q65,'Defect P2'!Q65,RTS!Q65)</f>
        <v>0</v>
      </c>
      <c r="R65" s="561">
        <f>SUM('Defect P1'!R65,'Defect P2'!R65,RTS!R65)</f>
        <v>0</v>
      </c>
      <c r="S65" s="561">
        <f>SUM('Defect P1'!S65,'Defect P2'!S65,RTS!S65)</f>
        <v>0</v>
      </c>
      <c r="T65" s="561">
        <f>SUM('Defect P1'!T65,'Defect P2'!T65,RTS!T65)</f>
        <v>0</v>
      </c>
      <c r="U65" s="561">
        <f>SUM('Defect P1'!U65,'Defect P2'!U65,RTS!U65)</f>
        <v>0</v>
      </c>
      <c r="V65" s="561">
        <f>SUM('Defect P1'!V65,'Defect P2'!V65,RTS!V65)</f>
        <v>0</v>
      </c>
      <c r="W65" s="561">
        <f>SUM('Defect P1'!W65,'Defect P2'!W65,RTS!W65)</f>
        <v>0</v>
      </c>
      <c r="X65" s="561">
        <f>SUM('Defect P1'!X65,'Defect P2'!X65,RTS!X65)</f>
        <v>0</v>
      </c>
      <c r="Y65" s="561">
        <f>SUM('Defect P1'!Y65,'Defect P2'!Y65,RTS!Y65)</f>
        <v>0</v>
      </c>
      <c r="Z65" s="86">
        <f>SUM('Defect P1'!Z65,'Defect P2'!Z65,RTS!Z65)</f>
        <v>0</v>
      </c>
      <c r="AA65" s="87">
        <f>SUM('Defect P1'!AA65,'Defect P2'!AA65,RTS!AA65)</f>
        <v>0</v>
      </c>
      <c r="AB65" s="87">
        <f>SUM('Defect P1'!AB65,'Defect P2'!AB65,RTS!AB65)</f>
        <v>0</v>
      </c>
      <c r="AC65" s="87">
        <f>SUM('Defect P1'!AC65,'Defect P2'!AC65,RTS!AC65)</f>
        <v>0</v>
      </c>
      <c r="AD65" s="87">
        <f>SUM('Defect P1'!AD65,'Defect P2'!AD65,RTS!AD65)</f>
        <v>0</v>
      </c>
      <c r="AE65" s="87">
        <f>SUM('Defect P1'!AE65,'Defect P2'!AE65,RTS!AE65)</f>
        <v>0</v>
      </c>
      <c r="AF65" s="87">
        <f>SUM('Defect P1'!AF65,'Defect P2'!AF65,RTS!AF65)</f>
        <v>0</v>
      </c>
      <c r="AG65" s="87">
        <f>SUM('Defect P1'!AG65,'Defect P2'!AG65,RTS!AG65)</f>
        <v>0</v>
      </c>
      <c r="AH65" s="87">
        <f>SUM('Defect P1'!AH65,'Defect P2'!AH65,RTS!AH65)</f>
        <v>0</v>
      </c>
      <c r="AI65" s="87">
        <f>SUM('Defect P1'!AI65,'Defect P2'!AI65,RTS!AI65)</f>
        <v>0</v>
      </c>
      <c r="AJ65" s="87">
        <f>SUM('Defect P1'!AJ65,'Defect P2'!AJ65,RTS!AJ65)</f>
        <v>0</v>
      </c>
      <c r="AK65" s="127">
        <f t="shared" si="14"/>
        <v>0</v>
      </c>
      <c r="AL65" s="128" cm="1">
        <f t="array" ref="AL65">IFERROR(IF($AM$4="N",SSUM(AF65:AH65)/3,SUM(AG65:AI65)/3),"")</f>
        <v>0</v>
      </c>
      <c r="AM65" s="129">
        <f t="shared" si="15"/>
        <v>0</v>
      </c>
      <c r="AN65" s="91" t="str">
        <f t="shared" si="17"/>
        <v/>
      </c>
      <c r="AO65" s="92" t="str">
        <f t="shared" si="18"/>
        <v/>
      </c>
      <c r="AP65" s="92" t="str">
        <f t="shared" si="19"/>
        <v/>
      </c>
      <c r="AQ65" s="92" t="str">
        <f t="shared" si="20"/>
        <v/>
      </c>
      <c r="AR65" s="92" t="str">
        <f t="shared" si="21"/>
        <v/>
      </c>
      <c r="AS65" s="92" t="str">
        <f t="shared" si="22"/>
        <v/>
      </c>
      <c r="AT65" s="92" t="str">
        <f t="shared" si="23"/>
        <v/>
      </c>
      <c r="AU65" s="92" t="str">
        <f t="shared" si="24"/>
        <v/>
      </c>
      <c r="AV65" s="92" t="str">
        <f t="shared" si="25"/>
        <v/>
      </c>
      <c r="AW65" s="92" t="str">
        <f t="shared" si="9"/>
        <v/>
      </c>
      <c r="AX65" s="92" t="str">
        <f t="shared" si="10"/>
        <v/>
      </c>
      <c r="AY65" s="93" t="str">
        <f t="shared" si="26"/>
        <v/>
      </c>
      <c r="AZ65" s="94" t="str">
        <f t="shared" si="27"/>
        <v/>
      </c>
      <c r="BA65" s="95" t="str">
        <f t="shared" si="28"/>
        <v/>
      </c>
      <c r="BB65" s="140">
        <f>SUM('Defect P1'!CE65,'Defect P2'!CE65,RTS!CE65)</f>
        <v>0</v>
      </c>
      <c r="BC65" s="140">
        <f>SUM('Defect P1'!CF65,'Defect P2'!CF65,RTS!CF65)</f>
        <v>0</v>
      </c>
      <c r="BD65" s="140">
        <f>SUM('Defect P1'!CG65,'Defect P2'!CG65,RTS!CG65)</f>
        <v>0</v>
      </c>
      <c r="BE65" s="140">
        <f>SUM('Defect P1'!CH65,'Defect P2'!CH65,RTS!CH65)</f>
        <v>0</v>
      </c>
      <c r="BF65" s="140">
        <f>SUM('Defect P1'!CI65,'Defect P2'!CI65,RTS!CI65)</f>
        <v>0</v>
      </c>
      <c r="BG65" s="140">
        <f>SUM('Defect P1'!CJ65,'Defect P2'!CJ65,RTS!CJ65)</f>
        <v>0</v>
      </c>
      <c r="BH65" s="140">
        <f>SUM('Defect P1'!CK65,'Defect P2'!CK65,RTS!CK65)</f>
        <v>0</v>
      </c>
      <c r="BI65" s="291">
        <f>SUM('Defect P1'!CL65,'Defect P2'!CL65,RTS!CL65)</f>
        <v>0</v>
      </c>
      <c r="BJ65" s="99" t="str">
        <f t="shared" si="16"/>
        <v/>
      </c>
      <c r="BK65" s="640">
        <f>SUM('Defect P1'!CQ65,'Defect P2'!CQ65,RTS!CQ65)</f>
        <v>0</v>
      </c>
      <c r="BL65" s="97">
        <f>SUM('Defect P1'!CR65,'Defect P2'!CR65,RTS!CR65)</f>
        <v>0</v>
      </c>
      <c r="BM65" s="524">
        <f>SUM('Defect P1'!CS65,'Defect P2'!CS65,RTS!CS65)</f>
        <v>0</v>
      </c>
      <c r="BN65" s="416">
        <f>SUM('Defect P1'!CT65,'Defect P2'!CT65,RTS!CT65)</f>
        <v>0</v>
      </c>
      <c r="BO65" s="97">
        <f>SUM('Defect P1'!CU65,'Defect P2'!CU65,RTS!CU65)</f>
        <v>0</v>
      </c>
      <c r="BP65" s="97">
        <f>SUM('Defect P1'!CV65,'Defect P2'!CV65,RTS!CV65)</f>
        <v>0</v>
      </c>
      <c r="BQ65" s="97">
        <f>SUM('Defect P1'!CW65,'Defect P2'!CW65,RTS!CW65)</f>
        <v>0</v>
      </c>
      <c r="BR65" s="98">
        <f>SUM('Defect P1'!CX65,'Defect P2'!CX65,RTS!CX65)</f>
        <v>0</v>
      </c>
    </row>
    <row r="66" spans="1:71" ht="15.75" thickBot="1" x14ac:dyDescent="0.3">
      <c r="A66" s="100" t="s">
        <v>106</v>
      </c>
      <c r="B66" s="101" t="s">
        <v>827</v>
      </c>
      <c r="C66" s="102" t="s">
        <v>355</v>
      </c>
      <c r="D66" s="103">
        <f>SUM('Defect P1'!D66,'Defect P2'!D66,RTS!D66)</f>
        <v>0</v>
      </c>
      <c r="E66" s="104">
        <f>SUM('Defect P1'!E66,'Defect P2'!E66,RTS!E66)</f>
        <v>0</v>
      </c>
      <c r="F66" s="104">
        <f>SUM('Defect P1'!F66,'Defect P2'!F66,RTS!F66)</f>
        <v>0</v>
      </c>
      <c r="G66" s="104">
        <f>SUM('Defect P1'!G66,'Defect P2'!G66,RTS!G66)</f>
        <v>0</v>
      </c>
      <c r="H66" s="104">
        <f>SUM('Defect P1'!H66,'Defect P2'!H66,RTS!H66)</f>
        <v>0</v>
      </c>
      <c r="I66" s="104">
        <f>SUM('Defect P1'!I66,'Defect P2'!I66,RTS!I66)</f>
        <v>0</v>
      </c>
      <c r="J66" s="104">
        <f>SUM('Defect P1'!J66,'Defect P2'!J66,RTS!J66)</f>
        <v>0</v>
      </c>
      <c r="K66" s="104">
        <f>SUM('Defect P1'!K66,'Defect P2'!K66,RTS!K66)</f>
        <v>0</v>
      </c>
      <c r="L66" s="104">
        <f>SUM('Defect P1'!L66,'Defect P2'!L66,RTS!L66)</f>
        <v>0</v>
      </c>
      <c r="M66" s="104">
        <f>SUM('Defect P1'!M66,'Defect P2'!M66,RTS!M66)</f>
        <v>0</v>
      </c>
      <c r="N66" s="104">
        <v>0</v>
      </c>
      <c r="O66" s="563">
        <f>SUM('Defect P1'!O66,'Defect P2'!O66,RTS!O66)</f>
        <v>0</v>
      </c>
      <c r="P66" s="564">
        <f>SUM('Defect P1'!P66,'Defect P2'!P66,RTS!P66)</f>
        <v>0</v>
      </c>
      <c r="Q66" s="564">
        <f>SUM('Defect P1'!Q66,'Defect P2'!Q66,RTS!Q66)</f>
        <v>0</v>
      </c>
      <c r="R66" s="564">
        <f>SUM('Defect P1'!R66,'Defect P2'!R66,RTS!R66)</f>
        <v>0</v>
      </c>
      <c r="S66" s="564">
        <f>SUM('Defect P1'!S66,'Defect P2'!S66,RTS!S66)</f>
        <v>0</v>
      </c>
      <c r="T66" s="564">
        <f>SUM('Defect P1'!T66,'Defect P2'!T66,RTS!T66)</f>
        <v>0</v>
      </c>
      <c r="U66" s="564">
        <f>SUM('Defect P1'!U66,'Defect P2'!U66,RTS!U66)</f>
        <v>0</v>
      </c>
      <c r="V66" s="564">
        <f>SUM('Defect P1'!V66,'Defect P2'!V66,RTS!V66)</f>
        <v>0</v>
      </c>
      <c r="W66" s="564">
        <f>SUM('Defect P1'!W66,'Defect P2'!W66,RTS!W66)</f>
        <v>0</v>
      </c>
      <c r="X66" s="564">
        <f>SUM('Defect P1'!X66,'Defect P2'!X66,RTS!X66)</f>
        <v>0</v>
      </c>
      <c r="Y66" s="564">
        <f>SUM('Defect P1'!Y66,'Defect P2'!Y66,RTS!Y66)</f>
        <v>0</v>
      </c>
      <c r="Z66" s="105">
        <f>SUM('Defect P1'!Z66,'Defect P2'!Z66,RTS!Z66)</f>
        <v>0</v>
      </c>
      <c r="AA66" s="106">
        <f>SUM('Defect P1'!AA66,'Defect P2'!AA66,RTS!AA66)</f>
        <v>0</v>
      </c>
      <c r="AB66" s="106">
        <f>SUM('Defect P1'!AB66,'Defect P2'!AB66,RTS!AB66)</f>
        <v>0</v>
      </c>
      <c r="AC66" s="106">
        <f>SUM('Defect P1'!AC66,'Defect P2'!AC66,RTS!AC66)</f>
        <v>0</v>
      </c>
      <c r="AD66" s="106">
        <f>SUM('Defect P1'!AD66,'Defect P2'!AD66,RTS!AD66)</f>
        <v>0</v>
      </c>
      <c r="AE66" s="106">
        <f>SUM('Defect P1'!AE66,'Defect P2'!AE66,RTS!AE66)</f>
        <v>0</v>
      </c>
      <c r="AF66" s="106">
        <f>SUM('Defect P1'!AF66,'Defect P2'!AF66,RTS!AF66)</f>
        <v>0</v>
      </c>
      <c r="AG66" s="106">
        <f>SUM('Defect P1'!AG66,'Defect P2'!AG66,RTS!AG66)</f>
        <v>0</v>
      </c>
      <c r="AH66" s="106">
        <f>SUM('Defect P1'!AH66,'Defect P2'!AH66,RTS!AH66)</f>
        <v>0</v>
      </c>
      <c r="AI66" s="106">
        <f>SUM('Defect P1'!AI66,'Defect P2'!AI66,RTS!AI66)</f>
        <v>0</v>
      </c>
      <c r="AJ66" s="106">
        <f>SUM('Defect P1'!AJ66,'Defect P2'!AJ66,RTS!AJ66)</f>
        <v>0</v>
      </c>
      <c r="AK66" s="133">
        <f t="shared" si="14"/>
        <v>0</v>
      </c>
      <c r="AL66" s="134" cm="1">
        <f t="array" ref="AL66">IFERROR(IF($AM$4="N",SSUM(AF66:AH66)/3,SUM(AG66:AI66)/3),"")</f>
        <v>0</v>
      </c>
      <c r="AM66" s="135">
        <f t="shared" si="15"/>
        <v>0</v>
      </c>
      <c r="AN66" s="110" t="str">
        <f t="shared" si="17"/>
        <v/>
      </c>
      <c r="AO66" s="111" t="str">
        <f t="shared" si="18"/>
        <v/>
      </c>
      <c r="AP66" s="111" t="str">
        <f t="shared" si="19"/>
        <v/>
      </c>
      <c r="AQ66" s="111" t="str">
        <f t="shared" si="20"/>
        <v/>
      </c>
      <c r="AR66" s="111" t="str">
        <f t="shared" si="21"/>
        <v/>
      </c>
      <c r="AS66" s="111" t="str">
        <f t="shared" si="22"/>
        <v/>
      </c>
      <c r="AT66" s="111" t="str">
        <f t="shared" si="23"/>
        <v/>
      </c>
      <c r="AU66" s="111" t="str">
        <f t="shared" si="24"/>
        <v/>
      </c>
      <c r="AV66" s="111" t="str">
        <f t="shared" si="25"/>
        <v/>
      </c>
      <c r="AW66" s="111" t="str">
        <f t="shared" si="9"/>
        <v/>
      </c>
      <c r="AX66" s="111" t="str">
        <f t="shared" si="10"/>
        <v/>
      </c>
      <c r="AY66" s="112" t="str">
        <f t="shared" si="26"/>
        <v/>
      </c>
      <c r="AZ66" s="113" t="str">
        <f t="shared" si="27"/>
        <v/>
      </c>
      <c r="BA66" s="114" t="str">
        <f t="shared" si="28"/>
        <v/>
      </c>
      <c r="BB66" s="141">
        <f>SUM('Defect P1'!CE66,'Defect P2'!CE66,RTS!CE66)</f>
        <v>0</v>
      </c>
      <c r="BC66" s="141">
        <f>SUM('Defect P1'!CF66,'Defect P2'!CF66,RTS!CF66)</f>
        <v>0</v>
      </c>
      <c r="BD66" s="141">
        <f>SUM('Defect P1'!CG66,'Defect P2'!CG66,RTS!CG66)</f>
        <v>0</v>
      </c>
      <c r="BE66" s="141">
        <f>SUM('Defect P1'!CH66,'Defect P2'!CH66,RTS!CH66)</f>
        <v>0</v>
      </c>
      <c r="BF66" s="141">
        <f>SUM('Defect P1'!CI66,'Defect P2'!CI66,RTS!CI66)</f>
        <v>0</v>
      </c>
      <c r="BG66" s="141">
        <f>SUM('Defect P1'!CJ66,'Defect P2'!CJ66,RTS!CJ66)</f>
        <v>0</v>
      </c>
      <c r="BH66" s="141">
        <f>SUM('Defect P1'!CK66,'Defect P2'!CK66,RTS!CK66)</f>
        <v>0</v>
      </c>
      <c r="BI66" s="292">
        <f>SUM('Defect P1'!CL66,'Defect P2'!CL66,RTS!CL66)</f>
        <v>0</v>
      </c>
      <c r="BJ66" s="116" t="str">
        <f t="shared" si="16"/>
        <v/>
      </c>
      <c r="BK66" s="641">
        <f>SUM('Defect P1'!CQ66,'Defect P2'!CQ66,RTS!CQ66)</f>
        <v>0</v>
      </c>
      <c r="BL66" s="117">
        <f>SUM('Defect P1'!CR66,'Defect P2'!CR66,RTS!CR66)</f>
        <v>0</v>
      </c>
      <c r="BM66" s="638">
        <f>SUM('Defect P1'!CS66,'Defect P2'!CS66,RTS!CS66)</f>
        <v>0</v>
      </c>
      <c r="BN66" s="467">
        <f>SUM('Defect P1'!CT66,'Defect P2'!CT66,RTS!CT66)</f>
        <v>0</v>
      </c>
      <c r="BO66" s="117">
        <f>SUM('Defect P1'!CU66,'Defect P2'!CU66,RTS!CU66)</f>
        <v>0</v>
      </c>
      <c r="BP66" s="117">
        <f>SUM('Defect P1'!CV66,'Defect P2'!CV66,RTS!CV66)</f>
        <v>0</v>
      </c>
      <c r="BQ66" s="117">
        <f>SUM('Defect P1'!CW66,'Defect P2'!CW66,RTS!CW66)</f>
        <v>0</v>
      </c>
      <c r="BR66" s="118">
        <f>SUM('Defect P1'!CX66,'Defect P2'!CX66,RTS!CX66)</f>
        <v>0</v>
      </c>
    </row>
    <row r="67" spans="1:71" x14ac:dyDescent="0.25">
      <c r="A67" s="142" t="s">
        <v>138</v>
      </c>
      <c r="B67" s="143" t="s">
        <v>135</v>
      </c>
      <c r="C67" s="65" t="s">
        <v>356</v>
      </c>
      <c r="D67" s="66">
        <f>SUM('Defect P1'!D67,'Defect P2'!D67,RTS!D67)</f>
        <v>5933081.666290354</v>
      </c>
      <c r="E67" s="67">
        <f>SUM('Defect P1'!E67,'Defect P2'!E67,RTS!E67)</f>
        <v>8645386.4166538529</v>
      </c>
      <c r="F67" s="67">
        <f>SUM('Defect P1'!F67,'Defect P2'!F67,RTS!F67)</f>
        <v>7868812.0886980705</v>
      </c>
      <c r="G67" s="67">
        <f>SUM('Defect P1'!G67,'Defect P2'!G67,RTS!G67)</f>
        <v>6344980.9375815354</v>
      </c>
      <c r="H67" s="67">
        <f>SUM('Defect P1'!H67,'Defect P2'!H67,RTS!H67)</f>
        <v>7107070.7204814171</v>
      </c>
      <c r="I67" s="67">
        <f>SUM('Defect P1'!I67,'Defect P2'!I67,RTS!I67)</f>
        <v>8967326.0764873438</v>
      </c>
      <c r="J67" s="67">
        <f>SUM('Defect P1'!J67,'Defect P2'!J67,RTS!J67)</f>
        <v>10443276.770521164</v>
      </c>
      <c r="K67" s="67">
        <f>SUM('Defect P1'!K67,'Defect P2'!K67,RTS!K67)</f>
        <v>6022786.7210372239</v>
      </c>
      <c r="L67" s="67">
        <f>SUM('Defect P1'!L67,'Defect P2'!L67,RTS!L67)</f>
        <v>9769233.7265257332</v>
      </c>
      <c r="M67" s="67">
        <f>SUM('Defect P1'!M67,'Defect P2'!M67,RTS!M67)</f>
        <v>10067895.957402203</v>
      </c>
      <c r="N67" s="67">
        <v>10183454.544572724</v>
      </c>
      <c r="O67" s="557">
        <f>SUM('Defect P1'!O67,'Defect P2'!O67,RTS!O67)</f>
        <v>7982702.2202790417</v>
      </c>
      <c r="P67" s="558">
        <f>SUM('Defect P1'!P67,'Defect P2'!P67,RTS!P67)</f>
        <v>11458862.496427476</v>
      </c>
      <c r="Q67" s="558">
        <f>SUM('Defect P1'!Q67,'Defect P2'!Q67,RTS!Q67)</f>
        <v>10323926.688215297</v>
      </c>
      <c r="R67" s="558">
        <f>SUM('Defect P1'!R67,'Defect P2'!R67,RTS!R67)</f>
        <v>8166731.2419868987</v>
      </c>
      <c r="S67" s="558">
        <f>SUM('Defect P1'!S67,'Defect P2'!S67,RTS!S67)</f>
        <v>8961439.0720557775</v>
      </c>
      <c r="T67" s="558">
        <f>SUM('Defect P1'!T67,'Defect P2'!T67,RTS!T67)</f>
        <v>11129781.465696489</v>
      </c>
      <c r="U67" s="558">
        <f>SUM('Defect P1'!U67,'Defect P2'!U67,RTS!U67)</f>
        <v>13006975.624863716</v>
      </c>
      <c r="V67" s="558">
        <f>SUM('Defect P1'!V67,'Defect P2'!V67,RTS!V67)</f>
        <v>7223482.1917366339</v>
      </c>
      <c r="W67" s="558">
        <f>SUM('Defect P1'!W67,'Defect P2'!W67,RTS!W67)</f>
        <v>11038523.242647508</v>
      </c>
      <c r="X67" s="558">
        <f>SUM('Defect P1'!X67,'Defect P2'!X67,RTS!X67)</f>
        <v>10706813.958657809</v>
      </c>
      <c r="Y67" s="558">
        <f>SUM('Defect P1'!Y67,'Defect P2'!Y67,RTS!Y67)</f>
        <v>10463484.058732431</v>
      </c>
      <c r="Z67" s="68">
        <f>SUM('Defect P1'!Z67,'Defect P2'!Z67,RTS!Z67)</f>
        <v>566</v>
      </c>
      <c r="AA67" s="69">
        <f>SUM('Defect P1'!AA67,'Defect P2'!AA67,RTS!AA67)</f>
        <v>781</v>
      </c>
      <c r="AB67" s="69">
        <f>SUM('Defect P1'!AB67,'Defect P2'!AB67,RTS!AB67)</f>
        <v>700</v>
      </c>
      <c r="AC67" s="69">
        <f>SUM('Defect P1'!AC67,'Defect P2'!AC67,RTS!AC67)</f>
        <v>553</v>
      </c>
      <c r="AD67" s="69">
        <f>SUM('Defect P1'!AD67,'Defect P2'!AD67,RTS!AD67)</f>
        <v>666</v>
      </c>
      <c r="AE67" s="69">
        <f>SUM('Defect P1'!AE67,'Defect P2'!AE67,RTS!AE67)</f>
        <v>757</v>
      </c>
      <c r="AF67" s="69">
        <f>SUM('Defect P1'!AF67,'Defect P2'!AF67,RTS!AF67)</f>
        <v>817</v>
      </c>
      <c r="AG67" s="69">
        <f>SUM('Defect P1'!AG67,'Defect P2'!AG67,RTS!AG67)</f>
        <v>650</v>
      </c>
      <c r="AH67" s="69">
        <f>SUM('Defect P1'!AH67,'Defect P2'!AH67,RTS!AH67)</f>
        <v>765</v>
      </c>
      <c r="AI67" s="69">
        <f>SUM('Defect P1'!AI67,'Defect P2'!AI67,RTS!AI67)</f>
        <v>511</v>
      </c>
      <c r="AJ67" s="69">
        <f>SUM('Defect P1'!AJ67,'Defect P2'!AJ67,RTS!AJ67)</f>
        <v>482</v>
      </c>
      <c r="AK67" s="70">
        <f t="shared" si="14"/>
        <v>700</v>
      </c>
      <c r="AL67" s="71" cm="1">
        <f t="array" ref="AL67">IFERROR(IF($AM$4="N",SSUM(AF67:AH67)/3,SUM(AG67:AI67)/3),"")</f>
        <v>642</v>
      </c>
      <c r="AM67" s="72">
        <f t="shared" si="15"/>
        <v>511</v>
      </c>
      <c r="AN67" s="73">
        <f t="shared" si="17"/>
        <v>10482.476442209107</v>
      </c>
      <c r="AO67" s="74">
        <f t="shared" si="18"/>
        <v>11069.636897124012</v>
      </c>
      <c r="AP67" s="74">
        <f t="shared" si="19"/>
        <v>11241.160126711529</v>
      </c>
      <c r="AQ67" s="74">
        <f t="shared" si="20"/>
        <v>11473.744914252324</v>
      </c>
      <c r="AR67" s="74">
        <f t="shared" si="21"/>
        <v>10671.277358080206</v>
      </c>
      <c r="AS67" s="74">
        <f t="shared" si="22"/>
        <v>11845.873284659636</v>
      </c>
      <c r="AT67" s="74">
        <f t="shared" si="23"/>
        <v>12782.468507369846</v>
      </c>
      <c r="AU67" s="74">
        <f t="shared" si="24"/>
        <v>9265.8257246726516</v>
      </c>
      <c r="AV67" s="74">
        <f t="shared" si="25"/>
        <v>12770.240165393116</v>
      </c>
      <c r="AW67" s="74">
        <f t="shared" si="9"/>
        <v>19702.340425444625</v>
      </c>
      <c r="AX67" s="74">
        <f t="shared" si="10"/>
        <v>21127.499055130134</v>
      </c>
      <c r="AY67" s="75">
        <f t="shared" si="26"/>
        <v>12934.434071992478</v>
      </c>
      <c r="AZ67" s="76">
        <f t="shared" si="27"/>
        <v>13426.747873813687</v>
      </c>
      <c r="BA67" s="77">
        <f t="shared" si="28"/>
        <v>19702.340425444625</v>
      </c>
      <c r="BB67" s="78">
        <f>SUM('Defect P1'!CE67,'Defect P2'!CE67,RTS!CE67)</f>
        <v>658.8</v>
      </c>
      <c r="BC67" s="78">
        <f>SUM('Defect P1'!CF67,'Defect P2'!CF67,RTS!CF67)</f>
        <v>658.8</v>
      </c>
      <c r="BD67" s="78">
        <f>SUM('Defect P1'!CG67,'Defect P2'!CG67,RTS!CG67)</f>
        <v>658.8</v>
      </c>
      <c r="BE67" s="78">
        <f>SUM('Defect P1'!CH67,'Defect P2'!CH67,RTS!CH67)</f>
        <v>327.98560467202026</v>
      </c>
      <c r="BF67" s="78">
        <f>SUM('Defect P1'!CI67,'Defect P2'!CI67,RTS!CI67)</f>
        <v>327.98560467202026</v>
      </c>
      <c r="BG67" s="78">
        <f>SUM('Defect P1'!CJ67,'Defect P2'!CJ67,RTS!CJ67)</f>
        <v>327.98560467202026</v>
      </c>
      <c r="BH67" s="78">
        <f>SUM('Defect P1'!CK67,'Defect P2'!CK67,RTS!CK67)</f>
        <v>327.98560467202026</v>
      </c>
      <c r="BI67" s="285">
        <f>SUM('Defect P1'!CL67,'Defect P2'!CL67,RTS!CL67)</f>
        <v>327.98560467202026</v>
      </c>
      <c r="BJ67" s="124">
        <f t="shared" si="16"/>
        <v>12091.341448246196</v>
      </c>
      <c r="BK67" s="639">
        <f>SUM('Defect P1'!CQ67,'Defect P2'!CQ67,RTS!CQ67)</f>
        <v>8619913.901988389</v>
      </c>
      <c r="BL67" s="79">
        <f>SUM('Defect P1'!CR67,'Defect P2'!CR67,RTS!CR67)</f>
        <v>8619913.901988389</v>
      </c>
      <c r="BM67" s="523">
        <f>SUM('Defect P1'!CS67,'Defect P2'!CS67,RTS!CS67)</f>
        <v>8619913.901988389</v>
      </c>
      <c r="BN67" s="415">
        <f>SUM('Defect P1'!CT67,'Defect P2'!CT67,RTS!CT67)</f>
        <v>3573303.0426686108</v>
      </c>
      <c r="BO67" s="79">
        <f>SUM('Defect P1'!CU67,'Defect P2'!CU67,RTS!CU67)</f>
        <v>3573303.0426686108</v>
      </c>
      <c r="BP67" s="79">
        <f>SUM('Defect P1'!CV67,'Defect P2'!CV67,RTS!CV67)</f>
        <v>3573303.0426686108</v>
      </c>
      <c r="BQ67" s="79">
        <f>SUM('Defect P1'!CW67,'Defect P2'!CW67,RTS!CW67)</f>
        <v>3573303.0426686108</v>
      </c>
      <c r="BR67" s="80">
        <f>SUM('Defect P1'!CX67,'Defect P2'!CX67,RTS!CX67)</f>
        <v>3573303.0426686108</v>
      </c>
    </row>
    <row r="68" spans="1:71" x14ac:dyDescent="0.25">
      <c r="A68" s="81" t="s">
        <v>138</v>
      </c>
      <c r="B68" s="82" t="s">
        <v>139</v>
      </c>
      <c r="C68" s="83" t="s">
        <v>357</v>
      </c>
      <c r="D68" s="84">
        <f>SUM('Defect P1'!D68,'Defect P2'!D68,RTS!D68)</f>
        <v>730031.23450858053</v>
      </c>
      <c r="E68" s="85">
        <f>SUM('Defect P1'!E68,'Defect P2'!E68,RTS!E68)</f>
        <v>1855134.7629826446</v>
      </c>
      <c r="F68" s="85">
        <f>SUM('Defect P1'!F68,'Defect P2'!F68,RTS!F68)</f>
        <v>1101835.4607186452</v>
      </c>
      <c r="G68" s="85">
        <f>SUM('Defect P1'!G68,'Defect P2'!G68,RTS!G68)</f>
        <v>670179.4883314576</v>
      </c>
      <c r="H68" s="85">
        <f>SUM('Defect P1'!H68,'Defect P2'!H68,RTS!H68)</f>
        <v>725750.36535747326</v>
      </c>
      <c r="I68" s="85">
        <f>SUM('Defect P1'!I68,'Defect P2'!I68,RTS!I68)</f>
        <v>801228.46534668386</v>
      </c>
      <c r="J68" s="85">
        <f>SUM('Defect P1'!J68,'Defect P2'!J68,RTS!J68)</f>
        <v>1363343.033293603</v>
      </c>
      <c r="K68" s="85">
        <f>SUM('Defect P1'!K68,'Defect P2'!K68,RTS!K68)</f>
        <v>1237435.743837263</v>
      </c>
      <c r="L68" s="85">
        <f>SUM('Defect P1'!L68,'Defect P2'!L68,RTS!L68)</f>
        <v>1129862.4041227237</v>
      </c>
      <c r="M68" s="85">
        <f>SUM('Defect P1'!M68,'Defect P2'!M68,RTS!M68)</f>
        <v>1087973.4618092864</v>
      </c>
      <c r="N68" s="85">
        <v>1027137.1867614631</v>
      </c>
      <c r="O68" s="560">
        <f>SUM('Defect P1'!O68,'Defect P2'!O68,RTS!O68)</f>
        <v>982225.13768774795</v>
      </c>
      <c r="P68" s="561">
        <f>SUM('Defect P1'!P68,'Defect P2'!P68,RTS!P68)</f>
        <v>2458852.980869812</v>
      </c>
      <c r="Q68" s="561">
        <f>SUM('Defect P1'!Q68,'Defect P2'!Q68,RTS!Q68)</f>
        <v>1445614.457520653</v>
      </c>
      <c r="R68" s="561">
        <f>SUM('Defect P1'!R68,'Defect P2'!R68,RTS!R68)</f>
        <v>862599.24481057213</v>
      </c>
      <c r="S68" s="561">
        <f>SUM('Defect P1'!S68,'Defect P2'!S68,RTS!S68)</f>
        <v>915112.278527132</v>
      </c>
      <c r="T68" s="561">
        <f>SUM('Defect P1'!T68,'Defect P2'!T68,RTS!T68)</f>
        <v>994443.34323762008</v>
      </c>
      <c r="U68" s="561">
        <f>SUM('Defect P1'!U68,'Defect P2'!U68,RTS!U68)</f>
        <v>1698027.3521461696</v>
      </c>
      <c r="V68" s="561">
        <f>SUM('Defect P1'!V68,'Defect P2'!V68,RTS!V68)</f>
        <v>1484129.4359311913</v>
      </c>
      <c r="W68" s="561">
        <f>SUM('Defect P1'!W68,'Defect P2'!W68,RTS!W68)</f>
        <v>1276662.301060305</v>
      </c>
      <c r="X68" s="561">
        <f>SUM('Defect P1'!X68,'Defect P2'!X68,RTS!X68)</f>
        <v>1157017.2652593264</v>
      </c>
      <c r="Y68" s="561">
        <f>SUM('Defect P1'!Y68,'Defect P2'!Y68,RTS!Y68)</f>
        <v>1055381.8974463525</v>
      </c>
      <c r="Z68" s="86">
        <f>SUM('Defect P1'!Z68,'Defect P2'!Z68,RTS!Z68)</f>
        <v>19</v>
      </c>
      <c r="AA68" s="87">
        <f>SUM('Defect P1'!AA68,'Defect P2'!AA68,RTS!AA68)</f>
        <v>35</v>
      </c>
      <c r="AB68" s="87">
        <f>SUM('Defect P1'!AB68,'Defect P2'!AB68,RTS!AB68)</f>
        <v>23</v>
      </c>
      <c r="AC68" s="87">
        <f>SUM('Defect P1'!AC68,'Defect P2'!AC68,RTS!AC68)</f>
        <v>13</v>
      </c>
      <c r="AD68" s="87">
        <f>SUM('Defect P1'!AD68,'Defect P2'!AD68,RTS!AD68)</f>
        <v>15</v>
      </c>
      <c r="AE68" s="87">
        <f>SUM('Defect P1'!AE68,'Defect P2'!AE68,RTS!AE68)</f>
        <v>18</v>
      </c>
      <c r="AF68" s="87">
        <f>SUM('Defect P1'!AF68,'Defect P2'!AF68,RTS!AF68)</f>
        <v>21</v>
      </c>
      <c r="AG68" s="87">
        <f>SUM('Defect P1'!AG68,'Defect P2'!AG68,RTS!AG68)</f>
        <v>23</v>
      </c>
      <c r="AH68" s="87">
        <f>SUM('Defect P1'!AH68,'Defect P2'!AH68,RTS!AH68)</f>
        <v>23</v>
      </c>
      <c r="AI68" s="87">
        <f>SUM('Defect P1'!AI68,'Defect P2'!AI68,RTS!AI68)</f>
        <v>19</v>
      </c>
      <c r="AJ68" s="87">
        <f>SUM('Defect P1'!AJ68,'Defect P2'!AJ68,RTS!AJ68)</f>
        <v>13</v>
      </c>
      <c r="AK68" s="88">
        <f t="shared" si="14"/>
        <v>20.8</v>
      </c>
      <c r="AL68" s="89" cm="1">
        <f t="array" ref="AL68">IFERROR(IF($AM$4="N",SSUM(AF68:AH68)/3,SUM(AG68:AI68)/3),"")</f>
        <v>21.666666666666668</v>
      </c>
      <c r="AM68" s="90">
        <f t="shared" si="15"/>
        <v>19</v>
      </c>
      <c r="AN68" s="91">
        <f t="shared" si="17"/>
        <v>38422.696553083188</v>
      </c>
      <c r="AO68" s="92">
        <f t="shared" si="18"/>
        <v>53003.850370932705</v>
      </c>
      <c r="AP68" s="92">
        <f t="shared" si="19"/>
        <v>47905.889596462839</v>
      </c>
      <c r="AQ68" s="92">
        <f t="shared" si="20"/>
        <v>51552.268333189044</v>
      </c>
      <c r="AR68" s="92">
        <f t="shared" si="21"/>
        <v>48383.357690498218</v>
      </c>
      <c r="AS68" s="92">
        <f t="shared" si="22"/>
        <v>44512.692519260214</v>
      </c>
      <c r="AT68" s="92">
        <f t="shared" si="23"/>
        <v>64921.096823504908</v>
      </c>
      <c r="AU68" s="92">
        <f t="shared" si="24"/>
        <v>53801.554079880996</v>
      </c>
      <c r="AV68" s="92">
        <f t="shared" si="25"/>
        <v>49124.452353161898</v>
      </c>
      <c r="AW68" s="92">
        <f t="shared" si="9"/>
        <v>57261.761147857178</v>
      </c>
      <c r="AX68" s="92">
        <f t="shared" si="10"/>
        <v>79010.552827804844</v>
      </c>
      <c r="AY68" s="93">
        <f t="shared" si="26"/>
        <v>54036.952965476536</v>
      </c>
      <c r="AZ68" s="94">
        <f t="shared" si="27"/>
        <v>53158.024765681126</v>
      </c>
      <c r="BA68" s="95">
        <f t="shared" si="28"/>
        <v>57261.761147857178</v>
      </c>
      <c r="BB68" s="96">
        <f>SUM('Defect P1'!CE68,'Defect P2'!CE68,RTS!CE68)</f>
        <v>21.666666666666668</v>
      </c>
      <c r="BC68" s="96">
        <f>SUM('Defect P1'!CF68,'Defect P2'!CF68,RTS!CF68)</f>
        <v>21.666666666666668</v>
      </c>
      <c r="BD68" s="96">
        <f>SUM('Defect P1'!CG68,'Defect P2'!CG68,RTS!CG68)</f>
        <v>21.666666666666668</v>
      </c>
      <c r="BE68" s="96">
        <f>SUM('Defect P1'!CH68,'Defect P2'!CH68,RTS!CH68)</f>
        <v>16.973054342957461</v>
      </c>
      <c r="BF68" s="96">
        <f>SUM('Defect P1'!CI68,'Defect P2'!CI68,RTS!CI68)</f>
        <v>16.973054342957461</v>
      </c>
      <c r="BG68" s="96">
        <f>SUM('Defect P1'!CJ68,'Defect P2'!CJ68,RTS!CJ68)</f>
        <v>16.973054342957461</v>
      </c>
      <c r="BH68" s="96">
        <f>SUM('Defect P1'!CK68,'Defect P2'!CK68,RTS!CK68)</f>
        <v>16.973054342957461</v>
      </c>
      <c r="BI68" s="286">
        <f>SUM('Defect P1'!CL68,'Defect P2'!CL68,RTS!CL68)</f>
        <v>16.973054342957461</v>
      </c>
      <c r="BJ68" s="99">
        <f t="shared" si="16"/>
        <v>46673.734343740645</v>
      </c>
      <c r="BK68" s="640">
        <f>SUM('Defect P1'!CQ68,'Defect P2'!CQ68,RTS!CQ68)</f>
        <v>1151757.2032564243</v>
      </c>
      <c r="BL68" s="97">
        <f>SUM('Defect P1'!CR68,'Defect P2'!CR68,RTS!CR68)</f>
        <v>1151757.2032564243</v>
      </c>
      <c r="BM68" s="524">
        <f>SUM('Defect P1'!CS68,'Defect P2'!CS68,RTS!CS68)</f>
        <v>1151757.2032564243</v>
      </c>
      <c r="BN68" s="416">
        <f>SUM('Defect P1'!CT68,'Defect P2'!CT68,RTS!CT68)</f>
        <v>707900.0539198434</v>
      </c>
      <c r="BO68" s="97">
        <f>SUM('Defect P1'!CU68,'Defect P2'!CU68,RTS!CU68)</f>
        <v>707900.0539198434</v>
      </c>
      <c r="BP68" s="97">
        <f>SUM('Defect P1'!CV68,'Defect P2'!CV68,RTS!CV68)</f>
        <v>707900.0539198434</v>
      </c>
      <c r="BQ68" s="97">
        <f>SUM('Defect P1'!CW68,'Defect P2'!CW68,RTS!CW68)</f>
        <v>707900.0539198434</v>
      </c>
      <c r="BR68" s="98">
        <f>SUM('Defect P1'!CX68,'Defect P2'!CX68,RTS!CX68)</f>
        <v>707900.0539198434</v>
      </c>
    </row>
    <row r="69" spans="1:71" x14ac:dyDescent="0.25">
      <c r="A69" s="81" t="s">
        <v>138</v>
      </c>
      <c r="B69" s="82" t="s">
        <v>141</v>
      </c>
      <c r="C69" s="83" t="s">
        <v>358</v>
      </c>
      <c r="D69" s="84">
        <f>SUM('Defect P1'!D69,'Defect P2'!D69,RTS!D69)</f>
        <v>0</v>
      </c>
      <c r="E69" s="85">
        <f>SUM('Defect P1'!E69,'Defect P2'!E69,RTS!E69)</f>
        <v>0</v>
      </c>
      <c r="F69" s="85">
        <f>SUM('Defect P1'!F69,'Defect P2'!F69,RTS!F69)</f>
        <v>0</v>
      </c>
      <c r="G69" s="85">
        <f>SUM('Defect P1'!G69,'Defect P2'!G69,RTS!G69)</f>
        <v>0</v>
      </c>
      <c r="H69" s="85">
        <f>SUM('Defect P1'!H69,'Defect P2'!H69,RTS!H69)</f>
        <v>0</v>
      </c>
      <c r="I69" s="85">
        <f>SUM('Defect P1'!I69,'Defect P2'!I69,RTS!I69)</f>
        <v>0</v>
      </c>
      <c r="J69" s="85">
        <f>SUM('Defect P1'!J69,'Defect P2'!J69,RTS!J69)</f>
        <v>0</v>
      </c>
      <c r="K69" s="85">
        <f>SUM('Defect P1'!K69,'Defect P2'!K69,RTS!K69)</f>
        <v>0</v>
      </c>
      <c r="L69" s="85">
        <f>SUM('Defect P1'!L69,'Defect P2'!L69,RTS!L69)</f>
        <v>0</v>
      </c>
      <c r="M69" s="85">
        <f>SUM('Defect P1'!M69,'Defect P2'!M69,RTS!M69)</f>
        <v>0</v>
      </c>
      <c r="N69" s="85">
        <v>0</v>
      </c>
      <c r="O69" s="560">
        <f>SUM('Defect P1'!O69,'Defect P2'!O69,RTS!O69)</f>
        <v>0</v>
      </c>
      <c r="P69" s="561">
        <f>SUM('Defect P1'!P69,'Defect P2'!P69,RTS!P69)</f>
        <v>0</v>
      </c>
      <c r="Q69" s="561">
        <f>SUM('Defect P1'!Q69,'Defect P2'!Q69,RTS!Q69)</f>
        <v>0</v>
      </c>
      <c r="R69" s="561">
        <f>SUM('Defect P1'!R69,'Defect P2'!R69,RTS!R69)</f>
        <v>0</v>
      </c>
      <c r="S69" s="561">
        <f>SUM('Defect P1'!S69,'Defect P2'!S69,RTS!S69)</f>
        <v>0</v>
      </c>
      <c r="T69" s="561">
        <f>SUM('Defect P1'!T69,'Defect P2'!T69,RTS!T69)</f>
        <v>0</v>
      </c>
      <c r="U69" s="561">
        <f>SUM('Defect P1'!U69,'Defect P2'!U69,RTS!U69)</f>
        <v>0</v>
      </c>
      <c r="V69" s="561">
        <f>SUM('Defect P1'!V69,'Defect P2'!V69,RTS!V69)</f>
        <v>0</v>
      </c>
      <c r="W69" s="561">
        <f>SUM('Defect P1'!W69,'Defect P2'!W69,RTS!W69)</f>
        <v>0</v>
      </c>
      <c r="X69" s="561">
        <f>SUM('Defect P1'!X69,'Defect P2'!X69,RTS!X69)</f>
        <v>0</v>
      </c>
      <c r="Y69" s="561">
        <f>SUM('Defect P1'!Y69,'Defect P2'!Y69,RTS!Y69)</f>
        <v>0</v>
      </c>
      <c r="Z69" s="86">
        <f>SUM('Defect P1'!Z69,'Defect P2'!Z69,RTS!Z69)</f>
        <v>0</v>
      </c>
      <c r="AA69" s="87">
        <f>SUM('Defect P1'!AA69,'Defect P2'!AA69,RTS!AA69)</f>
        <v>0</v>
      </c>
      <c r="AB69" s="87">
        <f>SUM('Defect P1'!AB69,'Defect P2'!AB69,RTS!AB69)</f>
        <v>0</v>
      </c>
      <c r="AC69" s="87">
        <f>SUM('Defect P1'!AC69,'Defect P2'!AC69,RTS!AC69)</f>
        <v>0</v>
      </c>
      <c r="AD69" s="87">
        <f>SUM('Defect P1'!AD69,'Defect P2'!AD69,RTS!AD69)</f>
        <v>0</v>
      </c>
      <c r="AE69" s="87">
        <f>SUM('Defect P1'!AE69,'Defect P2'!AE69,RTS!AE69)</f>
        <v>0</v>
      </c>
      <c r="AF69" s="87">
        <f>SUM('Defect P1'!AF69,'Defect P2'!AF69,RTS!AF69)</f>
        <v>0</v>
      </c>
      <c r="AG69" s="87">
        <f>SUM('Defect P1'!AG69,'Defect P2'!AG69,RTS!AG69)</f>
        <v>0</v>
      </c>
      <c r="AH69" s="87">
        <f>SUM('Defect P1'!AH69,'Defect P2'!AH69,RTS!AH69)</f>
        <v>0</v>
      </c>
      <c r="AI69" s="87">
        <f>SUM('Defect P1'!AI69,'Defect P2'!AI69,RTS!AI69)</f>
        <v>0</v>
      </c>
      <c r="AJ69" s="87">
        <f>SUM('Defect P1'!AJ69,'Defect P2'!AJ69,RTS!AJ69)</f>
        <v>0</v>
      </c>
      <c r="AK69" s="88">
        <f t="shared" si="14"/>
        <v>0</v>
      </c>
      <c r="AL69" s="89" cm="1">
        <f t="array" ref="AL69">IFERROR(IF($AM$4="N",SSUM(AF69:AH69)/3,SUM(AG69:AI69)/3),"")</f>
        <v>0</v>
      </c>
      <c r="AM69" s="90">
        <f t="shared" si="15"/>
        <v>0</v>
      </c>
      <c r="AN69" s="91" t="str">
        <f t="shared" si="17"/>
        <v/>
      </c>
      <c r="AO69" s="92" t="str">
        <f t="shared" si="18"/>
        <v/>
      </c>
      <c r="AP69" s="92" t="str">
        <f t="shared" si="19"/>
        <v/>
      </c>
      <c r="AQ69" s="92" t="str">
        <f t="shared" si="20"/>
        <v/>
      </c>
      <c r="AR69" s="92" t="str">
        <f t="shared" si="21"/>
        <v/>
      </c>
      <c r="AS69" s="92" t="str">
        <f t="shared" si="22"/>
        <v/>
      </c>
      <c r="AT69" s="92" t="str">
        <f t="shared" si="23"/>
        <v/>
      </c>
      <c r="AU69" s="92" t="str">
        <f t="shared" si="24"/>
        <v/>
      </c>
      <c r="AV69" s="92" t="str">
        <f t="shared" si="25"/>
        <v/>
      </c>
      <c r="AW69" s="92" t="str">
        <f t="shared" si="9"/>
        <v/>
      </c>
      <c r="AX69" s="92" t="str">
        <f t="shared" si="10"/>
        <v/>
      </c>
      <c r="AY69" s="93" t="str">
        <f t="shared" si="26"/>
        <v/>
      </c>
      <c r="AZ69" s="94" t="str">
        <f t="shared" si="27"/>
        <v/>
      </c>
      <c r="BA69" s="95" t="str">
        <f t="shared" si="28"/>
        <v/>
      </c>
      <c r="BB69" s="96">
        <f>SUM('Defect P1'!CE69,'Defect P2'!CE69,RTS!CE69)</f>
        <v>0</v>
      </c>
      <c r="BC69" s="96">
        <f>SUM('Defect P1'!CF69,'Defect P2'!CF69,RTS!CF69)</f>
        <v>0</v>
      </c>
      <c r="BD69" s="96">
        <f>SUM('Defect P1'!CG69,'Defect P2'!CG69,RTS!CG69)</f>
        <v>0</v>
      </c>
      <c r="BE69" s="96">
        <f>SUM('Defect P1'!CH69,'Defect P2'!CH69,RTS!CH69)</f>
        <v>0</v>
      </c>
      <c r="BF69" s="96">
        <f>SUM('Defect P1'!CI69,'Defect P2'!CI69,RTS!CI69)</f>
        <v>0</v>
      </c>
      <c r="BG69" s="96">
        <f>SUM('Defect P1'!CJ69,'Defect P2'!CJ69,RTS!CJ69)</f>
        <v>0</v>
      </c>
      <c r="BH69" s="96">
        <f>SUM('Defect P1'!CK69,'Defect P2'!CK69,RTS!CK69)</f>
        <v>0</v>
      </c>
      <c r="BI69" s="286">
        <f>SUM('Defect P1'!CL69,'Defect P2'!CL69,RTS!CL69)</f>
        <v>0</v>
      </c>
      <c r="BJ69" s="99" t="str">
        <f t="shared" si="16"/>
        <v/>
      </c>
      <c r="BK69" s="640">
        <f>SUM('Defect P1'!CQ69,'Defect P2'!CQ69,RTS!CQ69)</f>
        <v>0</v>
      </c>
      <c r="BL69" s="97">
        <f>SUM('Defect P1'!CR69,'Defect P2'!CR69,RTS!CR69)</f>
        <v>0</v>
      </c>
      <c r="BM69" s="524">
        <f>SUM('Defect P1'!CS69,'Defect P2'!CS69,RTS!CS69)</f>
        <v>0</v>
      </c>
      <c r="BN69" s="416">
        <f>SUM('Defect P1'!CT69,'Defect P2'!CT69,RTS!CT69)</f>
        <v>0</v>
      </c>
      <c r="BO69" s="97">
        <f>SUM('Defect P1'!CU69,'Defect P2'!CU69,RTS!CU69)</f>
        <v>0</v>
      </c>
      <c r="BP69" s="97">
        <f>SUM('Defect P1'!CV69,'Defect P2'!CV69,RTS!CV69)</f>
        <v>0</v>
      </c>
      <c r="BQ69" s="97">
        <f>SUM('Defect P1'!CW69,'Defect P2'!CW69,RTS!CW69)</f>
        <v>0</v>
      </c>
      <c r="BR69" s="98">
        <f>SUM('Defect P1'!CX69,'Defect P2'!CX69,RTS!CX69)</f>
        <v>0</v>
      </c>
    </row>
    <row r="70" spans="1:71" x14ac:dyDescent="0.25">
      <c r="A70" s="81" t="s">
        <v>138</v>
      </c>
      <c r="B70" s="82" t="s">
        <v>143</v>
      </c>
      <c r="C70" s="83" t="s">
        <v>359</v>
      </c>
      <c r="D70" s="84">
        <f>SUM('Defect P1'!D70,'Defect P2'!D70,RTS!D70)</f>
        <v>2439970.1109356005</v>
      </c>
      <c r="E70" s="85">
        <f>SUM('Defect P1'!E70,'Defect P2'!E70,RTS!E70)</f>
        <v>5028782.2311338102</v>
      </c>
      <c r="F70" s="85">
        <f>SUM('Defect P1'!F70,'Defect P2'!F70,RTS!F70)</f>
        <v>3771520.4497882533</v>
      </c>
      <c r="G70" s="85">
        <f>SUM('Defect P1'!G70,'Defect P2'!G70,RTS!G70)</f>
        <v>2705062.5399895101</v>
      </c>
      <c r="H70" s="85">
        <f>SUM('Defect P1'!H70,'Defect P2'!H70,RTS!H70)</f>
        <v>2762178.7340263696</v>
      </c>
      <c r="I70" s="85">
        <f>SUM('Defect P1'!I70,'Defect P2'!I70,RTS!I70)</f>
        <v>3656705.4059402891</v>
      </c>
      <c r="J70" s="85">
        <f>SUM('Defect P1'!J70,'Defect P2'!J70,RTS!J70)</f>
        <v>5359004.8206112683</v>
      </c>
      <c r="K70" s="85">
        <f>SUM('Defect P1'!K70,'Defect P2'!K70,RTS!K70)</f>
        <v>3527550.6595578738</v>
      </c>
      <c r="L70" s="85">
        <f>SUM('Defect P1'!L70,'Defect P2'!L70,RTS!L70)</f>
        <v>3995958.7696116753</v>
      </c>
      <c r="M70" s="85">
        <f>SUM('Defect P1'!M70,'Defect P2'!M70,RTS!M70)</f>
        <v>5132382.8659864003</v>
      </c>
      <c r="N70" s="85">
        <v>8791149.723411493</v>
      </c>
      <c r="O70" s="560">
        <f>SUM('Defect P1'!O70,'Defect P2'!O70,RTS!O70)</f>
        <v>3282873.2044334756</v>
      </c>
      <c r="P70" s="561">
        <f>SUM('Defect P1'!P70,'Defect P2'!P70,RTS!P70)</f>
        <v>6665303.4733111672</v>
      </c>
      <c r="Q70" s="561">
        <f>SUM('Defect P1'!Q70,'Defect P2'!Q70,RTS!Q70)</f>
        <v>4948256.5078207357</v>
      </c>
      <c r="R70" s="561">
        <f>SUM('Defect P1'!R70,'Defect P2'!R70,RTS!R70)</f>
        <v>3481731.3045043144</v>
      </c>
      <c r="S70" s="561">
        <f>SUM('Defect P1'!S70,'Defect P2'!S70,RTS!S70)</f>
        <v>3482883.0899024392</v>
      </c>
      <c r="T70" s="561">
        <f>SUM('Defect P1'!T70,'Defect P2'!T70,RTS!T70)</f>
        <v>4538513.6779244486</v>
      </c>
      <c r="U70" s="561">
        <f>SUM('Defect P1'!U70,'Defect P2'!U70,RTS!U70)</f>
        <v>6674576.0556664215</v>
      </c>
      <c r="V70" s="561">
        <f>SUM('Defect P1'!V70,'Defect P2'!V70,RTS!V70)</f>
        <v>4230798.8892850634</v>
      </c>
      <c r="W70" s="561">
        <f>SUM('Defect P1'!W70,'Defect P2'!W70,RTS!W70)</f>
        <v>4515142.6396168768</v>
      </c>
      <c r="X70" s="561">
        <f>SUM('Defect P1'!X70,'Defect P2'!X70,RTS!X70)</f>
        <v>5458088.6357210986</v>
      </c>
      <c r="Y70" s="561">
        <f>SUM('Defect P1'!Y70,'Defect P2'!Y70,RTS!Y70)</f>
        <v>9032892.9722448811</v>
      </c>
      <c r="Z70" s="86">
        <f>SUM('Defect P1'!Z70,'Defect P2'!Z70,RTS!Z70)</f>
        <v>145</v>
      </c>
      <c r="AA70" s="87">
        <f>SUM('Defect P1'!AA70,'Defect P2'!AA70,RTS!AA70)</f>
        <v>262</v>
      </c>
      <c r="AB70" s="87">
        <f>SUM('Defect P1'!AB70,'Defect P2'!AB70,RTS!AB70)</f>
        <v>185</v>
      </c>
      <c r="AC70" s="87">
        <f>SUM('Defect P1'!AC70,'Defect P2'!AC70,RTS!AC70)</f>
        <v>151</v>
      </c>
      <c r="AD70" s="87">
        <f>SUM('Defect P1'!AD70,'Defect P2'!AD70,RTS!AD70)</f>
        <v>154</v>
      </c>
      <c r="AE70" s="87">
        <f>SUM('Defect P1'!AE70,'Defect P2'!AE70,RTS!AE70)</f>
        <v>220</v>
      </c>
      <c r="AF70" s="87">
        <f>SUM('Defect P1'!AF70,'Defect P2'!AF70,RTS!AF70)</f>
        <v>249</v>
      </c>
      <c r="AG70" s="87">
        <f>SUM('Defect P1'!AG70,'Defect P2'!AG70,RTS!AG70)</f>
        <v>230</v>
      </c>
      <c r="AH70" s="87">
        <f>SUM('Defect P1'!AH70,'Defect P2'!AH70,RTS!AH70)</f>
        <v>197</v>
      </c>
      <c r="AI70" s="87">
        <f>SUM('Defect P1'!AI70,'Defect P2'!AI70,RTS!AI70)</f>
        <v>157</v>
      </c>
      <c r="AJ70" s="87">
        <f>SUM('Defect P1'!AJ70,'Defect P2'!AJ70,RTS!AJ70)</f>
        <v>154</v>
      </c>
      <c r="AK70" s="88">
        <f t="shared" si="14"/>
        <v>210.6</v>
      </c>
      <c r="AL70" s="89" cm="1">
        <f t="array" ref="AL70">IFERROR(IF($AM$4="N",SSUM(AF70:AH70)/3,SUM(AG70:AI70)/3),"")</f>
        <v>194.66666666666666</v>
      </c>
      <c r="AM70" s="90">
        <f t="shared" si="15"/>
        <v>157</v>
      </c>
      <c r="AN70" s="91">
        <f t="shared" si="17"/>
        <v>16827.380075417936</v>
      </c>
      <c r="AO70" s="92">
        <f t="shared" si="18"/>
        <v>19193.825309671032</v>
      </c>
      <c r="AP70" s="92">
        <f t="shared" si="19"/>
        <v>20386.597025882449</v>
      </c>
      <c r="AQ70" s="92">
        <f t="shared" si="20"/>
        <v>17914.321456884172</v>
      </c>
      <c r="AR70" s="92">
        <f t="shared" si="21"/>
        <v>17936.225545625777</v>
      </c>
      <c r="AS70" s="92">
        <f t="shared" si="22"/>
        <v>16621.388208819495</v>
      </c>
      <c r="AT70" s="92">
        <f t="shared" si="23"/>
        <v>21522.107713298265</v>
      </c>
      <c r="AU70" s="92">
        <f t="shared" si="24"/>
        <v>15337.176780686408</v>
      </c>
      <c r="AV70" s="92">
        <f t="shared" si="25"/>
        <v>20284.054668079571</v>
      </c>
      <c r="AW70" s="92">
        <f t="shared" si="9"/>
        <v>32690.336726028028</v>
      </c>
      <c r="AX70" s="92">
        <f t="shared" si="10"/>
        <v>57085.387814360343</v>
      </c>
      <c r="AY70" s="93">
        <f t="shared" si="26"/>
        <v>20580.819108934003</v>
      </c>
      <c r="AZ70" s="94">
        <f t="shared" si="27"/>
        <v>21671.048450609502</v>
      </c>
      <c r="BA70" s="95">
        <f t="shared" si="28"/>
        <v>32690.336726028028</v>
      </c>
      <c r="BB70" s="96">
        <f>SUM('Defect P1'!CE70,'Defect P2'!CE70,RTS!CE70)</f>
        <v>200.86666666666665</v>
      </c>
      <c r="BC70" s="96">
        <f>SUM('Defect P1'!CF70,'Defect P2'!CF70,RTS!CF70)</f>
        <v>200.86666666666665</v>
      </c>
      <c r="BD70" s="96">
        <f>SUM('Defect P1'!CG70,'Defect P2'!CG70,RTS!CG70)</f>
        <v>200.86666666666665</v>
      </c>
      <c r="BE70" s="96">
        <f>SUM('Defect P1'!CH70,'Defect P2'!CH70,RTS!CH70)</f>
        <v>96.326517661278601</v>
      </c>
      <c r="BF70" s="96">
        <f>SUM('Defect P1'!CI70,'Defect P2'!CI70,RTS!CI70)</f>
        <v>96.326517661278601</v>
      </c>
      <c r="BG70" s="96">
        <f>SUM('Defect P1'!CJ70,'Defect P2'!CJ70,RTS!CJ70)</f>
        <v>96.326517661278601</v>
      </c>
      <c r="BH70" s="96">
        <f>SUM('Defect P1'!CK70,'Defect P2'!CK70,RTS!CK70)</f>
        <v>96.326517661278601</v>
      </c>
      <c r="BI70" s="286">
        <f>SUM('Defect P1'!CL70,'Defect P2'!CL70,RTS!CL70)</f>
        <v>96.326517661278601</v>
      </c>
      <c r="BJ70" s="99">
        <f t="shared" si="16"/>
        <v>19413.34991389457</v>
      </c>
      <c r="BK70" s="640">
        <f>SUM('Defect P1'!CQ70,'Defect P2'!CQ70,RTS!CQ70)</f>
        <v>4218630.7650519824</v>
      </c>
      <c r="BL70" s="97">
        <f>SUM('Defect P1'!CR70,'Defect P2'!CR70,RTS!CR70)</f>
        <v>4218630.7650519824</v>
      </c>
      <c r="BM70" s="524">
        <f>SUM('Defect P1'!CS70,'Defect P2'!CS70,RTS!CS70)</f>
        <v>4218630.7650519824</v>
      </c>
      <c r="BN70" s="416">
        <f>SUM('Defect P1'!CT70,'Defect P2'!CT70,RTS!CT70)</f>
        <v>1678538.865936731</v>
      </c>
      <c r="BO70" s="97">
        <f>SUM('Defect P1'!CU70,'Defect P2'!CU70,RTS!CU70)</f>
        <v>1678538.865936731</v>
      </c>
      <c r="BP70" s="97">
        <f>SUM('Defect P1'!CV70,'Defect P2'!CV70,RTS!CV70)</f>
        <v>1678538.865936731</v>
      </c>
      <c r="BQ70" s="97">
        <f>SUM('Defect P1'!CW70,'Defect P2'!CW70,RTS!CW70)</f>
        <v>1678538.865936731</v>
      </c>
      <c r="BR70" s="98">
        <f>SUM('Defect P1'!CX70,'Defect P2'!CX70,RTS!CX70)</f>
        <v>1678538.865936731</v>
      </c>
    </row>
    <row r="71" spans="1:71" x14ac:dyDescent="0.25">
      <c r="A71" s="81" t="s">
        <v>138</v>
      </c>
      <c r="B71" s="82" t="s">
        <v>145</v>
      </c>
      <c r="C71" s="83" t="s">
        <v>360</v>
      </c>
      <c r="D71" s="84">
        <f>SUM('Defect P1'!D71,'Defect P2'!D71,RTS!D71)</f>
        <v>14597141.550356045</v>
      </c>
      <c r="E71" s="85">
        <f>SUM('Defect P1'!E71,'Defect P2'!E71,RTS!E71)</f>
        <v>17558707.00117429</v>
      </c>
      <c r="F71" s="85">
        <f>SUM('Defect P1'!F71,'Defect P2'!F71,RTS!F71)</f>
        <v>19261630.805729076</v>
      </c>
      <c r="G71" s="85">
        <f>SUM('Defect P1'!G71,'Defect P2'!G71,RTS!G71)</f>
        <v>14288194.599623321</v>
      </c>
      <c r="H71" s="85">
        <f>SUM('Defect P1'!H71,'Defect P2'!H71,RTS!H71)</f>
        <v>17406631.630482942</v>
      </c>
      <c r="I71" s="85">
        <f>SUM('Defect P1'!I71,'Defect P2'!I71,RTS!I71)</f>
        <v>17801301.941188462</v>
      </c>
      <c r="J71" s="85">
        <f>SUM('Defect P1'!J71,'Defect P2'!J71,RTS!J71)</f>
        <v>25229281.04192441</v>
      </c>
      <c r="K71" s="85">
        <f>SUM('Defect P1'!K71,'Defect P2'!K71,RTS!K71)</f>
        <v>16768738.852135841</v>
      </c>
      <c r="L71" s="85">
        <f>SUM('Defect P1'!L71,'Defect P2'!L71,RTS!L71)</f>
        <v>21361398.204762299</v>
      </c>
      <c r="M71" s="85">
        <f>SUM('Defect P1'!M71,'Defect P2'!M71,RTS!M71)</f>
        <v>22758026.552692614</v>
      </c>
      <c r="N71" s="85">
        <v>22627875.138644561</v>
      </c>
      <c r="O71" s="560">
        <f>SUM('Defect P1'!O71,'Defect P2'!O71,RTS!O71)</f>
        <v>19639816.341279428</v>
      </c>
      <c r="P71" s="561">
        <f>SUM('Defect P1'!P71,'Defect P2'!P71,RTS!P71)</f>
        <v>23272853.224227436</v>
      </c>
      <c r="Q71" s="561">
        <f>SUM('Defect P1'!Q71,'Defect P2'!Q71,RTS!Q71)</f>
        <v>25271370.327858195</v>
      </c>
      <c r="R71" s="561">
        <f>SUM('Defect P1'!R71,'Defect P2'!R71,RTS!R71)</f>
        <v>18390574.593721192</v>
      </c>
      <c r="S71" s="561">
        <f>SUM('Defect P1'!S71,'Defect P2'!S71,RTS!S71)</f>
        <v>21948349.037354939</v>
      </c>
      <c r="T71" s="561">
        <f>SUM('Defect P1'!T71,'Defect P2'!T71,RTS!T71)</f>
        <v>22094055.543468665</v>
      </c>
      <c r="U71" s="561">
        <f>SUM('Defect P1'!U71,'Defect P2'!U71,RTS!U71)</f>
        <v>31422766.125614289</v>
      </c>
      <c r="V71" s="561">
        <f>SUM('Defect P1'!V71,'Defect P2'!V71,RTS!V71)</f>
        <v>20111734.332745072</v>
      </c>
      <c r="W71" s="561">
        <f>SUM('Defect P1'!W71,'Defect P2'!W71,RTS!W71)</f>
        <v>24136825.58729969</v>
      </c>
      <c r="X71" s="561">
        <f>SUM('Defect P1'!X71,'Defect P2'!X71,RTS!X71)</f>
        <v>24202271.993754975</v>
      </c>
      <c r="Y71" s="561">
        <f>SUM('Defect P1'!Y71,'Defect P2'!Y71,RTS!Y71)</f>
        <v>23250107.295110378</v>
      </c>
      <c r="Z71" s="86">
        <f>SUM('Defect P1'!Z71,'Defect P2'!Z71,RTS!Z71)</f>
        <v>387</v>
      </c>
      <c r="AA71" s="87">
        <f>SUM('Defect P1'!AA71,'Defect P2'!AA71,RTS!AA71)</f>
        <v>484</v>
      </c>
      <c r="AB71" s="87">
        <f>SUM('Defect P1'!AB71,'Defect P2'!AB71,RTS!AB71)</f>
        <v>455</v>
      </c>
      <c r="AC71" s="87">
        <f>SUM('Defect P1'!AC71,'Defect P2'!AC71,RTS!AC71)</f>
        <v>359</v>
      </c>
      <c r="AD71" s="87">
        <f>SUM('Defect P1'!AD71,'Defect P2'!AD71,RTS!AD71)</f>
        <v>451</v>
      </c>
      <c r="AE71" s="87">
        <f>SUM('Defect P1'!AE71,'Defect P2'!AE71,RTS!AE71)</f>
        <v>497</v>
      </c>
      <c r="AF71" s="87">
        <f>SUM('Defect P1'!AF71,'Defect P2'!AF71,RTS!AF71)</f>
        <v>661</v>
      </c>
      <c r="AG71" s="87">
        <f>SUM('Defect P1'!AG71,'Defect P2'!AG71,RTS!AG71)</f>
        <v>571</v>
      </c>
      <c r="AH71" s="87">
        <f>SUM('Defect P1'!AH71,'Defect P2'!AH71,RTS!AH71)</f>
        <v>536</v>
      </c>
      <c r="AI71" s="87">
        <f>SUM('Defect P1'!AI71,'Defect P2'!AI71,RTS!AI71)</f>
        <v>372</v>
      </c>
      <c r="AJ71" s="87">
        <f>SUM('Defect P1'!AJ71,'Defect P2'!AJ71,RTS!AJ71)</f>
        <v>266</v>
      </c>
      <c r="AK71" s="88">
        <f t="shared" si="14"/>
        <v>527.4</v>
      </c>
      <c r="AL71" s="89" cm="1">
        <f t="array" ref="AL71">IFERROR(IF($AM$4="N",SSUM(AF71:AH71)/3,SUM(AG71:AI71)/3),"")</f>
        <v>493</v>
      </c>
      <c r="AM71" s="90">
        <f t="shared" si="15"/>
        <v>372</v>
      </c>
      <c r="AN71" s="91">
        <f t="shared" ref="AN71:AN102" si="29">IFERROR(D71/Z71,"")</f>
        <v>37718.712016423888</v>
      </c>
      <c r="AO71" s="92">
        <f t="shared" ref="AO71:AO102" si="30">IFERROR(E71/AA71,"")</f>
        <v>36278.320250360106</v>
      </c>
      <c r="AP71" s="92">
        <f t="shared" ref="AP71:AP102" si="31">IFERROR(F71/AB71,"")</f>
        <v>42333.25451808588</v>
      </c>
      <c r="AQ71" s="92">
        <f t="shared" ref="AQ71:AQ102" si="32">IFERROR(G71/AC71,"")</f>
        <v>39799.984957168024</v>
      </c>
      <c r="AR71" s="92">
        <f t="shared" ref="AR71:AR102" si="33">IFERROR(H71/AD71,"")</f>
        <v>38595.635544308076</v>
      </c>
      <c r="AS71" s="92">
        <f t="shared" ref="AS71:AS102" si="34">IFERROR(I71/AE71,"")</f>
        <v>35817.508935992882</v>
      </c>
      <c r="AT71" s="92">
        <f t="shared" ref="AT71:AT102" si="35">IFERROR(J71/AF71,"")</f>
        <v>38168.352559643587</v>
      </c>
      <c r="AU71" s="92">
        <f t="shared" ref="AU71:AU102" si="36">IFERROR(K71/AG71,"")</f>
        <v>29367.318480097794</v>
      </c>
      <c r="AV71" s="92">
        <f t="shared" ref="AV71:AV102" si="37">IFERROR(L71/AH71,"")</f>
        <v>39853.354859631152</v>
      </c>
      <c r="AW71" s="92">
        <f t="shared" ref="AW71:AW132" si="38">IFERROR(M71/AI71,"")</f>
        <v>61177.490733044666</v>
      </c>
      <c r="AX71" s="92">
        <f t="shared" ref="AX71:AX132" si="39">IFERROR(N71/AJ71,"")</f>
        <v>85067.199769340456</v>
      </c>
      <c r="AY71" s="93">
        <f t="shared" ref="AY71:AY102" si="40">IFERROR(IF($BA$4="N",SUM(H71:L71)/SUM(AD71:AH71),SUM(I71:M71)/SUM(AE71:AI71)),"")</f>
        <v>39407.94334194297</v>
      </c>
      <c r="AZ71" s="94">
        <f t="shared" ref="AZ71:AZ102" si="41">IFERROR(IF($BA$4="N",SUM(J71:L71)/SUM(AF71:AH71),SUM(K71:M71)/SUM(AG71:AI71)),"")</f>
        <v>41168.467619736817</v>
      </c>
      <c r="BA71" s="95">
        <f t="shared" ref="BA71:BA102" si="42">IFERROR(IF($BA$4="N",L71/AH71,M71/AI71),"")</f>
        <v>61177.490733044666</v>
      </c>
      <c r="BB71" s="96">
        <f>SUM('Defect P1'!CE71,'Defect P2'!CE71,RTS!CE71)</f>
        <v>509.6</v>
      </c>
      <c r="BC71" s="96">
        <f>SUM('Defect P1'!CF71,'Defect P2'!CF71,RTS!CF71)</f>
        <v>509.6</v>
      </c>
      <c r="BD71" s="96">
        <f>SUM('Defect P1'!CG71,'Defect P2'!CG71,RTS!CG71)</f>
        <v>509.6</v>
      </c>
      <c r="BE71" s="96">
        <f>SUM('Defect P1'!CH71,'Defect P2'!CH71,RTS!CH71)</f>
        <v>243.99099993831288</v>
      </c>
      <c r="BF71" s="96">
        <f>SUM('Defect P1'!CI71,'Defect P2'!CI71,RTS!CI71)</f>
        <v>243.99099993831288</v>
      </c>
      <c r="BG71" s="96">
        <f>SUM('Defect P1'!CJ71,'Defect P2'!CJ71,RTS!CJ71)</f>
        <v>243.99099993831288</v>
      </c>
      <c r="BH71" s="96">
        <f>SUM('Defect P1'!CK71,'Defect P2'!CK71,RTS!CK71)</f>
        <v>243.99099993831288</v>
      </c>
      <c r="BI71" s="286">
        <f>SUM('Defect P1'!CL71,'Defect P2'!CL71,RTS!CL71)</f>
        <v>243.99099993831288</v>
      </c>
      <c r="BJ71" s="99">
        <f t="shared" si="16"/>
        <v>36911.444278403105</v>
      </c>
      <c r="BK71" s="640">
        <f>SUM('Defect P1'!CQ71,'Defect P2'!CQ71,RTS!CQ71)</f>
        <v>20295879.837530252</v>
      </c>
      <c r="BL71" s="97">
        <f>SUM('Defect P1'!CR71,'Defect P2'!CR71,RTS!CR71)</f>
        <v>20295879.837530252</v>
      </c>
      <c r="BM71" s="524">
        <f>SUM('Defect P1'!CS71,'Defect P2'!CS71,RTS!CS71)</f>
        <v>20295879.837530252</v>
      </c>
      <c r="BN71" s="416">
        <f>SUM('Defect P1'!CT71,'Defect P2'!CT71,RTS!CT71)</f>
        <v>8114575.4987012818</v>
      </c>
      <c r="BO71" s="97">
        <f>SUM('Defect P1'!CU71,'Defect P2'!CU71,RTS!CU71)</f>
        <v>8114575.4987012818</v>
      </c>
      <c r="BP71" s="97">
        <f>SUM('Defect P1'!CV71,'Defect P2'!CV71,RTS!CV71)</f>
        <v>8114575.4987012818</v>
      </c>
      <c r="BQ71" s="97">
        <f>SUM('Defect P1'!CW71,'Defect P2'!CW71,RTS!CW71)</f>
        <v>8114575.4987012818</v>
      </c>
      <c r="BR71" s="98">
        <f>SUM('Defect P1'!CX71,'Defect P2'!CX71,RTS!CX71)</f>
        <v>8114575.4987012818</v>
      </c>
      <c r="BS71" t="s">
        <v>361</v>
      </c>
    </row>
    <row r="72" spans="1:71" x14ac:dyDescent="0.25">
      <c r="A72" s="81" t="s">
        <v>138</v>
      </c>
      <c r="B72" s="82" t="s">
        <v>147</v>
      </c>
      <c r="C72" s="83" t="s">
        <v>362</v>
      </c>
      <c r="D72" s="84">
        <f>SUM('Defect P1'!D72,'Defect P2'!D72,RTS!D72)</f>
        <v>1450169.8880002245</v>
      </c>
      <c r="E72" s="85">
        <f>SUM('Defect P1'!E72,'Defect P2'!E72,RTS!E72)</f>
        <v>4170637.313505644</v>
      </c>
      <c r="F72" s="85">
        <f>SUM('Defect P1'!F72,'Defect P2'!F72,RTS!F72)</f>
        <v>2941168.8344119862</v>
      </c>
      <c r="G72" s="85">
        <f>SUM('Defect P1'!G72,'Defect P2'!G72,RTS!G72)</f>
        <v>2365209.7608825034</v>
      </c>
      <c r="H72" s="85">
        <f>SUM('Defect P1'!H72,'Defect P2'!H72,RTS!H72)</f>
        <v>3190306.9954167404</v>
      </c>
      <c r="I72" s="85">
        <f>SUM('Defect P1'!I72,'Defect P2'!I72,RTS!I72)</f>
        <v>3850324.922315469</v>
      </c>
      <c r="J72" s="85">
        <f>SUM('Defect P1'!J72,'Defect P2'!J72,RTS!J72)</f>
        <v>4733522.6920558196</v>
      </c>
      <c r="K72" s="85">
        <f>SUM('Defect P1'!K72,'Defect P2'!K72,RTS!K72)</f>
        <v>4133823.4021656667</v>
      </c>
      <c r="L72" s="85">
        <f>SUM('Defect P1'!L72,'Defect P2'!L72,RTS!L72)</f>
        <v>4333136.91693368</v>
      </c>
      <c r="M72" s="85">
        <f>SUM('Defect P1'!M72,'Defect P2'!M72,RTS!M72)</f>
        <v>3359075.9354444239</v>
      </c>
      <c r="N72" s="85">
        <v>3080720.9837781172</v>
      </c>
      <c r="O72" s="560">
        <f>SUM('Defect P1'!O72,'Defect P2'!O72,RTS!O72)</f>
        <v>1951140.2397329956</v>
      </c>
      <c r="P72" s="561">
        <f>SUM('Defect P1'!P72,'Defect P2'!P72,RTS!P72)</f>
        <v>5527891.6632193774</v>
      </c>
      <c r="Q72" s="561">
        <f>SUM('Defect P1'!Q72,'Defect P2'!Q72,RTS!Q72)</f>
        <v>3858830.4158063713</v>
      </c>
      <c r="R72" s="561">
        <f>SUM('Defect P1'!R72,'Defect P2'!R72,RTS!R72)</f>
        <v>3044301.1000461779</v>
      </c>
      <c r="S72" s="561">
        <f>SUM('Defect P1'!S72,'Defect P2'!S72,RTS!S72)</f>
        <v>4022718.0627581887</v>
      </c>
      <c r="T72" s="561">
        <f>SUM('Defect P1'!T72,'Defect P2'!T72,RTS!T72)</f>
        <v>4778824.2104476206</v>
      </c>
      <c r="U72" s="561">
        <f>SUM('Defect P1'!U72,'Defect P2'!U72,RTS!U72)</f>
        <v>5895545.5867169145</v>
      </c>
      <c r="V72" s="561">
        <f>SUM('Defect P1'!V72,'Defect P2'!V72,RTS!V72)</f>
        <v>4957937.4320240486</v>
      </c>
      <c r="W72" s="561">
        <f>SUM('Defect P1'!W72,'Defect P2'!W72,RTS!W72)</f>
        <v>4896129.4109765198</v>
      </c>
      <c r="X72" s="561">
        <f>SUM('Defect P1'!X72,'Defect P2'!X72,RTS!X72)</f>
        <v>3572246.0051213978</v>
      </c>
      <c r="Y72" s="561">
        <f>SUM('Defect P1'!Y72,'Defect P2'!Y72,RTS!Y72)</f>
        <v>3165436.1260290118</v>
      </c>
      <c r="Z72" s="86">
        <f>SUM('Defect P1'!Z72,'Defect P2'!Z72,RTS!Z72)</f>
        <v>33</v>
      </c>
      <c r="AA72" s="87">
        <f>SUM('Defect P1'!AA72,'Defect P2'!AA72,RTS!AA72)</f>
        <v>79</v>
      </c>
      <c r="AB72" s="87">
        <f>SUM('Defect P1'!AB72,'Defect P2'!AB72,RTS!AB72)</f>
        <v>59</v>
      </c>
      <c r="AC72" s="87">
        <f>SUM('Defect P1'!AC72,'Defect P2'!AC72,RTS!AC72)</f>
        <v>36</v>
      </c>
      <c r="AD72" s="87">
        <f>SUM('Defect P1'!AD72,'Defect P2'!AD72,RTS!AD72)</f>
        <v>39</v>
      </c>
      <c r="AE72" s="87">
        <f>SUM('Defect P1'!AE72,'Defect P2'!AE72,RTS!AE72)</f>
        <v>45</v>
      </c>
      <c r="AF72" s="87">
        <f>SUM('Defect P1'!AF72,'Defect P2'!AF72,RTS!AF72)</f>
        <v>40</v>
      </c>
      <c r="AG72" s="87">
        <f>SUM('Defect P1'!AG72,'Defect P2'!AG72,RTS!AG72)</f>
        <v>65</v>
      </c>
      <c r="AH72" s="87">
        <f>SUM('Defect P1'!AH72,'Defect P2'!AH72,RTS!AH72)</f>
        <v>74</v>
      </c>
      <c r="AI72" s="87">
        <f>SUM('Defect P1'!AI72,'Defect P2'!AI72,RTS!AI72)</f>
        <v>59</v>
      </c>
      <c r="AJ72" s="87">
        <f>SUM('Defect P1'!AJ72,'Defect P2'!AJ72,RTS!AJ72)</f>
        <v>69</v>
      </c>
      <c r="AK72" s="88">
        <f t="shared" ref="AK72:AK132" si="43">IFERROR(IF($AM$4="N",SUM(AD72:AH72)/5,SUM(AE72:AI72)/5),"")</f>
        <v>56.6</v>
      </c>
      <c r="AL72" s="89" cm="1">
        <f t="array" ref="AL72">IFERROR(IF($AM$4="N",SSUM(AF72:AH72)/3,SUM(AG72:AI72)/3),"")</f>
        <v>66</v>
      </c>
      <c r="AM72" s="90">
        <f t="shared" ref="AM72:AM132" si="44">IFERROR(IF($AM$4="N",AH72,AI72),"")</f>
        <v>59</v>
      </c>
      <c r="AN72" s="91">
        <f t="shared" si="29"/>
        <v>43944.542060612861</v>
      </c>
      <c r="AO72" s="92">
        <f t="shared" si="30"/>
        <v>52792.877386147389</v>
      </c>
      <c r="AP72" s="92">
        <f t="shared" si="31"/>
        <v>49850.319227321801</v>
      </c>
      <c r="AQ72" s="92">
        <f t="shared" si="32"/>
        <v>65700.271135625095</v>
      </c>
      <c r="AR72" s="92">
        <f t="shared" si="33"/>
        <v>81802.743472224116</v>
      </c>
      <c r="AS72" s="92">
        <f t="shared" si="34"/>
        <v>85562.776051454872</v>
      </c>
      <c r="AT72" s="92">
        <f t="shared" si="35"/>
        <v>118338.06730139549</v>
      </c>
      <c r="AU72" s="92">
        <f t="shared" si="36"/>
        <v>63597.283110241027</v>
      </c>
      <c r="AV72" s="92">
        <f t="shared" si="37"/>
        <v>58555.904282887568</v>
      </c>
      <c r="AW72" s="92">
        <f t="shared" si="38"/>
        <v>56933.490431261424</v>
      </c>
      <c r="AX72" s="92">
        <f t="shared" si="39"/>
        <v>44648.130199682855</v>
      </c>
      <c r="AY72" s="93">
        <f t="shared" si="40"/>
        <v>72119.730985565577</v>
      </c>
      <c r="AZ72" s="94">
        <f t="shared" si="41"/>
        <v>59727.45583102914</v>
      </c>
      <c r="BA72" s="95">
        <f t="shared" si="42"/>
        <v>56933.490431261424</v>
      </c>
      <c r="BB72" s="96">
        <f>SUM('Defect P1'!CE72,'Defect P2'!CE72,RTS!CE72)</f>
        <v>66</v>
      </c>
      <c r="BC72" s="96">
        <f>SUM('Defect P1'!CF72,'Defect P2'!CF72,RTS!CF72)</f>
        <v>66</v>
      </c>
      <c r="BD72" s="96">
        <f>SUM('Defect P1'!CG72,'Defect P2'!CG72,RTS!CG72)</f>
        <v>66</v>
      </c>
      <c r="BE72" s="96">
        <f>SUM('Defect P1'!CH72,'Defect P2'!CH72,RTS!CH72)</f>
        <v>57.792420821261011</v>
      </c>
      <c r="BF72" s="96">
        <f>SUM('Defect P1'!CI72,'Defect P2'!CI72,RTS!CI72)</f>
        <v>57.792420821261011</v>
      </c>
      <c r="BG72" s="96">
        <f>SUM('Defect P1'!CJ72,'Defect P2'!CJ72,RTS!CJ72)</f>
        <v>57.792420821261011</v>
      </c>
      <c r="BH72" s="96">
        <f>SUM('Defect P1'!CK72,'Defect P2'!CK72,RTS!CK72)</f>
        <v>57.792420821261011</v>
      </c>
      <c r="BI72" s="286">
        <f>SUM('Defect P1'!CL72,'Defect P2'!CL72,RTS!CL72)</f>
        <v>57.792420821261011</v>
      </c>
      <c r="BJ72" s="99">
        <f t="shared" ref="BJ72:BJ132" si="45">IFERROR(SUM(BK72:BR72)/SUM(BB72:BI72),"")</f>
        <v>54936.819794670686</v>
      </c>
      <c r="BK72" s="640">
        <f>SUM('Defect P1'!CQ72,'Defect P2'!CQ72,RTS!CQ72)</f>
        <v>3942012.0848479234</v>
      </c>
      <c r="BL72" s="97">
        <f>SUM('Defect P1'!CR72,'Defect P2'!CR72,RTS!CR72)</f>
        <v>3942012.0848479234</v>
      </c>
      <c r="BM72" s="524">
        <f>SUM('Defect P1'!CS72,'Defect P2'!CS72,RTS!CS72)</f>
        <v>3942012.0848479234</v>
      </c>
      <c r="BN72" s="416">
        <f>SUM('Defect P1'!CT72,'Defect P2'!CT72,RTS!CT72)</f>
        <v>2985222.621115597</v>
      </c>
      <c r="BO72" s="97">
        <f>SUM('Defect P1'!CU72,'Defect P2'!CU72,RTS!CU72)</f>
        <v>2985222.621115597</v>
      </c>
      <c r="BP72" s="97">
        <f>SUM('Defect P1'!CV72,'Defect P2'!CV72,RTS!CV72)</f>
        <v>2985222.621115597</v>
      </c>
      <c r="BQ72" s="97">
        <f>SUM('Defect P1'!CW72,'Defect P2'!CW72,RTS!CW72)</f>
        <v>2985222.621115597</v>
      </c>
      <c r="BR72" s="98">
        <f>SUM('Defect P1'!CX72,'Defect P2'!CX72,RTS!CX72)</f>
        <v>2985222.621115597</v>
      </c>
    </row>
    <row r="73" spans="1:71" x14ac:dyDescent="0.25">
      <c r="A73" s="81" t="s">
        <v>138</v>
      </c>
      <c r="B73" s="82" t="s">
        <v>149</v>
      </c>
      <c r="C73" s="83" t="s">
        <v>363</v>
      </c>
      <c r="D73" s="84">
        <f>SUM('Defect P1'!D73,'Defect P2'!D73,RTS!D73)</f>
        <v>0</v>
      </c>
      <c r="E73" s="85">
        <f>SUM('Defect P1'!E73,'Defect P2'!E73,RTS!E73)</f>
        <v>0</v>
      </c>
      <c r="F73" s="85">
        <f>SUM('Defect P1'!F73,'Defect P2'!F73,RTS!F73)</f>
        <v>0</v>
      </c>
      <c r="G73" s="85">
        <f>SUM('Defect P1'!G73,'Defect P2'!G73,RTS!G73)</f>
        <v>0</v>
      </c>
      <c r="H73" s="85">
        <f>SUM('Defect P1'!H73,'Defect P2'!H73,RTS!H73)</f>
        <v>0</v>
      </c>
      <c r="I73" s="85">
        <f>SUM('Defect P1'!I73,'Defect P2'!I73,RTS!I73)</f>
        <v>0</v>
      </c>
      <c r="J73" s="85">
        <f>SUM('Defect P1'!J73,'Defect P2'!J73,RTS!J73)</f>
        <v>0</v>
      </c>
      <c r="K73" s="85">
        <f>SUM('Defect P1'!K73,'Defect P2'!K73,RTS!K73)</f>
        <v>0</v>
      </c>
      <c r="L73" s="85">
        <f>SUM('Defect P1'!L73,'Defect P2'!L73,RTS!L73)</f>
        <v>0</v>
      </c>
      <c r="M73" s="85">
        <f>SUM('Defect P1'!M73,'Defect P2'!M73,RTS!M73)</f>
        <v>0</v>
      </c>
      <c r="N73" s="85">
        <v>0</v>
      </c>
      <c r="O73" s="560">
        <f>SUM('Defect P1'!O73,'Defect P2'!O73,RTS!O73)</f>
        <v>0</v>
      </c>
      <c r="P73" s="561">
        <f>SUM('Defect P1'!P73,'Defect P2'!P73,RTS!P73)</f>
        <v>0</v>
      </c>
      <c r="Q73" s="561">
        <f>SUM('Defect P1'!Q73,'Defect P2'!Q73,RTS!Q73)</f>
        <v>0</v>
      </c>
      <c r="R73" s="561">
        <f>SUM('Defect P1'!R73,'Defect P2'!R73,RTS!R73)</f>
        <v>0</v>
      </c>
      <c r="S73" s="561">
        <f>SUM('Defect P1'!S73,'Defect P2'!S73,RTS!S73)</f>
        <v>0</v>
      </c>
      <c r="T73" s="561">
        <f>SUM('Defect P1'!T73,'Defect P2'!T73,RTS!T73)</f>
        <v>0</v>
      </c>
      <c r="U73" s="561">
        <f>SUM('Defect P1'!U73,'Defect P2'!U73,RTS!U73)</f>
        <v>0</v>
      </c>
      <c r="V73" s="561">
        <f>SUM('Defect P1'!V73,'Defect P2'!V73,RTS!V73)</f>
        <v>0</v>
      </c>
      <c r="W73" s="561">
        <f>SUM('Defect P1'!W73,'Defect P2'!W73,RTS!W73)</f>
        <v>0</v>
      </c>
      <c r="X73" s="561">
        <f>SUM('Defect P1'!X73,'Defect P2'!X73,RTS!X73)</f>
        <v>0</v>
      </c>
      <c r="Y73" s="561">
        <f>SUM('Defect P1'!Y73,'Defect P2'!Y73,RTS!Y73)</f>
        <v>0</v>
      </c>
      <c r="Z73" s="86">
        <f>SUM('Defect P1'!Z73,'Defect P2'!Z73,RTS!Z73)</f>
        <v>0</v>
      </c>
      <c r="AA73" s="87">
        <f>SUM('Defect P1'!AA73,'Defect P2'!AA73,RTS!AA73)</f>
        <v>0</v>
      </c>
      <c r="AB73" s="87">
        <f>SUM('Defect P1'!AB73,'Defect P2'!AB73,RTS!AB73)</f>
        <v>0</v>
      </c>
      <c r="AC73" s="87">
        <f>SUM('Defect P1'!AC73,'Defect P2'!AC73,RTS!AC73)</f>
        <v>0</v>
      </c>
      <c r="AD73" s="87">
        <f>SUM('Defect P1'!AD73,'Defect P2'!AD73,RTS!AD73)</f>
        <v>0</v>
      </c>
      <c r="AE73" s="87">
        <f>SUM('Defect P1'!AE73,'Defect P2'!AE73,RTS!AE73)</f>
        <v>0</v>
      </c>
      <c r="AF73" s="87">
        <f>SUM('Defect P1'!AF73,'Defect P2'!AF73,RTS!AF73)</f>
        <v>0</v>
      </c>
      <c r="AG73" s="87">
        <f>SUM('Defect P1'!AG73,'Defect P2'!AG73,RTS!AG73)</f>
        <v>0</v>
      </c>
      <c r="AH73" s="87">
        <f>SUM('Defect P1'!AH73,'Defect P2'!AH73,RTS!AH73)</f>
        <v>0</v>
      </c>
      <c r="AI73" s="87">
        <f>SUM('Defect P1'!AI73,'Defect P2'!AI73,RTS!AI73)</f>
        <v>0</v>
      </c>
      <c r="AJ73" s="87">
        <f>SUM('Defect P1'!AJ73,'Defect P2'!AJ73,RTS!AJ73)</f>
        <v>0</v>
      </c>
      <c r="AK73" s="88">
        <f t="shared" si="43"/>
        <v>0</v>
      </c>
      <c r="AL73" s="89" cm="1">
        <f t="array" ref="AL73">IFERROR(IF($AM$4="N",SSUM(AF73:AH73)/3,SUM(AG73:AI73)/3),"")</f>
        <v>0</v>
      </c>
      <c r="AM73" s="90">
        <f t="shared" si="44"/>
        <v>0</v>
      </c>
      <c r="AN73" s="91" t="str">
        <f t="shared" si="29"/>
        <v/>
      </c>
      <c r="AO73" s="92" t="str">
        <f t="shared" si="30"/>
        <v/>
      </c>
      <c r="AP73" s="92" t="str">
        <f t="shared" si="31"/>
        <v/>
      </c>
      <c r="AQ73" s="92" t="str">
        <f t="shared" si="32"/>
        <v/>
      </c>
      <c r="AR73" s="92" t="str">
        <f t="shared" si="33"/>
        <v/>
      </c>
      <c r="AS73" s="92" t="str">
        <f t="shared" si="34"/>
        <v/>
      </c>
      <c r="AT73" s="92" t="str">
        <f t="shared" si="35"/>
        <v/>
      </c>
      <c r="AU73" s="92" t="str">
        <f t="shared" si="36"/>
        <v/>
      </c>
      <c r="AV73" s="92" t="str">
        <f t="shared" si="37"/>
        <v/>
      </c>
      <c r="AW73" s="92" t="str">
        <f t="shared" si="38"/>
        <v/>
      </c>
      <c r="AX73" s="92" t="str">
        <f t="shared" si="39"/>
        <v/>
      </c>
      <c r="AY73" s="93" t="str">
        <f t="shared" si="40"/>
        <v/>
      </c>
      <c r="AZ73" s="94" t="str">
        <f t="shared" si="41"/>
        <v/>
      </c>
      <c r="BA73" s="95" t="str">
        <f t="shared" si="42"/>
        <v/>
      </c>
      <c r="BB73" s="96">
        <f>SUM('Defect P1'!CE73,'Defect P2'!CE73,RTS!CE73)</f>
        <v>0</v>
      </c>
      <c r="BC73" s="96">
        <f>SUM('Defect P1'!CF73,'Defect P2'!CF73,RTS!CF73)</f>
        <v>0</v>
      </c>
      <c r="BD73" s="96">
        <f>SUM('Defect P1'!CG73,'Defect P2'!CG73,RTS!CG73)</f>
        <v>0</v>
      </c>
      <c r="BE73" s="96">
        <f>SUM('Defect P1'!CH73,'Defect P2'!CH73,RTS!CH73)</f>
        <v>0</v>
      </c>
      <c r="BF73" s="96">
        <f>SUM('Defect P1'!CI73,'Defect P2'!CI73,RTS!CI73)</f>
        <v>0</v>
      </c>
      <c r="BG73" s="96">
        <f>SUM('Defect P1'!CJ73,'Defect P2'!CJ73,RTS!CJ73)</f>
        <v>0</v>
      </c>
      <c r="BH73" s="96">
        <f>SUM('Defect P1'!CK73,'Defect P2'!CK73,RTS!CK73)</f>
        <v>0</v>
      </c>
      <c r="BI73" s="286">
        <f>SUM('Defect P1'!CL73,'Defect P2'!CL73,RTS!CL73)</f>
        <v>0</v>
      </c>
      <c r="BJ73" s="99" t="str">
        <f t="shared" si="45"/>
        <v/>
      </c>
      <c r="BK73" s="640">
        <f>SUM('Defect P1'!CQ73,'Defect P2'!CQ73,RTS!CQ73)</f>
        <v>0</v>
      </c>
      <c r="BL73" s="97">
        <f>SUM('Defect P1'!CR73,'Defect P2'!CR73,RTS!CR73)</f>
        <v>0</v>
      </c>
      <c r="BM73" s="524">
        <f>SUM('Defect P1'!CS73,'Defect P2'!CS73,RTS!CS73)</f>
        <v>0</v>
      </c>
      <c r="BN73" s="416">
        <f>SUM('Defect P1'!CT73,'Defect P2'!CT73,RTS!CT73)</f>
        <v>0</v>
      </c>
      <c r="BO73" s="97">
        <f>SUM('Defect P1'!CU73,'Defect P2'!CU73,RTS!CU73)</f>
        <v>0</v>
      </c>
      <c r="BP73" s="97">
        <f>SUM('Defect P1'!CV73,'Defect P2'!CV73,RTS!CV73)</f>
        <v>0</v>
      </c>
      <c r="BQ73" s="97">
        <f>SUM('Defect P1'!CW73,'Defect P2'!CW73,RTS!CW73)</f>
        <v>0</v>
      </c>
      <c r="BR73" s="98">
        <f>SUM('Defect P1'!CX73,'Defect P2'!CX73,RTS!CX73)</f>
        <v>0</v>
      </c>
    </row>
    <row r="74" spans="1:71" x14ac:dyDescent="0.25">
      <c r="A74" s="81" t="s">
        <v>138</v>
      </c>
      <c r="B74" s="82" t="s">
        <v>151</v>
      </c>
      <c r="C74" s="83" t="s">
        <v>364</v>
      </c>
      <c r="D74" s="84">
        <f>SUM('Defect P1'!D74,'Defect P2'!D74,RTS!D74)</f>
        <v>0</v>
      </c>
      <c r="E74" s="85">
        <f>SUM('Defect P1'!E74,'Defect P2'!E74,RTS!E74)</f>
        <v>0</v>
      </c>
      <c r="F74" s="85">
        <f>SUM('Defect P1'!F74,'Defect P2'!F74,RTS!F74)</f>
        <v>0</v>
      </c>
      <c r="G74" s="85">
        <f>SUM('Defect P1'!G74,'Defect P2'!G74,RTS!G74)</f>
        <v>0</v>
      </c>
      <c r="H74" s="85">
        <f>SUM('Defect P1'!H74,'Defect P2'!H74,RTS!H74)</f>
        <v>0</v>
      </c>
      <c r="I74" s="85">
        <f>SUM('Defect P1'!I74,'Defect P2'!I74,RTS!I74)</f>
        <v>0</v>
      </c>
      <c r="J74" s="85">
        <f>SUM('Defect P1'!J74,'Defect P2'!J74,RTS!J74)</f>
        <v>0</v>
      </c>
      <c r="K74" s="85">
        <f>SUM('Defect P1'!K74,'Defect P2'!K74,RTS!K74)</f>
        <v>0</v>
      </c>
      <c r="L74" s="85">
        <f>SUM('Defect P1'!L74,'Defect P2'!L74,RTS!L74)</f>
        <v>0</v>
      </c>
      <c r="M74" s="85">
        <f>SUM('Defect P1'!M74,'Defect P2'!M74,RTS!M74)</f>
        <v>0</v>
      </c>
      <c r="N74" s="85">
        <v>0</v>
      </c>
      <c r="O74" s="560">
        <f>SUM('Defect P1'!O74,'Defect P2'!O74,RTS!O74)</f>
        <v>0</v>
      </c>
      <c r="P74" s="561">
        <f>SUM('Defect P1'!P74,'Defect P2'!P74,RTS!P74)</f>
        <v>0</v>
      </c>
      <c r="Q74" s="561">
        <f>SUM('Defect P1'!Q74,'Defect P2'!Q74,RTS!Q74)</f>
        <v>0</v>
      </c>
      <c r="R74" s="561">
        <f>SUM('Defect P1'!R74,'Defect P2'!R74,RTS!R74)</f>
        <v>0</v>
      </c>
      <c r="S74" s="561">
        <f>SUM('Defect P1'!S74,'Defect P2'!S74,RTS!S74)</f>
        <v>0</v>
      </c>
      <c r="T74" s="561">
        <f>SUM('Defect P1'!T74,'Defect P2'!T74,RTS!T74)</f>
        <v>0</v>
      </c>
      <c r="U74" s="561">
        <f>SUM('Defect P1'!U74,'Defect P2'!U74,RTS!U74)</f>
        <v>0</v>
      </c>
      <c r="V74" s="561">
        <f>SUM('Defect P1'!V74,'Defect P2'!V74,RTS!V74)</f>
        <v>0</v>
      </c>
      <c r="W74" s="561">
        <f>SUM('Defect P1'!W74,'Defect P2'!W74,RTS!W74)</f>
        <v>0</v>
      </c>
      <c r="X74" s="561">
        <f>SUM('Defect P1'!X74,'Defect P2'!X74,RTS!X74)</f>
        <v>0</v>
      </c>
      <c r="Y74" s="561">
        <f>SUM('Defect P1'!Y74,'Defect P2'!Y74,RTS!Y74)</f>
        <v>0</v>
      </c>
      <c r="Z74" s="86">
        <f>SUM('Defect P1'!Z74,'Defect P2'!Z74,RTS!Z74)</f>
        <v>0</v>
      </c>
      <c r="AA74" s="87">
        <f>SUM('Defect P1'!AA74,'Defect P2'!AA74,RTS!AA74)</f>
        <v>0</v>
      </c>
      <c r="AB74" s="87">
        <f>SUM('Defect P1'!AB74,'Defect P2'!AB74,RTS!AB74)</f>
        <v>0</v>
      </c>
      <c r="AC74" s="87">
        <f>SUM('Defect P1'!AC74,'Defect P2'!AC74,RTS!AC74)</f>
        <v>0</v>
      </c>
      <c r="AD74" s="87">
        <f>SUM('Defect P1'!AD74,'Defect P2'!AD74,RTS!AD74)</f>
        <v>0</v>
      </c>
      <c r="AE74" s="87">
        <f>SUM('Defect P1'!AE74,'Defect P2'!AE74,RTS!AE74)</f>
        <v>0</v>
      </c>
      <c r="AF74" s="87">
        <f>SUM('Defect P1'!AF74,'Defect P2'!AF74,RTS!AF74)</f>
        <v>0</v>
      </c>
      <c r="AG74" s="87">
        <f>SUM('Defect P1'!AG74,'Defect P2'!AG74,RTS!AG74)</f>
        <v>0</v>
      </c>
      <c r="AH74" s="87">
        <f>SUM('Defect P1'!AH74,'Defect P2'!AH74,RTS!AH74)</f>
        <v>0</v>
      </c>
      <c r="AI74" s="87">
        <f>SUM('Defect P1'!AI74,'Defect P2'!AI74,RTS!AI74)</f>
        <v>0</v>
      </c>
      <c r="AJ74" s="87">
        <f>SUM('Defect P1'!AJ74,'Defect P2'!AJ74,RTS!AJ74)</f>
        <v>0</v>
      </c>
      <c r="AK74" s="88">
        <f t="shared" si="43"/>
        <v>0</v>
      </c>
      <c r="AL74" s="89" cm="1">
        <f t="array" ref="AL74">IFERROR(IF($AM$4="N",SSUM(AF74:AH74)/3,SUM(AG74:AI74)/3),"")</f>
        <v>0</v>
      </c>
      <c r="AM74" s="90">
        <f t="shared" si="44"/>
        <v>0</v>
      </c>
      <c r="AN74" s="91" t="str">
        <f t="shared" si="29"/>
        <v/>
      </c>
      <c r="AO74" s="92" t="str">
        <f t="shared" si="30"/>
        <v/>
      </c>
      <c r="AP74" s="92" t="str">
        <f t="shared" si="31"/>
        <v/>
      </c>
      <c r="AQ74" s="92" t="str">
        <f t="shared" si="32"/>
        <v/>
      </c>
      <c r="AR74" s="92" t="str">
        <f t="shared" si="33"/>
        <v/>
      </c>
      <c r="AS74" s="92" t="str">
        <f t="shared" si="34"/>
        <v/>
      </c>
      <c r="AT74" s="92" t="str">
        <f t="shared" si="35"/>
        <v/>
      </c>
      <c r="AU74" s="92" t="str">
        <f t="shared" si="36"/>
        <v/>
      </c>
      <c r="AV74" s="92" t="str">
        <f t="shared" si="37"/>
        <v/>
      </c>
      <c r="AW74" s="92" t="str">
        <f t="shared" si="38"/>
        <v/>
      </c>
      <c r="AX74" s="92" t="str">
        <f t="shared" si="39"/>
        <v/>
      </c>
      <c r="AY74" s="93" t="str">
        <f t="shared" si="40"/>
        <v/>
      </c>
      <c r="AZ74" s="94" t="str">
        <f t="shared" si="41"/>
        <v/>
      </c>
      <c r="BA74" s="95" t="str">
        <f t="shared" si="42"/>
        <v/>
      </c>
      <c r="BB74" s="96">
        <f>SUM('Defect P1'!CE74,'Defect P2'!CE74,RTS!CE74)</f>
        <v>0</v>
      </c>
      <c r="BC74" s="96">
        <f>SUM('Defect P1'!CF74,'Defect P2'!CF74,RTS!CF74)</f>
        <v>0</v>
      </c>
      <c r="BD74" s="96">
        <f>SUM('Defect P1'!CG74,'Defect P2'!CG74,RTS!CG74)</f>
        <v>0</v>
      </c>
      <c r="BE74" s="96">
        <f>SUM('Defect P1'!CH74,'Defect P2'!CH74,RTS!CH74)</f>
        <v>0</v>
      </c>
      <c r="BF74" s="96">
        <f>SUM('Defect P1'!CI74,'Defect P2'!CI74,RTS!CI74)</f>
        <v>0</v>
      </c>
      <c r="BG74" s="96">
        <f>SUM('Defect P1'!CJ74,'Defect P2'!CJ74,RTS!CJ74)</f>
        <v>0</v>
      </c>
      <c r="BH74" s="96">
        <f>SUM('Defect P1'!CK74,'Defect P2'!CK74,RTS!CK74)</f>
        <v>0</v>
      </c>
      <c r="BI74" s="286">
        <f>SUM('Defect P1'!CL74,'Defect P2'!CL74,RTS!CL74)</f>
        <v>0</v>
      </c>
      <c r="BJ74" s="99" t="str">
        <f t="shared" si="45"/>
        <v/>
      </c>
      <c r="BK74" s="640">
        <f>SUM('Defect P1'!CQ74,'Defect P2'!CQ74,RTS!CQ74)</f>
        <v>0</v>
      </c>
      <c r="BL74" s="97">
        <f>SUM('Defect P1'!CR74,'Defect P2'!CR74,RTS!CR74)</f>
        <v>0</v>
      </c>
      <c r="BM74" s="524">
        <f>SUM('Defect P1'!CS74,'Defect P2'!CS74,RTS!CS74)</f>
        <v>0</v>
      </c>
      <c r="BN74" s="416">
        <f>SUM('Defect P1'!CT74,'Defect P2'!CT74,RTS!CT74)</f>
        <v>0</v>
      </c>
      <c r="BO74" s="97">
        <f>SUM('Defect P1'!CU74,'Defect P2'!CU74,RTS!CU74)</f>
        <v>0</v>
      </c>
      <c r="BP74" s="97">
        <f>SUM('Defect P1'!CV74,'Defect P2'!CV74,RTS!CV74)</f>
        <v>0</v>
      </c>
      <c r="BQ74" s="97">
        <f>SUM('Defect P1'!CW74,'Defect P2'!CW74,RTS!CW74)</f>
        <v>0</v>
      </c>
      <c r="BR74" s="98">
        <f>SUM('Defect P1'!CX74,'Defect P2'!CX74,RTS!CX74)</f>
        <v>0</v>
      </c>
    </row>
    <row r="75" spans="1:71" x14ac:dyDescent="0.25">
      <c r="A75" s="81" t="s">
        <v>138</v>
      </c>
      <c r="B75" s="82" t="s">
        <v>153</v>
      </c>
      <c r="C75" s="83" t="s">
        <v>365</v>
      </c>
      <c r="D75" s="84">
        <f>SUM('Defect P1'!D75,'Defect P2'!D75,RTS!D75)</f>
        <v>0</v>
      </c>
      <c r="E75" s="85">
        <f>SUM('Defect P1'!E75,'Defect P2'!E75,RTS!E75)</f>
        <v>0</v>
      </c>
      <c r="F75" s="85">
        <f>SUM('Defect P1'!F75,'Defect P2'!F75,RTS!F75)</f>
        <v>0</v>
      </c>
      <c r="G75" s="85">
        <f>SUM('Defect P1'!G75,'Defect P2'!G75,RTS!G75)</f>
        <v>0</v>
      </c>
      <c r="H75" s="85">
        <f>SUM('Defect P1'!H75,'Defect P2'!H75,RTS!H75)</f>
        <v>0</v>
      </c>
      <c r="I75" s="85">
        <f>SUM('Defect P1'!I75,'Defect P2'!I75,RTS!I75)</f>
        <v>0</v>
      </c>
      <c r="J75" s="85">
        <f>SUM('Defect P1'!J75,'Defect P2'!J75,RTS!J75)</f>
        <v>0</v>
      </c>
      <c r="K75" s="85">
        <f>SUM('Defect P1'!K75,'Defect P2'!K75,RTS!K75)</f>
        <v>0</v>
      </c>
      <c r="L75" s="85">
        <f>SUM('Defect P1'!L75,'Defect P2'!L75,RTS!L75)</f>
        <v>0</v>
      </c>
      <c r="M75" s="85">
        <f>SUM('Defect P1'!M75,'Defect P2'!M75,RTS!M75)</f>
        <v>0</v>
      </c>
      <c r="N75" s="85">
        <v>0</v>
      </c>
      <c r="O75" s="560">
        <f>SUM('Defect P1'!O75,'Defect P2'!O75,RTS!O75)</f>
        <v>0</v>
      </c>
      <c r="P75" s="561">
        <f>SUM('Defect P1'!P75,'Defect P2'!P75,RTS!P75)</f>
        <v>0</v>
      </c>
      <c r="Q75" s="561">
        <f>SUM('Defect P1'!Q75,'Defect P2'!Q75,RTS!Q75)</f>
        <v>0</v>
      </c>
      <c r="R75" s="561">
        <f>SUM('Defect P1'!R75,'Defect P2'!R75,RTS!R75)</f>
        <v>0</v>
      </c>
      <c r="S75" s="561">
        <f>SUM('Defect P1'!S75,'Defect P2'!S75,RTS!S75)</f>
        <v>0</v>
      </c>
      <c r="T75" s="561">
        <f>SUM('Defect P1'!T75,'Defect P2'!T75,RTS!T75)</f>
        <v>0</v>
      </c>
      <c r="U75" s="561">
        <f>SUM('Defect P1'!U75,'Defect P2'!U75,RTS!U75)</f>
        <v>0</v>
      </c>
      <c r="V75" s="561">
        <f>SUM('Defect P1'!V75,'Defect P2'!V75,RTS!V75)</f>
        <v>0</v>
      </c>
      <c r="W75" s="561">
        <f>SUM('Defect P1'!W75,'Defect P2'!W75,RTS!W75)</f>
        <v>0</v>
      </c>
      <c r="X75" s="561">
        <f>SUM('Defect P1'!X75,'Defect P2'!X75,RTS!X75)</f>
        <v>0</v>
      </c>
      <c r="Y75" s="561">
        <f>SUM('Defect P1'!Y75,'Defect P2'!Y75,RTS!Y75)</f>
        <v>0</v>
      </c>
      <c r="Z75" s="86">
        <f>SUM('Defect P1'!Z75,'Defect P2'!Z75,RTS!Z75)</f>
        <v>0</v>
      </c>
      <c r="AA75" s="87">
        <f>SUM('Defect P1'!AA75,'Defect P2'!AA75,RTS!AA75)</f>
        <v>0</v>
      </c>
      <c r="AB75" s="87">
        <f>SUM('Defect P1'!AB75,'Defect P2'!AB75,RTS!AB75)</f>
        <v>0</v>
      </c>
      <c r="AC75" s="87">
        <f>SUM('Defect P1'!AC75,'Defect P2'!AC75,RTS!AC75)</f>
        <v>0</v>
      </c>
      <c r="AD75" s="87">
        <f>SUM('Defect P1'!AD75,'Defect P2'!AD75,RTS!AD75)</f>
        <v>0</v>
      </c>
      <c r="AE75" s="87">
        <f>SUM('Defect P1'!AE75,'Defect P2'!AE75,RTS!AE75)</f>
        <v>0</v>
      </c>
      <c r="AF75" s="87">
        <f>SUM('Defect P1'!AF75,'Defect P2'!AF75,RTS!AF75)</f>
        <v>0</v>
      </c>
      <c r="AG75" s="87">
        <f>SUM('Defect P1'!AG75,'Defect P2'!AG75,RTS!AG75)</f>
        <v>0</v>
      </c>
      <c r="AH75" s="87">
        <f>SUM('Defect P1'!AH75,'Defect P2'!AH75,RTS!AH75)</f>
        <v>0</v>
      </c>
      <c r="AI75" s="87">
        <f>SUM('Defect P1'!AI75,'Defect P2'!AI75,RTS!AI75)</f>
        <v>0</v>
      </c>
      <c r="AJ75" s="87">
        <f>SUM('Defect P1'!AJ75,'Defect P2'!AJ75,RTS!AJ75)</f>
        <v>0</v>
      </c>
      <c r="AK75" s="88">
        <f t="shared" si="43"/>
        <v>0</v>
      </c>
      <c r="AL75" s="89" cm="1">
        <f t="array" ref="AL75">IFERROR(IF($AM$4="N",SSUM(AF75:AH75)/3,SUM(AG75:AI75)/3),"")</f>
        <v>0</v>
      </c>
      <c r="AM75" s="90">
        <f t="shared" si="44"/>
        <v>0</v>
      </c>
      <c r="AN75" s="91" t="str">
        <f t="shared" si="29"/>
        <v/>
      </c>
      <c r="AO75" s="92" t="str">
        <f t="shared" si="30"/>
        <v/>
      </c>
      <c r="AP75" s="92" t="str">
        <f t="shared" si="31"/>
        <v/>
      </c>
      <c r="AQ75" s="92" t="str">
        <f t="shared" si="32"/>
        <v/>
      </c>
      <c r="AR75" s="92" t="str">
        <f t="shared" si="33"/>
        <v/>
      </c>
      <c r="AS75" s="92" t="str">
        <f t="shared" si="34"/>
        <v/>
      </c>
      <c r="AT75" s="92" t="str">
        <f t="shared" si="35"/>
        <v/>
      </c>
      <c r="AU75" s="92" t="str">
        <f t="shared" si="36"/>
        <v/>
      </c>
      <c r="AV75" s="92" t="str">
        <f t="shared" si="37"/>
        <v/>
      </c>
      <c r="AW75" s="92" t="str">
        <f t="shared" si="38"/>
        <v/>
      </c>
      <c r="AX75" s="92" t="str">
        <f t="shared" si="39"/>
        <v/>
      </c>
      <c r="AY75" s="93" t="str">
        <f t="shared" si="40"/>
        <v/>
      </c>
      <c r="AZ75" s="94" t="str">
        <f t="shared" si="41"/>
        <v/>
      </c>
      <c r="BA75" s="95" t="str">
        <f t="shared" si="42"/>
        <v/>
      </c>
      <c r="BB75" s="96">
        <f>SUM('Defect P1'!CE75,'Defect P2'!CE75,RTS!CE75)</f>
        <v>0</v>
      </c>
      <c r="BC75" s="96">
        <f>SUM('Defect P1'!CF75,'Defect P2'!CF75,RTS!CF75)</f>
        <v>0</v>
      </c>
      <c r="BD75" s="96">
        <f>SUM('Defect P1'!CG75,'Defect P2'!CG75,RTS!CG75)</f>
        <v>0</v>
      </c>
      <c r="BE75" s="96">
        <f>SUM('Defect P1'!CH75,'Defect P2'!CH75,RTS!CH75)</f>
        <v>0</v>
      </c>
      <c r="BF75" s="96">
        <f>SUM('Defect P1'!CI75,'Defect P2'!CI75,RTS!CI75)</f>
        <v>0</v>
      </c>
      <c r="BG75" s="96">
        <f>SUM('Defect P1'!CJ75,'Defect P2'!CJ75,RTS!CJ75)</f>
        <v>0</v>
      </c>
      <c r="BH75" s="96">
        <f>SUM('Defect P1'!CK75,'Defect P2'!CK75,RTS!CK75)</f>
        <v>0</v>
      </c>
      <c r="BI75" s="286">
        <f>SUM('Defect P1'!CL75,'Defect P2'!CL75,RTS!CL75)</f>
        <v>0</v>
      </c>
      <c r="BJ75" s="99" t="str">
        <f t="shared" si="45"/>
        <v/>
      </c>
      <c r="BK75" s="640">
        <f>SUM('Defect P1'!CQ75,'Defect P2'!CQ75,RTS!CQ75)</f>
        <v>0</v>
      </c>
      <c r="BL75" s="97">
        <f>SUM('Defect P1'!CR75,'Defect P2'!CR75,RTS!CR75)</f>
        <v>0</v>
      </c>
      <c r="BM75" s="524">
        <f>SUM('Defect P1'!CS75,'Defect P2'!CS75,RTS!CS75)</f>
        <v>0</v>
      </c>
      <c r="BN75" s="416">
        <f>SUM('Defect P1'!CT75,'Defect P2'!CT75,RTS!CT75)</f>
        <v>0</v>
      </c>
      <c r="BO75" s="97">
        <f>SUM('Defect P1'!CU75,'Defect P2'!CU75,RTS!CU75)</f>
        <v>0</v>
      </c>
      <c r="BP75" s="97">
        <f>SUM('Defect P1'!CV75,'Defect P2'!CV75,RTS!CV75)</f>
        <v>0</v>
      </c>
      <c r="BQ75" s="97">
        <f>SUM('Defect P1'!CW75,'Defect P2'!CW75,RTS!CW75)</f>
        <v>0</v>
      </c>
      <c r="BR75" s="98">
        <f>SUM('Defect P1'!CX75,'Defect P2'!CX75,RTS!CX75)</f>
        <v>0</v>
      </c>
    </row>
    <row r="76" spans="1:71" x14ac:dyDescent="0.25">
      <c r="A76" s="81" t="s">
        <v>138</v>
      </c>
      <c r="B76" s="82" t="s">
        <v>155</v>
      </c>
      <c r="C76" s="83" t="s">
        <v>366</v>
      </c>
      <c r="D76" s="84">
        <f>SUM('Defect P1'!D76,'Defect P2'!D76,RTS!D76)</f>
        <v>0</v>
      </c>
      <c r="E76" s="85">
        <f>SUM('Defect P1'!E76,'Defect P2'!E76,RTS!E76)</f>
        <v>0</v>
      </c>
      <c r="F76" s="85">
        <f>SUM('Defect P1'!F76,'Defect P2'!F76,RTS!F76)</f>
        <v>0</v>
      </c>
      <c r="G76" s="85">
        <f>SUM('Defect P1'!G76,'Defect P2'!G76,RTS!G76)</f>
        <v>0</v>
      </c>
      <c r="H76" s="85">
        <f>SUM('Defect P1'!H76,'Defect P2'!H76,RTS!H76)</f>
        <v>0</v>
      </c>
      <c r="I76" s="85">
        <f>SUM('Defect P1'!I76,'Defect P2'!I76,RTS!I76)</f>
        <v>0</v>
      </c>
      <c r="J76" s="85">
        <f>SUM('Defect P1'!J76,'Defect P2'!J76,RTS!J76)</f>
        <v>0</v>
      </c>
      <c r="K76" s="85">
        <f>SUM('Defect P1'!K76,'Defect P2'!K76,RTS!K76)</f>
        <v>0</v>
      </c>
      <c r="L76" s="85">
        <f>SUM('Defect P1'!L76,'Defect P2'!L76,RTS!L76)</f>
        <v>0</v>
      </c>
      <c r="M76" s="85">
        <f>SUM('Defect P1'!M76,'Defect P2'!M76,RTS!M76)</f>
        <v>0</v>
      </c>
      <c r="N76" s="85">
        <v>0</v>
      </c>
      <c r="O76" s="560">
        <f>SUM('Defect P1'!O76,'Defect P2'!O76,RTS!O76)</f>
        <v>0</v>
      </c>
      <c r="P76" s="561">
        <f>SUM('Defect P1'!P76,'Defect P2'!P76,RTS!P76)</f>
        <v>0</v>
      </c>
      <c r="Q76" s="561">
        <f>SUM('Defect P1'!Q76,'Defect P2'!Q76,RTS!Q76)</f>
        <v>0</v>
      </c>
      <c r="R76" s="561">
        <f>SUM('Defect P1'!R76,'Defect P2'!R76,RTS!R76)</f>
        <v>0</v>
      </c>
      <c r="S76" s="561">
        <f>SUM('Defect P1'!S76,'Defect P2'!S76,RTS!S76)</f>
        <v>0</v>
      </c>
      <c r="T76" s="561">
        <f>SUM('Defect P1'!T76,'Defect P2'!T76,RTS!T76)</f>
        <v>0</v>
      </c>
      <c r="U76" s="561">
        <f>SUM('Defect P1'!U76,'Defect P2'!U76,RTS!U76)</f>
        <v>0</v>
      </c>
      <c r="V76" s="561">
        <f>SUM('Defect P1'!V76,'Defect P2'!V76,RTS!V76)</f>
        <v>0</v>
      </c>
      <c r="W76" s="561">
        <f>SUM('Defect P1'!W76,'Defect P2'!W76,RTS!W76)</f>
        <v>0</v>
      </c>
      <c r="X76" s="561">
        <f>SUM('Defect P1'!X76,'Defect P2'!X76,RTS!X76)</f>
        <v>0</v>
      </c>
      <c r="Y76" s="561">
        <f>SUM('Defect P1'!Y76,'Defect P2'!Y76,RTS!Y76)</f>
        <v>0</v>
      </c>
      <c r="Z76" s="86">
        <f>SUM('Defect P1'!Z76,'Defect P2'!Z76,RTS!Z76)</f>
        <v>0</v>
      </c>
      <c r="AA76" s="87">
        <f>SUM('Defect P1'!AA76,'Defect P2'!AA76,RTS!AA76)</f>
        <v>0</v>
      </c>
      <c r="AB76" s="87">
        <f>SUM('Defect P1'!AB76,'Defect P2'!AB76,RTS!AB76)</f>
        <v>0</v>
      </c>
      <c r="AC76" s="87">
        <f>SUM('Defect P1'!AC76,'Defect P2'!AC76,RTS!AC76)</f>
        <v>0</v>
      </c>
      <c r="AD76" s="87">
        <f>SUM('Defect P1'!AD76,'Defect P2'!AD76,RTS!AD76)</f>
        <v>0</v>
      </c>
      <c r="AE76" s="87">
        <f>SUM('Defect P1'!AE76,'Defect P2'!AE76,RTS!AE76)</f>
        <v>0</v>
      </c>
      <c r="AF76" s="87">
        <f>SUM('Defect P1'!AF76,'Defect P2'!AF76,RTS!AF76)</f>
        <v>0</v>
      </c>
      <c r="AG76" s="87">
        <f>SUM('Defect P1'!AG76,'Defect P2'!AG76,RTS!AG76)</f>
        <v>0</v>
      </c>
      <c r="AH76" s="87">
        <f>SUM('Defect P1'!AH76,'Defect P2'!AH76,RTS!AH76)</f>
        <v>0</v>
      </c>
      <c r="AI76" s="87">
        <f>SUM('Defect P1'!AI76,'Defect P2'!AI76,RTS!AI76)</f>
        <v>0</v>
      </c>
      <c r="AJ76" s="87">
        <f>SUM('Defect P1'!AJ76,'Defect P2'!AJ76,RTS!AJ76)</f>
        <v>0</v>
      </c>
      <c r="AK76" s="88">
        <f t="shared" si="43"/>
        <v>0</v>
      </c>
      <c r="AL76" s="89" cm="1">
        <f t="array" ref="AL76">IFERROR(IF($AM$4="N",SSUM(AF76:AH76)/3,SUM(AG76:AI76)/3),"")</f>
        <v>0</v>
      </c>
      <c r="AM76" s="90">
        <f t="shared" si="44"/>
        <v>0</v>
      </c>
      <c r="AN76" s="91" t="str">
        <f t="shared" si="29"/>
        <v/>
      </c>
      <c r="AO76" s="92" t="str">
        <f t="shared" si="30"/>
        <v/>
      </c>
      <c r="AP76" s="92" t="str">
        <f t="shared" si="31"/>
        <v/>
      </c>
      <c r="AQ76" s="92" t="str">
        <f t="shared" si="32"/>
        <v/>
      </c>
      <c r="AR76" s="92" t="str">
        <f t="shared" si="33"/>
        <v/>
      </c>
      <c r="AS76" s="92" t="str">
        <f t="shared" si="34"/>
        <v/>
      </c>
      <c r="AT76" s="92" t="str">
        <f t="shared" si="35"/>
        <v/>
      </c>
      <c r="AU76" s="92" t="str">
        <f t="shared" si="36"/>
        <v/>
      </c>
      <c r="AV76" s="92" t="str">
        <f t="shared" si="37"/>
        <v/>
      </c>
      <c r="AW76" s="92" t="str">
        <f t="shared" si="38"/>
        <v/>
      </c>
      <c r="AX76" s="92" t="str">
        <f t="shared" si="39"/>
        <v/>
      </c>
      <c r="AY76" s="93" t="str">
        <f t="shared" si="40"/>
        <v/>
      </c>
      <c r="AZ76" s="94" t="str">
        <f t="shared" si="41"/>
        <v/>
      </c>
      <c r="BA76" s="95" t="str">
        <f t="shared" si="42"/>
        <v/>
      </c>
      <c r="BB76" s="96">
        <f>SUM('Defect P1'!CE76,'Defect P2'!CE76,RTS!CE76)</f>
        <v>0</v>
      </c>
      <c r="BC76" s="96">
        <f>SUM('Defect P1'!CF76,'Defect P2'!CF76,RTS!CF76)</f>
        <v>0</v>
      </c>
      <c r="BD76" s="96">
        <f>SUM('Defect P1'!CG76,'Defect P2'!CG76,RTS!CG76)</f>
        <v>0</v>
      </c>
      <c r="BE76" s="96">
        <f>SUM('Defect P1'!CH76,'Defect P2'!CH76,RTS!CH76)</f>
        <v>0</v>
      </c>
      <c r="BF76" s="96">
        <f>SUM('Defect P1'!CI76,'Defect P2'!CI76,RTS!CI76)</f>
        <v>0</v>
      </c>
      <c r="BG76" s="96">
        <f>SUM('Defect P1'!CJ76,'Defect P2'!CJ76,RTS!CJ76)</f>
        <v>0</v>
      </c>
      <c r="BH76" s="96">
        <f>SUM('Defect P1'!CK76,'Defect P2'!CK76,RTS!CK76)</f>
        <v>0</v>
      </c>
      <c r="BI76" s="286">
        <f>SUM('Defect P1'!CL76,'Defect P2'!CL76,RTS!CL76)</f>
        <v>0</v>
      </c>
      <c r="BJ76" s="99" t="str">
        <f t="shared" si="45"/>
        <v/>
      </c>
      <c r="BK76" s="640">
        <f>SUM('Defect P1'!CQ76,'Defect P2'!CQ76,RTS!CQ76)</f>
        <v>0</v>
      </c>
      <c r="BL76" s="97">
        <f>SUM('Defect P1'!CR76,'Defect P2'!CR76,RTS!CR76)</f>
        <v>0</v>
      </c>
      <c r="BM76" s="524">
        <f>SUM('Defect P1'!CS76,'Defect P2'!CS76,RTS!CS76)</f>
        <v>0</v>
      </c>
      <c r="BN76" s="416">
        <f>SUM('Defect P1'!CT76,'Defect P2'!CT76,RTS!CT76)</f>
        <v>0</v>
      </c>
      <c r="BO76" s="97">
        <f>SUM('Defect P1'!CU76,'Defect P2'!CU76,RTS!CU76)</f>
        <v>0</v>
      </c>
      <c r="BP76" s="97">
        <f>SUM('Defect P1'!CV76,'Defect P2'!CV76,RTS!CV76)</f>
        <v>0</v>
      </c>
      <c r="BQ76" s="97">
        <f>SUM('Defect P1'!CW76,'Defect P2'!CW76,RTS!CW76)</f>
        <v>0</v>
      </c>
      <c r="BR76" s="98">
        <f>SUM('Defect P1'!CX76,'Defect P2'!CX76,RTS!CX76)</f>
        <v>0</v>
      </c>
    </row>
    <row r="77" spans="1:71" x14ac:dyDescent="0.25">
      <c r="A77" s="81" t="s">
        <v>138</v>
      </c>
      <c r="B77" s="82" t="s">
        <v>157</v>
      </c>
      <c r="C77" s="83" t="s">
        <v>367</v>
      </c>
      <c r="D77" s="84">
        <f>SUM('Defect P1'!D77,'Defect P2'!D77,RTS!D77)</f>
        <v>1327356.4924959023</v>
      </c>
      <c r="E77" s="85">
        <f>SUM('Defect P1'!E77,'Defect P2'!E77,RTS!E77)</f>
        <v>2065738.2206852762</v>
      </c>
      <c r="F77" s="85">
        <f>SUM('Defect P1'!F77,'Defect P2'!F77,RTS!F77)</f>
        <v>4792492.3570977096</v>
      </c>
      <c r="G77" s="85">
        <f>SUM('Defect P1'!G77,'Defect P2'!G77,RTS!G77)</f>
        <v>2007119.4353007046</v>
      </c>
      <c r="H77" s="85">
        <f>SUM('Defect P1'!H77,'Defect P2'!H77,RTS!H77)</f>
        <v>4656636.983624028</v>
      </c>
      <c r="I77" s="85">
        <f>SUM('Defect P1'!I77,'Defect P2'!I77,RTS!I77)</f>
        <v>5759426.8017183682</v>
      </c>
      <c r="J77" s="85">
        <f>SUM('Defect P1'!J77,'Defect P2'!J77,RTS!J77)</f>
        <v>3486522.2411213825</v>
      </c>
      <c r="K77" s="85">
        <f>SUM('Defect P1'!K77,'Defect P2'!K77,RTS!K77)</f>
        <v>6600119.2004088266</v>
      </c>
      <c r="L77" s="85">
        <f>SUM('Defect P1'!L77,'Defect P2'!L77,RTS!L77)</f>
        <v>6410535.7697481718</v>
      </c>
      <c r="M77" s="85">
        <f>SUM('Defect P1'!M77,'Defect P2'!M77,RTS!M77)</f>
        <v>5475232.2792897327</v>
      </c>
      <c r="N77" s="85">
        <v>6367321.7127981065</v>
      </c>
      <c r="O77" s="560">
        <f>SUM('Defect P1'!O77,'Defect P2'!O77,RTS!O77)</f>
        <v>1785900.1806684891</v>
      </c>
      <c r="P77" s="561">
        <f>SUM('Defect P1'!P77,'Defect P2'!P77,RTS!P77)</f>
        <v>2737993.3161633126</v>
      </c>
      <c r="Q77" s="561">
        <f>SUM('Defect P1'!Q77,'Defect P2'!Q77,RTS!Q77)</f>
        <v>6287777.5184862893</v>
      </c>
      <c r="R77" s="561">
        <f>SUM('Defect P1'!R77,'Defect P2'!R77,RTS!R77)</f>
        <v>2583397.0440448979</v>
      </c>
      <c r="S77" s="561">
        <f>SUM('Defect P1'!S77,'Defect P2'!S77,RTS!S77)</f>
        <v>5871641.1093488615</v>
      </c>
      <c r="T77" s="561">
        <f>SUM('Defect P1'!T77,'Defect P2'!T77,RTS!T77)</f>
        <v>7148302.7520183846</v>
      </c>
      <c r="U77" s="561">
        <f>SUM('Defect P1'!U77,'Defect P2'!U77,RTS!U77)</f>
        <v>4342421.5217412002</v>
      </c>
      <c r="V77" s="561">
        <f>SUM('Defect P1'!V77,'Defect P2'!V77,RTS!V77)</f>
        <v>7915910.9753900785</v>
      </c>
      <c r="W77" s="561">
        <f>SUM('Defect P1'!W77,'Defect P2'!W77,RTS!W77)</f>
        <v>7243438.9505955726</v>
      </c>
      <c r="X77" s="561">
        <f>SUM('Defect P1'!X77,'Defect P2'!X77,RTS!X77)</f>
        <v>5822695.5903027914</v>
      </c>
      <c r="Y77" s="561">
        <f>SUM('Defect P1'!Y77,'Defect P2'!Y77,RTS!Y77)</f>
        <v>6542413.3772160187</v>
      </c>
      <c r="Z77" s="86">
        <f>SUM('Defect P1'!Z77,'Defect P2'!Z77,RTS!Z77)</f>
        <v>12</v>
      </c>
      <c r="AA77" s="87">
        <f>SUM('Defect P1'!AA77,'Defect P2'!AA77,RTS!AA77)</f>
        <v>19</v>
      </c>
      <c r="AB77" s="87">
        <f>SUM('Defect P1'!AB77,'Defect P2'!AB77,RTS!AB77)</f>
        <v>21</v>
      </c>
      <c r="AC77" s="87">
        <f>SUM('Defect P1'!AC77,'Defect P2'!AC77,RTS!AC77)</f>
        <v>9</v>
      </c>
      <c r="AD77" s="87">
        <f>SUM('Defect P1'!AD77,'Defect P2'!AD77,RTS!AD77)</f>
        <v>21</v>
      </c>
      <c r="AE77" s="87">
        <f>SUM('Defect P1'!AE77,'Defect P2'!AE77,RTS!AE77)</f>
        <v>24</v>
      </c>
      <c r="AF77" s="87">
        <f>SUM('Defect P1'!AF77,'Defect P2'!AF77,RTS!AF77)</f>
        <v>26</v>
      </c>
      <c r="AG77" s="87">
        <f>SUM('Defect P1'!AG77,'Defect P2'!AG77,RTS!AG77)</f>
        <v>49</v>
      </c>
      <c r="AH77" s="87">
        <f>SUM('Defect P1'!AH77,'Defect P2'!AH77,RTS!AH77)</f>
        <v>70</v>
      </c>
      <c r="AI77" s="87">
        <f>SUM('Defect P1'!AI77,'Defect P2'!AI77,RTS!AI77)</f>
        <v>67</v>
      </c>
      <c r="AJ77" s="87">
        <f>SUM('Defect P1'!AJ77,'Defect P2'!AJ77,RTS!AJ77)</f>
        <v>59</v>
      </c>
      <c r="AK77" s="88">
        <f t="shared" si="43"/>
        <v>47.2</v>
      </c>
      <c r="AL77" s="89" cm="1">
        <f t="array" ref="AL77">IFERROR(IF($AM$4="N",SSUM(AF77:AH77)/3,SUM(AG77:AI77)/3),"")</f>
        <v>62</v>
      </c>
      <c r="AM77" s="90">
        <f t="shared" si="44"/>
        <v>67</v>
      </c>
      <c r="AN77" s="91">
        <f t="shared" si="29"/>
        <v>110613.0410413252</v>
      </c>
      <c r="AO77" s="92">
        <f t="shared" si="30"/>
        <v>108723.06424659348</v>
      </c>
      <c r="AP77" s="92">
        <f t="shared" si="31"/>
        <v>228213.92176655759</v>
      </c>
      <c r="AQ77" s="92">
        <f t="shared" si="32"/>
        <v>223013.27058896716</v>
      </c>
      <c r="AR77" s="92">
        <f t="shared" si="33"/>
        <v>221744.61826781085</v>
      </c>
      <c r="AS77" s="92">
        <f t="shared" si="34"/>
        <v>239976.11673826535</v>
      </c>
      <c r="AT77" s="92">
        <f t="shared" si="35"/>
        <v>134097.00927389931</v>
      </c>
      <c r="AU77" s="92">
        <f t="shared" si="36"/>
        <v>134696.31021242504</v>
      </c>
      <c r="AV77" s="92">
        <f t="shared" si="37"/>
        <v>91579.08242497388</v>
      </c>
      <c r="AW77" s="92">
        <f t="shared" si="38"/>
        <v>81719.884765518393</v>
      </c>
      <c r="AX77" s="92">
        <f t="shared" si="39"/>
        <v>107920.70699657808</v>
      </c>
      <c r="AY77" s="93">
        <f t="shared" si="40"/>
        <v>117507.78089951898</v>
      </c>
      <c r="AZ77" s="94">
        <f t="shared" si="41"/>
        <v>99386.490588423287</v>
      </c>
      <c r="BA77" s="95">
        <f t="shared" si="42"/>
        <v>81719.884765518393</v>
      </c>
      <c r="BB77" s="96">
        <f>SUM('Defect P1'!CE77,'Defect P2'!CE77,RTS!CE77)</f>
        <v>62.2</v>
      </c>
      <c r="BC77" s="96">
        <f>SUM('Defect P1'!CF77,'Defect P2'!CF77,RTS!CF77)</f>
        <v>62.2</v>
      </c>
      <c r="BD77" s="96">
        <f>SUM('Defect P1'!CG77,'Defect P2'!CG77,RTS!CG77)</f>
        <v>62.2</v>
      </c>
      <c r="BE77" s="96">
        <f>SUM('Defect P1'!CH77,'Defect P2'!CH77,RTS!CH77)</f>
        <v>53.318426573432006</v>
      </c>
      <c r="BF77" s="96">
        <f>SUM('Defect P1'!CI77,'Defect P2'!CI77,RTS!CI77)</f>
        <v>53.318426573432006</v>
      </c>
      <c r="BG77" s="96">
        <f>SUM('Defect P1'!CJ77,'Defect P2'!CJ77,RTS!CJ77)</f>
        <v>53.318426573432006</v>
      </c>
      <c r="BH77" s="96">
        <f>SUM('Defect P1'!CK77,'Defect P2'!CK77,RTS!CK77)</f>
        <v>53.318426573432006</v>
      </c>
      <c r="BI77" s="286">
        <f>SUM('Defect P1'!CL77,'Defect P2'!CL77,RTS!CL77)</f>
        <v>53.318426573432006</v>
      </c>
      <c r="BJ77" s="99">
        <f t="shared" si="45"/>
        <v>96060.763715160821</v>
      </c>
      <c r="BK77" s="640">
        <f>SUM('Defect P1'!CQ77,'Defect P2'!CQ77,RTS!CQ77)</f>
        <v>6161962.4164822437</v>
      </c>
      <c r="BL77" s="97">
        <f>SUM('Defect P1'!CR77,'Defect P2'!CR77,RTS!CR77)</f>
        <v>6161962.4164822437</v>
      </c>
      <c r="BM77" s="524">
        <f>SUM('Defect P1'!CS77,'Defect P2'!CS77,RTS!CS77)</f>
        <v>6161962.4164822437</v>
      </c>
      <c r="BN77" s="416">
        <f>SUM('Defect P1'!CT77,'Defect P2'!CT77,RTS!CT77)</f>
        <v>5009619.0286950599</v>
      </c>
      <c r="BO77" s="97">
        <f>SUM('Defect P1'!CU77,'Defect P2'!CU77,RTS!CU77)</f>
        <v>5009619.0286950599</v>
      </c>
      <c r="BP77" s="97">
        <f>SUM('Defect P1'!CV77,'Defect P2'!CV77,RTS!CV77)</f>
        <v>5009619.0286950599</v>
      </c>
      <c r="BQ77" s="97">
        <f>SUM('Defect P1'!CW77,'Defect P2'!CW77,RTS!CW77)</f>
        <v>5009619.0286950599</v>
      </c>
      <c r="BR77" s="98">
        <f>SUM('Defect P1'!CX77,'Defect P2'!CX77,RTS!CX77)</f>
        <v>5009619.0286950599</v>
      </c>
    </row>
    <row r="78" spans="1:71" x14ac:dyDescent="0.25">
      <c r="A78" s="81" t="s">
        <v>138</v>
      </c>
      <c r="B78" s="82" t="s">
        <v>159</v>
      </c>
      <c r="C78" s="83" t="s">
        <v>368</v>
      </c>
      <c r="D78" s="84">
        <f>SUM('Defect P1'!D78,'Defect P2'!D78,RTS!D78)</f>
        <v>1086542.8769525024</v>
      </c>
      <c r="E78" s="85">
        <f>SUM('Defect P1'!E78,'Defect P2'!E78,RTS!E78)</f>
        <v>567613.17777378997</v>
      </c>
      <c r="F78" s="85">
        <f>SUM('Defect P1'!F78,'Defect P2'!F78,RTS!F78)</f>
        <v>738897.75715721783</v>
      </c>
      <c r="G78" s="85">
        <f>SUM('Defect P1'!G78,'Defect P2'!G78,RTS!G78)</f>
        <v>1239543.5429820749</v>
      </c>
      <c r="H78" s="85">
        <f>SUM('Defect P1'!H78,'Defect P2'!H78,RTS!H78)</f>
        <v>1741833.7411042678</v>
      </c>
      <c r="I78" s="85">
        <f>SUM('Defect P1'!I78,'Defect P2'!I78,RTS!I78)</f>
        <v>1701139.6724235578</v>
      </c>
      <c r="J78" s="85">
        <f>SUM('Defect P1'!J78,'Defect P2'!J78,RTS!J78)</f>
        <v>994565.94573161122</v>
      </c>
      <c r="K78" s="85">
        <f>SUM('Defect P1'!K78,'Defect P2'!K78,RTS!K78)</f>
        <v>1221951.093236224</v>
      </c>
      <c r="L78" s="85">
        <f>SUM('Defect P1'!L78,'Defect P2'!L78,RTS!L78)</f>
        <v>858280.61047592841</v>
      </c>
      <c r="M78" s="85">
        <f>SUM('Defect P1'!M78,'Defect P2'!M78,RTS!M78)</f>
        <v>1957456.667080537</v>
      </c>
      <c r="N78" s="85">
        <v>3072426.1846428392</v>
      </c>
      <c r="O78" s="560">
        <f>SUM('Defect P1'!O78,'Defect P2'!O78,RTS!O78)</f>
        <v>1461895.979884638</v>
      </c>
      <c r="P78" s="561">
        <f>SUM('Defect P1'!P78,'Defect P2'!P78,RTS!P78)</f>
        <v>752332.05802587117</v>
      </c>
      <c r="Q78" s="561">
        <f>SUM('Defect P1'!Q78,'Defect P2'!Q78,RTS!Q78)</f>
        <v>969438.10437846731</v>
      </c>
      <c r="R78" s="561">
        <f>SUM('Defect P1'!R78,'Defect P2'!R78,RTS!R78)</f>
        <v>1595437.2562911669</v>
      </c>
      <c r="S78" s="561">
        <f>SUM('Defect P1'!S78,'Defect P2'!S78,RTS!S78)</f>
        <v>2196310.9076111079</v>
      </c>
      <c r="T78" s="561">
        <f>SUM('Defect P1'!T78,'Defect P2'!T78,RTS!T78)</f>
        <v>2111366.6030662754</v>
      </c>
      <c r="U78" s="561">
        <f>SUM('Defect P1'!U78,'Defect P2'!U78,RTS!U78)</f>
        <v>1238719.924570669</v>
      </c>
      <c r="V78" s="561">
        <f>SUM('Defect P1'!V78,'Defect P2'!V78,RTS!V78)</f>
        <v>1465557.7841290156</v>
      </c>
      <c r="W78" s="561">
        <f>SUM('Defect P1'!W78,'Defect P2'!W78,RTS!W78)</f>
        <v>969794.63616759575</v>
      </c>
      <c r="X78" s="561">
        <f>SUM('Defect P1'!X78,'Defect P2'!X78,RTS!X78)</f>
        <v>2081678.6799586136</v>
      </c>
      <c r="Y78" s="561">
        <f>SUM('Defect P1'!Y78,'Defect P2'!Y78,RTS!Y78)</f>
        <v>3156913.2325312817</v>
      </c>
      <c r="Z78" s="86">
        <f>SUM('Defect P1'!Z78,'Defect P2'!Z78,RTS!Z78)</f>
        <v>6</v>
      </c>
      <c r="AA78" s="87">
        <f>SUM('Defect P1'!AA78,'Defect P2'!AA78,RTS!AA78)</f>
        <v>4</v>
      </c>
      <c r="AB78" s="87">
        <f>SUM('Defect P1'!AB78,'Defect P2'!AB78,RTS!AB78)</f>
        <v>4</v>
      </c>
      <c r="AC78" s="87">
        <f>SUM('Defect P1'!AC78,'Defect P2'!AC78,RTS!AC78)</f>
        <v>6</v>
      </c>
      <c r="AD78" s="87">
        <f>SUM('Defect P1'!AD78,'Defect P2'!AD78,RTS!AD78)</f>
        <v>9</v>
      </c>
      <c r="AE78" s="87">
        <f>SUM('Defect P1'!AE78,'Defect P2'!AE78,RTS!AE78)</f>
        <v>8</v>
      </c>
      <c r="AF78" s="87">
        <f>SUM('Defect P1'!AF78,'Defect P2'!AF78,RTS!AF78)</f>
        <v>6</v>
      </c>
      <c r="AG78" s="87">
        <f>SUM('Defect P1'!AG78,'Defect P2'!AG78,RTS!AG78)</f>
        <v>14</v>
      </c>
      <c r="AH78" s="87">
        <f>SUM('Defect P1'!AH78,'Defect P2'!AH78,RTS!AH78)</f>
        <v>7</v>
      </c>
      <c r="AI78" s="87">
        <f>SUM('Defect P1'!AI78,'Defect P2'!AI78,RTS!AI78)</f>
        <v>15</v>
      </c>
      <c r="AJ78" s="87">
        <f>SUM('Defect P1'!AJ78,'Defect P2'!AJ78,RTS!AJ78)</f>
        <v>9</v>
      </c>
      <c r="AK78" s="88">
        <f t="shared" si="43"/>
        <v>10</v>
      </c>
      <c r="AL78" s="89" cm="1">
        <f t="array" ref="AL78">IFERROR(IF($AM$4="N",SSUM(AF78:AH78)/3,SUM(AG78:AI78)/3),"")</f>
        <v>12</v>
      </c>
      <c r="AM78" s="90">
        <f t="shared" si="44"/>
        <v>15</v>
      </c>
      <c r="AN78" s="91">
        <f t="shared" si="29"/>
        <v>181090.47949208374</v>
      </c>
      <c r="AO78" s="92">
        <f t="shared" si="30"/>
        <v>141903.29444344749</v>
      </c>
      <c r="AP78" s="92">
        <f t="shared" si="31"/>
        <v>184724.43928930446</v>
      </c>
      <c r="AQ78" s="92">
        <f t="shared" si="32"/>
        <v>206590.59049701248</v>
      </c>
      <c r="AR78" s="92">
        <f t="shared" si="33"/>
        <v>193537.08234491863</v>
      </c>
      <c r="AS78" s="92">
        <f t="shared" si="34"/>
        <v>212642.45905294473</v>
      </c>
      <c r="AT78" s="92">
        <f t="shared" si="35"/>
        <v>165760.99095526853</v>
      </c>
      <c r="AU78" s="92">
        <f t="shared" si="36"/>
        <v>87282.220945444569</v>
      </c>
      <c r="AV78" s="92">
        <f t="shared" si="37"/>
        <v>122611.51578227548</v>
      </c>
      <c r="AW78" s="92">
        <f t="shared" si="38"/>
        <v>130497.11113870246</v>
      </c>
      <c r="AX78" s="92">
        <f t="shared" si="39"/>
        <v>341380.68718253769</v>
      </c>
      <c r="AY78" s="93">
        <f t="shared" si="40"/>
        <v>134667.87977895717</v>
      </c>
      <c r="AZ78" s="94">
        <f t="shared" si="41"/>
        <v>112158.01029979692</v>
      </c>
      <c r="BA78" s="95">
        <f t="shared" si="42"/>
        <v>130497.11113870246</v>
      </c>
      <c r="BB78" s="96">
        <f>SUM('Defect P1'!CE78,'Defect P2'!CE78,RTS!CE78)</f>
        <v>12</v>
      </c>
      <c r="BC78" s="96">
        <f>SUM('Defect P1'!CF78,'Defect P2'!CF78,RTS!CF78)</f>
        <v>12</v>
      </c>
      <c r="BD78" s="96">
        <f>SUM('Defect P1'!CG78,'Defect P2'!CG78,RTS!CG78)</f>
        <v>12</v>
      </c>
      <c r="BE78" s="96">
        <f>SUM('Defect P1'!CH78,'Defect P2'!CH78,RTS!CH78)</f>
        <v>10.213006993007999</v>
      </c>
      <c r="BF78" s="96">
        <f>SUM('Defect P1'!CI78,'Defect P2'!CI78,RTS!CI78)</f>
        <v>10.213006993007999</v>
      </c>
      <c r="BG78" s="96">
        <f>SUM('Defect P1'!CJ78,'Defect P2'!CJ78,RTS!CJ78)</f>
        <v>10.213006993007999</v>
      </c>
      <c r="BH78" s="96">
        <f>SUM('Defect P1'!CK78,'Defect P2'!CK78,RTS!CK78)</f>
        <v>10.213006993007999</v>
      </c>
      <c r="BI78" s="286">
        <f>SUM('Defect P1'!CL78,'Defect P2'!CL78,RTS!CL78)</f>
        <v>10.213006993007999</v>
      </c>
      <c r="BJ78" s="99">
        <f t="shared" si="45"/>
        <v>111167.74794653624</v>
      </c>
      <c r="BK78" s="640">
        <f>SUM('Defect P1'!CQ78,'Defect P2'!CQ78,RTS!CQ78)</f>
        <v>1345896.1235975632</v>
      </c>
      <c r="BL78" s="97">
        <f>SUM('Defect P1'!CR78,'Defect P2'!CR78,RTS!CR78)</f>
        <v>1345896.1235975632</v>
      </c>
      <c r="BM78" s="524">
        <f>SUM('Defect P1'!CS78,'Defect P2'!CS78,RTS!CS78)</f>
        <v>1345896.1235975632</v>
      </c>
      <c r="BN78" s="416">
        <f>SUM('Defect P1'!CT78,'Defect P2'!CT78,RTS!CT78)</f>
        <v>1128227.0982314479</v>
      </c>
      <c r="BO78" s="97">
        <f>SUM('Defect P1'!CU78,'Defect P2'!CU78,RTS!CU78)</f>
        <v>1128227.0982314479</v>
      </c>
      <c r="BP78" s="97">
        <f>SUM('Defect P1'!CV78,'Defect P2'!CV78,RTS!CV78)</f>
        <v>1128227.0982314479</v>
      </c>
      <c r="BQ78" s="97">
        <f>SUM('Defect P1'!CW78,'Defect P2'!CW78,RTS!CW78)</f>
        <v>1128227.0982314479</v>
      </c>
      <c r="BR78" s="98">
        <f>SUM('Defect P1'!CX78,'Defect P2'!CX78,RTS!CX78)</f>
        <v>1128227.0982314479</v>
      </c>
    </row>
    <row r="79" spans="1:71" x14ac:dyDescent="0.25">
      <c r="A79" s="81" t="s">
        <v>138</v>
      </c>
      <c r="B79" s="82" t="s">
        <v>161</v>
      </c>
      <c r="C79" s="83" t="s">
        <v>369</v>
      </c>
      <c r="D79" s="84">
        <f>SUM('Defect P1'!D79,'Defect P2'!D79,RTS!D79)</f>
        <v>0</v>
      </c>
      <c r="E79" s="85">
        <f>SUM('Defect P1'!E79,'Defect P2'!E79,RTS!E79)</f>
        <v>0</v>
      </c>
      <c r="F79" s="85">
        <f>SUM('Defect P1'!F79,'Defect P2'!F79,RTS!F79)</f>
        <v>0</v>
      </c>
      <c r="G79" s="85">
        <f>SUM('Defect P1'!G79,'Defect P2'!G79,RTS!G79)</f>
        <v>0</v>
      </c>
      <c r="H79" s="85">
        <f>SUM('Defect P1'!H79,'Defect P2'!H79,RTS!H79)</f>
        <v>0</v>
      </c>
      <c r="I79" s="85">
        <f>SUM('Defect P1'!I79,'Defect P2'!I79,RTS!I79)</f>
        <v>0</v>
      </c>
      <c r="J79" s="85">
        <f>SUM('Defect P1'!J79,'Defect P2'!J79,RTS!J79)</f>
        <v>0</v>
      </c>
      <c r="K79" s="85">
        <f>SUM('Defect P1'!K79,'Defect P2'!K79,RTS!K79)</f>
        <v>0</v>
      </c>
      <c r="L79" s="85">
        <f>SUM('Defect P1'!L79,'Defect P2'!L79,RTS!L79)</f>
        <v>0</v>
      </c>
      <c r="M79" s="85">
        <f>SUM('Defect P1'!M79,'Defect P2'!M79,RTS!M79)</f>
        <v>0</v>
      </c>
      <c r="N79" s="85">
        <v>0</v>
      </c>
      <c r="O79" s="560">
        <f>SUM('Defect P1'!O79,'Defect P2'!O79,RTS!O79)</f>
        <v>0</v>
      </c>
      <c r="P79" s="561">
        <f>SUM('Defect P1'!P79,'Defect P2'!P79,RTS!P79)</f>
        <v>0</v>
      </c>
      <c r="Q79" s="561">
        <f>SUM('Defect P1'!Q79,'Defect P2'!Q79,RTS!Q79)</f>
        <v>0</v>
      </c>
      <c r="R79" s="561">
        <f>SUM('Defect P1'!R79,'Defect P2'!R79,RTS!R79)</f>
        <v>0</v>
      </c>
      <c r="S79" s="561">
        <f>SUM('Defect P1'!S79,'Defect P2'!S79,RTS!S79)</f>
        <v>0</v>
      </c>
      <c r="T79" s="561">
        <f>SUM('Defect P1'!T79,'Defect P2'!T79,RTS!T79)</f>
        <v>0</v>
      </c>
      <c r="U79" s="561">
        <f>SUM('Defect P1'!U79,'Defect P2'!U79,RTS!U79)</f>
        <v>0</v>
      </c>
      <c r="V79" s="561">
        <f>SUM('Defect P1'!V79,'Defect P2'!V79,RTS!V79)</f>
        <v>0</v>
      </c>
      <c r="W79" s="561">
        <f>SUM('Defect P1'!W79,'Defect P2'!W79,RTS!W79)</f>
        <v>0</v>
      </c>
      <c r="X79" s="561">
        <f>SUM('Defect P1'!X79,'Defect P2'!X79,RTS!X79)</f>
        <v>0</v>
      </c>
      <c r="Y79" s="561">
        <f>SUM('Defect P1'!Y79,'Defect P2'!Y79,RTS!Y79)</f>
        <v>0</v>
      </c>
      <c r="Z79" s="86">
        <f>SUM('Defect P1'!Z79,'Defect P2'!Z79,RTS!Z79)</f>
        <v>0</v>
      </c>
      <c r="AA79" s="87">
        <f>SUM('Defect P1'!AA79,'Defect P2'!AA79,RTS!AA79)</f>
        <v>0</v>
      </c>
      <c r="AB79" s="87">
        <f>SUM('Defect P1'!AB79,'Defect P2'!AB79,RTS!AB79)</f>
        <v>0</v>
      </c>
      <c r="AC79" s="87">
        <f>SUM('Defect P1'!AC79,'Defect P2'!AC79,RTS!AC79)</f>
        <v>0</v>
      </c>
      <c r="AD79" s="87">
        <f>SUM('Defect P1'!AD79,'Defect P2'!AD79,RTS!AD79)</f>
        <v>0</v>
      </c>
      <c r="AE79" s="87">
        <f>SUM('Defect P1'!AE79,'Defect P2'!AE79,RTS!AE79)</f>
        <v>0</v>
      </c>
      <c r="AF79" s="87">
        <f>SUM('Defect P1'!AF79,'Defect P2'!AF79,RTS!AF79)</f>
        <v>0</v>
      </c>
      <c r="AG79" s="87">
        <f>SUM('Defect P1'!AG79,'Defect P2'!AG79,RTS!AG79)</f>
        <v>0</v>
      </c>
      <c r="AH79" s="87">
        <f>SUM('Defect P1'!AH79,'Defect P2'!AH79,RTS!AH79)</f>
        <v>0</v>
      </c>
      <c r="AI79" s="87">
        <f>SUM('Defect P1'!AI79,'Defect P2'!AI79,RTS!AI79)</f>
        <v>0</v>
      </c>
      <c r="AJ79" s="87">
        <f>SUM('Defect P1'!AJ79,'Defect P2'!AJ79,RTS!AJ79)</f>
        <v>0</v>
      </c>
      <c r="AK79" s="88">
        <f t="shared" si="43"/>
        <v>0</v>
      </c>
      <c r="AL79" s="89" cm="1">
        <f t="array" ref="AL79">IFERROR(IF($AM$4="N",SSUM(AF79:AH79)/3,SUM(AG79:AI79)/3),"")</f>
        <v>0</v>
      </c>
      <c r="AM79" s="90">
        <f t="shared" si="44"/>
        <v>0</v>
      </c>
      <c r="AN79" s="91" t="str">
        <f t="shared" si="29"/>
        <v/>
      </c>
      <c r="AO79" s="92" t="str">
        <f t="shared" si="30"/>
        <v/>
      </c>
      <c r="AP79" s="92" t="str">
        <f t="shared" si="31"/>
        <v/>
      </c>
      <c r="AQ79" s="92" t="str">
        <f t="shared" si="32"/>
        <v/>
      </c>
      <c r="AR79" s="92" t="str">
        <f t="shared" si="33"/>
        <v/>
      </c>
      <c r="AS79" s="92" t="str">
        <f t="shared" si="34"/>
        <v/>
      </c>
      <c r="AT79" s="92" t="str">
        <f t="shared" si="35"/>
        <v/>
      </c>
      <c r="AU79" s="92" t="str">
        <f t="shared" si="36"/>
        <v/>
      </c>
      <c r="AV79" s="92" t="str">
        <f t="shared" si="37"/>
        <v/>
      </c>
      <c r="AW79" s="92" t="str">
        <f t="shared" si="38"/>
        <v/>
      </c>
      <c r="AX79" s="92" t="str">
        <f t="shared" si="39"/>
        <v/>
      </c>
      <c r="AY79" s="93" t="str">
        <f t="shared" si="40"/>
        <v/>
      </c>
      <c r="AZ79" s="94" t="str">
        <f t="shared" si="41"/>
        <v/>
      </c>
      <c r="BA79" s="95" t="str">
        <f t="shared" si="42"/>
        <v/>
      </c>
      <c r="BB79" s="96">
        <f>SUM('Defect P1'!CE79,'Defect P2'!CE79,RTS!CE79)</f>
        <v>0</v>
      </c>
      <c r="BC79" s="96">
        <f>SUM('Defect P1'!CF79,'Defect P2'!CF79,RTS!CF79)</f>
        <v>0</v>
      </c>
      <c r="BD79" s="96">
        <f>SUM('Defect P1'!CG79,'Defect P2'!CG79,RTS!CG79)</f>
        <v>0</v>
      </c>
      <c r="BE79" s="96">
        <f>SUM('Defect P1'!CH79,'Defect P2'!CH79,RTS!CH79)</f>
        <v>0</v>
      </c>
      <c r="BF79" s="96">
        <f>SUM('Defect P1'!CI79,'Defect P2'!CI79,RTS!CI79)</f>
        <v>0</v>
      </c>
      <c r="BG79" s="96">
        <f>SUM('Defect P1'!CJ79,'Defect P2'!CJ79,RTS!CJ79)</f>
        <v>0</v>
      </c>
      <c r="BH79" s="96">
        <f>SUM('Defect P1'!CK79,'Defect P2'!CK79,RTS!CK79)</f>
        <v>0</v>
      </c>
      <c r="BI79" s="286">
        <f>SUM('Defect P1'!CL79,'Defect P2'!CL79,RTS!CL79)</f>
        <v>0</v>
      </c>
      <c r="BJ79" s="99" t="str">
        <f t="shared" si="45"/>
        <v/>
      </c>
      <c r="BK79" s="640">
        <f>SUM('Defect P1'!CQ79,'Defect P2'!CQ79,RTS!CQ79)</f>
        <v>0</v>
      </c>
      <c r="BL79" s="97">
        <f>SUM('Defect P1'!CR79,'Defect P2'!CR79,RTS!CR79)</f>
        <v>0</v>
      </c>
      <c r="BM79" s="524">
        <f>SUM('Defect P1'!CS79,'Defect P2'!CS79,RTS!CS79)</f>
        <v>0</v>
      </c>
      <c r="BN79" s="416">
        <f>SUM('Defect P1'!CT79,'Defect P2'!CT79,RTS!CT79)</f>
        <v>0</v>
      </c>
      <c r="BO79" s="97">
        <f>SUM('Defect P1'!CU79,'Defect P2'!CU79,RTS!CU79)</f>
        <v>0</v>
      </c>
      <c r="BP79" s="97">
        <f>SUM('Defect P1'!CV79,'Defect P2'!CV79,RTS!CV79)</f>
        <v>0</v>
      </c>
      <c r="BQ79" s="97">
        <f>SUM('Defect P1'!CW79,'Defect P2'!CW79,RTS!CW79)</f>
        <v>0</v>
      </c>
      <c r="BR79" s="98">
        <f>SUM('Defect P1'!CX79,'Defect P2'!CX79,RTS!CX79)</f>
        <v>0</v>
      </c>
    </row>
    <row r="80" spans="1:71" x14ac:dyDescent="0.25">
      <c r="A80" s="81" t="s">
        <v>138</v>
      </c>
      <c r="B80" s="82" t="s">
        <v>163</v>
      </c>
      <c r="C80" s="83" t="s">
        <v>370</v>
      </c>
      <c r="D80" s="84">
        <f>SUM('Defect P1'!D80,'Defect P2'!D80,RTS!D80)</f>
        <v>0</v>
      </c>
      <c r="E80" s="85">
        <f>SUM('Defect P1'!E80,'Defect P2'!E80,RTS!E80)</f>
        <v>0</v>
      </c>
      <c r="F80" s="85">
        <f>SUM('Defect P1'!F80,'Defect P2'!F80,RTS!F80)</f>
        <v>0</v>
      </c>
      <c r="G80" s="85">
        <f>SUM('Defect P1'!G80,'Defect P2'!G80,RTS!G80)</f>
        <v>0</v>
      </c>
      <c r="H80" s="85">
        <f>SUM('Defect P1'!H80,'Defect P2'!H80,RTS!H80)</f>
        <v>0</v>
      </c>
      <c r="I80" s="85">
        <f>SUM('Defect P1'!I80,'Defect P2'!I80,RTS!I80)</f>
        <v>0</v>
      </c>
      <c r="J80" s="85">
        <f>SUM('Defect P1'!J80,'Defect P2'!J80,RTS!J80)</f>
        <v>0</v>
      </c>
      <c r="K80" s="85">
        <f>SUM('Defect P1'!K80,'Defect P2'!K80,RTS!K80)</f>
        <v>0</v>
      </c>
      <c r="L80" s="85">
        <f>SUM('Defect P1'!L80,'Defect P2'!L80,RTS!L80)</f>
        <v>0</v>
      </c>
      <c r="M80" s="85">
        <f>SUM('Defect P1'!M80,'Defect P2'!M80,RTS!M80)</f>
        <v>0</v>
      </c>
      <c r="N80" s="85">
        <v>0</v>
      </c>
      <c r="O80" s="560">
        <f>SUM('Defect P1'!O80,'Defect P2'!O80,RTS!O80)</f>
        <v>0</v>
      </c>
      <c r="P80" s="561">
        <f>SUM('Defect P1'!P80,'Defect P2'!P80,RTS!P80)</f>
        <v>0</v>
      </c>
      <c r="Q80" s="561">
        <f>SUM('Defect P1'!Q80,'Defect P2'!Q80,RTS!Q80)</f>
        <v>0</v>
      </c>
      <c r="R80" s="561">
        <f>SUM('Defect P1'!R80,'Defect P2'!R80,RTS!R80)</f>
        <v>0</v>
      </c>
      <c r="S80" s="561">
        <f>SUM('Defect P1'!S80,'Defect P2'!S80,RTS!S80)</f>
        <v>0</v>
      </c>
      <c r="T80" s="561">
        <f>SUM('Defect P1'!T80,'Defect P2'!T80,RTS!T80)</f>
        <v>0</v>
      </c>
      <c r="U80" s="561">
        <f>SUM('Defect P1'!U80,'Defect P2'!U80,RTS!U80)</f>
        <v>0</v>
      </c>
      <c r="V80" s="561">
        <f>SUM('Defect P1'!V80,'Defect P2'!V80,RTS!V80)</f>
        <v>0</v>
      </c>
      <c r="W80" s="561">
        <f>SUM('Defect P1'!W80,'Defect P2'!W80,RTS!W80)</f>
        <v>0</v>
      </c>
      <c r="X80" s="561">
        <f>SUM('Defect P1'!X80,'Defect P2'!X80,RTS!X80)</f>
        <v>0</v>
      </c>
      <c r="Y80" s="561">
        <f>SUM('Defect P1'!Y80,'Defect P2'!Y80,RTS!Y80)</f>
        <v>0</v>
      </c>
      <c r="Z80" s="86">
        <f>SUM('Defect P1'!Z80,'Defect P2'!Z80,RTS!Z80)</f>
        <v>0</v>
      </c>
      <c r="AA80" s="87">
        <f>SUM('Defect P1'!AA80,'Defect P2'!AA80,RTS!AA80)</f>
        <v>0</v>
      </c>
      <c r="AB80" s="87">
        <f>SUM('Defect P1'!AB80,'Defect P2'!AB80,RTS!AB80)</f>
        <v>0</v>
      </c>
      <c r="AC80" s="87">
        <f>SUM('Defect P1'!AC80,'Defect P2'!AC80,RTS!AC80)</f>
        <v>0</v>
      </c>
      <c r="AD80" s="87">
        <f>SUM('Defect P1'!AD80,'Defect P2'!AD80,RTS!AD80)</f>
        <v>0</v>
      </c>
      <c r="AE80" s="87">
        <f>SUM('Defect P1'!AE80,'Defect P2'!AE80,RTS!AE80)</f>
        <v>0</v>
      </c>
      <c r="AF80" s="87">
        <f>SUM('Defect P1'!AF80,'Defect P2'!AF80,RTS!AF80)</f>
        <v>0</v>
      </c>
      <c r="AG80" s="87">
        <f>SUM('Defect P1'!AG80,'Defect P2'!AG80,RTS!AG80)</f>
        <v>0</v>
      </c>
      <c r="AH80" s="87">
        <f>SUM('Defect P1'!AH80,'Defect P2'!AH80,RTS!AH80)</f>
        <v>0</v>
      </c>
      <c r="AI80" s="87">
        <f>SUM('Defect P1'!AI80,'Defect P2'!AI80,RTS!AI80)</f>
        <v>0</v>
      </c>
      <c r="AJ80" s="87">
        <f>SUM('Defect P1'!AJ80,'Defect P2'!AJ80,RTS!AJ80)</f>
        <v>0</v>
      </c>
      <c r="AK80" s="88">
        <f t="shared" si="43"/>
        <v>0</v>
      </c>
      <c r="AL80" s="89" cm="1">
        <f t="array" ref="AL80">IFERROR(IF($AM$4="N",SSUM(AF80:AH80)/3,SUM(AG80:AI80)/3),"")</f>
        <v>0</v>
      </c>
      <c r="AM80" s="90">
        <f t="shared" si="44"/>
        <v>0</v>
      </c>
      <c r="AN80" s="91" t="str">
        <f t="shared" si="29"/>
        <v/>
      </c>
      <c r="AO80" s="92" t="str">
        <f t="shared" si="30"/>
        <v/>
      </c>
      <c r="AP80" s="92" t="str">
        <f t="shared" si="31"/>
        <v/>
      </c>
      <c r="AQ80" s="92" t="str">
        <f t="shared" si="32"/>
        <v/>
      </c>
      <c r="AR80" s="92" t="str">
        <f t="shared" si="33"/>
        <v/>
      </c>
      <c r="AS80" s="92" t="str">
        <f t="shared" si="34"/>
        <v/>
      </c>
      <c r="AT80" s="92" t="str">
        <f t="shared" si="35"/>
        <v/>
      </c>
      <c r="AU80" s="92" t="str">
        <f t="shared" si="36"/>
        <v/>
      </c>
      <c r="AV80" s="92" t="str">
        <f t="shared" si="37"/>
        <v/>
      </c>
      <c r="AW80" s="92" t="str">
        <f t="shared" si="38"/>
        <v/>
      </c>
      <c r="AX80" s="92" t="str">
        <f t="shared" si="39"/>
        <v/>
      </c>
      <c r="AY80" s="93" t="str">
        <f t="shared" si="40"/>
        <v/>
      </c>
      <c r="AZ80" s="94" t="str">
        <f t="shared" si="41"/>
        <v/>
      </c>
      <c r="BA80" s="95" t="str">
        <f t="shared" si="42"/>
        <v/>
      </c>
      <c r="BB80" s="96">
        <f>SUM('Defect P1'!CE80,'Defect P2'!CE80,RTS!CE80)</f>
        <v>0</v>
      </c>
      <c r="BC80" s="96">
        <f>SUM('Defect P1'!CF80,'Defect P2'!CF80,RTS!CF80)</f>
        <v>0</v>
      </c>
      <c r="BD80" s="96">
        <f>SUM('Defect P1'!CG80,'Defect P2'!CG80,RTS!CG80)</f>
        <v>0</v>
      </c>
      <c r="BE80" s="96">
        <f>SUM('Defect P1'!CH80,'Defect P2'!CH80,RTS!CH80)</f>
        <v>0</v>
      </c>
      <c r="BF80" s="96">
        <f>SUM('Defect P1'!CI80,'Defect P2'!CI80,RTS!CI80)</f>
        <v>0</v>
      </c>
      <c r="BG80" s="96">
        <f>SUM('Defect P1'!CJ80,'Defect P2'!CJ80,RTS!CJ80)</f>
        <v>0</v>
      </c>
      <c r="BH80" s="96">
        <f>SUM('Defect P1'!CK80,'Defect P2'!CK80,RTS!CK80)</f>
        <v>0</v>
      </c>
      <c r="BI80" s="286">
        <f>SUM('Defect P1'!CL80,'Defect P2'!CL80,RTS!CL80)</f>
        <v>0</v>
      </c>
      <c r="BJ80" s="99" t="str">
        <f t="shared" si="45"/>
        <v/>
      </c>
      <c r="BK80" s="640">
        <f>SUM('Defect P1'!CQ80,'Defect P2'!CQ80,RTS!CQ80)</f>
        <v>0</v>
      </c>
      <c r="BL80" s="97">
        <f>SUM('Defect P1'!CR80,'Defect P2'!CR80,RTS!CR80)</f>
        <v>0</v>
      </c>
      <c r="BM80" s="524">
        <f>SUM('Defect P1'!CS80,'Defect P2'!CS80,RTS!CS80)</f>
        <v>0</v>
      </c>
      <c r="BN80" s="416">
        <f>SUM('Defect P1'!CT80,'Defect P2'!CT80,RTS!CT80)</f>
        <v>0</v>
      </c>
      <c r="BO80" s="97">
        <f>SUM('Defect P1'!CU80,'Defect P2'!CU80,RTS!CU80)</f>
        <v>0</v>
      </c>
      <c r="BP80" s="97">
        <f>SUM('Defect P1'!CV80,'Defect P2'!CV80,RTS!CV80)</f>
        <v>0</v>
      </c>
      <c r="BQ80" s="97">
        <f>SUM('Defect P1'!CW80,'Defect P2'!CW80,RTS!CW80)</f>
        <v>0</v>
      </c>
      <c r="BR80" s="98">
        <f>SUM('Defect P1'!CX80,'Defect P2'!CX80,RTS!CX80)</f>
        <v>0</v>
      </c>
    </row>
    <row r="81" spans="1:70" x14ac:dyDescent="0.25">
      <c r="A81" s="81" t="s">
        <v>138</v>
      </c>
      <c r="B81" s="82" t="s">
        <v>165</v>
      </c>
      <c r="C81" s="83" t="s">
        <v>371</v>
      </c>
      <c r="D81" s="84">
        <f>SUM('Defect P1'!D81,'Defect P2'!D81,RTS!D81)</f>
        <v>0</v>
      </c>
      <c r="E81" s="85">
        <f>SUM('Defect P1'!E81,'Defect P2'!E81,RTS!E81)</f>
        <v>0</v>
      </c>
      <c r="F81" s="85">
        <f>SUM('Defect P1'!F81,'Defect P2'!F81,RTS!F81)</f>
        <v>0</v>
      </c>
      <c r="G81" s="85">
        <f>SUM('Defect P1'!G81,'Defect P2'!G81,RTS!G81)</f>
        <v>0</v>
      </c>
      <c r="H81" s="85">
        <f>SUM('Defect P1'!H81,'Defect P2'!H81,RTS!H81)</f>
        <v>0</v>
      </c>
      <c r="I81" s="85">
        <f>SUM('Defect P1'!I81,'Defect P2'!I81,RTS!I81)</f>
        <v>0</v>
      </c>
      <c r="J81" s="85">
        <f>SUM('Defect P1'!J81,'Defect P2'!J81,RTS!J81)</f>
        <v>0</v>
      </c>
      <c r="K81" s="85">
        <f>SUM('Defect P1'!K81,'Defect P2'!K81,RTS!K81)</f>
        <v>0</v>
      </c>
      <c r="L81" s="85">
        <f>SUM('Defect P1'!L81,'Defect P2'!L81,RTS!L81)</f>
        <v>0</v>
      </c>
      <c r="M81" s="85">
        <f>SUM('Defect P1'!M81,'Defect P2'!M81,RTS!M81)</f>
        <v>0</v>
      </c>
      <c r="N81" s="85">
        <v>0</v>
      </c>
      <c r="O81" s="560">
        <f>SUM('Defect P1'!O81,'Defect P2'!O81,RTS!O81)</f>
        <v>0</v>
      </c>
      <c r="P81" s="561">
        <f>SUM('Defect P1'!P81,'Defect P2'!P81,RTS!P81)</f>
        <v>0</v>
      </c>
      <c r="Q81" s="561">
        <f>SUM('Defect P1'!Q81,'Defect P2'!Q81,RTS!Q81)</f>
        <v>0</v>
      </c>
      <c r="R81" s="561">
        <f>SUM('Defect P1'!R81,'Defect P2'!R81,RTS!R81)</f>
        <v>0</v>
      </c>
      <c r="S81" s="561">
        <f>SUM('Defect P1'!S81,'Defect P2'!S81,RTS!S81)</f>
        <v>0</v>
      </c>
      <c r="T81" s="561">
        <f>SUM('Defect P1'!T81,'Defect P2'!T81,RTS!T81)</f>
        <v>0</v>
      </c>
      <c r="U81" s="561">
        <f>SUM('Defect P1'!U81,'Defect P2'!U81,RTS!U81)</f>
        <v>0</v>
      </c>
      <c r="V81" s="561">
        <f>SUM('Defect P1'!V81,'Defect P2'!V81,RTS!V81)</f>
        <v>0</v>
      </c>
      <c r="W81" s="561">
        <f>SUM('Defect P1'!W81,'Defect P2'!W81,RTS!W81)</f>
        <v>0</v>
      </c>
      <c r="X81" s="561">
        <f>SUM('Defect P1'!X81,'Defect P2'!X81,RTS!X81)</f>
        <v>0</v>
      </c>
      <c r="Y81" s="561">
        <f>SUM('Defect P1'!Y81,'Defect P2'!Y81,RTS!Y81)</f>
        <v>0</v>
      </c>
      <c r="Z81" s="86">
        <f>SUM('Defect P1'!Z81,'Defect P2'!Z81,RTS!Z81)</f>
        <v>0</v>
      </c>
      <c r="AA81" s="87">
        <f>SUM('Defect P1'!AA81,'Defect P2'!AA81,RTS!AA81)</f>
        <v>0</v>
      </c>
      <c r="AB81" s="87">
        <f>SUM('Defect P1'!AB81,'Defect P2'!AB81,RTS!AB81)</f>
        <v>0</v>
      </c>
      <c r="AC81" s="87">
        <f>SUM('Defect P1'!AC81,'Defect P2'!AC81,RTS!AC81)</f>
        <v>0</v>
      </c>
      <c r="AD81" s="87">
        <f>SUM('Defect P1'!AD81,'Defect P2'!AD81,RTS!AD81)</f>
        <v>0</v>
      </c>
      <c r="AE81" s="87">
        <f>SUM('Defect P1'!AE81,'Defect P2'!AE81,RTS!AE81)</f>
        <v>0</v>
      </c>
      <c r="AF81" s="87">
        <f>SUM('Defect P1'!AF81,'Defect P2'!AF81,RTS!AF81)</f>
        <v>0</v>
      </c>
      <c r="AG81" s="87">
        <f>SUM('Defect P1'!AG81,'Defect P2'!AG81,RTS!AG81)</f>
        <v>0</v>
      </c>
      <c r="AH81" s="87">
        <f>SUM('Defect P1'!AH81,'Defect P2'!AH81,RTS!AH81)</f>
        <v>0</v>
      </c>
      <c r="AI81" s="87">
        <f>SUM('Defect P1'!AI81,'Defect P2'!AI81,RTS!AI81)</f>
        <v>0</v>
      </c>
      <c r="AJ81" s="87">
        <f>SUM('Defect P1'!AJ81,'Defect P2'!AJ81,RTS!AJ81)</f>
        <v>0</v>
      </c>
      <c r="AK81" s="88">
        <f t="shared" si="43"/>
        <v>0</v>
      </c>
      <c r="AL81" s="89" cm="1">
        <f t="array" ref="AL81">IFERROR(IF($AM$4="N",SSUM(AF81:AH81)/3,SUM(AG81:AI81)/3),"")</f>
        <v>0</v>
      </c>
      <c r="AM81" s="90">
        <f t="shared" si="44"/>
        <v>0</v>
      </c>
      <c r="AN81" s="91" t="str">
        <f t="shared" si="29"/>
        <v/>
      </c>
      <c r="AO81" s="92" t="str">
        <f t="shared" si="30"/>
        <v/>
      </c>
      <c r="AP81" s="92" t="str">
        <f t="shared" si="31"/>
        <v/>
      </c>
      <c r="AQ81" s="92" t="str">
        <f t="shared" si="32"/>
        <v/>
      </c>
      <c r="AR81" s="92" t="str">
        <f t="shared" si="33"/>
        <v/>
      </c>
      <c r="AS81" s="92" t="str">
        <f t="shared" si="34"/>
        <v/>
      </c>
      <c r="AT81" s="92" t="str">
        <f t="shared" si="35"/>
        <v/>
      </c>
      <c r="AU81" s="92" t="str">
        <f t="shared" si="36"/>
        <v/>
      </c>
      <c r="AV81" s="92" t="str">
        <f t="shared" si="37"/>
        <v/>
      </c>
      <c r="AW81" s="92" t="str">
        <f t="shared" si="38"/>
        <v/>
      </c>
      <c r="AX81" s="92" t="str">
        <f t="shared" si="39"/>
        <v/>
      </c>
      <c r="AY81" s="93" t="str">
        <f t="shared" si="40"/>
        <v/>
      </c>
      <c r="AZ81" s="94" t="str">
        <f t="shared" si="41"/>
        <v/>
      </c>
      <c r="BA81" s="95" t="str">
        <f t="shared" si="42"/>
        <v/>
      </c>
      <c r="BB81" s="96">
        <f>SUM('Defect P1'!CE81,'Defect P2'!CE81,RTS!CE81)</f>
        <v>0</v>
      </c>
      <c r="BC81" s="96">
        <f>SUM('Defect P1'!CF81,'Defect P2'!CF81,RTS!CF81)</f>
        <v>0</v>
      </c>
      <c r="BD81" s="96">
        <f>SUM('Defect P1'!CG81,'Defect P2'!CG81,RTS!CG81)</f>
        <v>0</v>
      </c>
      <c r="BE81" s="96">
        <f>SUM('Defect P1'!CH81,'Defect P2'!CH81,RTS!CH81)</f>
        <v>0</v>
      </c>
      <c r="BF81" s="96">
        <f>SUM('Defect P1'!CI81,'Defect P2'!CI81,RTS!CI81)</f>
        <v>0</v>
      </c>
      <c r="BG81" s="96">
        <f>SUM('Defect P1'!CJ81,'Defect P2'!CJ81,RTS!CJ81)</f>
        <v>0</v>
      </c>
      <c r="BH81" s="96">
        <f>SUM('Defect P1'!CK81,'Defect P2'!CK81,RTS!CK81)</f>
        <v>0</v>
      </c>
      <c r="BI81" s="286">
        <f>SUM('Defect P1'!CL81,'Defect P2'!CL81,RTS!CL81)</f>
        <v>0</v>
      </c>
      <c r="BJ81" s="99" t="str">
        <f t="shared" si="45"/>
        <v/>
      </c>
      <c r="BK81" s="640">
        <f>SUM('Defect P1'!CQ81,'Defect P2'!CQ81,RTS!CQ81)</f>
        <v>0</v>
      </c>
      <c r="BL81" s="97">
        <f>SUM('Defect P1'!CR81,'Defect P2'!CR81,RTS!CR81)</f>
        <v>0</v>
      </c>
      <c r="BM81" s="524">
        <f>SUM('Defect P1'!CS81,'Defect P2'!CS81,RTS!CS81)</f>
        <v>0</v>
      </c>
      <c r="BN81" s="416">
        <f>SUM('Defect P1'!CT81,'Defect P2'!CT81,RTS!CT81)</f>
        <v>0</v>
      </c>
      <c r="BO81" s="97">
        <f>SUM('Defect P1'!CU81,'Defect P2'!CU81,RTS!CU81)</f>
        <v>0</v>
      </c>
      <c r="BP81" s="97">
        <f>SUM('Defect P1'!CV81,'Defect P2'!CV81,RTS!CV81)</f>
        <v>0</v>
      </c>
      <c r="BQ81" s="97">
        <f>SUM('Defect P1'!CW81,'Defect P2'!CW81,RTS!CW81)</f>
        <v>0</v>
      </c>
      <c r="BR81" s="98">
        <f>SUM('Defect P1'!CX81,'Defect P2'!CX81,RTS!CX81)</f>
        <v>0</v>
      </c>
    </row>
    <row r="82" spans="1:70" x14ac:dyDescent="0.25">
      <c r="A82" s="81" t="s">
        <v>138</v>
      </c>
      <c r="B82" s="82" t="s">
        <v>167</v>
      </c>
      <c r="C82" s="83" t="s">
        <v>372</v>
      </c>
      <c r="D82" s="84">
        <f>SUM('Defect P1'!D82,'Defect P2'!D82,RTS!D82)</f>
        <v>0</v>
      </c>
      <c r="E82" s="85">
        <f>SUM('Defect P1'!E82,'Defect P2'!E82,RTS!E82)</f>
        <v>0</v>
      </c>
      <c r="F82" s="85">
        <f>SUM('Defect P1'!F82,'Defect P2'!F82,RTS!F82)</f>
        <v>0</v>
      </c>
      <c r="G82" s="85">
        <f>SUM('Defect P1'!G82,'Defect P2'!G82,RTS!G82)</f>
        <v>0</v>
      </c>
      <c r="H82" s="85">
        <f>SUM('Defect P1'!H82,'Defect P2'!H82,RTS!H82)</f>
        <v>0</v>
      </c>
      <c r="I82" s="85">
        <f>SUM('Defect P1'!I82,'Defect P2'!I82,RTS!I82)</f>
        <v>0</v>
      </c>
      <c r="J82" s="85">
        <f>SUM('Defect P1'!J82,'Defect P2'!J82,RTS!J82)</f>
        <v>0</v>
      </c>
      <c r="K82" s="85">
        <f>SUM('Defect P1'!K82,'Defect P2'!K82,RTS!K82)</f>
        <v>0</v>
      </c>
      <c r="L82" s="85">
        <f>SUM('Defect P1'!L82,'Defect P2'!L82,RTS!L82)</f>
        <v>0</v>
      </c>
      <c r="M82" s="85">
        <f>SUM('Defect P1'!M82,'Defect P2'!M82,RTS!M82)</f>
        <v>0</v>
      </c>
      <c r="N82" s="85">
        <v>0</v>
      </c>
      <c r="O82" s="560">
        <f>SUM('Defect P1'!O82,'Defect P2'!O82,RTS!O82)</f>
        <v>0</v>
      </c>
      <c r="P82" s="561">
        <f>SUM('Defect P1'!P82,'Defect P2'!P82,RTS!P82)</f>
        <v>0</v>
      </c>
      <c r="Q82" s="561">
        <f>SUM('Defect P1'!Q82,'Defect P2'!Q82,RTS!Q82)</f>
        <v>0</v>
      </c>
      <c r="R82" s="561">
        <f>SUM('Defect P1'!R82,'Defect P2'!R82,RTS!R82)</f>
        <v>0</v>
      </c>
      <c r="S82" s="561">
        <f>SUM('Defect P1'!S82,'Defect P2'!S82,RTS!S82)</f>
        <v>0</v>
      </c>
      <c r="T82" s="561">
        <f>SUM('Defect P1'!T82,'Defect P2'!T82,RTS!T82)</f>
        <v>0</v>
      </c>
      <c r="U82" s="561">
        <f>SUM('Defect P1'!U82,'Defect P2'!U82,RTS!U82)</f>
        <v>0</v>
      </c>
      <c r="V82" s="561">
        <f>SUM('Defect P1'!V82,'Defect P2'!V82,RTS!V82)</f>
        <v>0</v>
      </c>
      <c r="W82" s="561">
        <f>SUM('Defect P1'!W82,'Defect P2'!W82,RTS!W82)</f>
        <v>0</v>
      </c>
      <c r="X82" s="561">
        <f>SUM('Defect P1'!X82,'Defect P2'!X82,RTS!X82)</f>
        <v>0</v>
      </c>
      <c r="Y82" s="561">
        <f>SUM('Defect P1'!Y82,'Defect P2'!Y82,RTS!Y82)</f>
        <v>0</v>
      </c>
      <c r="Z82" s="86">
        <f>SUM('Defect P1'!Z82,'Defect P2'!Z82,RTS!Z82)</f>
        <v>0</v>
      </c>
      <c r="AA82" s="87">
        <f>SUM('Defect P1'!AA82,'Defect P2'!AA82,RTS!AA82)</f>
        <v>0</v>
      </c>
      <c r="AB82" s="87">
        <f>SUM('Defect P1'!AB82,'Defect P2'!AB82,RTS!AB82)</f>
        <v>0</v>
      </c>
      <c r="AC82" s="87">
        <f>SUM('Defect P1'!AC82,'Defect P2'!AC82,RTS!AC82)</f>
        <v>0</v>
      </c>
      <c r="AD82" s="87">
        <f>SUM('Defect P1'!AD82,'Defect P2'!AD82,RTS!AD82)</f>
        <v>0</v>
      </c>
      <c r="AE82" s="87">
        <f>SUM('Defect P1'!AE82,'Defect P2'!AE82,RTS!AE82)</f>
        <v>0</v>
      </c>
      <c r="AF82" s="87">
        <f>SUM('Defect P1'!AF82,'Defect P2'!AF82,RTS!AF82)</f>
        <v>0</v>
      </c>
      <c r="AG82" s="87">
        <f>SUM('Defect P1'!AG82,'Defect P2'!AG82,RTS!AG82)</f>
        <v>0</v>
      </c>
      <c r="AH82" s="87">
        <f>SUM('Defect P1'!AH82,'Defect P2'!AH82,RTS!AH82)</f>
        <v>0</v>
      </c>
      <c r="AI82" s="87">
        <f>SUM('Defect P1'!AI82,'Defect P2'!AI82,RTS!AI82)</f>
        <v>0</v>
      </c>
      <c r="AJ82" s="87">
        <f>SUM('Defect P1'!AJ82,'Defect P2'!AJ82,RTS!AJ82)</f>
        <v>0</v>
      </c>
      <c r="AK82" s="88">
        <f t="shared" si="43"/>
        <v>0</v>
      </c>
      <c r="AL82" s="89" cm="1">
        <f t="array" ref="AL82">IFERROR(IF($AM$4="N",SSUM(AF82:AH82)/3,SUM(AG82:AI82)/3),"")</f>
        <v>0</v>
      </c>
      <c r="AM82" s="90">
        <f t="shared" si="44"/>
        <v>0</v>
      </c>
      <c r="AN82" s="91" t="str">
        <f t="shared" si="29"/>
        <v/>
      </c>
      <c r="AO82" s="92" t="str">
        <f t="shared" si="30"/>
        <v/>
      </c>
      <c r="AP82" s="92" t="str">
        <f t="shared" si="31"/>
        <v/>
      </c>
      <c r="AQ82" s="92" t="str">
        <f t="shared" si="32"/>
        <v/>
      </c>
      <c r="AR82" s="92" t="str">
        <f t="shared" si="33"/>
        <v/>
      </c>
      <c r="AS82" s="92" t="str">
        <f t="shared" si="34"/>
        <v/>
      </c>
      <c r="AT82" s="92" t="str">
        <f t="shared" si="35"/>
        <v/>
      </c>
      <c r="AU82" s="92" t="str">
        <f t="shared" si="36"/>
        <v/>
      </c>
      <c r="AV82" s="92" t="str">
        <f t="shared" si="37"/>
        <v/>
      </c>
      <c r="AW82" s="92" t="str">
        <f t="shared" si="38"/>
        <v/>
      </c>
      <c r="AX82" s="92" t="str">
        <f t="shared" si="39"/>
        <v/>
      </c>
      <c r="AY82" s="93" t="str">
        <f t="shared" si="40"/>
        <v/>
      </c>
      <c r="AZ82" s="94" t="str">
        <f t="shared" si="41"/>
        <v/>
      </c>
      <c r="BA82" s="95" t="str">
        <f t="shared" si="42"/>
        <v/>
      </c>
      <c r="BB82" s="96">
        <f>SUM('Defect P1'!CE82,'Defect P2'!CE82,RTS!CE82)</f>
        <v>0</v>
      </c>
      <c r="BC82" s="96">
        <f>SUM('Defect P1'!CF82,'Defect P2'!CF82,RTS!CF82)</f>
        <v>0</v>
      </c>
      <c r="BD82" s="96">
        <f>SUM('Defect P1'!CG82,'Defect P2'!CG82,RTS!CG82)</f>
        <v>0</v>
      </c>
      <c r="BE82" s="96">
        <f>SUM('Defect P1'!CH82,'Defect P2'!CH82,RTS!CH82)</f>
        <v>0</v>
      </c>
      <c r="BF82" s="96">
        <f>SUM('Defect P1'!CI82,'Defect P2'!CI82,RTS!CI82)</f>
        <v>0</v>
      </c>
      <c r="BG82" s="96">
        <f>SUM('Defect P1'!CJ82,'Defect P2'!CJ82,RTS!CJ82)</f>
        <v>0</v>
      </c>
      <c r="BH82" s="96">
        <f>SUM('Defect P1'!CK82,'Defect P2'!CK82,RTS!CK82)</f>
        <v>0</v>
      </c>
      <c r="BI82" s="286">
        <f>SUM('Defect P1'!CL82,'Defect P2'!CL82,RTS!CL82)</f>
        <v>0</v>
      </c>
      <c r="BJ82" s="99" t="str">
        <f t="shared" si="45"/>
        <v/>
      </c>
      <c r="BK82" s="640">
        <f>SUM('Defect P1'!CQ82,'Defect P2'!CQ82,RTS!CQ82)</f>
        <v>0</v>
      </c>
      <c r="BL82" s="97">
        <f>SUM('Defect P1'!CR82,'Defect P2'!CR82,RTS!CR82)</f>
        <v>0</v>
      </c>
      <c r="BM82" s="524">
        <f>SUM('Defect P1'!CS82,'Defect P2'!CS82,RTS!CS82)</f>
        <v>0</v>
      </c>
      <c r="BN82" s="416">
        <f>SUM('Defect P1'!CT82,'Defect P2'!CT82,RTS!CT82)</f>
        <v>0</v>
      </c>
      <c r="BO82" s="97">
        <f>SUM('Defect P1'!CU82,'Defect P2'!CU82,RTS!CU82)</f>
        <v>0</v>
      </c>
      <c r="BP82" s="97">
        <f>SUM('Defect P1'!CV82,'Defect P2'!CV82,RTS!CV82)</f>
        <v>0</v>
      </c>
      <c r="BQ82" s="97">
        <f>SUM('Defect P1'!CW82,'Defect P2'!CW82,RTS!CW82)</f>
        <v>0</v>
      </c>
      <c r="BR82" s="98">
        <f>SUM('Defect P1'!CX82,'Defect P2'!CX82,RTS!CX82)</f>
        <v>0</v>
      </c>
    </row>
    <row r="83" spans="1:70" x14ac:dyDescent="0.25">
      <c r="A83" s="81" t="s">
        <v>138</v>
      </c>
      <c r="B83" s="82" t="s">
        <v>169</v>
      </c>
      <c r="C83" s="83" t="s">
        <v>373</v>
      </c>
      <c r="D83" s="84">
        <f>SUM('Defect P1'!D83,'Defect P2'!D83,RTS!D83)</f>
        <v>0</v>
      </c>
      <c r="E83" s="85">
        <f>SUM('Defect P1'!E83,'Defect P2'!E83,RTS!E83)</f>
        <v>0</v>
      </c>
      <c r="F83" s="85">
        <f>SUM('Defect P1'!F83,'Defect P2'!F83,RTS!F83)</f>
        <v>367421.34514834854</v>
      </c>
      <c r="G83" s="85">
        <f>SUM('Defect P1'!G83,'Defect P2'!G83,RTS!G83)</f>
        <v>63133.876765104644</v>
      </c>
      <c r="H83" s="85">
        <f>SUM('Defect P1'!H83,'Defect P2'!H83,RTS!H83)</f>
        <v>66483.408136118247</v>
      </c>
      <c r="I83" s="85">
        <f>SUM('Defect P1'!I83,'Defect P2'!I83,RTS!I83)</f>
        <v>209260.36004262482</v>
      </c>
      <c r="J83" s="85">
        <f>SUM('Defect P1'!J83,'Defect P2'!J83,RTS!J83)</f>
        <v>197091.6807952309</v>
      </c>
      <c r="K83" s="85">
        <f>SUM('Defect P1'!K83,'Defect P2'!K83,RTS!K83)</f>
        <v>49884.6</v>
      </c>
      <c r="L83" s="85">
        <f>SUM('Defect P1'!L83,'Defect P2'!L83,RTS!L83)</f>
        <v>51271.75</v>
      </c>
      <c r="M83" s="85">
        <f>SUM('Defect P1'!M83,'Defect P2'!M83,RTS!M83)</f>
        <v>95340.15</v>
      </c>
      <c r="N83" s="85">
        <v>0</v>
      </c>
      <c r="O83" s="560">
        <f>SUM('Defect P1'!O83,'Defect P2'!O83,RTS!O83)</f>
        <v>0</v>
      </c>
      <c r="P83" s="561">
        <f>SUM('Defect P1'!P83,'Defect P2'!P83,RTS!P83)</f>
        <v>0</v>
      </c>
      <c r="Q83" s="561">
        <f>SUM('Defect P1'!Q83,'Defect P2'!Q83,RTS!Q83)</f>
        <v>482058.91667500802</v>
      </c>
      <c r="R83" s="561">
        <f>SUM('Defect P1'!R83,'Defect P2'!R83,RTS!R83)</f>
        <v>81260.670264811997</v>
      </c>
      <c r="S83" s="561">
        <f>SUM('Defect P1'!S83,'Defect P2'!S83,RTS!S83)</f>
        <v>83830.179091574275</v>
      </c>
      <c r="T83" s="561">
        <f>SUM('Defect P1'!T83,'Defect P2'!T83,RTS!T83)</f>
        <v>259723.13896493192</v>
      </c>
      <c r="U83" s="561">
        <f>SUM('Defect P1'!U83,'Defect P2'!U83,RTS!U83)</f>
        <v>245475.31816865326</v>
      </c>
      <c r="V83" s="561">
        <f>SUM('Defect P1'!V83,'Defect P2'!V83,RTS!V83)</f>
        <v>59829.53347546875</v>
      </c>
      <c r="W83" s="561">
        <f>SUM('Defect P1'!W83,'Defect P2'!W83,RTS!W83)</f>
        <v>57933.346658447525</v>
      </c>
      <c r="X83" s="561">
        <f>SUM('Defect P1'!X83,'Defect P2'!X83,RTS!X83)</f>
        <v>101390.52421275925</v>
      </c>
      <c r="Y83" s="561">
        <f>SUM('Defect P1'!Y83,'Defect P2'!Y83,RTS!Y83)</f>
        <v>0</v>
      </c>
      <c r="Z83" s="86">
        <f>SUM('Defect P1'!Z83,'Defect P2'!Z83,RTS!Z83)</f>
        <v>0</v>
      </c>
      <c r="AA83" s="87">
        <f>SUM('Defect P1'!AA83,'Defect P2'!AA83,RTS!AA83)</f>
        <v>0</v>
      </c>
      <c r="AB83" s="87">
        <f>SUM('Defect P1'!AB83,'Defect P2'!AB83,RTS!AB83)</f>
        <v>3</v>
      </c>
      <c r="AC83" s="87">
        <f>SUM('Defect P1'!AC83,'Defect P2'!AC83,RTS!AC83)</f>
        <v>1</v>
      </c>
      <c r="AD83" s="87">
        <f>SUM('Defect P1'!AD83,'Defect P2'!AD83,RTS!AD83)</f>
        <v>1</v>
      </c>
      <c r="AE83" s="87">
        <f>SUM('Defect P1'!AE83,'Defect P2'!AE83,RTS!AE83)</f>
        <v>1</v>
      </c>
      <c r="AF83" s="87">
        <f>SUM('Defect P1'!AF83,'Defect P2'!AF83,RTS!AF83)</f>
        <v>0</v>
      </c>
      <c r="AG83" s="87">
        <f>SUM('Defect P1'!AG83,'Defect P2'!AG83,RTS!AG83)</f>
        <v>2</v>
      </c>
      <c r="AH83" s="87">
        <f>SUM('Defect P1'!AH83,'Defect P2'!AH83,RTS!AH83)</f>
        <v>1</v>
      </c>
      <c r="AI83" s="87">
        <f>SUM('Defect P1'!AI83,'Defect P2'!AI83,RTS!AI83)</f>
        <v>3</v>
      </c>
      <c r="AJ83" s="87">
        <f>SUM('Defect P1'!AJ83,'Defect P2'!AJ83,RTS!AJ83)</f>
        <v>0</v>
      </c>
      <c r="AK83" s="88">
        <f t="shared" si="43"/>
        <v>1.4</v>
      </c>
      <c r="AL83" s="89" cm="1">
        <f t="array" ref="AL83">IFERROR(IF($AM$4="N",SSUM(AF83:AH83)/3,SUM(AG83:AI83)/3),"")</f>
        <v>2</v>
      </c>
      <c r="AM83" s="90">
        <f t="shared" si="44"/>
        <v>3</v>
      </c>
      <c r="AN83" s="91" t="str">
        <f t="shared" si="29"/>
        <v/>
      </c>
      <c r="AO83" s="92" t="str">
        <f t="shared" si="30"/>
        <v/>
      </c>
      <c r="AP83" s="92">
        <f t="shared" si="31"/>
        <v>122473.78171611618</v>
      </c>
      <c r="AQ83" s="92">
        <f t="shared" si="32"/>
        <v>63133.876765104644</v>
      </c>
      <c r="AR83" s="92">
        <f t="shared" si="33"/>
        <v>66483.408136118247</v>
      </c>
      <c r="AS83" s="92">
        <f t="shared" si="34"/>
        <v>209260.36004262482</v>
      </c>
      <c r="AT83" s="92" t="str">
        <f t="shared" si="35"/>
        <v/>
      </c>
      <c r="AU83" s="92">
        <f t="shared" si="36"/>
        <v>24942.3</v>
      </c>
      <c r="AV83" s="92">
        <f t="shared" si="37"/>
        <v>51271.75</v>
      </c>
      <c r="AW83" s="92">
        <f t="shared" si="38"/>
        <v>31780.05</v>
      </c>
      <c r="AX83" s="92" t="str">
        <f t="shared" si="39"/>
        <v/>
      </c>
      <c r="AY83" s="93">
        <f t="shared" si="40"/>
        <v>86121.220119693666</v>
      </c>
      <c r="AZ83" s="94">
        <f t="shared" si="41"/>
        <v>32749.416666666668</v>
      </c>
      <c r="BA83" s="95">
        <f t="shared" si="42"/>
        <v>31780.05</v>
      </c>
      <c r="BB83" s="96">
        <f>SUM('Defect P1'!CE83,'Defect P2'!CE83,RTS!CE83)</f>
        <v>2</v>
      </c>
      <c r="BC83" s="96">
        <f>SUM('Defect P1'!CF83,'Defect P2'!CF83,RTS!CF83)</f>
        <v>2</v>
      </c>
      <c r="BD83" s="96">
        <f>SUM('Defect P1'!CG83,'Defect P2'!CG83,RTS!CG83)</f>
        <v>2</v>
      </c>
      <c r="BE83" s="96">
        <f>SUM('Defect P1'!CH83,'Defect P2'!CH83,RTS!CH83)</f>
        <v>1.6081118881119998</v>
      </c>
      <c r="BF83" s="96">
        <f>SUM('Defect P1'!CI83,'Defect P2'!CI83,RTS!CI83)</f>
        <v>1.6081118881119998</v>
      </c>
      <c r="BG83" s="96">
        <f>SUM('Defect P1'!CJ83,'Defect P2'!CJ83,RTS!CJ83)</f>
        <v>1.6081118881119998</v>
      </c>
      <c r="BH83" s="96">
        <f>SUM('Defect P1'!CK83,'Defect P2'!CK83,RTS!CK83)</f>
        <v>1.6081118881119998</v>
      </c>
      <c r="BI83" s="286">
        <f>SUM('Defect P1'!CL83,'Defect P2'!CL83,RTS!CL83)</f>
        <v>1.6081118881119998</v>
      </c>
      <c r="BJ83" s="99">
        <f t="shared" si="45"/>
        <v>31857.1998389609</v>
      </c>
      <c r="BK83" s="640">
        <f>SUM('Defect P1'!CQ83,'Defect P2'!CQ83,RTS!CQ83)</f>
        <v>65498.833333333336</v>
      </c>
      <c r="BL83" s="97">
        <f>SUM('Defect P1'!CR83,'Defect P2'!CR83,RTS!CR83)</f>
        <v>65498.833333333336</v>
      </c>
      <c r="BM83" s="524">
        <f>SUM('Defect P1'!CS83,'Defect P2'!CS83,RTS!CS83)</f>
        <v>65498.833333333336</v>
      </c>
      <c r="BN83" s="416">
        <f>SUM('Defect P1'!CT83,'Defect P2'!CT83,RTS!CT83)</f>
        <v>50159.281589745762</v>
      </c>
      <c r="BO83" s="97">
        <f>SUM('Defect P1'!CU83,'Defect P2'!CU83,RTS!CU83)</f>
        <v>50159.281589745762</v>
      </c>
      <c r="BP83" s="97">
        <f>SUM('Defect P1'!CV83,'Defect P2'!CV83,RTS!CV83)</f>
        <v>50159.281589745762</v>
      </c>
      <c r="BQ83" s="97">
        <f>SUM('Defect P1'!CW83,'Defect P2'!CW83,RTS!CW83)</f>
        <v>50159.281589745762</v>
      </c>
      <c r="BR83" s="98">
        <f>SUM('Defect P1'!CX83,'Defect P2'!CX83,RTS!CX83)</f>
        <v>50159.281589745762</v>
      </c>
    </row>
    <row r="84" spans="1:70" x14ac:dyDescent="0.25">
      <c r="A84" s="81" t="s">
        <v>138</v>
      </c>
      <c r="B84" s="82" t="s">
        <v>171</v>
      </c>
      <c r="C84" s="83" t="s">
        <v>374</v>
      </c>
      <c r="D84" s="84">
        <f>SUM('Defect P1'!D84,'Defect P2'!D84,RTS!D84)</f>
        <v>0</v>
      </c>
      <c r="E84" s="85">
        <f>SUM('Defect P1'!E84,'Defect P2'!E84,RTS!E84)</f>
        <v>113823.75386127747</v>
      </c>
      <c r="F84" s="85">
        <f>SUM('Defect P1'!F84,'Defect P2'!F84,RTS!F84)</f>
        <v>71944.751237833611</v>
      </c>
      <c r="G84" s="85">
        <f>SUM('Defect P1'!G84,'Defect P2'!G84,RTS!G84)</f>
        <v>85253.803644495361</v>
      </c>
      <c r="H84" s="85">
        <f>SUM('Defect P1'!H84,'Defect P2'!H84,RTS!H84)</f>
        <v>202143.28965037951</v>
      </c>
      <c r="I84" s="85">
        <f>SUM('Defect P1'!I84,'Defect P2'!I84,RTS!I84)</f>
        <v>432277.48327805428</v>
      </c>
      <c r="J84" s="85">
        <f>SUM('Defect P1'!J84,'Defect P2'!J84,RTS!J84)</f>
        <v>638403.97475991235</v>
      </c>
      <c r="K84" s="85">
        <f>SUM('Defect P1'!K84,'Defect P2'!K84,RTS!K84)</f>
        <v>32120.95</v>
      </c>
      <c r="L84" s="85">
        <f>SUM('Defect P1'!L84,'Defect P2'!L84,RTS!L84)</f>
        <v>73500.628030338994</v>
      </c>
      <c r="M84" s="85">
        <f>SUM('Defect P1'!M84,'Defect P2'!M84,RTS!M84)</f>
        <v>136859.06406143005</v>
      </c>
      <c r="N84" s="85">
        <v>91035.473545261906</v>
      </c>
      <c r="O84" s="560">
        <f>SUM('Defect P1'!O84,'Defect P2'!O84,RTS!O84)</f>
        <v>0</v>
      </c>
      <c r="P84" s="561">
        <f>SUM('Defect P1'!P84,'Defect P2'!P84,RTS!P84)</f>
        <v>150865.52312006464</v>
      </c>
      <c r="Q84" s="561">
        <f>SUM('Defect P1'!Q84,'Defect P2'!Q84,RTS!Q84)</f>
        <v>94391.927143372974</v>
      </c>
      <c r="R84" s="561">
        <f>SUM('Defect P1'!R84,'Defect P2'!R84,RTS!R84)</f>
        <v>109731.59865585013</v>
      </c>
      <c r="S84" s="561">
        <f>SUM('Defect P1'!S84,'Defect P2'!S84,RTS!S84)</f>
        <v>254886.27386334669</v>
      </c>
      <c r="T84" s="561">
        <f>SUM('Defect P1'!T84,'Defect P2'!T84,RTS!T84)</f>
        <v>536520.46110389964</v>
      </c>
      <c r="U84" s="561">
        <f>SUM('Defect P1'!U84,'Defect P2'!U84,RTS!U84)</f>
        <v>795124.47299660137</v>
      </c>
      <c r="V84" s="561">
        <f>SUM('Defect P1'!V84,'Defect P2'!V84,RTS!V84)</f>
        <v>38524.543712665996</v>
      </c>
      <c r="W84" s="561">
        <f>SUM('Defect P1'!W84,'Defect P2'!W84,RTS!W84)</f>
        <v>83050.361325588339</v>
      </c>
      <c r="X84" s="561">
        <f>SUM('Defect P1'!X84,'Defect P2'!X84,RTS!X84)</f>
        <v>145544.26701086576</v>
      </c>
      <c r="Y84" s="561">
        <f>SUM('Defect P1'!Y84,'Defect P2'!Y84,RTS!Y84)</f>
        <v>93538.810631571658</v>
      </c>
      <c r="Z84" s="86">
        <f>SUM('Defect P1'!Z84,'Defect P2'!Z84,RTS!Z84)</f>
        <v>0</v>
      </c>
      <c r="AA84" s="87">
        <f>SUM('Defect P1'!AA84,'Defect P2'!AA84,RTS!AA84)</f>
        <v>2</v>
      </c>
      <c r="AB84" s="87">
        <f>SUM('Defect P1'!AB84,'Defect P2'!AB84,RTS!AB84)</f>
        <v>1</v>
      </c>
      <c r="AC84" s="87">
        <f>SUM('Defect P1'!AC84,'Defect P2'!AC84,RTS!AC84)</f>
        <v>1</v>
      </c>
      <c r="AD84" s="87">
        <f>SUM('Defect P1'!AD84,'Defect P2'!AD84,RTS!AD84)</f>
        <v>2</v>
      </c>
      <c r="AE84" s="87">
        <f>SUM('Defect P1'!AE84,'Defect P2'!AE84,RTS!AE84)</f>
        <v>4</v>
      </c>
      <c r="AF84" s="87">
        <f>SUM('Defect P1'!AF84,'Defect P2'!AF84,RTS!AF84)</f>
        <v>2</v>
      </c>
      <c r="AG84" s="87">
        <f>SUM('Defect P1'!AG84,'Defect P2'!AG84,RTS!AG84)</f>
        <v>1</v>
      </c>
      <c r="AH84" s="87">
        <f>SUM('Defect P1'!AH84,'Defect P2'!AH84,RTS!AH84)</f>
        <v>2</v>
      </c>
      <c r="AI84" s="87">
        <f>SUM('Defect P1'!AI84,'Defect P2'!AI84,RTS!AI84)</f>
        <v>3</v>
      </c>
      <c r="AJ84" s="87">
        <f>SUM('Defect P1'!AJ84,'Defect P2'!AJ84,RTS!AJ84)</f>
        <v>1</v>
      </c>
      <c r="AK84" s="88">
        <f t="shared" si="43"/>
        <v>2.4</v>
      </c>
      <c r="AL84" s="89" cm="1">
        <f t="array" ref="AL84">IFERROR(IF($AM$4="N",SSUM(AF84:AH84)/3,SUM(AG84:AI84)/3),"")</f>
        <v>2</v>
      </c>
      <c r="AM84" s="90">
        <f t="shared" si="44"/>
        <v>3</v>
      </c>
      <c r="AN84" s="91" t="str">
        <f t="shared" si="29"/>
        <v/>
      </c>
      <c r="AO84" s="92">
        <f t="shared" si="30"/>
        <v>56911.876930638733</v>
      </c>
      <c r="AP84" s="92">
        <f t="shared" si="31"/>
        <v>71944.751237833611</v>
      </c>
      <c r="AQ84" s="92">
        <f t="shared" si="32"/>
        <v>85253.803644495361</v>
      </c>
      <c r="AR84" s="92">
        <f t="shared" si="33"/>
        <v>101071.64482518975</v>
      </c>
      <c r="AS84" s="92">
        <f t="shared" si="34"/>
        <v>108069.37081951357</v>
      </c>
      <c r="AT84" s="92">
        <f t="shared" si="35"/>
        <v>319201.98737995618</v>
      </c>
      <c r="AU84" s="92">
        <f t="shared" si="36"/>
        <v>32120.95</v>
      </c>
      <c r="AV84" s="92">
        <f t="shared" si="37"/>
        <v>36750.314015169497</v>
      </c>
      <c r="AW84" s="92">
        <f t="shared" si="38"/>
        <v>45619.688020476686</v>
      </c>
      <c r="AX84" s="92">
        <f t="shared" si="39"/>
        <v>91035.473545261906</v>
      </c>
      <c r="AY84" s="93">
        <f t="shared" si="40"/>
        <v>109430.1750108113</v>
      </c>
      <c r="AZ84" s="94">
        <f t="shared" si="41"/>
        <v>40413.440348628174</v>
      </c>
      <c r="BA84" s="95">
        <f t="shared" si="42"/>
        <v>45619.688020476686</v>
      </c>
      <c r="BB84" s="96">
        <f>SUM('Defect P1'!CE84,'Defect P2'!CE84,RTS!CE84)</f>
        <v>2</v>
      </c>
      <c r="BC84" s="96">
        <f>SUM('Defect P1'!CF84,'Defect P2'!CF84,RTS!CF84)</f>
        <v>2</v>
      </c>
      <c r="BD84" s="96">
        <f>SUM('Defect P1'!CG84,'Defect P2'!CG84,RTS!CG84)</f>
        <v>2</v>
      </c>
      <c r="BE84" s="96">
        <f>SUM('Defect P1'!CH84,'Defect P2'!CH84,RTS!CH84)</f>
        <v>1.6081118881119998</v>
      </c>
      <c r="BF84" s="96">
        <f>SUM('Defect P1'!CI84,'Defect P2'!CI84,RTS!CI84)</f>
        <v>1.6081118881119998</v>
      </c>
      <c r="BG84" s="96">
        <f>SUM('Defect P1'!CJ84,'Defect P2'!CJ84,RTS!CJ84)</f>
        <v>1.6081118881119998</v>
      </c>
      <c r="BH84" s="96">
        <f>SUM('Defect P1'!CK84,'Defect P2'!CK84,RTS!CK84)</f>
        <v>1.6081118881119998</v>
      </c>
      <c r="BI84" s="286">
        <f>SUM('Defect P1'!CL84,'Defect P2'!CL84,RTS!CL84)</f>
        <v>1.6081118881119998</v>
      </c>
      <c r="BJ84" s="99">
        <f t="shared" si="45"/>
        <v>41007.145286242157</v>
      </c>
      <c r="BK84" s="640">
        <f>SUM('Defect P1'!CQ84,'Defect P2'!CQ84,RTS!CQ84)</f>
        <v>80826.880697256332</v>
      </c>
      <c r="BL84" s="97">
        <f>SUM('Defect P1'!CR84,'Defect P2'!CR84,RTS!CR84)</f>
        <v>80826.880697256332</v>
      </c>
      <c r="BM84" s="524">
        <f>SUM('Defect P1'!CS84,'Defect P2'!CS84,RTS!CS84)</f>
        <v>80826.880697256332</v>
      </c>
      <c r="BN84" s="416">
        <f>SUM('Defect P1'!CT84,'Defect P2'!CT84,RTS!CT84)</f>
        <v>66656.523757478732</v>
      </c>
      <c r="BO84" s="97">
        <f>SUM('Defect P1'!CU84,'Defect P2'!CU84,RTS!CU84)</f>
        <v>66656.523757478732</v>
      </c>
      <c r="BP84" s="97">
        <f>SUM('Defect P1'!CV84,'Defect P2'!CV84,RTS!CV84)</f>
        <v>66656.523757478732</v>
      </c>
      <c r="BQ84" s="97">
        <f>SUM('Defect P1'!CW84,'Defect P2'!CW84,RTS!CW84)</f>
        <v>66656.523757478732</v>
      </c>
      <c r="BR84" s="98">
        <f>SUM('Defect P1'!CX84,'Defect P2'!CX84,RTS!CX84)</f>
        <v>66656.523757478732</v>
      </c>
    </row>
    <row r="85" spans="1:70" x14ac:dyDescent="0.25">
      <c r="A85" s="81" t="s">
        <v>138</v>
      </c>
      <c r="B85" s="82" t="s">
        <v>173</v>
      </c>
      <c r="C85" s="83" t="s">
        <v>375</v>
      </c>
      <c r="D85" s="84">
        <f>SUM('Defect P1'!D85,'Defect P2'!D85,RTS!D85)</f>
        <v>0</v>
      </c>
      <c r="E85" s="85">
        <f>SUM('Defect P1'!E85,'Defect P2'!E85,RTS!E85)</f>
        <v>70709.717137220126</v>
      </c>
      <c r="F85" s="85">
        <f>SUM('Defect P1'!F85,'Defect P2'!F85,RTS!F85)</f>
        <v>222586.29116524648</v>
      </c>
      <c r="G85" s="85">
        <f>SUM('Defect P1'!G85,'Defect P2'!G85,RTS!G85)</f>
        <v>0</v>
      </c>
      <c r="H85" s="85">
        <f>SUM('Defect P1'!H85,'Defect P2'!H85,RTS!H85)</f>
        <v>0</v>
      </c>
      <c r="I85" s="85">
        <f>SUM('Defect P1'!I85,'Defect P2'!I85,RTS!I85)</f>
        <v>125300.59687523704</v>
      </c>
      <c r="J85" s="85">
        <f>SUM('Defect P1'!J85,'Defect P2'!J85,RTS!J85)</f>
        <v>0</v>
      </c>
      <c r="K85" s="85">
        <f>SUM('Defect P1'!K85,'Defect P2'!K85,RTS!K85)</f>
        <v>181400.89701398701</v>
      </c>
      <c r="L85" s="85">
        <f>SUM('Defect P1'!L85,'Defect P2'!L85,RTS!L85)</f>
        <v>0</v>
      </c>
      <c r="M85" s="85">
        <f>SUM('Defect P1'!M85,'Defect P2'!M85,RTS!M85)</f>
        <v>0</v>
      </c>
      <c r="N85" s="85">
        <v>0</v>
      </c>
      <c r="O85" s="560">
        <f>SUM('Defect P1'!O85,'Defect P2'!O85,RTS!O85)</f>
        <v>0</v>
      </c>
      <c r="P85" s="561">
        <f>SUM('Defect P1'!P85,'Defect P2'!P85,RTS!P85)</f>
        <v>93720.845638070488</v>
      </c>
      <c r="Q85" s="561">
        <f>SUM('Defect P1'!Q85,'Defect P2'!Q85,RTS!Q85)</f>
        <v>292034.49337572843</v>
      </c>
      <c r="R85" s="561">
        <f>SUM('Defect P1'!R85,'Defect P2'!R85,RTS!R85)</f>
        <v>0</v>
      </c>
      <c r="S85" s="561">
        <f>SUM('Defect P1'!S85,'Defect P2'!S85,RTS!S85)</f>
        <v>0</v>
      </c>
      <c r="T85" s="561">
        <f>SUM('Defect P1'!T85,'Defect P2'!T85,RTS!T85)</f>
        <v>155516.62210648609</v>
      </c>
      <c r="U85" s="561">
        <f>SUM('Defect P1'!U85,'Defect P2'!U85,RTS!U85)</f>
        <v>0</v>
      </c>
      <c r="V85" s="561">
        <f>SUM('Defect P1'!V85,'Defect P2'!V85,RTS!V85)</f>
        <v>217564.76027428094</v>
      </c>
      <c r="W85" s="561">
        <f>SUM('Defect P1'!W85,'Defect P2'!W85,RTS!W85)</f>
        <v>0</v>
      </c>
      <c r="X85" s="561">
        <f>SUM('Defect P1'!X85,'Defect P2'!X85,RTS!X85)</f>
        <v>0</v>
      </c>
      <c r="Y85" s="561">
        <f>SUM('Defect P1'!Y85,'Defect P2'!Y85,RTS!Y85)</f>
        <v>0</v>
      </c>
      <c r="Z85" s="86">
        <f>SUM('Defect P1'!Z85,'Defect P2'!Z85,RTS!Z85)</f>
        <v>0</v>
      </c>
      <c r="AA85" s="87">
        <f>SUM('Defect P1'!AA85,'Defect P2'!AA85,RTS!AA85)</f>
        <v>1</v>
      </c>
      <c r="AB85" s="87">
        <f>SUM('Defect P1'!AB85,'Defect P2'!AB85,RTS!AB85)</f>
        <v>3</v>
      </c>
      <c r="AC85" s="87">
        <f>SUM('Defect P1'!AC85,'Defect P2'!AC85,RTS!AC85)</f>
        <v>0</v>
      </c>
      <c r="AD85" s="87">
        <f>SUM('Defect P1'!AD85,'Defect P2'!AD85,RTS!AD85)</f>
        <v>0</v>
      </c>
      <c r="AE85" s="87">
        <f>SUM('Defect P1'!AE85,'Defect P2'!AE85,RTS!AE85)</f>
        <v>1</v>
      </c>
      <c r="AF85" s="87">
        <f>SUM('Defect P1'!AF85,'Defect P2'!AF85,RTS!AF85)</f>
        <v>0</v>
      </c>
      <c r="AG85" s="87">
        <f>SUM('Defect P1'!AG85,'Defect P2'!AG85,RTS!AG85)</f>
        <v>2</v>
      </c>
      <c r="AH85" s="87">
        <f>SUM('Defect P1'!AH85,'Defect P2'!AH85,RTS!AH85)</f>
        <v>0</v>
      </c>
      <c r="AI85" s="87">
        <f>SUM('Defect P1'!AI85,'Defect P2'!AI85,RTS!AI85)</f>
        <v>0</v>
      </c>
      <c r="AJ85" s="87">
        <f>SUM('Defect P1'!AJ85,'Defect P2'!AJ85,RTS!AJ85)</f>
        <v>0</v>
      </c>
      <c r="AK85" s="88">
        <f t="shared" si="43"/>
        <v>0.6</v>
      </c>
      <c r="AL85" s="89" cm="1">
        <f t="array" ref="AL85">IFERROR(IF($AM$4="N",SSUM(AF85:AH85)/3,SUM(AG85:AI85)/3),"")</f>
        <v>0.66666666666666663</v>
      </c>
      <c r="AM85" s="90">
        <f t="shared" si="44"/>
        <v>0</v>
      </c>
      <c r="AN85" s="91" t="str">
        <f t="shared" si="29"/>
        <v/>
      </c>
      <c r="AO85" s="92">
        <f t="shared" si="30"/>
        <v>70709.717137220126</v>
      </c>
      <c r="AP85" s="92">
        <f t="shared" si="31"/>
        <v>74195.430388415494</v>
      </c>
      <c r="AQ85" s="92" t="str">
        <f t="shared" si="32"/>
        <v/>
      </c>
      <c r="AR85" s="92" t="str">
        <f t="shared" si="33"/>
        <v/>
      </c>
      <c r="AS85" s="92">
        <f t="shared" si="34"/>
        <v>125300.59687523704</v>
      </c>
      <c r="AT85" s="92" t="str">
        <f t="shared" si="35"/>
        <v/>
      </c>
      <c r="AU85" s="92">
        <f t="shared" si="36"/>
        <v>90700.448506993504</v>
      </c>
      <c r="AV85" s="92" t="str">
        <f t="shared" si="37"/>
        <v/>
      </c>
      <c r="AW85" s="92" t="str">
        <f t="shared" si="38"/>
        <v/>
      </c>
      <c r="AX85" s="92" t="str">
        <f t="shared" si="39"/>
        <v/>
      </c>
      <c r="AY85" s="93">
        <f t="shared" si="40"/>
        <v>102233.83129640801</v>
      </c>
      <c r="AZ85" s="94">
        <f t="shared" si="41"/>
        <v>90700.448506993504</v>
      </c>
      <c r="BA85" s="95" t="str">
        <f t="shared" si="42"/>
        <v/>
      </c>
      <c r="BB85" s="96">
        <f>SUM('Defect P1'!CE85,'Defect P2'!CE85,RTS!CE85)</f>
        <v>0.66666666666666663</v>
      </c>
      <c r="BC85" s="96">
        <f>SUM('Defect P1'!CF85,'Defect P2'!CF85,RTS!CF85)</f>
        <v>0.66666666666666663</v>
      </c>
      <c r="BD85" s="96">
        <f>SUM('Defect P1'!CG85,'Defect P2'!CG85,RTS!CG85)</f>
        <v>0.66666666666666663</v>
      </c>
      <c r="BE85" s="96">
        <f>SUM('Defect P1'!CH85,'Defect P2'!CH85,RTS!CH85)</f>
        <v>0.5673892773893332</v>
      </c>
      <c r="BF85" s="96">
        <f>SUM('Defect P1'!CI85,'Defect P2'!CI85,RTS!CI85)</f>
        <v>0.5673892773893332</v>
      </c>
      <c r="BG85" s="96">
        <f>SUM('Defect P1'!CJ85,'Defect P2'!CJ85,RTS!CJ85)</f>
        <v>0.5673892773893332</v>
      </c>
      <c r="BH85" s="96">
        <f>SUM('Defect P1'!CK85,'Defect P2'!CK85,RTS!CK85)</f>
        <v>0.5673892773893332</v>
      </c>
      <c r="BI85" s="286">
        <f>SUM('Defect P1'!CL85,'Defect P2'!CL85,RTS!CL85)</f>
        <v>0.5673892773893332</v>
      </c>
      <c r="BJ85" s="99">
        <f t="shared" si="45"/>
        <v>97009.537065723634</v>
      </c>
      <c r="BK85" s="640">
        <f>SUM('Defect P1'!CQ85,'Defect P2'!CQ85,RTS!CQ85)</f>
        <v>60466.965671329002</v>
      </c>
      <c r="BL85" s="97">
        <f>SUM('Defect P1'!CR85,'Defect P2'!CR85,RTS!CR85)</f>
        <v>60466.965671329002</v>
      </c>
      <c r="BM85" s="524">
        <f>SUM('Defect P1'!CS85,'Defect P2'!CS85,RTS!CS85)</f>
        <v>60466.965671329002</v>
      </c>
      <c r="BN85" s="416">
        <f>SUM('Defect P1'!CT85,'Defect P2'!CT85,RTS!CT85)</f>
        <v>57565.806559086734</v>
      </c>
      <c r="BO85" s="97">
        <f>SUM('Defect P1'!CU85,'Defect P2'!CU85,RTS!CU85)</f>
        <v>57565.806559086734</v>
      </c>
      <c r="BP85" s="97">
        <f>SUM('Defect P1'!CV85,'Defect P2'!CV85,RTS!CV85)</f>
        <v>57565.806559086734</v>
      </c>
      <c r="BQ85" s="97">
        <f>SUM('Defect P1'!CW85,'Defect P2'!CW85,RTS!CW85)</f>
        <v>57565.806559086734</v>
      </c>
      <c r="BR85" s="98">
        <f>SUM('Defect P1'!CX85,'Defect P2'!CX85,RTS!CX85)</f>
        <v>57565.806559086734</v>
      </c>
    </row>
    <row r="86" spans="1:70" x14ac:dyDescent="0.25">
      <c r="A86" s="81" t="s">
        <v>138</v>
      </c>
      <c r="B86" s="82" t="s">
        <v>175</v>
      </c>
      <c r="C86" s="83" t="s">
        <v>376</v>
      </c>
      <c r="D86" s="84">
        <f>SUM('Defect P1'!D86,'Defect P2'!D86,RTS!D86)</f>
        <v>0</v>
      </c>
      <c r="E86" s="85">
        <f>SUM('Defect P1'!E86,'Defect P2'!E86,RTS!E86)</f>
        <v>0</v>
      </c>
      <c r="F86" s="85">
        <f>SUM('Defect P1'!F86,'Defect P2'!F86,RTS!F86)</f>
        <v>0</v>
      </c>
      <c r="G86" s="85">
        <f>SUM('Defect P1'!G86,'Defect P2'!G86,RTS!G86)</f>
        <v>0</v>
      </c>
      <c r="H86" s="85">
        <f>SUM('Defect P1'!H86,'Defect P2'!H86,RTS!H86)</f>
        <v>0</v>
      </c>
      <c r="I86" s="85">
        <f>SUM('Defect P1'!I86,'Defect P2'!I86,RTS!I86)</f>
        <v>0</v>
      </c>
      <c r="J86" s="85">
        <f>SUM('Defect P1'!J86,'Defect P2'!J86,RTS!J86)</f>
        <v>0</v>
      </c>
      <c r="K86" s="85">
        <f>SUM('Defect P1'!K86,'Defect P2'!K86,RTS!K86)</f>
        <v>0</v>
      </c>
      <c r="L86" s="85">
        <f>SUM('Defect P1'!L86,'Defect P2'!L86,RTS!L86)</f>
        <v>0</v>
      </c>
      <c r="M86" s="85">
        <f>SUM('Defect P1'!M86,'Defect P2'!M86,RTS!M86)</f>
        <v>0</v>
      </c>
      <c r="N86" s="85">
        <v>0</v>
      </c>
      <c r="O86" s="560">
        <f>SUM('Defect P1'!O86,'Defect P2'!O86,RTS!O86)</f>
        <v>0</v>
      </c>
      <c r="P86" s="561">
        <f>SUM('Defect P1'!P86,'Defect P2'!P86,RTS!P86)</f>
        <v>0</v>
      </c>
      <c r="Q86" s="561">
        <f>SUM('Defect P1'!Q86,'Defect P2'!Q86,RTS!Q86)</f>
        <v>0</v>
      </c>
      <c r="R86" s="561">
        <f>SUM('Defect P1'!R86,'Defect P2'!R86,RTS!R86)</f>
        <v>0</v>
      </c>
      <c r="S86" s="561">
        <f>SUM('Defect P1'!S86,'Defect P2'!S86,RTS!S86)</f>
        <v>0</v>
      </c>
      <c r="T86" s="561">
        <f>SUM('Defect P1'!T86,'Defect P2'!T86,RTS!T86)</f>
        <v>0</v>
      </c>
      <c r="U86" s="561">
        <f>SUM('Defect P1'!U86,'Defect P2'!U86,RTS!U86)</f>
        <v>0</v>
      </c>
      <c r="V86" s="561">
        <f>SUM('Defect P1'!V86,'Defect P2'!V86,RTS!V86)</f>
        <v>0</v>
      </c>
      <c r="W86" s="561">
        <f>SUM('Defect P1'!W86,'Defect P2'!W86,RTS!W86)</f>
        <v>0</v>
      </c>
      <c r="X86" s="561">
        <f>SUM('Defect P1'!X86,'Defect P2'!X86,RTS!X86)</f>
        <v>0</v>
      </c>
      <c r="Y86" s="561">
        <f>SUM('Defect P1'!Y86,'Defect P2'!Y86,RTS!Y86)</f>
        <v>0</v>
      </c>
      <c r="Z86" s="86">
        <f>SUM('Defect P1'!Z86,'Defect P2'!Z86,RTS!Z86)</f>
        <v>0</v>
      </c>
      <c r="AA86" s="87">
        <f>SUM('Defect P1'!AA86,'Defect P2'!AA86,RTS!AA86)</f>
        <v>0</v>
      </c>
      <c r="AB86" s="87">
        <f>SUM('Defect P1'!AB86,'Defect P2'!AB86,RTS!AB86)</f>
        <v>1</v>
      </c>
      <c r="AC86" s="87">
        <f>SUM('Defect P1'!AC86,'Defect P2'!AC86,RTS!AC86)</f>
        <v>0</v>
      </c>
      <c r="AD86" s="87">
        <f>SUM('Defect P1'!AD86,'Defect P2'!AD86,RTS!AD86)</f>
        <v>0</v>
      </c>
      <c r="AE86" s="87">
        <f>SUM('Defect P1'!AE86,'Defect P2'!AE86,RTS!AE86)</f>
        <v>0</v>
      </c>
      <c r="AF86" s="87">
        <f>SUM('Defect P1'!AF86,'Defect P2'!AF86,RTS!AF86)</f>
        <v>0</v>
      </c>
      <c r="AG86" s="87">
        <f>SUM('Defect P1'!AG86,'Defect P2'!AG86,RTS!AG86)</f>
        <v>0</v>
      </c>
      <c r="AH86" s="87">
        <f>SUM('Defect P1'!AH86,'Defect P2'!AH86,RTS!AH86)</f>
        <v>0</v>
      </c>
      <c r="AI86" s="87">
        <f>SUM('Defect P1'!AI86,'Defect P2'!AI86,RTS!AI86)</f>
        <v>0</v>
      </c>
      <c r="AJ86" s="87">
        <f>SUM('Defect P1'!AJ86,'Defect P2'!AJ86,RTS!AJ86)</f>
        <v>0</v>
      </c>
      <c r="AK86" s="88">
        <f t="shared" si="43"/>
        <v>0</v>
      </c>
      <c r="AL86" s="89" cm="1">
        <f t="array" ref="AL86">IFERROR(IF($AM$4="N",SSUM(AF86:AH86)/3,SUM(AG86:AI86)/3),"")</f>
        <v>0</v>
      </c>
      <c r="AM86" s="90">
        <f t="shared" si="44"/>
        <v>0</v>
      </c>
      <c r="AN86" s="91" t="str">
        <f t="shared" si="29"/>
        <v/>
      </c>
      <c r="AO86" s="92" t="str">
        <f t="shared" si="30"/>
        <v/>
      </c>
      <c r="AP86" s="92">
        <f t="shared" si="31"/>
        <v>0</v>
      </c>
      <c r="AQ86" s="92" t="str">
        <f t="shared" si="32"/>
        <v/>
      </c>
      <c r="AR86" s="92" t="str">
        <f t="shared" si="33"/>
        <v/>
      </c>
      <c r="AS86" s="92" t="str">
        <f t="shared" si="34"/>
        <v/>
      </c>
      <c r="AT86" s="92" t="str">
        <f t="shared" si="35"/>
        <v/>
      </c>
      <c r="AU86" s="92" t="str">
        <f t="shared" si="36"/>
        <v/>
      </c>
      <c r="AV86" s="92" t="str">
        <f t="shared" si="37"/>
        <v/>
      </c>
      <c r="AW86" s="92" t="str">
        <f t="shared" si="38"/>
        <v/>
      </c>
      <c r="AX86" s="92" t="str">
        <f t="shared" si="39"/>
        <v/>
      </c>
      <c r="AY86" s="93" t="str">
        <f t="shared" si="40"/>
        <v/>
      </c>
      <c r="AZ86" s="94" t="str">
        <f t="shared" si="41"/>
        <v/>
      </c>
      <c r="BA86" s="95" t="str">
        <f t="shared" si="42"/>
        <v/>
      </c>
      <c r="BB86" s="96">
        <f>SUM('Defect P1'!CE86,'Defect P2'!CE86,RTS!CE86)</f>
        <v>0</v>
      </c>
      <c r="BC86" s="96">
        <f>SUM('Defect P1'!CF86,'Defect P2'!CF86,RTS!CF86)</f>
        <v>0</v>
      </c>
      <c r="BD86" s="96">
        <f>SUM('Defect P1'!CG86,'Defect P2'!CG86,RTS!CG86)</f>
        <v>0</v>
      </c>
      <c r="BE86" s="96">
        <f>SUM('Defect P1'!CH86,'Defect P2'!CH86,RTS!CH86)</f>
        <v>0</v>
      </c>
      <c r="BF86" s="96">
        <f>SUM('Defect P1'!CI86,'Defect P2'!CI86,RTS!CI86)</f>
        <v>0</v>
      </c>
      <c r="BG86" s="96">
        <f>SUM('Defect P1'!CJ86,'Defect P2'!CJ86,RTS!CJ86)</f>
        <v>0</v>
      </c>
      <c r="BH86" s="96">
        <f>SUM('Defect P1'!CK86,'Defect P2'!CK86,RTS!CK86)</f>
        <v>0</v>
      </c>
      <c r="BI86" s="286">
        <f>SUM('Defect P1'!CL86,'Defect P2'!CL86,RTS!CL86)</f>
        <v>0</v>
      </c>
      <c r="BJ86" s="99" t="str">
        <f t="shared" si="45"/>
        <v/>
      </c>
      <c r="BK86" s="640">
        <f>SUM('Defect P1'!CQ86,'Defect P2'!CQ86,RTS!CQ86)</f>
        <v>0</v>
      </c>
      <c r="BL86" s="97">
        <f>SUM('Defect P1'!CR86,'Defect P2'!CR86,RTS!CR86)</f>
        <v>0</v>
      </c>
      <c r="BM86" s="524">
        <f>SUM('Defect P1'!CS86,'Defect P2'!CS86,RTS!CS86)</f>
        <v>0</v>
      </c>
      <c r="BN86" s="416">
        <f>SUM('Defect P1'!CT86,'Defect P2'!CT86,RTS!CT86)</f>
        <v>0</v>
      </c>
      <c r="BO86" s="97">
        <f>SUM('Defect P1'!CU86,'Defect P2'!CU86,RTS!CU86)</f>
        <v>0</v>
      </c>
      <c r="BP86" s="97">
        <f>SUM('Defect P1'!CV86,'Defect P2'!CV86,RTS!CV86)</f>
        <v>0</v>
      </c>
      <c r="BQ86" s="97">
        <f>SUM('Defect P1'!CW86,'Defect P2'!CW86,RTS!CW86)</f>
        <v>0</v>
      </c>
      <c r="BR86" s="98">
        <f>SUM('Defect P1'!CX86,'Defect P2'!CX86,RTS!CX86)</f>
        <v>0</v>
      </c>
    </row>
    <row r="87" spans="1:70" x14ac:dyDescent="0.25">
      <c r="A87" s="81" t="s">
        <v>138</v>
      </c>
      <c r="B87" s="82" t="s">
        <v>177</v>
      </c>
      <c r="C87" s="83" t="s">
        <v>377</v>
      </c>
      <c r="D87" s="84">
        <f>SUM('Defect P1'!D87,'Defect P2'!D87,RTS!D87)</f>
        <v>0</v>
      </c>
      <c r="E87" s="85">
        <f>SUM('Defect P1'!E87,'Defect P2'!E87,RTS!E87)</f>
        <v>0</v>
      </c>
      <c r="F87" s="85">
        <f>SUM('Defect P1'!F87,'Defect P2'!F87,RTS!F87)</f>
        <v>0</v>
      </c>
      <c r="G87" s="85">
        <f>SUM('Defect P1'!G87,'Defect P2'!G87,RTS!G87)</f>
        <v>0</v>
      </c>
      <c r="H87" s="85">
        <f>SUM('Defect P1'!H87,'Defect P2'!H87,RTS!H87)</f>
        <v>0</v>
      </c>
      <c r="I87" s="85">
        <f>SUM('Defect P1'!I87,'Defect P2'!I87,RTS!I87)</f>
        <v>0</v>
      </c>
      <c r="J87" s="85">
        <f>SUM('Defect P1'!J87,'Defect P2'!J87,RTS!J87)</f>
        <v>0</v>
      </c>
      <c r="K87" s="85">
        <f>SUM('Defect P1'!K87,'Defect P2'!K87,RTS!K87)</f>
        <v>0</v>
      </c>
      <c r="L87" s="85">
        <f>SUM('Defect P1'!L87,'Defect P2'!L87,RTS!L87)</f>
        <v>0</v>
      </c>
      <c r="M87" s="85">
        <f>SUM('Defect P1'!M87,'Defect P2'!M87,RTS!M87)</f>
        <v>0</v>
      </c>
      <c r="N87" s="85">
        <v>0</v>
      </c>
      <c r="O87" s="560">
        <f>SUM('Defect P1'!O87,'Defect P2'!O87,RTS!O87)</f>
        <v>0</v>
      </c>
      <c r="P87" s="561">
        <f>SUM('Defect P1'!P87,'Defect P2'!P87,RTS!P87)</f>
        <v>0</v>
      </c>
      <c r="Q87" s="561">
        <f>SUM('Defect P1'!Q87,'Defect P2'!Q87,RTS!Q87)</f>
        <v>0</v>
      </c>
      <c r="R87" s="561">
        <f>SUM('Defect P1'!R87,'Defect P2'!R87,RTS!R87)</f>
        <v>0</v>
      </c>
      <c r="S87" s="561">
        <f>SUM('Defect P1'!S87,'Defect P2'!S87,RTS!S87)</f>
        <v>0</v>
      </c>
      <c r="T87" s="561">
        <f>SUM('Defect P1'!T87,'Defect P2'!T87,RTS!T87)</f>
        <v>0</v>
      </c>
      <c r="U87" s="561">
        <f>SUM('Defect P1'!U87,'Defect P2'!U87,RTS!U87)</f>
        <v>0</v>
      </c>
      <c r="V87" s="561">
        <f>SUM('Defect P1'!V87,'Defect P2'!V87,RTS!V87)</f>
        <v>0</v>
      </c>
      <c r="W87" s="561">
        <f>SUM('Defect P1'!W87,'Defect P2'!W87,RTS!W87)</f>
        <v>0</v>
      </c>
      <c r="X87" s="561">
        <f>SUM('Defect P1'!X87,'Defect P2'!X87,RTS!X87)</f>
        <v>0</v>
      </c>
      <c r="Y87" s="561">
        <f>SUM('Defect P1'!Y87,'Defect P2'!Y87,RTS!Y87)</f>
        <v>0</v>
      </c>
      <c r="Z87" s="86">
        <f>SUM('Defect P1'!Z87,'Defect P2'!Z87,RTS!Z87)</f>
        <v>0</v>
      </c>
      <c r="AA87" s="87">
        <f>SUM('Defect P1'!AA87,'Defect P2'!AA87,RTS!AA87)</f>
        <v>0</v>
      </c>
      <c r="AB87" s="87">
        <f>SUM('Defect P1'!AB87,'Defect P2'!AB87,RTS!AB87)</f>
        <v>0</v>
      </c>
      <c r="AC87" s="87">
        <f>SUM('Defect P1'!AC87,'Defect P2'!AC87,RTS!AC87)</f>
        <v>0</v>
      </c>
      <c r="AD87" s="87">
        <f>SUM('Defect P1'!AD87,'Defect P2'!AD87,RTS!AD87)</f>
        <v>0</v>
      </c>
      <c r="AE87" s="87">
        <f>SUM('Defect P1'!AE87,'Defect P2'!AE87,RTS!AE87)</f>
        <v>0</v>
      </c>
      <c r="AF87" s="87">
        <f>SUM('Defect P1'!AF87,'Defect P2'!AF87,RTS!AF87)</f>
        <v>0</v>
      </c>
      <c r="AG87" s="87">
        <f>SUM('Defect P1'!AG87,'Defect P2'!AG87,RTS!AG87)</f>
        <v>0</v>
      </c>
      <c r="AH87" s="87">
        <f>SUM('Defect P1'!AH87,'Defect P2'!AH87,RTS!AH87)</f>
        <v>0</v>
      </c>
      <c r="AI87" s="87">
        <f>SUM('Defect P1'!AI87,'Defect P2'!AI87,RTS!AI87)</f>
        <v>0</v>
      </c>
      <c r="AJ87" s="87">
        <f>SUM('Defect P1'!AJ87,'Defect P2'!AJ87,RTS!AJ87)</f>
        <v>0</v>
      </c>
      <c r="AK87" s="88">
        <f t="shared" si="43"/>
        <v>0</v>
      </c>
      <c r="AL87" s="89" cm="1">
        <f t="array" ref="AL87">IFERROR(IF($AM$4="N",SSUM(AF87:AH87)/3,SUM(AG87:AI87)/3),"")</f>
        <v>0</v>
      </c>
      <c r="AM87" s="90">
        <f t="shared" si="44"/>
        <v>0</v>
      </c>
      <c r="AN87" s="91" t="str">
        <f t="shared" si="29"/>
        <v/>
      </c>
      <c r="AO87" s="92" t="str">
        <f t="shared" si="30"/>
        <v/>
      </c>
      <c r="AP87" s="92" t="str">
        <f t="shared" si="31"/>
        <v/>
      </c>
      <c r="AQ87" s="92" t="str">
        <f t="shared" si="32"/>
        <v/>
      </c>
      <c r="AR87" s="92" t="str">
        <f t="shared" si="33"/>
        <v/>
      </c>
      <c r="AS87" s="92" t="str">
        <f t="shared" si="34"/>
        <v/>
      </c>
      <c r="AT87" s="92" t="str">
        <f t="shared" si="35"/>
        <v/>
      </c>
      <c r="AU87" s="92" t="str">
        <f t="shared" si="36"/>
        <v/>
      </c>
      <c r="AV87" s="92" t="str">
        <f t="shared" si="37"/>
        <v/>
      </c>
      <c r="AW87" s="92" t="str">
        <f t="shared" si="38"/>
        <v/>
      </c>
      <c r="AX87" s="92" t="str">
        <f t="shared" si="39"/>
        <v/>
      </c>
      <c r="AY87" s="93" t="str">
        <f t="shared" si="40"/>
        <v/>
      </c>
      <c r="AZ87" s="94" t="str">
        <f t="shared" si="41"/>
        <v/>
      </c>
      <c r="BA87" s="95" t="str">
        <f t="shared" si="42"/>
        <v/>
      </c>
      <c r="BB87" s="96">
        <f>SUM('Defect P1'!CE87,'Defect P2'!CE87,RTS!CE87)</f>
        <v>0</v>
      </c>
      <c r="BC87" s="96">
        <f>SUM('Defect P1'!CF87,'Defect P2'!CF87,RTS!CF87)</f>
        <v>0</v>
      </c>
      <c r="BD87" s="96">
        <f>SUM('Defect P1'!CG87,'Defect P2'!CG87,RTS!CG87)</f>
        <v>0</v>
      </c>
      <c r="BE87" s="96">
        <f>SUM('Defect P1'!CH87,'Defect P2'!CH87,RTS!CH87)</f>
        <v>0</v>
      </c>
      <c r="BF87" s="96">
        <f>SUM('Defect P1'!CI87,'Defect P2'!CI87,RTS!CI87)</f>
        <v>0</v>
      </c>
      <c r="BG87" s="96">
        <f>SUM('Defect P1'!CJ87,'Defect P2'!CJ87,RTS!CJ87)</f>
        <v>0</v>
      </c>
      <c r="BH87" s="96">
        <f>SUM('Defect P1'!CK87,'Defect P2'!CK87,RTS!CK87)</f>
        <v>0</v>
      </c>
      <c r="BI87" s="286">
        <f>SUM('Defect P1'!CL87,'Defect P2'!CL87,RTS!CL87)</f>
        <v>0</v>
      </c>
      <c r="BJ87" s="99" t="str">
        <f t="shared" si="45"/>
        <v/>
      </c>
      <c r="BK87" s="640">
        <f>SUM('Defect P1'!CQ87,'Defect P2'!CQ87,RTS!CQ87)</f>
        <v>0</v>
      </c>
      <c r="BL87" s="97">
        <f>SUM('Defect P1'!CR87,'Defect P2'!CR87,RTS!CR87)</f>
        <v>0</v>
      </c>
      <c r="BM87" s="524">
        <f>SUM('Defect P1'!CS87,'Defect P2'!CS87,RTS!CS87)</f>
        <v>0</v>
      </c>
      <c r="BN87" s="416">
        <f>SUM('Defect P1'!CT87,'Defect P2'!CT87,RTS!CT87)</f>
        <v>0</v>
      </c>
      <c r="BO87" s="97">
        <f>SUM('Defect P1'!CU87,'Defect P2'!CU87,RTS!CU87)</f>
        <v>0</v>
      </c>
      <c r="BP87" s="97">
        <f>SUM('Defect P1'!CV87,'Defect P2'!CV87,RTS!CV87)</f>
        <v>0</v>
      </c>
      <c r="BQ87" s="97">
        <f>SUM('Defect P1'!CW87,'Defect P2'!CW87,RTS!CW87)</f>
        <v>0</v>
      </c>
      <c r="BR87" s="98">
        <f>SUM('Defect P1'!CX87,'Defect P2'!CX87,RTS!CX87)</f>
        <v>0</v>
      </c>
    </row>
    <row r="88" spans="1:70" x14ac:dyDescent="0.25">
      <c r="A88" s="81" t="s">
        <v>138</v>
      </c>
      <c r="B88" s="82" t="s">
        <v>179</v>
      </c>
      <c r="C88" s="83" t="s">
        <v>378</v>
      </c>
      <c r="D88" s="84">
        <f>SUM('Defect P1'!D88,'Defect P2'!D88,RTS!D88)</f>
        <v>0</v>
      </c>
      <c r="E88" s="85">
        <f>SUM('Defect P1'!E88,'Defect P2'!E88,RTS!E88)</f>
        <v>0</v>
      </c>
      <c r="F88" s="85">
        <f>SUM('Defect P1'!F88,'Defect P2'!F88,RTS!F88)</f>
        <v>0</v>
      </c>
      <c r="G88" s="85">
        <f>SUM('Defect P1'!G88,'Defect P2'!G88,RTS!G88)</f>
        <v>0</v>
      </c>
      <c r="H88" s="85">
        <f>SUM('Defect P1'!H88,'Defect P2'!H88,RTS!H88)</f>
        <v>0</v>
      </c>
      <c r="I88" s="85">
        <f>SUM('Defect P1'!I88,'Defect P2'!I88,RTS!I88)</f>
        <v>0</v>
      </c>
      <c r="J88" s="85">
        <f>SUM('Defect P1'!J88,'Defect P2'!J88,RTS!J88)</f>
        <v>0</v>
      </c>
      <c r="K88" s="85">
        <f>SUM('Defect P1'!K88,'Defect P2'!K88,RTS!K88)</f>
        <v>0</v>
      </c>
      <c r="L88" s="85">
        <f>SUM('Defect P1'!L88,'Defect P2'!L88,RTS!L88)</f>
        <v>0</v>
      </c>
      <c r="M88" s="85">
        <f>SUM('Defect P1'!M88,'Defect P2'!M88,RTS!M88)</f>
        <v>0</v>
      </c>
      <c r="N88" s="85">
        <v>0</v>
      </c>
      <c r="O88" s="560">
        <f>SUM('Defect P1'!O88,'Defect P2'!O88,RTS!O88)</f>
        <v>0</v>
      </c>
      <c r="P88" s="561">
        <f>SUM('Defect P1'!P88,'Defect P2'!P88,RTS!P88)</f>
        <v>0</v>
      </c>
      <c r="Q88" s="561">
        <f>SUM('Defect P1'!Q88,'Defect P2'!Q88,RTS!Q88)</f>
        <v>0</v>
      </c>
      <c r="R88" s="561">
        <f>SUM('Defect P1'!R88,'Defect P2'!R88,RTS!R88)</f>
        <v>0</v>
      </c>
      <c r="S88" s="561">
        <f>SUM('Defect P1'!S88,'Defect P2'!S88,RTS!S88)</f>
        <v>0</v>
      </c>
      <c r="T88" s="561">
        <f>SUM('Defect P1'!T88,'Defect P2'!T88,RTS!T88)</f>
        <v>0</v>
      </c>
      <c r="U88" s="561">
        <f>SUM('Defect P1'!U88,'Defect P2'!U88,RTS!U88)</f>
        <v>0</v>
      </c>
      <c r="V88" s="561">
        <f>SUM('Defect P1'!V88,'Defect P2'!V88,RTS!V88)</f>
        <v>0</v>
      </c>
      <c r="W88" s="561">
        <f>SUM('Defect P1'!W88,'Defect P2'!W88,RTS!W88)</f>
        <v>0</v>
      </c>
      <c r="X88" s="561">
        <f>SUM('Defect P1'!X88,'Defect P2'!X88,RTS!X88)</f>
        <v>0</v>
      </c>
      <c r="Y88" s="561">
        <f>SUM('Defect P1'!Y88,'Defect P2'!Y88,RTS!Y88)</f>
        <v>0</v>
      </c>
      <c r="Z88" s="86">
        <f>SUM('Defect P1'!Z88,'Defect P2'!Z88,RTS!Z88)</f>
        <v>0</v>
      </c>
      <c r="AA88" s="87">
        <f>SUM('Defect P1'!AA88,'Defect P2'!AA88,RTS!AA88)</f>
        <v>0</v>
      </c>
      <c r="AB88" s="87">
        <f>SUM('Defect P1'!AB88,'Defect P2'!AB88,RTS!AB88)</f>
        <v>0</v>
      </c>
      <c r="AC88" s="87">
        <f>SUM('Defect P1'!AC88,'Defect P2'!AC88,RTS!AC88)</f>
        <v>0</v>
      </c>
      <c r="AD88" s="87">
        <f>SUM('Defect P1'!AD88,'Defect P2'!AD88,RTS!AD88)</f>
        <v>0</v>
      </c>
      <c r="AE88" s="87">
        <f>SUM('Defect P1'!AE88,'Defect P2'!AE88,RTS!AE88)</f>
        <v>0</v>
      </c>
      <c r="AF88" s="87">
        <f>SUM('Defect P1'!AF88,'Defect P2'!AF88,RTS!AF88)</f>
        <v>0</v>
      </c>
      <c r="AG88" s="87">
        <f>SUM('Defect P1'!AG88,'Defect P2'!AG88,RTS!AG88)</f>
        <v>0</v>
      </c>
      <c r="AH88" s="87">
        <f>SUM('Defect P1'!AH88,'Defect P2'!AH88,RTS!AH88)</f>
        <v>0</v>
      </c>
      <c r="AI88" s="87">
        <f>SUM('Defect P1'!AI88,'Defect P2'!AI88,RTS!AI88)</f>
        <v>0</v>
      </c>
      <c r="AJ88" s="87">
        <f>SUM('Defect P1'!AJ88,'Defect P2'!AJ88,RTS!AJ88)</f>
        <v>0</v>
      </c>
      <c r="AK88" s="88">
        <f t="shared" si="43"/>
        <v>0</v>
      </c>
      <c r="AL88" s="89" cm="1">
        <f t="array" ref="AL88">IFERROR(IF($AM$4="N",SSUM(AF88:AH88)/3,SUM(AG88:AI88)/3),"")</f>
        <v>0</v>
      </c>
      <c r="AM88" s="90">
        <f t="shared" si="44"/>
        <v>0</v>
      </c>
      <c r="AN88" s="91" t="str">
        <f t="shared" si="29"/>
        <v/>
      </c>
      <c r="AO88" s="92" t="str">
        <f t="shared" si="30"/>
        <v/>
      </c>
      <c r="AP88" s="92" t="str">
        <f t="shared" si="31"/>
        <v/>
      </c>
      <c r="AQ88" s="92" t="str">
        <f t="shared" si="32"/>
        <v/>
      </c>
      <c r="AR88" s="92" t="str">
        <f t="shared" si="33"/>
        <v/>
      </c>
      <c r="AS88" s="92" t="str">
        <f t="shared" si="34"/>
        <v/>
      </c>
      <c r="AT88" s="92" t="str">
        <f t="shared" si="35"/>
        <v/>
      </c>
      <c r="AU88" s="92" t="str">
        <f t="shared" si="36"/>
        <v/>
      </c>
      <c r="AV88" s="92" t="str">
        <f t="shared" si="37"/>
        <v/>
      </c>
      <c r="AW88" s="92" t="str">
        <f t="shared" si="38"/>
        <v/>
      </c>
      <c r="AX88" s="92" t="str">
        <f t="shared" si="39"/>
        <v/>
      </c>
      <c r="AY88" s="93" t="str">
        <f t="shared" si="40"/>
        <v/>
      </c>
      <c r="AZ88" s="94" t="str">
        <f t="shared" si="41"/>
        <v/>
      </c>
      <c r="BA88" s="95" t="str">
        <f t="shared" si="42"/>
        <v/>
      </c>
      <c r="BB88" s="96">
        <f>SUM('Defect P1'!CE88,'Defect P2'!CE88,RTS!CE88)</f>
        <v>0</v>
      </c>
      <c r="BC88" s="96">
        <f>SUM('Defect P1'!CF88,'Defect P2'!CF88,RTS!CF88)</f>
        <v>0</v>
      </c>
      <c r="BD88" s="96">
        <f>SUM('Defect P1'!CG88,'Defect P2'!CG88,RTS!CG88)</f>
        <v>0</v>
      </c>
      <c r="BE88" s="96">
        <f>SUM('Defect P1'!CH88,'Defect P2'!CH88,RTS!CH88)</f>
        <v>0</v>
      </c>
      <c r="BF88" s="96">
        <f>SUM('Defect P1'!CI88,'Defect P2'!CI88,RTS!CI88)</f>
        <v>0</v>
      </c>
      <c r="BG88" s="96">
        <f>SUM('Defect P1'!CJ88,'Defect P2'!CJ88,RTS!CJ88)</f>
        <v>0</v>
      </c>
      <c r="BH88" s="96">
        <f>SUM('Defect P1'!CK88,'Defect P2'!CK88,RTS!CK88)</f>
        <v>0</v>
      </c>
      <c r="BI88" s="286">
        <f>SUM('Defect P1'!CL88,'Defect P2'!CL88,RTS!CL88)</f>
        <v>0</v>
      </c>
      <c r="BJ88" s="99" t="str">
        <f t="shared" si="45"/>
        <v/>
      </c>
      <c r="BK88" s="640">
        <f>SUM('Defect P1'!CQ88,'Defect P2'!CQ88,RTS!CQ88)</f>
        <v>0</v>
      </c>
      <c r="BL88" s="97">
        <f>SUM('Defect P1'!CR88,'Defect P2'!CR88,RTS!CR88)</f>
        <v>0</v>
      </c>
      <c r="BM88" s="524">
        <f>SUM('Defect P1'!CS88,'Defect P2'!CS88,RTS!CS88)</f>
        <v>0</v>
      </c>
      <c r="BN88" s="416">
        <f>SUM('Defect P1'!CT88,'Defect P2'!CT88,RTS!CT88)</f>
        <v>0</v>
      </c>
      <c r="BO88" s="97">
        <f>SUM('Defect P1'!CU88,'Defect P2'!CU88,RTS!CU88)</f>
        <v>0</v>
      </c>
      <c r="BP88" s="97">
        <f>SUM('Defect P1'!CV88,'Defect P2'!CV88,RTS!CV88)</f>
        <v>0</v>
      </c>
      <c r="BQ88" s="97">
        <f>SUM('Defect P1'!CW88,'Defect P2'!CW88,RTS!CW88)</f>
        <v>0</v>
      </c>
      <c r="BR88" s="98">
        <f>SUM('Defect P1'!CX88,'Defect P2'!CX88,RTS!CX88)</f>
        <v>0</v>
      </c>
    </row>
    <row r="89" spans="1:70" x14ac:dyDescent="0.25">
      <c r="A89" s="81" t="s">
        <v>138</v>
      </c>
      <c r="B89" s="82" t="s">
        <v>181</v>
      </c>
      <c r="C89" s="83" t="s">
        <v>379</v>
      </c>
      <c r="D89" s="84">
        <f>SUM('Defect P1'!D89,'Defect P2'!D89,RTS!D89)</f>
        <v>0</v>
      </c>
      <c r="E89" s="85">
        <f>SUM('Defect P1'!E89,'Defect P2'!E89,RTS!E89)</f>
        <v>0</v>
      </c>
      <c r="F89" s="85">
        <f>SUM('Defect P1'!F89,'Defect P2'!F89,RTS!F89)</f>
        <v>0</v>
      </c>
      <c r="G89" s="85">
        <f>SUM('Defect P1'!G89,'Defect P2'!G89,RTS!G89)</f>
        <v>0</v>
      </c>
      <c r="H89" s="85">
        <f>SUM('Defect P1'!H89,'Defect P2'!H89,RTS!H89)</f>
        <v>0</v>
      </c>
      <c r="I89" s="85">
        <f>SUM('Defect P1'!I89,'Defect P2'!I89,RTS!I89)</f>
        <v>0</v>
      </c>
      <c r="J89" s="85">
        <f>SUM('Defect P1'!J89,'Defect P2'!J89,RTS!J89)</f>
        <v>0</v>
      </c>
      <c r="K89" s="85">
        <f>SUM('Defect P1'!K89,'Defect P2'!K89,RTS!K89)</f>
        <v>0</v>
      </c>
      <c r="L89" s="85">
        <f>SUM('Defect P1'!L89,'Defect P2'!L89,RTS!L89)</f>
        <v>0</v>
      </c>
      <c r="M89" s="85">
        <f>SUM('Defect P1'!M89,'Defect P2'!M89,RTS!M89)</f>
        <v>0</v>
      </c>
      <c r="N89" s="85">
        <v>0</v>
      </c>
      <c r="O89" s="560">
        <f>SUM('Defect P1'!O89,'Defect P2'!O89,RTS!O89)</f>
        <v>0</v>
      </c>
      <c r="P89" s="561">
        <f>SUM('Defect P1'!P89,'Defect P2'!P89,RTS!P89)</f>
        <v>0</v>
      </c>
      <c r="Q89" s="561">
        <f>SUM('Defect P1'!Q89,'Defect P2'!Q89,RTS!Q89)</f>
        <v>0</v>
      </c>
      <c r="R89" s="561">
        <f>SUM('Defect P1'!R89,'Defect P2'!R89,RTS!R89)</f>
        <v>0</v>
      </c>
      <c r="S89" s="561">
        <f>SUM('Defect P1'!S89,'Defect P2'!S89,RTS!S89)</f>
        <v>0</v>
      </c>
      <c r="T89" s="561">
        <f>SUM('Defect P1'!T89,'Defect P2'!T89,RTS!T89)</f>
        <v>0</v>
      </c>
      <c r="U89" s="561">
        <f>SUM('Defect P1'!U89,'Defect P2'!U89,RTS!U89)</f>
        <v>0</v>
      </c>
      <c r="V89" s="561">
        <f>SUM('Defect P1'!V89,'Defect P2'!V89,RTS!V89)</f>
        <v>0</v>
      </c>
      <c r="W89" s="561">
        <f>SUM('Defect P1'!W89,'Defect P2'!W89,RTS!W89)</f>
        <v>0</v>
      </c>
      <c r="X89" s="561">
        <f>SUM('Defect P1'!X89,'Defect P2'!X89,RTS!X89)</f>
        <v>0</v>
      </c>
      <c r="Y89" s="561">
        <f>SUM('Defect P1'!Y89,'Defect P2'!Y89,RTS!Y89)</f>
        <v>0</v>
      </c>
      <c r="Z89" s="86">
        <f>SUM('Defect P1'!Z89,'Defect P2'!Z89,RTS!Z89)</f>
        <v>0</v>
      </c>
      <c r="AA89" s="87">
        <f>SUM('Defect P1'!AA89,'Defect P2'!AA89,RTS!AA89)</f>
        <v>0</v>
      </c>
      <c r="AB89" s="87">
        <f>SUM('Defect P1'!AB89,'Defect P2'!AB89,RTS!AB89)</f>
        <v>0</v>
      </c>
      <c r="AC89" s="87">
        <f>SUM('Defect P1'!AC89,'Defect P2'!AC89,RTS!AC89)</f>
        <v>0</v>
      </c>
      <c r="AD89" s="87">
        <f>SUM('Defect P1'!AD89,'Defect P2'!AD89,RTS!AD89)</f>
        <v>0</v>
      </c>
      <c r="AE89" s="87">
        <f>SUM('Defect P1'!AE89,'Defect P2'!AE89,RTS!AE89)</f>
        <v>0</v>
      </c>
      <c r="AF89" s="87">
        <f>SUM('Defect P1'!AF89,'Defect P2'!AF89,RTS!AF89)</f>
        <v>0</v>
      </c>
      <c r="AG89" s="87">
        <f>SUM('Defect P1'!AG89,'Defect P2'!AG89,RTS!AG89)</f>
        <v>0</v>
      </c>
      <c r="AH89" s="87">
        <f>SUM('Defect P1'!AH89,'Defect P2'!AH89,RTS!AH89)</f>
        <v>0</v>
      </c>
      <c r="AI89" s="87">
        <f>SUM('Defect P1'!AI89,'Defect P2'!AI89,RTS!AI89)</f>
        <v>0</v>
      </c>
      <c r="AJ89" s="87">
        <f>SUM('Defect P1'!AJ89,'Defect P2'!AJ89,RTS!AJ89)</f>
        <v>0</v>
      </c>
      <c r="AK89" s="88">
        <f t="shared" si="43"/>
        <v>0</v>
      </c>
      <c r="AL89" s="89" cm="1">
        <f t="array" ref="AL89">IFERROR(IF($AM$4="N",SSUM(AF89:AH89)/3,SUM(AG89:AI89)/3),"")</f>
        <v>0</v>
      </c>
      <c r="AM89" s="90">
        <f t="shared" si="44"/>
        <v>0</v>
      </c>
      <c r="AN89" s="91" t="str">
        <f t="shared" si="29"/>
        <v/>
      </c>
      <c r="AO89" s="92" t="str">
        <f t="shared" si="30"/>
        <v/>
      </c>
      <c r="AP89" s="92" t="str">
        <f t="shared" si="31"/>
        <v/>
      </c>
      <c r="AQ89" s="92" t="str">
        <f t="shared" si="32"/>
        <v/>
      </c>
      <c r="AR89" s="92" t="str">
        <f t="shared" si="33"/>
        <v/>
      </c>
      <c r="AS89" s="92" t="str">
        <f t="shared" si="34"/>
        <v/>
      </c>
      <c r="AT89" s="92" t="str">
        <f t="shared" si="35"/>
        <v/>
      </c>
      <c r="AU89" s="92" t="str">
        <f t="shared" si="36"/>
        <v/>
      </c>
      <c r="AV89" s="92" t="str">
        <f t="shared" si="37"/>
        <v/>
      </c>
      <c r="AW89" s="92" t="str">
        <f t="shared" si="38"/>
        <v/>
      </c>
      <c r="AX89" s="92" t="str">
        <f t="shared" si="39"/>
        <v/>
      </c>
      <c r="AY89" s="93" t="str">
        <f t="shared" si="40"/>
        <v/>
      </c>
      <c r="AZ89" s="94" t="str">
        <f t="shared" si="41"/>
        <v/>
      </c>
      <c r="BA89" s="95" t="str">
        <f t="shared" si="42"/>
        <v/>
      </c>
      <c r="BB89" s="96">
        <f>SUM('Defect P1'!CE89,'Defect P2'!CE89,RTS!CE89)</f>
        <v>0</v>
      </c>
      <c r="BC89" s="96">
        <f>SUM('Defect P1'!CF89,'Defect P2'!CF89,RTS!CF89)</f>
        <v>0</v>
      </c>
      <c r="BD89" s="96">
        <f>SUM('Defect P1'!CG89,'Defect P2'!CG89,RTS!CG89)</f>
        <v>0</v>
      </c>
      <c r="BE89" s="96">
        <f>SUM('Defect P1'!CH89,'Defect P2'!CH89,RTS!CH89)</f>
        <v>0</v>
      </c>
      <c r="BF89" s="96">
        <f>SUM('Defect P1'!CI89,'Defect P2'!CI89,RTS!CI89)</f>
        <v>0</v>
      </c>
      <c r="BG89" s="96">
        <f>SUM('Defect P1'!CJ89,'Defect P2'!CJ89,RTS!CJ89)</f>
        <v>0</v>
      </c>
      <c r="BH89" s="96">
        <f>SUM('Defect P1'!CK89,'Defect P2'!CK89,RTS!CK89)</f>
        <v>0</v>
      </c>
      <c r="BI89" s="286">
        <f>SUM('Defect P1'!CL89,'Defect P2'!CL89,RTS!CL89)</f>
        <v>0</v>
      </c>
      <c r="BJ89" s="99" t="str">
        <f t="shared" si="45"/>
        <v/>
      </c>
      <c r="BK89" s="640">
        <f>SUM('Defect P1'!CQ89,'Defect P2'!CQ89,RTS!CQ89)</f>
        <v>0</v>
      </c>
      <c r="BL89" s="97">
        <f>SUM('Defect P1'!CR89,'Defect P2'!CR89,RTS!CR89)</f>
        <v>0</v>
      </c>
      <c r="BM89" s="524">
        <f>SUM('Defect P1'!CS89,'Defect P2'!CS89,RTS!CS89)</f>
        <v>0</v>
      </c>
      <c r="BN89" s="416">
        <f>SUM('Defect P1'!CT89,'Defect P2'!CT89,RTS!CT89)</f>
        <v>0</v>
      </c>
      <c r="BO89" s="97">
        <f>SUM('Defect P1'!CU89,'Defect P2'!CU89,RTS!CU89)</f>
        <v>0</v>
      </c>
      <c r="BP89" s="97">
        <f>SUM('Defect P1'!CV89,'Defect P2'!CV89,RTS!CV89)</f>
        <v>0</v>
      </c>
      <c r="BQ89" s="97">
        <f>SUM('Defect P1'!CW89,'Defect P2'!CW89,RTS!CW89)</f>
        <v>0</v>
      </c>
      <c r="BR89" s="98">
        <f>SUM('Defect P1'!CX89,'Defect P2'!CX89,RTS!CX89)</f>
        <v>0</v>
      </c>
    </row>
    <row r="90" spans="1:70" x14ac:dyDescent="0.25">
      <c r="A90" s="81" t="s">
        <v>138</v>
      </c>
      <c r="B90" s="82" t="s">
        <v>183</v>
      </c>
      <c r="C90" s="83" t="s">
        <v>380</v>
      </c>
      <c r="D90" s="84">
        <f>SUM('Defect P1'!D90,'Defect P2'!D90,RTS!D90)</f>
        <v>0</v>
      </c>
      <c r="E90" s="85">
        <f>SUM('Defect P1'!E90,'Defect P2'!E90,RTS!E90)</f>
        <v>0</v>
      </c>
      <c r="F90" s="85">
        <f>SUM('Defect P1'!F90,'Defect P2'!F90,RTS!F90)</f>
        <v>0</v>
      </c>
      <c r="G90" s="85">
        <f>SUM('Defect P1'!G90,'Defect P2'!G90,RTS!G90)</f>
        <v>0</v>
      </c>
      <c r="H90" s="85">
        <f>SUM('Defect P1'!H90,'Defect P2'!H90,RTS!H90)</f>
        <v>0</v>
      </c>
      <c r="I90" s="85">
        <f>SUM('Defect P1'!I90,'Defect P2'!I90,RTS!I90)</f>
        <v>0</v>
      </c>
      <c r="J90" s="85">
        <f>SUM('Defect P1'!J90,'Defect P2'!J90,RTS!J90)</f>
        <v>0</v>
      </c>
      <c r="K90" s="85">
        <f>SUM('Defect P1'!K90,'Defect P2'!K90,RTS!K90)</f>
        <v>0</v>
      </c>
      <c r="L90" s="85">
        <f>SUM('Defect P1'!L90,'Defect P2'!L90,RTS!L90)</f>
        <v>0</v>
      </c>
      <c r="M90" s="85">
        <f>SUM('Defect P1'!M90,'Defect P2'!M90,RTS!M90)</f>
        <v>0</v>
      </c>
      <c r="N90" s="85">
        <v>0</v>
      </c>
      <c r="O90" s="560">
        <f>SUM('Defect P1'!O90,'Defect P2'!O90,RTS!O90)</f>
        <v>0</v>
      </c>
      <c r="P90" s="561">
        <f>SUM('Defect P1'!P90,'Defect P2'!P90,RTS!P90)</f>
        <v>0</v>
      </c>
      <c r="Q90" s="561">
        <f>SUM('Defect P1'!Q90,'Defect P2'!Q90,RTS!Q90)</f>
        <v>0</v>
      </c>
      <c r="R90" s="561">
        <f>SUM('Defect P1'!R90,'Defect P2'!R90,RTS!R90)</f>
        <v>0</v>
      </c>
      <c r="S90" s="561">
        <f>SUM('Defect P1'!S90,'Defect P2'!S90,RTS!S90)</f>
        <v>0</v>
      </c>
      <c r="T90" s="561">
        <f>SUM('Defect P1'!T90,'Defect P2'!T90,RTS!T90)</f>
        <v>0</v>
      </c>
      <c r="U90" s="561">
        <f>SUM('Defect P1'!U90,'Defect P2'!U90,RTS!U90)</f>
        <v>0</v>
      </c>
      <c r="V90" s="561">
        <f>SUM('Defect P1'!V90,'Defect P2'!V90,RTS!V90)</f>
        <v>0</v>
      </c>
      <c r="W90" s="561">
        <f>SUM('Defect P1'!W90,'Defect P2'!W90,RTS!W90)</f>
        <v>0</v>
      </c>
      <c r="X90" s="561">
        <f>SUM('Defect P1'!X90,'Defect P2'!X90,RTS!X90)</f>
        <v>0</v>
      </c>
      <c r="Y90" s="561">
        <f>SUM('Defect P1'!Y90,'Defect P2'!Y90,RTS!Y90)</f>
        <v>0</v>
      </c>
      <c r="Z90" s="86">
        <f>SUM('Defect P1'!Z90,'Defect P2'!Z90,RTS!Z90)</f>
        <v>0</v>
      </c>
      <c r="AA90" s="87">
        <f>SUM('Defect P1'!AA90,'Defect P2'!AA90,RTS!AA90)</f>
        <v>0</v>
      </c>
      <c r="AB90" s="87">
        <f>SUM('Defect P1'!AB90,'Defect P2'!AB90,RTS!AB90)</f>
        <v>0</v>
      </c>
      <c r="AC90" s="87">
        <f>SUM('Defect P1'!AC90,'Defect P2'!AC90,RTS!AC90)</f>
        <v>0</v>
      </c>
      <c r="AD90" s="87">
        <f>SUM('Defect P1'!AD90,'Defect P2'!AD90,RTS!AD90)</f>
        <v>0</v>
      </c>
      <c r="AE90" s="87">
        <f>SUM('Defect P1'!AE90,'Defect P2'!AE90,RTS!AE90)</f>
        <v>0</v>
      </c>
      <c r="AF90" s="87">
        <f>SUM('Defect P1'!AF90,'Defect P2'!AF90,RTS!AF90)</f>
        <v>0</v>
      </c>
      <c r="AG90" s="87">
        <f>SUM('Defect P1'!AG90,'Defect P2'!AG90,RTS!AG90)</f>
        <v>0</v>
      </c>
      <c r="AH90" s="87">
        <f>SUM('Defect P1'!AH90,'Defect P2'!AH90,RTS!AH90)</f>
        <v>0</v>
      </c>
      <c r="AI90" s="87">
        <f>SUM('Defect P1'!AI90,'Defect P2'!AI90,RTS!AI90)</f>
        <v>0</v>
      </c>
      <c r="AJ90" s="87">
        <f>SUM('Defect P1'!AJ90,'Defect P2'!AJ90,RTS!AJ90)</f>
        <v>0</v>
      </c>
      <c r="AK90" s="88">
        <f t="shared" si="43"/>
        <v>0</v>
      </c>
      <c r="AL90" s="89" cm="1">
        <f t="array" ref="AL90">IFERROR(IF($AM$4="N",SSUM(AF90:AH90)/3,SUM(AG90:AI90)/3),"")</f>
        <v>0</v>
      </c>
      <c r="AM90" s="90">
        <f t="shared" si="44"/>
        <v>0</v>
      </c>
      <c r="AN90" s="91" t="str">
        <f t="shared" si="29"/>
        <v/>
      </c>
      <c r="AO90" s="92" t="str">
        <f t="shared" si="30"/>
        <v/>
      </c>
      <c r="AP90" s="92" t="str">
        <f t="shared" si="31"/>
        <v/>
      </c>
      <c r="AQ90" s="92" t="str">
        <f t="shared" si="32"/>
        <v/>
      </c>
      <c r="AR90" s="92" t="str">
        <f t="shared" si="33"/>
        <v/>
      </c>
      <c r="AS90" s="92" t="str">
        <f t="shared" si="34"/>
        <v/>
      </c>
      <c r="AT90" s="92" t="str">
        <f t="shared" si="35"/>
        <v/>
      </c>
      <c r="AU90" s="92" t="str">
        <f t="shared" si="36"/>
        <v/>
      </c>
      <c r="AV90" s="92" t="str">
        <f t="shared" si="37"/>
        <v/>
      </c>
      <c r="AW90" s="92" t="str">
        <f t="shared" si="38"/>
        <v/>
      </c>
      <c r="AX90" s="92" t="str">
        <f t="shared" si="39"/>
        <v/>
      </c>
      <c r="AY90" s="93" t="str">
        <f t="shared" si="40"/>
        <v/>
      </c>
      <c r="AZ90" s="94" t="str">
        <f t="shared" si="41"/>
        <v/>
      </c>
      <c r="BA90" s="95" t="str">
        <f t="shared" si="42"/>
        <v/>
      </c>
      <c r="BB90" s="96">
        <f>SUM('Defect P1'!CE90,'Defect P2'!CE90,RTS!CE90)</f>
        <v>0</v>
      </c>
      <c r="BC90" s="96">
        <f>SUM('Defect P1'!CF90,'Defect P2'!CF90,RTS!CF90)</f>
        <v>0</v>
      </c>
      <c r="BD90" s="96">
        <f>SUM('Defect P1'!CG90,'Defect P2'!CG90,RTS!CG90)</f>
        <v>0</v>
      </c>
      <c r="BE90" s="96">
        <f>SUM('Defect P1'!CH90,'Defect P2'!CH90,RTS!CH90)</f>
        <v>0</v>
      </c>
      <c r="BF90" s="96">
        <f>SUM('Defect P1'!CI90,'Defect P2'!CI90,RTS!CI90)</f>
        <v>0</v>
      </c>
      <c r="BG90" s="96">
        <f>SUM('Defect P1'!CJ90,'Defect P2'!CJ90,RTS!CJ90)</f>
        <v>0</v>
      </c>
      <c r="BH90" s="96">
        <f>SUM('Defect P1'!CK90,'Defect P2'!CK90,RTS!CK90)</f>
        <v>0</v>
      </c>
      <c r="BI90" s="286">
        <f>SUM('Defect P1'!CL90,'Defect P2'!CL90,RTS!CL90)</f>
        <v>0</v>
      </c>
      <c r="BJ90" s="99" t="str">
        <f t="shared" si="45"/>
        <v/>
      </c>
      <c r="BK90" s="640">
        <f>SUM('Defect P1'!CQ90,'Defect P2'!CQ90,RTS!CQ90)</f>
        <v>0</v>
      </c>
      <c r="BL90" s="97">
        <f>SUM('Defect P1'!CR90,'Defect P2'!CR90,RTS!CR90)</f>
        <v>0</v>
      </c>
      <c r="BM90" s="524">
        <f>SUM('Defect P1'!CS90,'Defect P2'!CS90,RTS!CS90)</f>
        <v>0</v>
      </c>
      <c r="BN90" s="416">
        <f>SUM('Defect P1'!CT90,'Defect P2'!CT90,RTS!CT90)</f>
        <v>0</v>
      </c>
      <c r="BO90" s="97">
        <f>SUM('Defect P1'!CU90,'Defect P2'!CU90,RTS!CU90)</f>
        <v>0</v>
      </c>
      <c r="BP90" s="97">
        <f>SUM('Defect P1'!CV90,'Defect P2'!CV90,RTS!CV90)</f>
        <v>0</v>
      </c>
      <c r="BQ90" s="97">
        <f>SUM('Defect P1'!CW90,'Defect P2'!CW90,RTS!CW90)</f>
        <v>0</v>
      </c>
      <c r="BR90" s="98">
        <f>SUM('Defect P1'!CX90,'Defect P2'!CX90,RTS!CX90)</f>
        <v>0</v>
      </c>
    </row>
    <row r="91" spans="1:70" x14ac:dyDescent="0.25">
      <c r="A91" s="81" t="s">
        <v>138</v>
      </c>
      <c r="B91" s="82" t="s">
        <v>185</v>
      </c>
      <c r="C91" s="83" t="s">
        <v>381</v>
      </c>
      <c r="D91" s="84">
        <f>SUM('Defect P1'!D91,'Defect P2'!D91,RTS!D91)</f>
        <v>0</v>
      </c>
      <c r="E91" s="85">
        <f>SUM('Defect P1'!E91,'Defect P2'!E91,RTS!E91)</f>
        <v>0</v>
      </c>
      <c r="F91" s="85">
        <f>SUM('Defect P1'!F91,'Defect P2'!F91,RTS!F91)</f>
        <v>0</v>
      </c>
      <c r="G91" s="85">
        <f>SUM('Defect P1'!G91,'Defect P2'!G91,RTS!G91)</f>
        <v>0</v>
      </c>
      <c r="H91" s="85">
        <f>SUM('Defect P1'!H91,'Defect P2'!H91,RTS!H91)</f>
        <v>0</v>
      </c>
      <c r="I91" s="85">
        <f>SUM('Defect P1'!I91,'Defect P2'!I91,RTS!I91)</f>
        <v>0</v>
      </c>
      <c r="J91" s="85">
        <f>SUM('Defect P1'!J91,'Defect P2'!J91,RTS!J91)</f>
        <v>0</v>
      </c>
      <c r="K91" s="85">
        <f>SUM('Defect P1'!K91,'Defect P2'!K91,RTS!K91)</f>
        <v>0</v>
      </c>
      <c r="L91" s="85">
        <f>SUM('Defect P1'!L91,'Defect P2'!L91,RTS!L91)</f>
        <v>0</v>
      </c>
      <c r="M91" s="85">
        <f>SUM('Defect P1'!M91,'Defect P2'!M91,RTS!M91)</f>
        <v>0</v>
      </c>
      <c r="N91" s="85">
        <v>0</v>
      </c>
      <c r="O91" s="560">
        <f>SUM('Defect P1'!O91,'Defect P2'!O91,RTS!O91)</f>
        <v>0</v>
      </c>
      <c r="P91" s="561">
        <f>SUM('Defect P1'!P91,'Defect P2'!P91,RTS!P91)</f>
        <v>0</v>
      </c>
      <c r="Q91" s="561">
        <f>SUM('Defect P1'!Q91,'Defect P2'!Q91,RTS!Q91)</f>
        <v>0</v>
      </c>
      <c r="R91" s="561">
        <f>SUM('Defect P1'!R91,'Defect P2'!R91,RTS!R91)</f>
        <v>0</v>
      </c>
      <c r="S91" s="561">
        <f>SUM('Defect P1'!S91,'Defect P2'!S91,RTS!S91)</f>
        <v>0</v>
      </c>
      <c r="T91" s="561">
        <f>SUM('Defect P1'!T91,'Defect P2'!T91,RTS!T91)</f>
        <v>0</v>
      </c>
      <c r="U91" s="561">
        <f>SUM('Defect P1'!U91,'Defect P2'!U91,RTS!U91)</f>
        <v>0</v>
      </c>
      <c r="V91" s="561">
        <f>SUM('Defect P1'!V91,'Defect P2'!V91,RTS!V91)</f>
        <v>0</v>
      </c>
      <c r="W91" s="561">
        <f>SUM('Defect P1'!W91,'Defect P2'!W91,RTS!W91)</f>
        <v>0</v>
      </c>
      <c r="X91" s="561">
        <f>SUM('Defect P1'!X91,'Defect P2'!X91,RTS!X91)</f>
        <v>0</v>
      </c>
      <c r="Y91" s="561">
        <f>SUM('Defect P1'!Y91,'Defect P2'!Y91,RTS!Y91)</f>
        <v>0</v>
      </c>
      <c r="Z91" s="86">
        <f>SUM('Defect P1'!Z91,'Defect P2'!Z91,RTS!Z91)</f>
        <v>0</v>
      </c>
      <c r="AA91" s="87">
        <f>SUM('Defect P1'!AA91,'Defect P2'!AA91,RTS!AA91)</f>
        <v>0</v>
      </c>
      <c r="AB91" s="87">
        <f>SUM('Defect P1'!AB91,'Defect P2'!AB91,RTS!AB91)</f>
        <v>0</v>
      </c>
      <c r="AC91" s="87">
        <f>SUM('Defect P1'!AC91,'Defect P2'!AC91,RTS!AC91)</f>
        <v>0</v>
      </c>
      <c r="AD91" s="87">
        <f>SUM('Defect P1'!AD91,'Defect P2'!AD91,RTS!AD91)</f>
        <v>0</v>
      </c>
      <c r="AE91" s="87">
        <f>SUM('Defect P1'!AE91,'Defect P2'!AE91,RTS!AE91)</f>
        <v>0</v>
      </c>
      <c r="AF91" s="87">
        <f>SUM('Defect P1'!AF91,'Defect P2'!AF91,RTS!AF91)</f>
        <v>0</v>
      </c>
      <c r="AG91" s="87">
        <f>SUM('Defect P1'!AG91,'Defect P2'!AG91,RTS!AG91)</f>
        <v>0</v>
      </c>
      <c r="AH91" s="87">
        <f>SUM('Defect P1'!AH91,'Defect P2'!AH91,RTS!AH91)</f>
        <v>0</v>
      </c>
      <c r="AI91" s="87">
        <f>SUM('Defect P1'!AI91,'Defect P2'!AI91,RTS!AI91)</f>
        <v>0</v>
      </c>
      <c r="AJ91" s="87">
        <f>SUM('Defect P1'!AJ91,'Defect P2'!AJ91,RTS!AJ91)</f>
        <v>0</v>
      </c>
      <c r="AK91" s="88">
        <f t="shared" si="43"/>
        <v>0</v>
      </c>
      <c r="AL91" s="89" cm="1">
        <f t="array" ref="AL91">IFERROR(IF($AM$4="N",SSUM(AF91:AH91)/3,SUM(AG91:AI91)/3),"")</f>
        <v>0</v>
      </c>
      <c r="AM91" s="90">
        <f t="shared" si="44"/>
        <v>0</v>
      </c>
      <c r="AN91" s="91" t="str">
        <f t="shared" si="29"/>
        <v/>
      </c>
      <c r="AO91" s="92" t="str">
        <f t="shared" si="30"/>
        <v/>
      </c>
      <c r="AP91" s="92" t="str">
        <f t="shared" si="31"/>
        <v/>
      </c>
      <c r="AQ91" s="92" t="str">
        <f t="shared" si="32"/>
        <v/>
      </c>
      <c r="AR91" s="92" t="str">
        <f t="shared" si="33"/>
        <v/>
      </c>
      <c r="AS91" s="92" t="str">
        <f t="shared" si="34"/>
        <v/>
      </c>
      <c r="AT91" s="92" t="str">
        <f t="shared" si="35"/>
        <v/>
      </c>
      <c r="AU91" s="92" t="str">
        <f t="shared" si="36"/>
        <v/>
      </c>
      <c r="AV91" s="92" t="str">
        <f t="shared" si="37"/>
        <v/>
      </c>
      <c r="AW91" s="92" t="str">
        <f t="shared" si="38"/>
        <v/>
      </c>
      <c r="AX91" s="92" t="str">
        <f t="shared" si="39"/>
        <v/>
      </c>
      <c r="AY91" s="93" t="str">
        <f t="shared" si="40"/>
        <v/>
      </c>
      <c r="AZ91" s="94" t="str">
        <f t="shared" si="41"/>
        <v/>
      </c>
      <c r="BA91" s="95" t="str">
        <f t="shared" si="42"/>
        <v/>
      </c>
      <c r="BB91" s="96">
        <f>SUM('Defect P1'!CE91,'Defect P2'!CE91,RTS!CE91)</f>
        <v>0</v>
      </c>
      <c r="BC91" s="96">
        <f>SUM('Defect P1'!CF91,'Defect P2'!CF91,RTS!CF91)</f>
        <v>0</v>
      </c>
      <c r="BD91" s="96">
        <f>SUM('Defect P1'!CG91,'Defect P2'!CG91,RTS!CG91)</f>
        <v>0</v>
      </c>
      <c r="BE91" s="96">
        <f>SUM('Defect P1'!CH91,'Defect P2'!CH91,RTS!CH91)</f>
        <v>0</v>
      </c>
      <c r="BF91" s="96">
        <f>SUM('Defect P1'!CI91,'Defect P2'!CI91,RTS!CI91)</f>
        <v>0</v>
      </c>
      <c r="BG91" s="96">
        <f>SUM('Defect P1'!CJ91,'Defect P2'!CJ91,RTS!CJ91)</f>
        <v>0</v>
      </c>
      <c r="BH91" s="96">
        <f>SUM('Defect P1'!CK91,'Defect P2'!CK91,RTS!CK91)</f>
        <v>0</v>
      </c>
      <c r="BI91" s="286">
        <f>SUM('Defect P1'!CL91,'Defect P2'!CL91,RTS!CL91)</f>
        <v>0</v>
      </c>
      <c r="BJ91" s="99" t="str">
        <f t="shared" si="45"/>
        <v/>
      </c>
      <c r="BK91" s="640">
        <f>SUM('Defect P1'!CQ91,'Defect P2'!CQ91,RTS!CQ91)</f>
        <v>0</v>
      </c>
      <c r="BL91" s="97">
        <f>SUM('Defect P1'!CR91,'Defect P2'!CR91,RTS!CR91)</f>
        <v>0</v>
      </c>
      <c r="BM91" s="524">
        <f>SUM('Defect P1'!CS91,'Defect P2'!CS91,RTS!CS91)</f>
        <v>0</v>
      </c>
      <c r="BN91" s="416">
        <f>SUM('Defect P1'!CT91,'Defect P2'!CT91,RTS!CT91)</f>
        <v>0</v>
      </c>
      <c r="BO91" s="97">
        <f>SUM('Defect P1'!CU91,'Defect P2'!CU91,RTS!CU91)</f>
        <v>0</v>
      </c>
      <c r="BP91" s="97">
        <f>SUM('Defect P1'!CV91,'Defect P2'!CV91,RTS!CV91)</f>
        <v>0</v>
      </c>
      <c r="BQ91" s="97">
        <f>SUM('Defect P1'!CW91,'Defect P2'!CW91,RTS!CW91)</f>
        <v>0</v>
      </c>
      <c r="BR91" s="98">
        <f>SUM('Defect P1'!CX91,'Defect P2'!CX91,RTS!CX91)</f>
        <v>0</v>
      </c>
    </row>
    <row r="92" spans="1:70" x14ac:dyDescent="0.25">
      <c r="A92" s="81" t="s">
        <v>138</v>
      </c>
      <c r="B92" s="82" t="s">
        <v>187</v>
      </c>
      <c r="C92" s="83" t="s">
        <v>382</v>
      </c>
      <c r="D92" s="84">
        <f>SUM('Defect P1'!D92,'Defect P2'!D92,RTS!D92)</f>
        <v>0</v>
      </c>
      <c r="E92" s="85">
        <f>SUM('Defect P1'!E92,'Defect P2'!E92,RTS!E92)</f>
        <v>0</v>
      </c>
      <c r="F92" s="85">
        <f>SUM('Defect P1'!F92,'Defect P2'!F92,RTS!F92)</f>
        <v>0</v>
      </c>
      <c r="G92" s="85">
        <f>SUM('Defect P1'!G92,'Defect P2'!G92,RTS!G92)</f>
        <v>0</v>
      </c>
      <c r="H92" s="85">
        <f>SUM('Defect P1'!H92,'Defect P2'!H92,RTS!H92)</f>
        <v>0</v>
      </c>
      <c r="I92" s="85">
        <f>SUM('Defect P1'!I92,'Defect P2'!I92,RTS!I92)</f>
        <v>0</v>
      </c>
      <c r="J92" s="85">
        <f>SUM('Defect P1'!J92,'Defect P2'!J92,RTS!J92)</f>
        <v>0</v>
      </c>
      <c r="K92" s="85">
        <f>SUM('Defect P1'!K92,'Defect P2'!K92,RTS!K92)</f>
        <v>0</v>
      </c>
      <c r="L92" s="85">
        <f>SUM('Defect P1'!L92,'Defect P2'!L92,RTS!L92)</f>
        <v>0</v>
      </c>
      <c r="M92" s="85">
        <f>SUM('Defect P1'!M92,'Defect P2'!M92,RTS!M92)</f>
        <v>0</v>
      </c>
      <c r="N92" s="85">
        <v>0</v>
      </c>
      <c r="O92" s="560">
        <f>SUM('Defect P1'!O92,'Defect P2'!O92,RTS!O92)</f>
        <v>0</v>
      </c>
      <c r="P92" s="561">
        <f>SUM('Defect P1'!P92,'Defect P2'!P92,RTS!P92)</f>
        <v>0</v>
      </c>
      <c r="Q92" s="561">
        <f>SUM('Defect P1'!Q92,'Defect P2'!Q92,RTS!Q92)</f>
        <v>0</v>
      </c>
      <c r="R92" s="561">
        <f>SUM('Defect P1'!R92,'Defect P2'!R92,RTS!R92)</f>
        <v>0</v>
      </c>
      <c r="S92" s="561">
        <f>SUM('Defect P1'!S92,'Defect P2'!S92,RTS!S92)</f>
        <v>0</v>
      </c>
      <c r="T92" s="561">
        <f>SUM('Defect P1'!T92,'Defect P2'!T92,RTS!T92)</f>
        <v>0</v>
      </c>
      <c r="U92" s="561">
        <f>SUM('Defect P1'!U92,'Defect P2'!U92,RTS!U92)</f>
        <v>0</v>
      </c>
      <c r="V92" s="561">
        <f>SUM('Defect P1'!V92,'Defect P2'!V92,RTS!V92)</f>
        <v>0</v>
      </c>
      <c r="W92" s="561">
        <f>SUM('Defect P1'!W92,'Defect P2'!W92,RTS!W92)</f>
        <v>0</v>
      </c>
      <c r="X92" s="561">
        <f>SUM('Defect P1'!X92,'Defect P2'!X92,RTS!X92)</f>
        <v>0</v>
      </c>
      <c r="Y92" s="561">
        <f>SUM('Defect P1'!Y92,'Defect P2'!Y92,RTS!Y92)</f>
        <v>0</v>
      </c>
      <c r="Z92" s="86">
        <f>SUM('Defect P1'!Z92,'Defect P2'!Z92,RTS!Z92)</f>
        <v>0</v>
      </c>
      <c r="AA92" s="87">
        <f>SUM('Defect P1'!AA92,'Defect P2'!AA92,RTS!AA92)</f>
        <v>0</v>
      </c>
      <c r="AB92" s="87">
        <f>SUM('Defect P1'!AB92,'Defect P2'!AB92,RTS!AB92)</f>
        <v>0</v>
      </c>
      <c r="AC92" s="87">
        <f>SUM('Defect P1'!AC92,'Defect P2'!AC92,RTS!AC92)</f>
        <v>0</v>
      </c>
      <c r="AD92" s="87">
        <f>SUM('Defect P1'!AD92,'Defect P2'!AD92,RTS!AD92)</f>
        <v>0</v>
      </c>
      <c r="AE92" s="87">
        <f>SUM('Defect P1'!AE92,'Defect P2'!AE92,RTS!AE92)</f>
        <v>0</v>
      </c>
      <c r="AF92" s="87">
        <f>SUM('Defect P1'!AF92,'Defect P2'!AF92,RTS!AF92)</f>
        <v>0</v>
      </c>
      <c r="AG92" s="87">
        <f>SUM('Defect P1'!AG92,'Defect P2'!AG92,RTS!AG92)</f>
        <v>0</v>
      </c>
      <c r="AH92" s="87">
        <f>SUM('Defect P1'!AH92,'Defect P2'!AH92,RTS!AH92)</f>
        <v>0</v>
      </c>
      <c r="AI92" s="87">
        <f>SUM('Defect P1'!AI92,'Defect P2'!AI92,RTS!AI92)</f>
        <v>0</v>
      </c>
      <c r="AJ92" s="87">
        <f>SUM('Defect P1'!AJ92,'Defect P2'!AJ92,RTS!AJ92)</f>
        <v>0</v>
      </c>
      <c r="AK92" s="88">
        <f t="shared" si="43"/>
        <v>0</v>
      </c>
      <c r="AL92" s="89" cm="1">
        <f t="array" ref="AL92">IFERROR(IF($AM$4="N",SSUM(AF92:AH92)/3,SUM(AG92:AI92)/3),"")</f>
        <v>0</v>
      </c>
      <c r="AM92" s="90">
        <f t="shared" si="44"/>
        <v>0</v>
      </c>
      <c r="AN92" s="91" t="str">
        <f t="shared" si="29"/>
        <v/>
      </c>
      <c r="AO92" s="92" t="str">
        <f t="shared" si="30"/>
        <v/>
      </c>
      <c r="AP92" s="92" t="str">
        <f t="shared" si="31"/>
        <v/>
      </c>
      <c r="AQ92" s="92" t="str">
        <f t="shared" si="32"/>
        <v/>
      </c>
      <c r="AR92" s="92" t="str">
        <f t="shared" si="33"/>
        <v/>
      </c>
      <c r="AS92" s="92" t="str">
        <f t="shared" si="34"/>
        <v/>
      </c>
      <c r="AT92" s="92" t="str">
        <f t="shared" si="35"/>
        <v/>
      </c>
      <c r="AU92" s="92" t="str">
        <f t="shared" si="36"/>
        <v/>
      </c>
      <c r="AV92" s="92" t="str">
        <f t="shared" si="37"/>
        <v/>
      </c>
      <c r="AW92" s="92" t="str">
        <f t="shared" si="38"/>
        <v/>
      </c>
      <c r="AX92" s="92" t="str">
        <f t="shared" si="39"/>
        <v/>
      </c>
      <c r="AY92" s="93" t="str">
        <f t="shared" si="40"/>
        <v/>
      </c>
      <c r="AZ92" s="94" t="str">
        <f t="shared" si="41"/>
        <v/>
      </c>
      <c r="BA92" s="95" t="str">
        <f t="shared" si="42"/>
        <v/>
      </c>
      <c r="BB92" s="96">
        <f>SUM('Defect P1'!CE92,'Defect P2'!CE92,RTS!CE92)</f>
        <v>0</v>
      </c>
      <c r="BC92" s="96">
        <f>SUM('Defect P1'!CF92,'Defect P2'!CF92,RTS!CF92)</f>
        <v>0</v>
      </c>
      <c r="BD92" s="96">
        <f>SUM('Defect P1'!CG92,'Defect P2'!CG92,RTS!CG92)</f>
        <v>0</v>
      </c>
      <c r="BE92" s="96">
        <f>SUM('Defect P1'!CH92,'Defect P2'!CH92,RTS!CH92)</f>
        <v>0</v>
      </c>
      <c r="BF92" s="96">
        <f>SUM('Defect P1'!CI92,'Defect P2'!CI92,RTS!CI92)</f>
        <v>0</v>
      </c>
      <c r="BG92" s="96">
        <f>SUM('Defect P1'!CJ92,'Defect P2'!CJ92,RTS!CJ92)</f>
        <v>0</v>
      </c>
      <c r="BH92" s="96">
        <f>SUM('Defect P1'!CK92,'Defect P2'!CK92,RTS!CK92)</f>
        <v>0</v>
      </c>
      <c r="BI92" s="286">
        <f>SUM('Defect P1'!CL92,'Defect P2'!CL92,RTS!CL92)</f>
        <v>0</v>
      </c>
      <c r="BJ92" s="99" t="str">
        <f t="shared" si="45"/>
        <v/>
      </c>
      <c r="BK92" s="640">
        <f>SUM('Defect P1'!CQ92,'Defect P2'!CQ92,RTS!CQ92)</f>
        <v>0</v>
      </c>
      <c r="BL92" s="97">
        <f>SUM('Defect P1'!CR92,'Defect P2'!CR92,RTS!CR92)</f>
        <v>0</v>
      </c>
      <c r="BM92" s="524">
        <f>SUM('Defect P1'!CS92,'Defect P2'!CS92,RTS!CS92)</f>
        <v>0</v>
      </c>
      <c r="BN92" s="416">
        <f>SUM('Defect P1'!CT92,'Defect P2'!CT92,RTS!CT92)</f>
        <v>0</v>
      </c>
      <c r="BO92" s="97">
        <f>SUM('Defect P1'!CU92,'Defect P2'!CU92,RTS!CU92)</f>
        <v>0</v>
      </c>
      <c r="BP92" s="97">
        <f>SUM('Defect P1'!CV92,'Defect P2'!CV92,RTS!CV92)</f>
        <v>0</v>
      </c>
      <c r="BQ92" s="97">
        <f>SUM('Defect P1'!CW92,'Defect P2'!CW92,RTS!CW92)</f>
        <v>0</v>
      </c>
      <c r="BR92" s="98">
        <f>SUM('Defect P1'!CX92,'Defect P2'!CX92,RTS!CX92)</f>
        <v>0</v>
      </c>
    </row>
    <row r="93" spans="1:70" x14ac:dyDescent="0.25">
      <c r="A93" s="81" t="s">
        <v>138</v>
      </c>
      <c r="B93" s="82" t="s">
        <v>189</v>
      </c>
      <c r="C93" s="83" t="s">
        <v>383</v>
      </c>
      <c r="D93" s="84">
        <f>SUM('Defect P1'!D93,'Defect P2'!D93,RTS!D93)</f>
        <v>0</v>
      </c>
      <c r="E93" s="85">
        <f>SUM('Defect P1'!E93,'Defect P2'!E93,RTS!E93)</f>
        <v>0</v>
      </c>
      <c r="F93" s="85">
        <f>SUM('Defect P1'!F93,'Defect P2'!F93,RTS!F93)</f>
        <v>0</v>
      </c>
      <c r="G93" s="85">
        <f>SUM('Defect P1'!G93,'Defect P2'!G93,RTS!G93)</f>
        <v>0</v>
      </c>
      <c r="H93" s="85">
        <f>SUM('Defect P1'!H93,'Defect P2'!H93,RTS!H93)</f>
        <v>0</v>
      </c>
      <c r="I93" s="85">
        <f>SUM('Defect P1'!I93,'Defect P2'!I93,RTS!I93)</f>
        <v>0</v>
      </c>
      <c r="J93" s="85">
        <f>SUM('Defect P1'!J93,'Defect P2'!J93,RTS!J93)</f>
        <v>0</v>
      </c>
      <c r="K93" s="85">
        <f>SUM('Defect P1'!K93,'Defect P2'!K93,RTS!K93)</f>
        <v>0</v>
      </c>
      <c r="L93" s="85">
        <f>SUM('Defect P1'!L93,'Defect P2'!L93,RTS!L93)</f>
        <v>0</v>
      </c>
      <c r="M93" s="85">
        <f>SUM('Defect P1'!M93,'Defect P2'!M93,RTS!M93)</f>
        <v>0</v>
      </c>
      <c r="N93" s="85">
        <v>0</v>
      </c>
      <c r="O93" s="560">
        <f>SUM('Defect P1'!O93,'Defect P2'!O93,RTS!O93)</f>
        <v>0</v>
      </c>
      <c r="P93" s="561">
        <f>SUM('Defect P1'!P93,'Defect P2'!P93,RTS!P93)</f>
        <v>0</v>
      </c>
      <c r="Q93" s="561">
        <f>SUM('Defect P1'!Q93,'Defect P2'!Q93,RTS!Q93)</f>
        <v>0</v>
      </c>
      <c r="R93" s="561">
        <f>SUM('Defect P1'!R93,'Defect P2'!R93,RTS!R93)</f>
        <v>0</v>
      </c>
      <c r="S93" s="561">
        <f>SUM('Defect P1'!S93,'Defect P2'!S93,RTS!S93)</f>
        <v>0</v>
      </c>
      <c r="T93" s="561">
        <f>SUM('Defect P1'!T93,'Defect P2'!T93,RTS!T93)</f>
        <v>0</v>
      </c>
      <c r="U93" s="561">
        <f>SUM('Defect P1'!U93,'Defect P2'!U93,RTS!U93)</f>
        <v>0</v>
      </c>
      <c r="V93" s="561">
        <f>SUM('Defect P1'!V93,'Defect P2'!V93,RTS!V93)</f>
        <v>0</v>
      </c>
      <c r="W93" s="561">
        <f>SUM('Defect P1'!W93,'Defect P2'!W93,RTS!W93)</f>
        <v>0</v>
      </c>
      <c r="X93" s="561">
        <f>SUM('Defect P1'!X93,'Defect P2'!X93,RTS!X93)</f>
        <v>0</v>
      </c>
      <c r="Y93" s="561">
        <f>SUM('Defect P1'!Y93,'Defect P2'!Y93,RTS!Y93)</f>
        <v>0</v>
      </c>
      <c r="Z93" s="86">
        <f>SUM('Defect P1'!Z93,'Defect P2'!Z93,RTS!Z93)</f>
        <v>0</v>
      </c>
      <c r="AA93" s="87">
        <f>SUM('Defect P1'!AA93,'Defect P2'!AA93,RTS!AA93)</f>
        <v>0</v>
      </c>
      <c r="AB93" s="87">
        <f>SUM('Defect P1'!AB93,'Defect P2'!AB93,RTS!AB93)</f>
        <v>0</v>
      </c>
      <c r="AC93" s="87">
        <f>SUM('Defect P1'!AC93,'Defect P2'!AC93,RTS!AC93)</f>
        <v>0</v>
      </c>
      <c r="AD93" s="87">
        <f>SUM('Defect P1'!AD93,'Defect P2'!AD93,RTS!AD93)</f>
        <v>0</v>
      </c>
      <c r="AE93" s="87">
        <f>SUM('Defect P1'!AE93,'Defect P2'!AE93,RTS!AE93)</f>
        <v>0</v>
      </c>
      <c r="AF93" s="87">
        <f>SUM('Defect P1'!AF93,'Defect P2'!AF93,RTS!AF93)</f>
        <v>0</v>
      </c>
      <c r="AG93" s="87">
        <f>SUM('Defect P1'!AG93,'Defect P2'!AG93,RTS!AG93)</f>
        <v>0</v>
      </c>
      <c r="AH93" s="87">
        <f>SUM('Defect P1'!AH93,'Defect P2'!AH93,RTS!AH93)</f>
        <v>0</v>
      </c>
      <c r="AI93" s="87">
        <f>SUM('Defect P1'!AI93,'Defect P2'!AI93,RTS!AI93)</f>
        <v>0</v>
      </c>
      <c r="AJ93" s="87">
        <f>SUM('Defect P1'!AJ93,'Defect P2'!AJ93,RTS!AJ93)</f>
        <v>0</v>
      </c>
      <c r="AK93" s="88">
        <f t="shared" si="43"/>
        <v>0</v>
      </c>
      <c r="AL93" s="89" cm="1">
        <f t="array" ref="AL93">IFERROR(IF($AM$4="N",SSUM(AF93:AH93)/3,SUM(AG93:AI93)/3),"")</f>
        <v>0</v>
      </c>
      <c r="AM93" s="90">
        <f t="shared" si="44"/>
        <v>0</v>
      </c>
      <c r="AN93" s="91" t="str">
        <f t="shared" si="29"/>
        <v/>
      </c>
      <c r="AO93" s="92" t="str">
        <f t="shared" si="30"/>
        <v/>
      </c>
      <c r="AP93" s="92" t="str">
        <f t="shared" si="31"/>
        <v/>
      </c>
      <c r="AQ93" s="92" t="str">
        <f t="shared" si="32"/>
        <v/>
      </c>
      <c r="AR93" s="92" t="str">
        <f t="shared" si="33"/>
        <v/>
      </c>
      <c r="AS93" s="92" t="str">
        <f t="shared" si="34"/>
        <v/>
      </c>
      <c r="AT93" s="92" t="str">
        <f t="shared" si="35"/>
        <v/>
      </c>
      <c r="AU93" s="92" t="str">
        <f t="shared" si="36"/>
        <v/>
      </c>
      <c r="AV93" s="92" t="str">
        <f t="shared" si="37"/>
        <v/>
      </c>
      <c r="AW93" s="92" t="str">
        <f t="shared" si="38"/>
        <v/>
      </c>
      <c r="AX93" s="92" t="str">
        <f t="shared" si="39"/>
        <v/>
      </c>
      <c r="AY93" s="93" t="str">
        <f t="shared" si="40"/>
        <v/>
      </c>
      <c r="AZ93" s="94" t="str">
        <f t="shared" si="41"/>
        <v/>
      </c>
      <c r="BA93" s="95" t="str">
        <f t="shared" si="42"/>
        <v/>
      </c>
      <c r="BB93" s="96">
        <f>SUM('Defect P1'!CE93,'Defect P2'!CE93,RTS!CE93)</f>
        <v>0</v>
      </c>
      <c r="BC93" s="96">
        <f>SUM('Defect P1'!CF93,'Defect P2'!CF93,RTS!CF93)</f>
        <v>0</v>
      </c>
      <c r="BD93" s="96">
        <f>SUM('Defect P1'!CG93,'Defect P2'!CG93,RTS!CG93)</f>
        <v>0</v>
      </c>
      <c r="BE93" s="96">
        <f>SUM('Defect P1'!CH93,'Defect P2'!CH93,RTS!CH93)</f>
        <v>0</v>
      </c>
      <c r="BF93" s="96">
        <f>SUM('Defect P1'!CI93,'Defect P2'!CI93,RTS!CI93)</f>
        <v>0</v>
      </c>
      <c r="BG93" s="96">
        <f>SUM('Defect P1'!CJ93,'Defect P2'!CJ93,RTS!CJ93)</f>
        <v>0</v>
      </c>
      <c r="BH93" s="96">
        <f>SUM('Defect P1'!CK93,'Defect P2'!CK93,RTS!CK93)</f>
        <v>0</v>
      </c>
      <c r="BI93" s="286">
        <f>SUM('Defect P1'!CL93,'Defect P2'!CL93,RTS!CL93)</f>
        <v>0</v>
      </c>
      <c r="BJ93" s="99" t="str">
        <f t="shared" si="45"/>
        <v/>
      </c>
      <c r="BK93" s="640">
        <f>SUM('Defect P1'!CQ93,'Defect P2'!CQ93,RTS!CQ93)</f>
        <v>0</v>
      </c>
      <c r="BL93" s="97">
        <f>SUM('Defect P1'!CR93,'Defect P2'!CR93,RTS!CR93)</f>
        <v>0</v>
      </c>
      <c r="BM93" s="524">
        <f>SUM('Defect P1'!CS93,'Defect P2'!CS93,RTS!CS93)</f>
        <v>0</v>
      </c>
      <c r="BN93" s="416">
        <f>SUM('Defect P1'!CT93,'Defect P2'!CT93,RTS!CT93)</f>
        <v>0</v>
      </c>
      <c r="BO93" s="97">
        <f>SUM('Defect P1'!CU93,'Defect P2'!CU93,RTS!CU93)</f>
        <v>0</v>
      </c>
      <c r="BP93" s="97">
        <f>SUM('Defect P1'!CV93,'Defect P2'!CV93,RTS!CV93)</f>
        <v>0</v>
      </c>
      <c r="BQ93" s="97">
        <f>SUM('Defect P1'!CW93,'Defect P2'!CW93,RTS!CW93)</f>
        <v>0</v>
      </c>
      <c r="BR93" s="98">
        <f>SUM('Defect P1'!CX93,'Defect P2'!CX93,RTS!CX93)</f>
        <v>0</v>
      </c>
    </row>
    <row r="94" spans="1:70" x14ac:dyDescent="0.25">
      <c r="A94" s="81" t="s">
        <v>138</v>
      </c>
      <c r="B94" s="82" t="s">
        <v>191</v>
      </c>
      <c r="C94" s="83" t="s">
        <v>384</v>
      </c>
      <c r="D94" s="84">
        <f>SUM('Defect P1'!D94,'Defect P2'!D94,RTS!D94)</f>
        <v>0</v>
      </c>
      <c r="E94" s="85">
        <f>SUM('Defect P1'!E94,'Defect P2'!E94,RTS!E94)</f>
        <v>0</v>
      </c>
      <c r="F94" s="85">
        <f>SUM('Defect P1'!F94,'Defect P2'!F94,RTS!F94)</f>
        <v>0</v>
      </c>
      <c r="G94" s="85">
        <f>SUM('Defect P1'!G94,'Defect P2'!G94,RTS!G94)</f>
        <v>0</v>
      </c>
      <c r="H94" s="85">
        <f>SUM('Defect P1'!H94,'Defect P2'!H94,RTS!H94)</f>
        <v>0</v>
      </c>
      <c r="I94" s="85">
        <f>SUM('Defect P1'!I94,'Defect P2'!I94,RTS!I94)</f>
        <v>0</v>
      </c>
      <c r="J94" s="85">
        <f>SUM('Defect P1'!J94,'Defect P2'!J94,RTS!J94)</f>
        <v>0</v>
      </c>
      <c r="K94" s="85">
        <f>SUM('Defect P1'!K94,'Defect P2'!K94,RTS!K94)</f>
        <v>0</v>
      </c>
      <c r="L94" s="85">
        <f>SUM('Defect P1'!L94,'Defect P2'!L94,RTS!L94)</f>
        <v>0</v>
      </c>
      <c r="M94" s="85">
        <f>SUM('Defect P1'!M94,'Defect P2'!M94,RTS!M94)</f>
        <v>0</v>
      </c>
      <c r="N94" s="85">
        <v>0</v>
      </c>
      <c r="O94" s="560">
        <f>SUM('Defect P1'!O94,'Defect P2'!O94,RTS!O94)</f>
        <v>0</v>
      </c>
      <c r="P94" s="561">
        <f>SUM('Defect P1'!P94,'Defect P2'!P94,RTS!P94)</f>
        <v>0</v>
      </c>
      <c r="Q94" s="561">
        <f>SUM('Defect P1'!Q94,'Defect P2'!Q94,RTS!Q94)</f>
        <v>0</v>
      </c>
      <c r="R94" s="561">
        <f>SUM('Defect P1'!R94,'Defect P2'!R94,RTS!R94)</f>
        <v>0</v>
      </c>
      <c r="S94" s="561">
        <f>SUM('Defect P1'!S94,'Defect P2'!S94,RTS!S94)</f>
        <v>0</v>
      </c>
      <c r="T94" s="561">
        <f>SUM('Defect P1'!T94,'Defect P2'!T94,RTS!T94)</f>
        <v>0</v>
      </c>
      <c r="U94" s="561">
        <f>SUM('Defect P1'!U94,'Defect P2'!U94,RTS!U94)</f>
        <v>0</v>
      </c>
      <c r="V94" s="561">
        <f>SUM('Defect P1'!V94,'Defect P2'!V94,RTS!V94)</f>
        <v>0</v>
      </c>
      <c r="W94" s="561">
        <f>SUM('Defect P1'!W94,'Defect P2'!W94,RTS!W94)</f>
        <v>0</v>
      </c>
      <c r="X94" s="561">
        <f>SUM('Defect P1'!X94,'Defect P2'!X94,RTS!X94)</f>
        <v>0</v>
      </c>
      <c r="Y94" s="561">
        <f>SUM('Defect P1'!Y94,'Defect P2'!Y94,RTS!Y94)</f>
        <v>0</v>
      </c>
      <c r="Z94" s="86">
        <f>SUM('Defect P1'!Z94,'Defect P2'!Z94,RTS!Z94)</f>
        <v>0</v>
      </c>
      <c r="AA94" s="87">
        <f>SUM('Defect P1'!AA94,'Defect P2'!AA94,RTS!AA94)</f>
        <v>0</v>
      </c>
      <c r="AB94" s="87">
        <f>SUM('Defect P1'!AB94,'Defect P2'!AB94,RTS!AB94)</f>
        <v>0</v>
      </c>
      <c r="AC94" s="87">
        <f>SUM('Defect P1'!AC94,'Defect P2'!AC94,RTS!AC94)</f>
        <v>0</v>
      </c>
      <c r="AD94" s="87">
        <f>SUM('Defect P1'!AD94,'Defect P2'!AD94,RTS!AD94)</f>
        <v>0</v>
      </c>
      <c r="AE94" s="87">
        <f>SUM('Defect P1'!AE94,'Defect P2'!AE94,RTS!AE94)</f>
        <v>0</v>
      </c>
      <c r="AF94" s="87">
        <f>SUM('Defect P1'!AF94,'Defect P2'!AF94,RTS!AF94)</f>
        <v>0</v>
      </c>
      <c r="AG94" s="87">
        <f>SUM('Defect P1'!AG94,'Defect P2'!AG94,RTS!AG94)</f>
        <v>0</v>
      </c>
      <c r="AH94" s="87">
        <f>SUM('Defect P1'!AH94,'Defect P2'!AH94,RTS!AH94)</f>
        <v>0</v>
      </c>
      <c r="AI94" s="87">
        <f>SUM('Defect P1'!AI94,'Defect P2'!AI94,RTS!AI94)</f>
        <v>0</v>
      </c>
      <c r="AJ94" s="87">
        <f>SUM('Defect P1'!AJ94,'Defect P2'!AJ94,RTS!AJ94)</f>
        <v>0</v>
      </c>
      <c r="AK94" s="88">
        <f t="shared" si="43"/>
        <v>0</v>
      </c>
      <c r="AL94" s="89" cm="1">
        <f t="array" ref="AL94">IFERROR(IF($AM$4="N",SSUM(AF94:AH94)/3,SUM(AG94:AI94)/3),"")</f>
        <v>0</v>
      </c>
      <c r="AM94" s="90">
        <f t="shared" si="44"/>
        <v>0</v>
      </c>
      <c r="AN94" s="91" t="str">
        <f t="shared" si="29"/>
        <v/>
      </c>
      <c r="AO94" s="92" t="str">
        <f t="shared" si="30"/>
        <v/>
      </c>
      <c r="AP94" s="92" t="str">
        <f t="shared" si="31"/>
        <v/>
      </c>
      <c r="AQ94" s="92" t="str">
        <f t="shared" si="32"/>
        <v/>
      </c>
      <c r="AR94" s="92" t="str">
        <f t="shared" si="33"/>
        <v/>
      </c>
      <c r="AS94" s="92" t="str">
        <f t="shared" si="34"/>
        <v/>
      </c>
      <c r="AT94" s="92" t="str">
        <f t="shared" si="35"/>
        <v/>
      </c>
      <c r="AU94" s="92" t="str">
        <f t="shared" si="36"/>
        <v/>
      </c>
      <c r="AV94" s="92" t="str">
        <f t="shared" si="37"/>
        <v/>
      </c>
      <c r="AW94" s="92" t="str">
        <f t="shared" si="38"/>
        <v/>
      </c>
      <c r="AX94" s="92" t="str">
        <f t="shared" si="39"/>
        <v/>
      </c>
      <c r="AY94" s="93" t="str">
        <f t="shared" si="40"/>
        <v/>
      </c>
      <c r="AZ94" s="94" t="str">
        <f t="shared" si="41"/>
        <v/>
      </c>
      <c r="BA94" s="95" t="str">
        <f t="shared" si="42"/>
        <v/>
      </c>
      <c r="BB94" s="96">
        <f>SUM('Defect P1'!CE94,'Defect P2'!CE94,RTS!CE94)</f>
        <v>0</v>
      </c>
      <c r="BC94" s="96">
        <f>SUM('Defect P1'!CF94,'Defect P2'!CF94,RTS!CF94)</f>
        <v>0</v>
      </c>
      <c r="BD94" s="96">
        <f>SUM('Defect P1'!CG94,'Defect P2'!CG94,RTS!CG94)</f>
        <v>0</v>
      </c>
      <c r="BE94" s="96">
        <f>SUM('Defect P1'!CH94,'Defect P2'!CH94,RTS!CH94)</f>
        <v>0</v>
      </c>
      <c r="BF94" s="96">
        <f>SUM('Defect P1'!CI94,'Defect P2'!CI94,RTS!CI94)</f>
        <v>0</v>
      </c>
      <c r="BG94" s="96">
        <f>SUM('Defect P1'!CJ94,'Defect P2'!CJ94,RTS!CJ94)</f>
        <v>0</v>
      </c>
      <c r="BH94" s="96">
        <f>SUM('Defect P1'!CK94,'Defect P2'!CK94,RTS!CK94)</f>
        <v>0</v>
      </c>
      <c r="BI94" s="286">
        <f>SUM('Defect P1'!CL94,'Defect P2'!CL94,RTS!CL94)</f>
        <v>0</v>
      </c>
      <c r="BJ94" s="99" t="str">
        <f t="shared" si="45"/>
        <v/>
      </c>
      <c r="BK94" s="640">
        <f>SUM('Defect P1'!CQ94,'Defect P2'!CQ94,RTS!CQ94)</f>
        <v>0</v>
      </c>
      <c r="BL94" s="97">
        <f>SUM('Defect P1'!CR94,'Defect P2'!CR94,RTS!CR94)</f>
        <v>0</v>
      </c>
      <c r="BM94" s="524">
        <f>SUM('Defect P1'!CS94,'Defect P2'!CS94,RTS!CS94)</f>
        <v>0</v>
      </c>
      <c r="BN94" s="416">
        <f>SUM('Defect P1'!CT94,'Defect P2'!CT94,RTS!CT94)</f>
        <v>0</v>
      </c>
      <c r="BO94" s="97">
        <f>SUM('Defect P1'!CU94,'Defect P2'!CU94,RTS!CU94)</f>
        <v>0</v>
      </c>
      <c r="BP94" s="97">
        <f>SUM('Defect P1'!CV94,'Defect P2'!CV94,RTS!CV94)</f>
        <v>0</v>
      </c>
      <c r="BQ94" s="97">
        <f>SUM('Defect P1'!CW94,'Defect P2'!CW94,RTS!CW94)</f>
        <v>0</v>
      </c>
      <c r="BR94" s="98">
        <f>SUM('Defect P1'!CX94,'Defect P2'!CX94,RTS!CX94)</f>
        <v>0</v>
      </c>
    </row>
    <row r="95" spans="1:70" ht="15.75" thickBot="1" x14ac:dyDescent="0.3">
      <c r="A95" s="100" t="s">
        <v>138</v>
      </c>
      <c r="B95" s="101" t="s">
        <v>385</v>
      </c>
      <c r="C95" s="102" t="s">
        <v>386</v>
      </c>
      <c r="D95" s="103">
        <f>SUM('Defect P1'!D95,'Defect P2'!D95,RTS!D95)</f>
        <v>19332.839967772456</v>
      </c>
      <c r="E95" s="104">
        <f>SUM('Defect P1'!E95,'Defect P2'!E95,RTS!E95)</f>
        <v>0</v>
      </c>
      <c r="F95" s="104">
        <f>SUM('Defect P1'!F95,'Defect P2'!F95,RTS!F95)</f>
        <v>82835.133248157246</v>
      </c>
      <c r="G95" s="104">
        <f>SUM('Defect P1'!G95,'Defect P2'!G95,RTS!G95)</f>
        <v>0</v>
      </c>
      <c r="H95" s="104">
        <f>SUM('Defect P1'!H95,'Defect P2'!H95,RTS!H95)</f>
        <v>0</v>
      </c>
      <c r="I95" s="104">
        <f>SUM('Defect P1'!I95,'Defect P2'!I95,RTS!I95)</f>
        <v>29709.836920557962</v>
      </c>
      <c r="J95" s="104">
        <f>SUM('Defect P1'!J95,'Defect P2'!J95,RTS!J95)</f>
        <v>14752.90333395</v>
      </c>
      <c r="K95" s="104">
        <f>SUM('Defect P1'!K95,'Defect P2'!K95,RTS!K95)</f>
        <v>11515.755434762001</v>
      </c>
      <c r="L95" s="104">
        <f>SUM('Defect P1'!L95,'Defect P2'!L95,RTS!L95)</f>
        <v>0</v>
      </c>
      <c r="M95" s="104">
        <f>SUM('Defect P1'!M95,'Defect P2'!M95,RTS!M95)</f>
        <v>0</v>
      </c>
      <c r="N95" s="104">
        <v>0</v>
      </c>
      <c r="O95" s="563">
        <f>SUM('Defect P1'!O95,'Defect P2'!O95,RTS!O95)</f>
        <v>26011.491702848922</v>
      </c>
      <c r="P95" s="564">
        <f>SUM('Defect P1'!P95,'Defect P2'!P95,RTS!P95)</f>
        <v>0</v>
      </c>
      <c r="Q95" s="564">
        <f>SUM('Defect P1'!Q95,'Defect P2'!Q95,RTS!Q95)</f>
        <v>108680.17093594297</v>
      </c>
      <c r="R95" s="564">
        <f>SUM('Defect P1'!R95,'Defect P2'!R95,RTS!R95)</f>
        <v>0</v>
      </c>
      <c r="S95" s="564">
        <f>SUM('Defect P1'!S95,'Defect P2'!S95,RTS!S95)</f>
        <v>0</v>
      </c>
      <c r="T95" s="564">
        <f>SUM('Defect P1'!T95,'Defect P2'!T95,RTS!T95)</f>
        <v>36874.313422627099</v>
      </c>
      <c r="U95" s="564">
        <f>SUM('Defect P1'!U95,'Defect P2'!U95,RTS!U95)</f>
        <v>18374.563681230688</v>
      </c>
      <c r="V95" s="564">
        <f>SUM('Defect P1'!V95,'Defect P2'!V95,RTS!V95)</f>
        <v>13811.522499516972</v>
      </c>
      <c r="W95" s="564">
        <f>SUM('Defect P1'!W95,'Defect P2'!W95,RTS!W95)</f>
        <v>0</v>
      </c>
      <c r="X95" s="564">
        <f>SUM('Defect P1'!X95,'Defect P2'!X95,RTS!X95)</f>
        <v>0</v>
      </c>
      <c r="Y95" s="564">
        <f>SUM('Defect P1'!Y95,'Defect P2'!Y95,RTS!Y95)</f>
        <v>0</v>
      </c>
      <c r="Z95" s="105">
        <f>SUM('Defect P1'!Z95,'Defect P2'!Z95,RTS!Z95)</f>
        <v>1</v>
      </c>
      <c r="AA95" s="106">
        <f>SUM('Defect P1'!AA95,'Defect P2'!AA95,RTS!AA95)</f>
        <v>0</v>
      </c>
      <c r="AB95" s="106">
        <f>SUM('Defect P1'!AB95,'Defect P2'!AB95,RTS!AB95)</f>
        <v>0</v>
      </c>
      <c r="AC95" s="106">
        <f>SUM('Defect P1'!AC95,'Defect P2'!AC95,RTS!AC95)</f>
        <v>0</v>
      </c>
      <c r="AD95" s="106">
        <f>SUM('Defect P1'!AD95,'Defect P2'!AD95,RTS!AD95)</f>
        <v>0</v>
      </c>
      <c r="AE95" s="106">
        <f>SUM('Defect P1'!AE95,'Defect P2'!AE95,RTS!AE95)</f>
        <v>1</v>
      </c>
      <c r="AF95" s="106">
        <f>SUM('Defect P1'!AF95,'Defect P2'!AF95,RTS!AF95)</f>
        <v>0</v>
      </c>
      <c r="AG95" s="106">
        <f>SUM('Defect P1'!AG95,'Defect P2'!AG95,RTS!AG95)</f>
        <v>2</v>
      </c>
      <c r="AH95" s="106">
        <f>SUM('Defect P1'!AH95,'Defect P2'!AH95,RTS!AH95)</f>
        <v>0</v>
      </c>
      <c r="AI95" s="106">
        <f>SUM('Defect P1'!AI95,'Defect P2'!AI95,RTS!AI95)</f>
        <v>0</v>
      </c>
      <c r="AJ95" s="106">
        <f>SUM('Defect P1'!AJ95,'Defect P2'!AJ95,RTS!AJ95)</f>
        <v>0</v>
      </c>
      <c r="AK95" s="107">
        <f t="shared" si="43"/>
        <v>0.6</v>
      </c>
      <c r="AL95" s="108" cm="1">
        <f t="array" ref="AL95">IFERROR(IF($AM$4="N",SSUM(AF95:AH95)/3,SUM(AG95:AI95)/3),"")</f>
        <v>0.66666666666666663</v>
      </c>
      <c r="AM95" s="109">
        <f t="shared" si="44"/>
        <v>0</v>
      </c>
      <c r="AN95" s="110">
        <f t="shared" si="29"/>
        <v>19332.839967772456</v>
      </c>
      <c r="AO95" s="111" t="str">
        <f t="shared" si="30"/>
        <v/>
      </c>
      <c r="AP95" s="111" t="str">
        <f t="shared" si="31"/>
        <v/>
      </c>
      <c r="AQ95" s="111" t="str">
        <f t="shared" si="32"/>
        <v/>
      </c>
      <c r="AR95" s="111" t="str">
        <f t="shared" si="33"/>
        <v/>
      </c>
      <c r="AS95" s="111">
        <f t="shared" si="34"/>
        <v>29709.836920557962</v>
      </c>
      <c r="AT95" s="111" t="str">
        <f t="shared" si="35"/>
        <v/>
      </c>
      <c r="AU95" s="111">
        <f t="shared" si="36"/>
        <v>5757.8777173810004</v>
      </c>
      <c r="AV95" s="111" t="str">
        <f t="shared" si="37"/>
        <v/>
      </c>
      <c r="AW95" s="111" t="str">
        <f t="shared" si="38"/>
        <v/>
      </c>
      <c r="AX95" s="111" t="str">
        <f t="shared" si="39"/>
        <v/>
      </c>
      <c r="AY95" s="112">
        <f t="shared" si="40"/>
        <v>18659.498563089986</v>
      </c>
      <c r="AZ95" s="113">
        <f t="shared" si="41"/>
        <v>5757.8777173810004</v>
      </c>
      <c r="BA95" s="114" t="str">
        <f t="shared" si="42"/>
        <v/>
      </c>
      <c r="BB95" s="141">
        <f>SUM('Defect P1'!CE95,'Defect P2'!CE95,RTS!CE95)</f>
        <v>0.66666666666666663</v>
      </c>
      <c r="BC95" s="141">
        <f>SUM('Defect P1'!CF95,'Defect P2'!CF95,RTS!CF95)</f>
        <v>0.66666666666666663</v>
      </c>
      <c r="BD95" s="141">
        <f>SUM('Defect P1'!CG95,'Defect P2'!CG95,RTS!CG95)</f>
        <v>0.66666666666666663</v>
      </c>
      <c r="BE95" s="141">
        <f>SUM('Defect P1'!CH95,'Defect P2'!CH95,RTS!CH95)</f>
        <v>0.47333333333333327</v>
      </c>
      <c r="BF95" s="141">
        <f>SUM('Defect P1'!CI95,'Defect P2'!CI95,RTS!CI95)</f>
        <v>0.47333333333333327</v>
      </c>
      <c r="BG95" s="141">
        <f>SUM('Defect P1'!CJ95,'Defect P2'!CJ95,RTS!CJ95)</f>
        <v>0.47333333333333327</v>
      </c>
      <c r="BH95" s="141">
        <f>SUM('Defect P1'!CK95,'Defect P2'!CK95,RTS!CK95)</f>
        <v>0.47333333333333327</v>
      </c>
      <c r="BI95" s="292">
        <f>SUM('Defect P1'!CL95,'Defect P2'!CL95,RTS!CL95)</f>
        <v>0.47333333333333327</v>
      </c>
      <c r="BJ95" s="116">
        <f t="shared" si="45"/>
        <v>5757.8777173810013</v>
      </c>
      <c r="BK95" s="641">
        <f>SUM('Defect P1'!CQ95,'Defect P2'!CQ95,RTS!CQ95)</f>
        <v>3838.5851449206666</v>
      </c>
      <c r="BL95" s="117">
        <f>SUM('Defect P1'!CR95,'Defect P2'!CR95,RTS!CR95)</f>
        <v>3838.5851449206666</v>
      </c>
      <c r="BM95" s="638">
        <f>SUM('Defect P1'!CS95,'Defect P2'!CS95,RTS!CS95)</f>
        <v>3838.5851449206666</v>
      </c>
      <c r="BN95" s="467">
        <f>SUM('Defect P1'!CT95,'Defect P2'!CT95,RTS!CT95)</f>
        <v>2725.3954528936733</v>
      </c>
      <c r="BO95" s="117">
        <f>SUM('Defect P1'!CU95,'Defect P2'!CU95,RTS!CU95)</f>
        <v>2725.3954528936733</v>
      </c>
      <c r="BP95" s="117">
        <f>SUM('Defect P1'!CV95,'Defect P2'!CV95,RTS!CV95)</f>
        <v>2725.3954528936733</v>
      </c>
      <c r="BQ95" s="117">
        <f>SUM('Defect P1'!CW95,'Defect P2'!CW95,RTS!CW95)</f>
        <v>2725.3954528936733</v>
      </c>
      <c r="BR95" s="118">
        <f>SUM('Defect P1'!CX95,'Defect P2'!CX95,RTS!CX95)</f>
        <v>2725.3954528936733</v>
      </c>
    </row>
    <row r="96" spans="1:70" x14ac:dyDescent="0.25">
      <c r="A96" s="63" t="s">
        <v>196</v>
      </c>
      <c r="B96" s="64" t="s">
        <v>193</v>
      </c>
      <c r="C96" s="65" t="s">
        <v>387</v>
      </c>
      <c r="D96" s="66">
        <f>SUM('Defect P1'!D96,'Defect P2'!D96,RTS!D96)</f>
        <v>1267509.5914237446</v>
      </c>
      <c r="E96" s="67">
        <f>SUM('Defect P1'!E96,'Defect P2'!E96,RTS!E96)</f>
        <v>1529646.2154457236</v>
      </c>
      <c r="F96" s="67">
        <f>SUM('Defect P1'!F96,'Defect P2'!F96,RTS!F96)</f>
        <v>2256334.7257660124</v>
      </c>
      <c r="G96" s="67">
        <f>SUM('Defect P1'!G96,'Defect P2'!G96,RTS!G96)</f>
        <v>2110149.241043482</v>
      </c>
      <c r="H96" s="67">
        <f>SUM('Defect P1'!H96,'Defect P2'!H96,RTS!H96)</f>
        <v>2514133.6461104201</v>
      </c>
      <c r="I96" s="67">
        <f>SUM('Defect P1'!I96,'Defect P2'!I96,RTS!I96)</f>
        <v>15128487.673239162</v>
      </c>
      <c r="J96" s="67">
        <f>SUM('Defect P1'!J96,'Defect P2'!J96,RTS!J96)</f>
        <v>22628608.250348054</v>
      </c>
      <c r="K96" s="67">
        <f>SUM('Defect P1'!K96,'Defect P2'!K96,RTS!K96)</f>
        <v>26836121.87475948</v>
      </c>
      <c r="L96" s="67">
        <f>SUM('Defect P1'!L96,'Defect P2'!L96,RTS!L96)</f>
        <v>23897378.017608978</v>
      </c>
      <c r="M96" s="67">
        <f>SUM('Defect P1'!M96,'Defect P2'!M96,RTS!M96)</f>
        <v>32148589.245204329</v>
      </c>
      <c r="N96" s="67">
        <v>33818966.676583037</v>
      </c>
      <c r="O96" s="557">
        <f>SUM('Defect P1'!O96,'Defect P2'!O96,RTS!O96)</f>
        <v>1705378.7894360234</v>
      </c>
      <c r="P96" s="558">
        <f>SUM('Defect P1'!P96,'Defect P2'!P96,RTS!P96)</f>
        <v>2027440.3949381064</v>
      </c>
      <c r="Q96" s="558">
        <f>SUM('Defect P1'!Q96,'Defect P2'!Q96,RTS!Q96)</f>
        <v>2960324.1290181591</v>
      </c>
      <c r="R96" s="558">
        <f>SUM('Defect P1'!R96,'Defect P2'!R96,RTS!R96)</f>
        <v>2716008.4327461068</v>
      </c>
      <c r="S96" s="558">
        <f>SUM('Defect P1'!S96,'Defect P2'!S96,RTS!S96)</f>
        <v>3170118.3757318538</v>
      </c>
      <c r="T96" s="558">
        <f>SUM('Defect P1'!T96,'Defect P2'!T96,RTS!T96)</f>
        <v>18776696.673395768</v>
      </c>
      <c r="U96" s="558">
        <f>SUM('Defect P1'!U96,'Defect P2'!U96,RTS!U96)</f>
        <v>28183659.439888496</v>
      </c>
      <c r="V96" s="558">
        <f>SUM('Defect P1'!V96,'Defect P2'!V96,RTS!V96)</f>
        <v>32186138.649155881</v>
      </c>
      <c r="W96" s="558">
        <f>SUM('Defect P1'!W96,'Defect P2'!W96,RTS!W96)</f>
        <v>27002298.242640525</v>
      </c>
      <c r="X96" s="558">
        <f>SUM('Defect P1'!X96,'Defect P2'!X96,RTS!X96)</f>
        <v>34188768.491259366</v>
      </c>
      <c r="Y96" s="558">
        <f>SUM('Defect P1'!Y96,'Defect P2'!Y96,RTS!Y96)</f>
        <v>34748936.832228698</v>
      </c>
      <c r="Z96" s="68">
        <f>SUM('Defect P1'!Z96,'Defect P2'!Z96,RTS!Z96)</f>
        <v>1001</v>
      </c>
      <c r="AA96" s="69">
        <f>SUM('Defect P1'!AA96,'Defect P2'!AA96,RTS!AA96)</f>
        <v>1061</v>
      </c>
      <c r="AB96" s="69">
        <f>SUM('Defect P1'!AB96,'Defect P2'!AB96,RTS!AB96)</f>
        <v>1359</v>
      </c>
      <c r="AC96" s="69">
        <f>SUM('Defect P1'!AC96,'Defect P2'!AC96,RTS!AC96)</f>
        <v>1487</v>
      </c>
      <c r="AD96" s="69">
        <f>SUM('Defect P1'!AD96,'Defect P2'!AD96,RTS!AD96)</f>
        <v>1807</v>
      </c>
      <c r="AE96" s="69">
        <f>SUM('Defect P1'!AE96,'Defect P2'!AE96,RTS!AE96)</f>
        <v>51703</v>
      </c>
      <c r="AF96" s="69">
        <f>SUM('Defect P1'!AF96,'Defect P2'!AF96,RTS!AF96)</f>
        <v>2582</v>
      </c>
      <c r="AG96" s="69">
        <f>SUM('Defect P1'!AG96,'Defect P2'!AG96,RTS!AG96)</f>
        <v>2339</v>
      </c>
      <c r="AH96" s="69">
        <f>SUM('Defect P1'!AH96,'Defect P2'!AH96,RTS!AH96)</f>
        <v>2268</v>
      </c>
      <c r="AI96" s="69">
        <f>SUM('Defect P1'!AI96,'Defect P2'!AI96,RTS!AI96)</f>
        <v>1962</v>
      </c>
      <c r="AJ96" s="69">
        <f>SUM('Defect P1'!AJ96,'Defect P2'!AJ96,RTS!AJ96)</f>
        <v>1652</v>
      </c>
      <c r="AK96" s="70">
        <f t="shared" si="43"/>
        <v>12170.8</v>
      </c>
      <c r="AL96" s="71" cm="1">
        <f t="array" ref="AL96">IFERROR(IF($AM$4="N",SSUM(AF96:AH96)/3,SUM(AG96:AI96)/3),"")</f>
        <v>2189.6666666666665</v>
      </c>
      <c r="AM96" s="72">
        <f t="shared" si="44"/>
        <v>1962</v>
      </c>
      <c r="AN96" s="73">
        <f t="shared" si="29"/>
        <v>1266.2433480756688</v>
      </c>
      <c r="AO96" s="74">
        <f t="shared" si="30"/>
        <v>1441.7023708253757</v>
      </c>
      <c r="AP96" s="74">
        <f t="shared" si="31"/>
        <v>1660.2904531022903</v>
      </c>
      <c r="AQ96" s="74">
        <f t="shared" si="32"/>
        <v>1419.0647216163295</v>
      </c>
      <c r="AR96" s="74">
        <f t="shared" si="33"/>
        <v>1391.3301860046597</v>
      </c>
      <c r="AS96" s="74">
        <f t="shared" si="34"/>
        <v>292.6036723834045</v>
      </c>
      <c r="AT96" s="74">
        <f t="shared" si="35"/>
        <v>8763.9846050921969</v>
      </c>
      <c r="AU96" s="74">
        <f t="shared" si="36"/>
        <v>11473.331284634238</v>
      </c>
      <c r="AV96" s="74">
        <f t="shared" si="37"/>
        <v>10536.76279436022</v>
      </c>
      <c r="AW96" s="74">
        <f t="shared" si="38"/>
        <v>16385.621429767751</v>
      </c>
      <c r="AX96" s="74">
        <f t="shared" si="39"/>
        <v>20471.52946524397</v>
      </c>
      <c r="AY96" s="75">
        <f t="shared" si="40"/>
        <v>1982.4364061714923</v>
      </c>
      <c r="AZ96" s="76">
        <f t="shared" si="41"/>
        <v>12617.154686797503</v>
      </c>
      <c r="BA96" s="77">
        <f t="shared" si="42"/>
        <v>16385.621429767751</v>
      </c>
      <c r="BB96" s="78">
        <f>SUM('Defect P1'!CE96,'Defect P2'!CE96,RTS!CE96)</f>
        <v>2189.6666666666665</v>
      </c>
      <c r="BC96" s="78">
        <f>SUM('Defect P1'!CF96,'Defect P2'!CF96,RTS!CF96)</f>
        <v>2189.6666666666665</v>
      </c>
      <c r="BD96" s="78">
        <f>SUM('Defect P1'!CG96,'Defect P2'!CG96,RTS!CG96)</f>
        <v>2189.6666666666665</v>
      </c>
      <c r="BE96" s="78">
        <f>SUM('Defect P1'!CH96,'Defect P2'!CH96,RTS!CH96)</f>
        <v>1269.4077323550666</v>
      </c>
      <c r="BF96" s="78">
        <f>SUM('Defect P1'!CI96,'Defect P2'!CI96,RTS!CI96)</f>
        <v>1269.4077323550666</v>
      </c>
      <c r="BG96" s="78">
        <f>SUM('Defect P1'!CJ96,'Defect P2'!CJ96,RTS!CJ96)</f>
        <v>1269.4077323550666</v>
      </c>
      <c r="BH96" s="78">
        <f>SUM('Defect P1'!CK96,'Defect P2'!CK96,RTS!CK96)</f>
        <v>1269.4077323550666</v>
      </c>
      <c r="BI96" s="285">
        <f>SUM('Defect P1'!CL96,'Defect P2'!CL96,RTS!CL96)</f>
        <v>1269.4077323550666</v>
      </c>
      <c r="BJ96" s="124">
        <f t="shared" si="45"/>
        <v>12623.65433787763</v>
      </c>
      <c r="BK96" s="639">
        <f>SUM('Defect P1'!CQ96,'Defect P2'!CQ96,RTS!CQ96)</f>
        <v>27627363.045857593</v>
      </c>
      <c r="BL96" s="79">
        <f>SUM('Defect P1'!CR96,'Defect P2'!CR96,RTS!CR96)</f>
        <v>27627363.045857593</v>
      </c>
      <c r="BM96" s="523">
        <f>SUM('Defect P1'!CS96,'Defect P2'!CS96,RTS!CS96)</f>
        <v>27627363.045857593</v>
      </c>
      <c r="BN96" s="415">
        <f>SUM('Defect P1'!CT96,'Defect P2'!CT96,RTS!CT96)</f>
        <v>16033103.668668514</v>
      </c>
      <c r="BO96" s="79">
        <f>SUM('Defect P1'!CU96,'Defect P2'!CU96,RTS!CU96)</f>
        <v>16033103.668668514</v>
      </c>
      <c r="BP96" s="79">
        <f>SUM('Defect P1'!CV96,'Defect P2'!CV96,RTS!CV96)</f>
        <v>16033103.668668514</v>
      </c>
      <c r="BQ96" s="79">
        <f>SUM('Defect P1'!CW96,'Defect P2'!CW96,RTS!CW96)</f>
        <v>16033103.668668514</v>
      </c>
      <c r="BR96" s="80">
        <f>SUM('Defect P1'!CX96,'Defect P2'!CX96,RTS!CX96)</f>
        <v>16033103.668668514</v>
      </c>
    </row>
    <row r="97" spans="1:71" x14ac:dyDescent="0.25">
      <c r="A97" s="81" t="s">
        <v>196</v>
      </c>
      <c r="B97" s="82" t="s">
        <v>197</v>
      </c>
      <c r="C97" s="83" t="s">
        <v>388</v>
      </c>
      <c r="D97" s="84">
        <f>SUM('Defect P1'!D97,'Defect P2'!D97,RTS!D97)</f>
        <v>3878855.3536739405</v>
      </c>
      <c r="E97" s="85">
        <f>SUM('Defect P1'!E97,'Defect P2'!E97,RTS!E97)</f>
        <v>2901833.7847245922</v>
      </c>
      <c r="F97" s="85">
        <f>SUM('Defect P1'!F97,'Defect P2'!F97,RTS!F97)</f>
        <v>4022957.2929091211</v>
      </c>
      <c r="G97" s="85">
        <f>SUM('Defect P1'!G97,'Defect P2'!G97,RTS!G97)</f>
        <v>4576231.0810043532</v>
      </c>
      <c r="H97" s="85">
        <f>SUM('Defect P1'!H97,'Defect P2'!H97,RTS!H97)</f>
        <v>4407315.9429876972</v>
      </c>
      <c r="I97" s="85">
        <f>SUM('Defect P1'!I97,'Defect P2'!I97,RTS!I97)</f>
        <v>6939858.1076543145</v>
      </c>
      <c r="J97" s="85">
        <f>SUM('Defect P1'!J97,'Defect P2'!J97,RTS!J97)</f>
        <v>5853234.2034626761</v>
      </c>
      <c r="K97" s="85">
        <f>SUM('Defect P1'!K97,'Defect P2'!K97,RTS!K97)</f>
        <v>6921415.4107360085</v>
      </c>
      <c r="L97" s="85">
        <f>SUM('Defect P1'!L97,'Defect P2'!L97,RTS!L97)</f>
        <v>5914869.5167766083</v>
      </c>
      <c r="M97" s="85">
        <f>SUM('Defect P1'!M97,'Defect P2'!M97,RTS!M97)</f>
        <v>5950112.6417533606</v>
      </c>
      <c r="N97" s="85">
        <v>7029727.108328959</v>
      </c>
      <c r="O97" s="560">
        <f>SUM('Defect P1'!O97,'Defect P2'!O97,RTS!O97)</f>
        <v>5218830.446888864</v>
      </c>
      <c r="P97" s="561">
        <f>SUM('Defect P1'!P97,'Defect P2'!P97,RTS!P97)</f>
        <v>3846180.2311800802</v>
      </c>
      <c r="Q97" s="561">
        <f>SUM('Defect P1'!Q97,'Defect P2'!Q97,RTS!Q97)</f>
        <v>5278143.0911875553</v>
      </c>
      <c r="R97" s="561">
        <f>SUM('Defect P1'!R97,'Defect P2'!R97,RTS!R97)</f>
        <v>5890143.6753622191</v>
      </c>
      <c r="S97" s="561">
        <f>SUM('Defect P1'!S97,'Defect P2'!S97,RTS!S97)</f>
        <v>5557267.5224074516</v>
      </c>
      <c r="T97" s="561">
        <f>SUM('Defect P1'!T97,'Defect P2'!T97,RTS!T97)</f>
        <v>8613393.0541076511</v>
      </c>
      <c r="U97" s="561">
        <f>SUM('Defect P1'!U97,'Defect P2'!U97,RTS!U97)</f>
        <v>7290132.808311874</v>
      </c>
      <c r="V97" s="561">
        <f>SUM('Defect P1'!V97,'Defect P2'!V97,RTS!V97)</f>
        <v>8301260.4093097933</v>
      </c>
      <c r="W97" s="561">
        <f>SUM('Defect P1'!W97,'Defect P2'!W97,RTS!W97)</f>
        <v>6683372.1524017267</v>
      </c>
      <c r="X97" s="561">
        <f>SUM('Defect P1'!X97,'Defect P2'!X97,RTS!X97)</f>
        <v>6327712.3003513105</v>
      </c>
      <c r="Y97" s="561">
        <f>SUM('Defect P1'!Y97,'Defect P2'!Y97,RTS!Y97)</f>
        <v>7223033.9138147058</v>
      </c>
      <c r="Z97" s="86">
        <f>SUM('Defect P1'!Z97,'Defect P2'!Z97,RTS!Z97)</f>
        <v>206</v>
      </c>
      <c r="AA97" s="87">
        <f>SUM('Defect P1'!AA97,'Defect P2'!AA97,RTS!AA97)</f>
        <v>172</v>
      </c>
      <c r="AB97" s="87">
        <f>SUM('Defect P1'!AB97,'Defect P2'!AB97,RTS!AB97)</f>
        <v>212</v>
      </c>
      <c r="AC97" s="87">
        <f>SUM('Defect P1'!AC97,'Defect P2'!AC97,RTS!AC97)</f>
        <v>227</v>
      </c>
      <c r="AD97" s="87">
        <f>SUM('Defect P1'!AD97,'Defect P2'!AD97,RTS!AD97)</f>
        <v>199</v>
      </c>
      <c r="AE97" s="87">
        <f>SUM('Defect P1'!AE97,'Defect P2'!AE97,RTS!AE97)</f>
        <v>236</v>
      </c>
      <c r="AF97" s="87">
        <f>SUM('Defect P1'!AF97,'Defect P2'!AF97,RTS!AF97)</f>
        <v>165</v>
      </c>
      <c r="AG97" s="87">
        <f>SUM('Defect P1'!AG97,'Defect P2'!AG97,RTS!AG97)</f>
        <v>266</v>
      </c>
      <c r="AH97" s="87">
        <f>SUM('Defect P1'!AH97,'Defect P2'!AH97,RTS!AH97)</f>
        <v>264</v>
      </c>
      <c r="AI97" s="87">
        <f>SUM('Defect P1'!AI97,'Defect P2'!AI97,RTS!AI97)</f>
        <v>292</v>
      </c>
      <c r="AJ97" s="87">
        <f>SUM('Defect P1'!AJ97,'Defect P2'!AJ97,RTS!AJ97)</f>
        <v>256</v>
      </c>
      <c r="AK97" s="88">
        <f t="shared" si="43"/>
        <v>244.6</v>
      </c>
      <c r="AL97" s="89" cm="1">
        <f t="array" ref="AL97">IFERROR(IF($AM$4="N",SSUM(AF97:AH97)/3,SUM(AG97:AI97)/3),"")</f>
        <v>274</v>
      </c>
      <c r="AM97" s="90">
        <f t="shared" si="44"/>
        <v>292</v>
      </c>
      <c r="AN97" s="91">
        <f t="shared" si="29"/>
        <v>18829.394920747283</v>
      </c>
      <c r="AO97" s="92">
        <f t="shared" si="30"/>
        <v>16871.126655375538</v>
      </c>
      <c r="AP97" s="92">
        <f t="shared" si="31"/>
        <v>18976.213645797739</v>
      </c>
      <c r="AQ97" s="92">
        <f t="shared" si="32"/>
        <v>20159.608286362789</v>
      </c>
      <c r="AR97" s="92">
        <f t="shared" si="33"/>
        <v>22147.316296420588</v>
      </c>
      <c r="AS97" s="92">
        <f t="shared" si="34"/>
        <v>29406.178422264045</v>
      </c>
      <c r="AT97" s="92">
        <f t="shared" si="35"/>
        <v>35474.146687652581</v>
      </c>
      <c r="AU97" s="92">
        <f t="shared" si="36"/>
        <v>26020.358686977477</v>
      </c>
      <c r="AV97" s="92">
        <f t="shared" si="37"/>
        <v>22404.808775668971</v>
      </c>
      <c r="AW97" s="92">
        <f t="shared" si="38"/>
        <v>20377.098088196439</v>
      </c>
      <c r="AX97" s="92">
        <f t="shared" si="39"/>
        <v>27459.871516909996</v>
      </c>
      <c r="AY97" s="93">
        <f t="shared" si="40"/>
        <v>25821.332690419436</v>
      </c>
      <c r="AZ97" s="94">
        <f t="shared" si="41"/>
        <v>22854.498259447661</v>
      </c>
      <c r="BA97" s="95">
        <f t="shared" si="42"/>
        <v>20377.098088196439</v>
      </c>
      <c r="BB97" s="96">
        <f>SUM('Defect P1'!CE97,'Defect P2'!CE97,RTS!CE97)</f>
        <v>280.60000000000002</v>
      </c>
      <c r="BC97" s="96">
        <f>SUM('Defect P1'!CF97,'Defect P2'!CF97,RTS!CF97)</f>
        <v>280.60000000000002</v>
      </c>
      <c r="BD97" s="96">
        <f>SUM('Defect P1'!CG97,'Defect P2'!CG97,RTS!CG97)</f>
        <v>280.60000000000002</v>
      </c>
      <c r="BE97" s="96">
        <f>SUM('Defect P1'!CH97,'Defect P2'!CH97,RTS!CH97)</f>
        <v>178.55690935571837</v>
      </c>
      <c r="BF97" s="96">
        <f>SUM('Defect P1'!CI97,'Defect P2'!CI97,RTS!CI97)</f>
        <v>178.55690935571837</v>
      </c>
      <c r="BG97" s="96">
        <f>SUM('Defect P1'!CJ97,'Defect P2'!CJ97,RTS!CJ97)</f>
        <v>178.55690935571837</v>
      </c>
      <c r="BH97" s="96">
        <f>SUM('Defect P1'!CK97,'Defect P2'!CK97,RTS!CK97)</f>
        <v>178.55690935571837</v>
      </c>
      <c r="BI97" s="286">
        <f>SUM('Defect P1'!CL97,'Defect P2'!CL97,RTS!CL97)</f>
        <v>178.55690935571837</v>
      </c>
      <c r="BJ97" s="99">
        <f t="shared" si="45"/>
        <v>20643.851043870764</v>
      </c>
      <c r="BK97" s="640">
        <f>SUM('Defect P1'!CQ97,'Defect P2'!CQ97,RTS!CQ97)</f>
        <v>6262074.2900886592</v>
      </c>
      <c r="BL97" s="97">
        <f>SUM('Defect P1'!CR97,'Defect P2'!CR97,RTS!CR97)</f>
        <v>6262074.2900886592</v>
      </c>
      <c r="BM97" s="524">
        <f>SUM('Defect P1'!CS97,'Defect P2'!CS97,RTS!CS97)</f>
        <v>6262074.2900886592</v>
      </c>
      <c r="BN97" s="416">
        <f>SUM('Defect P1'!CT97,'Defect P2'!CT97,RTS!CT97)</f>
        <v>3404456.4272862701</v>
      </c>
      <c r="BO97" s="97">
        <f>SUM('Defect P1'!CU97,'Defect P2'!CU97,RTS!CU97)</f>
        <v>3404456.4272862701</v>
      </c>
      <c r="BP97" s="97">
        <f>SUM('Defect P1'!CV97,'Defect P2'!CV97,RTS!CV97)</f>
        <v>3404456.4272862701</v>
      </c>
      <c r="BQ97" s="97">
        <f>SUM('Defect P1'!CW97,'Defect P2'!CW97,RTS!CW97)</f>
        <v>3404456.4272862701</v>
      </c>
      <c r="BR97" s="98">
        <f>SUM('Defect P1'!CX97,'Defect P2'!CX97,RTS!CX97)</f>
        <v>3404456.4272862701</v>
      </c>
      <c r="BS97">
        <f>SUM(BR97:BR101)/SUM(BI97:BI101)</f>
        <v>9460.0453508867322</v>
      </c>
    </row>
    <row r="98" spans="1:71" x14ac:dyDescent="0.25">
      <c r="A98" s="81" t="s">
        <v>196</v>
      </c>
      <c r="B98" s="82" t="s">
        <v>199</v>
      </c>
      <c r="C98" s="83" t="s">
        <v>389</v>
      </c>
      <c r="D98" s="84">
        <f>SUM('Defect P1'!D98,'Defect P2'!D98,RTS!D98)</f>
        <v>444928.85392109276</v>
      </c>
      <c r="E98" s="85">
        <f>SUM('Defect P1'!E98,'Defect P2'!E98,RTS!E98)</f>
        <v>359796.5463286122</v>
      </c>
      <c r="F98" s="85">
        <f>SUM('Defect P1'!F98,'Defect P2'!F98,RTS!F98)</f>
        <v>280128.4027198609</v>
      </c>
      <c r="G98" s="85">
        <f>SUM('Defect P1'!G98,'Defect P2'!G98,RTS!G98)</f>
        <v>107670.30264035083</v>
      </c>
      <c r="H98" s="85">
        <f>SUM('Defect P1'!H98,'Defect P2'!H98,RTS!H98)</f>
        <v>-17264.810000000001</v>
      </c>
      <c r="I98" s="85">
        <f>SUM('Defect P1'!I98,'Defect P2'!I98,RTS!I98)</f>
        <v>95505.643745117995</v>
      </c>
      <c r="J98" s="85">
        <f>SUM('Defect P1'!J98,'Defect P2'!J98,RTS!J98)</f>
        <v>0</v>
      </c>
      <c r="K98" s="85">
        <f>SUM('Defect P1'!K98,'Defect P2'!K98,RTS!K98)</f>
        <v>7911.6376643140011</v>
      </c>
      <c r="L98" s="85">
        <f>SUM('Defect P1'!L98,'Defect P2'!L98,RTS!L98)</f>
        <v>0</v>
      </c>
      <c r="M98" s="85">
        <f>SUM('Defect P1'!M98,'Defect P2'!M98,RTS!M98)</f>
        <v>0</v>
      </c>
      <c r="N98" s="85">
        <v>0</v>
      </c>
      <c r="O98" s="560">
        <f>SUM('Defect P1'!O98,'Defect P2'!O98,RTS!O98)</f>
        <v>598632.33810547413</v>
      </c>
      <c r="P98" s="561">
        <f>SUM('Defect P1'!P98,'Defect P2'!P98,RTS!P98)</f>
        <v>476885.46843054763</v>
      </c>
      <c r="Q98" s="561">
        <f>SUM('Defect P1'!Q98,'Defect P2'!Q98,RTS!Q98)</f>
        <v>367530.07447216753</v>
      </c>
      <c r="R98" s="561">
        <f>SUM('Defect P1'!R98,'Defect P2'!R98,RTS!R98)</f>
        <v>138584.24998551668</v>
      </c>
      <c r="S98" s="561">
        <f>SUM('Defect P1'!S98,'Defect P2'!S98,RTS!S98)</f>
        <v>-21769.523477478368</v>
      </c>
      <c r="T98" s="561">
        <f>SUM('Defect P1'!T98,'Defect P2'!T98,RTS!T98)</f>
        <v>118536.66684553136</v>
      </c>
      <c r="U98" s="561">
        <f>SUM('Defect P1'!U98,'Defect P2'!U98,RTS!U98)</f>
        <v>0</v>
      </c>
      <c r="V98" s="561">
        <f>SUM('Defect P1'!V98,'Defect P2'!V98,RTS!V98)</f>
        <v>9488.8921727918823</v>
      </c>
      <c r="W98" s="561">
        <f>SUM('Defect P1'!W98,'Defect P2'!W98,RTS!W98)</f>
        <v>0</v>
      </c>
      <c r="X98" s="561">
        <f>SUM('Defect P1'!X98,'Defect P2'!X98,RTS!X98)</f>
        <v>0</v>
      </c>
      <c r="Y98" s="561">
        <f>SUM('Defect P1'!Y98,'Defect P2'!Y98,RTS!Y98)</f>
        <v>0</v>
      </c>
      <c r="Z98" s="86">
        <f>SUM('Defect P1'!Z98,'Defect P2'!Z98,RTS!Z98)</f>
        <v>9</v>
      </c>
      <c r="AA98" s="87">
        <f>SUM('Defect P1'!AA98,'Defect P2'!AA98,RTS!AA98)</f>
        <v>5</v>
      </c>
      <c r="AB98" s="87">
        <f>SUM('Defect P1'!AB98,'Defect P2'!AB98,RTS!AB98)</f>
        <v>5</v>
      </c>
      <c r="AC98" s="87">
        <f>SUM('Defect P1'!AC98,'Defect P2'!AC98,RTS!AC98)</f>
        <v>2</v>
      </c>
      <c r="AD98" s="87">
        <f>SUM('Defect P1'!AD98,'Defect P2'!AD98,RTS!AD98)</f>
        <v>-1</v>
      </c>
      <c r="AE98" s="87">
        <f>SUM('Defect P1'!AE98,'Defect P2'!AE98,RTS!AE98)</f>
        <v>2</v>
      </c>
      <c r="AF98" s="87">
        <f>SUM('Defect P1'!AF98,'Defect P2'!AF98,RTS!AF98)</f>
        <v>0</v>
      </c>
      <c r="AG98" s="87">
        <f>SUM('Defect P1'!AG98,'Defect P2'!AG98,RTS!AG98)</f>
        <v>-1</v>
      </c>
      <c r="AH98" s="87">
        <f>SUM('Defect P1'!AH98,'Defect P2'!AH98,RTS!AH98)</f>
        <v>1</v>
      </c>
      <c r="AI98" s="87">
        <f>SUM('Defect P1'!AI98,'Defect P2'!AI98,RTS!AI98)</f>
        <v>0</v>
      </c>
      <c r="AJ98" s="87">
        <f>SUM('Defect P1'!AJ98,'Defect P2'!AJ98,RTS!AJ98)</f>
        <v>0</v>
      </c>
      <c r="AK98" s="88">
        <f t="shared" si="43"/>
        <v>0.4</v>
      </c>
      <c r="AL98" s="89" cm="1">
        <f t="array" ref="AL98">IFERROR(IF($AM$4="N",SSUM(AF98:AH98)/3,SUM(AG98:AI98)/3),"")</f>
        <v>0</v>
      </c>
      <c r="AM98" s="90">
        <f t="shared" si="44"/>
        <v>0</v>
      </c>
      <c r="AN98" s="91">
        <f t="shared" si="29"/>
        <v>49436.539324565863</v>
      </c>
      <c r="AO98" s="92">
        <f t="shared" si="30"/>
        <v>71959.309265722433</v>
      </c>
      <c r="AP98" s="92">
        <f t="shared" si="31"/>
        <v>56025.680543972179</v>
      </c>
      <c r="AQ98" s="92">
        <f t="shared" si="32"/>
        <v>53835.151320175413</v>
      </c>
      <c r="AR98" s="92">
        <f t="shared" si="33"/>
        <v>17264.810000000001</v>
      </c>
      <c r="AS98" s="92">
        <f t="shared" si="34"/>
        <v>47752.821872558998</v>
      </c>
      <c r="AT98" s="92" t="str">
        <f t="shared" si="35"/>
        <v/>
      </c>
      <c r="AU98" s="92">
        <f t="shared" si="36"/>
        <v>-7911.6376643140011</v>
      </c>
      <c r="AV98" s="92">
        <f t="shared" si="37"/>
        <v>0</v>
      </c>
      <c r="AW98" s="92" t="str">
        <f t="shared" si="38"/>
        <v/>
      </c>
      <c r="AX98" s="92" t="str">
        <f t="shared" si="39"/>
        <v/>
      </c>
      <c r="AY98" s="93">
        <f t="shared" si="40"/>
        <v>51708.640704715996</v>
      </c>
      <c r="AZ98" s="94" t="str">
        <f t="shared" si="41"/>
        <v/>
      </c>
      <c r="BA98" s="95" t="str">
        <f t="shared" si="42"/>
        <v/>
      </c>
      <c r="BB98" s="96">
        <f>SUM('Defect P1'!CE98,'Defect P2'!CE98,RTS!CE98)</f>
        <v>0.33333333333333331</v>
      </c>
      <c r="BC98" s="96">
        <f>SUM('Defect P1'!CF98,'Defect P2'!CF98,RTS!CF98)</f>
        <v>0.33333333333333331</v>
      </c>
      <c r="BD98" s="96">
        <f>SUM('Defect P1'!CG98,'Defect P2'!CG98,RTS!CG98)</f>
        <v>0.33333333333333331</v>
      </c>
      <c r="BE98" s="96">
        <f>SUM('Defect P1'!CH98,'Defect P2'!CH98,RTS!CH98)</f>
        <v>0.26783333333333331</v>
      </c>
      <c r="BF98" s="96">
        <f>SUM('Defect P1'!CI98,'Defect P2'!CI98,RTS!CI98)</f>
        <v>0.26783333333333331</v>
      </c>
      <c r="BG98" s="96">
        <f>SUM('Defect P1'!CJ98,'Defect P2'!CJ98,RTS!CJ98)</f>
        <v>0.26783333333333331</v>
      </c>
      <c r="BH98" s="96">
        <f>SUM('Defect P1'!CK98,'Defect P2'!CK98,RTS!CK98)</f>
        <v>0.26783333333333331</v>
      </c>
      <c r="BI98" s="286">
        <f>SUM('Defect P1'!CL98,'Defect P2'!CL98,RTS!CL98)</f>
        <v>0.26783333333333331</v>
      </c>
      <c r="BJ98" s="99">
        <f t="shared" si="45"/>
        <v>23311.647664313994</v>
      </c>
      <c r="BK98" s="640">
        <f>SUM('Defect P1'!CQ98,'Defect P2'!CQ98,RTS!CQ98)</f>
        <v>7770.5492214380001</v>
      </c>
      <c r="BL98" s="97">
        <f>SUM('Defect P1'!CR98,'Defect P2'!CR98,RTS!CR98)</f>
        <v>7770.5492214380001</v>
      </c>
      <c r="BM98" s="524">
        <f>SUM('Defect P1'!CS98,'Defect P2'!CS98,RTS!CS98)</f>
        <v>7770.5492214380001</v>
      </c>
      <c r="BN98" s="416">
        <f>SUM('Defect P1'!CT98,'Defect P2'!CT98,RTS!CT98)</f>
        <v>6243.6362994254332</v>
      </c>
      <c r="BO98" s="97">
        <f>SUM('Defect P1'!CU98,'Defect P2'!CU98,RTS!CU98)</f>
        <v>6243.6362994254332</v>
      </c>
      <c r="BP98" s="97">
        <f>SUM('Defect P1'!CV98,'Defect P2'!CV98,RTS!CV98)</f>
        <v>6243.6362994254332</v>
      </c>
      <c r="BQ98" s="97">
        <f>SUM('Defect P1'!CW98,'Defect P2'!CW98,RTS!CW98)</f>
        <v>6243.6362994254332</v>
      </c>
      <c r="BR98" s="98">
        <f>SUM('Defect P1'!CX98,'Defect P2'!CX98,RTS!CX98)</f>
        <v>6243.6362994254332</v>
      </c>
    </row>
    <row r="99" spans="1:71" x14ac:dyDescent="0.25">
      <c r="A99" s="81" t="s">
        <v>196</v>
      </c>
      <c r="B99" s="82" t="s">
        <v>201</v>
      </c>
      <c r="C99" s="83" t="s">
        <v>390</v>
      </c>
      <c r="D99" s="84">
        <f>SUM('Defect P1'!D99,'Defect P2'!D99,RTS!D99)</f>
        <v>1577164.6974263208</v>
      </c>
      <c r="E99" s="85">
        <f>SUM('Defect P1'!E99,'Defect P2'!E99,RTS!E99)</f>
        <v>2473932.5207690867</v>
      </c>
      <c r="F99" s="85">
        <f>SUM('Defect P1'!F99,'Defect P2'!F99,RTS!F99)</f>
        <v>3513338.2225607587</v>
      </c>
      <c r="G99" s="85">
        <f>SUM('Defect P1'!G99,'Defect P2'!G99,RTS!G99)</f>
        <v>3152527.7676428156</v>
      </c>
      <c r="H99" s="85">
        <f>SUM('Defect P1'!H99,'Defect P2'!H99,RTS!H99)</f>
        <v>4148483.8934142017</v>
      </c>
      <c r="I99" s="85">
        <f>SUM('Defect P1'!I99,'Defect P2'!I99,RTS!I99)</f>
        <v>4636307.388757959</v>
      </c>
      <c r="J99" s="85">
        <f>SUM('Defect P1'!J99,'Defect P2'!J99,RTS!J99)</f>
        <v>6420083.5962540256</v>
      </c>
      <c r="K99" s="85">
        <f>SUM('Defect P1'!K99,'Defect P2'!K99,RTS!K99)</f>
        <v>5628795.5162089709</v>
      </c>
      <c r="L99" s="85">
        <f>SUM('Defect P1'!L99,'Defect P2'!L99,RTS!L99)</f>
        <v>5343394.4150408953</v>
      </c>
      <c r="M99" s="85">
        <f>SUM('Defect P1'!M99,'Defect P2'!M99,RTS!M99)</f>
        <v>7280706.6653805301</v>
      </c>
      <c r="N99" s="85">
        <v>9307847.4770339467</v>
      </c>
      <c r="O99" s="560">
        <f>SUM('Defect P1'!O99,'Defect P2'!O99,RTS!O99)</f>
        <v>2122006.2085817717</v>
      </c>
      <c r="P99" s="561">
        <f>SUM('Defect P1'!P99,'Defect P2'!P99,RTS!P99)</f>
        <v>3279026.6640163995</v>
      </c>
      <c r="Q99" s="561">
        <f>SUM('Defect P1'!Q99,'Defect P2'!Q99,RTS!Q99)</f>
        <v>4609519.9417353449</v>
      </c>
      <c r="R99" s="561">
        <f>SUM('Defect P1'!R99,'Defect P2'!R99,RTS!R99)</f>
        <v>4057671.2939744662</v>
      </c>
      <c r="S99" s="561">
        <f>SUM('Defect P1'!S99,'Defect P2'!S99,RTS!S99)</f>
        <v>5230901.3255067002</v>
      </c>
      <c r="T99" s="561">
        <f>SUM('Defect P1'!T99,'Defect P2'!T99,RTS!T99)</f>
        <v>5754345.0081479661</v>
      </c>
      <c r="U99" s="561">
        <f>SUM('Defect P1'!U99,'Defect P2'!U99,RTS!U99)</f>
        <v>7996136.9099955587</v>
      </c>
      <c r="V99" s="561">
        <f>SUM('Defect P1'!V99,'Defect P2'!V99,RTS!V99)</f>
        <v>6750945.3772024456</v>
      </c>
      <c r="W99" s="561">
        <f>SUM('Defect P1'!W99,'Defect P2'!W99,RTS!W99)</f>
        <v>6037646.8714131396</v>
      </c>
      <c r="X99" s="561">
        <f>SUM('Defect P1'!X99,'Defect P2'!X99,RTS!X99)</f>
        <v>7742747.0529704681</v>
      </c>
      <c r="Y99" s="561">
        <f>SUM('Defect P1'!Y99,'Defect P2'!Y99,RTS!Y99)</f>
        <v>9563799.1283579636</v>
      </c>
      <c r="Z99" s="86">
        <f>SUM('Defect P1'!Z99,'Defect P2'!Z99,RTS!Z99)</f>
        <v>453</v>
      </c>
      <c r="AA99" s="87">
        <f>SUM('Defect P1'!AA99,'Defect P2'!AA99,RTS!AA99)</f>
        <v>491</v>
      </c>
      <c r="AB99" s="87">
        <f>SUM('Defect P1'!AB99,'Defect P2'!AB99,RTS!AB99)</f>
        <v>563</v>
      </c>
      <c r="AC99" s="87">
        <f>SUM('Defect P1'!AC99,'Defect P2'!AC99,RTS!AC99)</f>
        <v>520</v>
      </c>
      <c r="AD99" s="87">
        <f>SUM('Defect P1'!AD99,'Defect P2'!AD99,RTS!AD99)</f>
        <v>733</v>
      </c>
      <c r="AE99" s="87">
        <f>SUM('Defect P1'!AE99,'Defect P2'!AE99,RTS!AE99)</f>
        <v>915</v>
      </c>
      <c r="AF99" s="87">
        <f>SUM('Defect P1'!AF99,'Defect P2'!AF99,RTS!AF99)</f>
        <v>937</v>
      </c>
      <c r="AG99" s="87">
        <f>SUM('Defect P1'!AG99,'Defect P2'!AG99,RTS!AG99)</f>
        <v>972</v>
      </c>
      <c r="AH99" s="87">
        <f>SUM('Defect P1'!AH99,'Defect P2'!AH99,RTS!AH99)</f>
        <v>1058</v>
      </c>
      <c r="AI99" s="87">
        <f>SUM('Defect P1'!AI99,'Defect P2'!AI99,RTS!AI99)</f>
        <v>1364</v>
      </c>
      <c r="AJ99" s="87">
        <f>SUM('Defect P1'!AJ99,'Defect P2'!AJ99,RTS!AJ99)</f>
        <v>1213.0006666659999</v>
      </c>
      <c r="AK99" s="88">
        <f t="shared" si="43"/>
        <v>1049.2</v>
      </c>
      <c r="AL99" s="89" cm="1">
        <f t="array" ref="AL99">IFERROR(IF($AM$4="N",SSUM(AF99:AH99)/3,SUM(AG99:AI99)/3),"")</f>
        <v>1131.3333333333333</v>
      </c>
      <c r="AM99" s="90">
        <f t="shared" si="44"/>
        <v>1364</v>
      </c>
      <c r="AN99" s="91">
        <f t="shared" si="29"/>
        <v>3481.5997735680371</v>
      </c>
      <c r="AO99" s="92">
        <f t="shared" si="30"/>
        <v>5038.559105436022</v>
      </c>
      <c r="AP99" s="92">
        <f t="shared" si="31"/>
        <v>6240.3876066798557</v>
      </c>
      <c r="AQ99" s="92">
        <f t="shared" si="32"/>
        <v>6062.5533993131066</v>
      </c>
      <c r="AR99" s="92">
        <f t="shared" si="33"/>
        <v>5659.5960346714892</v>
      </c>
      <c r="AS99" s="92">
        <f t="shared" si="34"/>
        <v>5067.0026106644364</v>
      </c>
      <c r="AT99" s="92">
        <f t="shared" si="35"/>
        <v>6851.7434325016284</v>
      </c>
      <c r="AU99" s="92">
        <f t="shared" si="36"/>
        <v>5790.9418891038795</v>
      </c>
      <c r="AV99" s="92">
        <f t="shared" si="37"/>
        <v>5050.467311002737</v>
      </c>
      <c r="AW99" s="92">
        <f t="shared" si="38"/>
        <v>5337.7614848830863</v>
      </c>
      <c r="AX99" s="92">
        <f t="shared" si="39"/>
        <v>7673.4067283055047</v>
      </c>
      <c r="AY99" s="93">
        <f t="shared" si="40"/>
        <v>5586.9781894095277</v>
      </c>
      <c r="AZ99" s="94">
        <f t="shared" si="41"/>
        <v>5377.9895688362976</v>
      </c>
      <c r="BA99" s="95">
        <f t="shared" si="42"/>
        <v>5337.7614848830863</v>
      </c>
      <c r="BB99" s="96">
        <f>SUM('Defect P1'!CE99,'Defect P2'!CE99,RTS!CE99)</f>
        <v>1200.8666666666668</v>
      </c>
      <c r="BC99" s="96">
        <f>SUM('Defect P1'!CF99,'Defect P2'!CF99,RTS!CF99)</f>
        <v>1200.8666666666668</v>
      </c>
      <c r="BD99" s="96">
        <f>SUM('Defect P1'!CG99,'Defect P2'!CG99,RTS!CG99)</f>
        <v>1200.8666666666668</v>
      </c>
      <c r="BE99" s="96">
        <f>SUM('Defect P1'!CH99,'Defect P2'!CH99,RTS!CH99)</f>
        <v>522.56453584472297</v>
      </c>
      <c r="BF99" s="96">
        <f>SUM('Defect P1'!CI99,'Defect P2'!CI99,RTS!CI99)</f>
        <v>522.56453584472297</v>
      </c>
      <c r="BG99" s="96">
        <f>SUM('Defect P1'!CJ99,'Defect P2'!CJ99,RTS!CJ99)</f>
        <v>522.56453584472297</v>
      </c>
      <c r="BH99" s="96">
        <f>SUM('Defect P1'!CK99,'Defect P2'!CK99,RTS!CK99)</f>
        <v>522.56453584472297</v>
      </c>
      <c r="BI99" s="286">
        <f>SUM('Defect P1'!CL99,'Defect P2'!CL99,RTS!CL99)</f>
        <v>522.56453584472297</v>
      </c>
      <c r="BJ99" s="99">
        <f t="shared" si="45"/>
        <v>5293.1890152871283</v>
      </c>
      <c r="BK99" s="640">
        <f>SUM('Defect P1'!CQ99,'Defect P2'!CQ99,RTS!CQ99)</f>
        <v>6281694.8805001425</v>
      </c>
      <c r="BL99" s="97">
        <f>SUM('Defect P1'!CR99,'Defect P2'!CR99,RTS!CR99)</f>
        <v>6281694.8805001425</v>
      </c>
      <c r="BM99" s="524">
        <f>SUM('Defect P1'!CS99,'Defect P2'!CS99,RTS!CS99)</f>
        <v>6281694.8805001425</v>
      </c>
      <c r="BN99" s="416">
        <f>SUM('Defect P1'!CT99,'Defect P2'!CT99,RTS!CT99)</f>
        <v>2810864.4819064997</v>
      </c>
      <c r="BO99" s="97">
        <f>SUM('Defect P1'!CU99,'Defect P2'!CU99,RTS!CU99)</f>
        <v>2810864.4819064997</v>
      </c>
      <c r="BP99" s="97">
        <f>SUM('Defect P1'!CV99,'Defect P2'!CV99,RTS!CV99)</f>
        <v>2810864.4819064997</v>
      </c>
      <c r="BQ99" s="97">
        <f>SUM('Defect P1'!CW99,'Defect P2'!CW99,RTS!CW99)</f>
        <v>2810864.4819064997</v>
      </c>
      <c r="BR99" s="98">
        <f>SUM('Defect P1'!CX99,'Defect P2'!CX99,RTS!CX99)</f>
        <v>2810864.4819064997</v>
      </c>
    </row>
    <row r="100" spans="1:71" x14ac:dyDescent="0.25">
      <c r="A100" s="81" t="s">
        <v>196</v>
      </c>
      <c r="B100" s="82" t="s">
        <v>203</v>
      </c>
      <c r="C100" s="83" t="s">
        <v>391</v>
      </c>
      <c r="D100" s="84">
        <f>SUM('Defect P1'!D100,'Defect P2'!D100,RTS!D100)</f>
        <v>407053.96865334525</v>
      </c>
      <c r="E100" s="85">
        <f>SUM('Defect P1'!E100,'Defect P2'!E100,RTS!E100)</f>
        <v>702043.59607743856</v>
      </c>
      <c r="F100" s="85">
        <f>SUM('Defect P1'!F100,'Defect P2'!F100,RTS!F100)</f>
        <v>970503.92782953009</v>
      </c>
      <c r="G100" s="85">
        <f>SUM('Defect P1'!G100,'Defect P2'!G100,RTS!G100)</f>
        <v>629543.97087159345</v>
      </c>
      <c r="H100" s="85">
        <f>SUM('Defect P1'!H100,'Defect P2'!H100,RTS!H100)</f>
        <v>850792.99388474436</v>
      </c>
      <c r="I100" s="85">
        <f>SUM('Defect P1'!I100,'Defect P2'!I100,RTS!I100)</f>
        <v>704737.59066520701</v>
      </c>
      <c r="J100" s="85">
        <f>SUM('Defect P1'!J100,'Defect P2'!J100,RTS!J100)</f>
        <v>1102619.8118598887</v>
      </c>
      <c r="K100" s="85">
        <f>SUM('Defect P1'!K100,'Defect P2'!K100,RTS!K100)</f>
        <v>806588.42768848781</v>
      </c>
      <c r="L100" s="85">
        <f>SUM('Defect P1'!L100,'Defect P2'!L100,RTS!L100)</f>
        <v>1078072.5193460071</v>
      </c>
      <c r="M100" s="85">
        <f>SUM('Defect P1'!M100,'Defect P2'!M100,RTS!M100)</f>
        <v>985579.67663063505</v>
      </c>
      <c r="N100" s="85">
        <v>496695.55911786429</v>
      </c>
      <c r="O100" s="560">
        <f>SUM('Defect P1'!O100,'Defect P2'!O100,RTS!O100)</f>
        <v>547673.33438275917</v>
      </c>
      <c r="P100" s="561">
        <f>SUM('Defect P1'!P100,'Defect P2'!P100,RTS!P100)</f>
        <v>930510.29141418834</v>
      </c>
      <c r="Q100" s="561">
        <f>SUM('Defect P1'!Q100,'Defect P2'!Q100,RTS!Q100)</f>
        <v>1273306.7315113395</v>
      </c>
      <c r="R100" s="561">
        <f>SUM('Defect P1'!R100,'Defect P2'!R100,RTS!R100)</f>
        <v>810296.58965078078</v>
      </c>
      <c r="S100" s="561">
        <f>SUM('Defect P1'!S100,'Defect P2'!S100,RTS!S100)</f>
        <v>1072780.8794216705</v>
      </c>
      <c r="T100" s="561">
        <f>SUM('Defect P1'!T100,'Defect P2'!T100,RTS!T100)</f>
        <v>874683.85869577795</v>
      </c>
      <c r="U100" s="561">
        <f>SUM('Defect P1'!U100,'Defect P2'!U100,RTS!U100)</f>
        <v>1373299.7153572205</v>
      </c>
      <c r="V100" s="561">
        <f>SUM('Defect P1'!V100,'Defect P2'!V100,RTS!V100)</f>
        <v>967388.92033441353</v>
      </c>
      <c r="W100" s="561">
        <f>SUM('Defect P1'!W100,'Defect P2'!W100,RTS!W100)</f>
        <v>1218143.4998067766</v>
      </c>
      <c r="X100" s="561">
        <f>SUM('Defect P1'!X100,'Defect P2'!X100,RTS!X100)</f>
        <v>1048125.4756471626</v>
      </c>
      <c r="Y100" s="561">
        <f>SUM('Defect P1'!Y100,'Defect P2'!Y100,RTS!Y100)</f>
        <v>510353.93167663284</v>
      </c>
      <c r="Z100" s="86">
        <f>SUM('Defect P1'!Z100,'Defect P2'!Z100,RTS!Z100)</f>
        <v>24</v>
      </c>
      <c r="AA100" s="87">
        <f>SUM('Defect P1'!AA100,'Defect P2'!AA100,RTS!AA100)</f>
        <v>46</v>
      </c>
      <c r="AB100" s="87">
        <f>SUM('Defect P1'!AB100,'Defect P2'!AB100,RTS!AB100)</f>
        <v>43</v>
      </c>
      <c r="AC100" s="87">
        <f>SUM('Defect P1'!AC100,'Defect P2'!AC100,RTS!AC100)</f>
        <v>32</v>
      </c>
      <c r="AD100" s="87">
        <f>SUM('Defect P1'!AD100,'Defect P2'!AD100,RTS!AD100)</f>
        <v>42</v>
      </c>
      <c r="AE100" s="87">
        <f>SUM('Defect P1'!AE100,'Defect P2'!AE100,RTS!AE100)</f>
        <v>39</v>
      </c>
      <c r="AF100" s="87">
        <f>SUM('Defect P1'!AF100,'Defect P2'!AF100,RTS!AF100)</f>
        <v>19</v>
      </c>
      <c r="AG100" s="87">
        <f>SUM('Defect P1'!AG100,'Defect P2'!AG100,RTS!AG100)</f>
        <v>43</v>
      </c>
      <c r="AH100" s="87">
        <f>SUM('Defect P1'!AH100,'Defect P2'!AH100,RTS!AH100)</f>
        <v>52</v>
      </c>
      <c r="AI100" s="87">
        <f>SUM('Defect P1'!AI100,'Defect P2'!AI100,RTS!AI100)</f>
        <v>42</v>
      </c>
      <c r="AJ100" s="87">
        <f>SUM('Defect P1'!AJ100,'Defect P2'!AJ100,RTS!AJ100)</f>
        <v>21</v>
      </c>
      <c r="AK100" s="88">
        <f t="shared" si="43"/>
        <v>39</v>
      </c>
      <c r="AL100" s="89" cm="1">
        <f t="array" ref="AL100">IFERROR(IF($AM$4="N",SSUM(AF100:AH100)/3,SUM(AG100:AI100)/3),"")</f>
        <v>45.666666666666664</v>
      </c>
      <c r="AM100" s="90">
        <f t="shared" si="44"/>
        <v>42</v>
      </c>
      <c r="AN100" s="91">
        <f t="shared" si="29"/>
        <v>16960.582027222717</v>
      </c>
      <c r="AO100" s="92">
        <f t="shared" si="30"/>
        <v>15261.817306031273</v>
      </c>
      <c r="AP100" s="92">
        <f t="shared" si="31"/>
        <v>22569.858786733257</v>
      </c>
      <c r="AQ100" s="92">
        <f t="shared" si="32"/>
        <v>19673.249089737295</v>
      </c>
      <c r="AR100" s="92">
        <f t="shared" si="33"/>
        <v>20256.976044874864</v>
      </c>
      <c r="AS100" s="92">
        <f t="shared" si="34"/>
        <v>18070.194632441206</v>
      </c>
      <c r="AT100" s="92">
        <f t="shared" si="35"/>
        <v>58032.62167683625</v>
      </c>
      <c r="AU100" s="92">
        <f t="shared" si="36"/>
        <v>18757.870411360182</v>
      </c>
      <c r="AV100" s="92">
        <f t="shared" si="37"/>
        <v>20732.163833577062</v>
      </c>
      <c r="AW100" s="92">
        <f t="shared" si="38"/>
        <v>23466.182776919883</v>
      </c>
      <c r="AX100" s="92">
        <f t="shared" si="39"/>
        <v>23652.169481803063</v>
      </c>
      <c r="AY100" s="93">
        <f t="shared" si="40"/>
        <v>23987.682185590904</v>
      </c>
      <c r="AZ100" s="94">
        <f t="shared" si="41"/>
        <v>20950.661486606787</v>
      </c>
      <c r="BA100" s="95">
        <f t="shared" si="42"/>
        <v>23466.182776919883</v>
      </c>
      <c r="BB100" s="96">
        <f>SUM('Defect P1'!CE100,'Defect P2'!CE100,RTS!CE100)</f>
        <v>45.86666666666666</v>
      </c>
      <c r="BC100" s="96">
        <f>SUM('Defect P1'!CF100,'Defect P2'!CF100,RTS!CF100)</f>
        <v>45.86666666666666</v>
      </c>
      <c r="BD100" s="96">
        <f>SUM('Defect P1'!CG100,'Defect P2'!CG100,RTS!CG100)</f>
        <v>45.86666666666666</v>
      </c>
      <c r="BE100" s="96">
        <f>SUM('Defect P1'!CH100,'Defect P2'!CH100,RTS!CH100)</f>
        <v>38.617309523806668</v>
      </c>
      <c r="BF100" s="96">
        <f>SUM('Defect P1'!CI100,'Defect P2'!CI100,RTS!CI100)</f>
        <v>38.617309523806668</v>
      </c>
      <c r="BG100" s="96">
        <f>SUM('Defect P1'!CJ100,'Defect P2'!CJ100,RTS!CJ100)</f>
        <v>38.617309523806668</v>
      </c>
      <c r="BH100" s="96">
        <f>SUM('Defect P1'!CK100,'Defect P2'!CK100,RTS!CK100)</f>
        <v>38.617309523806668</v>
      </c>
      <c r="BI100" s="286">
        <f>SUM('Defect P1'!CL100,'Defect P2'!CL100,RTS!CL100)</f>
        <v>38.617309523806668</v>
      </c>
      <c r="BJ100" s="99">
        <f t="shared" si="45"/>
        <v>21270.297031364171</v>
      </c>
      <c r="BK100" s="640">
        <f>SUM('Defect P1'!CQ100,'Defect P2'!CQ100,RTS!CQ100)</f>
        <v>956746.87455504329</v>
      </c>
      <c r="BL100" s="97">
        <f>SUM('Defect P1'!CR100,'Defect P2'!CR100,RTS!CR100)</f>
        <v>956746.87455504329</v>
      </c>
      <c r="BM100" s="524">
        <f>SUM('Defect P1'!CS100,'Defect P2'!CS100,RTS!CS100)</f>
        <v>956746.87455504329</v>
      </c>
      <c r="BN100" s="416">
        <f>SUM('Defect P1'!CT100,'Defect P2'!CT100,RTS!CT100)</f>
        <v>832712.09369361261</v>
      </c>
      <c r="BO100" s="97">
        <f>SUM('Defect P1'!CU100,'Defect P2'!CU100,RTS!CU100)</f>
        <v>832712.09369361261</v>
      </c>
      <c r="BP100" s="97">
        <f>SUM('Defect P1'!CV100,'Defect P2'!CV100,RTS!CV100)</f>
        <v>832712.09369361261</v>
      </c>
      <c r="BQ100" s="97">
        <f>SUM('Defect P1'!CW100,'Defect P2'!CW100,RTS!CW100)</f>
        <v>832712.09369361261</v>
      </c>
      <c r="BR100" s="98">
        <f>SUM('Defect P1'!CX100,'Defect P2'!CX100,RTS!CX100)</f>
        <v>832712.09369361261</v>
      </c>
    </row>
    <row r="101" spans="1:71" x14ac:dyDescent="0.25">
      <c r="A101" s="81" t="s">
        <v>196</v>
      </c>
      <c r="B101" s="82" t="s">
        <v>205</v>
      </c>
      <c r="C101" s="83" t="s">
        <v>206</v>
      </c>
      <c r="D101" s="84">
        <f>SUM('Defect P1'!D101,'Defect P2'!D101,RTS!D101)</f>
        <v>21801.804660101297</v>
      </c>
      <c r="E101" s="85">
        <f>SUM('Defect P1'!E101,'Defect P2'!E101,RTS!E101)</f>
        <v>23645.539358862516</v>
      </c>
      <c r="F101" s="85">
        <f>SUM('Defect P1'!F101,'Defect P2'!F101,RTS!F101)</f>
        <v>151334.80757023592</v>
      </c>
      <c r="G101" s="85">
        <f>SUM('Defect P1'!G101,'Defect P2'!G101,RTS!G101)</f>
        <v>139458.73081745033</v>
      </c>
      <c r="H101" s="85">
        <f>SUM('Defect P1'!H101,'Defect P2'!H101,RTS!H101)</f>
        <v>97395.620480406782</v>
      </c>
      <c r="I101" s="85">
        <f>SUM('Defect P1'!I101,'Defect P2'!I101,RTS!I101)</f>
        <v>95376.798174845899</v>
      </c>
      <c r="J101" s="85">
        <f>SUM('Defect P1'!J101,'Defect P2'!J101,RTS!J101)</f>
        <v>188175.03014017307</v>
      </c>
      <c r="K101" s="85">
        <f>SUM('Defect P1'!K101,'Defect P2'!K101,RTS!K101)</f>
        <v>59192.017076670003</v>
      </c>
      <c r="L101" s="85">
        <f>SUM('Defect P1'!L101,'Defect P2'!L101,RTS!L101)</f>
        <v>533020.03356210445</v>
      </c>
      <c r="M101" s="85">
        <f>SUM('Defect P1'!M101,'Defect P2'!M101,RTS!M101)</f>
        <v>182061.47302960342</v>
      </c>
      <c r="N101" s="85">
        <v>391191.5735134526</v>
      </c>
      <c r="O101" s="560">
        <f>SUM('Defect P1'!O101,'Defect P2'!O101,RTS!O101)</f>
        <v>29333.375850040688</v>
      </c>
      <c r="P101" s="561">
        <f>SUM('Defect P1'!P101,'Defect P2'!P101,RTS!P101)</f>
        <v>31340.529053175567</v>
      </c>
      <c r="Q101" s="561">
        <f>SUM('Defect P1'!Q101,'Defect P2'!Q101,RTS!Q101)</f>
        <v>198552.13736445771</v>
      </c>
      <c r="R101" s="561">
        <f>SUM('Defect P1'!R101,'Defect P2'!R101,RTS!R101)</f>
        <v>179499.66834239638</v>
      </c>
      <c r="S101" s="561">
        <f>SUM('Defect P1'!S101,'Defect P2'!S101,RTS!S101)</f>
        <v>122807.96873245569</v>
      </c>
      <c r="T101" s="561">
        <f>SUM('Defect P1'!T101,'Defect P2'!T101,RTS!T101)</f>
        <v>118376.75038573946</v>
      </c>
      <c r="U101" s="561">
        <f>SUM('Defect P1'!U101,'Defect P2'!U101,RTS!U101)</f>
        <v>234369.73701110488</v>
      </c>
      <c r="V101" s="561">
        <f>SUM('Defect P1'!V101,'Defect P2'!V101,RTS!V101)</f>
        <v>70992.465954806612</v>
      </c>
      <c r="W101" s="561">
        <f>SUM('Defect P1'!W101,'Defect P2'!W101,RTS!W101)</f>
        <v>602273.85217494494</v>
      </c>
      <c r="X101" s="561">
        <f>SUM('Defect P1'!X101,'Defect P2'!X101,RTS!X101)</f>
        <v>193615.26271375304</v>
      </c>
      <c r="Y101" s="561">
        <f>SUM('Defect P1'!Y101,'Defect P2'!Y101,RTS!Y101)</f>
        <v>401948.74690631905</v>
      </c>
      <c r="Z101" s="86">
        <f>SUM('Defect P1'!Z101,'Defect P2'!Z101,RTS!Z101)</f>
        <v>3</v>
      </c>
      <c r="AA101" s="87">
        <f>SUM('Defect P1'!AA101,'Defect P2'!AA101,RTS!AA101)</f>
        <v>8</v>
      </c>
      <c r="AB101" s="87">
        <f>SUM('Defect P1'!AB101,'Defect P2'!AB101,RTS!AB101)</f>
        <v>43</v>
      </c>
      <c r="AC101" s="87">
        <f>SUM('Defect P1'!AC101,'Defect P2'!AC101,RTS!AC101)</f>
        <v>27</v>
      </c>
      <c r="AD101" s="87">
        <f>SUM('Defect P1'!AD101,'Defect P2'!AD101,RTS!AD101)</f>
        <v>20</v>
      </c>
      <c r="AE101" s="87">
        <f>SUM('Defect P1'!AE101,'Defect P2'!AE101,RTS!AE101)</f>
        <v>25</v>
      </c>
      <c r="AF101" s="87">
        <f>SUM('Defect P1'!AF101,'Defect P2'!AF101,RTS!AF101)</f>
        <v>31</v>
      </c>
      <c r="AG101" s="87">
        <f>SUM('Defect P1'!AG101,'Defect P2'!AG101,RTS!AG101)</f>
        <v>18</v>
      </c>
      <c r="AH101" s="87">
        <f>SUM('Defect P1'!AH101,'Defect P2'!AH101,RTS!AH101)</f>
        <v>34</v>
      </c>
      <c r="AI101" s="87">
        <f>SUM('Defect P1'!AI101,'Defect P2'!AI101,RTS!AI101)</f>
        <v>39</v>
      </c>
      <c r="AJ101" s="87">
        <f>SUM('Defect P1'!AJ101,'Defect P2'!AJ101,RTS!AJ101)</f>
        <v>42</v>
      </c>
      <c r="AK101" s="88">
        <f t="shared" si="43"/>
        <v>29.4</v>
      </c>
      <c r="AL101" s="89" cm="1">
        <f t="array" ref="AL101">IFERROR(IF($AM$4="N",SSUM(AF101:AH101)/3,SUM(AG101:AI101)/3),"")</f>
        <v>30.333333333333332</v>
      </c>
      <c r="AM101" s="90">
        <f t="shared" si="44"/>
        <v>39</v>
      </c>
      <c r="AN101" s="91">
        <f t="shared" si="29"/>
        <v>7267.2682200337658</v>
      </c>
      <c r="AO101" s="92">
        <f t="shared" si="30"/>
        <v>2955.6924198578145</v>
      </c>
      <c r="AP101" s="92">
        <f t="shared" si="31"/>
        <v>3519.4141295403701</v>
      </c>
      <c r="AQ101" s="92">
        <f t="shared" si="32"/>
        <v>5165.1381784240866</v>
      </c>
      <c r="AR101" s="92">
        <f t="shared" si="33"/>
        <v>4869.7810240203389</v>
      </c>
      <c r="AS101" s="92">
        <f t="shared" si="34"/>
        <v>3815.0719269938359</v>
      </c>
      <c r="AT101" s="92">
        <f t="shared" si="35"/>
        <v>6070.1622625862283</v>
      </c>
      <c r="AU101" s="92">
        <f t="shared" si="36"/>
        <v>3288.4453931483336</v>
      </c>
      <c r="AV101" s="92">
        <f t="shared" si="37"/>
        <v>15677.059810650131</v>
      </c>
      <c r="AW101" s="92">
        <f t="shared" si="38"/>
        <v>4668.2428981949597</v>
      </c>
      <c r="AX101" s="92">
        <f t="shared" si="39"/>
        <v>9314.0850836536338</v>
      </c>
      <c r="AY101" s="93">
        <f t="shared" si="40"/>
        <v>7196.0908298190261</v>
      </c>
      <c r="AZ101" s="94">
        <f t="shared" si="41"/>
        <v>8508.5002600920652</v>
      </c>
      <c r="BA101" s="95">
        <f t="shared" si="42"/>
        <v>4668.2428981949597</v>
      </c>
      <c r="BB101" s="96">
        <f>SUM('Defect P1'!CE101,'Defect P2'!CE101,RTS!CE101)</f>
        <v>31.533333333333331</v>
      </c>
      <c r="BC101" s="96">
        <f>SUM('Defect P1'!CF101,'Defect P2'!CF101,RTS!CF101)</f>
        <v>31.533333333333331</v>
      </c>
      <c r="BD101" s="96">
        <f>SUM('Defect P1'!CG101,'Defect P2'!CG101,RTS!CG101)</f>
        <v>31.533333333333331</v>
      </c>
      <c r="BE101" s="96">
        <f>SUM('Defect P1'!CH101,'Defect P2'!CH101,RTS!CH101)</f>
        <v>13.381690864428883</v>
      </c>
      <c r="BF101" s="96">
        <f>SUM('Defect P1'!CI101,'Defect P2'!CI101,RTS!CI101)</f>
        <v>13.381690864428883</v>
      </c>
      <c r="BG101" s="96">
        <f>SUM('Defect P1'!CJ101,'Defect P2'!CJ101,RTS!CJ101)</f>
        <v>13.381690864428883</v>
      </c>
      <c r="BH101" s="96">
        <f>SUM('Defect P1'!CK101,'Defect P2'!CK101,RTS!CK101)</f>
        <v>13.381690864428883</v>
      </c>
      <c r="BI101" s="286">
        <f>SUM('Defect P1'!CL101,'Defect P2'!CL101,RTS!CL101)</f>
        <v>13.381690864428883</v>
      </c>
      <c r="BJ101" s="99">
        <f t="shared" si="45"/>
        <v>7048.0939196683239</v>
      </c>
      <c r="BK101" s="640">
        <f>SUM('Defect P1'!CQ101,'Defect P2'!CQ101,RTS!CQ101)</f>
        <v>258091.174556126</v>
      </c>
      <c r="BL101" s="97">
        <f>SUM('Defect P1'!CR101,'Defect P2'!CR101,RTS!CR101)</f>
        <v>258091.174556126</v>
      </c>
      <c r="BM101" s="524">
        <f>SUM('Defect P1'!CS101,'Defect P2'!CS101,RTS!CS101)</f>
        <v>258091.174556126</v>
      </c>
      <c r="BN101" s="416">
        <f>SUM('Defect P1'!CT101,'Defect P2'!CT101,RTS!CT101)</f>
        <v>72810.64624291152</v>
      </c>
      <c r="BO101" s="97">
        <f>SUM('Defect P1'!CU101,'Defect P2'!CU101,RTS!CU101)</f>
        <v>72810.64624291152</v>
      </c>
      <c r="BP101" s="97">
        <f>SUM('Defect P1'!CV101,'Defect P2'!CV101,RTS!CV101)</f>
        <v>72810.64624291152</v>
      </c>
      <c r="BQ101" s="97">
        <f>SUM('Defect P1'!CW101,'Defect P2'!CW101,RTS!CW101)</f>
        <v>72810.64624291152</v>
      </c>
      <c r="BR101" s="98">
        <f>SUM('Defect P1'!CX101,'Defect P2'!CX101,RTS!CX101)</f>
        <v>72810.64624291152</v>
      </c>
    </row>
    <row r="102" spans="1:71" x14ac:dyDescent="0.25">
      <c r="A102" s="81" t="s">
        <v>196</v>
      </c>
      <c r="B102" s="82" t="s">
        <v>207</v>
      </c>
      <c r="C102" s="83" t="s">
        <v>208</v>
      </c>
      <c r="D102" s="84">
        <f>SUM('Defect P1'!D102,'Defect P2'!D102,RTS!D102)</f>
        <v>0</v>
      </c>
      <c r="E102" s="85">
        <f>SUM('Defect P1'!E102,'Defect P2'!E102,RTS!E102)</f>
        <v>0</v>
      </c>
      <c r="F102" s="85">
        <f>SUM('Defect P1'!F102,'Defect P2'!F102,RTS!F102)</f>
        <v>0</v>
      </c>
      <c r="G102" s="85">
        <f>SUM('Defect P1'!G102,'Defect P2'!G102,RTS!G102)</f>
        <v>0</v>
      </c>
      <c r="H102" s="85">
        <f>SUM('Defect P1'!H102,'Defect P2'!H102,RTS!H102)</f>
        <v>0</v>
      </c>
      <c r="I102" s="85">
        <f>SUM('Defect P1'!I102,'Defect P2'!I102,RTS!I102)</f>
        <v>0</v>
      </c>
      <c r="J102" s="85">
        <f>SUM('Defect P1'!J102,'Defect P2'!J102,RTS!J102)</f>
        <v>0</v>
      </c>
      <c r="K102" s="85">
        <f>SUM('Defect P1'!K102,'Defect P2'!K102,RTS!K102)</f>
        <v>0</v>
      </c>
      <c r="L102" s="85">
        <f>SUM('Defect P1'!L102,'Defect P2'!L102,RTS!L102)</f>
        <v>0</v>
      </c>
      <c r="M102" s="85">
        <f>SUM('Defect P1'!M102,'Defect P2'!M102,RTS!M102)</f>
        <v>0</v>
      </c>
      <c r="N102" s="85">
        <v>0</v>
      </c>
      <c r="O102" s="560">
        <f>SUM('Defect P1'!O102,'Defect P2'!O102,RTS!O102)</f>
        <v>0</v>
      </c>
      <c r="P102" s="561">
        <f>SUM('Defect P1'!P102,'Defect P2'!P102,RTS!P102)</f>
        <v>0</v>
      </c>
      <c r="Q102" s="561">
        <f>SUM('Defect P1'!Q102,'Defect P2'!Q102,RTS!Q102)</f>
        <v>0</v>
      </c>
      <c r="R102" s="561">
        <f>SUM('Defect P1'!R102,'Defect P2'!R102,RTS!R102)</f>
        <v>0</v>
      </c>
      <c r="S102" s="561">
        <f>SUM('Defect P1'!S102,'Defect P2'!S102,RTS!S102)</f>
        <v>0</v>
      </c>
      <c r="T102" s="561">
        <f>SUM('Defect P1'!T102,'Defect P2'!T102,RTS!T102)</f>
        <v>0</v>
      </c>
      <c r="U102" s="561">
        <f>SUM('Defect P1'!U102,'Defect P2'!U102,RTS!U102)</f>
        <v>0</v>
      </c>
      <c r="V102" s="561">
        <f>SUM('Defect P1'!V102,'Defect P2'!V102,RTS!V102)</f>
        <v>0</v>
      </c>
      <c r="W102" s="561">
        <f>SUM('Defect P1'!W102,'Defect P2'!W102,RTS!W102)</f>
        <v>0</v>
      </c>
      <c r="X102" s="561">
        <f>SUM('Defect P1'!X102,'Defect P2'!X102,RTS!X102)</f>
        <v>0</v>
      </c>
      <c r="Y102" s="561">
        <f>SUM('Defect P1'!Y102,'Defect P2'!Y102,RTS!Y102)</f>
        <v>0</v>
      </c>
      <c r="Z102" s="86">
        <f>SUM('Defect P1'!Z102,'Defect P2'!Z102,RTS!Z102)</f>
        <v>0</v>
      </c>
      <c r="AA102" s="87">
        <f>SUM('Defect P1'!AA102,'Defect P2'!AA102,RTS!AA102)</f>
        <v>0</v>
      </c>
      <c r="AB102" s="87">
        <f>SUM('Defect P1'!AB102,'Defect P2'!AB102,RTS!AB102)</f>
        <v>0</v>
      </c>
      <c r="AC102" s="87">
        <f>SUM('Defect P1'!AC102,'Defect P2'!AC102,RTS!AC102)</f>
        <v>0</v>
      </c>
      <c r="AD102" s="87">
        <f>SUM('Defect P1'!AD102,'Defect P2'!AD102,RTS!AD102)</f>
        <v>0</v>
      </c>
      <c r="AE102" s="87">
        <f>SUM('Defect P1'!AE102,'Defect P2'!AE102,RTS!AE102)</f>
        <v>0</v>
      </c>
      <c r="AF102" s="87">
        <f>SUM('Defect P1'!AF102,'Defect P2'!AF102,RTS!AF102)</f>
        <v>0</v>
      </c>
      <c r="AG102" s="87">
        <f>SUM('Defect P1'!AG102,'Defect P2'!AG102,RTS!AG102)</f>
        <v>0</v>
      </c>
      <c r="AH102" s="87">
        <f>SUM('Defect P1'!AH102,'Defect P2'!AH102,RTS!AH102)</f>
        <v>0</v>
      </c>
      <c r="AI102" s="87">
        <f>SUM('Defect P1'!AI102,'Defect P2'!AI102,RTS!AI102)</f>
        <v>0</v>
      </c>
      <c r="AJ102" s="87">
        <f>SUM('Defect P1'!AJ102,'Defect P2'!AJ102,RTS!AJ102)</f>
        <v>0</v>
      </c>
      <c r="AK102" s="88">
        <f t="shared" si="43"/>
        <v>0</v>
      </c>
      <c r="AL102" s="89" cm="1">
        <f t="array" ref="AL102">IFERROR(IF($AM$4="N",SSUM(AF102:AH102)/3,SUM(AG102:AI102)/3),"")</f>
        <v>0</v>
      </c>
      <c r="AM102" s="90">
        <f t="shared" si="44"/>
        <v>0</v>
      </c>
      <c r="AN102" s="91" t="str">
        <f t="shared" si="29"/>
        <v/>
      </c>
      <c r="AO102" s="92" t="str">
        <f t="shared" si="30"/>
        <v/>
      </c>
      <c r="AP102" s="92" t="str">
        <f t="shared" si="31"/>
        <v/>
      </c>
      <c r="AQ102" s="92" t="str">
        <f t="shared" si="32"/>
        <v/>
      </c>
      <c r="AR102" s="92" t="str">
        <f t="shared" si="33"/>
        <v/>
      </c>
      <c r="AS102" s="92" t="str">
        <f t="shared" si="34"/>
        <v/>
      </c>
      <c r="AT102" s="92" t="str">
        <f t="shared" si="35"/>
        <v/>
      </c>
      <c r="AU102" s="92" t="str">
        <f t="shared" si="36"/>
        <v/>
      </c>
      <c r="AV102" s="92" t="str">
        <f t="shared" si="37"/>
        <v/>
      </c>
      <c r="AW102" s="92" t="str">
        <f t="shared" si="38"/>
        <v/>
      </c>
      <c r="AX102" s="92" t="str">
        <f t="shared" si="39"/>
        <v/>
      </c>
      <c r="AY102" s="93" t="str">
        <f t="shared" si="40"/>
        <v/>
      </c>
      <c r="AZ102" s="94" t="str">
        <f t="shared" si="41"/>
        <v/>
      </c>
      <c r="BA102" s="95" t="str">
        <f t="shared" si="42"/>
        <v/>
      </c>
      <c r="BB102" s="96">
        <f>SUM('Defect P1'!CE102,'Defect P2'!CE102,RTS!CE102)</f>
        <v>0</v>
      </c>
      <c r="BC102" s="96">
        <f>SUM('Defect P1'!CF102,'Defect P2'!CF102,RTS!CF102)</f>
        <v>0</v>
      </c>
      <c r="BD102" s="96">
        <f>SUM('Defect P1'!CG102,'Defect P2'!CG102,RTS!CG102)</f>
        <v>0</v>
      </c>
      <c r="BE102" s="96">
        <f>SUM('Defect P1'!CH102,'Defect P2'!CH102,RTS!CH102)</f>
        <v>0</v>
      </c>
      <c r="BF102" s="96">
        <f>SUM('Defect P1'!CI102,'Defect P2'!CI102,RTS!CI102)</f>
        <v>0</v>
      </c>
      <c r="BG102" s="96">
        <f>SUM('Defect P1'!CJ102,'Defect P2'!CJ102,RTS!CJ102)</f>
        <v>0</v>
      </c>
      <c r="BH102" s="96">
        <f>SUM('Defect P1'!CK102,'Defect P2'!CK102,RTS!CK102)</f>
        <v>0</v>
      </c>
      <c r="BI102" s="286">
        <f>SUM('Defect P1'!CL102,'Defect P2'!CL102,RTS!CL102)</f>
        <v>0</v>
      </c>
      <c r="BJ102" s="99" t="str">
        <f t="shared" si="45"/>
        <v/>
      </c>
      <c r="BK102" s="640">
        <f>SUM('Defect P1'!CQ102,'Defect P2'!CQ102,RTS!CQ102)</f>
        <v>0</v>
      </c>
      <c r="BL102" s="97">
        <f>SUM('Defect P1'!CR102,'Defect P2'!CR102,RTS!CR102)</f>
        <v>0</v>
      </c>
      <c r="BM102" s="524">
        <f>SUM('Defect P1'!CS102,'Defect P2'!CS102,RTS!CS102)</f>
        <v>0</v>
      </c>
      <c r="BN102" s="416">
        <f>SUM('Defect P1'!CT102,'Defect P2'!CT102,RTS!CT102)</f>
        <v>0</v>
      </c>
      <c r="BO102" s="97">
        <f>SUM('Defect P1'!CU102,'Defect P2'!CU102,RTS!CU102)</f>
        <v>0</v>
      </c>
      <c r="BP102" s="97">
        <f>SUM('Defect P1'!CV102,'Defect P2'!CV102,RTS!CV102)</f>
        <v>0</v>
      </c>
      <c r="BQ102" s="97">
        <f>SUM('Defect P1'!CW102,'Defect P2'!CW102,RTS!CW102)</f>
        <v>0</v>
      </c>
      <c r="BR102" s="98">
        <f>SUM('Defect P1'!CX102,'Defect P2'!CX102,RTS!CX102)</f>
        <v>0</v>
      </c>
    </row>
    <row r="103" spans="1:71" x14ac:dyDescent="0.25">
      <c r="A103" s="81" t="s">
        <v>196</v>
      </c>
      <c r="B103" s="82" t="s">
        <v>209</v>
      </c>
      <c r="C103" s="83" t="s">
        <v>210</v>
      </c>
      <c r="D103" s="84">
        <f>SUM('Defect P1'!D103,'Defect P2'!D103,RTS!D103)</f>
        <v>11787.808656061392</v>
      </c>
      <c r="E103" s="85">
        <f>SUM('Defect P1'!E103,'Defect P2'!E103,RTS!E103)</f>
        <v>38825.181646557219</v>
      </c>
      <c r="F103" s="85">
        <f>SUM('Defect P1'!F103,'Defect P2'!F103,RTS!F103)</f>
        <v>0</v>
      </c>
      <c r="G103" s="85">
        <f>SUM('Defect P1'!G103,'Defect P2'!G103,RTS!G103)</f>
        <v>0</v>
      </c>
      <c r="H103" s="85">
        <f>SUM('Defect P1'!H103,'Defect P2'!H103,RTS!H103)</f>
        <v>0</v>
      </c>
      <c r="I103" s="85">
        <f>SUM('Defect P1'!I103,'Defect P2'!I103,RTS!I103)</f>
        <v>285649.78413438308</v>
      </c>
      <c r="J103" s="85">
        <f>SUM('Defect P1'!J103,'Defect P2'!J103,RTS!J103)</f>
        <v>0</v>
      </c>
      <c r="K103" s="85">
        <f>SUM('Defect P1'!K103,'Defect P2'!K103,RTS!K103)</f>
        <v>29865.75</v>
      </c>
      <c r="L103" s="85">
        <f>SUM('Defect P1'!L103,'Defect P2'!L103,RTS!L103)</f>
        <v>156417.22255973902</v>
      </c>
      <c r="M103" s="85">
        <f>SUM('Defect P1'!M103,'Defect P2'!M103,RTS!M103)</f>
        <v>120828.217046758</v>
      </c>
      <c r="N103" s="85">
        <v>118796.53226581504</v>
      </c>
      <c r="O103" s="560">
        <f>SUM('Defect P1'!O103,'Defect P2'!O103,RTS!O103)</f>
        <v>15859.981645895785</v>
      </c>
      <c r="P103" s="561">
        <f>SUM('Defect P1'!P103,'Defect P2'!P103,RTS!P103)</f>
        <v>51460.096338748968</v>
      </c>
      <c r="Q103" s="561">
        <f>SUM('Defect P1'!Q103,'Defect P2'!Q103,RTS!Q103)</f>
        <v>0</v>
      </c>
      <c r="R103" s="561">
        <f>SUM('Defect P1'!R103,'Defect P2'!R103,RTS!R103)</f>
        <v>0</v>
      </c>
      <c r="S103" s="561">
        <f>SUM('Defect P1'!S103,'Defect P2'!S103,RTS!S103)</f>
        <v>0</v>
      </c>
      <c r="T103" s="561">
        <f>SUM('Defect P1'!T103,'Defect P2'!T103,RTS!T103)</f>
        <v>354533.74239117838</v>
      </c>
      <c r="U103" s="561">
        <f>SUM('Defect P1'!U103,'Defect P2'!U103,RTS!U103)</f>
        <v>0</v>
      </c>
      <c r="V103" s="561">
        <f>SUM('Defect P1'!V103,'Defect P2'!V103,RTS!V103)</f>
        <v>35819.749770369628</v>
      </c>
      <c r="W103" s="561">
        <f>SUM('Defect P1'!W103,'Defect P2'!W103,RTS!W103)</f>
        <v>176740.07963264175</v>
      </c>
      <c r="X103" s="561">
        <f>SUM('Defect P1'!X103,'Defect P2'!X103,RTS!X103)</f>
        <v>128496.08759860194</v>
      </c>
      <c r="Y103" s="561">
        <f>SUM('Defect P1'!Y103,'Defect P2'!Y103,RTS!Y103)</f>
        <v>122063.25625114312</v>
      </c>
      <c r="Z103" s="86">
        <f>SUM('Defect P1'!Z103,'Defect P2'!Z103,RTS!Z103)</f>
        <v>1</v>
      </c>
      <c r="AA103" s="87">
        <f>SUM('Defect P1'!AA103,'Defect P2'!AA103,RTS!AA103)</f>
        <v>1</v>
      </c>
      <c r="AB103" s="87">
        <f>SUM('Defect P1'!AB103,'Defect P2'!AB103,RTS!AB103)</f>
        <v>0</v>
      </c>
      <c r="AC103" s="87">
        <f>SUM('Defect P1'!AC103,'Defect P2'!AC103,RTS!AC103)</f>
        <v>0</v>
      </c>
      <c r="AD103" s="87">
        <f>SUM('Defect P1'!AD103,'Defect P2'!AD103,RTS!AD103)</f>
        <v>0</v>
      </c>
      <c r="AE103" s="87">
        <f>SUM('Defect P1'!AE103,'Defect P2'!AE103,RTS!AE103)</f>
        <v>3</v>
      </c>
      <c r="AF103" s="87">
        <f>SUM('Defect P1'!AF103,'Defect P2'!AF103,RTS!AF103)</f>
        <v>0</v>
      </c>
      <c r="AG103" s="87">
        <f>SUM('Defect P1'!AG103,'Defect P2'!AG103,RTS!AG103)</f>
        <v>0</v>
      </c>
      <c r="AH103" s="87">
        <f>SUM('Defect P1'!AH103,'Defect P2'!AH103,RTS!AH103)</f>
        <v>5</v>
      </c>
      <c r="AI103" s="87">
        <f>SUM('Defect P1'!AI103,'Defect P2'!AI103,RTS!AI103)</f>
        <v>1</v>
      </c>
      <c r="AJ103" s="87">
        <f>SUM('Defect P1'!AJ103,'Defect P2'!AJ103,RTS!AJ103)</f>
        <v>2</v>
      </c>
      <c r="AK103" s="88">
        <f t="shared" si="43"/>
        <v>1.8</v>
      </c>
      <c r="AL103" s="89" cm="1">
        <f t="array" ref="AL103">IFERROR(IF($AM$4="N",SSUM(AF103:AH103)/3,SUM(AG103:AI103)/3),"")</f>
        <v>2</v>
      </c>
      <c r="AM103" s="90">
        <f t="shared" si="44"/>
        <v>1</v>
      </c>
      <c r="AN103" s="91">
        <f t="shared" ref="AN103:AN132" si="46">IFERROR(D103/Z103,"")</f>
        <v>11787.808656061392</v>
      </c>
      <c r="AO103" s="92">
        <f t="shared" ref="AO103:AO132" si="47">IFERROR(E103/AA103,"")</f>
        <v>38825.181646557219</v>
      </c>
      <c r="AP103" s="92" t="str">
        <f t="shared" ref="AP103:AP132" si="48">IFERROR(F103/AB103,"")</f>
        <v/>
      </c>
      <c r="AQ103" s="92" t="str">
        <f t="shared" ref="AQ103:AQ132" si="49">IFERROR(G103/AC103,"")</f>
        <v/>
      </c>
      <c r="AR103" s="92" t="str">
        <f t="shared" ref="AR103:AR132" si="50">IFERROR(H103/AD103,"")</f>
        <v/>
      </c>
      <c r="AS103" s="92">
        <f t="shared" ref="AS103:AS132" si="51">IFERROR(I103/AE103,"")</f>
        <v>95216.594711461032</v>
      </c>
      <c r="AT103" s="92" t="str">
        <f t="shared" ref="AT103:AT132" si="52">IFERROR(J103/AF103,"")</f>
        <v/>
      </c>
      <c r="AU103" s="92" t="str">
        <f t="shared" ref="AU103:AU132" si="53">IFERROR(K103/AG103,"")</f>
        <v/>
      </c>
      <c r="AV103" s="92">
        <f t="shared" ref="AV103:AV132" si="54">IFERROR(L103/AH103,"")</f>
        <v>31283.444511947804</v>
      </c>
      <c r="AW103" s="92">
        <f t="shared" si="38"/>
        <v>120828.217046758</v>
      </c>
      <c r="AX103" s="92">
        <f t="shared" si="39"/>
        <v>59398.26613290752</v>
      </c>
      <c r="AY103" s="93">
        <f t="shared" ref="AY103:AY132" si="55">IFERROR(IF($BA$4="N",SUM(H103:L103)/SUM(AD103:AH103),SUM(I103:M103)/SUM(AE103:AI103)),"")</f>
        <v>65862.330415653356</v>
      </c>
      <c r="AZ103" s="94">
        <f t="shared" ref="AZ103:AZ132" si="56">IFERROR(IF($BA$4="N",SUM(J103:L103)/SUM(AF103:AH103),SUM(K103:M103)/SUM(AG103:AI103)),"")</f>
        <v>51185.198267749503</v>
      </c>
      <c r="BA103" s="95">
        <f t="shared" ref="BA103:BA132" si="57">IFERROR(IF($BA$4="N",L103/AH103,M103/AI103),"")</f>
        <v>120828.217046758</v>
      </c>
      <c r="BB103" s="96">
        <f>SUM('Defect P1'!CE103,'Defect P2'!CE103,RTS!CE103)</f>
        <v>0</v>
      </c>
      <c r="BC103" s="96">
        <f>SUM('Defect P1'!CF103,'Defect P2'!CF103,RTS!CF103)</f>
        <v>0</v>
      </c>
      <c r="BD103" s="96">
        <f>SUM('Defect P1'!CG103,'Defect P2'!CG103,RTS!CG103)</f>
        <v>0</v>
      </c>
      <c r="BE103" s="96">
        <f>SUM('Defect P1'!CH103,'Defect P2'!CH103,RTS!CH103)</f>
        <v>0</v>
      </c>
      <c r="BF103" s="96">
        <f>SUM('Defect P1'!CI103,'Defect P2'!CI103,RTS!CI103)</f>
        <v>0</v>
      </c>
      <c r="BG103" s="96">
        <f>SUM('Defect P1'!CJ103,'Defect P2'!CJ103,RTS!CJ103)</f>
        <v>0</v>
      </c>
      <c r="BH103" s="96">
        <f>SUM('Defect P1'!CK103,'Defect P2'!CK103,RTS!CK103)</f>
        <v>0</v>
      </c>
      <c r="BI103" s="286">
        <f>SUM('Defect P1'!CL103,'Defect P2'!CL103,RTS!CL103)</f>
        <v>0</v>
      </c>
      <c r="BJ103" s="99" t="str">
        <f t="shared" si="45"/>
        <v/>
      </c>
      <c r="BK103" s="640">
        <f>SUM('Defect P1'!CQ103,'Defect P2'!CQ103,RTS!CQ103)</f>
        <v>0</v>
      </c>
      <c r="BL103" s="97">
        <f>SUM('Defect P1'!CR103,'Defect P2'!CR103,RTS!CR103)</f>
        <v>0</v>
      </c>
      <c r="BM103" s="524">
        <f>SUM('Defect P1'!CS103,'Defect P2'!CS103,RTS!CS103)</f>
        <v>0</v>
      </c>
      <c r="BN103" s="416">
        <f>SUM('Defect P1'!CT103,'Defect P2'!CT103,RTS!CT103)</f>
        <v>0</v>
      </c>
      <c r="BO103" s="97">
        <f>SUM('Defect P1'!CU103,'Defect P2'!CU103,RTS!CU103)</f>
        <v>0</v>
      </c>
      <c r="BP103" s="97">
        <f>SUM('Defect P1'!CV103,'Defect P2'!CV103,RTS!CV103)</f>
        <v>0</v>
      </c>
      <c r="BQ103" s="97">
        <f>SUM('Defect P1'!CW103,'Defect P2'!CW103,RTS!CW103)</f>
        <v>0</v>
      </c>
      <c r="BR103" s="98">
        <f>SUM('Defect P1'!CX103,'Defect P2'!CX103,RTS!CX103)</f>
        <v>0</v>
      </c>
    </row>
    <row r="104" spans="1:71" x14ac:dyDescent="0.25">
      <c r="A104" s="81" t="s">
        <v>196</v>
      </c>
      <c r="B104" s="82" t="s">
        <v>211</v>
      </c>
      <c r="C104" s="83" t="s">
        <v>212</v>
      </c>
      <c r="D104" s="84">
        <f>SUM('Defect P1'!D104,'Defect P2'!D104,RTS!D104)</f>
        <v>0</v>
      </c>
      <c r="E104" s="85">
        <f>SUM('Defect P1'!E104,'Defect P2'!E104,RTS!E104)</f>
        <v>0</v>
      </c>
      <c r="F104" s="85">
        <f>SUM('Defect P1'!F104,'Defect P2'!F104,RTS!F104)</f>
        <v>0</v>
      </c>
      <c r="G104" s="85">
        <f>SUM('Defect P1'!G104,'Defect P2'!G104,RTS!G104)</f>
        <v>0</v>
      </c>
      <c r="H104" s="85">
        <f>SUM('Defect P1'!H104,'Defect P2'!H104,RTS!H104)</f>
        <v>0</v>
      </c>
      <c r="I104" s="85">
        <f>SUM('Defect P1'!I104,'Defect P2'!I104,RTS!I104)</f>
        <v>0</v>
      </c>
      <c r="J104" s="85">
        <f>SUM('Defect P1'!J104,'Defect P2'!J104,RTS!J104)</f>
        <v>0</v>
      </c>
      <c r="K104" s="85">
        <f>SUM('Defect P1'!K104,'Defect P2'!K104,RTS!K104)</f>
        <v>0</v>
      </c>
      <c r="L104" s="85">
        <f>SUM('Defect P1'!L104,'Defect P2'!L104,RTS!L104)</f>
        <v>0</v>
      </c>
      <c r="M104" s="85">
        <f>SUM('Defect P1'!M104,'Defect P2'!M104,RTS!M104)</f>
        <v>0</v>
      </c>
      <c r="N104" s="85">
        <v>0</v>
      </c>
      <c r="O104" s="560">
        <f>SUM('Defect P1'!O104,'Defect P2'!O104,RTS!O104)</f>
        <v>0</v>
      </c>
      <c r="P104" s="561">
        <f>SUM('Defect P1'!P104,'Defect P2'!P104,RTS!P104)</f>
        <v>0</v>
      </c>
      <c r="Q104" s="561">
        <f>SUM('Defect P1'!Q104,'Defect P2'!Q104,RTS!Q104)</f>
        <v>0</v>
      </c>
      <c r="R104" s="561">
        <f>SUM('Defect P1'!R104,'Defect P2'!R104,RTS!R104)</f>
        <v>0</v>
      </c>
      <c r="S104" s="561">
        <f>SUM('Defect P1'!S104,'Defect P2'!S104,RTS!S104)</f>
        <v>0</v>
      </c>
      <c r="T104" s="561">
        <f>SUM('Defect P1'!T104,'Defect P2'!T104,RTS!T104)</f>
        <v>0</v>
      </c>
      <c r="U104" s="561">
        <f>SUM('Defect P1'!U104,'Defect P2'!U104,RTS!U104)</f>
        <v>0</v>
      </c>
      <c r="V104" s="561">
        <f>SUM('Defect P1'!V104,'Defect P2'!V104,RTS!V104)</f>
        <v>0</v>
      </c>
      <c r="W104" s="561">
        <f>SUM('Defect P1'!W104,'Defect P2'!W104,RTS!W104)</f>
        <v>0</v>
      </c>
      <c r="X104" s="561">
        <f>SUM('Defect P1'!X104,'Defect P2'!X104,RTS!X104)</f>
        <v>0</v>
      </c>
      <c r="Y104" s="561">
        <f>SUM('Defect P1'!Y104,'Defect P2'!Y104,RTS!Y104)</f>
        <v>0</v>
      </c>
      <c r="Z104" s="86">
        <f>SUM('Defect P1'!Z104,'Defect P2'!Z104,RTS!Z104)</f>
        <v>0</v>
      </c>
      <c r="AA104" s="87">
        <f>SUM('Defect P1'!AA104,'Defect P2'!AA104,RTS!AA104)</f>
        <v>0</v>
      </c>
      <c r="AB104" s="87">
        <f>SUM('Defect P1'!AB104,'Defect P2'!AB104,RTS!AB104)</f>
        <v>0</v>
      </c>
      <c r="AC104" s="87">
        <f>SUM('Defect P1'!AC104,'Defect P2'!AC104,RTS!AC104)</f>
        <v>0</v>
      </c>
      <c r="AD104" s="87">
        <f>SUM('Defect P1'!AD104,'Defect P2'!AD104,RTS!AD104)</f>
        <v>0</v>
      </c>
      <c r="AE104" s="87">
        <f>SUM('Defect P1'!AE104,'Defect P2'!AE104,RTS!AE104)</f>
        <v>0</v>
      </c>
      <c r="AF104" s="87">
        <f>SUM('Defect P1'!AF104,'Defect P2'!AF104,RTS!AF104)</f>
        <v>0</v>
      </c>
      <c r="AG104" s="87">
        <f>SUM('Defect P1'!AG104,'Defect P2'!AG104,RTS!AG104)</f>
        <v>0</v>
      </c>
      <c r="AH104" s="87">
        <f>SUM('Defect P1'!AH104,'Defect P2'!AH104,RTS!AH104)</f>
        <v>0</v>
      </c>
      <c r="AI104" s="87">
        <f>SUM('Defect P1'!AI104,'Defect P2'!AI104,RTS!AI104)</f>
        <v>0</v>
      </c>
      <c r="AJ104" s="87">
        <f>SUM('Defect P1'!AJ104,'Defect P2'!AJ104,RTS!AJ104)</f>
        <v>0</v>
      </c>
      <c r="AK104" s="88">
        <f t="shared" si="43"/>
        <v>0</v>
      </c>
      <c r="AL104" s="89" cm="1">
        <f t="array" ref="AL104">IFERROR(IF($AM$4="N",SSUM(AF104:AH104)/3,SUM(AG104:AI104)/3),"")</f>
        <v>0</v>
      </c>
      <c r="AM104" s="90">
        <f t="shared" si="44"/>
        <v>0</v>
      </c>
      <c r="AN104" s="91" t="str">
        <f t="shared" si="46"/>
        <v/>
      </c>
      <c r="AO104" s="92" t="str">
        <f t="shared" si="47"/>
        <v/>
      </c>
      <c r="AP104" s="92" t="str">
        <f t="shared" si="48"/>
        <v/>
      </c>
      <c r="AQ104" s="92" t="str">
        <f t="shared" si="49"/>
        <v/>
      </c>
      <c r="AR104" s="92" t="str">
        <f t="shared" si="50"/>
        <v/>
      </c>
      <c r="AS104" s="92" t="str">
        <f t="shared" si="51"/>
        <v/>
      </c>
      <c r="AT104" s="92" t="str">
        <f t="shared" si="52"/>
        <v/>
      </c>
      <c r="AU104" s="92" t="str">
        <f t="shared" si="53"/>
        <v/>
      </c>
      <c r="AV104" s="92" t="str">
        <f t="shared" si="54"/>
        <v/>
      </c>
      <c r="AW104" s="92" t="str">
        <f t="shared" si="38"/>
        <v/>
      </c>
      <c r="AX104" s="92" t="str">
        <f t="shared" si="39"/>
        <v/>
      </c>
      <c r="AY104" s="93" t="str">
        <f t="shared" si="55"/>
        <v/>
      </c>
      <c r="AZ104" s="94" t="str">
        <f t="shared" si="56"/>
        <v/>
      </c>
      <c r="BA104" s="95" t="str">
        <f t="shared" si="57"/>
        <v/>
      </c>
      <c r="BB104" s="96">
        <f>SUM('Defect P1'!CE104,'Defect P2'!CE104,RTS!CE104)</f>
        <v>0</v>
      </c>
      <c r="BC104" s="96">
        <f>SUM('Defect P1'!CF104,'Defect P2'!CF104,RTS!CF104)</f>
        <v>0</v>
      </c>
      <c r="BD104" s="96">
        <f>SUM('Defect P1'!CG104,'Defect P2'!CG104,RTS!CG104)</f>
        <v>0</v>
      </c>
      <c r="BE104" s="96">
        <f>SUM('Defect P1'!CH104,'Defect P2'!CH104,RTS!CH104)</f>
        <v>0</v>
      </c>
      <c r="BF104" s="96">
        <f>SUM('Defect P1'!CI104,'Defect P2'!CI104,RTS!CI104)</f>
        <v>0</v>
      </c>
      <c r="BG104" s="96">
        <f>SUM('Defect P1'!CJ104,'Defect P2'!CJ104,RTS!CJ104)</f>
        <v>0</v>
      </c>
      <c r="BH104" s="96">
        <f>SUM('Defect P1'!CK104,'Defect P2'!CK104,RTS!CK104)</f>
        <v>0</v>
      </c>
      <c r="BI104" s="286">
        <f>SUM('Defect P1'!CL104,'Defect P2'!CL104,RTS!CL104)</f>
        <v>0</v>
      </c>
      <c r="BJ104" s="99" t="str">
        <f t="shared" si="45"/>
        <v/>
      </c>
      <c r="BK104" s="640">
        <f>SUM('Defect P1'!CQ104,'Defect P2'!CQ104,RTS!CQ104)</f>
        <v>0</v>
      </c>
      <c r="BL104" s="97">
        <f>SUM('Defect P1'!CR104,'Defect P2'!CR104,RTS!CR104)</f>
        <v>0</v>
      </c>
      <c r="BM104" s="524">
        <f>SUM('Defect P1'!CS104,'Defect P2'!CS104,RTS!CS104)</f>
        <v>0</v>
      </c>
      <c r="BN104" s="416">
        <f>SUM('Defect P1'!CT104,'Defect P2'!CT104,RTS!CT104)</f>
        <v>0</v>
      </c>
      <c r="BO104" s="97">
        <f>SUM('Defect P1'!CU104,'Defect P2'!CU104,RTS!CU104)</f>
        <v>0</v>
      </c>
      <c r="BP104" s="97">
        <f>SUM('Defect P1'!CV104,'Defect P2'!CV104,RTS!CV104)</f>
        <v>0</v>
      </c>
      <c r="BQ104" s="97">
        <f>SUM('Defect P1'!CW104,'Defect P2'!CW104,RTS!CW104)</f>
        <v>0</v>
      </c>
      <c r="BR104" s="98">
        <f>SUM('Defect P1'!CX104,'Defect P2'!CX104,RTS!CX104)</f>
        <v>0</v>
      </c>
    </row>
    <row r="105" spans="1:71" x14ac:dyDescent="0.25">
      <c r="A105" s="81" t="s">
        <v>196</v>
      </c>
      <c r="B105" s="82" t="s">
        <v>213</v>
      </c>
      <c r="C105" s="83" t="s">
        <v>214</v>
      </c>
      <c r="D105" s="84">
        <f>SUM('Defect P1'!D105,'Defect P2'!D105,RTS!D105)</f>
        <v>0</v>
      </c>
      <c r="E105" s="85">
        <f>SUM('Defect P1'!E105,'Defect P2'!E105,RTS!E105)</f>
        <v>0</v>
      </c>
      <c r="F105" s="85">
        <f>SUM('Defect P1'!F105,'Defect P2'!F105,RTS!F105)</f>
        <v>0</v>
      </c>
      <c r="G105" s="85">
        <f>SUM('Defect P1'!G105,'Defect P2'!G105,RTS!G105)</f>
        <v>0</v>
      </c>
      <c r="H105" s="85">
        <f>SUM('Defect P1'!H105,'Defect P2'!H105,RTS!H105)</f>
        <v>0</v>
      </c>
      <c r="I105" s="85">
        <f>SUM('Defect P1'!I105,'Defect P2'!I105,RTS!I105)</f>
        <v>0</v>
      </c>
      <c r="J105" s="85">
        <f>SUM('Defect P1'!J105,'Defect P2'!J105,RTS!J105)</f>
        <v>0</v>
      </c>
      <c r="K105" s="85">
        <f>SUM('Defect P1'!K105,'Defect P2'!K105,RTS!K105)</f>
        <v>0</v>
      </c>
      <c r="L105" s="85">
        <f>SUM('Defect P1'!L105,'Defect P2'!L105,RTS!L105)</f>
        <v>0</v>
      </c>
      <c r="M105" s="85">
        <f>SUM('Defect P1'!M105,'Defect P2'!M105,RTS!M105)</f>
        <v>0</v>
      </c>
      <c r="N105" s="85">
        <v>0</v>
      </c>
      <c r="O105" s="560">
        <f>SUM('Defect P1'!O105,'Defect P2'!O105,RTS!O105)</f>
        <v>0</v>
      </c>
      <c r="P105" s="561">
        <f>SUM('Defect P1'!P105,'Defect P2'!P105,RTS!P105)</f>
        <v>0</v>
      </c>
      <c r="Q105" s="561">
        <f>SUM('Defect P1'!Q105,'Defect P2'!Q105,RTS!Q105)</f>
        <v>0</v>
      </c>
      <c r="R105" s="561">
        <f>SUM('Defect P1'!R105,'Defect P2'!R105,RTS!R105)</f>
        <v>0</v>
      </c>
      <c r="S105" s="561">
        <f>SUM('Defect P1'!S105,'Defect P2'!S105,RTS!S105)</f>
        <v>0</v>
      </c>
      <c r="T105" s="561">
        <f>SUM('Defect P1'!T105,'Defect P2'!T105,RTS!T105)</f>
        <v>0</v>
      </c>
      <c r="U105" s="561">
        <f>SUM('Defect P1'!U105,'Defect P2'!U105,RTS!U105)</f>
        <v>0</v>
      </c>
      <c r="V105" s="561">
        <f>SUM('Defect P1'!V105,'Defect P2'!V105,RTS!V105)</f>
        <v>0</v>
      </c>
      <c r="W105" s="561">
        <f>SUM('Defect P1'!W105,'Defect P2'!W105,RTS!W105)</f>
        <v>0</v>
      </c>
      <c r="X105" s="561">
        <f>SUM('Defect P1'!X105,'Defect P2'!X105,RTS!X105)</f>
        <v>0</v>
      </c>
      <c r="Y105" s="561">
        <f>SUM('Defect P1'!Y105,'Defect P2'!Y105,RTS!Y105)</f>
        <v>0</v>
      </c>
      <c r="Z105" s="86">
        <f>SUM('Defect P1'!Z105,'Defect P2'!Z105,RTS!Z105)</f>
        <v>0</v>
      </c>
      <c r="AA105" s="87">
        <f>SUM('Defect P1'!AA105,'Defect P2'!AA105,RTS!AA105)</f>
        <v>0</v>
      </c>
      <c r="AB105" s="87">
        <f>SUM('Defect P1'!AB105,'Defect P2'!AB105,RTS!AB105)</f>
        <v>0</v>
      </c>
      <c r="AC105" s="87">
        <f>SUM('Defect P1'!AC105,'Defect P2'!AC105,RTS!AC105)</f>
        <v>0</v>
      </c>
      <c r="AD105" s="87">
        <f>SUM('Defect P1'!AD105,'Defect P2'!AD105,RTS!AD105)</f>
        <v>0</v>
      </c>
      <c r="AE105" s="87">
        <f>SUM('Defect P1'!AE105,'Defect P2'!AE105,RTS!AE105)</f>
        <v>0</v>
      </c>
      <c r="AF105" s="87">
        <f>SUM('Defect P1'!AF105,'Defect P2'!AF105,RTS!AF105)</f>
        <v>0</v>
      </c>
      <c r="AG105" s="87">
        <f>SUM('Defect P1'!AG105,'Defect P2'!AG105,RTS!AG105)</f>
        <v>0</v>
      </c>
      <c r="AH105" s="87">
        <f>SUM('Defect P1'!AH105,'Defect P2'!AH105,RTS!AH105)</f>
        <v>0</v>
      </c>
      <c r="AI105" s="87">
        <f>SUM('Defect P1'!AI105,'Defect P2'!AI105,RTS!AI105)</f>
        <v>0</v>
      </c>
      <c r="AJ105" s="87">
        <f>SUM('Defect P1'!AJ105,'Defect P2'!AJ105,RTS!AJ105)</f>
        <v>0</v>
      </c>
      <c r="AK105" s="88">
        <f t="shared" si="43"/>
        <v>0</v>
      </c>
      <c r="AL105" s="89" cm="1">
        <f t="array" ref="AL105">IFERROR(IF($AM$4="N",SSUM(AF105:AH105)/3,SUM(AG105:AI105)/3),"")</f>
        <v>0</v>
      </c>
      <c r="AM105" s="90">
        <f t="shared" si="44"/>
        <v>0</v>
      </c>
      <c r="AN105" s="91" t="str">
        <f t="shared" si="46"/>
        <v/>
      </c>
      <c r="AO105" s="92" t="str">
        <f t="shared" si="47"/>
        <v/>
      </c>
      <c r="AP105" s="92" t="str">
        <f t="shared" si="48"/>
        <v/>
      </c>
      <c r="AQ105" s="92" t="str">
        <f t="shared" si="49"/>
        <v/>
      </c>
      <c r="AR105" s="92" t="str">
        <f t="shared" si="50"/>
        <v/>
      </c>
      <c r="AS105" s="92" t="str">
        <f t="shared" si="51"/>
        <v/>
      </c>
      <c r="AT105" s="92" t="str">
        <f t="shared" si="52"/>
        <v/>
      </c>
      <c r="AU105" s="92" t="str">
        <f t="shared" si="53"/>
        <v/>
      </c>
      <c r="AV105" s="92" t="str">
        <f t="shared" si="54"/>
        <v/>
      </c>
      <c r="AW105" s="92" t="str">
        <f t="shared" si="38"/>
        <v/>
      </c>
      <c r="AX105" s="92" t="str">
        <f t="shared" si="39"/>
        <v/>
      </c>
      <c r="AY105" s="93" t="str">
        <f t="shared" si="55"/>
        <v/>
      </c>
      <c r="AZ105" s="94" t="str">
        <f t="shared" si="56"/>
        <v/>
      </c>
      <c r="BA105" s="95" t="str">
        <f t="shared" si="57"/>
        <v/>
      </c>
      <c r="BB105" s="96">
        <f>SUM('Defect P1'!CE105,'Defect P2'!CE105,RTS!CE105)</f>
        <v>0</v>
      </c>
      <c r="BC105" s="96">
        <f>SUM('Defect P1'!CF105,'Defect P2'!CF105,RTS!CF105)</f>
        <v>0</v>
      </c>
      <c r="BD105" s="96">
        <f>SUM('Defect P1'!CG105,'Defect P2'!CG105,RTS!CG105)</f>
        <v>0</v>
      </c>
      <c r="BE105" s="96">
        <f>SUM('Defect P1'!CH105,'Defect P2'!CH105,RTS!CH105)</f>
        <v>0</v>
      </c>
      <c r="BF105" s="96">
        <f>SUM('Defect P1'!CI105,'Defect P2'!CI105,RTS!CI105)</f>
        <v>0</v>
      </c>
      <c r="BG105" s="96">
        <f>SUM('Defect P1'!CJ105,'Defect P2'!CJ105,RTS!CJ105)</f>
        <v>0</v>
      </c>
      <c r="BH105" s="96">
        <f>SUM('Defect P1'!CK105,'Defect P2'!CK105,RTS!CK105)</f>
        <v>0</v>
      </c>
      <c r="BI105" s="286">
        <f>SUM('Defect P1'!CL105,'Defect P2'!CL105,RTS!CL105)</f>
        <v>0</v>
      </c>
      <c r="BJ105" s="99" t="str">
        <f t="shared" si="45"/>
        <v/>
      </c>
      <c r="BK105" s="640">
        <f>SUM('Defect P1'!CQ105,'Defect P2'!CQ105,RTS!CQ105)</f>
        <v>0</v>
      </c>
      <c r="BL105" s="97">
        <f>SUM('Defect P1'!CR105,'Defect P2'!CR105,RTS!CR105)</f>
        <v>0</v>
      </c>
      <c r="BM105" s="524">
        <f>SUM('Defect P1'!CS105,'Defect P2'!CS105,RTS!CS105)</f>
        <v>0</v>
      </c>
      <c r="BN105" s="416">
        <f>SUM('Defect P1'!CT105,'Defect P2'!CT105,RTS!CT105)</f>
        <v>0</v>
      </c>
      <c r="BO105" s="97">
        <f>SUM('Defect P1'!CU105,'Defect P2'!CU105,RTS!CU105)</f>
        <v>0</v>
      </c>
      <c r="BP105" s="97">
        <f>SUM('Defect P1'!CV105,'Defect P2'!CV105,RTS!CV105)</f>
        <v>0</v>
      </c>
      <c r="BQ105" s="97">
        <f>SUM('Defect P1'!CW105,'Defect P2'!CW105,RTS!CW105)</f>
        <v>0</v>
      </c>
      <c r="BR105" s="98">
        <f>SUM('Defect P1'!CX105,'Defect P2'!CX105,RTS!CX105)</f>
        <v>0</v>
      </c>
    </row>
    <row r="106" spans="1:71" x14ac:dyDescent="0.25">
      <c r="A106" s="81" t="s">
        <v>196</v>
      </c>
      <c r="B106" s="82" t="s">
        <v>215</v>
      </c>
      <c r="C106" s="83" t="s">
        <v>392</v>
      </c>
      <c r="D106" s="84">
        <f>SUM('Defect P1'!D106,'Defect P2'!D106,RTS!D106)</f>
        <v>0</v>
      </c>
      <c r="E106" s="85">
        <f>SUM('Defect P1'!E106,'Defect P2'!E106,RTS!E106)</f>
        <v>0</v>
      </c>
      <c r="F106" s="85">
        <f>SUM('Defect P1'!F106,'Defect P2'!F106,RTS!F106)</f>
        <v>0</v>
      </c>
      <c r="G106" s="85">
        <f>SUM('Defect P1'!G106,'Defect P2'!G106,RTS!G106)</f>
        <v>0</v>
      </c>
      <c r="H106" s="85">
        <f>SUM('Defect P1'!H106,'Defect P2'!H106,RTS!H106)</f>
        <v>0</v>
      </c>
      <c r="I106" s="85">
        <f>SUM('Defect P1'!I106,'Defect P2'!I106,RTS!I106)</f>
        <v>0</v>
      </c>
      <c r="J106" s="85">
        <f>SUM('Defect P1'!J106,'Defect P2'!J106,RTS!J106)</f>
        <v>0</v>
      </c>
      <c r="K106" s="85">
        <f>SUM('Defect P1'!K106,'Defect P2'!K106,RTS!K106)</f>
        <v>0</v>
      </c>
      <c r="L106" s="85">
        <f>SUM('Defect P1'!L106,'Defect P2'!L106,RTS!L106)</f>
        <v>0</v>
      </c>
      <c r="M106" s="85">
        <f>SUM('Defect P1'!M106,'Defect P2'!M106,RTS!M106)</f>
        <v>0</v>
      </c>
      <c r="N106" s="85">
        <v>0</v>
      </c>
      <c r="O106" s="560">
        <f>SUM('Defect P1'!O106,'Defect P2'!O106,RTS!O106)</f>
        <v>0</v>
      </c>
      <c r="P106" s="561">
        <f>SUM('Defect P1'!P106,'Defect P2'!P106,RTS!P106)</f>
        <v>0</v>
      </c>
      <c r="Q106" s="561">
        <f>SUM('Defect P1'!Q106,'Defect P2'!Q106,RTS!Q106)</f>
        <v>0</v>
      </c>
      <c r="R106" s="561">
        <f>SUM('Defect P1'!R106,'Defect P2'!R106,RTS!R106)</f>
        <v>0</v>
      </c>
      <c r="S106" s="561">
        <f>SUM('Defect P1'!S106,'Defect P2'!S106,RTS!S106)</f>
        <v>0</v>
      </c>
      <c r="T106" s="561">
        <f>SUM('Defect P1'!T106,'Defect P2'!T106,RTS!T106)</f>
        <v>0</v>
      </c>
      <c r="U106" s="561">
        <f>SUM('Defect P1'!U106,'Defect P2'!U106,RTS!U106)</f>
        <v>0</v>
      </c>
      <c r="V106" s="561">
        <f>SUM('Defect P1'!V106,'Defect P2'!V106,RTS!V106)</f>
        <v>0</v>
      </c>
      <c r="W106" s="561">
        <f>SUM('Defect P1'!W106,'Defect P2'!W106,RTS!W106)</f>
        <v>0</v>
      </c>
      <c r="X106" s="561">
        <f>SUM('Defect P1'!X106,'Defect P2'!X106,RTS!X106)</f>
        <v>0</v>
      </c>
      <c r="Y106" s="561">
        <f>SUM('Defect P1'!Y106,'Defect P2'!Y106,RTS!Y106)</f>
        <v>0</v>
      </c>
      <c r="Z106" s="86">
        <f>SUM('Defect P1'!Z106,'Defect P2'!Z106,RTS!Z106)</f>
        <v>0</v>
      </c>
      <c r="AA106" s="87">
        <f>SUM('Defect P1'!AA106,'Defect P2'!AA106,RTS!AA106)</f>
        <v>0</v>
      </c>
      <c r="AB106" s="87">
        <f>SUM('Defect P1'!AB106,'Defect P2'!AB106,RTS!AB106)</f>
        <v>0</v>
      </c>
      <c r="AC106" s="87">
        <f>SUM('Defect P1'!AC106,'Defect P2'!AC106,RTS!AC106)</f>
        <v>0</v>
      </c>
      <c r="AD106" s="87">
        <f>SUM('Defect P1'!AD106,'Defect P2'!AD106,RTS!AD106)</f>
        <v>0</v>
      </c>
      <c r="AE106" s="87">
        <f>SUM('Defect P1'!AE106,'Defect P2'!AE106,RTS!AE106)</f>
        <v>0</v>
      </c>
      <c r="AF106" s="87">
        <f>SUM('Defect P1'!AF106,'Defect P2'!AF106,RTS!AF106)</f>
        <v>0</v>
      </c>
      <c r="AG106" s="87">
        <f>SUM('Defect P1'!AG106,'Defect P2'!AG106,RTS!AG106)</f>
        <v>0</v>
      </c>
      <c r="AH106" s="87">
        <f>SUM('Defect P1'!AH106,'Defect P2'!AH106,RTS!AH106)</f>
        <v>0</v>
      </c>
      <c r="AI106" s="87">
        <f>SUM('Defect P1'!AI106,'Defect P2'!AI106,RTS!AI106)</f>
        <v>0</v>
      </c>
      <c r="AJ106" s="87">
        <f>SUM('Defect P1'!AJ106,'Defect P2'!AJ106,RTS!AJ106)</f>
        <v>0</v>
      </c>
      <c r="AK106" s="88">
        <f t="shared" si="43"/>
        <v>0</v>
      </c>
      <c r="AL106" s="89" cm="1">
        <f t="array" ref="AL106">IFERROR(IF($AM$4="N",SSUM(AF106:AH106)/3,SUM(AG106:AI106)/3),"")</f>
        <v>0</v>
      </c>
      <c r="AM106" s="90">
        <f t="shared" si="44"/>
        <v>0</v>
      </c>
      <c r="AN106" s="91" t="str">
        <f t="shared" si="46"/>
        <v/>
      </c>
      <c r="AO106" s="92" t="str">
        <f t="shared" si="47"/>
        <v/>
      </c>
      <c r="AP106" s="92" t="str">
        <f t="shared" si="48"/>
        <v/>
      </c>
      <c r="AQ106" s="92" t="str">
        <f t="shared" si="49"/>
        <v/>
      </c>
      <c r="AR106" s="92" t="str">
        <f t="shared" si="50"/>
        <v/>
      </c>
      <c r="AS106" s="92" t="str">
        <f t="shared" si="51"/>
        <v/>
      </c>
      <c r="AT106" s="92" t="str">
        <f t="shared" si="52"/>
        <v/>
      </c>
      <c r="AU106" s="92" t="str">
        <f t="shared" si="53"/>
        <v/>
      </c>
      <c r="AV106" s="92" t="str">
        <f t="shared" si="54"/>
        <v/>
      </c>
      <c r="AW106" s="92" t="str">
        <f t="shared" si="38"/>
        <v/>
      </c>
      <c r="AX106" s="92" t="str">
        <f t="shared" si="39"/>
        <v/>
      </c>
      <c r="AY106" s="93" t="str">
        <f t="shared" si="55"/>
        <v/>
      </c>
      <c r="AZ106" s="94" t="str">
        <f t="shared" si="56"/>
        <v/>
      </c>
      <c r="BA106" s="95" t="str">
        <f t="shared" si="57"/>
        <v/>
      </c>
      <c r="BB106" s="96">
        <f>SUM('Defect P1'!CE106,'Defect P2'!CE106,RTS!CE106)</f>
        <v>0</v>
      </c>
      <c r="BC106" s="96">
        <f>SUM('Defect P1'!CF106,'Defect P2'!CF106,RTS!CF106)</f>
        <v>0</v>
      </c>
      <c r="BD106" s="96">
        <f>SUM('Defect P1'!CG106,'Defect P2'!CG106,RTS!CG106)</f>
        <v>0</v>
      </c>
      <c r="BE106" s="96">
        <f>SUM('Defect P1'!CH106,'Defect P2'!CH106,RTS!CH106)</f>
        <v>0</v>
      </c>
      <c r="BF106" s="96">
        <f>SUM('Defect P1'!CI106,'Defect P2'!CI106,RTS!CI106)</f>
        <v>0</v>
      </c>
      <c r="BG106" s="96">
        <f>SUM('Defect P1'!CJ106,'Defect P2'!CJ106,RTS!CJ106)</f>
        <v>0</v>
      </c>
      <c r="BH106" s="96">
        <f>SUM('Defect P1'!CK106,'Defect P2'!CK106,RTS!CK106)</f>
        <v>0</v>
      </c>
      <c r="BI106" s="286">
        <f>SUM('Defect P1'!CL106,'Defect P2'!CL106,RTS!CL106)</f>
        <v>0</v>
      </c>
      <c r="BJ106" s="99" t="str">
        <f t="shared" si="45"/>
        <v/>
      </c>
      <c r="BK106" s="640">
        <f>SUM('Defect P1'!CQ106,'Defect P2'!CQ106,RTS!CQ106)</f>
        <v>0</v>
      </c>
      <c r="BL106" s="97">
        <f>SUM('Defect P1'!CR106,'Defect P2'!CR106,RTS!CR106)</f>
        <v>0</v>
      </c>
      <c r="BM106" s="524">
        <f>SUM('Defect P1'!CS106,'Defect P2'!CS106,RTS!CS106)</f>
        <v>0</v>
      </c>
      <c r="BN106" s="416">
        <f>SUM('Defect P1'!CT106,'Defect P2'!CT106,RTS!CT106)</f>
        <v>0</v>
      </c>
      <c r="BO106" s="97">
        <f>SUM('Defect P1'!CU106,'Defect P2'!CU106,RTS!CU106)</f>
        <v>0</v>
      </c>
      <c r="BP106" s="97">
        <f>SUM('Defect P1'!CV106,'Defect P2'!CV106,RTS!CV106)</f>
        <v>0</v>
      </c>
      <c r="BQ106" s="97">
        <f>SUM('Defect P1'!CW106,'Defect P2'!CW106,RTS!CW106)</f>
        <v>0</v>
      </c>
      <c r="BR106" s="98">
        <f>SUM('Defect P1'!CX106,'Defect P2'!CX106,RTS!CX106)</f>
        <v>0</v>
      </c>
    </row>
    <row r="107" spans="1:71" x14ac:dyDescent="0.25">
      <c r="A107" s="81" t="s">
        <v>196</v>
      </c>
      <c r="B107" s="82" t="s">
        <v>217</v>
      </c>
      <c r="C107" s="83" t="s">
        <v>218</v>
      </c>
      <c r="D107" s="84">
        <f>SUM('Defect P1'!D107,'Defect P2'!D107,RTS!D107)</f>
        <v>0</v>
      </c>
      <c r="E107" s="85">
        <f>SUM('Defect P1'!E107,'Defect P2'!E107,RTS!E107)</f>
        <v>0</v>
      </c>
      <c r="F107" s="85">
        <f>SUM('Defect P1'!F107,'Defect P2'!F107,RTS!F107)</f>
        <v>0</v>
      </c>
      <c r="G107" s="85">
        <f>SUM('Defect P1'!G107,'Defect P2'!G107,RTS!G107)</f>
        <v>0</v>
      </c>
      <c r="H107" s="85">
        <f>SUM('Defect P1'!H107,'Defect P2'!H107,RTS!H107)</f>
        <v>0</v>
      </c>
      <c r="I107" s="85">
        <f>SUM('Defect P1'!I107,'Defect P2'!I107,RTS!I107)</f>
        <v>0</v>
      </c>
      <c r="J107" s="85">
        <f>SUM('Defect P1'!J107,'Defect P2'!J107,RTS!J107)</f>
        <v>0</v>
      </c>
      <c r="K107" s="85">
        <f>SUM('Defect P1'!K107,'Defect P2'!K107,RTS!K107)</f>
        <v>0</v>
      </c>
      <c r="L107" s="85">
        <f>SUM('Defect P1'!L107,'Defect P2'!L107,RTS!L107)</f>
        <v>0</v>
      </c>
      <c r="M107" s="85">
        <f>SUM('Defect P1'!M107,'Defect P2'!M107,RTS!M107)</f>
        <v>0</v>
      </c>
      <c r="N107" s="85">
        <v>0</v>
      </c>
      <c r="O107" s="560">
        <f>SUM('Defect P1'!O107,'Defect P2'!O107,RTS!O107)</f>
        <v>0</v>
      </c>
      <c r="P107" s="561">
        <f>SUM('Defect P1'!P107,'Defect P2'!P107,RTS!P107)</f>
        <v>0</v>
      </c>
      <c r="Q107" s="561">
        <f>SUM('Defect P1'!Q107,'Defect P2'!Q107,RTS!Q107)</f>
        <v>0</v>
      </c>
      <c r="R107" s="561">
        <f>SUM('Defect P1'!R107,'Defect P2'!R107,RTS!R107)</f>
        <v>0</v>
      </c>
      <c r="S107" s="561">
        <f>SUM('Defect P1'!S107,'Defect P2'!S107,RTS!S107)</f>
        <v>0</v>
      </c>
      <c r="T107" s="561">
        <f>SUM('Defect P1'!T107,'Defect P2'!T107,RTS!T107)</f>
        <v>0</v>
      </c>
      <c r="U107" s="561">
        <f>SUM('Defect P1'!U107,'Defect P2'!U107,RTS!U107)</f>
        <v>0</v>
      </c>
      <c r="V107" s="561">
        <f>SUM('Defect P1'!V107,'Defect P2'!V107,RTS!V107)</f>
        <v>0</v>
      </c>
      <c r="W107" s="561">
        <f>SUM('Defect P1'!W107,'Defect P2'!W107,RTS!W107)</f>
        <v>0</v>
      </c>
      <c r="X107" s="561">
        <f>SUM('Defect P1'!X107,'Defect P2'!X107,RTS!X107)</f>
        <v>0</v>
      </c>
      <c r="Y107" s="561">
        <f>SUM('Defect P1'!Y107,'Defect P2'!Y107,RTS!Y107)</f>
        <v>0</v>
      </c>
      <c r="Z107" s="86">
        <f>SUM('Defect P1'!Z107,'Defect P2'!Z107,RTS!Z107)</f>
        <v>0</v>
      </c>
      <c r="AA107" s="87">
        <f>SUM('Defect P1'!AA107,'Defect P2'!AA107,RTS!AA107)</f>
        <v>0</v>
      </c>
      <c r="AB107" s="87">
        <f>SUM('Defect P1'!AB107,'Defect P2'!AB107,RTS!AB107)</f>
        <v>0</v>
      </c>
      <c r="AC107" s="87">
        <f>SUM('Defect P1'!AC107,'Defect P2'!AC107,RTS!AC107)</f>
        <v>0</v>
      </c>
      <c r="AD107" s="87">
        <f>SUM('Defect P1'!AD107,'Defect P2'!AD107,RTS!AD107)</f>
        <v>0</v>
      </c>
      <c r="AE107" s="87">
        <f>SUM('Defect P1'!AE107,'Defect P2'!AE107,RTS!AE107)</f>
        <v>0</v>
      </c>
      <c r="AF107" s="87">
        <f>SUM('Defect P1'!AF107,'Defect P2'!AF107,RTS!AF107)</f>
        <v>0</v>
      </c>
      <c r="AG107" s="87">
        <f>SUM('Defect P1'!AG107,'Defect P2'!AG107,RTS!AG107)</f>
        <v>0</v>
      </c>
      <c r="AH107" s="87">
        <f>SUM('Defect P1'!AH107,'Defect P2'!AH107,RTS!AH107)</f>
        <v>0</v>
      </c>
      <c r="AI107" s="87">
        <f>SUM('Defect P1'!AI107,'Defect P2'!AI107,RTS!AI107)</f>
        <v>0</v>
      </c>
      <c r="AJ107" s="87">
        <f>SUM('Defect P1'!AJ107,'Defect P2'!AJ107,RTS!AJ107)</f>
        <v>0</v>
      </c>
      <c r="AK107" s="88">
        <f t="shared" si="43"/>
        <v>0</v>
      </c>
      <c r="AL107" s="89" cm="1">
        <f t="array" ref="AL107">IFERROR(IF($AM$4="N",SSUM(AF107:AH107)/3,SUM(AG107:AI107)/3),"")</f>
        <v>0</v>
      </c>
      <c r="AM107" s="90">
        <f t="shared" si="44"/>
        <v>0</v>
      </c>
      <c r="AN107" s="91" t="str">
        <f t="shared" si="46"/>
        <v/>
      </c>
      <c r="AO107" s="92" t="str">
        <f t="shared" si="47"/>
        <v/>
      </c>
      <c r="AP107" s="92" t="str">
        <f t="shared" si="48"/>
        <v/>
      </c>
      <c r="AQ107" s="92" t="str">
        <f t="shared" si="49"/>
        <v/>
      </c>
      <c r="AR107" s="92" t="str">
        <f t="shared" si="50"/>
        <v/>
      </c>
      <c r="AS107" s="92" t="str">
        <f t="shared" si="51"/>
        <v/>
      </c>
      <c r="AT107" s="92" t="str">
        <f t="shared" si="52"/>
        <v/>
      </c>
      <c r="AU107" s="92" t="str">
        <f t="shared" si="53"/>
        <v/>
      </c>
      <c r="AV107" s="92" t="str">
        <f t="shared" si="54"/>
        <v/>
      </c>
      <c r="AW107" s="92" t="str">
        <f t="shared" si="38"/>
        <v/>
      </c>
      <c r="AX107" s="92" t="str">
        <f t="shared" si="39"/>
        <v/>
      </c>
      <c r="AY107" s="93" t="str">
        <f t="shared" si="55"/>
        <v/>
      </c>
      <c r="AZ107" s="94" t="str">
        <f t="shared" si="56"/>
        <v/>
      </c>
      <c r="BA107" s="95" t="str">
        <f t="shared" si="57"/>
        <v/>
      </c>
      <c r="BB107" s="96">
        <f>SUM('Defect P1'!CE107,'Defect P2'!CE107,RTS!CE107)</f>
        <v>0</v>
      </c>
      <c r="BC107" s="96">
        <f>SUM('Defect P1'!CF107,'Defect P2'!CF107,RTS!CF107)</f>
        <v>0</v>
      </c>
      <c r="BD107" s="96">
        <f>SUM('Defect P1'!CG107,'Defect P2'!CG107,RTS!CG107)</f>
        <v>0</v>
      </c>
      <c r="BE107" s="96">
        <f>SUM('Defect P1'!CH107,'Defect P2'!CH107,RTS!CH107)</f>
        <v>0</v>
      </c>
      <c r="BF107" s="96">
        <f>SUM('Defect P1'!CI107,'Defect P2'!CI107,RTS!CI107)</f>
        <v>0</v>
      </c>
      <c r="BG107" s="96">
        <f>SUM('Defect P1'!CJ107,'Defect P2'!CJ107,RTS!CJ107)</f>
        <v>0</v>
      </c>
      <c r="BH107" s="96">
        <f>SUM('Defect P1'!CK107,'Defect P2'!CK107,RTS!CK107)</f>
        <v>0</v>
      </c>
      <c r="BI107" s="286">
        <f>SUM('Defect P1'!CL107,'Defect P2'!CL107,RTS!CL107)</f>
        <v>0</v>
      </c>
      <c r="BJ107" s="99" t="str">
        <f t="shared" si="45"/>
        <v/>
      </c>
      <c r="BK107" s="640">
        <f>SUM('Defect P1'!CQ107,'Defect P2'!CQ107,RTS!CQ107)</f>
        <v>0</v>
      </c>
      <c r="BL107" s="97">
        <f>SUM('Defect P1'!CR107,'Defect P2'!CR107,RTS!CR107)</f>
        <v>0</v>
      </c>
      <c r="BM107" s="524">
        <f>SUM('Defect P1'!CS107,'Defect P2'!CS107,RTS!CS107)</f>
        <v>0</v>
      </c>
      <c r="BN107" s="416">
        <f>SUM('Defect P1'!CT107,'Defect P2'!CT107,RTS!CT107)</f>
        <v>0</v>
      </c>
      <c r="BO107" s="97">
        <f>SUM('Defect P1'!CU107,'Defect P2'!CU107,RTS!CU107)</f>
        <v>0</v>
      </c>
      <c r="BP107" s="97">
        <f>SUM('Defect P1'!CV107,'Defect P2'!CV107,RTS!CV107)</f>
        <v>0</v>
      </c>
      <c r="BQ107" s="97">
        <f>SUM('Defect P1'!CW107,'Defect P2'!CW107,RTS!CW107)</f>
        <v>0</v>
      </c>
      <c r="BR107" s="98">
        <f>SUM('Defect P1'!CX107,'Defect P2'!CX107,RTS!CX107)</f>
        <v>0</v>
      </c>
    </row>
    <row r="108" spans="1:71" x14ac:dyDescent="0.25">
      <c r="A108" s="81" t="s">
        <v>196</v>
      </c>
      <c r="B108" s="82" t="s">
        <v>219</v>
      </c>
      <c r="C108" s="83" t="s">
        <v>220</v>
      </c>
      <c r="D108" s="84">
        <f>SUM('Defect P1'!D108,'Defect P2'!D108,RTS!D108)</f>
        <v>0</v>
      </c>
      <c r="E108" s="85">
        <f>SUM('Defect P1'!E108,'Defect P2'!E108,RTS!E108)</f>
        <v>0</v>
      </c>
      <c r="F108" s="85">
        <f>SUM('Defect P1'!F108,'Defect P2'!F108,RTS!F108)</f>
        <v>0</v>
      </c>
      <c r="G108" s="85">
        <f>SUM('Defect P1'!G108,'Defect P2'!G108,RTS!G108)</f>
        <v>0</v>
      </c>
      <c r="H108" s="85">
        <f>SUM('Defect P1'!H108,'Defect P2'!H108,RTS!H108)</f>
        <v>0</v>
      </c>
      <c r="I108" s="85">
        <f>SUM('Defect P1'!I108,'Defect P2'!I108,RTS!I108)</f>
        <v>0</v>
      </c>
      <c r="J108" s="85">
        <f>SUM('Defect P1'!J108,'Defect P2'!J108,RTS!J108)</f>
        <v>0</v>
      </c>
      <c r="K108" s="85">
        <f>SUM('Defect P1'!K108,'Defect P2'!K108,RTS!K108)</f>
        <v>0</v>
      </c>
      <c r="L108" s="85">
        <f>SUM('Defect P1'!L108,'Defect P2'!L108,RTS!L108)</f>
        <v>0</v>
      </c>
      <c r="M108" s="85">
        <f>SUM('Defect P1'!M108,'Defect P2'!M108,RTS!M108)</f>
        <v>0</v>
      </c>
      <c r="N108" s="85">
        <v>0</v>
      </c>
      <c r="O108" s="560">
        <f>SUM('Defect P1'!O108,'Defect P2'!O108,RTS!O108)</f>
        <v>0</v>
      </c>
      <c r="P108" s="561">
        <f>SUM('Defect P1'!P108,'Defect P2'!P108,RTS!P108)</f>
        <v>0</v>
      </c>
      <c r="Q108" s="561">
        <f>SUM('Defect P1'!Q108,'Defect P2'!Q108,RTS!Q108)</f>
        <v>0</v>
      </c>
      <c r="R108" s="561">
        <f>SUM('Defect P1'!R108,'Defect P2'!R108,RTS!R108)</f>
        <v>0</v>
      </c>
      <c r="S108" s="561">
        <f>SUM('Defect P1'!S108,'Defect P2'!S108,RTS!S108)</f>
        <v>0</v>
      </c>
      <c r="T108" s="561">
        <f>SUM('Defect P1'!T108,'Defect P2'!T108,RTS!T108)</f>
        <v>0</v>
      </c>
      <c r="U108" s="561">
        <f>SUM('Defect P1'!U108,'Defect P2'!U108,RTS!U108)</f>
        <v>0</v>
      </c>
      <c r="V108" s="561">
        <f>SUM('Defect P1'!V108,'Defect P2'!V108,RTS!V108)</f>
        <v>0</v>
      </c>
      <c r="W108" s="561">
        <f>SUM('Defect P1'!W108,'Defect P2'!W108,RTS!W108)</f>
        <v>0</v>
      </c>
      <c r="X108" s="561">
        <f>SUM('Defect P1'!X108,'Defect P2'!X108,RTS!X108)</f>
        <v>0</v>
      </c>
      <c r="Y108" s="561">
        <f>SUM('Defect P1'!Y108,'Defect P2'!Y108,RTS!Y108)</f>
        <v>0</v>
      </c>
      <c r="Z108" s="86">
        <f>SUM('Defect P1'!Z108,'Defect P2'!Z108,RTS!Z108)</f>
        <v>0</v>
      </c>
      <c r="AA108" s="87">
        <f>SUM('Defect P1'!AA108,'Defect P2'!AA108,RTS!AA108)</f>
        <v>0</v>
      </c>
      <c r="AB108" s="87">
        <f>SUM('Defect P1'!AB108,'Defect P2'!AB108,RTS!AB108)</f>
        <v>0</v>
      </c>
      <c r="AC108" s="87">
        <f>SUM('Defect P1'!AC108,'Defect P2'!AC108,RTS!AC108)</f>
        <v>0</v>
      </c>
      <c r="AD108" s="87">
        <f>SUM('Defect P1'!AD108,'Defect P2'!AD108,RTS!AD108)</f>
        <v>0</v>
      </c>
      <c r="AE108" s="87">
        <f>SUM('Defect P1'!AE108,'Defect P2'!AE108,RTS!AE108)</f>
        <v>0</v>
      </c>
      <c r="AF108" s="87">
        <f>SUM('Defect P1'!AF108,'Defect P2'!AF108,RTS!AF108)</f>
        <v>0</v>
      </c>
      <c r="AG108" s="87">
        <f>SUM('Defect P1'!AG108,'Defect P2'!AG108,RTS!AG108)</f>
        <v>0</v>
      </c>
      <c r="AH108" s="87">
        <f>SUM('Defect P1'!AH108,'Defect P2'!AH108,RTS!AH108)</f>
        <v>0</v>
      </c>
      <c r="AI108" s="87">
        <f>SUM('Defect P1'!AI108,'Defect P2'!AI108,RTS!AI108)</f>
        <v>0</v>
      </c>
      <c r="AJ108" s="87">
        <f>SUM('Defect P1'!AJ108,'Defect P2'!AJ108,RTS!AJ108)</f>
        <v>0</v>
      </c>
      <c r="AK108" s="88">
        <f t="shared" si="43"/>
        <v>0</v>
      </c>
      <c r="AL108" s="89" cm="1">
        <f t="array" ref="AL108">IFERROR(IF($AM$4="N",SSUM(AF108:AH108)/3,SUM(AG108:AI108)/3),"")</f>
        <v>0</v>
      </c>
      <c r="AM108" s="90">
        <f t="shared" si="44"/>
        <v>0</v>
      </c>
      <c r="AN108" s="91" t="str">
        <f t="shared" si="46"/>
        <v/>
      </c>
      <c r="AO108" s="92" t="str">
        <f t="shared" si="47"/>
        <v/>
      </c>
      <c r="AP108" s="92" t="str">
        <f t="shared" si="48"/>
        <v/>
      </c>
      <c r="AQ108" s="92" t="str">
        <f t="shared" si="49"/>
        <v/>
      </c>
      <c r="AR108" s="92" t="str">
        <f t="shared" si="50"/>
        <v/>
      </c>
      <c r="AS108" s="92" t="str">
        <f t="shared" si="51"/>
        <v/>
      </c>
      <c r="AT108" s="92" t="str">
        <f t="shared" si="52"/>
        <v/>
      </c>
      <c r="AU108" s="92" t="str">
        <f t="shared" si="53"/>
        <v/>
      </c>
      <c r="AV108" s="92" t="str">
        <f t="shared" si="54"/>
        <v/>
      </c>
      <c r="AW108" s="92" t="str">
        <f t="shared" si="38"/>
        <v/>
      </c>
      <c r="AX108" s="92" t="str">
        <f t="shared" si="39"/>
        <v/>
      </c>
      <c r="AY108" s="93" t="str">
        <f t="shared" si="55"/>
        <v/>
      </c>
      <c r="AZ108" s="94" t="str">
        <f t="shared" si="56"/>
        <v/>
      </c>
      <c r="BA108" s="95" t="str">
        <f t="shared" si="57"/>
        <v/>
      </c>
      <c r="BB108" s="96">
        <f>SUM('Defect P1'!CE108,'Defect P2'!CE108,RTS!CE108)</f>
        <v>0</v>
      </c>
      <c r="BC108" s="96">
        <f>SUM('Defect P1'!CF108,'Defect P2'!CF108,RTS!CF108)</f>
        <v>0</v>
      </c>
      <c r="BD108" s="96">
        <f>SUM('Defect P1'!CG108,'Defect P2'!CG108,RTS!CG108)</f>
        <v>0</v>
      </c>
      <c r="BE108" s="96">
        <f>SUM('Defect P1'!CH108,'Defect P2'!CH108,RTS!CH108)</f>
        <v>0</v>
      </c>
      <c r="BF108" s="96">
        <f>SUM('Defect P1'!CI108,'Defect P2'!CI108,RTS!CI108)</f>
        <v>0</v>
      </c>
      <c r="BG108" s="96">
        <f>SUM('Defect P1'!CJ108,'Defect P2'!CJ108,RTS!CJ108)</f>
        <v>0</v>
      </c>
      <c r="BH108" s="96">
        <f>SUM('Defect P1'!CK108,'Defect P2'!CK108,RTS!CK108)</f>
        <v>0</v>
      </c>
      <c r="BI108" s="286">
        <f>SUM('Defect P1'!CL108,'Defect P2'!CL108,RTS!CL108)</f>
        <v>0</v>
      </c>
      <c r="BJ108" s="99" t="str">
        <f t="shared" si="45"/>
        <v/>
      </c>
      <c r="BK108" s="640">
        <f>SUM('Defect P1'!CQ108,'Defect P2'!CQ108,RTS!CQ108)</f>
        <v>0</v>
      </c>
      <c r="BL108" s="97">
        <f>SUM('Defect P1'!CR108,'Defect P2'!CR108,RTS!CR108)</f>
        <v>0</v>
      </c>
      <c r="BM108" s="524">
        <f>SUM('Defect P1'!CS108,'Defect P2'!CS108,RTS!CS108)</f>
        <v>0</v>
      </c>
      <c r="BN108" s="416">
        <f>SUM('Defect P1'!CT108,'Defect P2'!CT108,RTS!CT108)</f>
        <v>0</v>
      </c>
      <c r="BO108" s="97">
        <f>SUM('Defect P1'!CU108,'Defect P2'!CU108,RTS!CU108)</f>
        <v>0</v>
      </c>
      <c r="BP108" s="97">
        <f>SUM('Defect P1'!CV108,'Defect P2'!CV108,RTS!CV108)</f>
        <v>0</v>
      </c>
      <c r="BQ108" s="97">
        <f>SUM('Defect P1'!CW108,'Defect P2'!CW108,RTS!CW108)</f>
        <v>0</v>
      </c>
      <c r="BR108" s="98">
        <f>SUM('Defect P1'!CX108,'Defect P2'!CX108,RTS!CX108)</f>
        <v>0</v>
      </c>
    </row>
    <row r="109" spans="1:71" ht="15.75" thickBot="1" x14ac:dyDescent="0.3">
      <c r="A109" s="100" t="s">
        <v>196</v>
      </c>
      <c r="B109" s="101" t="s">
        <v>393</v>
      </c>
      <c r="C109" s="102" t="s">
        <v>394</v>
      </c>
      <c r="D109" s="103">
        <f>SUM('Defect P1'!D109,'Defect P2'!D109,RTS!D109)</f>
        <v>0</v>
      </c>
      <c r="E109" s="104">
        <f>SUM('Defect P1'!E109,'Defect P2'!E109,RTS!E109)</f>
        <v>0</v>
      </c>
      <c r="F109" s="104">
        <f>SUM('Defect P1'!F109,'Defect P2'!F109,RTS!F109)</f>
        <v>48021.935764918941</v>
      </c>
      <c r="G109" s="104">
        <f>SUM('Defect P1'!G109,'Defect P2'!G109,RTS!G109)</f>
        <v>0</v>
      </c>
      <c r="H109" s="104">
        <f>SUM('Defect P1'!H109,'Defect P2'!H109,RTS!H109)</f>
        <v>0</v>
      </c>
      <c r="I109" s="104">
        <f>SUM('Defect P1'!I109,'Defect P2'!I109,RTS!I109)</f>
        <v>0</v>
      </c>
      <c r="J109" s="104">
        <f>SUM('Defect P1'!J109,'Defect P2'!J109,RTS!J109)</f>
        <v>0</v>
      </c>
      <c r="K109" s="104">
        <f>SUM('Defect P1'!K109,'Defect P2'!K109,RTS!K109)</f>
        <v>0</v>
      </c>
      <c r="L109" s="104">
        <f>SUM('Defect P1'!L109,'Defect P2'!L109,RTS!L109)</f>
        <v>0</v>
      </c>
      <c r="M109" s="104">
        <f>SUM('Defect P1'!M109,'Defect P2'!M109,RTS!M109)</f>
        <v>0</v>
      </c>
      <c r="N109" s="104">
        <v>0</v>
      </c>
      <c r="O109" s="563">
        <f>SUM('Defect P1'!O109,'Defect P2'!O109,RTS!O109)</f>
        <v>0</v>
      </c>
      <c r="P109" s="564">
        <f>SUM('Defect P1'!P109,'Defect P2'!P109,RTS!P109)</f>
        <v>0</v>
      </c>
      <c r="Q109" s="564">
        <f>SUM('Defect P1'!Q109,'Defect P2'!Q109,RTS!Q109)</f>
        <v>63005.055740914941</v>
      </c>
      <c r="R109" s="564">
        <f>SUM('Defect P1'!R109,'Defect P2'!R109,RTS!R109)</f>
        <v>0</v>
      </c>
      <c r="S109" s="564">
        <f>SUM('Defect P1'!S109,'Defect P2'!S109,RTS!S109)</f>
        <v>0</v>
      </c>
      <c r="T109" s="564">
        <f>SUM('Defect P1'!T109,'Defect P2'!T109,RTS!T109)</f>
        <v>0</v>
      </c>
      <c r="U109" s="564">
        <f>SUM('Defect P1'!U109,'Defect P2'!U109,RTS!U109)</f>
        <v>0</v>
      </c>
      <c r="V109" s="564">
        <f>SUM('Defect P1'!V109,'Defect P2'!V109,RTS!V109)</f>
        <v>0</v>
      </c>
      <c r="W109" s="564">
        <f>SUM('Defect P1'!W109,'Defect P2'!W109,RTS!W109)</f>
        <v>0</v>
      </c>
      <c r="X109" s="564">
        <f>SUM('Defect P1'!X109,'Defect P2'!X109,RTS!X109)</f>
        <v>0</v>
      </c>
      <c r="Y109" s="564">
        <f>SUM('Defect P1'!Y109,'Defect P2'!Y109,RTS!Y109)</f>
        <v>0</v>
      </c>
      <c r="Z109" s="105">
        <f>SUM('Defect P1'!Z109,'Defect P2'!Z109,RTS!Z109)</f>
        <v>0</v>
      </c>
      <c r="AA109" s="106">
        <f>SUM('Defect P1'!AA109,'Defect P2'!AA109,RTS!AA109)</f>
        <v>0</v>
      </c>
      <c r="AB109" s="106">
        <f>SUM('Defect P1'!AB109,'Defect P2'!AB109,RTS!AB109)</f>
        <v>1</v>
      </c>
      <c r="AC109" s="106">
        <f>SUM('Defect P1'!AC109,'Defect P2'!AC109,RTS!AC109)</f>
        <v>0</v>
      </c>
      <c r="AD109" s="106">
        <f>SUM('Defect P1'!AD109,'Defect P2'!AD109,RTS!AD109)</f>
        <v>0</v>
      </c>
      <c r="AE109" s="106">
        <f>SUM('Defect P1'!AE109,'Defect P2'!AE109,RTS!AE109)</f>
        <v>0</v>
      </c>
      <c r="AF109" s="106">
        <f>SUM('Defect P1'!AF109,'Defect P2'!AF109,RTS!AF109)</f>
        <v>0</v>
      </c>
      <c r="AG109" s="106">
        <f>SUM('Defect P1'!AG109,'Defect P2'!AG109,RTS!AG109)</f>
        <v>0</v>
      </c>
      <c r="AH109" s="106">
        <f>SUM('Defect P1'!AH109,'Defect P2'!AH109,RTS!AH109)</f>
        <v>0</v>
      </c>
      <c r="AI109" s="106">
        <f>SUM('Defect P1'!AI109,'Defect P2'!AI109,RTS!AI109)</f>
        <v>0</v>
      </c>
      <c r="AJ109" s="106">
        <f>SUM('Defect P1'!AJ109,'Defect P2'!AJ109,RTS!AJ109)</f>
        <v>0</v>
      </c>
      <c r="AK109" s="107">
        <f t="shared" si="43"/>
        <v>0</v>
      </c>
      <c r="AL109" s="108" cm="1">
        <f t="array" ref="AL109">IFERROR(IF($AM$4="N",SSUM(AF109:AH109)/3,SUM(AG109:AI109)/3),"")</f>
        <v>0</v>
      </c>
      <c r="AM109" s="109">
        <f t="shared" si="44"/>
        <v>0</v>
      </c>
      <c r="AN109" s="110" t="str">
        <f t="shared" si="46"/>
        <v/>
      </c>
      <c r="AO109" s="111" t="str">
        <f t="shared" si="47"/>
        <v/>
      </c>
      <c r="AP109" s="111">
        <f t="shared" si="48"/>
        <v>48021.935764918941</v>
      </c>
      <c r="AQ109" s="111" t="str">
        <f t="shared" si="49"/>
        <v/>
      </c>
      <c r="AR109" s="111" t="str">
        <f t="shared" si="50"/>
        <v/>
      </c>
      <c r="AS109" s="111" t="str">
        <f t="shared" si="51"/>
        <v/>
      </c>
      <c r="AT109" s="111" t="str">
        <f t="shared" si="52"/>
        <v/>
      </c>
      <c r="AU109" s="111" t="str">
        <f t="shared" si="53"/>
        <v/>
      </c>
      <c r="AV109" s="111" t="str">
        <f t="shared" si="54"/>
        <v/>
      </c>
      <c r="AW109" s="111" t="str">
        <f t="shared" si="38"/>
        <v/>
      </c>
      <c r="AX109" s="111" t="str">
        <f t="shared" si="39"/>
        <v/>
      </c>
      <c r="AY109" s="112" t="str">
        <f t="shared" si="55"/>
        <v/>
      </c>
      <c r="AZ109" s="113" t="str">
        <f t="shared" si="56"/>
        <v/>
      </c>
      <c r="BA109" s="114" t="str">
        <f t="shared" si="57"/>
        <v/>
      </c>
      <c r="BB109" s="115">
        <f>SUM('Defect P1'!CE109,'Defect P2'!CE109,RTS!CE109)</f>
        <v>0</v>
      </c>
      <c r="BC109" s="115">
        <f>SUM('Defect P1'!CF109,'Defect P2'!CF109,RTS!CF109)</f>
        <v>0</v>
      </c>
      <c r="BD109" s="115">
        <f>SUM('Defect P1'!CG109,'Defect P2'!CG109,RTS!CG109)</f>
        <v>0</v>
      </c>
      <c r="BE109" s="115">
        <f>SUM('Defect P1'!CH109,'Defect P2'!CH109,RTS!CH109)</f>
        <v>0</v>
      </c>
      <c r="BF109" s="115">
        <f>SUM('Defect P1'!CI109,'Defect P2'!CI109,RTS!CI109)</f>
        <v>0</v>
      </c>
      <c r="BG109" s="115">
        <f>SUM('Defect P1'!CJ109,'Defect P2'!CJ109,RTS!CJ109)</f>
        <v>0</v>
      </c>
      <c r="BH109" s="115">
        <f>SUM('Defect P1'!CK109,'Defect P2'!CK109,RTS!CK109)</f>
        <v>0</v>
      </c>
      <c r="BI109" s="287">
        <f>SUM('Defect P1'!CL109,'Defect P2'!CL109,RTS!CL109)</f>
        <v>0</v>
      </c>
      <c r="BJ109" s="116" t="str">
        <f t="shared" si="45"/>
        <v/>
      </c>
      <c r="BK109" s="641">
        <f>SUM('Defect P1'!CQ109,'Defect P2'!CQ109,RTS!CQ109)</f>
        <v>0</v>
      </c>
      <c r="BL109" s="117">
        <f>SUM('Defect P1'!CR109,'Defect P2'!CR109,RTS!CR109)</f>
        <v>0</v>
      </c>
      <c r="BM109" s="638">
        <f>SUM('Defect P1'!CS109,'Defect P2'!CS109,RTS!CS109)</f>
        <v>0</v>
      </c>
      <c r="BN109" s="467">
        <f>SUM('Defect P1'!CT109,'Defect P2'!CT109,RTS!CT109)</f>
        <v>0</v>
      </c>
      <c r="BO109" s="117">
        <f>SUM('Defect P1'!CU109,'Defect P2'!CU109,RTS!CU109)</f>
        <v>0</v>
      </c>
      <c r="BP109" s="117">
        <f>SUM('Defect P1'!CV109,'Defect P2'!CV109,RTS!CV109)</f>
        <v>0</v>
      </c>
      <c r="BQ109" s="117">
        <f>SUM('Defect P1'!CW109,'Defect P2'!CW109,RTS!CW109)</f>
        <v>0</v>
      </c>
      <c r="BR109" s="118">
        <f>SUM('Defect P1'!CX109,'Defect P2'!CX109,RTS!CX109)</f>
        <v>0</v>
      </c>
    </row>
    <row r="110" spans="1:71" x14ac:dyDescent="0.25">
      <c r="A110" s="63" t="s">
        <v>224</v>
      </c>
      <c r="B110" s="64" t="s">
        <v>221</v>
      </c>
      <c r="C110" s="65" t="s">
        <v>395</v>
      </c>
      <c r="D110" s="66">
        <f>SUM('Defect P1'!D110,'Defect P2'!D110,RTS!D110)</f>
        <v>367783.84234879538</v>
      </c>
      <c r="E110" s="67">
        <f>SUM('Defect P1'!E110,'Defect P2'!E110,RTS!E110)</f>
        <v>538065.95664704544</v>
      </c>
      <c r="F110" s="67">
        <f>SUM('Defect P1'!F110,'Defect P2'!F110,RTS!F110)</f>
        <v>888883.21873937489</v>
      </c>
      <c r="G110" s="67">
        <f>SUM('Defect P1'!G110,'Defect P2'!G110,RTS!G110)</f>
        <v>400860.33057940804</v>
      </c>
      <c r="H110" s="67">
        <f>SUM('Defect P1'!H110,'Defect P2'!H110,RTS!H110)</f>
        <v>395483.02137714793</v>
      </c>
      <c r="I110" s="67">
        <f>SUM('Defect P1'!I110,'Defect P2'!I110,RTS!I110)</f>
        <v>881888.43323544227</v>
      </c>
      <c r="J110" s="67">
        <f>SUM('Defect P1'!J110,'Defect P2'!J110,RTS!J110)</f>
        <v>1166198.8296630164</v>
      </c>
      <c r="K110" s="67">
        <f>SUM('Defect P1'!K110,'Defect P2'!K110,RTS!K110)</f>
        <v>752342.10650858842</v>
      </c>
      <c r="L110" s="67">
        <f>SUM('Defect P1'!L110,'Defect P2'!L110,RTS!L110)</f>
        <v>680602.01262369915</v>
      </c>
      <c r="M110" s="67">
        <f>SUM('Defect P1'!M110,'Defect P2'!M110,RTS!M110)</f>
        <v>1069981.5538597202</v>
      </c>
      <c r="N110" s="67">
        <v>0</v>
      </c>
      <c r="O110" s="557">
        <f>SUM('Defect P1'!O110,'Defect P2'!O110,RTS!O110)</f>
        <v>494837.09479026217</v>
      </c>
      <c r="P110" s="558">
        <f>SUM('Defect P1'!P110,'Defect P2'!P110,RTS!P110)</f>
        <v>713169.25746085646</v>
      </c>
      <c r="Q110" s="558">
        <f>SUM('Defect P1'!Q110,'Defect P2'!Q110,RTS!Q110)</f>
        <v>1166219.8920508828</v>
      </c>
      <c r="R110" s="558">
        <f>SUM('Defect P1'!R110,'Defect P2'!R110,RTS!R110)</f>
        <v>515954.04582316434</v>
      </c>
      <c r="S110" s="558">
        <f>SUM('Defect P1'!S110,'Defect P2'!S110,RTS!S110)</f>
        <v>498671.97604919499</v>
      </c>
      <c r="T110" s="558">
        <f>SUM('Defect P1'!T110,'Defect P2'!T110,RTS!T110)</f>
        <v>1094554.3248139289</v>
      </c>
      <c r="U110" s="558">
        <f>SUM('Defect P1'!U110,'Defect P2'!U110,RTS!U110)</f>
        <v>1452486.6174177304</v>
      </c>
      <c r="V110" s="558">
        <f>SUM('Defect P1'!V110,'Defect P2'!V110,RTS!V110)</f>
        <v>902328.11822406657</v>
      </c>
      <c r="W110" s="558">
        <f>SUM('Defect P1'!W110,'Defect P2'!W110,RTS!W110)</f>
        <v>769030.74956025183</v>
      </c>
      <c r="X110" s="558">
        <f>SUM('Defect P1'!X110,'Defect P2'!X110,RTS!X110)</f>
        <v>1137883.574169117</v>
      </c>
      <c r="Y110" s="558">
        <f>SUM('Defect P1'!Y110,'Defect P2'!Y110,RTS!Y110)</f>
        <v>316296.75707573956</v>
      </c>
      <c r="Z110" s="68">
        <f>SUM('Defect P1'!Z110,'Defect P2'!Z110,RTS!Z110)</f>
        <v>160</v>
      </c>
      <c r="AA110" s="69">
        <f>SUM('Defect P1'!AA110,'Defect P2'!AA110,RTS!AA110)</f>
        <v>210</v>
      </c>
      <c r="AB110" s="69">
        <f>SUM('Defect P1'!AB110,'Defect P2'!AB110,RTS!AB110)</f>
        <v>280</v>
      </c>
      <c r="AC110" s="69">
        <f>SUM('Defect P1'!AC110,'Defect P2'!AC110,RTS!AC110)</f>
        <v>149</v>
      </c>
      <c r="AD110" s="69">
        <f>SUM('Defect P1'!AD110,'Defect P2'!AD110,RTS!AD110)</f>
        <v>147</v>
      </c>
      <c r="AE110" s="69">
        <f>SUM('Defect P1'!AE110,'Defect P2'!AE110,RTS!AE110)</f>
        <v>248</v>
      </c>
      <c r="AF110" s="69">
        <f>SUM('Defect P1'!AF110,'Defect P2'!AF110,RTS!AF110)</f>
        <v>439</v>
      </c>
      <c r="AG110" s="69">
        <f>SUM('Defect P1'!AG110,'Defect P2'!AG110,RTS!AG110)</f>
        <v>266</v>
      </c>
      <c r="AH110" s="69">
        <f>SUM('Defect P1'!AH110,'Defect P2'!AH110,RTS!AH110)</f>
        <v>189</v>
      </c>
      <c r="AI110" s="69">
        <f>SUM('Defect P1'!AI110,'Defect P2'!AI110,RTS!AI110)</f>
        <v>206</v>
      </c>
      <c r="AJ110" s="69">
        <f>SUM('Defect P1'!AJ110,'Defect P2'!AJ110,RTS!AJ110)</f>
        <v>0</v>
      </c>
      <c r="AK110" s="70">
        <f t="shared" si="43"/>
        <v>269.60000000000002</v>
      </c>
      <c r="AL110" s="71" cm="1">
        <f t="array" ref="AL110">IFERROR(IF($AM$4="N",SSUM(AF110:AH110)/3,SUM(AG110:AI110)/3),"")</f>
        <v>220.33333333333334</v>
      </c>
      <c r="AM110" s="72">
        <f t="shared" si="44"/>
        <v>206</v>
      </c>
      <c r="AN110" s="73">
        <f t="shared" si="46"/>
        <v>2298.6490146799711</v>
      </c>
      <c r="AO110" s="74">
        <f t="shared" si="47"/>
        <v>2562.2188411764068</v>
      </c>
      <c r="AP110" s="74">
        <f t="shared" si="48"/>
        <v>3174.582924069196</v>
      </c>
      <c r="AQ110" s="74">
        <f t="shared" si="49"/>
        <v>2690.3377891235441</v>
      </c>
      <c r="AR110" s="74">
        <f t="shared" si="50"/>
        <v>2690.3606896404622</v>
      </c>
      <c r="AS110" s="74">
        <f t="shared" si="51"/>
        <v>3556.0017469171057</v>
      </c>
      <c r="AT110" s="74">
        <f t="shared" si="52"/>
        <v>2656.4893614191715</v>
      </c>
      <c r="AU110" s="74">
        <f t="shared" si="53"/>
        <v>2828.3537838668735</v>
      </c>
      <c r="AV110" s="74">
        <f t="shared" si="54"/>
        <v>3601.068849860842</v>
      </c>
      <c r="AW110" s="74">
        <f t="shared" si="38"/>
        <v>5194.0852129112636</v>
      </c>
      <c r="AX110" s="74" t="str">
        <f t="shared" si="39"/>
        <v/>
      </c>
      <c r="AY110" s="75">
        <f t="shared" si="55"/>
        <v>3376.1223560018293</v>
      </c>
      <c r="AZ110" s="76">
        <f t="shared" si="56"/>
        <v>3786.5743918184685</v>
      </c>
      <c r="BA110" s="77">
        <f t="shared" si="57"/>
        <v>5194.0852129112636</v>
      </c>
      <c r="BB110" s="78">
        <f>SUM('Defect P1'!CE110,'Defect P2'!CE110,RTS!CE110)</f>
        <v>0</v>
      </c>
      <c r="BC110" s="78">
        <f>SUM('Defect P1'!CF110,'Defect P2'!CF110,RTS!CF110)</f>
        <v>0</v>
      </c>
      <c r="BD110" s="78">
        <f>SUM('Defect P1'!CG110,'Defect P2'!CG110,RTS!CG110)</f>
        <v>0</v>
      </c>
      <c r="BE110" s="78">
        <f>SUM('Defect P1'!CH110,'Defect P2'!CH110,RTS!CH110)</f>
        <v>0</v>
      </c>
      <c r="BF110" s="78">
        <f>SUM('Defect P1'!CI110,'Defect P2'!CI110,RTS!CI110)</f>
        <v>0</v>
      </c>
      <c r="BG110" s="78">
        <f>SUM('Defect P1'!CJ110,'Defect P2'!CJ110,RTS!CJ110)</f>
        <v>0</v>
      </c>
      <c r="BH110" s="78">
        <f>SUM('Defect P1'!CK110,'Defect P2'!CK110,RTS!CK110)</f>
        <v>0</v>
      </c>
      <c r="BI110" s="285">
        <f>SUM('Defect P1'!CL110,'Defect P2'!CL110,RTS!CL110)</f>
        <v>0</v>
      </c>
      <c r="BJ110" s="124" t="str">
        <f t="shared" si="45"/>
        <v/>
      </c>
      <c r="BK110" s="639">
        <f>SUM('Defect P1'!CQ110,'Defect P2'!CQ110,RTS!CQ110)</f>
        <v>0</v>
      </c>
      <c r="BL110" s="79">
        <f>SUM('Defect P1'!CR110,'Defect P2'!CR110,RTS!CR110)</f>
        <v>0</v>
      </c>
      <c r="BM110" s="523">
        <f>SUM('Defect P1'!CS110,'Defect P2'!CS110,RTS!CS110)</f>
        <v>0</v>
      </c>
      <c r="BN110" s="415">
        <f>SUM('Defect P1'!CT110,'Defect P2'!CT110,RTS!CT110)</f>
        <v>0</v>
      </c>
      <c r="BO110" s="79">
        <f>SUM('Defect P1'!CU110,'Defect P2'!CU110,RTS!CU110)</f>
        <v>0</v>
      </c>
      <c r="BP110" s="79">
        <f>SUM('Defect P1'!CV110,'Defect P2'!CV110,RTS!CV110)</f>
        <v>0</v>
      </c>
      <c r="BQ110" s="79">
        <f>SUM('Defect P1'!CW110,'Defect P2'!CW110,RTS!CW110)</f>
        <v>0</v>
      </c>
      <c r="BR110" s="80">
        <f>SUM('Defect P1'!CX110,'Defect P2'!CX110,RTS!CX110)</f>
        <v>0</v>
      </c>
    </row>
    <row r="111" spans="1:71" x14ac:dyDescent="0.25">
      <c r="A111" s="81" t="s">
        <v>224</v>
      </c>
      <c r="B111" s="82" t="s">
        <v>225</v>
      </c>
      <c r="C111" s="83" t="s">
        <v>396</v>
      </c>
      <c r="D111" s="84">
        <f>SUM('Defect P1'!D111,'Defect P2'!D111,RTS!D111)</f>
        <v>1021460.3005117684</v>
      </c>
      <c r="E111" s="85">
        <f>SUM('Defect P1'!E111,'Defect P2'!E111,RTS!E111)</f>
        <v>1126812.4237936572</v>
      </c>
      <c r="F111" s="85">
        <f>SUM('Defect P1'!F111,'Defect P2'!F111,RTS!F111)</f>
        <v>1357851.3761595541</v>
      </c>
      <c r="G111" s="85">
        <f>SUM('Defect P1'!G111,'Defect P2'!G111,RTS!G111)</f>
        <v>803765.82318876102</v>
      </c>
      <c r="H111" s="85">
        <f>SUM('Defect P1'!H111,'Defect P2'!H111,RTS!H111)</f>
        <v>782869.31702283525</v>
      </c>
      <c r="I111" s="85">
        <f>SUM('Defect P1'!I111,'Defect P2'!I111,RTS!I111)</f>
        <v>1429291.3249159839</v>
      </c>
      <c r="J111" s="85">
        <f>SUM('Defect P1'!J111,'Defect P2'!J111,RTS!J111)</f>
        <v>2806459.327081054</v>
      </c>
      <c r="K111" s="85">
        <f>SUM('Defect P1'!K111,'Defect P2'!K111,RTS!K111)</f>
        <v>964643.99985063879</v>
      </c>
      <c r="L111" s="85">
        <f>SUM('Defect P1'!L111,'Defect P2'!L111,RTS!L111)</f>
        <v>939855.43805757375</v>
      </c>
      <c r="M111" s="85">
        <f>SUM('Defect P1'!M111,'Defect P2'!M111,RTS!M111)</f>
        <v>1299165.9606735439</v>
      </c>
      <c r="N111" s="85">
        <v>0</v>
      </c>
      <c r="O111" s="560">
        <f>SUM('Defect P1'!O111,'Defect P2'!O111,RTS!O111)</f>
        <v>1374330.2161422076</v>
      </c>
      <c r="P111" s="561">
        <f>SUM('Defect P1'!P111,'Defect P2'!P111,RTS!P111)</f>
        <v>1493512.0307225313</v>
      </c>
      <c r="Q111" s="561">
        <f>SUM('Defect P1'!Q111,'Defect P2'!Q111,RTS!Q111)</f>
        <v>1781508.810090658</v>
      </c>
      <c r="R111" s="561">
        <f>SUM('Defect P1'!R111,'Defect P2'!R111,RTS!R111)</f>
        <v>1034540.4539511462</v>
      </c>
      <c r="S111" s="561">
        <f>SUM('Defect P1'!S111,'Defect P2'!S111,RTS!S111)</f>
        <v>987134.63841919298</v>
      </c>
      <c r="T111" s="561">
        <f>SUM('Defect P1'!T111,'Defect P2'!T111,RTS!T111)</f>
        <v>1773962.4902055548</v>
      </c>
      <c r="U111" s="561">
        <f>SUM('Defect P1'!U111,'Defect P2'!U111,RTS!U111)</f>
        <v>3495411.340869118</v>
      </c>
      <c r="V111" s="561">
        <f>SUM('Defect P1'!V111,'Defect P2'!V111,RTS!V111)</f>
        <v>1156954.2600516765</v>
      </c>
      <c r="W111" s="561">
        <f>SUM('Defect P1'!W111,'Defect P2'!W111,RTS!W111)</f>
        <v>1061968.2554587363</v>
      </c>
      <c r="X111" s="561">
        <f>SUM('Defect P1'!X111,'Defect P2'!X111,RTS!X111)</f>
        <v>1381612.2356852135</v>
      </c>
      <c r="Y111" s="561">
        <f>SUM('Defect P1'!Y111,'Defect P2'!Y111,RTS!Y111)</f>
        <v>2200795.2793192542</v>
      </c>
      <c r="Z111" s="86">
        <f>SUM('Defect P1'!Z111,'Defect P2'!Z111,RTS!Z111)</f>
        <v>715</v>
      </c>
      <c r="AA111" s="87">
        <f>SUM('Defect P1'!AA111,'Defect P2'!AA111,RTS!AA111)</f>
        <v>703</v>
      </c>
      <c r="AB111" s="87">
        <f>SUM('Defect P1'!AB111,'Defect P2'!AB111,RTS!AB111)</f>
        <v>646</v>
      </c>
      <c r="AC111" s="87">
        <f>SUM('Defect P1'!AC111,'Defect P2'!AC111,RTS!AC111)</f>
        <v>431</v>
      </c>
      <c r="AD111" s="87">
        <f>SUM('Defect P1'!AD111,'Defect P2'!AD111,RTS!AD111)</f>
        <v>481</v>
      </c>
      <c r="AE111" s="87">
        <f>SUM('Defect P1'!AE111,'Defect P2'!AE111,RTS!AE111)</f>
        <v>588</v>
      </c>
      <c r="AF111" s="87">
        <f>SUM('Defect P1'!AF111,'Defect P2'!AF111,RTS!AF111)</f>
        <v>1107</v>
      </c>
      <c r="AG111" s="87">
        <f>SUM('Defect P1'!AG111,'Defect P2'!AG111,RTS!AG111)</f>
        <v>465</v>
      </c>
      <c r="AH111" s="87">
        <f>SUM('Defect P1'!AH111,'Defect P2'!AH111,RTS!AH111)</f>
        <v>180</v>
      </c>
      <c r="AI111" s="87">
        <f>SUM('Defect P1'!AI111,'Defect P2'!AI111,RTS!AI111)</f>
        <v>194</v>
      </c>
      <c r="AJ111" s="87">
        <f>SUM('Defect P1'!AJ111,'Defect P2'!AJ111,RTS!AJ111)</f>
        <v>0</v>
      </c>
      <c r="AK111" s="88">
        <f t="shared" si="43"/>
        <v>506.8</v>
      </c>
      <c r="AL111" s="89" cm="1">
        <f t="array" ref="AL111">IFERROR(IF($AM$4="N",SSUM(AF111:AH111)/3,SUM(AG111:AI111)/3),"")</f>
        <v>279.66666666666669</v>
      </c>
      <c r="AM111" s="90">
        <f t="shared" si="44"/>
        <v>194</v>
      </c>
      <c r="AN111" s="91">
        <f t="shared" si="46"/>
        <v>1428.6158049115643</v>
      </c>
      <c r="AO111" s="92">
        <f t="shared" si="47"/>
        <v>1602.8626227505792</v>
      </c>
      <c r="AP111" s="92">
        <f t="shared" si="48"/>
        <v>2101.9371147980714</v>
      </c>
      <c r="AQ111" s="92">
        <f t="shared" si="49"/>
        <v>1864.8859006699793</v>
      </c>
      <c r="AR111" s="92">
        <f t="shared" si="50"/>
        <v>1627.5869376774122</v>
      </c>
      <c r="AS111" s="92">
        <f t="shared" si="51"/>
        <v>2430.7675593809249</v>
      </c>
      <c r="AT111" s="92">
        <f t="shared" si="52"/>
        <v>2535.1936107326596</v>
      </c>
      <c r="AU111" s="92">
        <f t="shared" si="53"/>
        <v>2074.5032254852449</v>
      </c>
      <c r="AV111" s="92">
        <f t="shared" si="54"/>
        <v>5221.4191003198539</v>
      </c>
      <c r="AW111" s="92">
        <f t="shared" si="38"/>
        <v>6696.7317560491947</v>
      </c>
      <c r="AX111" s="92" t="str">
        <f t="shared" si="39"/>
        <v/>
      </c>
      <c r="AY111" s="93">
        <f t="shared" si="55"/>
        <v>2935.8390096996031</v>
      </c>
      <c r="AZ111" s="94">
        <f t="shared" si="56"/>
        <v>3818.43313299375</v>
      </c>
      <c r="BA111" s="95">
        <f t="shared" si="57"/>
        <v>6696.7317560491947</v>
      </c>
      <c r="BB111" s="96">
        <f>SUM('Defect P1'!CE111,'Defect P2'!CE111,RTS!CE111)</f>
        <v>0</v>
      </c>
      <c r="BC111" s="96">
        <f>SUM('Defect P1'!CF111,'Defect P2'!CF111,RTS!CF111)</f>
        <v>0</v>
      </c>
      <c r="BD111" s="96">
        <f>SUM('Defect P1'!CG111,'Defect P2'!CG111,RTS!CG111)</f>
        <v>0</v>
      </c>
      <c r="BE111" s="96">
        <f>SUM('Defect P1'!CH111,'Defect P2'!CH111,RTS!CH111)</f>
        <v>0</v>
      </c>
      <c r="BF111" s="96">
        <f>SUM('Defect P1'!CI111,'Defect P2'!CI111,RTS!CI111)</f>
        <v>0</v>
      </c>
      <c r="BG111" s="96">
        <f>SUM('Defect P1'!CJ111,'Defect P2'!CJ111,RTS!CJ111)</f>
        <v>0</v>
      </c>
      <c r="BH111" s="96">
        <f>SUM('Defect P1'!CK111,'Defect P2'!CK111,RTS!CK111)</f>
        <v>0</v>
      </c>
      <c r="BI111" s="286">
        <f>SUM('Defect P1'!CL111,'Defect P2'!CL111,RTS!CL111)</f>
        <v>0</v>
      </c>
      <c r="BJ111" s="99" t="str">
        <f t="shared" si="45"/>
        <v/>
      </c>
      <c r="BK111" s="640">
        <f>SUM('Defect P1'!CQ111,'Defect P2'!CQ111,RTS!CQ111)</f>
        <v>0</v>
      </c>
      <c r="BL111" s="97">
        <f>SUM('Defect P1'!CR111,'Defect P2'!CR111,RTS!CR111)</f>
        <v>0</v>
      </c>
      <c r="BM111" s="524">
        <f>SUM('Defect P1'!CS111,'Defect P2'!CS111,RTS!CS111)</f>
        <v>0</v>
      </c>
      <c r="BN111" s="416">
        <f>SUM('Defect P1'!CT111,'Defect P2'!CT111,RTS!CT111)</f>
        <v>0</v>
      </c>
      <c r="BO111" s="97">
        <f>SUM('Defect P1'!CU111,'Defect P2'!CU111,RTS!CU111)</f>
        <v>0</v>
      </c>
      <c r="BP111" s="97">
        <f>SUM('Defect P1'!CV111,'Defect P2'!CV111,RTS!CV111)</f>
        <v>0</v>
      </c>
      <c r="BQ111" s="97">
        <f>SUM('Defect P1'!CW111,'Defect P2'!CW111,RTS!CW111)</f>
        <v>0</v>
      </c>
      <c r="BR111" s="98">
        <f>SUM('Defect P1'!CX111,'Defect P2'!CX111,RTS!CX111)</f>
        <v>0</v>
      </c>
    </row>
    <row r="112" spans="1:71" x14ac:dyDescent="0.25">
      <c r="A112" s="81" t="s">
        <v>224</v>
      </c>
      <c r="B112" s="82" t="s">
        <v>227</v>
      </c>
      <c r="C112" s="83" t="s">
        <v>228</v>
      </c>
      <c r="D112" s="84">
        <f>SUM('Defect P1'!D112,'Defect P2'!D112,RTS!D112)</f>
        <v>122052.2298003779</v>
      </c>
      <c r="E112" s="85">
        <f>SUM('Defect P1'!E112,'Defect P2'!E112,RTS!E112)</f>
        <v>187319.0140623888</v>
      </c>
      <c r="F112" s="85">
        <f>SUM('Defect P1'!F112,'Defect P2'!F112,RTS!F112)</f>
        <v>338531.80595352239</v>
      </c>
      <c r="G112" s="85">
        <f>SUM('Defect P1'!G112,'Defect P2'!G112,RTS!G112)</f>
        <v>211320.02835993035</v>
      </c>
      <c r="H112" s="85">
        <f>SUM('Defect P1'!H112,'Defect P2'!H112,RTS!H112)</f>
        <v>257376.75541202759</v>
      </c>
      <c r="I112" s="85">
        <f>SUM('Defect P1'!I112,'Defect P2'!I112,RTS!I112)</f>
        <v>276938.24281115306</v>
      </c>
      <c r="J112" s="85">
        <f>SUM('Defect P1'!J112,'Defect P2'!J112,RTS!J112)</f>
        <v>583055.00789935899</v>
      </c>
      <c r="K112" s="85">
        <f>SUM('Defect P1'!K112,'Defect P2'!K112,RTS!K112)</f>
        <v>515926.24586290692</v>
      </c>
      <c r="L112" s="85">
        <f>SUM('Defect P1'!L112,'Defect P2'!L112,RTS!L112)</f>
        <v>404663.81074205082</v>
      </c>
      <c r="M112" s="85">
        <f>SUM('Defect P1'!M112,'Defect P2'!M112,RTS!M112)</f>
        <v>533645.02038187312</v>
      </c>
      <c r="N112" s="85">
        <v>0</v>
      </c>
      <c r="O112" s="560">
        <f>SUM('Defect P1'!O112,'Defect P2'!O112,RTS!O112)</f>
        <v>164215.9438581717</v>
      </c>
      <c r="P112" s="561">
        <f>SUM('Defect P1'!P112,'Defect P2'!P112,RTS!P112)</f>
        <v>248278.41367188474</v>
      </c>
      <c r="Q112" s="561">
        <f>SUM('Defect P1'!Q112,'Defect P2'!Q112,RTS!Q112)</f>
        <v>444155.67520199239</v>
      </c>
      <c r="R112" s="561">
        <f>SUM('Defect P1'!R112,'Defect P2'!R112,RTS!R112)</f>
        <v>271993.54807240871</v>
      </c>
      <c r="S112" s="561">
        <f>SUM('Defect P1'!S112,'Defect P2'!S112,RTS!S112)</f>
        <v>324531.1891355504</v>
      </c>
      <c r="T112" s="561">
        <f>SUM('Defect P1'!T112,'Defect P2'!T112,RTS!T112)</f>
        <v>343721.42773573601</v>
      </c>
      <c r="U112" s="561">
        <f>SUM('Defect P1'!U112,'Defect P2'!U112,RTS!U112)</f>
        <v>726188.00040891953</v>
      </c>
      <c r="V112" s="561">
        <f>SUM('Defect P1'!V112,'Defect P2'!V112,RTS!V112)</f>
        <v>618780.67775882152</v>
      </c>
      <c r="W112" s="561">
        <f>SUM('Defect P1'!W112,'Defect P2'!W112,RTS!W112)</f>
        <v>457240.6603606788</v>
      </c>
      <c r="X112" s="561">
        <f>SUM('Defect P1'!X112,'Defect P2'!X112,RTS!X112)</f>
        <v>567510.62757974176</v>
      </c>
      <c r="Y112" s="561">
        <f>SUM('Defect P1'!Y112,'Defect P2'!Y112,RTS!Y112)</f>
        <v>612237.37161226664</v>
      </c>
      <c r="Z112" s="86">
        <f>SUM('Defect P1'!Z112,'Defect P2'!Z112,RTS!Z112)</f>
        <v>60</v>
      </c>
      <c r="AA112" s="87">
        <f>SUM('Defect P1'!AA112,'Defect P2'!AA112,RTS!AA112)</f>
        <v>85</v>
      </c>
      <c r="AB112" s="87">
        <f>SUM('Defect P1'!AB112,'Defect P2'!AB112,RTS!AB112)</f>
        <v>135</v>
      </c>
      <c r="AC112" s="87">
        <f>SUM('Defect P1'!AC112,'Defect P2'!AC112,RTS!AC112)</f>
        <v>104</v>
      </c>
      <c r="AD112" s="87">
        <f>SUM('Defect P1'!AD112,'Defect P2'!AD112,RTS!AD112)</f>
        <v>98</v>
      </c>
      <c r="AE112" s="87">
        <f>SUM('Defect P1'!AE112,'Defect P2'!AE112,RTS!AE112)</f>
        <v>121</v>
      </c>
      <c r="AF112" s="87">
        <f>SUM('Defect P1'!AF112,'Defect P2'!AF112,RTS!AF112)</f>
        <v>365</v>
      </c>
      <c r="AG112" s="87">
        <f>SUM('Defect P1'!AG112,'Defect P2'!AG112,RTS!AG112)</f>
        <v>324</v>
      </c>
      <c r="AH112" s="87">
        <f>SUM('Defect P1'!AH112,'Defect P2'!AH112,RTS!AH112)</f>
        <v>227</v>
      </c>
      <c r="AI112" s="87">
        <f>SUM('Defect P1'!AI112,'Defect P2'!AI112,RTS!AI112)</f>
        <v>210</v>
      </c>
      <c r="AJ112" s="87">
        <f>SUM('Defect P1'!AJ112,'Defect P2'!AJ112,RTS!AJ112)</f>
        <v>0</v>
      </c>
      <c r="AK112" s="88">
        <f t="shared" si="43"/>
        <v>249.4</v>
      </c>
      <c r="AL112" s="89" cm="1">
        <f t="array" ref="AL112">IFERROR(IF($AM$4="N",SSUM(AF112:AH112)/3,SUM(AG112:AI112)/3),"")</f>
        <v>253.66666666666666</v>
      </c>
      <c r="AM112" s="90">
        <f t="shared" si="44"/>
        <v>210</v>
      </c>
      <c r="AN112" s="91">
        <f t="shared" si="46"/>
        <v>2034.2038300062984</v>
      </c>
      <c r="AO112" s="92">
        <f t="shared" si="47"/>
        <v>2203.7531066163388</v>
      </c>
      <c r="AP112" s="92">
        <f t="shared" si="48"/>
        <v>2507.6430070631286</v>
      </c>
      <c r="AQ112" s="92">
        <f t="shared" si="49"/>
        <v>2031.9233496147149</v>
      </c>
      <c r="AR112" s="92">
        <f t="shared" si="50"/>
        <v>2626.2934225717099</v>
      </c>
      <c r="AS112" s="92">
        <f t="shared" si="51"/>
        <v>2288.7458083566366</v>
      </c>
      <c r="AT112" s="92">
        <f t="shared" si="52"/>
        <v>1597.410980546189</v>
      </c>
      <c r="AU112" s="92">
        <f t="shared" si="53"/>
        <v>1592.3649563669967</v>
      </c>
      <c r="AV112" s="92">
        <f t="shared" si="54"/>
        <v>1782.6599592160828</v>
      </c>
      <c r="AW112" s="92">
        <f t="shared" si="38"/>
        <v>2541.1667637232053</v>
      </c>
      <c r="AX112" s="92" t="str">
        <f t="shared" si="39"/>
        <v/>
      </c>
      <c r="AY112" s="93">
        <f t="shared" si="55"/>
        <v>1855.8366701662733</v>
      </c>
      <c r="AZ112" s="94">
        <f t="shared" si="56"/>
        <v>1910.9527949892649</v>
      </c>
      <c r="BA112" s="95">
        <f t="shared" si="57"/>
        <v>2541.1667637232053</v>
      </c>
      <c r="BB112" s="96">
        <f>SUM('Defect P1'!CE112,'Defect P2'!CE112,RTS!CE112)</f>
        <v>0</v>
      </c>
      <c r="BC112" s="96">
        <f>SUM('Defect P1'!CF112,'Defect P2'!CF112,RTS!CF112)</f>
        <v>0</v>
      </c>
      <c r="BD112" s="96">
        <f>SUM('Defect P1'!CG112,'Defect P2'!CG112,RTS!CG112)</f>
        <v>0</v>
      </c>
      <c r="BE112" s="96">
        <f>SUM('Defect P1'!CH112,'Defect P2'!CH112,RTS!CH112)</f>
        <v>0</v>
      </c>
      <c r="BF112" s="96">
        <f>SUM('Defect P1'!CI112,'Defect P2'!CI112,RTS!CI112)</f>
        <v>0</v>
      </c>
      <c r="BG112" s="96">
        <f>SUM('Defect P1'!CJ112,'Defect P2'!CJ112,RTS!CJ112)</f>
        <v>0</v>
      </c>
      <c r="BH112" s="96">
        <f>SUM('Defect P1'!CK112,'Defect P2'!CK112,RTS!CK112)</f>
        <v>0</v>
      </c>
      <c r="BI112" s="286">
        <f>SUM('Defect P1'!CL112,'Defect P2'!CL112,RTS!CL112)</f>
        <v>0</v>
      </c>
      <c r="BJ112" s="99" t="str">
        <f t="shared" si="45"/>
        <v/>
      </c>
      <c r="BK112" s="640">
        <f>SUM('Defect P1'!CQ112,'Defect P2'!CQ112,RTS!CQ112)</f>
        <v>0</v>
      </c>
      <c r="BL112" s="97">
        <f>SUM('Defect P1'!CR112,'Defect P2'!CR112,RTS!CR112)</f>
        <v>0</v>
      </c>
      <c r="BM112" s="524">
        <f>SUM('Defect P1'!CS112,'Defect P2'!CS112,RTS!CS112)</f>
        <v>0</v>
      </c>
      <c r="BN112" s="416">
        <f>SUM('Defect P1'!CT112,'Defect P2'!CT112,RTS!CT112)</f>
        <v>0</v>
      </c>
      <c r="BO112" s="97">
        <f>SUM('Defect P1'!CU112,'Defect P2'!CU112,RTS!CU112)</f>
        <v>0</v>
      </c>
      <c r="BP112" s="97">
        <f>SUM('Defect P1'!CV112,'Defect P2'!CV112,RTS!CV112)</f>
        <v>0</v>
      </c>
      <c r="BQ112" s="97">
        <f>SUM('Defect P1'!CW112,'Defect P2'!CW112,RTS!CW112)</f>
        <v>0</v>
      </c>
      <c r="BR112" s="98">
        <f>SUM('Defect P1'!CX112,'Defect P2'!CX112,RTS!CX112)</f>
        <v>0</v>
      </c>
    </row>
    <row r="113" spans="1:70" x14ac:dyDescent="0.25">
      <c r="A113" s="81" t="s">
        <v>224</v>
      </c>
      <c r="B113" s="82" t="s">
        <v>229</v>
      </c>
      <c r="C113" s="83" t="s">
        <v>230</v>
      </c>
      <c r="D113" s="84">
        <f>SUM('Defect P1'!D113,'Defect P2'!D113,RTS!D113)</f>
        <v>251242.90768423965</v>
      </c>
      <c r="E113" s="85">
        <f>SUM('Defect P1'!E113,'Defect P2'!E113,RTS!E113)</f>
        <v>230698.53170565033</v>
      </c>
      <c r="F113" s="85">
        <f>SUM('Defect P1'!F113,'Defect P2'!F113,RTS!F113)</f>
        <v>357283.5077249395</v>
      </c>
      <c r="G113" s="85">
        <f>SUM('Defect P1'!G113,'Defect P2'!G113,RTS!G113)</f>
        <v>204037.37699230277</v>
      </c>
      <c r="H113" s="85">
        <f>SUM('Defect P1'!H113,'Defect P2'!H113,RTS!H113)</f>
        <v>170092.36064506089</v>
      </c>
      <c r="I113" s="85">
        <f>SUM('Defect P1'!I113,'Defect P2'!I113,RTS!I113)</f>
        <v>222543.21080011743</v>
      </c>
      <c r="J113" s="85">
        <f>SUM('Defect P1'!J113,'Defect P2'!J113,RTS!J113)</f>
        <v>448537.27568107238</v>
      </c>
      <c r="K113" s="85">
        <f>SUM('Defect P1'!K113,'Defect P2'!K113,RTS!K113)</f>
        <v>377970.53125336615</v>
      </c>
      <c r="L113" s="85">
        <f>SUM('Defect P1'!L113,'Defect P2'!L113,RTS!L113)</f>
        <v>364137.04044816375</v>
      </c>
      <c r="M113" s="85">
        <f>SUM('Defect P1'!M113,'Defect P2'!M113,RTS!M113)</f>
        <v>819711.80934333662</v>
      </c>
      <c r="N113" s="85">
        <v>0</v>
      </c>
      <c r="O113" s="560">
        <f>SUM('Defect P1'!O113,'Defect P2'!O113,RTS!O113)</f>
        <v>338036.35779959481</v>
      </c>
      <c r="P113" s="561">
        <f>SUM('Defect P1'!P113,'Defect P2'!P113,RTS!P113)</f>
        <v>305774.96777361282</v>
      </c>
      <c r="Q113" s="561">
        <f>SUM('Defect P1'!Q113,'Defect P2'!Q113,RTS!Q113)</f>
        <v>468758.01570589654</v>
      </c>
      <c r="R113" s="561">
        <f>SUM('Defect P1'!R113,'Defect P2'!R113,RTS!R113)</f>
        <v>262619.92551410798</v>
      </c>
      <c r="S113" s="561">
        <f>SUM('Defect P1'!S113,'Defect P2'!S113,RTS!S113)</f>
        <v>214472.6549786746</v>
      </c>
      <c r="T113" s="561">
        <f>SUM('Defect P1'!T113,'Defect P2'!T113,RTS!T113)</f>
        <v>276209.12652815698</v>
      </c>
      <c r="U113" s="561">
        <f>SUM('Defect P1'!U113,'Defect P2'!U113,RTS!U113)</f>
        <v>558647.78266671731</v>
      </c>
      <c r="V113" s="561">
        <f>SUM('Defect P1'!V113,'Defect P2'!V113,RTS!V113)</f>
        <v>453322.27886690432</v>
      </c>
      <c r="W113" s="561">
        <f>SUM('Defect P1'!W113,'Defect P2'!W113,RTS!W113)</f>
        <v>411448.35890065378</v>
      </c>
      <c r="X113" s="561">
        <f>SUM('Defect P1'!X113,'Defect P2'!X113,RTS!X113)</f>
        <v>871731.4798928916</v>
      </c>
      <c r="Y113" s="561">
        <f>SUM('Defect P1'!Y113,'Defect P2'!Y113,RTS!Y113)</f>
        <v>856460.40970438288</v>
      </c>
      <c r="Z113" s="86">
        <f>SUM('Defect P1'!Z113,'Defect P2'!Z113,RTS!Z113)</f>
        <v>329</v>
      </c>
      <c r="AA113" s="87">
        <f>SUM('Defect P1'!AA113,'Defect P2'!AA113,RTS!AA113)</f>
        <v>252</v>
      </c>
      <c r="AB113" s="87">
        <f>SUM('Defect P1'!AB113,'Defect P2'!AB113,RTS!AB113)</f>
        <v>305</v>
      </c>
      <c r="AC113" s="87">
        <f>SUM('Defect P1'!AC113,'Defect P2'!AC113,RTS!AC113)</f>
        <v>225</v>
      </c>
      <c r="AD113" s="87">
        <f>SUM('Defect P1'!AD113,'Defect P2'!AD113,RTS!AD113)</f>
        <v>185</v>
      </c>
      <c r="AE113" s="87">
        <f>SUM('Defect P1'!AE113,'Defect P2'!AE113,RTS!AE113)</f>
        <v>233</v>
      </c>
      <c r="AF113" s="87">
        <f>SUM('Defect P1'!AF113,'Defect P2'!AF113,RTS!AF113)</f>
        <v>789</v>
      </c>
      <c r="AG113" s="87">
        <f>SUM('Defect P1'!AG113,'Defect P2'!AG113,RTS!AG113)</f>
        <v>676</v>
      </c>
      <c r="AH113" s="87">
        <f>SUM('Defect P1'!AH113,'Defect P2'!AH113,RTS!AH113)</f>
        <v>534</v>
      </c>
      <c r="AI113" s="87">
        <f>SUM('Defect P1'!AI113,'Defect P2'!AI113,RTS!AI113)</f>
        <v>597</v>
      </c>
      <c r="AJ113" s="87">
        <f>SUM('Defect P1'!AJ113,'Defect P2'!AJ113,RTS!AJ113)</f>
        <v>0</v>
      </c>
      <c r="AK113" s="88">
        <f t="shared" si="43"/>
        <v>565.79999999999995</v>
      </c>
      <c r="AL113" s="89" cm="1">
        <f t="array" ref="AL113">IFERROR(IF($AM$4="N",SSUM(AF113:AH113)/3,SUM(AG113:AI113)/3),"")</f>
        <v>602.33333333333337</v>
      </c>
      <c r="AM113" s="90">
        <f t="shared" si="44"/>
        <v>597</v>
      </c>
      <c r="AN113" s="91">
        <f t="shared" si="46"/>
        <v>763.65625435939103</v>
      </c>
      <c r="AO113" s="92">
        <f t="shared" si="47"/>
        <v>915.47036391131087</v>
      </c>
      <c r="AP113" s="92">
        <f t="shared" si="48"/>
        <v>1171.4213368030803</v>
      </c>
      <c r="AQ113" s="92">
        <f t="shared" si="49"/>
        <v>906.83278663245676</v>
      </c>
      <c r="AR113" s="92">
        <f t="shared" si="50"/>
        <v>919.41816564897783</v>
      </c>
      <c r="AS113" s="92">
        <f t="shared" si="51"/>
        <v>955.12107639535384</v>
      </c>
      <c r="AT113" s="92">
        <f t="shared" si="52"/>
        <v>568.48830884800043</v>
      </c>
      <c r="AU113" s="92">
        <f t="shared" si="53"/>
        <v>559.12800481267186</v>
      </c>
      <c r="AV113" s="92">
        <f t="shared" si="54"/>
        <v>681.9045701276475</v>
      </c>
      <c r="AW113" s="92">
        <f t="shared" si="38"/>
        <v>1373.0516069402624</v>
      </c>
      <c r="AX113" s="92" t="str">
        <f t="shared" si="39"/>
        <v/>
      </c>
      <c r="AY113" s="93">
        <f t="shared" si="55"/>
        <v>789.28945476354056</v>
      </c>
      <c r="AZ113" s="94">
        <f t="shared" si="56"/>
        <v>864.31620423069535</v>
      </c>
      <c r="BA113" s="95">
        <f t="shared" si="57"/>
        <v>1373.0516069402624</v>
      </c>
      <c r="BB113" s="96">
        <f>SUM('Defect P1'!CE113,'Defect P2'!CE113,RTS!CE113)</f>
        <v>0</v>
      </c>
      <c r="BC113" s="96">
        <f>SUM('Defect P1'!CF113,'Defect P2'!CF113,RTS!CF113)</f>
        <v>0</v>
      </c>
      <c r="BD113" s="96">
        <f>SUM('Defect P1'!CG113,'Defect P2'!CG113,RTS!CG113)</f>
        <v>0</v>
      </c>
      <c r="BE113" s="96">
        <f>SUM('Defect P1'!CH113,'Defect P2'!CH113,RTS!CH113)</f>
        <v>0</v>
      </c>
      <c r="BF113" s="96">
        <f>SUM('Defect P1'!CI113,'Defect P2'!CI113,RTS!CI113)</f>
        <v>0</v>
      </c>
      <c r="BG113" s="96">
        <f>SUM('Defect P1'!CJ113,'Defect P2'!CJ113,RTS!CJ113)</f>
        <v>0</v>
      </c>
      <c r="BH113" s="96">
        <f>SUM('Defect P1'!CK113,'Defect P2'!CK113,RTS!CK113)</f>
        <v>0</v>
      </c>
      <c r="BI113" s="286">
        <f>SUM('Defect P1'!CL113,'Defect P2'!CL113,RTS!CL113)</f>
        <v>0</v>
      </c>
      <c r="BJ113" s="99" t="str">
        <f t="shared" si="45"/>
        <v/>
      </c>
      <c r="BK113" s="640">
        <f>SUM('Defect P1'!CQ113,'Defect P2'!CQ113,RTS!CQ113)</f>
        <v>0</v>
      </c>
      <c r="BL113" s="97">
        <f>SUM('Defect P1'!CR113,'Defect P2'!CR113,RTS!CR113)</f>
        <v>0</v>
      </c>
      <c r="BM113" s="524">
        <f>SUM('Defect P1'!CS113,'Defect P2'!CS113,RTS!CS113)</f>
        <v>0</v>
      </c>
      <c r="BN113" s="416">
        <f>SUM('Defect P1'!CT113,'Defect P2'!CT113,RTS!CT113)</f>
        <v>0</v>
      </c>
      <c r="BO113" s="97">
        <f>SUM('Defect P1'!CU113,'Defect P2'!CU113,RTS!CU113)</f>
        <v>0</v>
      </c>
      <c r="BP113" s="97">
        <f>SUM('Defect P1'!CV113,'Defect P2'!CV113,RTS!CV113)</f>
        <v>0</v>
      </c>
      <c r="BQ113" s="97">
        <f>SUM('Defect P1'!CW113,'Defect P2'!CW113,RTS!CW113)</f>
        <v>0</v>
      </c>
      <c r="BR113" s="98">
        <f>SUM('Defect P1'!CX113,'Defect P2'!CX113,RTS!CX113)</f>
        <v>0</v>
      </c>
    </row>
    <row r="114" spans="1:70" x14ac:dyDescent="0.25">
      <c r="A114" s="81" t="s">
        <v>224</v>
      </c>
      <c r="B114" s="82" t="s">
        <v>231</v>
      </c>
      <c r="C114" s="83" t="s">
        <v>232</v>
      </c>
      <c r="D114" s="84">
        <f>SUM('Defect P1'!D114,'Defect P2'!D114,RTS!D114)</f>
        <v>20325.288798210342</v>
      </c>
      <c r="E114" s="85">
        <f>SUM('Defect P1'!E114,'Defect P2'!E114,RTS!E114)</f>
        <v>28053.436932234137</v>
      </c>
      <c r="F114" s="85">
        <f>SUM('Defect P1'!F114,'Defect P2'!F114,RTS!F114)</f>
        <v>57290.854015757795</v>
      </c>
      <c r="G114" s="85">
        <f>SUM('Defect P1'!G114,'Defect P2'!G114,RTS!G114)</f>
        <v>20448.35300730685</v>
      </c>
      <c r="H114" s="85">
        <f>SUM('Defect P1'!H114,'Defect P2'!H114,RTS!H114)</f>
        <v>39458.856262637055</v>
      </c>
      <c r="I114" s="85">
        <f>SUM('Defect P1'!I114,'Defect P2'!I114,RTS!I114)</f>
        <v>52039.575862496335</v>
      </c>
      <c r="J114" s="85">
        <f>SUM('Defect P1'!J114,'Defect P2'!J114,RTS!J114)</f>
        <v>113530.27871855583</v>
      </c>
      <c r="K114" s="85">
        <f>SUM('Defect P1'!K114,'Defect P2'!K114,RTS!K114)</f>
        <v>51119.983935970973</v>
      </c>
      <c r="L114" s="85">
        <f>SUM('Defect P1'!L114,'Defect P2'!L114,RTS!L114)</f>
        <v>44867.159070156173</v>
      </c>
      <c r="M114" s="85">
        <f>SUM('Defect P1'!M114,'Defect P2'!M114,RTS!M114)</f>
        <v>84058.731833357</v>
      </c>
      <c r="N114" s="85">
        <v>0</v>
      </c>
      <c r="O114" s="560">
        <f>SUM('Defect P1'!O114,'Defect P2'!O114,RTS!O114)</f>
        <v>27346.788253250746</v>
      </c>
      <c r="P114" s="561">
        <f>SUM('Defect P1'!P114,'Defect P2'!P114,RTS!P114)</f>
        <v>37182.892801579444</v>
      </c>
      <c r="Q114" s="561">
        <f>SUM('Defect P1'!Q114,'Defect P2'!Q114,RTS!Q114)</f>
        <v>75165.929761297579</v>
      </c>
      <c r="R114" s="561">
        <f>SUM('Defect P1'!R114,'Defect P2'!R114,RTS!R114)</f>
        <v>26319.417661734089</v>
      </c>
      <c r="S114" s="561">
        <f>SUM('Defect P1'!S114,'Defect P2'!S114,RTS!S114)</f>
        <v>49754.41361960669</v>
      </c>
      <c r="T114" s="561">
        <f>SUM('Defect P1'!T114,'Defect P2'!T114,RTS!T114)</f>
        <v>64588.830826144826</v>
      </c>
      <c r="U114" s="561">
        <f>SUM('Defect P1'!U114,'Defect P2'!U114,RTS!U114)</f>
        <v>141400.59680737028</v>
      </c>
      <c r="V114" s="561">
        <f>SUM('Defect P1'!V114,'Defect P2'!V114,RTS!V114)</f>
        <v>61311.202057600953</v>
      </c>
      <c r="W114" s="561">
        <f>SUM('Defect P1'!W114,'Defect P2'!W114,RTS!W114)</f>
        <v>50696.62494436148</v>
      </c>
      <c r="X114" s="561">
        <f>SUM('Defect P1'!X114,'Defect P2'!X114,RTS!X114)</f>
        <v>89393.176801628913</v>
      </c>
      <c r="Y114" s="561">
        <f>SUM('Defect P1'!Y114,'Defect P2'!Y114,RTS!Y114)</f>
        <v>141577.33427273456</v>
      </c>
      <c r="Z114" s="86">
        <f>SUM('Defect P1'!Z114,'Defect P2'!Z114,RTS!Z114)</f>
        <v>159</v>
      </c>
      <c r="AA114" s="87">
        <f>SUM('Defect P1'!AA114,'Defect P2'!AA114,RTS!AA114)</f>
        <v>196</v>
      </c>
      <c r="AB114" s="87">
        <f>SUM('Defect P1'!AB114,'Defect P2'!AB114,RTS!AB114)</f>
        <v>310</v>
      </c>
      <c r="AC114" s="87">
        <f>SUM('Defect P1'!AC114,'Defect P2'!AC114,RTS!AC114)</f>
        <v>107</v>
      </c>
      <c r="AD114" s="87">
        <f>SUM('Defect P1'!AD114,'Defect P2'!AD114,RTS!AD114)</f>
        <v>209</v>
      </c>
      <c r="AE114" s="87">
        <f>SUM('Defect P1'!AE114,'Defect P2'!AE114,RTS!AE114)</f>
        <v>314</v>
      </c>
      <c r="AF114" s="87">
        <f>SUM('Defect P1'!AF114,'Defect P2'!AF114,RTS!AF114)</f>
        <v>494</v>
      </c>
      <c r="AG114" s="87">
        <f>SUM('Defect P1'!AG114,'Defect P2'!AG114,RTS!AG114)</f>
        <v>279</v>
      </c>
      <c r="AH114" s="87">
        <f>SUM('Defect P1'!AH114,'Defect P2'!AH114,RTS!AH114)</f>
        <v>213</v>
      </c>
      <c r="AI114" s="87">
        <f>SUM('Defect P1'!AI114,'Defect P2'!AI114,RTS!AI114)</f>
        <v>442</v>
      </c>
      <c r="AJ114" s="87">
        <f>SUM('Defect P1'!AJ114,'Defect P2'!AJ114,RTS!AJ114)</f>
        <v>0</v>
      </c>
      <c r="AK114" s="88">
        <f t="shared" si="43"/>
        <v>348.4</v>
      </c>
      <c r="AL114" s="89" cm="1">
        <f t="array" ref="AL114">IFERROR(IF($AM$4="N",SSUM(AF114:AH114)/3,SUM(AG114:AI114)/3),"")</f>
        <v>311.33333333333331</v>
      </c>
      <c r="AM114" s="90">
        <f t="shared" si="44"/>
        <v>442</v>
      </c>
      <c r="AN114" s="91">
        <f t="shared" si="46"/>
        <v>127.83200502019083</v>
      </c>
      <c r="AO114" s="92">
        <f t="shared" si="47"/>
        <v>143.12978026650069</v>
      </c>
      <c r="AP114" s="92">
        <f t="shared" si="48"/>
        <v>184.80920650244451</v>
      </c>
      <c r="AQ114" s="92">
        <f t="shared" si="49"/>
        <v>191.10610287202664</v>
      </c>
      <c r="AR114" s="92">
        <f t="shared" si="50"/>
        <v>188.79835532362227</v>
      </c>
      <c r="AS114" s="92">
        <f t="shared" si="51"/>
        <v>165.73113332005201</v>
      </c>
      <c r="AT114" s="92">
        <f t="shared" si="52"/>
        <v>229.81837797278507</v>
      </c>
      <c r="AU114" s="92">
        <f t="shared" si="53"/>
        <v>183.22574887444793</v>
      </c>
      <c r="AV114" s="92">
        <f t="shared" si="54"/>
        <v>210.64393929650785</v>
      </c>
      <c r="AW114" s="92">
        <f t="shared" si="38"/>
        <v>190.17812631981221</v>
      </c>
      <c r="AX114" s="92" t="str">
        <f t="shared" si="39"/>
        <v/>
      </c>
      <c r="AY114" s="93">
        <f t="shared" si="55"/>
        <v>198.40168164209891</v>
      </c>
      <c r="AZ114" s="94">
        <f t="shared" si="56"/>
        <v>192.76860261186741</v>
      </c>
      <c r="BA114" s="95">
        <f t="shared" si="57"/>
        <v>190.17812631981221</v>
      </c>
      <c r="BB114" s="96">
        <f>SUM('Defect P1'!CE114,'Defect P2'!CE114,RTS!CE114)</f>
        <v>0</v>
      </c>
      <c r="BC114" s="96">
        <f>SUM('Defect P1'!CF114,'Defect P2'!CF114,RTS!CF114)</f>
        <v>0</v>
      </c>
      <c r="BD114" s="96">
        <f>SUM('Defect P1'!CG114,'Defect P2'!CG114,RTS!CG114)</f>
        <v>0</v>
      </c>
      <c r="BE114" s="96">
        <f>SUM('Defect P1'!CH114,'Defect P2'!CH114,RTS!CH114)</f>
        <v>0</v>
      </c>
      <c r="BF114" s="96">
        <f>SUM('Defect P1'!CI114,'Defect P2'!CI114,RTS!CI114)</f>
        <v>0</v>
      </c>
      <c r="BG114" s="96">
        <f>SUM('Defect P1'!CJ114,'Defect P2'!CJ114,RTS!CJ114)</f>
        <v>0</v>
      </c>
      <c r="BH114" s="96">
        <f>SUM('Defect P1'!CK114,'Defect P2'!CK114,RTS!CK114)</f>
        <v>0</v>
      </c>
      <c r="BI114" s="286">
        <f>SUM('Defect P1'!CL114,'Defect P2'!CL114,RTS!CL114)</f>
        <v>0</v>
      </c>
      <c r="BJ114" s="99" t="str">
        <f t="shared" si="45"/>
        <v/>
      </c>
      <c r="BK114" s="640">
        <f>SUM('Defect P1'!CQ114,'Defect P2'!CQ114,RTS!CQ114)</f>
        <v>0</v>
      </c>
      <c r="BL114" s="97">
        <f>SUM('Defect P1'!CR114,'Defect P2'!CR114,RTS!CR114)</f>
        <v>0</v>
      </c>
      <c r="BM114" s="524">
        <f>SUM('Defect P1'!CS114,'Defect P2'!CS114,RTS!CS114)</f>
        <v>0</v>
      </c>
      <c r="BN114" s="416">
        <f>SUM('Defect P1'!CT114,'Defect P2'!CT114,RTS!CT114)</f>
        <v>0</v>
      </c>
      <c r="BO114" s="97">
        <f>SUM('Defect P1'!CU114,'Defect P2'!CU114,RTS!CU114)</f>
        <v>0</v>
      </c>
      <c r="BP114" s="97">
        <f>SUM('Defect P1'!CV114,'Defect P2'!CV114,RTS!CV114)</f>
        <v>0</v>
      </c>
      <c r="BQ114" s="97">
        <f>SUM('Defect P1'!CW114,'Defect P2'!CW114,RTS!CW114)</f>
        <v>0</v>
      </c>
      <c r="BR114" s="98">
        <f>SUM('Defect P1'!CX114,'Defect P2'!CX114,RTS!CX114)</f>
        <v>0</v>
      </c>
    </row>
    <row r="115" spans="1:70" x14ac:dyDescent="0.25">
      <c r="A115" s="81" t="s">
        <v>224</v>
      </c>
      <c r="B115" s="82" t="s">
        <v>233</v>
      </c>
      <c r="C115" s="83" t="s">
        <v>234</v>
      </c>
      <c r="D115" s="84">
        <f>SUM('Defect P1'!D115,'Defect P2'!D115,RTS!D115)</f>
        <v>10577.662600896274</v>
      </c>
      <c r="E115" s="85">
        <f>SUM('Defect P1'!E115,'Defect P2'!E115,RTS!E115)</f>
        <v>19438.083468785106</v>
      </c>
      <c r="F115" s="85">
        <f>SUM('Defect P1'!F115,'Defect P2'!F115,RTS!F115)</f>
        <v>29133.540254770698</v>
      </c>
      <c r="G115" s="85">
        <f>SUM('Defect P1'!G115,'Defect P2'!G115,RTS!G115)</f>
        <v>34395.111799379243</v>
      </c>
      <c r="H115" s="85">
        <f>SUM('Defect P1'!H115,'Defect P2'!H115,RTS!H115)</f>
        <v>26816.27664357892</v>
      </c>
      <c r="I115" s="85">
        <f>SUM('Defect P1'!I115,'Defect P2'!I115,RTS!I115)</f>
        <v>31453.090981194135</v>
      </c>
      <c r="J115" s="85">
        <f>SUM('Defect P1'!J115,'Defect P2'!J115,RTS!J115)</f>
        <v>121082.20683667177</v>
      </c>
      <c r="K115" s="85">
        <f>SUM('Defect P1'!K115,'Defect P2'!K115,RTS!K115)</f>
        <v>60171.780642632984</v>
      </c>
      <c r="L115" s="85">
        <f>SUM('Defect P1'!L115,'Defect P2'!L115,RTS!L115)</f>
        <v>72692.135758815231</v>
      </c>
      <c r="M115" s="85">
        <f>SUM('Defect P1'!M115,'Defect P2'!M115,RTS!M115)</f>
        <v>46418.135344554823</v>
      </c>
      <c r="N115" s="85">
        <v>0</v>
      </c>
      <c r="O115" s="560">
        <f>SUM('Defect P1'!O115,'Defect P2'!O115,RTS!O115)</f>
        <v>14231.782988810966</v>
      </c>
      <c r="P115" s="561">
        <f>SUM('Defect P1'!P115,'Defect P2'!P115,RTS!P115)</f>
        <v>25763.836910033478</v>
      </c>
      <c r="Q115" s="561">
        <f>SUM('Defect P1'!Q115,'Defect P2'!Q115,RTS!Q115)</f>
        <v>38223.372266116225</v>
      </c>
      <c r="R115" s="561">
        <f>SUM('Defect P1'!R115,'Defect P2'!R115,RTS!R115)</f>
        <v>44270.524508571551</v>
      </c>
      <c r="S115" s="561">
        <f>SUM('Defect P1'!S115,'Defect P2'!S115,RTS!S115)</f>
        <v>33813.147319370793</v>
      </c>
      <c r="T115" s="561">
        <f>SUM('Defect P1'!T115,'Defect P2'!T115,RTS!T115)</f>
        <v>39037.950226795678</v>
      </c>
      <c r="U115" s="561">
        <f>SUM('Defect P1'!U115,'Defect P2'!U115,RTS!U115)</f>
        <v>150806.43245756874</v>
      </c>
      <c r="V115" s="561">
        <f>SUM('Defect P1'!V115,'Defect P2'!V115,RTS!V115)</f>
        <v>72167.553999369993</v>
      </c>
      <c r="W115" s="561">
        <f>SUM('Defect P1'!W115,'Defect P2'!W115,RTS!W115)</f>
        <v>82136.82388953706</v>
      </c>
      <c r="X115" s="561">
        <f>SUM('Defect P1'!X115,'Defect P2'!X115,RTS!X115)</f>
        <v>49363.873200988484</v>
      </c>
      <c r="Y115" s="561">
        <f>SUM('Defect P1'!Y115,'Defect P2'!Y115,RTS!Y115)</f>
        <v>144302.50900239302</v>
      </c>
      <c r="Z115" s="86">
        <f>SUM('Defect P1'!Z115,'Defect P2'!Z115,RTS!Z115)</f>
        <v>705</v>
      </c>
      <c r="AA115" s="87">
        <f>SUM('Defect P1'!AA115,'Defect P2'!AA115,RTS!AA115)</f>
        <v>649</v>
      </c>
      <c r="AB115" s="87">
        <f>SUM('Defect P1'!AB115,'Defect P2'!AB115,RTS!AB115)</f>
        <v>579</v>
      </c>
      <c r="AC115" s="87">
        <f>SUM('Defect P1'!AC115,'Defect P2'!AC115,RTS!AC115)</f>
        <v>671</v>
      </c>
      <c r="AD115" s="87">
        <f>SUM('Defect P1'!AD115,'Defect P2'!AD115,RTS!AD115)</f>
        <v>475</v>
      </c>
      <c r="AE115" s="87">
        <f>SUM('Defect P1'!AE115,'Defect P2'!AE115,RTS!AE115)</f>
        <v>607</v>
      </c>
      <c r="AF115" s="87">
        <f>SUM('Defect P1'!AF115,'Defect P2'!AF115,RTS!AF115)</f>
        <v>1285</v>
      </c>
      <c r="AG115" s="87">
        <f>SUM('Defect P1'!AG115,'Defect P2'!AG115,RTS!AG115)</f>
        <v>474</v>
      </c>
      <c r="AH115" s="87">
        <f>SUM('Defect P1'!AH115,'Defect P2'!AH115,RTS!AH115)</f>
        <v>391</v>
      </c>
      <c r="AI115" s="87">
        <f>SUM('Defect P1'!AI115,'Defect P2'!AI115,RTS!AI115)</f>
        <v>430</v>
      </c>
      <c r="AJ115" s="87">
        <f>SUM('Defect P1'!AJ115,'Defect P2'!AJ115,RTS!AJ115)</f>
        <v>0</v>
      </c>
      <c r="AK115" s="88">
        <f t="shared" si="43"/>
        <v>637.4</v>
      </c>
      <c r="AL115" s="89" cm="1">
        <f t="array" ref="AL115">IFERROR(IF($AM$4="N",SSUM(AF115:AH115)/3,SUM(AG115:AI115)/3),"")</f>
        <v>431.66666666666669</v>
      </c>
      <c r="AM115" s="90">
        <f t="shared" si="44"/>
        <v>430</v>
      </c>
      <c r="AN115" s="91">
        <f t="shared" si="46"/>
        <v>15.003776738859964</v>
      </c>
      <c r="AO115" s="92">
        <f t="shared" si="47"/>
        <v>29.950821985801394</v>
      </c>
      <c r="AP115" s="92">
        <f t="shared" si="48"/>
        <v>50.316995258671326</v>
      </c>
      <c r="AQ115" s="92">
        <f t="shared" si="49"/>
        <v>51.259481072100215</v>
      </c>
      <c r="AR115" s="92">
        <f t="shared" si="50"/>
        <v>56.455319249639828</v>
      </c>
      <c r="AS115" s="92">
        <f t="shared" si="51"/>
        <v>51.817283329809115</v>
      </c>
      <c r="AT115" s="92">
        <f t="shared" si="52"/>
        <v>94.227398316476084</v>
      </c>
      <c r="AU115" s="92">
        <f t="shared" si="53"/>
        <v>126.94468490006959</v>
      </c>
      <c r="AV115" s="92">
        <f t="shared" si="54"/>
        <v>185.91339068750699</v>
      </c>
      <c r="AW115" s="92">
        <f t="shared" si="38"/>
        <v>107.94915196408098</v>
      </c>
      <c r="AX115" s="92" t="str">
        <f t="shared" si="39"/>
        <v/>
      </c>
      <c r="AY115" s="93">
        <f t="shared" si="55"/>
        <v>104.11589255220237</v>
      </c>
      <c r="AZ115" s="94">
        <f t="shared" si="56"/>
        <v>138.44173880000235</v>
      </c>
      <c r="BA115" s="95">
        <f t="shared" si="57"/>
        <v>107.94915196408098</v>
      </c>
      <c r="BB115" s="96">
        <f>SUM('Defect P1'!CE115,'Defect P2'!CE115,RTS!CE115)</f>
        <v>0</v>
      </c>
      <c r="BC115" s="96">
        <f>SUM('Defect P1'!CF115,'Defect P2'!CF115,RTS!CF115)</f>
        <v>0</v>
      </c>
      <c r="BD115" s="96">
        <f>SUM('Defect P1'!CG115,'Defect P2'!CG115,RTS!CG115)</f>
        <v>0</v>
      </c>
      <c r="BE115" s="96">
        <f>SUM('Defect P1'!CH115,'Defect P2'!CH115,RTS!CH115)</f>
        <v>0</v>
      </c>
      <c r="BF115" s="96">
        <f>SUM('Defect P1'!CI115,'Defect P2'!CI115,RTS!CI115)</f>
        <v>0</v>
      </c>
      <c r="BG115" s="96">
        <f>SUM('Defect P1'!CJ115,'Defect P2'!CJ115,RTS!CJ115)</f>
        <v>0</v>
      </c>
      <c r="BH115" s="96">
        <f>SUM('Defect P1'!CK115,'Defect P2'!CK115,RTS!CK115)</f>
        <v>0</v>
      </c>
      <c r="BI115" s="286">
        <f>SUM('Defect P1'!CL115,'Defect P2'!CL115,RTS!CL115)</f>
        <v>0</v>
      </c>
      <c r="BJ115" s="99" t="str">
        <f t="shared" si="45"/>
        <v/>
      </c>
      <c r="BK115" s="640">
        <f>SUM('Defect P1'!CQ115,'Defect P2'!CQ115,RTS!CQ115)</f>
        <v>0</v>
      </c>
      <c r="BL115" s="97">
        <f>SUM('Defect P1'!CR115,'Defect P2'!CR115,RTS!CR115)</f>
        <v>0</v>
      </c>
      <c r="BM115" s="524">
        <f>SUM('Defect P1'!CS115,'Defect P2'!CS115,RTS!CS115)</f>
        <v>0</v>
      </c>
      <c r="BN115" s="416">
        <f>SUM('Defect P1'!CT115,'Defect P2'!CT115,RTS!CT115)</f>
        <v>0</v>
      </c>
      <c r="BO115" s="97">
        <f>SUM('Defect P1'!CU115,'Defect P2'!CU115,RTS!CU115)</f>
        <v>0</v>
      </c>
      <c r="BP115" s="97">
        <f>SUM('Defect P1'!CV115,'Defect P2'!CV115,RTS!CV115)</f>
        <v>0</v>
      </c>
      <c r="BQ115" s="97">
        <f>SUM('Defect P1'!CW115,'Defect P2'!CW115,RTS!CW115)</f>
        <v>0</v>
      </c>
      <c r="BR115" s="98">
        <f>SUM('Defect P1'!CX115,'Defect P2'!CX115,RTS!CX115)</f>
        <v>0</v>
      </c>
    </row>
    <row r="116" spans="1:70" x14ac:dyDescent="0.25">
      <c r="A116" s="81" t="s">
        <v>224</v>
      </c>
      <c r="B116" s="82" t="s">
        <v>235</v>
      </c>
      <c r="C116" s="83" t="s">
        <v>236</v>
      </c>
      <c r="D116" s="84">
        <f>SUM('Defect P1'!D116,'Defect P2'!D116,RTS!D116)</f>
        <v>154870.55622396347</v>
      </c>
      <c r="E116" s="85">
        <f>SUM('Defect P1'!E116,'Defect P2'!E116,RTS!E116)</f>
        <v>118792.11966858205</v>
      </c>
      <c r="F116" s="85">
        <f>SUM('Defect P1'!F116,'Defect P2'!F116,RTS!F116)</f>
        <v>451881.66419876512</v>
      </c>
      <c r="G116" s="85">
        <f>SUM('Defect P1'!G116,'Defect P2'!G116,RTS!G116)</f>
        <v>241790.20883430049</v>
      </c>
      <c r="H116" s="85">
        <f>SUM('Defect P1'!H116,'Defect P2'!H116,RTS!H116)</f>
        <v>178087.49906820711</v>
      </c>
      <c r="I116" s="85">
        <f>SUM('Defect P1'!I116,'Defect P2'!I116,RTS!I116)</f>
        <v>246711.24559820659</v>
      </c>
      <c r="J116" s="85">
        <f>SUM('Defect P1'!J116,'Defect P2'!J116,RTS!J116)</f>
        <v>388194.72147772036</v>
      </c>
      <c r="K116" s="85">
        <f>SUM('Defect P1'!K116,'Defect P2'!K116,RTS!K116)</f>
        <v>43719.178841100998</v>
      </c>
      <c r="L116" s="85">
        <f>SUM('Defect P1'!L116,'Defect P2'!L116,RTS!L116)</f>
        <v>238480.01422008692</v>
      </c>
      <c r="M116" s="85">
        <f>SUM('Defect P1'!M116,'Defect P2'!M116,RTS!M116)</f>
        <v>299780.3468326013</v>
      </c>
      <c r="N116" s="85">
        <v>0</v>
      </c>
      <c r="O116" s="560">
        <f>SUM('Defect P1'!O116,'Defect P2'!O116,RTS!O116)</f>
        <v>208371.56853056906</v>
      </c>
      <c r="P116" s="561">
        <f>SUM('Defect P1'!P116,'Defect P2'!P116,RTS!P116)</f>
        <v>157450.74879698589</v>
      </c>
      <c r="Q116" s="561">
        <f>SUM('Defect P1'!Q116,'Defect P2'!Q116,RTS!Q116)</f>
        <v>592871.34072465193</v>
      </c>
      <c r="R116" s="561">
        <f>SUM('Defect P1'!R116,'Defect P2'!R116,RTS!R116)</f>
        <v>311212.2277307068</v>
      </c>
      <c r="S116" s="561">
        <f>SUM('Defect P1'!S116,'Defect P2'!S116,RTS!S116)</f>
        <v>224553.87531115266</v>
      </c>
      <c r="T116" s="561">
        <f>SUM('Defect P1'!T116,'Defect P2'!T116,RTS!T116)</f>
        <v>306205.2416982486</v>
      </c>
      <c r="U116" s="561">
        <f>SUM('Defect P1'!U116,'Defect P2'!U116,RTS!U116)</f>
        <v>483491.85709740495</v>
      </c>
      <c r="V116" s="561">
        <f>SUM('Defect P1'!V116,'Defect P2'!V116,RTS!V116)</f>
        <v>52434.981416983552</v>
      </c>
      <c r="W116" s="561">
        <f>SUM('Defect P1'!W116,'Defect P2'!W116,RTS!W116)</f>
        <v>269465.062825509</v>
      </c>
      <c r="X116" s="561">
        <f>SUM('Defect P1'!X116,'Defect P2'!X116,RTS!X116)</f>
        <v>318804.68526680762</v>
      </c>
      <c r="Y116" s="561">
        <f>SUM('Defect P1'!Y116,'Defect P2'!Y116,RTS!Y116)</f>
        <v>315911.24410827231</v>
      </c>
      <c r="Z116" s="86">
        <f>SUM('Defect P1'!Z116,'Defect P2'!Z116,RTS!Z116)</f>
        <v>29</v>
      </c>
      <c r="AA116" s="87">
        <f>SUM('Defect P1'!AA116,'Defect P2'!AA116,RTS!AA116)</f>
        <v>21</v>
      </c>
      <c r="AB116" s="87">
        <f>SUM('Defect P1'!AB116,'Defect P2'!AB116,RTS!AB116)</f>
        <v>65</v>
      </c>
      <c r="AC116" s="87">
        <f>SUM('Defect P1'!AC116,'Defect P2'!AC116,RTS!AC116)</f>
        <v>40</v>
      </c>
      <c r="AD116" s="87">
        <f>SUM('Defect P1'!AD116,'Defect P2'!AD116,RTS!AD116)</f>
        <v>31</v>
      </c>
      <c r="AE116" s="87">
        <f>SUM('Defect P1'!AE116,'Defect P2'!AE116,RTS!AE116)</f>
        <v>47</v>
      </c>
      <c r="AF116" s="87">
        <f>SUM('Defect P1'!AF116,'Defect P2'!AF116,RTS!AF116)</f>
        <v>80</v>
      </c>
      <c r="AG116" s="87">
        <f>SUM('Defect P1'!AG116,'Defect P2'!AG116,RTS!AG116)</f>
        <v>11</v>
      </c>
      <c r="AH116" s="87">
        <f>SUM('Defect P1'!AH116,'Defect P2'!AH116,RTS!AH116)</f>
        <v>23</v>
      </c>
      <c r="AI116" s="87">
        <f>SUM('Defect P1'!AI116,'Defect P2'!AI116,RTS!AI116)</f>
        <v>24</v>
      </c>
      <c r="AJ116" s="87">
        <f>SUM('Defect P1'!AJ116,'Defect P2'!AJ116,RTS!AJ116)</f>
        <v>0</v>
      </c>
      <c r="AK116" s="88">
        <f t="shared" si="43"/>
        <v>37</v>
      </c>
      <c r="AL116" s="89" cm="1">
        <f t="array" ref="AL116">IFERROR(IF($AM$4="N",SSUM(AF116:AH116)/3,SUM(AG116:AI116)/3),"")</f>
        <v>19.333333333333332</v>
      </c>
      <c r="AM116" s="90">
        <f t="shared" si="44"/>
        <v>24</v>
      </c>
      <c r="AN116" s="91">
        <f t="shared" si="46"/>
        <v>5340.3640077228783</v>
      </c>
      <c r="AO116" s="92">
        <f t="shared" si="47"/>
        <v>5656.7676032658119</v>
      </c>
      <c r="AP116" s="92">
        <f t="shared" si="48"/>
        <v>6952.0256030579249</v>
      </c>
      <c r="AQ116" s="92">
        <f t="shared" si="49"/>
        <v>6044.7552208575125</v>
      </c>
      <c r="AR116" s="92">
        <f t="shared" si="50"/>
        <v>5744.7580344582939</v>
      </c>
      <c r="AS116" s="92">
        <f t="shared" si="51"/>
        <v>5249.1754382597146</v>
      </c>
      <c r="AT116" s="92">
        <f t="shared" si="52"/>
        <v>4852.4340184715047</v>
      </c>
      <c r="AU116" s="92">
        <f t="shared" si="53"/>
        <v>3974.4708037364544</v>
      </c>
      <c r="AV116" s="92">
        <f t="shared" si="54"/>
        <v>10368.696270438562</v>
      </c>
      <c r="AW116" s="92">
        <f t="shared" si="38"/>
        <v>12490.847784691721</v>
      </c>
      <c r="AX116" s="92" t="str">
        <f t="shared" si="39"/>
        <v/>
      </c>
      <c r="AY116" s="93">
        <f t="shared" si="55"/>
        <v>6577.7594971336011</v>
      </c>
      <c r="AZ116" s="94">
        <f t="shared" si="56"/>
        <v>10034.129998168779</v>
      </c>
      <c r="BA116" s="95">
        <f t="shared" si="57"/>
        <v>12490.847784691721</v>
      </c>
      <c r="BB116" s="96">
        <f>SUM('Defect P1'!CE116,'Defect P2'!CE116,RTS!CE116)</f>
        <v>0</v>
      </c>
      <c r="BC116" s="96">
        <f>SUM('Defect P1'!CF116,'Defect P2'!CF116,RTS!CF116)</f>
        <v>0</v>
      </c>
      <c r="BD116" s="96">
        <f>SUM('Defect P1'!CG116,'Defect P2'!CG116,RTS!CG116)</f>
        <v>0</v>
      </c>
      <c r="BE116" s="96">
        <f>SUM('Defect P1'!CH116,'Defect P2'!CH116,RTS!CH116)</f>
        <v>0</v>
      </c>
      <c r="BF116" s="96">
        <f>SUM('Defect P1'!CI116,'Defect P2'!CI116,RTS!CI116)</f>
        <v>0</v>
      </c>
      <c r="BG116" s="96">
        <f>SUM('Defect P1'!CJ116,'Defect P2'!CJ116,RTS!CJ116)</f>
        <v>0</v>
      </c>
      <c r="BH116" s="96">
        <f>SUM('Defect P1'!CK116,'Defect P2'!CK116,RTS!CK116)</f>
        <v>0</v>
      </c>
      <c r="BI116" s="286">
        <f>SUM('Defect P1'!CL116,'Defect P2'!CL116,RTS!CL116)</f>
        <v>0</v>
      </c>
      <c r="BJ116" s="99" t="str">
        <f t="shared" si="45"/>
        <v/>
      </c>
      <c r="BK116" s="640">
        <f>SUM('Defect P1'!CQ116,'Defect P2'!CQ116,RTS!CQ116)</f>
        <v>0</v>
      </c>
      <c r="BL116" s="97">
        <f>SUM('Defect P1'!CR116,'Defect P2'!CR116,RTS!CR116)</f>
        <v>0</v>
      </c>
      <c r="BM116" s="524">
        <f>SUM('Defect P1'!CS116,'Defect P2'!CS116,RTS!CS116)</f>
        <v>0</v>
      </c>
      <c r="BN116" s="416">
        <f>SUM('Defect P1'!CT116,'Defect P2'!CT116,RTS!CT116)</f>
        <v>0</v>
      </c>
      <c r="BO116" s="97">
        <f>SUM('Defect P1'!CU116,'Defect P2'!CU116,RTS!CU116)</f>
        <v>0</v>
      </c>
      <c r="BP116" s="97">
        <f>SUM('Defect P1'!CV116,'Defect P2'!CV116,RTS!CV116)</f>
        <v>0</v>
      </c>
      <c r="BQ116" s="97">
        <f>SUM('Defect P1'!CW116,'Defect P2'!CW116,RTS!CW116)</f>
        <v>0</v>
      </c>
      <c r="BR116" s="98">
        <f>SUM('Defect P1'!CX116,'Defect P2'!CX116,RTS!CX116)</f>
        <v>0</v>
      </c>
    </row>
    <row r="117" spans="1:70" x14ac:dyDescent="0.25">
      <c r="A117" s="81" t="s">
        <v>224</v>
      </c>
      <c r="B117" s="82" t="s">
        <v>237</v>
      </c>
      <c r="C117" s="83" t="s">
        <v>238</v>
      </c>
      <c r="D117" s="84">
        <f>SUM('Defect P1'!D117,'Defect P2'!D117,RTS!D117)</f>
        <v>806957.53293414938</v>
      </c>
      <c r="E117" s="85">
        <f>SUM('Defect P1'!E117,'Defect P2'!E117,RTS!E117)</f>
        <v>328922.12985493423</v>
      </c>
      <c r="F117" s="85">
        <f>SUM('Defect P1'!F117,'Defect P2'!F117,RTS!F117)</f>
        <v>715308.85965674056</v>
      </c>
      <c r="G117" s="85">
        <f>SUM('Defect P1'!G117,'Defect P2'!G117,RTS!G117)</f>
        <v>635237.28162143903</v>
      </c>
      <c r="H117" s="85">
        <f>SUM('Defect P1'!H117,'Defect P2'!H117,RTS!H117)</f>
        <v>330685.65289754485</v>
      </c>
      <c r="I117" s="85">
        <f>SUM('Defect P1'!I117,'Defect P2'!I117,RTS!I117)</f>
        <v>595636.01373642439</v>
      </c>
      <c r="J117" s="85">
        <f>SUM('Defect P1'!J117,'Defect P2'!J117,RTS!J117)</f>
        <v>594985.61639312643</v>
      </c>
      <c r="K117" s="85">
        <f>SUM('Defect P1'!K117,'Defect P2'!K117,RTS!K117)</f>
        <v>243117.80286868499</v>
      </c>
      <c r="L117" s="85">
        <f>SUM('Defect P1'!L117,'Defect P2'!L117,RTS!L117)</f>
        <v>311758.81575409649</v>
      </c>
      <c r="M117" s="85">
        <f>SUM('Defect P1'!M117,'Defect P2'!M117,RTS!M117)</f>
        <v>788997.91068798921</v>
      </c>
      <c r="N117" s="85">
        <v>0</v>
      </c>
      <c r="O117" s="560">
        <f>SUM('Defect P1'!O117,'Defect P2'!O117,RTS!O117)</f>
        <v>1085726.1120176006</v>
      </c>
      <c r="P117" s="561">
        <f>SUM('Defect P1'!P117,'Defect P2'!P117,RTS!P117)</f>
        <v>435963.56211207423</v>
      </c>
      <c r="Q117" s="561">
        <f>SUM('Defect P1'!Q117,'Defect P2'!Q117,RTS!Q117)</f>
        <v>938489.33527511894</v>
      </c>
      <c r="R117" s="561">
        <f>SUM('Defect P1'!R117,'Defect P2'!R117,RTS!R117)</f>
        <v>817624.54527878074</v>
      </c>
      <c r="S117" s="561">
        <f>SUM('Defect P1'!S117,'Defect P2'!S117,RTS!S117)</f>
        <v>416967.75605514139</v>
      </c>
      <c r="T117" s="561">
        <f>SUM('Defect P1'!T117,'Defect P2'!T117,RTS!T117)</f>
        <v>739272.62256775284</v>
      </c>
      <c r="U117" s="561">
        <f>SUM('Defect P1'!U117,'Defect P2'!U117,RTS!U117)</f>
        <v>741047.42980815389</v>
      </c>
      <c r="V117" s="561">
        <f>SUM('Defect P1'!V117,'Defect P2'!V117,RTS!V117)</f>
        <v>291585.4737777671</v>
      </c>
      <c r="W117" s="561">
        <f>SUM('Defect P1'!W117,'Defect P2'!W117,RTS!W117)</f>
        <v>352264.77635167795</v>
      </c>
      <c r="X117" s="561">
        <f>SUM('Defect P1'!X117,'Defect P2'!X117,RTS!X117)</f>
        <v>839068.4487849772</v>
      </c>
      <c r="Y117" s="561">
        <f>SUM('Defect P1'!Y117,'Defect P2'!Y117,RTS!Y117)</f>
        <v>782154.61283102119</v>
      </c>
      <c r="Z117" s="86">
        <f>SUM('Defect P1'!Z117,'Defect P2'!Z117,RTS!Z117)</f>
        <v>289</v>
      </c>
      <c r="AA117" s="87">
        <f>SUM('Defect P1'!AA117,'Defect P2'!AA117,RTS!AA117)</f>
        <v>121</v>
      </c>
      <c r="AB117" s="87">
        <f>SUM('Defect P1'!AB117,'Defect P2'!AB117,RTS!AB117)</f>
        <v>182</v>
      </c>
      <c r="AC117" s="87">
        <f>SUM('Defect P1'!AC117,'Defect P2'!AC117,RTS!AC117)</f>
        <v>201</v>
      </c>
      <c r="AD117" s="87">
        <f>SUM('Defect P1'!AD117,'Defect P2'!AD117,RTS!AD117)</f>
        <v>104</v>
      </c>
      <c r="AE117" s="87">
        <f>SUM('Defect P1'!AE117,'Defect P2'!AE117,RTS!AE117)</f>
        <v>159</v>
      </c>
      <c r="AF117" s="87">
        <f>SUM('Defect P1'!AF117,'Defect P2'!AF117,RTS!AF117)</f>
        <v>272</v>
      </c>
      <c r="AG117" s="87">
        <f>SUM('Defect P1'!AG117,'Defect P2'!AG117,RTS!AG117)</f>
        <v>55</v>
      </c>
      <c r="AH117" s="87">
        <f>SUM('Defect P1'!AH117,'Defect P2'!AH117,RTS!AH117)</f>
        <v>60</v>
      </c>
      <c r="AI117" s="87">
        <f>SUM('Defect P1'!AI117,'Defect P2'!AI117,RTS!AI117)</f>
        <v>91</v>
      </c>
      <c r="AJ117" s="87">
        <f>SUM('Defect P1'!AJ117,'Defect P2'!AJ117,RTS!AJ117)</f>
        <v>0</v>
      </c>
      <c r="AK117" s="88">
        <f t="shared" si="43"/>
        <v>127.4</v>
      </c>
      <c r="AL117" s="89" cm="1">
        <f t="array" ref="AL117">IFERROR(IF($AM$4="N",SSUM(AF117:AH117)/3,SUM(AG117:AI117)/3),"")</f>
        <v>68.666666666666671</v>
      </c>
      <c r="AM117" s="90">
        <f t="shared" si="44"/>
        <v>91</v>
      </c>
      <c r="AN117" s="91">
        <f t="shared" si="46"/>
        <v>2792.2405983880603</v>
      </c>
      <c r="AO117" s="92">
        <f t="shared" si="47"/>
        <v>2718.364709544911</v>
      </c>
      <c r="AP117" s="92">
        <f t="shared" si="48"/>
        <v>3930.2684596524205</v>
      </c>
      <c r="AQ117" s="92">
        <f t="shared" si="49"/>
        <v>3160.384485678801</v>
      </c>
      <c r="AR117" s="92">
        <f t="shared" si="50"/>
        <v>3179.6697393994696</v>
      </c>
      <c r="AS117" s="92">
        <f t="shared" si="51"/>
        <v>3746.1384511724805</v>
      </c>
      <c r="AT117" s="92">
        <f t="shared" si="52"/>
        <v>2187.4471190923764</v>
      </c>
      <c r="AU117" s="92">
        <f t="shared" si="53"/>
        <v>4420.3236885215456</v>
      </c>
      <c r="AV117" s="92">
        <f t="shared" si="54"/>
        <v>5195.9802625682751</v>
      </c>
      <c r="AW117" s="92">
        <f t="shared" si="38"/>
        <v>8670.3067108570249</v>
      </c>
      <c r="AX117" s="92" t="str">
        <f t="shared" si="39"/>
        <v/>
      </c>
      <c r="AY117" s="93">
        <f t="shared" si="55"/>
        <v>3978.8008782422626</v>
      </c>
      <c r="AZ117" s="94">
        <f t="shared" si="56"/>
        <v>6523.6627636445182</v>
      </c>
      <c r="BA117" s="95">
        <f t="shared" si="57"/>
        <v>8670.3067108570249</v>
      </c>
      <c r="BB117" s="96">
        <f>SUM('Defect P1'!CE117,'Defect P2'!CE117,RTS!CE117)</f>
        <v>0</v>
      </c>
      <c r="BC117" s="96">
        <f>SUM('Defect P1'!CF117,'Defect P2'!CF117,RTS!CF117)</f>
        <v>0</v>
      </c>
      <c r="BD117" s="96">
        <f>SUM('Defect P1'!CG117,'Defect P2'!CG117,RTS!CG117)</f>
        <v>0</v>
      </c>
      <c r="BE117" s="96">
        <f>SUM('Defect P1'!CH117,'Defect P2'!CH117,RTS!CH117)</f>
        <v>0</v>
      </c>
      <c r="BF117" s="96">
        <f>SUM('Defect P1'!CI117,'Defect P2'!CI117,RTS!CI117)</f>
        <v>0</v>
      </c>
      <c r="BG117" s="96">
        <f>SUM('Defect P1'!CJ117,'Defect P2'!CJ117,RTS!CJ117)</f>
        <v>0</v>
      </c>
      <c r="BH117" s="96">
        <f>SUM('Defect P1'!CK117,'Defect P2'!CK117,RTS!CK117)</f>
        <v>0</v>
      </c>
      <c r="BI117" s="286">
        <f>SUM('Defect P1'!CL117,'Defect P2'!CL117,RTS!CL117)</f>
        <v>0</v>
      </c>
      <c r="BJ117" s="99" t="str">
        <f t="shared" si="45"/>
        <v/>
      </c>
      <c r="BK117" s="640">
        <f>SUM('Defect P1'!CQ117,'Defect P2'!CQ117,RTS!CQ117)</f>
        <v>0</v>
      </c>
      <c r="BL117" s="97">
        <f>SUM('Defect P1'!CR117,'Defect P2'!CR117,RTS!CR117)</f>
        <v>0</v>
      </c>
      <c r="BM117" s="524">
        <f>SUM('Defect P1'!CS117,'Defect P2'!CS117,RTS!CS117)</f>
        <v>0</v>
      </c>
      <c r="BN117" s="416">
        <f>SUM('Defect P1'!CT117,'Defect P2'!CT117,RTS!CT117)</f>
        <v>0</v>
      </c>
      <c r="BO117" s="97">
        <f>SUM('Defect P1'!CU117,'Defect P2'!CU117,RTS!CU117)</f>
        <v>0</v>
      </c>
      <c r="BP117" s="97">
        <f>SUM('Defect P1'!CV117,'Defect P2'!CV117,RTS!CV117)</f>
        <v>0</v>
      </c>
      <c r="BQ117" s="97">
        <f>SUM('Defect P1'!CW117,'Defect P2'!CW117,RTS!CW117)</f>
        <v>0</v>
      </c>
      <c r="BR117" s="98">
        <f>SUM('Defect P1'!CX117,'Defect P2'!CX117,RTS!CX117)</f>
        <v>0</v>
      </c>
    </row>
    <row r="118" spans="1:70" ht="15.75" thickBot="1" x14ac:dyDescent="0.3">
      <c r="A118" s="100" t="s">
        <v>224</v>
      </c>
      <c r="B118" s="101" t="s">
        <v>397</v>
      </c>
      <c r="C118" s="102" t="s">
        <v>398</v>
      </c>
      <c r="D118" s="103">
        <f>SUM('Defect P1'!D118,'Defect P2'!D118,RTS!D118)</f>
        <v>0</v>
      </c>
      <c r="E118" s="104">
        <f>SUM('Defect P1'!E118,'Defect P2'!E118,RTS!E118)</f>
        <v>0</v>
      </c>
      <c r="F118" s="104">
        <f>SUM('Defect P1'!F118,'Defect P2'!F118,RTS!F118)</f>
        <v>0</v>
      </c>
      <c r="G118" s="104">
        <f>SUM('Defect P1'!G118,'Defect P2'!G118,RTS!G118)</f>
        <v>0</v>
      </c>
      <c r="H118" s="104">
        <f>SUM('Defect P1'!H118,'Defect P2'!H118,RTS!H118)</f>
        <v>0</v>
      </c>
      <c r="I118" s="104">
        <f>SUM('Defect P1'!I118,'Defect P2'!I118,RTS!I118)</f>
        <v>0</v>
      </c>
      <c r="J118" s="104">
        <f>SUM('Defect P1'!J118,'Defect P2'!J118,RTS!J118)</f>
        <v>0</v>
      </c>
      <c r="K118" s="104">
        <f>SUM('Defect P1'!K118,'Defect P2'!K118,RTS!K118)</f>
        <v>0</v>
      </c>
      <c r="L118" s="104">
        <f>SUM('Defect P1'!L118,'Defect P2'!L118,RTS!L118)</f>
        <v>0</v>
      </c>
      <c r="M118" s="104">
        <f>SUM('Defect P1'!M118,'Defect P2'!M118,RTS!M118)</f>
        <v>0</v>
      </c>
      <c r="N118" s="104">
        <v>0</v>
      </c>
      <c r="O118" s="563">
        <f>SUM('Defect P1'!O118,'Defect P2'!O118,RTS!O118)</f>
        <v>0</v>
      </c>
      <c r="P118" s="564">
        <f>SUM('Defect P1'!P118,'Defect P2'!P118,RTS!P118)</f>
        <v>0</v>
      </c>
      <c r="Q118" s="564">
        <f>SUM('Defect P1'!Q118,'Defect P2'!Q118,RTS!Q118)</f>
        <v>0</v>
      </c>
      <c r="R118" s="564">
        <f>SUM('Defect P1'!R118,'Defect P2'!R118,RTS!R118)</f>
        <v>0</v>
      </c>
      <c r="S118" s="564">
        <f>SUM('Defect P1'!S118,'Defect P2'!S118,RTS!S118)</f>
        <v>0</v>
      </c>
      <c r="T118" s="564">
        <f>SUM('Defect P1'!T118,'Defect P2'!T118,RTS!T118)</f>
        <v>0</v>
      </c>
      <c r="U118" s="564">
        <f>SUM('Defect P1'!U118,'Defect P2'!U118,RTS!U118)</f>
        <v>0</v>
      </c>
      <c r="V118" s="564">
        <f>SUM('Defect P1'!V118,'Defect P2'!V118,RTS!V118)</f>
        <v>0</v>
      </c>
      <c r="W118" s="564">
        <f>SUM('Defect P1'!W118,'Defect P2'!W118,RTS!W118)</f>
        <v>0</v>
      </c>
      <c r="X118" s="564">
        <f>SUM('Defect P1'!X118,'Defect P2'!X118,RTS!X118)</f>
        <v>0</v>
      </c>
      <c r="Y118" s="564">
        <f>SUM('Defect P1'!Y118,'Defect P2'!Y118,RTS!Y118)</f>
        <v>0</v>
      </c>
      <c r="Z118" s="105">
        <f>SUM('Defect P1'!Z118,'Defect P2'!Z118,RTS!Z118)</f>
        <v>0</v>
      </c>
      <c r="AA118" s="106">
        <f>SUM('Defect P1'!AA118,'Defect P2'!AA118,RTS!AA118)</f>
        <v>0</v>
      </c>
      <c r="AB118" s="106">
        <f>SUM('Defect P1'!AB118,'Defect P2'!AB118,RTS!AB118)</f>
        <v>0</v>
      </c>
      <c r="AC118" s="106">
        <f>SUM('Defect P1'!AC118,'Defect P2'!AC118,RTS!AC118)</f>
        <v>0</v>
      </c>
      <c r="AD118" s="106">
        <f>SUM('Defect P1'!AD118,'Defect P2'!AD118,RTS!AD118)</f>
        <v>0</v>
      </c>
      <c r="AE118" s="106">
        <f>SUM('Defect P1'!AE118,'Defect P2'!AE118,RTS!AE118)</f>
        <v>0</v>
      </c>
      <c r="AF118" s="106">
        <f>SUM('Defect P1'!AF118,'Defect P2'!AF118,RTS!AF118)</f>
        <v>0</v>
      </c>
      <c r="AG118" s="106">
        <f>SUM('Defect P1'!AG118,'Defect P2'!AG118,RTS!AG118)</f>
        <v>0</v>
      </c>
      <c r="AH118" s="106">
        <f>SUM('Defect P1'!AH118,'Defect P2'!AH118,RTS!AH118)</f>
        <v>0</v>
      </c>
      <c r="AI118" s="106">
        <f>SUM('Defect P1'!AI118,'Defect P2'!AI118,RTS!AI118)</f>
        <v>0</v>
      </c>
      <c r="AJ118" s="106">
        <f>SUM('Defect P1'!AJ118,'Defect P2'!AJ118,RTS!AJ118)</f>
        <v>0</v>
      </c>
      <c r="AK118" s="107">
        <f t="shared" si="43"/>
        <v>0</v>
      </c>
      <c r="AL118" s="108" cm="1">
        <f t="array" ref="AL118">IFERROR(IF($AM$4="N",SSUM(AF118:AH118)/3,SUM(AG118:AI118)/3),"")</f>
        <v>0</v>
      </c>
      <c r="AM118" s="109">
        <f t="shared" si="44"/>
        <v>0</v>
      </c>
      <c r="AN118" s="110" t="str">
        <f t="shared" si="46"/>
        <v/>
      </c>
      <c r="AO118" s="111" t="str">
        <f t="shared" si="47"/>
        <v/>
      </c>
      <c r="AP118" s="111" t="str">
        <f t="shared" si="48"/>
        <v/>
      </c>
      <c r="AQ118" s="111" t="str">
        <f t="shared" si="49"/>
        <v/>
      </c>
      <c r="AR118" s="111" t="str">
        <f t="shared" si="50"/>
        <v/>
      </c>
      <c r="AS118" s="111" t="str">
        <f t="shared" si="51"/>
        <v/>
      </c>
      <c r="AT118" s="111" t="str">
        <f t="shared" si="52"/>
        <v/>
      </c>
      <c r="AU118" s="111" t="str">
        <f t="shared" si="53"/>
        <v/>
      </c>
      <c r="AV118" s="111" t="str">
        <f t="shared" si="54"/>
        <v/>
      </c>
      <c r="AW118" s="111" t="str">
        <f t="shared" si="38"/>
        <v/>
      </c>
      <c r="AX118" s="111" t="str">
        <f t="shared" si="39"/>
        <v/>
      </c>
      <c r="AY118" s="112" t="str">
        <f t="shared" si="55"/>
        <v/>
      </c>
      <c r="AZ118" s="113" t="str">
        <f t="shared" si="56"/>
        <v/>
      </c>
      <c r="BA118" s="114" t="str">
        <f t="shared" si="57"/>
        <v/>
      </c>
      <c r="BB118" s="115">
        <f>SUM('Defect P1'!CE118,'Defect P2'!CE118,RTS!CE118)</f>
        <v>0</v>
      </c>
      <c r="BC118" s="115">
        <f>SUM('Defect P1'!CF118,'Defect P2'!CF118,RTS!CF118)</f>
        <v>0</v>
      </c>
      <c r="BD118" s="115">
        <f>SUM('Defect P1'!CG118,'Defect P2'!CG118,RTS!CG118)</f>
        <v>0</v>
      </c>
      <c r="BE118" s="115">
        <f>SUM('Defect P1'!CH118,'Defect P2'!CH118,RTS!CH118)</f>
        <v>0</v>
      </c>
      <c r="BF118" s="115">
        <f>SUM('Defect P1'!CI118,'Defect P2'!CI118,RTS!CI118)</f>
        <v>0</v>
      </c>
      <c r="BG118" s="115">
        <f>SUM('Defect P1'!CJ118,'Defect P2'!CJ118,RTS!CJ118)</f>
        <v>0</v>
      </c>
      <c r="BH118" s="115">
        <f>SUM('Defect P1'!CK118,'Defect P2'!CK118,RTS!CK118)</f>
        <v>0</v>
      </c>
      <c r="BI118" s="287">
        <f>SUM('Defect P1'!CL118,'Defect P2'!CL118,RTS!CL118)</f>
        <v>0</v>
      </c>
      <c r="BJ118" s="116" t="str">
        <f t="shared" si="45"/>
        <v/>
      </c>
      <c r="BK118" s="641">
        <f>SUM('Defect P1'!CQ118,'Defect P2'!CQ118,RTS!CQ118)</f>
        <v>0</v>
      </c>
      <c r="BL118" s="117">
        <f>SUM('Defect P1'!CR118,'Defect P2'!CR118,RTS!CR118)</f>
        <v>0</v>
      </c>
      <c r="BM118" s="638">
        <f>SUM('Defect P1'!CS118,'Defect P2'!CS118,RTS!CS118)</f>
        <v>0</v>
      </c>
      <c r="BN118" s="467">
        <f>SUM('Defect P1'!CT118,'Defect P2'!CT118,RTS!CT118)</f>
        <v>0</v>
      </c>
      <c r="BO118" s="117">
        <f>SUM('Defect P1'!CU118,'Defect P2'!CU118,RTS!CU118)</f>
        <v>0</v>
      </c>
      <c r="BP118" s="117">
        <f>SUM('Defect P1'!CV118,'Defect P2'!CV118,RTS!CV118)</f>
        <v>0</v>
      </c>
      <c r="BQ118" s="117">
        <f>SUM('Defect P1'!CW118,'Defect P2'!CW118,RTS!CW118)</f>
        <v>0</v>
      </c>
      <c r="BR118" s="118">
        <f>SUM('Defect P1'!CX118,'Defect P2'!CX118,RTS!CX118)</f>
        <v>0</v>
      </c>
    </row>
    <row r="119" spans="1:70" x14ac:dyDescent="0.25">
      <c r="A119" s="63" t="s">
        <v>242</v>
      </c>
      <c r="B119" s="64" t="s">
        <v>239</v>
      </c>
      <c r="C119" s="65" t="s">
        <v>241</v>
      </c>
      <c r="D119" s="66">
        <f>SUM('Defect P1'!D119,'Defect P2'!D119,RTS!D119)</f>
        <v>0</v>
      </c>
      <c r="E119" s="67">
        <f>SUM('Defect P1'!E119,'Defect P2'!E119,RTS!E119)</f>
        <v>0</v>
      </c>
      <c r="F119" s="67">
        <f>SUM('Defect P1'!F119,'Defect P2'!F119,RTS!F119)</f>
        <v>0</v>
      </c>
      <c r="G119" s="67">
        <f>SUM('Defect P1'!G119,'Defect P2'!G119,RTS!G119)</f>
        <v>17817.401676791247</v>
      </c>
      <c r="H119" s="67">
        <f>SUM('Defect P1'!H119,'Defect P2'!H119,RTS!H119)</f>
        <v>20995.652105335754</v>
      </c>
      <c r="I119" s="67">
        <f>SUM('Defect P1'!I119,'Defect P2'!I119,RTS!I119)</f>
        <v>0</v>
      </c>
      <c r="J119" s="67">
        <f>SUM('Defect P1'!J119,'Defect P2'!J119,RTS!J119)</f>
        <v>0</v>
      </c>
      <c r="K119" s="67">
        <f>SUM('Defect P1'!K119,'Defect P2'!K119,RTS!K119)</f>
        <v>0</v>
      </c>
      <c r="L119" s="67">
        <f>SUM('Defect P1'!L119,'Defect P2'!L119,RTS!L119)</f>
        <v>0</v>
      </c>
      <c r="M119" s="67">
        <f>SUM('Defect P1'!M119,'Defect P2'!M119,RTS!M119)</f>
        <v>0</v>
      </c>
      <c r="N119" s="67">
        <v>5185.1099999999997</v>
      </c>
      <c r="O119" s="557">
        <f>SUM('Defect P1'!O119,'Defect P2'!O119,RTS!O119)</f>
        <v>0</v>
      </c>
      <c r="P119" s="558">
        <f>SUM('Defect P1'!P119,'Defect P2'!P119,RTS!P119)</f>
        <v>0</v>
      </c>
      <c r="Q119" s="558">
        <f>SUM('Defect P1'!Q119,'Defect P2'!Q119,RTS!Q119)</f>
        <v>0</v>
      </c>
      <c r="R119" s="558">
        <f>SUM('Defect P1'!R119,'Defect P2'!R119,RTS!R119)</f>
        <v>22933.076136292326</v>
      </c>
      <c r="S119" s="558">
        <f>SUM('Defect P1'!S119,'Defect P2'!S119,RTS!S119)</f>
        <v>26473.812421455827</v>
      </c>
      <c r="T119" s="558">
        <f>SUM('Defect P1'!T119,'Defect P2'!T119,RTS!T119)</f>
        <v>0</v>
      </c>
      <c r="U119" s="558">
        <f>SUM('Defect P1'!U119,'Defect P2'!U119,RTS!U119)</f>
        <v>0</v>
      </c>
      <c r="V119" s="558">
        <f>SUM('Defect P1'!V119,'Defect P2'!V119,RTS!V119)</f>
        <v>0</v>
      </c>
      <c r="W119" s="558">
        <f>SUM('Defect P1'!W119,'Defect P2'!W119,RTS!W119)</f>
        <v>0</v>
      </c>
      <c r="X119" s="558">
        <f>SUM('Defect P1'!X119,'Defect P2'!X119,RTS!X119)</f>
        <v>0</v>
      </c>
      <c r="Y119" s="558">
        <f>SUM('Defect P1'!Y119,'Defect P2'!Y119,RTS!Y119)</f>
        <v>5327.6926400863604</v>
      </c>
      <c r="Z119" s="68">
        <f>SUM('Defect P1'!Z119,'Defect P2'!Z119,RTS!Z119)</f>
        <v>0</v>
      </c>
      <c r="AA119" s="69">
        <f>SUM('Defect P1'!AA119,'Defect P2'!AA119,RTS!AA119)</f>
        <v>0</v>
      </c>
      <c r="AB119" s="69">
        <f>SUM('Defect P1'!AB119,'Defect P2'!AB119,RTS!AB119)</f>
        <v>0</v>
      </c>
      <c r="AC119" s="69">
        <f>SUM('Defect P1'!AC119,'Defect P2'!AC119,RTS!AC119)</f>
        <v>2</v>
      </c>
      <c r="AD119" s="69">
        <f>SUM('Defect P1'!AD119,'Defect P2'!AD119,RTS!AD119)</f>
        <v>2</v>
      </c>
      <c r="AE119" s="69">
        <f>SUM('Defect P1'!AE119,'Defect P2'!AE119,RTS!AE119)</f>
        <v>0</v>
      </c>
      <c r="AF119" s="69">
        <f>SUM('Defect P1'!AF119,'Defect P2'!AF119,RTS!AF119)</f>
        <v>0</v>
      </c>
      <c r="AG119" s="69">
        <f>SUM('Defect P1'!AG119,'Defect P2'!AG119,RTS!AG119)</f>
        <v>0</v>
      </c>
      <c r="AH119" s="69">
        <f>SUM('Defect P1'!AH119,'Defect P2'!AH119,RTS!AH119)</f>
        <v>0</v>
      </c>
      <c r="AI119" s="69">
        <f>SUM('Defect P1'!AI119,'Defect P2'!AI119,RTS!AI119)</f>
        <v>0</v>
      </c>
      <c r="AJ119" s="69">
        <f>SUM('Defect P1'!AJ119,'Defect P2'!AJ119,RTS!AJ119)</f>
        <v>0</v>
      </c>
      <c r="AK119" s="70">
        <f t="shared" si="43"/>
        <v>0</v>
      </c>
      <c r="AL119" s="71" cm="1">
        <f t="array" ref="AL119">IFERROR(IF($AM$4="N",SSUM(AF119:AH119)/3,SUM(AG119:AI119)/3),"")</f>
        <v>0</v>
      </c>
      <c r="AM119" s="72">
        <f t="shared" si="44"/>
        <v>0</v>
      </c>
      <c r="AN119" s="73" t="str">
        <f t="shared" si="46"/>
        <v/>
      </c>
      <c r="AO119" s="74" t="str">
        <f t="shared" si="47"/>
        <v/>
      </c>
      <c r="AP119" s="74" t="str">
        <f t="shared" si="48"/>
        <v/>
      </c>
      <c r="AQ119" s="74">
        <f t="shared" si="49"/>
        <v>8908.7008383956236</v>
      </c>
      <c r="AR119" s="74">
        <f t="shared" si="50"/>
        <v>10497.826052667877</v>
      </c>
      <c r="AS119" s="74" t="str">
        <f t="shared" si="51"/>
        <v/>
      </c>
      <c r="AT119" s="74" t="str">
        <f t="shared" si="52"/>
        <v/>
      </c>
      <c r="AU119" s="74" t="str">
        <f t="shared" si="53"/>
        <v/>
      </c>
      <c r="AV119" s="74" t="str">
        <f t="shared" si="54"/>
        <v/>
      </c>
      <c r="AW119" s="74" t="str">
        <f t="shared" si="38"/>
        <v/>
      </c>
      <c r="AX119" s="74" t="str">
        <f t="shared" si="39"/>
        <v/>
      </c>
      <c r="AY119" s="75" t="str">
        <f t="shared" si="55"/>
        <v/>
      </c>
      <c r="AZ119" s="76" t="str">
        <f t="shared" si="56"/>
        <v/>
      </c>
      <c r="BA119" s="77" t="str">
        <f t="shared" si="57"/>
        <v/>
      </c>
      <c r="BB119" s="144">
        <f>SUM('Defect P1'!CE119,'Defect P2'!CE119,RTS!CE119)</f>
        <v>0</v>
      </c>
      <c r="BC119" s="144">
        <f>SUM('Defect P1'!CF119,'Defect P2'!CF119,RTS!CF119)</f>
        <v>0</v>
      </c>
      <c r="BD119" s="144">
        <f>SUM('Defect P1'!CG119,'Defect P2'!CG119,RTS!CG119)</f>
        <v>0</v>
      </c>
      <c r="BE119" s="144">
        <f>SUM('Defect P1'!CH119,'Defect P2'!CH119,RTS!CH119)</f>
        <v>0</v>
      </c>
      <c r="BF119" s="144">
        <f>SUM('Defect P1'!CI119,'Defect P2'!CI119,RTS!CI119)</f>
        <v>0</v>
      </c>
      <c r="BG119" s="144">
        <f>SUM('Defect P1'!CJ119,'Defect P2'!CJ119,RTS!CJ119)</f>
        <v>0</v>
      </c>
      <c r="BH119" s="144">
        <f>SUM('Defect P1'!CK119,'Defect P2'!CK119,RTS!CK119)</f>
        <v>0</v>
      </c>
      <c r="BI119" s="293">
        <f>SUM('Defect P1'!CL119,'Defect P2'!CL119,RTS!CL119)</f>
        <v>0</v>
      </c>
      <c r="BJ119" s="124" t="str">
        <f t="shared" si="45"/>
        <v/>
      </c>
      <c r="BK119" s="639">
        <f>SUM('Defect P1'!CQ119,'Defect P2'!CQ119,RTS!CQ119)</f>
        <v>0</v>
      </c>
      <c r="BL119" s="79">
        <f>SUM('Defect P1'!CR119,'Defect P2'!CR119,RTS!CR119)</f>
        <v>0</v>
      </c>
      <c r="BM119" s="523">
        <f>SUM('Defect P1'!CS119,'Defect P2'!CS119,RTS!CS119)</f>
        <v>0</v>
      </c>
      <c r="BN119" s="415">
        <f>SUM('Defect P1'!CT119,'Defect P2'!CT119,RTS!CT119)</f>
        <v>0</v>
      </c>
      <c r="BO119" s="79">
        <f>SUM('Defect P1'!CU119,'Defect P2'!CU119,RTS!CU119)</f>
        <v>0</v>
      </c>
      <c r="BP119" s="79">
        <f>SUM('Defect P1'!CV119,'Defect P2'!CV119,RTS!CV119)</f>
        <v>0</v>
      </c>
      <c r="BQ119" s="79">
        <f>SUM('Defect P1'!CW119,'Defect P2'!CW119,RTS!CW119)</f>
        <v>0</v>
      </c>
      <c r="BR119" s="80">
        <f>SUM('Defect P1'!CX119,'Defect P2'!CX119,RTS!CX119)</f>
        <v>0</v>
      </c>
    </row>
    <row r="120" spans="1:70" x14ac:dyDescent="0.25">
      <c r="A120" s="81" t="s">
        <v>242</v>
      </c>
      <c r="B120" s="82" t="s">
        <v>243</v>
      </c>
      <c r="C120" s="83" t="s">
        <v>244</v>
      </c>
      <c r="D120" s="84">
        <f>SUM('Defect P1'!D120,'Defect P2'!D120,RTS!D120)</f>
        <v>0</v>
      </c>
      <c r="E120" s="85">
        <f>SUM('Defect P1'!E120,'Defect P2'!E120,RTS!E120)</f>
        <v>0</v>
      </c>
      <c r="F120" s="85">
        <f>SUM('Defect P1'!F120,'Defect P2'!F120,RTS!F120)</f>
        <v>0</v>
      </c>
      <c r="G120" s="85">
        <f>SUM('Defect P1'!G120,'Defect P2'!G120,RTS!G120)</f>
        <v>0</v>
      </c>
      <c r="H120" s="85">
        <f>SUM('Defect P1'!H120,'Defect P2'!H120,RTS!H120)</f>
        <v>0</v>
      </c>
      <c r="I120" s="85">
        <f>SUM('Defect P1'!I120,'Defect P2'!I120,RTS!I120)</f>
        <v>0</v>
      </c>
      <c r="J120" s="85">
        <f>SUM('Defect P1'!J120,'Defect P2'!J120,RTS!J120)</f>
        <v>0</v>
      </c>
      <c r="K120" s="85">
        <f>SUM('Defect P1'!K120,'Defect P2'!K120,RTS!K120)</f>
        <v>0</v>
      </c>
      <c r="L120" s="85">
        <f>SUM('Defect P1'!L120,'Defect P2'!L120,RTS!L120)</f>
        <v>0</v>
      </c>
      <c r="M120" s="85">
        <f>SUM('Defect P1'!M120,'Defect P2'!M120,RTS!M120)</f>
        <v>0</v>
      </c>
      <c r="N120" s="85">
        <v>0</v>
      </c>
      <c r="O120" s="560">
        <f>SUM('Defect P1'!O120,'Defect P2'!O120,RTS!O120)</f>
        <v>0</v>
      </c>
      <c r="P120" s="561">
        <f>SUM('Defect P1'!P120,'Defect P2'!P120,RTS!P120)</f>
        <v>0</v>
      </c>
      <c r="Q120" s="561">
        <f>SUM('Defect P1'!Q120,'Defect P2'!Q120,RTS!Q120)</f>
        <v>0</v>
      </c>
      <c r="R120" s="561">
        <f>SUM('Defect P1'!R120,'Defect P2'!R120,RTS!R120)</f>
        <v>0</v>
      </c>
      <c r="S120" s="561">
        <f>SUM('Defect P1'!S120,'Defect P2'!S120,RTS!S120)</f>
        <v>0</v>
      </c>
      <c r="T120" s="561">
        <f>SUM('Defect P1'!T120,'Defect P2'!T120,RTS!T120)</f>
        <v>0</v>
      </c>
      <c r="U120" s="561">
        <f>SUM('Defect P1'!U120,'Defect P2'!U120,RTS!U120)</f>
        <v>0</v>
      </c>
      <c r="V120" s="561">
        <f>SUM('Defect P1'!V120,'Defect P2'!V120,RTS!V120)</f>
        <v>0</v>
      </c>
      <c r="W120" s="561">
        <f>SUM('Defect P1'!W120,'Defect P2'!W120,RTS!W120)</f>
        <v>0</v>
      </c>
      <c r="X120" s="561">
        <f>SUM('Defect P1'!X120,'Defect P2'!X120,RTS!X120)</f>
        <v>0</v>
      </c>
      <c r="Y120" s="561">
        <f>SUM('Defect P1'!Y120,'Defect P2'!Y120,RTS!Y120)</f>
        <v>0</v>
      </c>
      <c r="Z120" s="86">
        <f>SUM('Defect P1'!Z120,'Defect P2'!Z120,RTS!Z120)</f>
        <v>0</v>
      </c>
      <c r="AA120" s="87">
        <f>SUM('Defect P1'!AA120,'Defect P2'!AA120,RTS!AA120)</f>
        <v>0</v>
      </c>
      <c r="AB120" s="87">
        <f>SUM('Defect P1'!AB120,'Defect P2'!AB120,RTS!AB120)</f>
        <v>0</v>
      </c>
      <c r="AC120" s="87">
        <f>SUM('Defect P1'!AC120,'Defect P2'!AC120,RTS!AC120)</f>
        <v>0</v>
      </c>
      <c r="AD120" s="87">
        <f>SUM('Defect P1'!AD120,'Defect P2'!AD120,RTS!AD120)</f>
        <v>0</v>
      </c>
      <c r="AE120" s="87">
        <f>SUM('Defect P1'!AE120,'Defect P2'!AE120,RTS!AE120)</f>
        <v>0</v>
      </c>
      <c r="AF120" s="87">
        <f>SUM('Defect P1'!AF120,'Defect P2'!AF120,RTS!AF120)</f>
        <v>0</v>
      </c>
      <c r="AG120" s="87">
        <f>SUM('Defect P1'!AG120,'Defect P2'!AG120,RTS!AG120)</f>
        <v>0</v>
      </c>
      <c r="AH120" s="87">
        <f>SUM('Defect P1'!AH120,'Defect P2'!AH120,RTS!AH120)</f>
        <v>0</v>
      </c>
      <c r="AI120" s="87">
        <f>SUM('Defect P1'!AI120,'Defect P2'!AI120,RTS!AI120)</f>
        <v>0</v>
      </c>
      <c r="AJ120" s="87">
        <f>SUM('Defect P1'!AJ120,'Defect P2'!AJ120,RTS!AJ120)</f>
        <v>0</v>
      </c>
      <c r="AK120" s="88">
        <f t="shared" si="43"/>
        <v>0</v>
      </c>
      <c r="AL120" s="89" cm="1">
        <f t="array" ref="AL120">IFERROR(IF($AM$4="N",SSUM(AF120:AH120)/3,SUM(AG120:AI120)/3),"")</f>
        <v>0</v>
      </c>
      <c r="AM120" s="90">
        <f t="shared" si="44"/>
        <v>0</v>
      </c>
      <c r="AN120" s="91" t="str">
        <f t="shared" si="46"/>
        <v/>
      </c>
      <c r="AO120" s="92" t="str">
        <f t="shared" si="47"/>
        <v/>
      </c>
      <c r="AP120" s="92" t="str">
        <f t="shared" si="48"/>
        <v/>
      </c>
      <c r="AQ120" s="92" t="str">
        <f t="shared" si="49"/>
        <v/>
      </c>
      <c r="AR120" s="92" t="str">
        <f t="shared" si="50"/>
        <v/>
      </c>
      <c r="AS120" s="92" t="str">
        <f t="shared" si="51"/>
        <v/>
      </c>
      <c r="AT120" s="92" t="str">
        <f t="shared" si="52"/>
        <v/>
      </c>
      <c r="AU120" s="92" t="str">
        <f t="shared" si="53"/>
        <v/>
      </c>
      <c r="AV120" s="92" t="str">
        <f t="shared" si="54"/>
        <v/>
      </c>
      <c r="AW120" s="92" t="str">
        <f t="shared" si="38"/>
        <v/>
      </c>
      <c r="AX120" s="92" t="str">
        <f t="shared" si="39"/>
        <v/>
      </c>
      <c r="AY120" s="93" t="str">
        <f t="shared" si="55"/>
        <v/>
      </c>
      <c r="AZ120" s="94" t="str">
        <f t="shared" si="56"/>
        <v/>
      </c>
      <c r="BA120" s="95" t="str">
        <f t="shared" si="57"/>
        <v/>
      </c>
      <c r="BB120" s="96">
        <f>SUM('Defect P1'!CE120,'Defect P2'!CE120,RTS!CE120)</f>
        <v>0</v>
      </c>
      <c r="BC120" s="96">
        <f>SUM('Defect P1'!CF120,'Defect P2'!CF120,RTS!CF120)</f>
        <v>0</v>
      </c>
      <c r="BD120" s="96">
        <f>SUM('Defect P1'!CG120,'Defect P2'!CG120,RTS!CG120)</f>
        <v>0</v>
      </c>
      <c r="BE120" s="96">
        <f>SUM('Defect P1'!CH120,'Defect P2'!CH120,RTS!CH120)</f>
        <v>0</v>
      </c>
      <c r="BF120" s="96">
        <f>SUM('Defect P1'!CI120,'Defect P2'!CI120,RTS!CI120)</f>
        <v>0</v>
      </c>
      <c r="BG120" s="96">
        <f>SUM('Defect P1'!CJ120,'Defect P2'!CJ120,RTS!CJ120)</f>
        <v>0</v>
      </c>
      <c r="BH120" s="96">
        <f>SUM('Defect P1'!CK120,'Defect P2'!CK120,RTS!CK120)</f>
        <v>0</v>
      </c>
      <c r="BI120" s="286">
        <f>SUM('Defect P1'!CL120,'Defect P2'!CL120,RTS!CL120)</f>
        <v>0</v>
      </c>
      <c r="BJ120" s="99" t="str">
        <f t="shared" si="45"/>
        <v/>
      </c>
      <c r="BK120" s="640">
        <f>SUM('Defect P1'!CQ120,'Defect P2'!CQ120,RTS!CQ120)</f>
        <v>0</v>
      </c>
      <c r="BL120" s="97">
        <f>SUM('Defect P1'!CR120,'Defect P2'!CR120,RTS!CR120)</f>
        <v>0</v>
      </c>
      <c r="BM120" s="524">
        <f>SUM('Defect P1'!CS120,'Defect P2'!CS120,RTS!CS120)</f>
        <v>0</v>
      </c>
      <c r="BN120" s="416">
        <f>SUM('Defect P1'!CT120,'Defect P2'!CT120,RTS!CT120)</f>
        <v>0</v>
      </c>
      <c r="BO120" s="97">
        <f>SUM('Defect P1'!CU120,'Defect P2'!CU120,RTS!CU120)</f>
        <v>0</v>
      </c>
      <c r="BP120" s="97">
        <f>SUM('Defect P1'!CV120,'Defect P2'!CV120,RTS!CV120)</f>
        <v>0</v>
      </c>
      <c r="BQ120" s="97">
        <f>SUM('Defect P1'!CW120,'Defect P2'!CW120,RTS!CW120)</f>
        <v>0</v>
      </c>
      <c r="BR120" s="98">
        <f>SUM('Defect P1'!CX120,'Defect P2'!CX120,RTS!CX120)</f>
        <v>0</v>
      </c>
    </row>
    <row r="121" spans="1:70" x14ac:dyDescent="0.25">
      <c r="A121" s="81" t="s">
        <v>242</v>
      </c>
      <c r="B121" s="82" t="s">
        <v>245</v>
      </c>
      <c r="C121" s="83" t="s">
        <v>246</v>
      </c>
      <c r="D121" s="84">
        <f>SUM('Defect P1'!D121,'Defect P2'!D121,RTS!D121)</f>
        <v>0</v>
      </c>
      <c r="E121" s="85">
        <f>SUM('Defect P1'!E121,'Defect P2'!E121,RTS!E121)</f>
        <v>0</v>
      </c>
      <c r="F121" s="85">
        <f>SUM('Defect P1'!F121,'Defect P2'!F121,RTS!F121)</f>
        <v>0</v>
      </c>
      <c r="G121" s="85">
        <f>SUM('Defect P1'!G121,'Defect P2'!G121,RTS!G121)</f>
        <v>0</v>
      </c>
      <c r="H121" s="85">
        <f>SUM('Defect P1'!H121,'Defect P2'!H121,RTS!H121)</f>
        <v>0</v>
      </c>
      <c r="I121" s="85">
        <f>SUM('Defect P1'!I121,'Defect P2'!I121,RTS!I121)</f>
        <v>0</v>
      </c>
      <c r="J121" s="85">
        <f>SUM('Defect P1'!J121,'Defect P2'!J121,RTS!J121)</f>
        <v>0</v>
      </c>
      <c r="K121" s="85">
        <f>SUM('Defect P1'!K121,'Defect P2'!K121,RTS!K121)</f>
        <v>0</v>
      </c>
      <c r="L121" s="85">
        <f>SUM('Defect P1'!L121,'Defect P2'!L121,RTS!L121)</f>
        <v>0</v>
      </c>
      <c r="M121" s="85">
        <f>SUM('Defect P1'!M121,'Defect P2'!M121,RTS!M121)</f>
        <v>0</v>
      </c>
      <c r="N121" s="85">
        <v>-284.04000000000002</v>
      </c>
      <c r="O121" s="560">
        <f>SUM('Defect P1'!O121,'Defect P2'!O121,RTS!O121)</f>
        <v>0</v>
      </c>
      <c r="P121" s="561">
        <f>SUM('Defect P1'!P121,'Defect P2'!P121,RTS!P121)</f>
        <v>0</v>
      </c>
      <c r="Q121" s="561">
        <f>SUM('Defect P1'!Q121,'Defect P2'!Q121,RTS!Q121)</f>
        <v>0</v>
      </c>
      <c r="R121" s="561">
        <f>SUM('Defect P1'!R121,'Defect P2'!R121,RTS!R121)</f>
        <v>0</v>
      </c>
      <c r="S121" s="561">
        <f>SUM('Defect P1'!S121,'Defect P2'!S121,RTS!S121)</f>
        <v>0</v>
      </c>
      <c r="T121" s="561">
        <f>SUM('Defect P1'!T121,'Defect P2'!T121,RTS!T121)</f>
        <v>0</v>
      </c>
      <c r="U121" s="561">
        <f>SUM('Defect P1'!U121,'Defect P2'!U121,RTS!U121)</f>
        <v>0</v>
      </c>
      <c r="V121" s="561">
        <f>SUM('Defect P1'!V121,'Defect P2'!V121,RTS!V121)</f>
        <v>0</v>
      </c>
      <c r="W121" s="561">
        <f>SUM('Defect P1'!W121,'Defect P2'!W121,RTS!W121)</f>
        <v>0</v>
      </c>
      <c r="X121" s="561">
        <f>SUM('Defect P1'!X121,'Defect P2'!X121,RTS!X121)</f>
        <v>0</v>
      </c>
      <c r="Y121" s="561">
        <f>SUM('Defect P1'!Y121,'Defect P2'!Y121,RTS!Y121)</f>
        <v>-291.85066806492631</v>
      </c>
      <c r="Z121" s="86">
        <f>SUM('Defect P1'!Z121,'Defect P2'!Z121,RTS!Z121)</f>
        <v>0</v>
      </c>
      <c r="AA121" s="87">
        <f>SUM('Defect P1'!AA121,'Defect P2'!AA121,RTS!AA121)</f>
        <v>0</v>
      </c>
      <c r="AB121" s="87">
        <f>SUM('Defect P1'!AB121,'Defect P2'!AB121,RTS!AB121)</f>
        <v>0</v>
      </c>
      <c r="AC121" s="87">
        <f>SUM('Defect P1'!AC121,'Defect P2'!AC121,RTS!AC121)</f>
        <v>0</v>
      </c>
      <c r="AD121" s="87">
        <f>SUM('Defect P1'!AD121,'Defect P2'!AD121,RTS!AD121)</f>
        <v>0</v>
      </c>
      <c r="AE121" s="87">
        <f>SUM('Defect P1'!AE121,'Defect P2'!AE121,RTS!AE121)</f>
        <v>0</v>
      </c>
      <c r="AF121" s="87">
        <f>SUM('Defect P1'!AF121,'Defect P2'!AF121,RTS!AF121)</f>
        <v>0</v>
      </c>
      <c r="AG121" s="87">
        <f>SUM('Defect P1'!AG121,'Defect P2'!AG121,RTS!AG121)</f>
        <v>0</v>
      </c>
      <c r="AH121" s="87">
        <f>SUM('Defect P1'!AH121,'Defect P2'!AH121,RTS!AH121)</f>
        <v>0</v>
      </c>
      <c r="AI121" s="87">
        <f>SUM('Defect P1'!AI121,'Defect P2'!AI121,RTS!AI121)</f>
        <v>0</v>
      </c>
      <c r="AJ121" s="87">
        <f>SUM('Defect P1'!AJ121,'Defect P2'!AJ121,RTS!AJ121)</f>
        <v>-6</v>
      </c>
      <c r="AK121" s="88">
        <f t="shared" si="43"/>
        <v>0</v>
      </c>
      <c r="AL121" s="89" cm="1">
        <f t="array" ref="AL121">IFERROR(IF($AM$4="N",SSUM(AF121:AH121)/3,SUM(AG121:AI121)/3),"")</f>
        <v>0</v>
      </c>
      <c r="AM121" s="90">
        <f t="shared" si="44"/>
        <v>0</v>
      </c>
      <c r="AN121" s="91" t="str">
        <f t="shared" si="46"/>
        <v/>
      </c>
      <c r="AO121" s="92" t="str">
        <f t="shared" si="47"/>
        <v/>
      </c>
      <c r="AP121" s="92" t="str">
        <f t="shared" si="48"/>
        <v/>
      </c>
      <c r="AQ121" s="92" t="str">
        <f t="shared" si="49"/>
        <v/>
      </c>
      <c r="AR121" s="92" t="str">
        <f t="shared" si="50"/>
        <v/>
      </c>
      <c r="AS121" s="92" t="str">
        <f t="shared" si="51"/>
        <v/>
      </c>
      <c r="AT121" s="92" t="str">
        <f t="shared" si="52"/>
        <v/>
      </c>
      <c r="AU121" s="92" t="str">
        <f t="shared" si="53"/>
        <v/>
      </c>
      <c r="AV121" s="92" t="str">
        <f t="shared" si="54"/>
        <v/>
      </c>
      <c r="AW121" s="92" t="str">
        <f t="shared" si="38"/>
        <v/>
      </c>
      <c r="AX121" s="92">
        <f t="shared" si="39"/>
        <v>47.34</v>
      </c>
      <c r="AY121" s="93" t="str">
        <f t="shared" si="55"/>
        <v/>
      </c>
      <c r="AZ121" s="94" t="str">
        <f t="shared" si="56"/>
        <v/>
      </c>
      <c r="BA121" s="95" t="str">
        <f t="shared" si="57"/>
        <v/>
      </c>
      <c r="BB121" s="96">
        <f>SUM('Defect P1'!CE121,'Defect P2'!CE121,RTS!CE121)</f>
        <v>0</v>
      </c>
      <c r="BC121" s="96">
        <f>SUM('Defect P1'!CF121,'Defect P2'!CF121,RTS!CF121)</f>
        <v>0</v>
      </c>
      <c r="BD121" s="96">
        <f>SUM('Defect P1'!CG121,'Defect P2'!CG121,RTS!CG121)</f>
        <v>0</v>
      </c>
      <c r="BE121" s="96">
        <f>SUM('Defect P1'!CH121,'Defect P2'!CH121,RTS!CH121)</f>
        <v>0</v>
      </c>
      <c r="BF121" s="96">
        <f>SUM('Defect P1'!CI121,'Defect P2'!CI121,RTS!CI121)</f>
        <v>0</v>
      </c>
      <c r="BG121" s="96">
        <f>SUM('Defect P1'!CJ121,'Defect P2'!CJ121,RTS!CJ121)</f>
        <v>0</v>
      </c>
      <c r="BH121" s="96">
        <f>SUM('Defect P1'!CK121,'Defect P2'!CK121,RTS!CK121)</f>
        <v>0</v>
      </c>
      <c r="BI121" s="286">
        <f>SUM('Defect P1'!CL121,'Defect P2'!CL121,RTS!CL121)</f>
        <v>0</v>
      </c>
      <c r="BJ121" s="99" t="str">
        <f t="shared" si="45"/>
        <v/>
      </c>
      <c r="BK121" s="640">
        <f>SUM('Defect P1'!CQ121,'Defect P2'!CQ121,RTS!CQ121)</f>
        <v>0</v>
      </c>
      <c r="BL121" s="97">
        <f>SUM('Defect P1'!CR121,'Defect P2'!CR121,RTS!CR121)</f>
        <v>0</v>
      </c>
      <c r="BM121" s="524">
        <f>SUM('Defect P1'!CS121,'Defect P2'!CS121,RTS!CS121)</f>
        <v>0</v>
      </c>
      <c r="BN121" s="416">
        <f>SUM('Defect P1'!CT121,'Defect P2'!CT121,RTS!CT121)</f>
        <v>0</v>
      </c>
      <c r="BO121" s="97">
        <f>SUM('Defect P1'!CU121,'Defect P2'!CU121,RTS!CU121)</f>
        <v>0</v>
      </c>
      <c r="BP121" s="97">
        <f>SUM('Defect P1'!CV121,'Defect P2'!CV121,RTS!CV121)</f>
        <v>0</v>
      </c>
      <c r="BQ121" s="97">
        <f>SUM('Defect P1'!CW121,'Defect P2'!CW121,RTS!CW121)</f>
        <v>0</v>
      </c>
      <c r="BR121" s="98">
        <f>SUM('Defect P1'!CX121,'Defect P2'!CX121,RTS!CX121)</f>
        <v>0</v>
      </c>
    </row>
    <row r="122" spans="1:70" x14ac:dyDescent="0.25">
      <c r="A122" s="81" t="s">
        <v>242</v>
      </c>
      <c r="B122" s="82" t="s">
        <v>247</v>
      </c>
      <c r="C122" s="83" t="s">
        <v>248</v>
      </c>
      <c r="D122" s="84">
        <f>SUM('Defect P1'!D122,'Defect P2'!D122,RTS!D122)</f>
        <v>0</v>
      </c>
      <c r="E122" s="85">
        <f>SUM('Defect P1'!E122,'Defect P2'!E122,RTS!E122)</f>
        <v>0</v>
      </c>
      <c r="F122" s="85">
        <f>SUM('Defect P1'!F122,'Defect P2'!F122,RTS!F122)</f>
        <v>0</v>
      </c>
      <c r="G122" s="85">
        <f>SUM('Defect P1'!G122,'Defect P2'!G122,RTS!G122)</f>
        <v>0</v>
      </c>
      <c r="H122" s="85">
        <f>SUM('Defect P1'!H122,'Defect P2'!H122,RTS!H122)</f>
        <v>0</v>
      </c>
      <c r="I122" s="85">
        <f>SUM('Defect P1'!I122,'Defect P2'!I122,RTS!I122)</f>
        <v>0</v>
      </c>
      <c r="J122" s="85">
        <f>SUM('Defect P1'!J122,'Defect P2'!J122,RTS!J122)</f>
        <v>0</v>
      </c>
      <c r="K122" s="85">
        <f>SUM('Defect P1'!K122,'Defect P2'!K122,RTS!K122)</f>
        <v>0</v>
      </c>
      <c r="L122" s="85">
        <f>SUM('Defect P1'!L122,'Defect P2'!L122,RTS!L122)</f>
        <v>0</v>
      </c>
      <c r="M122" s="85">
        <f>SUM('Defect P1'!M122,'Defect P2'!M122,RTS!M122)</f>
        <v>0</v>
      </c>
      <c r="N122" s="85">
        <v>0</v>
      </c>
      <c r="O122" s="560">
        <f>SUM('Defect P1'!O122,'Defect P2'!O122,RTS!O122)</f>
        <v>0</v>
      </c>
      <c r="P122" s="561">
        <f>SUM('Defect P1'!P122,'Defect P2'!P122,RTS!P122)</f>
        <v>0</v>
      </c>
      <c r="Q122" s="561">
        <f>SUM('Defect P1'!Q122,'Defect P2'!Q122,RTS!Q122)</f>
        <v>0</v>
      </c>
      <c r="R122" s="561">
        <f>SUM('Defect P1'!R122,'Defect P2'!R122,RTS!R122)</f>
        <v>0</v>
      </c>
      <c r="S122" s="561">
        <f>SUM('Defect P1'!S122,'Defect P2'!S122,RTS!S122)</f>
        <v>0</v>
      </c>
      <c r="T122" s="561">
        <f>SUM('Defect P1'!T122,'Defect P2'!T122,RTS!T122)</f>
        <v>0</v>
      </c>
      <c r="U122" s="561">
        <f>SUM('Defect P1'!U122,'Defect P2'!U122,RTS!U122)</f>
        <v>0</v>
      </c>
      <c r="V122" s="561">
        <f>SUM('Defect P1'!V122,'Defect P2'!V122,RTS!V122)</f>
        <v>0</v>
      </c>
      <c r="W122" s="561">
        <f>SUM('Defect P1'!W122,'Defect P2'!W122,RTS!W122)</f>
        <v>0</v>
      </c>
      <c r="X122" s="561">
        <f>SUM('Defect P1'!X122,'Defect P2'!X122,RTS!X122)</f>
        <v>0</v>
      </c>
      <c r="Y122" s="561">
        <f>SUM('Defect P1'!Y122,'Defect P2'!Y122,RTS!Y122)</f>
        <v>0</v>
      </c>
      <c r="Z122" s="86">
        <f>SUM('Defect P1'!Z122,'Defect P2'!Z122,RTS!Z122)</f>
        <v>0</v>
      </c>
      <c r="AA122" s="87">
        <f>SUM('Defect P1'!AA122,'Defect P2'!AA122,RTS!AA122)</f>
        <v>0</v>
      </c>
      <c r="AB122" s="87">
        <f>SUM('Defect P1'!AB122,'Defect P2'!AB122,RTS!AB122)</f>
        <v>0</v>
      </c>
      <c r="AC122" s="87">
        <f>SUM('Defect P1'!AC122,'Defect P2'!AC122,RTS!AC122)</f>
        <v>0</v>
      </c>
      <c r="AD122" s="87">
        <f>SUM('Defect P1'!AD122,'Defect P2'!AD122,RTS!AD122)</f>
        <v>0</v>
      </c>
      <c r="AE122" s="87">
        <f>SUM('Defect P1'!AE122,'Defect P2'!AE122,RTS!AE122)</f>
        <v>0</v>
      </c>
      <c r="AF122" s="87">
        <f>SUM('Defect P1'!AF122,'Defect P2'!AF122,RTS!AF122)</f>
        <v>0</v>
      </c>
      <c r="AG122" s="87">
        <f>SUM('Defect P1'!AG122,'Defect P2'!AG122,RTS!AG122)</f>
        <v>0</v>
      </c>
      <c r="AH122" s="87">
        <f>SUM('Defect P1'!AH122,'Defect P2'!AH122,RTS!AH122)</f>
        <v>0</v>
      </c>
      <c r="AI122" s="87">
        <f>SUM('Defect P1'!AI122,'Defect P2'!AI122,RTS!AI122)</f>
        <v>0</v>
      </c>
      <c r="AJ122" s="87">
        <f>SUM('Defect P1'!AJ122,'Defect P2'!AJ122,RTS!AJ122)</f>
        <v>0</v>
      </c>
      <c r="AK122" s="88">
        <f t="shared" si="43"/>
        <v>0</v>
      </c>
      <c r="AL122" s="89" cm="1">
        <f t="array" ref="AL122">IFERROR(IF($AM$4="N",SSUM(AF122:AH122)/3,SUM(AG122:AI122)/3),"")</f>
        <v>0</v>
      </c>
      <c r="AM122" s="90">
        <f t="shared" si="44"/>
        <v>0</v>
      </c>
      <c r="AN122" s="91" t="str">
        <f t="shared" si="46"/>
        <v/>
      </c>
      <c r="AO122" s="92" t="str">
        <f t="shared" si="47"/>
        <v/>
      </c>
      <c r="AP122" s="92" t="str">
        <f t="shared" si="48"/>
        <v/>
      </c>
      <c r="AQ122" s="92" t="str">
        <f t="shared" si="49"/>
        <v/>
      </c>
      <c r="AR122" s="92" t="str">
        <f t="shared" si="50"/>
        <v/>
      </c>
      <c r="AS122" s="92" t="str">
        <f t="shared" si="51"/>
        <v/>
      </c>
      <c r="AT122" s="92" t="str">
        <f t="shared" si="52"/>
        <v/>
      </c>
      <c r="AU122" s="92" t="str">
        <f t="shared" si="53"/>
        <v/>
      </c>
      <c r="AV122" s="92" t="str">
        <f t="shared" si="54"/>
        <v/>
      </c>
      <c r="AW122" s="92" t="str">
        <f t="shared" si="38"/>
        <v/>
      </c>
      <c r="AX122" s="92" t="str">
        <f t="shared" si="39"/>
        <v/>
      </c>
      <c r="AY122" s="93" t="str">
        <f t="shared" si="55"/>
        <v/>
      </c>
      <c r="AZ122" s="94" t="str">
        <f t="shared" si="56"/>
        <v/>
      </c>
      <c r="BA122" s="95" t="str">
        <f t="shared" si="57"/>
        <v/>
      </c>
      <c r="BB122" s="96">
        <f>SUM('Defect P1'!CE122,'Defect P2'!CE122,RTS!CE122)</f>
        <v>0</v>
      </c>
      <c r="BC122" s="96">
        <f>SUM('Defect P1'!CF122,'Defect P2'!CF122,RTS!CF122)</f>
        <v>0</v>
      </c>
      <c r="BD122" s="96">
        <f>SUM('Defect P1'!CG122,'Defect P2'!CG122,RTS!CG122)</f>
        <v>0</v>
      </c>
      <c r="BE122" s="96">
        <f>SUM('Defect P1'!CH122,'Defect P2'!CH122,RTS!CH122)</f>
        <v>0</v>
      </c>
      <c r="BF122" s="96">
        <f>SUM('Defect P1'!CI122,'Defect P2'!CI122,RTS!CI122)</f>
        <v>0</v>
      </c>
      <c r="BG122" s="96">
        <f>SUM('Defect P1'!CJ122,'Defect P2'!CJ122,RTS!CJ122)</f>
        <v>0</v>
      </c>
      <c r="BH122" s="96">
        <f>SUM('Defect P1'!CK122,'Defect P2'!CK122,RTS!CK122)</f>
        <v>0</v>
      </c>
      <c r="BI122" s="286">
        <f>SUM('Defect P1'!CL122,'Defect P2'!CL122,RTS!CL122)</f>
        <v>0</v>
      </c>
      <c r="BJ122" s="99" t="str">
        <f t="shared" si="45"/>
        <v/>
      </c>
      <c r="BK122" s="640">
        <f>SUM('Defect P1'!CQ122,'Defect P2'!CQ122,RTS!CQ122)</f>
        <v>0</v>
      </c>
      <c r="BL122" s="97">
        <f>SUM('Defect P1'!CR122,'Defect P2'!CR122,RTS!CR122)</f>
        <v>0</v>
      </c>
      <c r="BM122" s="524">
        <f>SUM('Defect P1'!CS122,'Defect P2'!CS122,RTS!CS122)</f>
        <v>0</v>
      </c>
      <c r="BN122" s="416">
        <f>SUM('Defect P1'!CT122,'Defect P2'!CT122,RTS!CT122)</f>
        <v>0</v>
      </c>
      <c r="BO122" s="97">
        <f>SUM('Defect P1'!CU122,'Defect P2'!CU122,RTS!CU122)</f>
        <v>0</v>
      </c>
      <c r="BP122" s="97">
        <f>SUM('Defect P1'!CV122,'Defect P2'!CV122,RTS!CV122)</f>
        <v>0</v>
      </c>
      <c r="BQ122" s="97">
        <f>SUM('Defect P1'!CW122,'Defect P2'!CW122,RTS!CW122)</f>
        <v>0</v>
      </c>
      <c r="BR122" s="98">
        <f>SUM('Defect P1'!CX122,'Defect P2'!CX122,RTS!CX122)</f>
        <v>0</v>
      </c>
    </row>
    <row r="123" spans="1:70" x14ac:dyDescent="0.25">
      <c r="A123" s="81" t="s">
        <v>242</v>
      </c>
      <c r="B123" s="82" t="s">
        <v>249</v>
      </c>
      <c r="C123" s="83" t="s">
        <v>250</v>
      </c>
      <c r="D123" s="84">
        <f>SUM('Defect P1'!D123,'Defect P2'!D123,RTS!D123)</f>
        <v>0</v>
      </c>
      <c r="E123" s="85">
        <f>SUM('Defect P1'!E123,'Defect P2'!E123,RTS!E123)</f>
        <v>0</v>
      </c>
      <c r="F123" s="85">
        <f>SUM('Defect P1'!F123,'Defect P2'!F123,RTS!F123)</f>
        <v>0</v>
      </c>
      <c r="G123" s="85">
        <f>SUM('Defect P1'!G123,'Defect P2'!G123,RTS!G123)</f>
        <v>0</v>
      </c>
      <c r="H123" s="85">
        <f>SUM('Defect P1'!H123,'Defect P2'!H123,RTS!H123)</f>
        <v>0</v>
      </c>
      <c r="I123" s="85">
        <f>SUM('Defect P1'!I123,'Defect P2'!I123,RTS!I123)</f>
        <v>0</v>
      </c>
      <c r="J123" s="85">
        <f>SUM('Defect P1'!J123,'Defect P2'!J123,RTS!J123)</f>
        <v>0</v>
      </c>
      <c r="K123" s="85">
        <f>SUM('Defect P1'!K123,'Defect P2'!K123,RTS!K123)</f>
        <v>0</v>
      </c>
      <c r="L123" s="85">
        <f>SUM('Defect P1'!L123,'Defect P2'!L123,RTS!L123)</f>
        <v>0</v>
      </c>
      <c r="M123" s="85">
        <f>SUM('Defect P1'!M123,'Defect P2'!M123,RTS!M123)</f>
        <v>0</v>
      </c>
      <c r="N123" s="85">
        <v>0</v>
      </c>
      <c r="O123" s="560">
        <f>SUM('Defect P1'!O123,'Defect P2'!O123,RTS!O123)</f>
        <v>0</v>
      </c>
      <c r="P123" s="561">
        <f>SUM('Defect P1'!P123,'Defect P2'!P123,RTS!P123)</f>
        <v>0</v>
      </c>
      <c r="Q123" s="561">
        <f>SUM('Defect P1'!Q123,'Defect P2'!Q123,RTS!Q123)</f>
        <v>0</v>
      </c>
      <c r="R123" s="561">
        <f>SUM('Defect P1'!R123,'Defect P2'!R123,RTS!R123)</f>
        <v>0</v>
      </c>
      <c r="S123" s="561">
        <f>SUM('Defect P1'!S123,'Defect P2'!S123,RTS!S123)</f>
        <v>0</v>
      </c>
      <c r="T123" s="561">
        <f>SUM('Defect P1'!T123,'Defect P2'!T123,RTS!T123)</f>
        <v>0</v>
      </c>
      <c r="U123" s="561">
        <f>SUM('Defect P1'!U123,'Defect P2'!U123,RTS!U123)</f>
        <v>0</v>
      </c>
      <c r="V123" s="561">
        <f>SUM('Defect P1'!V123,'Defect P2'!V123,RTS!V123)</f>
        <v>0</v>
      </c>
      <c r="W123" s="561">
        <f>SUM('Defect P1'!W123,'Defect P2'!W123,RTS!W123)</f>
        <v>0</v>
      </c>
      <c r="X123" s="561">
        <f>SUM('Defect P1'!X123,'Defect P2'!X123,RTS!X123)</f>
        <v>0</v>
      </c>
      <c r="Y123" s="561">
        <f>SUM('Defect P1'!Y123,'Defect P2'!Y123,RTS!Y123)</f>
        <v>0</v>
      </c>
      <c r="Z123" s="86">
        <f>SUM('Defect P1'!Z123,'Defect P2'!Z123,RTS!Z123)</f>
        <v>0</v>
      </c>
      <c r="AA123" s="87">
        <f>SUM('Defect P1'!AA123,'Defect P2'!AA123,RTS!AA123)</f>
        <v>0</v>
      </c>
      <c r="AB123" s="87">
        <f>SUM('Defect P1'!AB123,'Defect P2'!AB123,RTS!AB123)</f>
        <v>0</v>
      </c>
      <c r="AC123" s="87">
        <f>SUM('Defect P1'!AC123,'Defect P2'!AC123,RTS!AC123)</f>
        <v>0</v>
      </c>
      <c r="AD123" s="87">
        <f>SUM('Defect P1'!AD123,'Defect P2'!AD123,RTS!AD123)</f>
        <v>0</v>
      </c>
      <c r="AE123" s="87">
        <f>SUM('Defect P1'!AE123,'Defect P2'!AE123,RTS!AE123)</f>
        <v>0</v>
      </c>
      <c r="AF123" s="87">
        <f>SUM('Defect P1'!AF123,'Defect P2'!AF123,RTS!AF123)</f>
        <v>0</v>
      </c>
      <c r="AG123" s="87">
        <f>SUM('Defect P1'!AG123,'Defect P2'!AG123,RTS!AG123)</f>
        <v>0</v>
      </c>
      <c r="AH123" s="87">
        <f>SUM('Defect P1'!AH123,'Defect P2'!AH123,RTS!AH123)</f>
        <v>0</v>
      </c>
      <c r="AI123" s="87">
        <f>SUM('Defect P1'!AI123,'Defect P2'!AI123,RTS!AI123)</f>
        <v>0</v>
      </c>
      <c r="AJ123" s="87">
        <f>SUM('Defect P1'!AJ123,'Defect P2'!AJ123,RTS!AJ123)</f>
        <v>0</v>
      </c>
      <c r="AK123" s="88">
        <f t="shared" si="43"/>
        <v>0</v>
      </c>
      <c r="AL123" s="89" cm="1">
        <f t="array" ref="AL123">IFERROR(IF($AM$4="N",SSUM(AF123:AH123)/3,SUM(AG123:AI123)/3),"")</f>
        <v>0</v>
      </c>
      <c r="AM123" s="90">
        <f t="shared" si="44"/>
        <v>0</v>
      </c>
      <c r="AN123" s="91" t="str">
        <f t="shared" si="46"/>
        <v/>
      </c>
      <c r="AO123" s="92" t="str">
        <f t="shared" si="47"/>
        <v/>
      </c>
      <c r="AP123" s="92" t="str">
        <f t="shared" si="48"/>
        <v/>
      </c>
      <c r="AQ123" s="92" t="str">
        <f t="shared" si="49"/>
        <v/>
      </c>
      <c r="AR123" s="92" t="str">
        <f t="shared" si="50"/>
        <v/>
      </c>
      <c r="AS123" s="92" t="str">
        <f t="shared" si="51"/>
        <v/>
      </c>
      <c r="AT123" s="92" t="str">
        <f t="shared" si="52"/>
        <v/>
      </c>
      <c r="AU123" s="92" t="str">
        <f t="shared" si="53"/>
        <v/>
      </c>
      <c r="AV123" s="92" t="str">
        <f t="shared" si="54"/>
        <v/>
      </c>
      <c r="AW123" s="92" t="str">
        <f t="shared" si="38"/>
        <v/>
      </c>
      <c r="AX123" s="92" t="str">
        <f t="shared" si="39"/>
        <v/>
      </c>
      <c r="AY123" s="93" t="str">
        <f t="shared" si="55"/>
        <v/>
      </c>
      <c r="AZ123" s="94" t="str">
        <f t="shared" si="56"/>
        <v/>
      </c>
      <c r="BA123" s="95" t="str">
        <f t="shared" si="57"/>
        <v/>
      </c>
      <c r="BB123" s="96">
        <f>SUM('Defect P1'!CE123,'Defect P2'!CE123,RTS!CE123)</f>
        <v>0</v>
      </c>
      <c r="BC123" s="96">
        <f>SUM('Defect P1'!CF123,'Defect P2'!CF123,RTS!CF123)</f>
        <v>0</v>
      </c>
      <c r="BD123" s="96">
        <f>SUM('Defect P1'!CG123,'Defect P2'!CG123,RTS!CG123)</f>
        <v>0</v>
      </c>
      <c r="BE123" s="96">
        <f>SUM('Defect P1'!CH123,'Defect P2'!CH123,RTS!CH123)</f>
        <v>0</v>
      </c>
      <c r="BF123" s="96">
        <f>SUM('Defect P1'!CI123,'Defect P2'!CI123,RTS!CI123)</f>
        <v>0</v>
      </c>
      <c r="BG123" s="96">
        <f>SUM('Defect P1'!CJ123,'Defect P2'!CJ123,RTS!CJ123)</f>
        <v>0</v>
      </c>
      <c r="BH123" s="96">
        <f>SUM('Defect P1'!CK123,'Defect P2'!CK123,RTS!CK123)</f>
        <v>0</v>
      </c>
      <c r="BI123" s="286">
        <f>SUM('Defect P1'!CL123,'Defect P2'!CL123,RTS!CL123)</f>
        <v>0</v>
      </c>
      <c r="BJ123" s="99" t="str">
        <f t="shared" si="45"/>
        <v/>
      </c>
      <c r="BK123" s="640">
        <f>SUM('Defect P1'!CQ123,'Defect P2'!CQ123,RTS!CQ123)</f>
        <v>0</v>
      </c>
      <c r="BL123" s="97">
        <f>SUM('Defect P1'!CR123,'Defect P2'!CR123,RTS!CR123)</f>
        <v>0</v>
      </c>
      <c r="BM123" s="524">
        <f>SUM('Defect P1'!CS123,'Defect P2'!CS123,RTS!CS123)</f>
        <v>0</v>
      </c>
      <c r="BN123" s="416">
        <f>SUM('Defect P1'!CT123,'Defect P2'!CT123,RTS!CT123)</f>
        <v>0</v>
      </c>
      <c r="BO123" s="97">
        <f>SUM('Defect P1'!CU123,'Defect P2'!CU123,RTS!CU123)</f>
        <v>0</v>
      </c>
      <c r="BP123" s="97">
        <f>SUM('Defect P1'!CV123,'Defect P2'!CV123,RTS!CV123)</f>
        <v>0</v>
      </c>
      <c r="BQ123" s="97">
        <f>SUM('Defect P1'!CW123,'Defect P2'!CW123,RTS!CW123)</f>
        <v>0</v>
      </c>
      <c r="BR123" s="98">
        <f>SUM('Defect P1'!CX123,'Defect P2'!CX123,RTS!CX123)</f>
        <v>0</v>
      </c>
    </row>
    <row r="124" spans="1:70" x14ac:dyDescent="0.25">
      <c r="A124" s="81" t="s">
        <v>242</v>
      </c>
      <c r="B124" s="82" t="s">
        <v>251</v>
      </c>
      <c r="C124" s="83" t="s">
        <v>252</v>
      </c>
      <c r="D124" s="84">
        <f>SUM('Defect P1'!D124,'Defect P2'!D124,RTS!D124)</f>
        <v>4198.0699237157569</v>
      </c>
      <c r="E124" s="85">
        <f>SUM('Defect P1'!E124,'Defect P2'!E124,RTS!E124)</f>
        <v>0</v>
      </c>
      <c r="F124" s="85">
        <f>SUM('Defect P1'!F124,'Defect P2'!F124,RTS!F124)</f>
        <v>0</v>
      </c>
      <c r="G124" s="85">
        <f>SUM('Defect P1'!G124,'Defect P2'!G124,RTS!G124)</f>
        <v>0</v>
      </c>
      <c r="H124" s="85">
        <f>SUM('Defect P1'!H124,'Defect P2'!H124,RTS!H124)</f>
        <v>0</v>
      </c>
      <c r="I124" s="85">
        <f>SUM('Defect P1'!I124,'Defect P2'!I124,RTS!I124)</f>
        <v>112730.04323198114</v>
      </c>
      <c r="J124" s="85">
        <f>SUM('Defect P1'!J124,'Defect P2'!J124,RTS!J124)</f>
        <v>-7228.44</v>
      </c>
      <c r="K124" s="85">
        <f>SUM('Defect P1'!K124,'Defect P2'!K124,RTS!K124)</f>
        <v>11854.520309713</v>
      </c>
      <c r="L124" s="85">
        <f>SUM('Defect P1'!L124,'Defect P2'!L124,RTS!L124)</f>
        <v>54487.563675813035</v>
      </c>
      <c r="M124" s="85">
        <f>SUM('Defect P1'!M124,'Defect P2'!M124,RTS!M124)</f>
        <v>-13494.56</v>
      </c>
      <c r="N124" s="85">
        <v>0</v>
      </c>
      <c r="O124" s="560">
        <f>SUM('Defect P1'!O124,'Defect P2'!O124,RTS!O124)</f>
        <v>5648.3197073344363</v>
      </c>
      <c r="P124" s="561">
        <f>SUM('Defect P1'!P124,'Defect P2'!P124,RTS!P124)</f>
        <v>0</v>
      </c>
      <c r="Q124" s="561">
        <f>SUM('Defect P1'!Q124,'Defect P2'!Q124,RTS!Q124)</f>
        <v>0</v>
      </c>
      <c r="R124" s="561">
        <f>SUM('Defect P1'!R124,'Defect P2'!R124,RTS!R124)</f>
        <v>0</v>
      </c>
      <c r="S124" s="561">
        <f>SUM('Defect P1'!S124,'Defect P2'!S124,RTS!S124)</f>
        <v>0</v>
      </c>
      <c r="T124" s="561">
        <f>SUM('Defect P1'!T124,'Defect P2'!T124,RTS!T124)</f>
        <v>139914.70089174452</v>
      </c>
      <c r="U124" s="561">
        <f>SUM('Defect P1'!U124,'Defect P2'!U124,RTS!U124)</f>
        <v>-9002.9350894142644</v>
      </c>
      <c r="V124" s="561">
        <f>SUM('Defect P1'!V124,'Defect P2'!V124,RTS!V124)</f>
        <v>14217.823129895762</v>
      </c>
      <c r="W124" s="561">
        <f>SUM('Defect P1'!W124,'Defect P2'!W124,RTS!W124)</f>
        <v>61566.982110131015</v>
      </c>
      <c r="X124" s="561">
        <f>SUM('Defect P1'!X124,'Defect P2'!X124,RTS!X124)</f>
        <v>-14350.937274805343</v>
      </c>
      <c r="Y124" s="561">
        <f>SUM('Defect P1'!Y124,'Defect P2'!Y124,RTS!Y124)</f>
        <v>0</v>
      </c>
      <c r="Z124" s="86">
        <f>SUM('Defect P1'!Z124,'Defect P2'!Z124,RTS!Z124)</f>
        <v>468</v>
      </c>
      <c r="AA124" s="87">
        <f>SUM('Defect P1'!AA124,'Defect P2'!AA124,RTS!AA124)</f>
        <v>0</v>
      </c>
      <c r="AB124" s="87">
        <f>SUM('Defect P1'!AB124,'Defect P2'!AB124,RTS!AB124)</f>
        <v>0</v>
      </c>
      <c r="AC124" s="87">
        <f>SUM('Defect P1'!AC124,'Defect P2'!AC124,RTS!AC124)</f>
        <v>0</v>
      </c>
      <c r="AD124" s="87">
        <f>SUM('Defect P1'!AD124,'Defect P2'!AD124,RTS!AD124)</f>
        <v>0</v>
      </c>
      <c r="AE124" s="87">
        <f>SUM('Defect P1'!AE124,'Defect P2'!AE124,RTS!AE124)</f>
        <v>4000</v>
      </c>
      <c r="AF124" s="87">
        <f>SUM('Defect P1'!AF124,'Defect P2'!AF124,RTS!AF124)</f>
        <v>-757</v>
      </c>
      <c r="AG124" s="87">
        <f>SUM('Defect P1'!AG124,'Defect P2'!AG124,RTS!AG124)</f>
        <v>1.536</v>
      </c>
      <c r="AH124" s="87">
        <f>SUM('Defect P1'!AH124,'Defect P2'!AH124,RTS!AH124)</f>
        <v>0</v>
      </c>
      <c r="AI124" s="87">
        <f>SUM('Defect P1'!AI124,'Defect P2'!AI124,RTS!AI124)</f>
        <v>534</v>
      </c>
      <c r="AJ124" s="87">
        <f>SUM('Defect P1'!AJ124,'Defect P2'!AJ124,RTS!AJ124)</f>
        <v>0</v>
      </c>
      <c r="AK124" s="88">
        <f t="shared" si="43"/>
        <v>755.70720000000006</v>
      </c>
      <c r="AL124" s="89" cm="1">
        <f t="array" ref="AL124">IFERROR(IF($AM$4="N",SSUM(AF124:AH124)/3,SUM(AG124:AI124)/3),"")</f>
        <v>178.51199999999997</v>
      </c>
      <c r="AM124" s="90">
        <f t="shared" si="44"/>
        <v>534</v>
      </c>
      <c r="AN124" s="91">
        <f t="shared" si="46"/>
        <v>8.970234879734523</v>
      </c>
      <c r="AO124" s="92" t="str">
        <f t="shared" si="47"/>
        <v/>
      </c>
      <c r="AP124" s="92" t="str">
        <f t="shared" si="48"/>
        <v/>
      </c>
      <c r="AQ124" s="92" t="str">
        <f t="shared" si="49"/>
        <v/>
      </c>
      <c r="AR124" s="92" t="str">
        <f t="shared" si="50"/>
        <v/>
      </c>
      <c r="AS124" s="92">
        <f t="shared" si="51"/>
        <v>28.182510807995286</v>
      </c>
      <c r="AT124" s="92">
        <f t="shared" si="52"/>
        <v>9.5487978863936593</v>
      </c>
      <c r="AU124" s="92">
        <f t="shared" si="53"/>
        <v>7717.7866599694007</v>
      </c>
      <c r="AV124" s="92" t="str">
        <f t="shared" si="54"/>
        <v/>
      </c>
      <c r="AW124" s="92">
        <f t="shared" si="38"/>
        <v>-25.270711610486892</v>
      </c>
      <c r="AX124" s="92" t="str">
        <f t="shared" si="39"/>
        <v/>
      </c>
      <c r="AY124" s="93">
        <f t="shared" si="55"/>
        <v>41.907534351269156</v>
      </c>
      <c r="AZ124" s="94">
        <f t="shared" si="56"/>
        <v>98.681552660373967</v>
      </c>
      <c r="BA124" s="95">
        <f t="shared" si="57"/>
        <v>-25.270711610486892</v>
      </c>
      <c r="BB124" s="96">
        <f>SUM('Defect P1'!CE124,'Defect P2'!CE124,RTS!CE124)</f>
        <v>0</v>
      </c>
      <c r="BC124" s="96">
        <f>SUM('Defect P1'!CF124,'Defect P2'!CF124,RTS!CF124)</f>
        <v>0</v>
      </c>
      <c r="BD124" s="96">
        <f>SUM('Defect P1'!CG124,'Defect P2'!CG124,RTS!CG124)</f>
        <v>0</v>
      </c>
      <c r="BE124" s="96">
        <f>SUM('Defect P1'!CH124,'Defect P2'!CH124,RTS!CH124)</f>
        <v>0</v>
      </c>
      <c r="BF124" s="96">
        <f>SUM('Defect P1'!CI124,'Defect P2'!CI124,RTS!CI124)</f>
        <v>0</v>
      </c>
      <c r="BG124" s="96">
        <f>SUM('Defect P1'!CJ124,'Defect P2'!CJ124,RTS!CJ124)</f>
        <v>0</v>
      </c>
      <c r="BH124" s="96">
        <f>SUM('Defect P1'!CK124,'Defect P2'!CK124,RTS!CK124)</f>
        <v>0</v>
      </c>
      <c r="BI124" s="286">
        <f>SUM('Defect P1'!CL124,'Defect P2'!CL124,RTS!CL124)</f>
        <v>0</v>
      </c>
      <c r="BJ124" s="99" t="str">
        <f t="shared" si="45"/>
        <v/>
      </c>
      <c r="BK124" s="640">
        <f>SUM('Defect P1'!CQ124,'Defect P2'!CQ124,RTS!CQ124)</f>
        <v>0</v>
      </c>
      <c r="BL124" s="97">
        <f>SUM('Defect P1'!CR124,'Defect P2'!CR124,RTS!CR124)</f>
        <v>0</v>
      </c>
      <c r="BM124" s="524">
        <f>SUM('Defect P1'!CS124,'Defect P2'!CS124,RTS!CS124)</f>
        <v>0</v>
      </c>
      <c r="BN124" s="416">
        <f>SUM('Defect P1'!CT124,'Defect P2'!CT124,RTS!CT124)</f>
        <v>0</v>
      </c>
      <c r="BO124" s="97">
        <f>SUM('Defect P1'!CU124,'Defect P2'!CU124,RTS!CU124)</f>
        <v>0</v>
      </c>
      <c r="BP124" s="97">
        <f>SUM('Defect P1'!CV124,'Defect P2'!CV124,RTS!CV124)</f>
        <v>0</v>
      </c>
      <c r="BQ124" s="97">
        <f>SUM('Defect P1'!CW124,'Defect P2'!CW124,RTS!CW124)</f>
        <v>0</v>
      </c>
      <c r="BR124" s="98">
        <f>SUM('Defect P1'!CX124,'Defect P2'!CX124,RTS!CX124)</f>
        <v>0</v>
      </c>
    </row>
    <row r="125" spans="1:70" x14ac:dyDescent="0.25">
      <c r="A125" s="81" t="s">
        <v>242</v>
      </c>
      <c r="B125" s="82" t="s">
        <v>253</v>
      </c>
      <c r="C125" s="83" t="s">
        <v>254</v>
      </c>
      <c r="D125" s="84">
        <f>SUM('Defect P1'!D125,'Defect P2'!D125,RTS!D125)</f>
        <v>0</v>
      </c>
      <c r="E125" s="85">
        <f>SUM('Defect P1'!E125,'Defect P2'!E125,RTS!E125)</f>
        <v>0</v>
      </c>
      <c r="F125" s="85">
        <f>SUM('Defect P1'!F125,'Defect P2'!F125,RTS!F125)</f>
        <v>0</v>
      </c>
      <c r="G125" s="85">
        <f>SUM('Defect P1'!G125,'Defect P2'!G125,RTS!G125)</f>
        <v>0</v>
      </c>
      <c r="H125" s="85">
        <f>SUM('Defect P1'!H125,'Defect P2'!H125,RTS!H125)</f>
        <v>0</v>
      </c>
      <c r="I125" s="85">
        <f>SUM('Defect P1'!I125,'Defect P2'!I125,RTS!I125)</f>
        <v>0</v>
      </c>
      <c r="J125" s="85">
        <f>SUM('Defect P1'!J125,'Defect P2'!J125,RTS!J125)</f>
        <v>0</v>
      </c>
      <c r="K125" s="85">
        <f>SUM('Defect P1'!K125,'Defect P2'!K125,RTS!K125)</f>
        <v>0</v>
      </c>
      <c r="L125" s="85">
        <f>SUM('Defect P1'!L125,'Defect P2'!L125,RTS!L125)</f>
        <v>0</v>
      </c>
      <c r="M125" s="85">
        <f>SUM('Defect P1'!M125,'Defect P2'!M125,RTS!M125)</f>
        <v>0</v>
      </c>
      <c r="N125" s="85">
        <v>0</v>
      </c>
      <c r="O125" s="560">
        <f>SUM('Defect P1'!O125,'Defect P2'!O125,RTS!O125)</f>
        <v>0</v>
      </c>
      <c r="P125" s="561">
        <f>SUM('Defect P1'!P125,'Defect P2'!P125,RTS!P125)</f>
        <v>0</v>
      </c>
      <c r="Q125" s="561">
        <f>SUM('Defect P1'!Q125,'Defect P2'!Q125,RTS!Q125)</f>
        <v>0</v>
      </c>
      <c r="R125" s="561">
        <f>SUM('Defect P1'!R125,'Defect P2'!R125,RTS!R125)</f>
        <v>0</v>
      </c>
      <c r="S125" s="561">
        <f>SUM('Defect P1'!S125,'Defect P2'!S125,RTS!S125)</f>
        <v>0</v>
      </c>
      <c r="T125" s="561">
        <f>SUM('Defect P1'!T125,'Defect P2'!T125,RTS!T125)</f>
        <v>0</v>
      </c>
      <c r="U125" s="561">
        <f>SUM('Defect P1'!U125,'Defect P2'!U125,RTS!U125)</f>
        <v>0</v>
      </c>
      <c r="V125" s="561">
        <f>SUM('Defect P1'!V125,'Defect P2'!V125,RTS!V125)</f>
        <v>0</v>
      </c>
      <c r="W125" s="561">
        <f>SUM('Defect P1'!W125,'Defect P2'!W125,RTS!W125)</f>
        <v>0</v>
      </c>
      <c r="X125" s="561">
        <f>SUM('Defect P1'!X125,'Defect P2'!X125,RTS!X125)</f>
        <v>0</v>
      </c>
      <c r="Y125" s="561">
        <f>SUM('Defect P1'!Y125,'Defect P2'!Y125,RTS!Y125)</f>
        <v>0</v>
      </c>
      <c r="Z125" s="86">
        <f>SUM('Defect P1'!Z125,'Defect P2'!Z125,RTS!Z125)</f>
        <v>0</v>
      </c>
      <c r="AA125" s="87">
        <f>SUM('Defect P1'!AA125,'Defect P2'!AA125,RTS!AA125)</f>
        <v>0</v>
      </c>
      <c r="AB125" s="87">
        <f>SUM('Defect P1'!AB125,'Defect P2'!AB125,RTS!AB125)</f>
        <v>0</v>
      </c>
      <c r="AC125" s="87">
        <f>SUM('Defect P1'!AC125,'Defect P2'!AC125,RTS!AC125)</f>
        <v>0</v>
      </c>
      <c r="AD125" s="87">
        <f>SUM('Defect P1'!AD125,'Defect P2'!AD125,RTS!AD125)</f>
        <v>0</v>
      </c>
      <c r="AE125" s="87">
        <f>SUM('Defect P1'!AE125,'Defect P2'!AE125,RTS!AE125)</f>
        <v>0</v>
      </c>
      <c r="AF125" s="87">
        <f>SUM('Defect P1'!AF125,'Defect P2'!AF125,RTS!AF125)</f>
        <v>0</v>
      </c>
      <c r="AG125" s="87">
        <f>SUM('Defect P1'!AG125,'Defect P2'!AG125,RTS!AG125)</f>
        <v>0</v>
      </c>
      <c r="AH125" s="87">
        <f>SUM('Defect P1'!AH125,'Defect P2'!AH125,RTS!AH125)</f>
        <v>0</v>
      </c>
      <c r="AI125" s="87">
        <f>SUM('Defect P1'!AI125,'Defect P2'!AI125,RTS!AI125)</f>
        <v>0</v>
      </c>
      <c r="AJ125" s="87">
        <f>SUM('Defect P1'!AJ125,'Defect P2'!AJ125,RTS!AJ125)</f>
        <v>0</v>
      </c>
      <c r="AK125" s="88">
        <f t="shared" si="43"/>
        <v>0</v>
      </c>
      <c r="AL125" s="89" cm="1">
        <f t="array" ref="AL125">IFERROR(IF($AM$4="N",SSUM(AF125:AH125)/3,SUM(AG125:AI125)/3),"")</f>
        <v>0</v>
      </c>
      <c r="AM125" s="90">
        <f t="shared" si="44"/>
        <v>0</v>
      </c>
      <c r="AN125" s="91" t="str">
        <f t="shared" si="46"/>
        <v/>
      </c>
      <c r="AO125" s="92" t="str">
        <f t="shared" si="47"/>
        <v/>
      </c>
      <c r="AP125" s="92" t="str">
        <f t="shared" si="48"/>
        <v/>
      </c>
      <c r="AQ125" s="92" t="str">
        <f t="shared" si="49"/>
        <v/>
      </c>
      <c r="AR125" s="92" t="str">
        <f t="shared" si="50"/>
        <v/>
      </c>
      <c r="AS125" s="92" t="str">
        <f t="shared" si="51"/>
        <v/>
      </c>
      <c r="AT125" s="92" t="str">
        <f t="shared" si="52"/>
        <v/>
      </c>
      <c r="AU125" s="92" t="str">
        <f t="shared" si="53"/>
        <v/>
      </c>
      <c r="AV125" s="92" t="str">
        <f t="shared" si="54"/>
        <v/>
      </c>
      <c r="AW125" s="92" t="str">
        <f t="shared" si="38"/>
        <v/>
      </c>
      <c r="AX125" s="92" t="str">
        <f t="shared" si="39"/>
        <v/>
      </c>
      <c r="AY125" s="93" t="str">
        <f t="shared" si="55"/>
        <v/>
      </c>
      <c r="AZ125" s="94" t="str">
        <f t="shared" si="56"/>
        <v/>
      </c>
      <c r="BA125" s="95" t="str">
        <f t="shared" si="57"/>
        <v/>
      </c>
      <c r="BB125" s="96">
        <f>SUM('Defect P1'!CE125,'Defect P2'!CE125,RTS!CE125)</f>
        <v>0</v>
      </c>
      <c r="BC125" s="96">
        <f>SUM('Defect P1'!CF125,'Defect P2'!CF125,RTS!CF125)</f>
        <v>0</v>
      </c>
      <c r="BD125" s="96">
        <f>SUM('Defect P1'!CG125,'Defect P2'!CG125,RTS!CG125)</f>
        <v>0</v>
      </c>
      <c r="BE125" s="96">
        <f>SUM('Defect P1'!CH125,'Defect P2'!CH125,RTS!CH125)</f>
        <v>0</v>
      </c>
      <c r="BF125" s="96">
        <f>SUM('Defect P1'!CI125,'Defect P2'!CI125,RTS!CI125)</f>
        <v>0</v>
      </c>
      <c r="BG125" s="96">
        <f>SUM('Defect P1'!CJ125,'Defect P2'!CJ125,RTS!CJ125)</f>
        <v>0</v>
      </c>
      <c r="BH125" s="96">
        <f>SUM('Defect P1'!CK125,'Defect P2'!CK125,RTS!CK125)</f>
        <v>0</v>
      </c>
      <c r="BI125" s="286">
        <f>SUM('Defect P1'!CL125,'Defect P2'!CL125,RTS!CL125)</f>
        <v>0</v>
      </c>
      <c r="BJ125" s="99" t="str">
        <f t="shared" si="45"/>
        <v/>
      </c>
      <c r="BK125" s="640">
        <f>SUM('Defect P1'!CQ125,'Defect P2'!CQ125,RTS!CQ125)</f>
        <v>0</v>
      </c>
      <c r="BL125" s="97">
        <f>SUM('Defect P1'!CR125,'Defect P2'!CR125,RTS!CR125)</f>
        <v>0</v>
      </c>
      <c r="BM125" s="524">
        <f>SUM('Defect P1'!CS125,'Defect P2'!CS125,RTS!CS125)</f>
        <v>0</v>
      </c>
      <c r="BN125" s="416">
        <f>SUM('Defect P1'!CT125,'Defect P2'!CT125,RTS!CT125)</f>
        <v>0</v>
      </c>
      <c r="BO125" s="97">
        <f>SUM('Defect P1'!CU125,'Defect P2'!CU125,RTS!CU125)</f>
        <v>0</v>
      </c>
      <c r="BP125" s="97">
        <f>SUM('Defect P1'!CV125,'Defect P2'!CV125,RTS!CV125)</f>
        <v>0</v>
      </c>
      <c r="BQ125" s="97">
        <f>SUM('Defect P1'!CW125,'Defect P2'!CW125,RTS!CW125)</f>
        <v>0</v>
      </c>
      <c r="BR125" s="98">
        <f>SUM('Defect P1'!CX125,'Defect P2'!CX125,RTS!CX125)</f>
        <v>0</v>
      </c>
    </row>
    <row r="126" spans="1:70" ht="15.75" thickBot="1" x14ac:dyDescent="0.3">
      <c r="A126" s="81" t="s">
        <v>242</v>
      </c>
      <c r="B126" s="82" t="s">
        <v>399</v>
      </c>
      <c r="C126" s="102" t="s">
        <v>400</v>
      </c>
      <c r="D126" s="103">
        <f>SUM('Defect P1'!D126,'Defect P2'!D126,RTS!D126)</f>
        <v>0</v>
      </c>
      <c r="E126" s="104">
        <f>SUM('Defect P1'!E126,'Defect P2'!E126,RTS!E126)</f>
        <v>0</v>
      </c>
      <c r="F126" s="104">
        <f>SUM('Defect P1'!F126,'Defect P2'!F126,RTS!F126)</f>
        <v>0</v>
      </c>
      <c r="G126" s="104">
        <f>SUM('Defect P1'!G126,'Defect P2'!G126,RTS!G126)</f>
        <v>0</v>
      </c>
      <c r="H126" s="104">
        <f>SUM('Defect P1'!H126,'Defect P2'!H126,RTS!H126)</f>
        <v>0</v>
      </c>
      <c r="I126" s="104">
        <f>SUM('Defect P1'!I126,'Defect P2'!I126,RTS!I126)</f>
        <v>0</v>
      </c>
      <c r="J126" s="104">
        <f>SUM('Defect P1'!J126,'Defect P2'!J126,RTS!J126)</f>
        <v>0</v>
      </c>
      <c r="K126" s="104">
        <f>SUM('Defect P1'!K126,'Defect P2'!K126,RTS!K126)</f>
        <v>0</v>
      </c>
      <c r="L126" s="104">
        <f>SUM('Defect P1'!L126,'Defect P2'!L126,RTS!L126)</f>
        <v>0</v>
      </c>
      <c r="M126" s="104">
        <f>SUM('Defect P1'!M126,'Defect P2'!M126,RTS!M126)</f>
        <v>0</v>
      </c>
      <c r="N126" s="104">
        <v>0</v>
      </c>
      <c r="O126" s="563">
        <f>SUM('Defect P1'!O126,'Defect P2'!O126,RTS!O126)</f>
        <v>0</v>
      </c>
      <c r="P126" s="564">
        <f>SUM('Defect P1'!P126,'Defect P2'!P126,RTS!P126)</f>
        <v>0</v>
      </c>
      <c r="Q126" s="564">
        <f>SUM('Defect P1'!Q126,'Defect P2'!Q126,RTS!Q126)</f>
        <v>0</v>
      </c>
      <c r="R126" s="564">
        <f>SUM('Defect P1'!R126,'Defect P2'!R126,RTS!R126)</f>
        <v>0</v>
      </c>
      <c r="S126" s="564">
        <f>SUM('Defect P1'!S126,'Defect P2'!S126,RTS!S126)</f>
        <v>0</v>
      </c>
      <c r="T126" s="564">
        <f>SUM('Defect P1'!T126,'Defect P2'!T126,RTS!T126)</f>
        <v>0</v>
      </c>
      <c r="U126" s="564">
        <f>SUM('Defect P1'!U126,'Defect P2'!U126,RTS!U126)</f>
        <v>0</v>
      </c>
      <c r="V126" s="564">
        <f>SUM('Defect P1'!V126,'Defect P2'!V126,RTS!V126)</f>
        <v>0</v>
      </c>
      <c r="W126" s="564">
        <f>SUM('Defect P1'!W126,'Defect P2'!W126,RTS!W126)</f>
        <v>0</v>
      </c>
      <c r="X126" s="564">
        <f>SUM('Defect P1'!X126,'Defect P2'!X126,RTS!X126)</f>
        <v>0</v>
      </c>
      <c r="Y126" s="564">
        <f>SUM('Defect P1'!Y126,'Defect P2'!Y126,RTS!Y126)</f>
        <v>0</v>
      </c>
      <c r="Z126" s="105">
        <f>SUM('Defect P1'!Z126,'Defect P2'!Z126,RTS!Z126)</f>
        <v>0</v>
      </c>
      <c r="AA126" s="106">
        <f>SUM('Defect P1'!AA126,'Defect P2'!AA126,RTS!AA126)</f>
        <v>0</v>
      </c>
      <c r="AB126" s="106">
        <f>SUM('Defect P1'!AB126,'Defect P2'!AB126,RTS!AB126)</f>
        <v>0</v>
      </c>
      <c r="AC126" s="106">
        <f>SUM('Defect P1'!AC126,'Defect P2'!AC126,RTS!AC126)</f>
        <v>0</v>
      </c>
      <c r="AD126" s="106">
        <f>SUM('Defect P1'!AD126,'Defect P2'!AD126,RTS!AD126)</f>
        <v>0</v>
      </c>
      <c r="AE126" s="106">
        <f>SUM('Defect P1'!AE126,'Defect P2'!AE126,RTS!AE126)</f>
        <v>0</v>
      </c>
      <c r="AF126" s="106">
        <f>SUM('Defect P1'!AF126,'Defect P2'!AF126,RTS!AF126)</f>
        <v>0</v>
      </c>
      <c r="AG126" s="106">
        <f>SUM('Defect P1'!AG126,'Defect P2'!AG126,RTS!AG126)</f>
        <v>0</v>
      </c>
      <c r="AH126" s="106">
        <f>SUM('Defect P1'!AH126,'Defect P2'!AH126,RTS!AH126)</f>
        <v>0</v>
      </c>
      <c r="AI126" s="106">
        <f>SUM('Defect P1'!AI126,'Defect P2'!AI126,RTS!AI126)</f>
        <v>0</v>
      </c>
      <c r="AJ126" s="106">
        <f>SUM('Defect P1'!AJ126,'Defect P2'!AJ126,RTS!AJ126)</f>
        <v>0</v>
      </c>
      <c r="AK126" s="107">
        <f t="shared" si="43"/>
        <v>0</v>
      </c>
      <c r="AL126" s="108" cm="1">
        <f t="array" ref="AL126">IFERROR(IF($AM$4="N",SSUM(AF126:AH126)/3,SUM(AG126:AI126)/3),"")</f>
        <v>0</v>
      </c>
      <c r="AM126" s="109">
        <f t="shared" si="44"/>
        <v>0</v>
      </c>
      <c r="AN126" s="110" t="str">
        <f t="shared" si="46"/>
        <v/>
      </c>
      <c r="AO126" s="111" t="str">
        <f t="shared" si="47"/>
        <v/>
      </c>
      <c r="AP126" s="111" t="str">
        <f t="shared" si="48"/>
        <v/>
      </c>
      <c r="AQ126" s="111" t="str">
        <f t="shared" si="49"/>
        <v/>
      </c>
      <c r="AR126" s="111" t="str">
        <f t="shared" si="50"/>
        <v/>
      </c>
      <c r="AS126" s="111" t="str">
        <f t="shared" si="51"/>
        <v/>
      </c>
      <c r="AT126" s="111" t="str">
        <f t="shared" si="52"/>
        <v/>
      </c>
      <c r="AU126" s="111" t="str">
        <f t="shared" si="53"/>
        <v/>
      </c>
      <c r="AV126" s="111" t="str">
        <f t="shared" si="54"/>
        <v/>
      </c>
      <c r="AW126" s="111" t="str">
        <f t="shared" si="38"/>
        <v/>
      </c>
      <c r="AX126" s="111" t="str">
        <f t="shared" si="39"/>
        <v/>
      </c>
      <c r="AY126" s="112" t="str">
        <f t="shared" si="55"/>
        <v/>
      </c>
      <c r="AZ126" s="113" t="str">
        <f t="shared" si="56"/>
        <v/>
      </c>
      <c r="BA126" s="114" t="str">
        <f t="shared" si="57"/>
        <v/>
      </c>
      <c r="BB126" s="115">
        <f>SUM('Defect P1'!CE126,'Defect P2'!CE126,RTS!CE126)</f>
        <v>0</v>
      </c>
      <c r="BC126" s="115">
        <f>SUM('Defect P1'!CF126,'Defect P2'!CF126,RTS!CF126)</f>
        <v>0</v>
      </c>
      <c r="BD126" s="115">
        <f>SUM('Defect P1'!CG126,'Defect P2'!CG126,RTS!CG126)</f>
        <v>0</v>
      </c>
      <c r="BE126" s="115">
        <f>SUM('Defect P1'!CH126,'Defect P2'!CH126,RTS!CH126)</f>
        <v>0</v>
      </c>
      <c r="BF126" s="115">
        <f>SUM('Defect P1'!CI126,'Defect P2'!CI126,RTS!CI126)</f>
        <v>0</v>
      </c>
      <c r="BG126" s="115">
        <f>SUM('Defect P1'!CJ126,'Defect P2'!CJ126,RTS!CJ126)</f>
        <v>0</v>
      </c>
      <c r="BH126" s="115">
        <f>SUM('Defect P1'!CK126,'Defect P2'!CK126,RTS!CK126)</f>
        <v>0</v>
      </c>
      <c r="BI126" s="287">
        <f>SUM('Defect P1'!CL126,'Defect P2'!CL126,RTS!CL126)</f>
        <v>0</v>
      </c>
      <c r="BJ126" s="116" t="str">
        <f t="shared" si="45"/>
        <v/>
      </c>
      <c r="BK126" s="641">
        <f>SUM('Defect P1'!CQ126,'Defect P2'!CQ126,RTS!CQ126)</f>
        <v>0</v>
      </c>
      <c r="BL126" s="117">
        <f>SUM('Defect P1'!CR126,'Defect P2'!CR126,RTS!CR126)</f>
        <v>0</v>
      </c>
      <c r="BM126" s="638">
        <f>SUM('Defect P1'!CS126,'Defect P2'!CS126,RTS!CS126)</f>
        <v>0</v>
      </c>
      <c r="BN126" s="467">
        <f>SUM('Defect P1'!CT126,'Defect P2'!CT126,RTS!CT126)</f>
        <v>0</v>
      </c>
      <c r="BO126" s="117">
        <f>SUM('Defect P1'!CU126,'Defect P2'!CU126,RTS!CU126)</f>
        <v>0</v>
      </c>
      <c r="BP126" s="117">
        <f>SUM('Defect P1'!CV126,'Defect P2'!CV126,RTS!CV126)</f>
        <v>0</v>
      </c>
      <c r="BQ126" s="117">
        <f>SUM('Defect P1'!CW126,'Defect P2'!CW126,RTS!CW126)</f>
        <v>0</v>
      </c>
      <c r="BR126" s="118">
        <f>SUM('Defect P1'!CX126,'Defect P2'!CX126,RTS!CX126)</f>
        <v>0</v>
      </c>
    </row>
    <row r="127" spans="1:70" x14ac:dyDescent="0.25">
      <c r="A127" s="81" t="s">
        <v>258</v>
      </c>
      <c r="B127" s="82" t="s">
        <v>255</v>
      </c>
      <c r="C127" s="145" t="s">
        <v>401</v>
      </c>
      <c r="D127" s="146">
        <f>SUM('Defect P1'!D127,'Defect P2'!D127,RTS!D127)</f>
        <v>0</v>
      </c>
      <c r="E127" s="147">
        <f>SUM('Defect P1'!E127,'Defect P2'!E127,RTS!E127)</f>
        <v>0</v>
      </c>
      <c r="F127" s="147">
        <f>SUM('Defect P1'!F127,'Defect P2'!F127,RTS!F127)</f>
        <v>0</v>
      </c>
      <c r="G127" s="147">
        <f>SUM('Defect P1'!G127,'Defect P2'!G127,RTS!G127)</f>
        <v>0</v>
      </c>
      <c r="H127" s="147">
        <f>SUM('Defect P1'!H127,'Defect P2'!H127,RTS!H127)</f>
        <v>0</v>
      </c>
      <c r="I127" s="147">
        <f>SUM('Defect P1'!I127,'Defect P2'!I127,RTS!I127)</f>
        <v>0</v>
      </c>
      <c r="J127" s="147">
        <f>SUM('Defect P1'!J127,'Defect P2'!J127,RTS!J127)</f>
        <v>0</v>
      </c>
      <c r="K127" s="147">
        <f>SUM('Defect P1'!K127,'Defect P2'!K127,RTS!K127)</f>
        <v>0</v>
      </c>
      <c r="L127" s="147">
        <f>SUM('Defect P1'!L127,'Defect P2'!L127,RTS!L127)</f>
        <v>0</v>
      </c>
      <c r="M127" s="147">
        <f>SUM('Defect P1'!M127,'Defect P2'!M127,RTS!M127)</f>
        <v>0</v>
      </c>
      <c r="N127" s="147">
        <v>0</v>
      </c>
      <c r="O127" s="566">
        <f>SUM('Defect P1'!O127,'Defect P2'!O127,RTS!O127)</f>
        <v>0</v>
      </c>
      <c r="P127" s="567">
        <f>SUM('Defect P1'!P127,'Defect P2'!P127,RTS!P127)</f>
        <v>0</v>
      </c>
      <c r="Q127" s="567">
        <f>SUM('Defect P1'!Q127,'Defect P2'!Q127,RTS!Q127)</f>
        <v>0</v>
      </c>
      <c r="R127" s="567">
        <f>SUM('Defect P1'!R127,'Defect P2'!R127,RTS!R127)</f>
        <v>0</v>
      </c>
      <c r="S127" s="567">
        <f>SUM('Defect P1'!S127,'Defect P2'!S127,RTS!S127)</f>
        <v>0</v>
      </c>
      <c r="T127" s="567">
        <f>SUM('Defect P1'!T127,'Defect P2'!T127,RTS!T127)</f>
        <v>0</v>
      </c>
      <c r="U127" s="567">
        <f>SUM('Defect P1'!U127,'Defect P2'!U127,RTS!U127)</f>
        <v>0</v>
      </c>
      <c r="V127" s="567">
        <f>SUM('Defect P1'!V127,'Defect P2'!V127,RTS!V127)</f>
        <v>0</v>
      </c>
      <c r="W127" s="567">
        <f>SUM('Defect P1'!W127,'Defect P2'!W127,RTS!W127)</f>
        <v>0</v>
      </c>
      <c r="X127" s="567">
        <f>SUM('Defect P1'!X127,'Defect P2'!X127,RTS!X127)</f>
        <v>0</v>
      </c>
      <c r="Y127" s="567">
        <f>SUM('Defect P1'!Y127,'Defect P2'!Y127,RTS!Y127)</f>
        <v>0</v>
      </c>
      <c r="Z127" s="148">
        <f>SUM('Defect P1'!Z127,'Defect P2'!Z127,RTS!Z127)</f>
        <v>0</v>
      </c>
      <c r="AA127" s="149">
        <f>SUM('Defect P1'!AA127,'Defect P2'!AA127,RTS!AA127)</f>
        <v>0</v>
      </c>
      <c r="AB127" s="149">
        <f>SUM('Defect P1'!AB127,'Defect P2'!AB127,RTS!AB127)</f>
        <v>0</v>
      </c>
      <c r="AC127" s="149">
        <f>SUM('Defect P1'!AC127,'Defect P2'!AC127,RTS!AC127)</f>
        <v>0</v>
      </c>
      <c r="AD127" s="149">
        <f>SUM('Defect P1'!AD127,'Defect P2'!AD127,RTS!AD127)</f>
        <v>0</v>
      </c>
      <c r="AE127" s="149">
        <f>SUM('Defect P1'!AE127,'Defect P2'!AE127,RTS!AE127)</f>
        <v>0</v>
      </c>
      <c r="AF127" s="149">
        <f>SUM('Defect P1'!AF127,'Defect P2'!AF127,RTS!AF127)</f>
        <v>0</v>
      </c>
      <c r="AG127" s="149">
        <f>SUM('Defect P1'!AG127,'Defect P2'!AG127,RTS!AG127)</f>
        <v>0</v>
      </c>
      <c r="AH127" s="149">
        <f>SUM('Defect P1'!AH127,'Defect P2'!AH127,RTS!AH127)</f>
        <v>0</v>
      </c>
      <c r="AI127" s="149">
        <f>SUM('Defect P1'!AI127,'Defect P2'!AI127,RTS!AI127)</f>
        <v>0</v>
      </c>
      <c r="AJ127" s="149">
        <f>SUM('Defect P1'!AJ127,'Defect P2'!AJ127,RTS!AJ127)</f>
        <v>0</v>
      </c>
      <c r="AK127" s="150">
        <f t="shared" si="43"/>
        <v>0</v>
      </c>
      <c r="AL127" s="151" cm="1">
        <f t="array" ref="AL127">IFERROR(IF($AM$4="N",SSUM(AF127:AH127)/3,SUM(AG127:AI127)/3),"")</f>
        <v>0</v>
      </c>
      <c r="AM127" s="152">
        <f t="shared" si="44"/>
        <v>0</v>
      </c>
      <c r="AN127" s="153" t="str">
        <f t="shared" si="46"/>
        <v/>
      </c>
      <c r="AO127" s="154" t="str">
        <f t="shared" si="47"/>
        <v/>
      </c>
      <c r="AP127" s="154" t="str">
        <f t="shared" si="48"/>
        <v/>
      </c>
      <c r="AQ127" s="154" t="str">
        <f t="shared" si="49"/>
        <v/>
      </c>
      <c r="AR127" s="154" t="str">
        <f t="shared" si="50"/>
        <v/>
      </c>
      <c r="AS127" s="154" t="str">
        <f t="shared" si="51"/>
        <v/>
      </c>
      <c r="AT127" s="154" t="str">
        <f t="shared" si="52"/>
        <v/>
      </c>
      <c r="AU127" s="154" t="str">
        <f t="shared" si="53"/>
        <v/>
      </c>
      <c r="AV127" s="154" t="str">
        <f t="shared" si="54"/>
        <v/>
      </c>
      <c r="AW127" s="154" t="str">
        <f t="shared" si="38"/>
        <v/>
      </c>
      <c r="AX127" s="154" t="str">
        <f t="shared" si="39"/>
        <v/>
      </c>
      <c r="AY127" s="155" t="str">
        <f t="shared" si="55"/>
        <v/>
      </c>
      <c r="AZ127" s="156" t="str">
        <f t="shared" si="56"/>
        <v/>
      </c>
      <c r="BA127" s="157" t="str">
        <f t="shared" si="57"/>
        <v/>
      </c>
      <c r="BB127" s="78">
        <f>SUM('Defect P1'!CE127,'Defect P2'!CE127,RTS!CE127)</f>
        <v>0</v>
      </c>
      <c r="BC127" s="78">
        <f>SUM('Defect P1'!CF127,'Defect P2'!CF127,RTS!CF127)</f>
        <v>0</v>
      </c>
      <c r="BD127" s="78">
        <f>SUM('Defect P1'!CG127,'Defect P2'!CG127,RTS!CG127)</f>
        <v>0</v>
      </c>
      <c r="BE127" s="78">
        <f>SUM('Defect P1'!CH127,'Defect P2'!CH127,RTS!CH127)</f>
        <v>0</v>
      </c>
      <c r="BF127" s="78">
        <f>SUM('Defect P1'!CI127,'Defect P2'!CI127,RTS!CI127)</f>
        <v>0</v>
      </c>
      <c r="BG127" s="78">
        <f>SUM('Defect P1'!CJ127,'Defect P2'!CJ127,RTS!CJ127)</f>
        <v>0</v>
      </c>
      <c r="BH127" s="78">
        <f>SUM('Defect P1'!CK127,'Defect P2'!CK127,RTS!CK127)</f>
        <v>0</v>
      </c>
      <c r="BI127" s="285">
        <f>SUM('Defect P1'!CL127,'Defect P2'!CL127,RTS!CL127)</f>
        <v>0</v>
      </c>
      <c r="BJ127" s="158" t="str">
        <f t="shared" si="45"/>
        <v/>
      </c>
      <c r="BK127" s="639">
        <f>SUM('Defect P1'!CQ127,'Defect P2'!CQ127,RTS!CQ127)</f>
        <v>0</v>
      </c>
      <c r="BL127" s="79">
        <f>SUM('Defect P1'!CR127,'Defect P2'!CR127,RTS!CR127)</f>
        <v>0</v>
      </c>
      <c r="BM127" s="523">
        <f>SUM('Defect P1'!CS127,'Defect P2'!CS127,RTS!CS127)</f>
        <v>0</v>
      </c>
      <c r="BN127" s="415">
        <f>SUM('Defect P1'!CT127,'Defect P2'!CT127,RTS!CT127)</f>
        <v>0</v>
      </c>
      <c r="BO127" s="79">
        <f>SUM('Defect P1'!CU127,'Defect P2'!CU127,RTS!CU127)</f>
        <v>0</v>
      </c>
      <c r="BP127" s="79">
        <f>SUM('Defect P1'!CV127,'Defect P2'!CV127,RTS!CV127)</f>
        <v>0</v>
      </c>
      <c r="BQ127" s="79">
        <f>SUM('Defect P1'!CW127,'Defect P2'!CW127,RTS!CW127)</f>
        <v>0</v>
      </c>
      <c r="BR127" s="80">
        <f>SUM('Defect P1'!CX127,'Defect P2'!CX127,RTS!CX127)</f>
        <v>0</v>
      </c>
    </row>
    <row r="128" spans="1:70" x14ac:dyDescent="0.25">
      <c r="A128" s="81" t="s">
        <v>258</v>
      </c>
      <c r="B128" s="82" t="s">
        <v>259</v>
      </c>
      <c r="C128" s="83" t="s">
        <v>257</v>
      </c>
      <c r="D128" s="84">
        <f>SUM('Defect P1'!D128,'Defect P2'!D128,RTS!D128)</f>
        <v>46001.175760706268</v>
      </c>
      <c r="E128" s="85">
        <f>SUM('Defect P1'!E128,'Defect P2'!E128,RTS!E128)</f>
        <v>61872.849969623399</v>
      </c>
      <c r="F128" s="85">
        <f>SUM('Defect P1'!F128,'Defect P2'!F128,RTS!F128)</f>
        <v>119551.27787942653</v>
      </c>
      <c r="G128" s="85">
        <f>SUM('Defect P1'!G128,'Defect P2'!G128,RTS!G128)</f>
        <v>74949.084127293376</v>
      </c>
      <c r="H128" s="85">
        <f>SUM('Defect P1'!H128,'Defect P2'!H128,RTS!H128)</f>
        <v>81774.085613318457</v>
      </c>
      <c r="I128" s="85">
        <f>SUM('Defect P1'!I128,'Defect P2'!I128,RTS!I128)</f>
        <v>101409.148992124</v>
      </c>
      <c r="J128" s="85">
        <f>SUM('Defect P1'!J128,'Defect P2'!J128,RTS!J128)</f>
        <v>454918.2981203192</v>
      </c>
      <c r="K128" s="85">
        <f>SUM('Defect P1'!K128,'Defect P2'!K128,RTS!K128)</f>
        <v>115488.392166203</v>
      </c>
      <c r="L128" s="85">
        <f>SUM('Defect P1'!L128,'Defect P2'!L128,RTS!L128)</f>
        <v>265721.28691319207</v>
      </c>
      <c r="M128" s="85">
        <f>SUM('Defect P1'!M128,'Defect P2'!M128,RTS!M128)</f>
        <v>161514.39657594595</v>
      </c>
      <c r="N128" s="85">
        <v>180523.08728438595</v>
      </c>
      <c r="O128" s="560">
        <f>SUM('Defect P1'!O128,'Defect P2'!O128,RTS!O128)</f>
        <v>61892.57261817465</v>
      </c>
      <c r="P128" s="561">
        <f>SUM('Defect P1'!P128,'Defect P2'!P128,RTS!P128)</f>
        <v>82008.188633217054</v>
      </c>
      <c r="Q128" s="561">
        <f>SUM('Defect P1'!Q128,'Defect P2'!Q128,RTS!Q128)</f>
        <v>156851.96372682281</v>
      </c>
      <c r="R128" s="561">
        <f>SUM('Defect P1'!R128,'Defect P2'!R128,RTS!R128)</f>
        <v>96468.221563164552</v>
      </c>
      <c r="S128" s="561">
        <f>SUM('Defect P1'!S128,'Defect P2'!S128,RTS!S128)</f>
        <v>103110.48176078753</v>
      </c>
      <c r="T128" s="561">
        <f>SUM('Defect P1'!T128,'Defect P2'!T128,RTS!T128)</f>
        <v>125863.79231418691</v>
      </c>
      <c r="U128" s="561">
        <f>SUM('Defect P1'!U128,'Defect P2'!U128,RTS!U128)</f>
        <v>566595.26937541727</v>
      </c>
      <c r="V128" s="561">
        <f>SUM('Defect P1'!V128,'Defect P2'!V128,RTS!V128)</f>
        <v>138512.01824081794</v>
      </c>
      <c r="W128" s="561">
        <f>SUM('Defect P1'!W128,'Defect P2'!W128,RTS!W128)</f>
        <v>300245.71872952941</v>
      </c>
      <c r="X128" s="561">
        <f>SUM('Defect P1'!X128,'Defect P2'!X128,RTS!X128)</f>
        <v>171764.24975986141</v>
      </c>
      <c r="Y128" s="561">
        <f>SUM('Defect P1'!Y128,'Defect P2'!Y128,RTS!Y128)</f>
        <v>185487.19766614222</v>
      </c>
      <c r="Z128" s="86">
        <f>SUM('Defect P1'!Z128,'Defect P2'!Z128,RTS!Z128)</f>
        <v>8</v>
      </c>
      <c r="AA128" s="87">
        <f>SUM('Defect P1'!AA128,'Defect P2'!AA128,RTS!AA128)</f>
        <v>11</v>
      </c>
      <c r="AB128" s="87">
        <f>SUM('Defect P1'!AB128,'Defect P2'!AB128,RTS!AB128)</f>
        <v>20</v>
      </c>
      <c r="AC128" s="87">
        <f>SUM('Defect P1'!AC128,'Defect P2'!AC128,RTS!AC128)</f>
        <v>12</v>
      </c>
      <c r="AD128" s="87">
        <f>SUM('Defect P1'!AD128,'Defect P2'!AD128,RTS!AD128)</f>
        <v>13</v>
      </c>
      <c r="AE128" s="87">
        <f>SUM('Defect P1'!AE128,'Defect P2'!AE128,RTS!AE128)</f>
        <v>18</v>
      </c>
      <c r="AF128" s="87">
        <f>SUM('Defect P1'!AF128,'Defect P2'!AF128,RTS!AF128)</f>
        <v>15</v>
      </c>
      <c r="AG128" s="87">
        <f>SUM('Defect P1'!AG128,'Defect P2'!AG128,RTS!AG128)</f>
        <v>0</v>
      </c>
      <c r="AH128" s="87">
        <f>SUM('Defect P1'!AH128,'Defect P2'!AH128,RTS!AH128)</f>
        <v>28</v>
      </c>
      <c r="AI128" s="87">
        <f>SUM('Defect P1'!AI128,'Defect P2'!AI128,RTS!AI128)</f>
        <v>23</v>
      </c>
      <c r="AJ128" s="87">
        <f>SUM('Defect P1'!AJ128,'Defect P2'!AJ128,RTS!AJ128)</f>
        <v>25</v>
      </c>
      <c r="AK128" s="88">
        <f t="shared" si="43"/>
        <v>16.8</v>
      </c>
      <c r="AL128" s="89" cm="1">
        <f t="array" ref="AL128">IFERROR(IF($AM$4="N",SSUM(AF128:AH128)/3,SUM(AG128:AI128)/3),"")</f>
        <v>17</v>
      </c>
      <c r="AM128" s="90">
        <f t="shared" si="44"/>
        <v>23</v>
      </c>
      <c r="AN128" s="91">
        <f t="shared" si="46"/>
        <v>5750.1469700882835</v>
      </c>
      <c r="AO128" s="92">
        <f t="shared" si="47"/>
        <v>5624.8045426930366</v>
      </c>
      <c r="AP128" s="92">
        <f t="shared" si="48"/>
        <v>5977.5638939713263</v>
      </c>
      <c r="AQ128" s="92">
        <f t="shared" si="49"/>
        <v>6245.757010607781</v>
      </c>
      <c r="AR128" s="92">
        <f t="shared" si="50"/>
        <v>6290.3142779475738</v>
      </c>
      <c r="AS128" s="92">
        <f t="shared" si="51"/>
        <v>5633.8416106735558</v>
      </c>
      <c r="AT128" s="92">
        <f t="shared" si="52"/>
        <v>30327.886541354612</v>
      </c>
      <c r="AU128" s="92" t="str">
        <f t="shared" si="53"/>
        <v/>
      </c>
      <c r="AV128" s="92">
        <f t="shared" si="54"/>
        <v>9490.0459611854312</v>
      </c>
      <c r="AW128" s="92">
        <f t="shared" si="38"/>
        <v>7022.3650685193888</v>
      </c>
      <c r="AX128" s="92">
        <f t="shared" si="39"/>
        <v>7220.9234913754381</v>
      </c>
      <c r="AY128" s="93">
        <f t="shared" si="55"/>
        <v>13083.946699616477</v>
      </c>
      <c r="AZ128" s="94">
        <f t="shared" si="56"/>
        <v>10641.64854226159</v>
      </c>
      <c r="BA128" s="95">
        <f t="shared" si="57"/>
        <v>7022.3650685193888</v>
      </c>
      <c r="BB128" s="96">
        <f>SUM('Defect P1'!CE128,'Defect P2'!CE128,RTS!CE128)</f>
        <v>17</v>
      </c>
      <c r="BC128" s="96">
        <f>SUM('Defect P1'!CF128,'Defect P2'!CF128,RTS!CF128)</f>
        <v>17</v>
      </c>
      <c r="BD128" s="96">
        <f>SUM('Defect P1'!CG128,'Defect P2'!CG128,RTS!CG128)</f>
        <v>17</v>
      </c>
      <c r="BE128" s="96">
        <f>SUM('Defect P1'!CH128,'Defect P2'!CH128,RTS!CH128)</f>
        <v>17</v>
      </c>
      <c r="BF128" s="96">
        <f>SUM('Defect P1'!CI128,'Defect P2'!CI128,RTS!CI128)</f>
        <v>17</v>
      </c>
      <c r="BG128" s="96">
        <f>SUM('Defect P1'!CJ128,'Defect P2'!CJ128,RTS!CJ128)</f>
        <v>17</v>
      </c>
      <c r="BH128" s="96">
        <f>SUM('Defect P1'!CK128,'Defect P2'!CK128,RTS!CK128)</f>
        <v>17</v>
      </c>
      <c r="BI128" s="286">
        <f>SUM('Defect P1'!CL128,'Defect P2'!CL128,RTS!CL128)</f>
        <v>17</v>
      </c>
      <c r="BJ128" s="99">
        <f t="shared" si="45"/>
        <v>10641.648542261588</v>
      </c>
      <c r="BK128" s="640">
        <f>SUM('Defect P1'!CQ128,'Defect P2'!CQ128,RTS!CQ128)</f>
        <v>180908.02521844703</v>
      </c>
      <c r="BL128" s="97">
        <f>SUM('Defect P1'!CR128,'Defect P2'!CR128,RTS!CR128)</f>
        <v>180908.02521844703</v>
      </c>
      <c r="BM128" s="524">
        <f>SUM('Defect P1'!CS128,'Defect P2'!CS128,RTS!CS128)</f>
        <v>180908.02521844703</v>
      </c>
      <c r="BN128" s="416">
        <f>SUM('Defect P1'!CT128,'Defect P2'!CT128,RTS!CT128)</f>
        <v>180908.02521844703</v>
      </c>
      <c r="BO128" s="97">
        <f>SUM('Defect P1'!CU128,'Defect P2'!CU128,RTS!CU128)</f>
        <v>180908.02521844703</v>
      </c>
      <c r="BP128" s="97">
        <f>SUM('Defect P1'!CV128,'Defect P2'!CV128,RTS!CV128)</f>
        <v>180908.02521844703</v>
      </c>
      <c r="BQ128" s="97">
        <f>SUM('Defect P1'!CW128,'Defect P2'!CW128,RTS!CW128)</f>
        <v>180908.02521844703</v>
      </c>
      <c r="BR128" s="98">
        <f>SUM('Defect P1'!CX128,'Defect P2'!CX128,RTS!CX128)</f>
        <v>180908.02521844703</v>
      </c>
    </row>
    <row r="129" spans="1:70" x14ac:dyDescent="0.25">
      <c r="A129" s="81" t="s">
        <v>258</v>
      </c>
      <c r="B129" s="82" t="s">
        <v>261</v>
      </c>
      <c r="C129" s="83" t="s">
        <v>402</v>
      </c>
      <c r="D129" s="84">
        <f>SUM('Defect P1'!D129,'Defect P2'!D129,RTS!D129)</f>
        <v>0</v>
      </c>
      <c r="E129" s="85">
        <f>SUM('Defect P1'!E129,'Defect P2'!E129,RTS!E129)</f>
        <v>0</v>
      </c>
      <c r="F129" s="85">
        <f>SUM('Defect P1'!F129,'Defect P2'!F129,RTS!F129)</f>
        <v>0</v>
      </c>
      <c r="G129" s="85">
        <f>SUM('Defect P1'!G129,'Defect P2'!G129,RTS!G129)</f>
        <v>0</v>
      </c>
      <c r="H129" s="85">
        <f>SUM('Defect P1'!H129,'Defect P2'!H129,RTS!H129)</f>
        <v>0</v>
      </c>
      <c r="I129" s="85">
        <f>SUM('Defect P1'!I129,'Defect P2'!I129,RTS!I129)</f>
        <v>0</v>
      </c>
      <c r="J129" s="85">
        <f>SUM('Defect P1'!J129,'Defect P2'!J129,RTS!J129)</f>
        <v>0</v>
      </c>
      <c r="K129" s="85">
        <f>SUM('Defect P1'!K129,'Defect P2'!K129,RTS!K129)</f>
        <v>0</v>
      </c>
      <c r="L129" s="85">
        <f>SUM('Defect P1'!L129,'Defect P2'!L129,RTS!L129)</f>
        <v>0</v>
      </c>
      <c r="M129" s="85">
        <f>SUM('Defect P1'!M129,'Defect P2'!M129,RTS!M129)</f>
        <v>0</v>
      </c>
      <c r="N129" s="85">
        <v>0</v>
      </c>
      <c r="O129" s="560">
        <f>SUM('Defect P1'!O129,'Defect P2'!O129,RTS!O129)</f>
        <v>0</v>
      </c>
      <c r="P129" s="561">
        <f>SUM('Defect P1'!P129,'Defect P2'!P129,RTS!P129)</f>
        <v>0</v>
      </c>
      <c r="Q129" s="561">
        <f>SUM('Defect P1'!Q129,'Defect P2'!Q129,RTS!Q129)</f>
        <v>0</v>
      </c>
      <c r="R129" s="561">
        <f>SUM('Defect P1'!R129,'Defect P2'!R129,RTS!R129)</f>
        <v>0</v>
      </c>
      <c r="S129" s="561">
        <f>SUM('Defect P1'!S129,'Defect P2'!S129,RTS!S129)</f>
        <v>0</v>
      </c>
      <c r="T129" s="561">
        <f>SUM('Defect P1'!T129,'Defect P2'!T129,RTS!T129)</f>
        <v>0</v>
      </c>
      <c r="U129" s="561">
        <f>SUM('Defect P1'!U129,'Defect P2'!U129,RTS!U129)</f>
        <v>0</v>
      </c>
      <c r="V129" s="561">
        <f>SUM('Defect P1'!V129,'Defect P2'!V129,RTS!V129)</f>
        <v>0</v>
      </c>
      <c r="W129" s="561">
        <f>SUM('Defect P1'!W129,'Defect P2'!W129,RTS!W129)</f>
        <v>0</v>
      </c>
      <c r="X129" s="561">
        <f>SUM('Defect P1'!X129,'Defect P2'!X129,RTS!X129)</f>
        <v>0</v>
      </c>
      <c r="Y129" s="561">
        <f>SUM('Defect P1'!Y129,'Defect P2'!Y129,RTS!Y129)</f>
        <v>0</v>
      </c>
      <c r="Z129" s="86">
        <f>SUM('Defect P1'!Z129,'Defect P2'!Z129,RTS!Z129)</f>
        <v>0</v>
      </c>
      <c r="AA129" s="87">
        <f>SUM('Defect P1'!AA129,'Defect P2'!AA129,RTS!AA129)</f>
        <v>0</v>
      </c>
      <c r="AB129" s="87">
        <f>SUM('Defect P1'!AB129,'Defect P2'!AB129,RTS!AB129)</f>
        <v>0</v>
      </c>
      <c r="AC129" s="87">
        <f>SUM('Defect P1'!AC129,'Defect P2'!AC129,RTS!AC129)</f>
        <v>0</v>
      </c>
      <c r="AD129" s="87">
        <f>SUM('Defect P1'!AD129,'Defect P2'!AD129,RTS!AD129)</f>
        <v>0</v>
      </c>
      <c r="AE129" s="87">
        <f>SUM('Defect P1'!AE129,'Defect P2'!AE129,RTS!AE129)</f>
        <v>0</v>
      </c>
      <c r="AF129" s="87">
        <f>SUM('Defect P1'!AF129,'Defect P2'!AF129,RTS!AF129)</f>
        <v>0</v>
      </c>
      <c r="AG129" s="87">
        <f>SUM('Defect P1'!AG129,'Defect P2'!AG129,RTS!AG129)</f>
        <v>0</v>
      </c>
      <c r="AH129" s="87">
        <f>SUM('Defect P1'!AH129,'Defect P2'!AH129,RTS!AH129)</f>
        <v>0</v>
      </c>
      <c r="AI129" s="87">
        <f>SUM('Defect P1'!AI129,'Defect P2'!AI129,RTS!AI129)</f>
        <v>0</v>
      </c>
      <c r="AJ129" s="87">
        <f>SUM('Defect P1'!AJ129,'Defect P2'!AJ129,RTS!AJ129)</f>
        <v>0</v>
      </c>
      <c r="AK129" s="88">
        <f t="shared" si="43"/>
        <v>0</v>
      </c>
      <c r="AL129" s="89" cm="1">
        <f t="array" ref="AL129">IFERROR(IF($AM$4="N",SSUM(AF129:AH129)/3,SUM(AG129:AI129)/3),"")</f>
        <v>0</v>
      </c>
      <c r="AM129" s="90">
        <f t="shared" si="44"/>
        <v>0</v>
      </c>
      <c r="AN129" s="91" t="str">
        <f t="shared" si="46"/>
        <v/>
      </c>
      <c r="AO129" s="92" t="str">
        <f t="shared" si="47"/>
        <v/>
      </c>
      <c r="AP129" s="92" t="str">
        <f t="shared" si="48"/>
        <v/>
      </c>
      <c r="AQ129" s="92" t="str">
        <f t="shared" si="49"/>
        <v/>
      </c>
      <c r="AR129" s="92" t="str">
        <f t="shared" si="50"/>
        <v/>
      </c>
      <c r="AS129" s="92" t="str">
        <f t="shared" si="51"/>
        <v/>
      </c>
      <c r="AT129" s="92" t="str">
        <f t="shared" si="52"/>
        <v/>
      </c>
      <c r="AU129" s="92" t="str">
        <f t="shared" si="53"/>
        <v/>
      </c>
      <c r="AV129" s="92" t="str">
        <f t="shared" si="54"/>
        <v/>
      </c>
      <c r="AW129" s="92" t="str">
        <f t="shared" si="38"/>
        <v/>
      </c>
      <c r="AX129" s="92" t="str">
        <f t="shared" si="39"/>
        <v/>
      </c>
      <c r="AY129" s="93" t="str">
        <f t="shared" si="55"/>
        <v/>
      </c>
      <c r="AZ129" s="94" t="str">
        <f t="shared" si="56"/>
        <v/>
      </c>
      <c r="BA129" s="95" t="str">
        <f t="shared" si="57"/>
        <v/>
      </c>
      <c r="BB129" s="96">
        <f>SUM('Defect P1'!CE129,'Defect P2'!CE129,RTS!CE129)</f>
        <v>0</v>
      </c>
      <c r="BC129" s="96">
        <f>SUM('Defect P1'!CF129,'Defect P2'!CF129,RTS!CF129)</f>
        <v>0</v>
      </c>
      <c r="BD129" s="96">
        <f>SUM('Defect P1'!CG129,'Defect P2'!CG129,RTS!CG129)</f>
        <v>0</v>
      </c>
      <c r="BE129" s="96">
        <f>SUM('Defect P1'!CH129,'Defect P2'!CH129,RTS!CH129)</f>
        <v>0</v>
      </c>
      <c r="BF129" s="96">
        <f>SUM('Defect P1'!CI129,'Defect P2'!CI129,RTS!CI129)</f>
        <v>0</v>
      </c>
      <c r="BG129" s="96">
        <f>SUM('Defect P1'!CJ129,'Defect P2'!CJ129,RTS!CJ129)</f>
        <v>0</v>
      </c>
      <c r="BH129" s="96">
        <f>SUM('Defect P1'!CK129,'Defect P2'!CK129,RTS!CK129)</f>
        <v>0</v>
      </c>
      <c r="BI129" s="286">
        <f>SUM('Defect P1'!CL129,'Defect P2'!CL129,RTS!CL129)</f>
        <v>0</v>
      </c>
      <c r="BJ129" s="99" t="str">
        <f t="shared" si="45"/>
        <v/>
      </c>
      <c r="BK129" s="640">
        <f>SUM('Defect P1'!CQ129,'Defect P2'!CQ129,RTS!CQ129)</f>
        <v>0</v>
      </c>
      <c r="BL129" s="97">
        <f>SUM('Defect P1'!CR129,'Defect P2'!CR129,RTS!CR129)</f>
        <v>0</v>
      </c>
      <c r="BM129" s="524">
        <f>SUM('Defect P1'!CS129,'Defect P2'!CS129,RTS!CS129)</f>
        <v>0</v>
      </c>
      <c r="BN129" s="416">
        <f>SUM('Defect P1'!CT129,'Defect P2'!CT129,RTS!CT129)</f>
        <v>0</v>
      </c>
      <c r="BO129" s="97">
        <f>SUM('Defect P1'!CU129,'Defect P2'!CU129,RTS!CU129)</f>
        <v>0</v>
      </c>
      <c r="BP129" s="97">
        <f>SUM('Defect P1'!CV129,'Defect P2'!CV129,RTS!CV129)</f>
        <v>0</v>
      </c>
      <c r="BQ129" s="97">
        <f>SUM('Defect P1'!CW129,'Defect P2'!CW129,RTS!CW129)</f>
        <v>0</v>
      </c>
      <c r="BR129" s="98">
        <f>SUM('Defect P1'!CX129,'Defect P2'!CX129,RTS!CX129)</f>
        <v>0</v>
      </c>
    </row>
    <row r="130" spans="1:70" x14ac:dyDescent="0.25">
      <c r="A130" s="81" t="s">
        <v>258</v>
      </c>
      <c r="B130" s="82" t="s">
        <v>263</v>
      </c>
      <c r="C130" s="83" t="s">
        <v>403</v>
      </c>
      <c r="D130" s="84">
        <f>SUM('Defect P1'!D130,'Defect P2'!D130,RTS!D130)</f>
        <v>0</v>
      </c>
      <c r="E130" s="85">
        <f>SUM('Defect P1'!E130,'Defect P2'!E130,RTS!E130)</f>
        <v>0</v>
      </c>
      <c r="F130" s="85">
        <f>SUM('Defect P1'!F130,'Defect P2'!F130,RTS!F130)</f>
        <v>0</v>
      </c>
      <c r="G130" s="85">
        <f>SUM('Defect P1'!G130,'Defect P2'!G130,RTS!G130)</f>
        <v>0</v>
      </c>
      <c r="H130" s="85">
        <f>SUM('Defect P1'!H130,'Defect P2'!H130,RTS!H130)</f>
        <v>0</v>
      </c>
      <c r="I130" s="85">
        <f>SUM('Defect P1'!I130,'Defect P2'!I130,RTS!I130)</f>
        <v>0</v>
      </c>
      <c r="J130" s="85">
        <f>SUM('Defect P1'!J130,'Defect P2'!J130,RTS!J130)</f>
        <v>0</v>
      </c>
      <c r="K130" s="85">
        <f>SUM('Defect P1'!K130,'Defect P2'!K130,RTS!K130)</f>
        <v>0</v>
      </c>
      <c r="L130" s="85">
        <f>SUM('Defect P1'!L130,'Defect P2'!L130,RTS!L130)</f>
        <v>0</v>
      </c>
      <c r="M130" s="85">
        <f>SUM('Defect P1'!M130,'Defect P2'!M130,RTS!M130)</f>
        <v>0</v>
      </c>
      <c r="N130" s="85">
        <v>0</v>
      </c>
      <c r="O130" s="560">
        <f>SUM('Defect P1'!O130,'Defect P2'!O130,RTS!O130)</f>
        <v>0</v>
      </c>
      <c r="P130" s="561">
        <f>SUM('Defect P1'!P130,'Defect P2'!P130,RTS!P130)</f>
        <v>0</v>
      </c>
      <c r="Q130" s="561">
        <f>SUM('Defect P1'!Q130,'Defect P2'!Q130,RTS!Q130)</f>
        <v>0</v>
      </c>
      <c r="R130" s="561">
        <f>SUM('Defect P1'!R130,'Defect P2'!R130,RTS!R130)</f>
        <v>0</v>
      </c>
      <c r="S130" s="561">
        <f>SUM('Defect P1'!S130,'Defect P2'!S130,RTS!S130)</f>
        <v>0</v>
      </c>
      <c r="T130" s="561">
        <f>SUM('Defect P1'!T130,'Defect P2'!T130,RTS!T130)</f>
        <v>0</v>
      </c>
      <c r="U130" s="561">
        <f>SUM('Defect P1'!U130,'Defect P2'!U130,RTS!U130)</f>
        <v>0</v>
      </c>
      <c r="V130" s="561">
        <f>SUM('Defect P1'!V130,'Defect P2'!V130,RTS!V130)</f>
        <v>0</v>
      </c>
      <c r="W130" s="561">
        <f>SUM('Defect P1'!W130,'Defect P2'!W130,RTS!W130)</f>
        <v>0</v>
      </c>
      <c r="X130" s="561">
        <f>SUM('Defect P1'!X130,'Defect P2'!X130,RTS!X130)</f>
        <v>0</v>
      </c>
      <c r="Y130" s="561">
        <f>SUM('Defect P1'!Y130,'Defect P2'!Y130,RTS!Y130)</f>
        <v>0</v>
      </c>
      <c r="Z130" s="86">
        <f>SUM('Defect P1'!Z130,'Defect P2'!Z130,RTS!Z130)</f>
        <v>0</v>
      </c>
      <c r="AA130" s="87">
        <f>SUM('Defect P1'!AA130,'Defect P2'!AA130,RTS!AA130)</f>
        <v>0</v>
      </c>
      <c r="AB130" s="87">
        <f>SUM('Defect P1'!AB130,'Defect P2'!AB130,RTS!AB130)</f>
        <v>0</v>
      </c>
      <c r="AC130" s="87">
        <f>SUM('Defect P1'!AC130,'Defect P2'!AC130,RTS!AC130)</f>
        <v>0</v>
      </c>
      <c r="AD130" s="87">
        <f>SUM('Defect P1'!AD130,'Defect P2'!AD130,RTS!AD130)</f>
        <v>0</v>
      </c>
      <c r="AE130" s="87">
        <f>SUM('Defect P1'!AE130,'Defect P2'!AE130,RTS!AE130)</f>
        <v>0</v>
      </c>
      <c r="AF130" s="87">
        <f>SUM('Defect P1'!AF130,'Defect P2'!AF130,RTS!AF130)</f>
        <v>0</v>
      </c>
      <c r="AG130" s="87">
        <f>SUM('Defect P1'!AG130,'Defect P2'!AG130,RTS!AG130)</f>
        <v>0</v>
      </c>
      <c r="AH130" s="87">
        <f>SUM('Defect P1'!AH130,'Defect P2'!AH130,RTS!AH130)</f>
        <v>0</v>
      </c>
      <c r="AI130" s="87">
        <f>SUM('Defect P1'!AI130,'Defect P2'!AI130,RTS!AI130)</f>
        <v>0</v>
      </c>
      <c r="AJ130" s="87">
        <f>SUM('Defect P1'!AJ130,'Defect P2'!AJ130,RTS!AJ130)</f>
        <v>0</v>
      </c>
      <c r="AK130" s="88">
        <f t="shared" si="43"/>
        <v>0</v>
      </c>
      <c r="AL130" s="89" cm="1">
        <f t="array" ref="AL130">IFERROR(IF($AM$4="N",SSUM(AF130:AH130)/3,SUM(AG130:AI130)/3),"")</f>
        <v>0</v>
      </c>
      <c r="AM130" s="90">
        <f t="shared" si="44"/>
        <v>0</v>
      </c>
      <c r="AN130" s="91" t="str">
        <f t="shared" si="46"/>
        <v/>
      </c>
      <c r="AO130" s="92" t="str">
        <f t="shared" si="47"/>
        <v/>
      </c>
      <c r="AP130" s="92" t="str">
        <f t="shared" si="48"/>
        <v/>
      </c>
      <c r="AQ130" s="92" t="str">
        <f t="shared" si="49"/>
        <v/>
      </c>
      <c r="AR130" s="92" t="str">
        <f t="shared" si="50"/>
        <v/>
      </c>
      <c r="AS130" s="92" t="str">
        <f t="shared" si="51"/>
        <v/>
      </c>
      <c r="AT130" s="92" t="str">
        <f t="shared" si="52"/>
        <v/>
      </c>
      <c r="AU130" s="92" t="str">
        <f t="shared" si="53"/>
        <v/>
      </c>
      <c r="AV130" s="92" t="str">
        <f t="shared" si="54"/>
        <v/>
      </c>
      <c r="AW130" s="92" t="str">
        <f t="shared" si="38"/>
        <v/>
      </c>
      <c r="AX130" s="92" t="str">
        <f t="shared" si="39"/>
        <v/>
      </c>
      <c r="AY130" s="93" t="str">
        <f t="shared" si="55"/>
        <v/>
      </c>
      <c r="AZ130" s="94" t="str">
        <f t="shared" si="56"/>
        <v/>
      </c>
      <c r="BA130" s="95" t="str">
        <f t="shared" si="57"/>
        <v/>
      </c>
      <c r="BB130" s="96">
        <f>SUM('Defect P1'!CE130,'Defect P2'!CE130,RTS!CE130)</f>
        <v>0</v>
      </c>
      <c r="BC130" s="96">
        <f>SUM('Defect P1'!CF130,'Defect P2'!CF130,RTS!CF130)</f>
        <v>0</v>
      </c>
      <c r="BD130" s="96">
        <f>SUM('Defect P1'!CG130,'Defect P2'!CG130,RTS!CG130)</f>
        <v>0</v>
      </c>
      <c r="BE130" s="96">
        <f>SUM('Defect P1'!CH130,'Defect P2'!CH130,RTS!CH130)</f>
        <v>0</v>
      </c>
      <c r="BF130" s="96">
        <f>SUM('Defect P1'!CI130,'Defect P2'!CI130,RTS!CI130)</f>
        <v>0</v>
      </c>
      <c r="BG130" s="96">
        <f>SUM('Defect P1'!CJ130,'Defect P2'!CJ130,RTS!CJ130)</f>
        <v>0</v>
      </c>
      <c r="BH130" s="96">
        <f>SUM('Defect P1'!CK130,'Defect P2'!CK130,RTS!CK130)</f>
        <v>0</v>
      </c>
      <c r="BI130" s="286">
        <f>SUM('Defect P1'!CL130,'Defect P2'!CL130,RTS!CL130)</f>
        <v>0</v>
      </c>
      <c r="BJ130" s="99" t="str">
        <f t="shared" si="45"/>
        <v/>
      </c>
      <c r="BK130" s="640">
        <f>SUM('Defect P1'!CQ130,'Defect P2'!CQ130,RTS!CQ130)</f>
        <v>0</v>
      </c>
      <c r="BL130" s="97">
        <f>SUM('Defect P1'!CR130,'Defect P2'!CR130,RTS!CR130)</f>
        <v>0</v>
      </c>
      <c r="BM130" s="524">
        <f>SUM('Defect P1'!CS130,'Defect P2'!CS130,RTS!CS130)</f>
        <v>0</v>
      </c>
      <c r="BN130" s="416">
        <f>SUM('Defect P1'!CT130,'Defect P2'!CT130,RTS!CT130)</f>
        <v>0</v>
      </c>
      <c r="BO130" s="97">
        <f>SUM('Defect P1'!CU130,'Defect P2'!CU130,RTS!CU130)</f>
        <v>0</v>
      </c>
      <c r="BP130" s="97">
        <f>SUM('Defect P1'!CV130,'Defect P2'!CV130,RTS!CV130)</f>
        <v>0</v>
      </c>
      <c r="BQ130" s="97">
        <f>SUM('Defect P1'!CW130,'Defect P2'!CW130,RTS!CW130)</f>
        <v>0</v>
      </c>
      <c r="BR130" s="98">
        <f>SUM('Defect P1'!CX130,'Defect P2'!CX130,RTS!CX130)</f>
        <v>0</v>
      </c>
    </row>
    <row r="131" spans="1:70" x14ac:dyDescent="0.25">
      <c r="A131" s="81" t="s">
        <v>258</v>
      </c>
      <c r="B131" s="82" t="s">
        <v>404</v>
      </c>
      <c r="C131" s="83" t="s">
        <v>405</v>
      </c>
      <c r="D131" s="84">
        <f>SUM('Defect P1'!D131,'Defect P2'!D131,RTS!D131)</f>
        <v>62885.946627390149</v>
      </c>
      <c r="E131" s="85">
        <f>SUM('Defect P1'!E131,'Defect P2'!E131,RTS!E131)</f>
        <v>33743.081457605869</v>
      </c>
      <c r="F131" s="85">
        <f>SUM('Defect P1'!F131,'Defect P2'!F131,RTS!F131)</f>
        <v>0</v>
      </c>
      <c r="G131" s="85">
        <f>SUM('Defect P1'!G131,'Defect P2'!G131,RTS!G131)</f>
        <v>207647.25454338163</v>
      </c>
      <c r="H131" s="85">
        <f>SUM('Defect P1'!H131,'Defect P2'!H131,RTS!H131)</f>
        <v>458163.29079832823</v>
      </c>
      <c r="I131" s="85">
        <f>SUM('Defect P1'!I131,'Defect P2'!I131,RTS!I131)</f>
        <v>0</v>
      </c>
      <c r="J131" s="85">
        <f>SUM('Defect P1'!J131,'Defect P2'!J131,RTS!J131)</f>
        <v>2244455.141553808</v>
      </c>
      <c r="K131" s="85">
        <f>SUM('Defect P1'!K131,'Defect P2'!K131,RTS!K131)</f>
        <v>0</v>
      </c>
      <c r="L131" s="85">
        <f>SUM('Defect P1'!L131,'Defect P2'!L131,RTS!L131)</f>
        <v>0</v>
      </c>
      <c r="M131" s="85">
        <f>SUM('Defect P1'!M131,'Defect P2'!M131,RTS!M131)</f>
        <v>11845.6</v>
      </c>
      <c r="N131" s="85">
        <v>0</v>
      </c>
      <c r="O131" s="560">
        <f>SUM('Defect P1'!O131,'Defect P2'!O131,RTS!O131)</f>
        <v>84610.294279109585</v>
      </c>
      <c r="P131" s="561">
        <f>SUM('Defect P1'!P131,'Defect P2'!P131,RTS!P131)</f>
        <v>44724.12359540441</v>
      </c>
      <c r="Q131" s="561">
        <f>SUM('Defect P1'!Q131,'Defect P2'!Q131,RTS!Q131)</f>
        <v>0</v>
      </c>
      <c r="R131" s="561">
        <f>SUM('Defect P1'!R131,'Defect P2'!R131,RTS!R131)</f>
        <v>267266.25937486498</v>
      </c>
      <c r="S131" s="561">
        <f>SUM('Defect P1'!S131,'Defect P2'!S131,RTS!S131)</f>
        <v>577706.70604269346</v>
      </c>
      <c r="T131" s="561">
        <f>SUM('Defect P1'!T131,'Defect P2'!T131,RTS!T131)</f>
        <v>0</v>
      </c>
      <c r="U131" s="561">
        <f>SUM('Defect P1'!U131,'Defect P2'!U131,RTS!U131)</f>
        <v>2795441.8865634962</v>
      </c>
      <c r="V131" s="561">
        <f>SUM('Defect P1'!V131,'Defect P2'!V131,RTS!V131)</f>
        <v>0</v>
      </c>
      <c r="W131" s="561">
        <f>SUM('Defect P1'!W131,'Defect P2'!W131,RTS!W131)</f>
        <v>0</v>
      </c>
      <c r="X131" s="561">
        <f>SUM('Defect P1'!X131,'Defect P2'!X131,RTS!X131)</f>
        <v>12597.332746116523</v>
      </c>
      <c r="Y131" s="561">
        <f>SUM('Defect P1'!Y131,'Defect P2'!Y131,RTS!Y131)</f>
        <v>0</v>
      </c>
      <c r="Z131" s="86">
        <f>SUM('Defect P1'!Z131,'Defect P2'!Z131,RTS!Z131)</f>
        <v>2</v>
      </c>
      <c r="AA131" s="87">
        <f>SUM('Defect P1'!AA131,'Defect P2'!AA131,RTS!AA131)</f>
        <v>1</v>
      </c>
      <c r="AB131" s="87">
        <f>SUM('Defect P1'!AB131,'Defect P2'!AB131,RTS!AB131)</f>
        <v>0</v>
      </c>
      <c r="AC131" s="87">
        <f>SUM('Defect P1'!AC131,'Defect P2'!AC131,RTS!AC131)</f>
        <v>5</v>
      </c>
      <c r="AD131" s="87">
        <f>SUM('Defect P1'!AD131,'Defect P2'!AD131,RTS!AD131)</f>
        <v>12</v>
      </c>
      <c r="AE131" s="87">
        <f>SUM('Defect P1'!AE131,'Defect P2'!AE131,RTS!AE131)</f>
        <v>0</v>
      </c>
      <c r="AF131" s="87">
        <f>SUM('Defect P1'!AF131,'Defect P2'!AF131,RTS!AF131)</f>
        <v>0</v>
      </c>
      <c r="AG131" s="87">
        <f>SUM('Defect P1'!AG131,'Defect P2'!AG131,RTS!AG131)</f>
        <v>2</v>
      </c>
      <c r="AH131" s="87">
        <f>SUM('Defect P1'!AH131,'Defect P2'!AH131,RTS!AH131)</f>
        <v>0</v>
      </c>
      <c r="AI131" s="87">
        <f>SUM('Defect P1'!AI131,'Defect P2'!AI131,RTS!AI131)</f>
        <v>2</v>
      </c>
      <c r="AJ131" s="87">
        <f>SUM('Defect P1'!AJ131,'Defect P2'!AJ131,RTS!AJ131)</f>
        <v>0</v>
      </c>
      <c r="AK131" s="88">
        <f t="shared" si="43"/>
        <v>0.8</v>
      </c>
      <c r="AL131" s="89" cm="1">
        <f t="array" ref="AL131">IFERROR(IF($AM$4="N",SSUM(AF131:AH131)/3,SUM(AG131:AI131)/3),"")</f>
        <v>1.3333333333333333</v>
      </c>
      <c r="AM131" s="90">
        <f t="shared" si="44"/>
        <v>2</v>
      </c>
      <c r="AN131" s="91">
        <f t="shared" si="46"/>
        <v>31442.973313695074</v>
      </c>
      <c r="AO131" s="92">
        <f t="shared" si="47"/>
        <v>33743.081457605869</v>
      </c>
      <c r="AP131" s="92" t="str">
        <f t="shared" si="48"/>
        <v/>
      </c>
      <c r="AQ131" s="92">
        <f t="shared" si="49"/>
        <v>41529.450908676328</v>
      </c>
      <c r="AR131" s="92">
        <f t="shared" si="50"/>
        <v>38180.274233194017</v>
      </c>
      <c r="AS131" s="92" t="str">
        <f t="shared" si="51"/>
        <v/>
      </c>
      <c r="AT131" s="92" t="str">
        <f t="shared" si="52"/>
        <v/>
      </c>
      <c r="AU131" s="92">
        <f t="shared" si="53"/>
        <v>0</v>
      </c>
      <c r="AV131" s="92" t="str">
        <f t="shared" si="54"/>
        <v/>
      </c>
      <c r="AW131" s="92">
        <f t="shared" si="38"/>
        <v>5922.8</v>
      </c>
      <c r="AX131" s="92" t="str">
        <f t="shared" si="39"/>
        <v/>
      </c>
      <c r="AY131" s="93">
        <f t="shared" si="55"/>
        <v>564075.18538845202</v>
      </c>
      <c r="AZ131" s="94">
        <f t="shared" si="56"/>
        <v>2961.4</v>
      </c>
      <c r="BA131" s="95">
        <f t="shared" si="57"/>
        <v>5922.8</v>
      </c>
      <c r="BB131" s="96">
        <f>SUM('Defect P1'!CE131,'Defect P2'!CE131,RTS!CE131)</f>
        <v>1.3333333333333333</v>
      </c>
      <c r="BC131" s="96">
        <f>SUM('Defect P1'!CF131,'Defect P2'!CF131,RTS!CF131)</f>
        <v>1.3333333333333333</v>
      </c>
      <c r="BD131" s="96">
        <f>SUM('Defect P1'!CG131,'Defect P2'!CG131,RTS!CG131)</f>
        <v>1.3333333333333333</v>
      </c>
      <c r="BE131" s="96">
        <f>SUM('Defect P1'!CH131,'Defect P2'!CH131,RTS!CH131)</f>
        <v>1.3333333333333333</v>
      </c>
      <c r="BF131" s="96">
        <f>SUM('Defect P1'!CI131,'Defect P2'!CI131,RTS!CI131)</f>
        <v>1.3333333333333333</v>
      </c>
      <c r="BG131" s="96">
        <f>SUM('Defect P1'!CJ131,'Defect P2'!CJ131,RTS!CJ131)</f>
        <v>1.3333333333333333</v>
      </c>
      <c r="BH131" s="96">
        <f>SUM('Defect P1'!CK131,'Defect P2'!CK131,RTS!CK131)</f>
        <v>1.3333333333333333</v>
      </c>
      <c r="BI131" s="286">
        <f>SUM('Defect P1'!CL131,'Defect P2'!CL131,RTS!CL131)</f>
        <v>1.3333333333333333</v>
      </c>
      <c r="BJ131" s="99">
        <f t="shared" si="45"/>
        <v>2961.4</v>
      </c>
      <c r="BK131" s="640">
        <f>SUM('Defect P1'!CQ131,'Defect P2'!CQ131,RTS!CQ131)</f>
        <v>3948.5333333333333</v>
      </c>
      <c r="BL131" s="97">
        <f>SUM('Defect P1'!CR131,'Defect P2'!CR131,RTS!CR131)</f>
        <v>3948.5333333333333</v>
      </c>
      <c r="BM131" s="524">
        <f>SUM('Defect P1'!CS131,'Defect P2'!CS131,RTS!CS131)</f>
        <v>3948.5333333333333</v>
      </c>
      <c r="BN131" s="416">
        <f>SUM('Defect P1'!CT131,'Defect P2'!CT131,RTS!CT131)</f>
        <v>3948.5333333333333</v>
      </c>
      <c r="BO131" s="97">
        <f>SUM('Defect P1'!CU131,'Defect P2'!CU131,RTS!CU131)</f>
        <v>3948.5333333333333</v>
      </c>
      <c r="BP131" s="97">
        <f>SUM('Defect P1'!CV131,'Defect P2'!CV131,RTS!CV131)</f>
        <v>3948.5333333333333</v>
      </c>
      <c r="BQ131" s="97">
        <f>SUM('Defect P1'!CW131,'Defect P2'!CW131,RTS!CW131)</f>
        <v>3948.5333333333333</v>
      </c>
      <c r="BR131" s="98">
        <f>SUM('Defect P1'!CX131,'Defect P2'!CX131,RTS!CX131)</f>
        <v>3948.5333333333333</v>
      </c>
    </row>
    <row r="132" spans="1:70" ht="15.75" thickBot="1" x14ac:dyDescent="0.3">
      <c r="A132" s="100" t="s">
        <v>258</v>
      </c>
      <c r="B132" s="101" t="s">
        <v>265</v>
      </c>
      <c r="C132" s="159" t="s">
        <v>406</v>
      </c>
      <c r="D132" s="103">
        <f>SUM('Defect P1'!D132,'Defect P2'!D132,RTS!D132)</f>
        <v>0</v>
      </c>
      <c r="E132" s="104">
        <f>SUM('Defect P1'!E132,'Defect P2'!E132,RTS!E132)</f>
        <v>0</v>
      </c>
      <c r="F132" s="104">
        <f>SUM('Defect P1'!F132,'Defect P2'!F132,RTS!F132)</f>
        <v>0</v>
      </c>
      <c r="G132" s="104">
        <f>SUM('Defect P1'!G132,'Defect P2'!G132,RTS!G132)</f>
        <v>0</v>
      </c>
      <c r="H132" s="104">
        <f>SUM('Defect P1'!H132,'Defect P2'!H132,RTS!H132)</f>
        <v>0</v>
      </c>
      <c r="I132" s="104">
        <f>SUM('Defect P1'!I132,'Defect P2'!I132,RTS!I132)</f>
        <v>1579.07</v>
      </c>
      <c r="J132" s="104">
        <f>SUM('Defect P1'!J132,'Defect P2'!J132,RTS!J132)</f>
        <v>64920.800000000003</v>
      </c>
      <c r="K132" s="104">
        <f>SUM('Defect P1'!K132,'Defect P2'!K132,RTS!K132)</f>
        <v>39847.81</v>
      </c>
      <c r="L132" s="104">
        <f>SUM('Defect P1'!L132,'Defect P2'!L132,RTS!L132)</f>
        <v>211128.49000000014</v>
      </c>
      <c r="M132" s="104">
        <f>SUM('Defect P1'!M132,'Defect P2'!M132,RTS!M132)</f>
        <v>235856.13</v>
      </c>
      <c r="N132" s="104">
        <v>104299.29999999999</v>
      </c>
      <c r="O132" s="563">
        <f>SUM('Defect P1'!O132,'Defect P2'!O132,RTS!O132)</f>
        <v>0</v>
      </c>
      <c r="P132" s="564">
        <f>SUM('Defect P1'!P132,'Defect P2'!P132,RTS!P132)</f>
        <v>0</v>
      </c>
      <c r="Q132" s="564">
        <f>SUM('Defect P1'!Q132,'Defect P2'!Q132,RTS!Q132)</f>
        <v>0</v>
      </c>
      <c r="R132" s="564">
        <f>SUM('Defect P1'!R132,'Defect P2'!R132,RTS!R132)</f>
        <v>0</v>
      </c>
      <c r="S132" s="564">
        <f>SUM('Defect P1'!S132,'Defect P2'!S132,RTS!S132)</f>
        <v>0</v>
      </c>
      <c r="T132" s="564">
        <f>SUM('Defect P1'!T132,'Defect P2'!T132,RTS!T132)</f>
        <v>1959.8600373325189</v>
      </c>
      <c r="U132" s="564">
        <f>SUM('Defect P1'!U132,'Defect P2'!U132,RTS!U132)</f>
        <v>80858.075650188097</v>
      </c>
      <c r="V132" s="564">
        <f>SUM('Defect P1'!V132,'Defect P2'!V132,RTS!V132)</f>
        <v>47791.821169641902</v>
      </c>
      <c r="W132" s="564">
        <f>SUM('Defect P1'!W132,'Defect P2'!W132,RTS!W132)</f>
        <v>238559.83071856489</v>
      </c>
      <c r="X132" s="564">
        <f>SUM('Defect P1'!X132,'Defect P2'!X132,RTS!X132)</f>
        <v>250823.77843429756</v>
      </c>
      <c r="Y132" s="564">
        <f>SUM('Defect P1'!Y132,'Defect P2'!Y132,RTS!Y132)</f>
        <v>107167.37214372681</v>
      </c>
      <c r="Z132" s="105">
        <f>SUM('Defect P1'!Z132,'Defect P2'!Z132,RTS!Z132)</f>
        <v>0</v>
      </c>
      <c r="AA132" s="106">
        <f>SUM('Defect P1'!AA132,'Defect P2'!AA132,RTS!AA132)</f>
        <v>0</v>
      </c>
      <c r="AB132" s="106">
        <f>SUM('Defect P1'!AB132,'Defect P2'!AB132,RTS!AB132)</f>
        <v>0</v>
      </c>
      <c r="AC132" s="106">
        <f>SUM('Defect P1'!AC132,'Defect P2'!AC132,RTS!AC132)</f>
        <v>0</v>
      </c>
      <c r="AD132" s="106">
        <f>SUM('Defect P1'!AD132,'Defect P2'!AD132,RTS!AD132)</f>
        <v>0</v>
      </c>
      <c r="AE132" s="106">
        <f>SUM('Defect P1'!AE132,'Defect P2'!AE132,RTS!AE132)</f>
        <v>1072</v>
      </c>
      <c r="AF132" s="106">
        <f>SUM('Defect P1'!AF132,'Defect P2'!AF132,RTS!AF132)</f>
        <v>1047</v>
      </c>
      <c r="AG132" s="106">
        <f>SUM('Defect P1'!AG132,'Defect P2'!AG132,RTS!AG132)</f>
        <v>1240</v>
      </c>
      <c r="AH132" s="106">
        <f>SUM('Defect P1'!AH132,'Defect P2'!AH132,RTS!AH132)</f>
        <v>1048</v>
      </c>
      <c r="AI132" s="106">
        <f>SUM('Defect P1'!AI132,'Defect P2'!AI132,RTS!AI132)</f>
        <v>1448</v>
      </c>
      <c r="AJ132" s="106">
        <f>SUM('Defect P1'!AJ132,'Defect P2'!AJ132,RTS!AJ132)</f>
        <v>1040</v>
      </c>
      <c r="AK132" s="107">
        <f t="shared" si="43"/>
        <v>1171</v>
      </c>
      <c r="AL132" s="108" cm="1">
        <f t="array" ref="AL132">IFERROR(IF($AM$4="N",SSUM(AF132:AH132)/3,SUM(AG132:AI132)/3),"")</f>
        <v>1245.3333333333333</v>
      </c>
      <c r="AM132" s="109">
        <f t="shared" si="44"/>
        <v>1448</v>
      </c>
      <c r="AN132" s="110" t="str">
        <f t="shared" si="46"/>
        <v/>
      </c>
      <c r="AO132" s="111" t="str">
        <f t="shared" si="47"/>
        <v/>
      </c>
      <c r="AP132" s="111" t="str">
        <f t="shared" si="48"/>
        <v/>
      </c>
      <c r="AQ132" s="111" t="str">
        <f t="shared" si="49"/>
        <v/>
      </c>
      <c r="AR132" s="111" t="str">
        <f t="shared" si="50"/>
        <v/>
      </c>
      <c r="AS132" s="111">
        <f t="shared" si="51"/>
        <v>1.4730130597014925</v>
      </c>
      <c r="AT132" s="111">
        <f t="shared" si="52"/>
        <v>62.006494746895896</v>
      </c>
      <c r="AU132" s="111">
        <f t="shared" si="53"/>
        <v>32.135330645161289</v>
      </c>
      <c r="AV132" s="111">
        <f t="shared" si="54"/>
        <v>201.45848282442762</v>
      </c>
      <c r="AW132" s="111">
        <f t="shared" si="38"/>
        <v>162.884067679558</v>
      </c>
      <c r="AX132" s="111">
        <f t="shared" si="39"/>
        <v>100.28778846153845</v>
      </c>
      <c r="AY132" s="112">
        <f t="shared" si="55"/>
        <v>94.505943637916346</v>
      </c>
      <c r="AZ132" s="113">
        <f t="shared" si="56"/>
        <v>130.30846627408999</v>
      </c>
      <c r="BA132" s="114">
        <f t="shared" si="57"/>
        <v>162.884067679558</v>
      </c>
      <c r="BB132" s="115">
        <f>SUM('Defect P1'!CE132,'Defect P2'!CE132,RTS!CE132)</f>
        <v>1396.6666666666665</v>
      </c>
      <c r="BC132" s="115">
        <f>SUM('Defect P1'!CF132,'Defect P2'!CF132,RTS!CF132)</f>
        <v>1396.6666666666665</v>
      </c>
      <c r="BD132" s="115">
        <f>SUM('Defect P1'!CG132,'Defect P2'!CG132,RTS!CG132)</f>
        <v>1396.6666666666665</v>
      </c>
      <c r="BE132" s="115">
        <f>SUM('Defect P1'!CH132,'Defect P2'!CH132,RTS!CH132)</f>
        <v>1396.6666666666665</v>
      </c>
      <c r="BF132" s="115">
        <f>SUM('Defect P1'!CI132,'Defect P2'!CI132,RTS!CI132)</f>
        <v>1396.6666666666665</v>
      </c>
      <c r="BG132" s="115">
        <f>SUM('Defect P1'!CJ132,'Defect P2'!CJ132,RTS!CJ132)</f>
        <v>1396.6666666666665</v>
      </c>
      <c r="BH132" s="115">
        <f>SUM('Defect P1'!CK132,'Defect P2'!CK132,RTS!CK132)</f>
        <v>1396.6666666666665</v>
      </c>
      <c r="BI132" s="287">
        <f>SUM('Defect P1'!CL132,'Defect P2'!CL132,RTS!CL132)</f>
        <v>1396.6666666666665</v>
      </c>
      <c r="BJ132" s="116">
        <f t="shared" si="45"/>
        <v>116.189124105012</v>
      </c>
      <c r="BK132" s="641">
        <f>SUM('Defect P1'!CQ132,'Defect P2'!CQ132,RTS!CQ132)</f>
        <v>162277.47666666671</v>
      </c>
      <c r="BL132" s="117">
        <f>SUM('Defect P1'!CR132,'Defect P2'!CR132,RTS!CR132)</f>
        <v>162277.47666666671</v>
      </c>
      <c r="BM132" s="638">
        <f>SUM('Defect P1'!CS132,'Defect P2'!CS132,RTS!CS132)</f>
        <v>162277.47666666671</v>
      </c>
      <c r="BN132" s="467">
        <f>SUM('Defect P1'!CT132,'Defect P2'!CT132,RTS!CT132)</f>
        <v>162277.47666666671</v>
      </c>
      <c r="BO132" s="117">
        <f>SUM('Defect P1'!CU132,'Defect P2'!CU132,RTS!CU132)</f>
        <v>162277.47666666671</v>
      </c>
      <c r="BP132" s="117">
        <f>SUM('Defect P1'!CV132,'Defect P2'!CV132,RTS!CV132)</f>
        <v>162277.47666666671</v>
      </c>
      <c r="BQ132" s="117">
        <f>SUM('Defect P1'!CW132,'Defect P2'!CW132,RTS!CW132)</f>
        <v>162277.47666666671</v>
      </c>
      <c r="BR132" s="118">
        <f>SUM('Defect P1'!CX132,'Defect P2'!CX132,RTS!CX132)</f>
        <v>162277.47666666671</v>
      </c>
    </row>
    <row r="133" spans="1:70" ht="15.75" thickBot="1" x14ac:dyDescent="0.3">
      <c r="A133" s="19"/>
      <c r="B133" s="19"/>
      <c r="C133" s="160" t="s">
        <v>407</v>
      </c>
      <c r="D133" s="161">
        <f>SUM(D7:D132)</f>
        <v>82371011.860000074</v>
      </c>
      <c r="E133" s="162">
        <f t="shared" ref="E133:L133" si="58">SUM(E7:E132)</f>
        <v>101599168.5200001</v>
      </c>
      <c r="F133" s="162">
        <f t="shared" si="58"/>
        <v>122370855.04000004</v>
      </c>
      <c r="G133" s="162">
        <f t="shared" si="58"/>
        <v>93262433.540000021</v>
      </c>
      <c r="H133" s="162">
        <f t="shared" si="58"/>
        <v>120989145.94999993</v>
      </c>
      <c r="I133" s="162">
        <f t="shared" si="58"/>
        <v>163980726.88035941</v>
      </c>
      <c r="J133" s="162">
        <f t="shared" si="58"/>
        <v>221131258.41347679</v>
      </c>
      <c r="K133" s="162">
        <f t="shared" si="58"/>
        <v>244694971.56082085</v>
      </c>
      <c r="L133" s="162">
        <f t="shared" si="58"/>
        <v>221057733.76970205</v>
      </c>
      <c r="M133" s="162">
        <f t="shared" ref="M133:N133" si="59">SUM(M7:M132)</f>
        <v>271047524.81713068</v>
      </c>
      <c r="N133" s="162">
        <f t="shared" si="59"/>
        <v>308524128.55169404</v>
      </c>
      <c r="O133" s="569">
        <f>SUM(O7:O132)</f>
        <v>110826598.42647706</v>
      </c>
      <c r="P133" s="570">
        <f t="shared" ref="P133:W133" si="60">SUM(P7:P132)</f>
        <v>134662679.68998957</v>
      </c>
      <c r="Q133" s="570">
        <f t="shared" si="60"/>
        <v>160551265.16767636</v>
      </c>
      <c r="R133" s="570">
        <f t="shared" si="60"/>
        <v>120039640.33738397</v>
      </c>
      <c r="S133" s="570">
        <f t="shared" si="60"/>
        <v>152557488.51441637</v>
      </c>
      <c r="T133" s="570">
        <f t="shared" si="60"/>
        <v>203524399.49182406</v>
      </c>
      <c r="U133" s="570">
        <f t="shared" si="60"/>
        <v>275416322.9876743</v>
      </c>
      <c r="V133" s="570">
        <f t="shared" si="60"/>
        <v>293477064.91135556</v>
      </c>
      <c r="W133" s="570">
        <f t="shared" si="60"/>
        <v>249779153.66670623</v>
      </c>
      <c r="X133" s="570">
        <f t="shared" ref="X133:Y133" si="61">SUM(X7:X132)</f>
        <v>288248451.75699568</v>
      </c>
      <c r="Y133" s="570">
        <f t="shared" si="61"/>
        <v>318500076.64549804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82"/>
      <c r="AJ133" s="282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282"/>
      <c r="BJ133" s="19"/>
      <c r="BK133" s="642">
        <f t="shared" ref="BK133:BO133" si="62">SUM(BK7:BK132)</f>
        <v>245177153.22960007</v>
      </c>
      <c r="BL133" s="205">
        <f t="shared" si="62"/>
        <v>247850326.54922539</v>
      </c>
      <c r="BM133" s="765">
        <f t="shared" si="62"/>
        <v>248150326.54922539</v>
      </c>
      <c r="BN133" s="206">
        <f t="shared" si="62"/>
        <v>211798970.19944665</v>
      </c>
      <c r="BO133" s="163">
        <f t="shared" si="62"/>
        <v>212098970.19944665</v>
      </c>
      <c r="BP133" s="163">
        <f t="shared" ref="BP133:BR133" si="63">SUM(BP7:BP132)</f>
        <v>212098970.19944665</v>
      </c>
      <c r="BQ133" s="163">
        <f t="shared" si="63"/>
        <v>212398970.19944665</v>
      </c>
      <c r="BR133" s="164">
        <f t="shared" si="63"/>
        <v>212398970.19944665</v>
      </c>
    </row>
    <row r="134" spans="1:70" ht="15.75" thickBo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07"/>
      <c r="N134" s="207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282"/>
      <c r="AJ134" s="282"/>
      <c r="AK134" s="26" t="s">
        <v>788</v>
      </c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282"/>
      <c r="BJ134" s="19"/>
      <c r="BK134" s="207"/>
      <c r="BL134" s="19"/>
      <c r="BM134" s="19"/>
      <c r="BN134" s="19"/>
      <c r="BO134" s="19"/>
      <c r="BP134" s="19"/>
      <c r="BQ134" s="19"/>
      <c r="BR134" s="19"/>
    </row>
    <row r="135" spans="1:70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07"/>
      <c r="N135" s="207"/>
      <c r="O135" s="19"/>
      <c r="P135" s="19"/>
      <c r="Q135" s="19"/>
      <c r="R135" s="19"/>
      <c r="S135" s="19"/>
      <c r="T135" s="19"/>
      <c r="U135" s="19"/>
      <c r="V135" s="19"/>
      <c r="W135" s="19"/>
      <c r="X135" s="282"/>
      <c r="Y135" s="282"/>
      <c r="Z135" s="165">
        <v>0</v>
      </c>
      <c r="AA135" s="165">
        <v>3.7499999999999999E-2</v>
      </c>
      <c r="AB135" s="165">
        <v>0</v>
      </c>
      <c r="AC135" s="165">
        <v>0</v>
      </c>
      <c r="AD135" s="165">
        <v>0</v>
      </c>
      <c r="AE135" s="165">
        <v>0</v>
      </c>
      <c r="AF135" s="165">
        <v>0</v>
      </c>
      <c r="AG135" s="165"/>
      <c r="AH135" s="165"/>
      <c r="AI135" s="294"/>
      <c r="AJ135" s="294"/>
      <c r="AK135" s="850" t="s">
        <v>5</v>
      </c>
      <c r="AL135" s="851" t="s">
        <v>6</v>
      </c>
      <c r="AM135" s="851" t="s">
        <v>7</v>
      </c>
      <c r="AN135" s="851" t="s">
        <v>8</v>
      </c>
      <c r="AO135" s="851" t="s">
        <v>9</v>
      </c>
      <c r="AP135" s="851" t="s">
        <v>10</v>
      </c>
      <c r="AQ135" s="851" t="s">
        <v>11</v>
      </c>
      <c r="AR135" s="851" t="s">
        <v>12</v>
      </c>
      <c r="AS135" s="851" t="s">
        <v>13</v>
      </c>
      <c r="AT135" s="852" t="s">
        <v>14</v>
      </c>
      <c r="AU135" s="852" t="s">
        <v>15</v>
      </c>
      <c r="AV135" s="19"/>
      <c r="AW135" s="19"/>
      <c r="AX135" s="19"/>
      <c r="AY135" s="19"/>
      <c r="AZ135" s="19"/>
      <c r="BA135" s="19"/>
      <c r="BB135" s="165"/>
      <c r="BC135" s="165"/>
      <c r="BD135" s="165"/>
      <c r="BE135" s="165"/>
      <c r="BF135" s="165"/>
      <c r="BG135" s="165"/>
      <c r="BH135" s="165"/>
      <c r="BI135" s="294"/>
      <c r="BJ135" s="19"/>
      <c r="BK135" s="207"/>
      <c r="BL135" s="19"/>
      <c r="BM135" s="19"/>
      <c r="BN135" s="19"/>
      <c r="BO135" s="19"/>
      <c r="BP135" s="19"/>
      <c r="BQ135" s="19"/>
      <c r="BR135" s="19"/>
    </row>
    <row r="136" spans="1:70" x14ac:dyDescent="0.25">
      <c r="A136" s="63" t="s">
        <v>296</v>
      </c>
      <c r="B136" s="166"/>
      <c r="C136" s="64" t="s">
        <v>409</v>
      </c>
      <c r="D136" s="167">
        <f>SUMIF($A$7:$A$132,$A136,D$7:D$132)</f>
        <v>7886723.1264655096</v>
      </c>
      <c r="E136" s="168">
        <f t="shared" ref="E136:AF146" si="64">SUMIF($A$7:$A$132,$A136,E$7:E$132)</f>
        <v>4317944.511506076</v>
      </c>
      <c r="F136" s="168">
        <f t="shared" si="64"/>
        <v>6005681.1190525647</v>
      </c>
      <c r="G136" s="168">
        <f t="shared" si="64"/>
        <v>4170415.2232045089</v>
      </c>
      <c r="H136" s="168">
        <f t="shared" si="64"/>
        <v>6420967.1500479393</v>
      </c>
      <c r="I136" s="168">
        <f t="shared" si="64"/>
        <v>3689144.5943493401</v>
      </c>
      <c r="J136" s="168">
        <f t="shared" si="64"/>
        <v>7934044.6888067247</v>
      </c>
      <c r="K136" s="168">
        <f t="shared" si="64"/>
        <v>5804194.2899999982</v>
      </c>
      <c r="L136" s="168">
        <f t="shared" si="64"/>
        <v>6724282.7699999986</v>
      </c>
      <c r="M136" s="168">
        <f t="shared" ref="M136:N146" si="65">SUMIF($A$7:$A$132,$A136,M$7:M$132)</f>
        <v>7067323.7300000042</v>
      </c>
      <c r="N136" s="168">
        <f t="shared" si="65"/>
        <v>6456776.9100000234</v>
      </c>
      <c r="O136" s="578">
        <f>SUMIF($A$7:$A$132,$A136,O$7:O$132)</f>
        <v>10611241.468335669</v>
      </c>
      <c r="P136" s="575">
        <f t="shared" si="64"/>
        <v>5723137.1786042498</v>
      </c>
      <c r="Q136" s="575">
        <f t="shared" si="64"/>
        <v>7879488.1472580712</v>
      </c>
      <c r="R136" s="575">
        <f t="shared" si="64"/>
        <v>5367811.2874494921</v>
      </c>
      <c r="S136" s="575">
        <f t="shared" si="64"/>
        <v>8096318.1825392805</v>
      </c>
      <c r="T136" s="575">
        <f t="shared" si="64"/>
        <v>4578775.5212920001</v>
      </c>
      <c r="U136" s="575">
        <f t="shared" si="64"/>
        <v>9881757.2435876802</v>
      </c>
      <c r="V136" s="575">
        <f t="shared" si="64"/>
        <v>6961311.438233031</v>
      </c>
      <c r="W136" s="575">
        <f t="shared" si="64"/>
        <v>7597950.2307573995</v>
      </c>
      <c r="X136" s="575">
        <f t="shared" ref="X136:Y143" si="66">SUMIF($A$7:$A$132,$A136,X$7:X$132)</f>
        <v>7515822.6388984444</v>
      </c>
      <c r="Y136" s="575">
        <f t="shared" si="66"/>
        <v>6634328.4563079048</v>
      </c>
      <c r="Z136" s="169">
        <f t="shared" si="64"/>
        <v>2422</v>
      </c>
      <c r="AA136" s="170">
        <f t="shared" si="64"/>
        <v>1171</v>
      </c>
      <c r="AB136" s="170">
        <f t="shared" si="64"/>
        <v>1487</v>
      </c>
      <c r="AC136" s="170">
        <f t="shared" si="64"/>
        <v>1285</v>
      </c>
      <c r="AD136" s="170">
        <f t="shared" si="64"/>
        <v>1563</v>
      </c>
      <c r="AE136" s="170">
        <f t="shared" si="64"/>
        <v>1101</v>
      </c>
      <c r="AF136" s="170">
        <f t="shared" si="64"/>
        <v>5017</v>
      </c>
      <c r="AG136" s="170">
        <f t="shared" ref="AG136:AJ146" si="67">SUMIF($A$7:$A$132,$A136,AG$7:AG$132)</f>
        <v>4542</v>
      </c>
      <c r="AH136" s="170">
        <f t="shared" si="67"/>
        <v>5172</v>
      </c>
      <c r="AI136" s="170">
        <f t="shared" si="67"/>
        <v>4260</v>
      </c>
      <c r="AJ136" s="170">
        <f t="shared" si="67"/>
        <v>4039</v>
      </c>
      <c r="AK136" s="169">
        <f t="shared" ref="AK136:AK146" si="68">Z136</f>
        <v>2422</v>
      </c>
      <c r="AL136" s="170">
        <f t="shared" ref="AL136:AL146" si="69">AA136</f>
        <v>1171</v>
      </c>
      <c r="AM136" s="170">
        <f t="shared" ref="AM136:AM146" si="70">AB136</f>
        <v>1487</v>
      </c>
      <c r="AN136" s="170">
        <f t="shared" ref="AN136:AN146" si="71">AC136</f>
        <v>1285</v>
      </c>
      <c r="AO136" s="170">
        <f t="shared" ref="AO136:AO146" si="72">AD136</f>
        <v>1563</v>
      </c>
      <c r="AP136" s="170">
        <f t="shared" ref="AP136:AP146" si="73">AE136</f>
        <v>1101</v>
      </c>
      <c r="AQ136" s="170">
        <f t="shared" ref="AQ136:AQ146" si="74">AF136</f>
        <v>5017</v>
      </c>
      <c r="AR136" s="170">
        <f t="shared" ref="AR136:AR146" si="75">AG136</f>
        <v>4542</v>
      </c>
      <c r="AS136" s="170">
        <f t="shared" ref="AS136:AS146" si="76">AH136</f>
        <v>5172</v>
      </c>
      <c r="AT136" s="613">
        <f t="shared" ref="AT136:AU146" si="77">AI136</f>
        <v>4260</v>
      </c>
      <c r="AU136" s="613">
        <f t="shared" si="77"/>
        <v>4039</v>
      </c>
      <c r="AV136" s="19"/>
      <c r="AW136" s="19"/>
      <c r="AX136" s="19"/>
      <c r="AY136" s="19"/>
      <c r="AZ136" s="19"/>
      <c r="BA136" s="19"/>
      <c r="BB136" s="420">
        <f t="shared" ref="BB136:BI146" si="78">SUMIF($A$7:$A$132,$A136,BB$7:BB$132)</f>
        <v>4658</v>
      </c>
      <c r="BC136" s="144">
        <f t="shared" si="78"/>
        <v>4658</v>
      </c>
      <c r="BD136" s="144">
        <f t="shared" si="78"/>
        <v>4658</v>
      </c>
      <c r="BE136" s="144">
        <f t="shared" si="78"/>
        <v>4658</v>
      </c>
      <c r="BF136" s="144">
        <f t="shared" si="78"/>
        <v>4658</v>
      </c>
      <c r="BG136" s="144">
        <f t="shared" si="78"/>
        <v>4658</v>
      </c>
      <c r="BH136" s="144">
        <f t="shared" si="78"/>
        <v>4658</v>
      </c>
      <c r="BI136" s="293">
        <f t="shared" si="78"/>
        <v>4658</v>
      </c>
      <c r="BJ136" s="124">
        <f>BR136/BI136</f>
        <v>1800</v>
      </c>
      <c r="BK136" s="643">
        <f t="shared" ref="BK136:BR146" si="79">SUMIF($A$7:$A$132,$A136,BK$7:BK$132)</f>
        <v>8384400</v>
      </c>
      <c r="BL136" s="79">
        <f t="shared" si="79"/>
        <v>8384400</v>
      </c>
      <c r="BM136" s="523">
        <f t="shared" si="79"/>
        <v>8384400</v>
      </c>
      <c r="BN136" s="415">
        <f t="shared" si="79"/>
        <v>8384400</v>
      </c>
      <c r="BO136" s="79">
        <f t="shared" si="79"/>
        <v>8384400</v>
      </c>
      <c r="BP136" s="79">
        <f t="shared" si="79"/>
        <v>8384400</v>
      </c>
      <c r="BQ136" s="79">
        <f t="shared" si="79"/>
        <v>8384400</v>
      </c>
      <c r="BR136" s="80">
        <f t="shared" si="79"/>
        <v>8384400</v>
      </c>
    </row>
    <row r="137" spans="1:70" x14ac:dyDescent="0.25">
      <c r="A137" s="81" t="s">
        <v>27</v>
      </c>
      <c r="B137" s="171"/>
      <c r="C137" s="82" t="s">
        <v>410</v>
      </c>
      <c r="D137" s="172">
        <f t="shared" ref="D137:D146" si="80">SUMIF($A$7:$A$132,$A137,D$7:D$132)</f>
        <v>19917661.54969858</v>
      </c>
      <c r="E137" s="173">
        <f t="shared" si="64"/>
        <v>24596114.694126528</v>
      </c>
      <c r="F137" s="173">
        <f t="shared" si="64"/>
        <v>27296188.304524068</v>
      </c>
      <c r="G137" s="173">
        <f t="shared" si="64"/>
        <v>24678510.738034286</v>
      </c>
      <c r="H137" s="173">
        <f t="shared" si="64"/>
        <v>28668757.97393427</v>
      </c>
      <c r="I137" s="173">
        <f t="shared" si="64"/>
        <v>44148899.511764683</v>
      </c>
      <c r="J137" s="173">
        <f t="shared" si="64"/>
        <v>56600003.967520162</v>
      </c>
      <c r="K137" s="173">
        <f t="shared" si="64"/>
        <v>91497696.335921302</v>
      </c>
      <c r="L137" s="173">
        <f t="shared" si="64"/>
        <v>58684241.501803987</v>
      </c>
      <c r="M137" s="173">
        <f t="shared" si="65"/>
        <v>72440153.916477308</v>
      </c>
      <c r="N137" s="173">
        <f t="shared" si="65"/>
        <v>91587892.971321747</v>
      </c>
      <c r="O137" s="580">
        <f t="shared" si="64"/>
        <v>26798343.595859811</v>
      </c>
      <c r="P137" s="576">
        <f t="shared" si="64"/>
        <v>32600450.997011796</v>
      </c>
      <c r="Q137" s="576">
        <f t="shared" si="64"/>
        <v>35812755.946781285</v>
      </c>
      <c r="R137" s="576">
        <f t="shared" si="64"/>
        <v>31764124.531291999</v>
      </c>
      <c r="S137" s="576">
        <f t="shared" si="64"/>
        <v>36148975.852251329</v>
      </c>
      <c r="T137" s="576">
        <f t="shared" si="64"/>
        <v>54795331.331300542</v>
      </c>
      <c r="U137" s="576">
        <f t="shared" si="64"/>
        <v>70494624.25920032</v>
      </c>
      <c r="V137" s="576">
        <f t="shared" si="64"/>
        <v>109738566.32825117</v>
      </c>
      <c r="W137" s="576">
        <f t="shared" si="64"/>
        <v>66308922.67792815</v>
      </c>
      <c r="X137" s="576">
        <f t="shared" si="66"/>
        <v>77037273.170270845</v>
      </c>
      <c r="Y137" s="576">
        <f t="shared" si="66"/>
        <v>91973579.258326679</v>
      </c>
      <c r="Z137" s="174">
        <f t="shared" si="64"/>
        <v>2762</v>
      </c>
      <c r="AA137" s="175">
        <f t="shared" si="64"/>
        <v>3289</v>
      </c>
      <c r="AB137" s="175">
        <f t="shared" si="64"/>
        <v>3425</v>
      </c>
      <c r="AC137" s="175">
        <f t="shared" si="64"/>
        <v>3338</v>
      </c>
      <c r="AD137" s="175">
        <f t="shared" si="64"/>
        <v>3833</v>
      </c>
      <c r="AE137" s="175">
        <f t="shared" si="64"/>
        <v>5376</v>
      </c>
      <c r="AF137" s="175">
        <f t="shared" si="64"/>
        <v>10338</v>
      </c>
      <c r="AG137" s="175">
        <f t="shared" si="67"/>
        <v>14718</v>
      </c>
      <c r="AH137" s="175">
        <f t="shared" si="67"/>
        <v>10917</v>
      </c>
      <c r="AI137" s="175">
        <f t="shared" si="67"/>
        <v>10609</v>
      </c>
      <c r="AJ137" s="175">
        <f t="shared" si="67"/>
        <v>11137</v>
      </c>
      <c r="AK137" s="174">
        <f t="shared" si="68"/>
        <v>2762</v>
      </c>
      <c r="AL137" s="175">
        <f t="shared" si="69"/>
        <v>3289</v>
      </c>
      <c r="AM137" s="175">
        <f t="shared" si="70"/>
        <v>3425</v>
      </c>
      <c r="AN137" s="175">
        <f t="shared" si="71"/>
        <v>3338</v>
      </c>
      <c r="AO137" s="175">
        <f t="shared" si="72"/>
        <v>3833</v>
      </c>
      <c r="AP137" s="175">
        <f t="shared" si="73"/>
        <v>5376</v>
      </c>
      <c r="AQ137" s="175">
        <f t="shared" si="74"/>
        <v>10338</v>
      </c>
      <c r="AR137" s="175">
        <f t="shared" si="75"/>
        <v>14718</v>
      </c>
      <c r="AS137" s="175">
        <f t="shared" si="76"/>
        <v>10917</v>
      </c>
      <c r="AT137" s="614">
        <f t="shared" si="77"/>
        <v>10609</v>
      </c>
      <c r="AU137" s="614">
        <f t="shared" si="77"/>
        <v>11137</v>
      </c>
      <c r="AV137" s="19"/>
      <c r="AW137" s="19"/>
      <c r="AX137" s="19"/>
      <c r="AY137" s="19"/>
      <c r="AZ137" s="19"/>
      <c r="BA137" s="19"/>
      <c r="BB137" s="421">
        <f t="shared" si="78"/>
        <v>12303.066666666664</v>
      </c>
      <c r="BC137" s="96">
        <f t="shared" si="78"/>
        <v>12303.066666666664</v>
      </c>
      <c r="BD137" s="96">
        <f t="shared" si="78"/>
        <v>12303.066666666664</v>
      </c>
      <c r="BE137" s="96">
        <f t="shared" si="78"/>
        <v>12303.066666666664</v>
      </c>
      <c r="BF137" s="96">
        <f t="shared" si="78"/>
        <v>12303.066666666664</v>
      </c>
      <c r="BG137" s="96">
        <f t="shared" si="78"/>
        <v>12303.066666666664</v>
      </c>
      <c r="BH137" s="96">
        <f t="shared" si="78"/>
        <v>12303.066666666664</v>
      </c>
      <c r="BI137" s="286">
        <f t="shared" si="78"/>
        <v>12303.066666666664</v>
      </c>
      <c r="BJ137" s="99">
        <f t="shared" ref="BJ137:BJ146" si="81">BR137/BI137</f>
        <v>6048.5471065181036</v>
      </c>
      <c r="BK137" s="644">
        <f t="shared" si="79"/>
        <v>74415678.287965983</v>
      </c>
      <c r="BL137" s="97">
        <f t="shared" si="79"/>
        <v>74415678.287965983</v>
      </c>
      <c r="BM137" s="524">
        <f t="shared" si="79"/>
        <v>74415678.287965983</v>
      </c>
      <c r="BN137" s="416">
        <f t="shared" si="79"/>
        <v>74415678.287965983</v>
      </c>
      <c r="BO137" s="97">
        <f t="shared" si="79"/>
        <v>74415678.287965983</v>
      </c>
      <c r="BP137" s="97">
        <f t="shared" si="79"/>
        <v>74415678.287965983</v>
      </c>
      <c r="BQ137" s="97">
        <f t="shared" si="79"/>
        <v>74415678.287965983</v>
      </c>
      <c r="BR137" s="98">
        <f t="shared" si="79"/>
        <v>74415678.287965983</v>
      </c>
    </row>
    <row r="138" spans="1:70" x14ac:dyDescent="0.25">
      <c r="A138" s="81" t="s">
        <v>68</v>
      </c>
      <c r="B138" s="171"/>
      <c r="C138" s="82" t="s">
        <v>411</v>
      </c>
      <c r="D138" s="172">
        <f t="shared" si="80"/>
        <v>9395317.9176333658</v>
      </c>
      <c r="E138" s="173">
        <f t="shared" si="64"/>
        <v>13075328.765020648</v>
      </c>
      <c r="F138" s="173">
        <f t="shared" si="64"/>
        <v>20645412.746740572</v>
      </c>
      <c r="G138" s="173">
        <f t="shared" si="64"/>
        <v>13949526.915007602</v>
      </c>
      <c r="H138" s="173">
        <f t="shared" si="64"/>
        <v>23432806.085106097</v>
      </c>
      <c r="I138" s="173">
        <f t="shared" si="64"/>
        <v>25474664.007984415</v>
      </c>
      <c r="J138" s="173">
        <f t="shared" si="64"/>
        <v>41488453.688593432</v>
      </c>
      <c r="K138" s="173">
        <f t="shared" si="64"/>
        <v>40990280.91498629</v>
      </c>
      <c r="L138" s="173">
        <f t="shared" si="64"/>
        <v>44631805.537326247</v>
      </c>
      <c r="M138" s="173">
        <f t="shared" si="65"/>
        <v>52040644.046630822</v>
      </c>
      <c r="N138" s="173">
        <f t="shared" si="65"/>
        <v>61082179.729970142</v>
      </c>
      <c r="O138" s="580">
        <f t="shared" si="64"/>
        <v>12640989.863234591</v>
      </c>
      <c r="P138" s="576">
        <f t="shared" si="64"/>
        <v>17330445.071296737</v>
      </c>
      <c r="Q138" s="576">
        <f t="shared" si="64"/>
        <v>27086900.188076604</v>
      </c>
      <c r="R138" s="576">
        <f t="shared" si="64"/>
        <v>17954669.7442329</v>
      </c>
      <c r="S138" s="576">
        <f t="shared" si="64"/>
        <v>29546865.688815288</v>
      </c>
      <c r="T138" s="576">
        <f t="shared" si="64"/>
        <v>31617835.785444416</v>
      </c>
      <c r="U138" s="576">
        <f t="shared" si="64"/>
        <v>51673370.121157043</v>
      </c>
      <c r="V138" s="576">
        <f t="shared" si="64"/>
        <v>49162053.703388214</v>
      </c>
      <c r="W138" s="576">
        <f t="shared" si="64"/>
        <v>50430692.578005224</v>
      </c>
      <c r="X138" s="576">
        <f t="shared" si="66"/>
        <v>55343191.512259088</v>
      </c>
      <c r="Y138" s="576">
        <f t="shared" si="66"/>
        <v>61338454.377402671</v>
      </c>
      <c r="Z138" s="174">
        <f t="shared" si="64"/>
        <v>8767</v>
      </c>
      <c r="AA138" s="175">
        <f t="shared" si="64"/>
        <v>10497</v>
      </c>
      <c r="AB138" s="175">
        <f t="shared" si="64"/>
        <v>12019</v>
      </c>
      <c r="AC138" s="175">
        <f t="shared" si="64"/>
        <v>9330</v>
      </c>
      <c r="AD138" s="175">
        <f t="shared" si="64"/>
        <v>14045</v>
      </c>
      <c r="AE138" s="175">
        <f t="shared" si="64"/>
        <v>13016</v>
      </c>
      <c r="AF138" s="175">
        <f t="shared" si="64"/>
        <v>19175</v>
      </c>
      <c r="AG138" s="175">
        <f t="shared" si="67"/>
        <v>15725</v>
      </c>
      <c r="AH138" s="175">
        <f t="shared" si="67"/>
        <v>17234</v>
      </c>
      <c r="AI138" s="175">
        <f t="shared" si="67"/>
        <v>16619</v>
      </c>
      <c r="AJ138" s="175">
        <f t="shared" si="67"/>
        <v>15769</v>
      </c>
      <c r="AK138" s="174">
        <f t="shared" si="68"/>
        <v>8767</v>
      </c>
      <c r="AL138" s="175">
        <f t="shared" si="69"/>
        <v>10497</v>
      </c>
      <c r="AM138" s="175">
        <f t="shared" si="70"/>
        <v>12019</v>
      </c>
      <c r="AN138" s="175">
        <f t="shared" si="71"/>
        <v>9330</v>
      </c>
      <c r="AO138" s="175">
        <f t="shared" si="72"/>
        <v>14045</v>
      </c>
      <c r="AP138" s="175">
        <f t="shared" si="73"/>
        <v>13016</v>
      </c>
      <c r="AQ138" s="175">
        <f t="shared" si="74"/>
        <v>19175</v>
      </c>
      <c r="AR138" s="175">
        <f t="shared" si="75"/>
        <v>15725</v>
      </c>
      <c r="AS138" s="175">
        <f t="shared" si="76"/>
        <v>17234</v>
      </c>
      <c r="AT138" s="614">
        <f t="shared" si="77"/>
        <v>16619</v>
      </c>
      <c r="AU138" s="614">
        <f t="shared" si="77"/>
        <v>15769</v>
      </c>
      <c r="AV138" s="19"/>
      <c r="AW138" s="19"/>
      <c r="AX138" s="19"/>
      <c r="AY138" s="19"/>
      <c r="AZ138" s="19"/>
      <c r="BA138" s="19"/>
      <c r="BB138" s="421">
        <f t="shared" si="78"/>
        <v>17227.73333333333</v>
      </c>
      <c r="BC138" s="96">
        <f t="shared" si="78"/>
        <v>17227.73333333333</v>
      </c>
      <c r="BD138" s="96">
        <f t="shared" si="78"/>
        <v>17227.73333333333</v>
      </c>
      <c r="BE138" s="96">
        <f t="shared" si="78"/>
        <v>18767.799044139734</v>
      </c>
      <c r="BF138" s="96">
        <f t="shared" si="78"/>
        <v>18767.799044139734</v>
      </c>
      <c r="BG138" s="96">
        <f t="shared" si="78"/>
        <v>18767.799044139734</v>
      </c>
      <c r="BH138" s="96">
        <f t="shared" si="78"/>
        <v>18767.799044139734</v>
      </c>
      <c r="BI138" s="286">
        <f t="shared" si="78"/>
        <v>18767.799044139734</v>
      </c>
      <c r="BJ138" s="99">
        <f t="shared" si="81"/>
        <v>2811.6893134006891</v>
      </c>
      <c r="BK138" s="644">
        <f t="shared" si="79"/>
        <v>48438760.399998754</v>
      </c>
      <c r="BL138" s="97">
        <f>SUMIF($A$7:$A$132,$A138,BL$7:BL$132)</f>
        <v>48438760.399998754</v>
      </c>
      <c r="BM138" s="524">
        <f t="shared" si="79"/>
        <v>48438760.399998754</v>
      </c>
      <c r="BN138" s="416">
        <f t="shared" si="79"/>
        <v>52769220.008459359</v>
      </c>
      <c r="BO138" s="97">
        <f t="shared" si="79"/>
        <v>52769220.008459359</v>
      </c>
      <c r="BP138" s="97">
        <f t="shared" si="79"/>
        <v>52769220.008459359</v>
      </c>
      <c r="BQ138" s="97">
        <f t="shared" si="79"/>
        <v>52769220.008459359</v>
      </c>
      <c r="BR138" s="98">
        <f t="shared" si="79"/>
        <v>52769220.008459359</v>
      </c>
    </row>
    <row r="139" spans="1:70" x14ac:dyDescent="0.25">
      <c r="A139" s="81" t="s">
        <v>81</v>
      </c>
      <c r="B139" s="171"/>
      <c r="C139" s="82" t="s">
        <v>270</v>
      </c>
      <c r="D139" s="172">
        <f t="shared" si="80"/>
        <v>3177942.657339491</v>
      </c>
      <c r="E139" s="173">
        <f t="shared" si="64"/>
        <v>3953314.8527043727</v>
      </c>
      <c r="F139" s="173">
        <f t="shared" si="64"/>
        <v>4586755.7714980859</v>
      </c>
      <c r="G139" s="173">
        <f t="shared" si="64"/>
        <v>2800371.257861279</v>
      </c>
      <c r="H139" s="173">
        <f t="shared" si="64"/>
        <v>4740799.1896702228</v>
      </c>
      <c r="I139" s="173">
        <f t="shared" si="64"/>
        <v>10426097.960533157</v>
      </c>
      <c r="J139" s="173">
        <f t="shared" si="64"/>
        <v>9067714.7153988909</v>
      </c>
      <c r="K139" s="173">
        <f t="shared" si="64"/>
        <v>10627568.026599521</v>
      </c>
      <c r="L139" s="173">
        <f t="shared" si="64"/>
        <v>12135896.417485544</v>
      </c>
      <c r="M139" s="173">
        <f t="shared" si="65"/>
        <v>12312889.377919054</v>
      </c>
      <c r="N139" s="173">
        <f t="shared" si="65"/>
        <v>13824885.442502294</v>
      </c>
      <c r="O139" s="580">
        <f t="shared" si="64"/>
        <v>4275783.0303935586</v>
      </c>
      <c r="P139" s="576">
        <f t="shared" si="64"/>
        <v>5239845.7534483634</v>
      </c>
      <c r="Q139" s="576">
        <f t="shared" si="64"/>
        <v>6017849.9356602933</v>
      </c>
      <c r="R139" s="576">
        <f t="shared" si="64"/>
        <v>3604404.7516799918</v>
      </c>
      <c r="S139" s="576">
        <f t="shared" si="64"/>
        <v>5977762.8170559863</v>
      </c>
      <c r="T139" s="576">
        <f t="shared" si="64"/>
        <v>12940333.701585747</v>
      </c>
      <c r="U139" s="576">
        <f t="shared" si="64"/>
        <v>11293729.627978202</v>
      </c>
      <c r="V139" s="576">
        <f t="shared" si="64"/>
        <v>12746267.124729022</v>
      </c>
      <c r="W139" s="576">
        <f t="shared" si="64"/>
        <v>13712679.87079047</v>
      </c>
      <c r="X139" s="576">
        <f t="shared" si="66"/>
        <v>13094276.740711315</v>
      </c>
      <c r="Y139" s="576">
        <f t="shared" si="66"/>
        <v>13883550.87920779</v>
      </c>
      <c r="Z139" s="174">
        <f t="shared" si="64"/>
        <v>20</v>
      </c>
      <c r="AA139" s="175">
        <f t="shared" si="64"/>
        <v>56</v>
      </c>
      <c r="AB139" s="175">
        <f t="shared" si="64"/>
        <v>39</v>
      </c>
      <c r="AC139" s="175">
        <f t="shared" si="64"/>
        <v>39</v>
      </c>
      <c r="AD139" s="175">
        <f t="shared" si="64"/>
        <v>89</v>
      </c>
      <c r="AE139" s="175">
        <f t="shared" si="64"/>
        <v>200.00016574700018</v>
      </c>
      <c r="AF139" s="175">
        <f t="shared" si="64"/>
        <v>102.05983338800003</v>
      </c>
      <c r="AG139" s="175">
        <f t="shared" si="67"/>
        <v>91.072666666666237</v>
      </c>
      <c r="AH139" s="175">
        <f t="shared" si="67"/>
        <v>75.531832921000088</v>
      </c>
      <c r="AI139" s="175">
        <f t="shared" si="67"/>
        <v>93.096998671999927</v>
      </c>
      <c r="AJ139" s="175">
        <f t="shared" si="67"/>
        <v>101.96783278499994</v>
      </c>
      <c r="AK139" s="174">
        <f t="shared" si="68"/>
        <v>20</v>
      </c>
      <c r="AL139" s="175">
        <f t="shared" si="69"/>
        <v>56</v>
      </c>
      <c r="AM139" s="175">
        <f t="shared" si="70"/>
        <v>39</v>
      </c>
      <c r="AN139" s="175">
        <f t="shared" si="71"/>
        <v>39</v>
      </c>
      <c r="AO139" s="175">
        <f t="shared" si="72"/>
        <v>89</v>
      </c>
      <c r="AP139" s="175">
        <f t="shared" si="73"/>
        <v>200.00016574700018</v>
      </c>
      <c r="AQ139" s="175">
        <f t="shared" si="74"/>
        <v>102.05983338800003</v>
      </c>
      <c r="AR139" s="175">
        <f t="shared" si="75"/>
        <v>91.072666666666237</v>
      </c>
      <c r="AS139" s="175">
        <f t="shared" si="76"/>
        <v>75.531832921000088</v>
      </c>
      <c r="AT139" s="614">
        <f t="shared" si="77"/>
        <v>93.096998671999927</v>
      </c>
      <c r="AU139" s="614">
        <f t="shared" si="77"/>
        <v>101.96783278499994</v>
      </c>
      <c r="AV139" s="19"/>
      <c r="AW139" s="19"/>
      <c r="AX139" s="19"/>
      <c r="AY139" s="19"/>
      <c r="AZ139" s="19"/>
      <c r="BA139" s="19"/>
      <c r="BB139" s="421">
        <f t="shared" si="78"/>
        <v>87.401216556733189</v>
      </c>
      <c r="BC139" s="96">
        <f t="shared" si="78"/>
        <v>87.401216556733189</v>
      </c>
      <c r="BD139" s="96">
        <f t="shared" si="78"/>
        <v>87.401216556733189</v>
      </c>
      <c r="BE139" s="96">
        <f t="shared" si="78"/>
        <v>93.52033914815901</v>
      </c>
      <c r="BF139" s="96">
        <f t="shared" si="78"/>
        <v>93.52033914815901</v>
      </c>
      <c r="BG139" s="96">
        <f t="shared" si="78"/>
        <v>93.52033914815901</v>
      </c>
      <c r="BH139" s="96">
        <f t="shared" si="78"/>
        <v>93.52033914815901</v>
      </c>
      <c r="BI139" s="286">
        <f t="shared" si="78"/>
        <v>93.52033914815901</v>
      </c>
      <c r="BJ139" s="99">
        <f t="shared" si="81"/>
        <v>126445.53452122367</v>
      </c>
      <c r="BK139" s="644">
        <f t="shared" si="79"/>
        <v>11701304.988778843</v>
      </c>
      <c r="BL139" s="97">
        <f t="shared" si="79"/>
        <v>11701304.988778843</v>
      </c>
      <c r="BM139" s="524">
        <f t="shared" si="79"/>
        <v>11701304.988778843</v>
      </c>
      <c r="BN139" s="416">
        <f t="shared" si="79"/>
        <v>11825229.272195086</v>
      </c>
      <c r="BO139" s="97">
        <f t="shared" si="79"/>
        <v>11825229.272195086</v>
      </c>
      <c r="BP139" s="97">
        <f t="shared" si="79"/>
        <v>11825229.272195086</v>
      </c>
      <c r="BQ139" s="97">
        <f t="shared" si="79"/>
        <v>11825229.272195086</v>
      </c>
      <c r="BR139" s="98">
        <f t="shared" si="79"/>
        <v>11825229.272195086</v>
      </c>
    </row>
    <row r="140" spans="1:70" x14ac:dyDescent="0.25">
      <c r="A140" s="81" t="s">
        <v>94</v>
      </c>
      <c r="B140" s="171"/>
      <c r="C140" s="82" t="s">
        <v>412</v>
      </c>
      <c r="D140" s="172">
        <f t="shared" si="80"/>
        <v>1056185.2016199131</v>
      </c>
      <c r="E140" s="173">
        <f t="shared" si="64"/>
        <v>1493844.7949477709</v>
      </c>
      <c r="F140" s="173">
        <f t="shared" si="64"/>
        <v>2144181.8188049607</v>
      </c>
      <c r="G140" s="173">
        <f t="shared" si="64"/>
        <v>1453323.3107589788</v>
      </c>
      <c r="H140" s="173">
        <f t="shared" si="64"/>
        <v>1347267.224037908</v>
      </c>
      <c r="I140" s="173">
        <f t="shared" si="64"/>
        <v>1517984.3619218285</v>
      </c>
      <c r="J140" s="173">
        <f t="shared" si="64"/>
        <v>2912297.1233509285</v>
      </c>
      <c r="K140" s="173">
        <f t="shared" si="64"/>
        <v>6709357.8022156423</v>
      </c>
      <c r="L140" s="173">
        <f t="shared" si="64"/>
        <v>4195364.1561697423</v>
      </c>
      <c r="M140" s="173">
        <f t="shared" si="65"/>
        <v>3968985.9135546423</v>
      </c>
      <c r="N140" s="173">
        <f t="shared" si="65"/>
        <v>6354579.8806069307</v>
      </c>
      <c r="O140" s="580">
        <f t="shared" si="64"/>
        <v>1421051.0537719845</v>
      </c>
      <c r="P140" s="576">
        <f t="shared" si="64"/>
        <v>1979988.0851289635</v>
      </c>
      <c r="Q140" s="576">
        <f t="shared" si="64"/>
        <v>2813178.8704601172</v>
      </c>
      <c r="R140" s="576">
        <f t="shared" si="64"/>
        <v>1870596.7761673299</v>
      </c>
      <c r="S140" s="576">
        <f t="shared" si="64"/>
        <v>1698794.5690760771</v>
      </c>
      <c r="T140" s="576">
        <f t="shared" si="64"/>
        <v>1884043.7018158124</v>
      </c>
      <c r="U140" s="576">
        <f t="shared" si="64"/>
        <v>3627231.0432979036</v>
      </c>
      <c r="V140" s="576">
        <f t="shared" si="64"/>
        <v>8046927.2526302338</v>
      </c>
      <c r="W140" s="576">
        <f t="shared" si="64"/>
        <v>4740456.2164897211</v>
      </c>
      <c r="X140" s="576">
        <f t="shared" si="66"/>
        <v>4220861.4352752995</v>
      </c>
      <c r="Y140" s="576">
        <f t="shared" si="66"/>
        <v>6529321.1640158864</v>
      </c>
      <c r="Z140" s="174">
        <f t="shared" si="64"/>
        <v>3</v>
      </c>
      <c r="AA140" s="175">
        <f t="shared" si="64"/>
        <v>2</v>
      </c>
      <c r="AB140" s="175">
        <f t="shared" si="64"/>
        <v>7</v>
      </c>
      <c r="AC140" s="175">
        <f t="shared" si="64"/>
        <v>4</v>
      </c>
      <c r="AD140" s="175">
        <f t="shared" si="64"/>
        <v>3</v>
      </c>
      <c r="AE140" s="175">
        <f t="shared" si="64"/>
        <v>6.6319201160000016</v>
      </c>
      <c r="AF140" s="175">
        <f t="shared" si="64"/>
        <v>5.4463333600000059</v>
      </c>
      <c r="AG140" s="175">
        <f t="shared" si="67"/>
        <v>13.375999999999983</v>
      </c>
      <c r="AH140" s="175">
        <f t="shared" si="67"/>
        <v>11.969000017000004</v>
      </c>
      <c r="AI140" s="175">
        <f t="shared" si="67"/>
        <v>5.9940000480000011</v>
      </c>
      <c r="AJ140" s="175">
        <f t="shared" si="67"/>
        <v>10.337333375000005</v>
      </c>
      <c r="AK140" s="174">
        <f t="shared" si="68"/>
        <v>3</v>
      </c>
      <c r="AL140" s="175">
        <f t="shared" si="69"/>
        <v>2</v>
      </c>
      <c r="AM140" s="175">
        <f t="shared" si="70"/>
        <v>7</v>
      </c>
      <c r="AN140" s="175">
        <f t="shared" si="71"/>
        <v>4</v>
      </c>
      <c r="AO140" s="175">
        <f t="shared" si="72"/>
        <v>3</v>
      </c>
      <c r="AP140" s="175">
        <f t="shared" si="73"/>
        <v>6.6319201160000016</v>
      </c>
      <c r="AQ140" s="175">
        <f t="shared" si="74"/>
        <v>5.4463333600000059</v>
      </c>
      <c r="AR140" s="175">
        <f t="shared" si="75"/>
        <v>13.375999999999983</v>
      </c>
      <c r="AS140" s="175">
        <f t="shared" si="76"/>
        <v>11.969000017000004</v>
      </c>
      <c r="AT140" s="614">
        <f t="shared" si="77"/>
        <v>5.9940000480000011</v>
      </c>
      <c r="AU140" s="614">
        <f t="shared" si="77"/>
        <v>10.337333375000005</v>
      </c>
      <c r="AV140" s="19"/>
      <c r="AW140" s="19"/>
      <c r="AX140" s="19"/>
      <c r="AY140" s="19"/>
      <c r="AZ140" s="19"/>
      <c r="BA140" s="19"/>
      <c r="BB140" s="421">
        <f t="shared" si="78"/>
        <v>10.867024912488883</v>
      </c>
      <c r="BC140" s="96">
        <f t="shared" si="78"/>
        <v>18.980691549933333</v>
      </c>
      <c r="BD140" s="96">
        <f t="shared" si="78"/>
        <v>19.980691549933333</v>
      </c>
      <c r="BE140" s="96">
        <f t="shared" si="78"/>
        <v>19.980691549933333</v>
      </c>
      <c r="BF140" s="96">
        <f t="shared" si="78"/>
        <v>20.980691549933333</v>
      </c>
      <c r="BG140" s="96">
        <f t="shared" si="78"/>
        <v>20.980691549933333</v>
      </c>
      <c r="BH140" s="96">
        <f t="shared" si="78"/>
        <v>21.980691549933333</v>
      </c>
      <c r="BI140" s="286">
        <f t="shared" si="78"/>
        <v>21.980691549933333</v>
      </c>
      <c r="BJ140" s="99">
        <f t="shared" si="81"/>
        <v>321900.56637622684</v>
      </c>
      <c r="BK140" s="644">
        <f t="shared" si="79"/>
        <v>3502423.7396393484</v>
      </c>
      <c r="BL140" s="97">
        <f t="shared" si="79"/>
        <v>6175597.0592646832</v>
      </c>
      <c r="BM140" s="524">
        <f t="shared" si="79"/>
        <v>6475597.0592646832</v>
      </c>
      <c r="BN140" s="416">
        <f t="shared" si="79"/>
        <v>6475597.0592646832</v>
      </c>
      <c r="BO140" s="97">
        <f t="shared" si="79"/>
        <v>6775597.0592646832</v>
      </c>
      <c r="BP140" s="97">
        <f t="shared" si="79"/>
        <v>6775597.0592646832</v>
      </c>
      <c r="BQ140" s="97">
        <f t="shared" si="79"/>
        <v>7075597.0592646832</v>
      </c>
      <c r="BR140" s="98">
        <f t="shared" si="79"/>
        <v>7075597.0592646832</v>
      </c>
    </row>
    <row r="141" spans="1:70" x14ac:dyDescent="0.25">
      <c r="A141" s="81" t="s">
        <v>106</v>
      </c>
      <c r="B141" s="171"/>
      <c r="C141" s="82" t="s">
        <v>272</v>
      </c>
      <c r="D141" s="172">
        <f t="shared" si="80"/>
        <v>2876097.1561074629</v>
      </c>
      <c r="E141" s="173">
        <f t="shared" si="64"/>
        <v>3382647.2948755096</v>
      </c>
      <c r="F141" s="173">
        <f t="shared" si="64"/>
        <v>4913154.5852759425</v>
      </c>
      <c r="G141" s="173">
        <f t="shared" si="64"/>
        <v>2873758.7612823127</v>
      </c>
      <c r="H141" s="173">
        <f t="shared" si="64"/>
        <v>3776852.4042003183</v>
      </c>
      <c r="I141" s="173">
        <f t="shared" si="64"/>
        <v>3551792.4947332456</v>
      </c>
      <c r="J141" s="173">
        <f t="shared" si="64"/>
        <v>5497149.1701687686</v>
      </c>
      <c r="K141" s="173">
        <f t="shared" si="64"/>
        <v>5812453.3298967285</v>
      </c>
      <c r="L141" s="173">
        <f t="shared" si="64"/>
        <v>6191419.1145479809</v>
      </c>
      <c r="M141" s="173">
        <f t="shared" si="65"/>
        <v>21141925.944203988</v>
      </c>
      <c r="N141" s="173">
        <f t="shared" si="65"/>
        <v>22523744.285010841</v>
      </c>
      <c r="O141" s="580">
        <f t="shared" si="64"/>
        <v>3869663.0933368509</v>
      </c>
      <c r="P141" s="576">
        <f t="shared" si="64"/>
        <v>4483465.3256474305</v>
      </c>
      <c r="Q141" s="576">
        <f t="shared" si="64"/>
        <v>6446087.0553905955</v>
      </c>
      <c r="R141" s="576">
        <f t="shared" si="64"/>
        <v>3698863.0365599492</v>
      </c>
      <c r="S141" s="576">
        <f t="shared" si="64"/>
        <v>4762304.1947295945</v>
      </c>
      <c r="T141" s="576">
        <f t="shared" si="64"/>
        <v>4408301.1971130213</v>
      </c>
      <c r="U141" s="576">
        <f t="shared" si="64"/>
        <v>6846633.1816902282</v>
      </c>
      <c r="V141" s="576">
        <f t="shared" si="64"/>
        <v>6971216.9903267967</v>
      </c>
      <c r="W141" s="576">
        <f t="shared" si="64"/>
        <v>6995853.0744678378</v>
      </c>
      <c r="X141" s="576">
        <f t="shared" si="66"/>
        <v>22483612.143993668</v>
      </c>
      <c r="Y141" s="576">
        <f t="shared" si="66"/>
        <v>23143113.001351848</v>
      </c>
      <c r="Z141" s="174">
        <f t="shared" si="64"/>
        <v>4032</v>
      </c>
      <c r="AA141" s="175">
        <f t="shared" si="64"/>
        <v>4853</v>
      </c>
      <c r="AB141" s="175">
        <f t="shared" si="64"/>
        <v>6018</v>
      </c>
      <c r="AC141" s="175">
        <f t="shared" si="64"/>
        <v>4327</v>
      </c>
      <c r="AD141" s="175">
        <f t="shared" si="64"/>
        <v>5447</v>
      </c>
      <c r="AE141" s="175">
        <f t="shared" si="64"/>
        <v>6092.6398348759985</v>
      </c>
      <c r="AF141" s="175">
        <f t="shared" si="64"/>
        <v>8108.2024248159933</v>
      </c>
      <c r="AG141" s="175">
        <f t="shared" si="67"/>
        <v>877.17429154601962</v>
      </c>
      <c r="AH141" s="175">
        <f t="shared" si="67"/>
        <v>8415.4222332029767</v>
      </c>
      <c r="AI141" s="175">
        <f t="shared" si="67"/>
        <v>11699.540398122992</v>
      </c>
      <c r="AJ141" s="175">
        <f t="shared" si="67"/>
        <v>12117.238905564989</v>
      </c>
      <c r="AK141" s="174">
        <f t="shared" si="68"/>
        <v>4032</v>
      </c>
      <c r="AL141" s="175">
        <f t="shared" si="69"/>
        <v>4853</v>
      </c>
      <c r="AM141" s="175">
        <f t="shared" si="70"/>
        <v>6018</v>
      </c>
      <c r="AN141" s="175">
        <f t="shared" si="71"/>
        <v>4327</v>
      </c>
      <c r="AO141" s="175">
        <f t="shared" si="72"/>
        <v>5447</v>
      </c>
      <c r="AP141" s="175">
        <f t="shared" si="73"/>
        <v>6092.6398348759985</v>
      </c>
      <c r="AQ141" s="175">
        <f t="shared" si="74"/>
        <v>8108.2024248159933</v>
      </c>
      <c r="AR141" s="175">
        <f t="shared" si="75"/>
        <v>877.17429154601962</v>
      </c>
      <c r="AS141" s="175">
        <f t="shared" si="76"/>
        <v>8415.4222332029767</v>
      </c>
      <c r="AT141" s="614">
        <f t="shared" si="77"/>
        <v>11699.540398122992</v>
      </c>
      <c r="AU141" s="614">
        <f t="shared" si="77"/>
        <v>12117.238905564989</v>
      </c>
      <c r="AV141" s="19"/>
      <c r="AW141" s="19"/>
      <c r="AX141" s="19"/>
      <c r="AY141" s="19"/>
      <c r="AZ141" s="19"/>
      <c r="BA141" s="19"/>
      <c r="BB141" s="421">
        <f t="shared" si="78"/>
        <v>7191.8642650127967</v>
      </c>
      <c r="BC141" s="96">
        <f t="shared" si="78"/>
        <v>7191.8642650127967</v>
      </c>
      <c r="BD141" s="96">
        <f t="shared" si="78"/>
        <v>7191.8642650127967</v>
      </c>
      <c r="BE141" s="96">
        <f t="shared" si="78"/>
        <v>7191.8642650127967</v>
      </c>
      <c r="BF141" s="96">
        <f t="shared" si="78"/>
        <v>7191.8642650127967</v>
      </c>
      <c r="BG141" s="96">
        <f t="shared" si="78"/>
        <v>7191.8642650127967</v>
      </c>
      <c r="BH141" s="96">
        <f t="shared" si="78"/>
        <v>7191.8642650127967</v>
      </c>
      <c r="BI141" s="286">
        <f t="shared" si="78"/>
        <v>7191.8642650127967</v>
      </c>
      <c r="BJ141" s="99">
        <f t="shared" si="81"/>
        <v>1536.0450306827984</v>
      </c>
      <c r="BK141" s="644">
        <f t="shared" si="79"/>
        <v>11047027.365618102</v>
      </c>
      <c r="BL141" s="97">
        <f t="shared" si="79"/>
        <v>11047027.365618102</v>
      </c>
      <c r="BM141" s="524">
        <f t="shared" si="79"/>
        <v>11047027.365618102</v>
      </c>
      <c r="BN141" s="416">
        <f t="shared" si="79"/>
        <v>11047027.365618102</v>
      </c>
      <c r="BO141" s="97">
        <f t="shared" si="79"/>
        <v>11047027.365618102</v>
      </c>
      <c r="BP141" s="97">
        <f t="shared" si="79"/>
        <v>11047027.365618102</v>
      </c>
      <c r="BQ141" s="97">
        <f t="shared" si="79"/>
        <v>11047027.365618102</v>
      </c>
      <c r="BR141" s="98">
        <f t="shared" si="79"/>
        <v>11047027.365618102</v>
      </c>
    </row>
    <row r="142" spans="1:70" x14ac:dyDescent="0.25">
      <c r="A142" s="81" t="s">
        <v>138</v>
      </c>
      <c r="B142" s="171"/>
      <c r="C142" s="82" t="s">
        <v>413</v>
      </c>
      <c r="D142" s="172">
        <f t="shared" si="80"/>
        <v>27583626.65950698</v>
      </c>
      <c r="E142" s="173">
        <f t="shared" si="64"/>
        <v>40076532.594907798</v>
      </c>
      <c r="F142" s="173">
        <f t="shared" si="64"/>
        <v>41221145.274400547</v>
      </c>
      <c r="G142" s="173">
        <f t="shared" si="64"/>
        <v>29768677.985100709</v>
      </c>
      <c r="H142" s="173">
        <f t="shared" si="64"/>
        <v>37859035.86827974</v>
      </c>
      <c r="I142" s="173">
        <f t="shared" si="64"/>
        <v>43334001.562536642</v>
      </c>
      <c r="J142" s="173">
        <f t="shared" si="64"/>
        <v>52459765.104148351</v>
      </c>
      <c r="K142" s="173">
        <f t="shared" si="64"/>
        <v>39787327.874827661</v>
      </c>
      <c r="L142" s="173">
        <f t="shared" si="64"/>
        <v>47983178.780210547</v>
      </c>
      <c r="M142" s="173">
        <f t="shared" si="65"/>
        <v>50070242.933766626</v>
      </c>
      <c r="N142" s="173">
        <f t="shared" si="65"/>
        <v>55241120.948154561</v>
      </c>
      <c r="O142" s="580">
        <f t="shared" si="64"/>
        <v>37112564.795668669</v>
      </c>
      <c r="P142" s="576">
        <f t="shared" si="64"/>
        <v>53118675.5810026</v>
      </c>
      <c r="Q142" s="576">
        <f t="shared" si="64"/>
        <v>54082379.528216064</v>
      </c>
      <c r="R142" s="576">
        <f t="shared" si="64"/>
        <v>38315764.054325879</v>
      </c>
      <c r="S142" s="576">
        <f t="shared" si="64"/>
        <v>47737170.010513373</v>
      </c>
      <c r="T142" s="576">
        <f t="shared" si="64"/>
        <v>53783922.131457441</v>
      </c>
      <c r="U142" s="576">
        <f t="shared" si="64"/>
        <v>65338006.546165869</v>
      </c>
      <c r="V142" s="576">
        <f t="shared" si="64"/>
        <v>47719281.401203036</v>
      </c>
      <c r="W142" s="576">
        <f t="shared" si="64"/>
        <v>54217500.47634811</v>
      </c>
      <c r="X142" s="576">
        <f t="shared" si="66"/>
        <v>53247746.919999644</v>
      </c>
      <c r="Y142" s="576">
        <f t="shared" si="66"/>
        <v>56760167.769941933</v>
      </c>
      <c r="Z142" s="174">
        <f t="shared" si="64"/>
        <v>1169</v>
      </c>
      <c r="AA142" s="175">
        <f t="shared" si="64"/>
        <v>1667</v>
      </c>
      <c r="AB142" s="175">
        <f t="shared" si="64"/>
        <v>1455</v>
      </c>
      <c r="AC142" s="175">
        <f t="shared" si="64"/>
        <v>1129</v>
      </c>
      <c r="AD142" s="175">
        <f t="shared" si="64"/>
        <v>1358</v>
      </c>
      <c r="AE142" s="175">
        <f t="shared" si="64"/>
        <v>1576</v>
      </c>
      <c r="AF142" s="175">
        <f t="shared" si="64"/>
        <v>1822</v>
      </c>
      <c r="AG142" s="175">
        <f t="shared" si="67"/>
        <v>1609</v>
      </c>
      <c r="AH142" s="175">
        <f t="shared" si="67"/>
        <v>1675</v>
      </c>
      <c r="AI142" s="175">
        <f t="shared" si="67"/>
        <v>1206</v>
      </c>
      <c r="AJ142" s="175">
        <f t="shared" si="67"/>
        <v>1053</v>
      </c>
      <c r="AK142" s="174">
        <f t="shared" si="68"/>
        <v>1169</v>
      </c>
      <c r="AL142" s="175">
        <f t="shared" si="69"/>
        <v>1667</v>
      </c>
      <c r="AM142" s="175">
        <f t="shared" si="70"/>
        <v>1455</v>
      </c>
      <c r="AN142" s="175">
        <f t="shared" si="71"/>
        <v>1129</v>
      </c>
      <c r="AO142" s="175">
        <f t="shared" si="72"/>
        <v>1358</v>
      </c>
      <c r="AP142" s="175">
        <f t="shared" si="73"/>
        <v>1576</v>
      </c>
      <c r="AQ142" s="175">
        <f t="shared" si="74"/>
        <v>1822</v>
      </c>
      <c r="AR142" s="175">
        <f t="shared" si="75"/>
        <v>1609</v>
      </c>
      <c r="AS142" s="175">
        <f t="shared" si="76"/>
        <v>1675</v>
      </c>
      <c r="AT142" s="614">
        <f t="shared" si="77"/>
        <v>1206</v>
      </c>
      <c r="AU142" s="614">
        <f t="shared" si="77"/>
        <v>1053</v>
      </c>
      <c r="AV142" s="19"/>
      <c r="AW142" s="19"/>
      <c r="AX142" s="19"/>
      <c r="AY142" s="19"/>
      <c r="AZ142" s="19"/>
      <c r="BA142" s="19"/>
      <c r="BB142" s="421">
        <f t="shared" si="78"/>
        <v>1536.4666666666669</v>
      </c>
      <c r="BC142" s="96">
        <f t="shared" si="78"/>
        <v>1536.4666666666669</v>
      </c>
      <c r="BD142" s="96">
        <f t="shared" si="78"/>
        <v>1536.4666666666669</v>
      </c>
      <c r="BE142" s="96">
        <f t="shared" si="78"/>
        <v>810.85697738921704</v>
      </c>
      <c r="BF142" s="96">
        <f t="shared" si="78"/>
        <v>810.85697738921704</v>
      </c>
      <c r="BG142" s="96">
        <f t="shared" si="78"/>
        <v>810.85697738921704</v>
      </c>
      <c r="BH142" s="96">
        <f t="shared" si="78"/>
        <v>810.85697738921704</v>
      </c>
      <c r="BI142" s="286">
        <f t="shared" si="78"/>
        <v>810.85697738921704</v>
      </c>
      <c r="BJ142" s="99">
        <f t="shared" si="81"/>
        <v>28826.900265307657</v>
      </c>
      <c r="BK142" s="644">
        <f t="shared" si="79"/>
        <v>45946683.597601622</v>
      </c>
      <c r="BL142" s="97">
        <f t="shared" si="79"/>
        <v>45946683.597601622</v>
      </c>
      <c r="BM142" s="524">
        <f t="shared" si="79"/>
        <v>45946683.597601622</v>
      </c>
      <c r="BN142" s="416">
        <f t="shared" si="79"/>
        <v>23374493.216627784</v>
      </c>
      <c r="BO142" s="97">
        <f t="shared" si="79"/>
        <v>23374493.216627784</v>
      </c>
      <c r="BP142" s="97">
        <f t="shared" si="79"/>
        <v>23374493.216627784</v>
      </c>
      <c r="BQ142" s="97">
        <f t="shared" si="79"/>
        <v>23374493.216627784</v>
      </c>
      <c r="BR142" s="98">
        <f t="shared" si="79"/>
        <v>23374493.216627784</v>
      </c>
    </row>
    <row r="143" spans="1:70" x14ac:dyDescent="0.25">
      <c r="A143" s="81" t="s">
        <v>196</v>
      </c>
      <c r="B143" s="171"/>
      <c r="C143" s="82" t="s">
        <v>274</v>
      </c>
      <c r="D143" s="172">
        <f t="shared" si="80"/>
        <v>7609102.0784146069</v>
      </c>
      <c r="E143" s="173">
        <f t="shared" si="64"/>
        <v>8029723.3843508735</v>
      </c>
      <c r="F143" s="173">
        <f t="shared" si="64"/>
        <v>11242619.315120436</v>
      </c>
      <c r="G143" s="173">
        <f t="shared" si="64"/>
        <v>10715581.094020044</v>
      </c>
      <c r="H143" s="173">
        <f t="shared" si="64"/>
        <v>12000857.28687747</v>
      </c>
      <c r="I143" s="173">
        <f t="shared" si="64"/>
        <v>27885922.986370988</v>
      </c>
      <c r="J143" s="173">
        <f t="shared" si="64"/>
        <v>36192720.892064825</v>
      </c>
      <c r="K143" s="173">
        <f t="shared" si="64"/>
        <v>40289890.634133928</v>
      </c>
      <c r="L143" s="173">
        <f t="shared" si="64"/>
        <v>36923151.72489433</v>
      </c>
      <c r="M143" s="173">
        <f t="shared" si="65"/>
        <v>46667877.919045225</v>
      </c>
      <c r="N143" s="173">
        <f t="shared" si="65"/>
        <v>51163224.926843077</v>
      </c>
      <c r="O143" s="580">
        <f t="shared" si="64"/>
        <v>10237714.474890828</v>
      </c>
      <c r="P143" s="576">
        <f t="shared" si="64"/>
        <v>10642843.675371248</v>
      </c>
      <c r="Q143" s="576">
        <f t="shared" si="64"/>
        <v>14750381.161029942</v>
      </c>
      <c r="R143" s="576">
        <f t="shared" si="64"/>
        <v>13792203.910061486</v>
      </c>
      <c r="S143" s="576">
        <f t="shared" si="64"/>
        <v>15132106.548322653</v>
      </c>
      <c r="T143" s="576">
        <f t="shared" si="64"/>
        <v>34610565.75396961</v>
      </c>
      <c r="U143" s="576">
        <f t="shared" si="64"/>
        <v>45077598.610564254</v>
      </c>
      <c r="V143" s="576">
        <f t="shared" si="64"/>
        <v>48322034.463900499</v>
      </c>
      <c r="W143" s="576">
        <f t="shared" si="64"/>
        <v>41720474.698069759</v>
      </c>
      <c r="X143" s="576">
        <f t="shared" si="66"/>
        <v>49629464.670540661</v>
      </c>
      <c r="Y143" s="576">
        <f t="shared" si="66"/>
        <v>52570135.809235461</v>
      </c>
      <c r="Z143" s="174">
        <f t="shared" si="64"/>
        <v>1697</v>
      </c>
      <c r="AA143" s="175">
        <f t="shared" si="64"/>
        <v>1784</v>
      </c>
      <c r="AB143" s="175">
        <f t="shared" si="64"/>
        <v>2226</v>
      </c>
      <c r="AC143" s="175">
        <f t="shared" si="64"/>
        <v>2295</v>
      </c>
      <c r="AD143" s="175">
        <f t="shared" si="64"/>
        <v>2800</v>
      </c>
      <c r="AE143" s="175">
        <f t="shared" si="64"/>
        <v>52923</v>
      </c>
      <c r="AF143" s="175">
        <f t="shared" si="64"/>
        <v>3734</v>
      </c>
      <c r="AG143" s="175">
        <f t="shared" si="67"/>
        <v>3637</v>
      </c>
      <c r="AH143" s="175">
        <f t="shared" si="67"/>
        <v>3682</v>
      </c>
      <c r="AI143" s="175">
        <f t="shared" si="67"/>
        <v>3700</v>
      </c>
      <c r="AJ143" s="175">
        <f t="shared" si="67"/>
        <v>3186.0006666660001</v>
      </c>
      <c r="AK143" s="174">
        <f t="shared" si="68"/>
        <v>1697</v>
      </c>
      <c r="AL143" s="175">
        <f t="shared" si="69"/>
        <v>1784</v>
      </c>
      <c r="AM143" s="175">
        <f t="shared" si="70"/>
        <v>2226</v>
      </c>
      <c r="AN143" s="175">
        <f t="shared" si="71"/>
        <v>2295</v>
      </c>
      <c r="AO143" s="175">
        <f t="shared" si="72"/>
        <v>2800</v>
      </c>
      <c r="AP143" s="175">
        <f t="shared" si="73"/>
        <v>52923</v>
      </c>
      <c r="AQ143" s="175">
        <f t="shared" si="74"/>
        <v>3734</v>
      </c>
      <c r="AR143" s="175">
        <f t="shared" si="75"/>
        <v>3637</v>
      </c>
      <c r="AS143" s="175">
        <f t="shared" si="76"/>
        <v>3682</v>
      </c>
      <c r="AT143" s="614">
        <f t="shared" si="77"/>
        <v>3700</v>
      </c>
      <c r="AU143" s="614">
        <f t="shared" si="77"/>
        <v>3186.0006666660001</v>
      </c>
      <c r="AV143" s="19"/>
      <c r="AW143" s="19"/>
      <c r="AX143" s="19"/>
      <c r="AY143" s="19"/>
      <c r="AZ143" s="19"/>
      <c r="BA143" s="19"/>
      <c r="BB143" s="421">
        <f t="shared" si="78"/>
        <v>3748.8666666666668</v>
      </c>
      <c r="BC143" s="96">
        <f t="shared" si="78"/>
        <v>3748.8666666666668</v>
      </c>
      <c r="BD143" s="96">
        <f t="shared" si="78"/>
        <v>3748.8666666666668</v>
      </c>
      <c r="BE143" s="96">
        <f t="shared" si="78"/>
        <v>2022.7960112770768</v>
      </c>
      <c r="BF143" s="96">
        <f t="shared" si="78"/>
        <v>2022.7960112770768</v>
      </c>
      <c r="BG143" s="96">
        <f t="shared" si="78"/>
        <v>2022.7960112770768</v>
      </c>
      <c r="BH143" s="96">
        <f t="shared" si="78"/>
        <v>2022.7960112770768</v>
      </c>
      <c r="BI143" s="286">
        <f t="shared" si="78"/>
        <v>2022.7960112770768</v>
      </c>
      <c r="BJ143" s="99">
        <f>SUM(BR97,BR99)/SUM(BI97,BI99)</f>
        <v>8864.8278436496712</v>
      </c>
      <c r="BK143" s="644">
        <f t="shared" si="79"/>
        <v>41393740.814779013</v>
      </c>
      <c r="BL143" s="97">
        <f t="shared" si="79"/>
        <v>41393740.814779013</v>
      </c>
      <c r="BM143" s="524">
        <f t="shared" si="79"/>
        <v>41393740.814779013</v>
      </c>
      <c r="BN143" s="416">
        <f t="shared" si="79"/>
        <v>23160190.954097234</v>
      </c>
      <c r="BO143" s="97">
        <f t="shared" si="79"/>
        <v>23160190.954097234</v>
      </c>
      <c r="BP143" s="97">
        <f t="shared" si="79"/>
        <v>23160190.954097234</v>
      </c>
      <c r="BQ143" s="97">
        <f t="shared" si="79"/>
        <v>23160190.954097234</v>
      </c>
      <c r="BR143" s="98">
        <f t="shared" si="79"/>
        <v>23160190.954097234</v>
      </c>
    </row>
    <row r="144" spans="1:70" x14ac:dyDescent="0.25">
      <c r="A144" s="81" t="s">
        <v>224</v>
      </c>
      <c r="B144" s="171"/>
      <c r="C144" s="82" t="s">
        <v>414</v>
      </c>
      <c r="D144" s="172">
        <f t="shared" si="80"/>
        <v>2755270.3209024011</v>
      </c>
      <c r="E144" s="173">
        <f t="shared" si="64"/>
        <v>2578101.6961332774</v>
      </c>
      <c r="F144" s="173">
        <f t="shared" si="64"/>
        <v>4196164.8267034246</v>
      </c>
      <c r="G144" s="173">
        <f t="shared" si="64"/>
        <v>2551854.5143828276</v>
      </c>
      <c r="H144" s="173">
        <f t="shared" si="64"/>
        <v>2180869.7393290396</v>
      </c>
      <c r="I144" s="173">
        <f t="shared" si="64"/>
        <v>3736501.1379410182</v>
      </c>
      <c r="J144" s="173">
        <f t="shared" si="64"/>
        <v>6222043.2637505764</v>
      </c>
      <c r="K144" s="173">
        <f t="shared" si="64"/>
        <v>3009011.6297638901</v>
      </c>
      <c r="L144" s="173">
        <f t="shared" si="64"/>
        <v>3057056.4266746421</v>
      </c>
      <c r="M144" s="173">
        <f t="shared" si="65"/>
        <v>4941759.4689569762</v>
      </c>
      <c r="N144" s="173">
        <f t="shared" si="65"/>
        <v>0</v>
      </c>
      <c r="O144" s="580">
        <f t="shared" ref="O144:Y146" si="82">SUMIF($A$7:$A$132,$A144,O$7:O$132)</f>
        <v>3707095.8643804668</v>
      </c>
      <c r="P144" s="576">
        <f t="shared" si="82"/>
        <v>3417095.710249559</v>
      </c>
      <c r="Q144" s="576">
        <f t="shared" si="82"/>
        <v>5505392.3710766146</v>
      </c>
      <c r="R144" s="576">
        <f t="shared" si="82"/>
        <v>3284534.6885406203</v>
      </c>
      <c r="S144" s="576">
        <f t="shared" si="82"/>
        <v>2749899.6508878842</v>
      </c>
      <c r="T144" s="576">
        <f t="shared" si="82"/>
        <v>4637552.0146023184</v>
      </c>
      <c r="U144" s="576">
        <f t="shared" si="82"/>
        <v>7749480.0575329829</v>
      </c>
      <c r="V144" s="576">
        <f t="shared" si="82"/>
        <v>3608884.546153191</v>
      </c>
      <c r="W144" s="576">
        <f t="shared" si="82"/>
        <v>3454251.3122914061</v>
      </c>
      <c r="X144" s="576">
        <f t="shared" si="82"/>
        <v>5255368.1013813652</v>
      </c>
      <c r="Y144" s="576">
        <f t="shared" si="82"/>
        <v>5369735.5179260653</v>
      </c>
      <c r="Z144" s="174">
        <f t="shared" si="64"/>
        <v>2446</v>
      </c>
      <c r="AA144" s="175">
        <f t="shared" si="64"/>
        <v>2237</v>
      </c>
      <c r="AB144" s="175">
        <f t="shared" si="64"/>
        <v>2502</v>
      </c>
      <c r="AC144" s="175">
        <f t="shared" si="64"/>
        <v>1928</v>
      </c>
      <c r="AD144" s="175">
        <f t="shared" si="64"/>
        <v>1730</v>
      </c>
      <c r="AE144" s="175">
        <f t="shared" si="64"/>
        <v>2317</v>
      </c>
      <c r="AF144" s="175">
        <f t="shared" si="64"/>
        <v>4831</v>
      </c>
      <c r="AG144" s="175">
        <f t="shared" si="67"/>
        <v>2550</v>
      </c>
      <c r="AH144" s="175">
        <f t="shared" si="67"/>
        <v>1817</v>
      </c>
      <c r="AI144" s="175">
        <f t="shared" si="67"/>
        <v>2194</v>
      </c>
      <c r="AJ144" s="175">
        <f t="shared" si="67"/>
        <v>0</v>
      </c>
      <c r="AK144" s="174">
        <f t="shared" si="68"/>
        <v>2446</v>
      </c>
      <c r="AL144" s="175">
        <f t="shared" si="69"/>
        <v>2237</v>
      </c>
      <c r="AM144" s="175">
        <f t="shared" si="70"/>
        <v>2502</v>
      </c>
      <c r="AN144" s="175">
        <f t="shared" si="71"/>
        <v>1928</v>
      </c>
      <c r="AO144" s="175">
        <f t="shared" si="72"/>
        <v>1730</v>
      </c>
      <c r="AP144" s="175">
        <f t="shared" si="73"/>
        <v>2317</v>
      </c>
      <c r="AQ144" s="175">
        <f t="shared" si="74"/>
        <v>4831</v>
      </c>
      <c r="AR144" s="175">
        <f t="shared" si="75"/>
        <v>2550</v>
      </c>
      <c r="AS144" s="175">
        <f t="shared" si="76"/>
        <v>1817</v>
      </c>
      <c r="AT144" s="614">
        <f t="shared" si="77"/>
        <v>2194</v>
      </c>
      <c r="AU144" s="614">
        <f t="shared" si="77"/>
        <v>0</v>
      </c>
      <c r="AV144" s="19"/>
      <c r="AW144" s="19"/>
      <c r="AX144" s="19"/>
      <c r="AY144" s="19"/>
      <c r="AZ144" s="19"/>
      <c r="BA144" s="19"/>
      <c r="BB144" s="421">
        <f t="shared" si="78"/>
        <v>0</v>
      </c>
      <c r="BC144" s="96">
        <f t="shared" si="78"/>
        <v>0</v>
      </c>
      <c r="BD144" s="96">
        <f t="shared" si="78"/>
        <v>0</v>
      </c>
      <c r="BE144" s="96">
        <f t="shared" si="78"/>
        <v>0</v>
      </c>
      <c r="BF144" s="96">
        <f t="shared" si="78"/>
        <v>0</v>
      </c>
      <c r="BG144" s="96">
        <f t="shared" si="78"/>
        <v>0</v>
      </c>
      <c r="BH144" s="96">
        <f t="shared" si="78"/>
        <v>0</v>
      </c>
      <c r="BI144" s="286">
        <f t="shared" si="78"/>
        <v>0</v>
      </c>
      <c r="BJ144" s="99"/>
      <c r="BK144" s="644">
        <f t="shared" si="79"/>
        <v>0</v>
      </c>
      <c r="BL144" s="97">
        <f t="shared" si="79"/>
        <v>0</v>
      </c>
      <c r="BM144" s="524">
        <f t="shared" si="79"/>
        <v>0</v>
      </c>
      <c r="BN144" s="416">
        <f t="shared" si="79"/>
        <v>0</v>
      </c>
      <c r="BO144" s="97">
        <f t="shared" si="79"/>
        <v>0</v>
      </c>
      <c r="BP144" s="97">
        <f t="shared" si="79"/>
        <v>0</v>
      </c>
      <c r="BQ144" s="97">
        <f t="shared" si="79"/>
        <v>0</v>
      </c>
      <c r="BR144" s="98">
        <f t="shared" si="79"/>
        <v>0</v>
      </c>
    </row>
    <row r="145" spans="1:80" x14ac:dyDescent="0.25">
      <c r="A145" s="81" t="s">
        <v>242</v>
      </c>
      <c r="B145" s="171"/>
      <c r="C145" s="82" t="s">
        <v>415</v>
      </c>
      <c r="D145" s="172">
        <f t="shared" si="80"/>
        <v>4198.0699237157569</v>
      </c>
      <c r="E145" s="173">
        <f t="shared" si="64"/>
        <v>0</v>
      </c>
      <c r="F145" s="173">
        <f t="shared" si="64"/>
        <v>0</v>
      </c>
      <c r="G145" s="173">
        <f t="shared" si="64"/>
        <v>17817.401676791247</v>
      </c>
      <c r="H145" s="173">
        <f t="shared" si="64"/>
        <v>20995.652105335754</v>
      </c>
      <c r="I145" s="173">
        <f t="shared" si="64"/>
        <v>112730.04323198114</v>
      </c>
      <c r="J145" s="173">
        <f t="shared" si="64"/>
        <v>-7228.44</v>
      </c>
      <c r="K145" s="173">
        <f t="shared" si="64"/>
        <v>11854.520309713</v>
      </c>
      <c r="L145" s="173">
        <f t="shared" si="64"/>
        <v>54487.563675813035</v>
      </c>
      <c r="M145" s="173">
        <f t="shared" si="65"/>
        <v>-13494.56</v>
      </c>
      <c r="N145" s="173">
        <f t="shared" si="65"/>
        <v>4901.07</v>
      </c>
      <c r="O145" s="580">
        <f t="shared" si="82"/>
        <v>5648.3197073344363</v>
      </c>
      <c r="P145" s="576">
        <f t="shared" si="82"/>
        <v>0</v>
      </c>
      <c r="Q145" s="576">
        <f t="shared" si="82"/>
        <v>0</v>
      </c>
      <c r="R145" s="576">
        <f t="shared" si="82"/>
        <v>22933.076136292326</v>
      </c>
      <c r="S145" s="576">
        <f t="shared" si="82"/>
        <v>26473.812421455827</v>
      </c>
      <c r="T145" s="576">
        <f t="shared" si="82"/>
        <v>139914.70089174452</v>
      </c>
      <c r="U145" s="576">
        <f t="shared" si="82"/>
        <v>-9002.9350894142644</v>
      </c>
      <c r="V145" s="576">
        <f t="shared" si="82"/>
        <v>14217.823129895762</v>
      </c>
      <c r="W145" s="576">
        <f t="shared" si="82"/>
        <v>61566.982110131015</v>
      </c>
      <c r="X145" s="576">
        <f t="shared" si="82"/>
        <v>-14350.937274805343</v>
      </c>
      <c r="Y145" s="576">
        <f t="shared" si="82"/>
        <v>5035.8419720214342</v>
      </c>
      <c r="Z145" s="174">
        <f t="shared" si="64"/>
        <v>468</v>
      </c>
      <c r="AA145" s="175">
        <f t="shared" si="64"/>
        <v>0</v>
      </c>
      <c r="AB145" s="175">
        <f t="shared" si="64"/>
        <v>0</v>
      </c>
      <c r="AC145" s="175">
        <f t="shared" si="64"/>
        <v>2</v>
      </c>
      <c r="AD145" s="175">
        <f t="shared" si="64"/>
        <v>2</v>
      </c>
      <c r="AE145" s="175">
        <f t="shared" si="64"/>
        <v>4000</v>
      </c>
      <c r="AF145" s="175">
        <f t="shared" si="64"/>
        <v>-757</v>
      </c>
      <c r="AG145" s="175">
        <f t="shared" si="67"/>
        <v>1.536</v>
      </c>
      <c r="AH145" s="175">
        <f t="shared" si="67"/>
        <v>0</v>
      </c>
      <c r="AI145" s="175">
        <f t="shared" si="67"/>
        <v>534</v>
      </c>
      <c r="AJ145" s="175">
        <f t="shared" si="67"/>
        <v>-6</v>
      </c>
      <c r="AK145" s="174">
        <f t="shared" si="68"/>
        <v>468</v>
      </c>
      <c r="AL145" s="175">
        <f t="shared" si="69"/>
        <v>0</v>
      </c>
      <c r="AM145" s="175">
        <f t="shared" si="70"/>
        <v>0</v>
      </c>
      <c r="AN145" s="175">
        <f t="shared" si="71"/>
        <v>2</v>
      </c>
      <c r="AO145" s="175">
        <f t="shared" si="72"/>
        <v>2</v>
      </c>
      <c r="AP145" s="175">
        <f t="shared" si="73"/>
        <v>4000</v>
      </c>
      <c r="AQ145" s="175">
        <f t="shared" si="74"/>
        <v>-757</v>
      </c>
      <c r="AR145" s="175">
        <f t="shared" si="75"/>
        <v>1.536</v>
      </c>
      <c r="AS145" s="175">
        <f t="shared" si="76"/>
        <v>0</v>
      </c>
      <c r="AT145" s="614">
        <f t="shared" si="77"/>
        <v>534</v>
      </c>
      <c r="AU145" s="614">
        <f t="shared" si="77"/>
        <v>-6</v>
      </c>
      <c r="AV145" s="19"/>
      <c r="AW145" s="19"/>
      <c r="AX145" s="19"/>
      <c r="AY145" s="19"/>
      <c r="AZ145" s="19"/>
      <c r="BA145" s="19"/>
      <c r="BB145" s="421">
        <f t="shared" si="78"/>
        <v>0</v>
      </c>
      <c r="BC145" s="96">
        <f t="shared" si="78"/>
        <v>0</v>
      </c>
      <c r="BD145" s="96">
        <f t="shared" si="78"/>
        <v>0</v>
      </c>
      <c r="BE145" s="96">
        <f t="shared" si="78"/>
        <v>0</v>
      </c>
      <c r="BF145" s="96">
        <f t="shared" si="78"/>
        <v>0</v>
      </c>
      <c r="BG145" s="96">
        <f t="shared" si="78"/>
        <v>0</v>
      </c>
      <c r="BH145" s="96">
        <f t="shared" si="78"/>
        <v>0</v>
      </c>
      <c r="BI145" s="286">
        <f t="shared" si="78"/>
        <v>0</v>
      </c>
      <c r="BJ145" s="99"/>
      <c r="BK145" s="644">
        <f t="shared" si="79"/>
        <v>0</v>
      </c>
      <c r="BL145" s="97">
        <f t="shared" si="79"/>
        <v>0</v>
      </c>
      <c r="BM145" s="524">
        <f t="shared" si="79"/>
        <v>0</v>
      </c>
      <c r="BN145" s="416">
        <f t="shared" si="79"/>
        <v>0</v>
      </c>
      <c r="BO145" s="97">
        <f t="shared" si="79"/>
        <v>0</v>
      </c>
      <c r="BP145" s="97">
        <f t="shared" si="79"/>
        <v>0</v>
      </c>
      <c r="BQ145" s="97">
        <f t="shared" si="79"/>
        <v>0</v>
      </c>
      <c r="BR145" s="98">
        <f t="shared" si="79"/>
        <v>0</v>
      </c>
    </row>
    <row r="146" spans="1:80" ht="15.75" thickBot="1" x14ac:dyDescent="0.3">
      <c r="A146" s="100" t="s">
        <v>258</v>
      </c>
      <c r="B146" s="176"/>
      <c r="C146" s="101" t="s">
        <v>64</v>
      </c>
      <c r="D146" s="177">
        <f t="shared" si="80"/>
        <v>108887.12238809641</v>
      </c>
      <c r="E146" s="178">
        <f t="shared" si="64"/>
        <v>95615.931427229269</v>
      </c>
      <c r="F146" s="178">
        <f t="shared" si="64"/>
        <v>119551.27787942653</v>
      </c>
      <c r="G146" s="178">
        <f t="shared" si="64"/>
        <v>282596.338670675</v>
      </c>
      <c r="H146" s="178">
        <f t="shared" si="64"/>
        <v>539937.37641164672</v>
      </c>
      <c r="I146" s="178">
        <f t="shared" si="64"/>
        <v>102988.21899212401</v>
      </c>
      <c r="J146" s="178">
        <f t="shared" si="64"/>
        <v>2764294.2396741272</v>
      </c>
      <c r="K146" s="178">
        <f t="shared" si="64"/>
        <v>155336.202166203</v>
      </c>
      <c r="L146" s="178">
        <f t="shared" si="64"/>
        <v>476849.77691319224</v>
      </c>
      <c r="M146" s="178">
        <f t="shared" si="65"/>
        <v>409216.12657594599</v>
      </c>
      <c r="N146" s="178">
        <f t="shared" si="65"/>
        <v>284822.38728438597</v>
      </c>
      <c r="O146" s="582">
        <f t="shared" si="82"/>
        <v>146502.86689728423</v>
      </c>
      <c r="P146" s="577">
        <f t="shared" si="82"/>
        <v>126732.31222862146</v>
      </c>
      <c r="Q146" s="577">
        <f t="shared" si="82"/>
        <v>156851.96372682281</v>
      </c>
      <c r="R146" s="577">
        <f t="shared" si="82"/>
        <v>363734.48093802953</v>
      </c>
      <c r="S146" s="577">
        <f t="shared" si="82"/>
        <v>680817.18780348101</v>
      </c>
      <c r="T146" s="577">
        <f t="shared" si="82"/>
        <v>127823.65235151943</v>
      </c>
      <c r="U146" s="577">
        <f t="shared" si="82"/>
        <v>3442895.2315891017</v>
      </c>
      <c r="V146" s="577">
        <f t="shared" si="82"/>
        <v>186303.83941045986</v>
      </c>
      <c r="W146" s="577">
        <f t="shared" si="82"/>
        <v>538805.54944809433</v>
      </c>
      <c r="X146" s="577">
        <f t="shared" si="82"/>
        <v>435185.36094027548</v>
      </c>
      <c r="Y146" s="577">
        <f t="shared" si="82"/>
        <v>292654.56980986905</v>
      </c>
      <c r="Z146" s="179">
        <f t="shared" si="64"/>
        <v>10</v>
      </c>
      <c r="AA146" s="180">
        <f t="shared" si="64"/>
        <v>12</v>
      </c>
      <c r="AB146" s="180">
        <f t="shared" si="64"/>
        <v>20</v>
      </c>
      <c r="AC146" s="180">
        <f t="shared" si="64"/>
        <v>17</v>
      </c>
      <c r="AD146" s="180">
        <f t="shared" si="64"/>
        <v>25</v>
      </c>
      <c r="AE146" s="180">
        <f t="shared" si="64"/>
        <v>1090</v>
      </c>
      <c r="AF146" s="180">
        <f t="shared" si="64"/>
        <v>1062</v>
      </c>
      <c r="AG146" s="180">
        <f t="shared" si="67"/>
        <v>1242</v>
      </c>
      <c r="AH146" s="180">
        <f t="shared" si="67"/>
        <v>1076</v>
      </c>
      <c r="AI146" s="180">
        <f t="shared" si="67"/>
        <v>1473</v>
      </c>
      <c r="AJ146" s="180">
        <f t="shared" si="67"/>
        <v>1065</v>
      </c>
      <c r="AK146" s="179">
        <f t="shared" si="68"/>
        <v>10</v>
      </c>
      <c r="AL146" s="180">
        <f t="shared" si="69"/>
        <v>12</v>
      </c>
      <c r="AM146" s="180">
        <f t="shared" si="70"/>
        <v>20</v>
      </c>
      <c r="AN146" s="180">
        <f t="shared" si="71"/>
        <v>17</v>
      </c>
      <c r="AO146" s="180">
        <f t="shared" si="72"/>
        <v>25</v>
      </c>
      <c r="AP146" s="180">
        <f t="shared" si="73"/>
        <v>1090</v>
      </c>
      <c r="AQ146" s="180">
        <f t="shared" si="74"/>
        <v>1062</v>
      </c>
      <c r="AR146" s="180">
        <f t="shared" si="75"/>
        <v>1242</v>
      </c>
      <c r="AS146" s="180">
        <f t="shared" si="76"/>
        <v>1076</v>
      </c>
      <c r="AT146" s="615">
        <f t="shared" si="77"/>
        <v>1473</v>
      </c>
      <c r="AU146" s="615">
        <f t="shared" si="77"/>
        <v>1065</v>
      </c>
      <c r="AV146" s="19"/>
      <c r="AW146" s="19"/>
      <c r="AX146" s="19"/>
      <c r="AY146" s="19"/>
      <c r="AZ146" s="19"/>
      <c r="BA146" s="19"/>
      <c r="BB146" s="422">
        <f t="shared" si="78"/>
        <v>1414.9999999999998</v>
      </c>
      <c r="BC146" s="115">
        <f t="shared" si="78"/>
        <v>1414.9999999999998</v>
      </c>
      <c r="BD146" s="115">
        <f t="shared" si="78"/>
        <v>1414.9999999999998</v>
      </c>
      <c r="BE146" s="115">
        <f t="shared" si="78"/>
        <v>1414.9999999999998</v>
      </c>
      <c r="BF146" s="115">
        <f t="shared" si="78"/>
        <v>1414.9999999999998</v>
      </c>
      <c r="BG146" s="115">
        <f t="shared" si="78"/>
        <v>1414.9999999999998</v>
      </c>
      <c r="BH146" s="115">
        <f t="shared" si="78"/>
        <v>1414.9999999999998</v>
      </c>
      <c r="BI146" s="287">
        <f t="shared" si="78"/>
        <v>1414.9999999999998</v>
      </c>
      <c r="BJ146" s="116">
        <f t="shared" si="81"/>
        <v>245.32440651480366</v>
      </c>
      <c r="BK146" s="645">
        <f t="shared" si="79"/>
        <v>347134.0352184471</v>
      </c>
      <c r="BL146" s="181">
        <f t="shared" si="79"/>
        <v>347134.0352184471</v>
      </c>
      <c r="BM146" s="525">
        <f t="shared" si="79"/>
        <v>347134.0352184471</v>
      </c>
      <c r="BN146" s="417">
        <f t="shared" si="79"/>
        <v>347134.0352184471</v>
      </c>
      <c r="BO146" s="181">
        <f t="shared" si="79"/>
        <v>347134.0352184471</v>
      </c>
      <c r="BP146" s="181">
        <f t="shared" si="79"/>
        <v>347134.0352184471</v>
      </c>
      <c r="BQ146" s="181">
        <f t="shared" si="79"/>
        <v>347134.0352184471</v>
      </c>
      <c r="BR146" s="182">
        <f t="shared" si="79"/>
        <v>347134.0352184471</v>
      </c>
    </row>
    <row r="147" spans="1:80" ht="15.75" thickBot="1" x14ac:dyDescent="0.3">
      <c r="D147" s="183">
        <f>SUM(D136:D146)</f>
        <v>82371011.860000134</v>
      </c>
      <c r="E147" s="184">
        <f t="shared" ref="E147:L147" si="83">SUM(E136:E146)</f>
        <v>101599168.52000007</v>
      </c>
      <c r="F147" s="184">
        <f t="shared" si="83"/>
        <v>122370855.04000004</v>
      </c>
      <c r="G147" s="184">
        <f t="shared" si="83"/>
        <v>93262433.539999992</v>
      </c>
      <c r="H147" s="184">
        <f t="shared" si="83"/>
        <v>120989145.94999997</v>
      </c>
      <c r="I147" s="184">
        <f t="shared" si="83"/>
        <v>163980726.88035944</v>
      </c>
      <c r="J147" s="184">
        <f t="shared" si="83"/>
        <v>221131258.41347682</v>
      </c>
      <c r="K147" s="184">
        <f t="shared" si="83"/>
        <v>244694971.56082088</v>
      </c>
      <c r="L147" s="184">
        <f t="shared" si="83"/>
        <v>221057733.76970202</v>
      </c>
      <c r="M147" s="184">
        <f t="shared" ref="M147:N147" si="84">SUM(M136:M146)</f>
        <v>271047524.81713057</v>
      </c>
      <c r="N147" s="184">
        <f t="shared" si="84"/>
        <v>308524128.55169398</v>
      </c>
      <c r="O147" s="183">
        <f>SUM(O136:O146)</f>
        <v>110826598.42647706</v>
      </c>
      <c r="P147" s="184">
        <f t="shared" ref="P147:W147" si="85">SUM(P136:P146)</f>
        <v>134662679.68998957</v>
      </c>
      <c r="Q147" s="184">
        <f t="shared" si="85"/>
        <v>160551265.16767642</v>
      </c>
      <c r="R147" s="184">
        <f t="shared" si="85"/>
        <v>120039640.33738399</v>
      </c>
      <c r="S147" s="184">
        <f t="shared" si="85"/>
        <v>152557488.51441637</v>
      </c>
      <c r="T147" s="184">
        <f t="shared" si="85"/>
        <v>203524399.49182418</v>
      </c>
      <c r="U147" s="184">
        <f t="shared" si="85"/>
        <v>275416322.98767418</v>
      </c>
      <c r="V147" s="184">
        <f t="shared" si="85"/>
        <v>293477064.91135556</v>
      </c>
      <c r="W147" s="184">
        <f t="shared" si="85"/>
        <v>249779153.66670632</v>
      </c>
      <c r="X147" s="184">
        <f t="shared" ref="X147:Y147" si="86">SUM(X136:X146)</f>
        <v>288248451.7569958</v>
      </c>
      <c r="Y147" s="184">
        <f t="shared" si="86"/>
        <v>318500076.64549804</v>
      </c>
      <c r="BB147" s="19"/>
      <c r="BC147" s="19"/>
      <c r="BD147" s="19"/>
      <c r="BE147" s="19"/>
      <c r="BF147" s="19"/>
      <c r="BG147" s="19"/>
      <c r="BH147" s="19"/>
      <c r="BI147" s="282"/>
      <c r="BJ147" s="19"/>
      <c r="BK147" s="646">
        <f>SUM(BK136:BK146)</f>
        <v>245177153.2296001</v>
      </c>
      <c r="BL147" s="184">
        <f t="shared" ref="BL147:BR147" si="87">SUM(BL136:BL146)</f>
        <v>247850326.54922545</v>
      </c>
      <c r="BM147" s="526">
        <f t="shared" si="87"/>
        <v>248150326.54922545</v>
      </c>
      <c r="BN147" s="183">
        <f t="shared" si="87"/>
        <v>211798970.19944671</v>
      </c>
      <c r="BO147" s="184">
        <f t="shared" si="87"/>
        <v>212098970.19944671</v>
      </c>
      <c r="BP147" s="184">
        <f t="shared" si="87"/>
        <v>212098970.19944671</v>
      </c>
      <c r="BQ147" s="184">
        <f t="shared" si="87"/>
        <v>212398970.19944671</v>
      </c>
      <c r="BR147" s="185">
        <f t="shared" si="87"/>
        <v>212398970.19944671</v>
      </c>
    </row>
    <row r="148" spans="1:80" ht="15.75" thickBot="1" x14ac:dyDescent="0.3">
      <c r="BK148" s="647"/>
    </row>
    <row r="149" spans="1:80" ht="25.5" thickBot="1" x14ac:dyDescent="0.3">
      <c r="AK149" s="26" t="s">
        <v>620</v>
      </c>
      <c r="AL149" s="19"/>
      <c r="AM149" s="19"/>
      <c r="AN149" s="19" t="s">
        <v>621</v>
      </c>
      <c r="AO149" s="19"/>
      <c r="AP149" s="19"/>
      <c r="AQ149" s="19"/>
      <c r="AR149" s="19"/>
      <c r="AS149" s="19"/>
      <c r="AT149" s="19"/>
      <c r="AV149" s="1122" t="s">
        <v>829</v>
      </c>
      <c r="AW149" s="1122" t="s">
        <v>828</v>
      </c>
      <c r="AX149" s="1122" t="s">
        <v>14</v>
      </c>
      <c r="BB149" s="259" t="s">
        <v>625</v>
      </c>
      <c r="BC149" s="619"/>
      <c r="BD149" s="619"/>
      <c r="BI149"/>
      <c r="BK149" s="647"/>
    </row>
    <row r="150" spans="1:80" ht="45.75" thickBot="1" x14ac:dyDescent="0.3">
      <c r="A150" s="19"/>
      <c r="B150" s="19"/>
      <c r="C150" s="187" t="s">
        <v>623</v>
      </c>
      <c r="D150" s="19"/>
      <c r="E150" s="19"/>
      <c r="F150" s="19"/>
      <c r="G150" s="19"/>
      <c r="H150" s="19"/>
      <c r="I150" s="19"/>
      <c r="J150" s="19"/>
      <c r="K150" s="19"/>
      <c r="L150" s="19"/>
      <c r="M150" s="207"/>
      <c r="N150" s="207"/>
      <c r="O150" s="19"/>
      <c r="P150" s="19"/>
      <c r="Q150" s="19"/>
      <c r="R150" s="19"/>
      <c r="S150" s="19"/>
      <c r="T150" s="19"/>
      <c r="U150" s="19"/>
      <c r="V150" s="19"/>
      <c r="W150" s="19"/>
      <c r="X150" s="282"/>
      <c r="Y150" s="282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294"/>
      <c r="AJ150" s="294"/>
      <c r="AK150" s="850" t="s">
        <v>5</v>
      </c>
      <c r="AL150" s="851" t="s">
        <v>6</v>
      </c>
      <c r="AM150" s="851" t="s">
        <v>7</v>
      </c>
      <c r="AN150" s="851" t="s">
        <v>8</v>
      </c>
      <c r="AO150" s="851" t="s">
        <v>9</v>
      </c>
      <c r="AP150" s="851" t="s">
        <v>10</v>
      </c>
      <c r="AQ150" s="851" t="s">
        <v>11</v>
      </c>
      <c r="AR150" s="851" t="s">
        <v>12</v>
      </c>
      <c r="AS150" s="851" t="s">
        <v>13</v>
      </c>
      <c r="AT150" s="852" t="s">
        <v>14</v>
      </c>
      <c r="AU150" s="852" t="s">
        <v>15</v>
      </c>
      <c r="AV150" s="616" t="s">
        <v>292</v>
      </c>
      <c r="AW150" s="617" t="s">
        <v>293</v>
      </c>
      <c r="AX150" s="618" t="s">
        <v>294</v>
      </c>
      <c r="AY150" s="19">
        <v>1</v>
      </c>
      <c r="BB150" s="620" t="s">
        <v>605</v>
      </c>
      <c r="BC150" s="621"/>
      <c r="BD150" s="621" t="s">
        <v>293</v>
      </c>
      <c r="BI150"/>
      <c r="BK150" s="647"/>
      <c r="BT150" s="859" t="s">
        <v>794</v>
      </c>
      <c r="BU150" s="859" t="s">
        <v>793</v>
      </c>
      <c r="BV150" t="s">
        <v>278</v>
      </c>
      <c r="BW150" t="s">
        <v>417</v>
      </c>
      <c r="BX150" t="s">
        <v>418</v>
      </c>
      <c r="BY150" t="s">
        <v>795</v>
      </c>
      <c r="BZ150" t="s">
        <v>278</v>
      </c>
      <c r="CA150" t="s">
        <v>417</v>
      </c>
      <c r="CB150" t="s">
        <v>418</v>
      </c>
    </row>
    <row r="151" spans="1:80" x14ac:dyDescent="0.25">
      <c r="A151" s="63" t="s">
        <v>296</v>
      </c>
      <c r="B151" s="166"/>
      <c r="C151" s="64" t="s">
        <v>409</v>
      </c>
      <c r="D151" s="167"/>
      <c r="E151" s="168"/>
      <c r="F151" s="168"/>
      <c r="G151" s="168"/>
      <c r="H151" s="168"/>
      <c r="I151" s="168"/>
      <c r="J151" s="168"/>
      <c r="K151" s="168"/>
      <c r="L151" s="168"/>
      <c r="M151" s="208"/>
      <c r="N151" s="1068">
        <f>N136</f>
        <v>6456776.9100000234</v>
      </c>
      <c r="O151" s="578"/>
      <c r="P151" s="575"/>
      <c r="Q151" s="575"/>
      <c r="R151" s="575"/>
      <c r="S151" s="575"/>
      <c r="T151" s="575"/>
      <c r="U151" s="575"/>
      <c r="V151" s="575"/>
      <c r="W151" s="575"/>
      <c r="X151" s="679"/>
      <c r="Y151" s="1091"/>
      <c r="Z151" s="165"/>
      <c r="AA151" s="165"/>
      <c r="AB151" s="165"/>
      <c r="AC151" s="165"/>
      <c r="AD151" s="165"/>
      <c r="AE151" s="165"/>
      <c r="AF151" s="169" t="s">
        <v>278</v>
      </c>
      <c r="AG151" s="170">
        <f>'Defect P1'!CL137</f>
        <v>222.39999999999998</v>
      </c>
      <c r="AH151" s="856">
        <f>AG151/SUM($AG$151:$AG$153)</f>
        <v>1.8076793861693023E-2</v>
      </c>
      <c r="AI151" s="294"/>
      <c r="AJ151" s="294"/>
      <c r="AK151" s="169">
        <v>0</v>
      </c>
      <c r="AL151" s="170">
        <v>0</v>
      </c>
      <c r="AM151" s="170">
        <v>0</v>
      </c>
      <c r="AN151" s="170">
        <v>0</v>
      </c>
      <c r="AO151" s="170">
        <v>0</v>
      </c>
      <c r="AP151" s="170">
        <v>0</v>
      </c>
      <c r="AQ151" s="170">
        <v>0</v>
      </c>
      <c r="AR151" s="170">
        <v>0</v>
      </c>
      <c r="AS151" s="170">
        <v>0</v>
      </c>
      <c r="AT151" s="613">
        <v>0</v>
      </c>
      <c r="AU151" s="613">
        <f>AU136</f>
        <v>4039</v>
      </c>
      <c r="AV151" s="75">
        <f t="shared" ref="AV151:AV156" si="88">SUM(AP151:AT151)/5</f>
        <v>0</v>
      </c>
      <c r="AW151" s="76">
        <f t="shared" ref="AW151:AW156" si="89">SUM(AR151:AT151)/3</f>
        <v>0</v>
      </c>
      <c r="AX151" s="77">
        <f t="shared" ref="AX151:AX156" si="90">SUM(AT151)</f>
        <v>0</v>
      </c>
      <c r="AY151" s="19">
        <v>2</v>
      </c>
      <c r="BB151" s="420"/>
      <c r="BC151" s="144"/>
      <c r="BD151" s="520"/>
      <c r="BE151" s="420"/>
      <c r="BF151" s="144"/>
      <c r="BG151" s="144"/>
      <c r="BH151" s="144"/>
      <c r="BI151" s="293"/>
      <c r="BJ151" s="302"/>
      <c r="BK151" s="643"/>
      <c r="BL151" s="79"/>
      <c r="BM151" s="523"/>
      <c r="BN151" s="415"/>
      <c r="BO151" s="79"/>
      <c r="BP151" s="79"/>
      <c r="BQ151" s="79"/>
      <c r="BR151" s="80"/>
      <c r="BT151" s="822">
        <v>1</v>
      </c>
      <c r="BU151" s="420">
        <f>BI151*BT151</f>
        <v>0</v>
      </c>
      <c r="BV151" s="420">
        <f>BU151*$AH$151</f>
        <v>0</v>
      </c>
      <c r="BW151" s="144">
        <f>BU151*$AH$152</f>
        <v>0</v>
      </c>
      <c r="BX151" s="726">
        <f>BU151*$AH$153</f>
        <v>0</v>
      </c>
      <c r="BY151" s="865">
        <f t="shared" ref="BY151:BY161" si="91">BI151-BU151</f>
        <v>0</v>
      </c>
      <c r="BZ151" s="860">
        <f>BY151*$AH$151</f>
        <v>0</v>
      </c>
      <c r="CA151" s="860">
        <f>BY151*$AH$152</f>
        <v>0</v>
      </c>
      <c r="CB151" s="860">
        <f>BY151*$AH$153</f>
        <v>0</v>
      </c>
    </row>
    <row r="152" spans="1:80" x14ac:dyDescent="0.25">
      <c r="A152" s="81" t="s">
        <v>27</v>
      </c>
      <c r="B152" s="171"/>
      <c r="C152" s="82" t="s">
        <v>410</v>
      </c>
      <c r="D152" s="172"/>
      <c r="E152" s="173"/>
      <c r="F152" s="173"/>
      <c r="G152" s="173"/>
      <c r="H152" s="173"/>
      <c r="I152" s="173"/>
      <c r="J152" s="173"/>
      <c r="K152" s="173"/>
      <c r="L152" s="173"/>
      <c r="M152" s="209"/>
      <c r="N152" s="1069">
        <f>AU152*N137/AJ137</f>
        <v>89934919.415854782</v>
      </c>
      <c r="O152" s="580"/>
      <c r="P152" s="576"/>
      <c r="Q152" s="576"/>
      <c r="R152" s="576"/>
      <c r="S152" s="576"/>
      <c r="T152" s="576"/>
      <c r="U152" s="576"/>
      <c r="V152" s="576"/>
      <c r="W152" s="576"/>
      <c r="X152" s="680"/>
      <c r="Y152" s="1091"/>
      <c r="Z152" s="165"/>
      <c r="AA152" s="165"/>
      <c r="AB152" s="165"/>
      <c r="AC152" s="165"/>
      <c r="AD152" s="165"/>
      <c r="AE152" s="165"/>
      <c r="AF152" s="174" t="s">
        <v>417</v>
      </c>
      <c r="AG152" s="175">
        <f>'Defect P2'!CL137</f>
        <v>11994.33333333333</v>
      </c>
      <c r="AH152" s="857">
        <f t="shared" ref="AH152:AH153" si="92">AG152/SUM($AG$151:$AG$153)</f>
        <v>0.97490598549955021</v>
      </c>
      <c r="AI152" s="294"/>
      <c r="AJ152" s="294"/>
      <c r="AK152" s="174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5234</v>
      </c>
      <c r="AQ152" s="175">
        <v>10929</v>
      </c>
      <c r="AR152" s="175">
        <v>10486</v>
      </c>
      <c r="AS152" s="175">
        <v>10810</v>
      </c>
      <c r="AT152" s="614">
        <v>10486</v>
      </c>
      <c r="AU152" s="614">
        <v>10936</v>
      </c>
      <c r="AV152" s="93">
        <f t="shared" si="88"/>
        <v>9589</v>
      </c>
      <c r="AW152" s="94">
        <f t="shared" si="89"/>
        <v>10594</v>
      </c>
      <c r="AX152" s="95">
        <f t="shared" si="90"/>
        <v>10486</v>
      </c>
      <c r="AY152" s="19">
        <v>3</v>
      </c>
      <c r="BB152" s="421"/>
      <c r="BC152" s="96"/>
      <c r="BD152" s="521"/>
      <c r="BE152" s="421"/>
      <c r="BF152" s="96"/>
      <c r="BG152" s="96"/>
      <c r="BH152" s="96"/>
      <c r="BI152" s="286"/>
      <c r="BJ152" s="305"/>
      <c r="BK152" s="644"/>
      <c r="BL152" s="97"/>
      <c r="BM152" s="524"/>
      <c r="BN152" s="416"/>
      <c r="BO152" s="97"/>
      <c r="BP152" s="97"/>
      <c r="BQ152" s="97"/>
      <c r="BR152" s="98"/>
      <c r="BT152" s="822">
        <v>1</v>
      </c>
      <c r="BU152" s="421">
        <f t="shared" ref="BU152:BU161" si="93">BI152*BT152</f>
        <v>0</v>
      </c>
      <c r="BV152" s="421">
        <f t="shared" ref="BV152:BV161" si="94">BU152*$AH$151</f>
        <v>0</v>
      </c>
      <c r="BW152" s="96">
        <f t="shared" ref="BW152:BW161" si="95">BU152*$AH$152</f>
        <v>0</v>
      </c>
      <c r="BX152" s="727">
        <f t="shared" ref="BX152:BX161" si="96">BU152*$AH$153</f>
        <v>0</v>
      </c>
      <c r="BY152" s="866">
        <f t="shared" si="91"/>
        <v>0</v>
      </c>
      <c r="BZ152" s="861">
        <f t="shared" ref="BZ152:BZ161" si="97">BY152*$AH$151</f>
        <v>0</v>
      </c>
      <c r="CA152" s="861">
        <f t="shared" ref="CA152:CA161" si="98">BY152*$AH$152</f>
        <v>0</v>
      </c>
      <c r="CB152" s="861">
        <f t="shared" ref="CB152:CB161" si="99">BY152*$AH$153</f>
        <v>0</v>
      </c>
    </row>
    <row r="153" spans="1:80" x14ac:dyDescent="0.25">
      <c r="A153" s="81" t="s">
        <v>68</v>
      </c>
      <c r="B153" s="171"/>
      <c r="C153" s="82" t="s">
        <v>411</v>
      </c>
      <c r="D153" s="172"/>
      <c r="E153" s="173"/>
      <c r="F153" s="173"/>
      <c r="G153" s="173"/>
      <c r="H153" s="173"/>
      <c r="I153" s="173"/>
      <c r="J153" s="173"/>
      <c r="K153" s="173"/>
      <c r="L153" s="173"/>
      <c r="M153" s="209"/>
      <c r="N153" s="1069">
        <f t="shared" ref="N153:N161" si="100">AU153*N138/AJ138</f>
        <v>29485544.556061432</v>
      </c>
      <c r="O153" s="580"/>
      <c r="P153" s="576"/>
      <c r="Q153" s="576"/>
      <c r="R153" s="576"/>
      <c r="S153" s="576"/>
      <c r="T153" s="576"/>
      <c r="U153" s="576"/>
      <c r="V153" s="576"/>
      <c r="W153" s="576"/>
      <c r="X153" s="680"/>
      <c r="Y153" s="1091"/>
      <c r="Z153" s="165"/>
      <c r="AA153" s="165"/>
      <c r="AB153" s="165"/>
      <c r="AC153" s="165"/>
      <c r="AD153" s="165"/>
      <c r="AE153" s="165"/>
      <c r="AF153" s="174" t="s">
        <v>418</v>
      </c>
      <c r="AG153" s="175">
        <f>RTS!CL137</f>
        <v>86.333333333333343</v>
      </c>
      <c r="AH153" s="857">
        <f t="shared" si="92"/>
        <v>7.0172206387567352E-3</v>
      </c>
      <c r="AI153" s="294"/>
      <c r="AJ153" s="294"/>
      <c r="AK153" s="174">
        <v>0</v>
      </c>
      <c r="AL153" s="175">
        <v>0</v>
      </c>
      <c r="AM153" s="175">
        <v>0</v>
      </c>
      <c r="AN153" s="175">
        <v>0</v>
      </c>
      <c r="AO153" s="175">
        <v>0</v>
      </c>
      <c r="AP153" s="175">
        <v>6690</v>
      </c>
      <c r="AQ153" s="175">
        <v>9714</v>
      </c>
      <c r="AR153" s="175">
        <v>7719</v>
      </c>
      <c r="AS153" s="175">
        <v>8619</v>
      </c>
      <c r="AT153" s="614">
        <v>8445</v>
      </c>
      <c r="AU153" s="614">
        <v>7612</v>
      </c>
      <c r="AV153" s="93">
        <f t="shared" si="88"/>
        <v>8237.4</v>
      </c>
      <c r="AW153" s="94">
        <f t="shared" si="89"/>
        <v>8261</v>
      </c>
      <c r="AX153" s="95">
        <f t="shared" si="90"/>
        <v>8445</v>
      </c>
      <c r="AY153" s="19">
        <v>4</v>
      </c>
      <c r="BB153" s="421">
        <f>BB$137*HLOOKUP($BD$150,$AV$150:$AX$161,ROWS(BB$150:BB153),0)/HLOOKUP($BD$150,$AV$150:$AX$161,3,0)</f>
        <v>9593.6977282738626</v>
      </c>
      <c r="BC153" s="96">
        <f>BC$137*HLOOKUP($BD$150,$AV$150:$AX$161,ROWS(BC$150:BC153),0)/HLOOKUP($BD$150,$AV$150:$AX$161,3,0)</f>
        <v>9593.6977282738626</v>
      </c>
      <c r="BD153" s="521">
        <f>BD$137*HLOOKUP($BD$150,$AV$150:$AX$161,ROWS(BD$150:BD153),0)/HLOOKUP($BD$150,$AV$150:$AX$161,3,0)</f>
        <v>9593.6977282738626</v>
      </c>
      <c r="BE153" s="421">
        <f>BE$137*HLOOKUP($BD$150,$AV$150:$AX$161,ROWS(BE$150:BE153),0)/HLOOKUP($BD$150,$AV$150:$AX$161,3,0)</f>
        <v>9593.6977282738626</v>
      </c>
      <c r="BF153" s="96">
        <f>BF$137*HLOOKUP($BD$150,$AV$150:$AX$161,ROWS(BF$150:BF153),0)/HLOOKUP($BD$150,$AV$150:$AX$161,3,0)</f>
        <v>9593.6977282738626</v>
      </c>
      <c r="BG153" s="96">
        <f>BG$137*HLOOKUP($BD$150,$AV$150:$AX$161,ROWS(BG$150:BG153),0)/HLOOKUP($BD$150,$AV$150:$AX$161,3,0)</f>
        <v>9593.6977282738626</v>
      </c>
      <c r="BH153" s="96">
        <f>BH$137*HLOOKUP($BD$150,$AV$150:$AX$161,ROWS(BH$150:BH153),0)/HLOOKUP($BD$150,$AV$150:$AX$161,3,0)</f>
        <v>9593.6977282738626</v>
      </c>
      <c r="BI153" s="286">
        <f>BI$137*HLOOKUP($BD$150,$AV$150:$AX$161,ROWS(BI$150:BI153),0)/HLOOKUP($BD$150,$AV$150:$AX$161,3,0)</f>
        <v>9593.6977282738626</v>
      </c>
      <c r="BJ153" s="305"/>
      <c r="BK153" s="644">
        <f>IFERROR(BB153*BK138/BB138,0)</f>
        <v>26974345.180437941</v>
      </c>
      <c r="BL153" s="97">
        <f>IFERROR(BC153*BL138/BC138,0)</f>
        <v>26974345.180437941</v>
      </c>
      <c r="BM153" s="524">
        <f t="shared" ref="BM153:BR153" si="101">IFERROR(BD153*BM138/BD138,0)</f>
        <v>26974345.180437941</v>
      </c>
      <c r="BN153" s="416">
        <f t="shared" si="101"/>
        <v>26974497.378584087</v>
      </c>
      <c r="BO153" s="97">
        <f t="shared" si="101"/>
        <v>26974497.378584087</v>
      </c>
      <c r="BP153" s="97">
        <f t="shared" si="101"/>
        <v>26974497.378584087</v>
      </c>
      <c r="BQ153" s="97">
        <f t="shared" si="101"/>
        <v>26974497.378584087</v>
      </c>
      <c r="BR153" s="98">
        <f t="shared" si="101"/>
        <v>26974497.378584087</v>
      </c>
      <c r="BT153" s="822">
        <v>1</v>
      </c>
      <c r="BU153" s="421">
        <f t="shared" si="93"/>
        <v>9593.6977282738626</v>
      </c>
      <c r="BV153" s="421">
        <f t="shared" si="94"/>
        <v>173.42329620539925</v>
      </c>
      <c r="BW153" s="96">
        <f t="shared" si="95"/>
        <v>9352.9533383676262</v>
      </c>
      <c r="BX153" s="727">
        <f t="shared" si="96"/>
        <v>67.321093700836954</v>
      </c>
      <c r="BY153" s="866">
        <f t="shared" si="91"/>
        <v>0</v>
      </c>
      <c r="BZ153" s="861">
        <f t="shared" si="97"/>
        <v>0</v>
      </c>
      <c r="CA153" s="861">
        <f t="shared" si="98"/>
        <v>0</v>
      </c>
      <c r="CB153" s="861">
        <f t="shared" si="99"/>
        <v>0</v>
      </c>
    </row>
    <row r="154" spans="1:80" x14ac:dyDescent="0.25">
      <c r="A154" s="81" t="s">
        <v>81</v>
      </c>
      <c r="B154" s="171"/>
      <c r="C154" s="82" t="s">
        <v>270</v>
      </c>
      <c r="D154" s="172"/>
      <c r="E154" s="173"/>
      <c r="F154" s="173"/>
      <c r="G154" s="173"/>
      <c r="H154" s="173"/>
      <c r="I154" s="173"/>
      <c r="J154" s="173"/>
      <c r="K154" s="173"/>
      <c r="L154" s="173"/>
      <c r="M154" s="209"/>
      <c r="N154" s="1069">
        <f t="shared" si="100"/>
        <v>0</v>
      </c>
      <c r="O154" s="580"/>
      <c r="P154" s="576"/>
      <c r="Q154" s="576"/>
      <c r="R154" s="576"/>
      <c r="S154" s="576"/>
      <c r="T154" s="576"/>
      <c r="U154" s="576"/>
      <c r="V154" s="576"/>
      <c r="W154" s="576"/>
      <c r="X154" s="680"/>
      <c r="Y154" s="1091"/>
      <c r="Z154" s="165"/>
      <c r="AA154" s="165"/>
      <c r="AB154" s="165"/>
      <c r="AC154" s="165"/>
      <c r="AD154" s="165"/>
      <c r="AE154" s="165"/>
      <c r="AF154" s="174"/>
      <c r="AG154" s="175"/>
      <c r="AH154" s="854"/>
      <c r="AI154" s="294"/>
      <c r="AJ154" s="294"/>
      <c r="AK154" s="174">
        <v>0</v>
      </c>
      <c r="AL154" s="175">
        <v>0</v>
      </c>
      <c r="AM154" s="175">
        <v>0</v>
      </c>
      <c r="AN154" s="175">
        <v>0</v>
      </c>
      <c r="AO154" s="175">
        <v>0</v>
      </c>
      <c r="AP154" s="175">
        <v>0</v>
      </c>
      <c r="AQ154" s="175">
        <v>0</v>
      </c>
      <c r="AR154" s="175">
        <v>0</v>
      </c>
      <c r="AS154" s="175">
        <v>0</v>
      </c>
      <c r="AT154" s="614">
        <v>0</v>
      </c>
      <c r="AU154" s="614">
        <v>0</v>
      </c>
      <c r="AV154" s="93">
        <f t="shared" si="88"/>
        <v>0</v>
      </c>
      <c r="AW154" s="94">
        <f t="shared" si="89"/>
        <v>0</v>
      </c>
      <c r="AX154" s="95">
        <f t="shared" si="90"/>
        <v>0</v>
      </c>
      <c r="AY154" s="19">
        <v>5</v>
      </c>
      <c r="BB154" s="421">
        <f>BB$137*HLOOKUP($BD$150,$AV$150:$AX$161,ROWS(BB$150:BB154),0)/HLOOKUP($BD$150,$AV$150:$AX$161,3,0)</f>
        <v>0</v>
      </c>
      <c r="BC154" s="96">
        <f>BC$137*HLOOKUP($BD$150,$AV$150:$AX$161,ROWS(BC$150:BC154),0)/HLOOKUP($BD$150,$AV$150:$AX$161,3,0)</f>
        <v>0</v>
      </c>
      <c r="BD154" s="521">
        <f>BD$137*HLOOKUP($BD$150,$AV$150:$AX$161,ROWS(BD$150:BD154),0)/HLOOKUP($BD$150,$AV$150:$AX$161,3,0)</f>
        <v>0</v>
      </c>
      <c r="BE154" s="421">
        <f>BE$137*HLOOKUP($BD$150,$AV$150:$AX$161,ROWS(BE$150:BE154),0)/HLOOKUP($BD$150,$AV$150:$AX$161,3,0)</f>
        <v>0</v>
      </c>
      <c r="BF154" s="96">
        <f>BF$137*HLOOKUP($BD$150,$AV$150:$AX$161,ROWS(BF$150:BF154),0)/HLOOKUP($BD$150,$AV$150:$AX$161,3,0)</f>
        <v>0</v>
      </c>
      <c r="BG154" s="96">
        <f>BG$137*HLOOKUP($BD$150,$AV$150:$AX$161,ROWS(BG$150:BG154),0)/HLOOKUP($BD$150,$AV$150:$AX$161,3,0)</f>
        <v>0</v>
      </c>
      <c r="BH154" s="96">
        <f>BH$137*HLOOKUP($BD$150,$AV$150:$AX$161,ROWS(BH$150:BH154),0)/HLOOKUP($BD$150,$AV$150:$AX$161,3,0)</f>
        <v>0</v>
      </c>
      <c r="BI154" s="286">
        <f>BI$137*HLOOKUP($BD$150,$AV$150:$AX$161,ROWS(BI$150:BI154),0)/HLOOKUP($BD$150,$AV$150:$AX$161,3,0)</f>
        <v>0</v>
      </c>
      <c r="BJ154" s="305"/>
      <c r="BK154" s="644">
        <f t="shared" ref="BK154:BR154" si="102">IFERROR(BB154*BK139/BB139,0)</f>
        <v>0</v>
      </c>
      <c r="BL154" s="97">
        <f t="shared" si="102"/>
        <v>0</v>
      </c>
      <c r="BM154" s="524">
        <f t="shared" si="102"/>
        <v>0</v>
      </c>
      <c r="BN154" s="416">
        <f t="shared" si="102"/>
        <v>0</v>
      </c>
      <c r="BO154" s="97">
        <f t="shared" si="102"/>
        <v>0</v>
      </c>
      <c r="BP154" s="97">
        <f t="shared" si="102"/>
        <v>0</v>
      </c>
      <c r="BQ154" s="97">
        <f t="shared" si="102"/>
        <v>0</v>
      </c>
      <c r="BR154" s="98">
        <f t="shared" si="102"/>
        <v>0</v>
      </c>
      <c r="BT154" s="822">
        <v>1</v>
      </c>
      <c r="BU154" s="421">
        <f t="shared" si="93"/>
        <v>0</v>
      </c>
      <c r="BV154" s="421">
        <f t="shared" si="94"/>
        <v>0</v>
      </c>
      <c r="BW154" s="96">
        <f t="shared" si="95"/>
        <v>0</v>
      </c>
      <c r="BX154" s="727">
        <f t="shared" si="96"/>
        <v>0</v>
      </c>
      <c r="BY154" s="866">
        <f t="shared" si="91"/>
        <v>0</v>
      </c>
      <c r="BZ154" s="861">
        <f t="shared" si="97"/>
        <v>0</v>
      </c>
      <c r="CA154" s="861">
        <f t="shared" si="98"/>
        <v>0</v>
      </c>
      <c r="CB154" s="861">
        <f t="shared" si="99"/>
        <v>0</v>
      </c>
    </row>
    <row r="155" spans="1:80" x14ac:dyDescent="0.25">
      <c r="A155" s="81" t="s">
        <v>94</v>
      </c>
      <c r="B155" s="171"/>
      <c r="C155" s="82" t="s">
        <v>412</v>
      </c>
      <c r="D155" s="172"/>
      <c r="E155" s="173"/>
      <c r="F155" s="173"/>
      <c r="G155" s="173"/>
      <c r="H155" s="173"/>
      <c r="I155" s="173"/>
      <c r="J155" s="173"/>
      <c r="K155" s="173"/>
      <c r="L155" s="173"/>
      <c r="M155" s="209"/>
      <c r="N155" s="1069">
        <f t="shared" si="100"/>
        <v>0</v>
      </c>
      <c r="O155" s="580"/>
      <c r="P155" s="576"/>
      <c r="Q155" s="576"/>
      <c r="R155" s="576"/>
      <c r="S155" s="576"/>
      <c r="T155" s="576"/>
      <c r="U155" s="576"/>
      <c r="V155" s="576"/>
      <c r="W155" s="576"/>
      <c r="X155" s="680"/>
      <c r="Y155" s="1091"/>
      <c r="Z155" s="165"/>
      <c r="AA155" s="165"/>
      <c r="AB155" s="165"/>
      <c r="AC155" s="165"/>
      <c r="AD155" s="165"/>
      <c r="AE155" s="165"/>
      <c r="AF155" s="174"/>
      <c r="AG155" s="175"/>
      <c r="AH155" s="854"/>
      <c r="AI155" s="294"/>
      <c r="AJ155" s="294"/>
      <c r="AK155" s="174">
        <v>0</v>
      </c>
      <c r="AL155" s="175">
        <v>0</v>
      </c>
      <c r="AM155" s="175">
        <v>0</v>
      </c>
      <c r="AN155" s="175">
        <v>0</v>
      </c>
      <c r="AO155" s="175">
        <v>0</v>
      </c>
      <c r="AP155" s="175">
        <v>0</v>
      </c>
      <c r="AQ155" s="175">
        <v>0</v>
      </c>
      <c r="AR155" s="175">
        <v>0</v>
      </c>
      <c r="AS155" s="175">
        <v>0</v>
      </c>
      <c r="AT155" s="614">
        <v>0</v>
      </c>
      <c r="AU155" s="614">
        <v>0</v>
      </c>
      <c r="AV155" s="93">
        <f t="shared" si="88"/>
        <v>0</v>
      </c>
      <c r="AW155" s="94">
        <f t="shared" si="89"/>
        <v>0</v>
      </c>
      <c r="AX155" s="95">
        <f t="shared" si="90"/>
        <v>0</v>
      </c>
      <c r="AY155" s="19">
        <v>6</v>
      </c>
      <c r="BB155" s="421">
        <f>BB$137*HLOOKUP($BD$150,$AV$150:$AX$161,ROWS(BB$150:BB155),0)/HLOOKUP($BD$150,$AV$150:$AX$161,3,0)</f>
        <v>0</v>
      </c>
      <c r="BC155" s="96">
        <f>BC$137*HLOOKUP($BD$150,$AV$150:$AX$161,ROWS(BC$150:BC155),0)/HLOOKUP($BD$150,$AV$150:$AX$161,3,0)</f>
        <v>0</v>
      </c>
      <c r="BD155" s="521">
        <f>BD$137*HLOOKUP($BD$150,$AV$150:$AX$161,ROWS(BD$150:BD155),0)/HLOOKUP($BD$150,$AV$150:$AX$161,3,0)</f>
        <v>0</v>
      </c>
      <c r="BE155" s="421">
        <f>BE$137*HLOOKUP($BD$150,$AV$150:$AX$161,ROWS(BE$150:BE155),0)/HLOOKUP($BD$150,$AV$150:$AX$161,3,0)</f>
        <v>0</v>
      </c>
      <c r="BF155" s="96">
        <f>BF$137*HLOOKUP($BD$150,$AV$150:$AX$161,ROWS(BF$150:BF155),0)/HLOOKUP($BD$150,$AV$150:$AX$161,3,0)</f>
        <v>0</v>
      </c>
      <c r="BG155" s="96">
        <f>BG$137*HLOOKUP($BD$150,$AV$150:$AX$161,ROWS(BG$150:BG155),0)/HLOOKUP($BD$150,$AV$150:$AX$161,3,0)</f>
        <v>0</v>
      </c>
      <c r="BH155" s="96">
        <f>BH$137*HLOOKUP($BD$150,$AV$150:$AX$161,ROWS(BH$150:BH155),0)/HLOOKUP($BD$150,$AV$150:$AX$161,3,0)</f>
        <v>0</v>
      </c>
      <c r="BI155" s="286">
        <f>BI$137*HLOOKUP($BD$150,$AV$150:$AX$161,ROWS(BI$150:BI155),0)/HLOOKUP($BD$150,$AV$150:$AX$161,3,0)</f>
        <v>0</v>
      </c>
      <c r="BJ155" s="305"/>
      <c r="BK155" s="644">
        <f t="shared" ref="BK155:BR155" si="103">IFERROR(BB155*BK140/BB140,0)</f>
        <v>0</v>
      </c>
      <c r="BL155" s="97">
        <f t="shared" si="103"/>
        <v>0</v>
      </c>
      <c r="BM155" s="524">
        <f t="shared" si="103"/>
        <v>0</v>
      </c>
      <c r="BN155" s="416">
        <f t="shared" si="103"/>
        <v>0</v>
      </c>
      <c r="BO155" s="97">
        <f t="shared" si="103"/>
        <v>0</v>
      </c>
      <c r="BP155" s="97">
        <f t="shared" si="103"/>
        <v>0</v>
      </c>
      <c r="BQ155" s="97">
        <f t="shared" si="103"/>
        <v>0</v>
      </c>
      <c r="BR155" s="98">
        <f t="shared" si="103"/>
        <v>0</v>
      </c>
      <c r="BT155" s="822">
        <v>1</v>
      </c>
      <c r="BU155" s="421">
        <f t="shared" si="93"/>
        <v>0</v>
      </c>
      <c r="BV155" s="421">
        <f t="shared" si="94"/>
        <v>0</v>
      </c>
      <c r="BW155" s="96">
        <f t="shared" si="95"/>
        <v>0</v>
      </c>
      <c r="BX155" s="727">
        <f t="shared" si="96"/>
        <v>0</v>
      </c>
      <c r="BY155" s="866">
        <f t="shared" si="91"/>
        <v>0</v>
      </c>
      <c r="BZ155" s="861">
        <f t="shared" si="97"/>
        <v>0</v>
      </c>
      <c r="CA155" s="861">
        <f t="shared" si="98"/>
        <v>0</v>
      </c>
      <c r="CB155" s="861">
        <f t="shared" si="99"/>
        <v>0</v>
      </c>
    </row>
    <row r="156" spans="1:80" x14ac:dyDescent="0.25">
      <c r="A156" s="81" t="s">
        <v>106</v>
      </c>
      <c r="B156" s="171"/>
      <c r="C156" s="82" t="s">
        <v>272</v>
      </c>
      <c r="D156" s="172"/>
      <c r="E156" s="173"/>
      <c r="F156" s="173"/>
      <c r="G156" s="173"/>
      <c r="H156" s="173"/>
      <c r="I156" s="173"/>
      <c r="J156" s="173"/>
      <c r="K156" s="173"/>
      <c r="L156" s="173"/>
      <c r="M156" s="209"/>
      <c r="N156" s="1069">
        <f t="shared" si="100"/>
        <v>8733992.3601978533</v>
      </c>
      <c r="O156" s="580"/>
      <c r="P156" s="576"/>
      <c r="Q156" s="576"/>
      <c r="R156" s="576"/>
      <c r="S156" s="576"/>
      <c r="T156" s="576"/>
      <c r="U156" s="576"/>
      <c r="V156" s="576"/>
      <c r="W156" s="576"/>
      <c r="X156" s="680"/>
      <c r="Y156" s="1091"/>
      <c r="Z156" s="165"/>
      <c r="AA156" s="165"/>
      <c r="AB156" s="165"/>
      <c r="AC156" s="165"/>
      <c r="AD156" s="165"/>
      <c r="AE156" s="165"/>
      <c r="AF156" s="174"/>
      <c r="AG156" s="175"/>
      <c r="AH156" s="854"/>
      <c r="AI156" s="294"/>
      <c r="AJ156" s="294"/>
      <c r="AK156" s="174">
        <v>0</v>
      </c>
      <c r="AL156" s="175">
        <v>0</v>
      </c>
      <c r="AM156" s="175">
        <v>0</v>
      </c>
      <c r="AN156" s="175">
        <v>0</v>
      </c>
      <c r="AO156" s="175">
        <v>0</v>
      </c>
      <c r="AP156" s="175">
        <v>2426.8499508109944</v>
      </c>
      <c r="AQ156" s="175">
        <v>4861.0182201540711</v>
      </c>
      <c r="AR156" s="175">
        <v>2904.4412400861111</v>
      </c>
      <c r="AS156" s="175">
        <v>3181.1184412600755</v>
      </c>
      <c r="AT156" s="614">
        <v>4366.1405373900316</v>
      </c>
      <c r="AU156" s="614">
        <v>4698.680232235014</v>
      </c>
      <c r="AV156" s="93">
        <f t="shared" si="88"/>
        <v>3547.913677940257</v>
      </c>
      <c r="AW156" s="94">
        <f t="shared" si="89"/>
        <v>3483.900072912073</v>
      </c>
      <c r="AX156" s="95">
        <f t="shared" si="90"/>
        <v>4366.1405373900316</v>
      </c>
      <c r="AY156" s="19">
        <v>7</v>
      </c>
      <c r="BB156" s="421">
        <f>BB$137*HLOOKUP($BD$150,$AV$150:$AX$161,ROWS(BB$150:BB156),0)/HLOOKUP($BD$150,$AV$150:$AX$161,3,0)</f>
        <v>4045.9368375535291</v>
      </c>
      <c r="BC156" s="96">
        <f>BC$137*HLOOKUP($BD$150,$AV$150:$AX$161,ROWS(BC$150:BC156),0)/HLOOKUP($BD$150,$AV$150:$AX$161,3,0)</f>
        <v>4045.9368375535291</v>
      </c>
      <c r="BD156" s="521">
        <f>BD$137*HLOOKUP($BD$150,$AV$150:$AX$161,ROWS(BD$150:BD156),0)/HLOOKUP($BD$150,$AV$150:$AX$161,3,0)</f>
        <v>4045.9368375535291</v>
      </c>
      <c r="BE156" s="421">
        <f>BE$137*HLOOKUP($BD$150,$AV$150:$AX$161,ROWS(BE$150:BE156),0)/HLOOKUP($BD$150,$AV$150:$AX$161,3,0)</f>
        <v>4045.9368375535291</v>
      </c>
      <c r="BF156" s="96">
        <f>BF$137*HLOOKUP($BD$150,$AV$150:$AX$161,ROWS(BF$150:BF156),0)/HLOOKUP($BD$150,$AV$150:$AX$161,3,0)</f>
        <v>4045.9368375535291</v>
      </c>
      <c r="BG156" s="96">
        <f>BG$137*HLOOKUP($BD$150,$AV$150:$AX$161,ROWS(BG$150:BG156),0)/HLOOKUP($BD$150,$AV$150:$AX$161,3,0)</f>
        <v>4045.9368375535291</v>
      </c>
      <c r="BH156" s="96">
        <f>BH$137*HLOOKUP($BD$150,$AV$150:$AX$161,ROWS(BH$150:BH156),0)/HLOOKUP($BD$150,$AV$150:$AX$161,3,0)</f>
        <v>4045.9368375535291</v>
      </c>
      <c r="BI156" s="286">
        <f>BI$137*HLOOKUP($BD$150,$AV$150:$AX$161,ROWS(BI$150:BI156),0)/HLOOKUP($BD$150,$AV$150:$AX$161,3,0)</f>
        <v>4045.9368375535291</v>
      </c>
      <c r="BJ156" s="305"/>
      <c r="BK156" s="644">
        <f t="shared" ref="BK156:BR156" si="104">IFERROR(BB156*BK141/BB141,0)</f>
        <v>6214741.1737805745</v>
      </c>
      <c r="BL156" s="97">
        <f t="shared" si="104"/>
        <v>6214741.1737805745</v>
      </c>
      <c r="BM156" s="524">
        <f t="shared" si="104"/>
        <v>6214741.1737805745</v>
      </c>
      <c r="BN156" s="416">
        <f t="shared" si="104"/>
        <v>6214741.1737805745</v>
      </c>
      <c r="BO156" s="97">
        <f t="shared" si="104"/>
        <v>6214741.1737805745</v>
      </c>
      <c r="BP156" s="97">
        <f t="shared" si="104"/>
        <v>6214741.1737805745</v>
      </c>
      <c r="BQ156" s="97">
        <f t="shared" si="104"/>
        <v>6214741.1737805745</v>
      </c>
      <c r="BR156" s="98">
        <f t="shared" si="104"/>
        <v>6214741.1737805745</v>
      </c>
      <c r="BT156" s="822">
        <v>1</v>
      </c>
      <c r="BU156" s="421">
        <f t="shared" si="93"/>
        <v>4045.9368375535291</v>
      </c>
      <c r="BV156" s="421">
        <f t="shared" si="94"/>
        <v>73.13756618988532</v>
      </c>
      <c r="BW156" s="96">
        <f t="shared" si="95"/>
        <v>3944.408039884057</v>
      </c>
      <c r="BX156" s="727">
        <f t="shared" si="96"/>
        <v>28.391231479586782</v>
      </c>
      <c r="BY156" s="866">
        <f t="shared" si="91"/>
        <v>0</v>
      </c>
      <c r="BZ156" s="861">
        <f t="shared" si="97"/>
        <v>0</v>
      </c>
      <c r="CA156" s="861">
        <f t="shared" si="98"/>
        <v>0</v>
      </c>
      <c r="CB156" s="861">
        <f t="shared" si="99"/>
        <v>0</v>
      </c>
    </row>
    <row r="157" spans="1:80" x14ac:dyDescent="0.25">
      <c r="A157" s="81" t="s">
        <v>138</v>
      </c>
      <c r="B157" s="171"/>
      <c r="C157" s="82" t="s">
        <v>413</v>
      </c>
      <c r="D157" s="172"/>
      <c r="E157" s="173"/>
      <c r="F157" s="173"/>
      <c r="G157" s="173"/>
      <c r="H157" s="173"/>
      <c r="I157" s="173"/>
      <c r="J157" s="173"/>
      <c r="K157" s="173"/>
      <c r="L157" s="173"/>
      <c r="M157" s="209"/>
      <c r="N157" s="1069">
        <f t="shared" si="100"/>
        <v>10019994.398003343</v>
      </c>
      <c r="O157" s="580"/>
      <c r="P157" s="576"/>
      <c r="Q157" s="576"/>
      <c r="R157" s="576"/>
      <c r="S157" s="576"/>
      <c r="T157" s="576"/>
      <c r="U157" s="576"/>
      <c r="V157" s="576"/>
      <c r="W157" s="576"/>
      <c r="X157" s="680"/>
      <c r="Y157" s="1091"/>
      <c r="Z157" s="165"/>
      <c r="AA157" s="165"/>
      <c r="AB157" s="165"/>
      <c r="AC157" s="165"/>
      <c r="AD157" s="165"/>
      <c r="AE157" s="165"/>
      <c r="AF157" s="174"/>
      <c r="AG157" s="175"/>
      <c r="AH157" s="854"/>
      <c r="AI157" s="294"/>
      <c r="AJ157" s="294"/>
      <c r="AK157" s="174">
        <v>0</v>
      </c>
      <c r="AL157" s="175">
        <v>0</v>
      </c>
      <c r="AM157" s="175">
        <v>0</v>
      </c>
      <c r="AN157" s="175">
        <v>0</v>
      </c>
      <c r="AO157" s="175">
        <v>0</v>
      </c>
      <c r="AP157" s="175">
        <v>266</v>
      </c>
      <c r="AQ157" s="175">
        <v>608</v>
      </c>
      <c r="AR157" s="175">
        <v>431</v>
      </c>
      <c r="AS157" s="175">
        <v>473</v>
      </c>
      <c r="AT157" s="614">
        <v>264</v>
      </c>
      <c r="AU157" s="614">
        <v>191</v>
      </c>
      <c r="AV157" s="93">
        <f>SUM(AP157:AT157)/5*$BA157</f>
        <v>216.452</v>
      </c>
      <c r="AW157" s="94">
        <f>SUM(AR157:AT157)/3*$BA157</f>
        <v>206.34666666666666</v>
      </c>
      <c r="AX157" s="95">
        <f>SUM(AT157)*$BA157</f>
        <v>139.92000000000002</v>
      </c>
      <c r="AY157" s="19">
        <v>8</v>
      </c>
      <c r="AZ157" s="19" t="s">
        <v>795</v>
      </c>
      <c r="BA157" s="19">
        <v>0.53</v>
      </c>
      <c r="BB157" s="421">
        <f>BB$137*HLOOKUP($BD$150,$AV$150:$AX$161,ROWS(BB$150:BB157),0)/HLOOKUP($BD$150,$AV$150:$AX$161,3,0)</f>
        <v>239.63534042330036</v>
      </c>
      <c r="BC157" s="96">
        <f>BC$137*HLOOKUP($BD$150,$AV$150:$AX$161,ROWS(BC$150:BC157),0)/HLOOKUP($BD$150,$AV$150:$AX$161,3,0)</f>
        <v>239.63534042330036</v>
      </c>
      <c r="BD157" s="521">
        <f>BD$137*HLOOKUP($BD$150,$AV$150:$AX$161,ROWS(BD$150:BD157),0)/HLOOKUP($BD$150,$AV$150:$AX$161,3,0)</f>
        <v>239.63534042330036</v>
      </c>
      <c r="BE157" s="421">
        <f>BE$137*HLOOKUP($BD$150,$AV$150:$AX$161,ROWS(BE$150:BE157),0)/HLOOKUP($BD$150,$AV$150:$AX$161,3,0)</f>
        <v>239.63534042330036</v>
      </c>
      <c r="BF157" s="96">
        <f>BF$137*HLOOKUP($BD$150,$AV$150:$AX$161,ROWS(BF$150:BF157),0)/HLOOKUP($BD$150,$AV$150:$AX$161,3,0)</f>
        <v>239.63534042330036</v>
      </c>
      <c r="BG157" s="96">
        <f>BG$137*HLOOKUP($BD$150,$AV$150:$AX$161,ROWS(BG$150:BG157),0)/HLOOKUP($BD$150,$AV$150:$AX$161,3,0)</f>
        <v>239.63534042330036</v>
      </c>
      <c r="BH157" s="96">
        <f>BH$137*HLOOKUP($BD$150,$AV$150:$AX$161,ROWS(BH$150:BH157),0)/HLOOKUP($BD$150,$AV$150:$AX$161,3,0)</f>
        <v>239.63534042330036</v>
      </c>
      <c r="BI157" s="286">
        <f>BI$137*HLOOKUP($BD$150,$AV$150:$AX$161,ROWS(BI$150:BI157),0)/HLOOKUP($BD$150,$AV$150:$AX$161,3,0)</f>
        <v>239.63534042330036</v>
      </c>
      <c r="BJ157" s="305"/>
      <c r="BK157" s="644">
        <f>IFERROR(BB157*BK142/BB142,0)</f>
        <v>7166083.9796283245</v>
      </c>
      <c r="BL157" s="97">
        <f t="shared" ref="BL157:BR157" si="105">IFERROR(BC157*BL142/BC142,0)</f>
        <v>7166083.9796283245</v>
      </c>
      <c r="BM157" s="524">
        <f t="shared" si="105"/>
        <v>7166083.9796283245</v>
      </c>
      <c r="BN157" s="416">
        <f>IFERROR(BE157*BN142/BE142,0)</f>
        <v>6907944.058425528</v>
      </c>
      <c r="BO157" s="97">
        <f t="shared" si="105"/>
        <v>6907944.058425528</v>
      </c>
      <c r="BP157" s="97">
        <f t="shared" si="105"/>
        <v>6907944.058425528</v>
      </c>
      <c r="BQ157" s="97">
        <f t="shared" si="105"/>
        <v>6907944.058425528</v>
      </c>
      <c r="BR157" s="98">
        <f t="shared" si="105"/>
        <v>6907944.058425528</v>
      </c>
      <c r="BT157" s="822">
        <v>0.41259731068648264</v>
      </c>
      <c r="BU157" s="421">
        <f t="shared" si="93"/>
        <v>98.872897004093488</v>
      </c>
      <c r="BV157" s="421">
        <f t="shared" si="94"/>
        <v>1.7873049776514036</v>
      </c>
      <c r="BW157" s="96">
        <f t="shared" si="95"/>
        <v>96.391779092971291</v>
      </c>
      <c r="BX157" s="727">
        <f t="shared" si="96"/>
        <v>0.69381293347079376</v>
      </c>
      <c r="BY157" s="866">
        <f t="shared" si="91"/>
        <v>140.76244341920687</v>
      </c>
      <c r="BZ157" s="868">
        <f t="shared" si="97"/>
        <v>2.5445336731572303</v>
      </c>
      <c r="CA157" s="868">
        <f t="shared" si="98"/>
        <v>137.23014862292655</v>
      </c>
      <c r="CB157" s="868">
        <f t="shared" si="99"/>
        <v>0.98776112312308562</v>
      </c>
    </row>
    <row r="158" spans="1:80" x14ac:dyDescent="0.25">
      <c r="A158" s="81" t="s">
        <v>196</v>
      </c>
      <c r="B158" s="171"/>
      <c r="C158" s="82" t="s">
        <v>274</v>
      </c>
      <c r="D158" s="172"/>
      <c r="E158" s="173"/>
      <c r="F158" s="173"/>
      <c r="G158" s="173"/>
      <c r="H158" s="173"/>
      <c r="I158" s="173"/>
      <c r="J158" s="173"/>
      <c r="K158" s="173"/>
      <c r="L158" s="173"/>
      <c r="M158" s="209"/>
      <c r="N158" s="1069">
        <f>AU158*SUM($N$97:$N$109)/SUM($AJ$97:$AJ$109)</f>
        <v>2826637.990965819</v>
      </c>
      <c r="O158" s="580"/>
      <c r="P158" s="576"/>
      <c r="Q158" s="576"/>
      <c r="R158" s="576"/>
      <c r="S158" s="576"/>
      <c r="T158" s="576"/>
      <c r="U158" s="576"/>
      <c r="V158" s="576"/>
      <c r="W158" s="576"/>
      <c r="X158" s="680"/>
      <c r="Y158" s="1091"/>
      <c r="Z158" s="165"/>
      <c r="AA158" s="165"/>
      <c r="AB158" s="165"/>
      <c r="AC158" s="165"/>
      <c r="AD158" s="165"/>
      <c r="AE158" s="165"/>
      <c r="AF158" s="174"/>
      <c r="AG158" s="175"/>
      <c r="AH158" s="854"/>
      <c r="AI158" s="294"/>
      <c r="AJ158" s="294"/>
      <c r="AK158" s="174">
        <v>0</v>
      </c>
      <c r="AL158" s="175">
        <v>0</v>
      </c>
      <c r="AM158" s="175">
        <v>0</v>
      </c>
      <c r="AN158" s="175">
        <v>0</v>
      </c>
      <c r="AO158" s="175">
        <v>0</v>
      </c>
      <c r="AP158" s="175">
        <v>395</v>
      </c>
      <c r="AQ158" s="175">
        <v>309</v>
      </c>
      <c r="AR158" s="175">
        <v>310</v>
      </c>
      <c r="AS158" s="175">
        <v>296</v>
      </c>
      <c r="AT158" s="614">
        <v>371</v>
      </c>
      <c r="AU158" s="614">
        <v>250</v>
      </c>
      <c r="AV158" s="93">
        <f>SUM(AP158:AT158)/5*$BA158</f>
        <v>171.50906800000001</v>
      </c>
      <c r="AW158" s="94">
        <f>SUM(AR158:AT158)/3*$BA158</f>
        <v>166.13559333333336</v>
      </c>
      <c r="AX158" s="95">
        <f>SUM(AT158)*$BA158</f>
        <v>189.26194000000001</v>
      </c>
      <c r="AY158" s="19">
        <v>9</v>
      </c>
      <c r="AZ158" s="19" t="s">
        <v>795</v>
      </c>
      <c r="BA158" s="19">
        <v>0.51014000000000004</v>
      </c>
      <c r="BB158" s="421">
        <f>BB$137*HLOOKUP($BD$150,$AV$150:$AX$161,ROWS(BB$150:BB158),0)/HLOOKUP($BD$150,$AV$150:$AX$161,3,0)</f>
        <v>192.93725509592431</v>
      </c>
      <c r="BC158" s="96">
        <f>BC$137*HLOOKUP($BD$150,$AV$150:$AX$161,ROWS(BC$150:BC158),0)/HLOOKUP($BD$150,$AV$150:$AX$161,3,0)</f>
        <v>192.93725509592431</v>
      </c>
      <c r="BD158" s="521">
        <f>BD$137*HLOOKUP($BD$150,$AV$150:$AX$161,ROWS(BD$150:BD158),0)/HLOOKUP($BD$150,$AV$150:$AX$161,3,0)</f>
        <v>192.93725509592431</v>
      </c>
      <c r="BE158" s="421">
        <f>BE$137*HLOOKUP($BD$150,$AV$150:$AX$161,ROWS(BE$150:BE158),0)/HLOOKUP($BD$150,$AV$150:$AX$161,3,0)</f>
        <v>192.93725509592431</v>
      </c>
      <c r="BF158" s="96">
        <f>BF$137*HLOOKUP($BD$150,$AV$150:$AX$161,ROWS(BF$150:BF158),0)/HLOOKUP($BD$150,$AV$150:$AX$161,3,0)</f>
        <v>192.93725509592431</v>
      </c>
      <c r="BG158" s="96">
        <f>BG$137*HLOOKUP($BD$150,$AV$150:$AX$161,ROWS(BG$150:BG158),0)/HLOOKUP($BD$150,$AV$150:$AX$161,3,0)</f>
        <v>192.93725509592431</v>
      </c>
      <c r="BH158" s="96">
        <f>BH$137*HLOOKUP($BD$150,$AV$150:$AX$161,ROWS(BH$150:BH158),0)/HLOOKUP($BD$150,$AV$150:$AX$161,3,0)</f>
        <v>192.93725509592431</v>
      </c>
      <c r="BI158" s="286">
        <f>BI$137*HLOOKUP($BD$150,$AV$150:$AX$161,ROWS(BI$150:BI158),0)/HLOOKUP($BD$150,$AV$150:$AX$161,3,0)</f>
        <v>192.93725509592431</v>
      </c>
      <c r="BJ158" s="305"/>
      <c r="BK158" s="644">
        <f t="shared" ref="BK158:BR158" si="106">IFERROR(BB158*BK143/BB143,0)</f>
        <v>2130349.100427398</v>
      </c>
      <c r="BL158" s="97">
        <f t="shared" si="106"/>
        <v>2130349.100427398</v>
      </c>
      <c r="BM158" s="524">
        <f t="shared" si="106"/>
        <v>2130349.100427398</v>
      </c>
      <c r="BN158" s="416">
        <f t="shared" si="106"/>
        <v>2209053.0361288614</v>
      </c>
      <c r="BO158" s="97">
        <f t="shared" si="106"/>
        <v>2209053.0361288614</v>
      </c>
      <c r="BP158" s="97">
        <f t="shared" si="106"/>
        <v>2209053.0361288614</v>
      </c>
      <c r="BQ158" s="97">
        <f t="shared" si="106"/>
        <v>2209053.0361288614</v>
      </c>
      <c r="BR158" s="98">
        <f t="shared" si="106"/>
        <v>2209053.0361288614</v>
      </c>
      <c r="BT158" s="822">
        <v>0.41259731068648264</v>
      </c>
      <c r="BU158" s="421">
        <f t="shared" si="93"/>
        <v>79.605392583810243</v>
      </c>
      <c r="BV158" s="421">
        <f t="shared" si="94"/>
        <v>1.4390102720166844</v>
      </c>
      <c r="BW158" s="96">
        <f t="shared" si="95"/>
        <v>77.607773707998106</v>
      </c>
      <c r="BX158" s="727">
        <f t="shared" si="96"/>
        <v>0.55860860379544564</v>
      </c>
      <c r="BY158" s="866">
        <f t="shared" si="91"/>
        <v>113.33186251211407</v>
      </c>
      <c r="BZ158" s="868">
        <f t="shared" si="97"/>
        <v>2.0486767165932211</v>
      </c>
      <c r="CA158" s="868">
        <f t="shared" si="98"/>
        <v>110.4879111108721</v>
      </c>
      <c r="CB158" s="868">
        <f t="shared" si="99"/>
        <v>0.79527468464874762</v>
      </c>
    </row>
    <row r="159" spans="1:80" x14ac:dyDescent="0.25">
      <c r="A159" s="81" t="s">
        <v>224</v>
      </c>
      <c r="B159" s="171"/>
      <c r="C159" s="82" t="s">
        <v>414</v>
      </c>
      <c r="D159" s="172"/>
      <c r="E159" s="173"/>
      <c r="F159" s="173"/>
      <c r="G159" s="173"/>
      <c r="H159" s="173"/>
      <c r="I159" s="173"/>
      <c r="J159" s="173"/>
      <c r="K159" s="173"/>
      <c r="L159" s="173"/>
      <c r="M159" s="209"/>
      <c r="N159" s="1069">
        <v>0</v>
      </c>
      <c r="O159" s="580"/>
      <c r="P159" s="576"/>
      <c r="Q159" s="576"/>
      <c r="R159" s="576"/>
      <c r="S159" s="576"/>
      <c r="T159" s="576"/>
      <c r="U159" s="576"/>
      <c r="V159" s="576"/>
      <c r="W159" s="576"/>
      <c r="X159" s="680"/>
      <c r="Y159" s="1091"/>
      <c r="Z159" s="165"/>
      <c r="AA159" s="165"/>
      <c r="AB159" s="165"/>
      <c r="AC159" s="165"/>
      <c r="AD159" s="165"/>
      <c r="AE159" s="165"/>
      <c r="AF159" s="174"/>
      <c r="AG159" s="175"/>
      <c r="AH159" s="854"/>
      <c r="AI159" s="294"/>
      <c r="AJ159" s="294"/>
      <c r="AK159" s="174">
        <v>0</v>
      </c>
      <c r="AL159" s="175">
        <v>0</v>
      </c>
      <c r="AM159" s="175">
        <v>0</v>
      </c>
      <c r="AN159" s="175">
        <v>0</v>
      </c>
      <c r="AO159" s="175">
        <v>0</v>
      </c>
      <c r="AP159" s="175">
        <v>0</v>
      </c>
      <c r="AQ159" s="175">
        <v>0</v>
      </c>
      <c r="AR159" s="175">
        <v>0</v>
      </c>
      <c r="AS159" s="175">
        <v>0</v>
      </c>
      <c r="AT159" s="614">
        <v>0</v>
      </c>
      <c r="AU159" s="614">
        <v>0</v>
      </c>
      <c r="AV159" s="93">
        <f>SUM(AP159:AT159)/5</f>
        <v>0</v>
      </c>
      <c r="AW159" s="94">
        <f>SUM(AR159:AT159)/3</f>
        <v>0</v>
      </c>
      <c r="AX159" s="95">
        <f>SUM(AT159)</f>
        <v>0</v>
      </c>
      <c r="AY159" s="19">
        <v>10</v>
      </c>
      <c r="BB159" s="421">
        <f>BB$137*HLOOKUP($BD$150,$AV$150:$AX$161,ROWS(BB$150:BB159),0)/HLOOKUP($BD$150,$AV$150:$AX$161,3,0)</f>
        <v>0</v>
      </c>
      <c r="BC159" s="96">
        <f>BC$137*HLOOKUP($BD$150,$AV$150:$AX$161,ROWS(BC$150:BC159),0)/HLOOKUP($BD$150,$AV$150:$AX$161,3,0)</f>
        <v>0</v>
      </c>
      <c r="BD159" s="521">
        <f>BD$137*HLOOKUP($BD$150,$AV$150:$AX$161,ROWS(BD$150:BD159),0)/HLOOKUP($BD$150,$AV$150:$AX$161,3,0)</f>
        <v>0</v>
      </c>
      <c r="BE159" s="421">
        <f>BE$137*HLOOKUP($BD$150,$AV$150:$AX$161,ROWS(BE$150:BE159),0)/HLOOKUP($BD$150,$AV$150:$AX$161,3,0)</f>
        <v>0</v>
      </c>
      <c r="BF159" s="96">
        <f>BF$137*HLOOKUP($BD$150,$AV$150:$AX$161,ROWS(BF$150:BF159),0)/HLOOKUP($BD$150,$AV$150:$AX$161,3,0)</f>
        <v>0</v>
      </c>
      <c r="BG159" s="96">
        <f>BG$137*HLOOKUP($BD$150,$AV$150:$AX$161,ROWS(BG$150:BG159),0)/HLOOKUP($BD$150,$AV$150:$AX$161,3,0)</f>
        <v>0</v>
      </c>
      <c r="BH159" s="96">
        <f>BH$137*HLOOKUP($BD$150,$AV$150:$AX$161,ROWS(BH$150:BH159),0)/HLOOKUP($BD$150,$AV$150:$AX$161,3,0)</f>
        <v>0</v>
      </c>
      <c r="BI159" s="286">
        <f>BI$137*HLOOKUP($BD$150,$AV$150:$AX$161,ROWS(BI$150:BI159),0)/HLOOKUP($BD$150,$AV$150:$AX$161,3,0)</f>
        <v>0</v>
      </c>
      <c r="BJ159" s="305"/>
      <c r="BK159" s="644">
        <f t="shared" ref="BK159:BR159" si="107">IFERROR(BB159*BK144/BB144,0)</f>
        <v>0</v>
      </c>
      <c r="BL159" s="97">
        <f t="shared" si="107"/>
        <v>0</v>
      </c>
      <c r="BM159" s="524">
        <f t="shared" si="107"/>
        <v>0</v>
      </c>
      <c r="BN159" s="416">
        <f t="shared" si="107"/>
        <v>0</v>
      </c>
      <c r="BO159" s="97">
        <f t="shared" si="107"/>
        <v>0</v>
      </c>
      <c r="BP159" s="97">
        <f t="shared" si="107"/>
        <v>0</v>
      </c>
      <c r="BQ159" s="97">
        <f t="shared" si="107"/>
        <v>0</v>
      </c>
      <c r="BR159" s="98">
        <f t="shared" si="107"/>
        <v>0</v>
      </c>
      <c r="BT159" s="822">
        <v>1</v>
      </c>
      <c r="BU159" s="421">
        <f t="shared" si="93"/>
        <v>0</v>
      </c>
      <c r="BV159" s="421">
        <f t="shared" si="94"/>
        <v>0</v>
      </c>
      <c r="BW159" s="96">
        <f t="shared" si="95"/>
        <v>0</v>
      </c>
      <c r="BX159" s="727">
        <f t="shared" si="96"/>
        <v>0</v>
      </c>
      <c r="BY159" s="866">
        <f t="shared" si="91"/>
        <v>0</v>
      </c>
      <c r="BZ159" s="868">
        <f t="shared" si="97"/>
        <v>0</v>
      </c>
      <c r="CA159" s="868">
        <f t="shared" si="98"/>
        <v>0</v>
      </c>
      <c r="CB159" s="868">
        <f t="shared" si="99"/>
        <v>0</v>
      </c>
    </row>
    <row r="160" spans="1:80" x14ac:dyDescent="0.25">
      <c r="A160" s="81" t="s">
        <v>242</v>
      </c>
      <c r="B160" s="171"/>
      <c r="C160" s="82" t="s">
        <v>415</v>
      </c>
      <c r="D160" s="172"/>
      <c r="E160" s="173"/>
      <c r="F160" s="173"/>
      <c r="G160" s="173"/>
      <c r="H160" s="173"/>
      <c r="I160" s="173"/>
      <c r="J160" s="173"/>
      <c r="K160" s="173"/>
      <c r="L160" s="173"/>
      <c r="M160" s="209"/>
      <c r="N160" s="1069">
        <f t="shared" si="100"/>
        <v>0</v>
      </c>
      <c r="O160" s="580"/>
      <c r="P160" s="576"/>
      <c r="Q160" s="576"/>
      <c r="R160" s="576"/>
      <c r="S160" s="576"/>
      <c r="T160" s="576"/>
      <c r="U160" s="576"/>
      <c r="V160" s="576"/>
      <c r="W160" s="576"/>
      <c r="X160" s="680"/>
      <c r="Y160" s="1091"/>
      <c r="Z160" s="165"/>
      <c r="AA160" s="165"/>
      <c r="AB160" s="165"/>
      <c r="AC160" s="165"/>
      <c r="AD160" s="165"/>
      <c r="AE160" s="165"/>
      <c r="AF160" s="174"/>
      <c r="AG160" s="175"/>
      <c r="AH160" s="854"/>
      <c r="AI160" s="294"/>
      <c r="AJ160" s="294"/>
      <c r="AK160" s="174">
        <v>0</v>
      </c>
      <c r="AL160" s="175">
        <v>0</v>
      </c>
      <c r="AM160" s="175">
        <v>0</v>
      </c>
      <c r="AN160" s="175">
        <v>0</v>
      </c>
      <c r="AO160" s="175">
        <v>0</v>
      </c>
      <c r="AP160" s="175">
        <v>0</v>
      </c>
      <c r="AQ160" s="175">
        <v>0</v>
      </c>
      <c r="AR160" s="175">
        <v>0</v>
      </c>
      <c r="AS160" s="175">
        <v>0</v>
      </c>
      <c r="AT160" s="614">
        <v>0</v>
      </c>
      <c r="AU160" s="614">
        <v>0</v>
      </c>
      <c r="AV160" s="93">
        <f>SUM(AP160:AT160)/5</f>
        <v>0</v>
      </c>
      <c r="AW160" s="94">
        <f>SUM(AR160:AT160)/3</f>
        <v>0</v>
      </c>
      <c r="AX160" s="95">
        <f>SUM(AT160)</f>
        <v>0</v>
      </c>
      <c r="AY160" s="19">
        <v>11</v>
      </c>
      <c r="BB160" s="421">
        <f>BB$137*HLOOKUP($BD$150,$AV$150:$AX$161,ROWS(BB$150:BB160),0)/HLOOKUP($BD$150,$AV$150:$AX$161,3,0)</f>
        <v>0</v>
      </c>
      <c r="BC160" s="96">
        <f>BC$137*HLOOKUP($BD$150,$AV$150:$AX$161,ROWS(BC$150:BC160),0)/HLOOKUP($BD$150,$AV$150:$AX$161,3,0)</f>
        <v>0</v>
      </c>
      <c r="BD160" s="521">
        <f>BD$137*HLOOKUP($BD$150,$AV$150:$AX$161,ROWS(BD$150:BD160),0)/HLOOKUP($BD$150,$AV$150:$AX$161,3,0)</f>
        <v>0</v>
      </c>
      <c r="BE160" s="421">
        <f>BE$137*HLOOKUP($BD$150,$AV$150:$AX$161,ROWS(BE$150:BE160),0)/HLOOKUP($BD$150,$AV$150:$AX$161,3,0)</f>
        <v>0</v>
      </c>
      <c r="BF160" s="96">
        <f>BF$137*HLOOKUP($BD$150,$AV$150:$AX$161,ROWS(BF$150:BF160),0)/HLOOKUP($BD$150,$AV$150:$AX$161,3,0)</f>
        <v>0</v>
      </c>
      <c r="BG160" s="96">
        <f>BG$137*HLOOKUP($BD$150,$AV$150:$AX$161,ROWS(BG$150:BG160),0)/HLOOKUP($BD$150,$AV$150:$AX$161,3,0)</f>
        <v>0</v>
      </c>
      <c r="BH160" s="96">
        <f>BH$137*HLOOKUP($BD$150,$AV$150:$AX$161,ROWS(BH$150:BH160),0)/HLOOKUP($BD$150,$AV$150:$AX$161,3,0)</f>
        <v>0</v>
      </c>
      <c r="BI160" s="286">
        <f>BI$137*HLOOKUP($BD$150,$AV$150:$AX$161,ROWS(BI$150:BI160),0)/HLOOKUP($BD$150,$AV$150:$AX$161,3,0)</f>
        <v>0</v>
      </c>
      <c r="BJ160" s="305"/>
      <c r="BK160" s="644">
        <f t="shared" ref="BK160:BR160" si="108">IFERROR(BB160*BK145/BB145,0)</f>
        <v>0</v>
      </c>
      <c r="BL160" s="97">
        <f t="shared" si="108"/>
        <v>0</v>
      </c>
      <c r="BM160" s="524">
        <f t="shared" si="108"/>
        <v>0</v>
      </c>
      <c r="BN160" s="416">
        <f t="shared" si="108"/>
        <v>0</v>
      </c>
      <c r="BO160" s="97">
        <f t="shared" si="108"/>
        <v>0</v>
      </c>
      <c r="BP160" s="97">
        <f t="shared" si="108"/>
        <v>0</v>
      </c>
      <c r="BQ160" s="97">
        <f t="shared" si="108"/>
        <v>0</v>
      </c>
      <c r="BR160" s="98">
        <f t="shared" si="108"/>
        <v>0</v>
      </c>
      <c r="BT160" s="822">
        <v>1</v>
      </c>
      <c r="BU160" s="421">
        <f t="shared" si="93"/>
        <v>0</v>
      </c>
      <c r="BV160" s="421">
        <f t="shared" si="94"/>
        <v>0</v>
      </c>
      <c r="BW160" s="96">
        <f t="shared" si="95"/>
        <v>0</v>
      </c>
      <c r="BX160" s="727">
        <f t="shared" si="96"/>
        <v>0</v>
      </c>
      <c r="BY160" s="866">
        <f t="shared" si="91"/>
        <v>0</v>
      </c>
      <c r="BZ160" s="868">
        <f t="shared" si="97"/>
        <v>0</v>
      </c>
      <c r="CA160" s="868">
        <f t="shared" si="98"/>
        <v>0</v>
      </c>
      <c r="CB160" s="868">
        <f t="shared" si="99"/>
        <v>0</v>
      </c>
    </row>
    <row r="161" spans="1:80" ht="15.75" thickBot="1" x14ac:dyDescent="0.3">
      <c r="A161" s="100" t="s">
        <v>258</v>
      </c>
      <c r="B161" s="176"/>
      <c r="C161" s="101" t="s">
        <v>64</v>
      </c>
      <c r="D161" s="177"/>
      <c r="E161" s="178"/>
      <c r="F161" s="178"/>
      <c r="G161" s="178"/>
      <c r="H161" s="178"/>
      <c r="I161" s="178"/>
      <c r="J161" s="178"/>
      <c r="K161" s="178"/>
      <c r="L161" s="178"/>
      <c r="M161" s="210"/>
      <c r="N161" s="1070">
        <f t="shared" si="100"/>
        <v>0</v>
      </c>
      <c r="O161" s="582"/>
      <c r="P161" s="577"/>
      <c r="Q161" s="577"/>
      <c r="R161" s="577"/>
      <c r="S161" s="577"/>
      <c r="T161" s="577"/>
      <c r="U161" s="577"/>
      <c r="V161" s="577"/>
      <c r="W161" s="577"/>
      <c r="X161" s="681"/>
      <c r="Y161" s="1091"/>
      <c r="Z161" s="165"/>
      <c r="AA161" s="165"/>
      <c r="AB161" s="165"/>
      <c r="AC161" s="165"/>
      <c r="AD161" s="165"/>
      <c r="AE161" s="165"/>
      <c r="AF161" s="179"/>
      <c r="AG161" s="180"/>
      <c r="AH161" s="855"/>
      <c r="AI161" s="294"/>
      <c r="AJ161" s="294"/>
      <c r="AK161" s="179">
        <v>0</v>
      </c>
      <c r="AL161" s="180">
        <v>0</v>
      </c>
      <c r="AM161" s="180">
        <v>0</v>
      </c>
      <c r="AN161" s="180">
        <v>0</v>
      </c>
      <c r="AO161" s="180">
        <v>0</v>
      </c>
      <c r="AP161" s="180">
        <v>0</v>
      </c>
      <c r="AQ161" s="180">
        <v>0</v>
      </c>
      <c r="AR161" s="180">
        <v>0</v>
      </c>
      <c r="AS161" s="180">
        <v>0</v>
      </c>
      <c r="AT161" s="615">
        <v>0</v>
      </c>
      <c r="AU161" s="615">
        <v>0</v>
      </c>
      <c r="AV161" s="112">
        <f>SUM(AP161:AT161)/5</f>
        <v>0</v>
      </c>
      <c r="AW161" s="113">
        <f>SUM(AR161:AT161)/3</f>
        <v>0</v>
      </c>
      <c r="AX161" s="114">
        <f>SUM(AT161)</f>
        <v>0</v>
      </c>
      <c r="AY161" s="19">
        <v>12</v>
      </c>
      <c r="BB161" s="422">
        <f>BB$137*HLOOKUP($BD$150,$AV$150:$AX$161,ROWS(BB$150:BB161),0)/HLOOKUP($BD$150,$AV$150:$AX$161,3,0)</f>
        <v>0</v>
      </c>
      <c r="BC161" s="115">
        <f>BC$137*HLOOKUP($BD$150,$AV$150:$AX$161,ROWS(BC$150:BC161),0)/HLOOKUP($BD$150,$AV$150:$AX$161,3,0)</f>
        <v>0</v>
      </c>
      <c r="BD161" s="522">
        <f>BD$137*HLOOKUP($BD$150,$AV$150:$AX$161,ROWS(BD$150:BD161),0)/HLOOKUP($BD$150,$AV$150:$AX$161,3,0)</f>
        <v>0</v>
      </c>
      <c r="BE161" s="422">
        <f>BE$137*HLOOKUP($BD$150,$AV$150:$AX$161,ROWS(BE$150:BE161),0)/HLOOKUP($BD$150,$AV$150:$AX$161,3,0)</f>
        <v>0</v>
      </c>
      <c r="BF161" s="115">
        <f>BF$137*HLOOKUP($BD$150,$AV$150:$AX$161,ROWS(BF$150:BF161),0)/HLOOKUP($BD$150,$AV$150:$AX$161,3,0)</f>
        <v>0</v>
      </c>
      <c r="BG161" s="115">
        <f>BG$137*HLOOKUP($BD$150,$AV$150:$AX$161,ROWS(BG$150:BG161),0)/HLOOKUP($BD$150,$AV$150:$AX$161,3,0)</f>
        <v>0</v>
      </c>
      <c r="BH161" s="115">
        <f>BH$137*HLOOKUP($BD$150,$AV$150:$AX$161,ROWS(BH$150:BH161),0)/HLOOKUP($BD$150,$AV$150:$AX$161,3,0)</f>
        <v>0</v>
      </c>
      <c r="BI161" s="287">
        <f>BI$137*HLOOKUP($BD$150,$AV$150:$AX$161,ROWS(BI$150:BI161),0)/HLOOKUP($BD$150,$AV$150:$AX$161,3,0)</f>
        <v>0</v>
      </c>
      <c r="BJ161" s="308"/>
      <c r="BK161" s="648">
        <f t="shared" ref="BK161:BR161" si="109">IFERROR(BB161*BK146/BB146,0)</f>
        <v>0</v>
      </c>
      <c r="BL161" s="117">
        <f t="shared" si="109"/>
        <v>0</v>
      </c>
      <c r="BM161" s="638">
        <f t="shared" si="109"/>
        <v>0</v>
      </c>
      <c r="BN161" s="467">
        <f t="shared" si="109"/>
        <v>0</v>
      </c>
      <c r="BO161" s="117">
        <f t="shared" si="109"/>
        <v>0</v>
      </c>
      <c r="BP161" s="117">
        <f t="shared" si="109"/>
        <v>0</v>
      </c>
      <c r="BQ161" s="117">
        <f t="shared" si="109"/>
        <v>0</v>
      </c>
      <c r="BR161" s="118">
        <f t="shared" si="109"/>
        <v>0</v>
      </c>
      <c r="BT161" s="822">
        <v>1</v>
      </c>
      <c r="BU161" s="422">
        <f t="shared" si="93"/>
        <v>0</v>
      </c>
      <c r="BV161" s="422">
        <f t="shared" si="94"/>
        <v>0</v>
      </c>
      <c r="BW161" s="115">
        <f t="shared" si="95"/>
        <v>0</v>
      </c>
      <c r="BX161" s="728">
        <f t="shared" si="96"/>
        <v>0</v>
      </c>
      <c r="BY161" s="867">
        <f t="shared" si="91"/>
        <v>0</v>
      </c>
      <c r="BZ161" s="869">
        <f t="shared" si="97"/>
        <v>0</v>
      </c>
      <c r="CA161" s="869">
        <f t="shared" si="98"/>
        <v>0</v>
      </c>
      <c r="CB161" s="869">
        <f t="shared" si="99"/>
        <v>0</v>
      </c>
    </row>
    <row r="162" spans="1:80" ht="15.75" thickBot="1" x14ac:dyDescent="0.3">
      <c r="A162" s="81"/>
      <c r="B162" s="171"/>
      <c r="C162" s="82" t="s">
        <v>830</v>
      </c>
      <c r="D162" s="172"/>
      <c r="E162" s="173"/>
      <c r="F162" s="173"/>
      <c r="G162" s="173"/>
      <c r="H162" s="173"/>
      <c r="I162" s="173"/>
      <c r="J162" s="173"/>
      <c r="K162" s="173"/>
      <c r="L162" s="173"/>
      <c r="M162" s="209"/>
      <c r="N162" s="1069">
        <f>AU157*2*N$96/AJ$96</f>
        <v>7820124.2557231961</v>
      </c>
      <c r="O162" s="580"/>
      <c r="P162" s="576"/>
      <c r="Q162" s="576"/>
      <c r="R162" s="576"/>
      <c r="S162" s="576"/>
      <c r="T162" s="576"/>
      <c r="U162" s="576"/>
      <c r="V162" s="576"/>
      <c r="W162" s="576"/>
      <c r="X162" s="680"/>
      <c r="Y162" s="1091"/>
      <c r="Z162" s="165"/>
      <c r="AA162" s="165"/>
      <c r="AB162" s="165"/>
      <c r="AC162" s="165"/>
      <c r="AD162" s="165"/>
      <c r="AE162" s="165"/>
      <c r="AI162" s="294"/>
      <c r="AJ162" s="294"/>
      <c r="BB162" t="s">
        <v>633</v>
      </c>
      <c r="BE162">
        <v>1009</v>
      </c>
      <c r="BI162" s="650">
        <f>SUM(BI97,BI99,BI101)</f>
        <v>714.5031360648702</v>
      </c>
      <c r="BK162" s="649">
        <f t="shared" ref="BK162:BR162" si="110">SUM(BK153:BK161)</f>
        <v>42485519.434274234</v>
      </c>
      <c r="BL162" s="637">
        <f>SUM(BL153:BL161)</f>
        <v>42485519.434274234</v>
      </c>
      <c r="BM162" s="637">
        <f t="shared" si="110"/>
        <v>42485519.434274234</v>
      </c>
      <c r="BN162" s="637">
        <f t="shared" si="110"/>
        <v>42306235.646919057</v>
      </c>
      <c r="BO162" s="637">
        <f t="shared" si="110"/>
        <v>42306235.646919057</v>
      </c>
      <c r="BP162" s="637">
        <f t="shared" si="110"/>
        <v>42306235.646919057</v>
      </c>
      <c r="BQ162" s="637">
        <f t="shared" si="110"/>
        <v>42306235.646919057</v>
      </c>
      <c r="BR162" s="637">
        <f t="shared" si="110"/>
        <v>42306235.646919057</v>
      </c>
      <c r="BZ162" s="870"/>
      <c r="CA162" s="870"/>
      <c r="CB162" s="870"/>
    </row>
    <row r="163" spans="1:80" ht="15.75" thickBot="1" x14ac:dyDescent="0.3">
      <c r="N163" s="184">
        <f>SUM(N151:N162)</f>
        <v>155277989.88680646</v>
      </c>
      <c r="AI163" s="294"/>
      <c r="AJ163" s="294"/>
      <c r="BB163" t="s">
        <v>634</v>
      </c>
      <c r="BE163" s="395">
        <f>BE158+BE174</f>
        <v>213.18981263784241</v>
      </c>
      <c r="BI163" s="395">
        <f>BI158+BI174</f>
        <v>213.18981263784241</v>
      </c>
      <c r="BK163" s="649"/>
      <c r="BL163" s="637"/>
      <c r="BM163" s="637"/>
      <c r="BN163" s="637"/>
      <c r="BO163" s="637"/>
      <c r="BP163" s="637"/>
      <c r="BQ163" s="637"/>
      <c r="BR163" s="637"/>
      <c r="BZ163" s="870"/>
      <c r="CA163" s="870"/>
      <c r="CB163" s="870"/>
    </row>
    <row r="164" spans="1:80" ht="15.75" thickBot="1" x14ac:dyDescent="0.3">
      <c r="BE164" s="395">
        <f>BE162-BE163</f>
        <v>795.81018736215765</v>
      </c>
      <c r="BI164" s="395">
        <f>BI162-BI163</f>
        <v>501.3133234270278</v>
      </c>
      <c r="BK164" s="649"/>
      <c r="BL164" s="637"/>
      <c r="BM164" s="637"/>
      <c r="BN164" s="637"/>
      <c r="BO164" s="637"/>
      <c r="BP164" s="637"/>
      <c r="BQ164" s="637"/>
      <c r="BR164" s="637"/>
      <c r="BZ164" s="870"/>
      <c r="CA164" s="870"/>
      <c r="CB164" s="870"/>
    </row>
    <row r="165" spans="1:80" ht="25.5" thickBot="1" x14ac:dyDescent="0.3">
      <c r="AK165" s="26" t="s">
        <v>790</v>
      </c>
      <c r="AL165" s="19"/>
      <c r="AM165" s="19"/>
      <c r="AN165" s="19" t="s">
        <v>621</v>
      </c>
      <c r="AO165" s="19"/>
      <c r="AP165" s="19"/>
      <c r="AQ165" s="19"/>
      <c r="AR165" s="19"/>
      <c r="AS165" s="19"/>
      <c r="AT165" s="19"/>
      <c r="AV165" s="1122" t="s">
        <v>829</v>
      </c>
      <c r="AW165" s="1122" t="s">
        <v>828</v>
      </c>
      <c r="AX165" s="1122" t="s">
        <v>14</v>
      </c>
      <c r="BB165" s="259" t="s">
        <v>627</v>
      </c>
      <c r="BC165" s="619"/>
      <c r="BD165" s="619"/>
      <c r="BI165"/>
      <c r="BK165" s="647"/>
      <c r="BZ165" s="870"/>
      <c r="CA165" s="870"/>
      <c r="CB165" s="870"/>
    </row>
    <row r="166" spans="1:80" ht="45.75" thickBot="1" x14ac:dyDescent="0.3">
      <c r="A166" s="19"/>
      <c r="B166" s="19"/>
      <c r="C166" s="187" t="s">
        <v>626</v>
      </c>
      <c r="D166" s="19"/>
      <c r="E166" s="19"/>
      <c r="F166" s="19"/>
      <c r="G166" s="19"/>
      <c r="H166" s="19"/>
      <c r="I166" s="19"/>
      <c r="J166" s="19"/>
      <c r="K166" s="19"/>
      <c r="L166" s="19"/>
      <c r="M166" s="207"/>
      <c r="N166" s="207"/>
      <c r="O166" s="19"/>
      <c r="P166" s="19"/>
      <c r="Q166" s="19"/>
      <c r="R166" s="19"/>
      <c r="S166" s="19"/>
      <c r="T166" s="19"/>
      <c r="U166" s="19"/>
      <c r="V166" s="19"/>
      <c r="W166" s="19"/>
      <c r="X166" s="282"/>
      <c r="Y166" s="282"/>
      <c r="AF166" s="165"/>
      <c r="AG166" s="165"/>
      <c r="AH166" s="165"/>
      <c r="AK166" s="850" t="s">
        <v>5</v>
      </c>
      <c r="AL166" s="851" t="s">
        <v>6</v>
      </c>
      <c r="AM166" s="851" t="s">
        <v>7</v>
      </c>
      <c r="AN166" s="851" t="s">
        <v>8</v>
      </c>
      <c r="AO166" s="851" t="s">
        <v>9</v>
      </c>
      <c r="AP166" s="851" t="s">
        <v>10</v>
      </c>
      <c r="AQ166" s="851" t="s">
        <v>11</v>
      </c>
      <c r="AR166" s="851" t="s">
        <v>12</v>
      </c>
      <c r="AS166" s="851" t="s">
        <v>13</v>
      </c>
      <c r="AT166" s="852" t="s">
        <v>14</v>
      </c>
      <c r="AU166" s="852" t="s">
        <v>15</v>
      </c>
      <c r="AV166" s="616" t="s">
        <v>292</v>
      </c>
      <c r="AW166" s="617" t="s">
        <v>293</v>
      </c>
      <c r="AX166" s="618" t="s">
        <v>294</v>
      </c>
      <c r="AY166" s="19">
        <v>1</v>
      </c>
      <c r="BB166" s="620" t="s">
        <v>605</v>
      </c>
      <c r="BC166" s="621"/>
      <c r="BD166" s="621" t="s">
        <v>293</v>
      </c>
      <c r="BI166"/>
      <c r="BK166" s="647"/>
      <c r="BT166" s="859" t="s">
        <v>794</v>
      </c>
      <c r="BU166" s="859" t="s">
        <v>793</v>
      </c>
      <c r="BV166" t="s">
        <v>278</v>
      </c>
      <c r="BW166" t="s">
        <v>417</v>
      </c>
      <c r="BX166" t="s">
        <v>418</v>
      </c>
      <c r="BY166" t="s">
        <v>795</v>
      </c>
      <c r="BZ166" s="870" t="s">
        <v>278</v>
      </c>
      <c r="CA166" s="870" t="s">
        <v>417</v>
      </c>
      <c r="CB166" s="870" t="s">
        <v>418</v>
      </c>
    </row>
    <row r="167" spans="1:80" x14ac:dyDescent="0.25">
      <c r="A167" s="63" t="s">
        <v>296</v>
      </c>
      <c r="B167" s="166"/>
      <c r="C167" s="64" t="s">
        <v>409</v>
      </c>
      <c r="D167" s="167"/>
      <c r="E167" s="168"/>
      <c r="F167" s="168"/>
      <c r="G167" s="168"/>
      <c r="H167" s="168"/>
      <c r="I167" s="168"/>
      <c r="J167" s="168"/>
      <c r="K167" s="168"/>
      <c r="L167" s="168"/>
      <c r="M167" s="208"/>
      <c r="N167" s="658">
        <f>AU167*N136/AJ136</f>
        <v>0</v>
      </c>
      <c r="O167" s="578"/>
      <c r="P167" s="575"/>
      <c r="Q167" s="575"/>
      <c r="R167" s="575"/>
      <c r="S167" s="575"/>
      <c r="T167" s="575"/>
      <c r="U167" s="575"/>
      <c r="V167" s="575"/>
      <c r="W167" s="575"/>
      <c r="X167" s="679"/>
      <c r="Y167" s="1091"/>
      <c r="AF167" s="169" t="s">
        <v>278</v>
      </c>
      <c r="AG167" s="170">
        <f>'Defect P1'!CL139</f>
        <v>1.1430409827173791</v>
      </c>
      <c r="AH167" s="856">
        <f t="shared" ref="AH167:AH169" si="111">AG167/SUM($AG$167:$AG$169)</f>
        <v>1.222237850214084E-2</v>
      </c>
      <c r="AK167" s="169" t="str">
        <f>IFERROR(Reconductor!AN136/Reconductor!AN$139*AK$170,"")</f>
        <v/>
      </c>
      <c r="AL167" s="170" t="str">
        <f>IFERROR(Reconductor!AO136/Reconductor!AO$139*AL$170,"")</f>
        <v/>
      </c>
      <c r="AM167" s="170" t="str">
        <f>IFERROR(Reconductor!AP136/Reconductor!AP$139*AM$170,"")</f>
        <v/>
      </c>
      <c r="AN167" s="170" t="str">
        <f>IFERROR(Reconductor!AQ136/Reconductor!AQ$139*AN$170,"")</f>
        <v/>
      </c>
      <c r="AO167" s="170" t="str">
        <f>IFERROR(Reconductor!AR136/Reconductor!AR$139*AO$170,"")</f>
        <v/>
      </c>
      <c r="AP167" s="170">
        <f>IFERROR(Reconductor!AS136/Reconductor!AS$139*AP$170,"")</f>
        <v>0</v>
      </c>
      <c r="AQ167" s="170">
        <f>IFERROR(Reconductor!AT136/Reconductor!AT$139*AQ$170,"")</f>
        <v>0</v>
      </c>
      <c r="AR167" s="170">
        <f>IFERROR(Reconductor!AU136/Reconductor!AU$139*AR$170,"")</f>
        <v>0</v>
      </c>
      <c r="AS167" s="170">
        <f>IFERROR(Reconductor!AV136/Reconductor!AV$139*AS$170,"")</f>
        <v>0</v>
      </c>
      <c r="AT167" s="613">
        <f>IFERROR(Reconductor!AW136/Reconductor!AW$139*AT$170,"")</f>
        <v>0</v>
      </c>
      <c r="AU167" s="613">
        <f>IFERROR(Reconductor!AX136/Reconductor!AX$139*AU$170,"")</f>
        <v>0</v>
      </c>
      <c r="AV167" s="75">
        <f t="shared" ref="AV167:AV172" si="112">SUM(AP167:AT167)/5</f>
        <v>0</v>
      </c>
      <c r="AW167" s="76">
        <f t="shared" ref="AW167:AW172" si="113">SUM(AR167:AT167)/3</f>
        <v>0</v>
      </c>
      <c r="AX167" s="77">
        <f t="shared" ref="AX167:AX172" si="114">SUM(AT167)</f>
        <v>0</v>
      </c>
      <c r="AY167" s="19">
        <v>2</v>
      </c>
      <c r="BB167" s="420"/>
      <c r="BC167" s="144"/>
      <c r="BD167" s="520"/>
      <c r="BE167" s="420"/>
      <c r="BF167" s="144"/>
      <c r="BG167" s="144"/>
      <c r="BH167" s="144"/>
      <c r="BI167" s="293"/>
      <c r="BJ167" s="302"/>
      <c r="BK167" s="643"/>
      <c r="BL167" s="79"/>
      <c r="BM167" s="523"/>
      <c r="BN167" s="415"/>
      <c r="BO167" s="79"/>
      <c r="BP167" s="79"/>
      <c r="BQ167" s="79"/>
      <c r="BR167" s="80"/>
      <c r="BT167" s="822">
        <v>1</v>
      </c>
      <c r="BU167" s="420">
        <f>BI167*BT167</f>
        <v>0</v>
      </c>
      <c r="BV167" s="420">
        <f>BU167*$AH$167</f>
        <v>0</v>
      </c>
      <c r="BW167" s="144">
        <f>BU167*$AH$168</f>
        <v>0</v>
      </c>
      <c r="BX167" s="726">
        <f>BU167*$AH$169</f>
        <v>0</v>
      </c>
      <c r="BY167" s="865">
        <f t="shared" ref="BY167:BY177" si="115">BI167-BU167</f>
        <v>0</v>
      </c>
      <c r="BZ167" s="871">
        <f>BY167*$AH$167</f>
        <v>0</v>
      </c>
      <c r="CA167" s="871">
        <f>BY167*$AH$168</f>
        <v>0</v>
      </c>
      <c r="CB167" s="871">
        <f>BY167*$AH$169</f>
        <v>0</v>
      </c>
    </row>
    <row r="168" spans="1:80" x14ac:dyDescent="0.25">
      <c r="A168" s="81" t="s">
        <v>27</v>
      </c>
      <c r="B168" s="171"/>
      <c r="C168" s="82" t="s">
        <v>410</v>
      </c>
      <c r="D168" s="172"/>
      <c r="E168" s="173"/>
      <c r="F168" s="173"/>
      <c r="G168" s="173"/>
      <c r="H168" s="173"/>
      <c r="I168" s="173"/>
      <c r="J168" s="173"/>
      <c r="K168" s="173"/>
      <c r="L168" s="173"/>
      <c r="M168" s="209"/>
      <c r="N168" s="1069">
        <f t="shared" ref="N168:N177" si="116">AU168*N137/AJ137</f>
        <v>2981867.6432254892</v>
      </c>
      <c r="O168" s="580"/>
      <c r="P168" s="576"/>
      <c r="Q168" s="576"/>
      <c r="R168" s="576"/>
      <c r="S168" s="576"/>
      <c r="T168" s="576"/>
      <c r="U168" s="576"/>
      <c r="V168" s="576"/>
      <c r="W168" s="576"/>
      <c r="X168" s="680"/>
      <c r="Y168" s="1091"/>
      <c r="AF168" s="174" t="s">
        <v>417</v>
      </c>
      <c r="AG168" s="175">
        <f>'Defect P2'!CL139</f>
        <v>83.456277286555405</v>
      </c>
      <c r="AH168" s="857">
        <f t="shared" si="111"/>
        <v>0.89238638403930848</v>
      </c>
      <c r="AK168" s="174" t="str">
        <f>IFERROR(Reconductor!AN137/Reconductor!AN$139*AK$170,"")</f>
        <v/>
      </c>
      <c r="AL168" s="175" t="str">
        <f>IFERROR(Reconductor!AO137/Reconductor!AO$139*AL$170,"")</f>
        <v/>
      </c>
      <c r="AM168" s="175" t="str">
        <f>IFERROR(Reconductor!AP137/Reconductor!AP$139*AM$170,"")</f>
        <v/>
      </c>
      <c r="AN168" s="175" t="str">
        <f>IFERROR(Reconductor!AQ137/Reconductor!AQ$139*AN$170,"")</f>
        <v/>
      </c>
      <c r="AO168" s="175" t="str">
        <f>IFERROR(Reconductor!AR137/Reconductor!AR$139*AO$170,"")</f>
        <v/>
      </c>
      <c r="AP168" s="175">
        <f>IFERROR(Reconductor!AS137/Reconductor!AS$139*AP$170,"")</f>
        <v>188.83944221201133</v>
      </c>
      <c r="AQ168" s="175">
        <f>IFERROR(Reconductor!AT137/Reconductor!AT$139*AQ$170,"")</f>
        <v>213.8944113821747</v>
      </c>
      <c r="AR168" s="175">
        <f>IFERROR(Reconductor!AU137/Reconductor!AU$139*AR$170,"")</f>
        <v>211.78534666666567</v>
      </c>
      <c r="AS168" s="175">
        <f>IFERROR(Reconductor!AV137/Reconductor!AV$139*AS$170,"")</f>
        <v>325.42970567026634</v>
      </c>
      <c r="AT168" s="614">
        <f>IFERROR(Reconductor!AW137/Reconductor!AW$139*AT$170,"")</f>
        <v>380.18846887120105</v>
      </c>
      <c r="AU168" s="614">
        <f>IFERROR(Reconductor!AX137/Reconductor!AX$139*AU$170,"")</f>
        <v>362.59224735086747</v>
      </c>
      <c r="AV168" s="93">
        <f t="shared" si="112"/>
        <v>264.02747496046379</v>
      </c>
      <c r="AW168" s="94">
        <f t="shared" si="113"/>
        <v>305.80117373604435</v>
      </c>
      <c r="AX168" s="95">
        <f t="shared" si="114"/>
        <v>380.18846887120105</v>
      </c>
      <c r="AY168" s="19">
        <v>3</v>
      </c>
      <c r="BB168" s="421">
        <f>BB$139*HLOOKUP($BD$166,$AV$166:$AX$177,ROWS(BB$166:BB168),0)/HLOOKUP($BD$166,$AV$166:$AX$177,5,0)</f>
        <v>308.74748264582712</v>
      </c>
      <c r="BC168" s="96">
        <f>BC$139*HLOOKUP($BD$166,$AV$166:$AX$177,ROWS(BC$166:BC168),0)/HLOOKUP($BD$166,$AV$166:$AX$177,5,0)</f>
        <v>308.74748264582712</v>
      </c>
      <c r="BD168" s="521">
        <f>BD$139*HLOOKUP($BD$166,$AV$166:$AX$177,ROWS(BD$166:BD168),0)/HLOOKUP($BD$166,$AV$166:$AX$177,5,0)</f>
        <v>308.74748264582712</v>
      </c>
      <c r="BE168" s="421">
        <f>BE$139*HLOOKUP($BD$166,$AV$166:$AX$177,ROWS(BE$166:BE168),0)/HLOOKUP($BD$166,$AV$166:$AX$177,5,0)</f>
        <v>330.36347119305276</v>
      </c>
      <c r="BF168" s="96">
        <f>BF$139*HLOOKUP($BD$166,$AV$166:$AX$177,ROWS(BF$166:BF168),0)/HLOOKUP($BD$166,$AV$166:$AX$177,5,0)</f>
        <v>330.36347119305276</v>
      </c>
      <c r="BG168" s="96">
        <f>BG$139*HLOOKUP($BD$166,$AV$166:$AX$177,ROWS(BG$166:BG168),0)/HLOOKUP($BD$166,$AV$166:$AX$177,5,0)</f>
        <v>330.36347119305276</v>
      </c>
      <c r="BH168" s="96">
        <f>BH$139*HLOOKUP($BD$166,$AV$166:$AX$177,ROWS(BH$166:BH168),0)/HLOOKUP($BD$166,$AV$166:$AX$177,5,0)</f>
        <v>330.36347119305276</v>
      </c>
      <c r="BI168" s="286">
        <f>BI$139*HLOOKUP($BD$166,$AV$166:$AX$177,ROWS(BI$166:BI168),0)/HLOOKUP($BD$166,$AV$166:$AX$177,5,0)</f>
        <v>330.36347119305276</v>
      </c>
      <c r="BJ168" s="305"/>
      <c r="BK168" s="644">
        <f>IFERROR(BB168*BK137/BB137,0)</f>
        <v>1867473.6928021663</v>
      </c>
      <c r="BL168" s="97">
        <f t="shared" ref="BL168:BR168" si="117">IFERROR(BC168*BL137/BC137,0)</f>
        <v>1867473.6928021663</v>
      </c>
      <c r="BM168" s="524">
        <f t="shared" si="117"/>
        <v>1867473.6928021663</v>
      </c>
      <c r="BN168" s="416">
        <f t="shared" si="117"/>
        <v>1998219.0177840162</v>
      </c>
      <c r="BO168" s="97">
        <f t="shared" si="117"/>
        <v>1998219.0177840162</v>
      </c>
      <c r="BP168" s="97">
        <f t="shared" si="117"/>
        <v>1998219.0177840162</v>
      </c>
      <c r="BQ168" s="97">
        <f t="shared" si="117"/>
        <v>1998219.0177840162</v>
      </c>
      <c r="BR168" s="98">
        <f t="shared" si="117"/>
        <v>1998219.0177840162</v>
      </c>
      <c r="BT168" s="822">
        <v>1</v>
      </c>
      <c r="BU168" s="421">
        <f t="shared" ref="BU168:BU177" si="118">BI168*BT168</f>
        <v>330.36347119305276</v>
      </c>
      <c r="BV168" s="421">
        <f t="shared" ref="BV168:BV177" si="119">BU168*$AH$167</f>
        <v>4.0378273882025928</v>
      </c>
      <c r="BW168" s="96">
        <f t="shared" ref="BW168:BW177" si="120">BU168*$AH$168</f>
        <v>294.8118634766426</v>
      </c>
      <c r="BX168" s="727">
        <f t="shared" ref="BX168:BX177" si="121">BU168*$AH$169</f>
        <v>31.513780328207528</v>
      </c>
      <c r="BY168" s="866">
        <f t="shared" si="115"/>
        <v>0</v>
      </c>
      <c r="BZ168" s="868">
        <f t="shared" ref="BZ168:BZ177" si="122">BY168*$AH$167</f>
        <v>0</v>
      </c>
      <c r="CA168" s="868">
        <f t="shared" ref="CA168:CA177" si="123">BY168*$AH$168</f>
        <v>0</v>
      </c>
      <c r="CB168" s="868">
        <f t="shared" ref="CB168:CB177" si="124">BY168*$AH$169</f>
        <v>0</v>
      </c>
    </row>
    <row r="169" spans="1:80" x14ac:dyDescent="0.25">
      <c r="A169" s="81" t="s">
        <v>68</v>
      </c>
      <c r="B169" s="171"/>
      <c r="C169" s="82" t="s">
        <v>411</v>
      </c>
      <c r="D169" s="172"/>
      <c r="E169" s="173"/>
      <c r="F169" s="173"/>
      <c r="G169" s="173"/>
      <c r="H169" s="173"/>
      <c r="I169" s="173"/>
      <c r="J169" s="173"/>
      <c r="K169" s="173"/>
      <c r="L169" s="173"/>
      <c r="M169" s="209"/>
      <c r="N169" s="1069">
        <f t="shared" si="116"/>
        <v>2888833.6699855179</v>
      </c>
      <c r="O169" s="580"/>
      <c r="P169" s="576"/>
      <c r="Q169" s="576"/>
      <c r="R169" s="576"/>
      <c r="S169" s="576"/>
      <c r="T169" s="576"/>
      <c r="U169" s="576"/>
      <c r="V169" s="576"/>
      <c r="W169" s="576"/>
      <c r="X169" s="680"/>
      <c r="Y169" s="1091"/>
      <c r="AF169" s="174" t="s">
        <v>418</v>
      </c>
      <c r="AG169" s="175">
        <f>RTS!CL139</f>
        <v>8.9210208788862193</v>
      </c>
      <c r="AH169" s="857">
        <f t="shared" si="111"/>
        <v>9.5391237458550576E-2</v>
      </c>
      <c r="AK169" s="174" t="str">
        <f>IFERROR(Reconductor!AN138/Reconductor!AN$139*AK$170,"")</f>
        <v/>
      </c>
      <c r="AL169" s="175" t="str">
        <f>IFERROR(Reconductor!AO138/Reconductor!AO$139*AL$170,"")</f>
        <v/>
      </c>
      <c r="AM169" s="175" t="str">
        <f>IFERROR(Reconductor!AP138/Reconductor!AP$139*AM$170,"")</f>
        <v/>
      </c>
      <c r="AN169" s="175" t="str">
        <f>IFERROR(Reconductor!AQ138/Reconductor!AQ$139*AN$170,"")</f>
        <v/>
      </c>
      <c r="AO169" s="175" t="str">
        <f>IFERROR(Reconductor!AR138/Reconductor!AR$139*AO$170,"")</f>
        <v/>
      </c>
      <c r="AP169" s="175">
        <f>IFERROR(Reconductor!AS138/Reconductor!AS$139*AP$170,"")</f>
        <v>461.16109646573932</v>
      </c>
      <c r="AQ169" s="175">
        <f>IFERROR(Reconductor!AT138/Reconductor!AT$139*AQ$170,"")</f>
        <v>472.92514344580292</v>
      </c>
      <c r="AR169" s="175">
        <f>IFERROR(Reconductor!AU138/Reconductor!AU$139*AR$170,"")</f>
        <v>529.38057333333086</v>
      </c>
      <c r="AS169" s="175">
        <f>IFERROR(Reconductor!AV138/Reconductor!AV$139*AS$170,"")</f>
        <v>616.76677550840952</v>
      </c>
      <c r="AT169" s="614">
        <f>IFERROR(Reconductor!AW138/Reconductor!AW$139*AT$170,"")</f>
        <v>714.42540524524679</v>
      </c>
      <c r="AU169" s="614">
        <f>IFERROR(Reconductor!AX138/Reconductor!AX$139*AU$170,"")</f>
        <v>745.78245804889684</v>
      </c>
      <c r="AV169" s="93">
        <f t="shared" si="112"/>
        <v>558.93179879970592</v>
      </c>
      <c r="AW169" s="94">
        <f t="shared" si="113"/>
        <v>620.19091802899572</v>
      </c>
      <c r="AX169" s="95">
        <f t="shared" si="114"/>
        <v>714.42540524524679</v>
      </c>
      <c r="AY169" s="19">
        <v>4</v>
      </c>
      <c r="BB169" s="421">
        <f>BB$139*HLOOKUP($BD$166,$AV$166:$AX$177,ROWS(BB$166:BB169),0)/HLOOKUP($BD$166,$AV$166:$AX$177,5,0)</f>
        <v>626.16628432740117</v>
      </c>
      <c r="BC169" s="96">
        <f>BC$139*HLOOKUP($BD$166,$AV$166:$AX$177,ROWS(BC$166:BC169),0)/HLOOKUP($BD$166,$AV$166:$AX$177,5,0)</f>
        <v>626.16628432740117</v>
      </c>
      <c r="BD169" s="521">
        <f>BD$139*HLOOKUP($BD$166,$AV$166:$AX$177,ROWS(BD$166:BD169),0)/HLOOKUP($BD$166,$AV$166:$AX$177,5,0)</f>
        <v>626.16628432740117</v>
      </c>
      <c r="BE169" s="421">
        <f>BE$139*HLOOKUP($BD$166,$AV$166:$AX$177,ROWS(BE$166:BE169),0)/HLOOKUP($BD$166,$AV$166:$AX$177,5,0)</f>
        <v>670.0053566809288</v>
      </c>
      <c r="BF169" s="96">
        <f>BF$139*HLOOKUP($BD$166,$AV$166:$AX$177,ROWS(BF$166:BF169),0)/HLOOKUP($BD$166,$AV$166:$AX$177,5,0)</f>
        <v>670.0053566809288</v>
      </c>
      <c r="BG169" s="96">
        <f>BG$139*HLOOKUP($BD$166,$AV$166:$AX$177,ROWS(BG$166:BG169),0)/HLOOKUP($BD$166,$AV$166:$AX$177,5,0)</f>
        <v>670.0053566809288</v>
      </c>
      <c r="BH169" s="96">
        <f>BH$139*HLOOKUP($BD$166,$AV$166:$AX$177,ROWS(BH$166:BH169),0)/HLOOKUP($BD$166,$AV$166:$AX$177,5,0)</f>
        <v>670.0053566809288</v>
      </c>
      <c r="BI169" s="286">
        <f>BI$139*HLOOKUP($BD$166,$AV$166:$AX$177,ROWS(BI$166:BI169),0)/HLOOKUP($BD$166,$AV$166:$AX$177,5,0)</f>
        <v>670.0053566809288</v>
      </c>
      <c r="BJ169" s="305"/>
      <c r="BK169" s="644">
        <f t="shared" ref="BK169:BR169" si="125">IFERROR(BB169*BK138/BB138,0)</f>
        <v>1760575.1163100863</v>
      </c>
      <c r="BL169" s="97">
        <f t="shared" si="125"/>
        <v>1760575.1163100863</v>
      </c>
      <c r="BM169" s="524">
        <f t="shared" si="125"/>
        <v>1760575.1163100863</v>
      </c>
      <c r="BN169" s="416">
        <f t="shared" si="125"/>
        <v>1883846.9013009847</v>
      </c>
      <c r="BO169" s="97">
        <f t="shared" si="125"/>
        <v>1883846.9013009847</v>
      </c>
      <c r="BP169" s="97">
        <f t="shared" si="125"/>
        <v>1883846.9013009847</v>
      </c>
      <c r="BQ169" s="97">
        <f t="shared" si="125"/>
        <v>1883846.9013009847</v>
      </c>
      <c r="BR169" s="98">
        <f t="shared" si="125"/>
        <v>1883846.9013009847</v>
      </c>
      <c r="BT169" s="822">
        <v>1</v>
      </c>
      <c r="BU169" s="421">
        <f t="shared" si="118"/>
        <v>670.0053566809288</v>
      </c>
      <c r="BV169" s="421">
        <f t="shared" si="119"/>
        <v>8.1890590678161903</v>
      </c>
      <c r="BW169" s="96">
        <f t="shared" si="120"/>
        <v>597.90365753546121</v>
      </c>
      <c r="BX169" s="727">
        <f t="shared" si="121"/>
        <v>63.912640077651353</v>
      </c>
      <c r="BY169" s="866">
        <f t="shared" si="115"/>
        <v>0</v>
      </c>
      <c r="BZ169" s="868">
        <f t="shared" si="122"/>
        <v>0</v>
      </c>
      <c r="CA169" s="868">
        <f t="shared" si="123"/>
        <v>0</v>
      </c>
      <c r="CB169" s="868">
        <f t="shared" si="124"/>
        <v>0</v>
      </c>
    </row>
    <row r="170" spans="1:80" x14ac:dyDescent="0.25">
      <c r="A170" s="81" t="s">
        <v>81</v>
      </c>
      <c r="B170" s="171"/>
      <c r="C170" s="82" t="s">
        <v>270</v>
      </c>
      <c r="D170" s="172"/>
      <c r="E170" s="173"/>
      <c r="F170" s="173"/>
      <c r="G170" s="173"/>
      <c r="H170" s="173"/>
      <c r="I170" s="173"/>
      <c r="J170" s="173"/>
      <c r="K170" s="173"/>
      <c r="L170" s="173"/>
      <c r="M170" s="209"/>
      <c r="N170" s="1069">
        <f t="shared" si="116"/>
        <v>13824885.442502294</v>
      </c>
      <c r="O170" s="580"/>
      <c r="P170" s="576"/>
      <c r="Q170" s="576"/>
      <c r="R170" s="576"/>
      <c r="S170" s="576"/>
      <c r="T170" s="576"/>
      <c r="U170" s="576"/>
      <c r="V170" s="576"/>
      <c r="W170" s="576"/>
      <c r="X170" s="680"/>
      <c r="Y170" s="1091"/>
      <c r="AF170" s="174"/>
      <c r="AG170" s="175"/>
      <c r="AH170" s="854"/>
      <c r="AK170" s="174">
        <f t="shared" ref="AK170:AS170" si="126">AK139</f>
        <v>20</v>
      </c>
      <c r="AL170" s="175">
        <f t="shared" si="126"/>
        <v>56</v>
      </c>
      <c r="AM170" s="175">
        <f t="shared" si="126"/>
        <v>39</v>
      </c>
      <c r="AN170" s="175">
        <f t="shared" si="126"/>
        <v>39</v>
      </c>
      <c r="AO170" s="175">
        <f t="shared" si="126"/>
        <v>89</v>
      </c>
      <c r="AP170" s="175">
        <f t="shared" si="126"/>
        <v>200.00016574700018</v>
      </c>
      <c r="AQ170" s="175">
        <f t="shared" si="126"/>
        <v>102.05983338800003</v>
      </c>
      <c r="AR170" s="175">
        <f t="shared" si="126"/>
        <v>91.072666666666237</v>
      </c>
      <c r="AS170" s="175">
        <f t="shared" si="126"/>
        <v>75.531832921000088</v>
      </c>
      <c r="AT170" s="614">
        <f>AT139</f>
        <v>93.096998671999927</v>
      </c>
      <c r="AU170" s="614">
        <f>AU139</f>
        <v>101.96783278499994</v>
      </c>
      <c r="AV170" s="93">
        <f t="shared" si="112"/>
        <v>112.3522994789333</v>
      </c>
      <c r="AW170" s="94">
        <f t="shared" si="113"/>
        <v>86.567166086555417</v>
      </c>
      <c r="AX170" s="95">
        <f t="shared" si="114"/>
        <v>93.096998671999927</v>
      </c>
      <c r="AY170" s="19">
        <v>5</v>
      </c>
      <c r="BB170" s="421"/>
      <c r="BC170" s="96"/>
      <c r="BD170" s="521"/>
      <c r="BE170" s="421"/>
      <c r="BF170" s="96"/>
      <c r="BG170" s="96"/>
      <c r="BH170" s="96"/>
      <c r="BI170" s="286"/>
      <c r="BJ170" s="305"/>
      <c r="BK170" s="644">
        <f t="shared" ref="BK170:BR170" si="127">IFERROR(BB170*BK139/BB139,0)</f>
        <v>0</v>
      </c>
      <c r="BL170" s="97">
        <f t="shared" si="127"/>
        <v>0</v>
      </c>
      <c r="BM170" s="524">
        <f t="shared" si="127"/>
        <v>0</v>
      </c>
      <c r="BN170" s="416">
        <f t="shared" si="127"/>
        <v>0</v>
      </c>
      <c r="BO170" s="97">
        <f t="shared" si="127"/>
        <v>0</v>
      </c>
      <c r="BP170" s="97">
        <f t="shared" si="127"/>
        <v>0</v>
      </c>
      <c r="BQ170" s="97">
        <f t="shared" si="127"/>
        <v>0</v>
      </c>
      <c r="BR170" s="98">
        <f t="shared" si="127"/>
        <v>0</v>
      </c>
      <c r="BT170" s="822">
        <v>1</v>
      </c>
      <c r="BU170" s="421">
        <f t="shared" si="118"/>
        <v>0</v>
      </c>
      <c r="BV170" s="421">
        <f t="shared" si="119"/>
        <v>0</v>
      </c>
      <c r="BW170" s="96">
        <f t="shared" si="120"/>
        <v>0</v>
      </c>
      <c r="BX170" s="727">
        <f t="shared" si="121"/>
        <v>0</v>
      </c>
      <c r="BY170" s="866">
        <f t="shared" si="115"/>
        <v>0</v>
      </c>
      <c r="BZ170" s="868">
        <f t="shared" si="122"/>
        <v>0</v>
      </c>
      <c r="CA170" s="868">
        <f t="shared" si="123"/>
        <v>0</v>
      </c>
      <c r="CB170" s="868">
        <f t="shared" si="124"/>
        <v>0</v>
      </c>
    </row>
    <row r="171" spans="1:80" x14ac:dyDescent="0.25">
      <c r="A171" s="81" t="s">
        <v>94</v>
      </c>
      <c r="B171" s="171"/>
      <c r="C171" s="82" t="s">
        <v>412</v>
      </c>
      <c r="D171" s="172"/>
      <c r="E171" s="173"/>
      <c r="F171" s="173"/>
      <c r="G171" s="173"/>
      <c r="H171" s="173"/>
      <c r="I171" s="173"/>
      <c r="J171" s="173"/>
      <c r="K171" s="173"/>
      <c r="L171" s="173"/>
      <c r="M171" s="209"/>
      <c r="N171" s="1069">
        <f t="shared" si="116"/>
        <v>0</v>
      </c>
      <c r="O171" s="580"/>
      <c r="P171" s="576"/>
      <c r="Q171" s="576"/>
      <c r="R171" s="576"/>
      <c r="S171" s="576"/>
      <c r="T171" s="576"/>
      <c r="U171" s="576"/>
      <c r="V171" s="576"/>
      <c r="W171" s="576"/>
      <c r="X171" s="680"/>
      <c r="Y171" s="1091"/>
      <c r="AF171" s="174"/>
      <c r="AG171" s="175"/>
      <c r="AH171" s="854"/>
      <c r="AK171" s="174" t="str">
        <f>IFERROR(Reconductor!AN140/Reconductor!AN$139*AK$170,"")</f>
        <v/>
      </c>
      <c r="AL171" s="175" t="str">
        <f>IFERROR(Reconductor!AO140/Reconductor!AO$139*AL$170,"")</f>
        <v/>
      </c>
      <c r="AM171" s="175" t="str">
        <f>IFERROR(Reconductor!AP140/Reconductor!AP$139*AM$170,"")</f>
        <v/>
      </c>
      <c r="AN171" s="175" t="str">
        <f>IFERROR(Reconductor!AQ140/Reconductor!AQ$139*AN$170,"")</f>
        <v/>
      </c>
      <c r="AO171" s="175" t="str">
        <f>IFERROR(Reconductor!AR140/Reconductor!AR$139*AO$170,"")</f>
        <v/>
      </c>
      <c r="AP171" s="175">
        <f>IFERROR(Reconductor!AS140/Reconductor!AS$139*AP$170,"")</f>
        <v>0</v>
      </c>
      <c r="AQ171" s="175">
        <f>IFERROR(Reconductor!AT140/Reconductor!AT$139*AQ$170,"")</f>
        <v>0</v>
      </c>
      <c r="AR171" s="175">
        <f>IFERROR(Reconductor!AU140/Reconductor!AU$139*AR$170,"")</f>
        <v>0</v>
      </c>
      <c r="AS171" s="175">
        <f>IFERROR(Reconductor!AV140/Reconductor!AV$139*AS$170,"")</f>
        <v>0</v>
      </c>
      <c r="AT171" s="614">
        <f>IFERROR(Reconductor!AW140/Reconductor!AW$139*AT$170,"")</f>
        <v>0</v>
      </c>
      <c r="AU171" s="614">
        <f>IFERROR(Reconductor!AX140/Reconductor!AX$139*AU$170,"")</f>
        <v>0</v>
      </c>
      <c r="AV171" s="93">
        <f t="shared" si="112"/>
        <v>0</v>
      </c>
      <c r="AW171" s="94">
        <f t="shared" si="113"/>
        <v>0</v>
      </c>
      <c r="AX171" s="95">
        <f t="shared" si="114"/>
        <v>0</v>
      </c>
      <c r="AY171" s="19">
        <v>6</v>
      </c>
      <c r="BB171" s="421">
        <f>BB$139*HLOOKUP($BD$166,$AV$166:$AX$177,ROWS(BB$166:BB171),0)/HLOOKUP($BD$166,$AV$166:$AX$177,5,0)</f>
        <v>0</v>
      </c>
      <c r="BC171" s="96">
        <f>BC$139*HLOOKUP($BD$166,$AV$166:$AX$177,ROWS(BC$166:BC171),0)/HLOOKUP($BD$166,$AV$166:$AX$177,5,0)</f>
        <v>0</v>
      </c>
      <c r="BD171" s="521">
        <f>BD$139*HLOOKUP($BD$166,$AV$166:$AX$177,ROWS(BD$166:BD171),0)/HLOOKUP($BD$166,$AV$166:$AX$177,5,0)</f>
        <v>0</v>
      </c>
      <c r="BE171" s="421">
        <f>BE$139*HLOOKUP($BD$166,$AV$166:$AX$177,ROWS(BE$166:BE171),0)/HLOOKUP($BD$166,$AV$166:$AX$177,5,0)</f>
        <v>0</v>
      </c>
      <c r="BF171" s="96">
        <f>BF$139*HLOOKUP($BD$166,$AV$166:$AX$177,ROWS(BF$166:BF171),0)/HLOOKUP($BD$166,$AV$166:$AX$177,5,0)</f>
        <v>0</v>
      </c>
      <c r="BG171" s="96">
        <f>BG$139*HLOOKUP($BD$166,$AV$166:$AX$177,ROWS(BG$166:BG171),0)/HLOOKUP($BD$166,$AV$166:$AX$177,5,0)</f>
        <v>0</v>
      </c>
      <c r="BH171" s="96">
        <f>BH$139*HLOOKUP($BD$166,$AV$166:$AX$177,ROWS(BH$166:BH171),0)/HLOOKUP($BD$166,$AV$166:$AX$177,5,0)</f>
        <v>0</v>
      </c>
      <c r="BI171" s="286">
        <f>BI$139*HLOOKUP($BD$166,$AV$166:$AX$177,ROWS(BI$166:BI171),0)/HLOOKUP($BD$166,$AV$166:$AX$177,5,0)</f>
        <v>0</v>
      </c>
      <c r="BJ171" s="305"/>
      <c r="BK171" s="644">
        <f t="shared" ref="BK171:BR171" si="128">IFERROR(BB171*BK140/BB140,0)</f>
        <v>0</v>
      </c>
      <c r="BL171" s="97">
        <f t="shared" si="128"/>
        <v>0</v>
      </c>
      <c r="BM171" s="524">
        <f t="shared" si="128"/>
        <v>0</v>
      </c>
      <c r="BN171" s="416">
        <f t="shared" si="128"/>
        <v>0</v>
      </c>
      <c r="BO171" s="97">
        <f t="shared" si="128"/>
        <v>0</v>
      </c>
      <c r="BP171" s="97">
        <f t="shared" si="128"/>
        <v>0</v>
      </c>
      <c r="BQ171" s="97">
        <f t="shared" si="128"/>
        <v>0</v>
      </c>
      <c r="BR171" s="98">
        <f t="shared" si="128"/>
        <v>0</v>
      </c>
      <c r="BT171" s="822">
        <v>1</v>
      </c>
      <c r="BU171" s="421">
        <f t="shared" si="118"/>
        <v>0</v>
      </c>
      <c r="BV171" s="421">
        <f t="shared" si="119"/>
        <v>0</v>
      </c>
      <c r="BW171" s="96">
        <f t="shared" si="120"/>
        <v>0</v>
      </c>
      <c r="BX171" s="727">
        <f t="shared" si="121"/>
        <v>0</v>
      </c>
      <c r="BY171" s="866">
        <f t="shared" si="115"/>
        <v>0</v>
      </c>
      <c r="BZ171" s="868">
        <f t="shared" si="122"/>
        <v>0</v>
      </c>
      <c r="CA171" s="868">
        <f t="shared" si="123"/>
        <v>0</v>
      </c>
      <c r="CB171" s="868">
        <f t="shared" si="124"/>
        <v>0</v>
      </c>
    </row>
    <row r="172" spans="1:80" x14ac:dyDescent="0.25">
      <c r="A172" s="81" t="s">
        <v>106</v>
      </c>
      <c r="B172" s="171"/>
      <c r="C172" s="82" t="s">
        <v>272</v>
      </c>
      <c r="D172" s="172"/>
      <c r="E172" s="173"/>
      <c r="F172" s="173"/>
      <c r="G172" s="173"/>
      <c r="H172" s="173"/>
      <c r="I172" s="173"/>
      <c r="J172" s="173"/>
      <c r="K172" s="173"/>
      <c r="L172" s="173"/>
      <c r="M172" s="209"/>
      <c r="N172" s="1069">
        <f t="shared" si="116"/>
        <v>462725.4344404852</v>
      </c>
      <c r="O172" s="580"/>
      <c r="P172" s="576"/>
      <c r="Q172" s="576"/>
      <c r="R172" s="576"/>
      <c r="S172" s="576"/>
      <c r="T172" s="576"/>
      <c r="U172" s="576"/>
      <c r="V172" s="576"/>
      <c r="W172" s="576"/>
      <c r="X172" s="680"/>
      <c r="Y172" s="1091"/>
      <c r="AF172" s="174"/>
      <c r="AG172" s="175"/>
      <c r="AH172" s="854"/>
      <c r="AK172" s="174" t="str">
        <f>IFERROR(Reconductor!AN141/Reconductor!AN$139*AK$170,"")</f>
        <v/>
      </c>
      <c r="AL172" s="175" t="str">
        <f>IFERROR(Reconductor!AO141/Reconductor!AO$139*AL$170,"")</f>
        <v/>
      </c>
      <c r="AM172" s="175" t="str">
        <f>IFERROR(Reconductor!AP141/Reconductor!AP$139*AM$170,"")</f>
        <v/>
      </c>
      <c r="AN172" s="175" t="str">
        <f>IFERROR(Reconductor!AQ141/Reconductor!AQ$139*AN$170,"")</f>
        <v/>
      </c>
      <c r="AO172" s="175" t="str">
        <f>IFERROR(Reconductor!AR141/Reconductor!AR$139*AO$170,"")</f>
        <v/>
      </c>
      <c r="AP172" s="175">
        <f>IFERROR(Reconductor!AS141/Reconductor!AS$139*AP$170,"")</f>
        <v>173.03585400476769</v>
      </c>
      <c r="AQ172" s="175">
        <f>IFERROR(Reconductor!AT141/Reconductor!AT$139*AQ$170,"")</f>
        <v>254.34687115301</v>
      </c>
      <c r="AR172" s="175">
        <f>IFERROR(Reconductor!AU141/Reconductor!AU$139*AR$170,"")</f>
        <v>333.0972509674171</v>
      </c>
      <c r="AS172" s="175">
        <f>IFERROR(Reconductor!AV141/Reconductor!AV$139*AS$170,"")</f>
        <v>361.75218166085745</v>
      </c>
      <c r="AT172" s="614">
        <f>IFERROR(Reconductor!AW141/Reconductor!AW$139*AT$170,"")</f>
        <v>297.91391847646514</v>
      </c>
      <c r="AU172" s="614">
        <f>IFERROR(Reconductor!AX141/Reconductor!AX$139*AU$170,"")</f>
        <v>248.93528206711349</v>
      </c>
      <c r="AV172" s="93">
        <f t="shared" si="112"/>
        <v>284.02921525250343</v>
      </c>
      <c r="AW172" s="94">
        <f t="shared" si="113"/>
        <v>330.92111703491327</v>
      </c>
      <c r="AX172" s="95">
        <f t="shared" si="114"/>
        <v>297.91391847646514</v>
      </c>
      <c r="AY172" s="19">
        <v>7</v>
      </c>
      <c r="BB172" s="421">
        <f>BB$139*HLOOKUP($BD$166,$AV$166:$AX$177,ROWS(BB$166:BB172),0)/HLOOKUP($BD$166,$AV$166:$AX$177,5,0)</f>
        <v>334.10944958329259</v>
      </c>
      <c r="BC172" s="96">
        <f>BC$139*HLOOKUP($BD$166,$AV$166:$AX$177,ROWS(BC$166:BC172),0)/HLOOKUP($BD$166,$AV$166:$AX$177,5,0)</f>
        <v>334.10944958329259</v>
      </c>
      <c r="BD172" s="521">
        <f>BD$139*HLOOKUP($BD$166,$AV$166:$AX$177,ROWS(BD$166:BD172),0)/HLOOKUP($BD$166,$AV$166:$AX$177,5,0)</f>
        <v>334.10944958329259</v>
      </c>
      <c r="BE172" s="421">
        <f>BE$139*HLOOKUP($BD$166,$AV$166:$AX$177,ROWS(BE$166:BE172),0)/HLOOKUP($BD$166,$AV$166:$AX$177,5,0)</f>
        <v>357.5010768568888</v>
      </c>
      <c r="BF172" s="96">
        <f>BF$139*HLOOKUP($BD$166,$AV$166:$AX$177,ROWS(BF$166:BF172),0)/HLOOKUP($BD$166,$AV$166:$AX$177,5,0)</f>
        <v>357.5010768568888</v>
      </c>
      <c r="BG172" s="96">
        <f>BG$139*HLOOKUP($BD$166,$AV$166:$AX$177,ROWS(BG$166:BG172),0)/HLOOKUP($BD$166,$AV$166:$AX$177,5,0)</f>
        <v>357.5010768568888</v>
      </c>
      <c r="BH172" s="96">
        <f>BH$139*HLOOKUP($BD$166,$AV$166:$AX$177,ROWS(BH$166:BH172),0)/HLOOKUP($BD$166,$AV$166:$AX$177,5,0)</f>
        <v>357.5010768568888</v>
      </c>
      <c r="BI172" s="286">
        <f>BI$139*HLOOKUP($BD$166,$AV$166:$AX$177,ROWS(BI$166:BI172),0)/HLOOKUP($BD$166,$AV$166:$AX$177,5,0)</f>
        <v>357.5010768568888</v>
      </c>
      <c r="BJ172" s="305"/>
      <c r="BK172" s="644">
        <f t="shared" ref="BK172:BR172" si="129">IFERROR(BB172*BK141/BB141,0)</f>
        <v>513207.15973658155</v>
      </c>
      <c r="BL172" s="97">
        <f t="shared" si="129"/>
        <v>513207.15973658155</v>
      </c>
      <c r="BM172" s="524">
        <f t="shared" si="129"/>
        <v>513207.15973658155</v>
      </c>
      <c r="BN172" s="416">
        <f t="shared" si="129"/>
        <v>549137.75256977323</v>
      </c>
      <c r="BO172" s="97">
        <f t="shared" si="129"/>
        <v>549137.75256977323</v>
      </c>
      <c r="BP172" s="97">
        <f t="shared" si="129"/>
        <v>549137.75256977323</v>
      </c>
      <c r="BQ172" s="97">
        <f t="shared" si="129"/>
        <v>549137.75256977323</v>
      </c>
      <c r="BR172" s="98">
        <f t="shared" si="129"/>
        <v>549137.75256977323</v>
      </c>
      <c r="BT172" s="822">
        <v>1</v>
      </c>
      <c r="BU172" s="421">
        <f t="shared" si="118"/>
        <v>357.5010768568888</v>
      </c>
      <c r="BV172" s="421">
        <f t="shared" si="119"/>
        <v>4.369513476267838</v>
      </c>
      <c r="BW172" s="96">
        <f t="shared" si="120"/>
        <v>319.0290932664779</v>
      </c>
      <c r="BX172" s="727">
        <f t="shared" si="121"/>
        <v>34.102470114143017</v>
      </c>
      <c r="BY172" s="866">
        <f t="shared" si="115"/>
        <v>0</v>
      </c>
      <c r="BZ172" s="868">
        <f t="shared" si="122"/>
        <v>0</v>
      </c>
      <c r="CA172" s="868">
        <f t="shared" si="123"/>
        <v>0</v>
      </c>
      <c r="CB172" s="868">
        <f t="shared" si="124"/>
        <v>0</v>
      </c>
    </row>
    <row r="173" spans="1:80" x14ac:dyDescent="0.25">
      <c r="A173" s="81" t="s">
        <v>138</v>
      </c>
      <c r="B173" s="171"/>
      <c r="C173" s="82" t="s">
        <v>413</v>
      </c>
      <c r="D173" s="172"/>
      <c r="E173" s="173"/>
      <c r="F173" s="173"/>
      <c r="G173" s="173"/>
      <c r="H173" s="173"/>
      <c r="I173" s="173"/>
      <c r="J173" s="173"/>
      <c r="K173" s="173"/>
      <c r="L173" s="173"/>
      <c r="M173" s="209"/>
      <c r="N173" s="1069">
        <f t="shared" si="116"/>
        <v>1803949.5662007648</v>
      </c>
      <c r="O173" s="580"/>
      <c r="P173" s="576"/>
      <c r="Q173" s="576"/>
      <c r="R173" s="576"/>
      <c r="S173" s="576"/>
      <c r="T173" s="576"/>
      <c r="U173" s="576"/>
      <c r="V173" s="576"/>
      <c r="W173" s="576"/>
      <c r="X173" s="680"/>
      <c r="Y173" s="1091"/>
      <c r="AF173" s="174"/>
      <c r="AG173" s="175"/>
      <c r="AH173" s="854"/>
      <c r="AK173" s="174" t="str">
        <f>IFERROR(Reconductor!AN142/Reconductor!AN$139*AK$170,"")</f>
        <v/>
      </c>
      <c r="AL173" s="175" t="str">
        <f>IFERROR(Reconductor!AO142/Reconductor!AO$139*AL$170,"")</f>
        <v/>
      </c>
      <c r="AM173" s="175" t="str">
        <f>IFERROR(Reconductor!AP142/Reconductor!AP$139*AM$170,"")</f>
        <v/>
      </c>
      <c r="AN173" s="175" t="str">
        <f>IFERROR(Reconductor!AQ142/Reconductor!AQ$139*AN$170,"")</f>
        <v/>
      </c>
      <c r="AO173" s="175" t="str">
        <f>IFERROR(Reconductor!AR142/Reconductor!AR$139*AO$170,"")</f>
        <v/>
      </c>
      <c r="AP173" s="175">
        <f>IFERROR(Reconductor!AS142/Reconductor!AS$139*AP$170,"")</f>
        <v>16.96429977318305</v>
      </c>
      <c r="AQ173" s="175">
        <f>IFERROR(Reconductor!AT142/Reconductor!AT$139*AQ$170,"")</f>
        <v>36.511546028946491</v>
      </c>
      <c r="AR173" s="175">
        <f>IFERROR(Reconductor!AU142/Reconductor!AU$139*AR$170,"")</f>
        <v>33.448506666666503</v>
      </c>
      <c r="AS173" s="175">
        <f>IFERROR(Reconductor!AV142/Reconductor!AV$139*AS$170,"")</f>
        <v>28.582714889557781</v>
      </c>
      <c r="AT173" s="614">
        <f>IFERROR(Reconductor!AW142/Reconductor!AW$139*AT$170,"")</f>
        <v>35.471358418856752</v>
      </c>
      <c r="AU173" s="614">
        <f>IFERROR(Reconductor!AX142/Reconductor!AX$139*AU$170,"")</f>
        <v>34.386682612617477</v>
      </c>
      <c r="AV173" s="93">
        <f>SUM(AP173:AT173)/5*$BA173</f>
        <v>16.80789601375567</v>
      </c>
      <c r="AW173" s="94">
        <f>SUM(AR173:AT173)/3*$BA173</f>
        <v>18.091030963063471</v>
      </c>
      <c r="AX173" s="95">
        <f>SUM(AT173)*$BA173</f>
        <v>19.744506564486716</v>
      </c>
      <c r="AY173" s="19">
        <v>8</v>
      </c>
      <c r="AZ173" s="19" t="s">
        <v>795</v>
      </c>
      <c r="BA173" s="19">
        <v>0.55663237734900051</v>
      </c>
      <c r="BB173" s="421">
        <f>BB$139*HLOOKUP($BD$166,$AV$166:$AX$177,ROWS(BB$166:BB173),0)/HLOOKUP($BD$166,$AV$166:$AX$177,5,0)</f>
        <v>18.265332994224533</v>
      </c>
      <c r="BC173" s="96">
        <f>BC$139*HLOOKUP($BD$166,$AV$166:$AX$177,ROWS(BC$166:BC173),0)/HLOOKUP($BD$166,$AV$166:$AX$177,5,0)</f>
        <v>18.265332994224533</v>
      </c>
      <c r="BD173" s="521">
        <f>BD$139*HLOOKUP($BD$166,$AV$166:$AX$177,ROWS(BD$166:BD173),0)/HLOOKUP($BD$166,$AV$166:$AX$177,5,0)</f>
        <v>18.265332994224533</v>
      </c>
      <c r="BE173" s="421">
        <f>BE$139*HLOOKUP($BD$166,$AV$166:$AX$177,ROWS(BE$166:BE173),0)/HLOOKUP($BD$166,$AV$166:$AX$177,5,0)</f>
        <v>19.54412310914616</v>
      </c>
      <c r="BF173" s="96">
        <f>BF$139*HLOOKUP($BD$166,$AV$166:$AX$177,ROWS(BF$166:BF173),0)/HLOOKUP($BD$166,$AV$166:$AX$177,5,0)</f>
        <v>19.54412310914616</v>
      </c>
      <c r="BG173" s="96">
        <f>BG$139*HLOOKUP($BD$166,$AV$166:$AX$177,ROWS(BG$166:BG173),0)/HLOOKUP($BD$166,$AV$166:$AX$177,5,0)</f>
        <v>19.54412310914616</v>
      </c>
      <c r="BH173" s="96">
        <f>BH$139*HLOOKUP($BD$166,$AV$166:$AX$177,ROWS(BH$166:BH173),0)/HLOOKUP($BD$166,$AV$166:$AX$177,5,0)</f>
        <v>19.54412310914616</v>
      </c>
      <c r="BI173" s="286">
        <f>BI$139*HLOOKUP($BD$166,$AV$166:$AX$177,ROWS(BI$166:BI173),0)/HLOOKUP($BD$166,$AV$166:$AX$177,5,0)</f>
        <v>19.54412310914616</v>
      </c>
      <c r="BJ173" s="305"/>
      <c r="BK173" s="644">
        <f t="shared" ref="BK173:BR173" si="130">IFERROR(BB173*BK142/BB142,0)</f>
        <v>546208.70995604724</v>
      </c>
      <c r="BL173" s="97">
        <f t="shared" si="130"/>
        <v>546208.70995604724</v>
      </c>
      <c r="BM173" s="524">
        <f t="shared" si="130"/>
        <v>546208.70995604724</v>
      </c>
      <c r="BN173" s="416">
        <f t="shared" si="130"/>
        <v>563396.48764025094</v>
      </c>
      <c r="BO173" s="97">
        <f t="shared" si="130"/>
        <v>563396.48764025094</v>
      </c>
      <c r="BP173" s="97">
        <f t="shared" si="130"/>
        <v>563396.48764025094</v>
      </c>
      <c r="BQ173" s="97">
        <f t="shared" si="130"/>
        <v>563396.48764025094</v>
      </c>
      <c r="BR173" s="98">
        <f t="shared" si="130"/>
        <v>563396.48764025094</v>
      </c>
      <c r="BT173" s="822">
        <v>0.55473661021802789</v>
      </c>
      <c r="BU173" s="421">
        <f t="shared" si="118"/>
        <v>10.841840603251564</v>
      </c>
      <c r="BV173" s="421">
        <f t="shared" si="119"/>
        <v>0.1325130795128196</v>
      </c>
      <c r="BW173" s="96">
        <f t="shared" si="120"/>
        <v>9.6751109322662181</v>
      </c>
      <c r="BX173" s="727">
        <f t="shared" si="121"/>
        <v>1.0342165914725252</v>
      </c>
      <c r="BY173" s="866">
        <f t="shared" si="115"/>
        <v>8.7022825058945958</v>
      </c>
      <c r="BZ173" s="868">
        <f t="shared" si="122"/>
        <v>0.10636259061960243</v>
      </c>
      <c r="CA173" s="868">
        <f t="shared" si="123"/>
        <v>7.7657984183238105</v>
      </c>
      <c r="CB173" s="868">
        <f t="shared" si="124"/>
        <v>0.83012149695118198</v>
      </c>
    </row>
    <row r="174" spans="1:80" x14ac:dyDescent="0.25">
      <c r="A174" s="81" t="s">
        <v>196</v>
      </c>
      <c r="B174" s="171"/>
      <c r="C174" s="82" t="s">
        <v>274</v>
      </c>
      <c r="D174" s="172"/>
      <c r="E174" s="173"/>
      <c r="F174" s="173"/>
      <c r="G174" s="173"/>
      <c r="H174" s="173"/>
      <c r="I174" s="173"/>
      <c r="J174" s="173"/>
      <c r="K174" s="173"/>
      <c r="L174" s="173"/>
      <c r="M174" s="209"/>
      <c r="N174" s="1069">
        <f>AU174*SUM($N$97:$N$109)/SUM($AJ$97:$AJ$109)</f>
        <v>469633.33947109769</v>
      </c>
      <c r="O174" s="580"/>
      <c r="P174" s="576"/>
      <c r="Q174" s="576"/>
      <c r="R174" s="576"/>
      <c r="S174" s="576"/>
      <c r="T174" s="576"/>
      <c r="U174" s="576"/>
      <c r="V174" s="576"/>
      <c r="W174" s="576"/>
      <c r="X174" s="680"/>
      <c r="Y174" s="1091"/>
      <c r="AF174" s="174"/>
      <c r="AG174" s="175"/>
      <c r="AH174" s="854"/>
      <c r="AK174" s="174" t="str">
        <f>IFERROR(Reconductor!AN143/Reconductor!AN$139*AK$170,"")</f>
        <v/>
      </c>
      <c r="AL174" s="175" t="str">
        <f>IFERROR(Reconductor!AO143/Reconductor!AO$139*AL$170,"")</f>
        <v/>
      </c>
      <c r="AM174" s="175" t="str">
        <f>IFERROR(Reconductor!AP143/Reconductor!AP$139*AM$170,"")</f>
        <v/>
      </c>
      <c r="AN174" s="175" t="str">
        <f>IFERROR(Reconductor!AQ143/Reconductor!AQ$139*AN$170,"")</f>
        <v/>
      </c>
      <c r="AO174" s="175" t="str">
        <f>IFERROR(Reconductor!AR143/Reconductor!AR$139*AO$170,"")</f>
        <v/>
      </c>
      <c r="AP174" s="175">
        <f>IFERROR(Reconductor!AS143/Reconductor!AS$139*AP$170,"")</f>
        <v>41.517891550158524</v>
      </c>
      <c r="AQ174" s="175">
        <f>IFERROR(Reconductor!AT143/Reconductor!AT$139*AQ$170,"")</f>
        <v>25.011846492270429</v>
      </c>
      <c r="AR174" s="175">
        <f>IFERROR(Reconductor!AU143/Reconductor!AU$139*AR$170,"")</f>
        <v>25.997106666666543</v>
      </c>
      <c r="AS174" s="175">
        <f>IFERROR(Reconductor!AV143/Reconductor!AV$139*AS$170,"")</f>
        <v>36.044066165948372</v>
      </c>
      <c r="AT174" s="614">
        <f>IFERROR(Reconductor!AW143/Reconductor!AW$139*AT$170,"")</f>
        <v>39.340961155459311</v>
      </c>
      <c r="AU174" s="614">
        <f>IFERROR(Reconductor!AX143/Reconductor!AX$139*AU$170,"")</f>
        <v>41.536388898409228</v>
      </c>
      <c r="AV174" s="93">
        <f>SUM(AP174:AT174)/5*$BA174</f>
        <v>18.629372541112922</v>
      </c>
      <c r="AW174" s="94">
        <f>SUM(AR174:AT174)/3*$BA174</f>
        <v>18.746793781738074</v>
      </c>
      <c r="AX174" s="95">
        <f>SUM(AT174)*$BA174</f>
        <v>21.823871434098606</v>
      </c>
      <c r="AY174" s="19">
        <v>9</v>
      </c>
      <c r="AZ174" s="19" t="s">
        <v>795</v>
      </c>
      <c r="BA174" s="19">
        <v>0.55473661021802789</v>
      </c>
      <c r="BB174" s="421">
        <f>BB$139*HLOOKUP($BD$166,$AV$166:$AX$177,ROWS(BB$166:BB174),0)/HLOOKUP($BD$166,$AV$166:$AX$177,5,0)</f>
        <v>18.927413904526322</v>
      </c>
      <c r="BC174" s="96">
        <f>BC$139*HLOOKUP($BD$166,$AV$166:$AX$177,ROWS(BC$166:BC174),0)/HLOOKUP($BD$166,$AV$166:$AX$177,5,0)</f>
        <v>18.927413904526322</v>
      </c>
      <c r="BD174" s="521">
        <f>BD$139*HLOOKUP($BD$166,$AV$166:$AX$177,ROWS(BD$166:BD174),0)/HLOOKUP($BD$166,$AV$166:$AX$177,5,0)</f>
        <v>18.927413904526322</v>
      </c>
      <c r="BE174" s="421">
        <f>BE$139*HLOOKUP($BD$166,$AV$166:$AX$177,ROWS(BE$166:BE174),0)/HLOOKUP($BD$166,$AV$166:$AX$177,5,0)</f>
        <v>20.25255754191808</v>
      </c>
      <c r="BF174" s="96">
        <f>BF$139*HLOOKUP($BD$166,$AV$166:$AX$177,ROWS(BF$166:BF174),0)/HLOOKUP($BD$166,$AV$166:$AX$177,5,0)</f>
        <v>20.25255754191808</v>
      </c>
      <c r="BG174" s="96">
        <f>BG$139*HLOOKUP($BD$166,$AV$166:$AX$177,ROWS(BG$166:BG174),0)/HLOOKUP($BD$166,$AV$166:$AX$177,5,0)</f>
        <v>20.25255754191808</v>
      </c>
      <c r="BH174" s="96">
        <f>BH$139*HLOOKUP($BD$166,$AV$166:$AX$177,ROWS(BH$166:BH174),0)/HLOOKUP($BD$166,$AV$166:$AX$177,5,0)</f>
        <v>20.25255754191808</v>
      </c>
      <c r="BI174" s="286">
        <f>BI$139*HLOOKUP($BD$166,$AV$166:$AX$177,ROWS(BI$166:BI174),0)/HLOOKUP($BD$166,$AV$166:$AX$177,5,0)</f>
        <v>20.25255754191808</v>
      </c>
      <c r="BJ174" s="305"/>
      <c r="BK174" s="644">
        <f t="shared" ref="BK174:BR174" si="131">IFERROR(BB174*BK143/BB143,0)</f>
        <v>208990.21894386044</v>
      </c>
      <c r="BL174" s="97">
        <f t="shared" si="131"/>
        <v>208990.21894386044</v>
      </c>
      <c r="BM174" s="524">
        <f t="shared" si="131"/>
        <v>208990.21894386044</v>
      </c>
      <c r="BN174" s="416">
        <f t="shared" si="131"/>
        <v>231883.54009237527</v>
      </c>
      <c r="BO174" s="97">
        <f t="shared" si="131"/>
        <v>231883.54009237527</v>
      </c>
      <c r="BP174" s="97">
        <f t="shared" si="131"/>
        <v>231883.54009237527</v>
      </c>
      <c r="BQ174" s="97">
        <f t="shared" si="131"/>
        <v>231883.54009237527</v>
      </c>
      <c r="BR174" s="98">
        <f t="shared" si="131"/>
        <v>231883.54009237527</v>
      </c>
      <c r="BT174" s="822">
        <v>0.55473661021802778</v>
      </c>
      <c r="BU174" s="421">
        <f t="shared" si="118"/>
        <v>11.234835119049189</v>
      </c>
      <c r="BV174" s="421">
        <f t="shared" si="119"/>
        <v>0.13731640723416372</v>
      </c>
      <c r="BW174" s="96">
        <f t="shared" si="120"/>
        <v>10.025813887166139</v>
      </c>
      <c r="BX174" s="727">
        <f t="shared" si="121"/>
        <v>1.0717048246488845</v>
      </c>
      <c r="BY174" s="866">
        <f t="shared" si="115"/>
        <v>9.017722422868891</v>
      </c>
      <c r="BZ174" s="868">
        <f t="shared" si="122"/>
        <v>0.11021801667954614</v>
      </c>
      <c r="CA174" s="868">
        <f t="shared" si="123"/>
        <v>8.0472927052141614</v>
      </c>
      <c r="CB174" s="868">
        <f t="shared" si="124"/>
        <v>0.8602117009751824</v>
      </c>
    </row>
    <row r="175" spans="1:80" x14ac:dyDescent="0.25">
      <c r="A175" s="81" t="s">
        <v>224</v>
      </c>
      <c r="B175" s="171"/>
      <c r="C175" s="82" t="s">
        <v>414</v>
      </c>
      <c r="D175" s="172"/>
      <c r="E175" s="173"/>
      <c r="F175" s="173"/>
      <c r="G175" s="173"/>
      <c r="H175" s="173"/>
      <c r="I175" s="173"/>
      <c r="J175" s="173"/>
      <c r="K175" s="173"/>
      <c r="L175" s="173"/>
      <c r="M175" s="209"/>
      <c r="N175" s="1069">
        <v>0</v>
      </c>
      <c r="O175" s="580"/>
      <c r="P175" s="576"/>
      <c r="Q175" s="576"/>
      <c r="R175" s="576"/>
      <c r="S175" s="576"/>
      <c r="T175" s="576"/>
      <c r="U175" s="576"/>
      <c r="V175" s="576"/>
      <c r="W175" s="576"/>
      <c r="X175" s="680"/>
      <c r="Y175" s="1091"/>
      <c r="AF175" s="174"/>
      <c r="AG175" s="175"/>
      <c r="AH175" s="854"/>
      <c r="AK175" s="174" t="str">
        <f>IFERROR(Reconductor!AN144/Reconductor!AN$139*AK$170,"")</f>
        <v/>
      </c>
      <c r="AL175" s="175" t="str">
        <f>IFERROR(Reconductor!AO144/Reconductor!AO$139*AL$170,"")</f>
        <v/>
      </c>
      <c r="AM175" s="175" t="str">
        <f>IFERROR(Reconductor!AP144/Reconductor!AP$139*AM$170,"")</f>
        <v/>
      </c>
      <c r="AN175" s="175" t="str">
        <f>IFERROR(Reconductor!AQ144/Reconductor!AQ$139*AN$170,"")</f>
        <v/>
      </c>
      <c r="AO175" s="175" t="str">
        <f>IFERROR(Reconductor!AR144/Reconductor!AR$139*AO$170,"")</f>
        <v/>
      </c>
      <c r="AP175" s="175">
        <f>IFERROR(Reconductor!AS144/Reconductor!AS$139*AP$170,"")</f>
        <v>0</v>
      </c>
      <c r="AQ175" s="175">
        <f>IFERROR(Reconductor!AT144/Reconductor!AT$139*AQ$170,"")</f>
        <v>0</v>
      </c>
      <c r="AR175" s="175">
        <f>IFERROR(Reconductor!AU144/Reconductor!AU$139*AR$170,"")</f>
        <v>0</v>
      </c>
      <c r="AS175" s="175">
        <f>IFERROR(Reconductor!AV144/Reconductor!AV$139*AS$170,"")</f>
        <v>0</v>
      </c>
      <c r="AT175" s="614">
        <f>IFERROR(Reconductor!AW144/Reconductor!AW$139*AT$170,"")</f>
        <v>0</v>
      </c>
      <c r="AU175" s="614">
        <f>IFERROR(Reconductor!AX144/Reconductor!AX$139*AU$170,"")</f>
        <v>0</v>
      </c>
      <c r="AV175" s="93">
        <f>SUM(AP175:AT175)/5</f>
        <v>0</v>
      </c>
      <c r="AW175" s="94">
        <f>SUM(AR175:AT175)/3</f>
        <v>0</v>
      </c>
      <c r="AX175" s="95">
        <f>SUM(AT175)</f>
        <v>0</v>
      </c>
      <c r="AY175" s="19">
        <v>10</v>
      </c>
      <c r="BB175" s="421">
        <f>BB$139*HLOOKUP($BD$166,$AV$166:$AX$177,ROWS(BB$166:BB175),0)/HLOOKUP($BD$166,$AV$166:$AX$177,5,0)</f>
        <v>0</v>
      </c>
      <c r="BC175" s="96">
        <f>BC$139*HLOOKUP($BD$166,$AV$166:$AX$177,ROWS(BC$166:BC175),0)/HLOOKUP($BD$166,$AV$166:$AX$177,5,0)</f>
        <v>0</v>
      </c>
      <c r="BD175" s="521">
        <f>BD$139*HLOOKUP($BD$166,$AV$166:$AX$177,ROWS(BD$166:BD175),0)/HLOOKUP($BD$166,$AV$166:$AX$177,5,0)</f>
        <v>0</v>
      </c>
      <c r="BE175" s="421">
        <f>BE$139*HLOOKUP($BD$166,$AV$166:$AX$177,ROWS(BE$166:BE175),0)/HLOOKUP($BD$166,$AV$166:$AX$177,5,0)</f>
        <v>0</v>
      </c>
      <c r="BF175" s="96">
        <f>BF$139*HLOOKUP($BD$166,$AV$166:$AX$177,ROWS(BF$166:BF175),0)/HLOOKUP($BD$166,$AV$166:$AX$177,5,0)</f>
        <v>0</v>
      </c>
      <c r="BG175" s="96">
        <f>BG$139*HLOOKUP($BD$166,$AV$166:$AX$177,ROWS(BG$166:BG175),0)/HLOOKUP($BD$166,$AV$166:$AX$177,5,0)</f>
        <v>0</v>
      </c>
      <c r="BH175" s="96">
        <f>BH$139*HLOOKUP($BD$166,$AV$166:$AX$177,ROWS(BH$166:BH175),0)/HLOOKUP($BD$166,$AV$166:$AX$177,5,0)</f>
        <v>0</v>
      </c>
      <c r="BI175" s="286">
        <f>BI$139*HLOOKUP($BD$166,$AV$166:$AX$177,ROWS(BI$166:BI175),0)/HLOOKUP($BD$166,$AV$166:$AX$177,5,0)</f>
        <v>0</v>
      </c>
      <c r="BJ175" s="305"/>
      <c r="BK175" s="644">
        <f t="shared" ref="BK175:BR175" si="132">IFERROR(BB175*BK144/BB144,0)</f>
        <v>0</v>
      </c>
      <c r="BL175" s="97">
        <f t="shared" si="132"/>
        <v>0</v>
      </c>
      <c r="BM175" s="524">
        <f t="shared" si="132"/>
        <v>0</v>
      </c>
      <c r="BN175" s="416">
        <f t="shared" si="132"/>
        <v>0</v>
      </c>
      <c r="BO175" s="97">
        <f t="shared" si="132"/>
        <v>0</v>
      </c>
      <c r="BP175" s="97">
        <f t="shared" si="132"/>
        <v>0</v>
      </c>
      <c r="BQ175" s="97">
        <f t="shared" si="132"/>
        <v>0</v>
      </c>
      <c r="BR175" s="98">
        <f t="shared" si="132"/>
        <v>0</v>
      </c>
      <c r="BT175" s="822">
        <v>1</v>
      </c>
      <c r="BU175" s="421">
        <f t="shared" si="118"/>
        <v>0</v>
      </c>
      <c r="BV175" s="421">
        <f t="shared" si="119"/>
        <v>0</v>
      </c>
      <c r="BW175" s="96">
        <f t="shared" si="120"/>
        <v>0</v>
      </c>
      <c r="BX175" s="727">
        <f t="shared" si="121"/>
        <v>0</v>
      </c>
      <c r="BY175" s="866">
        <f t="shared" si="115"/>
        <v>0</v>
      </c>
      <c r="BZ175" s="868">
        <f t="shared" si="122"/>
        <v>0</v>
      </c>
      <c r="CA175" s="868">
        <f t="shared" si="123"/>
        <v>0</v>
      </c>
      <c r="CB175" s="868">
        <f t="shared" si="124"/>
        <v>0</v>
      </c>
    </row>
    <row r="176" spans="1:80" x14ac:dyDescent="0.25">
      <c r="A176" s="81" t="s">
        <v>242</v>
      </c>
      <c r="B176" s="171"/>
      <c r="C176" s="82" t="s">
        <v>415</v>
      </c>
      <c r="D176" s="172"/>
      <c r="E176" s="173"/>
      <c r="F176" s="173"/>
      <c r="G176" s="173"/>
      <c r="H176" s="173"/>
      <c r="I176" s="173"/>
      <c r="J176" s="173"/>
      <c r="K176" s="173"/>
      <c r="L176" s="173"/>
      <c r="M176" s="209"/>
      <c r="N176" s="1069">
        <f t="shared" si="116"/>
        <v>0</v>
      </c>
      <c r="O176" s="580"/>
      <c r="P176" s="576"/>
      <c r="Q176" s="576"/>
      <c r="R176" s="576"/>
      <c r="S176" s="576"/>
      <c r="T176" s="576"/>
      <c r="U176" s="576"/>
      <c r="V176" s="576"/>
      <c r="W176" s="576"/>
      <c r="X176" s="680"/>
      <c r="Y176" s="1091"/>
      <c r="AF176" s="174"/>
      <c r="AG176" s="175"/>
      <c r="AH176" s="854"/>
      <c r="AK176" s="174" t="str">
        <f>IFERROR(Reconductor!AN145/Reconductor!AN$139*AK$170,"")</f>
        <v/>
      </c>
      <c r="AL176" s="175" t="str">
        <f>IFERROR(Reconductor!AO145/Reconductor!AO$139*AL$170,"")</f>
        <v/>
      </c>
      <c r="AM176" s="175" t="str">
        <f>IFERROR(Reconductor!AP145/Reconductor!AP$139*AM$170,"")</f>
        <v/>
      </c>
      <c r="AN176" s="175" t="str">
        <f>IFERROR(Reconductor!AQ145/Reconductor!AQ$139*AN$170,"")</f>
        <v/>
      </c>
      <c r="AO176" s="175" t="str">
        <f>IFERROR(Reconductor!AR145/Reconductor!AR$139*AO$170,"")</f>
        <v/>
      </c>
      <c r="AP176" s="175">
        <f>IFERROR(Reconductor!AS145/Reconductor!AS$139*AP$170,"")</f>
        <v>0</v>
      </c>
      <c r="AQ176" s="175">
        <f>IFERROR(Reconductor!AT145/Reconductor!AT$139*AQ$170,"")</f>
        <v>0</v>
      </c>
      <c r="AR176" s="175">
        <f>IFERROR(Reconductor!AU145/Reconductor!AU$139*AR$170,"")</f>
        <v>0</v>
      </c>
      <c r="AS176" s="175">
        <f>IFERROR(Reconductor!AV145/Reconductor!AV$139*AS$170,"")</f>
        <v>0</v>
      </c>
      <c r="AT176" s="614">
        <f>IFERROR(Reconductor!AW145/Reconductor!AW$139*AT$170,"")</f>
        <v>0</v>
      </c>
      <c r="AU176" s="614">
        <f>IFERROR(Reconductor!AX145/Reconductor!AX$139*AU$170,"")</f>
        <v>0</v>
      </c>
      <c r="AV176" s="93">
        <f>SUM(AP176:AT176)/5</f>
        <v>0</v>
      </c>
      <c r="AW176" s="94">
        <f>SUM(AR176:AT176)/3</f>
        <v>0</v>
      </c>
      <c r="AX176" s="95">
        <f>SUM(AT176)</f>
        <v>0</v>
      </c>
      <c r="AY176" s="19">
        <v>11</v>
      </c>
      <c r="BB176" s="421">
        <f>BB$139*HLOOKUP($BD$166,$AV$166:$AX$177,ROWS(BB$166:BB176),0)/HLOOKUP($BD$166,$AV$166:$AX$177,5,0)</f>
        <v>0</v>
      </c>
      <c r="BC176" s="96">
        <f>BC$139*HLOOKUP($BD$166,$AV$166:$AX$177,ROWS(BC$166:BC176),0)/HLOOKUP($BD$166,$AV$166:$AX$177,5,0)</f>
        <v>0</v>
      </c>
      <c r="BD176" s="521">
        <f>BD$139*HLOOKUP($BD$166,$AV$166:$AX$177,ROWS(BD$166:BD176),0)/HLOOKUP($BD$166,$AV$166:$AX$177,5,0)</f>
        <v>0</v>
      </c>
      <c r="BE176" s="421">
        <f>BE$139*HLOOKUP($BD$166,$AV$166:$AX$177,ROWS(BE$166:BE176),0)/HLOOKUP($BD$166,$AV$166:$AX$177,5,0)</f>
        <v>0</v>
      </c>
      <c r="BF176" s="96">
        <f>BF$139*HLOOKUP($BD$166,$AV$166:$AX$177,ROWS(BF$166:BF176),0)/HLOOKUP($BD$166,$AV$166:$AX$177,5,0)</f>
        <v>0</v>
      </c>
      <c r="BG176" s="96">
        <f>BG$139*HLOOKUP($BD$166,$AV$166:$AX$177,ROWS(BG$166:BG176),0)/HLOOKUP($BD$166,$AV$166:$AX$177,5,0)</f>
        <v>0</v>
      </c>
      <c r="BH176" s="96">
        <f>BH$139*HLOOKUP($BD$166,$AV$166:$AX$177,ROWS(BH$166:BH176),0)/HLOOKUP($BD$166,$AV$166:$AX$177,5,0)</f>
        <v>0</v>
      </c>
      <c r="BI176" s="286">
        <f>BI$139*HLOOKUP($BD$166,$AV$166:$AX$177,ROWS(BI$166:BI176),0)/HLOOKUP($BD$166,$AV$166:$AX$177,5,0)</f>
        <v>0</v>
      </c>
      <c r="BJ176" s="305"/>
      <c r="BK176" s="644">
        <f t="shared" ref="BK176:BR176" si="133">IFERROR(BB176*BK145/BB145,0)</f>
        <v>0</v>
      </c>
      <c r="BL176" s="97">
        <f t="shared" si="133"/>
        <v>0</v>
      </c>
      <c r="BM176" s="524">
        <f t="shared" si="133"/>
        <v>0</v>
      </c>
      <c r="BN176" s="416">
        <f t="shared" si="133"/>
        <v>0</v>
      </c>
      <c r="BO176" s="97">
        <f t="shared" si="133"/>
        <v>0</v>
      </c>
      <c r="BP176" s="97">
        <f t="shared" si="133"/>
        <v>0</v>
      </c>
      <c r="BQ176" s="97">
        <f t="shared" si="133"/>
        <v>0</v>
      </c>
      <c r="BR176" s="98">
        <f t="shared" si="133"/>
        <v>0</v>
      </c>
      <c r="BT176" s="822">
        <v>1</v>
      </c>
      <c r="BU176" s="421">
        <f t="shared" si="118"/>
        <v>0</v>
      </c>
      <c r="BV176" s="421">
        <f t="shared" si="119"/>
        <v>0</v>
      </c>
      <c r="BW176" s="96">
        <f t="shared" si="120"/>
        <v>0</v>
      </c>
      <c r="BX176" s="727">
        <f t="shared" si="121"/>
        <v>0</v>
      </c>
      <c r="BY176" s="866">
        <f t="shared" si="115"/>
        <v>0</v>
      </c>
      <c r="BZ176" s="868">
        <f t="shared" si="122"/>
        <v>0</v>
      </c>
      <c r="CA176" s="868">
        <f t="shared" si="123"/>
        <v>0</v>
      </c>
      <c r="CB176" s="868">
        <f t="shared" si="124"/>
        <v>0</v>
      </c>
    </row>
    <row r="177" spans="1:87" ht="15.75" thickBot="1" x14ac:dyDescent="0.3">
      <c r="A177" s="100" t="s">
        <v>258</v>
      </c>
      <c r="B177" s="176"/>
      <c r="C177" s="101" t="s">
        <v>64</v>
      </c>
      <c r="D177" s="177"/>
      <c r="E177" s="178"/>
      <c r="F177" s="178"/>
      <c r="G177" s="178"/>
      <c r="H177" s="178"/>
      <c r="I177" s="178"/>
      <c r="J177" s="178"/>
      <c r="K177" s="178"/>
      <c r="L177" s="178"/>
      <c r="M177" s="210"/>
      <c r="N177" s="1070">
        <f t="shared" si="116"/>
        <v>0</v>
      </c>
      <c r="O177" s="582"/>
      <c r="P177" s="577"/>
      <c r="Q177" s="577"/>
      <c r="R177" s="577"/>
      <c r="S177" s="577"/>
      <c r="T177" s="577"/>
      <c r="U177" s="577"/>
      <c r="V177" s="577"/>
      <c r="W177" s="577"/>
      <c r="X177" s="681"/>
      <c r="Y177" s="1091"/>
      <c r="AF177" s="179"/>
      <c r="AG177" s="180"/>
      <c r="AH177" s="855"/>
      <c r="AK177" s="179" t="str">
        <f>IFERROR(Reconductor!AN146/Reconductor!AN$139*AK$170,"")</f>
        <v/>
      </c>
      <c r="AL177" s="180" t="str">
        <f>IFERROR(Reconductor!AO146/Reconductor!AO$139*AL$170,"")</f>
        <v/>
      </c>
      <c r="AM177" s="180" t="str">
        <f>IFERROR(Reconductor!AP146/Reconductor!AP$139*AM$170,"")</f>
        <v/>
      </c>
      <c r="AN177" s="180" t="str">
        <f>IFERROR(Reconductor!AQ146/Reconductor!AQ$139*AN$170,"")</f>
        <v/>
      </c>
      <c r="AO177" s="180" t="str">
        <f>IFERROR(Reconductor!AR146/Reconductor!AR$139*AO$170,"")</f>
        <v/>
      </c>
      <c r="AP177" s="180">
        <f>IFERROR(Reconductor!AS146/Reconductor!AS$139*AP$170,"")</f>
        <v>0</v>
      </c>
      <c r="AQ177" s="180">
        <f>IFERROR(Reconductor!AT146/Reconductor!AT$139*AQ$170,"")</f>
        <v>0</v>
      </c>
      <c r="AR177" s="180">
        <f>IFERROR(Reconductor!AU146/Reconductor!AU$139*AR$170,"")</f>
        <v>0</v>
      </c>
      <c r="AS177" s="180">
        <f>IFERROR(Reconductor!AV146/Reconductor!AV$139*AS$170,"")</f>
        <v>0</v>
      </c>
      <c r="AT177" s="615">
        <f>IFERROR(Reconductor!AW146/Reconductor!AW$139*AT$170,"")</f>
        <v>0</v>
      </c>
      <c r="AU177" s="615">
        <f>IFERROR(Reconductor!AX146/Reconductor!AX$139*AU$170,"")</f>
        <v>0</v>
      </c>
      <c r="AV177" s="112">
        <f>SUM(AP177:AT177)/5</f>
        <v>0</v>
      </c>
      <c r="AW177" s="113">
        <f>SUM(AR177:AT177)/3</f>
        <v>0</v>
      </c>
      <c r="AX177" s="114">
        <f>SUM(AT177)</f>
        <v>0</v>
      </c>
      <c r="AY177" s="19">
        <v>12</v>
      </c>
      <c r="BB177" s="422">
        <f>BB$139*HLOOKUP($BD$166,$AV$166:$AX$177,ROWS(BB$166:BB177),0)/HLOOKUP($BD$166,$AV$166:$AX$177,5,0)</f>
        <v>0</v>
      </c>
      <c r="BC177" s="115">
        <f>BC$139*HLOOKUP($BD$166,$AV$166:$AX$177,ROWS(BC$166:BC177),0)/HLOOKUP($BD$166,$AV$166:$AX$177,5,0)</f>
        <v>0</v>
      </c>
      <c r="BD177" s="522">
        <f>BD$139*HLOOKUP($BD$166,$AV$166:$AX$177,ROWS(BD$166:BD177),0)/HLOOKUP($BD$166,$AV$166:$AX$177,5,0)</f>
        <v>0</v>
      </c>
      <c r="BE177" s="422">
        <f>BE$139*HLOOKUP($BD$166,$AV$166:$AX$177,ROWS(BE$166:BE177),0)/HLOOKUP($BD$166,$AV$166:$AX$177,5,0)</f>
        <v>0</v>
      </c>
      <c r="BF177" s="115">
        <f>BF$139*HLOOKUP($BD$166,$AV$166:$AX$177,ROWS(BF$166:BF177),0)/HLOOKUP($BD$166,$AV$166:$AX$177,5,0)</f>
        <v>0</v>
      </c>
      <c r="BG177" s="115">
        <f>BG$139*HLOOKUP($BD$166,$AV$166:$AX$177,ROWS(BG$166:BG177),0)/HLOOKUP($BD$166,$AV$166:$AX$177,5,0)</f>
        <v>0</v>
      </c>
      <c r="BH177" s="115">
        <f>BH$139*HLOOKUP($BD$166,$AV$166:$AX$177,ROWS(BH$166:BH177),0)/HLOOKUP($BD$166,$AV$166:$AX$177,5,0)</f>
        <v>0</v>
      </c>
      <c r="BI177" s="287">
        <f>BI$139*HLOOKUP($BD$166,$AV$166:$AX$177,ROWS(BI$166:BI177),0)/HLOOKUP($BD$166,$AV$166:$AX$177,5,0)</f>
        <v>0</v>
      </c>
      <c r="BJ177" s="308"/>
      <c r="BK177" s="648">
        <f t="shared" ref="BK177:BR177" si="134">IFERROR(BB177*BK146/BB146,0)</f>
        <v>0</v>
      </c>
      <c r="BL177" s="117">
        <f t="shared" si="134"/>
        <v>0</v>
      </c>
      <c r="BM177" s="638">
        <f t="shared" si="134"/>
        <v>0</v>
      </c>
      <c r="BN177" s="467">
        <f t="shared" si="134"/>
        <v>0</v>
      </c>
      <c r="BO177" s="117">
        <f t="shared" si="134"/>
        <v>0</v>
      </c>
      <c r="BP177" s="117">
        <f t="shared" si="134"/>
        <v>0</v>
      </c>
      <c r="BQ177" s="117">
        <f t="shared" si="134"/>
        <v>0</v>
      </c>
      <c r="BR177" s="118">
        <f t="shared" si="134"/>
        <v>0</v>
      </c>
      <c r="BT177" s="822">
        <v>1</v>
      </c>
      <c r="BU177" s="422">
        <f t="shared" si="118"/>
        <v>0</v>
      </c>
      <c r="BV177" s="422">
        <f t="shared" si="119"/>
        <v>0</v>
      </c>
      <c r="BW177" s="115">
        <f t="shared" si="120"/>
        <v>0</v>
      </c>
      <c r="BX177" s="728">
        <f t="shared" si="121"/>
        <v>0</v>
      </c>
      <c r="BY177" s="867">
        <f t="shared" si="115"/>
        <v>0</v>
      </c>
      <c r="BZ177" s="869">
        <f t="shared" si="122"/>
        <v>0</v>
      </c>
      <c r="CA177" s="869">
        <f t="shared" si="123"/>
        <v>0</v>
      </c>
      <c r="CB177" s="869">
        <f t="shared" si="124"/>
        <v>0</v>
      </c>
    </row>
    <row r="178" spans="1:87" ht="15.75" thickBot="1" x14ac:dyDescent="0.3">
      <c r="A178" s="81"/>
      <c r="B178" s="171"/>
      <c r="C178" s="82" t="s">
        <v>830</v>
      </c>
      <c r="D178" s="172"/>
      <c r="E178" s="173"/>
      <c r="F178" s="173"/>
      <c r="G178" s="173"/>
      <c r="H178" s="173"/>
      <c r="I178" s="173"/>
      <c r="J178" s="173"/>
      <c r="K178" s="173"/>
      <c r="L178" s="173"/>
      <c r="M178" s="209"/>
      <c r="N178" s="1069">
        <f>AU173*2*N$96/AJ$96</f>
        <v>1407895.9726323821</v>
      </c>
      <c r="O178" s="580"/>
      <c r="P178" s="576"/>
      <c r="Q178" s="576"/>
      <c r="R178" s="576"/>
      <c r="S178" s="576"/>
      <c r="T178" s="576"/>
      <c r="U178" s="576"/>
      <c r="V178" s="576"/>
      <c r="W178" s="576"/>
      <c r="X178" s="680"/>
      <c r="Y178" s="1091"/>
      <c r="BK178" s="649">
        <f t="shared" ref="BK178:BR178" si="135">SUM(BK169:BK177)</f>
        <v>3028981.2049465752</v>
      </c>
      <c r="BL178" s="637">
        <f t="shared" si="135"/>
        <v>3028981.2049465752</v>
      </c>
      <c r="BM178" s="637">
        <f t="shared" si="135"/>
        <v>3028981.2049465752</v>
      </c>
      <c r="BN178" s="637">
        <f t="shared" si="135"/>
        <v>3228264.6816033837</v>
      </c>
      <c r="BO178" s="637">
        <f t="shared" si="135"/>
        <v>3228264.6816033837</v>
      </c>
      <c r="BP178" s="637">
        <f t="shared" si="135"/>
        <v>3228264.6816033837</v>
      </c>
      <c r="BQ178" s="637">
        <f t="shared" si="135"/>
        <v>3228264.6816033837</v>
      </c>
      <c r="BR178" s="637">
        <f t="shared" si="135"/>
        <v>3228264.6816033837</v>
      </c>
      <c r="BZ178" s="870"/>
      <c r="CA178" s="870"/>
      <c r="CB178" s="870"/>
    </row>
    <row r="179" spans="1:87" ht="15.75" thickBot="1" x14ac:dyDescent="0.3">
      <c r="N179" s="184">
        <f>SUM(N167:N177)</f>
        <v>22431895.095825646</v>
      </c>
      <c r="AK179" s="26" t="s">
        <v>789</v>
      </c>
      <c r="BI179"/>
      <c r="BK179" s="647"/>
      <c r="BZ179" s="870"/>
      <c r="CA179" s="870"/>
      <c r="CB179" s="870"/>
    </row>
    <row r="180" spans="1:87" ht="45.75" thickBot="1" x14ac:dyDescent="0.3">
      <c r="A180" s="19"/>
      <c r="B180" s="19"/>
      <c r="C180" s="187" t="s">
        <v>624</v>
      </c>
      <c r="D180" s="19"/>
      <c r="E180" s="19"/>
      <c r="F180" s="19"/>
      <c r="G180" s="19"/>
      <c r="H180" s="19"/>
      <c r="I180" s="19"/>
      <c r="J180" s="19"/>
      <c r="K180" s="19"/>
      <c r="L180" s="19"/>
      <c r="M180" s="207"/>
      <c r="N180" s="282"/>
      <c r="O180" s="19"/>
      <c r="P180" s="19"/>
      <c r="Q180" s="19"/>
      <c r="R180" s="19"/>
      <c r="S180" s="19"/>
      <c r="T180" s="19"/>
      <c r="U180" s="19"/>
      <c r="V180" s="19"/>
      <c r="W180" s="19"/>
      <c r="X180" s="282"/>
      <c r="Y180" s="282"/>
      <c r="Z180" s="165"/>
      <c r="AA180" s="165"/>
      <c r="AB180" s="165"/>
      <c r="AC180" s="165"/>
      <c r="AD180" s="165"/>
      <c r="AE180" s="165"/>
      <c r="AF180" s="165"/>
      <c r="AG180" s="165"/>
      <c r="AK180" s="850" t="s">
        <v>5</v>
      </c>
      <c r="AL180" s="851" t="s">
        <v>6</v>
      </c>
      <c r="AM180" s="851" t="s">
        <v>7</v>
      </c>
      <c r="AN180" s="851" t="s">
        <v>8</v>
      </c>
      <c r="AO180" s="851" t="s">
        <v>9</v>
      </c>
      <c r="AP180" s="851" t="s">
        <v>10</v>
      </c>
      <c r="AQ180" s="851" t="s">
        <v>11</v>
      </c>
      <c r="AR180" s="851" t="s">
        <v>12</v>
      </c>
      <c r="AS180" s="851" t="s">
        <v>13</v>
      </c>
      <c r="AT180" s="852" t="s">
        <v>14</v>
      </c>
      <c r="AU180" s="852" t="s">
        <v>15</v>
      </c>
      <c r="AV180" s="19"/>
      <c r="AW180" s="19"/>
      <c r="AX180" s="19"/>
      <c r="AY180" s="19"/>
      <c r="BI180">
        <f>BI181/SUM(BI181:BI182)</f>
        <v>0.28008436836680312</v>
      </c>
      <c r="BK180" s="647"/>
      <c r="BT180" s="859" t="s">
        <v>794</v>
      </c>
      <c r="BU180" s="859" t="s">
        <v>793</v>
      </c>
      <c r="BV180" t="s">
        <v>278</v>
      </c>
      <c r="BW180" t="s">
        <v>417</v>
      </c>
      <c r="BX180" t="s">
        <v>418</v>
      </c>
      <c r="BY180" t="s">
        <v>795</v>
      </c>
      <c r="BZ180" s="870" t="s">
        <v>278</v>
      </c>
      <c r="CA180" s="870" t="s">
        <v>417</v>
      </c>
      <c r="CB180" s="870" t="s">
        <v>418</v>
      </c>
      <c r="CD180" t="s">
        <v>278</v>
      </c>
      <c r="CE180" t="s">
        <v>417</v>
      </c>
      <c r="CF180" t="s">
        <v>418</v>
      </c>
      <c r="CG180" t="s">
        <v>278</v>
      </c>
      <c r="CH180" t="s">
        <v>417</v>
      </c>
      <c r="CI180" t="s">
        <v>418</v>
      </c>
    </row>
    <row r="181" spans="1:87" x14ac:dyDescent="0.25">
      <c r="A181" s="63" t="s">
        <v>296</v>
      </c>
      <c r="B181" s="166"/>
      <c r="C181" s="64" t="s">
        <v>409</v>
      </c>
      <c r="D181" s="167"/>
      <c r="E181" s="168"/>
      <c r="F181" s="168"/>
      <c r="G181" s="168"/>
      <c r="H181" s="168"/>
      <c r="I181" s="168"/>
      <c r="J181" s="168"/>
      <c r="K181" s="168"/>
      <c r="L181" s="168"/>
      <c r="M181" s="208"/>
      <c r="N181" s="658">
        <f>AU181*N136/AJ136</f>
        <v>0</v>
      </c>
      <c r="O181" s="578"/>
      <c r="P181" s="575"/>
      <c r="Q181" s="575"/>
      <c r="R181" s="575"/>
      <c r="S181" s="575"/>
      <c r="T181" s="575"/>
      <c r="U181" s="575"/>
      <c r="V181" s="575"/>
      <c r="W181" s="575"/>
      <c r="X181" s="679"/>
      <c r="Y181" s="1091"/>
      <c r="Z181" s="165"/>
      <c r="AA181" s="165"/>
      <c r="AB181" s="165"/>
      <c r="AC181" s="165"/>
      <c r="AD181" s="165"/>
      <c r="AE181" s="165"/>
      <c r="AF181" s="169" t="s">
        <v>278</v>
      </c>
      <c r="AG181" s="170"/>
      <c r="AH181" s="853"/>
      <c r="AK181" s="169"/>
      <c r="AL181" s="170"/>
      <c r="AM181" s="170"/>
      <c r="AN181" s="170"/>
      <c r="AO181" s="170"/>
      <c r="AP181" s="170">
        <f t="shared" ref="AP181:AU181" si="136">AP136-AP151-AP167</f>
        <v>1101</v>
      </c>
      <c r="AQ181" s="170">
        <f t="shared" si="136"/>
        <v>5017</v>
      </c>
      <c r="AR181" s="170">
        <f t="shared" si="136"/>
        <v>4542</v>
      </c>
      <c r="AS181" s="170">
        <f t="shared" si="136"/>
        <v>5172</v>
      </c>
      <c r="AT181" s="613">
        <f t="shared" si="136"/>
        <v>4260</v>
      </c>
      <c r="AU181" s="613">
        <f t="shared" si="136"/>
        <v>0</v>
      </c>
      <c r="AV181" s="75"/>
      <c r="AW181" s="76"/>
      <c r="AX181" s="77"/>
      <c r="AY181" s="19"/>
      <c r="BB181" s="420">
        <f t="shared" ref="BB181:BI191" si="137">BB136-BB151-BB167</f>
        <v>4658</v>
      </c>
      <c r="BC181" s="144">
        <f t="shared" si="137"/>
        <v>4658</v>
      </c>
      <c r="BD181" s="520">
        <f t="shared" si="137"/>
        <v>4658</v>
      </c>
      <c r="BE181" s="420">
        <f t="shared" si="137"/>
        <v>4658</v>
      </c>
      <c r="BF181" s="144">
        <f t="shared" si="137"/>
        <v>4658</v>
      </c>
      <c r="BG181" s="144">
        <f t="shared" si="137"/>
        <v>4658</v>
      </c>
      <c r="BH181" s="144">
        <f t="shared" si="137"/>
        <v>4658</v>
      </c>
      <c r="BI181" s="293">
        <f t="shared" si="137"/>
        <v>4658</v>
      </c>
      <c r="BJ181" s="302"/>
      <c r="BK181" s="643">
        <f t="shared" ref="BK181:BR191" si="138">BK136-BK151-BK167</f>
        <v>8384400</v>
      </c>
      <c r="BL181" s="79">
        <f t="shared" si="138"/>
        <v>8384400</v>
      </c>
      <c r="BM181" s="523">
        <f t="shared" si="138"/>
        <v>8384400</v>
      </c>
      <c r="BN181" s="415">
        <f t="shared" si="138"/>
        <v>8384400</v>
      </c>
      <c r="BO181" s="79">
        <f t="shared" si="138"/>
        <v>8384400</v>
      </c>
      <c r="BP181" s="79">
        <f t="shared" si="138"/>
        <v>8384400</v>
      </c>
      <c r="BQ181" s="79">
        <f t="shared" si="138"/>
        <v>8384400</v>
      </c>
      <c r="BR181" s="80">
        <f t="shared" si="138"/>
        <v>8384400</v>
      </c>
      <c r="BT181" s="822">
        <v>1</v>
      </c>
      <c r="BU181" s="420">
        <f>BI181*BT181</f>
        <v>4658</v>
      </c>
      <c r="BV181" s="420">
        <f>$BU181*CG181</f>
        <v>0</v>
      </c>
      <c r="BW181" s="144">
        <f t="shared" ref="BW181:BW191" si="139">$BU181*CH181</f>
        <v>0</v>
      </c>
      <c r="BX181" s="726">
        <f t="shared" ref="BX181:BX191" si="140">$BU181*CI181</f>
        <v>0</v>
      </c>
      <c r="BY181" s="865">
        <f t="shared" ref="BY181:BY191" si="141">BI181-BU181</f>
        <v>0</v>
      </c>
      <c r="BZ181" s="871">
        <f>$BY181*CG181</f>
        <v>0</v>
      </c>
      <c r="CA181" s="871">
        <f t="shared" ref="CA181:CB181" si="142">$BY181*CH181</f>
        <v>0</v>
      </c>
      <c r="CB181" s="871">
        <f t="shared" si="142"/>
        <v>0</v>
      </c>
      <c r="CD181" s="169"/>
      <c r="CE181" s="170"/>
      <c r="CF181" s="853"/>
      <c r="CG181" s="169"/>
      <c r="CH181" s="170"/>
      <c r="CI181" s="853"/>
    </row>
    <row r="182" spans="1:87" x14ac:dyDescent="0.25">
      <c r="A182" s="81" t="s">
        <v>27</v>
      </c>
      <c r="B182" s="171"/>
      <c r="C182" s="82" t="s">
        <v>410</v>
      </c>
      <c r="D182" s="172"/>
      <c r="E182" s="173"/>
      <c r="F182" s="173"/>
      <c r="G182" s="173"/>
      <c r="H182" s="173"/>
      <c r="I182" s="173"/>
      <c r="J182" s="173"/>
      <c r="K182" s="173"/>
      <c r="L182" s="173"/>
      <c r="M182" s="209"/>
      <c r="N182" s="1069">
        <v>0</v>
      </c>
      <c r="O182" s="580"/>
      <c r="P182" s="576"/>
      <c r="Q182" s="576"/>
      <c r="R182" s="576"/>
      <c r="S182" s="576"/>
      <c r="T182" s="576"/>
      <c r="U182" s="576"/>
      <c r="V182" s="576"/>
      <c r="W182" s="576"/>
      <c r="X182" s="680"/>
      <c r="Y182" s="1091"/>
      <c r="Z182" s="165"/>
      <c r="AA182" s="165"/>
      <c r="AB182" s="165"/>
      <c r="AC182" s="165"/>
      <c r="AD182" s="165"/>
      <c r="AE182" s="165"/>
      <c r="AF182" s="174" t="s">
        <v>417</v>
      </c>
      <c r="AG182" s="175"/>
      <c r="AH182" s="854"/>
      <c r="AK182" s="174"/>
      <c r="AL182" s="175"/>
      <c r="AM182" s="175"/>
      <c r="AN182" s="175"/>
      <c r="AO182" s="175"/>
      <c r="AP182" s="175">
        <f t="shared" ref="AP182:AU182" si="143">AP137-AP152-AP168</f>
        <v>-46.839442212011335</v>
      </c>
      <c r="AQ182" s="175">
        <f t="shared" si="143"/>
        <v>-804.89441138217467</v>
      </c>
      <c r="AR182" s="175">
        <f t="shared" si="143"/>
        <v>4020.2146533333344</v>
      </c>
      <c r="AS182" s="175">
        <f t="shared" si="143"/>
        <v>-218.42970567026634</v>
      </c>
      <c r="AT182" s="614">
        <f t="shared" si="143"/>
        <v>-257.18846887120105</v>
      </c>
      <c r="AU182" s="614">
        <f t="shared" si="143"/>
        <v>-161.59224735086747</v>
      </c>
      <c r="AV182" s="93"/>
      <c r="AW182" s="94"/>
      <c r="AX182" s="95"/>
      <c r="AY182" s="19"/>
      <c r="BB182" s="421">
        <f t="shared" si="137"/>
        <v>11994.319184020836</v>
      </c>
      <c r="BC182" s="96">
        <f t="shared" si="137"/>
        <v>11994.319184020836</v>
      </c>
      <c r="BD182" s="521">
        <f t="shared" si="137"/>
        <v>11994.319184020836</v>
      </c>
      <c r="BE182" s="421">
        <f t="shared" si="137"/>
        <v>11972.70319547361</v>
      </c>
      <c r="BF182" s="96">
        <f t="shared" si="137"/>
        <v>11972.70319547361</v>
      </c>
      <c r="BG182" s="96">
        <f t="shared" si="137"/>
        <v>11972.70319547361</v>
      </c>
      <c r="BH182" s="96">
        <f t="shared" si="137"/>
        <v>11972.70319547361</v>
      </c>
      <c r="BI182" s="286">
        <f t="shared" si="137"/>
        <v>11972.70319547361</v>
      </c>
      <c r="BJ182" s="305"/>
      <c r="BK182" s="644">
        <f t="shared" si="138"/>
        <v>72548204.595163822</v>
      </c>
      <c r="BL182" s="97">
        <f>BL137-BL152-BL168</f>
        <v>72548204.595163822</v>
      </c>
      <c r="BM182" s="524">
        <f t="shared" si="138"/>
        <v>72548204.595163822</v>
      </c>
      <c r="BN182" s="416">
        <f t="shared" si="138"/>
        <v>72417459.270181969</v>
      </c>
      <c r="BO182" s="97">
        <f t="shared" si="138"/>
        <v>72417459.270181969</v>
      </c>
      <c r="BP182" s="97">
        <f t="shared" si="138"/>
        <v>72417459.270181969</v>
      </c>
      <c r="BQ182" s="97">
        <f t="shared" si="138"/>
        <v>72417459.270181969</v>
      </c>
      <c r="BR182" s="98">
        <f t="shared" si="138"/>
        <v>72417459.270181969</v>
      </c>
      <c r="BT182" s="822">
        <v>1</v>
      </c>
      <c r="BU182" s="421">
        <f t="shared" ref="BU182:BU191" si="144">BI182*BT182</f>
        <v>11972.70319547361</v>
      </c>
      <c r="BV182" s="421">
        <f t="shared" ref="BV182:BV191" si="145">$BU182*CG182</f>
        <v>0</v>
      </c>
      <c r="BW182" s="96">
        <f t="shared" si="139"/>
        <v>0</v>
      </c>
      <c r="BX182" s="727">
        <f t="shared" si="140"/>
        <v>0</v>
      </c>
      <c r="BY182" s="866">
        <f t="shared" si="141"/>
        <v>0</v>
      </c>
      <c r="BZ182" s="868">
        <f t="shared" ref="BZ182:BZ191" si="146">$BY182*CG182</f>
        <v>0</v>
      </c>
      <c r="CA182" s="868">
        <f t="shared" ref="CA182:CA191" si="147">$BY182*CH182</f>
        <v>0</v>
      </c>
      <c r="CB182" s="868">
        <f t="shared" ref="CB182:CB191" si="148">$BY182*CI182</f>
        <v>0</v>
      </c>
      <c r="CD182" s="174"/>
      <c r="CE182" s="175"/>
      <c r="CF182" s="854"/>
      <c r="CG182" s="174"/>
      <c r="CH182" s="175"/>
      <c r="CI182" s="854"/>
    </row>
    <row r="183" spans="1:87" x14ac:dyDescent="0.25">
      <c r="A183" s="81" t="s">
        <v>68</v>
      </c>
      <c r="B183" s="171"/>
      <c r="C183" s="82" t="s">
        <v>411</v>
      </c>
      <c r="D183" s="172"/>
      <c r="E183" s="173"/>
      <c r="F183" s="173"/>
      <c r="G183" s="173"/>
      <c r="H183" s="173"/>
      <c r="I183" s="173"/>
      <c r="J183" s="173"/>
      <c r="K183" s="173"/>
      <c r="L183" s="173"/>
      <c r="M183" s="209"/>
      <c r="N183" s="1130">
        <f t="shared" ref="N183:N191" si="149">AU183*N138/AJ138</f>
        <v>28707801.503923193</v>
      </c>
      <c r="O183" s="580"/>
      <c r="P183" s="576"/>
      <c r="Q183" s="576"/>
      <c r="R183" s="576"/>
      <c r="S183" s="576"/>
      <c r="T183" s="576"/>
      <c r="U183" s="576"/>
      <c r="V183" s="576"/>
      <c r="W183" s="576"/>
      <c r="X183" s="680"/>
      <c r="Y183" s="1091"/>
      <c r="Z183" s="165"/>
      <c r="AA183" s="165"/>
      <c r="AB183" s="165"/>
      <c r="AC183" s="165"/>
      <c r="AD183" s="165"/>
      <c r="AE183" s="165"/>
      <c r="AF183" s="174" t="s">
        <v>418</v>
      </c>
      <c r="AG183" s="175"/>
      <c r="AH183" s="854"/>
      <c r="AK183" s="174"/>
      <c r="AL183" s="175"/>
      <c r="AM183" s="175"/>
      <c r="AN183" s="175"/>
      <c r="AO183" s="175"/>
      <c r="AP183" s="175">
        <f t="shared" ref="AP183:AU183" si="150">AP138-AP153-AP169</f>
        <v>5864.8389035342607</v>
      </c>
      <c r="AQ183" s="175">
        <f t="shared" si="150"/>
        <v>8988.0748565541962</v>
      </c>
      <c r="AR183" s="175">
        <f t="shared" si="150"/>
        <v>7476.6194266666689</v>
      </c>
      <c r="AS183" s="175">
        <f t="shared" si="150"/>
        <v>7998.2332244915906</v>
      </c>
      <c r="AT183" s="614">
        <f t="shared" si="150"/>
        <v>7459.574594754753</v>
      </c>
      <c r="AU183" s="614">
        <f t="shared" si="150"/>
        <v>7411.2175419511032</v>
      </c>
      <c r="AV183" s="93"/>
      <c r="AW183" s="94"/>
      <c r="AX183" s="95"/>
      <c r="AY183" s="19"/>
      <c r="BB183" s="421">
        <f t="shared" si="137"/>
        <v>7007.8693207320666</v>
      </c>
      <c r="BC183" s="96">
        <f t="shared" si="137"/>
        <v>7007.8693207320666</v>
      </c>
      <c r="BD183" s="521">
        <f t="shared" si="137"/>
        <v>7007.8693207320666</v>
      </c>
      <c r="BE183" s="421">
        <f t="shared" si="137"/>
        <v>8504.0959591849423</v>
      </c>
      <c r="BF183" s="96">
        <f t="shared" si="137"/>
        <v>8504.0959591849423</v>
      </c>
      <c r="BG183" s="96">
        <f t="shared" si="137"/>
        <v>8504.0959591849423</v>
      </c>
      <c r="BH183" s="96">
        <f t="shared" si="137"/>
        <v>8504.0959591849423</v>
      </c>
      <c r="BI183" s="286">
        <f t="shared" si="137"/>
        <v>8504.0959591849423</v>
      </c>
      <c r="BJ183" s="305"/>
      <c r="BK183" s="644">
        <f t="shared" si="138"/>
        <v>19703840.103250727</v>
      </c>
      <c r="BL183" s="97">
        <f>BL138-BL153-BL169</f>
        <v>19703840.103250727</v>
      </c>
      <c r="BM183" s="524">
        <f t="shared" si="138"/>
        <v>19703840.103250727</v>
      </c>
      <c r="BN183" s="416">
        <f t="shared" si="138"/>
        <v>23910875.728574287</v>
      </c>
      <c r="BO183" s="97">
        <f t="shared" si="138"/>
        <v>23910875.728574287</v>
      </c>
      <c r="BP183" s="97">
        <f t="shared" si="138"/>
        <v>23910875.728574287</v>
      </c>
      <c r="BQ183" s="97">
        <f t="shared" si="138"/>
        <v>23910875.728574287</v>
      </c>
      <c r="BR183" s="98">
        <f t="shared" si="138"/>
        <v>23910875.728574287</v>
      </c>
      <c r="BT183" s="822">
        <v>0.93133031017718593</v>
      </c>
      <c r="BU183" s="421">
        <f t="shared" si="144"/>
        <v>7920.1223274442655</v>
      </c>
      <c r="BV183" s="421">
        <f t="shared" si="145"/>
        <v>337.78871782732494</v>
      </c>
      <c r="BW183" s="96">
        <f t="shared" si="139"/>
        <v>7432.5215075778024</v>
      </c>
      <c r="BX183" s="727">
        <f t="shared" si="140"/>
        <v>149.81210203913815</v>
      </c>
      <c r="BY183" s="866">
        <f t="shared" si="141"/>
        <v>583.97363174067686</v>
      </c>
      <c r="BZ183" s="868">
        <f t="shared" si="146"/>
        <v>24.906143637089905</v>
      </c>
      <c r="CA183" s="868">
        <f t="shared" si="147"/>
        <v>548.02140652939852</v>
      </c>
      <c r="CB183" s="868">
        <f t="shared" si="148"/>
        <v>11.046081574188417</v>
      </c>
      <c r="CD183" s="174">
        <f>'Defect P1'!CL138</f>
        <v>800.43596720640016</v>
      </c>
      <c r="CE183" s="175">
        <f>'Defect P2'!CL138</f>
        <v>17612.363077033333</v>
      </c>
      <c r="CF183" s="854">
        <f>RTS!CL138</f>
        <v>354.99999989999992</v>
      </c>
      <c r="CG183" s="863">
        <f>CD183/SUM($CD183:$CF183)</f>
        <v>4.2649431897894129E-2</v>
      </c>
      <c r="CH183" s="864">
        <f>CE183/SUM($CD183:$CF183)</f>
        <v>0.93843519080799265</v>
      </c>
      <c r="CI183" s="857">
        <f>CF183/SUM($CD183:$CF183)</f>
        <v>1.8915377294113189E-2</v>
      </c>
    </row>
    <row r="184" spans="1:87" x14ac:dyDescent="0.25">
      <c r="A184" s="81" t="s">
        <v>81</v>
      </c>
      <c r="B184" s="171"/>
      <c r="C184" s="82" t="s">
        <v>270</v>
      </c>
      <c r="D184" s="172"/>
      <c r="E184" s="173"/>
      <c r="F184" s="173"/>
      <c r="G184" s="173"/>
      <c r="H184" s="173"/>
      <c r="I184" s="173"/>
      <c r="J184" s="173"/>
      <c r="K184" s="173"/>
      <c r="L184" s="173"/>
      <c r="M184" s="209"/>
      <c r="N184" s="1069">
        <f t="shared" si="149"/>
        <v>0</v>
      </c>
      <c r="O184" s="580"/>
      <c r="P184" s="576"/>
      <c r="Q184" s="576"/>
      <c r="R184" s="576"/>
      <c r="S184" s="576"/>
      <c r="T184" s="576"/>
      <c r="U184" s="576"/>
      <c r="V184" s="576"/>
      <c r="W184" s="576"/>
      <c r="X184" s="680"/>
      <c r="Y184" s="1091"/>
      <c r="Z184" s="165"/>
      <c r="AA184" s="165"/>
      <c r="AB184" s="165"/>
      <c r="AC184" s="165"/>
      <c r="AD184" s="165"/>
      <c r="AE184" s="165"/>
      <c r="AF184" s="174"/>
      <c r="AG184" s="175"/>
      <c r="AH184" s="854"/>
      <c r="AK184" s="174"/>
      <c r="AL184" s="175"/>
      <c r="AM184" s="175"/>
      <c r="AN184" s="175"/>
      <c r="AO184" s="175"/>
      <c r="AP184" s="175">
        <f t="shared" ref="AP184:AU184" si="151">AP139-AP154-AP170</f>
        <v>0</v>
      </c>
      <c r="AQ184" s="175">
        <f t="shared" si="151"/>
        <v>0</v>
      </c>
      <c r="AR184" s="175">
        <f t="shared" si="151"/>
        <v>0</v>
      </c>
      <c r="AS184" s="175">
        <f t="shared" si="151"/>
        <v>0</v>
      </c>
      <c r="AT184" s="614">
        <f t="shared" si="151"/>
        <v>0</v>
      </c>
      <c r="AU184" s="614">
        <f t="shared" si="151"/>
        <v>0</v>
      </c>
      <c r="AV184" s="93"/>
      <c r="AW184" s="94"/>
      <c r="AX184" s="95"/>
      <c r="AY184" s="19"/>
      <c r="BB184" s="421">
        <f t="shared" si="137"/>
        <v>87.401216556733189</v>
      </c>
      <c r="BC184" s="96">
        <f t="shared" si="137"/>
        <v>87.401216556733189</v>
      </c>
      <c r="BD184" s="521">
        <f t="shared" si="137"/>
        <v>87.401216556733189</v>
      </c>
      <c r="BE184" s="421">
        <f t="shared" si="137"/>
        <v>93.52033914815901</v>
      </c>
      <c r="BF184" s="96">
        <f t="shared" si="137"/>
        <v>93.52033914815901</v>
      </c>
      <c r="BG184" s="96">
        <f t="shared" si="137"/>
        <v>93.52033914815901</v>
      </c>
      <c r="BH184" s="96">
        <f t="shared" si="137"/>
        <v>93.52033914815901</v>
      </c>
      <c r="BI184" s="286">
        <f t="shared" si="137"/>
        <v>93.52033914815901</v>
      </c>
      <c r="BJ184" s="305"/>
      <c r="BK184" s="644">
        <f t="shared" si="138"/>
        <v>11701304.988778843</v>
      </c>
      <c r="BL184" s="97">
        <f t="shared" si="138"/>
        <v>11701304.988778843</v>
      </c>
      <c r="BM184" s="524">
        <f t="shared" si="138"/>
        <v>11701304.988778843</v>
      </c>
      <c r="BN184" s="416">
        <f t="shared" si="138"/>
        <v>11825229.272195086</v>
      </c>
      <c r="BO184" s="97">
        <f t="shared" si="138"/>
        <v>11825229.272195086</v>
      </c>
      <c r="BP184" s="97">
        <f t="shared" si="138"/>
        <v>11825229.272195086</v>
      </c>
      <c r="BQ184" s="97">
        <f t="shared" si="138"/>
        <v>11825229.272195086</v>
      </c>
      <c r="BR184" s="98">
        <f t="shared" si="138"/>
        <v>11825229.272195086</v>
      </c>
      <c r="BT184" s="822">
        <v>1</v>
      </c>
      <c r="BU184" s="421">
        <f t="shared" si="144"/>
        <v>93.52033914815901</v>
      </c>
      <c r="BV184" s="421">
        <f t="shared" si="145"/>
        <v>0</v>
      </c>
      <c r="BW184" s="96">
        <f t="shared" si="139"/>
        <v>0</v>
      </c>
      <c r="BX184" s="727">
        <f t="shared" si="140"/>
        <v>0</v>
      </c>
      <c r="BY184" s="866">
        <f t="shared" si="141"/>
        <v>0</v>
      </c>
      <c r="BZ184" s="868">
        <f t="shared" si="146"/>
        <v>0</v>
      </c>
      <c r="CA184" s="868">
        <f t="shared" si="147"/>
        <v>0</v>
      </c>
      <c r="CB184" s="868">
        <f t="shared" si="148"/>
        <v>0</v>
      </c>
      <c r="CD184" s="174"/>
      <c r="CE184" s="175"/>
      <c r="CF184" s="854"/>
      <c r="CG184" s="174"/>
      <c r="CH184" s="175"/>
      <c r="CI184" s="854"/>
    </row>
    <row r="185" spans="1:87" x14ac:dyDescent="0.25">
      <c r="A185" s="81" t="s">
        <v>94</v>
      </c>
      <c r="B185" s="171"/>
      <c r="C185" s="82" t="s">
        <v>412</v>
      </c>
      <c r="D185" s="172"/>
      <c r="E185" s="173"/>
      <c r="F185" s="173"/>
      <c r="G185" s="173"/>
      <c r="H185" s="173"/>
      <c r="I185" s="173"/>
      <c r="J185" s="173"/>
      <c r="K185" s="173"/>
      <c r="L185" s="173"/>
      <c r="M185" s="209"/>
      <c r="N185" s="1130">
        <f t="shared" si="149"/>
        <v>6354579.8806069307</v>
      </c>
      <c r="O185" s="580"/>
      <c r="P185" s="576"/>
      <c r="Q185" s="576"/>
      <c r="R185" s="576"/>
      <c r="S185" s="576"/>
      <c r="T185" s="576"/>
      <c r="U185" s="576"/>
      <c r="V185" s="576"/>
      <c r="W185" s="576"/>
      <c r="X185" s="680"/>
      <c r="Y185" s="1091"/>
      <c r="Z185" s="165"/>
      <c r="AA185" s="165"/>
      <c r="AB185" s="165"/>
      <c r="AC185" s="165"/>
      <c r="AD185" s="165"/>
      <c r="AE185" s="165"/>
      <c r="AF185" s="174"/>
      <c r="AG185" s="175"/>
      <c r="AH185" s="854"/>
      <c r="AK185" s="174"/>
      <c r="AL185" s="175"/>
      <c r="AM185" s="175"/>
      <c r="AN185" s="175"/>
      <c r="AO185" s="175"/>
      <c r="AP185" s="175">
        <f t="shared" ref="AP185:AU185" si="152">AP140-AP155-AP171</f>
        <v>6.6319201160000016</v>
      </c>
      <c r="AQ185" s="175">
        <f t="shared" si="152"/>
        <v>5.4463333600000059</v>
      </c>
      <c r="AR185" s="175">
        <f t="shared" si="152"/>
        <v>13.375999999999983</v>
      </c>
      <c r="AS185" s="175">
        <f t="shared" si="152"/>
        <v>11.969000017000004</v>
      </c>
      <c r="AT185" s="614">
        <f t="shared" si="152"/>
        <v>5.9940000480000011</v>
      </c>
      <c r="AU185" s="614">
        <f t="shared" si="152"/>
        <v>10.337333375000005</v>
      </c>
      <c r="AV185" s="93"/>
      <c r="AW185" s="94"/>
      <c r="AX185" s="95"/>
      <c r="AY185" s="19"/>
      <c r="BB185" s="421">
        <f t="shared" si="137"/>
        <v>10.867024912488883</v>
      </c>
      <c r="BC185" s="96">
        <f t="shared" si="137"/>
        <v>18.980691549933333</v>
      </c>
      <c r="BD185" s="521">
        <f t="shared" si="137"/>
        <v>19.980691549933333</v>
      </c>
      <c r="BE185" s="421">
        <f t="shared" si="137"/>
        <v>19.980691549933333</v>
      </c>
      <c r="BF185" s="96">
        <f t="shared" si="137"/>
        <v>20.980691549933333</v>
      </c>
      <c r="BG185" s="96">
        <f t="shared" si="137"/>
        <v>20.980691549933333</v>
      </c>
      <c r="BH185" s="96">
        <f t="shared" si="137"/>
        <v>21.980691549933333</v>
      </c>
      <c r="BI185" s="286">
        <f t="shared" si="137"/>
        <v>21.980691549933333</v>
      </c>
      <c r="BJ185" s="305"/>
      <c r="BK185" s="644">
        <f t="shared" si="138"/>
        <v>3502423.7396393484</v>
      </c>
      <c r="BL185" s="97">
        <f t="shared" si="138"/>
        <v>6175597.0592646832</v>
      </c>
      <c r="BM185" s="524">
        <f t="shared" si="138"/>
        <v>6475597.0592646832</v>
      </c>
      <c r="BN185" s="416">
        <f t="shared" si="138"/>
        <v>6475597.0592646832</v>
      </c>
      <c r="BO185" s="97">
        <f t="shared" si="138"/>
        <v>6775597.0592646832</v>
      </c>
      <c r="BP185" s="97">
        <f t="shared" si="138"/>
        <v>6775597.0592646832</v>
      </c>
      <c r="BQ185" s="97">
        <f t="shared" si="138"/>
        <v>7075597.0592646832</v>
      </c>
      <c r="BR185" s="98">
        <f t="shared" si="138"/>
        <v>7075597.0592646832</v>
      </c>
      <c r="BT185" s="822">
        <v>1</v>
      </c>
      <c r="BU185" s="421">
        <f t="shared" si="144"/>
        <v>21.980691549933333</v>
      </c>
      <c r="BV185" s="421">
        <f t="shared" si="145"/>
        <v>0</v>
      </c>
      <c r="BW185" s="96">
        <f t="shared" si="139"/>
        <v>0</v>
      </c>
      <c r="BX185" s="727">
        <f t="shared" si="140"/>
        <v>0</v>
      </c>
      <c r="BY185" s="866">
        <f t="shared" si="141"/>
        <v>0</v>
      </c>
      <c r="BZ185" s="868">
        <f t="shared" si="146"/>
        <v>0</v>
      </c>
      <c r="CA185" s="868">
        <f t="shared" si="147"/>
        <v>0</v>
      </c>
      <c r="CB185" s="868">
        <f t="shared" si="148"/>
        <v>0</v>
      </c>
      <c r="CD185" s="174"/>
      <c r="CE185" s="175"/>
      <c r="CF185" s="854"/>
      <c r="CG185" s="174"/>
      <c r="CH185" s="175"/>
      <c r="CI185" s="854"/>
    </row>
    <row r="186" spans="1:87" x14ac:dyDescent="0.25">
      <c r="A186" s="81" t="s">
        <v>106</v>
      </c>
      <c r="B186" s="171"/>
      <c r="C186" s="82" t="s">
        <v>272</v>
      </c>
      <c r="D186" s="172"/>
      <c r="E186" s="173"/>
      <c r="F186" s="173"/>
      <c r="G186" s="173"/>
      <c r="H186" s="173"/>
      <c r="I186" s="173"/>
      <c r="J186" s="173"/>
      <c r="K186" s="173"/>
      <c r="L186" s="173"/>
      <c r="M186" s="209"/>
      <c r="N186" s="1130">
        <f t="shared" si="149"/>
        <v>13327026.490372501</v>
      </c>
      <c r="O186" s="580"/>
      <c r="P186" s="576"/>
      <c r="Q186" s="576"/>
      <c r="R186" s="576"/>
      <c r="S186" s="576"/>
      <c r="T186" s="576"/>
      <c r="U186" s="576"/>
      <c r="V186" s="576"/>
      <c r="W186" s="576"/>
      <c r="X186" s="680"/>
      <c r="Y186" s="1091"/>
      <c r="Z186" s="165"/>
      <c r="AA186" s="165"/>
      <c r="AB186" s="165"/>
      <c r="AC186" s="165"/>
      <c r="AD186" s="165"/>
      <c r="AE186" s="165"/>
      <c r="AF186" s="174"/>
      <c r="AG186" s="175"/>
      <c r="AH186" s="854"/>
      <c r="AK186" s="174"/>
      <c r="AL186" s="175"/>
      <c r="AM186" s="175"/>
      <c r="AN186" s="175"/>
      <c r="AO186" s="175"/>
      <c r="AP186" s="175">
        <f t="shared" ref="AP186:AU186" si="153">AP141-AP156-AP172</f>
        <v>3492.7540300602363</v>
      </c>
      <c r="AQ186" s="175">
        <f t="shared" si="153"/>
        <v>2992.8373335089123</v>
      </c>
      <c r="AR186" s="175">
        <f t="shared" si="153"/>
        <v>-2360.3641995075086</v>
      </c>
      <c r="AS186" s="175">
        <f t="shared" si="153"/>
        <v>4872.5516102820429</v>
      </c>
      <c r="AT186" s="614">
        <f t="shared" si="153"/>
        <v>7035.485942256495</v>
      </c>
      <c r="AU186" s="614">
        <f t="shared" si="153"/>
        <v>7169.6233912628613</v>
      </c>
      <c r="AV186" s="93"/>
      <c r="AW186" s="94"/>
      <c r="AX186" s="95"/>
      <c r="AY186" s="19"/>
      <c r="BB186" s="421">
        <f t="shared" si="137"/>
        <v>2811.817977875975</v>
      </c>
      <c r="BC186" s="96">
        <f t="shared" si="137"/>
        <v>2811.817977875975</v>
      </c>
      <c r="BD186" s="521">
        <f t="shared" si="137"/>
        <v>2811.817977875975</v>
      </c>
      <c r="BE186" s="421">
        <f t="shared" si="137"/>
        <v>2788.426350602379</v>
      </c>
      <c r="BF186" s="96">
        <f t="shared" si="137"/>
        <v>2788.426350602379</v>
      </c>
      <c r="BG186" s="96">
        <f t="shared" si="137"/>
        <v>2788.426350602379</v>
      </c>
      <c r="BH186" s="96">
        <f t="shared" si="137"/>
        <v>2788.426350602379</v>
      </c>
      <c r="BI186" s="286">
        <f t="shared" si="137"/>
        <v>2788.426350602379</v>
      </c>
      <c r="BJ186" s="305"/>
      <c r="BK186" s="644">
        <f t="shared" si="138"/>
        <v>4319079.0321009466</v>
      </c>
      <c r="BL186" s="97">
        <f t="shared" si="138"/>
        <v>4319079.0321009466</v>
      </c>
      <c r="BM186" s="524">
        <f t="shared" si="138"/>
        <v>4319079.0321009466</v>
      </c>
      <c r="BN186" s="416">
        <f t="shared" si="138"/>
        <v>4283148.4392677546</v>
      </c>
      <c r="BO186" s="97">
        <f t="shared" si="138"/>
        <v>4283148.4392677546</v>
      </c>
      <c r="BP186" s="97">
        <f t="shared" si="138"/>
        <v>4283148.4392677546</v>
      </c>
      <c r="BQ186" s="97">
        <f t="shared" si="138"/>
        <v>4283148.4392677546</v>
      </c>
      <c r="BR186" s="98">
        <f t="shared" si="138"/>
        <v>4283148.4392677546</v>
      </c>
      <c r="BT186" s="822">
        <v>1</v>
      </c>
      <c r="BU186" s="421">
        <f t="shared" si="144"/>
        <v>2788.426350602379</v>
      </c>
      <c r="BV186" s="421">
        <f t="shared" si="145"/>
        <v>0</v>
      </c>
      <c r="BW186" s="96">
        <f t="shared" si="139"/>
        <v>0</v>
      </c>
      <c r="BX186" s="727">
        <f t="shared" si="140"/>
        <v>0</v>
      </c>
      <c r="BY186" s="866">
        <f t="shared" si="141"/>
        <v>0</v>
      </c>
      <c r="BZ186" s="868">
        <f t="shared" si="146"/>
        <v>0</v>
      </c>
      <c r="CA186" s="868">
        <f t="shared" si="147"/>
        <v>0</v>
      </c>
      <c r="CB186" s="868">
        <f t="shared" si="148"/>
        <v>0</v>
      </c>
      <c r="CD186" s="174"/>
      <c r="CE186" s="175"/>
      <c r="CF186" s="854"/>
      <c r="CG186" s="174"/>
      <c r="CH186" s="175"/>
      <c r="CI186" s="854"/>
    </row>
    <row r="187" spans="1:87" x14ac:dyDescent="0.25">
      <c r="A187" s="81" t="s">
        <v>138</v>
      </c>
      <c r="B187" s="171"/>
      <c r="C187" s="82" t="s">
        <v>413</v>
      </c>
      <c r="D187" s="172"/>
      <c r="E187" s="173"/>
      <c r="F187" s="173"/>
      <c r="G187" s="173"/>
      <c r="H187" s="173"/>
      <c r="I187" s="173"/>
      <c r="J187" s="173"/>
      <c r="K187" s="173"/>
      <c r="L187" s="173"/>
      <c r="M187" s="209"/>
      <c r="N187" s="1130">
        <f t="shared" si="149"/>
        <v>43417176.983950451</v>
      </c>
      <c r="O187" s="580"/>
      <c r="P187" s="576"/>
      <c r="Q187" s="576"/>
      <c r="R187" s="576"/>
      <c r="S187" s="576"/>
      <c r="T187" s="576"/>
      <c r="U187" s="576"/>
      <c r="V187" s="576"/>
      <c r="W187" s="576"/>
      <c r="X187" s="680"/>
      <c r="Y187" s="1091"/>
      <c r="Z187" s="165"/>
      <c r="AA187" s="165"/>
      <c r="AB187" s="165"/>
      <c r="AC187" s="165"/>
      <c r="AD187" s="165"/>
      <c r="AE187" s="165"/>
      <c r="AF187" s="174"/>
      <c r="AG187" s="175"/>
      <c r="AH187" s="854"/>
      <c r="AK187" s="174"/>
      <c r="AL187" s="175"/>
      <c r="AM187" s="175"/>
      <c r="AN187" s="175"/>
      <c r="AO187" s="175"/>
      <c r="AP187" s="175">
        <f t="shared" ref="AP187" si="154">AP142-AP157-AP173</f>
        <v>1293.035700226817</v>
      </c>
      <c r="AQ187" s="175">
        <f t="shared" ref="AQ187:AU187" si="155">AQ142-AQ157-AQ173</f>
        <v>1177.4884539710536</v>
      </c>
      <c r="AR187" s="175">
        <f t="shared" si="155"/>
        <v>1144.5514933333334</v>
      </c>
      <c r="AS187" s="175">
        <f t="shared" si="155"/>
        <v>1173.4172851104422</v>
      </c>
      <c r="AT187" s="614">
        <f t="shared" si="155"/>
        <v>906.52864158114323</v>
      </c>
      <c r="AU187" s="614">
        <f t="shared" si="155"/>
        <v>827.61331738738249</v>
      </c>
      <c r="AV187" s="93"/>
      <c r="AW187" s="94"/>
      <c r="AX187" s="95"/>
      <c r="AY187" s="19"/>
      <c r="BB187" s="421">
        <f t="shared" si="137"/>
        <v>1278.5659932491421</v>
      </c>
      <c r="BC187" s="96">
        <f t="shared" si="137"/>
        <v>1278.5659932491421</v>
      </c>
      <c r="BD187" s="521">
        <f t="shared" si="137"/>
        <v>1278.5659932491421</v>
      </c>
      <c r="BE187" s="421">
        <f t="shared" si="137"/>
        <v>551.67751385677047</v>
      </c>
      <c r="BF187" s="96">
        <f t="shared" si="137"/>
        <v>551.67751385677047</v>
      </c>
      <c r="BG187" s="96">
        <f t="shared" si="137"/>
        <v>551.67751385677047</v>
      </c>
      <c r="BH187" s="96">
        <f t="shared" si="137"/>
        <v>551.67751385677047</v>
      </c>
      <c r="BI187" s="286">
        <f>BI142-BI157-BI173</f>
        <v>551.67751385677047</v>
      </c>
      <c r="BJ187" s="305"/>
      <c r="BK187" s="644">
        <f t="shared" si="138"/>
        <v>38234390.908017248</v>
      </c>
      <c r="BL187" s="97">
        <f t="shared" si="138"/>
        <v>38234390.908017248</v>
      </c>
      <c r="BM187" s="524">
        <f t="shared" si="138"/>
        <v>38234390.908017248</v>
      </c>
      <c r="BN187" s="416">
        <f t="shared" si="138"/>
        <v>15903152.670562007</v>
      </c>
      <c r="BO187" s="97">
        <f t="shared" si="138"/>
        <v>15903152.670562007</v>
      </c>
      <c r="BP187" s="97">
        <f t="shared" si="138"/>
        <v>15903152.670562007</v>
      </c>
      <c r="BQ187" s="97">
        <f t="shared" si="138"/>
        <v>15903152.670562007</v>
      </c>
      <c r="BR187" s="98">
        <f t="shared" si="138"/>
        <v>15903152.670562007</v>
      </c>
      <c r="BT187" s="822">
        <v>1</v>
      </c>
      <c r="BU187" s="421">
        <f t="shared" si="144"/>
        <v>551.67751385677047</v>
      </c>
      <c r="BV187" s="421">
        <f t="shared" si="145"/>
        <v>0</v>
      </c>
      <c r="BW187" s="96">
        <f t="shared" si="139"/>
        <v>0</v>
      </c>
      <c r="BX187" s="727">
        <f t="shared" si="140"/>
        <v>0</v>
      </c>
      <c r="BY187" s="866">
        <f t="shared" si="141"/>
        <v>0</v>
      </c>
      <c r="BZ187" s="868">
        <f t="shared" si="146"/>
        <v>0</v>
      </c>
      <c r="CA187" s="868">
        <f t="shared" si="147"/>
        <v>0</v>
      </c>
      <c r="CB187" s="868">
        <f t="shared" si="148"/>
        <v>0</v>
      </c>
      <c r="CD187" s="174"/>
      <c r="CE187" s="175"/>
      <c r="CF187" s="854"/>
      <c r="CG187" s="174"/>
      <c r="CH187" s="175"/>
      <c r="CI187" s="854"/>
    </row>
    <row r="188" spans="1:87" x14ac:dyDescent="0.25">
      <c r="A188" s="81" t="s">
        <v>196</v>
      </c>
      <c r="B188" s="171"/>
      <c r="C188" s="82" t="s">
        <v>274</v>
      </c>
      <c r="D188" s="172"/>
      <c r="E188" s="173"/>
      <c r="F188" s="173"/>
      <c r="G188" s="173"/>
      <c r="H188" s="173"/>
      <c r="I188" s="173"/>
      <c r="J188" s="173"/>
      <c r="K188" s="173"/>
      <c r="L188" s="173"/>
      <c r="M188" s="209"/>
      <c r="N188" s="1130">
        <f t="shared" si="149"/>
        <v>46481511.581447661</v>
      </c>
      <c r="O188" s="580"/>
      <c r="P188" s="576"/>
      <c r="Q188" s="576"/>
      <c r="R188" s="576"/>
      <c r="S188" s="576"/>
      <c r="T188" s="576"/>
      <c r="U188" s="576"/>
      <c r="V188" s="576"/>
      <c r="W188" s="576"/>
      <c r="X188" s="680"/>
      <c r="Y188" s="1091"/>
      <c r="Z188" s="165"/>
      <c r="AA188" s="165"/>
      <c r="AB188" s="165"/>
      <c r="AC188" s="165"/>
      <c r="AD188" s="165"/>
      <c r="AE188" s="165"/>
      <c r="AF188" s="174"/>
      <c r="AG188" s="175"/>
      <c r="AH188" s="854"/>
      <c r="AK188" s="174"/>
      <c r="AL188" s="175"/>
      <c r="AM188" s="175"/>
      <c r="AN188" s="175"/>
      <c r="AO188" s="175"/>
      <c r="AP188" s="175">
        <f t="shared" ref="AP188:AU188" si="156">AP143-AP158-AP174</f>
        <v>52486.48210844984</v>
      </c>
      <c r="AQ188" s="175">
        <f t="shared" si="156"/>
        <v>3399.9881535077297</v>
      </c>
      <c r="AR188" s="175">
        <f t="shared" si="156"/>
        <v>3301.0028933333333</v>
      </c>
      <c r="AS188" s="175">
        <f t="shared" si="156"/>
        <v>3349.9559338340518</v>
      </c>
      <c r="AT188" s="614">
        <f t="shared" si="156"/>
        <v>3289.6590388445406</v>
      </c>
      <c r="AU188" s="614">
        <f t="shared" si="156"/>
        <v>2894.4642777675908</v>
      </c>
      <c r="AV188" s="93"/>
      <c r="AW188" s="94"/>
      <c r="AX188" s="95"/>
      <c r="AY188" s="19"/>
      <c r="BB188" s="421">
        <f t="shared" si="137"/>
        <v>3537.0019976662161</v>
      </c>
      <c r="BC188" s="96">
        <f t="shared" si="137"/>
        <v>3537.0019976662161</v>
      </c>
      <c r="BD188" s="521">
        <f t="shared" si="137"/>
        <v>3537.0019976662161</v>
      </c>
      <c r="BE188" s="421">
        <f t="shared" si="137"/>
        <v>1809.6061986392344</v>
      </c>
      <c r="BF188" s="96">
        <f t="shared" si="137"/>
        <v>1809.6061986392344</v>
      </c>
      <c r="BG188" s="96">
        <f t="shared" si="137"/>
        <v>1809.6061986392344</v>
      </c>
      <c r="BH188" s="96">
        <f t="shared" si="137"/>
        <v>1809.6061986392344</v>
      </c>
      <c r="BI188" s="286">
        <f t="shared" si="137"/>
        <v>1809.6061986392344</v>
      </c>
      <c r="BJ188" s="305"/>
      <c r="BK188" s="644">
        <f t="shared" si="138"/>
        <v>39054401.495407753</v>
      </c>
      <c r="BL188" s="97">
        <f t="shared" si="138"/>
        <v>39054401.495407753</v>
      </c>
      <c r="BM188" s="524">
        <f t="shared" si="138"/>
        <v>39054401.495407753</v>
      </c>
      <c r="BN188" s="416">
        <f t="shared" si="138"/>
        <v>20719254.377875999</v>
      </c>
      <c r="BO188" s="97">
        <f t="shared" si="138"/>
        <v>20719254.377875999</v>
      </c>
      <c r="BP188" s="97">
        <f t="shared" si="138"/>
        <v>20719254.377875999</v>
      </c>
      <c r="BQ188" s="97">
        <f t="shared" si="138"/>
        <v>20719254.377875999</v>
      </c>
      <c r="BR188" s="98">
        <f t="shared" si="138"/>
        <v>20719254.377875999</v>
      </c>
      <c r="BT188" s="872">
        <v>0.80351525353711228</v>
      </c>
      <c r="BU188" s="421">
        <f t="shared" si="144"/>
        <v>1454.0461835019344</v>
      </c>
      <c r="BV188" s="421">
        <f t="shared" si="145"/>
        <v>46.637606513037753</v>
      </c>
      <c r="BW188" s="96">
        <f t="shared" si="139"/>
        <v>1016.3154944593812</v>
      </c>
      <c r="BX188" s="727">
        <f t="shared" si="140"/>
        <v>391.09308252951547</v>
      </c>
      <c r="BY188" s="866">
        <f t="shared" si="141"/>
        <v>355.56001513730007</v>
      </c>
      <c r="BZ188" s="868">
        <f t="shared" si="146"/>
        <v>11.404361337275974</v>
      </c>
      <c r="CA188" s="868">
        <f t="shared" si="147"/>
        <v>248.52109698740489</v>
      </c>
      <c r="CB188" s="868">
        <f t="shared" si="148"/>
        <v>95.634556812619195</v>
      </c>
      <c r="CD188" s="174">
        <f>'Defect P1'!CL143</f>
        <v>64.879895494706673</v>
      </c>
      <c r="CE188" s="175">
        <f>'Defect P2'!CL143</f>
        <v>1413.8470646374701</v>
      </c>
      <c r="CF188" s="854">
        <f>RTS!CL143</f>
        <v>544.06905114489996</v>
      </c>
      <c r="CG188" s="863">
        <f>CD188/SUM($CD188:$CF188)</f>
        <v>3.2074363966016151E-2</v>
      </c>
      <c r="CH188" s="864">
        <f>CE188/SUM($CD188:$CF188)</f>
        <v>0.69895681855969682</v>
      </c>
      <c r="CI188" s="857">
        <f>CF188/SUM($CD188:$CF188)</f>
        <v>0.26896881747428703</v>
      </c>
    </row>
    <row r="189" spans="1:87" x14ac:dyDescent="0.25">
      <c r="A189" s="81" t="s">
        <v>224</v>
      </c>
      <c r="B189" s="171"/>
      <c r="C189" s="82" t="s">
        <v>414</v>
      </c>
      <c r="D189" s="172"/>
      <c r="E189" s="173"/>
      <c r="F189" s="173"/>
      <c r="G189" s="173"/>
      <c r="H189" s="173"/>
      <c r="I189" s="173"/>
      <c r="J189" s="173"/>
      <c r="K189" s="173"/>
      <c r="L189" s="173"/>
      <c r="M189" s="209"/>
      <c r="N189" s="1069">
        <v>0</v>
      </c>
      <c r="O189" s="580"/>
      <c r="P189" s="576"/>
      <c r="Q189" s="576"/>
      <c r="R189" s="576"/>
      <c r="S189" s="576"/>
      <c r="T189" s="576"/>
      <c r="U189" s="576"/>
      <c r="V189" s="576"/>
      <c r="W189" s="576"/>
      <c r="X189" s="680"/>
      <c r="Y189" s="1091"/>
      <c r="Z189" s="165"/>
      <c r="AA189" s="165"/>
      <c r="AB189" s="165"/>
      <c r="AC189" s="165"/>
      <c r="AD189" s="165"/>
      <c r="AE189" s="165"/>
      <c r="AF189" s="174"/>
      <c r="AG189" s="175"/>
      <c r="AH189" s="854"/>
      <c r="AK189" s="174"/>
      <c r="AL189" s="175"/>
      <c r="AM189" s="175"/>
      <c r="AN189" s="175"/>
      <c r="AO189" s="175"/>
      <c r="AP189" s="175">
        <f t="shared" ref="AP189:AU189" si="157">AP144-AP159-AP175</f>
        <v>2317</v>
      </c>
      <c r="AQ189" s="175">
        <f t="shared" si="157"/>
        <v>4831</v>
      </c>
      <c r="AR189" s="175">
        <f t="shared" si="157"/>
        <v>2550</v>
      </c>
      <c r="AS189" s="175">
        <f t="shared" si="157"/>
        <v>1817</v>
      </c>
      <c r="AT189" s="614">
        <f t="shared" si="157"/>
        <v>2194</v>
      </c>
      <c r="AU189" s="614">
        <f t="shared" si="157"/>
        <v>0</v>
      </c>
      <c r="AV189" s="93"/>
      <c r="AW189" s="94"/>
      <c r="AX189" s="95"/>
      <c r="AY189" s="19"/>
      <c r="BB189" s="421">
        <f t="shared" si="137"/>
        <v>0</v>
      </c>
      <c r="BC189" s="96">
        <f t="shared" si="137"/>
        <v>0</v>
      </c>
      <c r="BD189" s="521">
        <f t="shared" si="137"/>
        <v>0</v>
      </c>
      <c r="BE189" s="421">
        <f t="shared" si="137"/>
        <v>0</v>
      </c>
      <c r="BF189" s="96">
        <f t="shared" si="137"/>
        <v>0</v>
      </c>
      <c r="BG189" s="96">
        <f t="shared" si="137"/>
        <v>0</v>
      </c>
      <c r="BH189" s="96">
        <f t="shared" si="137"/>
        <v>0</v>
      </c>
      <c r="BI189" s="286">
        <f t="shared" si="137"/>
        <v>0</v>
      </c>
      <c r="BJ189" s="305"/>
      <c r="BK189" s="644">
        <f t="shared" si="138"/>
        <v>0</v>
      </c>
      <c r="BL189" s="97">
        <f t="shared" si="138"/>
        <v>0</v>
      </c>
      <c r="BM189" s="524">
        <f t="shared" si="138"/>
        <v>0</v>
      </c>
      <c r="BN189" s="416">
        <f t="shared" si="138"/>
        <v>0</v>
      </c>
      <c r="BO189" s="97">
        <f t="shared" si="138"/>
        <v>0</v>
      </c>
      <c r="BP189" s="97">
        <f t="shared" si="138"/>
        <v>0</v>
      </c>
      <c r="BQ189" s="97">
        <f t="shared" si="138"/>
        <v>0</v>
      </c>
      <c r="BR189" s="98">
        <f t="shared" si="138"/>
        <v>0</v>
      </c>
      <c r="BT189" s="822">
        <v>1</v>
      </c>
      <c r="BU189" s="421">
        <f t="shared" si="144"/>
        <v>0</v>
      </c>
      <c r="BV189" s="421">
        <f t="shared" si="145"/>
        <v>0</v>
      </c>
      <c r="BW189" s="96">
        <f t="shared" si="139"/>
        <v>0</v>
      </c>
      <c r="BX189" s="727">
        <f t="shared" si="140"/>
        <v>0</v>
      </c>
      <c r="BY189" s="866">
        <f t="shared" si="141"/>
        <v>0</v>
      </c>
      <c r="BZ189" s="861">
        <f t="shared" si="146"/>
        <v>0</v>
      </c>
      <c r="CA189" s="861">
        <f t="shared" si="147"/>
        <v>0</v>
      </c>
      <c r="CB189" s="861">
        <f t="shared" si="148"/>
        <v>0</v>
      </c>
      <c r="CD189" s="174"/>
      <c r="CE189" s="175"/>
      <c r="CF189" s="854"/>
      <c r="CG189" s="174"/>
      <c r="CH189" s="175"/>
      <c r="CI189" s="854"/>
    </row>
    <row r="190" spans="1:87" x14ac:dyDescent="0.25">
      <c r="A190" s="81" t="s">
        <v>242</v>
      </c>
      <c r="B190" s="171"/>
      <c r="C190" s="82" t="s">
        <v>415</v>
      </c>
      <c r="D190" s="172"/>
      <c r="E190" s="173"/>
      <c r="F190" s="173"/>
      <c r="G190" s="173"/>
      <c r="H190" s="173"/>
      <c r="I190" s="173"/>
      <c r="J190" s="173"/>
      <c r="K190" s="173"/>
      <c r="L190" s="173"/>
      <c r="M190" s="209"/>
      <c r="N190" s="1069">
        <f t="shared" si="149"/>
        <v>4901.07</v>
      </c>
      <c r="O190" s="580"/>
      <c r="P190" s="576"/>
      <c r="Q190" s="576"/>
      <c r="R190" s="576"/>
      <c r="S190" s="576"/>
      <c r="T190" s="576"/>
      <c r="U190" s="576"/>
      <c r="V190" s="576"/>
      <c r="W190" s="576"/>
      <c r="X190" s="680"/>
      <c r="Y190" s="1091"/>
      <c r="Z190" s="165"/>
      <c r="AA190" s="165"/>
      <c r="AB190" s="165"/>
      <c r="AC190" s="165"/>
      <c r="AD190" s="165"/>
      <c r="AE190" s="165"/>
      <c r="AF190" s="174"/>
      <c r="AG190" s="175"/>
      <c r="AH190" s="854"/>
      <c r="AK190" s="174"/>
      <c r="AL190" s="175"/>
      <c r="AM190" s="175"/>
      <c r="AN190" s="175"/>
      <c r="AO190" s="175"/>
      <c r="AP190" s="175">
        <f t="shared" ref="AP190:AU190" si="158">AP145-AP160-AP176</f>
        <v>4000</v>
      </c>
      <c r="AQ190" s="175">
        <f t="shared" si="158"/>
        <v>-757</v>
      </c>
      <c r="AR190" s="175">
        <f t="shared" si="158"/>
        <v>1.536</v>
      </c>
      <c r="AS190" s="175">
        <f t="shared" si="158"/>
        <v>0</v>
      </c>
      <c r="AT190" s="614">
        <f t="shared" si="158"/>
        <v>534</v>
      </c>
      <c r="AU190" s="614">
        <f t="shared" si="158"/>
        <v>-6</v>
      </c>
      <c r="AV190" s="93"/>
      <c r="AW190" s="94"/>
      <c r="AX190" s="95"/>
      <c r="AY190" s="19"/>
      <c r="BB190" s="421">
        <f t="shared" si="137"/>
        <v>0</v>
      </c>
      <c r="BC190" s="96">
        <f t="shared" si="137"/>
        <v>0</v>
      </c>
      <c r="BD190" s="521">
        <f t="shared" si="137"/>
        <v>0</v>
      </c>
      <c r="BE190" s="421">
        <f t="shared" si="137"/>
        <v>0</v>
      </c>
      <c r="BF190" s="96">
        <f t="shared" si="137"/>
        <v>0</v>
      </c>
      <c r="BG190" s="96">
        <f t="shared" si="137"/>
        <v>0</v>
      </c>
      <c r="BH190" s="96">
        <f t="shared" si="137"/>
        <v>0</v>
      </c>
      <c r="BI190" s="286">
        <f t="shared" si="137"/>
        <v>0</v>
      </c>
      <c r="BJ190" s="305"/>
      <c r="BK190" s="644">
        <f t="shared" si="138"/>
        <v>0</v>
      </c>
      <c r="BL190" s="97">
        <f t="shared" si="138"/>
        <v>0</v>
      </c>
      <c r="BM190" s="524">
        <f t="shared" si="138"/>
        <v>0</v>
      </c>
      <c r="BN190" s="416">
        <f t="shared" si="138"/>
        <v>0</v>
      </c>
      <c r="BO190" s="97">
        <f t="shared" si="138"/>
        <v>0</v>
      </c>
      <c r="BP190" s="97">
        <f t="shared" si="138"/>
        <v>0</v>
      </c>
      <c r="BQ190" s="97">
        <f t="shared" si="138"/>
        <v>0</v>
      </c>
      <c r="BR190" s="98">
        <f t="shared" si="138"/>
        <v>0</v>
      </c>
      <c r="BT190" s="822">
        <v>1</v>
      </c>
      <c r="BU190" s="421">
        <f t="shared" si="144"/>
        <v>0</v>
      </c>
      <c r="BV190" s="421">
        <f t="shared" si="145"/>
        <v>0</v>
      </c>
      <c r="BW190" s="96">
        <f t="shared" si="139"/>
        <v>0</v>
      </c>
      <c r="BX190" s="727">
        <f t="shared" si="140"/>
        <v>0</v>
      </c>
      <c r="BY190" s="866">
        <f t="shared" si="141"/>
        <v>0</v>
      </c>
      <c r="BZ190" s="861">
        <f t="shared" si="146"/>
        <v>0</v>
      </c>
      <c r="CA190" s="861">
        <f t="shared" si="147"/>
        <v>0</v>
      </c>
      <c r="CB190" s="861">
        <f t="shared" si="148"/>
        <v>0</v>
      </c>
      <c r="CD190" s="174"/>
      <c r="CE190" s="175"/>
      <c r="CF190" s="854"/>
      <c r="CG190" s="174"/>
      <c r="CH190" s="175"/>
      <c r="CI190" s="854"/>
    </row>
    <row r="191" spans="1:87" ht="15.75" thickBot="1" x14ac:dyDescent="0.3">
      <c r="A191" s="100" t="s">
        <v>258</v>
      </c>
      <c r="B191" s="176"/>
      <c r="C191" s="101" t="s">
        <v>64</v>
      </c>
      <c r="D191" s="177"/>
      <c r="E191" s="178"/>
      <c r="F191" s="178"/>
      <c r="G191" s="178"/>
      <c r="H191" s="178"/>
      <c r="I191" s="178"/>
      <c r="J191" s="178"/>
      <c r="K191" s="178"/>
      <c r="L191" s="178"/>
      <c r="M191" s="210"/>
      <c r="N191" s="1070">
        <f t="shared" si="149"/>
        <v>284822.38728438597</v>
      </c>
      <c r="O191" s="582"/>
      <c r="P191" s="577"/>
      <c r="Q191" s="577"/>
      <c r="R191" s="577"/>
      <c r="S191" s="577"/>
      <c r="T191" s="577"/>
      <c r="U191" s="577"/>
      <c r="V191" s="577"/>
      <c r="W191" s="577"/>
      <c r="X191" s="681"/>
      <c r="Y191" s="1091"/>
      <c r="Z191" s="165"/>
      <c r="AA191" s="165"/>
      <c r="AB191" s="165"/>
      <c r="AC191" s="165"/>
      <c r="AD191" s="165"/>
      <c r="AE191" s="165"/>
      <c r="AF191" s="179"/>
      <c r="AG191" s="180"/>
      <c r="AH191" s="855"/>
      <c r="AK191" s="179"/>
      <c r="AL191" s="180"/>
      <c r="AM191" s="180"/>
      <c r="AN191" s="180"/>
      <c r="AO191" s="180"/>
      <c r="AP191" s="180">
        <f t="shared" ref="AP191:AU191" si="159">AP146-AP161-AP177</f>
        <v>1090</v>
      </c>
      <c r="AQ191" s="180">
        <f t="shared" si="159"/>
        <v>1062</v>
      </c>
      <c r="AR191" s="180">
        <f t="shared" si="159"/>
        <v>1242</v>
      </c>
      <c r="AS191" s="180">
        <f t="shared" si="159"/>
        <v>1076</v>
      </c>
      <c r="AT191" s="615">
        <f t="shared" si="159"/>
        <v>1473</v>
      </c>
      <c r="AU191" s="615">
        <f t="shared" si="159"/>
        <v>1065</v>
      </c>
      <c r="AV191" s="112"/>
      <c r="AW191" s="113"/>
      <c r="AX191" s="114"/>
      <c r="AY191" s="19"/>
      <c r="BB191" s="422">
        <f t="shared" si="137"/>
        <v>1414.9999999999998</v>
      </c>
      <c r="BC191" s="115">
        <f t="shared" si="137"/>
        <v>1414.9999999999998</v>
      </c>
      <c r="BD191" s="522">
        <f t="shared" si="137"/>
        <v>1414.9999999999998</v>
      </c>
      <c r="BE191" s="422">
        <f t="shared" si="137"/>
        <v>1414.9999999999998</v>
      </c>
      <c r="BF191" s="115">
        <f t="shared" si="137"/>
        <v>1414.9999999999998</v>
      </c>
      <c r="BG191" s="115">
        <f t="shared" si="137"/>
        <v>1414.9999999999998</v>
      </c>
      <c r="BH191" s="115">
        <f t="shared" si="137"/>
        <v>1414.9999999999998</v>
      </c>
      <c r="BI191" s="287">
        <f t="shared" si="137"/>
        <v>1414.9999999999998</v>
      </c>
      <c r="BJ191" s="308"/>
      <c r="BK191" s="648">
        <f t="shared" si="138"/>
        <v>347134.0352184471</v>
      </c>
      <c r="BL191" s="117">
        <f t="shared" si="138"/>
        <v>347134.0352184471</v>
      </c>
      <c r="BM191" s="638">
        <f t="shared" si="138"/>
        <v>347134.0352184471</v>
      </c>
      <c r="BN191" s="467">
        <f t="shared" si="138"/>
        <v>347134.0352184471</v>
      </c>
      <c r="BO191" s="117">
        <f t="shared" si="138"/>
        <v>347134.0352184471</v>
      </c>
      <c r="BP191" s="117">
        <f t="shared" si="138"/>
        <v>347134.0352184471</v>
      </c>
      <c r="BQ191" s="117">
        <f t="shared" si="138"/>
        <v>347134.0352184471</v>
      </c>
      <c r="BR191" s="118">
        <f t="shared" si="138"/>
        <v>347134.0352184471</v>
      </c>
      <c r="BT191" s="822">
        <v>1</v>
      </c>
      <c r="BU191" s="422">
        <f t="shared" si="144"/>
        <v>1414.9999999999998</v>
      </c>
      <c r="BV191" s="422">
        <f t="shared" si="145"/>
        <v>0</v>
      </c>
      <c r="BW191" s="115">
        <f t="shared" si="139"/>
        <v>0</v>
      </c>
      <c r="BX191" s="728">
        <f t="shared" si="140"/>
        <v>0</v>
      </c>
      <c r="BY191" s="867">
        <f t="shared" si="141"/>
        <v>0</v>
      </c>
      <c r="BZ191" s="862">
        <f t="shared" si="146"/>
        <v>0</v>
      </c>
      <c r="CA191" s="862">
        <f t="shared" si="147"/>
        <v>0</v>
      </c>
      <c r="CB191" s="862">
        <f t="shared" si="148"/>
        <v>0</v>
      </c>
      <c r="CD191" s="179"/>
      <c r="CE191" s="180"/>
      <c r="CF191" s="855"/>
      <c r="CG191" s="179"/>
      <c r="CH191" s="180"/>
      <c r="CI191" s="855"/>
    </row>
    <row r="192" spans="1:87" x14ac:dyDescent="0.25">
      <c r="Z192" s="165"/>
      <c r="AA192" s="165"/>
      <c r="AB192" s="165"/>
      <c r="AC192" s="165"/>
      <c r="AD192" s="165"/>
      <c r="AE192" s="165"/>
      <c r="BK192" s="649">
        <f t="shared" ref="BK192" si="160">SUM(BK183:BK191)</f>
        <v>116862574.30241331</v>
      </c>
      <c r="BL192" s="637">
        <f t="shared" ref="BL192" si="161">SUM(BL183:BL191)</f>
        <v>119535747.62203866</v>
      </c>
      <c r="BM192" s="637">
        <f t="shared" ref="BM192" si="162">SUM(BM183:BM191)</f>
        <v>119835747.62203866</v>
      </c>
      <c r="BN192" s="637">
        <f t="shared" ref="BN192" si="163">SUM(BN183:BN191)</f>
        <v>83464391.582958266</v>
      </c>
      <c r="BO192" s="637">
        <f t="shared" ref="BO192" si="164">SUM(BO183:BO191)</f>
        <v>83764391.582958266</v>
      </c>
      <c r="BP192" s="637">
        <f t="shared" ref="BP192" si="165">SUM(BP183:BP191)</f>
        <v>83764391.582958266</v>
      </c>
      <c r="BQ192" s="637">
        <f t="shared" ref="BQ192" si="166">SUM(BQ183:BQ191)</f>
        <v>84064391.582958266</v>
      </c>
      <c r="BR192" s="637">
        <f t="shared" ref="BR192" si="167">SUM(BR183:BR191)</f>
        <v>84064391.582958266</v>
      </c>
      <c r="BT192" s="822"/>
    </row>
    <row r="193" spans="1:70" ht="15.75" thickBot="1" x14ac:dyDescent="0.3"/>
    <row r="194" spans="1:70" x14ac:dyDescent="0.25">
      <c r="A194" s="63"/>
      <c r="B194" s="64"/>
      <c r="C194" s="65" t="s">
        <v>269</v>
      </c>
      <c r="D194" s="66">
        <f t="shared" ref="D194:AI194" si="168">SUM(D67:D72)</f>
        <v>25150394.450090803</v>
      </c>
      <c r="E194" s="67">
        <f t="shared" si="168"/>
        <v>37258647.72545024</v>
      </c>
      <c r="F194" s="67">
        <f t="shared" si="168"/>
        <v>34944967.639346033</v>
      </c>
      <c r="G194" s="67">
        <f t="shared" si="168"/>
        <v>26373627.326408327</v>
      </c>
      <c r="H194" s="67">
        <f t="shared" si="168"/>
        <v>31191938.445764944</v>
      </c>
      <c r="I194" s="67">
        <f t="shared" si="168"/>
        <v>35076886.811278246</v>
      </c>
      <c r="J194" s="67">
        <f t="shared" si="168"/>
        <v>47128428.358406268</v>
      </c>
      <c r="K194" s="67">
        <f t="shared" si="168"/>
        <v>31690335.378733866</v>
      </c>
      <c r="L194" s="67">
        <f t="shared" si="168"/>
        <v>40589590.021956109</v>
      </c>
      <c r="M194" s="200">
        <f t="shared" si="168"/>
        <v>42405354.773334928</v>
      </c>
      <c r="N194" s="1076"/>
      <c r="O194" s="557">
        <f t="shared" si="168"/>
        <v>33838757.143412694</v>
      </c>
      <c r="P194" s="558">
        <f t="shared" si="168"/>
        <v>49383763.838055268</v>
      </c>
      <c r="Q194" s="558">
        <f t="shared" si="168"/>
        <v>45847998.397221252</v>
      </c>
      <c r="R194" s="558">
        <f t="shared" si="168"/>
        <v>33945937.485069156</v>
      </c>
      <c r="S194" s="558">
        <f t="shared" si="168"/>
        <v>39330501.540598482</v>
      </c>
      <c r="T194" s="558">
        <f t="shared" si="168"/>
        <v>43535618.24077484</v>
      </c>
      <c r="U194" s="558">
        <f t="shared" si="168"/>
        <v>58697890.745007508</v>
      </c>
      <c r="V194" s="558">
        <f t="shared" si="168"/>
        <v>38008082.281722009</v>
      </c>
      <c r="W194" s="558">
        <f t="shared" si="168"/>
        <v>45863283.181600906</v>
      </c>
      <c r="X194" s="674">
        <f t="shared" si="168"/>
        <v>45096437.858514607</v>
      </c>
      <c r="Y194" s="1086"/>
      <c r="Z194" s="68">
        <f t="shared" si="168"/>
        <v>1150</v>
      </c>
      <c r="AA194" s="69">
        <f t="shared" si="168"/>
        <v>1641</v>
      </c>
      <c r="AB194" s="69">
        <f t="shared" si="168"/>
        <v>1422</v>
      </c>
      <c r="AC194" s="69">
        <f t="shared" si="168"/>
        <v>1112</v>
      </c>
      <c r="AD194" s="69">
        <f t="shared" si="168"/>
        <v>1325</v>
      </c>
      <c r="AE194" s="69">
        <f t="shared" si="168"/>
        <v>1537</v>
      </c>
      <c r="AF194" s="69">
        <f t="shared" si="168"/>
        <v>1788</v>
      </c>
      <c r="AG194" s="69">
        <f t="shared" si="168"/>
        <v>1539</v>
      </c>
      <c r="AH194" s="69">
        <f t="shared" si="168"/>
        <v>1595</v>
      </c>
      <c r="AI194" s="664">
        <f t="shared" si="168"/>
        <v>1118</v>
      </c>
      <c r="AJ194" s="1071"/>
      <c r="AK194" s="70"/>
      <c r="AL194" s="71"/>
      <c r="AM194" s="72"/>
      <c r="AN194" s="73">
        <f t="shared" ref="AN194:AW194" si="169">SUM(AN67:AN72)</f>
        <v>147395.80714774696</v>
      </c>
      <c r="AO194" s="74">
        <f t="shared" si="169"/>
        <v>172338.51021423523</v>
      </c>
      <c r="AP194" s="74">
        <f t="shared" si="169"/>
        <v>171717.22049446451</v>
      </c>
      <c r="AQ194" s="74">
        <f t="shared" si="169"/>
        <v>186440.59079711867</v>
      </c>
      <c r="AR194" s="74">
        <f t="shared" si="169"/>
        <v>197389.23961073637</v>
      </c>
      <c r="AS194" s="74">
        <f t="shared" si="169"/>
        <v>194360.23900018708</v>
      </c>
      <c r="AT194" s="74">
        <f t="shared" si="169"/>
        <v>255732.09290521211</v>
      </c>
      <c r="AU194" s="74">
        <f t="shared" si="169"/>
        <v>171369.15817557886</v>
      </c>
      <c r="AV194" s="74">
        <f t="shared" si="169"/>
        <v>180588.00632915332</v>
      </c>
      <c r="AW194" s="216">
        <f t="shared" si="169"/>
        <v>227765.41946363592</v>
      </c>
      <c r="AX194" s="1079"/>
      <c r="AY194" s="75"/>
      <c r="AZ194" s="76"/>
      <c r="BA194" s="77"/>
      <c r="BB194" s="144">
        <f t="shared" ref="BB194:BI194" si="170">SUM(BB67:BB72)</f>
        <v>1456.9333333333334</v>
      </c>
      <c r="BC194" s="144">
        <f t="shared" si="170"/>
        <v>1456.9333333333334</v>
      </c>
      <c r="BD194" s="144">
        <f t="shared" si="170"/>
        <v>1456.9333333333334</v>
      </c>
      <c r="BE194" s="144">
        <f t="shared" si="170"/>
        <v>743.06859743583027</v>
      </c>
      <c r="BF194" s="144">
        <f t="shared" si="170"/>
        <v>743.06859743583027</v>
      </c>
      <c r="BG194" s="144">
        <f t="shared" si="170"/>
        <v>743.06859743583027</v>
      </c>
      <c r="BH194" s="144">
        <f t="shared" si="170"/>
        <v>743.06859743583027</v>
      </c>
      <c r="BI194" s="293">
        <f t="shared" si="170"/>
        <v>743.06859743583027</v>
      </c>
      <c r="BJ194" s="124"/>
      <c r="BK194" s="639">
        <f t="shared" ref="BK194:BR194" si="171">SUM(BK67:BK72)</f>
        <v>38228193.792674974</v>
      </c>
      <c r="BL194" s="79">
        <f t="shared" si="171"/>
        <v>38228193.792674974</v>
      </c>
      <c r="BM194" s="79">
        <f t="shared" si="171"/>
        <v>38228193.792674974</v>
      </c>
      <c r="BN194" s="79">
        <f t="shared" si="171"/>
        <v>17059540.082342066</v>
      </c>
      <c r="BO194" s="79">
        <f t="shared" si="171"/>
        <v>17059540.082342066</v>
      </c>
      <c r="BP194" s="79">
        <f t="shared" si="171"/>
        <v>17059540.082342066</v>
      </c>
      <c r="BQ194" s="79">
        <f t="shared" si="171"/>
        <v>17059540.082342066</v>
      </c>
      <c r="BR194" s="80">
        <f t="shared" si="171"/>
        <v>17059540.082342066</v>
      </c>
    </row>
    <row r="195" spans="1:70" ht="15.75" thickBot="1" x14ac:dyDescent="0.3">
      <c r="A195" s="100"/>
      <c r="B195" s="101"/>
      <c r="C195" s="102" t="s">
        <v>628</v>
      </c>
      <c r="D195" s="103">
        <f t="shared" ref="D195:AI195" si="172">SUM(D73:D84)</f>
        <v>2413899.3694484048</v>
      </c>
      <c r="E195" s="104">
        <f t="shared" si="172"/>
        <v>2747175.1523203435</v>
      </c>
      <c r="F195" s="104">
        <f t="shared" si="172"/>
        <v>5970756.2106411094</v>
      </c>
      <c r="G195" s="104">
        <f t="shared" si="172"/>
        <v>3395050.6586923795</v>
      </c>
      <c r="H195" s="104">
        <f t="shared" si="172"/>
        <v>6667097.4225147935</v>
      </c>
      <c r="I195" s="104">
        <f t="shared" si="172"/>
        <v>8102104.3174626045</v>
      </c>
      <c r="J195" s="104">
        <f t="shared" si="172"/>
        <v>5316583.8424081365</v>
      </c>
      <c r="K195" s="104">
        <f t="shared" si="172"/>
        <v>7904075.8436450502</v>
      </c>
      <c r="L195" s="104">
        <f t="shared" si="172"/>
        <v>7393588.7582544396</v>
      </c>
      <c r="M195" s="202">
        <f t="shared" si="172"/>
        <v>7664888.1604317008</v>
      </c>
      <c r="N195" s="1077"/>
      <c r="O195" s="563">
        <f t="shared" si="172"/>
        <v>3247796.1605531271</v>
      </c>
      <c r="P195" s="564">
        <f t="shared" si="172"/>
        <v>3641190.8973092488</v>
      </c>
      <c r="Q195" s="564">
        <f t="shared" si="172"/>
        <v>7833666.4666831372</v>
      </c>
      <c r="R195" s="564">
        <f t="shared" si="172"/>
        <v>4369826.5692567267</v>
      </c>
      <c r="S195" s="564">
        <f t="shared" si="172"/>
        <v>8406668.4699148908</v>
      </c>
      <c r="T195" s="564">
        <f t="shared" si="172"/>
        <v>10055912.955153491</v>
      </c>
      <c r="U195" s="564">
        <f t="shared" si="172"/>
        <v>6621741.2374771237</v>
      </c>
      <c r="V195" s="564">
        <f t="shared" si="172"/>
        <v>9479822.8367072288</v>
      </c>
      <c r="W195" s="564">
        <f t="shared" si="172"/>
        <v>8354217.2947472045</v>
      </c>
      <c r="X195" s="676">
        <f t="shared" si="172"/>
        <v>8151309.0614850298</v>
      </c>
      <c r="Y195" s="1087"/>
      <c r="Z195" s="105">
        <f t="shared" si="172"/>
        <v>18</v>
      </c>
      <c r="AA195" s="106">
        <f t="shared" si="172"/>
        <v>25</v>
      </c>
      <c r="AB195" s="106">
        <f t="shared" si="172"/>
        <v>29</v>
      </c>
      <c r="AC195" s="106">
        <f t="shared" si="172"/>
        <v>17</v>
      </c>
      <c r="AD195" s="106">
        <f t="shared" si="172"/>
        <v>33</v>
      </c>
      <c r="AE195" s="106">
        <f t="shared" si="172"/>
        <v>37</v>
      </c>
      <c r="AF195" s="106">
        <f t="shared" si="172"/>
        <v>34</v>
      </c>
      <c r="AG195" s="106">
        <f t="shared" si="172"/>
        <v>66</v>
      </c>
      <c r="AH195" s="106">
        <f t="shared" si="172"/>
        <v>80</v>
      </c>
      <c r="AI195" s="666">
        <f t="shared" si="172"/>
        <v>88</v>
      </c>
      <c r="AJ195" s="1072"/>
      <c r="AK195" s="133"/>
      <c r="AL195" s="134"/>
      <c r="AM195" s="135"/>
      <c r="AN195" s="110">
        <f t="shared" ref="AN195:AW195" si="173">SUM(AN73:AN84)</f>
        <v>291703.52053340897</v>
      </c>
      <c r="AO195" s="111">
        <f t="shared" si="173"/>
        <v>307538.23562067968</v>
      </c>
      <c r="AP195" s="111">
        <f t="shared" si="173"/>
        <v>607356.8940098118</v>
      </c>
      <c r="AQ195" s="111">
        <f t="shared" si="173"/>
        <v>577991.54149557964</v>
      </c>
      <c r="AR195" s="111">
        <f t="shared" si="173"/>
        <v>582836.75357403746</v>
      </c>
      <c r="AS195" s="111">
        <f t="shared" si="173"/>
        <v>769948.30665334838</v>
      </c>
      <c r="AT195" s="111">
        <f t="shared" si="173"/>
        <v>619059.98760912404</v>
      </c>
      <c r="AU195" s="111">
        <f t="shared" si="173"/>
        <v>279041.78115786961</v>
      </c>
      <c r="AV195" s="111">
        <f t="shared" si="173"/>
        <v>302212.66222241888</v>
      </c>
      <c r="AW195" s="218">
        <f t="shared" si="173"/>
        <v>289616.7339246975</v>
      </c>
      <c r="AX195" s="1080"/>
      <c r="AY195" s="112"/>
      <c r="AZ195" s="113"/>
      <c r="BA195" s="114"/>
      <c r="BB195" s="141">
        <f t="shared" ref="BB195:BI195" si="174">SUM(BB73:BB84)</f>
        <v>78.2</v>
      </c>
      <c r="BC195" s="141">
        <f t="shared" si="174"/>
        <v>78.2</v>
      </c>
      <c r="BD195" s="141">
        <f t="shared" si="174"/>
        <v>78.2</v>
      </c>
      <c r="BE195" s="141">
        <f t="shared" si="174"/>
        <v>66.747657342664013</v>
      </c>
      <c r="BF195" s="141">
        <f t="shared" si="174"/>
        <v>66.747657342664013</v>
      </c>
      <c r="BG195" s="141">
        <f t="shared" si="174"/>
        <v>66.747657342664013</v>
      </c>
      <c r="BH195" s="141">
        <f t="shared" si="174"/>
        <v>66.747657342664013</v>
      </c>
      <c r="BI195" s="292">
        <f t="shared" si="174"/>
        <v>66.747657342664013</v>
      </c>
      <c r="BJ195" s="116"/>
      <c r="BK195" s="641">
        <f t="shared" ref="BK195:BR195" si="175">SUM(BK73:BK84)</f>
        <v>7654184.2541103959</v>
      </c>
      <c r="BL195" s="117">
        <f t="shared" si="175"/>
        <v>7654184.2541103959</v>
      </c>
      <c r="BM195" s="117">
        <f t="shared" si="175"/>
        <v>7654184.2541103959</v>
      </c>
      <c r="BN195" s="117">
        <f t="shared" si="175"/>
        <v>6254661.9322737325</v>
      </c>
      <c r="BO195" s="117">
        <f t="shared" si="175"/>
        <v>6254661.9322737325</v>
      </c>
      <c r="BP195" s="117">
        <f t="shared" si="175"/>
        <v>6254661.9322737325</v>
      </c>
      <c r="BQ195" s="117">
        <f t="shared" si="175"/>
        <v>6254661.9322737325</v>
      </c>
      <c r="BR195" s="118">
        <f t="shared" si="175"/>
        <v>6254661.9322737325</v>
      </c>
    </row>
    <row r="197" spans="1:70" ht="15.75" thickBot="1" x14ac:dyDescent="0.3"/>
    <row r="198" spans="1:70" x14ac:dyDescent="0.25">
      <c r="A198" s="63"/>
      <c r="B198" s="64"/>
      <c r="C198" s="65" t="s">
        <v>269</v>
      </c>
      <c r="D198" s="66"/>
      <c r="E198" s="67"/>
      <c r="F198" s="67"/>
      <c r="G198" s="67"/>
      <c r="H198" s="67"/>
      <c r="I198" s="67"/>
      <c r="J198" s="67"/>
      <c r="K198" s="67"/>
      <c r="L198" s="67"/>
      <c r="M198" s="200"/>
      <c r="N198" s="1076"/>
      <c r="O198" s="557"/>
      <c r="P198" s="558"/>
      <c r="Q198" s="558"/>
      <c r="R198" s="558"/>
      <c r="S198" s="558"/>
      <c r="T198" s="558"/>
      <c r="U198" s="558"/>
      <c r="V198" s="558"/>
      <c r="W198" s="558"/>
      <c r="X198" s="674"/>
      <c r="Y198" s="1086"/>
      <c r="Z198" s="68"/>
      <c r="AA198" s="69"/>
      <c r="AB198" s="69"/>
      <c r="AC198" s="69"/>
      <c r="AD198" s="69"/>
      <c r="AE198" s="69"/>
      <c r="AF198" s="69"/>
      <c r="AG198" s="69"/>
      <c r="AH198" s="69"/>
      <c r="AI198" s="664"/>
      <c r="AJ198" s="1071"/>
      <c r="AK198" s="70"/>
      <c r="AL198" s="71"/>
      <c r="AM198" s="72"/>
      <c r="AN198" s="73"/>
      <c r="AO198" s="74"/>
      <c r="AP198" s="74"/>
      <c r="AQ198" s="74"/>
      <c r="AR198" s="74"/>
      <c r="AS198" s="74"/>
      <c r="AT198" s="74"/>
      <c r="AU198" s="74"/>
      <c r="AV198" s="74"/>
      <c r="AW198" s="216"/>
      <c r="AX198" s="1079"/>
      <c r="AY198" s="75"/>
      <c r="AZ198" s="76"/>
      <c r="BA198" s="77"/>
      <c r="BB198" s="144">
        <f t="shared" ref="BB198:BI198" si="176">BB$187*BB194/SUM(BB$194:BB$195)</f>
        <v>1213.4355850291724</v>
      </c>
      <c r="BC198" s="144">
        <f t="shared" si="176"/>
        <v>1213.4355850291724</v>
      </c>
      <c r="BD198" s="144">
        <f t="shared" si="176"/>
        <v>1213.4355850291724</v>
      </c>
      <c r="BE198" s="144">
        <f t="shared" si="176"/>
        <v>506.20648083998242</v>
      </c>
      <c r="BF198" s="144">
        <f t="shared" si="176"/>
        <v>506.20648083998242</v>
      </c>
      <c r="BG198" s="144">
        <f t="shared" si="176"/>
        <v>506.20648083998242</v>
      </c>
      <c r="BH198" s="144">
        <f t="shared" si="176"/>
        <v>506.20648083998242</v>
      </c>
      <c r="BI198" s="293">
        <f t="shared" si="176"/>
        <v>506.20648083998242</v>
      </c>
      <c r="BJ198" s="682">
        <f>BI198/SUM($BI$198:$BI$199)</f>
        <v>0.91757678738997261</v>
      </c>
      <c r="BK198" s="639">
        <f t="shared" ref="BK198:BQ198" si="177">BK$187*BK194/SUM(BK$194:BK$195)</f>
        <v>31856058.19485154</v>
      </c>
      <c r="BL198" s="79">
        <f>BL$187*BL194/SUM(BL$194:BL$195)</f>
        <v>31856058.19485154</v>
      </c>
      <c r="BM198" s="79">
        <f t="shared" si="177"/>
        <v>31856058.19485154</v>
      </c>
      <c r="BN198" s="79">
        <f>BN$187*BN194/SUM(BN$194:BN$195)</f>
        <v>11636704.110609408</v>
      </c>
      <c r="BO198" s="79">
        <f t="shared" si="177"/>
        <v>11636704.110609408</v>
      </c>
      <c r="BP198" s="79">
        <f t="shared" si="177"/>
        <v>11636704.110609408</v>
      </c>
      <c r="BQ198" s="79">
        <f t="shared" si="177"/>
        <v>11636704.110609408</v>
      </c>
      <c r="BR198" s="80">
        <f>BR$187*BR194/SUM(BR$194:BR$195)</f>
        <v>11636704.110609408</v>
      </c>
    </row>
    <row r="199" spans="1:70" ht="15.75" thickBot="1" x14ac:dyDescent="0.3">
      <c r="A199" s="100"/>
      <c r="B199" s="101"/>
      <c r="C199" s="102" t="s">
        <v>628</v>
      </c>
      <c r="D199" s="103"/>
      <c r="E199" s="104"/>
      <c r="F199" s="104"/>
      <c r="G199" s="104"/>
      <c r="H199" s="104"/>
      <c r="I199" s="104"/>
      <c r="J199" s="104"/>
      <c r="K199" s="104"/>
      <c r="L199" s="104"/>
      <c r="M199" s="202"/>
      <c r="N199" s="1077"/>
      <c r="O199" s="563"/>
      <c r="P199" s="564"/>
      <c r="Q199" s="564"/>
      <c r="R199" s="564"/>
      <c r="S199" s="564"/>
      <c r="T199" s="564"/>
      <c r="U199" s="564"/>
      <c r="V199" s="564"/>
      <c r="W199" s="564"/>
      <c r="X199" s="676"/>
      <c r="Y199" s="1087"/>
      <c r="Z199" s="105"/>
      <c r="AA199" s="106"/>
      <c r="AB199" s="106"/>
      <c r="AC199" s="106"/>
      <c r="AD199" s="106"/>
      <c r="AE199" s="106"/>
      <c r="AF199" s="106"/>
      <c r="AG199" s="106"/>
      <c r="AH199" s="106"/>
      <c r="AI199" s="666"/>
      <c r="AJ199" s="1072"/>
      <c r="AK199" s="133"/>
      <c r="AL199" s="134"/>
      <c r="AM199" s="135"/>
      <c r="AN199" s="110"/>
      <c r="AO199" s="111"/>
      <c r="AP199" s="111"/>
      <c r="AQ199" s="111"/>
      <c r="AR199" s="111"/>
      <c r="AS199" s="111"/>
      <c r="AT199" s="111"/>
      <c r="AU199" s="111"/>
      <c r="AV199" s="111"/>
      <c r="AW199" s="218"/>
      <c r="AX199" s="1080"/>
      <c r="AY199" s="112"/>
      <c r="AZ199" s="113"/>
      <c r="BA199" s="114"/>
      <c r="BB199" s="141">
        <f t="shared" ref="BB199:BI199" si="178">BB$187*BB195/SUM(BB$194:BB$195)</f>
        <v>65.130408219969752</v>
      </c>
      <c r="BC199" s="141">
        <f t="shared" si="178"/>
        <v>65.130408219969752</v>
      </c>
      <c r="BD199" s="141">
        <f t="shared" si="178"/>
        <v>65.130408219969752</v>
      </c>
      <c r="BE199" s="141">
        <f t="shared" si="178"/>
        <v>45.471033016787963</v>
      </c>
      <c r="BF199" s="141">
        <f t="shared" si="178"/>
        <v>45.471033016787963</v>
      </c>
      <c r="BG199" s="141">
        <f t="shared" si="178"/>
        <v>45.471033016787963</v>
      </c>
      <c r="BH199" s="141">
        <f t="shared" si="178"/>
        <v>45.471033016787963</v>
      </c>
      <c r="BI199" s="292">
        <f t="shared" si="178"/>
        <v>45.471033016787963</v>
      </c>
      <c r="BJ199" s="683">
        <f>BI199/SUM($BI$198:$BI$199)</f>
        <v>8.2423212610027483E-2</v>
      </c>
      <c r="BK199" s="641">
        <f t="shared" ref="BK199:BQ199" si="179">BK$187*BK195/SUM(BK$194:BK$195)</f>
        <v>6378332.7131657097</v>
      </c>
      <c r="BL199" s="117">
        <f>BL$187*BL195/SUM(BL$194:BL$195)</f>
        <v>6378332.7131657097</v>
      </c>
      <c r="BM199" s="117">
        <f t="shared" si="179"/>
        <v>6378332.7131657097</v>
      </c>
      <c r="BN199" s="117">
        <f>BN$187*BN195/SUM(BN$194:BN$195)</f>
        <v>4266448.5599525981</v>
      </c>
      <c r="BO199" s="117">
        <f t="shared" si="179"/>
        <v>4266448.5599525981</v>
      </c>
      <c r="BP199" s="117">
        <f t="shared" si="179"/>
        <v>4266448.5599525981</v>
      </c>
      <c r="BQ199" s="117">
        <f t="shared" si="179"/>
        <v>4266448.5599525981</v>
      </c>
      <c r="BR199" s="118">
        <f>BR$187*BR195/SUM(BR$194:BR$195)</f>
        <v>4266448.5599525981</v>
      </c>
    </row>
  </sheetData>
  <autoFilter ref="A6:BT6" xr:uid="{8990FE13-A7ED-4229-A645-670CC1E53E7E}"/>
  <phoneticPr fontId="17" type="noConversion"/>
  <dataValidations disablePrompts="1" count="1">
    <dataValidation type="list" allowBlank="1" showInputMessage="1" showErrorMessage="1" sqref="BD150 BD166" xr:uid="{298DC54C-4766-4EFF-928E-DE3F9618BCD4}">
      <formula1>$AV$150:$AX$150</formula1>
    </dataValidation>
  </dataValidation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DF433-D73B-4D4E-885C-2BDC58C8F693}">
  <sheetPr codeName="Sheet8"/>
  <dimension ref="A1:CZ148"/>
  <sheetViews>
    <sheetView zoomScaleNormal="100" workbookViewId="0">
      <pane xSplit="3" ySplit="7" topLeftCell="Z8" activePane="bottomRight" state="frozen"/>
      <selection activeCell="N1" sqref="N1"/>
      <selection pane="topRight" activeCell="N1" sqref="N1"/>
      <selection pane="bottomLeft" activeCell="N1" sqref="N1"/>
      <selection pane="bottomRight" activeCell="BM1" sqref="BM1:BO1048576"/>
    </sheetView>
  </sheetViews>
  <sheetFormatPr defaultRowHeight="15" x14ac:dyDescent="0.25"/>
  <cols>
    <col min="1" max="1" width="5.7109375" bestFit="1" customWidth="1"/>
    <col min="3" max="3" width="37" customWidth="1"/>
    <col min="13" max="14" width="9.140625" style="280"/>
    <col min="15" max="23" width="0" hidden="1" customWidth="1"/>
    <col min="24" max="25" width="0" style="280" hidden="1" customWidth="1"/>
    <col min="35" max="36" width="9.140625" style="280"/>
    <col min="49" max="50" width="9.140625" style="280"/>
    <col min="55" max="55" width="9.140625" customWidth="1"/>
    <col min="57" max="64" width="9.140625" hidden="1" customWidth="1"/>
    <col min="81" max="81" width="9.140625" customWidth="1"/>
    <col min="90" max="93" width="9.140625" style="280" customWidth="1"/>
    <col min="95" max="96" width="13.7109375" style="778" customWidth="1"/>
    <col min="97" max="102" width="13.7109375" customWidth="1"/>
    <col min="103" max="103" width="31.5703125" customWidth="1"/>
  </cols>
  <sheetData>
    <row r="1" spans="1:104" ht="15.75" thickBot="1" x14ac:dyDescent="0.3">
      <c r="A1" t="s">
        <v>420</v>
      </c>
      <c r="N1" s="280">
        <f>RTS!N1</f>
        <v>1.0233248425996433</v>
      </c>
      <c r="AT1" t="s">
        <v>279</v>
      </c>
      <c r="AW1" s="701"/>
      <c r="AX1" s="701"/>
      <c r="CP1" s="280"/>
      <c r="CS1" s="280"/>
      <c r="CT1" s="280"/>
      <c r="CU1" s="280"/>
      <c r="CV1" s="280"/>
      <c r="CW1" s="280"/>
      <c r="CX1" s="280"/>
      <c r="CY1" s="280"/>
    </row>
    <row r="2" spans="1:104" ht="15.75" thickBot="1" x14ac:dyDescent="0.3">
      <c r="O2" s="593" t="s">
        <v>583</v>
      </c>
      <c r="P2" s="594" t="str">
        <f>'Defect P1'!P2</f>
        <v>2024/25</v>
      </c>
      <c r="Q2" s="584"/>
      <c r="R2" s="584"/>
      <c r="S2" s="584"/>
      <c r="T2" s="584"/>
      <c r="U2" s="584"/>
      <c r="V2" s="584"/>
      <c r="W2" s="1100"/>
      <c r="X2" s="1100"/>
      <c r="Y2" s="1101"/>
      <c r="CP2" s="280"/>
      <c r="CS2" s="280"/>
      <c r="CT2" s="280"/>
      <c r="CU2" s="280"/>
      <c r="CV2" s="280"/>
      <c r="CW2" s="280"/>
      <c r="CX2" s="280"/>
      <c r="CY2" s="280"/>
    </row>
    <row r="3" spans="1:104" ht="15.75" thickBot="1" x14ac:dyDescent="0.3">
      <c r="C3" s="23"/>
      <c r="D3" s="25"/>
      <c r="E3" s="25"/>
      <c r="F3" s="25"/>
      <c r="G3" s="25"/>
      <c r="H3" s="25"/>
      <c r="I3" s="25"/>
      <c r="J3" s="25"/>
      <c r="K3" s="25"/>
      <c r="L3" s="25"/>
      <c r="M3" s="388"/>
      <c r="N3" s="388"/>
      <c r="O3" s="586" t="s">
        <v>584</v>
      </c>
      <c r="P3" s="587"/>
      <c r="Q3" s="587"/>
      <c r="R3" s="587"/>
      <c r="S3" s="587"/>
      <c r="T3" s="587"/>
      <c r="U3" s="587"/>
      <c r="V3" s="587"/>
      <c r="W3" s="1102"/>
      <c r="X3" s="1102"/>
      <c r="Y3" s="1103"/>
      <c r="AY3" s="607" t="str">
        <f>"Escalated to "&amp;P2</f>
        <v>Escalated to 2024/25</v>
      </c>
      <c r="AZ3" s="604"/>
      <c r="BA3" s="605" t="str">
        <f>'Defect P1'!BA3</f>
        <v>N</v>
      </c>
      <c r="CE3" s="19"/>
      <c r="CF3" s="19"/>
      <c r="CG3" s="19"/>
      <c r="CH3" s="19"/>
      <c r="CI3" s="19"/>
      <c r="CJ3" s="19"/>
      <c r="CK3" s="19"/>
      <c r="CL3" s="281"/>
      <c r="CM3" s="281"/>
      <c r="CN3" s="281"/>
      <c r="CO3" s="281"/>
      <c r="CP3" s="281"/>
      <c r="CQ3" s="779"/>
      <c r="CR3" s="779"/>
      <c r="CS3" s="281"/>
      <c r="CT3" s="281"/>
      <c r="CU3" s="281"/>
      <c r="CV3" s="281"/>
      <c r="CW3" s="281"/>
      <c r="CX3" s="281"/>
      <c r="CY3" s="281"/>
    </row>
    <row r="4" spans="1:104" ht="15.75" thickBot="1" x14ac:dyDescent="0.3">
      <c r="O4" s="589">
        <f>VLOOKUP(O$6,'Financial Escalation'!$C$31:$W$52,VLOOKUP($P$2,Lookup!$D$2:$E$19,2,0),0)</f>
        <v>1.3454563192065767</v>
      </c>
      <c r="P4" s="590">
        <f>VLOOKUP(P$6,'Financial Escalation'!$C$31:$W$52,VLOOKUP($P$2,Lookup!$D$2:$E$19,2,0),0)</f>
        <v>1.3254309228276884</v>
      </c>
      <c r="Q4" s="590">
        <f>VLOOKUP(Q$6,'Financial Escalation'!$C$31:$W$52,VLOOKUP($P$2,Lookup!$D$2:$E$19,2,0),0)</f>
        <v>1.3120057477345903</v>
      </c>
      <c r="R4" s="590">
        <f>VLOOKUP(R$6,'Financial Escalation'!$C$31:$W$52,VLOOKUP($P$2,Lookup!$D$2:$E$19,2,0),0)</f>
        <v>1.2871167498100859</v>
      </c>
      <c r="S4" s="590">
        <f>VLOOKUP(S$6,'Financial Escalation'!$C$31:$W$52,VLOOKUP($P$2,Lookup!$D$2:$E$19,2,0),0)</f>
        <v>1.2609187982652788</v>
      </c>
      <c r="T4" s="590">
        <f>VLOOKUP(T$6,'Financial Escalation'!$C$31:$W$52,VLOOKUP($P$2,Lookup!$D$2:$E$19,2,0),0)</f>
        <v>1.2411482944597256</v>
      </c>
      <c r="U4" s="590">
        <f>VLOOKUP(U$6,'Financial Escalation'!$C$31:$W$52,VLOOKUP($P$2,Lookup!$D$2:$E$19,2,0),0)</f>
        <v>1.2454879738109834</v>
      </c>
      <c r="V4" s="590">
        <f>VLOOKUP(V$6,'Financial Escalation'!$C$31:$W$52,VLOOKUP($P$2,Lookup!$D$2:$E$19,2,0),0)</f>
        <v>1.199358789595762</v>
      </c>
      <c r="W4" s="1104">
        <f>VLOOKUP(W$6,'Financial Escalation'!$C$31:$W$52,VLOOKUP($P$2,Lookup!$D$2:$E$19,2,0),0)</f>
        <v>1.129927233972851</v>
      </c>
      <c r="X4" s="1104">
        <f>VLOOKUP(X$6,'Financial Escalation'!$C$31:$W$52,VLOOKUP($P$2,Lookup!$D$2:$E$19,2,0),0)</f>
        <v>1.0634609260920951</v>
      </c>
      <c r="Y4" s="1105">
        <f>VLOOKUP(Y$6,'Financial Escalation'!$C$31:$W$52,VLOOKUP($P$2,Lookup!$D$2:$E$19,2,0),0)</f>
        <v>1.027498479316034</v>
      </c>
      <c r="AK4" s="220" t="s">
        <v>427</v>
      </c>
      <c r="AL4" s="221"/>
      <c r="AM4" s="222" t="s">
        <v>588</v>
      </c>
      <c r="AY4" s="595" t="s">
        <v>427</v>
      </c>
      <c r="AZ4" s="596"/>
      <c r="BA4" s="601" t="s">
        <v>588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282"/>
      <c r="CM4" s="282"/>
      <c r="CN4" s="282"/>
      <c r="CO4" s="282"/>
      <c r="CP4" s="282"/>
      <c r="CQ4" s="780"/>
      <c r="CR4" s="780"/>
      <c r="CS4" s="282"/>
      <c r="CT4" s="282"/>
      <c r="CU4" s="282"/>
      <c r="CV4" s="282"/>
      <c r="CW4" s="282"/>
      <c r="CX4" s="282"/>
      <c r="CY4" s="282"/>
    </row>
    <row r="5" spans="1:104" s="186" customFormat="1" ht="15.75" thickBot="1" x14ac:dyDescent="0.3">
      <c r="A5" s="27" t="s">
        <v>281</v>
      </c>
      <c r="B5" s="27" t="s">
        <v>282</v>
      </c>
      <c r="C5" s="28" t="s">
        <v>783</v>
      </c>
      <c r="D5" s="29" t="s">
        <v>284</v>
      </c>
      <c r="E5" s="30"/>
      <c r="F5" s="30"/>
      <c r="G5" s="30"/>
      <c r="H5" s="30"/>
      <c r="I5" s="30"/>
      <c r="J5" s="30"/>
      <c r="K5" s="30"/>
      <c r="L5" s="30"/>
      <c r="M5" s="335"/>
      <c r="N5" s="335"/>
      <c r="O5" s="552" t="s">
        <v>582</v>
      </c>
      <c r="P5" s="553"/>
      <c r="Q5" s="553"/>
      <c r="R5" s="553"/>
      <c r="S5" s="553"/>
      <c r="T5" s="553"/>
      <c r="U5" s="553"/>
      <c r="V5" s="553"/>
      <c r="W5" s="554"/>
      <c r="X5" s="554"/>
      <c r="Y5" s="554"/>
      <c r="Z5" s="31" t="s">
        <v>285</v>
      </c>
      <c r="AA5" s="32"/>
      <c r="AB5" s="32"/>
      <c r="AC5" s="32"/>
      <c r="AD5" s="32"/>
      <c r="AE5" s="32"/>
      <c r="AF5" s="32"/>
      <c r="AG5" s="32"/>
      <c r="AH5" s="32"/>
      <c r="AI5" s="662"/>
      <c r="AJ5" s="662"/>
      <c r="AK5" s="33" t="s">
        <v>586</v>
      </c>
      <c r="AL5" s="34"/>
      <c r="AM5" s="35"/>
      <c r="AN5" s="36" t="s">
        <v>463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9" t="s">
        <v>288</v>
      </c>
      <c r="AZ5" s="40"/>
      <c r="BA5" s="41"/>
      <c r="BB5" s="259" t="s">
        <v>429</v>
      </c>
      <c r="BC5" s="260"/>
      <c r="BD5" s="260"/>
      <c r="BE5" s="242" t="s">
        <v>439</v>
      </c>
      <c r="BF5" s="226"/>
      <c r="BG5" s="226"/>
      <c r="BH5" s="226"/>
      <c r="BI5" s="226"/>
      <c r="BJ5" s="226"/>
      <c r="BK5" s="226"/>
      <c r="BL5" s="243"/>
      <c r="BM5" s="226" t="s">
        <v>440</v>
      </c>
      <c r="BN5" s="226"/>
      <c r="BO5" s="226"/>
      <c r="BP5" s="226"/>
      <c r="BQ5" s="226"/>
      <c r="BR5" s="226"/>
      <c r="BS5" s="226"/>
      <c r="BT5" s="243"/>
      <c r="BU5" s="242" t="s">
        <v>430</v>
      </c>
      <c r="BV5" s="226"/>
      <c r="BW5" s="226"/>
      <c r="BX5" s="226"/>
      <c r="BY5" s="226"/>
      <c r="BZ5" s="226"/>
      <c r="CA5" s="226"/>
      <c r="CB5" s="243"/>
      <c r="CC5" s="376" t="s">
        <v>442</v>
      </c>
      <c r="CD5" s="377"/>
      <c r="CE5" s="189" t="s">
        <v>441</v>
      </c>
      <c r="CF5" s="189"/>
      <c r="CG5" s="189"/>
      <c r="CH5" s="801"/>
      <c r="CI5" s="801"/>
      <c r="CJ5" s="801"/>
      <c r="CK5" s="801"/>
      <c r="CL5" s="802"/>
      <c r="CM5" s="412" t="s">
        <v>484</v>
      </c>
      <c r="CN5" s="296"/>
      <c r="CO5" s="296"/>
      <c r="CP5" s="297"/>
      <c r="CQ5" s="781"/>
      <c r="CR5" s="781"/>
      <c r="CS5" s="191"/>
      <c r="CT5" s="766"/>
      <c r="CU5" s="766"/>
      <c r="CV5" s="766"/>
      <c r="CW5" s="766"/>
      <c r="CX5" s="767"/>
      <c r="CY5" s="389" t="s">
        <v>464</v>
      </c>
    </row>
    <row r="6" spans="1:104" ht="15.75" thickBot="1" x14ac:dyDescent="0.3">
      <c r="A6" s="43" t="s">
        <v>290</v>
      </c>
      <c r="B6" s="43" t="s">
        <v>290</v>
      </c>
      <c r="C6" s="44" t="s">
        <v>291</v>
      </c>
      <c r="D6" s="45" t="s">
        <v>5</v>
      </c>
      <c r="E6" s="46" t="s">
        <v>6</v>
      </c>
      <c r="F6" s="46" t="s">
        <v>7</v>
      </c>
      <c r="G6" s="46" t="s">
        <v>8</v>
      </c>
      <c r="H6" s="46" t="s">
        <v>9</v>
      </c>
      <c r="I6" s="46" t="s">
        <v>10</v>
      </c>
      <c r="J6" s="46" t="s">
        <v>11</v>
      </c>
      <c r="K6" s="46" t="s">
        <v>12</v>
      </c>
      <c r="L6" s="46" t="s">
        <v>13</v>
      </c>
      <c r="M6" s="657" t="s">
        <v>14</v>
      </c>
      <c r="N6" s="1063" t="s">
        <v>15</v>
      </c>
      <c r="O6" s="555" t="s">
        <v>5</v>
      </c>
      <c r="P6" s="556" t="s">
        <v>6</v>
      </c>
      <c r="Q6" s="556" t="s">
        <v>7</v>
      </c>
      <c r="R6" s="556" t="s">
        <v>8</v>
      </c>
      <c r="S6" s="556" t="s">
        <v>9</v>
      </c>
      <c r="T6" s="556" t="s">
        <v>10</v>
      </c>
      <c r="U6" s="556" t="s">
        <v>11</v>
      </c>
      <c r="V6" s="556" t="s">
        <v>12</v>
      </c>
      <c r="W6" s="673" t="s">
        <v>13</v>
      </c>
      <c r="X6" s="673" t="s">
        <v>14</v>
      </c>
      <c r="Y6" s="1085" t="s">
        <v>15</v>
      </c>
      <c r="Z6" s="47" t="s">
        <v>5</v>
      </c>
      <c r="AA6" s="48" t="s">
        <v>6</v>
      </c>
      <c r="AB6" s="48" t="s">
        <v>7</v>
      </c>
      <c r="AC6" s="48" t="s">
        <v>8</v>
      </c>
      <c r="AD6" s="48" t="s">
        <v>9</v>
      </c>
      <c r="AE6" s="48" t="s">
        <v>10</v>
      </c>
      <c r="AF6" s="48" t="s">
        <v>11</v>
      </c>
      <c r="AG6" s="48" t="s">
        <v>12</v>
      </c>
      <c r="AH6" s="48" t="s">
        <v>13</v>
      </c>
      <c r="AI6" s="1092" t="s">
        <v>14</v>
      </c>
      <c r="AJ6" s="663" t="s">
        <v>15</v>
      </c>
      <c r="AK6" s="50" t="s">
        <v>292</v>
      </c>
      <c r="AL6" s="51" t="s">
        <v>293</v>
      </c>
      <c r="AM6" s="52" t="s">
        <v>294</v>
      </c>
      <c r="AN6" s="53" t="s">
        <v>5</v>
      </c>
      <c r="AO6" s="54" t="s">
        <v>6</v>
      </c>
      <c r="AP6" s="54" t="s">
        <v>7</v>
      </c>
      <c r="AQ6" s="54" t="s">
        <v>8</v>
      </c>
      <c r="AR6" s="54" t="s">
        <v>9</v>
      </c>
      <c r="AS6" s="54" t="s">
        <v>10</v>
      </c>
      <c r="AT6" s="54" t="s">
        <v>11</v>
      </c>
      <c r="AU6" s="54" t="s">
        <v>12</v>
      </c>
      <c r="AV6" s="54" t="s">
        <v>13</v>
      </c>
      <c r="AW6" s="54" t="s">
        <v>14</v>
      </c>
      <c r="AX6" s="54" t="s">
        <v>15</v>
      </c>
      <c r="AY6" s="56" t="s">
        <v>292</v>
      </c>
      <c r="AZ6" s="57" t="s">
        <v>293</v>
      </c>
      <c r="BA6" s="58" t="s">
        <v>294</v>
      </c>
      <c r="BB6" s="261" t="s">
        <v>431</v>
      </c>
      <c r="BC6" s="262" t="s">
        <v>438</v>
      </c>
      <c r="BD6" s="263" t="s">
        <v>432</v>
      </c>
      <c r="BE6" s="254" t="s">
        <v>14</v>
      </c>
      <c r="BF6" s="227" t="s">
        <v>15</v>
      </c>
      <c r="BG6" s="227" t="s">
        <v>280</v>
      </c>
      <c r="BH6" s="227" t="s">
        <v>422</v>
      </c>
      <c r="BI6" s="227" t="s">
        <v>423</v>
      </c>
      <c r="BJ6" s="227" t="s">
        <v>424</v>
      </c>
      <c r="BK6" s="227" t="s">
        <v>425</v>
      </c>
      <c r="BL6" s="245" t="s">
        <v>426</v>
      </c>
      <c r="BM6" s="254" t="s">
        <v>14</v>
      </c>
      <c r="BN6" s="227" t="s">
        <v>15</v>
      </c>
      <c r="BO6" s="227" t="s">
        <v>280</v>
      </c>
      <c r="BP6" s="227" t="s">
        <v>422</v>
      </c>
      <c r="BQ6" s="227" t="s">
        <v>423</v>
      </c>
      <c r="BR6" s="227" t="s">
        <v>424</v>
      </c>
      <c r="BS6" s="227" t="s">
        <v>425</v>
      </c>
      <c r="BT6" s="245" t="s">
        <v>426</v>
      </c>
      <c r="BU6" s="244" t="s">
        <v>14</v>
      </c>
      <c r="BV6" s="227" t="s">
        <v>15</v>
      </c>
      <c r="BW6" s="227" t="s">
        <v>280</v>
      </c>
      <c r="BX6" s="227" t="s">
        <v>422</v>
      </c>
      <c r="BY6" s="227" t="s">
        <v>423</v>
      </c>
      <c r="BZ6" s="227" t="s">
        <v>424</v>
      </c>
      <c r="CA6" s="227" t="s">
        <v>425</v>
      </c>
      <c r="CB6" s="245" t="s">
        <v>426</v>
      </c>
      <c r="CC6" s="378"/>
      <c r="CD6" s="379"/>
      <c r="CE6" s="232" t="s">
        <v>14</v>
      </c>
      <c r="CF6" s="59" t="s">
        <v>15</v>
      </c>
      <c r="CG6" s="796" t="s">
        <v>280</v>
      </c>
      <c r="CH6" s="803" t="s">
        <v>422</v>
      </c>
      <c r="CI6" s="804" t="s">
        <v>423</v>
      </c>
      <c r="CJ6" s="804" t="s">
        <v>424</v>
      </c>
      <c r="CK6" s="804" t="s">
        <v>425</v>
      </c>
      <c r="CL6" s="805" t="s">
        <v>426</v>
      </c>
      <c r="CM6" s="298" t="s">
        <v>444</v>
      </c>
      <c r="CN6" s="301" t="s">
        <v>445</v>
      </c>
      <c r="CO6" s="299" t="s">
        <v>443</v>
      </c>
      <c r="CP6" s="300" t="s">
        <v>295</v>
      </c>
      <c r="CQ6" s="782" t="s">
        <v>14</v>
      </c>
      <c r="CR6" s="1109" t="s">
        <v>15</v>
      </c>
      <c r="CS6" s="764" t="s">
        <v>280</v>
      </c>
      <c r="CT6" s="768" t="s">
        <v>422</v>
      </c>
      <c r="CU6" s="769" t="s">
        <v>423</v>
      </c>
      <c r="CV6" s="769" t="s">
        <v>424</v>
      </c>
      <c r="CW6" s="769" t="s">
        <v>425</v>
      </c>
      <c r="CX6" s="770" t="s">
        <v>426</v>
      </c>
      <c r="CY6" s="390"/>
    </row>
    <row r="7" spans="1:104" x14ac:dyDescent="0.25">
      <c r="A7" s="63" t="s">
        <v>296</v>
      </c>
      <c r="B7" s="64" t="s">
        <v>22</v>
      </c>
      <c r="C7" s="65" t="s">
        <v>24</v>
      </c>
      <c r="D7" s="66">
        <v>-1198146.1264655096</v>
      </c>
      <c r="E7" s="67">
        <v>-653147.51150607597</v>
      </c>
      <c r="F7" s="67">
        <v>-1223482.1190525647</v>
      </c>
      <c r="G7" s="67">
        <v>-482651.22320450889</v>
      </c>
      <c r="H7" s="67">
        <v>-1111906.1500479393</v>
      </c>
      <c r="I7" s="67">
        <v>0</v>
      </c>
      <c r="J7" s="67">
        <v>0</v>
      </c>
      <c r="K7" s="67">
        <v>1567445.02</v>
      </c>
      <c r="L7" s="67">
        <v>2321529.27</v>
      </c>
      <c r="M7" s="653">
        <f>'2022-23 Input'!I7</f>
        <v>1887098.63</v>
      </c>
      <c r="N7" s="1064">
        <v>3007525.19</v>
      </c>
      <c r="O7" s="557">
        <f>D7*O$4</f>
        <v>-1612053.2771859022</v>
      </c>
      <c r="P7" s="558">
        <f t="shared" ref="P7:P70" si="0">E7*P$4</f>
        <v>-865701.90891810646</v>
      </c>
      <c r="Q7" s="558">
        <f t="shared" ref="Q7:Q70" si="1">F7*Q$4</f>
        <v>-1605215.5724474613</v>
      </c>
      <c r="R7" s="558">
        <f t="shared" ref="R7:R70" si="2">G7*R$4</f>
        <v>-621228.47370284982</v>
      </c>
      <c r="S7" s="558">
        <f t="shared" ref="S7:S70" si="3">H7*S$4</f>
        <v>-1402023.3665022203</v>
      </c>
      <c r="T7" s="558">
        <f t="shared" ref="T7:T70" si="4">I7*T$4</f>
        <v>0</v>
      </c>
      <c r="U7" s="558">
        <f t="shared" ref="U7:U70" si="5">J7*U$4</f>
        <v>0</v>
      </c>
      <c r="V7" s="558">
        <f t="shared" ref="V7:V70" si="6">K7*V$4</f>
        <v>1879928.9619451051</v>
      </c>
      <c r="W7" s="674">
        <f t="shared" ref="W7:W70" si="7">L7*W$4</f>
        <v>2623159.1466381121</v>
      </c>
      <c r="X7" s="674">
        <f t="shared" ref="X7:Y70" si="8">M7*X$4</f>
        <v>2006855.6566869237</v>
      </c>
      <c r="Y7" s="674">
        <f t="shared" si="8"/>
        <v>3090227.5592296664</v>
      </c>
      <c r="Z7" s="68">
        <v>-49</v>
      </c>
      <c r="AA7" s="69">
        <v>5</v>
      </c>
      <c r="AB7" s="69">
        <v>0</v>
      </c>
      <c r="AC7" s="69">
        <v>0</v>
      </c>
      <c r="AD7" s="69">
        <v>0</v>
      </c>
      <c r="AE7" s="69">
        <v>0</v>
      </c>
      <c r="AF7" s="69">
        <v>0</v>
      </c>
      <c r="AG7" s="69">
        <v>0</v>
      </c>
      <c r="AH7" s="69">
        <v>0</v>
      </c>
      <c r="AI7" s="1093">
        <f>'2022-23 Input'!P7</f>
        <v>0</v>
      </c>
      <c r="AJ7" s="664">
        <v>2356</v>
      </c>
      <c r="AK7" s="70">
        <f t="shared" ref="AK7:AK38" si="9">IFERROR(IF($AM$4="N",SUM(AD7:AH7)/5,SUM(AE7:AI7)/5),"")</f>
        <v>0</v>
      </c>
      <c r="AL7" s="71">
        <f t="shared" ref="AL7:AL38" si="10">IFERROR(IF($AM$4="N",SUM(AF7:AH7)/3,SUM(AG7:AI7)/3),"")</f>
        <v>0</v>
      </c>
      <c r="AM7" s="72">
        <f t="shared" ref="AM7:AM38" si="11">IFERROR(IF($AM$4="N",AH7,AI7),"")</f>
        <v>0</v>
      </c>
      <c r="AN7" s="73">
        <f t="shared" ref="AN7:AN38" si="12">IFERROR(D7/Z7,"")</f>
        <v>24451.961764602238</v>
      </c>
      <c r="AO7" s="74">
        <f t="shared" ref="AO7:AO38" si="13">IFERROR(E7/AA7,"")</f>
        <v>-130629.50230121519</v>
      </c>
      <c r="AP7" s="74" t="str">
        <f t="shared" ref="AP7:AP38" si="14">IFERROR(F7/AB7,"")</f>
        <v/>
      </c>
      <c r="AQ7" s="74" t="str">
        <f t="shared" ref="AQ7:AQ38" si="15">IFERROR(G7/AC7,"")</f>
        <v/>
      </c>
      <c r="AR7" s="74" t="str">
        <f t="shared" ref="AR7:AR38" si="16">IFERROR(H7/AD7,"")</f>
        <v/>
      </c>
      <c r="AS7" s="74" t="str">
        <f t="shared" ref="AS7:AS38" si="17">IFERROR(I7/AE7,"")</f>
        <v/>
      </c>
      <c r="AT7" s="74" t="str">
        <f t="shared" ref="AT7:AT38" si="18">IFERROR(J7/AF7,"")</f>
        <v/>
      </c>
      <c r="AU7" s="74" t="str">
        <f t="shared" ref="AU7:AU38" si="19">IFERROR(K7/AG7,"")</f>
        <v/>
      </c>
      <c r="AV7" s="74" t="str">
        <f t="shared" ref="AV7:AX22" si="20">IFERROR(L7/AH7,"")</f>
        <v/>
      </c>
      <c r="AW7" s="74" t="str">
        <f t="shared" si="20"/>
        <v/>
      </c>
      <c r="AX7" s="74">
        <f t="shared" si="20"/>
        <v>1276.5387054329371</v>
      </c>
      <c r="AY7" s="75" t="str">
        <f t="shared" ref="AY7:AY38" si="21">IFERROR(IF($BA$3="N",
IF($BA$4="N",SUM(H7:L7)/SUM(AD7:AH7),SUM(I7:M7)/SUM(AE7:AI7)),
IF($BA$4="N",SUM(S7:W7)/SUM(AD7:AH7),SUM(T7:X7)/SUM(AE7:AI7))),"")</f>
        <v/>
      </c>
      <c r="AZ7" s="76" t="str">
        <f t="shared" ref="AZ7:AZ38" si="22">IFERROR(IF($BA$3="N",
IF($BA$4="N",SUM(J7:L7)/SUM(AF7:AH7),SUM(K7:M7)/SUM(AG7:AI7)),
IF($BA$4="N",SUM(U7:W7)/SUM(AF7:AH7),SUM(V7:X7)/SUM(AG7:AI7))),"")</f>
        <v/>
      </c>
      <c r="BA7" s="77" t="str">
        <f t="shared" ref="BA7:BA38" si="23">IFERROR(IF($BA$3="N",
IF($BA$4="N",L7/AH7,M7/AI7),
IF($BA$4="N",W7/AH7,X7/AI7)),"")</f>
        <v/>
      </c>
      <c r="BB7" s="246" t="s">
        <v>422</v>
      </c>
      <c r="BC7" s="228" t="s">
        <v>434</v>
      </c>
      <c r="BD7" s="247">
        <v>0</v>
      </c>
      <c r="BE7" s="264">
        <f>IF(BE$6=$BB7,1,0
)</f>
        <v>0</v>
      </c>
      <c r="BF7" s="265">
        <f t="shared" ref="BF7:BL22" si="24">IF(BF$6=$BB7,1,
IF(BE7&lt;&gt;0,BE7+1,0
))</f>
        <v>0</v>
      </c>
      <c r="BG7" s="265">
        <f t="shared" si="24"/>
        <v>0</v>
      </c>
      <c r="BH7" s="265">
        <f t="shared" si="24"/>
        <v>1</v>
      </c>
      <c r="BI7" s="265">
        <f t="shared" si="24"/>
        <v>2</v>
      </c>
      <c r="BJ7" s="265">
        <f t="shared" si="24"/>
        <v>3</v>
      </c>
      <c r="BK7" s="265">
        <f t="shared" si="24"/>
        <v>4</v>
      </c>
      <c r="BL7" s="266">
        <f t="shared" si="24"/>
        <v>5</v>
      </c>
      <c r="BM7" s="255">
        <f>IF($BC7=Lookup!$A$2,$BD7*ROUNDUP(BE7/10,0)+1,
IF($BC7=Lookup!$A$3,($BD7+1)^BD7,
IF($BC7=Lookup!$A$4,BE7*$BD7+1,"Error")))</f>
        <v>1</v>
      </c>
      <c r="BN7" s="228">
        <f>IF($BC7=Lookup!$A$2,$BD7*ROUNDUP(BF7/10,0)+1,
IF($BC7=Lookup!$A$3,($BD7+1)^BE7,
IF($BC7=Lookup!$A$4,BF7*$BD7+1,"Error")))</f>
        <v>1</v>
      </c>
      <c r="BO7" s="228">
        <f>IF($BC7=Lookup!$A$2,$BD7*ROUNDUP(BG7/10,0)+1,
IF($BC7=Lookup!$A$3,($BD7+1)^BF7,
IF($BC7=Lookup!$A$4,BG7*$BD7+1,"Error")))</f>
        <v>1</v>
      </c>
      <c r="BP7" s="228">
        <f>IF($BC7=Lookup!$A$2,$BD7*ROUNDUP(BH7/10,0)+1,
IF($BC7=Lookup!$A$3,($BD7+1)^BG7,
IF($BC7=Lookup!$A$4,BH7*$BD7+1,"Error")))</f>
        <v>1</v>
      </c>
      <c r="BQ7" s="228">
        <f>IF($BC7=Lookup!$A$2,$BD7*ROUNDUP(BI7/10,0)+1,
IF($BC7=Lookup!$A$3,($BD7+1)^BH7,
IF($BC7=Lookup!$A$4,BI7*$BD7+1,"Error")))</f>
        <v>1</v>
      </c>
      <c r="BR7" s="228">
        <f>IF($BC7=Lookup!$A$2,$BD7*ROUNDUP(BJ7/10,0)+1,
IF($BC7=Lookup!$A$3,($BD7+1)^BI7,
IF($BC7=Lookup!$A$4,BJ7*$BD7+1,"Error")))</f>
        <v>1</v>
      </c>
      <c r="BS7" s="228">
        <f>IF($BC7=Lookup!$A$2,$BD7*ROUNDUP(BK7/10,0)+1,
IF($BC7=Lookup!$A$3,($BD7+1)^BJ7,
IF($BC7=Lookup!$A$4,BK7*$BD7+1,"Error")))</f>
        <v>1</v>
      </c>
      <c r="BT7" s="247">
        <f>IF($BC7=Lookup!$A$2,$BD7*ROUNDUP(BL7/10,0)+1,
IF($BC7=Lookup!$A$3,($BD7+1)^BK7,
IF($BC7=Lookup!$A$4,BL7*$BD7+1,"Error")))</f>
        <v>1</v>
      </c>
      <c r="BU7" s="318">
        <v>0</v>
      </c>
      <c r="BV7" s="319">
        <v>0</v>
      </c>
      <c r="BW7" s="319">
        <v>0</v>
      </c>
      <c r="BX7" s="319">
        <v>0</v>
      </c>
      <c r="BY7" s="319">
        <v>0</v>
      </c>
      <c r="BZ7" s="319">
        <v>0</v>
      </c>
      <c r="CA7" s="319">
        <v>0</v>
      </c>
      <c r="CB7" s="276">
        <v>0</v>
      </c>
      <c r="CC7" s="380" t="s">
        <v>293</v>
      </c>
      <c r="CD7" s="381">
        <f>HLOOKUP($CC7,$AK$6:$AM$132,ROWS(CD$6:CD7),0)</f>
        <v>0</v>
      </c>
      <c r="CE7" s="233">
        <f>IFERROR(IF(BU7&lt;&gt;"",BU7,BM7*$CD7),"")</f>
        <v>0</v>
      </c>
      <c r="CF7" s="78">
        <f t="shared" ref="CF7:CL43" si="25">IFERROR(IF(BV7&lt;&gt;"",BV7,BN7*$CD7),"")</f>
        <v>0</v>
      </c>
      <c r="CG7" s="797">
        <f t="shared" si="25"/>
        <v>0</v>
      </c>
      <c r="CH7" s="806">
        <f t="shared" si="25"/>
        <v>0</v>
      </c>
      <c r="CI7" s="78">
        <f t="shared" si="25"/>
        <v>0</v>
      </c>
      <c r="CJ7" s="78">
        <f t="shared" si="25"/>
        <v>0</v>
      </c>
      <c r="CK7" s="78">
        <f t="shared" si="25"/>
        <v>0</v>
      </c>
      <c r="CL7" s="285">
        <f t="shared" si="25"/>
        <v>0</v>
      </c>
      <c r="CM7" s="302" t="s">
        <v>293</v>
      </c>
      <c r="CN7" s="314">
        <v>0.05</v>
      </c>
      <c r="CO7" s="303"/>
      <c r="CP7" s="304" t="str">
        <f>IF($CO7&lt;&gt;"",$CO7,HLOOKUP($CM7,$AY$6:$BA$132,ROWS(CP$6:CP7),0))</f>
        <v/>
      </c>
      <c r="CQ7" s="783" t="str">
        <f t="shared" ref="CQ7:CX38" si="26">IFERROR(CE7*$CP7,"")</f>
        <v/>
      </c>
      <c r="CR7" s="783" t="str">
        <f t="shared" si="26"/>
        <v/>
      </c>
      <c r="CS7" s="523" t="str">
        <f t="shared" si="26"/>
        <v/>
      </c>
      <c r="CT7" s="415" t="str">
        <f t="shared" si="26"/>
        <v/>
      </c>
      <c r="CU7" s="79" t="str">
        <f t="shared" si="26"/>
        <v/>
      </c>
      <c r="CV7" s="79" t="str">
        <f t="shared" si="26"/>
        <v/>
      </c>
      <c r="CW7" s="79" t="str">
        <f t="shared" si="26"/>
        <v/>
      </c>
      <c r="CX7" s="80" t="str">
        <f t="shared" si="26"/>
        <v/>
      </c>
      <c r="CY7" s="391"/>
      <c r="CZ7" s="187"/>
    </row>
    <row r="8" spans="1:104" x14ac:dyDescent="0.25">
      <c r="A8" s="81" t="s">
        <v>27</v>
      </c>
      <c r="B8" s="82" t="s">
        <v>25</v>
      </c>
      <c r="C8" s="83" t="s">
        <v>297</v>
      </c>
      <c r="D8" s="84">
        <v>234027.7603625115</v>
      </c>
      <c r="E8" s="85">
        <v>1118190.0313560423</v>
      </c>
      <c r="F8" s="85">
        <v>1050443.5083092451</v>
      </c>
      <c r="G8" s="85">
        <v>2404994.6920143533</v>
      </c>
      <c r="H8" s="85">
        <v>1156935.4949326776</v>
      </c>
      <c r="I8" s="85">
        <v>452785.44059586484</v>
      </c>
      <c r="J8" s="85">
        <v>1324030.703277675</v>
      </c>
      <c r="K8" s="85">
        <v>242340.50619723796</v>
      </c>
      <c r="L8" s="85">
        <v>3836193.2178474343</v>
      </c>
      <c r="M8" s="654">
        <f>'2022-23 Input'!I8</f>
        <v>226483.82717733903</v>
      </c>
      <c r="N8" s="1065">
        <v>524622.55969310517</v>
      </c>
      <c r="O8" s="560">
        <f t="shared" ref="O8:O71" si="27">D8*O$4</f>
        <v>314874.12904950354</v>
      </c>
      <c r="P8" s="561">
        <f t="shared" si="0"/>
        <v>1482083.6451569609</v>
      </c>
      <c r="Q8" s="561">
        <f t="shared" si="1"/>
        <v>1378187.9205722176</v>
      </c>
      <c r="R8" s="561">
        <f t="shared" si="2"/>
        <v>3095508.9512960231</v>
      </c>
      <c r="S8" s="561">
        <f t="shared" si="3"/>
        <v>1458801.7139409573</v>
      </c>
      <c r="T8" s="561">
        <f t="shared" si="4"/>
        <v>561973.87735175306</v>
      </c>
      <c r="U8" s="561">
        <f t="shared" si="5"/>
        <v>1649064.3178888429</v>
      </c>
      <c r="V8" s="561">
        <f t="shared" si="6"/>
        <v>290653.21618274361</v>
      </c>
      <c r="W8" s="675">
        <f t="shared" si="7"/>
        <v>4334619.1916277623</v>
      </c>
      <c r="X8" s="675">
        <f t="shared" si="8"/>
        <v>240856.70059489497</v>
      </c>
      <c r="Y8" s="675">
        <f t="shared" si="8"/>
        <v>539048.88229955081</v>
      </c>
      <c r="Z8" s="86">
        <v>177.60000000000014</v>
      </c>
      <c r="AA8" s="87">
        <v>322.19999999999982</v>
      </c>
      <c r="AB8" s="87">
        <v>205.40000000000009</v>
      </c>
      <c r="AC8" s="87">
        <v>190.00000000000023</v>
      </c>
      <c r="AD8" s="87">
        <v>357.19999999999982</v>
      </c>
      <c r="AE8" s="87">
        <v>83</v>
      </c>
      <c r="AF8" s="87">
        <v>218</v>
      </c>
      <c r="AG8" s="87">
        <v>29</v>
      </c>
      <c r="AH8" s="87">
        <v>230</v>
      </c>
      <c r="AI8" s="1094">
        <f>'2022-23 Input'!P8</f>
        <v>37</v>
      </c>
      <c r="AJ8" s="665">
        <v>21</v>
      </c>
      <c r="AK8" s="88">
        <f t="shared" si="9"/>
        <v>119.4</v>
      </c>
      <c r="AL8" s="89">
        <f t="shared" si="10"/>
        <v>98.666666666666671</v>
      </c>
      <c r="AM8" s="90">
        <f t="shared" si="11"/>
        <v>37</v>
      </c>
      <c r="AN8" s="91">
        <f t="shared" si="12"/>
        <v>1317.7238759150412</v>
      </c>
      <c r="AO8" s="92">
        <f t="shared" si="13"/>
        <v>3470.4842686407292</v>
      </c>
      <c r="AP8" s="92">
        <f t="shared" si="14"/>
        <v>5114.1358729758749</v>
      </c>
      <c r="AQ8" s="92">
        <f t="shared" si="15"/>
        <v>12657.86680007553</v>
      </c>
      <c r="AR8" s="92">
        <f t="shared" si="16"/>
        <v>3238.9011616256389</v>
      </c>
      <c r="AS8" s="92">
        <f t="shared" si="17"/>
        <v>5455.2462722393357</v>
      </c>
      <c r="AT8" s="92">
        <f t="shared" si="18"/>
        <v>6073.535336136124</v>
      </c>
      <c r="AU8" s="92">
        <f t="shared" si="19"/>
        <v>8356.5691792151028</v>
      </c>
      <c r="AV8" s="92">
        <f t="shared" si="20"/>
        <v>16679.100947162759</v>
      </c>
      <c r="AW8" s="92">
        <f t="shared" si="20"/>
        <v>6121.1845183064606</v>
      </c>
      <c r="AX8" s="92">
        <f t="shared" si="20"/>
        <v>24982.026652052627</v>
      </c>
      <c r="AY8" s="93">
        <f t="shared" si="21"/>
        <v>10187.326122438109</v>
      </c>
      <c r="AZ8" s="94">
        <f t="shared" si="22"/>
        <v>14543.978213587876</v>
      </c>
      <c r="BA8" s="95">
        <f t="shared" si="23"/>
        <v>6121.1845183064606</v>
      </c>
      <c r="BB8" s="248" t="s">
        <v>422</v>
      </c>
      <c r="BC8" s="229" t="s">
        <v>433</v>
      </c>
      <c r="BD8" s="249">
        <v>0</v>
      </c>
      <c r="BE8" s="267">
        <f t="shared" ref="BE8:BE71" si="28">IF(BE$6=$BB8,1,0
)</f>
        <v>0</v>
      </c>
      <c r="BF8" s="268">
        <f t="shared" si="24"/>
        <v>0</v>
      </c>
      <c r="BG8" s="268">
        <f t="shared" si="24"/>
        <v>0</v>
      </c>
      <c r="BH8" s="268">
        <f t="shared" si="24"/>
        <v>1</v>
      </c>
      <c r="BI8" s="268">
        <f t="shared" si="24"/>
        <v>2</v>
      </c>
      <c r="BJ8" s="268">
        <f t="shared" si="24"/>
        <v>3</v>
      </c>
      <c r="BK8" s="268">
        <f t="shared" si="24"/>
        <v>4</v>
      </c>
      <c r="BL8" s="269">
        <f t="shared" si="24"/>
        <v>5</v>
      </c>
      <c r="BM8" s="256">
        <f>IF($BC8=Lookup!$A$2,$BD8*ROUNDUP(BE8/10,0)+1,
IF($BC8=Lookup!$A$3,($BD8+1)^BD8,
IF($BC8=Lookup!$A$4,BE8*$BD8+1,"Error")))</f>
        <v>1</v>
      </c>
      <c r="BN8" s="229">
        <f>IF($BC8=Lookup!$A$2,$BD8*ROUNDUP(BF8/10,0)+1,
IF($BC8=Lookup!$A$3,($BD8+1)^BE8,
IF($BC8=Lookup!$A$4,BF8*$BD8+1,"Error")))</f>
        <v>1</v>
      </c>
      <c r="BO8" s="229">
        <f>IF($BC8=Lookup!$A$2,$BD8*ROUNDUP(BG8/10,0)+1,
IF($BC8=Lookup!$A$3,($BD8+1)^BF8,
IF($BC8=Lookup!$A$4,BG8*$BD8+1,"Error")))</f>
        <v>1</v>
      </c>
      <c r="BP8" s="229">
        <f>IF($BC8=Lookup!$A$2,$BD8*ROUNDUP(BH8/10,0)+1,
IF($BC8=Lookup!$A$3,($BD8+1)^BG8,
IF($BC8=Lookup!$A$4,BH8*$BD8+1,"Error")))</f>
        <v>1</v>
      </c>
      <c r="BQ8" s="229">
        <f>IF($BC8=Lookup!$A$2,$BD8*ROUNDUP(BI8/10,0)+1,
IF($BC8=Lookup!$A$3,($BD8+1)^BH8,
IF($BC8=Lookup!$A$4,BI8*$BD8+1,"Error")))</f>
        <v>1</v>
      </c>
      <c r="BR8" s="229">
        <f>IF($BC8=Lookup!$A$2,$BD8*ROUNDUP(BJ8/10,0)+1,
IF($BC8=Lookup!$A$3,($BD8+1)^BI8,
IF($BC8=Lookup!$A$4,BJ8*$BD8+1,"Error")))</f>
        <v>1</v>
      </c>
      <c r="BS8" s="229">
        <f>IF($BC8=Lookup!$A$2,$BD8*ROUNDUP(BK8/10,0)+1,
IF($BC8=Lookup!$A$3,($BD8+1)^BJ8,
IF($BC8=Lookup!$A$4,BK8*$BD8+1,"Error")))</f>
        <v>1</v>
      </c>
      <c r="BT8" s="249">
        <f>IF($BC8=Lookup!$A$2,$BD8*ROUNDUP(BL8/10,0)+1,
IF($BC8=Lookup!$A$3,($BD8+1)^BK8,
IF($BC8=Lookup!$A$4,BL8*$BD8+1,"Error")))</f>
        <v>1</v>
      </c>
      <c r="BU8" s="320">
        <v>0</v>
      </c>
      <c r="BV8" s="321">
        <v>0</v>
      </c>
      <c r="BW8" s="321">
        <v>0</v>
      </c>
      <c r="BX8" s="321">
        <v>0</v>
      </c>
      <c r="BY8" s="321">
        <v>0</v>
      </c>
      <c r="BZ8" s="321">
        <v>0</v>
      </c>
      <c r="CA8" s="321">
        <v>0</v>
      </c>
      <c r="CB8" s="277">
        <v>0</v>
      </c>
      <c r="CC8" s="382" t="s">
        <v>293</v>
      </c>
      <c r="CD8" s="383">
        <f>HLOOKUP($CC8,$AK$6:$AM$132,ROWS(CD$6:CD8),0)</f>
        <v>98.666666666666671</v>
      </c>
      <c r="CE8" s="234">
        <f t="shared" ref="CE8:CH71" si="29">IFERROR(IF(BU8&lt;&gt;"",BU8,BM8*$CD8),"")</f>
        <v>0</v>
      </c>
      <c r="CF8" s="96">
        <f t="shared" si="25"/>
        <v>0</v>
      </c>
      <c r="CG8" s="521">
        <f t="shared" si="25"/>
        <v>0</v>
      </c>
      <c r="CH8" s="421">
        <f t="shared" si="25"/>
        <v>0</v>
      </c>
      <c r="CI8" s="96">
        <f t="shared" si="25"/>
        <v>0</v>
      </c>
      <c r="CJ8" s="96">
        <f t="shared" si="25"/>
        <v>0</v>
      </c>
      <c r="CK8" s="96">
        <f t="shared" si="25"/>
        <v>0</v>
      </c>
      <c r="CL8" s="286">
        <f t="shared" si="25"/>
        <v>0</v>
      </c>
      <c r="CM8" s="305" t="s">
        <v>293</v>
      </c>
      <c r="CN8" s="315">
        <v>0.05</v>
      </c>
      <c r="CO8" s="306"/>
      <c r="CP8" s="307">
        <f>IF($CO8&lt;&gt;"",$CO8,HLOOKUP($CM8,$AY$6:$BA$132,ROWS(CP$6:CP8),0))</f>
        <v>14543.978213587876</v>
      </c>
      <c r="CQ8" s="784">
        <f t="shared" si="26"/>
        <v>0</v>
      </c>
      <c r="CR8" s="784">
        <f t="shared" si="26"/>
        <v>0</v>
      </c>
      <c r="CS8" s="524">
        <f t="shared" si="26"/>
        <v>0</v>
      </c>
      <c r="CT8" s="416">
        <f t="shared" si="26"/>
        <v>0</v>
      </c>
      <c r="CU8" s="97">
        <f t="shared" si="26"/>
        <v>0</v>
      </c>
      <c r="CV8" s="97">
        <f t="shared" si="26"/>
        <v>0</v>
      </c>
      <c r="CW8" s="97">
        <f t="shared" si="26"/>
        <v>0</v>
      </c>
      <c r="CX8" s="98">
        <f t="shared" si="26"/>
        <v>0</v>
      </c>
      <c r="CY8" s="392"/>
      <c r="CZ8" s="187"/>
    </row>
    <row r="9" spans="1:104" x14ac:dyDescent="0.25">
      <c r="A9" s="81" t="s">
        <v>27</v>
      </c>
      <c r="B9" s="82" t="s">
        <v>28</v>
      </c>
      <c r="C9" s="83" t="s">
        <v>29</v>
      </c>
      <c r="D9" s="84">
        <v>28804.591168648563</v>
      </c>
      <c r="E9" s="85">
        <v>201159.43013368826</v>
      </c>
      <c r="F9" s="85">
        <v>852051.26968985144</v>
      </c>
      <c r="G9" s="85">
        <v>1698564.5236054789</v>
      </c>
      <c r="H9" s="85">
        <v>669589.79488390125</v>
      </c>
      <c r="I9" s="85">
        <v>2179717.2604472297</v>
      </c>
      <c r="J9" s="85">
        <v>3279534.4993405929</v>
      </c>
      <c r="K9" s="85">
        <v>219772.44251479502</v>
      </c>
      <c r="L9" s="85">
        <v>3325013.7041261517</v>
      </c>
      <c r="M9" s="654">
        <f>'2022-23 Input'!I9</f>
        <v>487536.55194400094</v>
      </c>
      <c r="N9" s="1065">
        <v>1173827.0414413612</v>
      </c>
      <c r="O9" s="560">
        <f t="shared" si="27"/>
        <v>38755.319210020163</v>
      </c>
      <c r="P9" s="561">
        <f t="shared" si="0"/>
        <v>266622.92911758635</v>
      </c>
      <c r="Q9" s="561">
        <f t="shared" si="1"/>
        <v>1117896.1631976406</v>
      </c>
      <c r="R9" s="561">
        <f t="shared" si="2"/>
        <v>2186250.8489658008</v>
      </c>
      <c r="S9" s="561">
        <f t="shared" si="3"/>
        <v>844298.35949570325</v>
      </c>
      <c r="T9" s="561">
        <f t="shared" si="4"/>
        <v>2705352.3602085048</v>
      </c>
      <c r="U9" s="561">
        <f t="shared" si="5"/>
        <v>4084620.7786269328</v>
      </c>
      <c r="V9" s="561">
        <f t="shared" si="6"/>
        <v>263586.01064104878</v>
      </c>
      <c r="W9" s="675">
        <f t="shared" si="7"/>
        <v>3757023.537625086</v>
      </c>
      <c r="X9" s="675">
        <f t="shared" si="8"/>
        <v>518476.07303411403</v>
      </c>
      <c r="Y9" s="675">
        <f t="shared" si="8"/>
        <v>1206105.500061038</v>
      </c>
      <c r="Z9" s="86">
        <v>197.20000000000005</v>
      </c>
      <c r="AA9" s="87">
        <v>276.39999999999998</v>
      </c>
      <c r="AB9" s="87">
        <v>192.8000000000003</v>
      </c>
      <c r="AC9" s="87">
        <v>114.00000000000011</v>
      </c>
      <c r="AD9" s="87">
        <v>236.39999999999986</v>
      </c>
      <c r="AE9" s="87">
        <v>320</v>
      </c>
      <c r="AF9" s="87">
        <v>460</v>
      </c>
      <c r="AG9" s="87">
        <v>18</v>
      </c>
      <c r="AH9" s="87">
        <v>112</v>
      </c>
      <c r="AI9" s="1094">
        <f>'2022-23 Input'!P9</f>
        <v>38</v>
      </c>
      <c r="AJ9" s="665">
        <v>88</v>
      </c>
      <c r="AK9" s="88">
        <f t="shared" si="9"/>
        <v>189.6</v>
      </c>
      <c r="AL9" s="89">
        <f t="shared" si="10"/>
        <v>56</v>
      </c>
      <c r="AM9" s="90">
        <f t="shared" si="11"/>
        <v>38</v>
      </c>
      <c r="AN9" s="91">
        <f t="shared" si="12"/>
        <v>146.06790653472899</v>
      </c>
      <c r="AO9" s="92">
        <f t="shared" si="13"/>
        <v>727.78375591059432</v>
      </c>
      <c r="AP9" s="92">
        <f t="shared" si="14"/>
        <v>4419.3530585573144</v>
      </c>
      <c r="AQ9" s="92">
        <f t="shared" si="15"/>
        <v>14899.688803556817</v>
      </c>
      <c r="AR9" s="92">
        <f t="shared" si="16"/>
        <v>2832.4441407948461</v>
      </c>
      <c r="AS9" s="92">
        <f t="shared" si="17"/>
        <v>6811.6164388975931</v>
      </c>
      <c r="AT9" s="92">
        <f t="shared" si="18"/>
        <v>7129.4228246534631</v>
      </c>
      <c r="AU9" s="92">
        <f t="shared" si="19"/>
        <v>12209.580139710835</v>
      </c>
      <c r="AV9" s="92">
        <f t="shared" si="20"/>
        <v>29687.622358269211</v>
      </c>
      <c r="AW9" s="92">
        <f t="shared" si="20"/>
        <v>12829.909261684235</v>
      </c>
      <c r="AX9" s="92">
        <f t="shared" si="20"/>
        <v>13338.943652742741</v>
      </c>
      <c r="AY9" s="93">
        <f t="shared" si="21"/>
        <v>10012.209344275074</v>
      </c>
      <c r="AZ9" s="94">
        <f t="shared" si="22"/>
        <v>24001.920824910405</v>
      </c>
      <c r="BA9" s="95">
        <f t="shared" si="23"/>
        <v>12829.909261684235</v>
      </c>
      <c r="BB9" s="248" t="s">
        <v>422</v>
      </c>
      <c r="BC9" s="229" t="s">
        <v>435</v>
      </c>
      <c r="BD9" s="249">
        <v>0</v>
      </c>
      <c r="BE9" s="267">
        <f t="shared" si="28"/>
        <v>0</v>
      </c>
      <c r="BF9" s="268">
        <f t="shared" si="24"/>
        <v>0</v>
      </c>
      <c r="BG9" s="268">
        <f t="shared" si="24"/>
        <v>0</v>
      </c>
      <c r="BH9" s="268">
        <f t="shared" si="24"/>
        <v>1</v>
      </c>
      <c r="BI9" s="268">
        <f t="shared" si="24"/>
        <v>2</v>
      </c>
      <c r="BJ9" s="268">
        <f t="shared" si="24"/>
        <v>3</v>
      </c>
      <c r="BK9" s="268">
        <f t="shared" si="24"/>
        <v>4</v>
      </c>
      <c r="BL9" s="269">
        <f t="shared" si="24"/>
        <v>5</v>
      </c>
      <c r="BM9" s="256">
        <f>IF($BC9=Lookup!$A$2,$BD9*ROUNDUP(BE9/10,0)+1,
IF($BC9=Lookup!$A$3,($BD9+1)^BD9,
IF($BC9=Lookup!$A$4,BE9*$BD9+1,"Error")))</f>
        <v>1</v>
      </c>
      <c r="BN9" s="229">
        <f>IF($BC9=Lookup!$A$2,$BD9*ROUNDUP(BF9/10,0)+1,
IF($BC9=Lookup!$A$3,($BD9+1)^BE9,
IF($BC9=Lookup!$A$4,BF9*$BD9+1,"Error")))</f>
        <v>1</v>
      </c>
      <c r="BO9" s="229">
        <f>IF($BC9=Lookup!$A$2,$BD9*ROUNDUP(BG9/10,0)+1,
IF($BC9=Lookup!$A$3,($BD9+1)^BF9,
IF($BC9=Lookup!$A$4,BG9*$BD9+1,"Error")))</f>
        <v>1</v>
      </c>
      <c r="BP9" s="229">
        <f>IF($BC9=Lookup!$A$2,$BD9*ROUNDUP(BH9/10,0)+1,
IF($BC9=Lookup!$A$3,($BD9+1)^BG9,
IF($BC9=Lookup!$A$4,BH9*$BD9+1,"Error")))</f>
        <v>1</v>
      </c>
      <c r="BQ9" s="229">
        <f>IF($BC9=Lookup!$A$2,$BD9*ROUNDUP(BI9/10,0)+1,
IF($BC9=Lookup!$A$3,($BD9+1)^BH9,
IF($BC9=Lookup!$A$4,BI9*$BD9+1,"Error")))</f>
        <v>1</v>
      </c>
      <c r="BR9" s="229">
        <f>IF($BC9=Lookup!$A$2,$BD9*ROUNDUP(BJ9/10,0)+1,
IF($BC9=Lookup!$A$3,($BD9+1)^BI9,
IF($BC9=Lookup!$A$4,BJ9*$BD9+1,"Error")))</f>
        <v>1</v>
      </c>
      <c r="BS9" s="229">
        <f>IF($BC9=Lookup!$A$2,$BD9*ROUNDUP(BK9/10,0)+1,
IF($BC9=Lookup!$A$3,($BD9+1)^BJ9,
IF($BC9=Lookup!$A$4,BK9*$BD9+1,"Error")))</f>
        <v>1</v>
      </c>
      <c r="BT9" s="249">
        <f>IF($BC9=Lookup!$A$2,$BD9*ROUNDUP(BL9/10,0)+1,
IF($BC9=Lookup!$A$3,($BD9+1)^BK9,
IF($BC9=Lookup!$A$4,BL9*$BD9+1,"Error")))</f>
        <v>1</v>
      </c>
      <c r="BU9" s="320">
        <v>0</v>
      </c>
      <c r="BV9" s="321">
        <v>0</v>
      </c>
      <c r="BW9" s="321">
        <v>0</v>
      </c>
      <c r="BX9" s="321">
        <v>0</v>
      </c>
      <c r="BY9" s="321">
        <v>0</v>
      </c>
      <c r="BZ9" s="321">
        <v>0</v>
      </c>
      <c r="CA9" s="321">
        <v>0</v>
      </c>
      <c r="CB9" s="277">
        <v>0</v>
      </c>
      <c r="CC9" s="382" t="s">
        <v>293</v>
      </c>
      <c r="CD9" s="383">
        <f>HLOOKUP($CC9,$AK$6:$AM$132,ROWS(CD$6:CD9),0)</f>
        <v>56</v>
      </c>
      <c r="CE9" s="234">
        <f t="shared" si="29"/>
        <v>0</v>
      </c>
      <c r="CF9" s="96">
        <f t="shared" si="25"/>
        <v>0</v>
      </c>
      <c r="CG9" s="521">
        <f t="shared" si="25"/>
        <v>0</v>
      </c>
      <c r="CH9" s="421">
        <f t="shared" si="25"/>
        <v>0</v>
      </c>
      <c r="CI9" s="96">
        <f t="shared" si="25"/>
        <v>0</v>
      </c>
      <c r="CJ9" s="96">
        <f t="shared" si="25"/>
        <v>0</v>
      </c>
      <c r="CK9" s="96">
        <f t="shared" si="25"/>
        <v>0</v>
      </c>
      <c r="CL9" s="286">
        <f t="shared" si="25"/>
        <v>0</v>
      </c>
      <c r="CM9" s="305" t="s">
        <v>293</v>
      </c>
      <c r="CN9" s="315">
        <v>0.05</v>
      </c>
      <c r="CO9" s="306"/>
      <c r="CP9" s="307">
        <f>IF($CO9&lt;&gt;"",$CO9,HLOOKUP($CM9,$AY$6:$BA$132,ROWS(CP$6:CP9),0))</f>
        <v>24001.920824910405</v>
      </c>
      <c r="CQ9" s="784">
        <f t="shared" si="26"/>
        <v>0</v>
      </c>
      <c r="CR9" s="784">
        <f t="shared" si="26"/>
        <v>0</v>
      </c>
      <c r="CS9" s="524">
        <f t="shared" si="26"/>
        <v>0</v>
      </c>
      <c r="CT9" s="416">
        <f t="shared" si="26"/>
        <v>0</v>
      </c>
      <c r="CU9" s="97">
        <f t="shared" si="26"/>
        <v>0</v>
      </c>
      <c r="CV9" s="97">
        <f t="shared" si="26"/>
        <v>0</v>
      </c>
      <c r="CW9" s="97">
        <f t="shared" si="26"/>
        <v>0</v>
      </c>
      <c r="CX9" s="98">
        <f t="shared" si="26"/>
        <v>0</v>
      </c>
      <c r="CY9" s="392"/>
    </row>
    <row r="10" spans="1:104" x14ac:dyDescent="0.25">
      <c r="A10" s="81" t="s">
        <v>27</v>
      </c>
      <c r="B10" s="82" t="s">
        <v>30</v>
      </c>
      <c r="C10" s="83" t="s">
        <v>298</v>
      </c>
      <c r="D10" s="84">
        <v>28804.591168647632</v>
      </c>
      <c r="E10" s="85">
        <v>201159.43013368733</v>
      </c>
      <c r="F10" s="85">
        <v>852051.26968985237</v>
      </c>
      <c r="G10" s="85">
        <v>1698564.5236054771</v>
      </c>
      <c r="H10" s="85">
        <v>669589.79488390312</v>
      </c>
      <c r="I10" s="85">
        <v>152149.73507453495</v>
      </c>
      <c r="J10" s="85">
        <v>0</v>
      </c>
      <c r="K10" s="85">
        <v>0</v>
      </c>
      <c r="L10" s="85">
        <v>0</v>
      </c>
      <c r="M10" s="654">
        <f>'2022-23 Input'!I10</f>
        <v>0</v>
      </c>
      <c r="N10" s="1065">
        <v>0</v>
      </c>
      <c r="O10" s="560">
        <f t="shared" si="27"/>
        <v>38755.319210018912</v>
      </c>
      <c r="P10" s="561">
        <f t="shared" si="0"/>
        <v>266622.92911758512</v>
      </c>
      <c r="Q10" s="561">
        <f t="shared" si="1"/>
        <v>1117896.163197642</v>
      </c>
      <c r="R10" s="561">
        <f t="shared" si="2"/>
        <v>2186250.8489657985</v>
      </c>
      <c r="S10" s="561">
        <f t="shared" si="3"/>
        <v>844298.35949570558</v>
      </c>
      <c r="T10" s="561">
        <f t="shared" si="4"/>
        <v>188840.38419025816</v>
      </c>
      <c r="U10" s="561">
        <f t="shared" si="5"/>
        <v>0</v>
      </c>
      <c r="V10" s="561">
        <f t="shared" si="6"/>
        <v>0</v>
      </c>
      <c r="W10" s="675">
        <f t="shared" si="7"/>
        <v>0</v>
      </c>
      <c r="X10" s="675">
        <f t="shared" si="8"/>
        <v>0</v>
      </c>
      <c r="Y10" s="675">
        <f t="shared" si="8"/>
        <v>0</v>
      </c>
      <c r="Z10" s="86">
        <v>197.20000000000005</v>
      </c>
      <c r="AA10" s="87">
        <v>276.40000000000009</v>
      </c>
      <c r="AB10" s="87">
        <v>192.79999999999995</v>
      </c>
      <c r="AC10" s="87">
        <v>113.99999999999989</v>
      </c>
      <c r="AD10" s="87">
        <v>236.40000000000009</v>
      </c>
      <c r="AE10" s="87">
        <v>22</v>
      </c>
      <c r="AF10" s="87">
        <v>0</v>
      </c>
      <c r="AG10" s="87">
        <v>0</v>
      </c>
      <c r="AH10" s="87">
        <v>0</v>
      </c>
      <c r="AI10" s="1094">
        <f>'2022-23 Input'!P10</f>
        <v>0</v>
      </c>
      <c r="AJ10" s="665">
        <v>0</v>
      </c>
      <c r="AK10" s="88">
        <f t="shared" si="9"/>
        <v>4.4000000000000004</v>
      </c>
      <c r="AL10" s="89">
        <f t="shared" si="10"/>
        <v>0</v>
      </c>
      <c r="AM10" s="90">
        <f t="shared" si="11"/>
        <v>0</v>
      </c>
      <c r="AN10" s="91">
        <f t="shared" si="12"/>
        <v>146.06790653472427</v>
      </c>
      <c r="AO10" s="92">
        <f t="shared" si="13"/>
        <v>727.78375591059068</v>
      </c>
      <c r="AP10" s="92">
        <f t="shared" si="14"/>
        <v>4419.3530585573262</v>
      </c>
      <c r="AQ10" s="92">
        <f t="shared" si="15"/>
        <v>14899.688803556832</v>
      </c>
      <c r="AR10" s="92">
        <f t="shared" si="16"/>
        <v>2832.4441407948511</v>
      </c>
      <c r="AS10" s="92">
        <f t="shared" si="17"/>
        <v>6915.8970488424975</v>
      </c>
      <c r="AT10" s="92" t="str">
        <f t="shared" si="18"/>
        <v/>
      </c>
      <c r="AU10" s="92" t="str">
        <f t="shared" si="19"/>
        <v/>
      </c>
      <c r="AV10" s="92" t="str">
        <f t="shared" si="20"/>
        <v/>
      </c>
      <c r="AW10" s="92" t="str">
        <f t="shared" si="20"/>
        <v/>
      </c>
      <c r="AX10" s="92" t="str">
        <f t="shared" si="20"/>
        <v/>
      </c>
      <c r="AY10" s="93">
        <f t="shared" si="21"/>
        <v>6915.8970488424975</v>
      </c>
      <c r="AZ10" s="94" t="str">
        <f t="shared" si="22"/>
        <v/>
      </c>
      <c r="BA10" s="95" t="str">
        <f t="shared" si="23"/>
        <v/>
      </c>
      <c r="BB10" s="248" t="s">
        <v>422</v>
      </c>
      <c r="BC10" s="229" t="s">
        <v>433</v>
      </c>
      <c r="BD10" s="249">
        <v>0</v>
      </c>
      <c r="BE10" s="267">
        <f t="shared" si="28"/>
        <v>0</v>
      </c>
      <c r="BF10" s="268">
        <f t="shared" si="24"/>
        <v>0</v>
      </c>
      <c r="BG10" s="268">
        <f t="shared" si="24"/>
        <v>0</v>
      </c>
      <c r="BH10" s="268">
        <f t="shared" si="24"/>
        <v>1</v>
      </c>
      <c r="BI10" s="268">
        <f t="shared" si="24"/>
        <v>2</v>
      </c>
      <c r="BJ10" s="268">
        <f t="shared" si="24"/>
        <v>3</v>
      </c>
      <c r="BK10" s="268">
        <f t="shared" si="24"/>
        <v>4</v>
      </c>
      <c r="BL10" s="269">
        <f t="shared" si="24"/>
        <v>5</v>
      </c>
      <c r="BM10" s="256">
        <f>IF($BC10=Lookup!$A$2,$BD10*ROUNDUP(BE10/10,0)+1,
IF($BC10=Lookup!$A$3,($BD10+1)^BD10,
IF($BC10=Lookup!$A$4,BE10*$BD10+1,"Error")))</f>
        <v>1</v>
      </c>
      <c r="BN10" s="229">
        <f>IF($BC10=Lookup!$A$2,$BD10*ROUNDUP(BF10/10,0)+1,
IF($BC10=Lookup!$A$3,($BD10+1)^BE10,
IF($BC10=Lookup!$A$4,BF10*$BD10+1,"Error")))</f>
        <v>1</v>
      </c>
      <c r="BO10" s="229">
        <f>IF($BC10=Lookup!$A$2,$BD10*ROUNDUP(BG10/10,0)+1,
IF($BC10=Lookup!$A$3,($BD10+1)^BF10,
IF($BC10=Lookup!$A$4,BG10*$BD10+1,"Error")))</f>
        <v>1</v>
      </c>
      <c r="BP10" s="229">
        <f>IF($BC10=Lookup!$A$2,$BD10*ROUNDUP(BH10/10,0)+1,
IF($BC10=Lookup!$A$3,($BD10+1)^BG10,
IF($BC10=Lookup!$A$4,BH10*$BD10+1,"Error")))</f>
        <v>1</v>
      </c>
      <c r="BQ10" s="229">
        <f>IF($BC10=Lookup!$A$2,$BD10*ROUNDUP(BI10/10,0)+1,
IF($BC10=Lookup!$A$3,($BD10+1)^BH10,
IF($BC10=Lookup!$A$4,BI10*$BD10+1,"Error")))</f>
        <v>1</v>
      </c>
      <c r="BR10" s="229">
        <f>IF($BC10=Lookup!$A$2,$BD10*ROUNDUP(BJ10/10,0)+1,
IF($BC10=Lookup!$A$3,($BD10+1)^BI10,
IF($BC10=Lookup!$A$4,BJ10*$BD10+1,"Error")))</f>
        <v>1</v>
      </c>
      <c r="BS10" s="229">
        <f>IF($BC10=Lookup!$A$2,$BD10*ROUNDUP(BK10/10,0)+1,
IF($BC10=Lookup!$A$3,($BD10+1)^BJ10,
IF($BC10=Lookup!$A$4,BK10*$BD10+1,"Error")))</f>
        <v>1</v>
      </c>
      <c r="BT10" s="249">
        <f>IF($BC10=Lookup!$A$2,$BD10*ROUNDUP(BL10/10,0)+1,
IF($BC10=Lookup!$A$3,($BD10+1)^BK10,
IF($BC10=Lookup!$A$4,BL10*$BD10+1,"Error")))</f>
        <v>1</v>
      </c>
      <c r="BU10" s="320">
        <v>0</v>
      </c>
      <c r="BV10" s="321">
        <v>0</v>
      </c>
      <c r="BW10" s="321">
        <v>0</v>
      </c>
      <c r="BX10" s="321">
        <v>0</v>
      </c>
      <c r="BY10" s="321">
        <v>0</v>
      </c>
      <c r="BZ10" s="321">
        <v>0</v>
      </c>
      <c r="CA10" s="321">
        <v>0</v>
      </c>
      <c r="CB10" s="277">
        <v>0</v>
      </c>
      <c r="CC10" s="382" t="s">
        <v>293</v>
      </c>
      <c r="CD10" s="383">
        <f>HLOOKUP($CC10,$AK$6:$AM$132,ROWS(CD$6:CD10),0)</f>
        <v>0</v>
      </c>
      <c r="CE10" s="234">
        <f t="shared" si="29"/>
        <v>0</v>
      </c>
      <c r="CF10" s="96">
        <f t="shared" si="25"/>
        <v>0</v>
      </c>
      <c r="CG10" s="521">
        <f t="shared" si="25"/>
        <v>0</v>
      </c>
      <c r="CH10" s="421">
        <f t="shared" si="25"/>
        <v>0</v>
      </c>
      <c r="CI10" s="96">
        <f t="shared" si="25"/>
        <v>0</v>
      </c>
      <c r="CJ10" s="96">
        <f t="shared" si="25"/>
        <v>0</v>
      </c>
      <c r="CK10" s="96">
        <f t="shared" si="25"/>
        <v>0</v>
      </c>
      <c r="CL10" s="286">
        <f t="shared" si="25"/>
        <v>0</v>
      </c>
      <c r="CM10" s="305" t="s">
        <v>293</v>
      </c>
      <c r="CN10" s="315">
        <v>0.05</v>
      </c>
      <c r="CO10" s="306"/>
      <c r="CP10" s="307" t="str">
        <f>IF($CO10&lt;&gt;"",$CO10,HLOOKUP($CM10,$AY$6:$BA$132,ROWS(CP$6:CP10),0))</f>
        <v/>
      </c>
      <c r="CQ10" s="784" t="str">
        <f t="shared" si="26"/>
        <v/>
      </c>
      <c r="CR10" s="784" t="str">
        <f t="shared" si="26"/>
        <v/>
      </c>
      <c r="CS10" s="524" t="str">
        <f t="shared" si="26"/>
        <v/>
      </c>
      <c r="CT10" s="416" t="str">
        <f t="shared" si="26"/>
        <v/>
      </c>
      <c r="CU10" s="97" t="str">
        <f t="shared" si="26"/>
        <v/>
      </c>
      <c r="CV10" s="97" t="str">
        <f t="shared" si="26"/>
        <v/>
      </c>
      <c r="CW10" s="97" t="str">
        <f t="shared" si="26"/>
        <v/>
      </c>
      <c r="CX10" s="98" t="str">
        <f t="shared" si="26"/>
        <v/>
      </c>
      <c r="CY10" s="392"/>
    </row>
    <row r="11" spans="1:104" x14ac:dyDescent="0.25">
      <c r="A11" s="81" t="s">
        <v>27</v>
      </c>
      <c r="B11" s="82" t="s">
        <v>32</v>
      </c>
      <c r="C11" s="83" t="s">
        <v>33</v>
      </c>
      <c r="D11" s="84">
        <v>1205068.0693373869</v>
      </c>
      <c r="E11" s="85">
        <v>579863.80603741808</v>
      </c>
      <c r="F11" s="85">
        <v>531771.18577336334</v>
      </c>
      <c r="G11" s="85">
        <v>1431111.5533989742</v>
      </c>
      <c r="H11" s="85">
        <v>71387.525808366947</v>
      </c>
      <c r="I11" s="85">
        <v>0</v>
      </c>
      <c r="J11" s="85">
        <v>699750.19108724187</v>
      </c>
      <c r="K11" s="85">
        <v>48512.648535036999</v>
      </c>
      <c r="L11" s="85">
        <v>309207.59247137379</v>
      </c>
      <c r="M11" s="654">
        <f>'2022-23 Input'!I11</f>
        <v>48549.214614371012</v>
      </c>
      <c r="N11" s="1065">
        <v>120272.25121960101</v>
      </c>
      <c r="O11" s="560">
        <f t="shared" si="27"/>
        <v>1621366.4489640563</v>
      </c>
      <c r="P11" s="561">
        <f t="shared" si="0"/>
        <v>768569.41955055075</v>
      </c>
      <c r="Q11" s="561">
        <f t="shared" si="1"/>
        <v>697686.85221429134</v>
      </c>
      <c r="R11" s="561">
        <f t="shared" si="2"/>
        <v>1842007.651226551</v>
      </c>
      <c r="S11" s="561">
        <f t="shared" si="3"/>
        <v>90013.873253417623</v>
      </c>
      <c r="T11" s="561">
        <f t="shared" si="4"/>
        <v>0</v>
      </c>
      <c r="U11" s="561">
        <f t="shared" si="5"/>
        <v>871530.44767109735</v>
      </c>
      <c r="V11" s="561">
        <f t="shared" si="6"/>
        <v>58184.071427066592</v>
      </c>
      <c r="W11" s="675">
        <f t="shared" si="7"/>
        <v>349382.07968458394</v>
      </c>
      <c r="X11" s="675">
        <f t="shared" si="8"/>
        <v>51630.192734842873</v>
      </c>
      <c r="Y11" s="675">
        <f t="shared" si="8"/>
        <v>123579.55523205605</v>
      </c>
      <c r="Z11" s="86">
        <v>49</v>
      </c>
      <c r="AA11" s="87">
        <v>58</v>
      </c>
      <c r="AB11" s="87">
        <v>20</v>
      </c>
      <c r="AC11" s="87">
        <v>14</v>
      </c>
      <c r="AD11" s="87">
        <v>29</v>
      </c>
      <c r="AE11" s="87">
        <v>0</v>
      </c>
      <c r="AF11" s="87">
        <v>63</v>
      </c>
      <c r="AG11" s="87">
        <v>8</v>
      </c>
      <c r="AH11" s="87">
        <v>12</v>
      </c>
      <c r="AI11" s="1094">
        <f>'2022-23 Input'!P11</f>
        <v>1</v>
      </c>
      <c r="AJ11" s="665">
        <v>5</v>
      </c>
      <c r="AK11" s="88">
        <f t="shared" si="9"/>
        <v>16.8</v>
      </c>
      <c r="AL11" s="89">
        <f t="shared" si="10"/>
        <v>7</v>
      </c>
      <c r="AM11" s="90">
        <f t="shared" si="11"/>
        <v>1</v>
      </c>
      <c r="AN11" s="91">
        <f t="shared" si="12"/>
        <v>24593.225904844629</v>
      </c>
      <c r="AO11" s="92">
        <f t="shared" si="13"/>
        <v>9997.6518282313464</v>
      </c>
      <c r="AP11" s="92">
        <f t="shared" si="14"/>
        <v>26588.559288668166</v>
      </c>
      <c r="AQ11" s="92">
        <f t="shared" si="15"/>
        <v>102222.25381421244</v>
      </c>
      <c r="AR11" s="92">
        <f t="shared" si="16"/>
        <v>2461.6388209781708</v>
      </c>
      <c r="AS11" s="92" t="str">
        <f t="shared" si="17"/>
        <v/>
      </c>
      <c r="AT11" s="92">
        <f t="shared" si="18"/>
        <v>11107.145890273681</v>
      </c>
      <c r="AU11" s="92">
        <f t="shared" si="19"/>
        <v>6064.0810668796248</v>
      </c>
      <c r="AV11" s="92">
        <f t="shared" si="20"/>
        <v>25767.299372614481</v>
      </c>
      <c r="AW11" s="92">
        <f t="shared" si="20"/>
        <v>48549.214614371012</v>
      </c>
      <c r="AX11" s="92">
        <f t="shared" si="20"/>
        <v>24054.450243920201</v>
      </c>
      <c r="AY11" s="93">
        <f t="shared" si="21"/>
        <v>13166.900556047902</v>
      </c>
      <c r="AZ11" s="94">
        <f t="shared" si="22"/>
        <v>19346.164553370563</v>
      </c>
      <c r="BA11" s="95">
        <f t="shared" si="23"/>
        <v>48549.214614371012</v>
      </c>
      <c r="BB11" s="248" t="s">
        <v>422</v>
      </c>
      <c r="BC11" s="229" t="s">
        <v>433</v>
      </c>
      <c r="BD11" s="249">
        <v>0</v>
      </c>
      <c r="BE11" s="267">
        <f t="shared" si="28"/>
        <v>0</v>
      </c>
      <c r="BF11" s="268">
        <f t="shared" si="24"/>
        <v>0</v>
      </c>
      <c r="BG11" s="268">
        <f t="shared" si="24"/>
        <v>0</v>
      </c>
      <c r="BH11" s="268">
        <f t="shared" si="24"/>
        <v>1</v>
      </c>
      <c r="BI11" s="268">
        <f t="shared" si="24"/>
        <v>2</v>
      </c>
      <c r="BJ11" s="268">
        <f t="shared" si="24"/>
        <v>3</v>
      </c>
      <c r="BK11" s="268">
        <f t="shared" si="24"/>
        <v>4</v>
      </c>
      <c r="BL11" s="269">
        <f t="shared" si="24"/>
        <v>5</v>
      </c>
      <c r="BM11" s="256">
        <f>IF($BC11=Lookup!$A$2,$BD11*ROUNDUP(BE11/10,0)+1,
IF($BC11=Lookup!$A$3,($BD11+1)^BD11,
IF($BC11=Lookup!$A$4,BE11*$BD11+1,"Error")))</f>
        <v>1</v>
      </c>
      <c r="BN11" s="229">
        <f>IF($BC11=Lookup!$A$2,$BD11*ROUNDUP(BF11/10,0)+1,
IF($BC11=Lookup!$A$3,($BD11+1)^BE11,
IF($BC11=Lookup!$A$4,BF11*$BD11+1,"Error")))</f>
        <v>1</v>
      </c>
      <c r="BO11" s="229">
        <f>IF($BC11=Lookup!$A$2,$BD11*ROUNDUP(BG11/10,0)+1,
IF($BC11=Lookup!$A$3,($BD11+1)^BF11,
IF($BC11=Lookup!$A$4,BG11*$BD11+1,"Error")))</f>
        <v>1</v>
      </c>
      <c r="BP11" s="229">
        <f>IF($BC11=Lookup!$A$2,$BD11*ROUNDUP(BH11/10,0)+1,
IF($BC11=Lookup!$A$3,($BD11+1)^BG11,
IF($BC11=Lookup!$A$4,BH11*$BD11+1,"Error")))</f>
        <v>1</v>
      </c>
      <c r="BQ11" s="229">
        <f>IF($BC11=Lookup!$A$2,$BD11*ROUNDUP(BI11/10,0)+1,
IF($BC11=Lookup!$A$3,($BD11+1)^BH11,
IF($BC11=Lookup!$A$4,BI11*$BD11+1,"Error")))</f>
        <v>1</v>
      </c>
      <c r="BR11" s="229">
        <f>IF($BC11=Lookup!$A$2,$BD11*ROUNDUP(BJ11/10,0)+1,
IF($BC11=Lookup!$A$3,($BD11+1)^BI11,
IF($BC11=Lookup!$A$4,BJ11*$BD11+1,"Error")))</f>
        <v>1</v>
      </c>
      <c r="BS11" s="229">
        <f>IF($BC11=Lookup!$A$2,$BD11*ROUNDUP(BK11/10,0)+1,
IF($BC11=Lookup!$A$3,($BD11+1)^BJ11,
IF($BC11=Lookup!$A$4,BK11*$BD11+1,"Error")))</f>
        <v>1</v>
      </c>
      <c r="BT11" s="249">
        <f>IF($BC11=Lookup!$A$2,$BD11*ROUNDUP(BL11/10,0)+1,
IF($BC11=Lookup!$A$3,($BD11+1)^BK11,
IF($BC11=Lookup!$A$4,BL11*$BD11+1,"Error")))</f>
        <v>1</v>
      </c>
      <c r="BU11" s="320">
        <v>0</v>
      </c>
      <c r="BV11" s="321">
        <v>0</v>
      </c>
      <c r="BW11" s="321">
        <v>0</v>
      </c>
      <c r="BX11" s="321">
        <v>0</v>
      </c>
      <c r="BY11" s="321">
        <v>0</v>
      </c>
      <c r="BZ11" s="321">
        <v>0</v>
      </c>
      <c r="CA11" s="321">
        <v>0</v>
      </c>
      <c r="CB11" s="277">
        <v>0</v>
      </c>
      <c r="CC11" s="382" t="s">
        <v>293</v>
      </c>
      <c r="CD11" s="383">
        <f>HLOOKUP($CC11,$AK$6:$AM$132,ROWS(CD$6:CD11),0)</f>
        <v>7</v>
      </c>
      <c r="CE11" s="234">
        <f t="shared" si="29"/>
        <v>0</v>
      </c>
      <c r="CF11" s="96">
        <f t="shared" si="25"/>
        <v>0</v>
      </c>
      <c r="CG11" s="521">
        <f t="shared" si="25"/>
        <v>0</v>
      </c>
      <c r="CH11" s="421">
        <f t="shared" si="25"/>
        <v>0</v>
      </c>
      <c r="CI11" s="96">
        <f t="shared" si="25"/>
        <v>0</v>
      </c>
      <c r="CJ11" s="96">
        <f t="shared" si="25"/>
        <v>0</v>
      </c>
      <c r="CK11" s="96">
        <f t="shared" si="25"/>
        <v>0</v>
      </c>
      <c r="CL11" s="286">
        <f t="shared" si="25"/>
        <v>0</v>
      </c>
      <c r="CM11" s="305" t="s">
        <v>293</v>
      </c>
      <c r="CN11" s="315">
        <v>0.05</v>
      </c>
      <c r="CO11" s="306"/>
      <c r="CP11" s="307">
        <f>IF($CO11&lt;&gt;"",$CO11,HLOOKUP($CM11,$AY$6:$BA$132,ROWS(CP$6:CP11),0))</f>
        <v>19346.164553370563</v>
      </c>
      <c r="CQ11" s="784">
        <f t="shared" si="26"/>
        <v>0</v>
      </c>
      <c r="CR11" s="784">
        <f t="shared" si="26"/>
        <v>0</v>
      </c>
      <c r="CS11" s="524">
        <f t="shared" si="26"/>
        <v>0</v>
      </c>
      <c r="CT11" s="416">
        <f t="shared" si="26"/>
        <v>0</v>
      </c>
      <c r="CU11" s="97">
        <f t="shared" si="26"/>
        <v>0</v>
      </c>
      <c r="CV11" s="97">
        <f t="shared" si="26"/>
        <v>0</v>
      </c>
      <c r="CW11" s="97">
        <f t="shared" si="26"/>
        <v>0</v>
      </c>
      <c r="CX11" s="98">
        <f t="shared" si="26"/>
        <v>0</v>
      </c>
      <c r="CY11" s="392"/>
    </row>
    <row r="12" spans="1:104" x14ac:dyDescent="0.25">
      <c r="A12" s="81" t="s">
        <v>27</v>
      </c>
      <c r="B12" s="82" t="s">
        <v>34</v>
      </c>
      <c r="C12" s="83" t="s">
        <v>35</v>
      </c>
      <c r="D12" s="84">
        <v>218940.13204677697</v>
      </c>
      <c r="E12" s="85">
        <v>476683.83561693836</v>
      </c>
      <c r="F12" s="85">
        <v>0</v>
      </c>
      <c r="G12" s="85">
        <v>578254.04321771057</v>
      </c>
      <c r="H12" s="85">
        <v>-9201.4818238615699</v>
      </c>
      <c r="I12" s="85">
        <v>371597.7577545502</v>
      </c>
      <c r="J12" s="85">
        <v>85797.158288345978</v>
      </c>
      <c r="K12" s="85">
        <v>0</v>
      </c>
      <c r="L12" s="85">
        <v>0</v>
      </c>
      <c r="M12" s="654">
        <f>'2022-23 Input'!I12</f>
        <v>91531.66</v>
      </c>
      <c r="N12" s="1065">
        <v>0</v>
      </c>
      <c r="O12" s="560">
        <f t="shared" si="27"/>
        <v>294574.3841902584</v>
      </c>
      <c r="P12" s="561">
        <f t="shared" si="0"/>
        <v>631811.49613880075</v>
      </c>
      <c r="Q12" s="561">
        <f t="shared" si="1"/>
        <v>0</v>
      </c>
      <c r="R12" s="561">
        <f t="shared" si="2"/>
        <v>744280.46467092063</v>
      </c>
      <c r="S12" s="561">
        <f t="shared" si="3"/>
        <v>-11602.321403603337</v>
      </c>
      <c r="T12" s="561">
        <f t="shared" si="4"/>
        <v>461207.92326211825</v>
      </c>
      <c r="U12" s="561">
        <f t="shared" si="5"/>
        <v>106859.32883529225</v>
      </c>
      <c r="V12" s="561">
        <f t="shared" si="6"/>
        <v>0</v>
      </c>
      <c r="W12" s="675">
        <f t="shared" si="7"/>
        <v>0</v>
      </c>
      <c r="X12" s="675">
        <f t="shared" si="8"/>
        <v>97340.343910346783</v>
      </c>
      <c r="Y12" s="675">
        <f t="shared" si="8"/>
        <v>0</v>
      </c>
      <c r="Z12" s="86">
        <v>1</v>
      </c>
      <c r="AA12" s="87">
        <v>16</v>
      </c>
      <c r="AB12" s="87">
        <v>0</v>
      </c>
      <c r="AC12" s="87">
        <v>1</v>
      </c>
      <c r="AD12" s="87">
        <v>0</v>
      </c>
      <c r="AE12" s="87">
        <v>304</v>
      </c>
      <c r="AF12" s="87">
        <v>0</v>
      </c>
      <c r="AG12" s="87">
        <v>0</v>
      </c>
      <c r="AH12" s="87">
        <v>0</v>
      </c>
      <c r="AI12" s="1094">
        <f>'2022-23 Input'!P12</f>
        <v>1</v>
      </c>
      <c r="AJ12" s="665">
        <v>0</v>
      </c>
      <c r="AK12" s="88">
        <f t="shared" si="9"/>
        <v>61</v>
      </c>
      <c r="AL12" s="89">
        <f t="shared" si="10"/>
        <v>0.33333333333333331</v>
      </c>
      <c r="AM12" s="90">
        <f t="shared" si="11"/>
        <v>1</v>
      </c>
      <c r="AN12" s="91">
        <f t="shared" si="12"/>
        <v>218940.13204677697</v>
      </c>
      <c r="AO12" s="92">
        <f t="shared" si="13"/>
        <v>29792.739726058648</v>
      </c>
      <c r="AP12" s="92" t="str">
        <f t="shared" si="14"/>
        <v/>
      </c>
      <c r="AQ12" s="92">
        <f t="shared" si="15"/>
        <v>578254.04321771057</v>
      </c>
      <c r="AR12" s="92" t="str">
        <f t="shared" si="16"/>
        <v/>
      </c>
      <c r="AS12" s="92">
        <f t="shared" si="17"/>
        <v>1222.361045245231</v>
      </c>
      <c r="AT12" s="92" t="str">
        <f t="shared" si="18"/>
        <v/>
      </c>
      <c r="AU12" s="92" t="str">
        <f t="shared" si="19"/>
        <v/>
      </c>
      <c r="AV12" s="92" t="str">
        <f t="shared" si="20"/>
        <v/>
      </c>
      <c r="AW12" s="92">
        <f t="shared" si="20"/>
        <v>91531.66</v>
      </c>
      <c r="AX12" s="92" t="str">
        <f t="shared" si="20"/>
        <v/>
      </c>
      <c r="AY12" s="93">
        <f t="shared" si="21"/>
        <v>1799.7592657144135</v>
      </c>
      <c r="AZ12" s="94">
        <f t="shared" si="22"/>
        <v>91531.66</v>
      </c>
      <c r="BA12" s="95">
        <f t="shared" si="23"/>
        <v>91531.66</v>
      </c>
      <c r="BB12" s="248" t="s">
        <v>422</v>
      </c>
      <c r="BC12" s="229" t="s">
        <v>433</v>
      </c>
      <c r="BD12" s="249">
        <v>0</v>
      </c>
      <c r="BE12" s="267">
        <f t="shared" si="28"/>
        <v>0</v>
      </c>
      <c r="BF12" s="268">
        <f t="shared" si="24"/>
        <v>0</v>
      </c>
      <c r="BG12" s="268">
        <f t="shared" si="24"/>
        <v>0</v>
      </c>
      <c r="BH12" s="268">
        <f t="shared" si="24"/>
        <v>1</v>
      </c>
      <c r="BI12" s="268">
        <f t="shared" si="24"/>
        <v>2</v>
      </c>
      <c r="BJ12" s="268">
        <f t="shared" si="24"/>
        <v>3</v>
      </c>
      <c r="BK12" s="268">
        <f t="shared" si="24"/>
        <v>4</v>
      </c>
      <c r="BL12" s="269">
        <f t="shared" si="24"/>
        <v>5</v>
      </c>
      <c r="BM12" s="256">
        <f>IF($BC12=Lookup!$A$2,$BD12*ROUNDUP(BE12/10,0)+1,
IF($BC12=Lookup!$A$3,($BD12+1)^BD12,
IF($BC12=Lookup!$A$4,BE12*$BD12+1,"Error")))</f>
        <v>1</v>
      </c>
      <c r="BN12" s="229">
        <f>IF($BC12=Lookup!$A$2,$BD12*ROUNDUP(BF12/10,0)+1,
IF($BC12=Lookup!$A$3,($BD12+1)^BE12,
IF($BC12=Lookup!$A$4,BF12*$BD12+1,"Error")))</f>
        <v>1</v>
      </c>
      <c r="BO12" s="229">
        <f>IF($BC12=Lookup!$A$2,$BD12*ROUNDUP(BG12/10,0)+1,
IF($BC12=Lookup!$A$3,($BD12+1)^BF12,
IF($BC12=Lookup!$A$4,BG12*$BD12+1,"Error")))</f>
        <v>1</v>
      </c>
      <c r="BP12" s="229">
        <f>IF($BC12=Lookup!$A$2,$BD12*ROUNDUP(BH12/10,0)+1,
IF($BC12=Lookup!$A$3,($BD12+1)^BG12,
IF($BC12=Lookup!$A$4,BH12*$BD12+1,"Error")))</f>
        <v>1</v>
      </c>
      <c r="BQ12" s="229">
        <f>IF($BC12=Lookup!$A$2,$BD12*ROUNDUP(BI12/10,0)+1,
IF($BC12=Lookup!$A$3,($BD12+1)^BH12,
IF($BC12=Lookup!$A$4,BI12*$BD12+1,"Error")))</f>
        <v>1</v>
      </c>
      <c r="BR12" s="229">
        <f>IF($BC12=Lookup!$A$2,$BD12*ROUNDUP(BJ12/10,0)+1,
IF($BC12=Lookup!$A$3,($BD12+1)^BI12,
IF($BC12=Lookup!$A$4,BJ12*$BD12+1,"Error")))</f>
        <v>1</v>
      </c>
      <c r="BS12" s="229">
        <f>IF($BC12=Lookup!$A$2,$BD12*ROUNDUP(BK12/10,0)+1,
IF($BC12=Lookup!$A$3,($BD12+1)^BJ12,
IF($BC12=Lookup!$A$4,BK12*$BD12+1,"Error")))</f>
        <v>1</v>
      </c>
      <c r="BT12" s="249">
        <f>IF($BC12=Lookup!$A$2,$BD12*ROUNDUP(BL12/10,0)+1,
IF($BC12=Lookup!$A$3,($BD12+1)^BK12,
IF($BC12=Lookup!$A$4,BL12*$BD12+1,"Error")))</f>
        <v>1</v>
      </c>
      <c r="BU12" s="320">
        <v>0</v>
      </c>
      <c r="BV12" s="321">
        <v>0</v>
      </c>
      <c r="BW12" s="321">
        <v>0</v>
      </c>
      <c r="BX12" s="321">
        <v>0</v>
      </c>
      <c r="BY12" s="321">
        <v>0</v>
      </c>
      <c r="BZ12" s="321">
        <v>0</v>
      </c>
      <c r="CA12" s="321">
        <v>0</v>
      </c>
      <c r="CB12" s="277">
        <v>0</v>
      </c>
      <c r="CC12" s="382" t="s">
        <v>293</v>
      </c>
      <c r="CD12" s="383">
        <f>HLOOKUP($CC12,$AK$6:$AM$132,ROWS(CD$6:CD12),0)</f>
        <v>0.33333333333333331</v>
      </c>
      <c r="CE12" s="234">
        <f t="shared" si="29"/>
        <v>0</v>
      </c>
      <c r="CF12" s="96">
        <f t="shared" si="25"/>
        <v>0</v>
      </c>
      <c r="CG12" s="521">
        <f t="shared" si="25"/>
        <v>0</v>
      </c>
      <c r="CH12" s="421">
        <f t="shared" si="25"/>
        <v>0</v>
      </c>
      <c r="CI12" s="96">
        <f t="shared" si="25"/>
        <v>0</v>
      </c>
      <c r="CJ12" s="96">
        <f t="shared" si="25"/>
        <v>0</v>
      </c>
      <c r="CK12" s="96">
        <f t="shared" si="25"/>
        <v>0</v>
      </c>
      <c r="CL12" s="286">
        <f t="shared" si="25"/>
        <v>0</v>
      </c>
      <c r="CM12" s="305" t="s">
        <v>293</v>
      </c>
      <c r="CN12" s="315">
        <v>0.05</v>
      </c>
      <c r="CO12" s="306"/>
      <c r="CP12" s="307">
        <f>IF($CO12&lt;&gt;"",$CO12,HLOOKUP($CM12,$AY$6:$BA$132,ROWS(CP$6:CP12),0))</f>
        <v>91531.66</v>
      </c>
      <c r="CQ12" s="784">
        <f t="shared" si="26"/>
        <v>0</v>
      </c>
      <c r="CR12" s="784">
        <f t="shared" si="26"/>
        <v>0</v>
      </c>
      <c r="CS12" s="524">
        <f t="shared" si="26"/>
        <v>0</v>
      </c>
      <c r="CT12" s="416">
        <f t="shared" si="26"/>
        <v>0</v>
      </c>
      <c r="CU12" s="97">
        <f t="shared" si="26"/>
        <v>0</v>
      </c>
      <c r="CV12" s="97">
        <f t="shared" si="26"/>
        <v>0</v>
      </c>
      <c r="CW12" s="97">
        <f t="shared" si="26"/>
        <v>0</v>
      </c>
      <c r="CX12" s="98">
        <f t="shared" si="26"/>
        <v>0</v>
      </c>
      <c r="CY12" s="392"/>
    </row>
    <row r="13" spans="1:104" x14ac:dyDescent="0.25">
      <c r="A13" s="81" t="s">
        <v>27</v>
      </c>
      <c r="B13" s="82" t="s">
        <v>36</v>
      </c>
      <c r="C13" s="83" t="s">
        <v>37</v>
      </c>
      <c r="D13" s="84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654">
        <f>'2022-23 Input'!I13</f>
        <v>0</v>
      </c>
      <c r="N13" s="1065">
        <v>0</v>
      </c>
      <c r="O13" s="560">
        <f t="shared" si="27"/>
        <v>0</v>
      </c>
      <c r="P13" s="561">
        <f t="shared" si="0"/>
        <v>0</v>
      </c>
      <c r="Q13" s="561">
        <f t="shared" si="1"/>
        <v>0</v>
      </c>
      <c r="R13" s="561">
        <f t="shared" si="2"/>
        <v>0</v>
      </c>
      <c r="S13" s="561">
        <f t="shared" si="3"/>
        <v>0</v>
      </c>
      <c r="T13" s="561">
        <f t="shared" si="4"/>
        <v>0</v>
      </c>
      <c r="U13" s="561">
        <f t="shared" si="5"/>
        <v>0</v>
      </c>
      <c r="V13" s="561">
        <f t="shared" si="6"/>
        <v>0</v>
      </c>
      <c r="W13" s="675">
        <f t="shared" si="7"/>
        <v>0</v>
      </c>
      <c r="X13" s="675">
        <f t="shared" si="8"/>
        <v>0</v>
      </c>
      <c r="Y13" s="675">
        <f t="shared" si="8"/>
        <v>0</v>
      </c>
      <c r="Z13" s="86">
        <v>0</v>
      </c>
      <c r="AA13" s="87">
        <v>0</v>
      </c>
      <c r="AB13" s="87">
        <v>0</v>
      </c>
      <c r="AC13" s="87">
        <v>0</v>
      </c>
      <c r="AD13" s="87">
        <v>0</v>
      </c>
      <c r="AE13" s="87">
        <v>0</v>
      </c>
      <c r="AF13" s="87">
        <v>0</v>
      </c>
      <c r="AG13" s="87">
        <v>0</v>
      </c>
      <c r="AH13" s="87">
        <v>0</v>
      </c>
      <c r="AI13" s="1094">
        <f>'2022-23 Input'!P13</f>
        <v>0</v>
      </c>
      <c r="AJ13" s="665">
        <v>0</v>
      </c>
      <c r="AK13" s="88">
        <f t="shared" si="9"/>
        <v>0</v>
      </c>
      <c r="AL13" s="89">
        <f t="shared" si="10"/>
        <v>0</v>
      </c>
      <c r="AM13" s="90">
        <f t="shared" si="11"/>
        <v>0</v>
      </c>
      <c r="AN13" s="91" t="str">
        <f t="shared" si="12"/>
        <v/>
      </c>
      <c r="AO13" s="92" t="str">
        <f t="shared" si="13"/>
        <v/>
      </c>
      <c r="AP13" s="92" t="str">
        <f t="shared" si="14"/>
        <v/>
      </c>
      <c r="AQ13" s="92" t="str">
        <f t="shared" si="15"/>
        <v/>
      </c>
      <c r="AR13" s="92" t="str">
        <f t="shared" si="16"/>
        <v/>
      </c>
      <c r="AS13" s="92" t="str">
        <f t="shared" si="17"/>
        <v/>
      </c>
      <c r="AT13" s="92" t="str">
        <f t="shared" si="18"/>
        <v/>
      </c>
      <c r="AU13" s="92" t="str">
        <f t="shared" si="19"/>
        <v/>
      </c>
      <c r="AV13" s="92" t="str">
        <f t="shared" si="20"/>
        <v/>
      </c>
      <c r="AW13" s="92" t="str">
        <f t="shared" si="20"/>
        <v/>
      </c>
      <c r="AX13" s="92" t="str">
        <f t="shared" si="20"/>
        <v/>
      </c>
      <c r="AY13" s="93" t="str">
        <f t="shared" si="21"/>
        <v/>
      </c>
      <c r="AZ13" s="94" t="str">
        <f t="shared" si="22"/>
        <v/>
      </c>
      <c r="BA13" s="95" t="str">
        <f t="shared" si="23"/>
        <v/>
      </c>
      <c r="BB13" s="248" t="s">
        <v>422</v>
      </c>
      <c r="BC13" s="229" t="s">
        <v>433</v>
      </c>
      <c r="BD13" s="249">
        <v>0</v>
      </c>
      <c r="BE13" s="267">
        <f t="shared" si="28"/>
        <v>0</v>
      </c>
      <c r="BF13" s="268">
        <f t="shared" si="24"/>
        <v>0</v>
      </c>
      <c r="BG13" s="268">
        <f t="shared" si="24"/>
        <v>0</v>
      </c>
      <c r="BH13" s="268">
        <f t="shared" si="24"/>
        <v>1</v>
      </c>
      <c r="BI13" s="268">
        <f t="shared" si="24"/>
        <v>2</v>
      </c>
      <c r="BJ13" s="268">
        <f t="shared" si="24"/>
        <v>3</v>
      </c>
      <c r="BK13" s="268">
        <f t="shared" si="24"/>
        <v>4</v>
      </c>
      <c r="BL13" s="269">
        <f t="shared" si="24"/>
        <v>5</v>
      </c>
      <c r="BM13" s="256">
        <f>IF($BC13=Lookup!$A$2,$BD13*ROUNDUP(BE13/10,0)+1,
IF($BC13=Lookup!$A$3,($BD13+1)^BD13,
IF($BC13=Lookup!$A$4,BE13*$BD13+1,"Error")))</f>
        <v>1</v>
      </c>
      <c r="BN13" s="229">
        <f>IF($BC13=Lookup!$A$2,$BD13*ROUNDUP(BF13/10,0)+1,
IF($BC13=Lookup!$A$3,($BD13+1)^BE13,
IF($BC13=Lookup!$A$4,BF13*$BD13+1,"Error")))</f>
        <v>1</v>
      </c>
      <c r="BO13" s="229">
        <f>IF($BC13=Lookup!$A$2,$BD13*ROUNDUP(BG13/10,0)+1,
IF($BC13=Lookup!$A$3,($BD13+1)^BF13,
IF($BC13=Lookup!$A$4,BG13*$BD13+1,"Error")))</f>
        <v>1</v>
      </c>
      <c r="BP13" s="229">
        <f>IF($BC13=Lookup!$A$2,$BD13*ROUNDUP(BH13/10,0)+1,
IF($BC13=Lookup!$A$3,($BD13+1)^BG13,
IF($BC13=Lookup!$A$4,BH13*$BD13+1,"Error")))</f>
        <v>1</v>
      </c>
      <c r="BQ13" s="229">
        <f>IF($BC13=Lookup!$A$2,$BD13*ROUNDUP(BI13/10,0)+1,
IF($BC13=Lookup!$A$3,($BD13+1)^BH13,
IF($BC13=Lookup!$A$4,BI13*$BD13+1,"Error")))</f>
        <v>1</v>
      </c>
      <c r="BR13" s="229">
        <f>IF($BC13=Lookup!$A$2,$BD13*ROUNDUP(BJ13/10,0)+1,
IF($BC13=Lookup!$A$3,($BD13+1)^BI13,
IF($BC13=Lookup!$A$4,BJ13*$BD13+1,"Error")))</f>
        <v>1</v>
      </c>
      <c r="BS13" s="229">
        <f>IF($BC13=Lookup!$A$2,$BD13*ROUNDUP(BK13/10,0)+1,
IF($BC13=Lookup!$A$3,($BD13+1)^BJ13,
IF($BC13=Lookup!$A$4,BK13*$BD13+1,"Error")))</f>
        <v>1</v>
      </c>
      <c r="BT13" s="249">
        <f>IF($BC13=Lookup!$A$2,$BD13*ROUNDUP(BL13/10,0)+1,
IF($BC13=Lookup!$A$3,($BD13+1)^BK13,
IF($BC13=Lookup!$A$4,BL13*$BD13+1,"Error")))</f>
        <v>1</v>
      </c>
      <c r="BU13" s="320">
        <v>0</v>
      </c>
      <c r="BV13" s="321">
        <v>0</v>
      </c>
      <c r="BW13" s="321">
        <v>0</v>
      </c>
      <c r="BX13" s="321">
        <v>0</v>
      </c>
      <c r="BY13" s="321">
        <v>0</v>
      </c>
      <c r="BZ13" s="321">
        <v>0</v>
      </c>
      <c r="CA13" s="321">
        <v>0</v>
      </c>
      <c r="CB13" s="277">
        <v>0</v>
      </c>
      <c r="CC13" s="382" t="s">
        <v>293</v>
      </c>
      <c r="CD13" s="383">
        <f>HLOOKUP($CC13,$AK$6:$AM$132,ROWS(CD$6:CD13),0)</f>
        <v>0</v>
      </c>
      <c r="CE13" s="234">
        <f t="shared" si="29"/>
        <v>0</v>
      </c>
      <c r="CF13" s="96">
        <f t="shared" si="25"/>
        <v>0</v>
      </c>
      <c r="CG13" s="521">
        <f t="shared" si="25"/>
        <v>0</v>
      </c>
      <c r="CH13" s="421">
        <f t="shared" si="25"/>
        <v>0</v>
      </c>
      <c r="CI13" s="96">
        <f t="shared" si="25"/>
        <v>0</v>
      </c>
      <c r="CJ13" s="96">
        <f t="shared" si="25"/>
        <v>0</v>
      </c>
      <c r="CK13" s="96">
        <f t="shared" si="25"/>
        <v>0</v>
      </c>
      <c r="CL13" s="286">
        <f t="shared" si="25"/>
        <v>0</v>
      </c>
      <c r="CM13" s="305" t="s">
        <v>293</v>
      </c>
      <c r="CN13" s="315">
        <v>0.05</v>
      </c>
      <c r="CO13" s="306"/>
      <c r="CP13" s="307" t="str">
        <f>IF($CO13&lt;&gt;"",$CO13,HLOOKUP($CM13,$AY$6:$BA$132,ROWS(CP$6:CP13),0))</f>
        <v/>
      </c>
      <c r="CQ13" s="784" t="str">
        <f t="shared" si="26"/>
        <v/>
      </c>
      <c r="CR13" s="784" t="str">
        <f t="shared" si="26"/>
        <v/>
      </c>
      <c r="CS13" s="524" t="str">
        <f t="shared" si="26"/>
        <v/>
      </c>
      <c r="CT13" s="416" t="str">
        <f t="shared" si="26"/>
        <v/>
      </c>
      <c r="CU13" s="97" t="str">
        <f t="shared" si="26"/>
        <v/>
      </c>
      <c r="CV13" s="97" t="str">
        <f t="shared" si="26"/>
        <v/>
      </c>
      <c r="CW13" s="97" t="str">
        <f t="shared" si="26"/>
        <v/>
      </c>
      <c r="CX13" s="98" t="str">
        <f t="shared" si="26"/>
        <v/>
      </c>
      <c r="CY13" s="392"/>
    </row>
    <row r="14" spans="1:104" x14ac:dyDescent="0.25">
      <c r="A14" s="81" t="s">
        <v>27</v>
      </c>
      <c r="B14" s="82" t="s">
        <v>39</v>
      </c>
      <c r="C14" s="83" t="s">
        <v>299</v>
      </c>
      <c r="D14" s="84">
        <v>0</v>
      </c>
      <c r="E14" s="85">
        <v>20187</v>
      </c>
      <c r="F14" s="85">
        <v>84719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654">
        <f>'2022-23 Input'!I14</f>
        <v>0</v>
      </c>
      <c r="N14" s="1065">
        <v>0</v>
      </c>
      <c r="O14" s="560">
        <f t="shared" si="27"/>
        <v>0</v>
      </c>
      <c r="P14" s="561">
        <f t="shared" si="0"/>
        <v>26756.474039122546</v>
      </c>
      <c r="Q14" s="561">
        <f t="shared" si="1"/>
        <v>111151.81494232676</v>
      </c>
      <c r="R14" s="561">
        <f t="shared" si="2"/>
        <v>0</v>
      </c>
      <c r="S14" s="561">
        <f t="shared" si="3"/>
        <v>0</v>
      </c>
      <c r="T14" s="561">
        <f t="shared" si="4"/>
        <v>0</v>
      </c>
      <c r="U14" s="561">
        <f t="shared" si="5"/>
        <v>0</v>
      </c>
      <c r="V14" s="561">
        <f t="shared" si="6"/>
        <v>0</v>
      </c>
      <c r="W14" s="675">
        <f t="shared" si="7"/>
        <v>0</v>
      </c>
      <c r="X14" s="675">
        <f t="shared" si="8"/>
        <v>0</v>
      </c>
      <c r="Y14" s="675">
        <f t="shared" si="8"/>
        <v>0</v>
      </c>
      <c r="Z14" s="86">
        <v>0</v>
      </c>
      <c r="AA14" s="87">
        <v>1</v>
      </c>
      <c r="AB14" s="87">
        <v>1</v>
      </c>
      <c r="AC14" s="87">
        <v>0</v>
      </c>
      <c r="AD14" s="87">
        <v>0</v>
      </c>
      <c r="AE14" s="87">
        <v>0</v>
      </c>
      <c r="AF14" s="87">
        <v>0</v>
      </c>
      <c r="AG14" s="87">
        <v>0</v>
      </c>
      <c r="AH14" s="87">
        <v>0</v>
      </c>
      <c r="AI14" s="1094">
        <f>'2022-23 Input'!P14</f>
        <v>0</v>
      </c>
      <c r="AJ14" s="665">
        <v>0</v>
      </c>
      <c r="AK14" s="88">
        <f t="shared" si="9"/>
        <v>0</v>
      </c>
      <c r="AL14" s="89">
        <f t="shared" si="10"/>
        <v>0</v>
      </c>
      <c r="AM14" s="90">
        <f t="shared" si="11"/>
        <v>0</v>
      </c>
      <c r="AN14" s="91" t="str">
        <f t="shared" si="12"/>
        <v/>
      </c>
      <c r="AO14" s="92">
        <f t="shared" si="13"/>
        <v>20187</v>
      </c>
      <c r="AP14" s="92">
        <f t="shared" si="14"/>
        <v>84719</v>
      </c>
      <c r="AQ14" s="92" t="str">
        <f t="shared" si="15"/>
        <v/>
      </c>
      <c r="AR14" s="92" t="str">
        <f t="shared" si="16"/>
        <v/>
      </c>
      <c r="AS14" s="92" t="str">
        <f t="shared" si="17"/>
        <v/>
      </c>
      <c r="AT14" s="92" t="str">
        <f t="shared" si="18"/>
        <v/>
      </c>
      <c r="AU14" s="92" t="str">
        <f t="shared" si="19"/>
        <v/>
      </c>
      <c r="AV14" s="92" t="str">
        <f t="shared" si="20"/>
        <v/>
      </c>
      <c r="AW14" s="92" t="str">
        <f t="shared" si="20"/>
        <v/>
      </c>
      <c r="AX14" s="92" t="str">
        <f t="shared" si="20"/>
        <v/>
      </c>
      <c r="AY14" s="93" t="str">
        <f t="shared" si="21"/>
        <v/>
      </c>
      <c r="AZ14" s="94" t="str">
        <f t="shared" si="22"/>
        <v/>
      </c>
      <c r="BA14" s="95" t="str">
        <f t="shared" si="23"/>
        <v/>
      </c>
      <c r="BB14" s="248" t="s">
        <v>422</v>
      </c>
      <c r="BC14" s="229" t="s">
        <v>433</v>
      </c>
      <c r="BD14" s="249">
        <v>0</v>
      </c>
      <c r="BE14" s="267">
        <f t="shared" si="28"/>
        <v>0</v>
      </c>
      <c r="BF14" s="268">
        <f t="shared" si="24"/>
        <v>0</v>
      </c>
      <c r="BG14" s="268">
        <f t="shared" si="24"/>
        <v>0</v>
      </c>
      <c r="BH14" s="268">
        <f t="shared" si="24"/>
        <v>1</v>
      </c>
      <c r="BI14" s="268">
        <f t="shared" si="24"/>
        <v>2</v>
      </c>
      <c r="BJ14" s="268">
        <f t="shared" si="24"/>
        <v>3</v>
      </c>
      <c r="BK14" s="268">
        <f t="shared" si="24"/>
        <v>4</v>
      </c>
      <c r="BL14" s="269">
        <f t="shared" si="24"/>
        <v>5</v>
      </c>
      <c r="BM14" s="256">
        <f>IF($BC14=Lookup!$A$2,$BD14*ROUNDUP(BE14/10,0)+1,
IF($BC14=Lookup!$A$3,($BD14+1)^BD14,
IF($BC14=Lookup!$A$4,BE14*$BD14+1,"Error")))</f>
        <v>1</v>
      </c>
      <c r="BN14" s="229">
        <f>IF($BC14=Lookup!$A$2,$BD14*ROUNDUP(BF14/10,0)+1,
IF($BC14=Lookup!$A$3,($BD14+1)^BE14,
IF($BC14=Lookup!$A$4,BF14*$BD14+1,"Error")))</f>
        <v>1</v>
      </c>
      <c r="BO14" s="229">
        <f>IF($BC14=Lookup!$A$2,$BD14*ROUNDUP(BG14/10,0)+1,
IF($BC14=Lookup!$A$3,($BD14+1)^BF14,
IF($BC14=Lookup!$A$4,BG14*$BD14+1,"Error")))</f>
        <v>1</v>
      </c>
      <c r="BP14" s="229">
        <f>IF($BC14=Lookup!$A$2,$BD14*ROUNDUP(BH14/10,0)+1,
IF($BC14=Lookup!$A$3,($BD14+1)^BG14,
IF($BC14=Lookup!$A$4,BH14*$BD14+1,"Error")))</f>
        <v>1</v>
      </c>
      <c r="BQ14" s="229">
        <f>IF($BC14=Lookup!$A$2,$BD14*ROUNDUP(BI14/10,0)+1,
IF($BC14=Lookup!$A$3,($BD14+1)^BH14,
IF($BC14=Lookup!$A$4,BI14*$BD14+1,"Error")))</f>
        <v>1</v>
      </c>
      <c r="BR14" s="229">
        <f>IF($BC14=Lookup!$A$2,$BD14*ROUNDUP(BJ14/10,0)+1,
IF($BC14=Lookup!$A$3,($BD14+1)^BI14,
IF($BC14=Lookup!$A$4,BJ14*$BD14+1,"Error")))</f>
        <v>1</v>
      </c>
      <c r="BS14" s="229">
        <f>IF($BC14=Lookup!$A$2,$BD14*ROUNDUP(BK14/10,0)+1,
IF($BC14=Lookup!$A$3,($BD14+1)^BJ14,
IF($BC14=Lookup!$A$4,BK14*$BD14+1,"Error")))</f>
        <v>1</v>
      </c>
      <c r="BT14" s="249">
        <f>IF($BC14=Lookup!$A$2,$BD14*ROUNDUP(BL14/10,0)+1,
IF($BC14=Lookup!$A$3,($BD14+1)^BK14,
IF($BC14=Lookup!$A$4,BL14*$BD14+1,"Error")))</f>
        <v>1</v>
      </c>
      <c r="BU14" s="320">
        <v>0</v>
      </c>
      <c r="BV14" s="321">
        <v>0</v>
      </c>
      <c r="BW14" s="321">
        <v>0</v>
      </c>
      <c r="BX14" s="321">
        <v>0</v>
      </c>
      <c r="BY14" s="321">
        <v>0</v>
      </c>
      <c r="BZ14" s="321">
        <v>0</v>
      </c>
      <c r="CA14" s="321">
        <v>0</v>
      </c>
      <c r="CB14" s="277">
        <v>0</v>
      </c>
      <c r="CC14" s="382" t="s">
        <v>293</v>
      </c>
      <c r="CD14" s="383">
        <f>HLOOKUP($CC14,$AK$6:$AM$132,ROWS(CD$6:CD14),0)</f>
        <v>0</v>
      </c>
      <c r="CE14" s="234">
        <f t="shared" si="29"/>
        <v>0</v>
      </c>
      <c r="CF14" s="96">
        <f t="shared" si="25"/>
        <v>0</v>
      </c>
      <c r="CG14" s="521">
        <f t="shared" si="25"/>
        <v>0</v>
      </c>
      <c r="CH14" s="421">
        <f t="shared" si="25"/>
        <v>0</v>
      </c>
      <c r="CI14" s="96">
        <f t="shared" si="25"/>
        <v>0</v>
      </c>
      <c r="CJ14" s="96">
        <f t="shared" si="25"/>
        <v>0</v>
      </c>
      <c r="CK14" s="96">
        <f t="shared" si="25"/>
        <v>0</v>
      </c>
      <c r="CL14" s="286">
        <f t="shared" si="25"/>
        <v>0</v>
      </c>
      <c r="CM14" s="305" t="s">
        <v>293</v>
      </c>
      <c r="CN14" s="315">
        <v>0.05</v>
      </c>
      <c r="CO14" s="306"/>
      <c r="CP14" s="307" t="str">
        <f>IF($CO14&lt;&gt;"",$CO14,HLOOKUP($CM14,$AY$6:$BA$132,ROWS(CP$6:CP14),0))</f>
        <v/>
      </c>
      <c r="CQ14" s="784" t="str">
        <f t="shared" si="26"/>
        <v/>
      </c>
      <c r="CR14" s="784" t="str">
        <f t="shared" si="26"/>
        <v/>
      </c>
      <c r="CS14" s="524" t="str">
        <f t="shared" si="26"/>
        <v/>
      </c>
      <c r="CT14" s="416" t="str">
        <f t="shared" si="26"/>
        <v/>
      </c>
      <c r="CU14" s="97" t="str">
        <f t="shared" si="26"/>
        <v/>
      </c>
      <c r="CV14" s="97" t="str">
        <f t="shared" si="26"/>
        <v/>
      </c>
      <c r="CW14" s="97" t="str">
        <f t="shared" si="26"/>
        <v/>
      </c>
      <c r="CX14" s="98" t="str">
        <f t="shared" si="26"/>
        <v/>
      </c>
      <c r="CY14" s="392"/>
    </row>
    <row r="15" spans="1:104" x14ac:dyDescent="0.25">
      <c r="A15" s="81" t="s">
        <v>27</v>
      </c>
      <c r="B15" s="82" t="s">
        <v>41</v>
      </c>
      <c r="C15" s="83" t="s">
        <v>42</v>
      </c>
      <c r="D15" s="84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  <c r="M15" s="654">
        <f>'2022-23 Input'!I15</f>
        <v>0</v>
      </c>
      <c r="N15" s="1065">
        <v>0</v>
      </c>
      <c r="O15" s="560">
        <f t="shared" si="27"/>
        <v>0</v>
      </c>
      <c r="P15" s="561">
        <f t="shared" si="0"/>
        <v>0</v>
      </c>
      <c r="Q15" s="561">
        <f t="shared" si="1"/>
        <v>0</v>
      </c>
      <c r="R15" s="561">
        <f t="shared" si="2"/>
        <v>0</v>
      </c>
      <c r="S15" s="561">
        <f t="shared" si="3"/>
        <v>0</v>
      </c>
      <c r="T15" s="561">
        <f t="shared" si="4"/>
        <v>0</v>
      </c>
      <c r="U15" s="561">
        <f t="shared" si="5"/>
        <v>0</v>
      </c>
      <c r="V15" s="561">
        <f t="shared" si="6"/>
        <v>0</v>
      </c>
      <c r="W15" s="675">
        <f t="shared" si="7"/>
        <v>0</v>
      </c>
      <c r="X15" s="675">
        <f t="shared" si="8"/>
        <v>0</v>
      </c>
      <c r="Y15" s="675">
        <f t="shared" si="8"/>
        <v>0</v>
      </c>
      <c r="Z15" s="86">
        <v>0</v>
      </c>
      <c r="AA15" s="87">
        <v>0</v>
      </c>
      <c r="AB15" s="87">
        <v>0</v>
      </c>
      <c r="AC15" s="87">
        <v>0</v>
      </c>
      <c r="AD15" s="87">
        <v>0</v>
      </c>
      <c r="AE15" s="87">
        <v>0</v>
      </c>
      <c r="AF15" s="87">
        <v>0</v>
      </c>
      <c r="AG15" s="87">
        <v>0</v>
      </c>
      <c r="AH15" s="87">
        <v>0</v>
      </c>
      <c r="AI15" s="1094">
        <f>'2022-23 Input'!P15</f>
        <v>0</v>
      </c>
      <c r="AJ15" s="665">
        <v>0</v>
      </c>
      <c r="AK15" s="88">
        <f t="shared" si="9"/>
        <v>0</v>
      </c>
      <c r="AL15" s="89">
        <f t="shared" si="10"/>
        <v>0</v>
      </c>
      <c r="AM15" s="90">
        <f t="shared" si="11"/>
        <v>0</v>
      </c>
      <c r="AN15" s="91" t="str">
        <f t="shared" si="12"/>
        <v/>
      </c>
      <c r="AO15" s="92" t="str">
        <f t="shared" si="13"/>
        <v/>
      </c>
      <c r="AP15" s="92" t="str">
        <f t="shared" si="14"/>
        <v/>
      </c>
      <c r="AQ15" s="92" t="str">
        <f t="shared" si="15"/>
        <v/>
      </c>
      <c r="AR15" s="92" t="str">
        <f t="shared" si="16"/>
        <v/>
      </c>
      <c r="AS15" s="92" t="str">
        <f t="shared" si="17"/>
        <v/>
      </c>
      <c r="AT15" s="92" t="str">
        <f t="shared" si="18"/>
        <v/>
      </c>
      <c r="AU15" s="92" t="str">
        <f t="shared" si="19"/>
        <v/>
      </c>
      <c r="AV15" s="92" t="str">
        <f t="shared" si="20"/>
        <v/>
      </c>
      <c r="AW15" s="92" t="str">
        <f t="shared" si="20"/>
        <v/>
      </c>
      <c r="AX15" s="92" t="str">
        <f t="shared" si="20"/>
        <v/>
      </c>
      <c r="AY15" s="93" t="str">
        <f t="shared" si="21"/>
        <v/>
      </c>
      <c r="AZ15" s="94" t="str">
        <f t="shared" si="22"/>
        <v/>
      </c>
      <c r="BA15" s="95" t="str">
        <f t="shared" si="23"/>
        <v/>
      </c>
      <c r="BB15" s="248" t="s">
        <v>422</v>
      </c>
      <c r="BC15" s="229" t="s">
        <v>433</v>
      </c>
      <c r="BD15" s="249">
        <v>0</v>
      </c>
      <c r="BE15" s="267">
        <f t="shared" si="28"/>
        <v>0</v>
      </c>
      <c r="BF15" s="268">
        <f t="shared" si="24"/>
        <v>0</v>
      </c>
      <c r="BG15" s="268">
        <f t="shared" si="24"/>
        <v>0</v>
      </c>
      <c r="BH15" s="268">
        <f t="shared" si="24"/>
        <v>1</v>
      </c>
      <c r="BI15" s="268">
        <f t="shared" si="24"/>
        <v>2</v>
      </c>
      <c r="BJ15" s="268">
        <f t="shared" si="24"/>
        <v>3</v>
      </c>
      <c r="BK15" s="268">
        <f t="shared" si="24"/>
        <v>4</v>
      </c>
      <c r="BL15" s="269">
        <f t="shared" si="24"/>
        <v>5</v>
      </c>
      <c r="BM15" s="256">
        <f>IF($BC15=Lookup!$A$2,$BD15*ROUNDUP(BE15/10,0)+1,
IF($BC15=Lookup!$A$3,($BD15+1)^BD15,
IF($BC15=Lookup!$A$4,BE15*$BD15+1,"Error")))</f>
        <v>1</v>
      </c>
      <c r="BN15" s="229">
        <f>IF($BC15=Lookup!$A$2,$BD15*ROUNDUP(BF15/10,0)+1,
IF($BC15=Lookup!$A$3,($BD15+1)^BE15,
IF($BC15=Lookup!$A$4,BF15*$BD15+1,"Error")))</f>
        <v>1</v>
      </c>
      <c r="BO15" s="229">
        <f>IF($BC15=Lookup!$A$2,$BD15*ROUNDUP(BG15/10,0)+1,
IF($BC15=Lookup!$A$3,($BD15+1)^BF15,
IF($BC15=Lookup!$A$4,BG15*$BD15+1,"Error")))</f>
        <v>1</v>
      </c>
      <c r="BP15" s="229">
        <f>IF($BC15=Lookup!$A$2,$BD15*ROUNDUP(BH15/10,0)+1,
IF($BC15=Lookup!$A$3,($BD15+1)^BG15,
IF($BC15=Lookup!$A$4,BH15*$BD15+1,"Error")))</f>
        <v>1</v>
      </c>
      <c r="BQ15" s="229">
        <f>IF($BC15=Lookup!$A$2,$BD15*ROUNDUP(BI15/10,0)+1,
IF($BC15=Lookup!$A$3,($BD15+1)^BH15,
IF($BC15=Lookup!$A$4,BI15*$BD15+1,"Error")))</f>
        <v>1</v>
      </c>
      <c r="BR15" s="229">
        <f>IF($BC15=Lookup!$A$2,$BD15*ROUNDUP(BJ15/10,0)+1,
IF($BC15=Lookup!$A$3,($BD15+1)^BI15,
IF($BC15=Lookup!$A$4,BJ15*$BD15+1,"Error")))</f>
        <v>1</v>
      </c>
      <c r="BS15" s="229">
        <f>IF($BC15=Lookup!$A$2,$BD15*ROUNDUP(BK15/10,0)+1,
IF($BC15=Lookup!$A$3,($BD15+1)^BJ15,
IF($BC15=Lookup!$A$4,BK15*$BD15+1,"Error")))</f>
        <v>1</v>
      </c>
      <c r="BT15" s="249">
        <f>IF($BC15=Lookup!$A$2,$BD15*ROUNDUP(BL15/10,0)+1,
IF($BC15=Lookup!$A$3,($BD15+1)^BK15,
IF($BC15=Lookup!$A$4,BL15*$BD15+1,"Error")))</f>
        <v>1</v>
      </c>
      <c r="BU15" s="320">
        <v>0</v>
      </c>
      <c r="BV15" s="321">
        <v>0</v>
      </c>
      <c r="BW15" s="321">
        <v>0</v>
      </c>
      <c r="BX15" s="321">
        <v>0</v>
      </c>
      <c r="BY15" s="321">
        <v>0</v>
      </c>
      <c r="BZ15" s="321">
        <v>0</v>
      </c>
      <c r="CA15" s="321">
        <v>0</v>
      </c>
      <c r="CB15" s="277">
        <v>0</v>
      </c>
      <c r="CC15" s="382" t="s">
        <v>293</v>
      </c>
      <c r="CD15" s="383">
        <f>HLOOKUP($CC15,$AK$6:$AM$132,ROWS(CD$6:CD15),0)</f>
        <v>0</v>
      </c>
      <c r="CE15" s="234">
        <f t="shared" si="29"/>
        <v>0</v>
      </c>
      <c r="CF15" s="96">
        <f t="shared" si="25"/>
        <v>0</v>
      </c>
      <c r="CG15" s="521">
        <f t="shared" si="25"/>
        <v>0</v>
      </c>
      <c r="CH15" s="421">
        <f t="shared" si="25"/>
        <v>0</v>
      </c>
      <c r="CI15" s="96">
        <f t="shared" si="25"/>
        <v>0</v>
      </c>
      <c r="CJ15" s="96">
        <f t="shared" si="25"/>
        <v>0</v>
      </c>
      <c r="CK15" s="96">
        <f t="shared" si="25"/>
        <v>0</v>
      </c>
      <c r="CL15" s="286">
        <f t="shared" si="25"/>
        <v>0</v>
      </c>
      <c r="CM15" s="305" t="s">
        <v>293</v>
      </c>
      <c r="CN15" s="315">
        <v>0.05</v>
      </c>
      <c r="CO15" s="306"/>
      <c r="CP15" s="307" t="str">
        <f>IF($CO15&lt;&gt;"",$CO15,HLOOKUP($CM15,$AY$6:$BA$132,ROWS(CP$6:CP15),0))</f>
        <v/>
      </c>
      <c r="CQ15" s="784" t="str">
        <f t="shared" si="26"/>
        <v/>
      </c>
      <c r="CR15" s="784" t="str">
        <f t="shared" si="26"/>
        <v/>
      </c>
      <c r="CS15" s="524" t="str">
        <f t="shared" si="26"/>
        <v/>
      </c>
      <c r="CT15" s="416" t="str">
        <f t="shared" si="26"/>
        <v/>
      </c>
      <c r="CU15" s="97" t="str">
        <f t="shared" si="26"/>
        <v/>
      </c>
      <c r="CV15" s="97" t="str">
        <f t="shared" si="26"/>
        <v/>
      </c>
      <c r="CW15" s="97" t="str">
        <f t="shared" si="26"/>
        <v/>
      </c>
      <c r="CX15" s="98" t="str">
        <f t="shared" si="26"/>
        <v/>
      </c>
      <c r="CY15" s="392"/>
    </row>
    <row r="16" spans="1:104" x14ac:dyDescent="0.25">
      <c r="A16" s="81" t="s">
        <v>27</v>
      </c>
      <c r="B16" s="82" t="s">
        <v>43</v>
      </c>
      <c r="C16" s="83" t="s">
        <v>300</v>
      </c>
      <c r="D16" s="84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  <c r="M16" s="654">
        <f>'2022-23 Input'!I16</f>
        <v>0</v>
      </c>
      <c r="N16" s="1065">
        <v>0</v>
      </c>
      <c r="O16" s="560">
        <f t="shared" si="27"/>
        <v>0</v>
      </c>
      <c r="P16" s="561">
        <f t="shared" si="0"/>
        <v>0</v>
      </c>
      <c r="Q16" s="561">
        <f t="shared" si="1"/>
        <v>0</v>
      </c>
      <c r="R16" s="561">
        <f t="shared" si="2"/>
        <v>0</v>
      </c>
      <c r="S16" s="561">
        <f t="shared" si="3"/>
        <v>0</v>
      </c>
      <c r="T16" s="561">
        <f t="shared" si="4"/>
        <v>0</v>
      </c>
      <c r="U16" s="561">
        <f t="shared" si="5"/>
        <v>0</v>
      </c>
      <c r="V16" s="561">
        <f t="shared" si="6"/>
        <v>0</v>
      </c>
      <c r="W16" s="675">
        <f t="shared" si="7"/>
        <v>0</v>
      </c>
      <c r="X16" s="675">
        <f t="shared" si="8"/>
        <v>0</v>
      </c>
      <c r="Y16" s="675">
        <f t="shared" si="8"/>
        <v>0</v>
      </c>
      <c r="Z16" s="86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87">
        <v>0</v>
      </c>
      <c r="AI16" s="1094">
        <f>'2022-23 Input'!P16</f>
        <v>0</v>
      </c>
      <c r="AJ16" s="665">
        <v>0</v>
      </c>
      <c r="AK16" s="88">
        <f t="shared" si="9"/>
        <v>0</v>
      </c>
      <c r="AL16" s="89">
        <f t="shared" si="10"/>
        <v>0</v>
      </c>
      <c r="AM16" s="90">
        <f t="shared" si="11"/>
        <v>0</v>
      </c>
      <c r="AN16" s="91" t="str">
        <f t="shared" si="12"/>
        <v/>
      </c>
      <c r="AO16" s="92" t="str">
        <f t="shared" si="13"/>
        <v/>
      </c>
      <c r="AP16" s="92" t="str">
        <f t="shared" si="14"/>
        <v/>
      </c>
      <c r="AQ16" s="92" t="str">
        <f t="shared" si="15"/>
        <v/>
      </c>
      <c r="AR16" s="92" t="str">
        <f t="shared" si="16"/>
        <v/>
      </c>
      <c r="AS16" s="92" t="str">
        <f t="shared" si="17"/>
        <v/>
      </c>
      <c r="AT16" s="92" t="str">
        <f t="shared" si="18"/>
        <v/>
      </c>
      <c r="AU16" s="92" t="str">
        <f t="shared" si="19"/>
        <v/>
      </c>
      <c r="AV16" s="92" t="str">
        <f t="shared" si="20"/>
        <v/>
      </c>
      <c r="AW16" s="92" t="str">
        <f t="shared" si="20"/>
        <v/>
      </c>
      <c r="AX16" s="92" t="str">
        <f t="shared" si="20"/>
        <v/>
      </c>
      <c r="AY16" s="93" t="str">
        <f t="shared" si="21"/>
        <v/>
      </c>
      <c r="AZ16" s="94" t="str">
        <f t="shared" si="22"/>
        <v/>
      </c>
      <c r="BA16" s="95" t="str">
        <f t="shared" si="23"/>
        <v/>
      </c>
      <c r="BB16" s="248" t="s">
        <v>422</v>
      </c>
      <c r="BC16" s="229" t="s">
        <v>433</v>
      </c>
      <c r="BD16" s="249">
        <v>0</v>
      </c>
      <c r="BE16" s="267">
        <f t="shared" si="28"/>
        <v>0</v>
      </c>
      <c r="BF16" s="268">
        <f t="shared" si="24"/>
        <v>0</v>
      </c>
      <c r="BG16" s="268">
        <f t="shared" si="24"/>
        <v>0</v>
      </c>
      <c r="BH16" s="268">
        <f t="shared" si="24"/>
        <v>1</v>
      </c>
      <c r="BI16" s="268">
        <f t="shared" si="24"/>
        <v>2</v>
      </c>
      <c r="BJ16" s="268">
        <f t="shared" si="24"/>
        <v>3</v>
      </c>
      <c r="BK16" s="268">
        <f t="shared" si="24"/>
        <v>4</v>
      </c>
      <c r="BL16" s="269">
        <f t="shared" si="24"/>
        <v>5</v>
      </c>
      <c r="BM16" s="256">
        <f>IF($BC16=Lookup!$A$2,$BD16*ROUNDUP(BE16/10,0)+1,
IF($BC16=Lookup!$A$3,($BD16+1)^BD16,
IF($BC16=Lookup!$A$4,BE16*$BD16+1,"Error")))</f>
        <v>1</v>
      </c>
      <c r="BN16" s="229">
        <f>IF($BC16=Lookup!$A$2,$BD16*ROUNDUP(BF16/10,0)+1,
IF($BC16=Lookup!$A$3,($BD16+1)^BE16,
IF($BC16=Lookup!$A$4,BF16*$BD16+1,"Error")))</f>
        <v>1</v>
      </c>
      <c r="BO16" s="229">
        <f>IF($BC16=Lookup!$A$2,$BD16*ROUNDUP(BG16/10,0)+1,
IF($BC16=Lookup!$A$3,($BD16+1)^BF16,
IF($BC16=Lookup!$A$4,BG16*$BD16+1,"Error")))</f>
        <v>1</v>
      </c>
      <c r="BP16" s="229">
        <f>IF($BC16=Lookup!$A$2,$BD16*ROUNDUP(BH16/10,0)+1,
IF($BC16=Lookup!$A$3,($BD16+1)^BG16,
IF($BC16=Lookup!$A$4,BH16*$BD16+1,"Error")))</f>
        <v>1</v>
      </c>
      <c r="BQ16" s="229">
        <f>IF($BC16=Lookup!$A$2,$BD16*ROUNDUP(BI16/10,0)+1,
IF($BC16=Lookup!$A$3,($BD16+1)^BH16,
IF($BC16=Lookup!$A$4,BI16*$BD16+1,"Error")))</f>
        <v>1</v>
      </c>
      <c r="BR16" s="229">
        <f>IF($BC16=Lookup!$A$2,$BD16*ROUNDUP(BJ16/10,0)+1,
IF($BC16=Lookup!$A$3,($BD16+1)^BI16,
IF($BC16=Lookup!$A$4,BJ16*$BD16+1,"Error")))</f>
        <v>1</v>
      </c>
      <c r="BS16" s="229">
        <f>IF($BC16=Lookup!$A$2,$BD16*ROUNDUP(BK16/10,0)+1,
IF($BC16=Lookup!$A$3,($BD16+1)^BJ16,
IF($BC16=Lookup!$A$4,BK16*$BD16+1,"Error")))</f>
        <v>1</v>
      </c>
      <c r="BT16" s="249">
        <f>IF($BC16=Lookup!$A$2,$BD16*ROUNDUP(BL16/10,0)+1,
IF($BC16=Lookup!$A$3,($BD16+1)^BK16,
IF($BC16=Lookup!$A$4,BL16*$BD16+1,"Error")))</f>
        <v>1</v>
      </c>
      <c r="BU16" s="320">
        <v>0</v>
      </c>
      <c r="BV16" s="321">
        <v>0</v>
      </c>
      <c r="BW16" s="321">
        <v>0</v>
      </c>
      <c r="BX16" s="321">
        <v>0</v>
      </c>
      <c r="BY16" s="321">
        <v>0</v>
      </c>
      <c r="BZ16" s="321">
        <v>0</v>
      </c>
      <c r="CA16" s="321">
        <v>0</v>
      </c>
      <c r="CB16" s="277">
        <v>0</v>
      </c>
      <c r="CC16" s="382" t="s">
        <v>293</v>
      </c>
      <c r="CD16" s="383">
        <f>HLOOKUP($CC16,$AK$6:$AM$132,ROWS(CD$6:CD16),0)</f>
        <v>0</v>
      </c>
      <c r="CE16" s="234">
        <f t="shared" si="29"/>
        <v>0</v>
      </c>
      <c r="CF16" s="96">
        <f t="shared" si="25"/>
        <v>0</v>
      </c>
      <c r="CG16" s="521">
        <f t="shared" si="25"/>
        <v>0</v>
      </c>
      <c r="CH16" s="421">
        <f t="shared" si="25"/>
        <v>0</v>
      </c>
      <c r="CI16" s="96">
        <f t="shared" si="25"/>
        <v>0</v>
      </c>
      <c r="CJ16" s="96">
        <f t="shared" si="25"/>
        <v>0</v>
      </c>
      <c r="CK16" s="96">
        <f t="shared" si="25"/>
        <v>0</v>
      </c>
      <c r="CL16" s="286">
        <f t="shared" si="25"/>
        <v>0</v>
      </c>
      <c r="CM16" s="305" t="s">
        <v>293</v>
      </c>
      <c r="CN16" s="315">
        <v>0.05</v>
      </c>
      <c r="CO16" s="306"/>
      <c r="CP16" s="307" t="str">
        <f>IF($CO16&lt;&gt;"",$CO16,HLOOKUP($CM16,$AY$6:$BA$132,ROWS(CP$6:CP16),0))</f>
        <v/>
      </c>
      <c r="CQ16" s="784" t="str">
        <f t="shared" si="26"/>
        <v/>
      </c>
      <c r="CR16" s="784" t="str">
        <f t="shared" si="26"/>
        <v/>
      </c>
      <c r="CS16" s="524" t="str">
        <f t="shared" si="26"/>
        <v/>
      </c>
      <c r="CT16" s="416" t="str">
        <f t="shared" si="26"/>
        <v/>
      </c>
      <c r="CU16" s="97" t="str">
        <f t="shared" si="26"/>
        <v/>
      </c>
      <c r="CV16" s="97" t="str">
        <f t="shared" si="26"/>
        <v/>
      </c>
      <c r="CW16" s="97" t="str">
        <f t="shared" si="26"/>
        <v/>
      </c>
      <c r="CX16" s="98" t="str">
        <f t="shared" si="26"/>
        <v/>
      </c>
      <c r="CY16" s="392"/>
    </row>
    <row r="17" spans="1:103" x14ac:dyDescent="0.25">
      <c r="A17" s="81" t="s">
        <v>27</v>
      </c>
      <c r="B17" s="82" t="s">
        <v>45</v>
      </c>
      <c r="C17" s="83" t="s">
        <v>46</v>
      </c>
      <c r="D17" s="84">
        <v>-7219.5018088330107</v>
      </c>
      <c r="E17" s="85">
        <v>1432441.2766944475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  <c r="M17" s="654">
        <f>'2022-23 Input'!I17</f>
        <v>0</v>
      </c>
      <c r="N17" s="1065">
        <v>0</v>
      </c>
      <c r="O17" s="560">
        <f t="shared" si="27"/>
        <v>-9713.5243302176859</v>
      </c>
      <c r="P17" s="561">
        <f t="shared" si="0"/>
        <v>1898601.9632655936</v>
      </c>
      <c r="Q17" s="561">
        <f t="shared" si="1"/>
        <v>0</v>
      </c>
      <c r="R17" s="561">
        <f t="shared" si="2"/>
        <v>0</v>
      </c>
      <c r="S17" s="561">
        <f t="shared" si="3"/>
        <v>0</v>
      </c>
      <c r="T17" s="561">
        <f t="shared" si="4"/>
        <v>0</v>
      </c>
      <c r="U17" s="561">
        <f t="shared" si="5"/>
        <v>0</v>
      </c>
      <c r="V17" s="561">
        <f t="shared" si="6"/>
        <v>0</v>
      </c>
      <c r="W17" s="675">
        <f t="shared" si="7"/>
        <v>0</v>
      </c>
      <c r="X17" s="675">
        <f t="shared" si="8"/>
        <v>0</v>
      </c>
      <c r="Y17" s="675">
        <f t="shared" si="8"/>
        <v>0</v>
      </c>
      <c r="Z17" s="86">
        <v>0</v>
      </c>
      <c r="AA17" s="87">
        <v>34</v>
      </c>
      <c r="AB17" s="87">
        <v>0</v>
      </c>
      <c r="AC17" s="87">
        <v>0</v>
      </c>
      <c r="AD17" s="87">
        <v>0</v>
      </c>
      <c r="AE17" s="87">
        <v>0</v>
      </c>
      <c r="AF17" s="87">
        <v>0</v>
      </c>
      <c r="AG17" s="87">
        <v>0</v>
      </c>
      <c r="AH17" s="87">
        <v>0</v>
      </c>
      <c r="AI17" s="1094">
        <f>'2022-23 Input'!P17</f>
        <v>0</v>
      </c>
      <c r="AJ17" s="665">
        <v>0</v>
      </c>
      <c r="AK17" s="88">
        <f t="shared" si="9"/>
        <v>0</v>
      </c>
      <c r="AL17" s="89">
        <f t="shared" si="10"/>
        <v>0</v>
      </c>
      <c r="AM17" s="90">
        <f t="shared" si="11"/>
        <v>0</v>
      </c>
      <c r="AN17" s="91" t="str">
        <f t="shared" si="12"/>
        <v/>
      </c>
      <c r="AO17" s="92">
        <f t="shared" si="13"/>
        <v>42130.625785130811</v>
      </c>
      <c r="AP17" s="92" t="str">
        <f t="shared" si="14"/>
        <v/>
      </c>
      <c r="AQ17" s="92" t="str">
        <f t="shared" si="15"/>
        <v/>
      </c>
      <c r="AR17" s="92" t="str">
        <f t="shared" si="16"/>
        <v/>
      </c>
      <c r="AS17" s="92" t="str">
        <f t="shared" si="17"/>
        <v/>
      </c>
      <c r="AT17" s="92" t="str">
        <f t="shared" si="18"/>
        <v/>
      </c>
      <c r="AU17" s="92" t="str">
        <f t="shared" si="19"/>
        <v/>
      </c>
      <c r="AV17" s="92" t="str">
        <f t="shared" si="20"/>
        <v/>
      </c>
      <c r="AW17" s="92" t="str">
        <f t="shared" si="20"/>
        <v/>
      </c>
      <c r="AX17" s="92" t="str">
        <f t="shared" si="20"/>
        <v/>
      </c>
      <c r="AY17" s="93" t="str">
        <f t="shared" si="21"/>
        <v/>
      </c>
      <c r="AZ17" s="94" t="str">
        <f t="shared" si="22"/>
        <v/>
      </c>
      <c r="BA17" s="95" t="str">
        <f t="shared" si="23"/>
        <v/>
      </c>
      <c r="BB17" s="248" t="s">
        <v>422</v>
      </c>
      <c r="BC17" s="229" t="s">
        <v>433</v>
      </c>
      <c r="BD17" s="249">
        <v>0</v>
      </c>
      <c r="BE17" s="267">
        <f t="shared" si="28"/>
        <v>0</v>
      </c>
      <c r="BF17" s="268">
        <f t="shared" si="24"/>
        <v>0</v>
      </c>
      <c r="BG17" s="268">
        <f t="shared" si="24"/>
        <v>0</v>
      </c>
      <c r="BH17" s="268">
        <f t="shared" si="24"/>
        <v>1</v>
      </c>
      <c r="BI17" s="268">
        <f t="shared" si="24"/>
        <v>2</v>
      </c>
      <c r="BJ17" s="268">
        <f t="shared" si="24"/>
        <v>3</v>
      </c>
      <c r="BK17" s="268">
        <f t="shared" si="24"/>
        <v>4</v>
      </c>
      <c r="BL17" s="269">
        <f t="shared" si="24"/>
        <v>5</v>
      </c>
      <c r="BM17" s="256">
        <f>IF($BC17=Lookup!$A$2,$BD17*ROUNDUP(BE17/10,0)+1,
IF($BC17=Lookup!$A$3,($BD17+1)^BD17,
IF($BC17=Lookup!$A$4,BE17*$BD17+1,"Error")))</f>
        <v>1</v>
      </c>
      <c r="BN17" s="229">
        <f>IF($BC17=Lookup!$A$2,$BD17*ROUNDUP(BF17/10,0)+1,
IF($BC17=Lookup!$A$3,($BD17+1)^BE17,
IF($BC17=Lookup!$A$4,BF17*$BD17+1,"Error")))</f>
        <v>1</v>
      </c>
      <c r="BO17" s="229">
        <f>IF($BC17=Lookup!$A$2,$BD17*ROUNDUP(BG17/10,0)+1,
IF($BC17=Lookup!$A$3,($BD17+1)^BF17,
IF($BC17=Lookup!$A$4,BG17*$BD17+1,"Error")))</f>
        <v>1</v>
      </c>
      <c r="BP17" s="229">
        <f>IF($BC17=Lookup!$A$2,$BD17*ROUNDUP(BH17/10,0)+1,
IF($BC17=Lookup!$A$3,($BD17+1)^BG17,
IF($BC17=Lookup!$A$4,BH17*$BD17+1,"Error")))</f>
        <v>1</v>
      </c>
      <c r="BQ17" s="229">
        <f>IF($BC17=Lookup!$A$2,$BD17*ROUNDUP(BI17/10,0)+1,
IF($BC17=Lookup!$A$3,($BD17+1)^BH17,
IF($BC17=Lookup!$A$4,BI17*$BD17+1,"Error")))</f>
        <v>1</v>
      </c>
      <c r="BR17" s="229">
        <f>IF($BC17=Lookup!$A$2,$BD17*ROUNDUP(BJ17/10,0)+1,
IF($BC17=Lookup!$A$3,($BD17+1)^BI17,
IF($BC17=Lookup!$A$4,BJ17*$BD17+1,"Error")))</f>
        <v>1</v>
      </c>
      <c r="BS17" s="229">
        <f>IF($BC17=Lookup!$A$2,$BD17*ROUNDUP(BK17/10,0)+1,
IF($BC17=Lookup!$A$3,($BD17+1)^BJ17,
IF($BC17=Lookup!$A$4,BK17*$BD17+1,"Error")))</f>
        <v>1</v>
      </c>
      <c r="BT17" s="249">
        <f>IF($BC17=Lookup!$A$2,$BD17*ROUNDUP(BL17/10,0)+1,
IF($BC17=Lookup!$A$3,($BD17+1)^BK17,
IF($BC17=Lookup!$A$4,BL17*$BD17+1,"Error")))</f>
        <v>1</v>
      </c>
      <c r="BU17" s="320">
        <v>0</v>
      </c>
      <c r="BV17" s="321">
        <v>0</v>
      </c>
      <c r="BW17" s="321">
        <v>0</v>
      </c>
      <c r="BX17" s="321">
        <v>0</v>
      </c>
      <c r="BY17" s="321">
        <v>0</v>
      </c>
      <c r="BZ17" s="321">
        <v>0</v>
      </c>
      <c r="CA17" s="321">
        <v>0</v>
      </c>
      <c r="CB17" s="277">
        <v>0</v>
      </c>
      <c r="CC17" s="382" t="s">
        <v>293</v>
      </c>
      <c r="CD17" s="383">
        <f>HLOOKUP($CC17,$AK$6:$AM$132,ROWS(CD$6:CD17),0)</f>
        <v>0</v>
      </c>
      <c r="CE17" s="234">
        <f t="shared" si="29"/>
        <v>0</v>
      </c>
      <c r="CF17" s="96">
        <f t="shared" si="25"/>
        <v>0</v>
      </c>
      <c r="CG17" s="521">
        <f t="shared" si="25"/>
        <v>0</v>
      </c>
      <c r="CH17" s="421">
        <f t="shared" si="25"/>
        <v>0</v>
      </c>
      <c r="CI17" s="96">
        <f t="shared" si="25"/>
        <v>0</v>
      </c>
      <c r="CJ17" s="96">
        <f t="shared" si="25"/>
        <v>0</v>
      </c>
      <c r="CK17" s="96">
        <f t="shared" si="25"/>
        <v>0</v>
      </c>
      <c r="CL17" s="286">
        <f t="shared" si="25"/>
        <v>0</v>
      </c>
      <c r="CM17" s="305" t="s">
        <v>293</v>
      </c>
      <c r="CN17" s="315">
        <v>0.05</v>
      </c>
      <c r="CO17" s="306"/>
      <c r="CP17" s="307" t="str">
        <f>IF($CO17&lt;&gt;"",$CO17,HLOOKUP($CM17,$AY$6:$BA$132,ROWS(CP$6:CP17),0))</f>
        <v/>
      </c>
      <c r="CQ17" s="784" t="str">
        <f t="shared" si="26"/>
        <v/>
      </c>
      <c r="CR17" s="784" t="str">
        <f t="shared" si="26"/>
        <v/>
      </c>
      <c r="CS17" s="524" t="str">
        <f t="shared" si="26"/>
        <v/>
      </c>
      <c r="CT17" s="416" t="str">
        <f t="shared" si="26"/>
        <v/>
      </c>
      <c r="CU17" s="97" t="str">
        <f t="shared" si="26"/>
        <v/>
      </c>
      <c r="CV17" s="97" t="str">
        <f t="shared" si="26"/>
        <v/>
      </c>
      <c r="CW17" s="97" t="str">
        <f t="shared" si="26"/>
        <v/>
      </c>
      <c r="CX17" s="98" t="str">
        <f t="shared" si="26"/>
        <v/>
      </c>
      <c r="CY17" s="392"/>
    </row>
    <row r="18" spans="1:103" x14ac:dyDescent="0.25">
      <c r="A18" s="81" t="s">
        <v>27</v>
      </c>
      <c r="B18" s="82" t="s">
        <v>47</v>
      </c>
      <c r="C18" s="83" t="s">
        <v>48</v>
      </c>
      <c r="D18" s="84">
        <v>0</v>
      </c>
      <c r="E18" s="85">
        <v>1297678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654">
        <f>'2022-23 Input'!I18</f>
        <v>0</v>
      </c>
      <c r="N18" s="1065">
        <v>0</v>
      </c>
      <c r="O18" s="560">
        <f t="shared" si="27"/>
        <v>0</v>
      </c>
      <c r="P18" s="561">
        <f t="shared" si="0"/>
        <v>1719982.549073189</v>
      </c>
      <c r="Q18" s="561">
        <f t="shared" si="1"/>
        <v>0</v>
      </c>
      <c r="R18" s="561">
        <f t="shared" si="2"/>
        <v>0</v>
      </c>
      <c r="S18" s="561">
        <f t="shared" si="3"/>
        <v>0</v>
      </c>
      <c r="T18" s="561">
        <f t="shared" si="4"/>
        <v>0</v>
      </c>
      <c r="U18" s="561">
        <f t="shared" si="5"/>
        <v>0</v>
      </c>
      <c r="V18" s="561">
        <f t="shared" si="6"/>
        <v>0</v>
      </c>
      <c r="W18" s="675">
        <f t="shared" si="7"/>
        <v>0</v>
      </c>
      <c r="X18" s="675">
        <f t="shared" si="8"/>
        <v>0</v>
      </c>
      <c r="Y18" s="675">
        <f t="shared" si="8"/>
        <v>0</v>
      </c>
      <c r="Z18" s="86">
        <v>0</v>
      </c>
      <c r="AA18" s="87">
        <v>7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87">
        <v>0</v>
      </c>
      <c r="AI18" s="1094">
        <f>'2022-23 Input'!P18</f>
        <v>0</v>
      </c>
      <c r="AJ18" s="665">
        <v>0</v>
      </c>
      <c r="AK18" s="88">
        <f t="shared" si="9"/>
        <v>0</v>
      </c>
      <c r="AL18" s="89">
        <f t="shared" si="10"/>
        <v>0</v>
      </c>
      <c r="AM18" s="90">
        <f t="shared" si="11"/>
        <v>0</v>
      </c>
      <c r="AN18" s="91" t="str">
        <f t="shared" si="12"/>
        <v/>
      </c>
      <c r="AO18" s="92">
        <f t="shared" si="13"/>
        <v>185382.57142857142</v>
      </c>
      <c r="AP18" s="92" t="str">
        <f t="shared" si="14"/>
        <v/>
      </c>
      <c r="AQ18" s="92" t="str">
        <f t="shared" si="15"/>
        <v/>
      </c>
      <c r="AR18" s="92" t="str">
        <f t="shared" si="16"/>
        <v/>
      </c>
      <c r="AS18" s="92" t="str">
        <f t="shared" si="17"/>
        <v/>
      </c>
      <c r="AT18" s="92" t="str">
        <f t="shared" si="18"/>
        <v/>
      </c>
      <c r="AU18" s="92" t="str">
        <f t="shared" si="19"/>
        <v/>
      </c>
      <c r="AV18" s="92" t="str">
        <f t="shared" si="20"/>
        <v/>
      </c>
      <c r="AW18" s="92" t="str">
        <f t="shared" si="20"/>
        <v/>
      </c>
      <c r="AX18" s="92" t="str">
        <f t="shared" si="20"/>
        <v/>
      </c>
      <c r="AY18" s="93" t="str">
        <f t="shared" si="21"/>
        <v/>
      </c>
      <c r="AZ18" s="94" t="str">
        <f t="shared" si="22"/>
        <v/>
      </c>
      <c r="BA18" s="95" t="str">
        <f t="shared" si="23"/>
        <v/>
      </c>
      <c r="BB18" s="248" t="s">
        <v>422</v>
      </c>
      <c r="BC18" s="229" t="s">
        <v>433</v>
      </c>
      <c r="BD18" s="249">
        <v>0</v>
      </c>
      <c r="BE18" s="267">
        <f t="shared" si="28"/>
        <v>0</v>
      </c>
      <c r="BF18" s="268">
        <f t="shared" si="24"/>
        <v>0</v>
      </c>
      <c r="BG18" s="268">
        <f t="shared" si="24"/>
        <v>0</v>
      </c>
      <c r="BH18" s="268">
        <f t="shared" si="24"/>
        <v>1</v>
      </c>
      <c r="BI18" s="268">
        <f t="shared" si="24"/>
        <v>2</v>
      </c>
      <c r="BJ18" s="268">
        <f t="shared" si="24"/>
        <v>3</v>
      </c>
      <c r="BK18" s="268">
        <f t="shared" si="24"/>
        <v>4</v>
      </c>
      <c r="BL18" s="269">
        <f t="shared" si="24"/>
        <v>5</v>
      </c>
      <c r="BM18" s="256">
        <f>IF($BC18=Lookup!$A$2,$BD18*ROUNDUP(BE18/10,0)+1,
IF($BC18=Lookup!$A$3,($BD18+1)^BD18,
IF($BC18=Lookup!$A$4,BE18*$BD18+1,"Error")))</f>
        <v>1</v>
      </c>
      <c r="BN18" s="229">
        <f>IF($BC18=Lookup!$A$2,$BD18*ROUNDUP(BF18/10,0)+1,
IF($BC18=Lookup!$A$3,($BD18+1)^BE18,
IF($BC18=Lookup!$A$4,BF18*$BD18+1,"Error")))</f>
        <v>1</v>
      </c>
      <c r="BO18" s="229">
        <f>IF($BC18=Lookup!$A$2,$BD18*ROUNDUP(BG18/10,0)+1,
IF($BC18=Lookup!$A$3,($BD18+1)^BF18,
IF($BC18=Lookup!$A$4,BG18*$BD18+1,"Error")))</f>
        <v>1</v>
      </c>
      <c r="BP18" s="229">
        <f>IF($BC18=Lookup!$A$2,$BD18*ROUNDUP(BH18/10,0)+1,
IF($BC18=Lookup!$A$3,($BD18+1)^BG18,
IF($BC18=Lookup!$A$4,BH18*$BD18+1,"Error")))</f>
        <v>1</v>
      </c>
      <c r="BQ18" s="229">
        <f>IF($BC18=Lookup!$A$2,$BD18*ROUNDUP(BI18/10,0)+1,
IF($BC18=Lookup!$A$3,($BD18+1)^BH18,
IF($BC18=Lookup!$A$4,BI18*$BD18+1,"Error")))</f>
        <v>1</v>
      </c>
      <c r="BR18" s="229">
        <f>IF($BC18=Lookup!$A$2,$BD18*ROUNDUP(BJ18/10,0)+1,
IF($BC18=Lookup!$A$3,($BD18+1)^BI18,
IF($BC18=Lookup!$A$4,BJ18*$BD18+1,"Error")))</f>
        <v>1</v>
      </c>
      <c r="BS18" s="229">
        <f>IF($BC18=Lookup!$A$2,$BD18*ROUNDUP(BK18/10,0)+1,
IF($BC18=Lookup!$A$3,($BD18+1)^BJ18,
IF($BC18=Lookup!$A$4,BK18*$BD18+1,"Error")))</f>
        <v>1</v>
      </c>
      <c r="BT18" s="249">
        <f>IF($BC18=Lookup!$A$2,$BD18*ROUNDUP(BL18/10,0)+1,
IF($BC18=Lookup!$A$3,($BD18+1)^BK18,
IF($BC18=Lookup!$A$4,BL18*$BD18+1,"Error")))</f>
        <v>1</v>
      </c>
      <c r="BU18" s="320">
        <v>0</v>
      </c>
      <c r="BV18" s="321">
        <v>0</v>
      </c>
      <c r="BW18" s="321">
        <v>0</v>
      </c>
      <c r="BX18" s="321">
        <v>0</v>
      </c>
      <c r="BY18" s="321">
        <v>0</v>
      </c>
      <c r="BZ18" s="321">
        <v>0</v>
      </c>
      <c r="CA18" s="321">
        <v>0</v>
      </c>
      <c r="CB18" s="277">
        <v>0</v>
      </c>
      <c r="CC18" s="382" t="s">
        <v>293</v>
      </c>
      <c r="CD18" s="383">
        <f>HLOOKUP($CC18,$AK$6:$AM$132,ROWS(CD$6:CD18),0)</f>
        <v>0</v>
      </c>
      <c r="CE18" s="234">
        <f t="shared" si="29"/>
        <v>0</v>
      </c>
      <c r="CF18" s="96">
        <f t="shared" si="25"/>
        <v>0</v>
      </c>
      <c r="CG18" s="521">
        <f t="shared" si="25"/>
        <v>0</v>
      </c>
      <c r="CH18" s="421">
        <f t="shared" si="25"/>
        <v>0</v>
      </c>
      <c r="CI18" s="96">
        <f t="shared" si="25"/>
        <v>0</v>
      </c>
      <c r="CJ18" s="96">
        <f t="shared" si="25"/>
        <v>0</v>
      </c>
      <c r="CK18" s="96">
        <f t="shared" si="25"/>
        <v>0</v>
      </c>
      <c r="CL18" s="286">
        <f t="shared" si="25"/>
        <v>0</v>
      </c>
      <c r="CM18" s="305" t="s">
        <v>293</v>
      </c>
      <c r="CN18" s="315">
        <v>0.05</v>
      </c>
      <c r="CO18" s="306"/>
      <c r="CP18" s="307" t="str">
        <f>IF($CO18&lt;&gt;"",$CO18,HLOOKUP($CM18,$AY$6:$BA$132,ROWS(CP$6:CP18),0))</f>
        <v/>
      </c>
      <c r="CQ18" s="784" t="str">
        <f t="shared" si="26"/>
        <v/>
      </c>
      <c r="CR18" s="784" t="str">
        <f t="shared" si="26"/>
        <v/>
      </c>
      <c r="CS18" s="524" t="str">
        <f t="shared" si="26"/>
        <v/>
      </c>
      <c r="CT18" s="416" t="str">
        <f t="shared" si="26"/>
        <v/>
      </c>
      <c r="CU18" s="97" t="str">
        <f t="shared" si="26"/>
        <v/>
      </c>
      <c r="CV18" s="97" t="str">
        <f t="shared" si="26"/>
        <v/>
      </c>
      <c r="CW18" s="97" t="str">
        <f t="shared" si="26"/>
        <v/>
      </c>
      <c r="CX18" s="98" t="str">
        <f t="shared" si="26"/>
        <v/>
      </c>
      <c r="CY18" s="392"/>
    </row>
    <row r="19" spans="1:103" x14ac:dyDescent="0.25">
      <c r="A19" s="81" t="s">
        <v>27</v>
      </c>
      <c r="B19" s="82" t="s">
        <v>49</v>
      </c>
      <c r="C19" s="83" t="s">
        <v>50</v>
      </c>
      <c r="D19" s="84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654">
        <f>'2022-23 Input'!I19</f>
        <v>0</v>
      </c>
      <c r="N19" s="1065">
        <v>0</v>
      </c>
      <c r="O19" s="560">
        <f t="shared" si="27"/>
        <v>0</v>
      </c>
      <c r="P19" s="561">
        <f t="shared" si="0"/>
        <v>0</v>
      </c>
      <c r="Q19" s="561">
        <f t="shared" si="1"/>
        <v>0</v>
      </c>
      <c r="R19" s="561">
        <f t="shared" si="2"/>
        <v>0</v>
      </c>
      <c r="S19" s="561">
        <f t="shared" si="3"/>
        <v>0</v>
      </c>
      <c r="T19" s="561">
        <f t="shared" si="4"/>
        <v>0</v>
      </c>
      <c r="U19" s="561">
        <f t="shared" si="5"/>
        <v>0</v>
      </c>
      <c r="V19" s="561">
        <f t="shared" si="6"/>
        <v>0</v>
      </c>
      <c r="W19" s="675">
        <f t="shared" si="7"/>
        <v>0</v>
      </c>
      <c r="X19" s="675">
        <f t="shared" si="8"/>
        <v>0</v>
      </c>
      <c r="Y19" s="675">
        <f t="shared" si="8"/>
        <v>0</v>
      </c>
      <c r="Z19" s="86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87">
        <v>0</v>
      </c>
      <c r="AI19" s="1094">
        <f>'2022-23 Input'!P19</f>
        <v>0</v>
      </c>
      <c r="AJ19" s="665">
        <v>0</v>
      </c>
      <c r="AK19" s="88">
        <f t="shared" si="9"/>
        <v>0</v>
      </c>
      <c r="AL19" s="89">
        <f t="shared" si="10"/>
        <v>0</v>
      </c>
      <c r="AM19" s="90">
        <f t="shared" si="11"/>
        <v>0</v>
      </c>
      <c r="AN19" s="91" t="str">
        <f t="shared" si="12"/>
        <v/>
      </c>
      <c r="AO19" s="92" t="str">
        <f t="shared" si="13"/>
        <v/>
      </c>
      <c r="AP19" s="92" t="str">
        <f t="shared" si="14"/>
        <v/>
      </c>
      <c r="AQ19" s="92" t="str">
        <f t="shared" si="15"/>
        <v/>
      </c>
      <c r="AR19" s="92" t="str">
        <f t="shared" si="16"/>
        <v/>
      </c>
      <c r="AS19" s="92" t="str">
        <f t="shared" si="17"/>
        <v/>
      </c>
      <c r="AT19" s="92" t="str">
        <f t="shared" si="18"/>
        <v/>
      </c>
      <c r="AU19" s="92" t="str">
        <f t="shared" si="19"/>
        <v/>
      </c>
      <c r="AV19" s="92" t="str">
        <f t="shared" si="20"/>
        <v/>
      </c>
      <c r="AW19" s="92" t="str">
        <f t="shared" si="20"/>
        <v/>
      </c>
      <c r="AX19" s="92" t="str">
        <f t="shared" si="20"/>
        <v/>
      </c>
      <c r="AY19" s="93" t="str">
        <f t="shared" si="21"/>
        <v/>
      </c>
      <c r="AZ19" s="94" t="str">
        <f t="shared" si="22"/>
        <v/>
      </c>
      <c r="BA19" s="95" t="str">
        <f t="shared" si="23"/>
        <v/>
      </c>
      <c r="BB19" s="248" t="s">
        <v>422</v>
      </c>
      <c r="BC19" s="229" t="s">
        <v>433</v>
      </c>
      <c r="BD19" s="249">
        <v>0</v>
      </c>
      <c r="BE19" s="267">
        <f t="shared" si="28"/>
        <v>0</v>
      </c>
      <c r="BF19" s="268">
        <f t="shared" si="24"/>
        <v>0</v>
      </c>
      <c r="BG19" s="268">
        <f t="shared" si="24"/>
        <v>0</v>
      </c>
      <c r="BH19" s="268">
        <f t="shared" si="24"/>
        <v>1</v>
      </c>
      <c r="BI19" s="268">
        <f t="shared" si="24"/>
        <v>2</v>
      </c>
      <c r="BJ19" s="268">
        <f t="shared" si="24"/>
        <v>3</v>
      </c>
      <c r="BK19" s="268">
        <f t="shared" si="24"/>
        <v>4</v>
      </c>
      <c r="BL19" s="269">
        <f t="shared" si="24"/>
        <v>5</v>
      </c>
      <c r="BM19" s="256">
        <f>IF($BC19=Lookup!$A$2,$BD19*ROUNDUP(BE19/10,0)+1,
IF($BC19=Lookup!$A$3,($BD19+1)^BD19,
IF($BC19=Lookup!$A$4,BE19*$BD19+1,"Error")))</f>
        <v>1</v>
      </c>
      <c r="BN19" s="229">
        <f>IF($BC19=Lookup!$A$2,$BD19*ROUNDUP(BF19/10,0)+1,
IF($BC19=Lookup!$A$3,($BD19+1)^BE19,
IF($BC19=Lookup!$A$4,BF19*$BD19+1,"Error")))</f>
        <v>1</v>
      </c>
      <c r="BO19" s="229">
        <f>IF($BC19=Lookup!$A$2,$BD19*ROUNDUP(BG19/10,0)+1,
IF($BC19=Lookup!$A$3,($BD19+1)^BF19,
IF($BC19=Lookup!$A$4,BG19*$BD19+1,"Error")))</f>
        <v>1</v>
      </c>
      <c r="BP19" s="229">
        <f>IF($BC19=Lookup!$A$2,$BD19*ROUNDUP(BH19/10,0)+1,
IF($BC19=Lookup!$A$3,($BD19+1)^BG19,
IF($BC19=Lookup!$A$4,BH19*$BD19+1,"Error")))</f>
        <v>1</v>
      </c>
      <c r="BQ19" s="229">
        <f>IF($BC19=Lookup!$A$2,$BD19*ROUNDUP(BI19/10,0)+1,
IF($BC19=Lookup!$A$3,($BD19+1)^BH19,
IF($BC19=Lookup!$A$4,BI19*$BD19+1,"Error")))</f>
        <v>1</v>
      </c>
      <c r="BR19" s="229">
        <f>IF($BC19=Lookup!$A$2,$BD19*ROUNDUP(BJ19/10,0)+1,
IF($BC19=Lookup!$A$3,($BD19+1)^BI19,
IF($BC19=Lookup!$A$4,BJ19*$BD19+1,"Error")))</f>
        <v>1</v>
      </c>
      <c r="BS19" s="229">
        <f>IF($BC19=Lookup!$A$2,$BD19*ROUNDUP(BK19/10,0)+1,
IF($BC19=Lookup!$A$3,($BD19+1)^BJ19,
IF($BC19=Lookup!$A$4,BK19*$BD19+1,"Error")))</f>
        <v>1</v>
      </c>
      <c r="BT19" s="249">
        <f>IF($BC19=Lookup!$A$2,$BD19*ROUNDUP(BL19/10,0)+1,
IF($BC19=Lookup!$A$3,($BD19+1)^BK19,
IF($BC19=Lookup!$A$4,BL19*$BD19+1,"Error")))</f>
        <v>1</v>
      </c>
      <c r="BU19" s="320">
        <v>0</v>
      </c>
      <c r="BV19" s="321">
        <v>0</v>
      </c>
      <c r="BW19" s="321">
        <v>0</v>
      </c>
      <c r="BX19" s="321">
        <v>0</v>
      </c>
      <c r="BY19" s="321">
        <v>0</v>
      </c>
      <c r="BZ19" s="321">
        <v>0</v>
      </c>
      <c r="CA19" s="321">
        <v>0</v>
      </c>
      <c r="CB19" s="277">
        <v>0</v>
      </c>
      <c r="CC19" s="382" t="s">
        <v>293</v>
      </c>
      <c r="CD19" s="383">
        <f>HLOOKUP($CC19,$AK$6:$AM$132,ROWS(CD$6:CD19),0)</f>
        <v>0</v>
      </c>
      <c r="CE19" s="234">
        <f t="shared" si="29"/>
        <v>0</v>
      </c>
      <c r="CF19" s="96">
        <f t="shared" si="25"/>
        <v>0</v>
      </c>
      <c r="CG19" s="521">
        <f t="shared" si="25"/>
        <v>0</v>
      </c>
      <c r="CH19" s="421">
        <f t="shared" si="25"/>
        <v>0</v>
      </c>
      <c r="CI19" s="96">
        <f t="shared" si="25"/>
        <v>0</v>
      </c>
      <c r="CJ19" s="96">
        <f t="shared" si="25"/>
        <v>0</v>
      </c>
      <c r="CK19" s="96">
        <f t="shared" si="25"/>
        <v>0</v>
      </c>
      <c r="CL19" s="286">
        <f t="shared" si="25"/>
        <v>0</v>
      </c>
      <c r="CM19" s="305" t="s">
        <v>293</v>
      </c>
      <c r="CN19" s="315">
        <v>0.05</v>
      </c>
      <c r="CO19" s="306"/>
      <c r="CP19" s="307" t="str">
        <f>IF($CO19&lt;&gt;"",$CO19,HLOOKUP($CM19,$AY$6:$BA$132,ROWS(CP$6:CP19),0))</f>
        <v/>
      </c>
      <c r="CQ19" s="784" t="str">
        <f t="shared" si="26"/>
        <v/>
      </c>
      <c r="CR19" s="784" t="str">
        <f t="shared" si="26"/>
        <v/>
      </c>
      <c r="CS19" s="524" t="str">
        <f t="shared" si="26"/>
        <v/>
      </c>
      <c r="CT19" s="416" t="str">
        <f t="shared" si="26"/>
        <v/>
      </c>
      <c r="CU19" s="97" t="str">
        <f t="shared" si="26"/>
        <v/>
      </c>
      <c r="CV19" s="97" t="str">
        <f t="shared" si="26"/>
        <v/>
      </c>
      <c r="CW19" s="97" t="str">
        <f t="shared" si="26"/>
        <v/>
      </c>
      <c r="CX19" s="98" t="str">
        <f t="shared" si="26"/>
        <v/>
      </c>
      <c r="CY19" s="392"/>
    </row>
    <row r="20" spans="1:103" x14ac:dyDescent="0.25">
      <c r="A20" s="81" t="s">
        <v>27</v>
      </c>
      <c r="B20" s="82" t="s">
        <v>51</v>
      </c>
      <c r="C20" s="83" t="s">
        <v>301</v>
      </c>
      <c r="D20" s="84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654">
        <f>'2022-23 Input'!I20</f>
        <v>0</v>
      </c>
      <c r="N20" s="1065">
        <v>0</v>
      </c>
      <c r="O20" s="560">
        <f t="shared" si="27"/>
        <v>0</v>
      </c>
      <c r="P20" s="561">
        <f t="shared" si="0"/>
        <v>0</v>
      </c>
      <c r="Q20" s="561">
        <f t="shared" si="1"/>
        <v>0</v>
      </c>
      <c r="R20" s="561">
        <f t="shared" si="2"/>
        <v>0</v>
      </c>
      <c r="S20" s="561">
        <f t="shared" si="3"/>
        <v>0</v>
      </c>
      <c r="T20" s="561">
        <f t="shared" si="4"/>
        <v>0</v>
      </c>
      <c r="U20" s="561">
        <f t="shared" si="5"/>
        <v>0</v>
      </c>
      <c r="V20" s="561">
        <f t="shared" si="6"/>
        <v>0</v>
      </c>
      <c r="W20" s="675">
        <f t="shared" si="7"/>
        <v>0</v>
      </c>
      <c r="X20" s="675">
        <f t="shared" si="8"/>
        <v>0</v>
      </c>
      <c r="Y20" s="675">
        <f t="shared" si="8"/>
        <v>0</v>
      </c>
      <c r="Z20" s="86">
        <v>0</v>
      </c>
      <c r="AA20" s="87">
        <v>0</v>
      </c>
      <c r="AB20" s="87">
        <v>0</v>
      </c>
      <c r="AC20" s="87">
        <v>0</v>
      </c>
      <c r="AD20" s="87">
        <v>0</v>
      </c>
      <c r="AE20" s="87">
        <v>0</v>
      </c>
      <c r="AF20" s="87">
        <v>0</v>
      </c>
      <c r="AG20" s="87">
        <v>0</v>
      </c>
      <c r="AH20" s="87">
        <v>0</v>
      </c>
      <c r="AI20" s="1094">
        <f>'2022-23 Input'!P20</f>
        <v>0</v>
      </c>
      <c r="AJ20" s="665">
        <v>0</v>
      </c>
      <c r="AK20" s="88">
        <f t="shared" si="9"/>
        <v>0</v>
      </c>
      <c r="AL20" s="89">
        <f t="shared" si="10"/>
        <v>0</v>
      </c>
      <c r="AM20" s="90">
        <f t="shared" si="11"/>
        <v>0</v>
      </c>
      <c r="AN20" s="91" t="str">
        <f t="shared" si="12"/>
        <v/>
      </c>
      <c r="AO20" s="92" t="str">
        <f t="shared" si="13"/>
        <v/>
      </c>
      <c r="AP20" s="92" t="str">
        <f t="shared" si="14"/>
        <v/>
      </c>
      <c r="AQ20" s="92" t="str">
        <f t="shared" si="15"/>
        <v/>
      </c>
      <c r="AR20" s="92" t="str">
        <f t="shared" si="16"/>
        <v/>
      </c>
      <c r="AS20" s="92" t="str">
        <f t="shared" si="17"/>
        <v/>
      </c>
      <c r="AT20" s="92" t="str">
        <f t="shared" si="18"/>
        <v/>
      </c>
      <c r="AU20" s="92" t="str">
        <f t="shared" si="19"/>
        <v/>
      </c>
      <c r="AV20" s="92" t="str">
        <f t="shared" si="20"/>
        <v/>
      </c>
      <c r="AW20" s="92" t="str">
        <f t="shared" si="20"/>
        <v/>
      </c>
      <c r="AX20" s="92" t="str">
        <f t="shared" si="20"/>
        <v/>
      </c>
      <c r="AY20" s="93" t="str">
        <f t="shared" si="21"/>
        <v/>
      </c>
      <c r="AZ20" s="94" t="str">
        <f t="shared" si="22"/>
        <v/>
      </c>
      <c r="BA20" s="95" t="str">
        <f t="shared" si="23"/>
        <v/>
      </c>
      <c r="BB20" s="248" t="s">
        <v>422</v>
      </c>
      <c r="BC20" s="229" t="s">
        <v>433</v>
      </c>
      <c r="BD20" s="249">
        <v>0</v>
      </c>
      <c r="BE20" s="267">
        <f t="shared" si="28"/>
        <v>0</v>
      </c>
      <c r="BF20" s="268">
        <f t="shared" si="24"/>
        <v>0</v>
      </c>
      <c r="BG20" s="268">
        <f t="shared" si="24"/>
        <v>0</v>
      </c>
      <c r="BH20" s="268">
        <f t="shared" si="24"/>
        <v>1</v>
      </c>
      <c r="BI20" s="268">
        <f t="shared" si="24"/>
        <v>2</v>
      </c>
      <c r="BJ20" s="268">
        <f t="shared" si="24"/>
        <v>3</v>
      </c>
      <c r="BK20" s="268">
        <f t="shared" si="24"/>
        <v>4</v>
      </c>
      <c r="BL20" s="269">
        <f t="shared" si="24"/>
        <v>5</v>
      </c>
      <c r="BM20" s="256">
        <f>IF($BC20=Lookup!$A$2,$BD20*ROUNDUP(BE20/10,0)+1,
IF($BC20=Lookup!$A$3,($BD20+1)^BD20,
IF($BC20=Lookup!$A$4,BE20*$BD20+1,"Error")))</f>
        <v>1</v>
      </c>
      <c r="BN20" s="229">
        <f>IF($BC20=Lookup!$A$2,$BD20*ROUNDUP(BF20/10,0)+1,
IF($BC20=Lookup!$A$3,($BD20+1)^BE20,
IF($BC20=Lookup!$A$4,BF20*$BD20+1,"Error")))</f>
        <v>1</v>
      </c>
      <c r="BO20" s="229">
        <f>IF($BC20=Lookup!$A$2,$BD20*ROUNDUP(BG20/10,0)+1,
IF($BC20=Lookup!$A$3,($BD20+1)^BF20,
IF($BC20=Lookup!$A$4,BG20*$BD20+1,"Error")))</f>
        <v>1</v>
      </c>
      <c r="BP20" s="229">
        <f>IF($BC20=Lookup!$A$2,$BD20*ROUNDUP(BH20/10,0)+1,
IF($BC20=Lookup!$A$3,($BD20+1)^BG20,
IF($BC20=Lookup!$A$4,BH20*$BD20+1,"Error")))</f>
        <v>1</v>
      </c>
      <c r="BQ20" s="229">
        <f>IF($BC20=Lookup!$A$2,$BD20*ROUNDUP(BI20/10,0)+1,
IF($BC20=Lookup!$A$3,($BD20+1)^BH20,
IF($BC20=Lookup!$A$4,BI20*$BD20+1,"Error")))</f>
        <v>1</v>
      </c>
      <c r="BR20" s="229">
        <f>IF($BC20=Lookup!$A$2,$BD20*ROUNDUP(BJ20/10,0)+1,
IF($BC20=Lookup!$A$3,($BD20+1)^BI20,
IF($BC20=Lookup!$A$4,BJ20*$BD20+1,"Error")))</f>
        <v>1</v>
      </c>
      <c r="BS20" s="229">
        <f>IF($BC20=Lookup!$A$2,$BD20*ROUNDUP(BK20/10,0)+1,
IF($BC20=Lookup!$A$3,($BD20+1)^BJ20,
IF($BC20=Lookup!$A$4,BK20*$BD20+1,"Error")))</f>
        <v>1</v>
      </c>
      <c r="BT20" s="249">
        <f>IF($BC20=Lookup!$A$2,$BD20*ROUNDUP(BL20/10,0)+1,
IF($BC20=Lookup!$A$3,($BD20+1)^BK20,
IF($BC20=Lookup!$A$4,BL20*$BD20+1,"Error")))</f>
        <v>1</v>
      </c>
      <c r="BU20" s="320">
        <v>0</v>
      </c>
      <c r="BV20" s="321">
        <v>0</v>
      </c>
      <c r="BW20" s="321">
        <v>0</v>
      </c>
      <c r="BX20" s="321">
        <v>0</v>
      </c>
      <c r="BY20" s="321">
        <v>0</v>
      </c>
      <c r="BZ20" s="321">
        <v>0</v>
      </c>
      <c r="CA20" s="321">
        <v>0</v>
      </c>
      <c r="CB20" s="277">
        <v>0</v>
      </c>
      <c r="CC20" s="382" t="s">
        <v>293</v>
      </c>
      <c r="CD20" s="383">
        <f>HLOOKUP($CC20,$AK$6:$AM$132,ROWS(CD$6:CD20),0)</f>
        <v>0</v>
      </c>
      <c r="CE20" s="234">
        <f t="shared" si="29"/>
        <v>0</v>
      </c>
      <c r="CF20" s="96">
        <f t="shared" si="25"/>
        <v>0</v>
      </c>
      <c r="CG20" s="521">
        <f t="shared" si="25"/>
        <v>0</v>
      </c>
      <c r="CH20" s="421">
        <f t="shared" si="25"/>
        <v>0</v>
      </c>
      <c r="CI20" s="96">
        <f t="shared" si="25"/>
        <v>0</v>
      </c>
      <c r="CJ20" s="96">
        <f t="shared" si="25"/>
        <v>0</v>
      </c>
      <c r="CK20" s="96">
        <f t="shared" si="25"/>
        <v>0</v>
      </c>
      <c r="CL20" s="286">
        <f t="shared" si="25"/>
        <v>0</v>
      </c>
      <c r="CM20" s="305" t="s">
        <v>293</v>
      </c>
      <c r="CN20" s="315">
        <v>0.05</v>
      </c>
      <c r="CO20" s="306"/>
      <c r="CP20" s="307" t="str">
        <f>IF($CO20&lt;&gt;"",$CO20,HLOOKUP($CM20,$AY$6:$BA$132,ROWS(CP$6:CP20),0))</f>
        <v/>
      </c>
      <c r="CQ20" s="784" t="str">
        <f t="shared" si="26"/>
        <v/>
      </c>
      <c r="CR20" s="784" t="str">
        <f t="shared" si="26"/>
        <v/>
      </c>
      <c r="CS20" s="524" t="str">
        <f t="shared" si="26"/>
        <v/>
      </c>
      <c r="CT20" s="416" t="str">
        <f t="shared" si="26"/>
        <v/>
      </c>
      <c r="CU20" s="97" t="str">
        <f t="shared" si="26"/>
        <v/>
      </c>
      <c r="CV20" s="97" t="str">
        <f t="shared" si="26"/>
        <v/>
      </c>
      <c r="CW20" s="97" t="str">
        <f t="shared" si="26"/>
        <v/>
      </c>
      <c r="CX20" s="98" t="str">
        <f t="shared" si="26"/>
        <v/>
      </c>
      <c r="CY20" s="392"/>
    </row>
    <row r="21" spans="1:103" x14ac:dyDescent="0.25">
      <c r="A21" s="81" t="s">
        <v>27</v>
      </c>
      <c r="B21" s="82" t="s">
        <v>53</v>
      </c>
      <c r="C21" s="83" t="s">
        <v>54</v>
      </c>
      <c r="D21" s="84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654">
        <f>'2022-23 Input'!I21</f>
        <v>0</v>
      </c>
      <c r="N21" s="1065">
        <v>0</v>
      </c>
      <c r="O21" s="560">
        <f t="shared" si="27"/>
        <v>0</v>
      </c>
      <c r="P21" s="561">
        <f t="shared" si="0"/>
        <v>0</v>
      </c>
      <c r="Q21" s="561">
        <f t="shared" si="1"/>
        <v>0</v>
      </c>
      <c r="R21" s="561">
        <f t="shared" si="2"/>
        <v>0</v>
      </c>
      <c r="S21" s="561">
        <f t="shared" si="3"/>
        <v>0</v>
      </c>
      <c r="T21" s="561">
        <f t="shared" si="4"/>
        <v>0</v>
      </c>
      <c r="U21" s="561">
        <f t="shared" si="5"/>
        <v>0</v>
      </c>
      <c r="V21" s="561">
        <f t="shared" si="6"/>
        <v>0</v>
      </c>
      <c r="W21" s="675">
        <f t="shared" si="7"/>
        <v>0</v>
      </c>
      <c r="X21" s="675">
        <f t="shared" si="8"/>
        <v>0</v>
      </c>
      <c r="Y21" s="675">
        <f t="shared" si="8"/>
        <v>0</v>
      </c>
      <c r="Z21" s="86">
        <v>0</v>
      </c>
      <c r="AA21" s="87">
        <v>0</v>
      </c>
      <c r="AB21" s="87">
        <v>0</v>
      </c>
      <c r="AC21" s="87">
        <v>0</v>
      </c>
      <c r="AD21" s="87">
        <v>0</v>
      </c>
      <c r="AE21" s="87">
        <v>0</v>
      </c>
      <c r="AF21" s="87">
        <v>0</v>
      </c>
      <c r="AG21" s="87">
        <v>0</v>
      </c>
      <c r="AH21" s="87">
        <v>0</v>
      </c>
      <c r="AI21" s="1094">
        <f>'2022-23 Input'!P21</f>
        <v>0</v>
      </c>
      <c r="AJ21" s="665">
        <v>0</v>
      </c>
      <c r="AK21" s="88">
        <f t="shared" si="9"/>
        <v>0</v>
      </c>
      <c r="AL21" s="89">
        <f t="shared" si="10"/>
        <v>0</v>
      </c>
      <c r="AM21" s="90">
        <f t="shared" si="11"/>
        <v>0</v>
      </c>
      <c r="AN21" s="91" t="str">
        <f t="shared" si="12"/>
        <v/>
      </c>
      <c r="AO21" s="92" t="str">
        <f t="shared" si="13"/>
        <v/>
      </c>
      <c r="AP21" s="92" t="str">
        <f t="shared" si="14"/>
        <v/>
      </c>
      <c r="AQ21" s="92" t="str">
        <f t="shared" si="15"/>
        <v/>
      </c>
      <c r="AR21" s="92" t="str">
        <f t="shared" si="16"/>
        <v/>
      </c>
      <c r="AS21" s="92" t="str">
        <f t="shared" si="17"/>
        <v/>
      </c>
      <c r="AT21" s="92" t="str">
        <f t="shared" si="18"/>
        <v/>
      </c>
      <c r="AU21" s="92" t="str">
        <f t="shared" si="19"/>
        <v/>
      </c>
      <c r="AV21" s="92" t="str">
        <f t="shared" si="20"/>
        <v/>
      </c>
      <c r="AW21" s="92" t="str">
        <f t="shared" si="20"/>
        <v/>
      </c>
      <c r="AX21" s="92" t="str">
        <f t="shared" si="20"/>
        <v/>
      </c>
      <c r="AY21" s="93" t="str">
        <f t="shared" si="21"/>
        <v/>
      </c>
      <c r="AZ21" s="94" t="str">
        <f t="shared" si="22"/>
        <v/>
      </c>
      <c r="BA21" s="95" t="str">
        <f t="shared" si="23"/>
        <v/>
      </c>
      <c r="BB21" s="248" t="s">
        <v>422</v>
      </c>
      <c r="BC21" s="229" t="s">
        <v>433</v>
      </c>
      <c r="BD21" s="249">
        <v>0</v>
      </c>
      <c r="BE21" s="267">
        <f t="shared" si="28"/>
        <v>0</v>
      </c>
      <c r="BF21" s="268">
        <f t="shared" si="24"/>
        <v>0</v>
      </c>
      <c r="BG21" s="268">
        <f t="shared" si="24"/>
        <v>0</v>
      </c>
      <c r="BH21" s="268">
        <f t="shared" si="24"/>
        <v>1</v>
      </c>
      <c r="BI21" s="268">
        <f t="shared" si="24"/>
        <v>2</v>
      </c>
      <c r="BJ21" s="268">
        <f t="shared" si="24"/>
        <v>3</v>
      </c>
      <c r="BK21" s="268">
        <f t="shared" si="24"/>
        <v>4</v>
      </c>
      <c r="BL21" s="269">
        <f t="shared" si="24"/>
        <v>5</v>
      </c>
      <c r="BM21" s="256">
        <f>IF($BC21=Lookup!$A$2,$BD21*ROUNDUP(BE21/10,0)+1,
IF($BC21=Lookup!$A$3,($BD21+1)^BD21,
IF($BC21=Lookup!$A$4,BE21*$BD21+1,"Error")))</f>
        <v>1</v>
      </c>
      <c r="BN21" s="229">
        <f>IF($BC21=Lookup!$A$2,$BD21*ROUNDUP(BF21/10,0)+1,
IF($BC21=Lookup!$A$3,($BD21+1)^BE21,
IF($BC21=Lookup!$A$4,BF21*$BD21+1,"Error")))</f>
        <v>1</v>
      </c>
      <c r="BO21" s="229">
        <f>IF($BC21=Lookup!$A$2,$BD21*ROUNDUP(BG21/10,0)+1,
IF($BC21=Lookup!$A$3,($BD21+1)^BF21,
IF($BC21=Lookup!$A$4,BG21*$BD21+1,"Error")))</f>
        <v>1</v>
      </c>
      <c r="BP21" s="229">
        <f>IF($BC21=Lookup!$A$2,$BD21*ROUNDUP(BH21/10,0)+1,
IF($BC21=Lookup!$A$3,($BD21+1)^BG21,
IF($BC21=Lookup!$A$4,BH21*$BD21+1,"Error")))</f>
        <v>1</v>
      </c>
      <c r="BQ21" s="229">
        <f>IF($BC21=Lookup!$A$2,$BD21*ROUNDUP(BI21/10,0)+1,
IF($BC21=Lookup!$A$3,($BD21+1)^BH21,
IF($BC21=Lookup!$A$4,BI21*$BD21+1,"Error")))</f>
        <v>1</v>
      </c>
      <c r="BR21" s="229">
        <f>IF($BC21=Lookup!$A$2,$BD21*ROUNDUP(BJ21/10,0)+1,
IF($BC21=Lookup!$A$3,($BD21+1)^BI21,
IF($BC21=Lookup!$A$4,BJ21*$BD21+1,"Error")))</f>
        <v>1</v>
      </c>
      <c r="BS21" s="229">
        <f>IF($BC21=Lookup!$A$2,$BD21*ROUNDUP(BK21/10,0)+1,
IF($BC21=Lookup!$A$3,($BD21+1)^BJ21,
IF($BC21=Lookup!$A$4,BK21*$BD21+1,"Error")))</f>
        <v>1</v>
      </c>
      <c r="BT21" s="249">
        <f>IF($BC21=Lookup!$A$2,$BD21*ROUNDUP(BL21/10,0)+1,
IF($BC21=Lookup!$A$3,($BD21+1)^BK21,
IF($BC21=Lookup!$A$4,BL21*$BD21+1,"Error")))</f>
        <v>1</v>
      </c>
      <c r="BU21" s="320">
        <v>0</v>
      </c>
      <c r="BV21" s="321">
        <v>0</v>
      </c>
      <c r="BW21" s="321">
        <v>0</v>
      </c>
      <c r="BX21" s="321">
        <v>0</v>
      </c>
      <c r="BY21" s="321">
        <v>0</v>
      </c>
      <c r="BZ21" s="321">
        <v>0</v>
      </c>
      <c r="CA21" s="321">
        <v>0</v>
      </c>
      <c r="CB21" s="277">
        <v>0</v>
      </c>
      <c r="CC21" s="382" t="s">
        <v>293</v>
      </c>
      <c r="CD21" s="383">
        <f>HLOOKUP($CC21,$AK$6:$AM$132,ROWS(CD$6:CD21),0)</f>
        <v>0</v>
      </c>
      <c r="CE21" s="234">
        <f t="shared" si="29"/>
        <v>0</v>
      </c>
      <c r="CF21" s="96">
        <f t="shared" si="25"/>
        <v>0</v>
      </c>
      <c r="CG21" s="521">
        <f t="shared" si="25"/>
        <v>0</v>
      </c>
      <c r="CH21" s="421">
        <f t="shared" si="25"/>
        <v>0</v>
      </c>
      <c r="CI21" s="96">
        <f t="shared" si="25"/>
        <v>0</v>
      </c>
      <c r="CJ21" s="96">
        <f t="shared" si="25"/>
        <v>0</v>
      </c>
      <c r="CK21" s="96">
        <f t="shared" si="25"/>
        <v>0</v>
      </c>
      <c r="CL21" s="286">
        <f t="shared" si="25"/>
        <v>0</v>
      </c>
      <c r="CM21" s="305" t="s">
        <v>293</v>
      </c>
      <c r="CN21" s="315">
        <v>0.05</v>
      </c>
      <c r="CO21" s="306"/>
      <c r="CP21" s="307" t="str">
        <f>IF($CO21&lt;&gt;"",$CO21,HLOOKUP($CM21,$AY$6:$BA$132,ROWS(CP$6:CP21),0))</f>
        <v/>
      </c>
      <c r="CQ21" s="784" t="str">
        <f t="shared" si="26"/>
        <v/>
      </c>
      <c r="CR21" s="784" t="str">
        <f t="shared" si="26"/>
        <v/>
      </c>
      <c r="CS21" s="524" t="str">
        <f t="shared" si="26"/>
        <v/>
      </c>
      <c r="CT21" s="416" t="str">
        <f t="shared" si="26"/>
        <v/>
      </c>
      <c r="CU21" s="97" t="str">
        <f t="shared" si="26"/>
        <v/>
      </c>
      <c r="CV21" s="97" t="str">
        <f t="shared" si="26"/>
        <v/>
      </c>
      <c r="CW21" s="97" t="str">
        <f t="shared" si="26"/>
        <v/>
      </c>
      <c r="CX21" s="98" t="str">
        <f t="shared" si="26"/>
        <v/>
      </c>
      <c r="CY21" s="392"/>
    </row>
    <row r="22" spans="1:103" x14ac:dyDescent="0.25">
      <c r="A22" s="81" t="s">
        <v>27</v>
      </c>
      <c r="B22" s="82" t="s">
        <v>55</v>
      </c>
      <c r="C22" s="83" t="s">
        <v>302</v>
      </c>
      <c r="D22" s="84">
        <v>-2607.1919737142089</v>
      </c>
      <c r="E22" s="85">
        <v>0</v>
      </c>
      <c r="F22" s="85">
        <v>-167744.3243127134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654">
        <f>'2022-23 Input'!I22</f>
        <v>0</v>
      </c>
      <c r="N22" s="1065">
        <v>0</v>
      </c>
      <c r="O22" s="560">
        <f t="shared" si="27"/>
        <v>-3507.8629164184495</v>
      </c>
      <c r="P22" s="561">
        <f t="shared" si="0"/>
        <v>0</v>
      </c>
      <c r="Q22" s="561">
        <f t="shared" si="1"/>
        <v>-220081.51764813517</v>
      </c>
      <c r="R22" s="561">
        <f t="shared" si="2"/>
        <v>0</v>
      </c>
      <c r="S22" s="561">
        <f t="shared" si="3"/>
        <v>0</v>
      </c>
      <c r="T22" s="561">
        <f t="shared" si="4"/>
        <v>0</v>
      </c>
      <c r="U22" s="561">
        <f t="shared" si="5"/>
        <v>0</v>
      </c>
      <c r="V22" s="561">
        <f t="shared" si="6"/>
        <v>0</v>
      </c>
      <c r="W22" s="675">
        <f t="shared" si="7"/>
        <v>0</v>
      </c>
      <c r="X22" s="675">
        <f t="shared" si="8"/>
        <v>0</v>
      </c>
      <c r="Y22" s="675">
        <f t="shared" si="8"/>
        <v>0</v>
      </c>
      <c r="Z22" s="86">
        <v>0</v>
      </c>
      <c r="AA22" s="87">
        <v>0</v>
      </c>
      <c r="AB22" s="87">
        <v>0</v>
      </c>
      <c r="AC22" s="87">
        <v>0</v>
      </c>
      <c r="AD22" s="87">
        <v>0</v>
      </c>
      <c r="AE22" s="87">
        <v>0</v>
      </c>
      <c r="AF22" s="87">
        <v>0</v>
      </c>
      <c r="AG22" s="87">
        <v>0</v>
      </c>
      <c r="AH22" s="87">
        <v>0</v>
      </c>
      <c r="AI22" s="1094">
        <f>'2022-23 Input'!P22</f>
        <v>0</v>
      </c>
      <c r="AJ22" s="665">
        <v>0</v>
      </c>
      <c r="AK22" s="88">
        <f t="shared" si="9"/>
        <v>0</v>
      </c>
      <c r="AL22" s="89">
        <f t="shared" si="10"/>
        <v>0</v>
      </c>
      <c r="AM22" s="90">
        <f t="shared" si="11"/>
        <v>0</v>
      </c>
      <c r="AN22" s="91" t="str">
        <f t="shared" si="12"/>
        <v/>
      </c>
      <c r="AO22" s="92" t="str">
        <f t="shared" si="13"/>
        <v/>
      </c>
      <c r="AP22" s="92" t="str">
        <f t="shared" si="14"/>
        <v/>
      </c>
      <c r="AQ22" s="92" t="str">
        <f t="shared" si="15"/>
        <v/>
      </c>
      <c r="AR22" s="92" t="str">
        <f t="shared" si="16"/>
        <v/>
      </c>
      <c r="AS22" s="92" t="str">
        <f t="shared" si="17"/>
        <v/>
      </c>
      <c r="AT22" s="92" t="str">
        <f t="shared" si="18"/>
        <v/>
      </c>
      <c r="AU22" s="92" t="str">
        <f t="shared" si="19"/>
        <v/>
      </c>
      <c r="AV22" s="92" t="str">
        <f t="shared" si="20"/>
        <v/>
      </c>
      <c r="AW22" s="92" t="str">
        <f t="shared" si="20"/>
        <v/>
      </c>
      <c r="AX22" s="92" t="str">
        <f t="shared" si="20"/>
        <v/>
      </c>
      <c r="AY22" s="93" t="str">
        <f t="shared" si="21"/>
        <v/>
      </c>
      <c r="AZ22" s="94" t="str">
        <f t="shared" si="22"/>
        <v/>
      </c>
      <c r="BA22" s="95" t="str">
        <f t="shared" si="23"/>
        <v/>
      </c>
      <c r="BB22" s="248" t="s">
        <v>422</v>
      </c>
      <c r="BC22" s="229" t="s">
        <v>433</v>
      </c>
      <c r="BD22" s="249">
        <v>0</v>
      </c>
      <c r="BE22" s="267">
        <f t="shared" si="28"/>
        <v>0</v>
      </c>
      <c r="BF22" s="268">
        <f t="shared" si="24"/>
        <v>0</v>
      </c>
      <c r="BG22" s="268">
        <f t="shared" si="24"/>
        <v>0</v>
      </c>
      <c r="BH22" s="268">
        <f t="shared" si="24"/>
        <v>1</v>
      </c>
      <c r="BI22" s="268">
        <f t="shared" si="24"/>
        <v>2</v>
      </c>
      <c r="BJ22" s="268">
        <f t="shared" si="24"/>
        <v>3</v>
      </c>
      <c r="BK22" s="268">
        <f t="shared" si="24"/>
        <v>4</v>
      </c>
      <c r="BL22" s="269">
        <f t="shared" si="24"/>
        <v>5</v>
      </c>
      <c r="BM22" s="256">
        <f>IF($BC22=Lookup!$A$2,$BD22*ROUNDUP(BE22/10,0)+1,
IF($BC22=Lookup!$A$3,($BD22+1)^BD22,
IF($BC22=Lookup!$A$4,BE22*$BD22+1,"Error")))</f>
        <v>1</v>
      </c>
      <c r="BN22" s="229">
        <f>IF($BC22=Lookup!$A$2,$BD22*ROUNDUP(BF22/10,0)+1,
IF($BC22=Lookup!$A$3,($BD22+1)^BE22,
IF($BC22=Lookup!$A$4,BF22*$BD22+1,"Error")))</f>
        <v>1</v>
      </c>
      <c r="BO22" s="229">
        <f>IF($BC22=Lookup!$A$2,$BD22*ROUNDUP(BG22/10,0)+1,
IF($BC22=Lookup!$A$3,($BD22+1)^BF22,
IF($BC22=Lookup!$A$4,BG22*$BD22+1,"Error")))</f>
        <v>1</v>
      </c>
      <c r="BP22" s="229">
        <f>IF($BC22=Lookup!$A$2,$BD22*ROUNDUP(BH22/10,0)+1,
IF($BC22=Lookup!$A$3,($BD22+1)^BG22,
IF($BC22=Lookup!$A$4,BH22*$BD22+1,"Error")))</f>
        <v>1</v>
      </c>
      <c r="BQ22" s="229">
        <f>IF($BC22=Lookup!$A$2,$BD22*ROUNDUP(BI22/10,0)+1,
IF($BC22=Lookup!$A$3,($BD22+1)^BH22,
IF($BC22=Lookup!$A$4,BI22*$BD22+1,"Error")))</f>
        <v>1</v>
      </c>
      <c r="BR22" s="229">
        <f>IF($BC22=Lookup!$A$2,$BD22*ROUNDUP(BJ22/10,0)+1,
IF($BC22=Lookup!$A$3,($BD22+1)^BI22,
IF($BC22=Lookup!$A$4,BJ22*$BD22+1,"Error")))</f>
        <v>1</v>
      </c>
      <c r="BS22" s="229">
        <f>IF($BC22=Lookup!$A$2,$BD22*ROUNDUP(BK22/10,0)+1,
IF($BC22=Lookup!$A$3,($BD22+1)^BJ22,
IF($BC22=Lookup!$A$4,BK22*$BD22+1,"Error")))</f>
        <v>1</v>
      </c>
      <c r="BT22" s="249">
        <f>IF($BC22=Lookup!$A$2,$BD22*ROUNDUP(BL22/10,0)+1,
IF($BC22=Lookup!$A$3,($BD22+1)^BK22,
IF($BC22=Lookup!$A$4,BL22*$BD22+1,"Error")))</f>
        <v>1</v>
      </c>
      <c r="BU22" s="320">
        <v>0</v>
      </c>
      <c r="BV22" s="321">
        <v>0</v>
      </c>
      <c r="BW22" s="321">
        <v>0</v>
      </c>
      <c r="BX22" s="321">
        <v>0</v>
      </c>
      <c r="BY22" s="321">
        <v>0</v>
      </c>
      <c r="BZ22" s="321">
        <v>0</v>
      </c>
      <c r="CA22" s="321">
        <v>0</v>
      </c>
      <c r="CB22" s="277">
        <v>0</v>
      </c>
      <c r="CC22" s="382" t="s">
        <v>293</v>
      </c>
      <c r="CD22" s="383">
        <f>HLOOKUP($CC22,$AK$6:$AM$132,ROWS(CD$6:CD22),0)</f>
        <v>0</v>
      </c>
      <c r="CE22" s="234">
        <f t="shared" si="29"/>
        <v>0</v>
      </c>
      <c r="CF22" s="96">
        <f t="shared" si="25"/>
        <v>0</v>
      </c>
      <c r="CG22" s="521">
        <f t="shared" si="25"/>
        <v>0</v>
      </c>
      <c r="CH22" s="421">
        <f t="shared" si="25"/>
        <v>0</v>
      </c>
      <c r="CI22" s="96">
        <f t="shared" si="25"/>
        <v>0</v>
      </c>
      <c r="CJ22" s="96">
        <f t="shared" si="25"/>
        <v>0</v>
      </c>
      <c r="CK22" s="96">
        <f t="shared" si="25"/>
        <v>0</v>
      </c>
      <c r="CL22" s="286">
        <f t="shared" si="25"/>
        <v>0</v>
      </c>
      <c r="CM22" s="305" t="s">
        <v>293</v>
      </c>
      <c r="CN22" s="315">
        <v>0.05</v>
      </c>
      <c r="CO22" s="306"/>
      <c r="CP22" s="307" t="str">
        <f>IF($CO22&lt;&gt;"",$CO22,HLOOKUP($CM22,$AY$6:$BA$132,ROWS(CP$6:CP22),0))</f>
        <v/>
      </c>
      <c r="CQ22" s="784" t="str">
        <f t="shared" si="26"/>
        <v/>
      </c>
      <c r="CR22" s="784" t="str">
        <f t="shared" si="26"/>
        <v/>
      </c>
      <c r="CS22" s="524" t="str">
        <f t="shared" si="26"/>
        <v/>
      </c>
      <c r="CT22" s="416" t="str">
        <f t="shared" si="26"/>
        <v/>
      </c>
      <c r="CU22" s="97" t="str">
        <f t="shared" si="26"/>
        <v/>
      </c>
      <c r="CV22" s="97" t="str">
        <f t="shared" si="26"/>
        <v/>
      </c>
      <c r="CW22" s="97" t="str">
        <f t="shared" si="26"/>
        <v/>
      </c>
      <c r="CX22" s="98" t="str">
        <f t="shared" si="26"/>
        <v/>
      </c>
      <c r="CY22" s="392"/>
    </row>
    <row r="23" spans="1:103" x14ac:dyDescent="0.25">
      <c r="A23" s="81" t="s">
        <v>27</v>
      </c>
      <c r="B23" s="82" t="s">
        <v>57</v>
      </c>
      <c r="C23" s="83" t="s">
        <v>58</v>
      </c>
      <c r="D23" s="84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654">
        <f>'2022-23 Input'!I23</f>
        <v>0</v>
      </c>
      <c r="N23" s="1065">
        <v>0</v>
      </c>
      <c r="O23" s="560">
        <f t="shared" si="27"/>
        <v>0</v>
      </c>
      <c r="P23" s="561">
        <f t="shared" si="0"/>
        <v>0</v>
      </c>
      <c r="Q23" s="561">
        <f t="shared" si="1"/>
        <v>0</v>
      </c>
      <c r="R23" s="561">
        <f t="shared" si="2"/>
        <v>0</v>
      </c>
      <c r="S23" s="561">
        <f t="shared" si="3"/>
        <v>0</v>
      </c>
      <c r="T23" s="561">
        <f t="shared" si="4"/>
        <v>0</v>
      </c>
      <c r="U23" s="561">
        <f t="shared" si="5"/>
        <v>0</v>
      </c>
      <c r="V23" s="561">
        <f t="shared" si="6"/>
        <v>0</v>
      </c>
      <c r="W23" s="675">
        <f t="shared" si="7"/>
        <v>0</v>
      </c>
      <c r="X23" s="675">
        <f t="shared" si="8"/>
        <v>0</v>
      </c>
      <c r="Y23" s="675">
        <f t="shared" si="8"/>
        <v>0</v>
      </c>
      <c r="Z23" s="86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1094">
        <f>'2022-23 Input'!P23</f>
        <v>0</v>
      </c>
      <c r="AJ23" s="665">
        <v>0</v>
      </c>
      <c r="AK23" s="88">
        <f t="shared" si="9"/>
        <v>0</v>
      </c>
      <c r="AL23" s="89">
        <f t="shared" si="10"/>
        <v>0</v>
      </c>
      <c r="AM23" s="90">
        <f t="shared" si="11"/>
        <v>0</v>
      </c>
      <c r="AN23" s="91" t="str">
        <f t="shared" si="12"/>
        <v/>
      </c>
      <c r="AO23" s="92" t="str">
        <f t="shared" si="13"/>
        <v/>
      </c>
      <c r="AP23" s="92" t="str">
        <f t="shared" si="14"/>
        <v/>
      </c>
      <c r="AQ23" s="92" t="str">
        <f t="shared" si="15"/>
        <v/>
      </c>
      <c r="AR23" s="92" t="str">
        <f t="shared" si="16"/>
        <v/>
      </c>
      <c r="AS23" s="92" t="str">
        <f t="shared" si="17"/>
        <v/>
      </c>
      <c r="AT23" s="92" t="str">
        <f t="shared" si="18"/>
        <v/>
      </c>
      <c r="AU23" s="92" t="str">
        <f t="shared" si="19"/>
        <v/>
      </c>
      <c r="AV23" s="92" t="str">
        <f t="shared" ref="AV23:AX38" si="30">IFERROR(L23/AH23,"")</f>
        <v/>
      </c>
      <c r="AW23" s="92" t="str">
        <f t="shared" si="30"/>
        <v/>
      </c>
      <c r="AX23" s="92" t="str">
        <f t="shared" si="30"/>
        <v/>
      </c>
      <c r="AY23" s="93" t="str">
        <f t="shared" si="21"/>
        <v/>
      </c>
      <c r="AZ23" s="94" t="str">
        <f t="shared" si="22"/>
        <v/>
      </c>
      <c r="BA23" s="95" t="str">
        <f t="shared" si="23"/>
        <v/>
      </c>
      <c r="BB23" s="248" t="s">
        <v>422</v>
      </c>
      <c r="BC23" s="229" t="s">
        <v>433</v>
      </c>
      <c r="BD23" s="249">
        <v>0</v>
      </c>
      <c r="BE23" s="267">
        <f t="shared" si="28"/>
        <v>0</v>
      </c>
      <c r="BF23" s="268">
        <f t="shared" ref="BF23:BL38" si="31">IF(BF$6=$BB23,1,
IF(BE23&lt;&gt;0,BE23+1,0
))</f>
        <v>0</v>
      </c>
      <c r="BG23" s="268">
        <f t="shared" si="31"/>
        <v>0</v>
      </c>
      <c r="BH23" s="268">
        <f t="shared" si="31"/>
        <v>1</v>
      </c>
      <c r="BI23" s="268">
        <f t="shared" si="31"/>
        <v>2</v>
      </c>
      <c r="BJ23" s="268">
        <f t="shared" si="31"/>
        <v>3</v>
      </c>
      <c r="BK23" s="268">
        <f t="shared" si="31"/>
        <v>4</v>
      </c>
      <c r="BL23" s="269">
        <f t="shared" si="31"/>
        <v>5</v>
      </c>
      <c r="BM23" s="256">
        <f>IF($BC23=Lookup!$A$2,$BD23*ROUNDUP(BE23/10,0)+1,
IF($BC23=Lookup!$A$3,($BD23+1)^BD23,
IF($BC23=Lookup!$A$4,BE23*$BD23+1,"Error")))</f>
        <v>1</v>
      </c>
      <c r="BN23" s="229">
        <f>IF($BC23=Lookup!$A$2,$BD23*ROUNDUP(BF23/10,0)+1,
IF($BC23=Lookup!$A$3,($BD23+1)^BE23,
IF($BC23=Lookup!$A$4,BF23*$BD23+1,"Error")))</f>
        <v>1</v>
      </c>
      <c r="BO23" s="229">
        <f>IF($BC23=Lookup!$A$2,$BD23*ROUNDUP(BG23/10,0)+1,
IF($BC23=Lookup!$A$3,($BD23+1)^BF23,
IF($BC23=Lookup!$A$4,BG23*$BD23+1,"Error")))</f>
        <v>1</v>
      </c>
      <c r="BP23" s="229">
        <f>IF($BC23=Lookup!$A$2,$BD23*ROUNDUP(BH23/10,0)+1,
IF($BC23=Lookup!$A$3,($BD23+1)^BG23,
IF($BC23=Lookup!$A$4,BH23*$BD23+1,"Error")))</f>
        <v>1</v>
      </c>
      <c r="BQ23" s="229">
        <f>IF($BC23=Lookup!$A$2,$BD23*ROUNDUP(BI23/10,0)+1,
IF($BC23=Lookup!$A$3,($BD23+1)^BH23,
IF($BC23=Lookup!$A$4,BI23*$BD23+1,"Error")))</f>
        <v>1</v>
      </c>
      <c r="BR23" s="229">
        <f>IF($BC23=Lookup!$A$2,$BD23*ROUNDUP(BJ23/10,0)+1,
IF($BC23=Lookup!$A$3,($BD23+1)^BI23,
IF($BC23=Lookup!$A$4,BJ23*$BD23+1,"Error")))</f>
        <v>1</v>
      </c>
      <c r="BS23" s="229">
        <f>IF($BC23=Lookup!$A$2,$BD23*ROUNDUP(BK23/10,0)+1,
IF($BC23=Lookup!$A$3,($BD23+1)^BJ23,
IF($BC23=Lookup!$A$4,BK23*$BD23+1,"Error")))</f>
        <v>1</v>
      </c>
      <c r="BT23" s="249">
        <f>IF($BC23=Lookup!$A$2,$BD23*ROUNDUP(BL23/10,0)+1,
IF($BC23=Lookup!$A$3,($BD23+1)^BK23,
IF($BC23=Lookup!$A$4,BL23*$BD23+1,"Error")))</f>
        <v>1</v>
      </c>
      <c r="BU23" s="320">
        <v>0</v>
      </c>
      <c r="BV23" s="321">
        <v>0</v>
      </c>
      <c r="BW23" s="321">
        <v>0</v>
      </c>
      <c r="BX23" s="321">
        <v>0</v>
      </c>
      <c r="BY23" s="321">
        <v>0</v>
      </c>
      <c r="BZ23" s="321">
        <v>0</v>
      </c>
      <c r="CA23" s="321">
        <v>0</v>
      </c>
      <c r="CB23" s="277">
        <v>0</v>
      </c>
      <c r="CC23" s="382" t="s">
        <v>293</v>
      </c>
      <c r="CD23" s="383">
        <f>HLOOKUP($CC23,$AK$6:$AM$132,ROWS(CD$6:CD23),0)</f>
        <v>0</v>
      </c>
      <c r="CE23" s="234">
        <f t="shared" si="29"/>
        <v>0</v>
      </c>
      <c r="CF23" s="96">
        <f t="shared" si="25"/>
        <v>0</v>
      </c>
      <c r="CG23" s="521">
        <f t="shared" si="25"/>
        <v>0</v>
      </c>
      <c r="CH23" s="421">
        <f t="shared" si="25"/>
        <v>0</v>
      </c>
      <c r="CI23" s="96">
        <f t="shared" si="25"/>
        <v>0</v>
      </c>
      <c r="CJ23" s="96">
        <f t="shared" si="25"/>
        <v>0</v>
      </c>
      <c r="CK23" s="96">
        <f t="shared" si="25"/>
        <v>0</v>
      </c>
      <c r="CL23" s="286">
        <f t="shared" si="25"/>
        <v>0</v>
      </c>
      <c r="CM23" s="305" t="s">
        <v>293</v>
      </c>
      <c r="CN23" s="315">
        <v>0.05</v>
      </c>
      <c r="CO23" s="306"/>
      <c r="CP23" s="307" t="str">
        <f>IF($CO23&lt;&gt;"",$CO23,HLOOKUP($CM23,$AY$6:$BA$132,ROWS(CP$6:CP23),0))</f>
        <v/>
      </c>
      <c r="CQ23" s="784" t="str">
        <f t="shared" si="26"/>
        <v/>
      </c>
      <c r="CR23" s="784" t="str">
        <f t="shared" si="26"/>
        <v/>
      </c>
      <c r="CS23" s="524" t="str">
        <f t="shared" si="26"/>
        <v/>
      </c>
      <c r="CT23" s="416" t="str">
        <f t="shared" si="26"/>
        <v/>
      </c>
      <c r="CU23" s="97" t="str">
        <f t="shared" si="26"/>
        <v/>
      </c>
      <c r="CV23" s="97" t="str">
        <f t="shared" si="26"/>
        <v/>
      </c>
      <c r="CW23" s="97" t="str">
        <f t="shared" si="26"/>
        <v/>
      </c>
      <c r="CX23" s="98" t="str">
        <f t="shared" si="26"/>
        <v/>
      </c>
      <c r="CY23" s="392"/>
    </row>
    <row r="24" spans="1:103" x14ac:dyDescent="0.25">
      <c r="A24" s="81" t="s">
        <v>27</v>
      </c>
      <c r="B24" s="82" t="s">
        <v>59</v>
      </c>
      <c r="C24" s="83" t="s">
        <v>60</v>
      </c>
      <c r="D24" s="84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654">
        <f>'2022-23 Input'!I24</f>
        <v>0</v>
      </c>
      <c r="N24" s="1065">
        <v>0</v>
      </c>
      <c r="O24" s="560">
        <f t="shared" si="27"/>
        <v>0</v>
      </c>
      <c r="P24" s="561">
        <f t="shared" si="0"/>
        <v>0</v>
      </c>
      <c r="Q24" s="561">
        <f t="shared" si="1"/>
        <v>0</v>
      </c>
      <c r="R24" s="561">
        <f t="shared" si="2"/>
        <v>0</v>
      </c>
      <c r="S24" s="561">
        <f t="shared" si="3"/>
        <v>0</v>
      </c>
      <c r="T24" s="561">
        <f t="shared" si="4"/>
        <v>0</v>
      </c>
      <c r="U24" s="561">
        <f t="shared" si="5"/>
        <v>0</v>
      </c>
      <c r="V24" s="561">
        <f t="shared" si="6"/>
        <v>0</v>
      </c>
      <c r="W24" s="675">
        <f t="shared" si="7"/>
        <v>0</v>
      </c>
      <c r="X24" s="675">
        <f t="shared" si="8"/>
        <v>0</v>
      </c>
      <c r="Y24" s="675">
        <f t="shared" si="8"/>
        <v>0</v>
      </c>
      <c r="Z24" s="86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1094">
        <f>'2022-23 Input'!P24</f>
        <v>0</v>
      </c>
      <c r="AJ24" s="665">
        <v>0</v>
      </c>
      <c r="AK24" s="88">
        <f t="shared" si="9"/>
        <v>0</v>
      </c>
      <c r="AL24" s="89">
        <f t="shared" si="10"/>
        <v>0</v>
      </c>
      <c r="AM24" s="90">
        <f t="shared" si="11"/>
        <v>0</v>
      </c>
      <c r="AN24" s="91" t="str">
        <f t="shared" si="12"/>
        <v/>
      </c>
      <c r="AO24" s="92" t="str">
        <f t="shared" si="13"/>
        <v/>
      </c>
      <c r="AP24" s="92" t="str">
        <f t="shared" si="14"/>
        <v/>
      </c>
      <c r="AQ24" s="92" t="str">
        <f t="shared" si="15"/>
        <v/>
      </c>
      <c r="AR24" s="92" t="str">
        <f t="shared" si="16"/>
        <v/>
      </c>
      <c r="AS24" s="92" t="str">
        <f t="shared" si="17"/>
        <v/>
      </c>
      <c r="AT24" s="92" t="str">
        <f t="shared" si="18"/>
        <v/>
      </c>
      <c r="AU24" s="92" t="str">
        <f t="shared" si="19"/>
        <v/>
      </c>
      <c r="AV24" s="92" t="str">
        <f t="shared" si="30"/>
        <v/>
      </c>
      <c r="AW24" s="92" t="str">
        <f t="shared" si="30"/>
        <v/>
      </c>
      <c r="AX24" s="92" t="str">
        <f t="shared" si="30"/>
        <v/>
      </c>
      <c r="AY24" s="93" t="str">
        <f t="shared" si="21"/>
        <v/>
      </c>
      <c r="AZ24" s="94" t="str">
        <f t="shared" si="22"/>
        <v/>
      </c>
      <c r="BA24" s="95" t="str">
        <f t="shared" si="23"/>
        <v/>
      </c>
      <c r="BB24" s="248" t="s">
        <v>422</v>
      </c>
      <c r="BC24" s="229" t="s">
        <v>433</v>
      </c>
      <c r="BD24" s="249">
        <v>0</v>
      </c>
      <c r="BE24" s="267">
        <f t="shared" si="28"/>
        <v>0</v>
      </c>
      <c r="BF24" s="268">
        <f t="shared" si="31"/>
        <v>0</v>
      </c>
      <c r="BG24" s="268">
        <f t="shared" si="31"/>
        <v>0</v>
      </c>
      <c r="BH24" s="268">
        <f t="shared" si="31"/>
        <v>1</v>
      </c>
      <c r="BI24" s="268">
        <f t="shared" si="31"/>
        <v>2</v>
      </c>
      <c r="BJ24" s="268">
        <f t="shared" si="31"/>
        <v>3</v>
      </c>
      <c r="BK24" s="268">
        <f t="shared" si="31"/>
        <v>4</v>
      </c>
      <c r="BL24" s="269">
        <f t="shared" si="31"/>
        <v>5</v>
      </c>
      <c r="BM24" s="256">
        <f>IF($BC24=Lookup!$A$2,$BD24*ROUNDUP(BE24/10,0)+1,
IF($BC24=Lookup!$A$3,($BD24+1)^BD24,
IF($BC24=Lookup!$A$4,BE24*$BD24+1,"Error")))</f>
        <v>1</v>
      </c>
      <c r="BN24" s="229">
        <f>IF($BC24=Lookup!$A$2,$BD24*ROUNDUP(BF24/10,0)+1,
IF($BC24=Lookup!$A$3,($BD24+1)^BE24,
IF($BC24=Lookup!$A$4,BF24*$BD24+1,"Error")))</f>
        <v>1</v>
      </c>
      <c r="BO24" s="229">
        <f>IF($BC24=Lookup!$A$2,$BD24*ROUNDUP(BG24/10,0)+1,
IF($BC24=Lookup!$A$3,($BD24+1)^BF24,
IF($BC24=Lookup!$A$4,BG24*$BD24+1,"Error")))</f>
        <v>1</v>
      </c>
      <c r="BP24" s="229">
        <f>IF($BC24=Lookup!$A$2,$BD24*ROUNDUP(BH24/10,0)+1,
IF($BC24=Lookup!$A$3,($BD24+1)^BG24,
IF($BC24=Lookup!$A$4,BH24*$BD24+1,"Error")))</f>
        <v>1</v>
      </c>
      <c r="BQ24" s="229">
        <f>IF($BC24=Lookup!$A$2,$BD24*ROUNDUP(BI24/10,0)+1,
IF($BC24=Lookup!$A$3,($BD24+1)^BH24,
IF($BC24=Lookup!$A$4,BI24*$BD24+1,"Error")))</f>
        <v>1</v>
      </c>
      <c r="BR24" s="229">
        <f>IF($BC24=Lookup!$A$2,$BD24*ROUNDUP(BJ24/10,0)+1,
IF($BC24=Lookup!$A$3,($BD24+1)^BI24,
IF($BC24=Lookup!$A$4,BJ24*$BD24+1,"Error")))</f>
        <v>1</v>
      </c>
      <c r="BS24" s="229">
        <f>IF($BC24=Lookup!$A$2,$BD24*ROUNDUP(BK24/10,0)+1,
IF($BC24=Lookup!$A$3,($BD24+1)^BJ24,
IF($BC24=Lookup!$A$4,BK24*$BD24+1,"Error")))</f>
        <v>1</v>
      </c>
      <c r="BT24" s="249">
        <f>IF($BC24=Lookup!$A$2,$BD24*ROUNDUP(BL24/10,0)+1,
IF($BC24=Lookup!$A$3,($BD24+1)^BK24,
IF($BC24=Lookup!$A$4,BL24*$BD24+1,"Error")))</f>
        <v>1</v>
      </c>
      <c r="BU24" s="320">
        <v>0</v>
      </c>
      <c r="BV24" s="321">
        <v>0</v>
      </c>
      <c r="BW24" s="321">
        <v>0</v>
      </c>
      <c r="BX24" s="321">
        <v>0</v>
      </c>
      <c r="BY24" s="321">
        <v>0</v>
      </c>
      <c r="BZ24" s="321">
        <v>0</v>
      </c>
      <c r="CA24" s="321">
        <v>0</v>
      </c>
      <c r="CB24" s="277">
        <v>0</v>
      </c>
      <c r="CC24" s="382" t="s">
        <v>293</v>
      </c>
      <c r="CD24" s="383">
        <f>HLOOKUP($CC24,$AK$6:$AM$132,ROWS(CD$6:CD24),0)</f>
        <v>0</v>
      </c>
      <c r="CE24" s="234">
        <f t="shared" si="29"/>
        <v>0</v>
      </c>
      <c r="CF24" s="96">
        <f t="shared" si="25"/>
        <v>0</v>
      </c>
      <c r="CG24" s="521">
        <f t="shared" si="25"/>
        <v>0</v>
      </c>
      <c r="CH24" s="421">
        <f t="shared" si="25"/>
        <v>0</v>
      </c>
      <c r="CI24" s="96">
        <f t="shared" si="25"/>
        <v>0</v>
      </c>
      <c r="CJ24" s="96">
        <f t="shared" si="25"/>
        <v>0</v>
      </c>
      <c r="CK24" s="96">
        <f t="shared" si="25"/>
        <v>0</v>
      </c>
      <c r="CL24" s="286">
        <f t="shared" si="25"/>
        <v>0</v>
      </c>
      <c r="CM24" s="305" t="s">
        <v>293</v>
      </c>
      <c r="CN24" s="315">
        <v>0.05</v>
      </c>
      <c r="CO24" s="306"/>
      <c r="CP24" s="307" t="str">
        <f>IF($CO24&lt;&gt;"",$CO24,HLOOKUP($CM24,$AY$6:$BA$132,ROWS(CP$6:CP24),0))</f>
        <v/>
      </c>
      <c r="CQ24" s="784" t="str">
        <f t="shared" si="26"/>
        <v/>
      </c>
      <c r="CR24" s="784" t="str">
        <f t="shared" si="26"/>
        <v/>
      </c>
      <c r="CS24" s="524" t="str">
        <f t="shared" si="26"/>
        <v/>
      </c>
      <c r="CT24" s="416" t="str">
        <f t="shared" si="26"/>
        <v/>
      </c>
      <c r="CU24" s="97" t="str">
        <f t="shared" si="26"/>
        <v/>
      </c>
      <c r="CV24" s="97" t="str">
        <f t="shared" si="26"/>
        <v/>
      </c>
      <c r="CW24" s="97" t="str">
        <f t="shared" si="26"/>
        <v/>
      </c>
      <c r="CX24" s="98" t="str">
        <f t="shared" si="26"/>
        <v/>
      </c>
      <c r="CY24" s="392"/>
    </row>
    <row r="25" spans="1:103" x14ac:dyDescent="0.25">
      <c r="A25" s="81" t="s">
        <v>27</v>
      </c>
      <c r="B25" s="82" t="s">
        <v>61</v>
      </c>
      <c r="C25" s="83" t="s">
        <v>62</v>
      </c>
      <c r="D25" s="84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654">
        <f>'2022-23 Input'!I25</f>
        <v>0</v>
      </c>
      <c r="N25" s="1065">
        <v>0</v>
      </c>
      <c r="O25" s="560">
        <f t="shared" si="27"/>
        <v>0</v>
      </c>
      <c r="P25" s="561">
        <f t="shared" si="0"/>
        <v>0</v>
      </c>
      <c r="Q25" s="561">
        <f t="shared" si="1"/>
        <v>0</v>
      </c>
      <c r="R25" s="561">
        <f t="shared" si="2"/>
        <v>0</v>
      </c>
      <c r="S25" s="561">
        <f t="shared" si="3"/>
        <v>0</v>
      </c>
      <c r="T25" s="561">
        <f t="shared" si="4"/>
        <v>0</v>
      </c>
      <c r="U25" s="561">
        <f t="shared" si="5"/>
        <v>0</v>
      </c>
      <c r="V25" s="561">
        <f t="shared" si="6"/>
        <v>0</v>
      </c>
      <c r="W25" s="675">
        <f t="shared" si="7"/>
        <v>0</v>
      </c>
      <c r="X25" s="675">
        <f t="shared" si="8"/>
        <v>0</v>
      </c>
      <c r="Y25" s="675">
        <f t="shared" si="8"/>
        <v>0</v>
      </c>
      <c r="Z25" s="86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1094">
        <f>'2022-23 Input'!P25</f>
        <v>0</v>
      </c>
      <c r="AJ25" s="665">
        <v>0</v>
      </c>
      <c r="AK25" s="88">
        <f t="shared" si="9"/>
        <v>0</v>
      </c>
      <c r="AL25" s="89">
        <f t="shared" si="10"/>
        <v>0</v>
      </c>
      <c r="AM25" s="90">
        <f t="shared" si="11"/>
        <v>0</v>
      </c>
      <c r="AN25" s="91" t="str">
        <f t="shared" si="12"/>
        <v/>
      </c>
      <c r="AO25" s="92" t="str">
        <f t="shared" si="13"/>
        <v/>
      </c>
      <c r="AP25" s="92" t="str">
        <f t="shared" si="14"/>
        <v/>
      </c>
      <c r="AQ25" s="92" t="str">
        <f t="shared" si="15"/>
        <v/>
      </c>
      <c r="AR25" s="92" t="str">
        <f t="shared" si="16"/>
        <v/>
      </c>
      <c r="AS25" s="92" t="str">
        <f t="shared" si="17"/>
        <v/>
      </c>
      <c r="AT25" s="92" t="str">
        <f t="shared" si="18"/>
        <v/>
      </c>
      <c r="AU25" s="92" t="str">
        <f t="shared" si="19"/>
        <v/>
      </c>
      <c r="AV25" s="92" t="str">
        <f t="shared" si="30"/>
        <v/>
      </c>
      <c r="AW25" s="92" t="str">
        <f t="shared" si="30"/>
        <v/>
      </c>
      <c r="AX25" s="92" t="str">
        <f t="shared" si="30"/>
        <v/>
      </c>
      <c r="AY25" s="93" t="str">
        <f t="shared" si="21"/>
        <v/>
      </c>
      <c r="AZ25" s="94" t="str">
        <f t="shared" si="22"/>
        <v/>
      </c>
      <c r="BA25" s="95" t="str">
        <f t="shared" si="23"/>
        <v/>
      </c>
      <c r="BB25" s="248" t="s">
        <v>422</v>
      </c>
      <c r="BC25" s="229" t="s">
        <v>433</v>
      </c>
      <c r="BD25" s="249">
        <v>0</v>
      </c>
      <c r="BE25" s="267">
        <f t="shared" si="28"/>
        <v>0</v>
      </c>
      <c r="BF25" s="268">
        <f t="shared" si="31"/>
        <v>0</v>
      </c>
      <c r="BG25" s="268">
        <f t="shared" si="31"/>
        <v>0</v>
      </c>
      <c r="BH25" s="268">
        <f t="shared" si="31"/>
        <v>1</v>
      </c>
      <c r="BI25" s="268">
        <f t="shared" si="31"/>
        <v>2</v>
      </c>
      <c r="BJ25" s="268">
        <f t="shared" si="31"/>
        <v>3</v>
      </c>
      <c r="BK25" s="268">
        <f t="shared" si="31"/>
        <v>4</v>
      </c>
      <c r="BL25" s="269">
        <f t="shared" si="31"/>
        <v>5</v>
      </c>
      <c r="BM25" s="256">
        <f>IF($BC25=Lookup!$A$2,$BD25*ROUNDUP(BE25/10,0)+1,
IF($BC25=Lookup!$A$3,($BD25+1)^BD25,
IF($BC25=Lookup!$A$4,BE25*$BD25+1,"Error")))</f>
        <v>1</v>
      </c>
      <c r="BN25" s="229">
        <f>IF($BC25=Lookup!$A$2,$BD25*ROUNDUP(BF25/10,0)+1,
IF($BC25=Lookup!$A$3,($BD25+1)^BE25,
IF($BC25=Lookup!$A$4,BF25*$BD25+1,"Error")))</f>
        <v>1</v>
      </c>
      <c r="BO25" s="229">
        <f>IF($BC25=Lookup!$A$2,$BD25*ROUNDUP(BG25/10,0)+1,
IF($BC25=Lookup!$A$3,($BD25+1)^BF25,
IF($BC25=Lookup!$A$4,BG25*$BD25+1,"Error")))</f>
        <v>1</v>
      </c>
      <c r="BP25" s="229">
        <f>IF($BC25=Lookup!$A$2,$BD25*ROUNDUP(BH25/10,0)+1,
IF($BC25=Lookup!$A$3,($BD25+1)^BG25,
IF($BC25=Lookup!$A$4,BH25*$BD25+1,"Error")))</f>
        <v>1</v>
      </c>
      <c r="BQ25" s="229">
        <f>IF($BC25=Lookup!$A$2,$BD25*ROUNDUP(BI25/10,0)+1,
IF($BC25=Lookup!$A$3,($BD25+1)^BH25,
IF($BC25=Lookup!$A$4,BI25*$BD25+1,"Error")))</f>
        <v>1</v>
      </c>
      <c r="BR25" s="229">
        <f>IF($BC25=Lookup!$A$2,$BD25*ROUNDUP(BJ25/10,0)+1,
IF($BC25=Lookup!$A$3,($BD25+1)^BI25,
IF($BC25=Lookup!$A$4,BJ25*$BD25+1,"Error")))</f>
        <v>1</v>
      </c>
      <c r="BS25" s="229">
        <f>IF($BC25=Lookup!$A$2,$BD25*ROUNDUP(BK25/10,0)+1,
IF($BC25=Lookup!$A$3,($BD25+1)^BJ25,
IF($BC25=Lookup!$A$4,BK25*$BD25+1,"Error")))</f>
        <v>1</v>
      </c>
      <c r="BT25" s="249">
        <f>IF($BC25=Lookup!$A$2,$BD25*ROUNDUP(BL25/10,0)+1,
IF($BC25=Lookup!$A$3,($BD25+1)^BK25,
IF($BC25=Lookup!$A$4,BL25*$BD25+1,"Error")))</f>
        <v>1</v>
      </c>
      <c r="BU25" s="320">
        <v>0</v>
      </c>
      <c r="BV25" s="321">
        <v>0</v>
      </c>
      <c r="BW25" s="321">
        <v>0</v>
      </c>
      <c r="BX25" s="321">
        <v>0</v>
      </c>
      <c r="BY25" s="321">
        <v>0</v>
      </c>
      <c r="BZ25" s="321">
        <v>0</v>
      </c>
      <c r="CA25" s="321">
        <v>0</v>
      </c>
      <c r="CB25" s="277">
        <v>0</v>
      </c>
      <c r="CC25" s="382" t="s">
        <v>293</v>
      </c>
      <c r="CD25" s="383">
        <f>HLOOKUP($CC25,$AK$6:$AM$132,ROWS(CD$6:CD25),0)</f>
        <v>0</v>
      </c>
      <c r="CE25" s="234">
        <f t="shared" si="29"/>
        <v>0</v>
      </c>
      <c r="CF25" s="96">
        <f t="shared" si="25"/>
        <v>0</v>
      </c>
      <c r="CG25" s="521">
        <f t="shared" si="25"/>
        <v>0</v>
      </c>
      <c r="CH25" s="421">
        <f t="shared" si="25"/>
        <v>0</v>
      </c>
      <c r="CI25" s="96">
        <f t="shared" si="25"/>
        <v>0</v>
      </c>
      <c r="CJ25" s="96">
        <f t="shared" si="25"/>
        <v>0</v>
      </c>
      <c r="CK25" s="96">
        <f t="shared" si="25"/>
        <v>0</v>
      </c>
      <c r="CL25" s="286">
        <f t="shared" si="25"/>
        <v>0</v>
      </c>
      <c r="CM25" s="305" t="s">
        <v>293</v>
      </c>
      <c r="CN25" s="315">
        <v>0.05</v>
      </c>
      <c r="CO25" s="306"/>
      <c r="CP25" s="307" t="str">
        <f>IF($CO25&lt;&gt;"",$CO25,HLOOKUP($CM25,$AY$6:$BA$132,ROWS(CP$6:CP25),0))</f>
        <v/>
      </c>
      <c r="CQ25" s="784" t="str">
        <f t="shared" si="26"/>
        <v/>
      </c>
      <c r="CR25" s="784" t="str">
        <f t="shared" si="26"/>
        <v/>
      </c>
      <c r="CS25" s="524" t="str">
        <f t="shared" si="26"/>
        <v/>
      </c>
      <c r="CT25" s="416" t="str">
        <f t="shared" si="26"/>
        <v/>
      </c>
      <c r="CU25" s="97" t="str">
        <f t="shared" si="26"/>
        <v/>
      </c>
      <c r="CV25" s="97" t="str">
        <f t="shared" si="26"/>
        <v/>
      </c>
      <c r="CW25" s="97" t="str">
        <f t="shared" si="26"/>
        <v/>
      </c>
      <c r="CX25" s="98" t="str">
        <f t="shared" si="26"/>
        <v/>
      </c>
      <c r="CY25" s="392"/>
    </row>
    <row r="26" spans="1:103" ht="15.75" thickBot="1" x14ac:dyDescent="0.3">
      <c r="A26" s="100" t="s">
        <v>27</v>
      </c>
      <c r="B26" s="101" t="s">
        <v>303</v>
      </c>
      <c r="C26" s="102" t="s">
        <v>304</v>
      </c>
      <c r="D26" s="103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655">
        <f>'2022-23 Input'!I26</f>
        <v>0</v>
      </c>
      <c r="N26" s="1066">
        <v>0</v>
      </c>
      <c r="O26" s="563">
        <f t="shared" si="27"/>
        <v>0</v>
      </c>
      <c r="P26" s="564">
        <f t="shared" si="0"/>
        <v>0</v>
      </c>
      <c r="Q26" s="564">
        <f t="shared" si="1"/>
        <v>0</v>
      </c>
      <c r="R26" s="564">
        <f t="shared" si="2"/>
        <v>0</v>
      </c>
      <c r="S26" s="564">
        <f t="shared" si="3"/>
        <v>0</v>
      </c>
      <c r="T26" s="564">
        <f t="shared" si="4"/>
        <v>0</v>
      </c>
      <c r="U26" s="564">
        <f t="shared" si="5"/>
        <v>0</v>
      </c>
      <c r="V26" s="564">
        <f t="shared" si="6"/>
        <v>0</v>
      </c>
      <c r="W26" s="676">
        <f t="shared" si="7"/>
        <v>0</v>
      </c>
      <c r="X26" s="676">
        <f t="shared" si="8"/>
        <v>0</v>
      </c>
      <c r="Y26" s="676">
        <f t="shared" si="8"/>
        <v>0</v>
      </c>
      <c r="Z26" s="105">
        <v>0</v>
      </c>
      <c r="AA26" s="106">
        <v>0</v>
      </c>
      <c r="AB26" s="106">
        <v>0</v>
      </c>
      <c r="AC26" s="106">
        <v>0</v>
      </c>
      <c r="AD26" s="106">
        <v>0</v>
      </c>
      <c r="AE26" s="106">
        <v>0</v>
      </c>
      <c r="AF26" s="106">
        <v>0</v>
      </c>
      <c r="AG26" s="106">
        <v>0</v>
      </c>
      <c r="AH26" s="106">
        <v>0</v>
      </c>
      <c r="AI26" s="1095">
        <f>'2022-23 Input'!P26</f>
        <v>0</v>
      </c>
      <c r="AJ26" s="666">
        <v>0</v>
      </c>
      <c r="AK26" s="107">
        <f t="shared" si="9"/>
        <v>0</v>
      </c>
      <c r="AL26" s="108">
        <f t="shared" si="10"/>
        <v>0</v>
      </c>
      <c r="AM26" s="109">
        <f t="shared" si="11"/>
        <v>0</v>
      </c>
      <c r="AN26" s="110" t="str">
        <f t="shared" si="12"/>
        <v/>
      </c>
      <c r="AO26" s="111" t="str">
        <f t="shared" si="13"/>
        <v/>
      </c>
      <c r="AP26" s="111" t="str">
        <f t="shared" si="14"/>
        <v/>
      </c>
      <c r="AQ26" s="111" t="str">
        <f t="shared" si="15"/>
        <v/>
      </c>
      <c r="AR26" s="111" t="str">
        <f t="shared" si="16"/>
        <v/>
      </c>
      <c r="AS26" s="111" t="str">
        <f t="shared" si="17"/>
        <v/>
      </c>
      <c r="AT26" s="111" t="str">
        <f t="shared" si="18"/>
        <v/>
      </c>
      <c r="AU26" s="111" t="str">
        <f t="shared" si="19"/>
        <v/>
      </c>
      <c r="AV26" s="111" t="str">
        <f t="shared" si="30"/>
        <v/>
      </c>
      <c r="AW26" s="111" t="str">
        <f t="shared" si="30"/>
        <v/>
      </c>
      <c r="AX26" s="111" t="str">
        <f t="shared" si="30"/>
        <v/>
      </c>
      <c r="AY26" s="112" t="str">
        <f t="shared" si="21"/>
        <v/>
      </c>
      <c r="AZ26" s="113" t="str">
        <f t="shared" si="22"/>
        <v/>
      </c>
      <c r="BA26" s="114" t="str">
        <f t="shared" si="23"/>
        <v/>
      </c>
      <c r="BB26" s="250" t="s">
        <v>422</v>
      </c>
      <c r="BC26" s="230" t="s">
        <v>433</v>
      </c>
      <c r="BD26" s="251">
        <v>0</v>
      </c>
      <c r="BE26" s="270">
        <f t="shared" si="28"/>
        <v>0</v>
      </c>
      <c r="BF26" s="271">
        <f t="shared" si="31"/>
        <v>0</v>
      </c>
      <c r="BG26" s="271">
        <f t="shared" si="31"/>
        <v>0</v>
      </c>
      <c r="BH26" s="271">
        <f t="shared" si="31"/>
        <v>1</v>
      </c>
      <c r="BI26" s="271">
        <f t="shared" si="31"/>
        <v>2</v>
      </c>
      <c r="BJ26" s="271">
        <f t="shared" si="31"/>
        <v>3</v>
      </c>
      <c r="BK26" s="271">
        <f t="shared" si="31"/>
        <v>4</v>
      </c>
      <c r="BL26" s="272">
        <f t="shared" si="31"/>
        <v>5</v>
      </c>
      <c r="BM26" s="257">
        <f>IF($BC26=Lookup!$A$2,$BD26*ROUNDUP(BE26/10,0)+1,
IF($BC26=Lookup!$A$3,($BD26+1)^BD26,
IF($BC26=Lookup!$A$4,BE26*$BD26+1,"Error")))</f>
        <v>1</v>
      </c>
      <c r="BN26" s="230">
        <f>IF($BC26=Lookup!$A$2,$BD26*ROUNDUP(BF26/10,0)+1,
IF($BC26=Lookup!$A$3,($BD26+1)^BE26,
IF($BC26=Lookup!$A$4,BF26*$BD26+1,"Error")))</f>
        <v>1</v>
      </c>
      <c r="BO26" s="230">
        <f>IF($BC26=Lookup!$A$2,$BD26*ROUNDUP(BG26/10,0)+1,
IF($BC26=Lookup!$A$3,($BD26+1)^BF26,
IF($BC26=Lookup!$A$4,BG26*$BD26+1,"Error")))</f>
        <v>1</v>
      </c>
      <c r="BP26" s="230">
        <f>IF($BC26=Lookup!$A$2,$BD26*ROUNDUP(BH26/10,0)+1,
IF($BC26=Lookup!$A$3,($BD26+1)^BG26,
IF($BC26=Lookup!$A$4,BH26*$BD26+1,"Error")))</f>
        <v>1</v>
      </c>
      <c r="BQ26" s="230">
        <f>IF($BC26=Lookup!$A$2,$BD26*ROUNDUP(BI26/10,0)+1,
IF($BC26=Lookup!$A$3,($BD26+1)^BH26,
IF($BC26=Lookup!$A$4,BI26*$BD26+1,"Error")))</f>
        <v>1</v>
      </c>
      <c r="BR26" s="230">
        <f>IF($BC26=Lookup!$A$2,$BD26*ROUNDUP(BJ26/10,0)+1,
IF($BC26=Lookup!$A$3,($BD26+1)^BI26,
IF($BC26=Lookup!$A$4,BJ26*$BD26+1,"Error")))</f>
        <v>1</v>
      </c>
      <c r="BS26" s="230">
        <f>IF($BC26=Lookup!$A$2,$BD26*ROUNDUP(BK26/10,0)+1,
IF($BC26=Lookup!$A$3,($BD26+1)^BJ26,
IF($BC26=Lookup!$A$4,BK26*$BD26+1,"Error")))</f>
        <v>1</v>
      </c>
      <c r="BT26" s="251">
        <f>IF($BC26=Lookup!$A$2,$BD26*ROUNDUP(BL26/10,0)+1,
IF($BC26=Lookup!$A$3,($BD26+1)^BK26,
IF($BC26=Lookup!$A$4,BL26*$BD26+1,"Error")))</f>
        <v>1</v>
      </c>
      <c r="BU26" s="322">
        <v>0</v>
      </c>
      <c r="BV26" s="323">
        <v>0</v>
      </c>
      <c r="BW26" s="323">
        <v>0</v>
      </c>
      <c r="BX26" s="323">
        <v>0</v>
      </c>
      <c r="BY26" s="323">
        <v>0</v>
      </c>
      <c r="BZ26" s="323">
        <v>0</v>
      </c>
      <c r="CA26" s="323">
        <v>0</v>
      </c>
      <c r="CB26" s="278">
        <v>0</v>
      </c>
      <c r="CC26" s="384" t="s">
        <v>293</v>
      </c>
      <c r="CD26" s="385">
        <f>HLOOKUP($CC26,$AK$6:$AM$132,ROWS(CD$6:CD26),0)</f>
        <v>0</v>
      </c>
      <c r="CE26" s="235">
        <f t="shared" si="29"/>
        <v>0</v>
      </c>
      <c r="CF26" s="115">
        <f t="shared" si="25"/>
        <v>0</v>
      </c>
      <c r="CG26" s="522">
        <f t="shared" si="25"/>
        <v>0</v>
      </c>
      <c r="CH26" s="422">
        <f t="shared" si="25"/>
        <v>0</v>
      </c>
      <c r="CI26" s="115">
        <f t="shared" si="25"/>
        <v>0</v>
      </c>
      <c r="CJ26" s="115">
        <f t="shared" si="25"/>
        <v>0</v>
      </c>
      <c r="CK26" s="115">
        <f t="shared" si="25"/>
        <v>0</v>
      </c>
      <c r="CL26" s="287">
        <f t="shared" si="25"/>
        <v>0</v>
      </c>
      <c r="CM26" s="308" t="s">
        <v>293</v>
      </c>
      <c r="CN26" s="316">
        <v>0.05</v>
      </c>
      <c r="CO26" s="309"/>
      <c r="CP26" s="310" t="str">
        <f>IF($CO26&lt;&gt;"",$CO26,HLOOKUP($CM26,$AY$6:$BA$132,ROWS(CP$6:CP26),0))</f>
        <v/>
      </c>
      <c r="CQ26" s="785" t="str">
        <f t="shared" si="26"/>
        <v/>
      </c>
      <c r="CR26" s="785" t="str">
        <f t="shared" si="26"/>
        <v/>
      </c>
      <c r="CS26" s="638" t="str">
        <f t="shared" si="26"/>
        <v/>
      </c>
      <c r="CT26" s="467" t="str">
        <f t="shared" si="26"/>
        <v/>
      </c>
      <c r="CU26" s="117" t="str">
        <f t="shared" si="26"/>
        <v/>
      </c>
      <c r="CV26" s="117" t="str">
        <f t="shared" si="26"/>
        <v/>
      </c>
      <c r="CW26" s="117" t="str">
        <f t="shared" si="26"/>
        <v/>
      </c>
      <c r="CX26" s="118" t="str">
        <f t="shared" si="26"/>
        <v/>
      </c>
      <c r="CY26" s="393"/>
    </row>
    <row r="27" spans="1:103" x14ac:dyDescent="0.25">
      <c r="A27" s="63" t="s">
        <v>68</v>
      </c>
      <c r="B27" s="64" t="s">
        <v>65</v>
      </c>
      <c r="C27" s="65" t="s">
        <v>305</v>
      </c>
      <c r="D27" s="66">
        <v>536878.08944007196</v>
      </c>
      <c r="E27" s="67">
        <v>723440.14732995722</v>
      </c>
      <c r="F27" s="67">
        <v>376575.22868861817</v>
      </c>
      <c r="G27" s="67">
        <v>472765.51902833674</v>
      </c>
      <c r="H27" s="67">
        <v>294882.36806088313</v>
      </c>
      <c r="I27" s="67">
        <v>671479.59224594629</v>
      </c>
      <c r="J27" s="67">
        <v>2212715.3607887151</v>
      </c>
      <c r="K27" s="67">
        <v>198871.10010262203</v>
      </c>
      <c r="L27" s="67">
        <v>2164319.2001054836</v>
      </c>
      <c r="M27" s="653">
        <f>'2022-23 Input'!I27</f>
        <v>67894.502821010014</v>
      </c>
      <c r="N27" s="1064">
        <v>162843.36647627898</v>
      </c>
      <c r="O27" s="557">
        <f t="shared" si="27"/>
        <v>722346.01808069844</v>
      </c>
      <c r="P27" s="558">
        <f t="shared" si="0"/>
        <v>958869.942086144</v>
      </c>
      <c r="Q27" s="558">
        <f t="shared" si="1"/>
        <v>494068.86449393485</v>
      </c>
      <c r="R27" s="558">
        <f t="shared" si="2"/>
        <v>608504.41827403114</v>
      </c>
      <c r="S27" s="558">
        <f t="shared" si="3"/>
        <v>371822.72116494837</v>
      </c>
      <c r="T27" s="558">
        <f t="shared" si="4"/>
        <v>833405.75068056828</v>
      </c>
      <c r="U27" s="558">
        <f t="shared" si="5"/>
        <v>2755910.3713291758</v>
      </c>
      <c r="V27" s="558">
        <f t="shared" si="6"/>
        <v>238517.80190465838</v>
      </c>
      <c r="W27" s="674">
        <f t="shared" si="7"/>
        <v>2445523.2072095224</v>
      </c>
      <c r="X27" s="674">
        <f t="shared" si="8"/>
        <v>72203.150846593664</v>
      </c>
      <c r="Y27" s="674">
        <f t="shared" si="8"/>
        <v>167321.31142108029</v>
      </c>
      <c r="Z27" s="68">
        <v>215</v>
      </c>
      <c r="AA27" s="69">
        <v>761</v>
      </c>
      <c r="AB27" s="69">
        <v>525</v>
      </c>
      <c r="AC27" s="69">
        <v>770</v>
      </c>
      <c r="AD27" s="69">
        <v>809</v>
      </c>
      <c r="AE27" s="69">
        <v>554</v>
      </c>
      <c r="AF27" s="69">
        <v>866</v>
      </c>
      <c r="AG27" s="69">
        <v>58</v>
      </c>
      <c r="AH27" s="69">
        <v>268</v>
      </c>
      <c r="AI27" s="1093">
        <f>'2022-23 Input'!P27</f>
        <v>57</v>
      </c>
      <c r="AJ27" s="664">
        <v>40</v>
      </c>
      <c r="AK27" s="70">
        <f t="shared" si="9"/>
        <v>360.6</v>
      </c>
      <c r="AL27" s="71">
        <f t="shared" si="10"/>
        <v>127.66666666666667</v>
      </c>
      <c r="AM27" s="72">
        <f t="shared" si="11"/>
        <v>57</v>
      </c>
      <c r="AN27" s="73">
        <f t="shared" si="12"/>
        <v>2497.1073927445209</v>
      </c>
      <c r="AO27" s="74">
        <f t="shared" si="13"/>
        <v>950.64408321939186</v>
      </c>
      <c r="AP27" s="74">
        <f t="shared" si="14"/>
        <v>717.2861498830822</v>
      </c>
      <c r="AQ27" s="74">
        <f t="shared" si="15"/>
        <v>613.98119354329447</v>
      </c>
      <c r="AR27" s="74">
        <f t="shared" si="16"/>
        <v>364.50230909874307</v>
      </c>
      <c r="AS27" s="74">
        <f t="shared" si="17"/>
        <v>1212.0570257147044</v>
      </c>
      <c r="AT27" s="74">
        <f t="shared" si="18"/>
        <v>2555.0985690400867</v>
      </c>
      <c r="AU27" s="74">
        <f t="shared" si="19"/>
        <v>3428.8120707348626</v>
      </c>
      <c r="AV27" s="74">
        <f t="shared" si="30"/>
        <v>8075.8179108413569</v>
      </c>
      <c r="AW27" s="74">
        <f t="shared" si="30"/>
        <v>1191.1316284387722</v>
      </c>
      <c r="AX27" s="74">
        <f t="shared" si="30"/>
        <v>4071.0841619069747</v>
      </c>
      <c r="AY27" s="75">
        <f t="shared" si="21"/>
        <v>2948.0198314274962</v>
      </c>
      <c r="AZ27" s="76">
        <f t="shared" si="22"/>
        <v>6347.4799034702764</v>
      </c>
      <c r="BA27" s="77">
        <f t="shared" si="23"/>
        <v>1191.1316284387722</v>
      </c>
      <c r="BB27" s="246" t="s">
        <v>422</v>
      </c>
      <c r="BC27" s="228" t="s">
        <v>433</v>
      </c>
      <c r="BD27" s="247">
        <v>0</v>
      </c>
      <c r="BE27" s="264">
        <f t="shared" si="28"/>
        <v>0</v>
      </c>
      <c r="BF27" s="265">
        <f t="shared" si="31"/>
        <v>0</v>
      </c>
      <c r="BG27" s="265">
        <f t="shared" si="31"/>
        <v>0</v>
      </c>
      <c r="BH27" s="265">
        <f t="shared" si="31"/>
        <v>1</v>
      </c>
      <c r="BI27" s="265">
        <f t="shared" si="31"/>
        <v>2</v>
      </c>
      <c r="BJ27" s="265">
        <f t="shared" si="31"/>
        <v>3</v>
      </c>
      <c r="BK27" s="265">
        <f t="shared" si="31"/>
        <v>4</v>
      </c>
      <c r="BL27" s="266">
        <f t="shared" si="31"/>
        <v>5</v>
      </c>
      <c r="BM27" s="255">
        <f>IF($BC27=Lookup!$A$2,$BD27*ROUNDUP(BE27/10,0)+1,
IF($BC27=Lookup!$A$3,($BD27+1)^BD27,
IF($BC27=Lookup!$A$4,BE27*$BD27+1,"Error")))</f>
        <v>1</v>
      </c>
      <c r="BN27" s="228">
        <f>IF($BC27=Lookup!$A$2,$BD27*ROUNDUP(BF27/10,0)+1,
IF($BC27=Lookup!$A$3,($BD27+1)^BE27,
IF($BC27=Lookup!$A$4,BF27*$BD27+1,"Error")))</f>
        <v>1</v>
      </c>
      <c r="BO27" s="228">
        <f>IF($BC27=Lookup!$A$2,$BD27*ROUNDUP(BG27/10,0)+1,
IF($BC27=Lookup!$A$3,($BD27+1)^BF27,
IF($BC27=Lookup!$A$4,BG27*$BD27+1,"Error")))</f>
        <v>1</v>
      </c>
      <c r="BP27" s="228">
        <f>IF($BC27=Lookup!$A$2,$BD27*ROUNDUP(BH27/10,0)+1,
IF($BC27=Lookup!$A$3,($BD27+1)^BG27,
IF($BC27=Lookup!$A$4,BH27*$BD27+1,"Error")))</f>
        <v>1</v>
      </c>
      <c r="BQ27" s="228">
        <f>IF($BC27=Lookup!$A$2,$BD27*ROUNDUP(BI27/10,0)+1,
IF($BC27=Lookup!$A$3,($BD27+1)^BH27,
IF($BC27=Lookup!$A$4,BI27*$BD27+1,"Error")))</f>
        <v>1</v>
      </c>
      <c r="BR27" s="228">
        <f>IF($BC27=Lookup!$A$2,$BD27*ROUNDUP(BJ27/10,0)+1,
IF($BC27=Lookup!$A$3,($BD27+1)^BI27,
IF($BC27=Lookup!$A$4,BJ27*$BD27+1,"Error")))</f>
        <v>1</v>
      </c>
      <c r="BS27" s="228">
        <f>IF($BC27=Lookup!$A$2,$BD27*ROUNDUP(BK27/10,0)+1,
IF($BC27=Lookup!$A$3,($BD27+1)^BJ27,
IF($BC27=Lookup!$A$4,BK27*$BD27+1,"Error")))</f>
        <v>1</v>
      </c>
      <c r="BT27" s="247">
        <f>IF($BC27=Lookup!$A$2,$BD27*ROUNDUP(BL27/10,0)+1,
IF($BC27=Lookup!$A$3,($BD27+1)^BK27,
IF($BC27=Lookup!$A$4,BL27*$BD27+1,"Error")))</f>
        <v>1</v>
      </c>
      <c r="BU27" s="318"/>
      <c r="BV27" s="319"/>
      <c r="BW27" s="319"/>
      <c r="BX27" s="319">
        <v>2468.4210526315787</v>
      </c>
      <c r="BY27" s="319">
        <v>2468.4210526315787</v>
      </c>
      <c r="BZ27" s="319">
        <v>2468.4210526315787</v>
      </c>
      <c r="CA27" s="319">
        <v>2468.4210526315787</v>
      </c>
      <c r="CB27" s="276">
        <v>2468.4210526315787</v>
      </c>
      <c r="CC27" s="380" t="s">
        <v>293</v>
      </c>
      <c r="CD27" s="381">
        <f>HLOOKUP($CC27,$AK$6:$AM$132,ROWS(CD$6:CD27),0)</f>
        <v>127.66666666666667</v>
      </c>
      <c r="CE27" s="233">
        <f t="shared" si="29"/>
        <v>127.66666666666667</v>
      </c>
      <c r="CF27" s="78">
        <f t="shared" si="25"/>
        <v>127.66666666666667</v>
      </c>
      <c r="CG27" s="797">
        <f t="shared" si="25"/>
        <v>127.66666666666667</v>
      </c>
      <c r="CH27" s="806">
        <f t="shared" si="25"/>
        <v>2468.4210526315787</v>
      </c>
      <c r="CI27" s="78">
        <f t="shared" si="25"/>
        <v>2468.4210526315787</v>
      </c>
      <c r="CJ27" s="78">
        <f t="shared" si="25"/>
        <v>2468.4210526315787</v>
      </c>
      <c r="CK27" s="78">
        <f t="shared" si="25"/>
        <v>2468.4210526315787</v>
      </c>
      <c r="CL27" s="285">
        <f t="shared" si="25"/>
        <v>2468.4210526315787</v>
      </c>
      <c r="CM27" s="302" t="s">
        <v>293</v>
      </c>
      <c r="CN27" s="314">
        <v>0.05</v>
      </c>
      <c r="CO27" s="303">
        <f>'Defect P2'!CP27</f>
        <v>2479.8118912590398</v>
      </c>
      <c r="CP27" s="304">
        <f>IF($CO27&lt;&gt;"",$CO27,HLOOKUP($CM27,$AY$6:$BA$132,ROWS(CP$6:CP27),0))</f>
        <v>2479.8118912590398</v>
      </c>
      <c r="CQ27" s="783">
        <f t="shared" si="26"/>
        <v>316589.31811740412</v>
      </c>
      <c r="CR27" s="783">
        <f t="shared" si="26"/>
        <v>316589.31811740412</v>
      </c>
      <c r="CS27" s="523">
        <f t="shared" si="26"/>
        <v>316589.31811740412</v>
      </c>
      <c r="CT27" s="415">
        <f t="shared" si="26"/>
        <v>6121219.8789499449</v>
      </c>
      <c r="CU27" s="79">
        <f t="shared" si="26"/>
        <v>6121219.8789499449</v>
      </c>
      <c r="CV27" s="79">
        <f t="shared" si="26"/>
        <v>6121219.8789499449</v>
      </c>
      <c r="CW27" s="79">
        <f t="shared" si="26"/>
        <v>6121219.8789499449</v>
      </c>
      <c r="CX27" s="80">
        <f t="shared" si="26"/>
        <v>6121219.8789499449</v>
      </c>
      <c r="CY27" s="391" t="s">
        <v>465</v>
      </c>
    </row>
    <row r="28" spans="1:103" x14ac:dyDescent="0.25">
      <c r="A28" s="81" t="s">
        <v>68</v>
      </c>
      <c r="B28" s="82" t="s">
        <v>69</v>
      </c>
      <c r="C28" s="83" t="s">
        <v>70</v>
      </c>
      <c r="D28" s="84">
        <v>740826.9368296857</v>
      </c>
      <c r="E28" s="85">
        <v>1114245.6131757339</v>
      </c>
      <c r="F28" s="85">
        <v>-361901.77247229125</v>
      </c>
      <c r="G28" s="85">
        <v>1242481.8392397771</v>
      </c>
      <c r="H28" s="85">
        <v>180900.9878649842</v>
      </c>
      <c r="I28" s="85">
        <v>406282.45764999022</v>
      </c>
      <c r="J28" s="85">
        <v>1448917.5108230454</v>
      </c>
      <c r="K28" s="85">
        <v>23893.638424165001</v>
      </c>
      <c r="L28" s="85">
        <v>1453066.4510172301</v>
      </c>
      <c r="M28" s="654">
        <f>'2022-23 Input'!I28</f>
        <v>82384.444252652975</v>
      </c>
      <c r="N28" s="1065">
        <v>0</v>
      </c>
      <c r="O28" s="560">
        <f t="shared" si="27"/>
        <v>996750.28359595209</v>
      </c>
      <c r="P28" s="561">
        <f t="shared" si="0"/>
        <v>1476855.5913282165</v>
      </c>
      <c r="Q28" s="561">
        <f t="shared" si="1"/>
        <v>-474817.20559898205</v>
      </c>
      <c r="R28" s="561">
        <f t="shared" si="2"/>
        <v>1599219.1866203595</v>
      </c>
      <c r="S28" s="561">
        <f t="shared" si="3"/>
        <v>228101.45622371766</v>
      </c>
      <c r="T28" s="561">
        <f t="shared" si="4"/>
        <v>504256.77938119107</v>
      </c>
      <c r="U28" s="561">
        <f t="shared" si="5"/>
        <v>1804609.3347742485</v>
      </c>
      <c r="V28" s="561">
        <f t="shared" si="6"/>
        <v>28657.045259445327</v>
      </c>
      <c r="W28" s="675">
        <f t="shared" si="7"/>
        <v>1641859.3557766459</v>
      </c>
      <c r="X28" s="675">
        <f t="shared" si="8"/>
        <v>87612.63738050891</v>
      </c>
      <c r="Y28" s="675">
        <f t="shared" si="8"/>
        <v>0</v>
      </c>
      <c r="Z28" s="86">
        <v>651</v>
      </c>
      <c r="AA28" s="87">
        <v>973</v>
      </c>
      <c r="AB28" s="87">
        <v>423</v>
      </c>
      <c r="AC28" s="87">
        <v>426</v>
      </c>
      <c r="AD28" s="87">
        <v>757</v>
      </c>
      <c r="AE28" s="87">
        <v>177</v>
      </c>
      <c r="AF28" s="87">
        <v>618</v>
      </c>
      <c r="AG28" s="87">
        <v>3</v>
      </c>
      <c r="AH28" s="87">
        <v>149</v>
      </c>
      <c r="AI28" s="1094">
        <f>'2022-23 Input'!P28</f>
        <v>34</v>
      </c>
      <c r="AJ28" s="665">
        <v>40</v>
      </c>
      <c r="AK28" s="88">
        <f t="shared" si="9"/>
        <v>196.2</v>
      </c>
      <c r="AL28" s="89">
        <f t="shared" si="10"/>
        <v>62</v>
      </c>
      <c r="AM28" s="90">
        <f t="shared" si="11"/>
        <v>34</v>
      </c>
      <c r="AN28" s="91">
        <f t="shared" si="12"/>
        <v>1137.9830058827738</v>
      </c>
      <c r="AO28" s="92">
        <f t="shared" si="13"/>
        <v>1145.165070067558</v>
      </c>
      <c r="AP28" s="92">
        <f t="shared" si="14"/>
        <v>-855.55974579737881</v>
      </c>
      <c r="AQ28" s="92">
        <f t="shared" si="15"/>
        <v>2916.6240357741244</v>
      </c>
      <c r="AR28" s="92">
        <f t="shared" si="16"/>
        <v>238.97092188240978</v>
      </c>
      <c r="AS28" s="92">
        <f t="shared" si="17"/>
        <v>2295.3811166666114</v>
      </c>
      <c r="AT28" s="92">
        <f t="shared" si="18"/>
        <v>2344.5267165421446</v>
      </c>
      <c r="AU28" s="92">
        <f t="shared" si="19"/>
        <v>7964.546141388334</v>
      </c>
      <c r="AV28" s="92">
        <f t="shared" si="30"/>
        <v>9752.1238323304024</v>
      </c>
      <c r="AW28" s="92">
        <f t="shared" si="30"/>
        <v>2423.071889783911</v>
      </c>
      <c r="AX28" s="92">
        <f t="shared" si="30"/>
        <v>0</v>
      </c>
      <c r="AY28" s="93">
        <f t="shared" si="21"/>
        <v>3480.677372239637</v>
      </c>
      <c r="AZ28" s="94">
        <f t="shared" si="22"/>
        <v>8383.5727617959583</v>
      </c>
      <c r="BA28" s="95">
        <f t="shared" si="23"/>
        <v>2423.071889783911</v>
      </c>
      <c r="BB28" s="248" t="s">
        <v>422</v>
      </c>
      <c r="BC28" s="229" t="s">
        <v>433</v>
      </c>
      <c r="BD28" s="249">
        <v>0</v>
      </c>
      <c r="BE28" s="267">
        <f t="shared" si="28"/>
        <v>0</v>
      </c>
      <c r="BF28" s="268">
        <f t="shared" si="31"/>
        <v>0</v>
      </c>
      <c r="BG28" s="268">
        <f t="shared" si="31"/>
        <v>0</v>
      </c>
      <c r="BH28" s="268">
        <f t="shared" si="31"/>
        <v>1</v>
      </c>
      <c r="BI28" s="268">
        <f t="shared" si="31"/>
        <v>2</v>
      </c>
      <c r="BJ28" s="268">
        <f t="shared" si="31"/>
        <v>3</v>
      </c>
      <c r="BK28" s="268">
        <f t="shared" si="31"/>
        <v>4</v>
      </c>
      <c r="BL28" s="269">
        <f t="shared" si="31"/>
        <v>5</v>
      </c>
      <c r="BM28" s="256">
        <f>IF($BC28=Lookup!$A$2,$BD28*ROUNDUP(BE28/10,0)+1,
IF($BC28=Lookup!$A$3,($BD28+1)^BD28,
IF($BC28=Lookup!$A$4,BE28*$BD28+1,"Error")))</f>
        <v>1</v>
      </c>
      <c r="BN28" s="229">
        <f>IF($BC28=Lookup!$A$2,$BD28*ROUNDUP(BF28/10,0)+1,
IF($BC28=Lookup!$A$3,($BD28+1)^BE28,
IF($BC28=Lookup!$A$4,BF28*$BD28+1,"Error")))</f>
        <v>1</v>
      </c>
      <c r="BO28" s="229">
        <f>IF($BC28=Lookup!$A$2,$BD28*ROUNDUP(BG28/10,0)+1,
IF($BC28=Lookup!$A$3,($BD28+1)^BF28,
IF($BC28=Lookup!$A$4,BG28*$BD28+1,"Error")))</f>
        <v>1</v>
      </c>
      <c r="BP28" s="229">
        <f>IF($BC28=Lookup!$A$2,$BD28*ROUNDUP(BH28/10,0)+1,
IF($BC28=Lookup!$A$3,($BD28+1)^BG28,
IF($BC28=Lookup!$A$4,BH28*$BD28+1,"Error")))</f>
        <v>1</v>
      </c>
      <c r="BQ28" s="229">
        <f>IF($BC28=Lookup!$A$2,$BD28*ROUNDUP(BI28/10,0)+1,
IF($BC28=Lookup!$A$3,($BD28+1)^BH28,
IF($BC28=Lookup!$A$4,BI28*$BD28+1,"Error")))</f>
        <v>1</v>
      </c>
      <c r="BR28" s="229">
        <f>IF($BC28=Lookup!$A$2,$BD28*ROUNDUP(BJ28/10,0)+1,
IF($BC28=Lookup!$A$3,($BD28+1)^BI28,
IF($BC28=Lookup!$A$4,BJ28*$BD28+1,"Error")))</f>
        <v>1</v>
      </c>
      <c r="BS28" s="229">
        <f>IF($BC28=Lookup!$A$2,$BD28*ROUNDUP(BK28/10,0)+1,
IF($BC28=Lookup!$A$3,($BD28+1)^BJ28,
IF($BC28=Lookup!$A$4,BK28*$BD28+1,"Error")))</f>
        <v>1</v>
      </c>
      <c r="BT28" s="249">
        <f>IF($BC28=Lookup!$A$2,$BD28*ROUNDUP(BL28/10,0)+1,
IF($BC28=Lookup!$A$3,($BD28+1)^BK28,
IF($BC28=Lookup!$A$4,BL28*$BD28+1,"Error")))</f>
        <v>1</v>
      </c>
      <c r="BU28" s="320"/>
      <c r="BV28" s="321"/>
      <c r="BW28" s="321"/>
      <c r="BX28" s="321">
        <v>1372.3684210526319</v>
      </c>
      <c r="BY28" s="321">
        <v>1372.3684210526319</v>
      </c>
      <c r="BZ28" s="321">
        <v>1372.3684210526319</v>
      </c>
      <c r="CA28" s="321">
        <v>1372.3684210526319</v>
      </c>
      <c r="CB28" s="277">
        <v>1372.3684210526319</v>
      </c>
      <c r="CC28" s="382" t="s">
        <v>293</v>
      </c>
      <c r="CD28" s="383">
        <f>HLOOKUP($CC28,$AK$6:$AM$132,ROWS(CD$6:CD28),0)</f>
        <v>62</v>
      </c>
      <c r="CE28" s="234">
        <f t="shared" si="29"/>
        <v>62</v>
      </c>
      <c r="CF28" s="96">
        <f t="shared" si="25"/>
        <v>62</v>
      </c>
      <c r="CG28" s="521">
        <f t="shared" si="25"/>
        <v>62</v>
      </c>
      <c r="CH28" s="421">
        <f t="shared" si="25"/>
        <v>1372.3684210526319</v>
      </c>
      <c r="CI28" s="96">
        <f t="shared" si="25"/>
        <v>1372.3684210526319</v>
      </c>
      <c r="CJ28" s="96">
        <f t="shared" si="25"/>
        <v>1372.3684210526319</v>
      </c>
      <c r="CK28" s="96">
        <f t="shared" si="25"/>
        <v>1372.3684210526319</v>
      </c>
      <c r="CL28" s="286">
        <f t="shared" si="25"/>
        <v>1372.3684210526319</v>
      </c>
      <c r="CM28" s="305" t="s">
        <v>293</v>
      </c>
      <c r="CN28" s="315">
        <v>0.05</v>
      </c>
      <c r="CO28" s="306">
        <f>'Defect P2'!CP28</f>
        <v>2733.2759043501219</v>
      </c>
      <c r="CP28" s="307">
        <f>IF($CO28&lt;&gt;"",$CO28,HLOOKUP($CM28,$AY$6:$BA$132,ROWS(CP$6:CP28),0))</f>
        <v>2733.2759043501219</v>
      </c>
      <c r="CQ28" s="784">
        <f t="shared" si="26"/>
        <v>169463.10606970754</v>
      </c>
      <c r="CR28" s="784">
        <f t="shared" si="26"/>
        <v>169463.10606970754</v>
      </c>
      <c r="CS28" s="524">
        <f t="shared" si="26"/>
        <v>169463.10606970754</v>
      </c>
      <c r="CT28" s="416">
        <f t="shared" si="26"/>
        <v>3751061.5371541814</v>
      </c>
      <c r="CU28" s="97">
        <f t="shared" si="26"/>
        <v>3751061.5371541814</v>
      </c>
      <c r="CV28" s="97">
        <f t="shared" si="26"/>
        <v>3751061.5371541814</v>
      </c>
      <c r="CW28" s="97">
        <f t="shared" si="26"/>
        <v>3751061.5371541814</v>
      </c>
      <c r="CX28" s="98">
        <f t="shared" si="26"/>
        <v>3751061.5371541814</v>
      </c>
      <c r="CY28" s="392"/>
    </row>
    <row r="29" spans="1:103" x14ac:dyDescent="0.25">
      <c r="A29" s="81" t="s">
        <v>68</v>
      </c>
      <c r="B29" s="82" t="s">
        <v>71</v>
      </c>
      <c r="C29" s="83" t="s">
        <v>306</v>
      </c>
      <c r="D29" s="84">
        <v>1195179.0064993114</v>
      </c>
      <c r="E29" s="85">
        <v>1630173.0026931698</v>
      </c>
      <c r="F29" s="85">
        <v>457748.83819234837</v>
      </c>
      <c r="G29" s="85">
        <v>816022.02758921403</v>
      </c>
      <c r="H29" s="85">
        <v>1257623.9575690366</v>
      </c>
      <c r="I29" s="85">
        <v>12740.555571550998</v>
      </c>
      <c r="J29" s="85">
        <v>231581.91597038315</v>
      </c>
      <c r="K29" s="85">
        <v>11721.290073285001</v>
      </c>
      <c r="L29" s="85">
        <v>444730.54495456873</v>
      </c>
      <c r="M29" s="654">
        <f>'2022-23 Input'!I29</f>
        <v>38527.145660071008</v>
      </c>
      <c r="N29" s="1065">
        <v>0</v>
      </c>
      <c r="O29" s="560">
        <f t="shared" si="27"/>
        <v>1608061.1468775368</v>
      </c>
      <c r="P29" s="561">
        <f t="shared" si="0"/>
        <v>2160681.7073283917</v>
      </c>
      <c r="Q29" s="561">
        <f t="shared" si="1"/>
        <v>600569.10672719206</v>
      </c>
      <c r="R29" s="561">
        <f t="shared" si="2"/>
        <v>1050315.6199240654</v>
      </c>
      <c r="S29" s="561">
        <f t="shared" si="3"/>
        <v>1585761.6892475735</v>
      </c>
      <c r="T29" s="561">
        <f t="shared" si="4"/>
        <v>15812.918818099875</v>
      </c>
      <c r="U29" s="561">
        <f t="shared" si="5"/>
        <v>288432.49129321793</v>
      </c>
      <c r="V29" s="561">
        <f t="shared" si="6"/>
        <v>14058.03227479592</v>
      </c>
      <c r="W29" s="675">
        <f t="shared" si="7"/>
        <v>502513.15452375449</v>
      </c>
      <c r="X29" s="675">
        <f t="shared" si="8"/>
        <v>40972.114003344155</v>
      </c>
      <c r="Y29" s="675">
        <f t="shared" si="8"/>
        <v>0</v>
      </c>
      <c r="Z29" s="86">
        <v>187</v>
      </c>
      <c r="AA29" s="87">
        <v>731</v>
      </c>
      <c r="AB29" s="87">
        <v>65</v>
      </c>
      <c r="AC29" s="87">
        <v>170</v>
      </c>
      <c r="AD29" s="87">
        <v>167</v>
      </c>
      <c r="AE29" s="87">
        <v>21</v>
      </c>
      <c r="AF29" s="87">
        <v>114</v>
      </c>
      <c r="AG29" s="87">
        <v>1</v>
      </c>
      <c r="AH29" s="87">
        <v>44</v>
      </c>
      <c r="AI29" s="1094">
        <f>'2022-23 Input'!P29</f>
        <v>18</v>
      </c>
      <c r="AJ29" s="665">
        <v>72</v>
      </c>
      <c r="AK29" s="88">
        <f t="shared" si="9"/>
        <v>39.6</v>
      </c>
      <c r="AL29" s="89">
        <f t="shared" si="10"/>
        <v>21</v>
      </c>
      <c r="AM29" s="90">
        <f t="shared" si="11"/>
        <v>18</v>
      </c>
      <c r="AN29" s="91">
        <f t="shared" si="12"/>
        <v>6391.3315855578148</v>
      </c>
      <c r="AO29" s="92">
        <f t="shared" si="13"/>
        <v>2230.0588272136383</v>
      </c>
      <c r="AP29" s="92">
        <f t="shared" si="14"/>
        <v>7042.289818343821</v>
      </c>
      <c r="AQ29" s="92">
        <f t="shared" si="15"/>
        <v>4800.1295740542</v>
      </c>
      <c r="AR29" s="92">
        <f t="shared" si="16"/>
        <v>7530.6823806529137</v>
      </c>
      <c r="AS29" s="92">
        <f t="shared" si="17"/>
        <v>606.69312245480944</v>
      </c>
      <c r="AT29" s="92">
        <f t="shared" si="18"/>
        <v>2031.4203155296768</v>
      </c>
      <c r="AU29" s="92">
        <f t="shared" si="19"/>
        <v>11721.290073285001</v>
      </c>
      <c r="AV29" s="92">
        <f t="shared" si="30"/>
        <v>10107.512385331107</v>
      </c>
      <c r="AW29" s="92">
        <f t="shared" si="30"/>
        <v>2140.396981115056</v>
      </c>
      <c r="AX29" s="92">
        <f t="shared" si="30"/>
        <v>0</v>
      </c>
      <c r="AY29" s="93">
        <f t="shared" si="21"/>
        <v>3733.8457183326209</v>
      </c>
      <c r="AZ29" s="94">
        <f t="shared" si="22"/>
        <v>7856.8092172686465</v>
      </c>
      <c r="BA29" s="95">
        <f t="shared" si="23"/>
        <v>2140.396981115056</v>
      </c>
      <c r="BB29" s="248" t="s">
        <v>422</v>
      </c>
      <c r="BC29" s="229" t="s">
        <v>433</v>
      </c>
      <c r="BD29" s="249">
        <v>0</v>
      </c>
      <c r="BE29" s="267">
        <f t="shared" si="28"/>
        <v>0</v>
      </c>
      <c r="BF29" s="268">
        <f t="shared" si="31"/>
        <v>0</v>
      </c>
      <c r="BG29" s="268">
        <f t="shared" si="31"/>
        <v>0</v>
      </c>
      <c r="BH29" s="268">
        <f t="shared" si="31"/>
        <v>1</v>
      </c>
      <c r="BI29" s="268">
        <f t="shared" si="31"/>
        <v>2</v>
      </c>
      <c r="BJ29" s="268">
        <f t="shared" si="31"/>
        <v>3</v>
      </c>
      <c r="BK29" s="268">
        <f t="shared" si="31"/>
        <v>4</v>
      </c>
      <c r="BL29" s="269">
        <f t="shared" si="31"/>
        <v>5</v>
      </c>
      <c r="BM29" s="256">
        <f>IF($BC29=Lookup!$A$2,$BD29*ROUNDUP(BE29/10,0)+1,
IF($BC29=Lookup!$A$3,($BD29+1)^BD29,
IF($BC29=Lookup!$A$4,BE29*$BD29+1,"Error")))</f>
        <v>1</v>
      </c>
      <c r="BN29" s="229">
        <f>IF($BC29=Lookup!$A$2,$BD29*ROUNDUP(BF29/10,0)+1,
IF($BC29=Lookup!$A$3,($BD29+1)^BE29,
IF($BC29=Lookup!$A$4,BF29*$BD29+1,"Error")))</f>
        <v>1</v>
      </c>
      <c r="BO29" s="229">
        <f>IF($BC29=Lookup!$A$2,$BD29*ROUNDUP(BG29/10,0)+1,
IF($BC29=Lookup!$A$3,($BD29+1)^BF29,
IF($BC29=Lookup!$A$4,BG29*$BD29+1,"Error")))</f>
        <v>1</v>
      </c>
      <c r="BP29" s="229">
        <f>IF($BC29=Lookup!$A$2,$BD29*ROUNDUP(BH29/10,0)+1,
IF($BC29=Lookup!$A$3,($BD29+1)^BG29,
IF($BC29=Lookup!$A$4,BH29*$BD29+1,"Error")))</f>
        <v>1</v>
      </c>
      <c r="BQ29" s="229">
        <f>IF($BC29=Lookup!$A$2,$BD29*ROUNDUP(BI29/10,0)+1,
IF($BC29=Lookup!$A$3,($BD29+1)^BH29,
IF($BC29=Lookup!$A$4,BI29*$BD29+1,"Error")))</f>
        <v>1</v>
      </c>
      <c r="BR29" s="229">
        <f>IF($BC29=Lookup!$A$2,$BD29*ROUNDUP(BJ29/10,0)+1,
IF($BC29=Lookup!$A$3,($BD29+1)^BI29,
IF($BC29=Lookup!$A$4,BJ29*$BD29+1,"Error")))</f>
        <v>1</v>
      </c>
      <c r="BS29" s="229">
        <f>IF($BC29=Lookup!$A$2,$BD29*ROUNDUP(BK29/10,0)+1,
IF($BC29=Lookup!$A$3,($BD29+1)^BJ29,
IF($BC29=Lookup!$A$4,BK29*$BD29+1,"Error")))</f>
        <v>1</v>
      </c>
      <c r="BT29" s="249">
        <f>IF($BC29=Lookup!$A$2,$BD29*ROUNDUP(BL29/10,0)+1,
IF($BC29=Lookup!$A$3,($BD29+1)^BK29,
IF($BC29=Lookup!$A$4,BL29*$BD29+1,"Error")))</f>
        <v>1</v>
      </c>
      <c r="BU29" s="320"/>
      <c r="BV29" s="321"/>
      <c r="BW29" s="321"/>
      <c r="BX29" s="321">
        <v>405.26315789473682</v>
      </c>
      <c r="BY29" s="321">
        <v>405.26315789473682</v>
      </c>
      <c r="BZ29" s="321">
        <v>405.26315789473682</v>
      </c>
      <c r="CA29" s="321">
        <v>405.26315789473682</v>
      </c>
      <c r="CB29" s="277">
        <v>405.26315789473682</v>
      </c>
      <c r="CC29" s="382" t="s">
        <v>293</v>
      </c>
      <c r="CD29" s="383">
        <f>HLOOKUP($CC29,$AK$6:$AM$132,ROWS(CD$6:CD29),0)</f>
        <v>21</v>
      </c>
      <c r="CE29" s="234">
        <f t="shared" si="29"/>
        <v>21</v>
      </c>
      <c r="CF29" s="96">
        <f t="shared" si="25"/>
        <v>21</v>
      </c>
      <c r="CG29" s="521">
        <f t="shared" si="25"/>
        <v>21</v>
      </c>
      <c r="CH29" s="421">
        <f t="shared" si="25"/>
        <v>405.26315789473682</v>
      </c>
      <c r="CI29" s="96">
        <f t="shared" si="25"/>
        <v>405.26315789473682</v>
      </c>
      <c r="CJ29" s="96">
        <f t="shared" si="25"/>
        <v>405.26315789473682</v>
      </c>
      <c r="CK29" s="96">
        <f t="shared" si="25"/>
        <v>405.26315789473682</v>
      </c>
      <c r="CL29" s="286">
        <f t="shared" si="25"/>
        <v>405.26315789473682</v>
      </c>
      <c r="CM29" s="305" t="s">
        <v>293</v>
      </c>
      <c r="CN29" s="315">
        <v>0.05</v>
      </c>
      <c r="CO29" s="306">
        <f>'Defect P2'!CP29</f>
        <v>2814.5422385689408</v>
      </c>
      <c r="CP29" s="307">
        <f>IF($CO29&lt;&gt;"",$CO29,HLOOKUP($CM29,$AY$6:$BA$132,ROWS(CP$6:CP29),0))</f>
        <v>2814.5422385689408</v>
      </c>
      <c r="CQ29" s="784">
        <f t="shared" si="26"/>
        <v>59105.387009947757</v>
      </c>
      <c r="CR29" s="784">
        <f t="shared" si="26"/>
        <v>59105.387009947757</v>
      </c>
      <c r="CS29" s="524">
        <f t="shared" si="26"/>
        <v>59105.387009947757</v>
      </c>
      <c r="CT29" s="416">
        <f t="shared" si="26"/>
        <v>1140630.2756305707</v>
      </c>
      <c r="CU29" s="97">
        <f t="shared" si="26"/>
        <v>1140630.2756305707</v>
      </c>
      <c r="CV29" s="97">
        <f t="shared" si="26"/>
        <v>1140630.2756305707</v>
      </c>
      <c r="CW29" s="97">
        <f t="shared" si="26"/>
        <v>1140630.2756305707</v>
      </c>
      <c r="CX29" s="98">
        <f t="shared" si="26"/>
        <v>1140630.2756305707</v>
      </c>
      <c r="CY29" s="392"/>
    </row>
    <row r="30" spans="1:103" x14ac:dyDescent="0.25">
      <c r="A30" s="81" t="s">
        <v>68</v>
      </c>
      <c r="B30" s="82" t="s">
        <v>73</v>
      </c>
      <c r="C30" s="83" t="s">
        <v>307</v>
      </c>
      <c r="D30" s="84">
        <v>317376.60959756491</v>
      </c>
      <c r="E30" s="85">
        <v>935517.56936577475</v>
      </c>
      <c r="F30" s="85">
        <v>886405.13663330069</v>
      </c>
      <c r="G30" s="85">
        <v>-82283.955410603667</v>
      </c>
      <c r="H30" s="85">
        <v>534742.13043845119</v>
      </c>
      <c r="I30" s="85">
        <v>0</v>
      </c>
      <c r="J30" s="85">
        <v>105932.83575658296</v>
      </c>
      <c r="K30" s="85">
        <v>34786.175115209</v>
      </c>
      <c r="L30" s="85">
        <v>27149.912697332002</v>
      </c>
      <c r="M30" s="654">
        <f>'2022-23 Input'!I30</f>
        <v>34821.151080947995</v>
      </c>
      <c r="N30" s="1065">
        <v>0</v>
      </c>
      <c r="O30" s="560">
        <f t="shared" si="27"/>
        <v>427016.36495140236</v>
      </c>
      <c r="P30" s="561">
        <f t="shared" si="0"/>
        <v>1239963.9152859948</v>
      </c>
      <c r="Q30" s="561">
        <f t="shared" si="1"/>
        <v>1162968.6340843553</v>
      </c>
      <c r="R30" s="561">
        <f t="shared" si="2"/>
        <v>-105909.05724961423</v>
      </c>
      <c r="S30" s="561">
        <f t="shared" si="3"/>
        <v>674266.40449426684</v>
      </c>
      <c r="T30" s="561">
        <f t="shared" si="4"/>
        <v>0</v>
      </c>
      <c r="U30" s="561">
        <f t="shared" si="5"/>
        <v>131938.0729665182</v>
      </c>
      <c r="V30" s="561">
        <f t="shared" si="6"/>
        <v>41721.104880843282</v>
      </c>
      <c r="W30" s="675">
        <f t="shared" si="7"/>
        <v>30677.425756700733</v>
      </c>
      <c r="X30" s="675">
        <f t="shared" si="8"/>
        <v>37030.933576137715</v>
      </c>
      <c r="Y30" s="675">
        <f t="shared" si="8"/>
        <v>0</v>
      </c>
      <c r="Z30" s="86">
        <v>124</v>
      </c>
      <c r="AA30" s="87">
        <v>143</v>
      </c>
      <c r="AB30" s="87">
        <v>43</v>
      </c>
      <c r="AC30" s="87">
        <v>28</v>
      </c>
      <c r="AD30" s="87">
        <v>23</v>
      </c>
      <c r="AE30" s="87">
        <v>0</v>
      </c>
      <c r="AF30" s="87">
        <v>36</v>
      </c>
      <c r="AG30" s="87">
        <v>6</v>
      </c>
      <c r="AH30" s="87">
        <v>299</v>
      </c>
      <c r="AI30" s="1094">
        <f>'2022-23 Input'!P30</f>
        <v>7</v>
      </c>
      <c r="AJ30" s="665">
        <v>12</v>
      </c>
      <c r="AK30" s="88">
        <f t="shared" si="9"/>
        <v>69.599999999999994</v>
      </c>
      <c r="AL30" s="89">
        <f t="shared" si="10"/>
        <v>104</v>
      </c>
      <c r="AM30" s="90">
        <f t="shared" si="11"/>
        <v>7</v>
      </c>
      <c r="AN30" s="91">
        <f t="shared" si="12"/>
        <v>2559.4887870771363</v>
      </c>
      <c r="AO30" s="92">
        <f t="shared" si="13"/>
        <v>6542.0809046557679</v>
      </c>
      <c r="AP30" s="92">
        <f t="shared" si="14"/>
        <v>20614.072944960481</v>
      </c>
      <c r="AQ30" s="92">
        <f t="shared" si="15"/>
        <v>-2938.7126932358451</v>
      </c>
      <c r="AR30" s="92">
        <f t="shared" si="16"/>
        <v>23249.65784515005</v>
      </c>
      <c r="AS30" s="92" t="str">
        <f t="shared" si="17"/>
        <v/>
      </c>
      <c r="AT30" s="92">
        <f t="shared" si="18"/>
        <v>2942.5787710161935</v>
      </c>
      <c r="AU30" s="92">
        <f t="shared" si="19"/>
        <v>5797.6958525348336</v>
      </c>
      <c r="AV30" s="92">
        <f t="shared" si="30"/>
        <v>90.802383603117065</v>
      </c>
      <c r="AW30" s="92">
        <f t="shared" si="30"/>
        <v>4974.4501544211425</v>
      </c>
      <c r="AX30" s="92">
        <f t="shared" si="30"/>
        <v>0</v>
      </c>
      <c r="AY30" s="93">
        <f t="shared" si="21"/>
        <v>582.44274324733328</v>
      </c>
      <c r="AZ30" s="94">
        <f t="shared" si="22"/>
        <v>310.11935542784937</v>
      </c>
      <c r="BA30" s="95">
        <f t="shared" si="23"/>
        <v>4974.4501544211425</v>
      </c>
      <c r="BB30" s="248" t="s">
        <v>422</v>
      </c>
      <c r="BC30" s="229" t="s">
        <v>433</v>
      </c>
      <c r="BD30" s="249">
        <v>0</v>
      </c>
      <c r="BE30" s="267">
        <f t="shared" si="28"/>
        <v>0</v>
      </c>
      <c r="BF30" s="268">
        <f t="shared" si="31"/>
        <v>0</v>
      </c>
      <c r="BG30" s="268">
        <f t="shared" si="31"/>
        <v>0</v>
      </c>
      <c r="BH30" s="268">
        <f t="shared" si="31"/>
        <v>1</v>
      </c>
      <c r="BI30" s="268">
        <f t="shared" si="31"/>
        <v>2</v>
      </c>
      <c r="BJ30" s="268">
        <f t="shared" si="31"/>
        <v>3</v>
      </c>
      <c r="BK30" s="268">
        <f t="shared" si="31"/>
        <v>4</v>
      </c>
      <c r="BL30" s="269">
        <f t="shared" si="31"/>
        <v>5</v>
      </c>
      <c r="BM30" s="256">
        <f>IF($BC30=Lookup!$A$2,$BD30*ROUNDUP(BE30/10,0)+1,
IF($BC30=Lookup!$A$3,($BD30+1)^BD30,
IF($BC30=Lookup!$A$4,BE30*$BD30+1,"Error")))</f>
        <v>1</v>
      </c>
      <c r="BN30" s="229">
        <f>IF($BC30=Lookup!$A$2,$BD30*ROUNDUP(BF30/10,0)+1,
IF($BC30=Lookup!$A$3,($BD30+1)^BE30,
IF($BC30=Lookup!$A$4,BF30*$BD30+1,"Error")))</f>
        <v>1</v>
      </c>
      <c r="BO30" s="229">
        <f>IF($BC30=Lookup!$A$2,$BD30*ROUNDUP(BG30/10,0)+1,
IF($BC30=Lookup!$A$3,($BD30+1)^BF30,
IF($BC30=Lookup!$A$4,BG30*$BD30+1,"Error")))</f>
        <v>1</v>
      </c>
      <c r="BP30" s="229">
        <f>IF($BC30=Lookup!$A$2,$BD30*ROUNDUP(BH30/10,0)+1,
IF($BC30=Lookup!$A$3,($BD30+1)^BG30,
IF($BC30=Lookup!$A$4,BH30*$BD30+1,"Error")))</f>
        <v>1</v>
      </c>
      <c r="BQ30" s="229">
        <f>IF($BC30=Lookup!$A$2,$BD30*ROUNDUP(BI30/10,0)+1,
IF($BC30=Lookup!$A$3,($BD30+1)^BH30,
IF($BC30=Lookup!$A$4,BI30*$BD30+1,"Error")))</f>
        <v>1</v>
      </c>
      <c r="BR30" s="229">
        <f>IF($BC30=Lookup!$A$2,$BD30*ROUNDUP(BJ30/10,0)+1,
IF($BC30=Lookup!$A$3,($BD30+1)^BI30,
IF($BC30=Lookup!$A$4,BJ30*$BD30+1,"Error")))</f>
        <v>1</v>
      </c>
      <c r="BS30" s="229">
        <f>IF($BC30=Lookup!$A$2,$BD30*ROUNDUP(BK30/10,0)+1,
IF($BC30=Lookup!$A$3,($BD30+1)^BJ30,
IF($BC30=Lookup!$A$4,BK30*$BD30+1,"Error")))</f>
        <v>1</v>
      </c>
      <c r="BT30" s="249">
        <f>IF($BC30=Lookup!$A$2,$BD30*ROUNDUP(BL30/10,0)+1,
IF($BC30=Lookup!$A$3,($BD30+1)^BK30,
IF($BC30=Lookup!$A$4,BL30*$BD30+1,"Error")))</f>
        <v>1</v>
      </c>
      <c r="BU30" s="320"/>
      <c r="BV30" s="321"/>
      <c r="BW30" s="321"/>
      <c r="BX30" s="321">
        <v>2753.9473684210529</v>
      </c>
      <c r="BY30" s="321">
        <v>2753.9473684210529</v>
      </c>
      <c r="BZ30" s="321">
        <v>2753.9473684210529</v>
      </c>
      <c r="CA30" s="321">
        <v>2753.9473684210529</v>
      </c>
      <c r="CB30" s="277">
        <v>2753.9473684210529</v>
      </c>
      <c r="CC30" s="382" t="s">
        <v>293</v>
      </c>
      <c r="CD30" s="383">
        <f>HLOOKUP($CC30,$AK$6:$AM$132,ROWS(CD$6:CD30),0)</f>
        <v>104</v>
      </c>
      <c r="CE30" s="234">
        <f t="shared" si="29"/>
        <v>104</v>
      </c>
      <c r="CF30" s="96">
        <f t="shared" si="25"/>
        <v>104</v>
      </c>
      <c r="CG30" s="521">
        <f t="shared" si="25"/>
        <v>104</v>
      </c>
      <c r="CH30" s="421">
        <f t="shared" si="25"/>
        <v>2753.9473684210529</v>
      </c>
      <c r="CI30" s="96">
        <f t="shared" si="25"/>
        <v>2753.9473684210529</v>
      </c>
      <c r="CJ30" s="96">
        <f t="shared" si="25"/>
        <v>2753.9473684210529</v>
      </c>
      <c r="CK30" s="96">
        <f t="shared" si="25"/>
        <v>2753.9473684210529</v>
      </c>
      <c r="CL30" s="286">
        <f t="shared" si="25"/>
        <v>2753.9473684210529</v>
      </c>
      <c r="CM30" s="305" t="s">
        <v>293</v>
      </c>
      <c r="CN30" s="315">
        <v>0.05</v>
      </c>
      <c r="CO30" s="306">
        <f>'Defect P2'!CP30</f>
        <v>4402.2875599705612</v>
      </c>
      <c r="CP30" s="307">
        <f>IF($CO30&lt;&gt;"",$CO30,HLOOKUP($CM30,$AY$6:$BA$132,ROWS(CP$6:CP30),0))</f>
        <v>4402.2875599705612</v>
      </c>
      <c r="CQ30" s="784">
        <f t="shared" si="26"/>
        <v>457837.90623693838</v>
      </c>
      <c r="CR30" s="784">
        <f t="shared" si="26"/>
        <v>457837.90623693838</v>
      </c>
      <c r="CS30" s="524">
        <f t="shared" si="26"/>
        <v>457837.90623693838</v>
      </c>
      <c r="CT30" s="416">
        <f t="shared" si="26"/>
        <v>12123668.240813665</v>
      </c>
      <c r="CU30" s="97">
        <f t="shared" si="26"/>
        <v>12123668.240813665</v>
      </c>
      <c r="CV30" s="97">
        <f t="shared" si="26"/>
        <v>12123668.240813665</v>
      </c>
      <c r="CW30" s="97">
        <f t="shared" si="26"/>
        <v>12123668.240813665</v>
      </c>
      <c r="CX30" s="98">
        <f t="shared" si="26"/>
        <v>12123668.240813665</v>
      </c>
      <c r="CY30" s="392"/>
    </row>
    <row r="31" spans="1:103" x14ac:dyDescent="0.25">
      <c r="A31" s="81" t="s">
        <v>68</v>
      </c>
      <c r="B31" s="82" t="s">
        <v>75</v>
      </c>
      <c r="C31" s="83" t="s">
        <v>76</v>
      </c>
      <c r="D31" s="84">
        <v>0.44000000000005457</v>
      </c>
      <c r="E31" s="85">
        <v>4484225.8576262454</v>
      </c>
      <c r="F31" s="85">
        <v>121510.96431531398</v>
      </c>
      <c r="G31" s="85">
        <v>-1297.6414644645411</v>
      </c>
      <c r="H31" s="85">
        <v>-978.29368718235492</v>
      </c>
      <c r="I31" s="85">
        <v>0</v>
      </c>
      <c r="J31" s="85">
        <v>0</v>
      </c>
      <c r="K31" s="85">
        <v>0</v>
      </c>
      <c r="L31" s="85">
        <v>0</v>
      </c>
      <c r="M31" s="654">
        <f>'2022-23 Input'!I31</f>
        <v>0</v>
      </c>
      <c r="N31" s="1065">
        <v>0</v>
      </c>
      <c r="O31" s="560">
        <f t="shared" si="27"/>
        <v>0.59200078045096716</v>
      </c>
      <c r="P31" s="561">
        <f t="shared" si="0"/>
        <v>5943531.6166413371</v>
      </c>
      <c r="Q31" s="561">
        <f t="shared" si="1"/>
        <v>159423.08359446464</v>
      </c>
      <c r="R31" s="561">
        <f t="shared" si="2"/>
        <v>-1670.2160641604003</v>
      </c>
      <c r="S31" s="561">
        <f t="shared" si="3"/>
        <v>-1233.5489003924836</v>
      </c>
      <c r="T31" s="561">
        <f t="shared" si="4"/>
        <v>0</v>
      </c>
      <c r="U31" s="561">
        <f t="shared" si="5"/>
        <v>0</v>
      </c>
      <c r="V31" s="561">
        <f t="shared" si="6"/>
        <v>0</v>
      </c>
      <c r="W31" s="675">
        <f t="shared" si="7"/>
        <v>0</v>
      </c>
      <c r="X31" s="675">
        <f t="shared" si="8"/>
        <v>0</v>
      </c>
      <c r="Y31" s="675">
        <f t="shared" si="8"/>
        <v>0</v>
      </c>
      <c r="Z31" s="86">
        <v>0</v>
      </c>
      <c r="AA31" s="87">
        <v>821</v>
      </c>
      <c r="AB31" s="87">
        <v>73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1094">
        <f>'2022-23 Input'!P31</f>
        <v>0</v>
      </c>
      <c r="AJ31" s="665">
        <v>0</v>
      </c>
      <c r="AK31" s="88">
        <f t="shared" si="9"/>
        <v>0</v>
      </c>
      <c r="AL31" s="89">
        <f t="shared" si="10"/>
        <v>0</v>
      </c>
      <c r="AM31" s="90">
        <f t="shared" si="11"/>
        <v>0</v>
      </c>
      <c r="AN31" s="91" t="str">
        <f t="shared" si="12"/>
        <v/>
      </c>
      <c r="AO31" s="92">
        <f t="shared" si="13"/>
        <v>5461.9072565484112</v>
      </c>
      <c r="AP31" s="92">
        <f t="shared" si="14"/>
        <v>1664.5337577440271</v>
      </c>
      <c r="AQ31" s="92" t="str">
        <f t="shared" si="15"/>
        <v/>
      </c>
      <c r="AR31" s="92" t="str">
        <f t="shared" si="16"/>
        <v/>
      </c>
      <c r="AS31" s="92" t="str">
        <f t="shared" si="17"/>
        <v/>
      </c>
      <c r="AT31" s="92" t="str">
        <f t="shared" si="18"/>
        <v/>
      </c>
      <c r="AU31" s="92" t="str">
        <f t="shared" si="19"/>
        <v/>
      </c>
      <c r="AV31" s="92" t="str">
        <f t="shared" si="30"/>
        <v/>
      </c>
      <c r="AW31" s="92" t="str">
        <f t="shared" si="30"/>
        <v/>
      </c>
      <c r="AX31" s="92" t="str">
        <f t="shared" si="30"/>
        <v/>
      </c>
      <c r="AY31" s="93" t="str">
        <f t="shared" si="21"/>
        <v/>
      </c>
      <c r="AZ31" s="94" t="str">
        <f t="shared" si="22"/>
        <v/>
      </c>
      <c r="BA31" s="95" t="str">
        <f t="shared" si="23"/>
        <v/>
      </c>
      <c r="BB31" s="248" t="s">
        <v>422</v>
      </c>
      <c r="BC31" s="229" t="s">
        <v>433</v>
      </c>
      <c r="BD31" s="249">
        <v>0</v>
      </c>
      <c r="BE31" s="267">
        <f t="shared" si="28"/>
        <v>0</v>
      </c>
      <c r="BF31" s="268">
        <f t="shared" si="31"/>
        <v>0</v>
      </c>
      <c r="BG31" s="268">
        <f t="shared" si="31"/>
        <v>0</v>
      </c>
      <c r="BH31" s="268">
        <f t="shared" si="31"/>
        <v>1</v>
      </c>
      <c r="BI31" s="268">
        <f t="shared" si="31"/>
        <v>2</v>
      </c>
      <c r="BJ31" s="268">
        <f t="shared" si="31"/>
        <v>3</v>
      </c>
      <c r="BK31" s="268">
        <f t="shared" si="31"/>
        <v>4</v>
      </c>
      <c r="BL31" s="269">
        <f t="shared" si="31"/>
        <v>5</v>
      </c>
      <c r="BM31" s="256">
        <f>IF($BC31=Lookup!$A$2,$BD31*ROUNDUP(BE31/10,0)+1,
IF($BC31=Lookup!$A$3,($BD31+1)^BD31,
IF($BC31=Lookup!$A$4,BE31*$BD31+1,"Error")))</f>
        <v>1</v>
      </c>
      <c r="BN31" s="229">
        <f>IF($BC31=Lookup!$A$2,$BD31*ROUNDUP(BF31/10,0)+1,
IF($BC31=Lookup!$A$3,($BD31+1)^BE31,
IF($BC31=Lookup!$A$4,BF31*$BD31+1,"Error")))</f>
        <v>1</v>
      </c>
      <c r="BO31" s="229">
        <f>IF($BC31=Lookup!$A$2,$BD31*ROUNDUP(BG31/10,0)+1,
IF($BC31=Lookup!$A$3,($BD31+1)^BF31,
IF($BC31=Lookup!$A$4,BG31*$BD31+1,"Error")))</f>
        <v>1</v>
      </c>
      <c r="BP31" s="229">
        <f>IF($BC31=Lookup!$A$2,$BD31*ROUNDUP(BH31/10,0)+1,
IF($BC31=Lookup!$A$3,($BD31+1)^BG31,
IF($BC31=Lookup!$A$4,BH31*$BD31+1,"Error")))</f>
        <v>1</v>
      </c>
      <c r="BQ31" s="229">
        <f>IF($BC31=Lookup!$A$2,$BD31*ROUNDUP(BI31/10,0)+1,
IF($BC31=Lookup!$A$3,($BD31+1)^BH31,
IF($BC31=Lookup!$A$4,BI31*$BD31+1,"Error")))</f>
        <v>1</v>
      </c>
      <c r="BR31" s="229">
        <f>IF($BC31=Lookup!$A$2,$BD31*ROUNDUP(BJ31/10,0)+1,
IF($BC31=Lookup!$A$3,($BD31+1)^BI31,
IF($BC31=Lookup!$A$4,BJ31*$BD31+1,"Error")))</f>
        <v>1</v>
      </c>
      <c r="BS31" s="229">
        <f>IF($BC31=Lookup!$A$2,$BD31*ROUNDUP(BK31/10,0)+1,
IF($BC31=Lookup!$A$3,($BD31+1)^BJ31,
IF($BC31=Lookup!$A$4,BK31*$BD31+1,"Error")))</f>
        <v>1</v>
      </c>
      <c r="BT31" s="249">
        <f>IF($BC31=Lookup!$A$2,$BD31*ROUNDUP(BL31/10,0)+1,
IF($BC31=Lookup!$A$3,($BD31+1)^BK31,
IF($BC31=Lookup!$A$4,BL31*$BD31+1,"Error")))</f>
        <v>1</v>
      </c>
      <c r="BU31" s="320"/>
      <c r="BV31" s="321"/>
      <c r="BW31" s="321"/>
      <c r="BX31" s="321"/>
      <c r="BY31" s="321"/>
      <c r="BZ31" s="321"/>
      <c r="CA31" s="321"/>
      <c r="CB31" s="277"/>
      <c r="CC31" s="382" t="s">
        <v>293</v>
      </c>
      <c r="CD31" s="383">
        <f>HLOOKUP($CC31,$AK$6:$AM$132,ROWS(CD$6:CD31),0)</f>
        <v>0</v>
      </c>
      <c r="CE31" s="234">
        <f t="shared" si="29"/>
        <v>0</v>
      </c>
      <c r="CF31" s="96">
        <f t="shared" si="25"/>
        <v>0</v>
      </c>
      <c r="CG31" s="521">
        <f t="shared" si="25"/>
        <v>0</v>
      </c>
      <c r="CH31" s="421">
        <f t="shared" si="25"/>
        <v>0</v>
      </c>
      <c r="CI31" s="96">
        <f t="shared" si="25"/>
        <v>0</v>
      </c>
      <c r="CJ31" s="96">
        <f t="shared" si="25"/>
        <v>0</v>
      </c>
      <c r="CK31" s="96">
        <f t="shared" si="25"/>
        <v>0</v>
      </c>
      <c r="CL31" s="286">
        <f t="shared" si="25"/>
        <v>0</v>
      </c>
      <c r="CM31" s="305" t="s">
        <v>293</v>
      </c>
      <c r="CN31" s="315">
        <v>0.05</v>
      </c>
      <c r="CO31" s="306">
        <f>'Defect P2'!CP31</f>
        <v>6951.0325334767031</v>
      </c>
      <c r="CP31" s="307">
        <f>IF($CO31&lt;&gt;"",$CO31,HLOOKUP($CM31,$AY$6:$BA$132,ROWS(CP$6:CP31),0))</f>
        <v>6951.0325334767031</v>
      </c>
      <c r="CQ31" s="784">
        <f t="shared" si="26"/>
        <v>0</v>
      </c>
      <c r="CR31" s="784">
        <f t="shared" si="26"/>
        <v>0</v>
      </c>
      <c r="CS31" s="524">
        <f t="shared" si="26"/>
        <v>0</v>
      </c>
      <c r="CT31" s="416">
        <f t="shared" si="26"/>
        <v>0</v>
      </c>
      <c r="CU31" s="97">
        <f t="shared" si="26"/>
        <v>0</v>
      </c>
      <c r="CV31" s="97">
        <f t="shared" si="26"/>
        <v>0</v>
      </c>
      <c r="CW31" s="97">
        <f t="shared" si="26"/>
        <v>0</v>
      </c>
      <c r="CX31" s="98">
        <f t="shared" si="26"/>
        <v>0</v>
      </c>
      <c r="CY31" s="392"/>
    </row>
    <row r="32" spans="1:103" x14ac:dyDescent="0.25">
      <c r="A32" s="81" t="s">
        <v>68</v>
      </c>
      <c r="B32" s="82" t="s">
        <v>77</v>
      </c>
      <c r="C32" s="83" t="s">
        <v>78</v>
      </c>
      <c r="D32" s="84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654">
        <f>'2022-23 Input'!I32</f>
        <v>0</v>
      </c>
      <c r="N32" s="1065">
        <v>0</v>
      </c>
      <c r="O32" s="560">
        <f t="shared" si="27"/>
        <v>0</v>
      </c>
      <c r="P32" s="561">
        <f t="shared" si="0"/>
        <v>0</v>
      </c>
      <c r="Q32" s="561">
        <f t="shared" si="1"/>
        <v>0</v>
      </c>
      <c r="R32" s="561">
        <f t="shared" si="2"/>
        <v>0</v>
      </c>
      <c r="S32" s="561">
        <f t="shared" si="3"/>
        <v>0</v>
      </c>
      <c r="T32" s="561">
        <f t="shared" si="4"/>
        <v>0</v>
      </c>
      <c r="U32" s="561">
        <f t="shared" si="5"/>
        <v>0</v>
      </c>
      <c r="V32" s="561">
        <f t="shared" si="6"/>
        <v>0</v>
      </c>
      <c r="W32" s="675">
        <f t="shared" si="7"/>
        <v>0</v>
      </c>
      <c r="X32" s="675">
        <f t="shared" si="8"/>
        <v>0</v>
      </c>
      <c r="Y32" s="675">
        <f t="shared" si="8"/>
        <v>0</v>
      </c>
      <c r="Z32" s="86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1094">
        <f>'2022-23 Input'!P32</f>
        <v>0</v>
      </c>
      <c r="AJ32" s="665">
        <v>0</v>
      </c>
      <c r="AK32" s="88">
        <f t="shared" si="9"/>
        <v>0</v>
      </c>
      <c r="AL32" s="89">
        <f t="shared" si="10"/>
        <v>0</v>
      </c>
      <c r="AM32" s="90">
        <f t="shared" si="11"/>
        <v>0</v>
      </c>
      <c r="AN32" s="91" t="str">
        <f t="shared" si="12"/>
        <v/>
      </c>
      <c r="AO32" s="92" t="str">
        <f t="shared" si="13"/>
        <v/>
      </c>
      <c r="AP32" s="92" t="str">
        <f t="shared" si="14"/>
        <v/>
      </c>
      <c r="AQ32" s="92" t="str">
        <f t="shared" si="15"/>
        <v/>
      </c>
      <c r="AR32" s="92" t="str">
        <f t="shared" si="16"/>
        <v/>
      </c>
      <c r="AS32" s="92" t="str">
        <f t="shared" si="17"/>
        <v/>
      </c>
      <c r="AT32" s="92" t="str">
        <f t="shared" si="18"/>
        <v/>
      </c>
      <c r="AU32" s="92" t="str">
        <f t="shared" si="19"/>
        <v/>
      </c>
      <c r="AV32" s="92" t="str">
        <f t="shared" si="30"/>
        <v/>
      </c>
      <c r="AW32" s="92" t="str">
        <f t="shared" si="30"/>
        <v/>
      </c>
      <c r="AX32" s="92" t="str">
        <f t="shared" si="30"/>
        <v/>
      </c>
      <c r="AY32" s="93" t="str">
        <f t="shared" si="21"/>
        <v/>
      </c>
      <c r="AZ32" s="94" t="str">
        <f t="shared" si="22"/>
        <v/>
      </c>
      <c r="BA32" s="95" t="str">
        <f t="shared" si="23"/>
        <v/>
      </c>
      <c r="BB32" s="248" t="s">
        <v>422</v>
      </c>
      <c r="BC32" s="229" t="s">
        <v>433</v>
      </c>
      <c r="BD32" s="249">
        <v>0</v>
      </c>
      <c r="BE32" s="267">
        <f t="shared" si="28"/>
        <v>0</v>
      </c>
      <c r="BF32" s="268">
        <f t="shared" si="31"/>
        <v>0</v>
      </c>
      <c r="BG32" s="268">
        <f t="shared" si="31"/>
        <v>0</v>
      </c>
      <c r="BH32" s="268">
        <f t="shared" si="31"/>
        <v>1</v>
      </c>
      <c r="BI32" s="268">
        <f t="shared" si="31"/>
        <v>2</v>
      </c>
      <c r="BJ32" s="268">
        <f t="shared" si="31"/>
        <v>3</v>
      </c>
      <c r="BK32" s="268">
        <f t="shared" si="31"/>
        <v>4</v>
      </c>
      <c r="BL32" s="269">
        <f t="shared" si="31"/>
        <v>5</v>
      </c>
      <c r="BM32" s="256">
        <f>IF($BC32=Lookup!$A$2,$BD32*ROUNDUP(BE32/10,0)+1,
IF($BC32=Lookup!$A$3,($BD32+1)^BD32,
IF($BC32=Lookup!$A$4,BE32*$BD32+1,"Error")))</f>
        <v>1</v>
      </c>
      <c r="BN32" s="229">
        <f>IF($BC32=Lookup!$A$2,$BD32*ROUNDUP(BF32/10,0)+1,
IF($BC32=Lookup!$A$3,($BD32+1)^BE32,
IF($BC32=Lookup!$A$4,BF32*$BD32+1,"Error")))</f>
        <v>1</v>
      </c>
      <c r="BO32" s="229">
        <f>IF($BC32=Lookup!$A$2,$BD32*ROUNDUP(BG32/10,0)+1,
IF($BC32=Lookup!$A$3,($BD32+1)^BF32,
IF($BC32=Lookup!$A$4,BG32*$BD32+1,"Error")))</f>
        <v>1</v>
      </c>
      <c r="BP32" s="229">
        <f>IF($BC32=Lookup!$A$2,$BD32*ROUNDUP(BH32/10,0)+1,
IF($BC32=Lookup!$A$3,($BD32+1)^BG32,
IF($BC32=Lookup!$A$4,BH32*$BD32+1,"Error")))</f>
        <v>1</v>
      </c>
      <c r="BQ32" s="229">
        <f>IF($BC32=Lookup!$A$2,$BD32*ROUNDUP(BI32/10,0)+1,
IF($BC32=Lookup!$A$3,($BD32+1)^BH32,
IF($BC32=Lookup!$A$4,BI32*$BD32+1,"Error")))</f>
        <v>1</v>
      </c>
      <c r="BR32" s="229">
        <f>IF($BC32=Lookup!$A$2,$BD32*ROUNDUP(BJ32/10,0)+1,
IF($BC32=Lookup!$A$3,($BD32+1)^BI32,
IF($BC32=Lookup!$A$4,BJ32*$BD32+1,"Error")))</f>
        <v>1</v>
      </c>
      <c r="BS32" s="229">
        <f>IF($BC32=Lookup!$A$2,$BD32*ROUNDUP(BK32/10,0)+1,
IF($BC32=Lookup!$A$3,($BD32+1)^BJ32,
IF($BC32=Lookup!$A$4,BK32*$BD32+1,"Error")))</f>
        <v>1</v>
      </c>
      <c r="BT32" s="249">
        <f>IF($BC32=Lookup!$A$2,$BD32*ROUNDUP(BL32/10,0)+1,
IF($BC32=Lookup!$A$3,($BD32+1)^BK32,
IF($BC32=Lookup!$A$4,BL32*$BD32+1,"Error")))</f>
        <v>1</v>
      </c>
      <c r="BU32" s="320"/>
      <c r="BV32" s="321"/>
      <c r="BW32" s="321"/>
      <c r="BX32" s="321"/>
      <c r="BY32" s="321"/>
      <c r="BZ32" s="321"/>
      <c r="CA32" s="321"/>
      <c r="CB32" s="277"/>
      <c r="CC32" s="382" t="s">
        <v>293</v>
      </c>
      <c r="CD32" s="383">
        <f>HLOOKUP($CC32,$AK$6:$AM$132,ROWS(CD$6:CD32),0)</f>
        <v>0</v>
      </c>
      <c r="CE32" s="234">
        <f t="shared" si="29"/>
        <v>0</v>
      </c>
      <c r="CF32" s="96">
        <f t="shared" si="25"/>
        <v>0</v>
      </c>
      <c r="CG32" s="521">
        <f t="shared" si="25"/>
        <v>0</v>
      </c>
      <c r="CH32" s="421">
        <f t="shared" si="25"/>
        <v>0</v>
      </c>
      <c r="CI32" s="96">
        <f t="shared" si="25"/>
        <v>0</v>
      </c>
      <c r="CJ32" s="96">
        <f t="shared" si="25"/>
        <v>0</v>
      </c>
      <c r="CK32" s="96">
        <f t="shared" si="25"/>
        <v>0</v>
      </c>
      <c r="CL32" s="286">
        <f t="shared" si="25"/>
        <v>0</v>
      </c>
      <c r="CM32" s="305" t="s">
        <v>293</v>
      </c>
      <c r="CN32" s="315">
        <v>0.05</v>
      </c>
      <c r="CO32" s="306"/>
      <c r="CP32" s="307" t="str">
        <f>IF($CO32&lt;&gt;"",$CO32,HLOOKUP($CM32,$AY$6:$BA$132,ROWS(CP$6:CP32),0))</f>
        <v/>
      </c>
      <c r="CQ32" s="784" t="str">
        <f t="shared" si="26"/>
        <v/>
      </c>
      <c r="CR32" s="784" t="str">
        <f t="shared" si="26"/>
        <v/>
      </c>
      <c r="CS32" s="524" t="str">
        <f t="shared" si="26"/>
        <v/>
      </c>
      <c r="CT32" s="416" t="str">
        <f t="shared" si="26"/>
        <v/>
      </c>
      <c r="CU32" s="97" t="str">
        <f t="shared" si="26"/>
        <v/>
      </c>
      <c r="CV32" s="97" t="str">
        <f t="shared" si="26"/>
        <v/>
      </c>
      <c r="CW32" s="97" t="str">
        <f t="shared" si="26"/>
        <v/>
      </c>
      <c r="CX32" s="98" t="str">
        <f t="shared" si="26"/>
        <v/>
      </c>
      <c r="CY32" s="392"/>
    </row>
    <row r="33" spans="1:103" ht="15.75" thickBot="1" x14ac:dyDescent="0.3">
      <c r="A33" s="100" t="s">
        <v>68</v>
      </c>
      <c r="B33" s="101" t="s">
        <v>308</v>
      </c>
      <c r="C33" s="102" t="s">
        <v>309</v>
      </c>
      <c r="D33" s="103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0</v>
      </c>
      <c r="K33" s="104">
        <v>0</v>
      </c>
      <c r="L33" s="104">
        <v>0</v>
      </c>
      <c r="M33" s="655">
        <f>'2022-23 Input'!I33</f>
        <v>0</v>
      </c>
      <c r="N33" s="1066">
        <v>0</v>
      </c>
      <c r="O33" s="563">
        <f t="shared" si="27"/>
        <v>0</v>
      </c>
      <c r="P33" s="564">
        <f t="shared" si="0"/>
        <v>0</v>
      </c>
      <c r="Q33" s="564">
        <f t="shared" si="1"/>
        <v>0</v>
      </c>
      <c r="R33" s="564">
        <f t="shared" si="2"/>
        <v>0</v>
      </c>
      <c r="S33" s="564">
        <f t="shared" si="3"/>
        <v>0</v>
      </c>
      <c r="T33" s="564">
        <f t="shared" si="4"/>
        <v>0</v>
      </c>
      <c r="U33" s="564">
        <f t="shared" si="5"/>
        <v>0</v>
      </c>
      <c r="V33" s="564">
        <f t="shared" si="6"/>
        <v>0</v>
      </c>
      <c r="W33" s="676">
        <f t="shared" si="7"/>
        <v>0</v>
      </c>
      <c r="X33" s="676">
        <f t="shared" si="8"/>
        <v>0</v>
      </c>
      <c r="Y33" s="676">
        <f t="shared" si="8"/>
        <v>0</v>
      </c>
      <c r="Z33" s="105">
        <v>0</v>
      </c>
      <c r="AA33" s="106">
        <v>0</v>
      </c>
      <c r="AB33" s="106">
        <v>0</v>
      </c>
      <c r="AC33" s="106">
        <v>0</v>
      </c>
      <c r="AD33" s="106">
        <v>0</v>
      </c>
      <c r="AE33" s="106">
        <v>0</v>
      </c>
      <c r="AF33" s="106">
        <v>0</v>
      </c>
      <c r="AG33" s="106">
        <v>0</v>
      </c>
      <c r="AH33" s="106">
        <v>0</v>
      </c>
      <c r="AI33" s="1095">
        <f>'2022-23 Input'!P33</f>
        <v>0</v>
      </c>
      <c r="AJ33" s="666">
        <v>0</v>
      </c>
      <c r="AK33" s="107">
        <f t="shared" si="9"/>
        <v>0</v>
      </c>
      <c r="AL33" s="108">
        <f t="shared" si="10"/>
        <v>0</v>
      </c>
      <c r="AM33" s="109">
        <f t="shared" si="11"/>
        <v>0</v>
      </c>
      <c r="AN33" s="110" t="str">
        <f t="shared" si="12"/>
        <v/>
      </c>
      <c r="AO33" s="111" t="str">
        <f t="shared" si="13"/>
        <v/>
      </c>
      <c r="AP33" s="111" t="str">
        <f t="shared" si="14"/>
        <v/>
      </c>
      <c r="AQ33" s="111" t="str">
        <f t="shared" si="15"/>
        <v/>
      </c>
      <c r="AR33" s="111" t="str">
        <f t="shared" si="16"/>
        <v/>
      </c>
      <c r="AS33" s="111" t="str">
        <f t="shared" si="17"/>
        <v/>
      </c>
      <c r="AT33" s="111" t="str">
        <f t="shared" si="18"/>
        <v/>
      </c>
      <c r="AU33" s="111" t="str">
        <f t="shared" si="19"/>
        <v/>
      </c>
      <c r="AV33" s="111" t="str">
        <f t="shared" si="30"/>
        <v/>
      </c>
      <c r="AW33" s="111" t="str">
        <f t="shared" si="30"/>
        <v/>
      </c>
      <c r="AX33" s="111" t="str">
        <f t="shared" si="30"/>
        <v/>
      </c>
      <c r="AY33" s="112" t="str">
        <f t="shared" si="21"/>
        <v/>
      </c>
      <c r="AZ33" s="113" t="str">
        <f t="shared" si="22"/>
        <v/>
      </c>
      <c r="BA33" s="114" t="str">
        <f t="shared" si="23"/>
        <v/>
      </c>
      <c r="BB33" s="250" t="s">
        <v>422</v>
      </c>
      <c r="BC33" s="230" t="s">
        <v>433</v>
      </c>
      <c r="BD33" s="251">
        <v>0</v>
      </c>
      <c r="BE33" s="270">
        <f t="shared" si="28"/>
        <v>0</v>
      </c>
      <c r="BF33" s="271">
        <f t="shared" si="31"/>
        <v>0</v>
      </c>
      <c r="BG33" s="271">
        <f t="shared" si="31"/>
        <v>0</v>
      </c>
      <c r="BH33" s="271">
        <f t="shared" si="31"/>
        <v>1</v>
      </c>
      <c r="BI33" s="271">
        <f t="shared" si="31"/>
        <v>2</v>
      </c>
      <c r="BJ33" s="271">
        <f t="shared" si="31"/>
        <v>3</v>
      </c>
      <c r="BK33" s="271">
        <f t="shared" si="31"/>
        <v>4</v>
      </c>
      <c r="BL33" s="272">
        <f t="shared" si="31"/>
        <v>5</v>
      </c>
      <c r="BM33" s="257">
        <f>IF($BC33=Lookup!$A$2,$BD33*ROUNDUP(BE33/10,0)+1,
IF($BC33=Lookup!$A$3,($BD33+1)^BD33,
IF($BC33=Lookup!$A$4,BE33*$BD33+1,"Error")))</f>
        <v>1</v>
      </c>
      <c r="BN33" s="230">
        <f>IF($BC33=Lookup!$A$2,$BD33*ROUNDUP(BF33/10,0)+1,
IF($BC33=Lookup!$A$3,($BD33+1)^BE33,
IF($BC33=Lookup!$A$4,BF33*$BD33+1,"Error")))</f>
        <v>1</v>
      </c>
      <c r="BO33" s="230">
        <f>IF($BC33=Lookup!$A$2,$BD33*ROUNDUP(BG33/10,0)+1,
IF($BC33=Lookup!$A$3,($BD33+1)^BF33,
IF($BC33=Lookup!$A$4,BG33*$BD33+1,"Error")))</f>
        <v>1</v>
      </c>
      <c r="BP33" s="230">
        <f>IF($BC33=Lookup!$A$2,$BD33*ROUNDUP(BH33/10,0)+1,
IF($BC33=Lookup!$A$3,($BD33+1)^BG33,
IF($BC33=Lookup!$A$4,BH33*$BD33+1,"Error")))</f>
        <v>1</v>
      </c>
      <c r="BQ33" s="230">
        <f>IF($BC33=Lookup!$A$2,$BD33*ROUNDUP(BI33/10,0)+1,
IF($BC33=Lookup!$A$3,($BD33+1)^BH33,
IF($BC33=Lookup!$A$4,BI33*$BD33+1,"Error")))</f>
        <v>1</v>
      </c>
      <c r="BR33" s="230">
        <f>IF($BC33=Lookup!$A$2,$BD33*ROUNDUP(BJ33/10,0)+1,
IF($BC33=Lookup!$A$3,($BD33+1)^BI33,
IF($BC33=Lookup!$A$4,BJ33*$BD33+1,"Error")))</f>
        <v>1</v>
      </c>
      <c r="BS33" s="230">
        <f>IF($BC33=Lookup!$A$2,$BD33*ROUNDUP(BK33/10,0)+1,
IF($BC33=Lookup!$A$3,($BD33+1)^BJ33,
IF($BC33=Lookup!$A$4,BK33*$BD33+1,"Error")))</f>
        <v>1</v>
      </c>
      <c r="BT33" s="251">
        <f>IF($BC33=Lookup!$A$2,$BD33*ROUNDUP(BL33/10,0)+1,
IF($BC33=Lookup!$A$3,($BD33+1)^BK33,
IF($BC33=Lookup!$A$4,BL33*$BD33+1,"Error")))</f>
        <v>1</v>
      </c>
      <c r="BU33" s="322"/>
      <c r="BV33" s="323"/>
      <c r="BW33" s="323"/>
      <c r="BX33" s="323"/>
      <c r="BY33" s="323"/>
      <c r="BZ33" s="323"/>
      <c r="CA33" s="323"/>
      <c r="CB33" s="278"/>
      <c r="CC33" s="384" t="s">
        <v>293</v>
      </c>
      <c r="CD33" s="385">
        <f>HLOOKUP($CC33,$AK$6:$AM$132,ROWS(CD$6:CD33),0)</f>
        <v>0</v>
      </c>
      <c r="CE33" s="235">
        <f t="shared" si="29"/>
        <v>0</v>
      </c>
      <c r="CF33" s="115">
        <f t="shared" si="25"/>
        <v>0</v>
      </c>
      <c r="CG33" s="522">
        <f t="shared" si="25"/>
        <v>0</v>
      </c>
      <c r="CH33" s="422">
        <f t="shared" si="25"/>
        <v>0</v>
      </c>
      <c r="CI33" s="115">
        <f t="shared" si="25"/>
        <v>0</v>
      </c>
      <c r="CJ33" s="115">
        <f t="shared" si="25"/>
        <v>0</v>
      </c>
      <c r="CK33" s="115">
        <f t="shared" si="25"/>
        <v>0</v>
      </c>
      <c r="CL33" s="287">
        <f t="shared" si="25"/>
        <v>0</v>
      </c>
      <c r="CM33" s="308" t="s">
        <v>293</v>
      </c>
      <c r="CN33" s="316">
        <v>0.05</v>
      </c>
      <c r="CO33" s="309"/>
      <c r="CP33" s="310" t="str">
        <f>IF($CO33&lt;&gt;"",$CO33,HLOOKUP($CM33,$AY$6:$BA$132,ROWS(CP$6:CP33),0))</f>
        <v/>
      </c>
      <c r="CQ33" s="785" t="str">
        <f t="shared" si="26"/>
        <v/>
      </c>
      <c r="CR33" s="785" t="str">
        <f t="shared" si="26"/>
        <v/>
      </c>
      <c r="CS33" s="638" t="str">
        <f t="shared" si="26"/>
        <v/>
      </c>
      <c r="CT33" s="467" t="str">
        <f t="shared" si="26"/>
        <v/>
      </c>
      <c r="CU33" s="117" t="str">
        <f t="shared" si="26"/>
        <v/>
      </c>
      <c r="CV33" s="117" t="str">
        <f t="shared" si="26"/>
        <v/>
      </c>
      <c r="CW33" s="117" t="str">
        <f t="shared" si="26"/>
        <v/>
      </c>
      <c r="CX33" s="118" t="str">
        <f t="shared" si="26"/>
        <v/>
      </c>
      <c r="CY33" s="393"/>
    </row>
    <row r="34" spans="1:103" x14ac:dyDescent="0.25">
      <c r="A34" s="63" t="s">
        <v>81</v>
      </c>
      <c r="B34" s="334" t="s">
        <v>79</v>
      </c>
      <c r="C34" s="65" t="s">
        <v>305</v>
      </c>
      <c r="D34" s="66">
        <v>1111762.7008306421</v>
      </c>
      <c r="E34" s="67">
        <v>2992884.5766724148</v>
      </c>
      <c r="F34" s="67">
        <v>3236995.6438336996</v>
      </c>
      <c r="G34" s="67">
        <v>2811046.6510916175</v>
      </c>
      <c r="H34" s="67">
        <v>3268329.6873396169</v>
      </c>
      <c r="I34" s="67">
        <v>1221983.0087369806</v>
      </c>
      <c r="J34" s="67">
        <v>4126232.7686168184</v>
      </c>
      <c r="K34" s="67">
        <v>0</v>
      </c>
      <c r="L34" s="67">
        <v>2323984.49567167</v>
      </c>
      <c r="M34" s="653">
        <f>'2022-23 Input'!I34</f>
        <v>0</v>
      </c>
      <c r="N34" s="1064">
        <v>0</v>
      </c>
      <c r="O34" s="557">
        <f t="shared" si="27"/>
        <v>1495828.1512907583</v>
      </c>
      <c r="P34" s="558">
        <f t="shared" si="0"/>
        <v>3966861.7663756744</v>
      </c>
      <c r="Q34" s="558">
        <f t="shared" si="1"/>
        <v>4246956.8901016451</v>
      </c>
      <c r="R34" s="558">
        <f t="shared" si="2"/>
        <v>3618145.2291175695</v>
      </c>
      <c r="S34" s="558">
        <f t="shared" si="3"/>
        <v>4121098.3416950041</v>
      </c>
      <c r="T34" s="558">
        <f t="shared" si="4"/>
        <v>1516662.1271526674</v>
      </c>
      <c r="U34" s="558">
        <f t="shared" si="5"/>
        <v>5139173.2904570457</v>
      </c>
      <c r="V34" s="558">
        <f t="shared" si="6"/>
        <v>0</v>
      </c>
      <c r="W34" s="674">
        <f t="shared" si="7"/>
        <v>2625933.3729900811</v>
      </c>
      <c r="X34" s="674">
        <f t="shared" si="8"/>
        <v>0</v>
      </c>
      <c r="Y34" s="674">
        <f t="shared" si="8"/>
        <v>0</v>
      </c>
      <c r="Z34" s="119">
        <v>37</v>
      </c>
      <c r="AA34" s="120">
        <v>86</v>
      </c>
      <c r="AB34" s="120">
        <v>45</v>
      </c>
      <c r="AC34" s="120">
        <v>79.419333333333327</v>
      </c>
      <c r="AD34" s="120">
        <v>78.75</v>
      </c>
      <c r="AE34" s="120">
        <v>34.131617095999999</v>
      </c>
      <c r="AF34" s="120">
        <v>65.562500003999986</v>
      </c>
      <c r="AG34" s="120">
        <v>0</v>
      </c>
      <c r="AH34" s="120">
        <v>0.63366666000000005</v>
      </c>
      <c r="AI34" s="1096">
        <f>'2022-23 Input'!P34</f>
        <v>0.21500000033333333</v>
      </c>
      <c r="AJ34" s="667">
        <v>0.12783333100000002</v>
      </c>
      <c r="AK34" s="121">
        <f t="shared" si="9"/>
        <v>20.108556752066665</v>
      </c>
      <c r="AL34" s="122">
        <f t="shared" si="10"/>
        <v>0.28288888677777779</v>
      </c>
      <c r="AM34" s="123">
        <f t="shared" si="11"/>
        <v>0.21500000033333333</v>
      </c>
      <c r="AN34" s="73">
        <f t="shared" si="12"/>
        <v>30047.640562990327</v>
      </c>
      <c r="AO34" s="74">
        <f t="shared" si="13"/>
        <v>34800.983449679239</v>
      </c>
      <c r="AP34" s="74">
        <f t="shared" si="14"/>
        <v>71933.236529637768</v>
      </c>
      <c r="AQ34" s="74">
        <f t="shared" si="15"/>
        <v>35394.991787368541</v>
      </c>
      <c r="AR34" s="74">
        <f t="shared" si="16"/>
        <v>41502.599204312595</v>
      </c>
      <c r="AS34" s="74">
        <f t="shared" si="17"/>
        <v>35802.08360183992</v>
      </c>
      <c r="AT34" s="74">
        <f t="shared" si="18"/>
        <v>62935.866819677038</v>
      </c>
      <c r="AU34" s="74" t="str">
        <f t="shared" si="19"/>
        <v/>
      </c>
      <c r="AV34" s="74">
        <f t="shared" si="30"/>
        <v>3667518.9691559118</v>
      </c>
      <c r="AW34" s="74">
        <f t="shared" si="30"/>
        <v>0</v>
      </c>
      <c r="AX34" s="74">
        <f t="shared" si="30"/>
        <v>0</v>
      </c>
      <c r="AY34" s="75">
        <f t="shared" si="21"/>
        <v>76307.81629553753</v>
      </c>
      <c r="AZ34" s="76">
        <f t="shared" si="22"/>
        <v>2738394.9485642235</v>
      </c>
      <c r="BA34" s="77">
        <f t="shared" si="23"/>
        <v>0</v>
      </c>
      <c r="BB34" s="246" t="s">
        <v>422</v>
      </c>
      <c r="BC34" s="228" t="s">
        <v>433</v>
      </c>
      <c r="BD34" s="247">
        <v>0</v>
      </c>
      <c r="BE34" s="264">
        <f t="shared" si="28"/>
        <v>0</v>
      </c>
      <c r="BF34" s="265">
        <f t="shared" si="31"/>
        <v>0</v>
      </c>
      <c r="BG34" s="265">
        <f t="shared" si="31"/>
        <v>0</v>
      </c>
      <c r="BH34" s="265">
        <f t="shared" si="31"/>
        <v>1</v>
      </c>
      <c r="BI34" s="265">
        <f t="shared" si="31"/>
        <v>2</v>
      </c>
      <c r="BJ34" s="265">
        <f t="shared" si="31"/>
        <v>3</v>
      </c>
      <c r="BK34" s="265">
        <f t="shared" si="31"/>
        <v>4</v>
      </c>
      <c r="BL34" s="266">
        <f t="shared" si="31"/>
        <v>5</v>
      </c>
      <c r="BM34" s="255">
        <f>IF($BC34=Lookup!$A$2,$BD34*ROUNDUP(BE34/10,0)+1,
IF($BC34=Lookup!$A$3,($BD34+1)^BD34,
IF($BC34=Lookup!$A$4,BE34*$BD34+1,"Error")))</f>
        <v>1</v>
      </c>
      <c r="BN34" s="228">
        <f>IF($BC34=Lookup!$A$2,$BD34*ROUNDUP(BF34/10,0)+1,
IF($BC34=Lookup!$A$3,($BD34+1)^BE34,
IF($BC34=Lookup!$A$4,BF34*$BD34+1,"Error")))</f>
        <v>1</v>
      </c>
      <c r="BO34" s="228">
        <f>IF($BC34=Lookup!$A$2,$BD34*ROUNDUP(BG34/10,0)+1,
IF($BC34=Lookup!$A$3,($BD34+1)^BF34,
IF($BC34=Lookup!$A$4,BG34*$BD34+1,"Error")))</f>
        <v>1</v>
      </c>
      <c r="BP34" s="228">
        <f>IF($BC34=Lookup!$A$2,$BD34*ROUNDUP(BH34/10,0)+1,
IF($BC34=Lookup!$A$3,($BD34+1)^BG34,
IF($BC34=Lookup!$A$4,BH34*$BD34+1,"Error")))</f>
        <v>1</v>
      </c>
      <c r="BQ34" s="228">
        <f>IF($BC34=Lookup!$A$2,$BD34*ROUNDUP(BI34/10,0)+1,
IF($BC34=Lookup!$A$3,($BD34+1)^BH34,
IF($BC34=Lookup!$A$4,BI34*$BD34+1,"Error")))</f>
        <v>1</v>
      </c>
      <c r="BR34" s="228">
        <f>IF($BC34=Lookup!$A$2,$BD34*ROUNDUP(BJ34/10,0)+1,
IF($BC34=Lookup!$A$3,($BD34+1)^BI34,
IF($BC34=Lookup!$A$4,BJ34*$BD34+1,"Error")))</f>
        <v>1</v>
      </c>
      <c r="BS34" s="228">
        <f>IF($BC34=Lookup!$A$2,$BD34*ROUNDUP(BK34/10,0)+1,
IF($BC34=Lookup!$A$3,($BD34+1)^BJ34,
IF($BC34=Lookup!$A$4,BK34*$BD34+1,"Error")))</f>
        <v>1</v>
      </c>
      <c r="BT34" s="247">
        <f>IF($BC34=Lookup!$A$2,$BD34*ROUNDUP(BL34/10,0)+1,
IF($BC34=Lookup!$A$3,($BD34+1)^BK34,
IF($BC34=Lookup!$A$4,BL34*$BD34+1,"Error")))</f>
        <v>1</v>
      </c>
      <c r="BU34" s="396">
        <v>0</v>
      </c>
      <c r="BV34" s="354">
        <v>0</v>
      </c>
      <c r="BW34" s="354">
        <v>0</v>
      </c>
      <c r="BX34" s="354">
        <v>0</v>
      </c>
      <c r="BY34" s="354">
        <v>0</v>
      </c>
      <c r="BZ34" s="354">
        <v>0</v>
      </c>
      <c r="CA34" s="354">
        <v>0</v>
      </c>
      <c r="CB34" s="397">
        <v>0</v>
      </c>
      <c r="CC34" s="380" t="s">
        <v>293</v>
      </c>
      <c r="CD34" s="381">
        <f>HLOOKUP($CC34,$AK$6:$AM$132,ROWS(CD$6:CD34),0)</f>
        <v>0.28288888677777779</v>
      </c>
      <c r="CE34" s="359">
        <f t="shared" si="29"/>
        <v>0</v>
      </c>
      <c r="CF34" s="360">
        <f t="shared" si="25"/>
        <v>0</v>
      </c>
      <c r="CG34" s="798">
        <f t="shared" si="25"/>
        <v>0</v>
      </c>
      <c r="CH34" s="807">
        <f t="shared" si="25"/>
        <v>0</v>
      </c>
      <c r="CI34" s="360">
        <f t="shared" si="25"/>
        <v>0</v>
      </c>
      <c r="CJ34" s="360">
        <f t="shared" si="25"/>
        <v>0</v>
      </c>
      <c r="CK34" s="360">
        <f t="shared" si="25"/>
        <v>0</v>
      </c>
      <c r="CL34" s="361">
        <f t="shared" si="25"/>
        <v>0</v>
      </c>
      <c r="CM34" s="302" t="s">
        <v>293</v>
      </c>
      <c r="CN34" s="314">
        <v>0.05</v>
      </c>
      <c r="CO34" s="303"/>
      <c r="CP34" s="304">
        <f>IF($CO34&lt;&gt;"",$CO34,HLOOKUP($CM34,$AY$6:$BA$132,ROWS(CP$6:CP34),0))</f>
        <v>2738394.9485642235</v>
      </c>
      <c r="CQ34" s="783">
        <f t="shared" si="26"/>
        <v>0</v>
      </c>
      <c r="CR34" s="783">
        <f t="shared" si="26"/>
        <v>0</v>
      </c>
      <c r="CS34" s="523">
        <f t="shared" si="26"/>
        <v>0</v>
      </c>
      <c r="CT34" s="415">
        <f t="shared" si="26"/>
        <v>0</v>
      </c>
      <c r="CU34" s="79">
        <f t="shared" si="26"/>
        <v>0</v>
      </c>
      <c r="CV34" s="79">
        <f t="shared" si="26"/>
        <v>0</v>
      </c>
      <c r="CW34" s="79">
        <f t="shared" si="26"/>
        <v>0</v>
      </c>
      <c r="CX34" s="80">
        <f t="shared" si="26"/>
        <v>0</v>
      </c>
      <c r="CY34" s="391"/>
    </row>
    <row r="35" spans="1:103" x14ac:dyDescent="0.25">
      <c r="A35" s="81" t="s">
        <v>81</v>
      </c>
      <c r="B35" s="82" t="s">
        <v>82</v>
      </c>
      <c r="C35" s="83" t="s">
        <v>70</v>
      </c>
      <c r="D35" s="84">
        <v>1357128.431833216</v>
      </c>
      <c r="E35" s="85">
        <v>2019769.3146515731</v>
      </c>
      <c r="F35" s="85">
        <v>905868.93061336875</v>
      </c>
      <c r="G35" s="85">
        <v>1927202.0285149738</v>
      </c>
      <c r="H35" s="85">
        <v>1574960.5427925645</v>
      </c>
      <c r="I35" s="85">
        <v>849089.58379208297</v>
      </c>
      <c r="J35" s="85">
        <v>1652041.0832963344</v>
      </c>
      <c r="K35" s="85">
        <v>0</v>
      </c>
      <c r="L35" s="85">
        <v>2132202.3846635474</v>
      </c>
      <c r="M35" s="654">
        <f>'2022-23 Input'!I35</f>
        <v>0</v>
      </c>
      <c r="N35" s="1065">
        <v>0</v>
      </c>
      <c r="O35" s="560">
        <f t="shared" si="27"/>
        <v>1825957.0245849122</v>
      </c>
      <c r="P35" s="561">
        <f t="shared" si="0"/>
        <v>2677064.7066176822</v>
      </c>
      <c r="Q35" s="561">
        <f t="shared" si="1"/>
        <v>1188505.2436589266</v>
      </c>
      <c r="R35" s="561">
        <f t="shared" si="2"/>
        <v>2480534.0111695975</v>
      </c>
      <c r="S35" s="561">
        <f t="shared" si="3"/>
        <v>1985897.3549332316</v>
      </c>
      <c r="T35" s="561">
        <f t="shared" si="4"/>
        <v>1053846.0887670622</v>
      </c>
      <c r="U35" s="561">
        <f t="shared" si="5"/>
        <v>2057597.3014872535</v>
      </c>
      <c r="V35" s="561">
        <f t="shared" si="6"/>
        <v>0</v>
      </c>
      <c r="W35" s="675">
        <f t="shared" si="7"/>
        <v>2409233.5427731988</v>
      </c>
      <c r="X35" s="675">
        <f t="shared" si="8"/>
        <v>0</v>
      </c>
      <c r="Y35" s="675">
        <f t="shared" si="8"/>
        <v>0</v>
      </c>
      <c r="Z35" s="125">
        <v>61</v>
      </c>
      <c r="AA35" s="126">
        <v>83</v>
      </c>
      <c r="AB35" s="126">
        <v>32</v>
      </c>
      <c r="AC35" s="126">
        <v>63.156666666666666</v>
      </c>
      <c r="AD35" s="126">
        <v>71</v>
      </c>
      <c r="AE35" s="126">
        <v>39.741901020000014</v>
      </c>
      <c r="AF35" s="126">
        <v>51.537666666</v>
      </c>
      <c r="AG35" s="126">
        <v>0</v>
      </c>
      <c r="AH35" s="126">
        <v>0</v>
      </c>
      <c r="AI35" s="1097">
        <f>'2022-23 Input'!P35</f>
        <v>0.18899999366666664</v>
      </c>
      <c r="AJ35" s="668">
        <v>0.03</v>
      </c>
      <c r="AK35" s="127">
        <f t="shared" si="9"/>
        <v>18.293713535933335</v>
      </c>
      <c r="AL35" s="128">
        <f t="shared" si="10"/>
        <v>6.2999997888888881E-2</v>
      </c>
      <c r="AM35" s="129">
        <f t="shared" si="11"/>
        <v>0.18899999366666664</v>
      </c>
      <c r="AN35" s="91">
        <f t="shared" si="12"/>
        <v>22248.007079233048</v>
      </c>
      <c r="AO35" s="92">
        <f t="shared" si="13"/>
        <v>24334.570056043049</v>
      </c>
      <c r="AP35" s="92">
        <f t="shared" si="14"/>
        <v>28308.404081667773</v>
      </c>
      <c r="AQ35" s="92">
        <f t="shared" si="15"/>
        <v>30514.625458093215</v>
      </c>
      <c r="AR35" s="92">
        <f t="shared" si="16"/>
        <v>22182.542856233304</v>
      </c>
      <c r="AS35" s="92">
        <f t="shared" si="17"/>
        <v>21365.09734058219</v>
      </c>
      <c r="AT35" s="92">
        <f t="shared" si="18"/>
        <v>32055.022863233447</v>
      </c>
      <c r="AU35" s="92" t="str">
        <f t="shared" si="19"/>
        <v/>
      </c>
      <c r="AV35" s="92" t="str">
        <f t="shared" si="30"/>
        <v/>
      </c>
      <c r="AW35" s="92">
        <f t="shared" si="30"/>
        <v>0</v>
      </c>
      <c r="AX35" s="92">
        <f t="shared" si="30"/>
        <v>0</v>
      </c>
      <c r="AY35" s="93">
        <f t="shared" si="21"/>
        <v>50654.92080272235</v>
      </c>
      <c r="AZ35" s="94">
        <f t="shared" si="22"/>
        <v>11281494.476788428</v>
      </c>
      <c r="BA35" s="95">
        <f t="shared" si="23"/>
        <v>0</v>
      </c>
      <c r="BB35" s="248" t="s">
        <v>422</v>
      </c>
      <c r="BC35" s="229" t="s">
        <v>433</v>
      </c>
      <c r="BD35" s="249">
        <v>0</v>
      </c>
      <c r="BE35" s="267">
        <f t="shared" si="28"/>
        <v>0</v>
      </c>
      <c r="BF35" s="268">
        <f t="shared" si="31"/>
        <v>0</v>
      </c>
      <c r="BG35" s="268">
        <f t="shared" si="31"/>
        <v>0</v>
      </c>
      <c r="BH35" s="268">
        <f t="shared" si="31"/>
        <v>1</v>
      </c>
      <c r="BI35" s="268">
        <f t="shared" si="31"/>
        <v>2</v>
      </c>
      <c r="BJ35" s="268">
        <f t="shared" si="31"/>
        <v>3</v>
      </c>
      <c r="BK35" s="268">
        <f t="shared" si="31"/>
        <v>4</v>
      </c>
      <c r="BL35" s="269">
        <f t="shared" si="31"/>
        <v>5</v>
      </c>
      <c r="BM35" s="256">
        <f>IF($BC35=Lookup!$A$2,$BD35*ROUNDUP(BE35/10,0)+1,
IF($BC35=Lookup!$A$3,($BD35+1)^BD35,
IF($BC35=Lookup!$A$4,BE35*$BD35+1,"Error")))</f>
        <v>1</v>
      </c>
      <c r="BN35" s="229">
        <f>IF($BC35=Lookup!$A$2,$BD35*ROUNDUP(BF35/10,0)+1,
IF($BC35=Lookup!$A$3,($BD35+1)^BE35,
IF($BC35=Lookup!$A$4,BF35*$BD35+1,"Error")))</f>
        <v>1</v>
      </c>
      <c r="BO35" s="229">
        <f>IF($BC35=Lookup!$A$2,$BD35*ROUNDUP(BG35/10,0)+1,
IF($BC35=Lookup!$A$3,($BD35+1)^BF35,
IF($BC35=Lookup!$A$4,BG35*$BD35+1,"Error")))</f>
        <v>1</v>
      </c>
      <c r="BP35" s="229">
        <f>IF($BC35=Lookup!$A$2,$BD35*ROUNDUP(BH35/10,0)+1,
IF($BC35=Lookup!$A$3,($BD35+1)^BG35,
IF($BC35=Lookup!$A$4,BH35*$BD35+1,"Error")))</f>
        <v>1</v>
      </c>
      <c r="BQ35" s="229">
        <f>IF($BC35=Lookup!$A$2,$BD35*ROUNDUP(BI35/10,0)+1,
IF($BC35=Lookup!$A$3,($BD35+1)^BH35,
IF($BC35=Lookup!$A$4,BI35*$BD35+1,"Error")))</f>
        <v>1</v>
      </c>
      <c r="BR35" s="229">
        <f>IF($BC35=Lookup!$A$2,$BD35*ROUNDUP(BJ35/10,0)+1,
IF($BC35=Lookup!$A$3,($BD35+1)^BI35,
IF($BC35=Lookup!$A$4,BJ35*$BD35+1,"Error")))</f>
        <v>1</v>
      </c>
      <c r="BS35" s="229">
        <f>IF($BC35=Lookup!$A$2,$BD35*ROUNDUP(BK35/10,0)+1,
IF($BC35=Lookup!$A$3,($BD35+1)^BJ35,
IF($BC35=Lookup!$A$4,BK35*$BD35+1,"Error")))</f>
        <v>1</v>
      </c>
      <c r="BT35" s="249">
        <f>IF($BC35=Lookup!$A$2,$BD35*ROUNDUP(BL35/10,0)+1,
IF($BC35=Lookup!$A$3,($BD35+1)^BK35,
IF($BC35=Lookup!$A$4,BL35*$BD35+1,"Error")))</f>
        <v>1</v>
      </c>
      <c r="BU35" s="398">
        <v>0</v>
      </c>
      <c r="BV35" s="356">
        <v>0</v>
      </c>
      <c r="BW35" s="356">
        <v>0</v>
      </c>
      <c r="BX35" s="356">
        <v>0</v>
      </c>
      <c r="BY35" s="356">
        <v>0</v>
      </c>
      <c r="BZ35" s="356">
        <v>0</v>
      </c>
      <c r="CA35" s="356">
        <v>0</v>
      </c>
      <c r="CB35" s="399">
        <v>0</v>
      </c>
      <c r="CC35" s="382" t="s">
        <v>293</v>
      </c>
      <c r="CD35" s="383">
        <f>HLOOKUP($CC35,$AK$6:$AM$132,ROWS(CD$6:CD35),0)</f>
        <v>6.2999997888888881E-2</v>
      </c>
      <c r="CE35" s="362">
        <f t="shared" si="29"/>
        <v>0</v>
      </c>
      <c r="CF35" s="363">
        <f t="shared" si="25"/>
        <v>0</v>
      </c>
      <c r="CG35" s="799">
        <f t="shared" si="25"/>
        <v>0</v>
      </c>
      <c r="CH35" s="808">
        <f t="shared" si="25"/>
        <v>0</v>
      </c>
      <c r="CI35" s="363">
        <f t="shared" si="25"/>
        <v>0</v>
      </c>
      <c r="CJ35" s="363">
        <f t="shared" si="25"/>
        <v>0</v>
      </c>
      <c r="CK35" s="363">
        <f t="shared" si="25"/>
        <v>0</v>
      </c>
      <c r="CL35" s="364">
        <f t="shared" si="25"/>
        <v>0</v>
      </c>
      <c r="CM35" s="305" t="s">
        <v>293</v>
      </c>
      <c r="CN35" s="315">
        <v>0.05</v>
      </c>
      <c r="CO35" s="306"/>
      <c r="CP35" s="307">
        <f>IF($CO35&lt;&gt;"",$CO35,HLOOKUP($CM35,$AY$6:$BA$132,ROWS(CP$6:CP35),0))</f>
        <v>11281494.476788428</v>
      </c>
      <c r="CQ35" s="784">
        <f t="shared" si="26"/>
        <v>0</v>
      </c>
      <c r="CR35" s="784">
        <f t="shared" si="26"/>
        <v>0</v>
      </c>
      <c r="CS35" s="524">
        <f t="shared" si="26"/>
        <v>0</v>
      </c>
      <c r="CT35" s="416">
        <f t="shared" si="26"/>
        <v>0</v>
      </c>
      <c r="CU35" s="97">
        <f t="shared" si="26"/>
        <v>0</v>
      </c>
      <c r="CV35" s="97">
        <f t="shared" si="26"/>
        <v>0</v>
      </c>
      <c r="CW35" s="97">
        <f t="shared" si="26"/>
        <v>0</v>
      </c>
      <c r="CX35" s="98">
        <f t="shared" si="26"/>
        <v>0</v>
      </c>
      <c r="CY35" s="392"/>
    </row>
    <row r="36" spans="1:103" x14ac:dyDescent="0.25">
      <c r="A36" s="81" t="s">
        <v>81</v>
      </c>
      <c r="B36" s="82" t="s">
        <v>83</v>
      </c>
      <c r="C36" s="83" t="s">
        <v>312</v>
      </c>
      <c r="D36" s="84">
        <v>239491.52700517385</v>
      </c>
      <c r="E36" s="85">
        <v>427097.47639304027</v>
      </c>
      <c r="F36" s="85">
        <v>411865.43092537427</v>
      </c>
      <c r="G36" s="85">
        <v>119804.47197245306</v>
      </c>
      <c r="H36" s="85">
        <v>150148.04435634706</v>
      </c>
      <c r="I36" s="85">
        <v>220299.12011058797</v>
      </c>
      <c r="J36" s="85">
        <v>87715.074796672008</v>
      </c>
      <c r="K36" s="85">
        <v>0</v>
      </c>
      <c r="L36" s="85">
        <v>230437.64007598208</v>
      </c>
      <c r="M36" s="654">
        <f>'2022-23 Input'!I36</f>
        <v>0</v>
      </c>
      <c r="N36" s="1065">
        <v>0</v>
      </c>
      <c r="O36" s="560">
        <f t="shared" si="27"/>
        <v>322225.38840554369</v>
      </c>
      <c r="P36" s="561">
        <f t="shared" si="0"/>
        <v>566088.20227300422</v>
      </c>
      <c r="Q36" s="561">
        <f t="shared" si="1"/>
        <v>540369.81266727496</v>
      </c>
      <c r="R36" s="561">
        <f t="shared" si="2"/>
        <v>154202.3425778973</v>
      </c>
      <c r="S36" s="561">
        <f t="shared" si="3"/>
        <v>189324.4916516869</v>
      </c>
      <c r="T36" s="561">
        <f t="shared" si="4"/>
        <v>273423.87719623453</v>
      </c>
      <c r="U36" s="561">
        <f t="shared" si="5"/>
        <v>109248.07078118587</v>
      </c>
      <c r="V36" s="561">
        <f t="shared" si="6"/>
        <v>0</v>
      </c>
      <c r="W36" s="675">
        <f t="shared" si="7"/>
        <v>260377.76525428583</v>
      </c>
      <c r="X36" s="675">
        <f t="shared" si="8"/>
        <v>0</v>
      </c>
      <c r="Y36" s="675">
        <f t="shared" si="8"/>
        <v>0</v>
      </c>
      <c r="Z36" s="125">
        <v>20</v>
      </c>
      <c r="AA36" s="126">
        <v>39</v>
      </c>
      <c r="AB36" s="126">
        <v>3</v>
      </c>
      <c r="AC36" s="126">
        <v>10.050333333333334</v>
      </c>
      <c r="AD36" s="126">
        <v>23</v>
      </c>
      <c r="AE36" s="126">
        <v>10.929600119999998</v>
      </c>
      <c r="AF36" s="126">
        <v>11.586333332999999</v>
      </c>
      <c r="AG36" s="126">
        <v>0</v>
      </c>
      <c r="AH36" s="126">
        <v>0.2</v>
      </c>
      <c r="AI36" s="1097">
        <f>'2022-23 Input'!P36</f>
        <v>0</v>
      </c>
      <c r="AJ36" s="668">
        <v>0.02</v>
      </c>
      <c r="AK36" s="127">
        <f t="shared" si="9"/>
        <v>4.5431866905999989</v>
      </c>
      <c r="AL36" s="128">
        <f t="shared" si="10"/>
        <v>6.6666666666666666E-2</v>
      </c>
      <c r="AM36" s="129">
        <f t="shared" si="11"/>
        <v>0</v>
      </c>
      <c r="AN36" s="91">
        <f t="shared" si="12"/>
        <v>11974.576350258692</v>
      </c>
      <c r="AO36" s="92">
        <f t="shared" si="13"/>
        <v>10951.217343411288</v>
      </c>
      <c r="AP36" s="92">
        <f t="shared" si="14"/>
        <v>137288.47697512477</v>
      </c>
      <c r="AQ36" s="92">
        <f t="shared" si="15"/>
        <v>11920.447610936923</v>
      </c>
      <c r="AR36" s="92">
        <f t="shared" si="16"/>
        <v>6528.175841580307</v>
      </c>
      <c r="AS36" s="92">
        <f t="shared" si="17"/>
        <v>20156.192147182417</v>
      </c>
      <c r="AT36" s="92">
        <f t="shared" si="18"/>
        <v>7570.5637215566221</v>
      </c>
      <c r="AU36" s="92" t="str">
        <f t="shared" si="19"/>
        <v/>
      </c>
      <c r="AV36" s="92">
        <f t="shared" si="30"/>
        <v>1152188.2003799104</v>
      </c>
      <c r="AW36" s="92" t="str">
        <f t="shared" si="30"/>
        <v/>
      </c>
      <c r="AX36" s="92">
        <f t="shared" si="30"/>
        <v>0</v>
      </c>
      <c r="AY36" s="93">
        <f t="shared" si="21"/>
        <v>23703.707184092455</v>
      </c>
      <c r="AZ36" s="94">
        <f t="shared" si="22"/>
        <v>1152188.2003799104</v>
      </c>
      <c r="BA36" s="95" t="str">
        <f t="shared" si="23"/>
        <v/>
      </c>
      <c r="BB36" s="248" t="s">
        <v>422</v>
      </c>
      <c r="BC36" s="229" t="s">
        <v>433</v>
      </c>
      <c r="BD36" s="249">
        <v>0</v>
      </c>
      <c r="BE36" s="267">
        <f t="shared" si="28"/>
        <v>0</v>
      </c>
      <c r="BF36" s="268">
        <f t="shared" si="31"/>
        <v>0</v>
      </c>
      <c r="BG36" s="268">
        <f t="shared" si="31"/>
        <v>0</v>
      </c>
      <c r="BH36" s="268">
        <f t="shared" si="31"/>
        <v>1</v>
      </c>
      <c r="BI36" s="268">
        <f t="shared" si="31"/>
        <v>2</v>
      </c>
      <c r="BJ36" s="268">
        <f t="shared" si="31"/>
        <v>3</v>
      </c>
      <c r="BK36" s="268">
        <f t="shared" si="31"/>
        <v>4</v>
      </c>
      <c r="BL36" s="269">
        <f t="shared" si="31"/>
        <v>5</v>
      </c>
      <c r="BM36" s="256">
        <f>IF($BC36=Lookup!$A$2,$BD36*ROUNDUP(BE36/10,0)+1,
IF($BC36=Lookup!$A$3,($BD36+1)^BD36,
IF($BC36=Lookup!$A$4,BE36*$BD36+1,"Error")))</f>
        <v>1</v>
      </c>
      <c r="BN36" s="229">
        <f>IF($BC36=Lookup!$A$2,$BD36*ROUNDUP(BF36/10,0)+1,
IF($BC36=Lookup!$A$3,($BD36+1)^BE36,
IF($BC36=Lookup!$A$4,BF36*$BD36+1,"Error")))</f>
        <v>1</v>
      </c>
      <c r="BO36" s="229">
        <f>IF($BC36=Lookup!$A$2,$BD36*ROUNDUP(BG36/10,0)+1,
IF($BC36=Lookup!$A$3,($BD36+1)^BF36,
IF($BC36=Lookup!$A$4,BG36*$BD36+1,"Error")))</f>
        <v>1</v>
      </c>
      <c r="BP36" s="229">
        <f>IF($BC36=Lookup!$A$2,$BD36*ROUNDUP(BH36/10,0)+1,
IF($BC36=Lookup!$A$3,($BD36+1)^BG36,
IF($BC36=Lookup!$A$4,BH36*$BD36+1,"Error")))</f>
        <v>1</v>
      </c>
      <c r="BQ36" s="229">
        <f>IF($BC36=Lookup!$A$2,$BD36*ROUNDUP(BI36/10,0)+1,
IF($BC36=Lookup!$A$3,($BD36+1)^BH36,
IF($BC36=Lookup!$A$4,BI36*$BD36+1,"Error")))</f>
        <v>1</v>
      </c>
      <c r="BR36" s="229">
        <f>IF($BC36=Lookup!$A$2,$BD36*ROUNDUP(BJ36/10,0)+1,
IF($BC36=Lookup!$A$3,($BD36+1)^BI36,
IF($BC36=Lookup!$A$4,BJ36*$BD36+1,"Error")))</f>
        <v>1</v>
      </c>
      <c r="BS36" s="229">
        <f>IF($BC36=Lookup!$A$2,$BD36*ROUNDUP(BK36/10,0)+1,
IF($BC36=Lookup!$A$3,($BD36+1)^BJ36,
IF($BC36=Lookup!$A$4,BK36*$BD36+1,"Error")))</f>
        <v>1</v>
      </c>
      <c r="BT36" s="249">
        <f>IF($BC36=Lookup!$A$2,$BD36*ROUNDUP(BL36/10,0)+1,
IF($BC36=Lookup!$A$3,($BD36+1)^BK36,
IF($BC36=Lookup!$A$4,BL36*$BD36+1,"Error")))</f>
        <v>1</v>
      </c>
      <c r="BU36" s="398">
        <v>0</v>
      </c>
      <c r="BV36" s="356">
        <v>0</v>
      </c>
      <c r="BW36" s="356">
        <v>0</v>
      </c>
      <c r="BX36" s="356">
        <v>0</v>
      </c>
      <c r="BY36" s="356">
        <v>0</v>
      </c>
      <c r="BZ36" s="356">
        <v>0</v>
      </c>
      <c r="CA36" s="356">
        <v>0</v>
      </c>
      <c r="CB36" s="399">
        <v>0</v>
      </c>
      <c r="CC36" s="382" t="s">
        <v>293</v>
      </c>
      <c r="CD36" s="383">
        <f>HLOOKUP($CC36,$AK$6:$AM$132,ROWS(CD$6:CD36),0)</f>
        <v>6.6666666666666666E-2</v>
      </c>
      <c r="CE36" s="362">
        <f t="shared" si="29"/>
        <v>0</v>
      </c>
      <c r="CF36" s="363">
        <f t="shared" si="25"/>
        <v>0</v>
      </c>
      <c r="CG36" s="799">
        <f t="shared" si="25"/>
        <v>0</v>
      </c>
      <c r="CH36" s="808">
        <f t="shared" si="25"/>
        <v>0</v>
      </c>
      <c r="CI36" s="363">
        <f t="shared" si="25"/>
        <v>0</v>
      </c>
      <c r="CJ36" s="363">
        <f t="shared" si="25"/>
        <v>0</v>
      </c>
      <c r="CK36" s="363">
        <f t="shared" si="25"/>
        <v>0</v>
      </c>
      <c r="CL36" s="364">
        <f t="shared" si="25"/>
        <v>0</v>
      </c>
      <c r="CM36" s="305" t="s">
        <v>293</v>
      </c>
      <c r="CN36" s="315">
        <v>0.05</v>
      </c>
      <c r="CO36" s="306"/>
      <c r="CP36" s="307">
        <f>IF($CO36&lt;&gt;"",$CO36,HLOOKUP($CM36,$AY$6:$BA$132,ROWS(CP$6:CP36),0))</f>
        <v>1152188.2003799104</v>
      </c>
      <c r="CQ36" s="784">
        <f t="shared" si="26"/>
        <v>0</v>
      </c>
      <c r="CR36" s="784">
        <f t="shared" si="26"/>
        <v>0</v>
      </c>
      <c r="CS36" s="524">
        <f t="shared" si="26"/>
        <v>0</v>
      </c>
      <c r="CT36" s="416">
        <f t="shared" si="26"/>
        <v>0</v>
      </c>
      <c r="CU36" s="97">
        <f t="shared" si="26"/>
        <v>0</v>
      </c>
      <c r="CV36" s="97">
        <f t="shared" si="26"/>
        <v>0</v>
      </c>
      <c r="CW36" s="97">
        <f t="shared" si="26"/>
        <v>0</v>
      </c>
      <c r="CX36" s="98">
        <f t="shared" si="26"/>
        <v>0</v>
      </c>
      <c r="CY36" s="392"/>
    </row>
    <row r="37" spans="1:103" x14ac:dyDescent="0.25">
      <c r="A37" s="81" t="s">
        <v>81</v>
      </c>
      <c r="B37" s="82" t="s">
        <v>85</v>
      </c>
      <c r="C37" s="83" t="s">
        <v>314</v>
      </c>
      <c r="D37" s="84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654">
        <f>'2022-23 Input'!I37</f>
        <v>0</v>
      </c>
      <c r="N37" s="1065">
        <v>0</v>
      </c>
      <c r="O37" s="560">
        <f t="shared" si="27"/>
        <v>0</v>
      </c>
      <c r="P37" s="561">
        <f t="shared" si="0"/>
        <v>0</v>
      </c>
      <c r="Q37" s="561">
        <f t="shared" si="1"/>
        <v>0</v>
      </c>
      <c r="R37" s="561">
        <f t="shared" si="2"/>
        <v>0</v>
      </c>
      <c r="S37" s="561">
        <f t="shared" si="3"/>
        <v>0</v>
      </c>
      <c r="T37" s="561">
        <f t="shared" si="4"/>
        <v>0</v>
      </c>
      <c r="U37" s="561">
        <f t="shared" si="5"/>
        <v>0</v>
      </c>
      <c r="V37" s="561">
        <f t="shared" si="6"/>
        <v>0</v>
      </c>
      <c r="W37" s="675">
        <f t="shared" si="7"/>
        <v>0</v>
      </c>
      <c r="X37" s="675">
        <f t="shared" si="8"/>
        <v>0</v>
      </c>
      <c r="Y37" s="675">
        <f t="shared" si="8"/>
        <v>0</v>
      </c>
      <c r="Z37" s="125">
        <v>0</v>
      </c>
      <c r="AA37" s="126">
        <v>0</v>
      </c>
      <c r="AB37" s="126">
        <v>0</v>
      </c>
      <c r="AC37" s="126">
        <v>0</v>
      </c>
      <c r="AD37" s="126">
        <v>0</v>
      </c>
      <c r="AE37" s="126">
        <v>0</v>
      </c>
      <c r="AF37" s="126">
        <v>0</v>
      </c>
      <c r="AG37" s="126">
        <v>0</v>
      </c>
      <c r="AH37" s="126">
        <v>0</v>
      </c>
      <c r="AI37" s="1097">
        <f>'2022-23 Input'!P37</f>
        <v>0</v>
      </c>
      <c r="AJ37" s="668">
        <v>0</v>
      </c>
      <c r="AK37" s="127">
        <f t="shared" si="9"/>
        <v>0</v>
      </c>
      <c r="AL37" s="128">
        <f t="shared" si="10"/>
        <v>0</v>
      </c>
      <c r="AM37" s="129">
        <f t="shared" si="11"/>
        <v>0</v>
      </c>
      <c r="AN37" s="91" t="str">
        <f t="shared" si="12"/>
        <v/>
      </c>
      <c r="AO37" s="92" t="str">
        <f t="shared" si="13"/>
        <v/>
      </c>
      <c r="AP37" s="92" t="str">
        <f t="shared" si="14"/>
        <v/>
      </c>
      <c r="AQ37" s="92" t="str">
        <f t="shared" si="15"/>
        <v/>
      </c>
      <c r="AR37" s="92" t="str">
        <f t="shared" si="16"/>
        <v/>
      </c>
      <c r="AS37" s="92" t="str">
        <f t="shared" si="17"/>
        <v/>
      </c>
      <c r="AT37" s="92" t="str">
        <f t="shared" si="18"/>
        <v/>
      </c>
      <c r="AU37" s="92" t="str">
        <f t="shared" si="19"/>
        <v/>
      </c>
      <c r="AV37" s="92" t="str">
        <f t="shared" si="30"/>
        <v/>
      </c>
      <c r="AW37" s="92" t="str">
        <f t="shared" si="30"/>
        <v/>
      </c>
      <c r="AX37" s="92" t="str">
        <f t="shared" si="30"/>
        <v/>
      </c>
      <c r="AY37" s="93" t="str">
        <f t="shared" si="21"/>
        <v/>
      </c>
      <c r="AZ37" s="94" t="str">
        <f t="shared" si="22"/>
        <v/>
      </c>
      <c r="BA37" s="95" t="str">
        <f t="shared" si="23"/>
        <v/>
      </c>
      <c r="BB37" s="248" t="s">
        <v>422</v>
      </c>
      <c r="BC37" s="229" t="s">
        <v>433</v>
      </c>
      <c r="BD37" s="249">
        <v>0</v>
      </c>
      <c r="BE37" s="267">
        <f t="shared" si="28"/>
        <v>0</v>
      </c>
      <c r="BF37" s="268">
        <f t="shared" si="31"/>
        <v>0</v>
      </c>
      <c r="BG37" s="268">
        <f t="shared" si="31"/>
        <v>0</v>
      </c>
      <c r="BH37" s="268">
        <f t="shared" si="31"/>
        <v>1</v>
      </c>
      <c r="BI37" s="268">
        <f t="shared" si="31"/>
        <v>2</v>
      </c>
      <c r="BJ37" s="268">
        <f t="shared" si="31"/>
        <v>3</v>
      </c>
      <c r="BK37" s="268">
        <f t="shared" si="31"/>
        <v>4</v>
      </c>
      <c r="BL37" s="269">
        <f t="shared" si="31"/>
        <v>5</v>
      </c>
      <c r="BM37" s="256">
        <f>IF($BC37=Lookup!$A$2,$BD37*ROUNDUP(BE37/10,0)+1,
IF($BC37=Lookup!$A$3,($BD37+1)^BD37,
IF($BC37=Lookup!$A$4,BE37*$BD37+1,"Error")))</f>
        <v>1</v>
      </c>
      <c r="BN37" s="229">
        <f>IF($BC37=Lookup!$A$2,$BD37*ROUNDUP(BF37/10,0)+1,
IF($BC37=Lookup!$A$3,($BD37+1)^BE37,
IF($BC37=Lookup!$A$4,BF37*$BD37+1,"Error")))</f>
        <v>1</v>
      </c>
      <c r="BO37" s="229">
        <f>IF($BC37=Lookup!$A$2,$BD37*ROUNDUP(BG37/10,0)+1,
IF($BC37=Lookup!$A$3,($BD37+1)^BF37,
IF($BC37=Lookup!$A$4,BG37*$BD37+1,"Error")))</f>
        <v>1</v>
      </c>
      <c r="BP37" s="229">
        <f>IF($BC37=Lookup!$A$2,$BD37*ROUNDUP(BH37/10,0)+1,
IF($BC37=Lookup!$A$3,($BD37+1)^BG37,
IF($BC37=Lookup!$A$4,BH37*$BD37+1,"Error")))</f>
        <v>1</v>
      </c>
      <c r="BQ37" s="229">
        <f>IF($BC37=Lookup!$A$2,$BD37*ROUNDUP(BI37/10,0)+1,
IF($BC37=Lookup!$A$3,($BD37+1)^BH37,
IF($BC37=Lookup!$A$4,BI37*$BD37+1,"Error")))</f>
        <v>1</v>
      </c>
      <c r="BR37" s="229">
        <f>IF($BC37=Lookup!$A$2,$BD37*ROUNDUP(BJ37/10,0)+1,
IF($BC37=Lookup!$A$3,($BD37+1)^BI37,
IF($BC37=Lookup!$A$4,BJ37*$BD37+1,"Error")))</f>
        <v>1</v>
      </c>
      <c r="BS37" s="229">
        <f>IF($BC37=Lookup!$A$2,$BD37*ROUNDUP(BK37/10,0)+1,
IF($BC37=Lookup!$A$3,($BD37+1)^BJ37,
IF($BC37=Lookup!$A$4,BK37*$BD37+1,"Error")))</f>
        <v>1</v>
      </c>
      <c r="BT37" s="249">
        <f>IF($BC37=Lookup!$A$2,$BD37*ROUNDUP(BL37/10,0)+1,
IF($BC37=Lookup!$A$3,($BD37+1)^BK37,
IF($BC37=Lookup!$A$4,BL37*$BD37+1,"Error")))</f>
        <v>1</v>
      </c>
      <c r="BU37" s="398">
        <v>0</v>
      </c>
      <c r="BV37" s="356">
        <v>0</v>
      </c>
      <c r="BW37" s="356">
        <v>0</v>
      </c>
      <c r="BX37" s="356">
        <v>0</v>
      </c>
      <c r="BY37" s="356">
        <v>0</v>
      </c>
      <c r="BZ37" s="356">
        <v>0</v>
      </c>
      <c r="CA37" s="356">
        <v>0</v>
      </c>
      <c r="CB37" s="399">
        <v>0</v>
      </c>
      <c r="CC37" s="382" t="s">
        <v>293</v>
      </c>
      <c r="CD37" s="383">
        <f>HLOOKUP($CC37,$AK$6:$AM$132,ROWS(CD$6:CD37),0)</f>
        <v>0</v>
      </c>
      <c r="CE37" s="362">
        <f t="shared" si="29"/>
        <v>0</v>
      </c>
      <c r="CF37" s="363">
        <f t="shared" si="25"/>
        <v>0</v>
      </c>
      <c r="CG37" s="799">
        <f t="shared" si="25"/>
        <v>0</v>
      </c>
      <c r="CH37" s="808">
        <f t="shared" si="25"/>
        <v>0</v>
      </c>
      <c r="CI37" s="363">
        <f t="shared" si="25"/>
        <v>0</v>
      </c>
      <c r="CJ37" s="363">
        <f t="shared" si="25"/>
        <v>0</v>
      </c>
      <c r="CK37" s="363">
        <f t="shared" si="25"/>
        <v>0</v>
      </c>
      <c r="CL37" s="364">
        <f t="shared" si="25"/>
        <v>0</v>
      </c>
      <c r="CM37" s="305" t="s">
        <v>293</v>
      </c>
      <c r="CN37" s="315">
        <v>0.05</v>
      </c>
      <c r="CO37" s="306"/>
      <c r="CP37" s="307" t="str">
        <f>IF($CO37&lt;&gt;"",$CO37,HLOOKUP($CM37,$AY$6:$BA$132,ROWS(CP$6:CP37),0))</f>
        <v/>
      </c>
      <c r="CQ37" s="784" t="str">
        <f t="shared" si="26"/>
        <v/>
      </c>
      <c r="CR37" s="784" t="str">
        <f t="shared" si="26"/>
        <v/>
      </c>
      <c r="CS37" s="524" t="str">
        <f t="shared" si="26"/>
        <v/>
      </c>
      <c r="CT37" s="416" t="str">
        <f t="shared" si="26"/>
        <v/>
      </c>
      <c r="CU37" s="97" t="str">
        <f t="shared" si="26"/>
        <v/>
      </c>
      <c r="CV37" s="97" t="str">
        <f t="shared" si="26"/>
        <v/>
      </c>
      <c r="CW37" s="97" t="str">
        <f t="shared" si="26"/>
        <v/>
      </c>
      <c r="CX37" s="98" t="str">
        <f t="shared" si="26"/>
        <v/>
      </c>
      <c r="CY37" s="392"/>
    </row>
    <row r="38" spans="1:103" x14ac:dyDescent="0.25">
      <c r="A38" s="81" t="s">
        <v>81</v>
      </c>
      <c r="B38" s="82" t="s">
        <v>87</v>
      </c>
      <c r="C38" s="83" t="s">
        <v>315</v>
      </c>
      <c r="D38" s="84">
        <v>437338</v>
      </c>
      <c r="E38" s="85">
        <v>237357.63586614808</v>
      </c>
      <c r="F38" s="85">
        <v>356051.15</v>
      </c>
      <c r="G38" s="85">
        <v>328262.86403330747</v>
      </c>
      <c r="H38" s="85">
        <v>407227.2546913675</v>
      </c>
      <c r="I38" s="85">
        <v>566230.44852122932</v>
      </c>
      <c r="J38" s="85">
        <v>227742.68891766109</v>
      </c>
      <c r="K38" s="85">
        <v>0</v>
      </c>
      <c r="L38" s="85">
        <v>241000.96431751901</v>
      </c>
      <c r="M38" s="654">
        <f>'2022-23 Input'!I38</f>
        <v>0</v>
      </c>
      <c r="N38" s="1065">
        <v>0</v>
      </c>
      <c r="O38" s="560">
        <f t="shared" si="27"/>
        <v>588419.1757291659</v>
      </c>
      <c r="P38" s="561">
        <f t="shared" si="0"/>
        <v>314601.1503462671</v>
      </c>
      <c r="Q38" s="561">
        <f t="shared" si="1"/>
        <v>467141.15528751083</v>
      </c>
      <c r="R38" s="561">
        <f t="shared" si="2"/>
        <v>422512.6306379009</v>
      </c>
      <c r="S38" s="561">
        <f t="shared" si="3"/>
        <v>513480.5006063077</v>
      </c>
      <c r="T38" s="561">
        <f t="shared" si="4"/>
        <v>702775.95545328921</v>
      </c>
      <c r="U38" s="561">
        <f t="shared" si="5"/>
        <v>283650.7801703228</v>
      </c>
      <c r="V38" s="561">
        <f t="shared" si="6"/>
        <v>0</v>
      </c>
      <c r="W38" s="675">
        <f t="shared" si="7"/>
        <v>272313.55299608404</v>
      </c>
      <c r="X38" s="675">
        <f t="shared" si="8"/>
        <v>0</v>
      </c>
      <c r="Y38" s="675">
        <f t="shared" si="8"/>
        <v>0</v>
      </c>
      <c r="Z38" s="125">
        <v>19</v>
      </c>
      <c r="AA38" s="126">
        <v>35</v>
      </c>
      <c r="AB38" s="126">
        <v>-1</v>
      </c>
      <c r="AC38" s="126">
        <v>18.266666666666666</v>
      </c>
      <c r="AD38" s="126">
        <v>29</v>
      </c>
      <c r="AE38" s="126">
        <v>25.114980339999999</v>
      </c>
      <c r="AF38" s="126">
        <v>21.171666665000007</v>
      </c>
      <c r="AG38" s="126">
        <v>0</v>
      </c>
      <c r="AH38" s="126">
        <v>0</v>
      </c>
      <c r="AI38" s="1097">
        <f>'2022-23 Input'!P38</f>
        <v>0</v>
      </c>
      <c r="AJ38" s="668">
        <v>0</v>
      </c>
      <c r="AK38" s="127">
        <f t="shared" si="9"/>
        <v>9.2573294010000016</v>
      </c>
      <c r="AL38" s="128">
        <f t="shared" si="10"/>
        <v>0</v>
      </c>
      <c r="AM38" s="129">
        <f t="shared" si="11"/>
        <v>0</v>
      </c>
      <c r="AN38" s="91">
        <f t="shared" si="12"/>
        <v>23017.78947368421</v>
      </c>
      <c r="AO38" s="92">
        <f t="shared" si="13"/>
        <v>6781.6467390328025</v>
      </c>
      <c r="AP38" s="92">
        <f t="shared" si="14"/>
        <v>-356051.15</v>
      </c>
      <c r="AQ38" s="92">
        <f t="shared" si="15"/>
        <v>17970.59474634895</v>
      </c>
      <c r="AR38" s="92">
        <f t="shared" si="16"/>
        <v>14042.319127288534</v>
      </c>
      <c r="AS38" s="92">
        <f t="shared" si="17"/>
        <v>22545.526249901472</v>
      </c>
      <c r="AT38" s="92">
        <f t="shared" si="18"/>
        <v>10756.956101814812</v>
      </c>
      <c r="AU38" s="92" t="str">
        <f t="shared" si="19"/>
        <v/>
      </c>
      <c r="AV38" s="92" t="str">
        <f t="shared" si="30"/>
        <v/>
      </c>
      <c r="AW38" s="92" t="str">
        <f t="shared" si="30"/>
        <v/>
      </c>
      <c r="AX38" s="92" t="str">
        <f t="shared" si="30"/>
        <v/>
      </c>
      <c r="AY38" s="93">
        <f t="shared" si="21"/>
        <v>22360.100995101431</v>
      </c>
      <c r="AZ38" s="94" t="str">
        <f t="shared" si="22"/>
        <v/>
      </c>
      <c r="BA38" s="95" t="str">
        <f t="shared" si="23"/>
        <v/>
      </c>
      <c r="BB38" s="248" t="s">
        <v>422</v>
      </c>
      <c r="BC38" s="229" t="s">
        <v>433</v>
      </c>
      <c r="BD38" s="249">
        <v>0</v>
      </c>
      <c r="BE38" s="267">
        <f t="shared" si="28"/>
        <v>0</v>
      </c>
      <c r="BF38" s="268">
        <f t="shared" si="31"/>
        <v>0</v>
      </c>
      <c r="BG38" s="268">
        <f t="shared" si="31"/>
        <v>0</v>
      </c>
      <c r="BH38" s="268">
        <f t="shared" si="31"/>
        <v>1</v>
      </c>
      <c r="BI38" s="268">
        <f t="shared" si="31"/>
        <v>2</v>
      </c>
      <c r="BJ38" s="268">
        <f t="shared" si="31"/>
        <v>3</v>
      </c>
      <c r="BK38" s="268">
        <f t="shared" si="31"/>
        <v>4</v>
      </c>
      <c r="BL38" s="269">
        <f t="shared" si="31"/>
        <v>5</v>
      </c>
      <c r="BM38" s="256">
        <f>IF($BC38=Lookup!$A$2,$BD38*ROUNDUP(BE38/10,0)+1,
IF($BC38=Lookup!$A$3,($BD38+1)^BD38,
IF($BC38=Lookup!$A$4,BE38*$BD38+1,"Error")))</f>
        <v>1</v>
      </c>
      <c r="BN38" s="229">
        <f>IF($BC38=Lookup!$A$2,$BD38*ROUNDUP(BF38/10,0)+1,
IF($BC38=Lookup!$A$3,($BD38+1)^BE38,
IF($BC38=Lookup!$A$4,BF38*$BD38+1,"Error")))</f>
        <v>1</v>
      </c>
      <c r="BO38" s="229">
        <f>IF($BC38=Lookup!$A$2,$BD38*ROUNDUP(BG38/10,0)+1,
IF($BC38=Lookup!$A$3,($BD38+1)^BF38,
IF($BC38=Lookup!$A$4,BG38*$BD38+1,"Error")))</f>
        <v>1</v>
      </c>
      <c r="BP38" s="229">
        <f>IF($BC38=Lookup!$A$2,$BD38*ROUNDUP(BH38/10,0)+1,
IF($BC38=Lookup!$A$3,($BD38+1)^BG38,
IF($BC38=Lookup!$A$4,BH38*$BD38+1,"Error")))</f>
        <v>1</v>
      </c>
      <c r="BQ38" s="229">
        <f>IF($BC38=Lookup!$A$2,$BD38*ROUNDUP(BI38/10,0)+1,
IF($BC38=Lookup!$A$3,($BD38+1)^BH38,
IF($BC38=Lookup!$A$4,BI38*$BD38+1,"Error")))</f>
        <v>1</v>
      </c>
      <c r="BR38" s="229">
        <f>IF($BC38=Lookup!$A$2,$BD38*ROUNDUP(BJ38/10,0)+1,
IF($BC38=Lookup!$A$3,($BD38+1)^BI38,
IF($BC38=Lookup!$A$4,BJ38*$BD38+1,"Error")))</f>
        <v>1</v>
      </c>
      <c r="BS38" s="229">
        <f>IF($BC38=Lookup!$A$2,$BD38*ROUNDUP(BK38/10,0)+1,
IF($BC38=Lookup!$A$3,($BD38+1)^BJ38,
IF($BC38=Lookup!$A$4,BK38*$BD38+1,"Error")))</f>
        <v>1</v>
      </c>
      <c r="BT38" s="249">
        <f>IF($BC38=Lookup!$A$2,$BD38*ROUNDUP(BL38/10,0)+1,
IF($BC38=Lookup!$A$3,($BD38+1)^BK38,
IF($BC38=Lookup!$A$4,BL38*$BD38+1,"Error")))</f>
        <v>1</v>
      </c>
      <c r="BU38" s="398">
        <v>0</v>
      </c>
      <c r="BV38" s="356">
        <v>0</v>
      </c>
      <c r="BW38" s="356">
        <v>0</v>
      </c>
      <c r="BX38" s="356">
        <v>0</v>
      </c>
      <c r="BY38" s="356">
        <v>0</v>
      </c>
      <c r="BZ38" s="356">
        <v>0</v>
      </c>
      <c r="CA38" s="356">
        <v>0</v>
      </c>
      <c r="CB38" s="399">
        <v>0</v>
      </c>
      <c r="CC38" s="382" t="s">
        <v>293</v>
      </c>
      <c r="CD38" s="383">
        <f>HLOOKUP($CC38,$AK$6:$AM$132,ROWS(CD$6:CD38),0)</f>
        <v>0</v>
      </c>
      <c r="CE38" s="362">
        <f t="shared" si="29"/>
        <v>0</v>
      </c>
      <c r="CF38" s="363">
        <f t="shared" si="25"/>
        <v>0</v>
      </c>
      <c r="CG38" s="799">
        <f t="shared" si="25"/>
        <v>0</v>
      </c>
      <c r="CH38" s="808">
        <f t="shared" si="25"/>
        <v>0</v>
      </c>
      <c r="CI38" s="363">
        <f t="shared" si="25"/>
        <v>0</v>
      </c>
      <c r="CJ38" s="363">
        <f t="shared" si="25"/>
        <v>0</v>
      </c>
      <c r="CK38" s="363">
        <f t="shared" si="25"/>
        <v>0</v>
      </c>
      <c r="CL38" s="364">
        <f t="shared" si="25"/>
        <v>0</v>
      </c>
      <c r="CM38" s="305" t="s">
        <v>293</v>
      </c>
      <c r="CN38" s="315">
        <v>0.05</v>
      </c>
      <c r="CO38" s="306"/>
      <c r="CP38" s="307" t="str">
        <f>IF($CO38&lt;&gt;"",$CO38,HLOOKUP($CM38,$AY$6:$BA$132,ROWS(CP$6:CP38),0))</f>
        <v/>
      </c>
      <c r="CQ38" s="784" t="str">
        <f t="shared" si="26"/>
        <v/>
      </c>
      <c r="CR38" s="784" t="str">
        <f t="shared" si="26"/>
        <v/>
      </c>
      <c r="CS38" s="524" t="str">
        <f t="shared" si="26"/>
        <v/>
      </c>
      <c r="CT38" s="416" t="str">
        <f t="shared" si="26"/>
        <v/>
      </c>
      <c r="CU38" s="97" t="str">
        <f t="shared" si="26"/>
        <v/>
      </c>
      <c r="CV38" s="97" t="str">
        <f t="shared" si="26"/>
        <v/>
      </c>
      <c r="CW38" s="97" t="str">
        <f t="shared" si="26"/>
        <v/>
      </c>
      <c r="CX38" s="98" t="str">
        <f t="shared" ref="CX38:CX101" si="32">IFERROR(CL38*$CP38,"")</f>
        <v/>
      </c>
      <c r="CY38" s="392"/>
    </row>
    <row r="39" spans="1:103" x14ac:dyDescent="0.25">
      <c r="A39" s="81" t="s">
        <v>81</v>
      </c>
      <c r="B39" s="82" t="s">
        <v>89</v>
      </c>
      <c r="C39" s="83" t="s">
        <v>74</v>
      </c>
      <c r="D39" s="84">
        <v>611056.6829914772</v>
      </c>
      <c r="E39" s="85">
        <v>249084.43223070671</v>
      </c>
      <c r="F39" s="85">
        <v>69231.902470095985</v>
      </c>
      <c r="G39" s="85">
        <v>-5301.7102298960854</v>
      </c>
      <c r="H39" s="85">
        <v>30877.618510435699</v>
      </c>
      <c r="I39" s="85">
        <v>19682.841170819003</v>
      </c>
      <c r="J39" s="85">
        <v>0</v>
      </c>
      <c r="K39" s="85">
        <v>0</v>
      </c>
      <c r="L39" s="85">
        <v>8597805.8747498728</v>
      </c>
      <c r="M39" s="654">
        <f>'2022-23 Input'!I39</f>
        <v>492481.56000000006</v>
      </c>
      <c r="N39" s="1065">
        <v>0</v>
      </c>
      <c r="O39" s="560">
        <f t="shared" si="27"/>
        <v>822150.07552429289</v>
      </c>
      <c r="P39" s="561">
        <f t="shared" si="0"/>
        <v>330144.2088735564</v>
      </c>
      <c r="Q39" s="561">
        <f t="shared" si="1"/>
        <v>90832.65396736651</v>
      </c>
      <c r="R39" s="561">
        <f t="shared" si="2"/>
        <v>-6823.9200395387334</v>
      </c>
      <c r="S39" s="561">
        <f t="shared" si="3"/>
        <v>38934.169625472307</v>
      </c>
      <c r="T39" s="561">
        <f t="shared" si="4"/>
        <v>24429.324749283674</v>
      </c>
      <c r="U39" s="561">
        <f t="shared" si="5"/>
        <v>0</v>
      </c>
      <c r="V39" s="561">
        <f t="shared" si="6"/>
        <v>0</v>
      </c>
      <c r="W39" s="675">
        <f t="shared" si="7"/>
        <v>9714895.0102916528</v>
      </c>
      <c r="X39" s="675">
        <f t="shared" si="8"/>
        <v>523734.89588087978</v>
      </c>
      <c r="Y39" s="675">
        <f t="shared" si="8"/>
        <v>0</v>
      </c>
      <c r="Z39" s="125">
        <v>10</v>
      </c>
      <c r="AA39" s="126">
        <v>13</v>
      </c>
      <c r="AB39" s="126">
        <v>1</v>
      </c>
      <c r="AC39" s="126">
        <v>0</v>
      </c>
      <c r="AD39" s="126">
        <v>1</v>
      </c>
      <c r="AE39" s="126">
        <v>0</v>
      </c>
      <c r="AF39" s="126">
        <v>0.46666666700000003</v>
      </c>
      <c r="AG39" s="126">
        <v>0</v>
      </c>
      <c r="AH39" s="126">
        <v>0.138333336</v>
      </c>
      <c r="AI39" s="1097">
        <f>'2022-23 Input'!P39</f>
        <v>0</v>
      </c>
      <c r="AJ39" s="668">
        <v>0</v>
      </c>
      <c r="AK39" s="127">
        <f t="shared" ref="AK39:AK70" si="33">IFERROR(IF($AM$4="N",SUM(AD39:AH39)/5,SUM(AE39:AI39)/5),"")</f>
        <v>0.1210000006</v>
      </c>
      <c r="AL39" s="128">
        <f t="shared" ref="AL39:AL70" si="34">IFERROR(IF($AM$4="N",SUM(AF39:AH39)/3,SUM(AG39:AI39)/3),"")</f>
        <v>4.6111112000000003E-2</v>
      </c>
      <c r="AM39" s="129">
        <f t="shared" ref="AM39:AM70" si="35">IFERROR(IF($AM$4="N",AH39,AI39),"")</f>
        <v>0</v>
      </c>
      <c r="AN39" s="91">
        <f t="shared" ref="AN39:AN70" si="36">IFERROR(D39/Z39,"")</f>
        <v>61105.668299147721</v>
      </c>
      <c r="AO39" s="92">
        <f t="shared" ref="AO39:AO70" si="37">IFERROR(E39/AA39,"")</f>
        <v>19160.340940823593</v>
      </c>
      <c r="AP39" s="92">
        <f t="shared" ref="AP39:AP70" si="38">IFERROR(F39/AB39,"")</f>
        <v>69231.902470095985</v>
      </c>
      <c r="AQ39" s="92" t="str">
        <f t="shared" ref="AQ39:AQ70" si="39">IFERROR(G39/AC39,"")</f>
        <v/>
      </c>
      <c r="AR39" s="92">
        <f t="shared" ref="AR39:AR70" si="40">IFERROR(H39/AD39,"")</f>
        <v>30877.618510435699</v>
      </c>
      <c r="AS39" s="92" t="str">
        <f t="shared" ref="AS39:AS70" si="41">IFERROR(I39/AE39,"")</f>
        <v/>
      </c>
      <c r="AT39" s="92">
        <f t="shared" ref="AT39:AT70" si="42">IFERROR(J39/AF39,"")</f>
        <v>0</v>
      </c>
      <c r="AU39" s="92" t="str">
        <f t="shared" ref="AU39:AU70" si="43">IFERROR(K39/AG39,"")</f>
        <v/>
      </c>
      <c r="AV39" s="92">
        <f t="shared" ref="AV39:AX54" si="44">IFERROR(L39/AH39,"")</f>
        <v>62152812.354282215</v>
      </c>
      <c r="AW39" s="92" t="str">
        <f t="shared" si="44"/>
        <v/>
      </c>
      <c r="AX39" s="92" t="str">
        <f t="shared" si="44"/>
        <v/>
      </c>
      <c r="AY39" s="93">
        <f t="shared" ref="AY39:AY70" si="45">IFERROR(IF($BA$3="N",
IF($BA$4="N",SUM(H39:L39)/SUM(AD39:AH39),SUM(I39:M39)/SUM(AE39:AI39)),
IF($BA$4="N",SUM(S39:W39)/SUM(AD39:AH39),SUM(T39:X39)/SUM(AE39:AI39))),"")</f>
        <v>15057802.034293035</v>
      </c>
      <c r="AZ39" s="94">
        <f t="shared" ref="AZ39:AZ70" si="46">IFERROR(IF($BA$3="N",
IF($BA$4="N",SUM(J39:L39)/SUM(AF39:AH39),SUM(K39:M39)/SUM(AG39:AI39)),
IF($BA$4="N",SUM(U39:W39)/SUM(AF39:AH39),SUM(V39:X39)/SUM(AG39:AI39))),"")</f>
        <v>65712919.948304243</v>
      </c>
      <c r="BA39" s="95" t="str">
        <f t="shared" ref="BA39:BA70" si="47">IFERROR(IF($BA$3="N",
IF($BA$4="N",L39/AH39,M39/AI39),
IF($BA$4="N",W39/AH39,X39/AI39)),"")</f>
        <v/>
      </c>
      <c r="BB39" s="248" t="s">
        <v>422</v>
      </c>
      <c r="BC39" s="229" t="s">
        <v>433</v>
      </c>
      <c r="BD39" s="249">
        <v>0</v>
      </c>
      <c r="BE39" s="267">
        <f t="shared" si="28"/>
        <v>0</v>
      </c>
      <c r="BF39" s="268">
        <f t="shared" ref="BF39:BL54" si="48">IF(BF$6=$BB39,1,
IF(BE39&lt;&gt;0,BE39+1,0
))</f>
        <v>0</v>
      </c>
      <c r="BG39" s="268">
        <f t="shared" si="48"/>
        <v>0</v>
      </c>
      <c r="BH39" s="268">
        <f t="shared" si="48"/>
        <v>1</v>
      </c>
      <c r="BI39" s="268">
        <f t="shared" si="48"/>
        <v>2</v>
      </c>
      <c r="BJ39" s="268">
        <f t="shared" si="48"/>
        <v>3</v>
      </c>
      <c r="BK39" s="268">
        <f t="shared" si="48"/>
        <v>4</v>
      </c>
      <c r="BL39" s="269">
        <f t="shared" si="48"/>
        <v>5</v>
      </c>
      <c r="BM39" s="256">
        <f>IF($BC39=Lookup!$A$2,$BD39*ROUNDUP(BE39/10,0)+1,
IF($BC39=Lookup!$A$3,($BD39+1)^BD39,
IF($BC39=Lookup!$A$4,BE39*$BD39+1,"Error")))</f>
        <v>1</v>
      </c>
      <c r="BN39" s="229">
        <f>IF($BC39=Lookup!$A$2,$BD39*ROUNDUP(BF39/10,0)+1,
IF($BC39=Lookup!$A$3,($BD39+1)^BE39,
IF($BC39=Lookup!$A$4,BF39*$BD39+1,"Error")))</f>
        <v>1</v>
      </c>
      <c r="BO39" s="229">
        <f>IF($BC39=Lookup!$A$2,$BD39*ROUNDUP(BG39/10,0)+1,
IF($BC39=Lookup!$A$3,($BD39+1)^BF39,
IF($BC39=Lookup!$A$4,BG39*$BD39+1,"Error")))</f>
        <v>1</v>
      </c>
      <c r="BP39" s="229">
        <f>IF($BC39=Lookup!$A$2,$BD39*ROUNDUP(BH39/10,0)+1,
IF($BC39=Lookup!$A$3,($BD39+1)^BG39,
IF($BC39=Lookup!$A$4,BH39*$BD39+1,"Error")))</f>
        <v>1</v>
      </c>
      <c r="BQ39" s="229">
        <f>IF($BC39=Lookup!$A$2,$BD39*ROUNDUP(BI39/10,0)+1,
IF($BC39=Lookup!$A$3,($BD39+1)^BH39,
IF($BC39=Lookup!$A$4,BI39*$BD39+1,"Error")))</f>
        <v>1</v>
      </c>
      <c r="BR39" s="229">
        <f>IF($BC39=Lookup!$A$2,$BD39*ROUNDUP(BJ39/10,0)+1,
IF($BC39=Lookup!$A$3,($BD39+1)^BI39,
IF($BC39=Lookup!$A$4,BJ39*$BD39+1,"Error")))</f>
        <v>1</v>
      </c>
      <c r="BS39" s="229">
        <f>IF($BC39=Lookup!$A$2,$BD39*ROUNDUP(BK39/10,0)+1,
IF($BC39=Lookup!$A$3,($BD39+1)^BJ39,
IF($BC39=Lookup!$A$4,BK39*$BD39+1,"Error")))</f>
        <v>1</v>
      </c>
      <c r="BT39" s="249">
        <f>IF($BC39=Lookup!$A$2,$BD39*ROUNDUP(BL39/10,0)+1,
IF($BC39=Lookup!$A$3,($BD39+1)^BK39,
IF($BC39=Lookup!$A$4,BL39*$BD39+1,"Error")))</f>
        <v>1</v>
      </c>
      <c r="BU39" s="398">
        <v>0</v>
      </c>
      <c r="BV39" s="356">
        <v>0</v>
      </c>
      <c r="BW39" s="356">
        <v>0</v>
      </c>
      <c r="BX39" s="356">
        <v>0</v>
      </c>
      <c r="BY39" s="356">
        <v>0</v>
      </c>
      <c r="BZ39" s="356">
        <v>0</v>
      </c>
      <c r="CA39" s="356">
        <v>0</v>
      </c>
      <c r="CB39" s="399">
        <v>0</v>
      </c>
      <c r="CC39" s="382" t="s">
        <v>293</v>
      </c>
      <c r="CD39" s="383">
        <f>HLOOKUP($CC39,$AK$6:$AM$132,ROWS(CD$6:CD39),0)</f>
        <v>4.6111112000000003E-2</v>
      </c>
      <c r="CE39" s="362">
        <f t="shared" si="29"/>
        <v>0</v>
      </c>
      <c r="CF39" s="363">
        <f t="shared" si="25"/>
        <v>0</v>
      </c>
      <c r="CG39" s="799">
        <f t="shared" si="25"/>
        <v>0</v>
      </c>
      <c r="CH39" s="808">
        <f t="shared" si="25"/>
        <v>0</v>
      </c>
      <c r="CI39" s="363">
        <f t="shared" si="25"/>
        <v>0</v>
      </c>
      <c r="CJ39" s="363">
        <f t="shared" si="25"/>
        <v>0</v>
      </c>
      <c r="CK39" s="363">
        <f t="shared" si="25"/>
        <v>0</v>
      </c>
      <c r="CL39" s="364">
        <f t="shared" si="25"/>
        <v>0</v>
      </c>
      <c r="CM39" s="305" t="s">
        <v>293</v>
      </c>
      <c r="CN39" s="315">
        <v>0.05</v>
      </c>
      <c r="CO39" s="306"/>
      <c r="CP39" s="307">
        <f>IF($CO39&lt;&gt;"",$CO39,HLOOKUP($CM39,$AY$6:$BA$132,ROWS(CP$6:CP39),0))</f>
        <v>65712919.948304243</v>
      </c>
      <c r="CQ39" s="784">
        <f t="shared" ref="CQ39:CW70" si="49">IFERROR(CE39*$CP39,"")</f>
        <v>0</v>
      </c>
      <c r="CR39" s="784">
        <f t="shared" si="49"/>
        <v>0</v>
      </c>
      <c r="CS39" s="524">
        <f t="shared" si="49"/>
        <v>0</v>
      </c>
      <c r="CT39" s="416">
        <f t="shared" si="49"/>
        <v>0</v>
      </c>
      <c r="CU39" s="97">
        <f t="shared" si="49"/>
        <v>0</v>
      </c>
      <c r="CV39" s="97">
        <f t="shared" si="49"/>
        <v>0</v>
      </c>
      <c r="CW39" s="97">
        <f t="shared" si="49"/>
        <v>0</v>
      </c>
      <c r="CX39" s="98">
        <f t="shared" si="32"/>
        <v>0</v>
      </c>
      <c r="CY39" s="392"/>
    </row>
    <row r="40" spans="1:103" x14ac:dyDescent="0.25">
      <c r="A40" s="81" t="s">
        <v>81</v>
      </c>
      <c r="B40" s="82" t="s">
        <v>90</v>
      </c>
      <c r="C40" s="83" t="s">
        <v>76</v>
      </c>
      <c r="D40" s="84">
        <v>0</v>
      </c>
      <c r="E40" s="85">
        <v>0</v>
      </c>
      <c r="F40" s="85">
        <v>373928.6518434764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654">
        <f>'2022-23 Input'!I40</f>
        <v>0</v>
      </c>
      <c r="N40" s="1065">
        <v>0</v>
      </c>
      <c r="O40" s="560">
        <f t="shared" si="27"/>
        <v>0</v>
      </c>
      <c r="P40" s="561">
        <f t="shared" si="0"/>
        <v>0</v>
      </c>
      <c r="Q40" s="561">
        <f t="shared" si="1"/>
        <v>490596.54046128754</v>
      </c>
      <c r="R40" s="561">
        <f t="shared" si="2"/>
        <v>0</v>
      </c>
      <c r="S40" s="561">
        <f t="shared" si="3"/>
        <v>0</v>
      </c>
      <c r="T40" s="561">
        <f t="shared" si="4"/>
        <v>0</v>
      </c>
      <c r="U40" s="561">
        <f t="shared" si="5"/>
        <v>0</v>
      </c>
      <c r="V40" s="561">
        <f t="shared" si="6"/>
        <v>0</v>
      </c>
      <c r="W40" s="675">
        <f t="shared" si="7"/>
        <v>0</v>
      </c>
      <c r="X40" s="675">
        <f t="shared" si="8"/>
        <v>0</v>
      </c>
      <c r="Y40" s="675">
        <f t="shared" si="8"/>
        <v>0</v>
      </c>
      <c r="Z40" s="125">
        <v>0</v>
      </c>
      <c r="AA40" s="126">
        <v>0</v>
      </c>
      <c r="AB40" s="126">
        <v>0</v>
      </c>
      <c r="AC40" s="126">
        <v>0</v>
      </c>
      <c r="AD40" s="126">
        <v>0</v>
      </c>
      <c r="AE40" s="126">
        <v>0</v>
      </c>
      <c r="AF40" s="126">
        <v>0</v>
      </c>
      <c r="AG40" s="126">
        <v>0</v>
      </c>
      <c r="AH40" s="126">
        <v>0</v>
      </c>
      <c r="AI40" s="1097">
        <f>'2022-23 Input'!P40</f>
        <v>0</v>
      </c>
      <c r="AJ40" s="668">
        <v>0</v>
      </c>
      <c r="AK40" s="127">
        <f t="shared" si="33"/>
        <v>0</v>
      </c>
      <c r="AL40" s="128">
        <f t="shared" si="34"/>
        <v>0</v>
      </c>
      <c r="AM40" s="129">
        <f t="shared" si="35"/>
        <v>0</v>
      </c>
      <c r="AN40" s="91" t="str">
        <f t="shared" si="36"/>
        <v/>
      </c>
      <c r="AO40" s="92" t="str">
        <f t="shared" si="37"/>
        <v/>
      </c>
      <c r="AP40" s="92" t="str">
        <f t="shared" si="38"/>
        <v/>
      </c>
      <c r="AQ40" s="92" t="str">
        <f t="shared" si="39"/>
        <v/>
      </c>
      <c r="AR40" s="92" t="str">
        <f t="shared" si="40"/>
        <v/>
      </c>
      <c r="AS40" s="92" t="str">
        <f t="shared" si="41"/>
        <v/>
      </c>
      <c r="AT40" s="92" t="str">
        <f t="shared" si="42"/>
        <v/>
      </c>
      <c r="AU40" s="92" t="str">
        <f t="shared" si="43"/>
        <v/>
      </c>
      <c r="AV40" s="92" t="str">
        <f t="shared" si="44"/>
        <v/>
      </c>
      <c r="AW40" s="92" t="str">
        <f t="shared" si="44"/>
        <v/>
      </c>
      <c r="AX40" s="92" t="str">
        <f t="shared" si="44"/>
        <v/>
      </c>
      <c r="AY40" s="93" t="str">
        <f t="shared" si="45"/>
        <v/>
      </c>
      <c r="AZ40" s="94" t="str">
        <f t="shared" si="46"/>
        <v/>
      </c>
      <c r="BA40" s="95" t="str">
        <f t="shared" si="47"/>
        <v/>
      </c>
      <c r="BB40" s="248" t="s">
        <v>422</v>
      </c>
      <c r="BC40" s="229" t="s">
        <v>433</v>
      </c>
      <c r="BD40" s="249">
        <v>0</v>
      </c>
      <c r="BE40" s="267">
        <f t="shared" si="28"/>
        <v>0</v>
      </c>
      <c r="BF40" s="268">
        <f t="shared" si="48"/>
        <v>0</v>
      </c>
      <c r="BG40" s="268">
        <f t="shared" si="48"/>
        <v>0</v>
      </c>
      <c r="BH40" s="268">
        <f t="shared" si="48"/>
        <v>1</v>
      </c>
      <c r="BI40" s="268">
        <f t="shared" si="48"/>
        <v>2</v>
      </c>
      <c r="BJ40" s="268">
        <f t="shared" si="48"/>
        <v>3</v>
      </c>
      <c r="BK40" s="268">
        <f t="shared" si="48"/>
        <v>4</v>
      </c>
      <c r="BL40" s="269">
        <f t="shared" si="48"/>
        <v>5</v>
      </c>
      <c r="BM40" s="256">
        <f>IF($BC40=Lookup!$A$2,$BD40*ROUNDUP(BE40/10,0)+1,
IF($BC40=Lookup!$A$3,($BD40+1)^BD40,
IF($BC40=Lookup!$A$4,BE40*$BD40+1,"Error")))</f>
        <v>1</v>
      </c>
      <c r="BN40" s="229">
        <f>IF($BC40=Lookup!$A$2,$BD40*ROUNDUP(BF40/10,0)+1,
IF($BC40=Lookup!$A$3,($BD40+1)^BE40,
IF($BC40=Lookup!$A$4,BF40*$BD40+1,"Error")))</f>
        <v>1</v>
      </c>
      <c r="BO40" s="229">
        <f>IF($BC40=Lookup!$A$2,$BD40*ROUNDUP(BG40/10,0)+1,
IF($BC40=Lookup!$A$3,($BD40+1)^BF40,
IF($BC40=Lookup!$A$4,BG40*$BD40+1,"Error")))</f>
        <v>1</v>
      </c>
      <c r="BP40" s="229">
        <f>IF($BC40=Lookup!$A$2,$BD40*ROUNDUP(BH40/10,0)+1,
IF($BC40=Lookup!$A$3,($BD40+1)^BG40,
IF($BC40=Lookup!$A$4,BH40*$BD40+1,"Error")))</f>
        <v>1</v>
      </c>
      <c r="BQ40" s="229">
        <f>IF($BC40=Lookup!$A$2,$BD40*ROUNDUP(BI40/10,0)+1,
IF($BC40=Lookup!$A$3,($BD40+1)^BH40,
IF($BC40=Lookup!$A$4,BI40*$BD40+1,"Error")))</f>
        <v>1</v>
      </c>
      <c r="BR40" s="229">
        <f>IF($BC40=Lookup!$A$2,$BD40*ROUNDUP(BJ40/10,0)+1,
IF($BC40=Lookup!$A$3,($BD40+1)^BI40,
IF($BC40=Lookup!$A$4,BJ40*$BD40+1,"Error")))</f>
        <v>1</v>
      </c>
      <c r="BS40" s="229">
        <f>IF($BC40=Lookup!$A$2,$BD40*ROUNDUP(BK40/10,0)+1,
IF($BC40=Lookup!$A$3,($BD40+1)^BJ40,
IF($BC40=Lookup!$A$4,BK40*$BD40+1,"Error")))</f>
        <v>1</v>
      </c>
      <c r="BT40" s="249">
        <f>IF($BC40=Lookup!$A$2,$BD40*ROUNDUP(BL40/10,0)+1,
IF($BC40=Lookup!$A$3,($BD40+1)^BK40,
IF($BC40=Lookup!$A$4,BL40*$BD40+1,"Error")))</f>
        <v>1</v>
      </c>
      <c r="BU40" s="398">
        <v>0</v>
      </c>
      <c r="BV40" s="356">
        <v>0</v>
      </c>
      <c r="BW40" s="356">
        <v>0</v>
      </c>
      <c r="BX40" s="356">
        <v>0</v>
      </c>
      <c r="BY40" s="356">
        <v>0</v>
      </c>
      <c r="BZ40" s="356">
        <v>0</v>
      </c>
      <c r="CA40" s="356">
        <v>0</v>
      </c>
      <c r="CB40" s="399">
        <v>0</v>
      </c>
      <c r="CC40" s="382" t="s">
        <v>293</v>
      </c>
      <c r="CD40" s="383">
        <f>HLOOKUP($CC40,$AK$6:$AM$132,ROWS(CD$6:CD40),0)</f>
        <v>0</v>
      </c>
      <c r="CE40" s="362">
        <f t="shared" si="29"/>
        <v>0</v>
      </c>
      <c r="CF40" s="363">
        <f t="shared" si="25"/>
        <v>0</v>
      </c>
      <c r="CG40" s="799">
        <f t="shared" si="25"/>
        <v>0</v>
      </c>
      <c r="CH40" s="808">
        <f t="shared" si="25"/>
        <v>0</v>
      </c>
      <c r="CI40" s="363">
        <f t="shared" si="25"/>
        <v>0</v>
      </c>
      <c r="CJ40" s="363">
        <f t="shared" si="25"/>
        <v>0</v>
      </c>
      <c r="CK40" s="363">
        <f t="shared" si="25"/>
        <v>0</v>
      </c>
      <c r="CL40" s="364">
        <f t="shared" si="25"/>
        <v>0</v>
      </c>
      <c r="CM40" s="305" t="s">
        <v>293</v>
      </c>
      <c r="CN40" s="315">
        <v>0.05</v>
      </c>
      <c r="CO40" s="306"/>
      <c r="CP40" s="307" t="str">
        <f>IF($CO40&lt;&gt;"",$CO40,HLOOKUP($CM40,$AY$6:$BA$132,ROWS(CP$6:CP40),0))</f>
        <v/>
      </c>
      <c r="CQ40" s="784" t="str">
        <f t="shared" si="49"/>
        <v/>
      </c>
      <c r="CR40" s="784" t="str">
        <f t="shared" si="49"/>
        <v/>
      </c>
      <c r="CS40" s="524" t="str">
        <f t="shared" si="49"/>
        <v/>
      </c>
      <c r="CT40" s="416" t="str">
        <f t="shared" si="49"/>
        <v/>
      </c>
      <c r="CU40" s="97" t="str">
        <f t="shared" si="49"/>
        <v/>
      </c>
      <c r="CV40" s="97" t="str">
        <f t="shared" si="49"/>
        <v/>
      </c>
      <c r="CW40" s="97" t="str">
        <f t="shared" si="49"/>
        <v/>
      </c>
      <c r="CX40" s="98" t="str">
        <f t="shared" si="32"/>
        <v/>
      </c>
      <c r="CY40" s="392"/>
    </row>
    <row r="41" spans="1:103" x14ac:dyDescent="0.25">
      <c r="A41" s="81" t="s">
        <v>81</v>
      </c>
      <c r="B41" s="82" t="s">
        <v>91</v>
      </c>
      <c r="C41" s="83" t="s">
        <v>78</v>
      </c>
      <c r="D41" s="84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654">
        <f>'2022-23 Input'!I41</f>
        <v>0</v>
      </c>
      <c r="N41" s="1065">
        <v>0</v>
      </c>
      <c r="O41" s="560">
        <f t="shared" si="27"/>
        <v>0</v>
      </c>
      <c r="P41" s="561">
        <f t="shared" si="0"/>
        <v>0</v>
      </c>
      <c r="Q41" s="561">
        <f t="shared" si="1"/>
        <v>0</v>
      </c>
      <c r="R41" s="561">
        <f t="shared" si="2"/>
        <v>0</v>
      </c>
      <c r="S41" s="561">
        <f t="shared" si="3"/>
        <v>0</v>
      </c>
      <c r="T41" s="561">
        <f t="shared" si="4"/>
        <v>0</v>
      </c>
      <c r="U41" s="561">
        <f t="shared" si="5"/>
        <v>0</v>
      </c>
      <c r="V41" s="561">
        <f t="shared" si="6"/>
        <v>0</v>
      </c>
      <c r="W41" s="675">
        <f t="shared" si="7"/>
        <v>0</v>
      </c>
      <c r="X41" s="675">
        <f t="shared" si="8"/>
        <v>0</v>
      </c>
      <c r="Y41" s="675">
        <f t="shared" si="8"/>
        <v>0</v>
      </c>
      <c r="Z41" s="125">
        <v>0</v>
      </c>
      <c r="AA41" s="126">
        <v>0</v>
      </c>
      <c r="AB41" s="126">
        <v>0</v>
      </c>
      <c r="AC41" s="126">
        <v>0</v>
      </c>
      <c r="AD41" s="126">
        <v>0</v>
      </c>
      <c r="AE41" s="126">
        <v>0</v>
      </c>
      <c r="AF41" s="126">
        <v>0</v>
      </c>
      <c r="AG41" s="126">
        <v>0</v>
      </c>
      <c r="AH41" s="126">
        <v>0</v>
      </c>
      <c r="AI41" s="1097">
        <f>'2022-23 Input'!P41</f>
        <v>0</v>
      </c>
      <c r="AJ41" s="668">
        <v>0</v>
      </c>
      <c r="AK41" s="127">
        <f t="shared" si="33"/>
        <v>0</v>
      </c>
      <c r="AL41" s="128">
        <f t="shared" si="34"/>
        <v>0</v>
      </c>
      <c r="AM41" s="129">
        <f t="shared" si="35"/>
        <v>0</v>
      </c>
      <c r="AN41" s="91" t="str">
        <f t="shared" si="36"/>
        <v/>
      </c>
      <c r="AO41" s="92" t="str">
        <f t="shared" si="37"/>
        <v/>
      </c>
      <c r="AP41" s="92" t="str">
        <f t="shared" si="38"/>
        <v/>
      </c>
      <c r="AQ41" s="92" t="str">
        <f t="shared" si="39"/>
        <v/>
      </c>
      <c r="AR41" s="92" t="str">
        <f t="shared" si="40"/>
        <v/>
      </c>
      <c r="AS41" s="92" t="str">
        <f t="shared" si="41"/>
        <v/>
      </c>
      <c r="AT41" s="92" t="str">
        <f t="shared" si="42"/>
        <v/>
      </c>
      <c r="AU41" s="92" t="str">
        <f t="shared" si="43"/>
        <v/>
      </c>
      <c r="AV41" s="92" t="str">
        <f t="shared" si="44"/>
        <v/>
      </c>
      <c r="AW41" s="92" t="str">
        <f t="shared" si="44"/>
        <v/>
      </c>
      <c r="AX41" s="92" t="str">
        <f t="shared" si="44"/>
        <v/>
      </c>
      <c r="AY41" s="93" t="str">
        <f t="shared" si="45"/>
        <v/>
      </c>
      <c r="AZ41" s="94" t="str">
        <f t="shared" si="46"/>
        <v/>
      </c>
      <c r="BA41" s="95" t="str">
        <f t="shared" si="47"/>
        <v/>
      </c>
      <c r="BB41" s="248" t="s">
        <v>422</v>
      </c>
      <c r="BC41" s="229" t="s">
        <v>433</v>
      </c>
      <c r="BD41" s="249">
        <v>0</v>
      </c>
      <c r="BE41" s="267">
        <f t="shared" si="28"/>
        <v>0</v>
      </c>
      <c r="BF41" s="268">
        <f t="shared" si="48"/>
        <v>0</v>
      </c>
      <c r="BG41" s="268">
        <f t="shared" si="48"/>
        <v>0</v>
      </c>
      <c r="BH41" s="268">
        <f t="shared" si="48"/>
        <v>1</v>
      </c>
      <c r="BI41" s="268">
        <f t="shared" si="48"/>
        <v>2</v>
      </c>
      <c r="BJ41" s="268">
        <f t="shared" si="48"/>
        <v>3</v>
      </c>
      <c r="BK41" s="268">
        <f t="shared" si="48"/>
        <v>4</v>
      </c>
      <c r="BL41" s="269">
        <f t="shared" si="48"/>
        <v>5</v>
      </c>
      <c r="BM41" s="256">
        <f>IF($BC41=Lookup!$A$2,$BD41*ROUNDUP(BE41/10,0)+1,
IF($BC41=Lookup!$A$3,($BD41+1)^BD41,
IF($BC41=Lookup!$A$4,BE41*$BD41+1,"Error")))</f>
        <v>1</v>
      </c>
      <c r="BN41" s="229">
        <f>IF($BC41=Lookup!$A$2,$BD41*ROUNDUP(BF41/10,0)+1,
IF($BC41=Lookup!$A$3,($BD41+1)^BE41,
IF($BC41=Lookup!$A$4,BF41*$BD41+1,"Error")))</f>
        <v>1</v>
      </c>
      <c r="BO41" s="229">
        <f>IF($BC41=Lookup!$A$2,$BD41*ROUNDUP(BG41/10,0)+1,
IF($BC41=Lookup!$A$3,($BD41+1)^BF41,
IF($BC41=Lookup!$A$4,BG41*$BD41+1,"Error")))</f>
        <v>1</v>
      </c>
      <c r="BP41" s="229">
        <f>IF($BC41=Lookup!$A$2,$BD41*ROUNDUP(BH41/10,0)+1,
IF($BC41=Lookup!$A$3,($BD41+1)^BG41,
IF($BC41=Lookup!$A$4,BH41*$BD41+1,"Error")))</f>
        <v>1</v>
      </c>
      <c r="BQ41" s="229">
        <f>IF($BC41=Lookup!$A$2,$BD41*ROUNDUP(BI41/10,0)+1,
IF($BC41=Lookup!$A$3,($BD41+1)^BH41,
IF($BC41=Lookup!$A$4,BI41*$BD41+1,"Error")))</f>
        <v>1</v>
      </c>
      <c r="BR41" s="229">
        <f>IF($BC41=Lookup!$A$2,$BD41*ROUNDUP(BJ41/10,0)+1,
IF($BC41=Lookup!$A$3,($BD41+1)^BI41,
IF($BC41=Lookup!$A$4,BJ41*$BD41+1,"Error")))</f>
        <v>1</v>
      </c>
      <c r="BS41" s="229">
        <f>IF($BC41=Lookup!$A$2,$BD41*ROUNDUP(BK41/10,0)+1,
IF($BC41=Lookup!$A$3,($BD41+1)^BJ41,
IF($BC41=Lookup!$A$4,BK41*$BD41+1,"Error")))</f>
        <v>1</v>
      </c>
      <c r="BT41" s="249">
        <f>IF($BC41=Lookup!$A$2,$BD41*ROUNDUP(BL41/10,0)+1,
IF($BC41=Lookup!$A$3,($BD41+1)^BK41,
IF($BC41=Lookup!$A$4,BL41*$BD41+1,"Error")))</f>
        <v>1</v>
      </c>
      <c r="BU41" s="398">
        <v>0</v>
      </c>
      <c r="BV41" s="356">
        <v>0</v>
      </c>
      <c r="BW41" s="356">
        <v>0</v>
      </c>
      <c r="BX41" s="356">
        <v>0</v>
      </c>
      <c r="BY41" s="356">
        <v>0</v>
      </c>
      <c r="BZ41" s="356">
        <v>0</v>
      </c>
      <c r="CA41" s="356">
        <v>0</v>
      </c>
      <c r="CB41" s="399">
        <v>0</v>
      </c>
      <c r="CC41" s="382" t="s">
        <v>293</v>
      </c>
      <c r="CD41" s="383">
        <f>HLOOKUP($CC41,$AK$6:$AM$132,ROWS(CD$6:CD41),0)</f>
        <v>0</v>
      </c>
      <c r="CE41" s="362">
        <f t="shared" si="29"/>
        <v>0</v>
      </c>
      <c r="CF41" s="363">
        <f t="shared" si="25"/>
        <v>0</v>
      </c>
      <c r="CG41" s="799">
        <f t="shared" si="25"/>
        <v>0</v>
      </c>
      <c r="CH41" s="808">
        <f t="shared" si="25"/>
        <v>0</v>
      </c>
      <c r="CI41" s="363">
        <f t="shared" si="25"/>
        <v>0</v>
      </c>
      <c r="CJ41" s="363">
        <f t="shared" si="25"/>
        <v>0</v>
      </c>
      <c r="CK41" s="363">
        <f t="shared" si="25"/>
        <v>0</v>
      </c>
      <c r="CL41" s="364">
        <f t="shared" si="25"/>
        <v>0</v>
      </c>
      <c r="CM41" s="305" t="s">
        <v>293</v>
      </c>
      <c r="CN41" s="315">
        <v>0.05</v>
      </c>
      <c r="CO41" s="306"/>
      <c r="CP41" s="307" t="str">
        <f>IF($CO41&lt;&gt;"",$CO41,HLOOKUP($CM41,$AY$6:$BA$132,ROWS(CP$6:CP41),0))</f>
        <v/>
      </c>
      <c r="CQ41" s="784" t="str">
        <f t="shared" si="49"/>
        <v/>
      </c>
      <c r="CR41" s="784" t="str">
        <f t="shared" si="49"/>
        <v/>
      </c>
      <c r="CS41" s="524" t="str">
        <f t="shared" si="49"/>
        <v/>
      </c>
      <c r="CT41" s="416" t="str">
        <f t="shared" si="49"/>
        <v/>
      </c>
      <c r="CU41" s="97" t="str">
        <f t="shared" si="49"/>
        <v/>
      </c>
      <c r="CV41" s="97" t="str">
        <f t="shared" si="49"/>
        <v/>
      </c>
      <c r="CW41" s="97" t="str">
        <f t="shared" si="49"/>
        <v/>
      </c>
      <c r="CX41" s="98" t="str">
        <f t="shared" si="32"/>
        <v/>
      </c>
      <c r="CY41" s="392"/>
    </row>
    <row r="42" spans="1:103" ht="15.75" thickBot="1" x14ac:dyDescent="0.3">
      <c r="A42" s="100" t="s">
        <v>81</v>
      </c>
      <c r="B42" s="101" t="s">
        <v>460</v>
      </c>
      <c r="C42" s="102" t="s">
        <v>320</v>
      </c>
      <c r="D42" s="103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655">
        <f>'2022-23 Input'!I42</f>
        <v>0</v>
      </c>
      <c r="N42" s="1066">
        <v>0</v>
      </c>
      <c r="O42" s="563">
        <f t="shared" si="27"/>
        <v>0</v>
      </c>
      <c r="P42" s="564">
        <f t="shared" si="0"/>
        <v>0</v>
      </c>
      <c r="Q42" s="564">
        <f t="shared" si="1"/>
        <v>0</v>
      </c>
      <c r="R42" s="564">
        <f t="shared" si="2"/>
        <v>0</v>
      </c>
      <c r="S42" s="564">
        <f t="shared" si="3"/>
        <v>0</v>
      </c>
      <c r="T42" s="564">
        <f t="shared" si="4"/>
        <v>0</v>
      </c>
      <c r="U42" s="564">
        <f t="shared" si="5"/>
        <v>0</v>
      </c>
      <c r="V42" s="564">
        <f t="shared" si="6"/>
        <v>0</v>
      </c>
      <c r="W42" s="676">
        <f t="shared" si="7"/>
        <v>0</v>
      </c>
      <c r="X42" s="676">
        <f t="shared" si="8"/>
        <v>0</v>
      </c>
      <c r="Y42" s="676">
        <f t="shared" si="8"/>
        <v>0</v>
      </c>
      <c r="Z42" s="131">
        <v>0</v>
      </c>
      <c r="AA42" s="132">
        <v>0</v>
      </c>
      <c r="AB42" s="132">
        <v>0</v>
      </c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098">
        <f>'2022-23 Input'!P42</f>
        <v>0</v>
      </c>
      <c r="AJ42" s="669">
        <v>0</v>
      </c>
      <c r="AK42" s="133">
        <f t="shared" si="33"/>
        <v>0</v>
      </c>
      <c r="AL42" s="134">
        <f t="shared" si="34"/>
        <v>0</v>
      </c>
      <c r="AM42" s="135">
        <f t="shared" si="35"/>
        <v>0</v>
      </c>
      <c r="AN42" s="110" t="str">
        <f t="shared" si="36"/>
        <v/>
      </c>
      <c r="AO42" s="111" t="str">
        <f t="shared" si="37"/>
        <v/>
      </c>
      <c r="AP42" s="111" t="str">
        <f t="shared" si="38"/>
        <v/>
      </c>
      <c r="AQ42" s="111" t="str">
        <f t="shared" si="39"/>
        <v/>
      </c>
      <c r="AR42" s="111" t="str">
        <f t="shared" si="40"/>
        <v/>
      </c>
      <c r="AS42" s="111" t="str">
        <f t="shared" si="41"/>
        <v/>
      </c>
      <c r="AT42" s="111" t="str">
        <f t="shared" si="42"/>
        <v/>
      </c>
      <c r="AU42" s="111" t="str">
        <f t="shared" si="43"/>
        <v/>
      </c>
      <c r="AV42" s="111" t="str">
        <f t="shared" si="44"/>
        <v/>
      </c>
      <c r="AW42" s="111" t="str">
        <f t="shared" si="44"/>
        <v/>
      </c>
      <c r="AX42" s="111" t="str">
        <f t="shared" si="44"/>
        <v/>
      </c>
      <c r="AY42" s="112" t="str">
        <f t="shared" si="45"/>
        <v/>
      </c>
      <c r="AZ42" s="113" t="str">
        <f t="shared" si="46"/>
        <v/>
      </c>
      <c r="BA42" s="114" t="str">
        <f t="shared" si="47"/>
        <v/>
      </c>
      <c r="BB42" s="250" t="s">
        <v>422</v>
      </c>
      <c r="BC42" s="230" t="s">
        <v>433</v>
      </c>
      <c r="BD42" s="251">
        <v>0</v>
      </c>
      <c r="BE42" s="270">
        <f t="shared" si="28"/>
        <v>0</v>
      </c>
      <c r="BF42" s="271">
        <f t="shared" si="48"/>
        <v>0</v>
      </c>
      <c r="BG42" s="271">
        <f t="shared" si="48"/>
        <v>0</v>
      </c>
      <c r="BH42" s="271">
        <f t="shared" si="48"/>
        <v>1</v>
      </c>
      <c r="BI42" s="271">
        <f t="shared" si="48"/>
        <v>2</v>
      </c>
      <c r="BJ42" s="271">
        <f t="shared" si="48"/>
        <v>3</v>
      </c>
      <c r="BK42" s="271">
        <f t="shared" si="48"/>
        <v>4</v>
      </c>
      <c r="BL42" s="272">
        <f t="shared" si="48"/>
        <v>5</v>
      </c>
      <c r="BM42" s="257">
        <f>IF($BC42=Lookup!$A$2,$BD42*ROUNDUP(BE42/10,0)+1,
IF($BC42=Lookup!$A$3,($BD42+1)^BD42,
IF($BC42=Lookup!$A$4,BE42*$BD42+1,"Error")))</f>
        <v>1</v>
      </c>
      <c r="BN42" s="230">
        <f>IF($BC42=Lookup!$A$2,$BD42*ROUNDUP(BF42/10,0)+1,
IF($BC42=Lookup!$A$3,($BD42+1)^BE42,
IF($BC42=Lookup!$A$4,BF42*$BD42+1,"Error")))</f>
        <v>1</v>
      </c>
      <c r="BO42" s="230">
        <f>IF($BC42=Lookup!$A$2,$BD42*ROUNDUP(BG42/10,0)+1,
IF($BC42=Lookup!$A$3,($BD42+1)^BF42,
IF($BC42=Lookup!$A$4,BG42*$BD42+1,"Error")))</f>
        <v>1</v>
      </c>
      <c r="BP42" s="230">
        <f>IF($BC42=Lookup!$A$2,$BD42*ROUNDUP(BH42/10,0)+1,
IF($BC42=Lookup!$A$3,($BD42+1)^BG42,
IF($BC42=Lookup!$A$4,BH42*$BD42+1,"Error")))</f>
        <v>1</v>
      </c>
      <c r="BQ42" s="230">
        <f>IF($BC42=Lookup!$A$2,$BD42*ROUNDUP(BI42/10,0)+1,
IF($BC42=Lookup!$A$3,($BD42+1)^BH42,
IF($BC42=Lookup!$A$4,BI42*$BD42+1,"Error")))</f>
        <v>1</v>
      </c>
      <c r="BR42" s="230">
        <f>IF($BC42=Lookup!$A$2,$BD42*ROUNDUP(BJ42/10,0)+1,
IF($BC42=Lookup!$A$3,($BD42+1)^BI42,
IF($BC42=Lookup!$A$4,BJ42*$BD42+1,"Error")))</f>
        <v>1</v>
      </c>
      <c r="BS42" s="230">
        <f>IF($BC42=Lookup!$A$2,$BD42*ROUNDUP(BK42/10,0)+1,
IF($BC42=Lookup!$A$3,($BD42+1)^BJ42,
IF($BC42=Lookup!$A$4,BK42*$BD42+1,"Error")))</f>
        <v>1</v>
      </c>
      <c r="BT42" s="251">
        <f>IF($BC42=Lookup!$A$2,$BD42*ROUNDUP(BL42/10,0)+1,
IF($BC42=Lookup!$A$3,($BD42+1)^BK42,
IF($BC42=Lookup!$A$4,BL42*$BD42+1,"Error")))</f>
        <v>1</v>
      </c>
      <c r="BU42" s="400">
        <v>0</v>
      </c>
      <c r="BV42" s="358">
        <v>0</v>
      </c>
      <c r="BW42" s="358">
        <v>0</v>
      </c>
      <c r="BX42" s="358">
        <v>0</v>
      </c>
      <c r="BY42" s="358">
        <v>0</v>
      </c>
      <c r="BZ42" s="358">
        <v>0</v>
      </c>
      <c r="CA42" s="358">
        <v>0</v>
      </c>
      <c r="CB42" s="401">
        <v>0</v>
      </c>
      <c r="CC42" s="384" t="s">
        <v>293</v>
      </c>
      <c r="CD42" s="385">
        <f>HLOOKUP($CC42,$AK$6:$AM$132,ROWS(CD$6:CD42),0)</f>
        <v>0</v>
      </c>
      <c r="CE42" s="365">
        <f t="shared" si="29"/>
        <v>0</v>
      </c>
      <c r="CF42" s="366">
        <f t="shared" si="25"/>
        <v>0</v>
      </c>
      <c r="CG42" s="800">
        <f t="shared" si="25"/>
        <v>0</v>
      </c>
      <c r="CH42" s="809">
        <f t="shared" si="25"/>
        <v>0</v>
      </c>
      <c r="CI42" s="366">
        <f t="shared" si="25"/>
        <v>0</v>
      </c>
      <c r="CJ42" s="366">
        <f t="shared" si="25"/>
        <v>0</v>
      </c>
      <c r="CK42" s="366">
        <f t="shared" si="25"/>
        <v>0</v>
      </c>
      <c r="CL42" s="367">
        <f t="shared" si="25"/>
        <v>0</v>
      </c>
      <c r="CM42" s="308" t="s">
        <v>293</v>
      </c>
      <c r="CN42" s="316">
        <v>0.05</v>
      </c>
      <c r="CO42" s="309"/>
      <c r="CP42" s="310" t="str">
        <f>IF($CO42&lt;&gt;"",$CO42,HLOOKUP($CM42,$AY$6:$BA$132,ROWS(CP$6:CP42),0))</f>
        <v/>
      </c>
      <c r="CQ42" s="785" t="str">
        <f t="shared" si="49"/>
        <v/>
      </c>
      <c r="CR42" s="785" t="str">
        <f t="shared" si="49"/>
        <v/>
      </c>
      <c r="CS42" s="638" t="str">
        <f t="shared" si="49"/>
        <v/>
      </c>
      <c r="CT42" s="467" t="str">
        <f t="shared" si="49"/>
        <v/>
      </c>
      <c r="CU42" s="117" t="str">
        <f t="shared" si="49"/>
        <v/>
      </c>
      <c r="CV42" s="117" t="str">
        <f t="shared" si="49"/>
        <v/>
      </c>
      <c r="CW42" s="117" t="str">
        <f t="shared" si="49"/>
        <v/>
      </c>
      <c r="CX42" s="118" t="str">
        <f t="shared" si="32"/>
        <v/>
      </c>
      <c r="CY42" s="393"/>
    </row>
    <row r="43" spans="1:103" x14ac:dyDescent="0.25">
      <c r="A43" s="63" t="s">
        <v>94</v>
      </c>
      <c r="B43" s="334" t="s">
        <v>92</v>
      </c>
      <c r="C43" s="65" t="s">
        <v>305</v>
      </c>
      <c r="D43" s="66">
        <v>59748.827474300284</v>
      </c>
      <c r="E43" s="67">
        <v>310768.05763505306</v>
      </c>
      <c r="F43" s="67">
        <v>40084.521905621979</v>
      </c>
      <c r="G43" s="67">
        <v>467574.88529298943</v>
      </c>
      <c r="H43" s="67">
        <v>232815.29781457107</v>
      </c>
      <c r="I43" s="67">
        <v>95880.202216005986</v>
      </c>
      <c r="J43" s="67">
        <v>861241.32216123014</v>
      </c>
      <c r="K43" s="67">
        <v>613.86784260499996</v>
      </c>
      <c r="L43" s="67">
        <v>369498.29026126396</v>
      </c>
      <c r="M43" s="653">
        <f>'2022-23 Input'!I43</f>
        <v>46312.035771616989</v>
      </c>
      <c r="N43" s="1064">
        <v>1548730.9106354285</v>
      </c>
      <c r="O43" s="557">
        <f t="shared" si="27"/>
        <v>80389.43749048085</v>
      </c>
      <c r="P43" s="558">
        <f t="shared" si="0"/>
        <v>411901.59341659665</v>
      </c>
      <c r="Q43" s="558">
        <f t="shared" si="1"/>
        <v>52591.123135369133</v>
      </c>
      <c r="R43" s="558">
        <f t="shared" si="2"/>
        <v>601823.46665113629</v>
      </c>
      <c r="S43" s="558">
        <f t="shared" si="3"/>
        <v>293561.18553812191</v>
      </c>
      <c r="T43" s="558">
        <f t="shared" si="4"/>
        <v>119001.54945284943</v>
      </c>
      <c r="U43" s="558">
        <f t="shared" si="5"/>
        <v>1072665.7093008829</v>
      </c>
      <c r="V43" s="558">
        <f t="shared" si="6"/>
        <v>736.24779267849453</v>
      </c>
      <c r="W43" s="674">
        <f t="shared" si="7"/>
        <v>417506.18107260764</v>
      </c>
      <c r="X43" s="674">
        <f t="shared" si="8"/>
        <v>49251.040450894041</v>
      </c>
      <c r="Y43" s="674">
        <f t="shared" si="8"/>
        <v>1591318.6555476394</v>
      </c>
      <c r="Z43" s="119">
        <v>2</v>
      </c>
      <c r="AA43" s="120">
        <v>4</v>
      </c>
      <c r="AB43" s="120">
        <v>4</v>
      </c>
      <c r="AC43" s="120">
        <v>3.0866666666666669</v>
      </c>
      <c r="AD43" s="120">
        <v>5.0170000000000003</v>
      </c>
      <c r="AE43" s="120">
        <v>0.27456333100000002</v>
      </c>
      <c r="AF43" s="120">
        <v>0.74533333300000004</v>
      </c>
      <c r="AG43" s="120">
        <v>4.3333333333333286E-2</v>
      </c>
      <c r="AH43" s="120">
        <v>1.730000019</v>
      </c>
      <c r="AI43" s="1096">
        <f>'2022-23 Input'!P43</f>
        <v>0.10633333599999999</v>
      </c>
      <c r="AJ43" s="667">
        <v>0.31566665199999999</v>
      </c>
      <c r="AK43" s="121">
        <f t="shared" si="33"/>
        <v>0.57991267046666661</v>
      </c>
      <c r="AL43" s="122">
        <f t="shared" si="34"/>
        <v>0.6265555627777778</v>
      </c>
      <c r="AM43" s="123">
        <f t="shared" si="35"/>
        <v>0.10633333599999999</v>
      </c>
      <c r="AN43" s="73">
        <f t="shared" si="36"/>
        <v>29874.413737150142</v>
      </c>
      <c r="AO43" s="74">
        <f t="shared" si="37"/>
        <v>77692.014408763265</v>
      </c>
      <c r="AP43" s="74">
        <f t="shared" si="38"/>
        <v>10021.130476405495</v>
      </c>
      <c r="AQ43" s="74">
        <f t="shared" si="39"/>
        <v>151482.14426338748</v>
      </c>
      <c r="AR43" s="74">
        <f t="shared" si="40"/>
        <v>46405.281605455661</v>
      </c>
      <c r="AS43" s="74">
        <f t="shared" si="41"/>
        <v>349209.78656106844</v>
      </c>
      <c r="AT43" s="74">
        <f t="shared" si="42"/>
        <v>1155511.6134343478</v>
      </c>
      <c r="AU43" s="74">
        <f t="shared" si="43"/>
        <v>14166.180983192322</v>
      </c>
      <c r="AV43" s="74">
        <f t="shared" si="44"/>
        <v>213582.82439490769</v>
      </c>
      <c r="AW43" s="74">
        <f t="shared" si="44"/>
        <v>435536.37564438867</v>
      </c>
      <c r="AX43" s="74">
        <f t="shared" si="44"/>
        <v>4906222.7537276521</v>
      </c>
      <c r="AY43" s="75">
        <f t="shared" si="45"/>
        <v>473707.7798791338</v>
      </c>
      <c r="AZ43" s="76">
        <f t="shared" si="46"/>
        <v>221541.50864093984</v>
      </c>
      <c r="BA43" s="77">
        <f t="shared" si="47"/>
        <v>435536.37564438867</v>
      </c>
      <c r="BB43" s="246" t="s">
        <v>422</v>
      </c>
      <c r="BC43" s="228" t="s">
        <v>433</v>
      </c>
      <c r="BD43" s="247">
        <v>0</v>
      </c>
      <c r="BE43" s="264">
        <f t="shared" si="28"/>
        <v>0</v>
      </c>
      <c r="BF43" s="265">
        <f t="shared" si="48"/>
        <v>0</v>
      </c>
      <c r="BG43" s="265">
        <f t="shared" si="48"/>
        <v>0</v>
      </c>
      <c r="BH43" s="265">
        <f t="shared" si="48"/>
        <v>1</v>
      </c>
      <c r="BI43" s="265">
        <f t="shared" si="48"/>
        <v>2</v>
      </c>
      <c r="BJ43" s="265">
        <f t="shared" si="48"/>
        <v>3</v>
      </c>
      <c r="BK43" s="265">
        <f t="shared" si="48"/>
        <v>4</v>
      </c>
      <c r="BL43" s="266">
        <f t="shared" si="48"/>
        <v>5</v>
      </c>
      <c r="BM43" s="255">
        <f>IF($BC43=Lookup!$A$2,$BD43*ROUNDUP(BE43/10,0)+1,
IF($BC43=Lookup!$A$3,($BD43+1)^BD43,
IF($BC43=Lookup!$A$4,BE43*$BD43+1,"Error")))</f>
        <v>1</v>
      </c>
      <c r="BN43" s="228">
        <f>IF($BC43=Lookup!$A$2,$BD43*ROUNDUP(BF43/10,0)+1,
IF($BC43=Lookup!$A$3,($BD43+1)^BE43,
IF($BC43=Lookup!$A$4,BF43*$BD43+1,"Error")))</f>
        <v>1</v>
      </c>
      <c r="BO43" s="228">
        <f>IF($BC43=Lookup!$A$2,$BD43*ROUNDUP(BG43/10,0)+1,
IF($BC43=Lookup!$A$3,($BD43+1)^BF43,
IF($BC43=Lookup!$A$4,BG43*$BD43+1,"Error")))</f>
        <v>1</v>
      </c>
      <c r="BP43" s="228">
        <f>IF($BC43=Lookup!$A$2,$BD43*ROUNDUP(BH43/10,0)+1,
IF($BC43=Lookup!$A$3,($BD43+1)^BG43,
IF($BC43=Lookup!$A$4,BH43*$BD43+1,"Error")))</f>
        <v>1</v>
      </c>
      <c r="BQ43" s="228">
        <f>IF($BC43=Lookup!$A$2,$BD43*ROUNDUP(BI43/10,0)+1,
IF($BC43=Lookup!$A$3,($BD43+1)^BH43,
IF($BC43=Lookup!$A$4,BI43*$BD43+1,"Error")))</f>
        <v>1</v>
      </c>
      <c r="BR43" s="228">
        <f>IF($BC43=Lookup!$A$2,$BD43*ROUNDUP(BJ43/10,0)+1,
IF($BC43=Lookup!$A$3,($BD43+1)^BI43,
IF($BC43=Lookup!$A$4,BJ43*$BD43+1,"Error")))</f>
        <v>1</v>
      </c>
      <c r="BS43" s="228">
        <f>IF($BC43=Lookup!$A$2,$BD43*ROUNDUP(BK43/10,0)+1,
IF($BC43=Lookup!$A$3,($BD43+1)^BJ43,
IF($BC43=Lookup!$A$4,BK43*$BD43+1,"Error")))</f>
        <v>1</v>
      </c>
      <c r="BT43" s="247">
        <f>IF($BC43=Lookup!$A$2,$BD43*ROUNDUP(BL43/10,0)+1,
IF($BC43=Lookup!$A$3,($BD43+1)^BK43,
IF($BC43=Lookup!$A$4,BL43*$BD43+1,"Error")))</f>
        <v>1</v>
      </c>
      <c r="BU43" s="396">
        <v>0</v>
      </c>
      <c r="BV43" s="354">
        <v>0</v>
      </c>
      <c r="BW43" s="354">
        <v>0</v>
      </c>
      <c r="BX43" s="354">
        <v>0</v>
      </c>
      <c r="BY43" s="354">
        <v>0</v>
      </c>
      <c r="BZ43" s="354">
        <v>0</v>
      </c>
      <c r="CA43" s="354">
        <v>0</v>
      </c>
      <c r="CB43" s="397">
        <v>0</v>
      </c>
      <c r="CC43" s="380" t="s">
        <v>293</v>
      </c>
      <c r="CD43" s="381">
        <f>HLOOKUP($CC43,$AK$6:$AM$132,ROWS(CD$6:CD43),0)</f>
        <v>0.6265555627777778</v>
      </c>
      <c r="CE43" s="359">
        <f t="shared" si="29"/>
        <v>0</v>
      </c>
      <c r="CF43" s="360">
        <f t="shared" si="25"/>
        <v>0</v>
      </c>
      <c r="CG43" s="798">
        <f t="shared" si="25"/>
        <v>0</v>
      </c>
      <c r="CH43" s="807">
        <f t="shared" si="25"/>
        <v>0</v>
      </c>
      <c r="CI43" s="360">
        <f t="shared" ref="CI43:CL106" si="50">IFERROR(IF(BY43&lt;&gt;"",BY43,BQ43*$CD43),"")</f>
        <v>0</v>
      </c>
      <c r="CJ43" s="360">
        <f t="shared" si="50"/>
        <v>0</v>
      </c>
      <c r="CK43" s="360">
        <f t="shared" si="50"/>
        <v>0</v>
      </c>
      <c r="CL43" s="361">
        <f t="shared" si="50"/>
        <v>0</v>
      </c>
      <c r="CM43" s="302" t="s">
        <v>293</v>
      </c>
      <c r="CN43" s="314">
        <v>0.05</v>
      </c>
      <c r="CO43" s="303"/>
      <c r="CP43" s="304">
        <f>IF($CO43&lt;&gt;"",$CO43,HLOOKUP($CM43,$AY$6:$BA$132,ROWS(CP$6:CP43),0))</f>
        <v>221541.50864093984</v>
      </c>
      <c r="CQ43" s="783">
        <f t="shared" si="49"/>
        <v>0</v>
      </c>
      <c r="CR43" s="783">
        <f t="shared" si="49"/>
        <v>0</v>
      </c>
      <c r="CS43" s="523">
        <f t="shared" si="49"/>
        <v>0</v>
      </c>
      <c r="CT43" s="415">
        <f t="shared" si="49"/>
        <v>0</v>
      </c>
      <c r="CU43" s="79">
        <f t="shared" si="49"/>
        <v>0</v>
      </c>
      <c r="CV43" s="79">
        <f t="shared" si="49"/>
        <v>0</v>
      </c>
      <c r="CW43" s="79">
        <f t="shared" si="49"/>
        <v>0</v>
      </c>
      <c r="CX43" s="80">
        <f t="shared" si="32"/>
        <v>0</v>
      </c>
      <c r="CY43" s="391"/>
    </row>
    <row r="44" spans="1:103" x14ac:dyDescent="0.25">
      <c r="A44" s="81" t="s">
        <v>94</v>
      </c>
      <c r="B44" s="82" t="s">
        <v>95</v>
      </c>
      <c r="C44" s="83" t="s">
        <v>70</v>
      </c>
      <c r="D44" s="84">
        <v>317200.86164559599</v>
      </c>
      <c r="E44" s="85">
        <v>175354.28169265448</v>
      </c>
      <c r="F44" s="85">
        <v>632258.10799254314</v>
      </c>
      <c r="G44" s="85">
        <v>124667.08477676159</v>
      </c>
      <c r="H44" s="85">
        <v>403971.64998672553</v>
      </c>
      <c r="I44" s="85">
        <v>160071.59812976501</v>
      </c>
      <c r="J44" s="85">
        <v>8349.4172919580014</v>
      </c>
      <c r="K44" s="85">
        <v>174594.23749460399</v>
      </c>
      <c r="L44" s="85">
        <v>130706.92879295998</v>
      </c>
      <c r="M44" s="654">
        <f>'2022-23 Input'!I44</f>
        <v>18883.75</v>
      </c>
      <c r="N44" s="1065">
        <v>0</v>
      </c>
      <c r="O44" s="560">
        <f t="shared" si="27"/>
        <v>426779.90375883819</v>
      </c>
      <c r="P44" s="561">
        <f t="shared" si="0"/>
        <v>232419.98740568143</v>
      </c>
      <c r="Q44" s="561">
        <f t="shared" si="1"/>
        <v>829526.27173801395</v>
      </c>
      <c r="R44" s="561">
        <f t="shared" si="2"/>
        <v>160461.09296616382</v>
      </c>
      <c r="S44" s="561">
        <f t="shared" si="3"/>
        <v>509375.44743450376</v>
      </c>
      <c r="T44" s="561">
        <f t="shared" si="4"/>
        <v>198672.59101020044</v>
      </c>
      <c r="U44" s="561">
        <f t="shared" si="5"/>
        <v>10399.098825463159</v>
      </c>
      <c r="V44" s="561">
        <f t="shared" si="6"/>
        <v>209401.13335192326</v>
      </c>
      <c r="W44" s="675">
        <f t="shared" si="7"/>
        <v>147689.31851211566</v>
      </c>
      <c r="X44" s="675">
        <f t="shared" si="8"/>
        <v>20082.1302630916</v>
      </c>
      <c r="Y44" s="675">
        <f t="shared" si="8"/>
        <v>0</v>
      </c>
      <c r="Z44" s="125">
        <v>0</v>
      </c>
      <c r="AA44" s="126">
        <v>2</v>
      </c>
      <c r="AB44" s="126">
        <v>1</v>
      </c>
      <c r="AC44" s="126">
        <v>1</v>
      </c>
      <c r="AD44" s="126">
        <v>2</v>
      </c>
      <c r="AE44" s="126">
        <v>9.8999999000000005E-2</v>
      </c>
      <c r="AF44" s="126">
        <v>9.5666666999999997E-2</v>
      </c>
      <c r="AG44" s="126">
        <v>0.16166666666666651</v>
      </c>
      <c r="AH44" s="126">
        <v>0.48333333900000003</v>
      </c>
      <c r="AI44" s="1097">
        <f>'2022-23 Input'!P44</f>
        <v>0</v>
      </c>
      <c r="AJ44" s="668">
        <v>0</v>
      </c>
      <c r="AK44" s="127">
        <f t="shared" si="33"/>
        <v>0.1679333343333333</v>
      </c>
      <c r="AL44" s="128">
        <f t="shared" si="34"/>
        <v>0.21500000188888882</v>
      </c>
      <c r="AM44" s="129">
        <f t="shared" si="35"/>
        <v>0</v>
      </c>
      <c r="AN44" s="91" t="str">
        <f t="shared" si="36"/>
        <v/>
      </c>
      <c r="AO44" s="92">
        <f t="shared" si="37"/>
        <v>87677.140846327238</v>
      </c>
      <c r="AP44" s="92">
        <f t="shared" si="38"/>
        <v>632258.10799254314</v>
      </c>
      <c r="AQ44" s="92">
        <f t="shared" si="39"/>
        <v>124667.08477676159</v>
      </c>
      <c r="AR44" s="92">
        <f t="shared" si="40"/>
        <v>201985.82499336277</v>
      </c>
      <c r="AS44" s="92">
        <f t="shared" si="41"/>
        <v>1616884.845925756</v>
      </c>
      <c r="AT44" s="92">
        <f t="shared" si="42"/>
        <v>87276.138636229502</v>
      </c>
      <c r="AU44" s="92">
        <f t="shared" si="43"/>
        <v>1079964.3556367268</v>
      </c>
      <c r="AV44" s="92">
        <f t="shared" si="44"/>
        <v>270428.12536662194</v>
      </c>
      <c r="AW44" s="92" t="str">
        <f t="shared" si="44"/>
        <v/>
      </c>
      <c r="AX44" s="92" t="str">
        <f t="shared" si="44"/>
        <v/>
      </c>
      <c r="AY44" s="93">
        <f t="shared" si="45"/>
        <v>586668.43442946987</v>
      </c>
      <c r="AZ44" s="94">
        <f t="shared" si="46"/>
        <v>502612.26889833779</v>
      </c>
      <c r="BA44" s="95" t="str">
        <f t="shared" si="47"/>
        <v/>
      </c>
      <c r="BB44" s="248" t="s">
        <v>422</v>
      </c>
      <c r="BC44" s="229" t="s">
        <v>433</v>
      </c>
      <c r="BD44" s="249">
        <v>0</v>
      </c>
      <c r="BE44" s="267">
        <f t="shared" si="28"/>
        <v>0</v>
      </c>
      <c r="BF44" s="268">
        <f t="shared" si="48"/>
        <v>0</v>
      </c>
      <c r="BG44" s="268">
        <f t="shared" si="48"/>
        <v>0</v>
      </c>
      <c r="BH44" s="268">
        <f t="shared" si="48"/>
        <v>1</v>
      </c>
      <c r="BI44" s="268">
        <f t="shared" si="48"/>
        <v>2</v>
      </c>
      <c r="BJ44" s="268">
        <f t="shared" si="48"/>
        <v>3</v>
      </c>
      <c r="BK44" s="268">
        <f t="shared" si="48"/>
        <v>4</v>
      </c>
      <c r="BL44" s="269">
        <f t="shared" si="48"/>
        <v>5</v>
      </c>
      <c r="BM44" s="256">
        <f>IF($BC44=Lookup!$A$2,$BD44*ROUNDUP(BE44/10,0)+1,
IF($BC44=Lookup!$A$3,($BD44+1)^BD44,
IF($BC44=Lookup!$A$4,BE44*$BD44+1,"Error")))</f>
        <v>1</v>
      </c>
      <c r="BN44" s="229">
        <f>IF($BC44=Lookup!$A$2,$BD44*ROUNDUP(BF44/10,0)+1,
IF($BC44=Lookup!$A$3,($BD44+1)^BE44,
IF($BC44=Lookup!$A$4,BF44*$BD44+1,"Error")))</f>
        <v>1</v>
      </c>
      <c r="BO44" s="229">
        <f>IF($BC44=Lookup!$A$2,$BD44*ROUNDUP(BG44/10,0)+1,
IF($BC44=Lookup!$A$3,($BD44+1)^BF44,
IF($BC44=Lookup!$A$4,BG44*$BD44+1,"Error")))</f>
        <v>1</v>
      </c>
      <c r="BP44" s="229">
        <f>IF($BC44=Lookup!$A$2,$BD44*ROUNDUP(BH44/10,0)+1,
IF($BC44=Lookup!$A$3,($BD44+1)^BG44,
IF($BC44=Lookup!$A$4,BH44*$BD44+1,"Error")))</f>
        <v>1</v>
      </c>
      <c r="BQ44" s="229">
        <f>IF($BC44=Lookup!$A$2,$BD44*ROUNDUP(BI44/10,0)+1,
IF($BC44=Lookup!$A$3,($BD44+1)^BH44,
IF($BC44=Lookup!$A$4,BI44*$BD44+1,"Error")))</f>
        <v>1</v>
      </c>
      <c r="BR44" s="229">
        <f>IF($BC44=Lookup!$A$2,$BD44*ROUNDUP(BJ44/10,0)+1,
IF($BC44=Lookup!$A$3,($BD44+1)^BI44,
IF($BC44=Lookup!$A$4,BJ44*$BD44+1,"Error")))</f>
        <v>1</v>
      </c>
      <c r="BS44" s="229">
        <f>IF($BC44=Lookup!$A$2,$BD44*ROUNDUP(BK44/10,0)+1,
IF($BC44=Lookup!$A$3,($BD44+1)^BJ44,
IF($BC44=Lookup!$A$4,BK44*$BD44+1,"Error")))</f>
        <v>1</v>
      </c>
      <c r="BT44" s="249">
        <f>IF($BC44=Lookup!$A$2,$BD44*ROUNDUP(BL44/10,0)+1,
IF($BC44=Lookup!$A$3,($BD44+1)^BK44,
IF($BC44=Lookup!$A$4,BL44*$BD44+1,"Error")))</f>
        <v>1</v>
      </c>
      <c r="BU44" s="398">
        <v>0</v>
      </c>
      <c r="BV44" s="356">
        <v>0</v>
      </c>
      <c r="BW44" s="356">
        <v>0</v>
      </c>
      <c r="BX44" s="356">
        <v>0</v>
      </c>
      <c r="BY44" s="356">
        <v>0</v>
      </c>
      <c r="BZ44" s="356">
        <v>0</v>
      </c>
      <c r="CA44" s="356">
        <v>0</v>
      </c>
      <c r="CB44" s="399">
        <v>0</v>
      </c>
      <c r="CC44" s="382" t="s">
        <v>293</v>
      </c>
      <c r="CD44" s="383">
        <f>HLOOKUP($CC44,$AK$6:$AM$132,ROWS(CD$6:CD44),0)</f>
        <v>0.21500000188888882</v>
      </c>
      <c r="CE44" s="362">
        <f t="shared" si="29"/>
        <v>0</v>
      </c>
      <c r="CF44" s="363">
        <f t="shared" si="29"/>
        <v>0</v>
      </c>
      <c r="CG44" s="799">
        <f t="shared" si="29"/>
        <v>0</v>
      </c>
      <c r="CH44" s="808">
        <f t="shared" si="29"/>
        <v>0</v>
      </c>
      <c r="CI44" s="363">
        <f t="shared" si="50"/>
        <v>0</v>
      </c>
      <c r="CJ44" s="363">
        <f t="shared" si="50"/>
        <v>0</v>
      </c>
      <c r="CK44" s="363">
        <f t="shared" si="50"/>
        <v>0</v>
      </c>
      <c r="CL44" s="364">
        <f t="shared" si="50"/>
        <v>0</v>
      </c>
      <c r="CM44" s="305" t="s">
        <v>293</v>
      </c>
      <c r="CN44" s="315">
        <v>0.05</v>
      </c>
      <c r="CO44" s="306"/>
      <c r="CP44" s="307">
        <f>IF($CO44&lt;&gt;"",$CO44,HLOOKUP($CM44,$AY$6:$BA$132,ROWS(CP$6:CP44),0))</f>
        <v>502612.26889833779</v>
      </c>
      <c r="CQ44" s="784">
        <f t="shared" si="49"/>
        <v>0</v>
      </c>
      <c r="CR44" s="784">
        <f t="shared" si="49"/>
        <v>0</v>
      </c>
      <c r="CS44" s="524">
        <f t="shared" si="49"/>
        <v>0</v>
      </c>
      <c r="CT44" s="416">
        <f t="shared" si="49"/>
        <v>0</v>
      </c>
      <c r="CU44" s="97">
        <f t="shared" si="49"/>
        <v>0</v>
      </c>
      <c r="CV44" s="97">
        <f t="shared" si="49"/>
        <v>0</v>
      </c>
      <c r="CW44" s="97">
        <f t="shared" si="49"/>
        <v>0</v>
      </c>
      <c r="CX44" s="98">
        <f t="shared" si="32"/>
        <v>0</v>
      </c>
      <c r="CY44" s="392"/>
    </row>
    <row r="45" spans="1:103" x14ac:dyDescent="0.25">
      <c r="A45" s="81" t="s">
        <v>94</v>
      </c>
      <c r="B45" s="82" t="s">
        <v>96</v>
      </c>
      <c r="C45" s="83" t="s">
        <v>72</v>
      </c>
      <c r="D45" s="84">
        <v>9439.5826423662984</v>
      </c>
      <c r="E45" s="85">
        <v>365273.86572452146</v>
      </c>
      <c r="F45" s="85">
        <v>34176.209197738805</v>
      </c>
      <c r="G45" s="85">
        <v>-1870.5197088892601</v>
      </c>
      <c r="H45" s="85">
        <v>2855639.6628592093</v>
      </c>
      <c r="I45" s="85">
        <v>10522.572000000002</v>
      </c>
      <c r="J45" s="85">
        <v>841348.33036034391</v>
      </c>
      <c r="K45" s="85">
        <v>38586.018000000004</v>
      </c>
      <c r="L45" s="85">
        <v>845174.60162226227</v>
      </c>
      <c r="M45" s="654">
        <f>'2022-23 Input'!I45</f>
        <v>413708.5036995539</v>
      </c>
      <c r="N45" s="1065">
        <v>2218099.7951900652</v>
      </c>
      <c r="O45" s="560">
        <f t="shared" si="27"/>
        <v>12700.546116844451</v>
      </c>
      <c r="P45" s="561">
        <f t="shared" si="0"/>
        <v>484145.27693208959</v>
      </c>
      <c r="Q45" s="561">
        <f t="shared" si="1"/>
        <v>44839.382903213082</v>
      </c>
      <c r="R45" s="561">
        <f t="shared" si="2"/>
        <v>-2407.5772481612526</v>
      </c>
      <c r="S45" s="561">
        <f t="shared" si="3"/>
        <v>3600729.7319711</v>
      </c>
      <c r="T45" s="561">
        <f t="shared" si="4"/>
        <v>13060.072291129667</v>
      </c>
      <c r="U45" s="561">
        <f t="shared" si="5"/>
        <v>1047889.2272497587</v>
      </c>
      <c r="V45" s="561">
        <f t="shared" si="6"/>
        <v>46278.479843800291</v>
      </c>
      <c r="W45" s="675">
        <f t="shared" si="7"/>
        <v>954985.79983514908</v>
      </c>
      <c r="X45" s="675">
        <f t="shared" si="8"/>
        <v>439962.82847650256</v>
      </c>
      <c r="Y45" s="675">
        <f t="shared" si="8"/>
        <v>2279094.1665289984</v>
      </c>
      <c r="Z45" s="125">
        <v>0</v>
      </c>
      <c r="AA45" s="126">
        <v>1</v>
      </c>
      <c r="AB45" s="126">
        <v>0</v>
      </c>
      <c r="AC45" s="126">
        <v>0</v>
      </c>
      <c r="AD45" s="126">
        <v>0.97633333333333328</v>
      </c>
      <c r="AE45" s="126">
        <v>0</v>
      </c>
      <c r="AF45" s="126">
        <v>0.73399999999999999</v>
      </c>
      <c r="AG45" s="126">
        <v>0.12433333333333321</v>
      </c>
      <c r="AH45" s="126">
        <v>5.6666664999999998E-2</v>
      </c>
      <c r="AI45" s="1097">
        <f>'2022-23 Input'!P45</f>
        <v>0</v>
      </c>
      <c r="AJ45" s="668">
        <v>7.3459999480000002</v>
      </c>
      <c r="AK45" s="127">
        <f t="shared" si="33"/>
        <v>0.18299999966666664</v>
      </c>
      <c r="AL45" s="128">
        <f t="shared" si="34"/>
        <v>6.0333332777777741E-2</v>
      </c>
      <c r="AM45" s="129">
        <f t="shared" si="35"/>
        <v>0</v>
      </c>
      <c r="AN45" s="91" t="str">
        <f t="shared" si="36"/>
        <v/>
      </c>
      <c r="AO45" s="92">
        <f t="shared" si="37"/>
        <v>365273.86572452146</v>
      </c>
      <c r="AP45" s="92" t="str">
        <f t="shared" si="38"/>
        <v/>
      </c>
      <c r="AQ45" s="92" t="str">
        <f t="shared" si="39"/>
        <v/>
      </c>
      <c r="AR45" s="92">
        <f t="shared" si="40"/>
        <v>2924861.3822388626</v>
      </c>
      <c r="AS45" s="92" t="str">
        <f t="shared" si="41"/>
        <v/>
      </c>
      <c r="AT45" s="92">
        <f t="shared" si="42"/>
        <v>1146251.1312811226</v>
      </c>
      <c r="AU45" s="92">
        <f t="shared" si="43"/>
        <v>310343.30831099232</v>
      </c>
      <c r="AV45" s="92">
        <f t="shared" si="44"/>
        <v>14914846.34965305</v>
      </c>
      <c r="AW45" s="92" t="str">
        <f t="shared" si="44"/>
        <v/>
      </c>
      <c r="AX45" s="92">
        <f t="shared" si="44"/>
        <v>301946.61188283266</v>
      </c>
      <c r="AY45" s="93">
        <f t="shared" si="45"/>
        <v>2349005.4968275079</v>
      </c>
      <c r="AZ45" s="94">
        <f t="shared" si="46"/>
        <v>7168337.7639173856</v>
      </c>
      <c r="BA45" s="95" t="str">
        <f t="shared" si="47"/>
        <v/>
      </c>
      <c r="BB45" s="248" t="s">
        <v>422</v>
      </c>
      <c r="BC45" s="229" t="s">
        <v>433</v>
      </c>
      <c r="BD45" s="249">
        <v>0</v>
      </c>
      <c r="BE45" s="267">
        <f t="shared" si="28"/>
        <v>0</v>
      </c>
      <c r="BF45" s="268">
        <f t="shared" si="48"/>
        <v>0</v>
      </c>
      <c r="BG45" s="268">
        <f t="shared" si="48"/>
        <v>0</v>
      </c>
      <c r="BH45" s="268">
        <f t="shared" si="48"/>
        <v>1</v>
      </c>
      <c r="BI45" s="268">
        <f t="shared" si="48"/>
        <v>2</v>
      </c>
      <c r="BJ45" s="268">
        <f t="shared" si="48"/>
        <v>3</v>
      </c>
      <c r="BK45" s="268">
        <f t="shared" si="48"/>
        <v>4</v>
      </c>
      <c r="BL45" s="269">
        <f t="shared" si="48"/>
        <v>5</v>
      </c>
      <c r="BM45" s="256">
        <f>IF($BC45=Lookup!$A$2,$BD45*ROUNDUP(BE45/10,0)+1,
IF($BC45=Lookup!$A$3,($BD45+1)^BD45,
IF($BC45=Lookup!$A$4,BE45*$BD45+1,"Error")))</f>
        <v>1</v>
      </c>
      <c r="BN45" s="229">
        <f>IF($BC45=Lookup!$A$2,$BD45*ROUNDUP(BF45/10,0)+1,
IF($BC45=Lookup!$A$3,($BD45+1)^BE45,
IF($BC45=Lookup!$A$4,BF45*$BD45+1,"Error")))</f>
        <v>1</v>
      </c>
      <c r="BO45" s="229">
        <f>IF($BC45=Lookup!$A$2,$BD45*ROUNDUP(BG45/10,0)+1,
IF($BC45=Lookup!$A$3,($BD45+1)^BF45,
IF($BC45=Lookup!$A$4,BG45*$BD45+1,"Error")))</f>
        <v>1</v>
      </c>
      <c r="BP45" s="229">
        <f>IF($BC45=Lookup!$A$2,$BD45*ROUNDUP(BH45/10,0)+1,
IF($BC45=Lookup!$A$3,($BD45+1)^BG45,
IF($BC45=Lookup!$A$4,BH45*$BD45+1,"Error")))</f>
        <v>1</v>
      </c>
      <c r="BQ45" s="229">
        <f>IF($BC45=Lookup!$A$2,$BD45*ROUNDUP(BI45/10,0)+1,
IF($BC45=Lookup!$A$3,($BD45+1)^BH45,
IF($BC45=Lookup!$A$4,BI45*$BD45+1,"Error")))</f>
        <v>1</v>
      </c>
      <c r="BR45" s="229">
        <f>IF($BC45=Lookup!$A$2,$BD45*ROUNDUP(BJ45/10,0)+1,
IF($BC45=Lookup!$A$3,($BD45+1)^BI45,
IF($BC45=Lookup!$A$4,BJ45*$BD45+1,"Error")))</f>
        <v>1</v>
      </c>
      <c r="BS45" s="229">
        <f>IF($BC45=Lookup!$A$2,$BD45*ROUNDUP(BK45/10,0)+1,
IF($BC45=Lookup!$A$3,($BD45+1)^BJ45,
IF($BC45=Lookup!$A$4,BK45*$BD45+1,"Error")))</f>
        <v>1</v>
      </c>
      <c r="BT45" s="249">
        <f>IF($BC45=Lookup!$A$2,$BD45*ROUNDUP(BL45/10,0)+1,
IF($BC45=Lookup!$A$3,($BD45+1)^BK45,
IF($BC45=Lookup!$A$4,BL45*$BD45+1,"Error")))</f>
        <v>1</v>
      </c>
      <c r="BU45" s="398">
        <v>0</v>
      </c>
      <c r="BV45" s="356">
        <v>0</v>
      </c>
      <c r="BW45" s="356">
        <v>0</v>
      </c>
      <c r="BX45" s="356">
        <v>0</v>
      </c>
      <c r="BY45" s="356">
        <v>0</v>
      </c>
      <c r="BZ45" s="356">
        <v>0</v>
      </c>
      <c r="CA45" s="356">
        <v>0</v>
      </c>
      <c r="CB45" s="399">
        <v>0</v>
      </c>
      <c r="CC45" s="382" t="s">
        <v>293</v>
      </c>
      <c r="CD45" s="383">
        <f>HLOOKUP($CC45,$AK$6:$AM$132,ROWS(CD$6:CD45),0)</f>
        <v>6.0333332777777741E-2</v>
      </c>
      <c r="CE45" s="362">
        <f t="shared" si="29"/>
        <v>0</v>
      </c>
      <c r="CF45" s="363">
        <f t="shared" si="29"/>
        <v>0</v>
      </c>
      <c r="CG45" s="799">
        <f t="shared" si="29"/>
        <v>0</v>
      </c>
      <c r="CH45" s="808">
        <f t="shared" si="29"/>
        <v>0</v>
      </c>
      <c r="CI45" s="363">
        <f t="shared" si="50"/>
        <v>0</v>
      </c>
      <c r="CJ45" s="363">
        <f t="shared" si="50"/>
        <v>0</v>
      </c>
      <c r="CK45" s="363">
        <f t="shared" si="50"/>
        <v>0</v>
      </c>
      <c r="CL45" s="364">
        <f t="shared" si="50"/>
        <v>0</v>
      </c>
      <c r="CM45" s="305" t="s">
        <v>293</v>
      </c>
      <c r="CN45" s="315">
        <v>0.05</v>
      </c>
      <c r="CO45" s="306"/>
      <c r="CP45" s="307">
        <f>IF($CO45&lt;&gt;"",$CO45,HLOOKUP($CM45,$AY$6:$BA$132,ROWS(CP$6:CP45),0))</f>
        <v>7168337.7639173856</v>
      </c>
      <c r="CQ45" s="784">
        <f t="shared" si="49"/>
        <v>0</v>
      </c>
      <c r="CR45" s="784">
        <f t="shared" si="49"/>
        <v>0</v>
      </c>
      <c r="CS45" s="524">
        <f t="shared" si="49"/>
        <v>0</v>
      </c>
      <c r="CT45" s="416">
        <f t="shared" si="49"/>
        <v>0</v>
      </c>
      <c r="CU45" s="97">
        <f t="shared" si="49"/>
        <v>0</v>
      </c>
      <c r="CV45" s="97">
        <f t="shared" si="49"/>
        <v>0</v>
      </c>
      <c r="CW45" s="97">
        <f t="shared" si="49"/>
        <v>0</v>
      </c>
      <c r="CX45" s="98">
        <f t="shared" si="32"/>
        <v>0</v>
      </c>
      <c r="CY45" s="392"/>
    </row>
    <row r="46" spans="1:103" x14ac:dyDescent="0.25">
      <c r="A46" s="81" t="s">
        <v>94</v>
      </c>
      <c r="B46" s="82" t="s">
        <v>97</v>
      </c>
      <c r="C46" s="83" t="s">
        <v>98</v>
      </c>
      <c r="D46" s="84">
        <v>-30076.473382175667</v>
      </c>
      <c r="E46" s="85">
        <v>324458</v>
      </c>
      <c r="F46" s="85">
        <v>-7023.6579008646804</v>
      </c>
      <c r="G46" s="85">
        <v>-1532.4187743956154</v>
      </c>
      <c r="H46" s="85">
        <v>14507</v>
      </c>
      <c r="I46" s="85">
        <v>0</v>
      </c>
      <c r="J46" s="85">
        <v>2841978.9421263169</v>
      </c>
      <c r="K46" s="85">
        <v>0</v>
      </c>
      <c r="L46" s="85">
        <v>0</v>
      </c>
      <c r="M46" s="654">
        <f>'2022-23 Input'!I46</f>
        <v>0</v>
      </c>
      <c r="N46" s="1065">
        <v>210212.38752721401</v>
      </c>
      <c r="O46" s="560">
        <f t="shared" si="27"/>
        <v>-40466.581171496655</v>
      </c>
      <c r="P46" s="561">
        <f t="shared" si="0"/>
        <v>430046.6663588261</v>
      </c>
      <c r="Q46" s="561">
        <f t="shared" si="1"/>
        <v>-9215.0795360559277</v>
      </c>
      <c r="R46" s="561">
        <f t="shared" si="2"/>
        <v>-1972.4018722480398</v>
      </c>
      <c r="S46" s="561">
        <f t="shared" si="3"/>
        <v>18292.1490064344</v>
      </c>
      <c r="T46" s="561">
        <f t="shared" si="4"/>
        <v>0</v>
      </c>
      <c r="U46" s="561">
        <f t="shared" si="5"/>
        <v>3539650.5942423884</v>
      </c>
      <c r="V46" s="561">
        <f t="shared" si="6"/>
        <v>0</v>
      </c>
      <c r="W46" s="675">
        <f t="shared" si="7"/>
        <v>0</v>
      </c>
      <c r="X46" s="675">
        <f t="shared" si="8"/>
        <v>0</v>
      </c>
      <c r="Y46" s="675">
        <f t="shared" si="8"/>
        <v>215992.90851760522</v>
      </c>
      <c r="Z46" s="125">
        <v>0</v>
      </c>
      <c r="AA46" s="126">
        <v>0</v>
      </c>
      <c r="AB46" s="126">
        <v>0</v>
      </c>
      <c r="AC46" s="126">
        <v>0</v>
      </c>
      <c r="AD46" s="126">
        <v>0</v>
      </c>
      <c r="AE46" s="126">
        <v>5.2470002000000002E-2</v>
      </c>
      <c r="AF46" s="126">
        <v>0</v>
      </c>
      <c r="AG46" s="126">
        <v>0</v>
      </c>
      <c r="AH46" s="126">
        <v>0</v>
      </c>
      <c r="AI46" s="1097">
        <f>'2022-23 Input'!P46</f>
        <v>0</v>
      </c>
      <c r="AJ46" s="668">
        <v>0</v>
      </c>
      <c r="AK46" s="127">
        <f t="shared" si="33"/>
        <v>1.04940004E-2</v>
      </c>
      <c r="AL46" s="128">
        <f t="shared" si="34"/>
        <v>0</v>
      </c>
      <c r="AM46" s="129">
        <f t="shared" si="35"/>
        <v>0</v>
      </c>
      <c r="AN46" s="91" t="str">
        <f t="shared" si="36"/>
        <v/>
      </c>
      <c r="AO46" s="92" t="str">
        <f t="shared" si="37"/>
        <v/>
      </c>
      <c r="AP46" s="92" t="str">
        <f t="shared" si="38"/>
        <v/>
      </c>
      <c r="AQ46" s="92" t="str">
        <f t="shared" si="39"/>
        <v/>
      </c>
      <c r="AR46" s="92" t="str">
        <f t="shared" si="40"/>
        <v/>
      </c>
      <c r="AS46" s="92">
        <f t="shared" si="41"/>
        <v>0</v>
      </c>
      <c r="AT46" s="92" t="str">
        <f t="shared" si="42"/>
        <v/>
      </c>
      <c r="AU46" s="92" t="str">
        <f t="shared" si="43"/>
        <v/>
      </c>
      <c r="AV46" s="92" t="str">
        <f t="shared" si="44"/>
        <v/>
      </c>
      <c r="AW46" s="92" t="str">
        <f t="shared" si="44"/>
        <v/>
      </c>
      <c r="AX46" s="92" t="str">
        <f t="shared" si="44"/>
        <v/>
      </c>
      <c r="AY46" s="93">
        <f t="shared" si="45"/>
        <v>54163880.956709646</v>
      </c>
      <c r="AZ46" s="94" t="str">
        <f t="shared" si="46"/>
        <v/>
      </c>
      <c r="BA46" s="95" t="str">
        <f t="shared" si="47"/>
        <v/>
      </c>
      <c r="BB46" s="248" t="s">
        <v>422</v>
      </c>
      <c r="BC46" s="229" t="s">
        <v>433</v>
      </c>
      <c r="BD46" s="249">
        <v>0</v>
      </c>
      <c r="BE46" s="267">
        <f t="shared" si="28"/>
        <v>0</v>
      </c>
      <c r="BF46" s="268">
        <f t="shared" si="48"/>
        <v>0</v>
      </c>
      <c r="BG46" s="268">
        <f t="shared" si="48"/>
        <v>0</v>
      </c>
      <c r="BH46" s="268">
        <f t="shared" si="48"/>
        <v>1</v>
      </c>
      <c r="BI46" s="268">
        <f t="shared" si="48"/>
        <v>2</v>
      </c>
      <c r="BJ46" s="268">
        <f t="shared" si="48"/>
        <v>3</v>
      </c>
      <c r="BK46" s="268">
        <f t="shared" si="48"/>
        <v>4</v>
      </c>
      <c r="BL46" s="269">
        <f t="shared" si="48"/>
        <v>5</v>
      </c>
      <c r="BM46" s="256">
        <f>IF($BC46=Lookup!$A$2,$BD46*ROUNDUP(BE46/10,0)+1,
IF($BC46=Lookup!$A$3,($BD46+1)^BD46,
IF($BC46=Lookup!$A$4,BE46*$BD46+1,"Error")))</f>
        <v>1</v>
      </c>
      <c r="BN46" s="229">
        <f>IF($BC46=Lookup!$A$2,$BD46*ROUNDUP(BF46/10,0)+1,
IF($BC46=Lookup!$A$3,($BD46+1)^BE46,
IF($BC46=Lookup!$A$4,BF46*$BD46+1,"Error")))</f>
        <v>1</v>
      </c>
      <c r="BO46" s="229">
        <f>IF($BC46=Lookup!$A$2,$BD46*ROUNDUP(BG46/10,0)+1,
IF($BC46=Lookup!$A$3,($BD46+1)^BF46,
IF($BC46=Lookup!$A$4,BG46*$BD46+1,"Error")))</f>
        <v>1</v>
      </c>
      <c r="BP46" s="229">
        <f>IF($BC46=Lookup!$A$2,$BD46*ROUNDUP(BH46/10,0)+1,
IF($BC46=Lookup!$A$3,($BD46+1)^BG46,
IF($BC46=Lookup!$A$4,BH46*$BD46+1,"Error")))</f>
        <v>1</v>
      </c>
      <c r="BQ46" s="229">
        <f>IF($BC46=Lookup!$A$2,$BD46*ROUNDUP(BI46/10,0)+1,
IF($BC46=Lookup!$A$3,($BD46+1)^BH46,
IF($BC46=Lookup!$A$4,BI46*$BD46+1,"Error")))</f>
        <v>1</v>
      </c>
      <c r="BR46" s="229">
        <f>IF($BC46=Lookup!$A$2,$BD46*ROUNDUP(BJ46/10,0)+1,
IF($BC46=Lookup!$A$3,($BD46+1)^BI46,
IF($BC46=Lookup!$A$4,BJ46*$BD46+1,"Error")))</f>
        <v>1</v>
      </c>
      <c r="BS46" s="229">
        <f>IF($BC46=Lookup!$A$2,$BD46*ROUNDUP(BK46/10,0)+1,
IF($BC46=Lookup!$A$3,($BD46+1)^BJ46,
IF($BC46=Lookup!$A$4,BK46*$BD46+1,"Error")))</f>
        <v>1</v>
      </c>
      <c r="BT46" s="249">
        <f>IF($BC46=Lookup!$A$2,$BD46*ROUNDUP(BL46/10,0)+1,
IF($BC46=Lookup!$A$3,($BD46+1)^BK46,
IF($BC46=Lookup!$A$4,BL46*$BD46+1,"Error")))</f>
        <v>1</v>
      </c>
      <c r="BU46" s="398">
        <v>0</v>
      </c>
      <c r="BV46" s="356">
        <v>0</v>
      </c>
      <c r="BW46" s="356">
        <v>0</v>
      </c>
      <c r="BX46" s="356">
        <v>0</v>
      </c>
      <c r="BY46" s="356">
        <v>0</v>
      </c>
      <c r="BZ46" s="356">
        <v>0</v>
      </c>
      <c r="CA46" s="356">
        <v>0</v>
      </c>
      <c r="CB46" s="399">
        <v>0</v>
      </c>
      <c r="CC46" s="382" t="s">
        <v>293</v>
      </c>
      <c r="CD46" s="383">
        <f>HLOOKUP($CC46,$AK$6:$AM$132,ROWS(CD$6:CD46),0)</f>
        <v>0</v>
      </c>
      <c r="CE46" s="362">
        <f t="shared" si="29"/>
        <v>0</v>
      </c>
      <c r="CF46" s="363">
        <f t="shared" si="29"/>
        <v>0</v>
      </c>
      <c r="CG46" s="799">
        <f t="shared" si="29"/>
        <v>0</v>
      </c>
      <c r="CH46" s="808">
        <f t="shared" si="29"/>
        <v>0</v>
      </c>
      <c r="CI46" s="363">
        <f t="shared" si="50"/>
        <v>0</v>
      </c>
      <c r="CJ46" s="363">
        <f t="shared" si="50"/>
        <v>0</v>
      </c>
      <c r="CK46" s="363">
        <f t="shared" si="50"/>
        <v>0</v>
      </c>
      <c r="CL46" s="364">
        <f t="shared" si="50"/>
        <v>0</v>
      </c>
      <c r="CM46" s="305" t="s">
        <v>293</v>
      </c>
      <c r="CN46" s="315">
        <v>0.05</v>
      </c>
      <c r="CO46" s="306"/>
      <c r="CP46" s="307" t="str">
        <f>IF($CO46&lt;&gt;"",$CO46,HLOOKUP($CM46,$AY$6:$BA$132,ROWS(CP$6:CP46),0))</f>
        <v/>
      </c>
      <c r="CQ46" s="784" t="str">
        <f t="shared" si="49"/>
        <v/>
      </c>
      <c r="CR46" s="784" t="str">
        <f t="shared" si="49"/>
        <v/>
      </c>
      <c r="CS46" s="524" t="str">
        <f t="shared" si="49"/>
        <v/>
      </c>
      <c r="CT46" s="416" t="str">
        <f t="shared" si="49"/>
        <v/>
      </c>
      <c r="CU46" s="97" t="str">
        <f t="shared" si="49"/>
        <v/>
      </c>
      <c r="CV46" s="97" t="str">
        <f t="shared" si="49"/>
        <v/>
      </c>
      <c r="CW46" s="97" t="str">
        <f t="shared" si="49"/>
        <v/>
      </c>
      <c r="CX46" s="98" t="str">
        <f t="shared" si="32"/>
        <v/>
      </c>
      <c r="CY46" s="392"/>
    </row>
    <row r="47" spans="1:103" x14ac:dyDescent="0.25">
      <c r="A47" s="81" t="s">
        <v>94</v>
      </c>
      <c r="B47" s="82" t="s">
        <v>99</v>
      </c>
      <c r="C47" s="83" t="s">
        <v>100</v>
      </c>
      <c r="D47" s="84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654">
        <f>'2022-23 Input'!I47</f>
        <v>0</v>
      </c>
      <c r="N47" s="1065">
        <v>0</v>
      </c>
      <c r="O47" s="560">
        <f t="shared" si="27"/>
        <v>0</v>
      </c>
      <c r="P47" s="561">
        <f t="shared" si="0"/>
        <v>0</v>
      </c>
      <c r="Q47" s="561">
        <f t="shared" si="1"/>
        <v>0</v>
      </c>
      <c r="R47" s="561">
        <f t="shared" si="2"/>
        <v>0</v>
      </c>
      <c r="S47" s="561">
        <f t="shared" si="3"/>
        <v>0</v>
      </c>
      <c r="T47" s="561">
        <f t="shared" si="4"/>
        <v>0</v>
      </c>
      <c r="U47" s="561">
        <f t="shared" si="5"/>
        <v>0</v>
      </c>
      <c r="V47" s="561">
        <f t="shared" si="6"/>
        <v>0</v>
      </c>
      <c r="W47" s="675">
        <f t="shared" si="7"/>
        <v>0</v>
      </c>
      <c r="X47" s="675">
        <f t="shared" si="8"/>
        <v>0</v>
      </c>
      <c r="Y47" s="675">
        <f t="shared" si="8"/>
        <v>0</v>
      </c>
      <c r="Z47" s="125">
        <v>0</v>
      </c>
      <c r="AA47" s="126">
        <v>0</v>
      </c>
      <c r="AB47" s="126">
        <v>0</v>
      </c>
      <c r="AC47" s="126">
        <v>0</v>
      </c>
      <c r="AD47" s="126">
        <v>0</v>
      </c>
      <c r="AE47" s="126">
        <v>0</v>
      </c>
      <c r="AF47" s="126">
        <v>0</v>
      </c>
      <c r="AG47" s="126">
        <v>0</v>
      </c>
      <c r="AH47" s="126">
        <v>0</v>
      </c>
      <c r="AI47" s="1097">
        <f>'2022-23 Input'!P47</f>
        <v>0</v>
      </c>
      <c r="AJ47" s="668">
        <v>0</v>
      </c>
      <c r="AK47" s="127">
        <f t="shared" si="33"/>
        <v>0</v>
      </c>
      <c r="AL47" s="128">
        <f t="shared" si="34"/>
        <v>0</v>
      </c>
      <c r="AM47" s="129">
        <f t="shared" si="35"/>
        <v>0</v>
      </c>
      <c r="AN47" s="91" t="str">
        <f t="shared" si="36"/>
        <v/>
      </c>
      <c r="AO47" s="92" t="str">
        <f t="shared" si="37"/>
        <v/>
      </c>
      <c r="AP47" s="92" t="str">
        <f t="shared" si="38"/>
        <v/>
      </c>
      <c r="AQ47" s="92" t="str">
        <f t="shared" si="39"/>
        <v/>
      </c>
      <c r="AR47" s="92" t="str">
        <f t="shared" si="40"/>
        <v/>
      </c>
      <c r="AS47" s="92" t="str">
        <f t="shared" si="41"/>
        <v/>
      </c>
      <c r="AT47" s="92" t="str">
        <f t="shared" si="42"/>
        <v/>
      </c>
      <c r="AU47" s="92" t="str">
        <f t="shared" si="43"/>
        <v/>
      </c>
      <c r="AV47" s="92" t="str">
        <f t="shared" si="44"/>
        <v/>
      </c>
      <c r="AW47" s="92" t="str">
        <f t="shared" si="44"/>
        <v/>
      </c>
      <c r="AX47" s="92" t="str">
        <f t="shared" si="44"/>
        <v/>
      </c>
      <c r="AY47" s="93" t="str">
        <f t="shared" si="45"/>
        <v/>
      </c>
      <c r="AZ47" s="94" t="str">
        <f t="shared" si="46"/>
        <v/>
      </c>
      <c r="BA47" s="95" t="str">
        <f t="shared" si="47"/>
        <v/>
      </c>
      <c r="BB47" s="248" t="s">
        <v>422</v>
      </c>
      <c r="BC47" s="229" t="s">
        <v>433</v>
      </c>
      <c r="BD47" s="249">
        <v>0</v>
      </c>
      <c r="BE47" s="267">
        <f t="shared" si="28"/>
        <v>0</v>
      </c>
      <c r="BF47" s="268">
        <f t="shared" si="48"/>
        <v>0</v>
      </c>
      <c r="BG47" s="268">
        <f t="shared" si="48"/>
        <v>0</v>
      </c>
      <c r="BH47" s="268">
        <f t="shared" si="48"/>
        <v>1</v>
      </c>
      <c r="BI47" s="268">
        <f t="shared" si="48"/>
        <v>2</v>
      </c>
      <c r="BJ47" s="268">
        <f t="shared" si="48"/>
        <v>3</v>
      </c>
      <c r="BK47" s="268">
        <f t="shared" si="48"/>
        <v>4</v>
      </c>
      <c r="BL47" s="269">
        <f t="shared" si="48"/>
        <v>5</v>
      </c>
      <c r="BM47" s="256">
        <f>IF($BC47=Lookup!$A$2,$BD47*ROUNDUP(BE47/10,0)+1,
IF($BC47=Lookup!$A$3,($BD47+1)^BD47,
IF($BC47=Lookup!$A$4,BE47*$BD47+1,"Error")))</f>
        <v>1</v>
      </c>
      <c r="BN47" s="229">
        <f>IF($BC47=Lookup!$A$2,$BD47*ROUNDUP(BF47/10,0)+1,
IF($BC47=Lookup!$A$3,($BD47+1)^BE47,
IF($BC47=Lookup!$A$4,BF47*$BD47+1,"Error")))</f>
        <v>1</v>
      </c>
      <c r="BO47" s="229">
        <f>IF($BC47=Lookup!$A$2,$BD47*ROUNDUP(BG47/10,0)+1,
IF($BC47=Lookup!$A$3,($BD47+1)^BF47,
IF($BC47=Lookup!$A$4,BG47*$BD47+1,"Error")))</f>
        <v>1</v>
      </c>
      <c r="BP47" s="229">
        <f>IF($BC47=Lookup!$A$2,$BD47*ROUNDUP(BH47/10,0)+1,
IF($BC47=Lookup!$A$3,($BD47+1)^BG47,
IF($BC47=Lookup!$A$4,BH47*$BD47+1,"Error")))</f>
        <v>1</v>
      </c>
      <c r="BQ47" s="229">
        <f>IF($BC47=Lookup!$A$2,$BD47*ROUNDUP(BI47/10,0)+1,
IF($BC47=Lookup!$A$3,($BD47+1)^BH47,
IF($BC47=Lookup!$A$4,BI47*$BD47+1,"Error")))</f>
        <v>1</v>
      </c>
      <c r="BR47" s="229">
        <f>IF($BC47=Lookup!$A$2,$BD47*ROUNDUP(BJ47/10,0)+1,
IF($BC47=Lookup!$A$3,($BD47+1)^BI47,
IF($BC47=Lookup!$A$4,BJ47*$BD47+1,"Error")))</f>
        <v>1</v>
      </c>
      <c r="BS47" s="229">
        <f>IF($BC47=Lookup!$A$2,$BD47*ROUNDUP(BK47/10,0)+1,
IF($BC47=Lookup!$A$3,($BD47+1)^BJ47,
IF($BC47=Lookup!$A$4,BK47*$BD47+1,"Error")))</f>
        <v>1</v>
      </c>
      <c r="BT47" s="249">
        <f>IF($BC47=Lookup!$A$2,$BD47*ROUNDUP(BL47/10,0)+1,
IF($BC47=Lookup!$A$3,($BD47+1)^BK47,
IF($BC47=Lookup!$A$4,BL47*$BD47+1,"Error")))</f>
        <v>1</v>
      </c>
      <c r="BU47" s="398">
        <v>0</v>
      </c>
      <c r="BV47" s="356">
        <v>0</v>
      </c>
      <c r="BW47" s="356">
        <v>0</v>
      </c>
      <c r="BX47" s="356">
        <v>0</v>
      </c>
      <c r="BY47" s="356">
        <v>0</v>
      </c>
      <c r="BZ47" s="356">
        <v>0</v>
      </c>
      <c r="CA47" s="356">
        <v>0</v>
      </c>
      <c r="CB47" s="399">
        <v>0</v>
      </c>
      <c r="CC47" s="382" t="s">
        <v>293</v>
      </c>
      <c r="CD47" s="383">
        <f>HLOOKUP($CC47,$AK$6:$AM$132,ROWS(CD$6:CD47),0)</f>
        <v>0</v>
      </c>
      <c r="CE47" s="362">
        <f t="shared" si="29"/>
        <v>0</v>
      </c>
      <c r="CF47" s="363">
        <f t="shared" si="29"/>
        <v>0</v>
      </c>
      <c r="CG47" s="799">
        <f t="shared" si="29"/>
        <v>0</v>
      </c>
      <c r="CH47" s="808">
        <f t="shared" si="29"/>
        <v>0</v>
      </c>
      <c r="CI47" s="363">
        <f t="shared" si="50"/>
        <v>0</v>
      </c>
      <c r="CJ47" s="363">
        <f t="shared" si="50"/>
        <v>0</v>
      </c>
      <c r="CK47" s="363">
        <f t="shared" si="50"/>
        <v>0</v>
      </c>
      <c r="CL47" s="364">
        <f t="shared" si="50"/>
        <v>0</v>
      </c>
      <c r="CM47" s="305" t="s">
        <v>293</v>
      </c>
      <c r="CN47" s="315">
        <v>0.05</v>
      </c>
      <c r="CO47" s="306"/>
      <c r="CP47" s="307" t="str">
        <f>IF($CO47&lt;&gt;"",$CO47,HLOOKUP($CM47,$AY$6:$BA$132,ROWS(CP$6:CP47),0))</f>
        <v/>
      </c>
      <c r="CQ47" s="784" t="str">
        <f t="shared" si="49"/>
        <v/>
      </c>
      <c r="CR47" s="784" t="str">
        <f t="shared" si="49"/>
        <v/>
      </c>
      <c r="CS47" s="524" t="str">
        <f t="shared" si="49"/>
        <v/>
      </c>
      <c r="CT47" s="416" t="str">
        <f t="shared" si="49"/>
        <v/>
      </c>
      <c r="CU47" s="97" t="str">
        <f t="shared" si="49"/>
        <v/>
      </c>
      <c r="CV47" s="97" t="str">
        <f t="shared" si="49"/>
        <v/>
      </c>
      <c r="CW47" s="97" t="str">
        <f t="shared" si="49"/>
        <v/>
      </c>
      <c r="CX47" s="98" t="str">
        <f t="shared" si="32"/>
        <v/>
      </c>
      <c r="CY47" s="392"/>
    </row>
    <row r="48" spans="1:103" x14ac:dyDescent="0.25">
      <c r="A48" s="81" t="s">
        <v>94</v>
      </c>
      <c r="B48" s="82" t="s">
        <v>101</v>
      </c>
      <c r="C48" s="83" t="s">
        <v>76</v>
      </c>
      <c r="D48" s="84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654">
        <f>'2022-23 Input'!I48</f>
        <v>0</v>
      </c>
      <c r="N48" s="1065">
        <v>0</v>
      </c>
      <c r="O48" s="560">
        <f t="shared" si="27"/>
        <v>0</v>
      </c>
      <c r="P48" s="561">
        <f t="shared" si="0"/>
        <v>0</v>
      </c>
      <c r="Q48" s="561">
        <f t="shared" si="1"/>
        <v>0</v>
      </c>
      <c r="R48" s="561">
        <f t="shared" si="2"/>
        <v>0</v>
      </c>
      <c r="S48" s="561">
        <f t="shared" si="3"/>
        <v>0</v>
      </c>
      <c r="T48" s="561">
        <f t="shared" si="4"/>
        <v>0</v>
      </c>
      <c r="U48" s="561">
        <f t="shared" si="5"/>
        <v>0</v>
      </c>
      <c r="V48" s="561">
        <f t="shared" si="6"/>
        <v>0</v>
      </c>
      <c r="W48" s="675">
        <f t="shared" si="7"/>
        <v>0</v>
      </c>
      <c r="X48" s="675">
        <f t="shared" si="8"/>
        <v>0</v>
      </c>
      <c r="Y48" s="675">
        <f t="shared" si="8"/>
        <v>0</v>
      </c>
      <c r="Z48" s="125">
        <v>0</v>
      </c>
      <c r="AA48" s="126">
        <v>0</v>
      </c>
      <c r="AB48" s="126">
        <v>0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6">
        <v>0</v>
      </c>
      <c r="AI48" s="1097">
        <f>'2022-23 Input'!P48</f>
        <v>0</v>
      </c>
      <c r="AJ48" s="668">
        <v>0</v>
      </c>
      <c r="AK48" s="127">
        <f t="shared" si="33"/>
        <v>0</v>
      </c>
      <c r="AL48" s="128">
        <f t="shared" si="34"/>
        <v>0</v>
      </c>
      <c r="AM48" s="129">
        <f t="shared" si="35"/>
        <v>0</v>
      </c>
      <c r="AN48" s="91" t="str">
        <f t="shared" si="36"/>
        <v/>
      </c>
      <c r="AO48" s="92" t="str">
        <f t="shared" si="37"/>
        <v/>
      </c>
      <c r="AP48" s="92" t="str">
        <f t="shared" si="38"/>
        <v/>
      </c>
      <c r="AQ48" s="92" t="str">
        <f t="shared" si="39"/>
        <v/>
      </c>
      <c r="AR48" s="92" t="str">
        <f t="shared" si="40"/>
        <v/>
      </c>
      <c r="AS48" s="92" t="str">
        <f t="shared" si="41"/>
        <v/>
      </c>
      <c r="AT48" s="92" t="str">
        <f t="shared" si="42"/>
        <v/>
      </c>
      <c r="AU48" s="92" t="str">
        <f t="shared" si="43"/>
        <v/>
      </c>
      <c r="AV48" s="92" t="str">
        <f t="shared" si="44"/>
        <v/>
      </c>
      <c r="AW48" s="92" t="str">
        <f t="shared" si="44"/>
        <v/>
      </c>
      <c r="AX48" s="92" t="str">
        <f t="shared" si="44"/>
        <v/>
      </c>
      <c r="AY48" s="93" t="str">
        <f t="shared" si="45"/>
        <v/>
      </c>
      <c r="AZ48" s="94" t="str">
        <f t="shared" si="46"/>
        <v/>
      </c>
      <c r="BA48" s="95" t="str">
        <f t="shared" si="47"/>
        <v/>
      </c>
      <c r="BB48" s="248" t="s">
        <v>422</v>
      </c>
      <c r="BC48" s="229" t="s">
        <v>433</v>
      </c>
      <c r="BD48" s="249">
        <v>0</v>
      </c>
      <c r="BE48" s="267">
        <f t="shared" si="28"/>
        <v>0</v>
      </c>
      <c r="BF48" s="268">
        <f t="shared" si="48"/>
        <v>0</v>
      </c>
      <c r="BG48" s="268">
        <f t="shared" si="48"/>
        <v>0</v>
      </c>
      <c r="BH48" s="268">
        <f t="shared" si="48"/>
        <v>1</v>
      </c>
      <c r="BI48" s="268">
        <f t="shared" si="48"/>
        <v>2</v>
      </c>
      <c r="BJ48" s="268">
        <f t="shared" si="48"/>
        <v>3</v>
      </c>
      <c r="BK48" s="268">
        <f t="shared" si="48"/>
        <v>4</v>
      </c>
      <c r="BL48" s="269">
        <f t="shared" si="48"/>
        <v>5</v>
      </c>
      <c r="BM48" s="256">
        <f>IF($BC48=Lookup!$A$2,$BD48*ROUNDUP(BE48/10,0)+1,
IF($BC48=Lookup!$A$3,($BD48+1)^BD48,
IF($BC48=Lookup!$A$4,BE48*$BD48+1,"Error")))</f>
        <v>1</v>
      </c>
      <c r="BN48" s="229">
        <f>IF($BC48=Lookup!$A$2,$BD48*ROUNDUP(BF48/10,0)+1,
IF($BC48=Lookup!$A$3,($BD48+1)^BE48,
IF($BC48=Lookup!$A$4,BF48*$BD48+1,"Error")))</f>
        <v>1</v>
      </c>
      <c r="BO48" s="229">
        <f>IF($BC48=Lookup!$A$2,$BD48*ROUNDUP(BG48/10,0)+1,
IF($BC48=Lookup!$A$3,($BD48+1)^BF48,
IF($BC48=Lookup!$A$4,BG48*$BD48+1,"Error")))</f>
        <v>1</v>
      </c>
      <c r="BP48" s="229">
        <f>IF($BC48=Lookup!$A$2,$BD48*ROUNDUP(BH48/10,0)+1,
IF($BC48=Lookup!$A$3,($BD48+1)^BG48,
IF($BC48=Lookup!$A$4,BH48*$BD48+1,"Error")))</f>
        <v>1</v>
      </c>
      <c r="BQ48" s="229">
        <f>IF($BC48=Lookup!$A$2,$BD48*ROUNDUP(BI48/10,0)+1,
IF($BC48=Lookup!$A$3,($BD48+1)^BH48,
IF($BC48=Lookup!$A$4,BI48*$BD48+1,"Error")))</f>
        <v>1</v>
      </c>
      <c r="BR48" s="229">
        <f>IF($BC48=Lookup!$A$2,$BD48*ROUNDUP(BJ48/10,0)+1,
IF($BC48=Lookup!$A$3,($BD48+1)^BI48,
IF($BC48=Lookup!$A$4,BJ48*$BD48+1,"Error")))</f>
        <v>1</v>
      </c>
      <c r="BS48" s="229">
        <f>IF($BC48=Lookup!$A$2,$BD48*ROUNDUP(BK48/10,0)+1,
IF($BC48=Lookup!$A$3,($BD48+1)^BJ48,
IF($BC48=Lookup!$A$4,BK48*$BD48+1,"Error")))</f>
        <v>1</v>
      </c>
      <c r="BT48" s="249">
        <f>IF($BC48=Lookup!$A$2,$BD48*ROUNDUP(BL48/10,0)+1,
IF($BC48=Lookup!$A$3,($BD48+1)^BK48,
IF($BC48=Lookup!$A$4,BL48*$BD48+1,"Error")))</f>
        <v>1</v>
      </c>
      <c r="BU48" s="398">
        <v>0</v>
      </c>
      <c r="BV48" s="356">
        <v>0</v>
      </c>
      <c r="BW48" s="356">
        <v>0</v>
      </c>
      <c r="BX48" s="356">
        <v>0</v>
      </c>
      <c r="BY48" s="356">
        <v>0</v>
      </c>
      <c r="BZ48" s="356">
        <v>0</v>
      </c>
      <c r="CA48" s="356">
        <v>0</v>
      </c>
      <c r="CB48" s="399">
        <v>0</v>
      </c>
      <c r="CC48" s="382" t="s">
        <v>293</v>
      </c>
      <c r="CD48" s="383">
        <f>HLOOKUP($CC48,$AK$6:$AM$132,ROWS(CD$6:CD48),0)</f>
        <v>0</v>
      </c>
      <c r="CE48" s="362">
        <f t="shared" si="29"/>
        <v>0</v>
      </c>
      <c r="CF48" s="363">
        <f t="shared" si="29"/>
        <v>0</v>
      </c>
      <c r="CG48" s="799">
        <f t="shared" si="29"/>
        <v>0</v>
      </c>
      <c r="CH48" s="808">
        <f t="shared" si="29"/>
        <v>0</v>
      </c>
      <c r="CI48" s="363">
        <f t="shared" si="50"/>
        <v>0</v>
      </c>
      <c r="CJ48" s="363">
        <f t="shared" si="50"/>
        <v>0</v>
      </c>
      <c r="CK48" s="363">
        <f t="shared" si="50"/>
        <v>0</v>
      </c>
      <c r="CL48" s="364">
        <f t="shared" si="50"/>
        <v>0</v>
      </c>
      <c r="CM48" s="305" t="s">
        <v>293</v>
      </c>
      <c r="CN48" s="315">
        <v>0.05</v>
      </c>
      <c r="CO48" s="306"/>
      <c r="CP48" s="307" t="str">
        <f>IF($CO48&lt;&gt;"",$CO48,HLOOKUP($CM48,$AY$6:$BA$132,ROWS(CP$6:CP48),0))</f>
        <v/>
      </c>
      <c r="CQ48" s="784" t="str">
        <f t="shared" si="49"/>
        <v/>
      </c>
      <c r="CR48" s="784" t="str">
        <f t="shared" si="49"/>
        <v/>
      </c>
      <c r="CS48" s="524" t="str">
        <f t="shared" si="49"/>
        <v/>
      </c>
      <c r="CT48" s="416" t="str">
        <f t="shared" si="49"/>
        <v/>
      </c>
      <c r="CU48" s="97" t="str">
        <f t="shared" si="49"/>
        <v/>
      </c>
      <c r="CV48" s="97" t="str">
        <f t="shared" si="49"/>
        <v/>
      </c>
      <c r="CW48" s="97" t="str">
        <f t="shared" si="49"/>
        <v/>
      </c>
      <c r="CX48" s="98" t="str">
        <f t="shared" si="32"/>
        <v/>
      </c>
      <c r="CY48" s="392"/>
    </row>
    <row r="49" spans="1:103" x14ac:dyDescent="0.25">
      <c r="A49" s="81" t="s">
        <v>94</v>
      </c>
      <c r="B49" s="82" t="s">
        <v>102</v>
      </c>
      <c r="C49" s="83" t="s">
        <v>323</v>
      </c>
      <c r="D49" s="84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  <c r="M49" s="654">
        <f>'2022-23 Input'!I49</f>
        <v>0</v>
      </c>
      <c r="N49" s="1065">
        <v>0</v>
      </c>
      <c r="O49" s="560">
        <f t="shared" si="27"/>
        <v>0</v>
      </c>
      <c r="P49" s="561">
        <f t="shared" si="0"/>
        <v>0</v>
      </c>
      <c r="Q49" s="561">
        <f t="shared" si="1"/>
        <v>0</v>
      </c>
      <c r="R49" s="561">
        <f t="shared" si="2"/>
        <v>0</v>
      </c>
      <c r="S49" s="561">
        <f t="shared" si="3"/>
        <v>0</v>
      </c>
      <c r="T49" s="561">
        <f t="shared" si="4"/>
        <v>0</v>
      </c>
      <c r="U49" s="561">
        <f t="shared" si="5"/>
        <v>0</v>
      </c>
      <c r="V49" s="561">
        <f t="shared" si="6"/>
        <v>0</v>
      </c>
      <c r="W49" s="675">
        <f t="shared" si="7"/>
        <v>0</v>
      </c>
      <c r="X49" s="675">
        <f t="shared" si="8"/>
        <v>0</v>
      </c>
      <c r="Y49" s="675">
        <f t="shared" si="8"/>
        <v>0</v>
      </c>
      <c r="Z49" s="125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097">
        <f>'2022-23 Input'!P49</f>
        <v>0</v>
      </c>
      <c r="AJ49" s="668">
        <v>0</v>
      </c>
      <c r="AK49" s="127">
        <f t="shared" si="33"/>
        <v>0</v>
      </c>
      <c r="AL49" s="128">
        <f t="shared" si="34"/>
        <v>0</v>
      </c>
      <c r="AM49" s="129">
        <f t="shared" si="35"/>
        <v>0</v>
      </c>
      <c r="AN49" s="91" t="str">
        <f t="shared" si="36"/>
        <v/>
      </c>
      <c r="AO49" s="92" t="str">
        <f t="shared" si="37"/>
        <v/>
      </c>
      <c r="AP49" s="92" t="str">
        <f t="shared" si="38"/>
        <v/>
      </c>
      <c r="AQ49" s="92" t="str">
        <f t="shared" si="39"/>
        <v/>
      </c>
      <c r="AR49" s="92" t="str">
        <f t="shared" si="40"/>
        <v/>
      </c>
      <c r="AS49" s="92" t="str">
        <f t="shared" si="41"/>
        <v/>
      </c>
      <c r="AT49" s="92" t="str">
        <f t="shared" si="42"/>
        <v/>
      </c>
      <c r="AU49" s="92" t="str">
        <f t="shared" si="43"/>
        <v/>
      </c>
      <c r="AV49" s="92" t="str">
        <f t="shared" si="44"/>
        <v/>
      </c>
      <c r="AW49" s="92" t="str">
        <f t="shared" si="44"/>
        <v/>
      </c>
      <c r="AX49" s="92" t="str">
        <f t="shared" si="44"/>
        <v/>
      </c>
      <c r="AY49" s="93" t="str">
        <f t="shared" si="45"/>
        <v/>
      </c>
      <c r="AZ49" s="94" t="str">
        <f t="shared" si="46"/>
        <v/>
      </c>
      <c r="BA49" s="95" t="str">
        <f t="shared" si="47"/>
        <v/>
      </c>
      <c r="BB49" s="248" t="s">
        <v>422</v>
      </c>
      <c r="BC49" s="229" t="s">
        <v>433</v>
      </c>
      <c r="BD49" s="249">
        <v>0</v>
      </c>
      <c r="BE49" s="267">
        <f t="shared" si="28"/>
        <v>0</v>
      </c>
      <c r="BF49" s="268">
        <f t="shared" si="48"/>
        <v>0</v>
      </c>
      <c r="BG49" s="268">
        <f t="shared" si="48"/>
        <v>0</v>
      </c>
      <c r="BH49" s="268">
        <f t="shared" si="48"/>
        <v>1</v>
      </c>
      <c r="BI49" s="268">
        <f t="shared" si="48"/>
        <v>2</v>
      </c>
      <c r="BJ49" s="268">
        <f t="shared" si="48"/>
        <v>3</v>
      </c>
      <c r="BK49" s="268">
        <f t="shared" si="48"/>
        <v>4</v>
      </c>
      <c r="BL49" s="269">
        <f t="shared" si="48"/>
        <v>5</v>
      </c>
      <c r="BM49" s="256">
        <f>IF($BC49=Lookup!$A$2,$BD49*ROUNDUP(BE49/10,0)+1,
IF($BC49=Lookup!$A$3,($BD49+1)^BD49,
IF($BC49=Lookup!$A$4,BE49*$BD49+1,"Error")))</f>
        <v>1</v>
      </c>
      <c r="BN49" s="229">
        <f>IF($BC49=Lookup!$A$2,$BD49*ROUNDUP(BF49/10,0)+1,
IF($BC49=Lookup!$A$3,($BD49+1)^BE49,
IF($BC49=Lookup!$A$4,BF49*$BD49+1,"Error")))</f>
        <v>1</v>
      </c>
      <c r="BO49" s="229">
        <f>IF($BC49=Lookup!$A$2,$BD49*ROUNDUP(BG49/10,0)+1,
IF($BC49=Lookup!$A$3,($BD49+1)^BF49,
IF($BC49=Lookup!$A$4,BG49*$BD49+1,"Error")))</f>
        <v>1</v>
      </c>
      <c r="BP49" s="229">
        <f>IF($BC49=Lookup!$A$2,$BD49*ROUNDUP(BH49/10,0)+1,
IF($BC49=Lookup!$A$3,($BD49+1)^BG49,
IF($BC49=Lookup!$A$4,BH49*$BD49+1,"Error")))</f>
        <v>1</v>
      </c>
      <c r="BQ49" s="229">
        <f>IF($BC49=Lookup!$A$2,$BD49*ROUNDUP(BI49/10,0)+1,
IF($BC49=Lookup!$A$3,($BD49+1)^BH49,
IF($BC49=Lookup!$A$4,BI49*$BD49+1,"Error")))</f>
        <v>1</v>
      </c>
      <c r="BR49" s="229">
        <f>IF($BC49=Lookup!$A$2,$BD49*ROUNDUP(BJ49/10,0)+1,
IF($BC49=Lookup!$A$3,($BD49+1)^BI49,
IF($BC49=Lookup!$A$4,BJ49*$BD49+1,"Error")))</f>
        <v>1</v>
      </c>
      <c r="BS49" s="229">
        <f>IF($BC49=Lookup!$A$2,$BD49*ROUNDUP(BK49/10,0)+1,
IF($BC49=Lookup!$A$3,($BD49+1)^BJ49,
IF($BC49=Lookup!$A$4,BK49*$BD49+1,"Error")))</f>
        <v>1</v>
      </c>
      <c r="BT49" s="249">
        <f>IF($BC49=Lookup!$A$2,$BD49*ROUNDUP(BL49/10,0)+1,
IF($BC49=Lookup!$A$3,($BD49+1)^BK49,
IF($BC49=Lookup!$A$4,BL49*$BD49+1,"Error")))</f>
        <v>1</v>
      </c>
      <c r="BU49" s="398">
        <v>0</v>
      </c>
      <c r="BV49" s="356">
        <v>0</v>
      </c>
      <c r="BW49" s="356">
        <v>0</v>
      </c>
      <c r="BX49" s="356">
        <v>0</v>
      </c>
      <c r="BY49" s="356">
        <v>0</v>
      </c>
      <c r="BZ49" s="356">
        <v>0</v>
      </c>
      <c r="CA49" s="356">
        <v>0</v>
      </c>
      <c r="CB49" s="399">
        <v>0</v>
      </c>
      <c r="CC49" s="382" t="s">
        <v>293</v>
      </c>
      <c r="CD49" s="383">
        <f>HLOOKUP($CC49,$AK$6:$AM$132,ROWS(CD$6:CD49),0)</f>
        <v>0</v>
      </c>
      <c r="CE49" s="362">
        <f t="shared" si="29"/>
        <v>0</v>
      </c>
      <c r="CF49" s="363">
        <f t="shared" si="29"/>
        <v>0</v>
      </c>
      <c r="CG49" s="799">
        <f t="shared" si="29"/>
        <v>0</v>
      </c>
      <c r="CH49" s="808">
        <f t="shared" si="29"/>
        <v>0</v>
      </c>
      <c r="CI49" s="363">
        <f t="shared" si="50"/>
        <v>0</v>
      </c>
      <c r="CJ49" s="363">
        <f t="shared" si="50"/>
        <v>0</v>
      </c>
      <c r="CK49" s="363">
        <f t="shared" si="50"/>
        <v>0</v>
      </c>
      <c r="CL49" s="364">
        <f t="shared" si="50"/>
        <v>0</v>
      </c>
      <c r="CM49" s="305" t="s">
        <v>293</v>
      </c>
      <c r="CN49" s="315">
        <v>0.05</v>
      </c>
      <c r="CO49" s="306"/>
      <c r="CP49" s="307" t="str">
        <f>IF($CO49&lt;&gt;"",$CO49,HLOOKUP($CM49,$AY$6:$BA$132,ROWS(CP$6:CP49),0))</f>
        <v/>
      </c>
      <c r="CQ49" s="784" t="str">
        <f t="shared" si="49"/>
        <v/>
      </c>
      <c r="CR49" s="784" t="str">
        <f t="shared" si="49"/>
        <v/>
      </c>
      <c r="CS49" s="524" t="str">
        <f t="shared" si="49"/>
        <v/>
      </c>
      <c r="CT49" s="416" t="str">
        <f t="shared" si="49"/>
        <v/>
      </c>
      <c r="CU49" s="97" t="str">
        <f t="shared" si="49"/>
        <v/>
      </c>
      <c r="CV49" s="97" t="str">
        <f t="shared" si="49"/>
        <v/>
      </c>
      <c r="CW49" s="97" t="str">
        <f t="shared" si="49"/>
        <v/>
      </c>
      <c r="CX49" s="98" t="str">
        <f t="shared" si="32"/>
        <v/>
      </c>
      <c r="CY49" s="392"/>
    </row>
    <row r="50" spans="1:103" ht="15.75" thickBot="1" x14ac:dyDescent="0.3">
      <c r="A50" s="138" t="s">
        <v>94</v>
      </c>
      <c r="B50" s="139" t="s">
        <v>461</v>
      </c>
      <c r="C50" s="102" t="s">
        <v>325</v>
      </c>
      <c r="D50" s="103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655">
        <f>'2022-23 Input'!I50</f>
        <v>0</v>
      </c>
      <c r="N50" s="1066">
        <v>0</v>
      </c>
      <c r="O50" s="563">
        <f t="shared" si="27"/>
        <v>0</v>
      </c>
      <c r="P50" s="564">
        <f t="shared" si="0"/>
        <v>0</v>
      </c>
      <c r="Q50" s="564">
        <f t="shared" si="1"/>
        <v>0</v>
      </c>
      <c r="R50" s="564">
        <f t="shared" si="2"/>
        <v>0</v>
      </c>
      <c r="S50" s="564">
        <f t="shared" si="3"/>
        <v>0</v>
      </c>
      <c r="T50" s="564">
        <f t="shared" si="4"/>
        <v>0</v>
      </c>
      <c r="U50" s="564">
        <f t="shared" si="5"/>
        <v>0</v>
      </c>
      <c r="V50" s="564">
        <f t="shared" si="6"/>
        <v>0</v>
      </c>
      <c r="W50" s="676">
        <f t="shared" si="7"/>
        <v>0</v>
      </c>
      <c r="X50" s="676">
        <f t="shared" si="8"/>
        <v>0</v>
      </c>
      <c r="Y50" s="676">
        <f t="shared" si="8"/>
        <v>0</v>
      </c>
      <c r="Z50" s="131">
        <v>0</v>
      </c>
      <c r="AA50" s="132">
        <v>0</v>
      </c>
      <c r="AB50" s="132">
        <v>0</v>
      </c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098">
        <f>'2022-23 Input'!P50</f>
        <v>0</v>
      </c>
      <c r="AJ50" s="669">
        <v>0</v>
      </c>
      <c r="AK50" s="133">
        <f t="shared" si="33"/>
        <v>0</v>
      </c>
      <c r="AL50" s="134">
        <f t="shared" si="34"/>
        <v>0</v>
      </c>
      <c r="AM50" s="135">
        <f t="shared" si="35"/>
        <v>0</v>
      </c>
      <c r="AN50" s="110" t="str">
        <f t="shared" si="36"/>
        <v/>
      </c>
      <c r="AO50" s="111" t="str">
        <f t="shared" si="37"/>
        <v/>
      </c>
      <c r="AP50" s="111" t="str">
        <f t="shared" si="38"/>
        <v/>
      </c>
      <c r="AQ50" s="111" t="str">
        <f t="shared" si="39"/>
        <v/>
      </c>
      <c r="AR50" s="111" t="str">
        <f t="shared" si="40"/>
        <v/>
      </c>
      <c r="AS50" s="111" t="str">
        <f t="shared" si="41"/>
        <v/>
      </c>
      <c r="AT50" s="111" t="str">
        <f t="shared" si="42"/>
        <v/>
      </c>
      <c r="AU50" s="111" t="str">
        <f t="shared" si="43"/>
        <v/>
      </c>
      <c r="AV50" s="111" t="str">
        <f t="shared" si="44"/>
        <v/>
      </c>
      <c r="AW50" s="111" t="str">
        <f t="shared" si="44"/>
        <v/>
      </c>
      <c r="AX50" s="111" t="str">
        <f t="shared" si="44"/>
        <v/>
      </c>
      <c r="AY50" s="112" t="str">
        <f t="shared" si="45"/>
        <v/>
      </c>
      <c r="AZ50" s="113" t="str">
        <f t="shared" si="46"/>
        <v/>
      </c>
      <c r="BA50" s="114" t="str">
        <f t="shared" si="47"/>
        <v/>
      </c>
      <c r="BB50" s="250" t="s">
        <v>422</v>
      </c>
      <c r="BC50" s="230" t="s">
        <v>433</v>
      </c>
      <c r="BD50" s="251">
        <v>0</v>
      </c>
      <c r="BE50" s="270">
        <f t="shared" si="28"/>
        <v>0</v>
      </c>
      <c r="BF50" s="271">
        <f t="shared" si="48"/>
        <v>0</v>
      </c>
      <c r="BG50" s="271">
        <f t="shared" si="48"/>
        <v>0</v>
      </c>
      <c r="BH50" s="271">
        <f t="shared" si="48"/>
        <v>1</v>
      </c>
      <c r="BI50" s="271">
        <f t="shared" si="48"/>
        <v>2</v>
      </c>
      <c r="BJ50" s="271">
        <f t="shared" si="48"/>
        <v>3</v>
      </c>
      <c r="BK50" s="271">
        <f t="shared" si="48"/>
        <v>4</v>
      </c>
      <c r="BL50" s="272">
        <f t="shared" si="48"/>
        <v>5</v>
      </c>
      <c r="BM50" s="257">
        <f>IF($BC50=Lookup!$A$2,$BD50*ROUNDUP(BE50/10,0)+1,
IF($BC50=Lookup!$A$3,($BD50+1)^BD50,
IF($BC50=Lookup!$A$4,BE50*$BD50+1,"Error")))</f>
        <v>1</v>
      </c>
      <c r="BN50" s="230">
        <f>IF($BC50=Lookup!$A$2,$BD50*ROUNDUP(BF50/10,0)+1,
IF($BC50=Lookup!$A$3,($BD50+1)^BE50,
IF($BC50=Lookup!$A$4,BF50*$BD50+1,"Error")))</f>
        <v>1</v>
      </c>
      <c r="BO50" s="230">
        <f>IF($BC50=Lookup!$A$2,$BD50*ROUNDUP(BG50/10,0)+1,
IF($BC50=Lookup!$A$3,($BD50+1)^BF50,
IF($BC50=Lookup!$A$4,BG50*$BD50+1,"Error")))</f>
        <v>1</v>
      </c>
      <c r="BP50" s="230">
        <f>IF($BC50=Lookup!$A$2,$BD50*ROUNDUP(BH50/10,0)+1,
IF($BC50=Lookup!$A$3,($BD50+1)^BG50,
IF($BC50=Lookup!$A$4,BH50*$BD50+1,"Error")))</f>
        <v>1</v>
      </c>
      <c r="BQ50" s="230">
        <f>IF($BC50=Lookup!$A$2,$BD50*ROUNDUP(BI50/10,0)+1,
IF($BC50=Lookup!$A$3,($BD50+1)^BH50,
IF($BC50=Lookup!$A$4,BI50*$BD50+1,"Error")))</f>
        <v>1</v>
      </c>
      <c r="BR50" s="230">
        <f>IF($BC50=Lookup!$A$2,$BD50*ROUNDUP(BJ50/10,0)+1,
IF($BC50=Lookup!$A$3,($BD50+1)^BI50,
IF($BC50=Lookup!$A$4,BJ50*$BD50+1,"Error")))</f>
        <v>1</v>
      </c>
      <c r="BS50" s="230">
        <f>IF($BC50=Lookup!$A$2,$BD50*ROUNDUP(BK50/10,0)+1,
IF($BC50=Lookup!$A$3,($BD50+1)^BJ50,
IF($BC50=Lookup!$A$4,BK50*$BD50+1,"Error")))</f>
        <v>1</v>
      </c>
      <c r="BT50" s="251">
        <f>IF($BC50=Lookup!$A$2,$BD50*ROUNDUP(BL50/10,0)+1,
IF($BC50=Lookup!$A$3,($BD50+1)^BK50,
IF($BC50=Lookup!$A$4,BL50*$BD50+1,"Error")))</f>
        <v>1</v>
      </c>
      <c r="BU50" s="400">
        <v>0</v>
      </c>
      <c r="BV50" s="358">
        <v>0</v>
      </c>
      <c r="BW50" s="358">
        <v>0</v>
      </c>
      <c r="BX50" s="358">
        <v>0</v>
      </c>
      <c r="BY50" s="358">
        <v>0</v>
      </c>
      <c r="BZ50" s="358">
        <v>0</v>
      </c>
      <c r="CA50" s="358">
        <v>0</v>
      </c>
      <c r="CB50" s="401">
        <v>0</v>
      </c>
      <c r="CC50" s="384" t="s">
        <v>293</v>
      </c>
      <c r="CD50" s="385">
        <f>HLOOKUP($CC50,$AK$6:$AM$132,ROWS(CD$6:CD50),0)</f>
        <v>0</v>
      </c>
      <c r="CE50" s="365">
        <f t="shared" si="29"/>
        <v>0</v>
      </c>
      <c r="CF50" s="366">
        <f t="shared" si="29"/>
        <v>0</v>
      </c>
      <c r="CG50" s="800">
        <f t="shared" si="29"/>
        <v>0</v>
      </c>
      <c r="CH50" s="809">
        <f t="shared" si="29"/>
        <v>0</v>
      </c>
      <c r="CI50" s="366">
        <f t="shared" si="50"/>
        <v>0</v>
      </c>
      <c r="CJ50" s="366">
        <f t="shared" si="50"/>
        <v>0</v>
      </c>
      <c r="CK50" s="366">
        <f t="shared" si="50"/>
        <v>0</v>
      </c>
      <c r="CL50" s="367">
        <f t="shared" si="50"/>
        <v>0</v>
      </c>
      <c r="CM50" s="308" t="s">
        <v>293</v>
      </c>
      <c r="CN50" s="316">
        <v>0.05</v>
      </c>
      <c r="CO50" s="309"/>
      <c r="CP50" s="310" t="str">
        <f>IF($CO50&lt;&gt;"",$CO50,HLOOKUP($CM50,$AY$6:$BA$132,ROWS(CP$6:CP50),0))</f>
        <v/>
      </c>
      <c r="CQ50" s="785" t="str">
        <f t="shared" si="49"/>
        <v/>
      </c>
      <c r="CR50" s="785" t="str">
        <f t="shared" si="49"/>
        <v/>
      </c>
      <c r="CS50" s="638" t="str">
        <f t="shared" si="49"/>
        <v/>
      </c>
      <c r="CT50" s="467" t="str">
        <f t="shared" si="49"/>
        <v/>
      </c>
      <c r="CU50" s="117" t="str">
        <f t="shared" si="49"/>
        <v/>
      </c>
      <c r="CV50" s="117" t="str">
        <f t="shared" si="49"/>
        <v/>
      </c>
      <c r="CW50" s="117" t="str">
        <f t="shared" si="49"/>
        <v/>
      </c>
      <c r="CX50" s="118" t="str">
        <f t="shared" si="32"/>
        <v/>
      </c>
      <c r="CY50" s="393"/>
    </row>
    <row r="51" spans="1:103" x14ac:dyDescent="0.25">
      <c r="A51" s="63" t="s">
        <v>106</v>
      </c>
      <c r="B51" s="64" t="s">
        <v>103</v>
      </c>
      <c r="C51" s="65" t="s">
        <v>326</v>
      </c>
      <c r="D51" s="66">
        <v>733196.95476636896</v>
      </c>
      <c r="E51" s="67">
        <v>4503163.0879367106</v>
      </c>
      <c r="F51" s="67">
        <v>1105844.9143245132</v>
      </c>
      <c r="G51" s="67">
        <v>1785401.7942622527</v>
      </c>
      <c r="H51" s="67">
        <v>639150.13743583532</v>
      </c>
      <c r="I51" s="67">
        <v>2738094.1571952421</v>
      </c>
      <c r="J51" s="67">
        <v>3404024.9939075676</v>
      </c>
      <c r="K51" s="67">
        <v>0</v>
      </c>
      <c r="L51" s="67">
        <v>3752473.0716930158</v>
      </c>
      <c r="M51" s="653">
        <f>'2022-23 Input'!I51</f>
        <v>5343037.4931507967</v>
      </c>
      <c r="N51" s="1064">
        <v>9015664.120929908</v>
      </c>
      <c r="O51" s="557">
        <f t="shared" si="27"/>
        <v>986484.4760134297</v>
      </c>
      <c r="P51" s="558">
        <f t="shared" si="0"/>
        <v>5968631.6072875373</v>
      </c>
      <c r="Q51" s="558">
        <f t="shared" si="1"/>
        <v>1450874.8836968269</v>
      </c>
      <c r="R51" s="558">
        <f t="shared" si="2"/>
        <v>2298020.5545359263</v>
      </c>
      <c r="S51" s="558">
        <f t="shared" si="3"/>
        <v>805916.42320668127</v>
      </c>
      <c r="T51" s="558">
        <f t="shared" si="4"/>
        <v>3398380.8932730146</v>
      </c>
      <c r="U51" s="558">
        <f t="shared" si="5"/>
        <v>4239672.1924638813</v>
      </c>
      <c r="V51" s="558">
        <f t="shared" si="6"/>
        <v>0</v>
      </c>
      <c r="W51" s="674">
        <f t="shared" si="7"/>
        <v>4240021.5184556972</v>
      </c>
      <c r="X51" s="674">
        <f t="shared" si="8"/>
        <v>5682111.6006109323</v>
      </c>
      <c r="Y51" s="674">
        <f t="shared" si="8"/>
        <v>9263581.1742796097</v>
      </c>
      <c r="Z51" s="68">
        <v>1601</v>
      </c>
      <c r="AA51" s="69">
        <v>5458</v>
      </c>
      <c r="AB51" s="69">
        <v>20</v>
      </c>
      <c r="AC51" s="69">
        <v>661.46</v>
      </c>
      <c r="AD51" s="69">
        <v>802.05833333333339</v>
      </c>
      <c r="AE51" s="69">
        <v>2763.2999541919999</v>
      </c>
      <c r="AF51" s="69">
        <v>3491.4696977379995</v>
      </c>
      <c r="AG51" s="69">
        <v>0</v>
      </c>
      <c r="AH51" s="69">
        <v>2075.309972906</v>
      </c>
      <c r="AI51" s="1093">
        <f>'2022-23 Input'!P51</f>
        <v>6125.2799223210004</v>
      </c>
      <c r="AJ51" s="664">
        <v>1174.2751367190001</v>
      </c>
      <c r="AK51" s="121">
        <f t="shared" si="33"/>
        <v>2891.0719094313999</v>
      </c>
      <c r="AL51" s="122">
        <f t="shared" si="34"/>
        <v>2733.5299650756665</v>
      </c>
      <c r="AM51" s="123">
        <f t="shared" si="35"/>
        <v>6125.2799223210004</v>
      </c>
      <c r="AN51" s="73">
        <f t="shared" si="36"/>
        <v>457.96187055988065</v>
      </c>
      <c r="AO51" s="74">
        <f t="shared" si="37"/>
        <v>825.05736312508441</v>
      </c>
      <c r="AP51" s="74">
        <f t="shared" si="38"/>
        <v>55292.245716225661</v>
      </c>
      <c r="AQ51" s="74">
        <f t="shared" si="39"/>
        <v>2699.1833130684436</v>
      </c>
      <c r="AR51" s="74">
        <f t="shared" si="40"/>
        <v>796.88734705809259</v>
      </c>
      <c r="AS51" s="74">
        <f t="shared" si="41"/>
        <v>990.87837100039758</v>
      </c>
      <c r="AT51" s="74">
        <f t="shared" si="42"/>
        <v>974.9547579098039</v>
      </c>
      <c r="AU51" s="74" t="str">
        <f t="shared" si="43"/>
        <v/>
      </c>
      <c r="AV51" s="74">
        <f t="shared" si="44"/>
        <v>1808.1506477022947</v>
      </c>
      <c r="AW51" s="74">
        <f t="shared" si="44"/>
        <v>872.29278676397291</v>
      </c>
      <c r="AX51" s="74">
        <f t="shared" si="44"/>
        <v>7677.642009963909</v>
      </c>
      <c r="AY51" s="75">
        <f t="shared" si="45"/>
        <v>1054.1162719777162</v>
      </c>
      <c r="AZ51" s="76">
        <f t="shared" si="46"/>
        <v>1109.1288164693719</v>
      </c>
      <c r="BA51" s="77">
        <f t="shared" si="47"/>
        <v>872.29278676397291</v>
      </c>
      <c r="BB51" s="246" t="s">
        <v>422</v>
      </c>
      <c r="BC51" s="228" t="s">
        <v>433</v>
      </c>
      <c r="BD51" s="247">
        <v>0</v>
      </c>
      <c r="BE51" s="264">
        <f t="shared" si="28"/>
        <v>0</v>
      </c>
      <c r="BF51" s="265">
        <f t="shared" si="48"/>
        <v>0</v>
      </c>
      <c r="BG51" s="265">
        <f t="shared" si="48"/>
        <v>0</v>
      </c>
      <c r="BH51" s="265">
        <f t="shared" si="48"/>
        <v>1</v>
      </c>
      <c r="BI51" s="265">
        <f t="shared" si="48"/>
        <v>2</v>
      </c>
      <c r="BJ51" s="265">
        <f t="shared" si="48"/>
        <v>3</v>
      </c>
      <c r="BK51" s="265">
        <f t="shared" si="48"/>
        <v>4</v>
      </c>
      <c r="BL51" s="266">
        <f t="shared" si="48"/>
        <v>5</v>
      </c>
      <c r="BM51" s="255">
        <f>IF($BC51=Lookup!$A$2,$BD51*ROUNDUP(BE51/10,0)+1,
IF($BC51=Lookup!$A$3,($BD51+1)^BD51,
IF($BC51=Lookup!$A$4,BE51*$BD51+1,"Error")))</f>
        <v>1</v>
      </c>
      <c r="BN51" s="228">
        <f>IF($BC51=Lookup!$A$2,$BD51*ROUNDUP(BF51/10,0)+1,
IF($BC51=Lookup!$A$3,($BD51+1)^BE51,
IF($BC51=Lookup!$A$4,BF51*$BD51+1,"Error")))</f>
        <v>1</v>
      </c>
      <c r="BO51" s="228">
        <f>IF($BC51=Lookup!$A$2,$BD51*ROUNDUP(BG51/10,0)+1,
IF($BC51=Lookup!$A$3,($BD51+1)^BF51,
IF($BC51=Lookup!$A$4,BG51*$BD51+1,"Error")))</f>
        <v>1</v>
      </c>
      <c r="BP51" s="228">
        <f>IF($BC51=Lookup!$A$2,$BD51*ROUNDUP(BH51/10,0)+1,
IF($BC51=Lookup!$A$3,($BD51+1)^BG51,
IF($BC51=Lookup!$A$4,BH51*$BD51+1,"Error")))</f>
        <v>1</v>
      </c>
      <c r="BQ51" s="228">
        <f>IF($BC51=Lookup!$A$2,$BD51*ROUNDUP(BI51/10,0)+1,
IF($BC51=Lookup!$A$3,($BD51+1)^BH51,
IF($BC51=Lookup!$A$4,BI51*$BD51+1,"Error")))</f>
        <v>1</v>
      </c>
      <c r="BR51" s="228">
        <f>IF($BC51=Lookup!$A$2,$BD51*ROUNDUP(BJ51/10,0)+1,
IF($BC51=Lookup!$A$3,($BD51+1)^BI51,
IF($BC51=Lookup!$A$4,BJ51*$BD51+1,"Error")))</f>
        <v>1</v>
      </c>
      <c r="BS51" s="228">
        <f>IF($BC51=Lookup!$A$2,$BD51*ROUNDUP(BK51/10,0)+1,
IF($BC51=Lookup!$A$3,($BD51+1)^BJ51,
IF($BC51=Lookup!$A$4,BK51*$BD51+1,"Error")))</f>
        <v>1</v>
      </c>
      <c r="BT51" s="247">
        <f>IF($BC51=Lookup!$A$2,$BD51*ROUNDUP(BL51/10,0)+1,
IF($BC51=Lookup!$A$3,($BD51+1)^BK51,
IF($BC51=Lookup!$A$4,BL51*$BD51+1,"Error")))</f>
        <v>1</v>
      </c>
      <c r="BU51" s="318">
        <v>8500</v>
      </c>
      <c r="BV51" s="319">
        <v>8500</v>
      </c>
      <c r="BW51" s="319">
        <v>8500</v>
      </c>
      <c r="BX51" s="319">
        <v>8500</v>
      </c>
      <c r="BY51" s="319">
        <v>8500</v>
      </c>
      <c r="BZ51" s="319">
        <v>8500</v>
      </c>
      <c r="CA51" s="319">
        <v>8500</v>
      </c>
      <c r="CB51" s="276">
        <v>8500</v>
      </c>
      <c r="CC51" s="380" t="s">
        <v>293</v>
      </c>
      <c r="CD51" s="381">
        <f>HLOOKUP($CC51,$AK$6:$AM$132,ROWS(CD$6:CD51),0)</f>
        <v>2733.5299650756665</v>
      </c>
      <c r="CE51" s="233">
        <f t="shared" si="29"/>
        <v>8500</v>
      </c>
      <c r="CF51" s="78">
        <f t="shared" si="29"/>
        <v>8500</v>
      </c>
      <c r="CG51" s="797">
        <f t="shared" si="29"/>
        <v>8500</v>
      </c>
      <c r="CH51" s="806">
        <f t="shared" si="29"/>
        <v>8500</v>
      </c>
      <c r="CI51" s="78">
        <f t="shared" si="50"/>
        <v>8500</v>
      </c>
      <c r="CJ51" s="78">
        <f t="shared" si="50"/>
        <v>8500</v>
      </c>
      <c r="CK51" s="78">
        <f t="shared" si="50"/>
        <v>8500</v>
      </c>
      <c r="CL51" s="285">
        <f t="shared" si="50"/>
        <v>8500</v>
      </c>
      <c r="CM51" s="302" t="s">
        <v>293</v>
      </c>
      <c r="CN51" s="314">
        <v>0.05</v>
      </c>
      <c r="CO51" s="303"/>
      <c r="CP51" s="304">
        <f>IF($CO51&lt;&gt;"",$CO51,HLOOKUP($CM51,$AY$6:$BA$132,ROWS(CP$6:CP51),0))</f>
        <v>1109.1288164693719</v>
      </c>
      <c r="CQ51" s="783">
        <f t="shared" si="49"/>
        <v>9427594.9399896618</v>
      </c>
      <c r="CR51" s="783">
        <f t="shared" si="49"/>
        <v>9427594.9399896618</v>
      </c>
      <c r="CS51" s="523">
        <f t="shared" si="49"/>
        <v>9427594.9399896618</v>
      </c>
      <c r="CT51" s="415">
        <f t="shared" si="49"/>
        <v>9427594.9399896618</v>
      </c>
      <c r="CU51" s="79">
        <f t="shared" si="49"/>
        <v>9427594.9399896618</v>
      </c>
      <c r="CV51" s="79">
        <f t="shared" si="49"/>
        <v>9427594.9399896618</v>
      </c>
      <c r="CW51" s="79">
        <f t="shared" si="49"/>
        <v>9427594.9399896618</v>
      </c>
      <c r="CX51" s="80">
        <f t="shared" si="32"/>
        <v>9427594.9399896618</v>
      </c>
      <c r="CY51" s="391" t="s">
        <v>466</v>
      </c>
    </row>
    <row r="52" spans="1:103" x14ac:dyDescent="0.25">
      <c r="A52" s="81" t="s">
        <v>106</v>
      </c>
      <c r="B52" s="82" t="s">
        <v>107</v>
      </c>
      <c r="C52" s="83" t="s">
        <v>328</v>
      </c>
      <c r="D52" s="84">
        <v>568610.58569805161</v>
      </c>
      <c r="E52" s="85">
        <v>466725.3223559875</v>
      </c>
      <c r="F52" s="85">
        <v>217381.22967432812</v>
      </c>
      <c r="G52" s="85">
        <v>142828.13962047454</v>
      </c>
      <c r="H52" s="85">
        <v>166431.67197303753</v>
      </c>
      <c r="I52" s="85">
        <v>0</v>
      </c>
      <c r="J52" s="85">
        <v>0</v>
      </c>
      <c r="K52" s="85">
        <v>353368.65464949503</v>
      </c>
      <c r="L52" s="85">
        <v>0</v>
      </c>
      <c r="M52" s="654">
        <f>'2022-23 Input'!I52</f>
        <v>18198.216455591995</v>
      </c>
      <c r="N52" s="1065">
        <v>8784.7296805689948</v>
      </c>
      <c r="O52" s="560">
        <f t="shared" si="27"/>
        <v>765040.70569519629</v>
      </c>
      <c r="P52" s="561">
        <f t="shared" si="0"/>
        <v>618612.1747173469</v>
      </c>
      <c r="Q52" s="561">
        <f t="shared" si="1"/>
        <v>285205.42278233159</v>
      </c>
      <c r="R52" s="561">
        <f t="shared" si="2"/>
        <v>183836.49084972634</v>
      </c>
      <c r="S52" s="561">
        <f t="shared" si="3"/>
        <v>209856.82381752357</v>
      </c>
      <c r="T52" s="561">
        <f t="shared" si="4"/>
        <v>0</v>
      </c>
      <c r="U52" s="561">
        <f t="shared" si="5"/>
        <v>0</v>
      </c>
      <c r="V52" s="561">
        <f t="shared" si="6"/>
        <v>423815.80192150123</v>
      </c>
      <c r="W52" s="675">
        <f t="shared" si="7"/>
        <v>0</v>
      </c>
      <c r="X52" s="675">
        <f t="shared" si="8"/>
        <v>19353.092125088267</v>
      </c>
      <c r="Y52" s="675">
        <f t="shared" si="8"/>
        <v>9026.2963879870713</v>
      </c>
      <c r="Z52" s="86">
        <v>-9</v>
      </c>
      <c r="AA52" s="87">
        <v>576</v>
      </c>
      <c r="AB52" s="87">
        <v>119</v>
      </c>
      <c r="AC52" s="87">
        <v>149</v>
      </c>
      <c r="AD52" s="87">
        <v>234.5</v>
      </c>
      <c r="AE52" s="87">
        <v>0</v>
      </c>
      <c r="AF52" s="87">
        <v>0</v>
      </c>
      <c r="AG52" s="87">
        <v>4.3181820600000016</v>
      </c>
      <c r="AH52" s="87">
        <v>0</v>
      </c>
      <c r="AI52" s="1094">
        <f>'2022-23 Input'!P52</f>
        <v>9.8409091550000003</v>
      </c>
      <c r="AJ52" s="665">
        <v>6.1136366610000019</v>
      </c>
      <c r="AK52" s="127">
        <f t="shared" si="33"/>
        <v>2.8318182430000003</v>
      </c>
      <c r="AL52" s="128">
        <f t="shared" si="34"/>
        <v>4.7196970716666673</v>
      </c>
      <c r="AM52" s="129">
        <f t="shared" si="35"/>
        <v>9.8409091550000003</v>
      </c>
      <c r="AN52" s="91">
        <f t="shared" si="36"/>
        <v>-63178.953966450179</v>
      </c>
      <c r="AO52" s="92">
        <f t="shared" si="37"/>
        <v>810.28701797914493</v>
      </c>
      <c r="AP52" s="92">
        <f t="shared" si="38"/>
        <v>1826.7330224733455</v>
      </c>
      <c r="AQ52" s="92">
        <f t="shared" si="39"/>
        <v>958.57811825821841</v>
      </c>
      <c r="AR52" s="92">
        <f t="shared" si="40"/>
        <v>709.7299444479213</v>
      </c>
      <c r="AS52" s="92" t="str">
        <f t="shared" si="41"/>
        <v/>
      </c>
      <c r="AT52" s="92" t="str">
        <f t="shared" si="42"/>
        <v/>
      </c>
      <c r="AU52" s="92">
        <f t="shared" si="43"/>
        <v>81832.736494091892</v>
      </c>
      <c r="AV52" s="92" t="str">
        <f t="shared" si="44"/>
        <v/>
      </c>
      <c r="AW52" s="92">
        <f t="shared" si="44"/>
        <v>1849.2413829819563</v>
      </c>
      <c r="AX52" s="92">
        <f t="shared" si="44"/>
        <v>1436.9073871544215</v>
      </c>
      <c r="AY52" s="93">
        <f t="shared" si="45"/>
        <v>26242.282464530828</v>
      </c>
      <c r="AZ52" s="94">
        <f t="shared" si="46"/>
        <v>26242.282464530828</v>
      </c>
      <c r="BA52" s="95">
        <f t="shared" si="47"/>
        <v>1849.2413829819563</v>
      </c>
      <c r="BB52" s="248" t="s">
        <v>422</v>
      </c>
      <c r="BC52" s="229" t="s">
        <v>433</v>
      </c>
      <c r="BD52" s="249">
        <v>0</v>
      </c>
      <c r="BE52" s="267">
        <f t="shared" si="28"/>
        <v>0</v>
      </c>
      <c r="BF52" s="268">
        <f t="shared" si="48"/>
        <v>0</v>
      </c>
      <c r="BG52" s="268">
        <f t="shared" si="48"/>
        <v>0</v>
      </c>
      <c r="BH52" s="268">
        <f t="shared" si="48"/>
        <v>1</v>
      </c>
      <c r="BI52" s="268">
        <f t="shared" si="48"/>
        <v>2</v>
      </c>
      <c r="BJ52" s="268">
        <f t="shared" si="48"/>
        <v>3</v>
      </c>
      <c r="BK52" s="268">
        <f t="shared" si="48"/>
        <v>4</v>
      </c>
      <c r="BL52" s="269">
        <f t="shared" si="48"/>
        <v>5</v>
      </c>
      <c r="BM52" s="256">
        <f>IF($BC52=Lookup!$A$2,$BD52*ROUNDUP(BE52/10,0)+1,
IF($BC52=Lookup!$A$3,($BD52+1)^BD52,
IF($BC52=Lookup!$A$4,BE52*$BD52+1,"Error")))</f>
        <v>1</v>
      </c>
      <c r="BN52" s="229">
        <f>IF($BC52=Lookup!$A$2,$BD52*ROUNDUP(BF52/10,0)+1,
IF($BC52=Lookup!$A$3,($BD52+1)^BE52,
IF($BC52=Lookup!$A$4,BF52*$BD52+1,"Error")))</f>
        <v>1</v>
      </c>
      <c r="BO52" s="229">
        <f>IF($BC52=Lookup!$A$2,$BD52*ROUNDUP(BG52/10,0)+1,
IF($BC52=Lookup!$A$3,($BD52+1)^BF52,
IF($BC52=Lookup!$A$4,BG52*$BD52+1,"Error")))</f>
        <v>1</v>
      </c>
      <c r="BP52" s="229">
        <f>IF($BC52=Lookup!$A$2,$BD52*ROUNDUP(BH52/10,0)+1,
IF($BC52=Lookup!$A$3,($BD52+1)^BG52,
IF($BC52=Lookup!$A$4,BH52*$BD52+1,"Error")))</f>
        <v>1</v>
      </c>
      <c r="BQ52" s="229">
        <f>IF($BC52=Lookup!$A$2,$BD52*ROUNDUP(BI52/10,0)+1,
IF($BC52=Lookup!$A$3,($BD52+1)^BH52,
IF($BC52=Lookup!$A$4,BI52*$BD52+1,"Error")))</f>
        <v>1</v>
      </c>
      <c r="BR52" s="229">
        <f>IF($BC52=Lookup!$A$2,$BD52*ROUNDUP(BJ52/10,0)+1,
IF($BC52=Lookup!$A$3,($BD52+1)^BI52,
IF($BC52=Lookup!$A$4,BJ52*$BD52+1,"Error")))</f>
        <v>1</v>
      </c>
      <c r="BS52" s="229">
        <f>IF($BC52=Lookup!$A$2,$BD52*ROUNDUP(BK52/10,0)+1,
IF($BC52=Lookup!$A$3,($BD52+1)^BJ52,
IF($BC52=Lookup!$A$4,BK52*$BD52+1,"Error")))</f>
        <v>1</v>
      </c>
      <c r="BT52" s="249">
        <f>IF($BC52=Lookup!$A$2,$BD52*ROUNDUP(BL52/10,0)+1,
IF($BC52=Lookup!$A$3,($BD52+1)^BK52,
IF($BC52=Lookup!$A$4,BL52*$BD52+1,"Error")))</f>
        <v>1</v>
      </c>
      <c r="BU52" s="320">
        <v>0</v>
      </c>
      <c r="BV52" s="321">
        <v>0</v>
      </c>
      <c r="BW52" s="321">
        <v>0</v>
      </c>
      <c r="BX52" s="321">
        <v>0</v>
      </c>
      <c r="BY52" s="321">
        <v>0</v>
      </c>
      <c r="BZ52" s="321">
        <v>0</v>
      </c>
      <c r="CA52" s="321">
        <v>0</v>
      </c>
      <c r="CB52" s="277">
        <v>0</v>
      </c>
      <c r="CC52" s="382" t="s">
        <v>293</v>
      </c>
      <c r="CD52" s="383">
        <f>HLOOKUP($CC52,$AK$6:$AM$132,ROWS(CD$6:CD52),0)</f>
        <v>4.7196970716666673</v>
      </c>
      <c r="CE52" s="234">
        <f t="shared" si="29"/>
        <v>0</v>
      </c>
      <c r="CF52" s="96">
        <f t="shared" si="29"/>
        <v>0</v>
      </c>
      <c r="CG52" s="521">
        <f t="shared" si="29"/>
        <v>0</v>
      </c>
      <c r="CH52" s="421">
        <f t="shared" si="29"/>
        <v>0</v>
      </c>
      <c r="CI52" s="96">
        <f t="shared" si="50"/>
        <v>0</v>
      </c>
      <c r="CJ52" s="96">
        <f t="shared" si="50"/>
        <v>0</v>
      </c>
      <c r="CK52" s="96">
        <f t="shared" si="50"/>
        <v>0</v>
      </c>
      <c r="CL52" s="286">
        <f t="shared" si="50"/>
        <v>0</v>
      </c>
      <c r="CM52" s="305" t="s">
        <v>293</v>
      </c>
      <c r="CN52" s="315">
        <v>0.05</v>
      </c>
      <c r="CO52" s="306"/>
      <c r="CP52" s="307">
        <f>IF($CO52&lt;&gt;"",$CO52,HLOOKUP($CM52,$AY$6:$BA$132,ROWS(CP$6:CP52),0))</f>
        <v>26242.282464530828</v>
      </c>
      <c r="CQ52" s="784">
        <f t="shared" si="49"/>
        <v>0</v>
      </c>
      <c r="CR52" s="784">
        <f t="shared" si="49"/>
        <v>0</v>
      </c>
      <c r="CS52" s="524">
        <f t="shared" si="49"/>
        <v>0</v>
      </c>
      <c r="CT52" s="416">
        <f t="shared" si="49"/>
        <v>0</v>
      </c>
      <c r="CU52" s="97">
        <f t="shared" si="49"/>
        <v>0</v>
      </c>
      <c r="CV52" s="97">
        <f t="shared" si="49"/>
        <v>0</v>
      </c>
      <c r="CW52" s="97">
        <f t="shared" si="49"/>
        <v>0</v>
      </c>
      <c r="CX52" s="98">
        <f t="shared" si="32"/>
        <v>0</v>
      </c>
      <c r="CY52" s="392"/>
    </row>
    <row r="53" spans="1:103" x14ac:dyDescent="0.25">
      <c r="A53" s="81" t="s">
        <v>106</v>
      </c>
      <c r="B53" s="82" t="s">
        <v>109</v>
      </c>
      <c r="C53" s="83" t="s">
        <v>329</v>
      </c>
      <c r="D53" s="84">
        <v>-31152.696571883978</v>
      </c>
      <c r="E53" s="85">
        <v>-6545.8363143041715</v>
      </c>
      <c r="F53" s="85">
        <v>-5805.6142346507113</v>
      </c>
      <c r="G53" s="85">
        <v>20422.246293299046</v>
      </c>
      <c r="H53" s="85">
        <v>-6995.3297037101293</v>
      </c>
      <c r="I53" s="85">
        <v>0</v>
      </c>
      <c r="J53" s="85">
        <v>0</v>
      </c>
      <c r="K53" s="85">
        <v>0</v>
      </c>
      <c r="L53" s="85">
        <v>0</v>
      </c>
      <c r="M53" s="654">
        <f>'2022-23 Input'!I53</f>
        <v>0</v>
      </c>
      <c r="N53" s="1065">
        <v>0</v>
      </c>
      <c r="O53" s="560">
        <f t="shared" si="27"/>
        <v>-41914.592462966357</v>
      </c>
      <c r="P53" s="561">
        <f t="shared" si="0"/>
        <v>-8676.0538667471719</v>
      </c>
      <c r="Q53" s="561">
        <f t="shared" si="1"/>
        <v>-7616.999244991488</v>
      </c>
      <c r="R53" s="561">
        <f t="shared" si="2"/>
        <v>26285.815272852142</v>
      </c>
      <c r="S53" s="561">
        <f t="shared" si="3"/>
        <v>-8820.5427234715844</v>
      </c>
      <c r="T53" s="561">
        <f t="shared" si="4"/>
        <v>0</v>
      </c>
      <c r="U53" s="561">
        <f t="shared" si="5"/>
        <v>0</v>
      </c>
      <c r="V53" s="561">
        <f t="shared" si="6"/>
        <v>0</v>
      </c>
      <c r="W53" s="675">
        <f t="shared" si="7"/>
        <v>0</v>
      </c>
      <c r="X53" s="675">
        <f t="shared" si="8"/>
        <v>0</v>
      </c>
      <c r="Y53" s="675">
        <f t="shared" si="8"/>
        <v>0</v>
      </c>
      <c r="Z53" s="86">
        <v>-10</v>
      </c>
      <c r="AA53" s="87">
        <v>0</v>
      </c>
      <c r="AB53" s="87">
        <v>-5</v>
      </c>
      <c r="AC53" s="87">
        <v>-4</v>
      </c>
      <c r="AD53" s="87">
        <v>-2</v>
      </c>
      <c r="AE53" s="87">
        <v>0</v>
      </c>
      <c r="AF53" s="87">
        <v>0</v>
      </c>
      <c r="AG53" s="87">
        <v>0</v>
      </c>
      <c r="AH53" s="87">
        <v>0</v>
      </c>
      <c r="AI53" s="1094">
        <f>'2022-23 Input'!P53</f>
        <v>0</v>
      </c>
      <c r="AJ53" s="665">
        <v>0</v>
      </c>
      <c r="AK53" s="127">
        <f t="shared" si="33"/>
        <v>0</v>
      </c>
      <c r="AL53" s="128">
        <f t="shared" si="34"/>
        <v>0</v>
      </c>
      <c r="AM53" s="129">
        <f t="shared" si="35"/>
        <v>0</v>
      </c>
      <c r="AN53" s="91">
        <f t="shared" si="36"/>
        <v>3115.269657188398</v>
      </c>
      <c r="AO53" s="92" t="str">
        <f t="shared" si="37"/>
        <v/>
      </c>
      <c r="AP53" s="92">
        <f t="shared" si="38"/>
        <v>1161.1228469301423</v>
      </c>
      <c r="AQ53" s="92">
        <f t="shared" si="39"/>
        <v>-5105.5615733247614</v>
      </c>
      <c r="AR53" s="92">
        <f t="shared" si="40"/>
        <v>3497.6648518550646</v>
      </c>
      <c r="AS53" s="92" t="str">
        <f t="shared" si="41"/>
        <v/>
      </c>
      <c r="AT53" s="92" t="str">
        <f t="shared" si="42"/>
        <v/>
      </c>
      <c r="AU53" s="92" t="str">
        <f t="shared" si="43"/>
        <v/>
      </c>
      <c r="AV53" s="92" t="str">
        <f t="shared" si="44"/>
        <v/>
      </c>
      <c r="AW53" s="92" t="str">
        <f t="shared" si="44"/>
        <v/>
      </c>
      <c r="AX53" s="92" t="str">
        <f t="shared" si="44"/>
        <v/>
      </c>
      <c r="AY53" s="93" t="str">
        <f t="shared" si="45"/>
        <v/>
      </c>
      <c r="AZ53" s="94" t="str">
        <f t="shared" si="46"/>
        <v/>
      </c>
      <c r="BA53" s="95" t="str">
        <f t="shared" si="47"/>
        <v/>
      </c>
      <c r="BB53" s="248" t="s">
        <v>422</v>
      </c>
      <c r="BC53" s="229" t="s">
        <v>433</v>
      </c>
      <c r="BD53" s="249">
        <v>0</v>
      </c>
      <c r="BE53" s="267">
        <f t="shared" si="28"/>
        <v>0</v>
      </c>
      <c r="BF53" s="268">
        <f t="shared" si="48"/>
        <v>0</v>
      </c>
      <c r="BG53" s="268">
        <f t="shared" si="48"/>
        <v>0</v>
      </c>
      <c r="BH53" s="268">
        <f t="shared" si="48"/>
        <v>1</v>
      </c>
      <c r="BI53" s="268">
        <f t="shared" si="48"/>
        <v>2</v>
      </c>
      <c r="BJ53" s="268">
        <f t="shared" si="48"/>
        <v>3</v>
      </c>
      <c r="BK53" s="268">
        <f t="shared" si="48"/>
        <v>4</v>
      </c>
      <c r="BL53" s="269">
        <f t="shared" si="48"/>
        <v>5</v>
      </c>
      <c r="BM53" s="256">
        <f>IF($BC53=Lookup!$A$2,$BD53*ROUNDUP(BE53/10,0)+1,
IF($BC53=Lookup!$A$3,($BD53+1)^BD53,
IF($BC53=Lookup!$A$4,BE53*$BD53+1,"Error")))</f>
        <v>1</v>
      </c>
      <c r="BN53" s="229">
        <f>IF($BC53=Lookup!$A$2,$BD53*ROUNDUP(BF53/10,0)+1,
IF($BC53=Lookup!$A$3,($BD53+1)^BE53,
IF($BC53=Lookup!$A$4,BF53*$BD53+1,"Error")))</f>
        <v>1</v>
      </c>
      <c r="BO53" s="229">
        <f>IF($BC53=Lookup!$A$2,$BD53*ROUNDUP(BG53/10,0)+1,
IF($BC53=Lookup!$A$3,($BD53+1)^BF53,
IF($BC53=Lookup!$A$4,BG53*$BD53+1,"Error")))</f>
        <v>1</v>
      </c>
      <c r="BP53" s="229">
        <f>IF($BC53=Lookup!$A$2,$BD53*ROUNDUP(BH53/10,0)+1,
IF($BC53=Lookup!$A$3,($BD53+1)^BG53,
IF($BC53=Lookup!$A$4,BH53*$BD53+1,"Error")))</f>
        <v>1</v>
      </c>
      <c r="BQ53" s="229">
        <f>IF($BC53=Lookup!$A$2,$BD53*ROUNDUP(BI53/10,0)+1,
IF($BC53=Lookup!$A$3,($BD53+1)^BH53,
IF($BC53=Lookup!$A$4,BI53*$BD53+1,"Error")))</f>
        <v>1</v>
      </c>
      <c r="BR53" s="229">
        <f>IF($BC53=Lookup!$A$2,$BD53*ROUNDUP(BJ53/10,0)+1,
IF($BC53=Lookup!$A$3,($BD53+1)^BI53,
IF($BC53=Lookup!$A$4,BJ53*$BD53+1,"Error")))</f>
        <v>1</v>
      </c>
      <c r="BS53" s="229">
        <f>IF($BC53=Lookup!$A$2,$BD53*ROUNDUP(BK53/10,0)+1,
IF($BC53=Lookup!$A$3,($BD53+1)^BJ53,
IF($BC53=Lookup!$A$4,BK53*$BD53+1,"Error")))</f>
        <v>1</v>
      </c>
      <c r="BT53" s="249">
        <f>IF($BC53=Lookup!$A$2,$BD53*ROUNDUP(BL53/10,0)+1,
IF($BC53=Lookup!$A$3,($BD53+1)^BK53,
IF($BC53=Lookup!$A$4,BL53*$BD53+1,"Error")))</f>
        <v>1</v>
      </c>
      <c r="BU53" s="320">
        <v>0</v>
      </c>
      <c r="BV53" s="321">
        <v>0</v>
      </c>
      <c r="BW53" s="321">
        <v>0</v>
      </c>
      <c r="BX53" s="321">
        <v>0</v>
      </c>
      <c r="BY53" s="321">
        <v>0</v>
      </c>
      <c r="BZ53" s="321">
        <v>0</v>
      </c>
      <c r="CA53" s="321">
        <v>0</v>
      </c>
      <c r="CB53" s="277">
        <v>0</v>
      </c>
      <c r="CC53" s="382" t="s">
        <v>293</v>
      </c>
      <c r="CD53" s="383">
        <f>HLOOKUP($CC53,$AK$6:$AM$132,ROWS(CD$6:CD53),0)</f>
        <v>0</v>
      </c>
      <c r="CE53" s="234">
        <f t="shared" si="29"/>
        <v>0</v>
      </c>
      <c r="CF53" s="96">
        <f t="shared" si="29"/>
        <v>0</v>
      </c>
      <c r="CG53" s="521">
        <f t="shared" si="29"/>
        <v>0</v>
      </c>
      <c r="CH53" s="421">
        <f t="shared" si="29"/>
        <v>0</v>
      </c>
      <c r="CI53" s="96">
        <f t="shared" si="50"/>
        <v>0</v>
      </c>
      <c r="CJ53" s="96">
        <f t="shared" si="50"/>
        <v>0</v>
      </c>
      <c r="CK53" s="96">
        <f t="shared" si="50"/>
        <v>0</v>
      </c>
      <c r="CL53" s="286">
        <f t="shared" si="50"/>
        <v>0</v>
      </c>
      <c r="CM53" s="305" t="s">
        <v>293</v>
      </c>
      <c r="CN53" s="315">
        <v>0.05</v>
      </c>
      <c r="CO53" s="306"/>
      <c r="CP53" s="307" t="str">
        <f>IF($CO53&lt;&gt;"",$CO53,HLOOKUP($CM53,$AY$6:$BA$132,ROWS(CP$6:CP53),0))</f>
        <v/>
      </c>
      <c r="CQ53" s="784" t="str">
        <f t="shared" si="49"/>
        <v/>
      </c>
      <c r="CR53" s="784" t="str">
        <f t="shared" si="49"/>
        <v/>
      </c>
      <c r="CS53" s="524" t="str">
        <f t="shared" si="49"/>
        <v/>
      </c>
      <c r="CT53" s="416" t="str">
        <f t="shared" si="49"/>
        <v/>
      </c>
      <c r="CU53" s="97" t="str">
        <f t="shared" si="49"/>
        <v/>
      </c>
      <c r="CV53" s="97" t="str">
        <f t="shared" si="49"/>
        <v/>
      </c>
      <c r="CW53" s="97" t="str">
        <f t="shared" si="49"/>
        <v/>
      </c>
      <c r="CX53" s="98" t="str">
        <f t="shared" si="32"/>
        <v/>
      </c>
      <c r="CY53" s="392"/>
    </row>
    <row r="54" spans="1:103" x14ac:dyDescent="0.25">
      <c r="A54" s="81" t="s">
        <v>106</v>
      </c>
      <c r="B54" s="82" t="s">
        <v>111</v>
      </c>
      <c r="C54" s="83" t="s">
        <v>331</v>
      </c>
      <c r="D54" s="84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654">
        <f>'2022-23 Input'!I54</f>
        <v>0</v>
      </c>
      <c r="N54" s="1065">
        <v>0</v>
      </c>
      <c r="O54" s="560">
        <f t="shared" si="27"/>
        <v>0</v>
      </c>
      <c r="P54" s="561">
        <f t="shared" si="0"/>
        <v>0</v>
      </c>
      <c r="Q54" s="561">
        <f t="shared" si="1"/>
        <v>0</v>
      </c>
      <c r="R54" s="561">
        <f t="shared" si="2"/>
        <v>0</v>
      </c>
      <c r="S54" s="561">
        <f t="shared" si="3"/>
        <v>0</v>
      </c>
      <c r="T54" s="561">
        <f t="shared" si="4"/>
        <v>0</v>
      </c>
      <c r="U54" s="561">
        <f t="shared" si="5"/>
        <v>0</v>
      </c>
      <c r="V54" s="561">
        <f t="shared" si="6"/>
        <v>0</v>
      </c>
      <c r="W54" s="675">
        <f t="shared" si="7"/>
        <v>0</v>
      </c>
      <c r="X54" s="675">
        <f t="shared" si="8"/>
        <v>0</v>
      </c>
      <c r="Y54" s="675">
        <f t="shared" si="8"/>
        <v>0</v>
      </c>
      <c r="Z54" s="86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1094">
        <f>'2022-23 Input'!P54</f>
        <v>0</v>
      </c>
      <c r="AJ54" s="665">
        <v>0</v>
      </c>
      <c r="AK54" s="127">
        <f t="shared" si="33"/>
        <v>0</v>
      </c>
      <c r="AL54" s="128">
        <f t="shared" si="34"/>
        <v>0</v>
      </c>
      <c r="AM54" s="129">
        <f t="shared" si="35"/>
        <v>0</v>
      </c>
      <c r="AN54" s="91" t="str">
        <f t="shared" si="36"/>
        <v/>
      </c>
      <c r="AO54" s="92" t="str">
        <f t="shared" si="37"/>
        <v/>
      </c>
      <c r="AP54" s="92" t="str">
        <f t="shared" si="38"/>
        <v/>
      </c>
      <c r="AQ54" s="92" t="str">
        <f t="shared" si="39"/>
        <v/>
      </c>
      <c r="AR54" s="92" t="str">
        <f t="shared" si="40"/>
        <v/>
      </c>
      <c r="AS54" s="92" t="str">
        <f t="shared" si="41"/>
        <v/>
      </c>
      <c r="AT54" s="92" t="str">
        <f t="shared" si="42"/>
        <v/>
      </c>
      <c r="AU54" s="92" t="str">
        <f t="shared" si="43"/>
        <v/>
      </c>
      <c r="AV54" s="92" t="str">
        <f t="shared" si="44"/>
        <v/>
      </c>
      <c r="AW54" s="92" t="str">
        <f t="shared" si="44"/>
        <v/>
      </c>
      <c r="AX54" s="92" t="str">
        <f t="shared" si="44"/>
        <v/>
      </c>
      <c r="AY54" s="93" t="str">
        <f t="shared" si="45"/>
        <v/>
      </c>
      <c r="AZ54" s="94" t="str">
        <f t="shared" si="46"/>
        <v/>
      </c>
      <c r="BA54" s="95" t="str">
        <f t="shared" si="47"/>
        <v/>
      </c>
      <c r="BB54" s="248" t="s">
        <v>422</v>
      </c>
      <c r="BC54" s="229" t="s">
        <v>433</v>
      </c>
      <c r="BD54" s="249">
        <v>0</v>
      </c>
      <c r="BE54" s="267">
        <f t="shared" si="28"/>
        <v>0</v>
      </c>
      <c r="BF54" s="268">
        <f t="shared" si="48"/>
        <v>0</v>
      </c>
      <c r="BG54" s="268">
        <f t="shared" si="48"/>
        <v>0</v>
      </c>
      <c r="BH54" s="268">
        <f t="shared" si="48"/>
        <v>1</v>
      </c>
      <c r="BI54" s="268">
        <f t="shared" si="48"/>
        <v>2</v>
      </c>
      <c r="BJ54" s="268">
        <f t="shared" si="48"/>
        <v>3</v>
      </c>
      <c r="BK54" s="268">
        <f t="shared" si="48"/>
        <v>4</v>
      </c>
      <c r="BL54" s="269">
        <f t="shared" si="48"/>
        <v>5</v>
      </c>
      <c r="BM54" s="256">
        <f>IF($BC54=Lookup!$A$2,$BD54*ROUNDUP(BE54/10,0)+1,
IF($BC54=Lookup!$A$3,($BD54+1)^BD54,
IF($BC54=Lookup!$A$4,BE54*$BD54+1,"Error")))</f>
        <v>1</v>
      </c>
      <c r="BN54" s="229">
        <f>IF($BC54=Lookup!$A$2,$BD54*ROUNDUP(BF54/10,0)+1,
IF($BC54=Lookup!$A$3,($BD54+1)^BE54,
IF($BC54=Lookup!$A$4,BF54*$BD54+1,"Error")))</f>
        <v>1</v>
      </c>
      <c r="BO54" s="229">
        <f>IF($BC54=Lookup!$A$2,$BD54*ROUNDUP(BG54/10,0)+1,
IF($BC54=Lookup!$A$3,($BD54+1)^BF54,
IF($BC54=Lookup!$A$4,BG54*$BD54+1,"Error")))</f>
        <v>1</v>
      </c>
      <c r="BP54" s="229">
        <f>IF($BC54=Lookup!$A$2,$BD54*ROUNDUP(BH54/10,0)+1,
IF($BC54=Lookup!$A$3,($BD54+1)^BG54,
IF($BC54=Lookup!$A$4,BH54*$BD54+1,"Error")))</f>
        <v>1</v>
      </c>
      <c r="BQ54" s="229">
        <f>IF($BC54=Lookup!$A$2,$BD54*ROUNDUP(BI54/10,0)+1,
IF($BC54=Lookup!$A$3,($BD54+1)^BH54,
IF($BC54=Lookup!$A$4,BI54*$BD54+1,"Error")))</f>
        <v>1</v>
      </c>
      <c r="BR54" s="229">
        <f>IF($BC54=Lookup!$A$2,$BD54*ROUNDUP(BJ54/10,0)+1,
IF($BC54=Lookup!$A$3,($BD54+1)^BI54,
IF($BC54=Lookup!$A$4,BJ54*$BD54+1,"Error")))</f>
        <v>1</v>
      </c>
      <c r="BS54" s="229">
        <f>IF($BC54=Lookup!$A$2,$BD54*ROUNDUP(BK54/10,0)+1,
IF($BC54=Lookup!$A$3,($BD54+1)^BJ54,
IF($BC54=Lookup!$A$4,BK54*$BD54+1,"Error")))</f>
        <v>1</v>
      </c>
      <c r="BT54" s="249">
        <f>IF($BC54=Lookup!$A$2,$BD54*ROUNDUP(BL54/10,0)+1,
IF($BC54=Lookup!$A$3,($BD54+1)^BK54,
IF($BC54=Lookup!$A$4,BL54*$BD54+1,"Error")))</f>
        <v>1</v>
      </c>
      <c r="BU54" s="320">
        <v>0</v>
      </c>
      <c r="BV54" s="321">
        <v>0</v>
      </c>
      <c r="BW54" s="321">
        <v>0</v>
      </c>
      <c r="BX54" s="321">
        <v>0</v>
      </c>
      <c r="BY54" s="321">
        <v>0</v>
      </c>
      <c r="BZ54" s="321">
        <v>0</v>
      </c>
      <c r="CA54" s="321">
        <v>0</v>
      </c>
      <c r="CB54" s="277">
        <v>0</v>
      </c>
      <c r="CC54" s="382" t="s">
        <v>293</v>
      </c>
      <c r="CD54" s="383">
        <f>HLOOKUP($CC54,$AK$6:$AM$132,ROWS(CD$6:CD54),0)</f>
        <v>0</v>
      </c>
      <c r="CE54" s="234">
        <f t="shared" si="29"/>
        <v>0</v>
      </c>
      <c r="CF54" s="96">
        <f t="shared" si="29"/>
        <v>0</v>
      </c>
      <c r="CG54" s="521">
        <f t="shared" si="29"/>
        <v>0</v>
      </c>
      <c r="CH54" s="421">
        <f t="shared" si="29"/>
        <v>0</v>
      </c>
      <c r="CI54" s="96">
        <f t="shared" si="50"/>
        <v>0</v>
      </c>
      <c r="CJ54" s="96">
        <f t="shared" si="50"/>
        <v>0</v>
      </c>
      <c r="CK54" s="96">
        <f t="shared" si="50"/>
        <v>0</v>
      </c>
      <c r="CL54" s="286">
        <f t="shared" si="50"/>
        <v>0</v>
      </c>
      <c r="CM54" s="305" t="s">
        <v>293</v>
      </c>
      <c r="CN54" s="315">
        <v>0.05</v>
      </c>
      <c r="CO54" s="306"/>
      <c r="CP54" s="307" t="str">
        <f>IF($CO54&lt;&gt;"",$CO54,HLOOKUP($CM54,$AY$6:$BA$132,ROWS(CP$6:CP54),0))</f>
        <v/>
      </c>
      <c r="CQ54" s="784" t="str">
        <f t="shared" si="49"/>
        <v/>
      </c>
      <c r="CR54" s="784" t="str">
        <f t="shared" si="49"/>
        <v/>
      </c>
      <c r="CS54" s="524" t="str">
        <f t="shared" si="49"/>
        <v/>
      </c>
      <c r="CT54" s="416" t="str">
        <f t="shared" si="49"/>
        <v/>
      </c>
      <c r="CU54" s="97" t="str">
        <f t="shared" si="49"/>
        <v/>
      </c>
      <c r="CV54" s="97" t="str">
        <f t="shared" si="49"/>
        <v/>
      </c>
      <c r="CW54" s="97" t="str">
        <f t="shared" si="49"/>
        <v/>
      </c>
      <c r="CX54" s="98" t="str">
        <f t="shared" si="32"/>
        <v/>
      </c>
      <c r="CY54" s="392"/>
    </row>
    <row r="55" spans="1:103" x14ac:dyDescent="0.25">
      <c r="A55" s="81" t="s">
        <v>106</v>
      </c>
      <c r="B55" s="82" t="s">
        <v>113</v>
      </c>
      <c r="C55" s="83" t="s">
        <v>333</v>
      </c>
      <c r="D55" s="84">
        <v>0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654">
        <f>'2022-23 Input'!I55</f>
        <v>0</v>
      </c>
      <c r="N55" s="1065">
        <v>0</v>
      </c>
      <c r="O55" s="560">
        <f t="shared" si="27"/>
        <v>0</v>
      </c>
      <c r="P55" s="561">
        <f t="shared" si="0"/>
        <v>0</v>
      </c>
      <c r="Q55" s="561">
        <f t="shared" si="1"/>
        <v>0</v>
      </c>
      <c r="R55" s="561">
        <f t="shared" si="2"/>
        <v>0</v>
      </c>
      <c r="S55" s="561">
        <f t="shared" si="3"/>
        <v>0</v>
      </c>
      <c r="T55" s="561">
        <f t="shared" si="4"/>
        <v>0</v>
      </c>
      <c r="U55" s="561">
        <f t="shared" si="5"/>
        <v>0</v>
      </c>
      <c r="V55" s="561">
        <f t="shared" si="6"/>
        <v>0</v>
      </c>
      <c r="W55" s="675">
        <f t="shared" si="7"/>
        <v>0</v>
      </c>
      <c r="X55" s="675">
        <f t="shared" si="8"/>
        <v>0</v>
      </c>
      <c r="Y55" s="675">
        <f t="shared" si="8"/>
        <v>0</v>
      </c>
      <c r="Z55" s="86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1094">
        <f>'2022-23 Input'!P55</f>
        <v>0</v>
      </c>
      <c r="AJ55" s="665">
        <v>0</v>
      </c>
      <c r="AK55" s="127">
        <f t="shared" si="33"/>
        <v>0</v>
      </c>
      <c r="AL55" s="128">
        <f t="shared" si="34"/>
        <v>0</v>
      </c>
      <c r="AM55" s="129">
        <f t="shared" si="35"/>
        <v>0</v>
      </c>
      <c r="AN55" s="91" t="str">
        <f t="shared" si="36"/>
        <v/>
      </c>
      <c r="AO55" s="92" t="str">
        <f t="shared" si="37"/>
        <v/>
      </c>
      <c r="AP55" s="92" t="str">
        <f t="shared" si="38"/>
        <v/>
      </c>
      <c r="AQ55" s="92" t="str">
        <f t="shared" si="39"/>
        <v/>
      </c>
      <c r="AR55" s="92" t="str">
        <f t="shared" si="40"/>
        <v/>
      </c>
      <c r="AS55" s="92" t="str">
        <f t="shared" si="41"/>
        <v/>
      </c>
      <c r="AT55" s="92" t="str">
        <f t="shared" si="42"/>
        <v/>
      </c>
      <c r="AU55" s="92" t="str">
        <f t="shared" si="43"/>
        <v/>
      </c>
      <c r="AV55" s="92" t="str">
        <f t="shared" ref="AV55:AX70" si="51">IFERROR(L55/AH55,"")</f>
        <v/>
      </c>
      <c r="AW55" s="92" t="str">
        <f t="shared" si="51"/>
        <v/>
      </c>
      <c r="AX55" s="92" t="str">
        <f t="shared" si="51"/>
        <v/>
      </c>
      <c r="AY55" s="93" t="str">
        <f t="shared" si="45"/>
        <v/>
      </c>
      <c r="AZ55" s="94" t="str">
        <f t="shared" si="46"/>
        <v/>
      </c>
      <c r="BA55" s="95" t="str">
        <f t="shared" si="47"/>
        <v/>
      </c>
      <c r="BB55" s="248" t="s">
        <v>422</v>
      </c>
      <c r="BC55" s="229" t="s">
        <v>433</v>
      </c>
      <c r="BD55" s="249">
        <v>0</v>
      </c>
      <c r="BE55" s="267">
        <f t="shared" si="28"/>
        <v>0</v>
      </c>
      <c r="BF55" s="268">
        <f t="shared" ref="BF55:BL70" si="52">IF(BF$6=$BB55,1,
IF(BE55&lt;&gt;0,BE55+1,0
))</f>
        <v>0</v>
      </c>
      <c r="BG55" s="268">
        <f t="shared" si="52"/>
        <v>0</v>
      </c>
      <c r="BH55" s="268">
        <f t="shared" si="52"/>
        <v>1</v>
      </c>
      <c r="BI55" s="268">
        <f t="shared" si="52"/>
        <v>2</v>
      </c>
      <c r="BJ55" s="268">
        <f t="shared" si="52"/>
        <v>3</v>
      </c>
      <c r="BK55" s="268">
        <f t="shared" si="52"/>
        <v>4</v>
      </c>
      <c r="BL55" s="269">
        <f t="shared" si="52"/>
        <v>5</v>
      </c>
      <c r="BM55" s="256">
        <f>IF($BC55=Lookup!$A$2,$BD55*ROUNDUP(BE55/10,0)+1,
IF($BC55=Lookup!$A$3,($BD55+1)^BD55,
IF($BC55=Lookup!$A$4,BE55*$BD55+1,"Error")))</f>
        <v>1</v>
      </c>
      <c r="BN55" s="229">
        <f>IF($BC55=Lookup!$A$2,$BD55*ROUNDUP(BF55/10,0)+1,
IF($BC55=Lookup!$A$3,($BD55+1)^BE55,
IF($BC55=Lookup!$A$4,BF55*$BD55+1,"Error")))</f>
        <v>1</v>
      </c>
      <c r="BO55" s="229">
        <f>IF($BC55=Lookup!$A$2,$BD55*ROUNDUP(BG55/10,0)+1,
IF($BC55=Lookup!$A$3,($BD55+1)^BF55,
IF($BC55=Lookup!$A$4,BG55*$BD55+1,"Error")))</f>
        <v>1</v>
      </c>
      <c r="BP55" s="229">
        <f>IF($BC55=Lookup!$A$2,$BD55*ROUNDUP(BH55/10,0)+1,
IF($BC55=Lookup!$A$3,($BD55+1)^BG55,
IF($BC55=Lookup!$A$4,BH55*$BD55+1,"Error")))</f>
        <v>1</v>
      </c>
      <c r="BQ55" s="229">
        <f>IF($BC55=Lookup!$A$2,$BD55*ROUNDUP(BI55/10,0)+1,
IF($BC55=Lookup!$A$3,($BD55+1)^BH55,
IF($BC55=Lookup!$A$4,BI55*$BD55+1,"Error")))</f>
        <v>1</v>
      </c>
      <c r="BR55" s="229">
        <f>IF($BC55=Lookup!$A$2,$BD55*ROUNDUP(BJ55/10,0)+1,
IF($BC55=Lookup!$A$3,($BD55+1)^BI55,
IF($BC55=Lookup!$A$4,BJ55*$BD55+1,"Error")))</f>
        <v>1</v>
      </c>
      <c r="BS55" s="229">
        <f>IF($BC55=Lookup!$A$2,$BD55*ROUNDUP(BK55/10,0)+1,
IF($BC55=Lookup!$A$3,($BD55+1)^BJ55,
IF($BC55=Lookup!$A$4,BK55*$BD55+1,"Error")))</f>
        <v>1</v>
      </c>
      <c r="BT55" s="249">
        <f>IF($BC55=Lookup!$A$2,$BD55*ROUNDUP(BL55/10,0)+1,
IF($BC55=Lookup!$A$3,($BD55+1)^BK55,
IF($BC55=Lookup!$A$4,BL55*$BD55+1,"Error")))</f>
        <v>1</v>
      </c>
      <c r="BU55" s="320">
        <v>0</v>
      </c>
      <c r="BV55" s="321">
        <v>0</v>
      </c>
      <c r="BW55" s="321">
        <v>0</v>
      </c>
      <c r="BX55" s="321">
        <v>0</v>
      </c>
      <c r="BY55" s="321">
        <v>0</v>
      </c>
      <c r="BZ55" s="321">
        <v>0</v>
      </c>
      <c r="CA55" s="321">
        <v>0</v>
      </c>
      <c r="CB55" s="277">
        <v>0</v>
      </c>
      <c r="CC55" s="382" t="s">
        <v>293</v>
      </c>
      <c r="CD55" s="383">
        <f>HLOOKUP($CC55,$AK$6:$AM$132,ROWS(CD$6:CD55),0)</f>
        <v>0</v>
      </c>
      <c r="CE55" s="234">
        <f t="shared" si="29"/>
        <v>0</v>
      </c>
      <c r="CF55" s="96">
        <f t="shared" si="29"/>
        <v>0</v>
      </c>
      <c r="CG55" s="521">
        <f t="shared" si="29"/>
        <v>0</v>
      </c>
      <c r="CH55" s="421">
        <f t="shared" si="29"/>
        <v>0</v>
      </c>
      <c r="CI55" s="96">
        <f t="shared" si="50"/>
        <v>0</v>
      </c>
      <c r="CJ55" s="96">
        <f t="shared" si="50"/>
        <v>0</v>
      </c>
      <c r="CK55" s="96">
        <f t="shared" si="50"/>
        <v>0</v>
      </c>
      <c r="CL55" s="286">
        <f t="shared" si="50"/>
        <v>0</v>
      </c>
      <c r="CM55" s="305" t="s">
        <v>293</v>
      </c>
      <c r="CN55" s="315">
        <v>0.05</v>
      </c>
      <c r="CO55" s="306"/>
      <c r="CP55" s="307" t="str">
        <f>IF($CO55&lt;&gt;"",$CO55,HLOOKUP($CM55,$AY$6:$BA$132,ROWS(CP$6:CP55),0))</f>
        <v/>
      </c>
      <c r="CQ55" s="784" t="str">
        <f t="shared" si="49"/>
        <v/>
      </c>
      <c r="CR55" s="784" t="str">
        <f t="shared" si="49"/>
        <v/>
      </c>
      <c r="CS55" s="524" t="str">
        <f t="shared" si="49"/>
        <v/>
      </c>
      <c r="CT55" s="416" t="str">
        <f t="shared" si="49"/>
        <v/>
      </c>
      <c r="CU55" s="97" t="str">
        <f t="shared" si="49"/>
        <v/>
      </c>
      <c r="CV55" s="97" t="str">
        <f t="shared" si="49"/>
        <v/>
      </c>
      <c r="CW55" s="97" t="str">
        <f t="shared" si="49"/>
        <v/>
      </c>
      <c r="CX55" s="98" t="str">
        <f t="shared" si="32"/>
        <v/>
      </c>
      <c r="CY55" s="392"/>
    </row>
    <row r="56" spans="1:103" x14ac:dyDescent="0.25">
      <c r="A56" s="81" t="s">
        <v>106</v>
      </c>
      <c r="B56" s="82" t="s">
        <v>115</v>
      </c>
      <c r="C56" s="83" t="s">
        <v>335</v>
      </c>
      <c r="D56" s="84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654">
        <f>'2022-23 Input'!I56</f>
        <v>0</v>
      </c>
      <c r="N56" s="1065">
        <v>0</v>
      </c>
      <c r="O56" s="560">
        <f t="shared" si="27"/>
        <v>0</v>
      </c>
      <c r="P56" s="561">
        <f t="shared" si="0"/>
        <v>0</v>
      </c>
      <c r="Q56" s="561">
        <f t="shared" si="1"/>
        <v>0</v>
      </c>
      <c r="R56" s="561">
        <f t="shared" si="2"/>
        <v>0</v>
      </c>
      <c r="S56" s="561">
        <f t="shared" si="3"/>
        <v>0</v>
      </c>
      <c r="T56" s="561">
        <f t="shared" si="4"/>
        <v>0</v>
      </c>
      <c r="U56" s="561">
        <f t="shared" si="5"/>
        <v>0</v>
      </c>
      <c r="V56" s="561">
        <f t="shared" si="6"/>
        <v>0</v>
      </c>
      <c r="W56" s="675">
        <f t="shared" si="7"/>
        <v>0</v>
      </c>
      <c r="X56" s="675">
        <f t="shared" si="8"/>
        <v>0</v>
      </c>
      <c r="Y56" s="675">
        <f t="shared" si="8"/>
        <v>0</v>
      </c>
      <c r="Z56" s="86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1094">
        <f>'2022-23 Input'!P56</f>
        <v>0</v>
      </c>
      <c r="AJ56" s="665">
        <v>0</v>
      </c>
      <c r="AK56" s="127">
        <f t="shared" si="33"/>
        <v>0</v>
      </c>
      <c r="AL56" s="128">
        <f t="shared" si="34"/>
        <v>0</v>
      </c>
      <c r="AM56" s="129">
        <f t="shared" si="35"/>
        <v>0</v>
      </c>
      <c r="AN56" s="91" t="str">
        <f t="shared" si="36"/>
        <v/>
      </c>
      <c r="AO56" s="92" t="str">
        <f t="shared" si="37"/>
        <v/>
      </c>
      <c r="AP56" s="92" t="str">
        <f t="shared" si="38"/>
        <v/>
      </c>
      <c r="AQ56" s="92" t="str">
        <f t="shared" si="39"/>
        <v/>
      </c>
      <c r="AR56" s="92" t="str">
        <f t="shared" si="40"/>
        <v/>
      </c>
      <c r="AS56" s="92" t="str">
        <f t="shared" si="41"/>
        <v/>
      </c>
      <c r="AT56" s="92" t="str">
        <f t="shared" si="42"/>
        <v/>
      </c>
      <c r="AU56" s="92" t="str">
        <f t="shared" si="43"/>
        <v/>
      </c>
      <c r="AV56" s="92" t="str">
        <f t="shared" si="51"/>
        <v/>
      </c>
      <c r="AW56" s="92" t="str">
        <f t="shared" si="51"/>
        <v/>
      </c>
      <c r="AX56" s="92" t="str">
        <f t="shared" si="51"/>
        <v/>
      </c>
      <c r="AY56" s="93" t="str">
        <f t="shared" si="45"/>
        <v/>
      </c>
      <c r="AZ56" s="94" t="str">
        <f t="shared" si="46"/>
        <v/>
      </c>
      <c r="BA56" s="95" t="str">
        <f t="shared" si="47"/>
        <v/>
      </c>
      <c r="BB56" s="248" t="s">
        <v>422</v>
      </c>
      <c r="BC56" s="229" t="s">
        <v>433</v>
      </c>
      <c r="BD56" s="249">
        <v>0</v>
      </c>
      <c r="BE56" s="267">
        <f t="shared" si="28"/>
        <v>0</v>
      </c>
      <c r="BF56" s="268">
        <f t="shared" si="52"/>
        <v>0</v>
      </c>
      <c r="BG56" s="268">
        <f t="shared" si="52"/>
        <v>0</v>
      </c>
      <c r="BH56" s="268">
        <f t="shared" si="52"/>
        <v>1</v>
      </c>
      <c r="BI56" s="268">
        <f t="shared" si="52"/>
        <v>2</v>
      </c>
      <c r="BJ56" s="268">
        <f t="shared" si="52"/>
        <v>3</v>
      </c>
      <c r="BK56" s="268">
        <f t="shared" si="52"/>
        <v>4</v>
      </c>
      <c r="BL56" s="269">
        <f t="shared" si="52"/>
        <v>5</v>
      </c>
      <c r="BM56" s="256">
        <f>IF($BC56=Lookup!$A$2,$BD56*ROUNDUP(BE56/10,0)+1,
IF($BC56=Lookup!$A$3,($BD56+1)^BD56,
IF($BC56=Lookup!$A$4,BE56*$BD56+1,"Error")))</f>
        <v>1</v>
      </c>
      <c r="BN56" s="229">
        <f>IF($BC56=Lookup!$A$2,$BD56*ROUNDUP(BF56/10,0)+1,
IF($BC56=Lookup!$A$3,($BD56+1)^BE56,
IF($BC56=Lookup!$A$4,BF56*$BD56+1,"Error")))</f>
        <v>1</v>
      </c>
      <c r="BO56" s="229">
        <f>IF($BC56=Lookup!$A$2,$BD56*ROUNDUP(BG56/10,0)+1,
IF($BC56=Lookup!$A$3,($BD56+1)^BF56,
IF($BC56=Lookup!$A$4,BG56*$BD56+1,"Error")))</f>
        <v>1</v>
      </c>
      <c r="BP56" s="229">
        <f>IF($BC56=Lookup!$A$2,$BD56*ROUNDUP(BH56/10,0)+1,
IF($BC56=Lookup!$A$3,($BD56+1)^BG56,
IF($BC56=Lookup!$A$4,BH56*$BD56+1,"Error")))</f>
        <v>1</v>
      </c>
      <c r="BQ56" s="229">
        <f>IF($BC56=Lookup!$A$2,$BD56*ROUNDUP(BI56/10,0)+1,
IF($BC56=Lookup!$A$3,($BD56+1)^BH56,
IF($BC56=Lookup!$A$4,BI56*$BD56+1,"Error")))</f>
        <v>1</v>
      </c>
      <c r="BR56" s="229">
        <f>IF($BC56=Lookup!$A$2,$BD56*ROUNDUP(BJ56/10,0)+1,
IF($BC56=Lookup!$A$3,($BD56+1)^BI56,
IF($BC56=Lookup!$A$4,BJ56*$BD56+1,"Error")))</f>
        <v>1</v>
      </c>
      <c r="BS56" s="229">
        <f>IF($BC56=Lookup!$A$2,$BD56*ROUNDUP(BK56/10,0)+1,
IF($BC56=Lookup!$A$3,($BD56+1)^BJ56,
IF($BC56=Lookup!$A$4,BK56*$BD56+1,"Error")))</f>
        <v>1</v>
      </c>
      <c r="BT56" s="249">
        <f>IF($BC56=Lookup!$A$2,$BD56*ROUNDUP(BL56/10,0)+1,
IF($BC56=Lookup!$A$3,($BD56+1)^BK56,
IF($BC56=Lookup!$A$4,BL56*$BD56+1,"Error")))</f>
        <v>1</v>
      </c>
      <c r="BU56" s="320">
        <v>0</v>
      </c>
      <c r="BV56" s="321">
        <v>0</v>
      </c>
      <c r="BW56" s="321">
        <v>0</v>
      </c>
      <c r="BX56" s="321">
        <v>0</v>
      </c>
      <c r="BY56" s="321">
        <v>0</v>
      </c>
      <c r="BZ56" s="321">
        <v>0</v>
      </c>
      <c r="CA56" s="321">
        <v>0</v>
      </c>
      <c r="CB56" s="277">
        <v>0</v>
      </c>
      <c r="CC56" s="382" t="s">
        <v>293</v>
      </c>
      <c r="CD56" s="383">
        <f>HLOOKUP($CC56,$AK$6:$AM$132,ROWS(CD$6:CD56),0)</f>
        <v>0</v>
      </c>
      <c r="CE56" s="239">
        <f t="shared" si="29"/>
        <v>0</v>
      </c>
      <c r="CF56" s="140">
        <f t="shared" si="29"/>
        <v>0</v>
      </c>
      <c r="CG56" s="810">
        <f t="shared" si="29"/>
        <v>0</v>
      </c>
      <c r="CH56" s="812">
        <f t="shared" si="29"/>
        <v>0</v>
      </c>
      <c r="CI56" s="140">
        <f t="shared" si="50"/>
        <v>0</v>
      </c>
      <c r="CJ56" s="140">
        <f t="shared" si="50"/>
        <v>0</v>
      </c>
      <c r="CK56" s="140">
        <f t="shared" si="50"/>
        <v>0</v>
      </c>
      <c r="CL56" s="291">
        <f t="shared" si="50"/>
        <v>0</v>
      </c>
      <c r="CM56" s="305" t="s">
        <v>293</v>
      </c>
      <c r="CN56" s="315">
        <v>0.05</v>
      </c>
      <c r="CO56" s="306"/>
      <c r="CP56" s="307" t="str">
        <f>IF($CO56&lt;&gt;"",$CO56,HLOOKUP($CM56,$AY$6:$BA$132,ROWS(CP$6:CP56),0))</f>
        <v/>
      </c>
      <c r="CQ56" s="784" t="str">
        <f t="shared" si="49"/>
        <v/>
      </c>
      <c r="CR56" s="784" t="str">
        <f t="shared" si="49"/>
        <v/>
      </c>
      <c r="CS56" s="524" t="str">
        <f t="shared" si="49"/>
        <v/>
      </c>
      <c r="CT56" s="416" t="str">
        <f t="shared" si="49"/>
        <v/>
      </c>
      <c r="CU56" s="97" t="str">
        <f t="shared" si="49"/>
        <v/>
      </c>
      <c r="CV56" s="97" t="str">
        <f t="shared" si="49"/>
        <v/>
      </c>
      <c r="CW56" s="97" t="str">
        <f t="shared" si="49"/>
        <v/>
      </c>
      <c r="CX56" s="98" t="str">
        <f t="shared" si="32"/>
        <v/>
      </c>
      <c r="CY56" s="392"/>
    </row>
    <row r="57" spans="1:103" x14ac:dyDescent="0.25">
      <c r="A57" s="81" t="s">
        <v>106</v>
      </c>
      <c r="B57" s="82" t="s">
        <v>117</v>
      </c>
      <c r="C57" s="83" t="s">
        <v>337</v>
      </c>
      <c r="D57" s="84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654">
        <f>'2022-23 Input'!I57</f>
        <v>0</v>
      </c>
      <c r="N57" s="1065">
        <v>0</v>
      </c>
      <c r="O57" s="560">
        <f t="shared" si="27"/>
        <v>0</v>
      </c>
      <c r="P57" s="561">
        <f t="shared" si="0"/>
        <v>0</v>
      </c>
      <c r="Q57" s="561">
        <f t="shared" si="1"/>
        <v>0</v>
      </c>
      <c r="R57" s="561">
        <f t="shared" si="2"/>
        <v>0</v>
      </c>
      <c r="S57" s="561">
        <f t="shared" si="3"/>
        <v>0</v>
      </c>
      <c r="T57" s="561">
        <f t="shared" si="4"/>
        <v>0</v>
      </c>
      <c r="U57" s="561">
        <f t="shared" si="5"/>
        <v>0</v>
      </c>
      <c r="V57" s="561">
        <f t="shared" si="6"/>
        <v>0</v>
      </c>
      <c r="W57" s="675">
        <f t="shared" si="7"/>
        <v>0</v>
      </c>
      <c r="X57" s="675">
        <f t="shared" si="8"/>
        <v>0</v>
      </c>
      <c r="Y57" s="675">
        <f t="shared" si="8"/>
        <v>0</v>
      </c>
      <c r="Z57" s="86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1094">
        <f>'2022-23 Input'!P57</f>
        <v>0</v>
      </c>
      <c r="AJ57" s="665">
        <v>0</v>
      </c>
      <c r="AK57" s="127">
        <f t="shared" si="33"/>
        <v>0</v>
      </c>
      <c r="AL57" s="128">
        <f t="shared" si="34"/>
        <v>0</v>
      </c>
      <c r="AM57" s="129">
        <f t="shared" si="35"/>
        <v>0</v>
      </c>
      <c r="AN57" s="91" t="str">
        <f t="shared" si="36"/>
        <v/>
      </c>
      <c r="AO57" s="92" t="str">
        <f t="shared" si="37"/>
        <v/>
      </c>
      <c r="AP57" s="92" t="str">
        <f t="shared" si="38"/>
        <v/>
      </c>
      <c r="AQ57" s="92" t="str">
        <f t="shared" si="39"/>
        <v/>
      </c>
      <c r="AR57" s="92" t="str">
        <f t="shared" si="40"/>
        <v/>
      </c>
      <c r="AS57" s="92" t="str">
        <f t="shared" si="41"/>
        <v/>
      </c>
      <c r="AT57" s="92" t="str">
        <f t="shared" si="42"/>
        <v/>
      </c>
      <c r="AU57" s="92" t="str">
        <f t="shared" si="43"/>
        <v/>
      </c>
      <c r="AV57" s="92" t="str">
        <f t="shared" si="51"/>
        <v/>
      </c>
      <c r="AW57" s="92" t="str">
        <f t="shared" si="51"/>
        <v/>
      </c>
      <c r="AX57" s="92" t="str">
        <f t="shared" si="51"/>
        <v/>
      </c>
      <c r="AY57" s="93" t="str">
        <f t="shared" si="45"/>
        <v/>
      </c>
      <c r="AZ57" s="94" t="str">
        <f t="shared" si="46"/>
        <v/>
      </c>
      <c r="BA57" s="95" t="str">
        <f t="shared" si="47"/>
        <v/>
      </c>
      <c r="BB57" s="248" t="s">
        <v>422</v>
      </c>
      <c r="BC57" s="229" t="s">
        <v>433</v>
      </c>
      <c r="BD57" s="249">
        <v>0</v>
      </c>
      <c r="BE57" s="267">
        <f t="shared" si="28"/>
        <v>0</v>
      </c>
      <c r="BF57" s="268">
        <f t="shared" si="52"/>
        <v>0</v>
      </c>
      <c r="BG57" s="268">
        <f t="shared" si="52"/>
        <v>0</v>
      </c>
      <c r="BH57" s="268">
        <f t="shared" si="52"/>
        <v>1</v>
      </c>
      <c r="BI57" s="268">
        <f t="shared" si="52"/>
        <v>2</v>
      </c>
      <c r="BJ57" s="268">
        <f t="shared" si="52"/>
        <v>3</v>
      </c>
      <c r="BK57" s="268">
        <f t="shared" si="52"/>
        <v>4</v>
      </c>
      <c r="BL57" s="269">
        <f t="shared" si="52"/>
        <v>5</v>
      </c>
      <c r="BM57" s="256">
        <f>IF($BC57=Lookup!$A$2,$BD57*ROUNDUP(BE57/10,0)+1,
IF($BC57=Lookup!$A$3,($BD57+1)^BD57,
IF($BC57=Lookup!$A$4,BE57*$BD57+1,"Error")))</f>
        <v>1</v>
      </c>
      <c r="BN57" s="229">
        <f>IF($BC57=Lookup!$A$2,$BD57*ROUNDUP(BF57/10,0)+1,
IF($BC57=Lookup!$A$3,($BD57+1)^BE57,
IF($BC57=Lookup!$A$4,BF57*$BD57+1,"Error")))</f>
        <v>1</v>
      </c>
      <c r="BO57" s="229">
        <f>IF($BC57=Lookup!$A$2,$BD57*ROUNDUP(BG57/10,0)+1,
IF($BC57=Lookup!$A$3,($BD57+1)^BF57,
IF($BC57=Lookup!$A$4,BG57*$BD57+1,"Error")))</f>
        <v>1</v>
      </c>
      <c r="BP57" s="229">
        <f>IF($BC57=Lookup!$A$2,$BD57*ROUNDUP(BH57/10,0)+1,
IF($BC57=Lookup!$A$3,($BD57+1)^BG57,
IF($BC57=Lookup!$A$4,BH57*$BD57+1,"Error")))</f>
        <v>1</v>
      </c>
      <c r="BQ57" s="229">
        <f>IF($BC57=Lookup!$A$2,$BD57*ROUNDUP(BI57/10,0)+1,
IF($BC57=Lookup!$A$3,($BD57+1)^BH57,
IF($BC57=Lookup!$A$4,BI57*$BD57+1,"Error")))</f>
        <v>1</v>
      </c>
      <c r="BR57" s="229">
        <f>IF($BC57=Lookup!$A$2,$BD57*ROUNDUP(BJ57/10,0)+1,
IF($BC57=Lookup!$A$3,($BD57+1)^BI57,
IF($BC57=Lookup!$A$4,BJ57*$BD57+1,"Error")))</f>
        <v>1</v>
      </c>
      <c r="BS57" s="229">
        <f>IF($BC57=Lookup!$A$2,$BD57*ROUNDUP(BK57/10,0)+1,
IF($BC57=Lookup!$A$3,($BD57+1)^BJ57,
IF($BC57=Lookup!$A$4,BK57*$BD57+1,"Error")))</f>
        <v>1</v>
      </c>
      <c r="BT57" s="249">
        <f>IF($BC57=Lookup!$A$2,$BD57*ROUNDUP(BL57/10,0)+1,
IF($BC57=Lookup!$A$3,($BD57+1)^BK57,
IF($BC57=Lookup!$A$4,BL57*$BD57+1,"Error")))</f>
        <v>1</v>
      </c>
      <c r="BU57" s="320">
        <v>0</v>
      </c>
      <c r="BV57" s="321">
        <v>0</v>
      </c>
      <c r="BW57" s="321">
        <v>0</v>
      </c>
      <c r="BX57" s="321">
        <v>0</v>
      </c>
      <c r="BY57" s="321">
        <v>0</v>
      </c>
      <c r="BZ57" s="321">
        <v>0</v>
      </c>
      <c r="CA57" s="321">
        <v>0</v>
      </c>
      <c r="CB57" s="277">
        <v>0</v>
      </c>
      <c r="CC57" s="382" t="s">
        <v>293</v>
      </c>
      <c r="CD57" s="383">
        <f>HLOOKUP($CC57,$AK$6:$AM$132,ROWS(CD$6:CD57),0)</f>
        <v>0</v>
      </c>
      <c r="CE57" s="239">
        <f t="shared" si="29"/>
        <v>0</v>
      </c>
      <c r="CF57" s="140">
        <f t="shared" si="29"/>
        <v>0</v>
      </c>
      <c r="CG57" s="810">
        <f t="shared" si="29"/>
        <v>0</v>
      </c>
      <c r="CH57" s="812">
        <f t="shared" si="29"/>
        <v>0</v>
      </c>
      <c r="CI57" s="140">
        <f t="shared" si="50"/>
        <v>0</v>
      </c>
      <c r="CJ57" s="140">
        <f t="shared" si="50"/>
        <v>0</v>
      </c>
      <c r="CK57" s="140">
        <f t="shared" si="50"/>
        <v>0</v>
      </c>
      <c r="CL57" s="291">
        <f t="shared" si="50"/>
        <v>0</v>
      </c>
      <c r="CM57" s="305" t="s">
        <v>293</v>
      </c>
      <c r="CN57" s="315">
        <v>0.05</v>
      </c>
      <c r="CO57" s="306"/>
      <c r="CP57" s="307" t="str">
        <f>IF($CO57&lt;&gt;"",$CO57,HLOOKUP($CM57,$AY$6:$BA$132,ROWS(CP$6:CP57),0))</f>
        <v/>
      </c>
      <c r="CQ57" s="784" t="str">
        <f t="shared" si="49"/>
        <v/>
      </c>
      <c r="CR57" s="784" t="str">
        <f t="shared" si="49"/>
        <v/>
      </c>
      <c r="CS57" s="524" t="str">
        <f t="shared" si="49"/>
        <v/>
      </c>
      <c r="CT57" s="416" t="str">
        <f t="shared" si="49"/>
        <v/>
      </c>
      <c r="CU57" s="97" t="str">
        <f t="shared" si="49"/>
        <v/>
      </c>
      <c r="CV57" s="97" t="str">
        <f t="shared" si="49"/>
        <v/>
      </c>
      <c r="CW57" s="97" t="str">
        <f t="shared" si="49"/>
        <v/>
      </c>
      <c r="CX57" s="98" t="str">
        <f t="shared" si="32"/>
        <v/>
      </c>
      <c r="CY57" s="392"/>
    </row>
    <row r="58" spans="1:103" x14ac:dyDescent="0.25">
      <c r="A58" s="81" t="s">
        <v>106</v>
      </c>
      <c r="B58" s="82" t="s">
        <v>119</v>
      </c>
      <c r="C58" s="83" t="s">
        <v>339</v>
      </c>
      <c r="D58" s="84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654">
        <f>'2022-23 Input'!I58</f>
        <v>0</v>
      </c>
      <c r="N58" s="1065">
        <v>0</v>
      </c>
      <c r="O58" s="560">
        <f t="shared" si="27"/>
        <v>0</v>
      </c>
      <c r="P58" s="561">
        <f t="shared" si="0"/>
        <v>0</v>
      </c>
      <c r="Q58" s="561">
        <f t="shared" si="1"/>
        <v>0</v>
      </c>
      <c r="R58" s="561">
        <f t="shared" si="2"/>
        <v>0</v>
      </c>
      <c r="S58" s="561">
        <f t="shared" si="3"/>
        <v>0</v>
      </c>
      <c r="T58" s="561">
        <f t="shared" si="4"/>
        <v>0</v>
      </c>
      <c r="U58" s="561">
        <f t="shared" si="5"/>
        <v>0</v>
      </c>
      <c r="V58" s="561">
        <f t="shared" si="6"/>
        <v>0</v>
      </c>
      <c r="W58" s="675">
        <f t="shared" si="7"/>
        <v>0</v>
      </c>
      <c r="X58" s="675">
        <f t="shared" si="8"/>
        <v>0</v>
      </c>
      <c r="Y58" s="675">
        <f t="shared" si="8"/>
        <v>0</v>
      </c>
      <c r="Z58" s="86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1094">
        <f>'2022-23 Input'!P58</f>
        <v>0</v>
      </c>
      <c r="AJ58" s="665">
        <v>0</v>
      </c>
      <c r="AK58" s="127">
        <f t="shared" si="33"/>
        <v>0</v>
      </c>
      <c r="AL58" s="128">
        <f t="shared" si="34"/>
        <v>0</v>
      </c>
      <c r="AM58" s="129">
        <f t="shared" si="35"/>
        <v>0</v>
      </c>
      <c r="AN58" s="91" t="str">
        <f t="shared" si="36"/>
        <v/>
      </c>
      <c r="AO58" s="92" t="str">
        <f t="shared" si="37"/>
        <v/>
      </c>
      <c r="AP58" s="92" t="str">
        <f t="shared" si="38"/>
        <v/>
      </c>
      <c r="AQ58" s="92" t="str">
        <f t="shared" si="39"/>
        <v/>
      </c>
      <c r="AR58" s="92" t="str">
        <f t="shared" si="40"/>
        <v/>
      </c>
      <c r="AS58" s="92" t="str">
        <f t="shared" si="41"/>
        <v/>
      </c>
      <c r="AT58" s="92" t="str">
        <f t="shared" si="42"/>
        <v/>
      </c>
      <c r="AU58" s="92" t="str">
        <f t="shared" si="43"/>
        <v/>
      </c>
      <c r="AV58" s="92" t="str">
        <f t="shared" si="51"/>
        <v/>
      </c>
      <c r="AW58" s="92" t="str">
        <f t="shared" si="51"/>
        <v/>
      </c>
      <c r="AX58" s="92" t="str">
        <f t="shared" si="51"/>
        <v/>
      </c>
      <c r="AY58" s="93" t="str">
        <f t="shared" si="45"/>
        <v/>
      </c>
      <c r="AZ58" s="94" t="str">
        <f t="shared" si="46"/>
        <v/>
      </c>
      <c r="BA58" s="95" t="str">
        <f t="shared" si="47"/>
        <v/>
      </c>
      <c r="BB58" s="248" t="s">
        <v>422</v>
      </c>
      <c r="BC58" s="229" t="s">
        <v>433</v>
      </c>
      <c r="BD58" s="249">
        <v>0</v>
      </c>
      <c r="BE58" s="267">
        <f t="shared" si="28"/>
        <v>0</v>
      </c>
      <c r="BF58" s="268">
        <f t="shared" si="52"/>
        <v>0</v>
      </c>
      <c r="BG58" s="268">
        <f t="shared" si="52"/>
        <v>0</v>
      </c>
      <c r="BH58" s="268">
        <f t="shared" si="52"/>
        <v>1</v>
      </c>
      <c r="BI58" s="268">
        <f t="shared" si="52"/>
        <v>2</v>
      </c>
      <c r="BJ58" s="268">
        <f t="shared" si="52"/>
        <v>3</v>
      </c>
      <c r="BK58" s="268">
        <f t="shared" si="52"/>
        <v>4</v>
      </c>
      <c r="BL58" s="269">
        <f t="shared" si="52"/>
        <v>5</v>
      </c>
      <c r="BM58" s="256">
        <f>IF($BC58=Lookup!$A$2,$BD58*ROUNDUP(BE58/10,0)+1,
IF($BC58=Lookup!$A$3,($BD58+1)^BD58,
IF($BC58=Lookup!$A$4,BE58*$BD58+1,"Error")))</f>
        <v>1</v>
      </c>
      <c r="BN58" s="229">
        <f>IF($BC58=Lookup!$A$2,$BD58*ROUNDUP(BF58/10,0)+1,
IF($BC58=Lookup!$A$3,($BD58+1)^BE58,
IF($BC58=Lookup!$A$4,BF58*$BD58+1,"Error")))</f>
        <v>1</v>
      </c>
      <c r="BO58" s="229">
        <f>IF($BC58=Lookup!$A$2,$BD58*ROUNDUP(BG58/10,0)+1,
IF($BC58=Lookup!$A$3,($BD58+1)^BF58,
IF($BC58=Lookup!$A$4,BG58*$BD58+1,"Error")))</f>
        <v>1</v>
      </c>
      <c r="BP58" s="229">
        <f>IF($BC58=Lookup!$A$2,$BD58*ROUNDUP(BH58/10,0)+1,
IF($BC58=Lookup!$A$3,($BD58+1)^BG58,
IF($BC58=Lookup!$A$4,BH58*$BD58+1,"Error")))</f>
        <v>1</v>
      </c>
      <c r="BQ58" s="229">
        <f>IF($BC58=Lookup!$A$2,$BD58*ROUNDUP(BI58/10,0)+1,
IF($BC58=Lookup!$A$3,($BD58+1)^BH58,
IF($BC58=Lookup!$A$4,BI58*$BD58+1,"Error")))</f>
        <v>1</v>
      </c>
      <c r="BR58" s="229">
        <f>IF($BC58=Lookup!$A$2,$BD58*ROUNDUP(BJ58/10,0)+1,
IF($BC58=Lookup!$A$3,($BD58+1)^BI58,
IF($BC58=Lookup!$A$4,BJ58*$BD58+1,"Error")))</f>
        <v>1</v>
      </c>
      <c r="BS58" s="229">
        <f>IF($BC58=Lookup!$A$2,$BD58*ROUNDUP(BK58/10,0)+1,
IF($BC58=Lookup!$A$3,($BD58+1)^BJ58,
IF($BC58=Lookup!$A$4,BK58*$BD58+1,"Error")))</f>
        <v>1</v>
      </c>
      <c r="BT58" s="249">
        <f>IF($BC58=Lookup!$A$2,$BD58*ROUNDUP(BL58/10,0)+1,
IF($BC58=Lookup!$A$3,($BD58+1)^BK58,
IF($BC58=Lookup!$A$4,BL58*$BD58+1,"Error")))</f>
        <v>1</v>
      </c>
      <c r="BU58" s="320">
        <v>0</v>
      </c>
      <c r="BV58" s="321">
        <v>0</v>
      </c>
      <c r="BW58" s="321">
        <v>0</v>
      </c>
      <c r="BX58" s="321">
        <v>0</v>
      </c>
      <c r="BY58" s="321">
        <v>0</v>
      </c>
      <c r="BZ58" s="321">
        <v>0</v>
      </c>
      <c r="CA58" s="321">
        <v>0</v>
      </c>
      <c r="CB58" s="277">
        <v>0</v>
      </c>
      <c r="CC58" s="382" t="s">
        <v>293</v>
      </c>
      <c r="CD58" s="383">
        <f>HLOOKUP($CC58,$AK$6:$AM$132,ROWS(CD$6:CD58),0)</f>
        <v>0</v>
      </c>
      <c r="CE58" s="239">
        <f t="shared" si="29"/>
        <v>0</v>
      </c>
      <c r="CF58" s="140">
        <f t="shared" si="29"/>
        <v>0</v>
      </c>
      <c r="CG58" s="810">
        <f t="shared" si="29"/>
        <v>0</v>
      </c>
      <c r="CH58" s="812">
        <f t="shared" si="29"/>
        <v>0</v>
      </c>
      <c r="CI58" s="140">
        <f t="shared" si="50"/>
        <v>0</v>
      </c>
      <c r="CJ58" s="140">
        <f t="shared" si="50"/>
        <v>0</v>
      </c>
      <c r="CK58" s="140">
        <f t="shared" si="50"/>
        <v>0</v>
      </c>
      <c r="CL58" s="291">
        <f t="shared" si="50"/>
        <v>0</v>
      </c>
      <c r="CM58" s="305" t="s">
        <v>293</v>
      </c>
      <c r="CN58" s="315">
        <v>0.05</v>
      </c>
      <c r="CO58" s="306"/>
      <c r="CP58" s="307" t="str">
        <f>IF($CO58&lt;&gt;"",$CO58,HLOOKUP($CM58,$AY$6:$BA$132,ROWS(CP$6:CP58),0))</f>
        <v/>
      </c>
      <c r="CQ58" s="784" t="str">
        <f t="shared" si="49"/>
        <v/>
      </c>
      <c r="CR58" s="784" t="str">
        <f t="shared" si="49"/>
        <v/>
      </c>
      <c r="CS58" s="524" t="str">
        <f t="shared" si="49"/>
        <v/>
      </c>
      <c r="CT58" s="416" t="str">
        <f t="shared" si="49"/>
        <v/>
      </c>
      <c r="CU58" s="97" t="str">
        <f t="shared" si="49"/>
        <v/>
      </c>
      <c r="CV58" s="97" t="str">
        <f t="shared" si="49"/>
        <v/>
      </c>
      <c r="CW58" s="97" t="str">
        <f t="shared" si="49"/>
        <v/>
      </c>
      <c r="CX58" s="98" t="str">
        <f t="shared" si="32"/>
        <v/>
      </c>
      <c r="CY58" s="392"/>
    </row>
    <row r="59" spans="1:103" x14ac:dyDescent="0.25">
      <c r="A59" s="81" t="s">
        <v>106</v>
      </c>
      <c r="B59" s="82" t="s">
        <v>121</v>
      </c>
      <c r="C59" s="83" t="s">
        <v>341</v>
      </c>
      <c r="D59" s="84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654">
        <f>'2022-23 Input'!I59</f>
        <v>0</v>
      </c>
      <c r="N59" s="1065">
        <v>0</v>
      </c>
      <c r="O59" s="560">
        <f t="shared" si="27"/>
        <v>0</v>
      </c>
      <c r="P59" s="561">
        <f t="shared" si="0"/>
        <v>0</v>
      </c>
      <c r="Q59" s="561">
        <f t="shared" si="1"/>
        <v>0</v>
      </c>
      <c r="R59" s="561">
        <f t="shared" si="2"/>
        <v>0</v>
      </c>
      <c r="S59" s="561">
        <f t="shared" si="3"/>
        <v>0</v>
      </c>
      <c r="T59" s="561">
        <f t="shared" si="4"/>
        <v>0</v>
      </c>
      <c r="U59" s="561">
        <f t="shared" si="5"/>
        <v>0</v>
      </c>
      <c r="V59" s="561">
        <f t="shared" si="6"/>
        <v>0</v>
      </c>
      <c r="W59" s="675">
        <f t="shared" si="7"/>
        <v>0</v>
      </c>
      <c r="X59" s="675">
        <f t="shared" si="8"/>
        <v>0</v>
      </c>
      <c r="Y59" s="675">
        <f t="shared" si="8"/>
        <v>0</v>
      </c>
      <c r="Z59" s="86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1094">
        <f>'2022-23 Input'!P59</f>
        <v>0</v>
      </c>
      <c r="AJ59" s="665">
        <v>0</v>
      </c>
      <c r="AK59" s="127">
        <f t="shared" si="33"/>
        <v>0</v>
      </c>
      <c r="AL59" s="128">
        <f t="shared" si="34"/>
        <v>0</v>
      </c>
      <c r="AM59" s="129">
        <f t="shared" si="35"/>
        <v>0</v>
      </c>
      <c r="AN59" s="91" t="str">
        <f t="shared" si="36"/>
        <v/>
      </c>
      <c r="AO59" s="92" t="str">
        <f t="shared" si="37"/>
        <v/>
      </c>
      <c r="AP59" s="92" t="str">
        <f t="shared" si="38"/>
        <v/>
      </c>
      <c r="AQ59" s="92" t="str">
        <f t="shared" si="39"/>
        <v/>
      </c>
      <c r="AR59" s="92" t="str">
        <f t="shared" si="40"/>
        <v/>
      </c>
      <c r="AS59" s="92" t="str">
        <f t="shared" si="41"/>
        <v/>
      </c>
      <c r="AT59" s="92" t="str">
        <f t="shared" si="42"/>
        <v/>
      </c>
      <c r="AU59" s="92" t="str">
        <f t="shared" si="43"/>
        <v/>
      </c>
      <c r="AV59" s="92" t="str">
        <f t="shared" si="51"/>
        <v/>
      </c>
      <c r="AW59" s="92" t="str">
        <f t="shared" si="51"/>
        <v/>
      </c>
      <c r="AX59" s="92" t="str">
        <f t="shared" si="51"/>
        <v/>
      </c>
      <c r="AY59" s="93" t="str">
        <f t="shared" si="45"/>
        <v/>
      </c>
      <c r="AZ59" s="94" t="str">
        <f t="shared" si="46"/>
        <v/>
      </c>
      <c r="BA59" s="95" t="str">
        <f t="shared" si="47"/>
        <v/>
      </c>
      <c r="BB59" s="248" t="s">
        <v>422</v>
      </c>
      <c r="BC59" s="229" t="s">
        <v>433</v>
      </c>
      <c r="BD59" s="249">
        <v>0</v>
      </c>
      <c r="BE59" s="267">
        <f t="shared" si="28"/>
        <v>0</v>
      </c>
      <c r="BF59" s="268">
        <f t="shared" si="52"/>
        <v>0</v>
      </c>
      <c r="BG59" s="268">
        <f t="shared" si="52"/>
        <v>0</v>
      </c>
      <c r="BH59" s="268">
        <f t="shared" si="52"/>
        <v>1</v>
      </c>
      <c r="BI59" s="268">
        <f t="shared" si="52"/>
        <v>2</v>
      </c>
      <c r="BJ59" s="268">
        <f t="shared" si="52"/>
        <v>3</v>
      </c>
      <c r="BK59" s="268">
        <f t="shared" si="52"/>
        <v>4</v>
      </c>
      <c r="BL59" s="269">
        <f t="shared" si="52"/>
        <v>5</v>
      </c>
      <c r="BM59" s="256">
        <f>IF($BC59=Lookup!$A$2,$BD59*ROUNDUP(BE59/10,0)+1,
IF($BC59=Lookup!$A$3,($BD59+1)^BD59,
IF($BC59=Lookup!$A$4,BE59*$BD59+1,"Error")))</f>
        <v>1</v>
      </c>
      <c r="BN59" s="229">
        <f>IF($BC59=Lookup!$A$2,$BD59*ROUNDUP(BF59/10,0)+1,
IF($BC59=Lookup!$A$3,($BD59+1)^BE59,
IF($BC59=Lookup!$A$4,BF59*$BD59+1,"Error")))</f>
        <v>1</v>
      </c>
      <c r="BO59" s="229">
        <f>IF($BC59=Lookup!$A$2,$BD59*ROUNDUP(BG59/10,0)+1,
IF($BC59=Lookup!$A$3,($BD59+1)^BF59,
IF($BC59=Lookup!$A$4,BG59*$BD59+1,"Error")))</f>
        <v>1</v>
      </c>
      <c r="BP59" s="229">
        <f>IF($BC59=Lookup!$A$2,$BD59*ROUNDUP(BH59/10,0)+1,
IF($BC59=Lookup!$A$3,($BD59+1)^BG59,
IF($BC59=Lookup!$A$4,BH59*$BD59+1,"Error")))</f>
        <v>1</v>
      </c>
      <c r="BQ59" s="229">
        <f>IF($BC59=Lookup!$A$2,$BD59*ROUNDUP(BI59/10,0)+1,
IF($BC59=Lookup!$A$3,($BD59+1)^BH59,
IF($BC59=Lookup!$A$4,BI59*$BD59+1,"Error")))</f>
        <v>1</v>
      </c>
      <c r="BR59" s="229">
        <f>IF($BC59=Lookup!$A$2,$BD59*ROUNDUP(BJ59/10,0)+1,
IF($BC59=Lookup!$A$3,($BD59+1)^BI59,
IF($BC59=Lookup!$A$4,BJ59*$BD59+1,"Error")))</f>
        <v>1</v>
      </c>
      <c r="BS59" s="229">
        <f>IF($BC59=Lookup!$A$2,$BD59*ROUNDUP(BK59/10,0)+1,
IF($BC59=Lookup!$A$3,($BD59+1)^BJ59,
IF($BC59=Lookup!$A$4,BK59*$BD59+1,"Error")))</f>
        <v>1</v>
      </c>
      <c r="BT59" s="249">
        <f>IF($BC59=Lookup!$A$2,$BD59*ROUNDUP(BL59/10,0)+1,
IF($BC59=Lookup!$A$3,($BD59+1)^BK59,
IF($BC59=Lookup!$A$4,BL59*$BD59+1,"Error")))</f>
        <v>1</v>
      </c>
      <c r="BU59" s="320">
        <v>0</v>
      </c>
      <c r="BV59" s="321">
        <v>0</v>
      </c>
      <c r="BW59" s="321">
        <v>0</v>
      </c>
      <c r="BX59" s="321">
        <v>0</v>
      </c>
      <c r="BY59" s="321">
        <v>0</v>
      </c>
      <c r="BZ59" s="321">
        <v>0</v>
      </c>
      <c r="CA59" s="321">
        <v>0</v>
      </c>
      <c r="CB59" s="277">
        <v>0</v>
      </c>
      <c r="CC59" s="382" t="s">
        <v>293</v>
      </c>
      <c r="CD59" s="383">
        <f>HLOOKUP($CC59,$AK$6:$AM$132,ROWS(CD$6:CD59),0)</f>
        <v>0</v>
      </c>
      <c r="CE59" s="239">
        <f t="shared" si="29"/>
        <v>0</v>
      </c>
      <c r="CF59" s="140">
        <f t="shared" si="29"/>
        <v>0</v>
      </c>
      <c r="CG59" s="810">
        <f t="shared" si="29"/>
        <v>0</v>
      </c>
      <c r="CH59" s="812">
        <f t="shared" si="29"/>
        <v>0</v>
      </c>
      <c r="CI59" s="140">
        <f t="shared" si="50"/>
        <v>0</v>
      </c>
      <c r="CJ59" s="140">
        <f t="shared" si="50"/>
        <v>0</v>
      </c>
      <c r="CK59" s="140">
        <f t="shared" si="50"/>
        <v>0</v>
      </c>
      <c r="CL59" s="291">
        <f t="shared" si="50"/>
        <v>0</v>
      </c>
      <c r="CM59" s="305" t="s">
        <v>293</v>
      </c>
      <c r="CN59" s="315">
        <v>0.05</v>
      </c>
      <c r="CO59" s="306"/>
      <c r="CP59" s="307" t="str">
        <f>IF($CO59&lt;&gt;"",$CO59,HLOOKUP($CM59,$AY$6:$BA$132,ROWS(CP$6:CP59),0))</f>
        <v/>
      </c>
      <c r="CQ59" s="784" t="str">
        <f t="shared" si="49"/>
        <v/>
      </c>
      <c r="CR59" s="784" t="str">
        <f t="shared" si="49"/>
        <v/>
      </c>
      <c r="CS59" s="524" t="str">
        <f t="shared" si="49"/>
        <v/>
      </c>
      <c r="CT59" s="416" t="str">
        <f t="shared" si="49"/>
        <v/>
      </c>
      <c r="CU59" s="97" t="str">
        <f t="shared" si="49"/>
        <v/>
      </c>
      <c r="CV59" s="97" t="str">
        <f t="shared" si="49"/>
        <v/>
      </c>
      <c r="CW59" s="97" t="str">
        <f t="shared" si="49"/>
        <v/>
      </c>
      <c r="CX59" s="98" t="str">
        <f t="shared" si="32"/>
        <v/>
      </c>
      <c r="CY59" s="392"/>
    </row>
    <row r="60" spans="1:103" x14ac:dyDescent="0.25">
      <c r="A60" s="81" t="s">
        <v>106</v>
      </c>
      <c r="B60" s="82" t="s">
        <v>123</v>
      </c>
      <c r="C60" s="83" t="s">
        <v>343</v>
      </c>
      <c r="D60" s="84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654">
        <f>'2022-23 Input'!I60</f>
        <v>0</v>
      </c>
      <c r="N60" s="1065">
        <v>0</v>
      </c>
      <c r="O60" s="560">
        <f t="shared" si="27"/>
        <v>0</v>
      </c>
      <c r="P60" s="561">
        <f t="shared" si="0"/>
        <v>0</v>
      </c>
      <c r="Q60" s="561">
        <f t="shared" si="1"/>
        <v>0</v>
      </c>
      <c r="R60" s="561">
        <f t="shared" si="2"/>
        <v>0</v>
      </c>
      <c r="S60" s="561">
        <f t="shared" si="3"/>
        <v>0</v>
      </c>
      <c r="T60" s="561">
        <f t="shared" si="4"/>
        <v>0</v>
      </c>
      <c r="U60" s="561">
        <f t="shared" si="5"/>
        <v>0</v>
      </c>
      <c r="V60" s="561">
        <f t="shared" si="6"/>
        <v>0</v>
      </c>
      <c r="W60" s="675">
        <f t="shared" si="7"/>
        <v>0</v>
      </c>
      <c r="X60" s="675">
        <f t="shared" si="8"/>
        <v>0</v>
      </c>
      <c r="Y60" s="675">
        <f t="shared" si="8"/>
        <v>0</v>
      </c>
      <c r="Z60" s="86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1094">
        <f>'2022-23 Input'!P60</f>
        <v>0</v>
      </c>
      <c r="AJ60" s="665">
        <v>0</v>
      </c>
      <c r="AK60" s="127">
        <f t="shared" si="33"/>
        <v>0</v>
      </c>
      <c r="AL60" s="128">
        <f t="shared" si="34"/>
        <v>0</v>
      </c>
      <c r="AM60" s="129">
        <f t="shared" si="35"/>
        <v>0</v>
      </c>
      <c r="AN60" s="91" t="str">
        <f t="shared" si="36"/>
        <v/>
      </c>
      <c r="AO60" s="92" t="str">
        <f t="shared" si="37"/>
        <v/>
      </c>
      <c r="AP60" s="92" t="str">
        <f t="shared" si="38"/>
        <v/>
      </c>
      <c r="AQ60" s="92" t="str">
        <f t="shared" si="39"/>
        <v/>
      </c>
      <c r="AR60" s="92" t="str">
        <f t="shared" si="40"/>
        <v/>
      </c>
      <c r="AS60" s="92" t="str">
        <f t="shared" si="41"/>
        <v/>
      </c>
      <c r="AT60" s="92" t="str">
        <f t="shared" si="42"/>
        <v/>
      </c>
      <c r="AU60" s="92" t="str">
        <f t="shared" si="43"/>
        <v/>
      </c>
      <c r="AV60" s="92" t="str">
        <f t="shared" si="51"/>
        <v/>
      </c>
      <c r="AW60" s="92" t="str">
        <f t="shared" si="51"/>
        <v/>
      </c>
      <c r="AX60" s="92" t="str">
        <f t="shared" si="51"/>
        <v/>
      </c>
      <c r="AY60" s="93" t="str">
        <f t="shared" si="45"/>
        <v/>
      </c>
      <c r="AZ60" s="94" t="str">
        <f t="shared" si="46"/>
        <v/>
      </c>
      <c r="BA60" s="95" t="str">
        <f t="shared" si="47"/>
        <v/>
      </c>
      <c r="BB60" s="248" t="s">
        <v>422</v>
      </c>
      <c r="BC60" s="229" t="s">
        <v>433</v>
      </c>
      <c r="BD60" s="249">
        <v>0</v>
      </c>
      <c r="BE60" s="267">
        <f t="shared" si="28"/>
        <v>0</v>
      </c>
      <c r="BF60" s="268">
        <f t="shared" si="52"/>
        <v>0</v>
      </c>
      <c r="BG60" s="268">
        <f t="shared" si="52"/>
        <v>0</v>
      </c>
      <c r="BH60" s="268">
        <f t="shared" si="52"/>
        <v>1</v>
      </c>
      <c r="BI60" s="268">
        <f t="shared" si="52"/>
        <v>2</v>
      </c>
      <c r="BJ60" s="268">
        <f t="shared" si="52"/>
        <v>3</v>
      </c>
      <c r="BK60" s="268">
        <f t="shared" si="52"/>
        <v>4</v>
      </c>
      <c r="BL60" s="269">
        <f t="shared" si="52"/>
        <v>5</v>
      </c>
      <c r="BM60" s="256">
        <f>IF($BC60=Lookup!$A$2,$BD60*ROUNDUP(BE60/10,0)+1,
IF($BC60=Lookup!$A$3,($BD60+1)^BD60,
IF($BC60=Lookup!$A$4,BE60*$BD60+1,"Error")))</f>
        <v>1</v>
      </c>
      <c r="BN60" s="229">
        <f>IF($BC60=Lookup!$A$2,$BD60*ROUNDUP(BF60/10,0)+1,
IF($BC60=Lookup!$A$3,($BD60+1)^BE60,
IF($BC60=Lookup!$A$4,BF60*$BD60+1,"Error")))</f>
        <v>1</v>
      </c>
      <c r="BO60" s="229">
        <f>IF($BC60=Lookup!$A$2,$BD60*ROUNDUP(BG60/10,0)+1,
IF($BC60=Lookup!$A$3,($BD60+1)^BF60,
IF($BC60=Lookup!$A$4,BG60*$BD60+1,"Error")))</f>
        <v>1</v>
      </c>
      <c r="BP60" s="229">
        <f>IF($BC60=Lookup!$A$2,$BD60*ROUNDUP(BH60/10,0)+1,
IF($BC60=Lookup!$A$3,($BD60+1)^BG60,
IF($BC60=Lookup!$A$4,BH60*$BD60+1,"Error")))</f>
        <v>1</v>
      </c>
      <c r="BQ60" s="229">
        <f>IF($BC60=Lookup!$A$2,$BD60*ROUNDUP(BI60/10,0)+1,
IF($BC60=Lookup!$A$3,($BD60+1)^BH60,
IF($BC60=Lookup!$A$4,BI60*$BD60+1,"Error")))</f>
        <v>1</v>
      </c>
      <c r="BR60" s="229">
        <f>IF($BC60=Lookup!$A$2,$BD60*ROUNDUP(BJ60/10,0)+1,
IF($BC60=Lookup!$A$3,($BD60+1)^BI60,
IF($BC60=Lookup!$A$4,BJ60*$BD60+1,"Error")))</f>
        <v>1</v>
      </c>
      <c r="BS60" s="229">
        <f>IF($BC60=Lookup!$A$2,$BD60*ROUNDUP(BK60/10,0)+1,
IF($BC60=Lookup!$A$3,($BD60+1)^BJ60,
IF($BC60=Lookup!$A$4,BK60*$BD60+1,"Error")))</f>
        <v>1</v>
      </c>
      <c r="BT60" s="249">
        <f>IF($BC60=Lookup!$A$2,$BD60*ROUNDUP(BL60/10,0)+1,
IF($BC60=Lookup!$A$3,($BD60+1)^BK60,
IF($BC60=Lookup!$A$4,BL60*$BD60+1,"Error")))</f>
        <v>1</v>
      </c>
      <c r="BU60" s="320">
        <v>0</v>
      </c>
      <c r="BV60" s="321">
        <v>0</v>
      </c>
      <c r="BW60" s="321">
        <v>0</v>
      </c>
      <c r="BX60" s="321">
        <v>0</v>
      </c>
      <c r="BY60" s="321">
        <v>0</v>
      </c>
      <c r="BZ60" s="321">
        <v>0</v>
      </c>
      <c r="CA60" s="321">
        <v>0</v>
      </c>
      <c r="CB60" s="277">
        <v>0</v>
      </c>
      <c r="CC60" s="382" t="s">
        <v>293</v>
      </c>
      <c r="CD60" s="383">
        <f>HLOOKUP($CC60,$AK$6:$AM$132,ROWS(CD$6:CD60),0)</f>
        <v>0</v>
      </c>
      <c r="CE60" s="239">
        <f t="shared" si="29"/>
        <v>0</v>
      </c>
      <c r="CF60" s="140">
        <f t="shared" si="29"/>
        <v>0</v>
      </c>
      <c r="CG60" s="810">
        <f t="shared" si="29"/>
        <v>0</v>
      </c>
      <c r="CH60" s="812">
        <f t="shared" si="29"/>
        <v>0</v>
      </c>
      <c r="CI60" s="140">
        <f t="shared" si="50"/>
        <v>0</v>
      </c>
      <c r="CJ60" s="140">
        <f t="shared" si="50"/>
        <v>0</v>
      </c>
      <c r="CK60" s="140">
        <f t="shared" si="50"/>
        <v>0</v>
      </c>
      <c r="CL60" s="291">
        <f t="shared" si="50"/>
        <v>0</v>
      </c>
      <c r="CM60" s="305" t="s">
        <v>293</v>
      </c>
      <c r="CN60" s="315">
        <v>0.05</v>
      </c>
      <c r="CO60" s="306"/>
      <c r="CP60" s="307" t="str">
        <f>IF($CO60&lt;&gt;"",$CO60,HLOOKUP($CM60,$AY$6:$BA$132,ROWS(CP$6:CP60),0))</f>
        <v/>
      </c>
      <c r="CQ60" s="784" t="str">
        <f t="shared" si="49"/>
        <v/>
      </c>
      <c r="CR60" s="784" t="str">
        <f t="shared" si="49"/>
        <v/>
      </c>
      <c r="CS60" s="524" t="str">
        <f t="shared" si="49"/>
        <v/>
      </c>
      <c r="CT60" s="416" t="str">
        <f t="shared" si="49"/>
        <v/>
      </c>
      <c r="CU60" s="97" t="str">
        <f t="shared" si="49"/>
        <v/>
      </c>
      <c r="CV60" s="97" t="str">
        <f t="shared" si="49"/>
        <v/>
      </c>
      <c r="CW60" s="97" t="str">
        <f t="shared" si="49"/>
        <v/>
      </c>
      <c r="CX60" s="98" t="str">
        <f t="shared" si="32"/>
        <v/>
      </c>
      <c r="CY60" s="392"/>
    </row>
    <row r="61" spans="1:103" x14ac:dyDescent="0.25">
      <c r="A61" s="81" t="s">
        <v>106</v>
      </c>
      <c r="B61" s="82" t="s">
        <v>125</v>
      </c>
      <c r="C61" s="83" t="s">
        <v>345</v>
      </c>
      <c r="D61" s="84">
        <v>0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654">
        <f>'2022-23 Input'!I61</f>
        <v>0</v>
      </c>
      <c r="N61" s="1065">
        <v>0</v>
      </c>
      <c r="O61" s="560">
        <f t="shared" si="27"/>
        <v>0</v>
      </c>
      <c r="P61" s="561">
        <f t="shared" si="0"/>
        <v>0</v>
      </c>
      <c r="Q61" s="561">
        <f t="shared" si="1"/>
        <v>0</v>
      </c>
      <c r="R61" s="561">
        <f t="shared" si="2"/>
        <v>0</v>
      </c>
      <c r="S61" s="561">
        <f t="shared" si="3"/>
        <v>0</v>
      </c>
      <c r="T61" s="561">
        <f t="shared" si="4"/>
        <v>0</v>
      </c>
      <c r="U61" s="561">
        <f t="shared" si="5"/>
        <v>0</v>
      </c>
      <c r="V61" s="561">
        <f t="shared" si="6"/>
        <v>0</v>
      </c>
      <c r="W61" s="675">
        <f t="shared" si="7"/>
        <v>0</v>
      </c>
      <c r="X61" s="675">
        <f t="shared" si="8"/>
        <v>0</v>
      </c>
      <c r="Y61" s="675">
        <f t="shared" si="8"/>
        <v>0</v>
      </c>
      <c r="Z61" s="86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1094">
        <f>'2022-23 Input'!P61</f>
        <v>0</v>
      </c>
      <c r="AJ61" s="665">
        <v>0</v>
      </c>
      <c r="AK61" s="127">
        <f t="shared" si="33"/>
        <v>0</v>
      </c>
      <c r="AL61" s="128">
        <f t="shared" si="34"/>
        <v>0</v>
      </c>
      <c r="AM61" s="129">
        <f t="shared" si="35"/>
        <v>0</v>
      </c>
      <c r="AN61" s="91" t="str">
        <f t="shared" si="36"/>
        <v/>
      </c>
      <c r="AO61" s="92" t="str">
        <f t="shared" si="37"/>
        <v/>
      </c>
      <c r="AP61" s="92" t="str">
        <f t="shared" si="38"/>
        <v/>
      </c>
      <c r="AQ61" s="92" t="str">
        <f t="shared" si="39"/>
        <v/>
      </c>
      <c r="AR61" s="92" t="str">
        <f t="shared" si="40"/>
        <v/>
      </c>
      <c r="AS61" s="92" t="str">
        <f t="shared" si="41"/>
        <v/>
      </c>
      <c r="AT61" s="92" t="str">
        <f t="shared" si="42"/>
        <v/>
      </c>
      <c r="AU61" s="92" t="str">
        <f t="shared" si="43"/>
        <v/>
      </c>
      <c r="AV61" s="92" t="str">
        <f t="shared" si="51"/>
        <v/>
      </c>
      <c r="AW61" s="92" t="str">
        <f t="shared" si="51"/>
        <v/>
      </c>
      <c r="AX61" s="92" t="str">
        <f t="shared" si="51"/>
        <v/>
      </c>
      <c r="AY61" s="93" t="str">
        <f t="shared" si="45"/>
        <v/>
      </c>
      <c r="AZ61" s="94" t="str">
        <f t="shared" si="46"/>
        <v/>
      </c>
      <c r="BA61" s="95" t="str">
        <f t="shared" si="47"/>
        <v/>
      </c>
      <c r="BB61" s="248" t="s">
        <v>422</v>
      </c>
      <c r="BC61" s="229" t="s">
        <v>433</v>
      </c>
      <c r="BD61" s="249">
        <v>0</v>
      </c>
      <c r="BE61" s="267">
        <f t="shared" si="28"/>
        <v>0</v>
      </c>
      <c r="BF61" s="268">
        <f t="shared" si="52"/>
        <v>0</v>
      </c>
      <c r="BG61" s="268">
        <f t="shared" si="52"/>
        <v>0</v>
      </c>
      <c r="BH61" s="268">
        <f t="shared" si="52"/>
        <v>1</v>
      </c>
      <c r="BI61" s="268">
        <f t="shared" si="52"/>
        <v>2</v>
      </c>
      <c r="BJ61" s="268">
        <f t="shared" si="52"/>
        <v>3</v>
      </c>
      <c r="BK61" s="268">
        <f t="shared" si="52"/>
        <v>4</v>
      </c>
      <c r="BL61" s="269">
        <f t="shared" si="52"/>
        <v>5</v>
      </c>
      <c r="BM61" s="256">
        <f>IF($BC61=Lookup!$A$2,$BD61*ROUNDUP(BE61/10,0)+1,
IF($BC61=Lookup!$A$3,($BD61+1)^BD61,
IF($BC61=Lookup!$A$4,BE61*$BD61+1,"Error")))</f>
        <v>1</v>
      </c>
      <c r="BN61" s="229">
        <f>IF($BC61=Lookup!$A$2,$BD61*ROUNDUP(BF61/10,0)+1,
IF($BC61=Lookup!$A$3,($BD61+1)^BE61,
IF($BC61=Lookup!$A$4,BF61*$BD61+1,"Error")))</f>
        <v>1</v>
      </c>
      <c r="BO61" s="229">
        <f>IF($BC61=Lookup!$A$2,$BD61*ROUNDUP(BG61/10,0)+1,
IF($BC61=Lookup!$A$3,($BD61+1)^BF61,
IF($BC61=Lookup!$A$4,BG61*$BD61+1,"Error")))</f>
        <v>1</v>
      </c>
      <c r="BP61" s="229">
        <f>IF($BC61=Lookup!$A$2,$BD61*ROUNDUP(BH61/10,0)+1,
IF($BC61=Lookup!$A$3,($BD61+1)^BG61,
IF($BC61=Lookup!$A$4,BH61*$BD61+1,"Error")))</f>
        <v>1</v>
      </c>
      <c r="BQ61" s="229">
        <f>IF($BC61=Lookup!$A$2,$BD61*ROUNDUP(BI61/10,0)+1,
IF($BC61=Lookup!$A$3,($BD61+1)^BH61,
IF($BC61=Lookup!$A$4,BI61*$BD61+1,"Error")))</f>
        <v>1</v>
      </c>
      <c r="BR61" s="229">
        <f>IF($BC61=Lookup!$A$2,$BD61*ROUNDUP(BJ61/10,0)+1,
IF($BC61=Lookup!$A$3,($BD61+1)^BI61,
IF($BC61=Lookup!$A$4,BJ61*$BD61+1,"Error")))</f>
        <v>1</v>
      </c>
      <c r="BS61" s="229">
        <f>IF($BC61=Lookup!$A$2,$BD61*ROUNDUP(BK61/10,0)+1,
IF($BC61=Lookup!$A$3,($BD61+1)^BJ61,
IF($BC61=Lookup!$A$4,BK61*$BD61+1,"Error")))</f>
        <v>1</v>
      </c>
      <c r="BT61" s="249">
        <f>IF($BC61=Lookup!$A$2,$BD61*ROUNDUP(BL61/10,0)+1,
IF($BC61=Lookup!$A$3,($BD61+1)^BK61,
IF($BC61=Lookup!$A$4,BL61*$BD61+1,"Error")))</f>
        <v>1</v>
      </c>
      <c r="BU61" s="320">
        <v>0</v>
      </c>
      <c r="BV61" s="321">
        <v>0</v>
      </c>
      <c r="BW61" s="321">
        <v>0</v>
      </c>
      <c r="BX61" s="321">
        <v>0</v>
      </c>
      <c r="BY61" s="321">
        <v>0</v>
      </c>
      <c r="BZ61" s="321">
        <v>0</v>
      </c>
      <c r="CA61" s="321">
        <v>0</v>
      </c>
      <c r="CB61" s="277">
        <v>0</v>
      </c>
      <c r="CC61" s="382" t="s">
        <v>293</v>
      </c>
      <c r="CD61" s="383">
        <f>HLOOKUP($CC61,$AK$6:$AM$132,ROWS(CD$6:CD61),0)</f>
        <v>0</v>
      </c>
      <c r="CE61" s="239">
        <f t="shared" si="29"/>
        <v>0</v>
      </c>
      <c r="CF61" s="140">
        <f t="shared" si="29"/>
        <v>0</v>
      </c>
      <c r="CG61" s="810">
        <f t="shared" si="29"/>
        <v>0</v>
      </c>
      <c r="CH61" s="812">
        <f t="shared" si="29"/>
        <v>0</v>
      </c>
      <c r="CI61" s="140">
        <f t="shared" si="50"/>
        <v>0</v>
      </c>
      <c r="CJ61" s="140">
        <f t="shared" si="50"/>
        <v>0</v>
      </c>
      <c r="CK61" s="140">
        <f t="shared" si="50"/>
        <v>0</v>
      </c>
      <c r="CL61" s="291">
        <f t="shared" si="50"/>
        <v>0</v>
      </c>
      <c r="CM61" s="305" t="s">
        <v>293</v>
      </c>
      <c r="CN61" s="315">
        <v>0.05</v>
      </c>
      <c r="CO61" s="306"/>
      <c r="CP61" s="307" t="str">
        <f>IF($CO61&lt;&gt;"",$CO61,HLOOKUP($CM61,$AY$6:$BA$132,ROWS(CP$6:CP61),0))</f>
        <v/>
      </c>
      <c r="CQ61" s="784" t="str">
        <f t="shared" si="49"/>
        <v/>
      </c>
      <c r="CR61" s="784" t="str">
        <f t="shared" si="49"/>
        <v/>
      </c>
      <c r="CS61" s="524" t="str">
        <f t="shared" si="49"/>
        <v/>
      </c>
      <c r="CT61" s="416" t="str">
        <f t="shared" si="49"/>
        <v/>
      </c>
      <c r="CU61" s="97" t="str">
        <f t="shared" si="49"/>
        <v/>
      </c>
      <c r="CV61" s="97" t="str">
        <f t="shared" si="49"/>
        <v/>
      </c>
      <c r="CW61" s="97" t="str">
        <f t="shared" si="49"/>
        <v/>
      </c>
      <c r="CX61" s="98" t="str">
        <f t="shared" si="32"/>
        <v/>
      </c>
      <c r="CY61" s="392"/>
    </row>
    <row r="62" spans="1:103" x14ac:dyDescent="0.25">
      <c r="A62" s="81" t="s">
        <v>106</v>
      </c>
      <c r="B62" s="82" t="s">
        <v>127</v>
      </c>
      <c r="C62" s="83" t="s">
        <v>347</v>
      </c>
      <c r="D62" s="84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654">
        <f>'2022-23 Input'!I62</f>
        <v>0</v>
      </c>
      <c r="N62" s="1065">
        <v>0</v>
      </c>
      <c r="O62" s="560">
        <f t="shared" si="27"/>
        <v>0</v>
      </c>
      <c r="P62" s="561">
        <f t="shared" si="0"/>
        <v>0</v>
      </c>
      <c r="Q62" s="561">
        <f t="shared" si="1"/>
        <v>0</v>
      </c>
      <c r="R62" s="561">
        <f t="shared" si="2"/>
        <v>0</v>
      </c>
      <c r="S62" s="561">
        <f t="shared" si="3"/>
        <v>0</v>
      </c>
      <c r="T62" s="561">
        <f t="shared" si="4"/>
        <v>0</v>
      </c>
      <c r="U62" s="561">
        <f t="shared" si="5"/>
        <v>0</v>
      </c>
      <c r="V62" s="561">
        <f t="shared" si="6"/>
        <v>0</v>
      </c>
      <c r="W62" s="675">
        <f t="shared" si="7"/>
        <v>0</v>
      </c>
      <c r="X62" s="675">
        <f t="shared" si="8"/>
        <v>0</v>
      </c>
      <c r="Y62" s="675">
        <f t="shared" si="8"/>
        <v>0</v>
      </c>
      <c r="Z62" s="86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1094">
        <f>'2022-23 Input'!P62</f>
        <v>0</v>
      </c>
      <c r="AJ62" s="665">
        <v>0</v>
      </c>
      <c r="AK62" s="127">
        <f t="shared" si="33"/>
        <v>0</v>
      </c>
      <c r="AL62" s="128">
        <f t="shared" si="34"/>
        <v>0</v>
      </c>
      <c r="AM62" s="129">
        <f t="shared" si="35"/>
        <v>0</v>
      </c>
      <c r="AN62" s="91" t="str">
        <f t="shared" si="36"/>
        <v/>
      </c>
      <c r="AO62" s="92" t="str">
        <f t="shared" si="37"/>
        <v/>
      </c>
      <c r="AP62" s="92" t="str">
        <f t="shared" si="38"/>
        <v/>
      </c>
      <c r="AQ62" s="92" t="str">
        <f t="shared" si="39"/>
        <v/>
      </c>
      <c r="AR62" s="92" t="str">
        <f t="shared" si="40"/>
        <v/>
      </c>
      <c r="AS62" s="92" t="str">
        <f t="shared" si="41"/>
        <v/>
      </c>
      <c r="AT62" s="92" t="str">
        <f t="shared" si="42"/>
        <v/>
      </c>
      <c r="AU62" s="92" t="str">
        <f t="shared" si="43"/>
        <v/>
      </c>
      <c r="AV62" s="92" t="str">
        <f t="shared" si="51"/>
        <v/>
      </c>
      <c r="AW62" s="92" t="str">
        <f t="shared" si="51"/>
        <v/>
      </c>
      <c r="AX62" s="92" t="str">
        <f t="shared" si="51"/>
        <v/>
      </c>
      <c r="AY62" s="93" t="str">
        <f t="shared" si="45"/>
        <v/>
      </c>
      <c r="AZ62" s="94" t="str">
        <f t="shared" si="46"/>
        <v/>
      </c>
      <c r="BA62" s="95" t="str">
        <f t="shared" si="47"/>
        <v/>
      </c>
      <c r="BB62" s="248" t="s">
        <v>422</v>
      </c>
      <c r="BC62" s="229" t="s">
        <v>433</v>
      </c>
      <c r="BD62" s="249">
        <v>0</v>
      </c>
      <c r="BE62" s="267">
        <f t="shared" si="28"/>
        <v>0</v>
      </c>
      <c r="BF62" s="268">
        <f t="shared" si="52"/>
        <v>0</v>
      </c>
      <c r="BG62" s="268">
        <f t="shared" si="52"/>
        <v>0</v>
      </c>
      <c r="BH62" s="268">
        <f t="shared" si="52"/>
        <v>1</v>
      </c>
      <c r="BI62" s="268">
        <f t="shared" si="52"/>
        <v>2</v>
      </c>
      <c r="BJ62" s="268">
        <f t="shared" si="52"/>
        <v>3</v>
      </c>
      <c r="BK62" s="268">
        <f t="shared" si="52"/>
        <v>4</v>
      </c>
      <c r="BL62" s="269">
        <f t="shared" si="52"/>
        <v>5</v>
      </c>
      <c r="BM62" s="256">
        <f>IF($BC62=Lookup!$A$2,$BD62*ROUNDUP(BE62/10,0)+1,
IF($BC62=Lookup!$A$3,($BD62+1)^BD62,
IF($BC62=Lookup!$A$4,BE62*$BD62+1,"Error")))</f>
        <v>1</v>
      </c>
      <c r="BN62" s="229">
        <f>IF($BC62=Lookup!$A$2,$BD62*ROUNDUP(BF62/10,0)+1,
IF($BC62=Lookup!$A$3,($BD62+1)^BE62,
IF($BC62=Lookup!$A$4,BF62*$BD62+1,"Error")))</f>
        <v>1</v>
      </c>
      <c r="BO62" s="229">
        <f>IF($BC62=Lookup!$A$2,$BD62*ROUNDUP(BG62/10,0)+1,
IF($BC62=Lookup!$A$3,($BD62+1)^BF62,
IF($BC62=Lookup!$A$4,BG62*$BD62+1,"Error")))</f>
        <v>1</v>
      </c>
      <c r="BP62" s="229">
        <f>IF($BC62=Lookup!$A$2,$BD62*ROUNDUP(BH62/10,0)+1,
IF($BC62=Lookup!$A$3,($BD62+1)^BG62,
IF($BC62=Lookup!$A$4,BH62*$BD62+1,"Error")))</f>
        <v>1</v>
      </c>
      <c r="BQ62" s="229">
        <f>IF($BC62=Lookup!$A$2,$BD62*ROUNDUP(BI62/10,0)+1,
IF($BC62=Lookup!$A$3,($BD62+1)^BH62,
IF($BC62=Lookup!$A$4,BI62*$BD62+1,"Error")))</f>
        <v>1</v>
      </c>
      <c r="BR62" s="229">
        <f>IF($BC62=Lookup!$A$2,$BD62*ROUNDUP(BJ62/10,0)+1,
IF($BC62=Lookup!$A$3,($BD62+1)^BI62,
IF($BC62=Lookup!$A$4,BJ62*$BD62+1,"Error")))</f>
        <v>1</v>
      </c>
      <c r="BS62" s="229">
        <f>IF($BC62=Lookup!$A$2,$BD62*ROUNDUP(BK62/10,0)+1,
IF($BC62=Lookup!$A$3,($BD62+1)^BJ62,
IF($BC62=Lookup!$A$4,BK62*$BD62+1,"Error")))</f>
        <v>1</v>
      </c>
      <c r="BT62" s="249">
        <f>IF($BC62=Lookup!$A$2,$BD62*ROUNDUP(BL62/10,0)+1,
IF($BC62=Lookup!$A$3,($BD62+1)^BK62,
IF($BC62=Lookup!$A$4,BL62*$BD62+1,"Error")))</f>
        <v>1</v>
      </c>
      <c r="BU62" s="320">
        <v>0</v>
      </c>
      <c r="BV62" s="321">
        <v>0</v>
      </c>
      <c r="BW62" s="321">
        <v>0</v>
      </c>
      <c r="BX62" s="321">
        <v>0</v>
      </c>
      <c r="BY62" s="321">
        <v>0</v>
      </c>
      <c r="BZ62" s="321">
        <v>0</v>
      </c>
      <c r="CA62" s="321">
        <v>0</v>
      </c>
      <c r="CB62" s="277">
        <v>0</v>
      </c>
      <c r="CC62" s="382" t="s">
        <v>293</v>
      </c>
      <c r="CD62" s="383">
        <f>HLOOKUP($CC62,$AK$6:$AM$132,ROWS(CD$6:CD62),0)</f>
        <v>0</v>
      </c>
      <c r="CE62" s="239">
        <f t="shared" si="29"/>
        <v>0</v>
      </c>
      <c r="CF62" s="140">
        <f t="shared" si="29"/>
        <v>0</v>
      </c>
      <c r="CG62" s="810">
        <f t="shared" si="29"/>
        <v>0</v>
      </c>
      <c r="CH62" s="812">
        <f t="shared" si="29"/>
        <v>0</v>
      </c>
      <c r="CI62" s="140">
        <f t="shared" si="50"/>
        <v>0</v>
      </c>
      <c r="CJ62" s="140">
        <f t="shared" si="50"/>
        <v>0</v>
      </c>
      <c r="CK62" s="140">
        <f t="shared" si="50"/>
        <v>0</v>
      </c>
      <c r="CL62" s="291">
        <f t="shared" si="50"/>
        <v>0</v>
      </c>
      <c r="CM62" s="305" t="s">
        <v>293</v>
      </c>
      <c r="CN62" s="315">
        <v>0.05</v>
      </c>
      <c r="CO62" s="306"/>
      <c r="CP62" s="307" t="str">
        <f>IF($CO62&lt;&gt;"",$CO62,HLOOKUP($CM62,$AY$6:$BA$132,ROWS(CP$6:CP62),0))</f>
        <v/>
      </c>
      <c r="CQ62" s="784" t="str">
        <f t="shared" si="49"/>
        <v/>
      </c>
      <c r="CR62" s="784" t="str">
        <f t="shared" si="49"/>
        <v/>
      </c>
      <c r="CS62" s="524" t="str">
        <f t="shared" si="49"/>
        <v/>
      </c>
      <c r="CT62" s="416" t="str">
        <f t="shared" si="49"/>
        <v/>
      </c>
      <c r="CU62" s="97" t="str">
        <f t="shared" si="49"/>
        <v/>
      </c>
      <c r="CV62" s="97" t="str">
        <f t="shared" si="49"/>
        <v/>
      </c>
      <c r="CW62" s="97" t="str">
        <f t="shared" si="49"/>
        <v/>
      </c>
      <c r="CX62" s="98" t="str">
        <f t="shared" si="32"/>
        <v/>
      </c>
      <c r="CY62" s="392"/>
    </row>
    <row r="63" spans="1:103" x14ac:dyDescent="0.25">
      <c r="A63" s="81" t="s">
        <v>106</v>
      </c>
      <c r="B63" s="82" t="s">
        <v>129</v>
      </c>
      <c r="C63" s="83" t="s">
        <v>349</v>
      </c>
      <c r="D63" s="84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654">
        <f>'2022-23 Input'!I63</f>
        <v>0</v>
      </c>
      <c r="N63" s="1065">
        <v>0</v>
      </c>
      <c r="O63" s="560">
        <f t="shared" si="27"/>
        <v>0</v>
      </c>
      <c r="P63" s="561">
        <f t="shared" si="0"/>
        <v>0</v>
      </c>
      <c r="Q63" s="561">
        <f t="shared" si="1"/>
        <v>0</v>
      </c>
      <c r="R63" s="561">
        <f t="shared" si="2"/>
        <v>0</v>
      </c>
      <c r="S63" s="561">
        <f t="shared" si="3"/>
        <v>0</v>
      </c>
      <c r="T63" s="561">
        <f t="shared" si="4"/>
        <v>0</v>
      </c>
      <c r="U63" s="561">
        <f t="shared" si="5"/>
        <v>0</v>
      </c>
      <c r="V63" s="561">
        <f t="shared" si="6"/>
        <v>0</v>
      </c>
      <c r="W63" s="675">
        <f t="shared" si="7"/>
        <v>0</v>
      </c>
      <c r="X63" s="675">
        <f t="shared" si="8"/>
        <v>0</v>
      </c>
      <c r="Y63" s="675">
        <f t="shared" si="8"/>
        <v>0</v>
      </c>
      <c r="Z63" s="86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1094">
        <f>'2022-23 Input'!P63</f>
        <v>0</v>
      </c>
      <c r="AJ63" s="665">
        <v>0</v>
      </c>
      <c r="AK63" s="127">
        <f t="shared" si="33"/>
        <v>0</v>
      </c>
      <c r="AL63" s="128">
        <f t="shared" si="34"/>
        <v>0</v>
      </c>
      <c r="AM63" s="129">
        <f t="shared" si="35"/>
        <v>0</v>
      </c>
      <c r="AN63" s="91" t="str">
        <f t="shared" si="36"/>
        <v/>
      </c>
      <c r="AO63" s="92" t="str">
        <f t="shared" si="37"/>
        <v/>
      </c>
      <c r="AP63" s="92" t="str">
        <f t="shared" si="38"/>
        <v/>
      </c>
      <c r="AQ63" s="92" t="str">
        <f t="shared" si="39"/>
        <v/>
      </c>
      <c r="AR63" s="92" t="str">
        <f t="shared" si="40"/>
        <v/>
      </c>
      <c r="AS63" s="92" t="str">
        <f t="shared" si="41"/>
        <v/>
      </c>
      <c r="AT63" s="92" t="str">
        <f t="shared" si="42"/>
        <v/>
      </c>
      <c r="AU63" s="92" t="str">
        <f t="shared" si="43"/>
        <v/>
      </c>
      <c r="AV63" s="92" t="str">
        <f t="shared" si="51"/>
        <v/>
      </c>
      <c r="AW63" s="92" t="str">
        <f t="shared" si="51"/>
        <v/>
      </c>
      <c r="AX63" s="92" t="str">
        <f t="shared" si="51"/>
        <v/>
      </c>
      <c r="AY63" s="93" t="str">
        <f t="shared" si="45"/>
        <v/>
      </c>
      <c r="AZ63" s="94" t="str">
        <f t="shared" si="46"/>
        <v/>
      </c>
      <c r="BA63" s="95" t="str">
        <f t="shared" si="47"/>
        <v/>
      </c>
      <c r="BB63" s="248" t="s">
        <v>422</v>
      </c>
      <c r="BC63" s="229" t="s">
        <v>433</v>
      </c>
      <c r="BD63" s="249">
        <v>0</v>
      </c>
      <c r="BE63" s="267">
        <f t="shared" si="28"/>
        <v>0</v>
      </c>
      <c r="BF63" s="268">
        <f t="shared" si="52"/>
        <v>0</v>
      </c>
      <c r="BG63" s="268">
        <f t="shared" si="52"/>
        <v>0</v>
      </c>
      <c r="BH63" s="268">
        <f t="shared" si="52"/>
        <v>1</v>
      </c>
      <c r="BI63" s="268">
        <f t="shared" si="52"/>
        <v>2</v>
      </c>
      <c r="BJ63" s="268">
        <f t="shared" si="52"/>
        <v>3</v>
      </c>
      <c r="BK63" s="268">
        <f t="shared" si="52"/>
        <v>4</v>
      </c>
      <c r="BL63" s="269">
        <f t="shared" si="52"/>
        <v>5</v>
      </c>
      <c r="BM63" s="256">
        <f>IF($BC63=Lookup!$A$2,$BD63*ROUNDUP(BE63/10,0)+1,
IF($BC63=Lookup!$A$3,($BD63+1)^BD63,
IF($BC63=Lookup!$A$4,BE63*$BD63+1,"Error")))</f>
        <v>1</v>
      </c>
      <c r="BN63" s="229">
        <f>IF($BC63=Lookup!$A$2,$BD63*ROUNDUP(BF63/10,0)+1,
IF($BC63=Lookup!$A$3,($BD63+1)^BE63,
IF($BC63=Lookup!$A$4,BF63*$BD63+1,"Error")))</f>
        <v>1</v>
      </c>
      <c r="BO63" s="229">
        <f>IF($BC63=Lookup!$A$2,$BD63*ROUNDUP(BG63/10,0)+1,
IF($BC63=Lookup!$A$3,($BD63+1)^BF63,
IF($BC63=Lookup!$A$4,BG63*$BD63+1,"Error")))</f>
        <v>1</v>
      </c>
      <c r="BP63" s="229">
        <f>IF($BC63=Lookup!$A$2,$BD63*ROUNDUP(BH63/10,0)+1,
IF($BC63=Lookup!$A$3,($BD63+1)^BG63,
IF($BC63=Lookup!$A$4,BH63*$BD63+1,"Error")))</f>
        <v>1</v>
      </c>
      <c r="BQ63" s="229">
        <f>IF($BC63=Lookup!$A$2,$BD63*ROUNDUP(BI63/10,0)+1,
IF($BC63=Lookup!$A$3,($BD63+1)^BH63,
IF($BC63=Lookup!$A$4,BI63*$BD63+1,"Error")))</f>
        <v>1</v>
      </c>
      <c r="BR63" s="229">
        <f>IF($BC63=Lookup!$A$2,$BD63*ROUNDUP(BJ63/10,0)+1,
IF($BC63=Lookup!$A$3,($BD63+1)^BI63,
IF($BC63=Lookup!$A$4,BJ63*$BD63+1,"Error")))</f>
        <v>1</v>
      </c>
      <c r="BS63" s="229">
        <f>IF($BC63=Lookup!$A$2,$BD63*ROUNDUP(BK63/10,0)+1,
IF($BC63=Lookup!$A$3,($BD63+1)^BJ63,
IF($BC63=Lookup!$A$4,BK63*$BD63+1,"Error")))</f>
        <v>1</v>
      </c>
      <c r="BT63" s="249">
        <f>IF($BC63=Lookup!$A$2,$BD63*ROUNDUP(BL63/10,0)+1,
IF($BC63=Lookup!$A$3,($BD63+1)^BK63,
IF($BC63=Lookup!$A$4,BL63*$BD63+1,"Error")))</f>
        <v>1</v>
      </c>
      <c r="BU63" s="320">
        <v>0</v>
      </c>
      <c r="BV63" s="321">
        <v>0</v>
      </c>
      <c r="BW63" s="321">
        <v>0</v>
      </c>
      <c r="BX63" s="321">
        <v>0</v>
      </c>
      <c r="BY63" s="321">
        <v>0</v>
      </c>
      <c r="BZ63" s="321">
        <v>0</v>
      </c>
      <c r="CA63" s="321">
        <v>0</v>
      </c>
      <c r="CB63" s="277">
        <v>0</v>
      </c>
      <c r="CC63" s="382" t="s">
        <v>293</v>
      </c>
      <c r="CD63" s="383">
        <f>HLOOKUP($CC63,$AK$6:$AM$132,ROWS(CD$6:CD63),0)</f>
        <v>0</v>
      </c>
      <c r="CE63" s="239">
        <f t="shared" si="29"/>
        <v>0</v>
      </c>
      <c r="CF63" s="140">
        <f t="shared" si="29"/>
        <v>0</v>
      </c>
      <c r="CG63" s="810">
        <f t="shared" si="29"/>
        <v>0</v>
      </c>
      <c r="CH63" s="812">
        <f t="shared" si="29"/>
        <v>0</v>
      </c>
      <c r="CI63" s="140">
        <f t="shared" si="50"/>
        <v>0</v>
      </c>
      <c r="CJ63" s="140">
        <f t="shared" si="50"/>
        <v>0</v>
      </c>
      <c r="CK63" s="140">
        <f t="shared" si="50"/>
        <v>0</v>
      </c>
      <c r="CL63" s="291">
        <f t="shared" si="50"/>
        <v>0</v>
      </c>
      <c r="CM63" s="305" t="s">
        <v>293</v>
      </c>
      <c r="CN63" s="315">
        <v>0.05</v>
      </c>
      <c r="CO63" s="306"/>
      <c r="CP63" s="307" t="str">
        <f>IF($CO63&lt;&gt;"",$CO63,HLOOKUP($CM63,$AY$6:$BA$132,ROWS(CP$6:CP63),0))</f>
        <v/>
      </c>
      <c r="CQ63" s="784" t="str">
        <f t="shared" si="49"/>
        <v/>
      </c>
      <c r="CR63" s="784" t="str">
        <f t="shared" si="49"/>
        <v/>
      </c>
      <c r="CS63" s="524" t="str">
        <f t="shared" si="49"/>
        <v/>
      </c>
      <c r="CT63" s="416" t="str">
        <f t="shared" si="49"/>
        <v/>
      </c>
      <c r="CU63" s="97" t="str">
        <f t="shared" si="49"/>
        <v/>
      </c>
      <c r="CV63" s="97" t="str">
        <f t="shared" si="49"/>
        <v/>
      </c>
      <c r="CW63" s="97" t="str">
        <f t="shared" si="49"/>
        <v/>
      </c>
      <c r="CX63" s="98" t="str">
        <f t="shared" si="32"/>
        <v/>
      </c>
      <c r="CY63" s="392"/>
    </row>
    <row r="64" spans="1:103" x14ac:dyDescent="0.25">
      <c r="A64" s="81" t="s">
        <v>106</v>
      </c>
      <c r="B64" s="82" t="s">
        <v>131</v>
      </c>
      <c r="C64" s="83" t="s">
        <v>351</v>
      </c>
      <c r="D64" s="84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654">
        <f>'2022-23 Input'!I64</f>
        <v>0</v>
      </c>
      <c r="N64" s="1065">
        <v>0</v>
      </c>
      <c r="O64" s="560">
        <f t="shared" si="27"/>
        <v>0</v>
      </c>
      <c r="P64" s="561">
        <f t="shared" si="0"/>
        <v>0</v>
      </c>
      <c r="Q64" s="561">
        <f t="shared" si="1"/>
        <v>0</v>
      </c>
      <c r="R64" s="561">
        <f t="shared" si="2"/>
        <v>0</v>
      </c>
      <c r="S64" s="561">
        <f t="shared" si="3"/>
        <v>0</v>
      </c>
      <c r="T64" s="561">
        <f t="shared" si="4"/>
        <v>0</v>
      </c>
      <c r="U64" s="561">
        <f t="shared" si="5"/>
        <v>0</v>
      </c>
      <c r="V64" s="561">
        <f t="shared" si="6"/>
        <v>0</v>
      </c>
      <c r="W64" s="675">
        <f t="shared" si="7"/>
        <v>0</v>
      </c>
      <c r="X64" s="675">
        <f t="shared" si="8"/>
        <v>0</v>
      </c>
      <c r="Y64" s="675">
        <f t="shared" si="8"/>
        <v>0</v>
      </c>
      <c r="Z64" s="86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1094">
        <f>'2022-23 Input'!P64</f>
        <v>0</v>
      </c>
      <c r="AJ64" s="665">
        <v>0</v>
      </c>
      <c r="AK64" s="127">
        <f t="shared" si="33"/>
        <v>0</v>
      </c>
      <c r="AL64" s="128">
        <f t="shared" si="34"/>
        <v>0</v>
      </c>
      <c r="AM64" s="129">
        <f t="shared" si="35"/>
        <v>0</v>
      </c>
      <c r="AN64" s="91" t="str">
        <f t="shared" si="36"/>
        <v/>
      </c>
      <c r="AO64" s="92" t="str">
        <f t="shared" si="37"/>
        <v/>
      </c>
      <c r="AP64" s="92" t="str">
        <f t="shared" si="38"/>
        <v/>
      </c>
      <c r="AQ64" s="92" t="str">
        <f t="shared" si="39"/>
        <v/>
      </c>
      <c r="AR64" s="92" t="str">
        <f t="shared" si="40"/>
        <v/>
      </c>
      <c r="AS64" s="92" t="str">
        <f t="shared" si="41"/>
        <v/>
      </c>
      <c r="AT64" s="92" t="str">
        <f t="shared" si="42"/>
        <v/>
      </c>
      <c r="AU64" s="92" t="str">
        <f t="shared" si="43"/>
        <v/>
      </c>
      <c r="AV64" s="92" t="str">
        <f t="shared" si="51"/>
        <v/>
      </c>
      <c r="AW64" s="92" t="str">
        <f t="shared" si="51"/>
        <v/>
      </c>
      <c r="AX64" s="92" t="str">
        <f t="shared" si="51"/>
        <v/>
      </c>
      <c r="AY64" s="93" t="str">
        <f t="shared" si="45"/>
        <v/>
      </c>
      <c r="AZ64" s="94" t="str">
        <f t="shared" si="46"/>
        <v/>
      </c>
      <c r="BA64" s="95" t="str">
        <f t="shared" si="47"/>
        <v/>
      </c>
      <c r="BB64" s="248" t="s">
        <v>422</v>
      </c>
      <c r="BC64" s="229" t="s">
        <v>433</v>
      </c>
      <c r="BD64" s="249">
        <v>0</v>
      </c>
      <c r="BE64" s="267">
        <f t="shared" si="28"/>
        <v>0</v>
      </c>
      <c r="BF64" s="268">
        <f t="shared" si="52"/>
        <v>0</v>
      </c>
      <c r="BG64" s="268">
        <f t="shared" si="52"/>
        <v>0</v>
      </c>
      <c r="BH64" s="268">
        <f t="shared" si="52"/>
        <v>1</v>
      </c>
      <c r="BI64" s="268">
        <f t="shared" si="52"/>
        <v>2</v>
      </c>
      <c r="BJ64" s="268">
        <f t="shared" si="52"/>
        <v>3</v>
      </c>
      <c r="BK64" s="268">
        <f t="shared" si="52"/>
        <v>4</v>
      </c>
      <c r="BL64" s="269">
        <f t="shared" si="52"/>
        <v>5</v>
      </c>
      <c r="BM64" s="256">
        <f>IF($BC64=Lookup!$A$2,$BD64*ROUNDUP(BE64/10,0)+1,
IF($BC64=Lookup!$A$3,($BD64+1)^BD64,
IF($BC64=Lookup!$A$4,BE64*$BD64+1,"Error")))</f>
        <v>1</v>
      </c>
      <c r="BN64" s="229">
        <f>IF($BC64=Lookup!$A$2,$BD64*ROUNDUP(BF64/10,0)+1,
IF($BC64=Lookup!$A$3,($BD64+1)^BE64,
IF($BC64=Lookup!$A$4,BF64*$BD64+1,"Error")))</f>
        <v>1</v>
      </c>
      <c r="BO64" s="229">
        <f>IF($BC64=Lookup!$A$2,$BD64*ROUNDUP(BG64/10,0)+1,
IF($BC64=Lookup!$A$3,($BD64+1)^BF64,
IF($BC64=Lookup!$A$4,BG64*$BD64+1,"Error")))</f>
        <v>1</v>
      </c>
      <c r="BP64" s="229">
        <f>IF($BC64=Lookup!$A$2,$BD64*ROUNDUP(BH64/10,0)+1,
IF($BC64=Lookup!$A$3,($BD64+1)^BG64,
IF($BC64=Lookup!$A$4,BH64*$BD64+1,"Error")))</f>
        <v>1</v>
      </c>
      <c r="BQ64" s="229">
        <f>IF($BC64=Lookup!$A$2,$BD64*ROUNDUP(BI64/10,0)+1,
IF($BC64=Lookup!$A$3,($BD64+1)^BH64,
IF($BC64=Lookup!$A$4,BI64*$BD64+1,"Error")))</f>
        <v>1</v>
      </c>
      <c r="BR64" s="229">
        <f>IF($BC64=Lookup!$A$2,$BD64*ROUNDUP(BJ64/10,0)+1,
IF($BC64=Lookup!$A$3,($BD64+1)^BI64,
IF($BC64=Lookup!$A$4,BJ64*$BD64+1,"Error")))</f>
        <v>1</v>
      </c>
      <c r="BS64" s="229">
        <f>IF($BC64=Lookup!$A$2,$BD64*ROUNDUP(BK64/10,0)+1,
IF($BC64=Lookup!$A$3,($BD64+1)^BJ64,
IF($BC64=Lookup!$A$4,BK64*$BD64+1,"Error")))</f>
        <v>1</v>
      </c>
      <c r="BT64" s="249">
        <f>IF($BC64=Lookup!$A$2,$BD64*ROUNDUP(BL64/10,0)+1,
IF($BC64=Lookup!$A$3,($BD64+1)^BK64,
IF($BC64=Lookup!$A$4,BL64*$BD64+1,"Error")))</f>
        <v>1</v>
      </c>
      <c r="BU64" s="320">
        <v>0</v>
      </c>
      <c r="BV64" s="321">
        <v>0</v>
      </c>
      <c r="BW64" s="321">
        <v>0</v>
      </c>
      <c r="BX64" s="321">
        <v>0</v>
      </c>
      <c r="BY64" s="321">
        <v>0</v>
      </c>
      <c r="BZ64" s="321">
        <v>0</v>
      </c>
      <c r="CA64" s="321">
        <v>0</v>
      </c>
      <c r="CB64" s="277">
        <v>0</v>
      </c>
      <c r="CC64" s="382" t="s">
        <v>293</v>
      </c>
      <c r="CD64" s="383">
        <f>HLOOKUP($CC64,$AK$6:$AM$132,ROWS(CD$6:CD64),0)</f>
        <v>0</v>
      </c>
      <c r="CE64" s="239">
        <f t="shared" si="29"/>
        <v>0</v>
      </c>
      <c r="CF64" s="140">
        <f t="shared" si="29"/>
        <v>0</v>
      </c>
      <c r="CG64" s="810">
        <f t="shared" si="29"/>
        <v>0</v>
      </c>
      <c r="CH64" s="812">
        <f t="shared" si="29"/>
        <v>0</v>
      </c>
      <c r="CI64" s="140">
        <f t="shared" si="50"/>
        <v>0</v>
      </c>
      <c r="CJ64" s="140">
        <f t="shared" si="50"/>
        <v>0</v>
      </c>
      <c r="CK64" s="140">
        <f t="shared" si="50"/>
        <v>0</v>
      </c>
      <c r="CL64" s="291">
        <f t="shared" si="50"/>
        <v>0</v>
      </c>
      <c r="CM64" s="305" t="s">
        <v>293</v>
      </c>
      <c r="CN64" s="315">
        <v>0.05</v>
      </c>
      <c r="CO64" s="306"/>
      <c r="CP64" s="307" t="str">
        <f>IF($CO64&lt;&gt;"",$CO64,HLOOKUP($CM64,$AY$6:$BA$132,ROWS(CP$6:CP64),0))</f>
        <v/>
      </c>
      <c r="CQ64" s="784" t="str">
        <f t="shared" si="49"/>
        <v/>
      </c>
      <c r="CR64" s="784" t="str">
        <f t="shared" si="49"/>
        <v/>
      </c>
      <c r="CS64" s="524" t="str">
        <f t="shared" si="49"/>
        <v/>
      </c>
      <c r="CT64" s="416" t="str">
        <f t="shared" si="49"/>
        <v/>
      </c>
      <c r="CU64" s="97" t="str">
        <f t="shared" si="49"/>
        <v/>
      </c>
      <c r="CV64" s="97" t="str">
        <f t="shared" si="49"/>
        <v/>
      </c>
      <c r="CW64" s="97" t="str">
        <f t="shared" si="49"/>
        <v/>
      </c>
      <c r="CX64" s="98" t="str">
        <f t="shared" si="32"/>
        <v/>
      </c>
      <c r="CY64" s="392"/>
    </row>
    <row r="65" spans="1:103" x14ac:dyDescent="0.25">
      <c r="A65" s="81" t="s">
        <v>106</v>
      </c>
      <c r="B65" s="82" t="s">
        <v>133</v>
      </c>
      <c r="C65" s="83" t="s">
        <v>353</v>
      </c>
      <c r="D65" s="84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654">
        <f>'2022-23 Input'!I65</f>
        <v>0</v>
      </c>
      <c r="N65" s="1065">
        <v>0</v>
      </c>
      <c r="O65" s="560">
        <f t="shared" si="27"/>
        <v>0</v>
      </c>
      <c r="P65" s="561">
        <f t="shared" si="0"/>
        <v>0</v>
      </c>
      <c r="Q65" s="561">
        <f t="shared" si="1"/>
        <v>0</v>
      </c>
      <c r="R65" s="561">
        <f t="shared" si="2"/>
        <v>0</v>
      </c>
      <c r="S65" s="561">
        <f t="shared" si="3"/>
        <v>0</v>
      </c>
      <c r="T65" s="561">
        <f t="shared" si="4"/>
        <v>0</v>
      </c>
      <c r="U65" s="561">
        <f t="shared" si="5"/>
        <v>0</v>
      </c>
      <c r="V65" s="561">
        <f t="shared" si="6"/>
        <v>0</v>
      </c>
      <c r="W65" s="675">
        <f t="shared" si="7"/>
        <v>0</v>
      </c>
      <c r="X65" s="675">
        <f t="shared" si="8"/>
        <v>0</v>
      </c>
      <c r="Y65" s="675">
        <f t="shared" si="8"/>
        <v>0</v>
      </c>
      <c r="Z65" s="86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1094">
        <f>'2022-23 Input'!P65</f>
        <v>0</v>
      </c>
      <c r="AJ65" s="665">
        <v>0</v>
      </c>
      <c r="AK65" s="127">
        <f t="shared" si="33"/>
        <v>0</v>
      </c>
      <c r="AL65" s="128">
        <f t="shared" si="34"/>
        <v>0</v>
      </c>
      <c r="AM65" s="129">
        <f t="shared" si="35"/>
        <v>0</v>
      </c>
      <c r="AN65" s="91" t="str">
        <f t="shared" si="36"/>
        <v/>
      </c>
      <c r="AO65" s="92" t="str">
        <f t="shared" si="37"/>
        <v/>
      </c>
      <c r="AP65" s="92" t="str">
        <f t="shared" si="38"/>
        <v/>
      </c>
      <c r="AQ65" s="92" t="str">
        <f t="shared" si="39"/>
        <v/>
      </c>
      <c r="AR65" s="92" t="str">
        <f t="shared" si="40"/>
        <v/>
      </c>
      <c r="AS65" s="92" t="str">
        <f t="shared" si="41"/>
        <v/>
      </c>
      <c r="AT65" s="92" t="str">
        <f t="shared" si="42"/>
        <v/>
      </c>
      <c r="AU65" s="92" t="str">
        <f t="shared" si="43"/>
        <v/>
      </c>
      <c r="AV65" s="92" t="str">
        <f t="shared" si="51"/>
        <v/>
      </c>
      <c r="AW65" s="92" t="str">
        <f t="shared" si="51"/>
        <v/>
      </c>
      <c r="AX65" s="92" t="str">
        <f t="shared" si="51"/>
        <v/>
      </c>
      <c r="AY65" s="93" t="str">
        <f t="shared" si="45"/>
        <v/>
      </c>
      <c r="AZ65" s="94" t="str">
        <f t="shared" si="46"/>
        <v/>
      </c>
      <c r="BA65" s="95" t="str">
        <f t="shared" si="47"/>
        <v/>
      </c>
      <c r="BB65" s="248" t="s">
        <v>422</v>
      </c>
      <c r="BC65" s="229" t="s">
        <v>433</v>
      </c>
      <c r="BD65" s="249">
        <v>0</v>
      </c>
      <c r="BE65" s="267">
        <f t="shared" si="28"/>
        <v>0</v>
      </c>
      <c r="BF65" s="268">
        <f t="shared" si="52"/>
        <v>0</v>
      </c>
      <c r="BG65" s="268">
        <f t="shared" si="52"/>
        <v>0</v>
      </c>
      <c r="BH65" s="268">
        <f t="shared" si="52"/>
        <v>1</v>
      </c>
      <c r="BI65" s="268">
        <f t="shared" si="52"/>
        <v>2</v>
      </c>
      <c r="BJ65" s="268">
        <f t="shared" si="52"/>
        <v>3</v>
      </c>
      <c r="BK65" s="268">
        <f t="shared" si="52"/>
        <v>4</v>
      </c>
      <c r="BL65" s="269">
        <f t="shared" si="52"/>
        <v>5</v>
      </c>
      <c r="BM65" s="256">
        <f>IF($BC65=Lookup!$A$2,$BD65*ROUNDUP(BE65/10,0)+1,
IF($BC65=Lookup!$A$3,($BD65+1)^BD65,
IF($BC65=Lookup!$A$4,BE65*$BD65+1,"Error")))</f>
        <v>1</v>
      </c>
      <c r="BN65" s="229">
        <f>IF($BC65=Lookup!$A$2,$BD65*ROUNDUP(BF65/10,0)+1,
IF($BC65=Lookup!$A$3,($BD65+1)^BE65,
IF($BC65=Lookup!$A$4,BF65*$BD65+1,"Error")))</f>
        <v>1</v>
      </c>
      <c r="BO65" s="229">
        <f>IF($BC65=Lookup!$A$2,$BD65*ROUNDUP(BG65/10,0)+1,
IF($BC65=Lookup!$A$3,($BD65+1)^BF65,
IF($BC65=Lookup!$A$4,BG65*$BD65+1,"Error")))</f>
        <v>1</v>
      </c>
      <c r="BP65" s="229">
        <f>IF($BC65=Lookup!$A$2,$BD65*ROUNDUP(BH65/10,0)+1,
IF($BC65=Lookup!$A$3,($BD65+1)^BG65,
IF($BC65=Lookup!$A$4,BH65*$BD65+1,"Error")))</f>
        <v>1</v>
      </c>
      <c r="BQ65" s="229">
        <f>IF($BC65=Lookup!$A$2,$BD65*ROUNDUP(BI65/10,0)+1,
IF($BC65=Lookup!$A$3,($BD65+1)^BH65,
IF($BC65=Lookup!$A$4,BI65*$BD65+1,"Error")))</f>
        <v>1</v>
      </c>
      <c r="BR65" s="229">
        <f>IF($BC65=Lookup!$A$2,$BD65*ROUNDUP(BJ65/10,0)+1,
IF($BC65=Lookup!$A$3,($BD65+1)^BI65,
IF($BC65=Lookup!$A$4,BJ65*$BD65+1,"Error")))</f>
        <v>1</v>
      </c>
      <c r="BS65" s="229">
        <f>IF($BC65=Lookup!$A$2,$BD65*ROUNDUP(BK65/10,0)+1,
IF($BC65=Lookup!$A$3,($BD65+1)^BJ65,
IF($BC65=Lookup!$A$4,BK65*$BD65+1,"Error")))</f>
        <v>1</v>
      </c>
      <c r="BT65" s="249">
        <f>IF($BC65=Lookup!$A$2,$BD65*ROUNDUP(BL65/10,0)+1,
IF($BC65=Lookup!$A$3,($BD65+1)^BK65,
IF($BC65=Lookup!$A$4,BL65*$BD65+1,"Error")))</f>
        <v>1</v>
      </c>
      <c r="BU65" s="320">
        <v>0</v>
      </c>
      <c r="BV65" s="321">
        <v>0</v>
      </c>
      <c r="BW65" s="321">
        <v>0</v>
      </c>
      <c r="BX65" s="321">
        <v>0</v>
      </c>
      <c r="BY65" s="321">
        <v>0</v>
      </c>
      <c r="BZ65" s="321">
        <v>0</v>
      </c>
      <c r="CA65" s="321">
        <v>0</v>
      </c>
      <c r="CB65" s="277">
        <v>0</v>
      </c>
      <c r="CC65" s="382" t="s">
        <v>293</v>
      </c>
      <c r="CD65" s="383">
        <f>HLOOKUP($CC65,$AK$6:$AM$132,ROWS(CD$6:CD65),0)</f>
        <v>0</v>
      </c>
      <c r="CE65" s="239">
        <f t="shared" si="29"/>
        <v>0</v>
      </c>
      <c r="CF65" s="140">
        <f t="shared" si="29"/>
        <v>0</v>
      </c>
      <c r="CG65" s="810">
        <f t="shared" si="29"/>
        <v>0</v>
      </c>
      <c r="CH65" s="812">
        <f t="shared" si="29"/>
        <v>0</v>
      </c>
      <c r="CI65" s="140">
        <f t="shared" si="50"/>
        <v>0</v>
      </c>
      <c r="CJ65" s="140">
        <f t="shared" si="50"/>
        <v>0</v>
      </c>
      <c r="CK65" s="140">
        <f t="shared" si="50"/>
        <v>0</v>
      </c>
      <c r="CL65" s="291">
        <f t="shared" si="50"/>
        <v>0</v>
      </c>
      <c r="CM65" s="305" t="s">
        <v>293</v>
      </c>
      <c r="CN65" s="315">
        <v>0.05</v>
      </c>
      <c r="CO65" s="306"/>
      <c r="CP65" s="307" t="str">
        <f>IF($CO65&lt;&gt;"",$CO65,HLOOKUP($CM65,$AY$6:$BA$132,ROWS(CP$6:CP65),0))</f>
        <v/>
      </c>
      <c r="CQ65" s="784" t="str">
        <f t="shared" si="49"/>
        <v/>
      </c>
      <c r="CR65" s="784" t="str">
        <f t="shared" si="49"/>
        <v/>
      </c>
      <c r="CS65" s="524" t="str">
        <f t="shared" si="49"/>
        <v/>
      </c>
      <c r="CT65" s="416" t="str">
        <f t="shared" si="49"/>
        <v/>
      </c>
      <c r="CU65" s="97" t="str">
        <f t="shared" si="49"/>
        <v/>
      </c>
      <c r="CV65" s="97" t="str">
        <f t="shared" si="49"/>
        <v/>
      </c>
      <c r="CW65" s="97" t="str">
        <f t="shared" si="49"/>
        <v/>
      </c>
      <c r="CX65" s="98" t="str">
        <f t="shared" si="32"/>
        <v/>
      </c>
      <c r="CY65" s="392"/>
    </row>
    <row r="66" spans="1:103" ht="15.75" thickBot="1" x14ac:dyDescent="0.3">
      <c r="A66" s="100" t="s">
        <v>106</v>
      </c>
      <c r="B66" s="101" t="s">
        <v>827</v>
      </c>
      <c r="C66" s="102" t="s">
        <v>355</v>
      </c>
      <c r="D66" s="103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655">
        <f>'2022-23 Input'!I66</f>
        <v>0</v>
      </c>
      <c r="N66" s="1066">
        <v>0</v>
      </c>
      <c r="O66" s="563">
        <f t="shared" si="27"/>
        <v>0</v>
      </c>
      <c r="P66" s="564">
        <f t="shared" si="0"/>
        <v>0</v>
      </c>
      <c r="Q66" s="564">
        <f t="shared" si="1"/>
        <v>0</v>
      </c>
      <c r="R66" s="564">
        <f t="shared" si="2"/>
        <v>0</v>
      </c>
      <c r="S66" s="564">
        <f t="shared" si="3"/>
        <v>0</v>
      </c>
      <c r="T66" s="564">
        <f t="shared" si="4"/>
        <v>0</v>
      </c>
      <c r="U66" s="564">
        <f t="shared" si="5"/>
        <v>0</v>
      </c>
      <c r="V66" s="564">
        <f t="shared" si="6"/>
        <v>0</v>
      </c>
      <c r="W66" s="676">
        <f t="shared" si="7"/>
        <v>0</v>
      </c>
      <c r="X66" s="676">
        <f t="shared" si="8"/>
        <v>0</v>
      </c>
      <c r="Y66" s="676">
        <f t="shared" si="8"/>
        <v>0</v>
      </c>
      <c r="Z66" s="105">
        <v>0</v>
      </c>
      <c r="AA66" s="106">
        <v>0</v>
      </c>
      <c r="AB66" s="106">
        <v>0</v>
      </c>
      <c r="AC66" s="106">
        <v>0</v>
      </c>
      <c r="AD66" s="106">
        <v>0</v>
      </c>
      <c r="AE66" s="106">
        <v>0</v>
      </c>
      <c r="AF66" s="106">
        <v>0</v>
      </c>
      <c r="AG66" s="106">
        <v>0</v>
      </c>
      <c r="AH66" s="106">
        <v>0</v>
      </c>
      <c r="AI66" s="1095">
        <f>'2022-23 Input'!P66</f>
        <v>0</v>
      </c>
      <c r="AJ66" s="666">
        <v>0</v>
      </c>
      <c r="AK66" s="133">
        <f t="shared" si="33"/>
        <v>0</v>
      </c>
      <c r="AL66" s="134">
        <f t="shared" si="34"/>
        <v>0</v>
      </c>
      <c r="AM66" s="135">
        <f t="shared" si="35"/>
        <v>0</v>
      </c>
      <c r="AN66" s="110" t="str">
        <f t="shared" si="36"/>
        <v/>
      </c>
      <c r="AO66" s="111" t="str">
        <f t="shared" si="37"/>
        <v/>
      </c>
      <c r="AP66" s="111" t="str">
        <f t="shared" si="38"/>
        <v/>
      </c>
      <c r="AQ66" s="111" t="str">
        <f t="shared" si="39"/>
        <v/>
      </c>
      <c r="AR66" s="111" t="str">
        <f t="shared" si="40"/>
        <v/>
      </c>
      <c r="AS66" s="111" t="str">
        <f t="shared" si="41"/>
        <v/>
      </c>
      <c r="AT66" s="111" t="str">
        <f t="shared" si="42"/>
        <v/>
      </c>
      <c r="AU66" s="111" t="str">
        <f t="shared" si="43"/>
        <v/>
      </c>
      <c r="AV66" s="111" t="str">
        <f t="shared" si="51"/>
        <v/>
      </c>
      <c r="AW66" s="111" t="str">
        <f t="shared" si="51"/>
        <v/>
      </c>
      <c r="AX66" s="111" t="str">
        <f t="shared" si="51"/>
        <v/>
      </c>
      <c r="AY66" s="112" t="str">
        <f t="shared" si="45"/>
        <v/>
      </c>
      <c r="AZ66" s="113" t="str">
        <f t="shared" si="46"/>
        <v/>
      </c>
      <c r="BA66" s="114" t="str">
        <f t="shared" si="47"/>
        <v/>
      </c>
      <c r="BB66" s="250" t="s">
        <v>422</v>
      </c>
      <c r="BC66" s="230" t="s">
        <v>433</v>
      </c>
      <c r="BD66" s="251">
        <v>0</v>
      </c>
      <c r="BE66" s="270">
        <f t="shared" si="28"/>
        <v>0</v>
      </c>
      <c r="BF66" s="271">
        <f t="shared" si="52"/>
        <v>0</v>
      </c>
      <c r="BG66" s="271">
        <f t="shared" si="52"/>
        <v>0</v>
      </c>
      <c r="BH66" s="271">
        <f t="shared" si="52"/>
        <v>1</v>
      </c>
      <c r="BI66" s="271">
        <f t="shared" si="52"/>
        <v>2</v>
      </c>
      <c r="BJ66" s="271">
        <f t="shared" si="52"/>
        <v>3</v>
      </c>
      <c r="BK66" s="271">
        <f t="shared" si="52"/>
        <v>4</v>
      </c>
      <c r="BL66" s="272">
        <f t="shared" si="52"/>
        <v>5</v>
      </c>
      <c r="BM66" s="257">
        <f>IF($BC66=Lookup!$A$2,$BD66*ROUNDUP(BE66/10,0)+1,
IF($BC66=Lookup!$A$3,($BD66+1)^BD66,
IF($BC66=Lookup!$A$4,BE66*$BD66+1,"Error")))</f>
        <v>1</v>
      </c>
      <c r="BN66" s="230">
        <f>IF($BC66=Lookup!$A$2,$BD66*ROUNDUP(BF66/10,0)+1,
IF($BC66=Lookup!$A$3,($BD66+1)^BE66,
IF($BC66=Lookup!$A$4,BF66*$BD66+1,"Error")))</f>
        <v>1</v>
      </c>
      <c r="BO66" s="230">
        <f>IF($BC66=Lookup!$A$2,$BD66*ROUNDUP(BG66/10,0)+1,
IF($BC66=Lookup!$A$3,($BD66+1)^BF66,
IF($BC66=Lookup!$A$4,BG66*$BD66+1,"Error")))</f>
        <v>1</v>
      </c>
      <c r="BP66" s="230">
        <f>IF($BC66=Lookup!$A$2,$BD66*ROUNDUP(BH66/10,0)+1,
IF($BC66=Lookup!$A$3,($BD66+1)^BG66,
IF($BC66=Lookup!$A$4,BH66*$BD66+1,"Error")))</f>
        <v>1</v>
      </c>
      <c r="BQ66" s="230">
        <f>IF($BC66=Lookup!$A$2,$BD66*ROUNDUP(BI66/10,0)+1,
IF($BC66=Lookup!$A$3,($BD66+1)^BH66,
IF($BC66=Lookup!$A$4,BI66*$BD66+1,"Error")))</f>
        <v>1</v>
      </c>
      <c r="BR66" s="230">
        <f>IF($BC66=Lookup!$A$2,$BD66*ROUNDUP(BJ66/10,0)+1,
IF($BC66=Lookup!$A$3,($BD66+1)^BI66,
IF($BC66=Lookup!$A$4,BJ66*$BD66+1,"Error")))</f>
        <v>1</v>
      </c>
      <c r="BS66" s="230">
        <f>IF($BC66=Lookup!$A$2,$BD66*ROUNDUP(BK66/10,0)+1,
IF($BC66=Lookup!$A$3,($BD66+1)^BJ66,
IF($BC66=Lookup!$A$4,BK66*$BD66+1,"Error")))</f>
        <v>1</v>
      </c>
      <c r="BT66" s="251">
        <f>IF($BC66=Lookup!$A$2,$BD66*ROUNDUP(BL66/10,0)+1,
IF($BC66=Lookup!$A$3,($BD66+1)^BK66,
IF($BC66=Lookup!$A$4,BL66*$BD66+1,"Error")))</f>
        <v>1</v>
      </c>
      <c r="BU66" s="322">
        <v>0</v>
      </c>
      <c r="BV66" s="323">
        <v>0</v>
      </c>
      <c r="BW66" s="323">
        <v>0</v>
      </c>
      <c r="BX66" s="323">
        <v>0</v>
      </c>
      <c r="BY66" s="323">
        <v>0</v>
      </c>
      <c r="BZ66" s="323">
        <v>0</v>
      </c>
      <c r="CA66" s="323">
        <v>0</v>
      </c>
      <c r="CB66" s="278">
        <v>0</v>
      </c>
      <c r="CC66" s="384" t="s">
        <v>293</v>
      </c>
      <c r="CD66" s="385">
        <f>HLOOKUP($CC66,$AK$6:$AM$132,ROWS(CD$6:CD66),0)</f>
        <v>0</v>
      </c>
      <c r="CE66" s="240">
        <f t="shared" si="29"/>
        <v>0</v>
      </c>
      <c r="CF66" s="141">
        <f t="shared" si="29"/>
        <v>0</v>
      </c>
      <c r="CG66" s="811">
        <f t="shared" si="29"/>
        <v>0</v>
      </c>
      <c r="CH66" s="813">
        <f t="shared" si="29"/>
        <v>0</v>
      </c>
      <c r="CI66" s="141">
        <f t="shared" si="50"/>
        <v>0</v>
      </c>
      <c r="CJ66" s="141">
        <f t="shared" si="50"/>
        <v>0</v>
      </c>
      <c r="CK66" s="141">
        <f t="shared" si="50"/>
        <v>0</v>
      </c>
      <c r="CL66" s="292">
        <f t="shared" si="50"/>
        <v>0</v>
      </c>
      <c r="CM66" s="308" t="s">
        <v>293</v>
      </c>
      <c r="CN66" s="316">
        <v>0.05</v>
      </c>
      <c r="CO66" s="309"/>
      <c r="CP66" s="310" t="str">
        <f>IF($CO66&lt;&gt;"",$CO66,HLOOKUP($CM66,$AY$6:$BA$132,ROWS(CP$6:CP66),0))</f>
        <v/>
      </c>
      <c r="CQ66" s="785" t="str">
        <f t="shared" si="49"/>
        <v/>
      </c>
      <c r="CR66" s="785" t="str">
        <f t="shared" si="49"/>
        <v/>
      </c>
      <c r="CS66" s="638" t="str">
        <f t="shared" si="49"/>
        <v/>
      </c>
      <c r="CT66" s="467" t="str">
        <f t="shared" si="49"/>
        <v/>
      </c>
      <c r="CU66" s="117" t="str">
        <f t="shared" si="49"/>
        <v/>
      </c>
      <c r="CV66" s="117" t="str">
        <f t="shared" si="49"/>
        <v/>
      </c>
      <c r="CW66" s="117" t="str">
        <f t="shared" si="49"/>
        <v/>
      </c>
      <c r="CX66" s="118" t="str">
        <f t="shared" si="32"/>
        <v/>
      </c>
      <c r="CY66" s="393"/>
    </row>
    <row r="67" spans="1:103" x14ac:dyDescent="0.25">
      <c r="A67" s="142" t="s">
        <v>138</v>
      </c>
      <c r="B67" s="143" t="s">
        <v>135</v>
      </c>
      <c r="C67" s="65" t="s">
        <v>356</v>
      </c>
      <c r="D67" s="66">
        <v>67734.333709646016</v>
      </c>
      <c r="E67" s="67">
        <v>296365.58334614709</v>
      </c>
      <c r="F67" s="67">
        <v>1443512.9113019295</v>
      </c>
      <c r="G67" s="67">
        <v>2589251.2504258789</v>
      </c>
      <c r="H67" s="67">
        <v>452933.50351532642</v>
      </c>
      <c r="I67" s="67">
        <v>447424.37428905419</v>
      </c>
      <c r="J67" s="67">
        <v>1187852.5787930267</v>
      </c>
      <c r="K67" s="67">
        <v>41996.830000000009</v>
      </c>
      <c r="L67" s="67">
        <v>929892.34331496165</v>
      </c>
      <c r="M67" s="653">
        <f>'2022-23 Input'!I67</f>
        <v>10503.266000000001</v>
      </c>
      <c r="N67" s="1064">
        <v>188089.87369678298</v>
      </c>
      <c r="O67" s="557">
        <f t="shared" si="27"/>
        <v>91133.587316890276</v>
      </c>
      <c r="P67" s="558">
        <f t="shared" si="0"/>
        <v>392812.10862884991</v>
      </c>
      <c r="Q67" s="558">
        <f t="shared" si="1"/>
        <v>1893897.2365572234</v>
      </c>
      <c r="R67" s="558">
        <f t="shared" si="2"/>
        <v>3332668.6538898582</v>
      </c>
      <c r="S67" s="558">
        <f t="shared" si="3"/>
        <v>571112.36894662783</v>
      </c>
      <c r="T67" s="558">
        <f t="shared" si="4"/>
        <v>555319.99904856947</v>
      </c>
      <c r="U67" s="558">
        <f t="shared" si="5"/>
        <v>1479456.1015470785</v>
      </c>
      <c r="V67" s="558">
        <f t="shared" si="6"/>
        <v>50369.267195658998</v>
      </c>
      <c r="W67" s="674">
        <f t="shared" si="7"/>
        <v>1050710.6833744075</v>
      </c>
      <c r="X67" s="674">
        <f t="shared" si="8"/>
        <v>11169.812987351617</v>
      </c>
      <c r="Y67" s="674">
        <f t="shared" si="8"/>
        <v>193262.05919818941</v>
      </c>
      <c r="Z67" s="68">
        <v>19</v>
      </c>
      <c r="AA67" s="69">
        <v>32</v>
      </c>
      <c r="AB67" s="69">
        <v>14</v>
      </c>
      <c r="AC67" s="69">
        <v>24</v>
      </c>
      <c r="AD67" s="69">
        <v>39</v>
      </c>
      <c r="AE67" s="69">
        <v>20</v>
      </c>
      <c r="AF67" s="69">
        <v>70</v>
      </c>
      <c r="AG67" s="69">
        <v>0</v>
      </c>
      <c r="AH67" s="69">
        <v>11</v>
      </c>
      <c r="AI67" s="1093">
        <f>'2022-23 Input'!P67</f>
        <v>0</v>
      </c>
      <c r="AJ67" s="664">
        <v>5</v>
      </c>
      <c r="AK67" s="70">
        <f t="shared" si="33"/>
        <v>20.2</v>
      </c>
      <c r="AL67" s="71">
        <f t="shared" si="34"/>
        <v>3.6666666666666665</v>
      </c>
      <c r="AM67" s="72">
        <f t="shared" si="35"/>
        <v>0</v>
      </c>
      <c r="AN67" s="73">
        <f t="shared" si="36"/>
        <v>3564.9649320866324</v>
      </c>
      <c r="AO67" s="74">
        <f t="shared" si="37"/>
        <v>9261.4244795670966</v>
      </c>
      <c r="AP67" s="74">
        <f t="shared" si="38"/>
        <v>103108.06509299496</v>
      </c>
      <c r="AQ67" s="74">
        <f t="shared" si="39"/>
        <v>107885.46876774495</v>
      </c>
      <c r="AR67" s="74">
        <f t="shared" si="40"/>
        <v>11613.679577316061</v>
      </c>
      <c r="AS67" s="74">
        <f t="shared" si="41"/>
        <v>22371.218714452709</v>
      </c>
      <c r="AT67" s="74">
        <f t="shared" si="42"/>
        <v>16969.322554186096</v>
      </c>
      <c r="AU67" s="74" t="str">
        <f t="shared" si="43"/>
        <v/>
      </c>
      <c r="AV67" s="74">
        <f t="shared" si="51"/>
        <v>84535.66757408742</v>
      </c>
      <c r="AW67" s="74" t="str">
        <f t="shared" si="51"/>
        <v/>
      </c>
      <c r="AX67" s="74">
        <f t="shared" si="51"/>
        <v>37617.974739356592</v>
      </c>
      <c r="AY67" s="75">
        <f t="shared" si="45"/>
        <v>25917.518736604379</v>
      </c>
      <c r="AZ67" s="76">
        <f t="shared" si="46"/>
        <v>89308.40357408741</v>
      </c>
      <c r="BA67" s="77" t="str">
        <f t="shared" si="47"/>
        <v/>
      </c>
      <c r="BB67" s="246" t="s">
        <v>422</v>
      </c>
      <c r="BC67" s="228" t="s">
        <v>433</v>
      </c>
      <c r="BD67" s="247">
        <v>0</v>
      </c>
      <c r="BE67" s="264">
        <f t="shared" si="28"/>
        <v>0</v>
      </c>
      <c r="BF67" s="265">
        <f t="shared" si="52"/>
        <v>0</v>
      </c>
      <c r="BG67" s="265">
        <f t="shared" si="52"/>
        <v>0</v>
      </c>
      <c r="BH67" s="265">
        <f t="shared" si="52"/>
        <v>1</v>
      </c>
      <c r="BI67" s="265">
        <f t="shared" si="52"/>
        <v>2</v>
      </c>
      <c r="BJ67" s="265">
        <f t="shared" si="52"/>
        <v>3</v>
      </c>
      <c r="BK67" s="265">
        <f t="shared" si="52"/>
        <v>4</v>
      </c>
      <c r="BL67" s="266">
        <f t="shared" si="52"/>
        <v>5</v>
      </c>
      <c r="BM67" s="255">
        <f>IF($BC67=Lookup!$A$2,$BD67*ROUNDUP(BE67/10,0)+1,
IF($BC67=Lookup!$A$3,($BD67+1)^BD67,
IF($BC67=Lookup!$A$4,BE67*$BD67+1,"Error")))</f>
        <v>1</v>
      </c>
      <c r="BN67" s="228">
        <f>IF($BC67=Lookup!$A$2,$BD67*ROUNDUP(BF67/10,0)+1,
IF($BC67=Lookup!$A$3,($BD67+1)^BE67,
IF($BC67=Lookup!$A$4,BF67*$BD67+1,"Error")))</f>
        <v>1</v>
      </c>
      <c r="BO67" s="228">
        <f>IF($BC67=Lookup!$A$2,$BD67*ROUNDUP(BG67/10,0)+1,
IF($BC67=Lookup!$A$3,($BD67+1)^BF67,
IF($BC67=Lookup!$A$4,BG67*$BD67+1,"Error")))</f>
        <v>1</v>
      </c>
      <c r="BP67" s="228">
        <f>IF($BC67=Lookup!$A$2,$BD67*ROUNDUP(BH67/10,0)+1,
IF($BC67=Lookup!$A$3,($BD67+1)^BG67,
IF($BC67=Lookup!$A$4,BH67*$BD67+1,"Error")))</f>
        <v>1</v>
      </c>
      <c r="BQ67" s="228">
        <f>IF($BC67=Lookup!$A$2,$BD67*ROUNDUP(BI67/10,0)+1,
IF($BC67=Lookup!$A$3,($BD67+1)^BH67,
IF($BC67=Lookup!$A$4,BI67*$BD67+1,"Error")))</f>
        <v>1</v>
      </c>
      <c r="BR67" s="228">
        <f>IF($BC67=Lookup!$A$2,$BD67*ROUNDUP(BJ67/10,0)+1,
IF($BC67=Lookup!$A$3,($BD67+1)^BI67,
IF($BC67=Lookup!$A$4,BJ67*$BD67+1,"Error")))</f>
        <v>1</v>
      </c>
      <c r="BS67" s="228">
        <f>IF($BC67=Lookup!$A$2,$BD67*ROUNDUP(BK67/10,0)+1,
IF($BC67=Lookup!$A$3,($BD67+1)^BJ67,
IF($BC67=Lookup!$A$4,BK67*$BD67+1,"Error")))</f>
        <v>1</v>
      </c>
      <c r="BT67" s="247">
        <f>IF($BC67=Lookup!$A$2,$BD67*ROUNDUP(BL67/10,0)+1,
IF($BC67=Lookup!$A$3,($BD67+1)^BK67,
IF($BC67=Lookup!$A$4,BL67*$BD67+1,"Error")))</f>
        <v>1</v>
      </c>
      <c r="BU67" s="318">
        <v>0</v>
      </c>
      <c r="BV67" s="319">
        <v>0</v>
      </c>
      <c r="BW67" s="319">
        <v>0</v>
      </c>
      <c r="BX67" s="319">
        <v>0</v>
      </c>
      <c r="BY67" s="319">
        <v>0</v>
      </c>
      <c r="BZ67" s="319">
        <v>0</v>
      </c>
      <c r="CA67" s="319">
        <v>0</v>
      </c>
      <c r="CB67" s="276">
        <v>0</v>
      </c>
      <c r="CC67" s="380" t="s">
        <v>293</v>
      </c>
      <c r="CD67" s="381">
        <f>HLOOKUP($CC67,$AK$6:$AM$132,ROWS(CD$6:CD67),0)</f>
        <v>3.6666666666666665</v>
      </c>
      <c r="CE67" s="233">
        <f t="shared" si="29"/>
        <v>0</v>
      </c>
      <c r="CF67" s="78">
        <f t="shared" si="29"/>
        <v>0</v>
      </c>
      <c r="CG67" s="797">
        <f t="shared" si="29"/>
        <v>0</v>
      </c>
      <c r="CH67" s="806">
        <f t="shared" si="29"/>
        <v>0</v>
      </c>
      <c r="CI67" s="78">
        <f t="shared" si="50"/>
        <v>0</v>
      </c>
      <c r="CJ67" s="78">
        <f t="shared" si="50"/>
        <v>0</v>
      </c>
      <c r="CK67" s="78">
        <f t="shared" si="50"/>
        <v>0</v>
      </c>
      <c r="CL67" s="285">
        <f t="shared" si="50"/>
        <v>0</v>
      </c>
      <c r="CM67" s="302" t="s">
        <v>293</v>
      </c>
      <c r="CN67" s="314">
        <v>0.05</v>
      </c>
      <c r="CO67" s="303"/>
      <c r="CP67" s="304">
        <f>IF($CO67&lt;&gt;"",$CO67,HLOOKUP($CM67,$AY$6:$BA$132,ROWS(CP$6:CP67),0))</f>
        <v>89308.40357408741</v>
      </c>
      <c r="CQ67" s="783">
        <f t="shared" si="49"/>
        <v>0</v>
      </c>
      <c r="CR67" s="783">
        <f t="shared" si="49"/>
        <v>0</v>
      </c>
      <c r="CS67" s="523">
        <f t="shared" si="49"/>
        <v>0</v>
      </c>
      <c r="CT67" s="415">
        <f t="shared" si="49"/>
        <v>0</v>
      </c>
      <c r="CU67" s="79">
        <f t="shared" si="49"/>
        <v>0</v>
      </c>
      <c r="CV67" s="79">
        <f t="shared" si="49"/>
        <v>0</v>
      </c>
      <c r="CW67" s="79">
        <f t="shared" si="49"/>
        <v>0</v>
      </c>
      <c r="CX67" s="80">
        <f t="shared" si="32"/>
        <v>0</v>
      </c>
      <c r="CY67" s="391"/>
    </row>
    <row r="68" spans="1:103" x14ac:dyDescent="0.25">
      <c r="A68" s="81" t="s">
        <v>138</v>
      </c>
      <c r="B68" s="82" t="s">
        <v>139</v>
      </c>
      <c r="C68" s="83" t="s">
        <v>357</v>
      </c>
      <c r="D68" s="84">
        <v>-142908.23450858053</v>
      </c>
      <c r="E68" s="85">
        <v>-688476.76298264461</v>
      </c>
      <c r="F68" s="85">
        <v>-167761.46071864525</v>
      </c>
      <c r="G68" s="85">
        <v>2263597.9857684476</v>
      </c>
      <c r="H68" s="85">
        <v>-1342.3653574732598</v>
      </c>
      <c r="I68" s="85">
        <v>0</v>
      </c>
      <c r="J68" s="85">
        <v>0</v>
      </c>
      <c r="K68" s="85">
        <v>0</v>
      </c>
      <c r="L68" s="85">
        <v>0</v>
      </c>
      <c r="M68" s="654">
        <f>'2022-23 Input'!I68</f>
        <v>0</v>
      </c>
      <c r="N68" s="1065">
        <v>0</v>
      </c>
      <c r="O68" s="560">
        <f t="shared" si="27"/>
        <v>-192276.78718622503</v>
      </c>
      <c r="P68" s="561">
        <f t="shared" si="0"/>
        <v>-912528.39130550635</v>
      </c>
      <c r="Q68" s="561">
        <f t="shared" si="1"/>
        <v>-220104.00071121327</v>
      </c>
      <c r="R68" s="561">
        <f t="shared" si="2"/>
        <v>2913514.8823189414</v>
      </c>
      <c r="S68" s="561">
        <f t="shared" si="3"/>
        <v>-1692.613713378124</v>
      </c>
      <c r="T68" s="561">
        <f t="shared" si="4"/>
        <v>0</v>
      </c>
      <c r="U68" s="561">
        <f t="shared" si="5"/>
        <v>0</v>
      </c>
      <c r="V68" s="561">
        <f t="shared" si="6"/>
        <v>0</v>
      </c>
      <c r="W68" s="675">
        <f t="shared" si="7"/>
        <v>0</v>
      </c>
      <c r="X68" s="675">
        <f t="shared" si="8"/>
        <v>0</v>
      </c>
      <c r="Y68" s="675">
        <f t="shared" si="8"/>
        <v>0</v>
      </c>
      <c r="Z68" s="86">
        <v>0</v>
      </c>
      <c r="AA68" s="87">
        <v>1</v>
      </c>
      <c r="AB68" s="87">
        <v>1</v>
      </c>
      <c r="AC68" s="87">
        <v>2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1094">
        <f>'2022-23 Input'!P68</f>
        <v>0</v>
      </c>
      <c r="AJ68" s="665">
        <v>0</v>
      </c>
      <c r="AK68" s="88">
        <f t="shared" si="33"/>
        <v>0</v>
      </c>
      <c r="AL68" s="89">
        <f t="shared" si="34"/>
        <v>0</v>
      </c>
      <c r="AM68" s="90">
        <f t="shared" si="35"/>
        <v>0</v>
      </c>
      <c r="AN68" s="91" t="str">
        <f t="shared" si="36"/>
        <v/>
      </c>
      <c r="AO68" s="92">
        <f t="shared" si="37"/>
        <v>-688476.76298264461</v>
      </c>
      <c r="AP68" s="92">
        <f t="shared" si="38"/>
        <v>-167761.46071864525</v>
      </c>
      <c r="AQ68" s="92">
        <f t="shared" si="39"/>
        <v>1131798.9928842238</v>
      </c>
      <c r="AR68" s="92" t="str">
        <f t="shared" si="40"/>
        <v/>
      </c>
      <c r="AS68" s="92" t="str">
        <f t="shared" si="41"/>
        <v/>
      </c>
      <c r="AT68" s="92" t="str">
        <f t="shared" si="42"/>
        <v/>
      </c>
      <c r="AU68" s="92" t="str">
        <f t="shared" si="43"/>
        <v/>
      </c>
      <c r="AV68" s="92" t="str">
        <f t="shared" si="51"/>
        <v/>
      </c>
      <c r="AW68" s="92" t="str">
        <f t="shared" si="51"/>
        <v/>
      </c>
      <c r="AX68" s="92" t="str">
        <f t="shared" si="51"/>
        <v/>
      </c>
      <c r="AY68" s="93" t="str">
        <f t="shared" si="45"/>
        <v/>
      </c>
      <c r="AZ68" s="94" t="str">
        <f t="shared" si="46"/>
        <v/>
      </c>
      <c r="BA68" s="95" t="str">
        <f t="shared" si="47"/>
        <v/>
      </c>
      <c r="BB68" s="248" t="s">
        <v>422</v>
      </c>
      <c r="BC68" s="229" t="s">
        <v>433</v>
      </c>
      <c r="BD68" s="249">
        <v>0</v>
      </c>
      <c r="BE68" s="267">
        <f t="shared" si="28"/>
        <v>0</v>
      </c>
      <c r="BF68" s="268">
        <f t="shared" si="52"/>
        <v>0</v>
      </c>
      <c r="BG68" s="268">
        <f t="shared" si="52"/>
        <v>0</v>
      </c>
      <c r="BH68" s="268">
        <f t="shared" si="52"/>
        <v>1</v>
      </c>
      <c r="BI68" s="268">
        <f t="shared" si="52"/>
        <v>2</v>
      </c>
      <c r="BJ68" s="268">
        <f t="shared" si="52"/>
        <v>3</v>
      </c>
      <c r="BK68" s="268">
        <f t="shared" si="52"/>
        <v>4</v>
      </c>
      <c r="BL68" s="269">
        <f t="shared" si="52"/>
        <v>5</v>
      </c>
      <c r="BM68" s="256">
        <f>IF($BC68=Lookup!$A$2,$BD68*ROUNDUP(BE68/10,0)+1,
IF($BC68=Lookup!$A$3,($BD68+1)^BD68,
IF($BC68=Lookup!$A$4,BE68*$BD68+1,"Error")))</f>
        <v>1</v>
      </c>
      <c r="BN68" s="229">
        <f>IF($BC68=Lookup!$A$2,$BD68*ROUNDUP(BF68/10,0)+1,
IF($BC68=Lookup!$A$3,($BD68+1)^BE68,
IF($BC68=Lookup!$A$4,BF68*$BD68+1,"Error")))</f>
        <v>1</v>
      </c>
      <c r="BO68" s="229">
        <f>IF($BC68=Lookup!$A$2,$BD68*ROUNDUP(BG68/10,0)+1,
IF($BC68=Lookup!$A$3,($BD68+1)^BF68,
IF($BC68=Lookup!$A$4,BG68*$BD68+1,"Error")))</f>
        <v>1</v>
      </c>
      <c r="BP68" s="229">
        <f>IF($BC68=Lookup!$A$2,$BD68*ROUNDUP(BH68/10,0)+1,
IF($BC68=Lookup!$A$3,($BD68+1)^BG68,
IF($BC68=Lookup!$A$4,BH68*$BD68+1,"Error")))</f>
        <v>1</v>
      </c>
      <c r="BQ68" s="229">
        <f>IF($BC68=Lookup!$A$2,$BD68*ROUNDUP(BI68/10,0)+1,
IF($BC68=Lookup!$A$3,($BD68+1)^BH68,
IF($BC68=Lookup!$A$4,BI68*$BD68+1,"Error")))</f>
        <v>1</v>
      </c>
      <c r="BR68" s="229">
        <f>IF($BC68=Lookup!$A$2,$BD68*ROUNDUP(BJ68/10,0)+1,
IF($BC68=Lookup!$A$3,($BD68+1)^BI68,
IF($BC68=Lookup!$A$4,BJ68*$BD68+1,"Error")))</f>
        <v>1</v>
      </c>
      <c r="BS68" s="229">
        <f>IF($BC68=Lookup!$A$2,$BD68*ROUNDUP(BK68/10,0)+1,
IF($BC68=Lookup!$A$3,($BD68+1)^BJ68,
IF($BC68=Lookup!$A$4,BK68*$BD68+1,"Error")))</f>
        <v>1</v>
      </c>
      <c r="BT68" s="249">
        <f>IF($BC68=Lookup!$A$2,$BD68*ROUNDUP(BL68/10,0)+1,
IF($BC68=Lookup!$A$3,($BD68+1)^BK68,
IF($BC68=Lookup!$A$4,BL68*$BD68+1,"Error")))</f>
        <v>1</v>
      </c>
      <c r="BU68" s="320">
        <v>0</v>
      </c>
      <c r="BV68" s="321">
        <v>0</v>
      </c>
      <c r="BW68" s="321">
        <v>0</v>
      </c>
      <c r="BX68" s="321">
        <v>0</v>
      </c>
      <c r="BY68" s="321">
        <v>0</v>
      </c>
      <c r="BZ68" s="321">
        <v>0</v>
      </c>
      <c r="CA68" s="321">
        <v>0</v>
      </c>
      <c r="CB68" s="277">
        <v>0</v>
      </c>
      <c r="CC68" s="382" t="s">
        <v>293</v>
      </c>
      <c r="CD68" s="383">
        <f>HLOOKUP($CC68,$AK$6:$AM$132,ROWS(CD$6:CD68),0)</f>
        <v>0</v>
      </c>
      <c r="CE68" s="234">
        <f t="shared" si="29"/>
        <v>0</v>
      </c>
      <c r="CF68" s="96">
        <f t="shared" si="29"/>
        <v>0</v>
      </c>
      <c r="CG68" s="521">
        <f t="shared" si="29"/>
        <v>0</v>
      </c>
      <c r="CH68" s="421">
        <f t="shared" si="29"/>
        <v>0</v>
      </c>
      <c r="CI68" s="96">
        <f t="shared" si="50"/>
        <v>0</v>
      </c>
      <c r="CJ68" s="96">
        <f t="shared" si="50"/>
        <v>0</v>
      </c>
      <c r="CK68" s="96">
        <f t="shared" si="50"/>
        <v>0</v>
      </c>
      <c r="CL68" s="286">
        <f t="shared" si="50"/>
        <v>0</v>
      </c>
      <c r="CM68" s="305" t="s">
        <v>293</v>
      </c>
      <c r="CN68" s="315">
        <v>0.05</v>
      </c>
      <c r="CO68" s="306"/>
      <c r="CP68" s="307" t="str">
        <f>IF($CO68&lt;&gt;"",$CO68,HLOOKUP($CM68,$AY$6:$BA$132,ROWS(CP$6:CP68),0))</f>
        <v/>
      </c>
      <c r="CQ68" s="784" t="str">
        <f t="shared" si="49"/>
        <v/>
      </c>
      <c r="CR68" s="784" t="str">
        <f t="shared" si="49"/>
        <v/>
      </c>
      <c r="CS68" s="524" t="str">
        <f t="shared" si="49"/>
        <v/>
      </c>
      <c r="CT68" s="416" t="str">
        <f t="shared" si="49"/>
        <v/>
      </c>
      <c r="CU68" s="97" t="str">
        <f t="shared" si="49"/>
        <v/>
      </c>
      <c r="CV68" s="97" t="str">
        <f t="shared" si="49"/>
        <v/>
      </c>
      <c r="CW68" s="97" t="str">
        <f t="shared" si="49"/>
        <v/>
      </c>
      <c r="CX68" s="98" t="str">
        <f t="shared" si="32"/>
        <v/>
      </c>
      <c r="CY68" s="392"/>
    </row>
    <row r="69" spans="1:103" x14ac:dyDescent="0.25">
      <c r="A69" s="81" t="s">
        <v>138</v>
      </c>
      <c r="B69" s="82" t="s">
        <v>141</v>
      </c>
      <c r="C69" s="83" t="s">
        <v>358</v>
      </c>
      <c r="D69" s="84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85">
        <v>0</v>
      </c>
      <c r="L69" s="85">
        <v>0</v>
      </c>
      <c r="M69" s="654">
        <f>'2022-23 Input'!I69</f>
        <v>0</v>
      </c>
      <c r="N69" s="1065">
        <v>0</v>
      </c>
      <c r="O69" s="560">
        <f t="shared" si="27"/>
        <v>0</v>
      </c>
      <c r="P69" s="561">
        <f t="shared" si="0"/>
        <v>0</v>
      </c>
      <c r="Q69" s="561">
        <f t="shared" si="1"/>
        <v>0</v>
      </c>
      <c r="R69" s="561">
        <f t="shared" si="2"/>
        <v>0</v>
      </c>
      <c r="S69" s="561">
        <f t="shared" si="3"/>
        <v>0</v>
      </c>
      <c r="T69" s="561">
        <f t="shared" si="4"/>
        <v>0</v>
      </c>
      <c r="U69" s="561">
        <f t="shared" si="5"/>
        <v>0</v>
      </c>
      <c r="V69" s="561">
        <f t="shared" si="6"/>
        <v>0</v>
      </c>
      <c r="W69" s="675">
        <f t="shared" si="7"/>
        <v>0</v>
      </c>
      <c r="X69" s="675">
        <f t="shared" si="8"/>
        <v>0</v>
      </c>
      <c r="Y69" s="675">
        <f t="shared" si="8"/>
        <v>0</v>
      </c>
      <c r="Z69" s="86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87">
        <v>0</v>
      </c>
      <c r="AI69" s="1094">
        <f>'2022-23 Input'!P69</f>
        <v>0</v>
      </c>
      <c r="AJ69" s="665">
        <v>0</v>
      </c>
      <c r="AK69" s="88">
        <f t="shared" si="33"/>
        <v>0</v>
      </c>
      <c r="AL69" s="89">
        <f t="shared" si="34"/>
        <v>0</v>
      </c>
      <c r="AM69" s="90">
        <f t="shared" si="35"/>
        <v>0</v>
      </c>
      <c r="AN69" s="91" t="str">
        <f t="shared" si="36"/>
        <v/>
      </c>
      <c r="AO69" s="92" t="str">
        <f t="shared" si="37"/>
        <v/>
      </c>
      <c r="AP69" s="92" t="str">
        <f t="shared" si="38"/>
        <v/>
      </c>
      <c r="AQ69" s="92" t="str">
        <f t="shared" si="39"/>
        <v/>
      </c>
      <c r="AR69" s="92" t="str">
        <f t="shared" si="40"/>
        <v/>
      </c>
      <c r="AS69" s="92" t="str">
        <f t="shared" si="41"/>
        <v/>
      </c>
      <c r="AT69" s="92" t="str">
        <f t="shared" si="42"/>
        <v/>
      </c>
      <c r="AU69" s="92" t="str">
        <f t="shared" si="43"/>
        <v/>
      </c>
      <c r="AV69" s="92" t="str">
        <f t="shared" si="51"/>
        <v/>
      </c>
      <c r="AW69" s="92" t="str">
        <f t="shared" si="51"/>
        <v/>
      </c>
      <c r="AX69" s="92" t="str">
        <f t="shared" si="51"/>
        <v/>
      </c>
      <c r="AY69" s="93" t="str">
        <f t="shared" si="45"/>
        <v/>
      </c>
      <c r="AZ69" s="94" t="str">
        <f t="shared" si="46"/>
        <v/>
      </c>
      <c r="BA69" s="95" t="str">
        <f t="shared" si="47"/>
        <v/>
      </c>
      <c r="BB69" s="248" t="s">
        <v>422</v>
      </c>
      <c r="BC69" s="229" t="s">
        <v>433</v>
      </c>
      <c r="BD69" s="249">
        <v>0</v>
      </c>
      <c r="BE69" s="267">
        <f t="shared" si="28"/>
        <v>0</v>
      </c>
      <c r="BF69" s="268">
        <f t="shared" si="52"/>
        <v>0</v>
      </c>
      <c r="BG69" s="268">
        <f t="shared" si="52"/>
        <v>0</v>
      </c>
      <c r="BH69" s="268">
        <f t="shared" si="52"/>
        <v>1</v>
      </c>
      <c r="BI69" s="268">
        <f t="shared" si="52"/>
        <v>2</v>
      </c>
      <c r="BJ69" s="268">
        <f t="shared" si="52"/>
        <v>3</v>
      </c>
      <c r="BK69" s="268">
        <f t="shared" si="52"/>
        <v>4</v>
      </c>
      <c r="BL69" s="269">
        <f t="shared" si="52"/>
        <v>5</v>
      </c>
      <c r="BM69" s="256">
        <f>IF($BC69=Lookup!$A$2,$BD69*ROUNDUP(BE69/10,0)+1,
IF($BC69=Lookup!$A$3,($BD69+1)^BD69,
IF($BC69=Lookup!$A$4,BE69*$BD69+1,"Error")))</f>
        <v>1</v>
      </c>
      <c r="BN69" s="229">
        <f>IF($BC69=Lookup!$A$2,$BD69*ROUNDUP(BF69/10,0)+1,
IF($BC69=Lookup!$A$3,($BD69+1)^BE69,
IF($BC69=Lookup!$A$4,BF69*$BD69+1,"Error")))</f>
        <v>1</v>
      </c>
      <c r="BO69" s="229">
        <f>IF($BC69=Lookup!$A$2,$BD69*ROUNDUP(BG69/10,0)+1,
IF($BC69=Lookup!$A$3,($BD69+1)^BF69,
IF($BC69=Lookup!$A$4,BG69*$BD69+1,"Error")))</f>
        <v>1</v>
      </c>
      <c r="BP69" s="229">
        <f>IF($BC69=Lookup!$A$2,$BD69*ROUNDUP(BH69/10,0)+1,
IF($BC69=Lookup!$A$3,($BD69+1)^BG69,
IF($BC69=Lookup!$A$4,BH69*$BD69+1,"Error")))</f>
        <v>1</v>
      </c>
      <c r="BQ69" s="229">
        <f>IF($BC69=Lookup!$A$2,$BD69*ROUNDUP(BI69/10,0)+1,
IF($BC69=Lookup!$A$3,($BD69+1)^BH69,
IF($BC69=Lookup!$A$4,BI69*$BD69+1,"Error")))</f>
        <v>1</v>
      </c>
      <c r="BR69" s="229">
        <f>IF($BC69=Lookup!$A$2,$BD69*ROUNDUP(BJ69/10,0)+1,
IF($BC69=Lookup!$A$3,($BD69+1)^BI69,
IF($BC69=Lookup!$A$4,BJ69*$BD69+1,"Error")))</f>
        <v>1</v>
      </c>
      <c r="BS69" s="229">
        <f>IF($BC69=Lookup!$A$2,$BD69*ROUNDUP(BK69/10,0)+1,
IF($BC69=Lookup!$A$3,($BD69+1)^BJ69,
IF($BC69=Lookup!$A$4,BK69*$BD69+1,"Error")))</f>
        <v>1</v>
      </c>
      <c r="BT69" s="249">
        <f>IF($BC69=Lookup!$A$2,$BD69*ROUNDUP(BL69/10,0)+1,
IF($BC69=Lookup!$A$3,($BD69+1)^BK69,
IF($BC69=Lookup!$A$4,BL69*$BD69+1,"Error")))</f>
        <v>1</v>
      </c>
      <c r="BU69" s="320">
        <v>0</v>
      </c>
      <c r="BV69" s="321">
        <v>0</v>
      </c>
      <c r="BW69" s="321">
        <v>0</v>
      </c>
      <c r="BX69" s="321">
        <v>0</v>
      </c>
      <c r="BY69" s="321">
        <v>0</v>
      </c>
      <c r="BZ69" s="321">
        <v>0</v>
      </c>
      <c r="CA69" s="321">
        <v>0</v>
      </c>
      <c r="CB69" s="277">
        <v>0</v>
      </c>
      <c r="CC69" s="382" t="s">
        <v>293</v>
      </c>
      <c r="CD69" s="383">
        <f>HLOOKUP($CC69,$AK$6:$AM$132,ROWS(CD$6:CD69),0)</f>
        <v>0</v>
      </c>
      <c r="CE69" s="234">
        <f t="shared" si="29"/>
        <v>0</v>
      </c>
      <c r="CF69" s="96">
        <f t="shared" si="29"/>
        <v>0</v>
      </c>
      <c r="CG69" s="521">
        <f t="shared" si="29"/>
        <v>0</v>
      </c>
      <c r="CH69" s="421">
        <f t="shared" si="29"/>
        <v>0</v>
      </c>
      <c r="CI69" s="96">
        <f t="shared" si="50"/>
        <v>0</v>
      </c>
      <c r="CJ69" s="96">
        <f t="shared" si="50"/>
        <v>0</v>
      </c>
      <c r="CK69" s="96">
        <f t="shared" si="50"/>
        <v>0</v>
      </c>
      <c r="CL69" s="286">
        <f t="shared" si="50"/>
        <v>0</v>
      </c>
      <c r="CM69" s="305" t="s">
        <v>293</v>
      </c>
      <c r="CN69" s="315">
        <v>0.05</v>
      </c>
      <c r="CO69" s="306"/>
      <c r="CP69" s="307" t="str">
        <f>IF($CO69&lt;&gt;"",$CO69,HLOOKUP($CM69,$AY$6:$BA$132,ROWS(CP$6:CP69),0))</f>
        <v/>
      </c>
      <c r="CQ69" s="784" t="str">
        <f t="shared" si="49"/>
        <v/>
      </c>
      <c r="CR69" s="784" t="str">
        <f t="shared" si="49"/>
        <v/>
      </c>
      <c r="CS69" s="524" t="str">
        <f t="shared" si="49"/>
        <v/>
      </c>
      <c r="CT69" s="416" t="str">
        <f t="shared" si="49"/>
        <v/>
      </c>
      <c r="CU69" s="97" t="str">
        <f t="shared" si="49"/>
        <v/>
      </c>
      <c r="CV69" s="97" t="str">
        <f t="shared" si="49"/>
        <v/>
      </c>
      <c r="CW69" s="97" t="str">
        <f t="shared" si="49"/>
        <v/>
      </c>
      <c r="CX69" s="98" t="str">
        <f t="shared" si="32"/>
        <v/>
      </c>
      <c r="CY69" s="392"/>
    </row>
    <row r="70" spans="1:103" x14ac:dyDescent="0.25">
      <c r="A70" s="81" t="s">
        <v>138</v>
      </c>
      <c r="B70" s="82" t="s">
        <v>143</v>
      </c>
      <c r="C70" s="83" t="s">
        <v>359</v>
      </c>
      <c r="D70" s="84">
        <v>-229960.11093560047</v>
      </c>
      <c r="E70" s="85">
        <v>1063234.7688661898</v>
      </c>
      <c r="F70" s="85">
        <v>104449.55021174671</v>
      </c>
      <c r="G70" s="85">
        <v>410378.78706495464</v>
      </c>
      <c r="H70" s="85">
        <v>-225182.20036780555</v>
      </c>
      <c r="I70" s="85">
        <v>231797.03561890105</v>
      </c>
      <c r="J70" s="85">
        <v>971537.72242288757</v>
      </c>
      <c r="K70" s="85">
        <v>0</v>
      </c>
      <c r="L70" s="85">
        <v>620192.71440703631</v>
      </c>
      <c r="M70" s="654">
        <f>'2022-23 Input'!I70</f>
        <v>9351.595340328</v>
      </c>
      <c r="N70" s="1065">
        <v>16890.311565163</v>
      </c>
      <c r="O70" s="560">
        <f t="shared" si="27"/>
        <v>-309401.28442374908</v>
      </c>
      <c r="P70" s="561">
        <f t="shared" si="0"/>
        <v>1409244.2408807978</v>
      </c>
      <c r="Q70" s="561">
        <f t="shared" si="1"/>
        <v>137038.41022610437</v>
      </c>
      <c r="R70" s="561">
        <f t="shared" si="2"/>
        <v>528205.41059804976</v>
      </c>
      <c r="S70" s="561">
        <f t="shared" si="3"/>
        <v>-283936.46947850456</v>
      </c>
      <c r="T70" s="561">
        <f t="shared" si="4"/>
        <v>287694.49541921931</v>
      </c>
      <c r="U70" s="561">
        <f t="shared" si="5"/>
        <v>1210038.5493814198</v>
      </c>
      <c r="V70" s="561">
        <f t="shared" si="6"/>
        <v>0</v>
      </c>
      <c r="W70" s="675">
        <f t="shared" si="7"/>
        <v>700772.63832005684</v>
      </c>
      <c r="X70" s="675">
        <f t="shared" si="8"/>
        <v>9945.0562410637358</v>
      </c>
      <c r="Y70" s="675">
        <f t="shared" si="8"/>
        <v>17354.769448379004</v>
      </c>
      <c r="Z70" s="86">
        <v>8</v>
      </c>
      <c r="AA70" s="87">
        <v>20</v>
      </c>
      <c r="AB70" s="87">
        <v>10</v>
      </c>
      <c r="AC70" s="87">
        <v>11</v>
      </c>
      <c r="AD70" s="87">
        <v>13</v>
      </c>
      <c r="AE70" s="87">
        <v>7</v>
      </c>
      <c r="AF70" s="87">
        <v>36</v>
      </c>
      <c r="AG70" s="87">
        <v>0</v>
      </c>
      <c r="AH70" s="87">
        <v>5</v>
      </c>
      <c r="AI70" s="1094">
        <f>'2022-23 Input'!P70</f>
        <v>1</v>
      </c>
      <c r="AJ70" s="665">
        <v>1</v>
      </c>
      <c r="AK70" s="88">
        <f t="shared" si="33"/>
        <v>9.8000000000000007</v>
      </c>
      <c r="AL70" s="89">
        <f t="shared" si="34"/>
        <v>2</v>
      </c>
      <c r="AM70" s="90">
        <f t="shared" si="35"/>
        <v>1</v>
      </c>
      <c r="AN70" s="91">
        <f t="shared" si="36"/>
        <v>-28745.013866950059</v>
      </c>
      <c r="AO70" s="92">
        <f t="shared" si="37"/>
        <v>53161.738443309485</v>
      </c>
      <c r="AP70" s="92">
        <f t="shared" si="38"/>
        <v>10444.955021174672</v>
      </c>
      <c r="AQ70" s="92">
        <f t="shared" si="39"/>
        <v>37307.162460450425</v>
      </c>
      <c r="AR70" s="92">
        <f t="shared" si="40"/>
        <v>-17321.707720600425</v>
      </c>
      <c r="AS70" s="92">
        <f t="shared" si="41"/>
        <v>33113.862231271582</v>
      </c>
      <c r="AT70" s="92">
        <f t="shared" si="42"/>
        <v>26987.158956191321</v>
      </c>
      <c r="AU70" s="92" t="str">
        <f t="shared" si="43"/>
        <v/>
      </c>
      <c r="AV70" s="92">
        <f t="shared" si="51"/>
        <v>124038.54288140727</v>
      </c>
      <c r="AW70" s="92">
        <f t="shared" si="51"/>
        <v>9351.595340328</v>
      </c>
      <c r="AX70" s="92">
        <f t="shared" si="51"/>
        <v>16890.311565163</v>
      </c>
      <c r="AY70" s="93">
        <f t="shared" si="45"/>
        <v>37405.695261003122</v>
      </c>
      <c r="AZ70" s="94">
        <f t="shared" si="46"/>
        <v>104924.05162456073</v>
      </c>
      <c r="BA70" s="95">
        <f t="shared" si="47"/>
        <v>9351.595340328</v>
      </c>
      <c r="BB70" s="248" t="s">
        <v>422</v>
      </c>
      <c r="BC70" s="229" t="s">
        <v>433</v>
      </c>
      <c r="BD70" s="249">
        <v>0</v>
      </c>
      <c r="BE70" s="267">
        <f t="shared" si="28"/>
        <v>0</v>
      </c>
      <c r="BF70" s="268">
        <f t="shared" si="52"/>
        <v>0</v>
      </c>
      <c r="BG70" s="268">
        <f t="shared" si="52"/>
        <v>0</v>
      </c>
      <c r="BH70" s="268">
        <f t="shared" si="52"/>
        <v>1</v>
      </c>
      <c r="BI70" s="268">
        <f t="shared" si="52"/>
        <v>2</v>
      </c>
      <c r="BJ70" s="268">
        <f t="shared" si="52"/>
        <v>3</v>
      </c>
      <c r="BK70" s="268">
        <f t="shared" si="52"/>
        <v>4</v>
      </c>
      <c r="BL70" s="269">
        <f t="shared" si="52"/>
        <v>5</v>
      </c>
      <c r="BM70" s="256">
        <f>IF($BC70=Lookup!$A$2,$BD70*ROUNDUP(BE70/10,0)+1,
IF($BC70=Lookup!$A$3,($BD70+1)^BD70,
IF($BC70=Lookup!$A$4,BE70*$BD70+1,"Error")))</f>
        <v>1</v>
      </c>
      <c r="BN70" s="229">
        <f>IF($BC70=Lookup!$A$2,$BD70*ROUNDUP(BF70/10,0)+1,
IF($BC70=Lookup!$A$3,($BD70+1)^BE70,
IF($BC70=Lookup!$A$4,BF70*$BD70+1,"Error")))</f>
        <v>1</v>
      </c>
      <c r="BO70" s="229">
        <f>IF($BC70=Lookup!$A$2,$BD70*ROUNDUP(BG70/10,0)+1,
IF($BC70=Lookup!$A$3,($BD70+1)^BF70,
IF($BC70=Lookup!$A$4,BG70*$BD70+1,"Error")))</f>
        <v>1</v>
      </c>
      <c r="BP70" s="229">
        <f>IF($BC70=Lookup!$A$2,$BD70*ROUNDUP(BH70/10,0)+1,
IF($BC70=Lookup!$A$3,($BD70+1)^BG70,
IF($BC70=Lookup!$A$4,BH70*$BD70+1,"Error")))</f>
        <v>1</v>
      </c>
      <c r="BQ70" s="229">
        <f>IF($BC70=Lookup!$A$2,$BD70*ROUNDUP(BI70/10,0)+1,
IF($BC70=Lookup!$A$3,($BD70+1)^BH70,
IF($BC70=Lookup!$A$4,BI70*$BD70+1,"Error")))</f>
        <v>1</v>
      </c>
      <c r="BR70" s="229">
        <f>IF($BC70=Lookup!$A$2,$BD70*ROUNDUP(BJ70/10,0)+1,
IF($BC70=Lookup!$A$3,($BD70+1)^BI70,
IF($BC70=Lookup!$A$4,BJ70*$BD70+1,"Error")))</f>
        <v>1</v>
      </c>
      <c r="BS70" s="229">
        <f>IF($BC70=Lookup!$A$2,$BD70*ROUNDUP(BK70/10,0)+1,
IF($BC70=Lookup!$A$3,($BD70+1)^BJ70,
IF($BC70=Lookup!$A$4,BK70*$BD70+1,"Error")))</f>
        <v>1</v>
      </c>
      <c r="BT70" s="249">
        <f>IF($BC70=Lookup!$A$2,$BD70*ROUNDUP(BL70/10,0)+1,
IF($BC70=Lookup!$A$3,($BD70+1)^BK70,
IF($BC70=Lookup!$A$4,BL70*$BD70+1,"Error")))</f>
        <v>1</v>
      </c>
      <c r="BU70" s="320">
        <v>0</v>
      </c>
      <c r="BV70" s="321">
        <v>0</v>
      </c>
      <c r="BW70" s="321">
        <v>0</v>
      </c>
      <c r="BX70" s="321">
        <v>0</v>
      </c>
      <c r="BY70" s="321">
        <v>0</v>
      </c>
      <c r="BZ70" s="321">
        <v>0</v>
      </c>
      <c r="CA70" s="321">
        <v>0</v>
      </c>
      <c r="CB70" s="277">
        <v>0</v>
      </c>
      <c r="CC70" s="382" t="s">
        <v>293</v>
      </c>
      <c r="CD70" s="383">
        <f>HLOOKUP($CC70,$AK$6:$AM$132,ROWS(CD$6:CD70),0)</f>
        <v>2</v>
      </c>
      <c r="CE70" s="234">
        <f t="shared" si="29"/>
        <v>0</v>
      </c>
      <c r="CF70" s="96">
        <f t="shared" si="29"/>
        <v>0</v>
      </c>
      <c r="CG70" s="521">
        <f t="shared" si="29"/>
        <v>0</v>
      </c>
      <c r="CH70" s="421">
        <f t="shared" si="29"/>
        <v>0</v>
      </c>
      <c r="CI70" s="96">
        <f t="shared" si="50"/>
        <v>0</v>
      </c>
      <c r="CJ70" s="96">
        <f t="shared" si="50"/>
        <v>0</v>
      </c>
      <c r="CK70" s="96">
        <f t="shared" si="50"/>
        <v>0</v>
      </c>
      <c r="CL70" s="286">
        <f t="shared" si="50"/>
        <v>0</v>
      </c>
      <c r="CM70" s="305" t="s">
        <v>293</v>
      </c>
      <c r="CN70" s="315">
        <v>0.05</v>
      </c>
      <c r="CO70" s="306"/>
      <c r="CP70" s="307">
        <f>IF($CO70&lt;&gt;"",$CO70,HLOOKUP($CM70,$AY$6:$BA$132,ROWS(CP$6:CP70),0))</f>
        <v>104924.05162456073</v>
      </c>
      <c r="CQ70" s="784">
        <f t="shared" si="49"/>
        <v>0</v>
      </c>
      <c r="CR70" s="784">
        <f t="shared" si="49"/>
        <v>0</v>
      </c>
      <c r="CS70" s="524">
        <f t="shared" si="49"/>
        <v>0</v>
      </c>
      <c r="CT70" s="416">
        <f t="shared" si="49"/>
        <v>0</v>
      </c>
      <c r="CU70" s="97">
        <f t="shared" si="49"/>
        <v>0</v>
      </c>
      <c r="CV70" s="97">
        <f t="shared" si="49"/>
        <v>0</v>
      </c>
      <c r="CW70" s="97">
        <f t="shared" si="49"/>
        <v>0</v>
      </c>
      <c r="CX70" s="98">
        <f t="shared" si="32"/>
        <v>0</v>
      </c>
      <c r="CY70" s="392"/>
    </row>
    <row r="71" spans="1:103" x14ac:dyDescent="0.25">
      <c r="A71" s="81" t="s">
        <v>138</v>
      </c>
      <c r="B71" s="82" t="s">
        <v>145</v>
      </c>
      <c r="C71" s="83" t="s">
        <v>360</v>
      </c>
      <c r="D71" s="84">
        <v>-1881503.5503560454</v>
      </c>
      <c r="E71" s="85">
        <v>-2248767.0011742897</v>
      </c>
      <c r="F71" s="85">
        <v>-3273266.8057290763</v>
      </c>
      <c r="G71" s="85">
        <v>1384492.3635893334</v>
      </c>
      <c r="H71" s="85">
        <v>-1932686.6318746842</v>
      </c>
      <c r="I71" s="85">
        <v>377705.41529741575</v>
      </c>
      <c r="J71" s="85">
        <v>1212371.4647836788</v>
      </c>
      <c r="K71" s="85">
        <v>21550.02</v>
      </c>
      <c r="L71" s="85">
        <v>1460775.9081306681</v>
      </c>
      <c r="M71" s="654">
        <f>'2022-23 Input'!I71</f>
        <v>14870.918346283999</v>
      </c>
      <c r="N71" s="1065">
        <v>41429.266396426006</v>
      </c>
      <c r="O71" s="560">
        <f t="shared" si="27"/>
        <v>-2531480.8414361509</v>
      </c>
      <c r="P71" s="561">
        <f t="shared" ref="P71:P132" si="53">E71*P$4</f>
        <v>-2980585.321590892</v>
      </c>
      <c r="Q71" s="561">
        <f t="shared" ref="Q71:Q132" si="54">F71*Q$4</f>
        <v>-4294544.8629853912</v>
      </c>
      <c r="R71" s="561">
        <f t="shared" ref="R71:R132" si="55">G71*R$4</f>
        <v>1782003.3111599865</v>
      </c>
      <c r="S71" s="561">
        <f t="shared" ref="S71:S132" si="56">H71*S$4</f>
        <v>-2436960.9052867959</v>
      </c>
      <c r="T71" s="561">
        <f t="shared" ref="T71:T132" si="57">I71*T$4</f>
        <v>468788.43200458994</v>
      </c>
      <c r="U71" s="561">
        <f t="shared" ref="U71:U132" si="58">J71*U$4</f>
        <v>1509994.0791796781</v>
      </c>
      <c r="V71" s="561">
        <f t="shared" ref="V71:V132" si="59">K71*V$4</f>
        <v>25846.205902964462</v>
      </c>
      <c r="W71" s="675">
        <f t="shared" ref="W71:W132" si="60">L71*W$4</f>
        <v>1650570.4813282653</v>
      </c>
      <c r="X71" s="675">
        <f t="shared" ref="X71:Y132" si="61">M71*X$4</f>
        <v>15814.640596379109</v>
      </c>
      <c r="Y71" s="675">
        <f t="shared" si="61"/>
        <v>42568.508221506592</v>
      </c>
      <c r="Z71" s="86">
        <v>23</v>
      </c>
      <c r="AA71" s="87">
        <v>31</v>
      </c>
      <c r="AB71" s="87">
        <v>29</v>
      </c>
      <c r="AC71" s="87">
        <v>15</v>
      </c>
      <c r="AD71" s="87">
        <v>21</v>
      </c>
      <c r="AE71" s="87">
        <v>11</v>
      </c>
      <c r="AF71" s="87">
        <v>22</v>
      </c>
      <c r="AG71" s="87">
        <v>0</v>
      </c>
      <c r="AH71" s="87">
        <v>10</v>
      </c>
      <c r="AI71" s="1094">
        <f>'2022-23 Input'!P71</f>
        <v>5</v>
      </c>
      <c r="AJ71" s="665">
        <v>0</v>
      </c>
      <c r="AK71" s="88">
        <f t="shared" ref="AK71:AK102" si="62">IFERROR(IF($AM$4="N",SUM(AD71:AH71)/5,SUM(AE71:AI71)/5),"")</f>
        <v>9.6</v>
      </c>
      <c r="AL71" s="89">
        <f t="shared" ref="AL71:AL102" si="63">IFERROR(IF($AM$4="N",SUM(AF71:AH71)/3,SUM(AG71:AI71)/3),"")</f>
        <v>5</v>
      </c>
      <c r="AM71" s="90">
        <f t="shared" ref="AM71:AM102" si="64">IFERROR(IF($AM$4="N",AH71,AI71),"")</f>
        <v>5</v>
      </c>
      <c r="AN71" s="91">
        <f t="shared" ref="AN71:AN102" si="65">IFERROR(D71/Z71,"")</f>
        <v>-81804.502189393272</v>
      </c>
      <c r="AO71" s="92">
        <f t="shared" ref="AO71:AO102" si="66">IFERROR(E71/AA71,"")</f>
        <v>-72540.871005622248</v>
      </c>
      <c r="AP71" s="92">
        <f t="shared" ref="AP71:AP102" si="67">IFERROR(F71/AB71,"")</f>
        <v>-112871.2691630716</v>
      </c>
      <c r="AQ71" s="92">
        <f t="shared" ref="AQ71:AQ102" si="68">IFERROR(G71/AC71,"")</f>
        <v>92299.490905955565</v>
      </c>
      <c r="AR71" s="92">
        <f t="shared" ref="AR71:AR102" si="69">IFERROR(H71/AD71,"")</f>
        <v>-92032.696755937344</v>
      </c>
      <c r="AS71" s="92">
        <f t="shared" ref="AS71:AS102" si="70">IFERROR(I71/AE71,"")</f>
        <v>34336.855936128704</v>
      </c>
      <c r="AT71" s="92">
        <f t="shared" ref="AT71:AT102" si="71">IFERROR(J71/AF71,"")</f>
        <v>55107.793853803581</v>
      </c>
      <c r="AU71" s="92" t="str">
        <f t="shared" ref="AU71:AU102" si="72">IFERROR(K71/AG71,"")</f>
        <v/>
      </c>
      <c r="AV71" s="92">
        <f t="shared" ref="AV71:AX86" si="73">IFERROR(L71/AH71,"")</f>
        <v>146077.59081306681</v>
      </c>
      <c r="AW71" s="92">
        <f t="shared" si="73"/>
        <v>2974.1836692567999</v>
      </c>
      <c r="AX71" s="92" t="str">
        <f t="shared" si="73"/>
        <v/>
      </c>
      <c r="AY71" s="93">
        <f t="shared" ref="AY71:AY102" si="74">IFERROR(IF($BA$3="N",
IF($BA$4="N",SUM(H71:L71)/SUM(AD71:AH71),SUM(I71:M71)/SUM(AE71:AI71)),
IF($BA$4="N",SUM(S71:W71)/SUM(AD71:AH71),SUM(T71:X71)/SUM(AE71:AI71))),"")</f>
        <v>64318.202636625967</v>
      </c>
      <c r="AZ71" s="94">
        <f t="shared" ref="AZ71:AZ102" si="75">IFERROR(IF($BA$3="N",
IF($BA$4="N",SUM(J71:L71)/SUM(AF71:AH71),SUM(K71:M71)/SUM(AG71:AI71)),
IF($BA$4="N",SUM(U71:W71)/SUM(AF71:AH71),SUM(V71:X71)/SUM(AG71:AI71))),"")</f>
        <v>99813.123098463475</v>
      </c>
      <c r="BA71" s="95">
        <f t="shared" ref="BA71:BA102" si="76">IFERROR(IF($BA$3="N",
IF($BA$4="N",L71/AH71,M71/AI71),
IF($BA$4="N",W71/AH71,X71/AI71)),"")</f>
        <v>2974.1836692567999</v>
      </c>
      <c r="BB71" s="248" t="s">
        <v>422</v>
      </c>
      <c r="BC71" s="229" t="s">
        <v>433</v>
      </c>
      <c r="BD71" s="249">
        <v>0</v>
      </c>
      <c r="BE71" s="267">
        <f t="shared" si="28"/>
        <v>0</v>
      </c>
      <c r="BF71" s="268">
        <f t="shared" ref="BF71:BL86" si="77">IF(BF$6=$BB71,1,
IF(BE71&lt;&gt;0,BE71+1,0
))</f>
        <v>0</v>
      </c>
      <c r="BG71" s="268">
        <f t="shared" si="77"/>
        <v>0</v>
      </c>
      <c r="BH71" s="268">
        <f t="shared" si="77"/>
        <v>1</v>
      </c>
      <c r="BI71" s="268">
        <f t="shared" si="77"/>
        <v>2</v>
      </c>
      <c r="BJ71" s="268">
        <f t="shared" si="77"/>
        <v>3</v>
      </c>
      <c r="BK71" s="268">
        <f t="shared" si="77"/>
        <v>4</v>
      </c>
      <c r="BL71" s="269">
        <f t="shared" si="77"/>
        <v>5</v>
      </c>
      <c r="BM71" s="256">
        <f>IF($BC71=Lookup!$A$2,$BD71*ROUNDUP(BE71/10,0)+1,
IF($BC71=Lookup!$A$3,($BD71+1)^BD71,
IF($BC71=Lookup!$A$4,BE71*$BD71+1,"Error")))</f>
        <v>1</v>
      </c>
      <c r="BN71" s="229">
        <f>IF($BC71=Lookup!$A$2,$BD71*ROUNDUP(BF71/10,0)+1,
IF($BC71=Lookup!$A$3,($BD71+1)^BE71,
IF($BC71=Lookup!$A$4,BF71*$BD71+1,"Error")))</f>
        <v>1</v>
      </c>
      <c r="BO71" s="229">
        <f>IF($BC71=Lookup!$A$2,$BD71*ROUNDUP(BG71/10,0)+1,
IF($BC71=Lookup!$A$3,($BD71+1)^BF71,
IF($BC71=Lookup!$A$4,BG71*$BD71+1,"Error")))</f>
        <v>1</v>
      </c>
      <c r="BP71" s="229">
        <f>IF($BC71=Lookup!$A$2,$BD71*ROUNDUP(BH71/10,0)+1,
IF($BC71=Lookup!$A$3,($BD71+1)^BG71,
IF($BC71=Lookup!$A$4,BH71*$BD71+1,"Error")))</f>
        <v>1</v>
      </c>
      <c r="BQ71" s="229">
        <f>IF($BC71=Lookup!$A$2,$BD71*ROUNDUP(BI71/10,0)+1,
IF($BC71=Lookup!$A$3,($BD71+1)^BH71,
IF($BC71=Lookup!$A$4,BI71*$BD71+1,"Error")))</f>
        <v>1</v>
      </c>
      <c r="BR71" s="229">
        <f>IF($BC71=Lookup!$A$2,$BD71*ROUNDUP(BJ71/10,0)+1,
IF($BC71=Lookup!$A$3,($BD71+1)^BI71,
IF($BC71=Lookup!$A$4,BJ71*$BD71+1,"Error")))</f>
        <v>1</v>
      </c>
      <c r="BS71" s="229">
        <f>IF($BC71=Lookup!$A$2,$BD71*ROUNDUP(BK71/10,0)+1,
IF($BC71=Lookup!$A$3,($BD71+1)^BJ71,
IF($BC71=Lookup!$A$4,BK71*$BD71+1,"Error")))</f>
        <v>1</v>
      </c>
      <c r="BT71" s="249">
        <f>IF($BC71=Lookup!$A$2,$BD71*ROUNDUP(BL71/10,0)+1,
IF($BC71=Lookup!$A$3,($BD71+1)^BK71,
IF($BC71=Lookup!$A$4,BL71*$BD71+1,"Error")))</f>
        <v>1</v>
      </c>
      <c r="BU71" s="320">
        <v>0</v>
      </c>
      <c r="BV71" s="321">
        <v>0</v>
      </c>
      <c r="BW71" s="321">
        <v>0</v>
      </c>
      <c r="BX71" s="321">
        <v>0</v>
      </c>
      <c r="BY71" s="321">
        <v>0</v>
      </c>
      <c r="BZ71" s="321">
        <v>0</v>
      </c>
      <c r="CA71" s="321">
        <v>0</v>
      </c>
      <c r="CB71" s="277">
        <v>0</v>
      </c>
      <c r="CC71" s="382" t="s">
        <v>293</v>
      </c>
      <c r="CD71" s="383">
        <f>HLOOKUP($CC71,$AK$6:$AM$132,ROWS(CD$6:CD71),0)</f>
        <v>5</v>
      </c>
      <c r="CE71" s="234">
        <f t="shared" si="29"/>
        <v>0</v>
      </c>
      <c r="CF71" s="96">
        <f t="shared" si="29"/>
        <v>0</v>
      </c>
      <c r="CG71" s="521">
        <f t="shared" si="29"/>
        <v>0</v>
      </c>
      <c r="CH71" s="421">
        <f t="shared" si="29"/>
        <v>0</v>
      </c>
      <c r="CI71" s="96">
        <f t="shared" si="50"/>
        <v>0</v>
      </c>
      <c r="CJ71" s="96">
        <f t="shared" si="50"/>
        <v>0</v>
      </c>
      <c r="CK71" s="96">
        <f t="shared" si="50"/>
        <v>0</v>
      </c>
      <c r="CL71" s="286">
        <f t="shared" si="50"/>
        <v>0</v>
      </c>
      <c r="CM71" s="305" t="s">
        <v>293</v>
      </c>
      <c r="CN71" s="315">
        <v>0.05</v>
      </c>
      <c r="CO71" s="306"/>
      <c r="CP71" s="307">
        <f>IF($CO71&lt;&gt;"",$CO71,HLOOKUP($CM71,$AY$6:$BA$132,ROWS(CP$6:CP71),0))</f>
        <v>99813.123098463475</v>
      </c>
      <c r="CQ71" s="784">
        <f t="shared" ref="CQ71:CX102" si="78">IFERROR(CE71*$CP71,"")</f>
        <v>0</v>
      </c>
      <c r="CR71" s="784">
        <f t="shared" si="78"/>
        <v>0</v>
      </c>
      <c r="CS71" s="524">
        <f t="shared" si="78"/>
        <v>0</v>
      </c>
      <c r="CT71" s="416">
        <f t="shared" si="78"/>
        <v>0</v>
      </c>
      <c r="CU71" s="97">
        <f t="shared" si="78"/>
        <v>0</v>
      </c>
      <c r="CV71" s="97">
        <f t="shared" si="78"/>
        <v>0</v>
      </c>
      <c r="CW71" s="97">
        <f t="shared" si="78"/>
        <v>0</v>
      </c>
      <c r="CX71" s="98">
        <f t="shared" si="32"/>
        <v>0</v>
      </c>
      <c r="CY71" s="392"/>
    </row>
    <row r="72" spans="1:103" x14ac:dyDescent="0.25">
      <c r="A72" s="81" t="s">
        <v>138</v>
      </c>
      <c r="B72" s="82" t="s">
        <v>147</v>
      </c>
      <c r="C72" s="83" t="s">
        <v>362</v>
      </c>
      <c r="D72" s="84">
        <v>-163013.88800022448</v>
      </c>
      <c r="E72" s="85">
        <v>-1062201.313505644</v>
      </c>
      <c r="F72" s="85">
        <v>-248192.83441198617</v>
      </c>
      <c r="G72" s="85">
        <v>-242810.76088250335</v>
      </c>
      <c r="H72" s="85">
        <v>-294998.99541674042</v>
      </c>
      <c r="I72" s="85">
        <v>0</v>
      </c>
      <c r="J72" s="85">
        <v>11922.432119961999</v>
      </c>
      <c r="K72" s="85">
        <v>0</v>
      </c>
      <c r="L72" s="85">
        <v>0</v>
      </c>
      <c r="M72" s="654">
        <f>'2022-23 Input'!I72</f>
        <v>0</v>
      </c>
      <c r="N72" s="1065">
        <v>0</v>
      </c>
      <c r="O72" s="560">
        <f t="shared" ref="O72:O132" si="79">D72*O$4</f>
        <v>-219328.06572833518</v>
      </c>
      <c r="P72" s="561">
        <f t="shared" si="53"/>
        <v>-1407874.4671885683</v>
      </c>
      <c r="Q72" s="561">
        <f t="shared" si="54"/>
        <v>-325630.42529506527</v>
      </c>
      <c r="R72" s="561">
        <f t="shared" si="55"/>
        <v>-312525.79736600164</v>
      </c>
      <c r="S72" s="561">
        <f t="shared" si="56"/>
        <v>-371969.77879034082</v>
      </c>
      <c r="T72" s="561">
        <f t="shared" si="57"/>
        <v>0</v>
      </c>
      <c r="U72" s="561">
        <f t="shared" si="58"/>
        <v>14849.245823990457</v>
      </c>
      <c r="V72" s="561">
        <f t="shared" si="59"/>
        <v>0</v>
      </c>
      <c r="W72" s="675">
        <f t="shared" si="60"/>
        <v>0</v>
      </c>
      <c r="X72" s="675">
        <f t="shared" si="61"/>
        <v>0</v>
      </c>
      <c r="Y72" s="675">
        <f t="shared" si="61"/>
        <v>0</v>
      </c>
      <c r="Z72" s="86">
        <v>2</v>
      </c>
      <c r="AA72" s="87">
        <v>0</v>
      </c>
      <c r="AB72" s="87">
        <v>0</v>
      </c>
      <c r="AC72" s="87">
        <v>3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1094">
        <f>'2022-23 Input'!P72</f>
        <v>0</v>
      </c>
      <c r="AJ72" s="665">
        <v>0</v>
      </c>
      <c r="AK72" s="88">
        <f t="shared" si="62"/>
        <v>0</v>
      </c>
      <c r="AL72" s="89">
        <f t="shared" si="63"/>
        <v>0</v>
      </c>
      <c r="AM72" s="90">
        <f t="shared" si="64"/>
        <v>0</v>
      </c>
      <c r="AN72" s="91">
        <f t="shared" si="65"/>
        <v>-81506.944000112242</v>
      </c>
      <c r="AO72" s="92" t="str">
        <f t="shared" si="66"/>
        <v/>
      </c>
      <c r="AP72" s="92" t="str">
        <f t="shared" si="67"/>
        <v/>
      </c>
      <c r="AQ72" s="92">
        <f t="shared" si="68"/>
        <v>-80936.92029416778</v>
      </c>
      <c r="AR72" s="92" t="str">
        <f t="shared" si="69"/>
        <v/>
      </c>
      <c r="AS72" s="92" t="str">
        <f t="shared" si="70"/>
        <v/>
      </c>
      <c r="AT72" s="92" t="str">
        <f t="shared" si="71"/>
        <v/>
      </c>
      <c r="AU72" s="92" t="str">
        <f t="shared" si="72"/>
        <v/>
      </c>
      <c r="AV72" s="92" t="str">
        <f t="shared" si="73"/>
        <v/>
      </c>
      <c r="AW72" s="92" t="str">
        <f t="shared" si="73"/>
        <v/>
      </c>
      <c r="AX72" s="92" t="str">
        <f t="shared" si="73"/>
        <v/>
      </c>
      <c r="AY72" s="93" t="str">
        <f t="shared" si="74"/>
        <v/>
      </c>
      <c r="AZ72" s="94" t="str">
        <f t="shared" si="75"/>
        <v/>
      </c>
      <c r="BA72" s="95" t="str">
        <f t="shared" si="76"/>
        <v/>
      </c>
      <c r="BB72" s="248" t="s">
        <v>422</v>
      </c>
      <c r="BC72" s="229" t="s">
        <v>433</v>
      </c>
      <c r="BD72" s="249">
        <v>0</v>
      </c>
      <c r="BE72" s="267">
        <f t="shared" ref="BE72:BE132" si="80">IF(BE$6=$BB72,1,0
)</f>
        <v>0</v>
      </c>
      <c r="BF72" s="268">
        <f t="shared" si="77"/>
        <v>0</v>
      </c>
      <c r="BG72" s="268">
        <f t="shared" si="77"/>
        <v>0</v>
      </c>
      <c r="BH72" s="268">
        <f t="shared" si="77"/>
        <v>1</v>
      </c>
      <c r="BI72" s="268">
        <f t="shared" si="77"/>
        <v>2</v>
      </c>
      <c r="BJ72" s="268">
        <f t="shared" si="77"/>
        <v>3</v>
      </c>
      <c r="BK72" s="268">
        <f t="shared" si="77"/>
        <v>4</v>
      </c>
      <c r="BL72" s="269">
        <f t="shared" si="77"/>
        <v>5</v>
      </c>
      <c r="BM72" s="256">
        <f>IF($BC72=Lookup!$A$2,$BD72*ROUNDUP(BE72/10,0)+1,
IF($BC72=Lookup!$A$3,($BD72+1)^BD72,
IF($BC72=Lookup!$A$4,BE72*$BD72+1,"Error")))</f>
        <v>1</v>
      </c>
      <c r="BN72" s="229">
        <f>IF($BC72=Lookup!$A$2,$BD72*ROUNDUP(BF72/10,0)+1,
IF($BC72=Lookup!$A$3,($BD72+1)^BE72,
IF($BC72=Lookup!$A$4,BF72*$BD72+1,"Error")))</f>
        <v>1</v>
      </c>
      <c r="BO72" s="229">
        <f>IF($BC72=Lookup!$A$2,$BD72*ROUNDUP(BG72/10,0)+1,
IF($BC72=Lookup!$A$3,($BD72+1)^BF72,
IF($BC72=Lookup!$A$4,BG72*$BD72+1,"Error")))</f>
        <v>1</v>
      </c>
      <c r="BP72" s="229">
        <f>IF($BC72=Lookup!$A$2,$BD72*ROUNDUP(BH72/10,0)+1,
IF($BC72=Lookup!$A$3,($BD72+1)^BG72,
IF($BC72=Lookup!$A$4,BH72*$BD72+1,"Error")))</f>
        <v>1</v>
      </c>
      <c r="BQ72" s="229">
        <f>IF($BC72=Lookup!$A$2,$BD72*ROUNDUP(BI72/10,0)+1,
IF($BC72=Lookup!$A$3,($BD72+1)^BH72,
IF($BC72=Lookup!$A$4,BI72*$BD72+1,"Error")))</f>
        <v>1</v>
      </c>
      <c r="BR72" s="229">
        <f>IF($BC72=Lookup!$A$2,$BD72*ROUNDUP(BJ72/10,0)+1,
IF($BC72=Lookup!$A$3,($BD72+1)^BI72,
IF($BC72=Lookup!$A$4,BJ72*$BD72+1,"Error")))</f>
        <v>1</v>
      </c>
      <c r="BS72" s="229">
        <f>IF($BC72=Lookup!$A$2,$BD72*ROUNDUP(BK72/10,0)+1,
IF($BC72=Lookup!$A$3,($BD72+1)^BJ72,
IF($BC72=Lookup!$A$4,BK72*$BD72+1,"Error")))</f>
        <v>1</v>
      </c>
      <c r="BT72" s="249">
        <f>IF($BC72=Lookup!$A$2,$BD72*ROUNDUP(BL72/10,0)+1,
IF($BC72=Lookup!$A$3,($BD72+1)^BK72,
IF($BC72=Lookup!$A$4,BL72*$BD72+1,"Error")))</f>
        <v>1</v>
      </c>
      <c r="BU72" s="320">
        <v>0</v>
      </c>
      <c r="BV72" s="321">
        <v>0</v>
      </c>
      <c r="BW72" s="321">
        <v>0</v>
      </c>
      <c r="BX72" s="321">
        <v>0</v>
      </c>
      <c r="BY72" s="321">
        <v>0</v>
      </c>
      <c r="BZ72" s="321">
        <v>0</v>
      </c>
      <c r="CA72" s="321">
        <v>0</v>
      </c>
      <c r="CB72" s="277">
        <v>0</v>
      </c>
      <c r="CC72" s="382" t="s">
        <v>293</v>
      </c>
      <c r="CD72" s="383">
        <f>HLOOKUP($CC72,$AK$6:$AM$132,ROWS(CD$6:CD72),0)</f>
        <v>0</v>
      </c>
      <c r="CE72" s="234">
        <f t="shared" ref="CE72:CK123" si="81">IFERROR(IF(BU72&lt;&gt;"",BU72,BM72*$CD72),"")</f>
        <v>0</v>
      </c>
      <c r="CF72" s="96">
        <f t="shared" si="81"/>
        <v>0</v>
      </c>
      <c r="CG72" s="521">
        <f t="shared" si="81"/>
        <v>0</v>
      </c>
      <c r="CH72" s="421">
        <f t="shared" si="81"/>
        <v>0</v>
      </c>
      <c r="CI72" s="96">
        <f t="shared" si="50"/>
        <v>0</v>
      </c>
      <c r="CJ72" s="96">
        <f t="shared" si="50"/>
        <v>0</v>
      </c>
      <c r="CK72" s="96">
        <f t="shared" si="50"/>
        <v>0</v>
      </c>
      <c r="CL72" s="286">
        <f t="shared" si="50"/>
        <v>0</v>
      </c>
      <c r="CM72" s="305" t="s">
        <v>293</v>
      </c>
      <c r="CN72" s="315">
        <v>0.05</v>
      </c>
      <c r="CO72" s="306"/>
      <c r="CP72" s="307" t="str">
        <f>IF($CO72&lt;&gt;"",$CO72,HLOOKUP($CM72,$AY$6:$BA$132,ROWS(CP$6:CP72),0))</f>
        <v/>
      </c>
      <c r="CQ72" s="784" t="str">
        <f t="shared" si="78"/>
        <v/>
      </c>
      <c r="CR72" s="784" t="str">
        <f t="shared" si="78"/>
        <v/>
      </c>
      <c r="CS72" s="524" t="str">
        <f t="shared" si="78"/>
        <v/>
      </c>
      <c r="CT72" s="416" t="str">
        <f t="shared" si="78"/>
        <v/>
      </c>
      <c r="CU72" s="97" t="str">
        <f t="shared" si="78"/>
        <v/>
      </c>
      <c r="CV72" s="97" t="str">
        <f t="shared" si="78"/>
        <v/>
      </c>
      <c r="CW72" s="97" t="str">
        <f t="shared" si="78"/>
        <v/>
      </c>
      <c r="CX72" s="98" t="str">
        <f t="shared" si="32"/>
        <v/>
      </c>
      <c r="CY72" s="392"/>
    </row>
    <row r="73" spans="1:103" x14ac:dyDescent="0.25">
      <c r="A73" s="81" t="s">
        <v>138</v>
      </c>
      <c r="B73" s="82" t="s">
        <v>149</v>
      </c>
      <c r="C73" s="83" t="s">
        <v>363</v>
      </c>
      <c r="D73" s="84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654">
        <f>'2022-23 Input'!I73</f>
        <v>0</v>
      </c>
      <c r="N73" s="1065">
        <v>0</v>
      </c>
      <c r="O73" s="560">
        <f t="shared" si="79"/>
        <v>0</v>
      </c>
      <c r="P73" s="561">
        <f t="shared" si="53"/>
        <v>0</v>
      </c>
      <c r="Q73" s="561">
        <f t="shared" si="54"/>
        <v>0</v>
      </c>
      <c r="R73" s="561">
        <f t="shared" si="55"/>
        <v>0</v>
      </c>
      <c r="S73" s="561">
        <f t="shared" si="56"/>
        <v>0</v>
      </c>
      <c r="T73" s="561">
        <f t="shared" si="57"/>
        <v>0</v>
      </c>
      <c r="U73" s="561">
        <f t="shared" si="58"/>
        <v>0</v>
      </c>
      <c r="V73" s="561">
        <f t="shared" si="59"/>
        <v>0</v>
      </c>
      <c r="W73" s="675">
        <f t="shared" si="60"/>
        <v>0</v>
      </c>
      <c r="X73" s="675">
        <f t="shared" si="61"/>
        <v>0</v>
      </c>
      <c r="Y73" s="675">
        <f t="shared" si="61"/>
        <v>0</v>
      </c>
      <c r="Z73" s="86">
        <v>0</v>
      </c>
      <c r="AA73" s="87">
        <v>0</v>
      </c>
      <c r="AB73" s="87">
        <v>0</v>
      </c>
      <c r="AC73" s="87">
        <v>0</v>
      </c>
      <c r="AD73" s="87">
        <v>0</v>
      </c>
      <c r="AE73" s="87">
        <v>0</v>
      </c>
      <c r="AF73" s="87">
        <v>0</v>
      </c>
      <c r="AG73" s="87">
        <v>0</v>
      </c>
      <c r="AH73" s="87">
        <v>0</v>
      </c>
      <c r="AI73" s="1094">
        <f>'2022-23 Input'!P73</f>
        <v>0</v>
      </c>
      <c r="AJ73" s="665">
        <v>0</v>
      </c>
      <c r="AK73" s="88">
        <f t="shared" si="62"/>
        <v>0</v>
      </c>
      <c r="AL73" s="89">
        <f t="shared" si="63"/>
        <v>0</v>
      </c>
      <c r="AM73" s="90">
        <f t="shared" si="64"/>
        <v>0</v>
      </c>
      <c r="AN73" s="91" t="str">
        <f t="shared" si="65"/>
        <v/>
      </c>
      <c r="AO73" s="92" t="str">
        <f t="shared" si="66"/>
        <v/>
      </c>
      <c r="AP73" s="92" t="str">
        <f t="shared" si="67"/>
        <v/>
      </c>
      <c r="AQ73" s="92" t="str">
        <f t="shared" si="68"/>
        <v/>
      </c>
      <c r="AR73" s="92" t="str">
        <f t="shared" si="69"/>
        <v/>
      </c>
      <c r="AS73" s="92" t="str">
        <f t="shared" si="70"/>
        <v/>
      </c>
      <c r="AT73" s="92" t="str">
        <f t="shared" si="71"/>
        <v/>
      </c>
      <c r="AU73" s="92" t="str">
        <f t="shared" si="72"/>
        <v/>
      </c>
      <c r="AV73" s="92" t="str">
        <f t="shared" si="73"/>
        <v/>
      </c>
      <c r="AW73" s="92" t="str">
        <f t="shared" si="73"/>
        <v/>
      </c>
      <c r="AX73" s="92" t="str">
        <f t="shared" si="73"/>
        <v/>
      </c>
      <c r="AY73" s="93" t="str">
        <f t="shared" si="74"/>
        <v/>
      </c>
      <c r="AZ73" s="94" t="str">
        <f t="shared" si="75"/>
        <v/>
      </c>
      <c r="BA73" s="95" t="str">
        <f t="shared" si="76"/>
        <v/>
      </c>
      <c r="BB73" s="248" t="s">
        <v>422</v>
      </c>
      <c r="BC73" s="229" t="s">
        <v>433</v>
      </c>
      <c r="BD73" s="249">
        <v>0</v>
      </c>
      <c r="BE73" s="267">
        <f t="shared" si="80"/>
        <v>0</v>
      </c>
      <c r="BF73" s="268">
        <f t="shared" si="77"/>
        <v>0</v>
      </c>
      <c r="BG73" s="268">
        <f t="shared" si="77"/>
        <v>0</v>
      </c>
      <c r="BH73" s="268">
        <f t="shared" si="77"/>
        <v>1</v>
      </c>
      <c r="BI73" s="268">
        <f t="shared" si="77"/>
        <v>2</v>
      </c>
      <c r="BJ73" s="268">
        <f t="shared" si="77"/>
        <v>3</v>
      </c>
      <c r="BK73" s="268">
        <f t="shared" si="77"/>
        <v>4</v>
      </c>
      <c r="BL73" s="269">
        <f t="shared" si="77"/>
        <v>5</v>
      </c>
      <c r="BM73" s="256">
        <f>IF($BC73=Lookup!$A$2,$BD73*ROUNDUP(BE73/10,0)+1,
IF($BC73=Lookup!$A$3,($BD73+1)^BD73,
IF($BC73=Lookup!$A$4,BE73*$BD73+1,"Error")))</f>
        <v>1</v>
      </c>
      <c r="BN73" s="229">
        <f>IF($BC73=Lookup!$A$2,$BD73*ROUNDUP(BF73/10,0)+1,
IF($BC73=Lookup!$A$3,($BD73+1)^BE73,
IF($BC73=Lookup!$A$4,BF73*$BD73+1,"Error")))</f>
        <v>1</v>
      </c>
      <c r="BO73" s="229">
        <f>IF($BC73=Lookup!$A$2,$BD73*ROUNDUP(BG73/10,0)+1,
IF($BC73=Lookup!$A$3,($BD73+1)^BF73,
IF($BC73=Lookup!$A$4,BG73*$BD73+1,"Error")))</f>
        <v>1</v>
      </c>
      <c r="BP73" s="229">
        <f>IF($BC73=Lookup!$A$2,$BD73*ROUNDUP(BH73/10,0)+1,
IF($BC73=Lookup!$A$3,($BD73+1)^BG73,
IF($BC73=Lookup!$A$4,BH73*$BD73+1,"Error")))</f>
        <v>1</v>
      </c>
      <c r="BQ73" s="229">
        <f>IF($BC73=Lookup!$A$2,$BD73*ROUNDUP(BI73/10,0)+1,
IF($BC73=Lookup!$A$3,($BD73+1)^BH73,
IF($BC73=Lookup!$A$4,BI73*$BD73+1,"Error")))</f>
        <v>1</v>
      </c>
      <c r="BR73" s="229">
        <f>IF($BC73=Lookup!$A$2,$BD73*ROUNDUP(BJ73/10,0)+1,
IF($BC73=Lookup!$A$3,($BD73+1)^BI73,
IF($BC73=Lookup!$A$4,BJ73*$BD73+1,"Error")))</f>
        <v>1</v>
      </c>
      <c r="BS73" s="229">
        <f>IF($BC73=Lookup!$A$2,$BD73*ROUNDUP(BK73/10,0)+1,
IF($BC73=Lookup!$A$3,($BD73+1)^BJ73,
IF($BC73=Lookup!$A$4,BK73*$BD73+1,"Error")))</f>
        <v>1</v>
      </c>
      <c r="BT73" s="249">
        <f>IF($BC73=Lookup!$A$2,$BD73*ROUNDUP(BL73/10,0)+1,
IF($BC73=Lookup!$A$3,($BD73+1)^BK73,
IF($BC73=Lookup!$A$4,BL73*$BD73+1,"Error")))</f>
        <v>1</v>
      </c>
      <c r="BU73" s="320">
        <v>0</v>
      </c>
      <c r="BV73" s="321">
        <v>0</v>
      </c>
      <c r="BW73" s="321">
        <v>0</v>
      </c>
      <c r="BX73" s="321">
        <v>0</v>
      </c>
      <c r="BY73" s="321">
        <v>0</v>
      </c>
      <c r="BZ73" s="321">
        <v>0</v>
      </c>
      <c r="CA73" s="321">
        <v>0</v>
      </c>
      <c r="CB73" s="277">
        <v>0</v>
      </c>
      <c r="CC73" s="382" t="s">
        <v>293</v>
      </c>
      <c r="CD73" s="383">
        <f>HLOOKUP($CC73,$AK$6:$AM$132,ROWS(CD$6:CD73),0)</f>
        <v>0</v>
      </c>
      <c r="CE73" s="234">
        <f t="shared" si="81"/>
        <v>0</v>
      </c>
      <c r="CF73" s="96">
        <f t="shared" si="81"/>
        <v>0</v>
      </c>
      <c r="CG73" s="521">
        <f t="shared" si="81"/>
        <v>0</v>
      </c>
      <c r="CH73" s="421">
        <f t="shared" si="81"/>
        <v>0</v>
      </c>
      <c r="CI73" s="96">
        <f t="shared" si="50"/>
        <v>0</v>
      </c>
      <c r="CJ73" s="96">
        <f t="shared" si="50"/>
        <v>0</v>
      </c>
      <c r="CK73" s="96">
        <f t="shared" si="50"/>
        <v>0</v>
      </c>
      <c r="CL73" s="286">
        <f t="shared" si="50"/>
        <v>0</v>
      </c>
      <c r="CM73" s="305" t="s">
        <v>293</v>
      </c>
      <c r="CN73" s="315">
        <v>0.05</v>
      </c>
      <c r="CO73" s="306"/>
      <c r="CP73" s="307" t="str">
        <f>IF($CO73&lt;&gt;"",$CO73,HLOOKUP($CM73,$AY$6:$BA$132,ROWS(CP$6:CP73),0))</f>
        <v/>
      </c>
      <c r="CQ73" s="784" t="str">
        <f t="shared" si="78"/>
        <v/>
      </c>
      <c r="CR73" s="784" t="str">
        <f t="shared" si="78"/>
        <v/>
      </c>
      <c r="CS73" s="524" t="str">
        <f t="shared" si="78"/>
        <v/>
      </c>
      <c r="CT73" s="416" t="str">
        <f t="shared" si="78"/>
        <v/>
      </c>
      <c r="CU73" s="97" t="str">
        <f t="shared" si="78"/>
        <v/>
      </c>
      <c r="CV73" s="97" t="str">
        <f t="shared" si="78"/>
        <v/>
      </c>
      <c r="CW73" s="97" t="str">
        <f t="shared" si="78"/>
        <v/>
      </c>
      <c r="CX73" s="98" t="str">
        <f t="shared" si="32"/>
        <v/>
      </c>
      <c r="CY73" s="392"/>
    </row>
    <row r="74" spans="1:103" x14ac:dyDescent="0.25">
      <c r="A74" s="81" t="s">
        <v>138</v>
      </c>
      <c r="B74" s="82" t="s">
        <v>151</v>
      </c>
      <c r="C74" s="83" t="s">
        <v>364</v>
      </c>
      <c r="D74" s="84">
        <v>0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654">
        <f>'2022-23 Input'!I74</f>
        <v>0</v>
      </c>
      <c r="N74" s="1065">
        <v>0</v>
      </c>
      <c r="O74" s="560">
        <f t="shared" si="79"/>
        <v>0</v>
      </c>
      <c r="P74" s="561">
        <f t="shared" si="53"/>
        <v>0</v>
      </c>
      <c r="Q74" s="561">
        <f t="shared" si="54"/>
        <v>0</v>
      </c>
      <c r="R74" s="561">
        <f t="shared" si="55"/>
        <v>0</v>
      </c>
      <c r="S74" s="561">
        <f t="shared" si="56"/>
        <v>0</v>
      </c>
      <c r="T74" s="561">
        <f t="shared" si="57"/>
        <v>0</v>
      </c>
      <c r="U74" s="561">
        <f t="shared" si="58"/>
        <v>0</v>
      </c>
      <c r="V74" s="561">
        <f t="shared" si="59"/>
        <v>0</v>
      </c>
      <c r="W74" s="675">
        <f t="shared" si="60"/>
        <v>0</v>
      </c>
      <c r="X74" s="675">
        <f t="shared" si="61"/>
        <v>0</v>
      </c>
      <c r="Y74" s="675">
        <f t="shared" si="61"/>
        <v>0</v>
      </c>
      <c r="Z74" s="86">
        <v>0</v>
      </c>
      <c r="AA74" s="87">
        <v>0</v>
      </c>
      <c r="AB74" s="87">
        <v>0</v>
      </c>
      <c r="AC74" s="87">
        <v>0</v>
      </c>
      <c r="AD74" s="87">
        <v>0</v>
      </c>
      <c r="AE74" s="87">
        <v>0</v>
      </c>
      <c r="AF74" s="87">
        <v>0</v>
      </c>
      <c r="AG74" s="87">
        <v>0</v>
      </c>
      <c r="AH74" s="87">
        <v>0</v>
      </c>
      <c r="AI74" s="1094">
        <f>'2022-23 Input'!P74</f>
        <v>0</v>
      </c>
      <c r="AJ74" s="665">
        <v>0</v>
      </c>
      <c r="AK74" s="88">
        <f t="shared" si="62"/>
        <v>0</v>
      </c>
      <c r="AL74" s="89">
        <f t="shared" si="63"/>
        <v>0</v>
      </c>
      <c r="AM74" s="90">
        <f t="shared" si="64"/>
        <v>0</v>
      </c>
      <c r="AN74" s="91" t="str">
        <f t="shared" si="65"/>
        <v/>
      </c>
      <c r="AO74" s="92" t="str">
        <f t="shared" si="66"/>
        <v/>
      </c>
      <c r="AP74" s="92" t="str">
        <f t="shared" si="67"/>
        <v/>
      </c>
      <c r="AQ74" s="92" t="str">
        <f t="shared" si="68"/>
        <v/>
      </c>
      <c r="AR74" s="92" t="str">
        <f t="shared" si="69"/>
        <v/>
      </c>
      <c r="AS74" s="92" t="str">
        <f t="shared" si="70"/>
        <v/>
      </c>
      <c r="AT74" s="92" t="str">
        <f t="shared" si="71"/>
        <v/>
      </c>
      <c r="AU74" s="92" t="str">
        <f t="shared" si="72"/>
        <v/>
      </c>
      <c r="AV74" s="92" t="str">
        <f t="shared" si="73"/>
        <v/>
      </c>
      <c r="AW74" s="92" t="str">
        <f t="shared" si="73"/>
        <v/>
      </c>
      <c r="AX74" s="92" t="str">
        <f t="shared" si="73"/>
        <v/>
      </c>
      <c r="AY74" s="93" t="str">
        <f t="shared" si="74"/>
        <v/>
      </c>
      <c r="AZ74" s="94" t="str">
        <f t="shared" si="75"/>
        <v/>
      </c>
      <c r="BA74" s="95" t="str">
        <f t="shared" si="76"/>
        <v/>
      </c>
      <c r="BB74" s="248" t="s">
        <v>422</v>
      </c>
      <c r="BC74" s="229" t="s">
        <v>433</v>
      </c>
      <c r="BD74" s="249">
        <v>0</v>
      </c>
      <c r="BE74" s="267">
        <f t="shared" si="80"/>
        <v>0</v>
      </c>
      <c r="BF74" s="268">
        <f t="shared" si="77"/>
        <v>0</v>
      </c>
      <c r="BG74" s="268">
        <f t="shared" si="77"/>
        <v>0</v>
      </c>
      <c r="BH74" s="268">
        <f t="shared" si="77"/>
        <v>1</v>
      </c>
      <c r="BI74" s="268">
        <f t="shared" si="77"/>
        <v>2</v>
      </c>
      <c r="BJ74" s="268">
        <f t="shared" si="77"/>
        <v>3</v>
      </c>
      <c r="BK74" s="268">
        <f t="shared" si="77"/>
        <v>4</v>
      </c>
      <c r="BL74" s="269">
        <f t="shared" si="77"/>
        <v>5</v>
      </c>
      <c r="BM74" s="256">
        <f>IF($BC74=Lookup!$A$2,$BD74*ROUNDUP(BE74/10,0)+1,
IF($BC74=Lookup!$A$3,($BD74+1)^BD74,
IF($BC74=Lookup!$A$4,BE74*$BD74+1,"Error")))</f>
        <v>1</v>
      </c>
      <c r="BN74" s="229">
        <f>IF($BC74=Lookup!$A$2,$BD74*ROUNDUP(BF74/10,0)+1,
IF($BC74=Lookup!$A$3,($BD74+1)^BE74,
IF($BC74=Lookup!$A$4,BF74*$BD74+1,"Error")))</f>
        <v>1</v>
      </c>
      <c r="BO74" s="229">
        <f>IF($BC74=Lookup!$A$2,$BD74*ROUNDUP(BG74/10,0)+1,
IF($BC74=Lookup!$A$3,($BD74+1)^BF74,
IF($BC74=Lookup!$A$4,BG74*$BD74+1,"Error")))</f>
        <v>1</v>
      </c>
      <c r="BP74" s="229">
        <f>IF($BC74=Lookup!$A$2,$BD74*ROUNDUP(BH74/10,0)+1,
IF($BC74=Lookup!$A$3,($BD74+1)^BG74,
IF($BC74=Lookup!$A$4,BH74*$BD74+1,"Error")))</f>
        <v>1</v>
      </c>
      <c r="BQ74" s="229">
        <f>IF($BC74=Lookup!$A$2,$BD74*ROUNDUP(BI74/10,0)+1,
IF($BC74=Lookup!$A$3,($BD74+1)^BH74,
IF($BC74=Lookup!$A$4,BI74*$BD74+1,"Error")))</f>
        <v>1</v>
      </c>
      <c r="BR74" s="229">
        <f>IF($BC74=Lookup!$A$2,$BD74*ROUNDUP(BJ74/10,0)+1,
IF($BC74=Lookup!$A$3,($BD74+1)^BI74,
IF($BC74=Lookup!$A$4,BJ74*$BD74+1,"Error")))</f>
        <v>1</v>
      </c>
      <c r="BS74" s="229">
        <f>IF($BC74=Lookup!$A$2,$BD74*ROUNDUP(BK74/10,0)+1,
IF($BC74=Lookup!$A$3,($BD74+1)^BJ74,
IF($BC74=Lookup!$A$4,BK74*$BD74+1,"Error")))</f>
        <v>1</v>
      </c>
      <c r="BT74" s="249">
        <f>IF($BC74=Lookup!$A$2,$BD74*ROUNDUP(BL74/10,0)+1,
IF($BC74=Lookup!$A$3,($BD74+1)^BK74,
IF($BC74=Lookup!$A$4,BL74*$BD74+1,"Error")))</f>
        <v>1</v>
      </c>
      <c r="BU74" s="320">
        <v>0</v>
      </c>
      <c r="BV74" s="321">
        <v>0</v>
      </c>
      <c r="BW74" s="321">
        <v>0</v>
      </c>
      <c r="BX74" s="321">
        <v>0</v>
      </c>
      <c r="BY74" s="321">
        <v>0</v>
      </c>
      <c r="BZ74" s="321">
        <v>0</v>
      </c>
      <c r="CA74" s="321">
        <v>0</v>
      </c>
      <c r="CB74" s="277">
        <v>0</v>
      </c>
      <c r="CC74" s="382" t="s">
        <v>293</v>
      </c>
      <c r="CD74" s="383">
        <f>HLOOKUP($CC74,$AK$6:$AM$132,ROWS(CD$6:CD74),0)</f>
        <v>0</v>
      </c>
      <c r="CE74" s="234">
        <f t="shared" si="81"/>
        <v>0</v>
      </c>
      <c r="CF74" s="96">
        <f t="shared" si="81"/>
        <v>0</v>
      </c>
      <c r="CG74" s="521">
        <f t="shared" si="81"/>
        <v>0</v>
      </c>
      <c r="CH74" s="421">
        <f t="shared" si="81"/>
        <v>0</v>
      </c>
      <c r="CI74" s="96">
        <f t="shared" si="50"/>
        <v>0</v>
      </c>
      <c r="CJ74" s="96">
        <f t="shared" si="50"/>
        <v>0</v>
      </c>
      <c r="CK74" s="96">
        <f t="shared" si="50"/>
        <v>0</v>
      </c>
      <c r="CL74" s="286">
        <f t="shared" si="50"/>
        <v>0</v>
      </c>
      <c r="CM74" s="305" t="s">
        <v>293</v>
      </c>
      <c r="CN74" s="315">
        <v>0.05</v>
      </c>
      <c r="CO74" s="306"/>
      <c r="CP74" s="307" t="str">
        <f>IF($CO74&lt;&gt;"",$CO74,HLOOKUP($CM74,$AY$6:$BA$132,ROWS(CP$6:CP74),0))</f>
        <v/>
      </c>
      <c r="CQ74" s="784" t="str">
        <f t="shared" si="78"/>
        <v/>
      </c>
      <c r="CR74" s="784" t="str">
        <f t="shared" si="78"/>
        <v/>
      </c>
      <c r="CS74" s="524" t="str">
        <f t="shared" si="78"/>
        <v/>
      </c>
      <c r="CT74" s="416" t="str">
        <f t="shared" si="78"/>
        <v/>
      </c>
      <c r="CU74" s="97" t="str">
        <f t="shared" si="78"/>
        <v/>
      </c>
      <c r="CV74" s="97" t="str">
        <f t="shared" si="78"/>
        <v/>
      </c>
      <c r="CW74" s="97" t="str">
        <f t="shared" si="78"/>
        <v/>
      </c>
      <c r="CX74" s="98" t="str">
        <f t="shared" si="32"/>
        <v/>
      </c>
      <c r="CY74" s="392"/>
    </row>
    <row r="75" spans="1:103" x14ac:dyDescent="0.25">
      <c r="A75" s="81" t="s">
        <v>138</v>
      </c>
      <c r="B75" s="82" t="s">
        <v>153</v>
      </c>
      <c r="C75" s="83" t="s">
        <v>365</v>
      </c>
      <c r="D75" s="84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654">
        <f>'2022-23 Input'!I75</f>
        <v>0</v>
      </c>
      <c r="N75" s="1065">
        <v>0</v>
      </c>
      <c r="O75" s="560">
        <f t="shared" si="79"/>
        <v>0</v>
      </c>
      <c r="P75" s="561">
        <f t="shared" si="53"/>
        <v>0</v>
      </c>
      <c r="Q75" s="561">
        <f t="shared" si="54"/>
        <v>0</v>
      </c>
      <c r="R75" s="561">
        <f t="shared" si="55"/>
        <v>0</v>
      </c>
      <c r="S75" s="561">
        <f t="shared" si="56"/>
        <v>0</v>
      </c>
      <c r="T75" s="561">
        <f t="shared" si="57"/>
        <v>0</v>
      </c>
      <c r="U75" s="561">
        <f t="shared" si="58"/>
        <v>0</v>
      </c>
      <c r="V75" s="561">
        <f t="shared" si="59"/>
        <v>0</v>
      </c>
      <c r="W75" s="675">
        <f t="shared" si="60"/>
        <v>0</v>
      </c>
      <c r="X75" s="675">
        <f t="shared" si="61"/>
        <v>0</v>
      </c>
      <c r="Y75" s="675">
        <f t="shared" si="61"/>
        <v>0</v>
      </c>
      <c r="Z75" s="86">
        <v>0</v>
      </c>
      <c r="AA75" s="87">
        <v>0</v>
      </c>
      <c r="AB75" s="87">
        <v>0</v>
      </c>
      <c r="AC75" s="87">
        <v>0</v>
      </c>
      <c r="AD75" s="87">
        <v>0</v>
      </c>
      <c r="AE75" s="87">
        <v>0</v>
      </c>
      <c r="AF75" s="87">
        <v>0</v>
      </c>
      <c r="AG75" s="87">
        <v>0</v>
      </c>
      <c r="AH75" s="87">
        <v>0</v>
      </c>
      <c r="AI75" s="1094">
        <f>'2022-23 Input'!P75</f>
        <v>0</v>
      </c>
      <c r="AJ75" s="665">
        <v>0</v>
      </c>
      <c r="AK75" s="88">
        <f t="shared" si="62"/>
        <v>0</v>
      </c>
      <c r="AL75" s="89">
        <f t="shared" si="63"/>
        <v>0</v>
      </c>
      <c r="AM75" s="90">
        <f t="shared" si="64"/>
        <v>0</v>
      </c>
      <c r="AN75" s="91" t="str">
        <f t="shared" si="65"/>
        <v/>
      </c>
      <c r="AO75" s="92" t="str">
        <f t="shared" si="66"/>
        <v/>
      </c>
      <c r="AP75" s="92" t="str">
        <f t="shared" si="67"/>
        <v/>
      </c>
      <c r="AQ75" s="92" t="str">
        <f t="shared" si="68"/>
        <v/>
      </c>
      <c r="AR75" s="92" t="str">
        <f t="shared" si="69"/>
        <v/>
      </c>
      <c r="AS75" s="92" t="str">
        <f t="shared" si="70"/>
        <v/>
      </c>
      <c r="AT75" s="92" t="str">
        <f t="shared" si="71"/>
        <v/>
      </c>
      <c r="AU75" s="92" t="str">
        <f t="shared" si="72"/>
        <v/>
      </c>
      <c r="AV75" s="92" t="str">
        <f t="shared" si="73"/>
        <v/>
      </c>
      <c r="AW75" s="92" t="str">
        <f t="shared" si="73"/>
        <v/>
      </c>
      <c r="AX75" s="92" t="str">
        <f t="shared" si="73"/>
        <v/>
      </c>
      <c r="AY75" s="93" t="str">
        <f t="shared" si="74"/>
        <v/>
      </c>
      <c r="AZ75" s="94" t="str">
        <f t="shared" si="75"/>
        <v/>
      </c>
      <c r="BA75" s="95" t="str">
        <f t="shared" si="76"/>
        <v/>
      </c>
      <c r="BB75" s="248" t="s">
        <v>422</v>
      </c>
      <c r="BC75" s="229" t="s">
        <v>433</v>
      </c>
      <c r="BD75" s="249">
        <v>0</v>
      </c>
      <c r="BE75" s="267">
        <f t="shared" si="80"/>
        <v>0</v>
      </c>
      <c r="BF75" s="268">
        <f t="shared" si="77"/>
        <v>0</v>
      </c>
      <c r="BG75" s="268">
        <f t="shared" si="77"/>
        <v>0</v>
      </c>
      <c r="BH75" s="268">
        <f t="shared" si="77"/>
        <v>1</v>
      </c>
      <c r="BI75" s="268">
        <f t="shared" si="77"/>
        <v>2</v>
      </c>
      <c r="BJ75" s="268">
        <f t="shared" si="77"/>
        <v>3</v>
      </c>
      <c r="BK75" s="268">
        <f t="shared" si="77"/>
        <v>4</v>
      </c>
      <c r="BL75" s="269">
        <f t="shared" si="77"/>
        <v>5</v>
      </c>
      <c r="BM75" s="256">
        <f>IF($BC75=Lookup!$A$2,$BD75*ROUNDUP(BE75/10,0)+1,
IF($BC75=Lookup!$A$3,($BD75+1)^BD75,
IF($BC75=Lookup!$A$4,BE75*$BD75+1,"Error")))</f>
        <v>1</v>
      </c>
      <c r="BN75" s="229">
        <f>IF($BC75=Lookup!$A$2,$BD75*ROUNDUP(BF75/10,0)+1,
IF($BC75=Lookup!$A$3,($BD75+1)^BE75,
IF($BC75=Lookup!$A$4,BF75*$BD75+1,"Error")))</f>
        <v>1</v>
      </c>
      <c r="BO75" s="229">
        <f>IF($BC75=Lookup!$A$2,$BD75*ROUNDUP(BG75/10,0)+1,
IF($BC75=Lookup!$A$3,($BD75+1)^BF75,
IF($BC75=Lookup!$A$4,BG75*$BD75+1,"Error")))</f>
        <v>1</v>
      </c>
      <c r="BP75" s="229">
        <f>IF($BC75=Lookup!$A$2,$BD75*ROUNDUP(BH75/10,0)+1,
IF($BC75=Lookup!$A$3,($BD75+1)^BG75,
IF($BC75=Lookup!$A$4,BH75*$BD75+1,"Error")))</f>
        <v>1</v>
      </c>
      <c r="BQ75" s="229">
        <f>IF($BC75=Lookup!$A$2,$BD75*ROUNDUP(BI75/10,0)+1,
IF($BC75=Lookup!$A$3,($BD75+1)^BH75,
IF($BC75=Lookup!$A$4,BI75*$BD75+1,"Error")))</f>
        <v>1</v>
      </c>
      <c r="BR75" s="229">
        <f>IF($BC75=Lookup!$A$2,$BD75*ROUNDUP(BJ75/10,0)+1,
IF($BC75=Lookup!$A$3,($BD75+1)^BI75,
IF($BC75=Lookup!$A$4,BJ75*$BD75+1,"Error")))</f>
        <v>1</v>
      </c>
      <c r="BS75" s="229">
        <f>IF($BC75=Lookup!$A$2,$BD75*ROUNDUP(BK75/10,0)+1,
IF($BC75=Lookup!$A$3,($BD75+1)^BJ75,
IF($BC75=Lookup!$A$4,BK75*$BD75+1,"Error")))</f>
        <v>1</v>
      </c>
      <c r="BT75" s="249">
        <f>IF($BC75=Lookup!$A$2,$BD75*ROUNDUP(BL75/10,0)+1,
IF($BC75=Lookup!$A$3,($BD75+1)^BK75,
IF($BC75=Lookup!$A$4,BL75*$BD75+1,"Error")))</f>
        <v>1</v>
      </c>
      <c r="BU75" s="320">
        <v>0</v>
      </c>
      <c r="BV75" s="321">
        <v>0</v>
      </c>
      <c r="BW75" s="321">
        <v>0</v>
      </c>
      <c r="BX75" s="321">
        <v>0</v>
      </c>
      <c r="BY75" s="321">
        <v>0</v>
      </c>
      <c r="BZ75" s="321">
        <v>0</v>
      </c>
      <c r="CA75" s="321">
        <v>0</v>
      </c>
      <c r="CB75" s="277">
        <v>0</v>
      </c>
      <c r="CC75" s="382" t="s">
        <v>293</v>
      </c>
      <c r="CD75" s="383">
        <f>HLOOKUP($CC75,$AK$6:$AM$132,ROWS(CD$6:CD75),0)</f>
        <v>0</v>
      </c>
      <c r="CE75" s="234">
        <f t="shared" si="81"/>
        <v>0</v>
      </c>
      <c r="CF75" s="96">
        <f t="shared" si="81"/>
        <v>0</v>
      </c>
      <c r="CG75" s="521">
        <f t="shared" si="81"/>
        <v>0</v>
      </c>
      <c r="CH75" s="421">
        <f t="shared" si="81"/>
        <v>0</v>
      </c>
      <c r="CI75" s="96">
        <f t="shared" si="50"/>
        <v>0</v>
      </c>
      <c r="CJ75" s="96">
        <f t="shared" si="50"/>
        <v>0</v>
      </c>
      <c r="CK75" s="96">
        <f t="shared" si="50"/>
        <v>0</v>
      </c>
      <c r="CL75" s="286">
        <f t="shared" si="50"/>
        <v>0</v>
      </c>
      <c r="CM75" s="305" t="s">
        <v>293</v>
      </c>
      <c r="CN75" s="315">
        <v>0.05</v>
      </c>
      <c r="CO75" s="306"/>
      <c r="CP75" s="307" t="str">
        <f>IF($CO75&lt;&gt;"",$CO75,HLOOKUP($CM75,$AY$6:$BA$132,ROWS(CP$6:CP75),0))</f>
        <v/>
      </c>
      <c r="CQ75" s="784" t="str">
        <f t="shared" si="78"/>
        <v/>
      </c>
      <c r="CR75" s="784" t="str">
        <f t="shared" si="78"/>
        <v/>
      </c>
      <c r="CS75" s="524" t="str">
        <f t="shared" si="78"/>
        <v/>
      </c>
      <c r="CT75" s="416" t="str">
        <f t="shared" si="78"/>
        <v/>
      </c>
      <c r="CU75" s="97" t="str">
        <f t="shared" si="78"/>
        <v/>
      </c>
      <c r="CV75" s="97" t="str">
        <f t="shared" si="78"/>
        <v/>
      </c>
      <c r="CW75" s="97" t="str">
        <f t="shared" si="78"/>
        <v/>
      </c>
      <c r="CX75" s="98" t="str">
        <f t="shared" si="32"/>
        <v/>
      </c>
      <c r="CY75" s="392"/>
    </row>
    <row r="76" spans="1:103" x14ac:dyDescent="0.25">
      <c r="A76" s="81" t="s">
        <v>138</v>
      </c>
      <c r="B76" s="82" t="s">
        <v>155</v>
      </c>
      <c r="C76" s="83" t="s">
        <v>366</v>
      </c>
      <c r="D76" s="84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654">
        <f>'2022-23 Input'!I76</f>
        <v>0</v>
      </c>
      <c r="N76" s="1065">
        <v>0</v>
      </c>
      <c r="O76" s="560">
        <f t="shared" si="79"/>
        <v>0</v>
      </c>
      <c r="P76" s="561">
        <f t="shared" si="53"/>
        <v>0</v>
      </c>
      <c r="Q76" s="561">
        <f t="shared" si="54"/>
        <v>0</v>
      </c>
      <c r="R76" s="561">
        <f t="shared" si="55"/>
        <v>0</v>
      </c>
      <c r="S76" s="561">
        <f t="shared" si="56"/>
        <v>0</v>
      </c>
      <c r="T76" s="561">
        <f t="shared" si="57"/>
        <v>0</v>
      </c>
      <c r="U76" s="561">
        <f t="shared" si="58"/>
        <v>0</v>
      </c>
      <c r="V76" s="561">
        <f t="shared" si="59"/>
        <v>0</v>
      </c>
      <c r="W76" s="675">
        <f t="shared" si="60"/>
        <v>0</v>
      </c>
      <c r="X76" s="675">
        <f t="shared" si="61"/>
        <v>0</v>
      </c>
      <c r="Y76" s="675">
        <f t="shared" si="61"/>
        <v>0</v>
      </c>
      <c r="Z76" s="86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1094">
        <f>'2022-23 Input'!P76</f>
        <v>0</v>
      </c>
      <c r="AJ76" s="665">
        <v>0</v>
      </c>
      <c r="AK76" s="88">
        <f t="shared" si="62"/>
        <v>0</v>
      </c>
      <c r="AL76" s="89">
        <f t="shared" si="63"/>
        <v>0</v>
      </c>
      <c r="AM76" s="90">
        <f t="shared" si="64"/>
        <v>0</v>
      </c>
      <c r="AN76" s="91" t="str">
        <f t="shared" si="65"/>
        <v/>
      </c>
      <c r="AO76" s="92" t="str">
        <f t="shared" si="66"/>
        <v/>
      </c>
      <c r="AP76" s="92" t="str">
        <f t="shared" si="67"/>
        <v/>
      </c>
      <c r="AQ76" s="92" t="str">
        <f t="shared" si="68"/>
        <v/>
      </c>
      <c r="AR76" s="92" t="str">
        <f t="shared" si="69"/>
        <v/>
      </c>
      <c r="AS76" s="92" t="str">
        <f t="shared" si="70"/>
        <v/>
      </c>
      <c r="AT76" s="92" t="str">
        <f t="shared" si="71"/>
        <v/>
      </c>
      <c r="AU76" s="92" t="str">
        <f t="shared" si="72"/>
        <v/>
      </c>
      <c r="AV76" s="92" t="str">
        <f t="shared" si="73"/>
        <v/>
      </c>
      <c r="AW76" s="92" t="str">
        <f t="shared" si="73"/>
        <v/>
      </c>
      <c r="AX76" s="92" t="str">
        <f t="shared" si="73"/>
        <v/>
      </c>
      <c r="AY76" s="93" t="str">
        <f t="shared" si="74"/>
        <v/>
      </c>
      <c r="AZ76" s="94" t="str">
        <f t="shared" si="75"/>
        <v/>
      </c>
      <c r="BA76" s="95" t="str">
        <f t="shared" si="76"/>
        <v/>
      </c>
      <c r="BB76" s="248" t="s">
        <v>422</v>
      </c>
      <c r="BC76" s="229" t="s">
        <v>433</v>
      </c>
      <c r="BD76" s="249">
        <v>0</v>
      </c>
      <c r="BE76" s="267">
        <f t="shared" si="80"/>
        <v>0</v>
      </c>
      <c r="BF76" s="268">
        <f t="shared" si="77"/>
        <v>0</v>
      </c>
      <c r="BG76" s="268">
        <f t="shared" si="77"/>
        <v>0</v>
      </c>
      <c r="BH76" s="268">
        <f t="shared" si="77"/>
        <v>1</v>
      </c>
      <c r="BI76" s="268">
        <f t="shared" si="77"/>
        <v>2</v>
      </c>
      <c r="BJ76" s="268">
        <f t="shared" si="77"/>
        <v>3</v>
      </c>
      <c r="BK76" s="268">
        <f t="shared" si="77"/>
        <v>4</v>
      </c>
      <c r="BL76" s="269">
        <f t="shared" si="77"/>
        <v>5</v>
      </c>
      <c r="BM76" s="256">
        <f>IF($BC76=Lookup!$A$2,$BD76*ROUNDUP(BE76/10,0)+1,
IF($BC76=Lookup!$A$3,($BD76+1)^BD76,
IF($BC76=Lookup!$A$4,BE76*$BD76+1,"Error")))</f>
        <v>1</v>
      </c>
      <c r="BN76" s="229">
        <f>IF($BC76=Lookup!$A$2,$BD76*ROUNDUP(BF76/10,0)+1,
IF($BC76=Lookup!$A$3,($BD76+1)^BE76,
IF($BC76=Lookup!$A$4,BF76*$BD76+1,"Error")))</f>
        <v>1</v>
      </c>
      <c r="BO76" s="229">
        <f>IF($BC76=Lookup!$A$2,$BD76*ROUNDUP(BG76/10,0)+1,
IF($BC76=Lookup!$A$3,($BD76+1)^BF76,
IF($BC76=Lookup!$A$4,BG76*$BD76+1,"Error")))</f>
        <v>1</v>
      </c>
      <c r="BP76" s="229">
        <f>IF($BC76=Lookup!$A$2,$BD76*ROUNDUP(BH76/10,0)+1,
IF($BC76=Lookup!$A$3,($BD76+1)^BG76,
IF($BC76=Lookup!$A$4,BH76*$BD76+1,"Error")))</f>
        <v>1</v>
      </c>
      <c r="BQ76" s="229">
        <f>IF($BC76=Lookup!$A$2,$BD76*ROUNDUP(BI76/10,0)+1,
IF($BC76=Lookup!$A$3,($BD76+1)^BH76,
IF($BC76=Lookup!$A$4,BI76*$BD76+1,"Error")))</f>
        <v>1</v>
      </c>
      <c r="BR76" s="229">
        <f>IF($BC76=Lookup!$A$2,$BD76*ROUNDUP(BJ76/10,0)+1,
IF($BC76=Lookup!$A$3,($BD76+1)^BI76,
IF($BC76=Lookup!$A$4,BJ76*$BD76+1,"Error")))</f>
        <v>1</v>
      </c>
      <c r="BS76" s="229">
        <f>IF($BC76=Lookup!$A$2,$BD76*ROUNDUP(BK76/10,0)+1,
IF($BC76=Lookup!$A$3,($BD76+1)^BJ76,
IF($BC76=Lookup!$A$4,BK76*$BD76+1,"Error")))</f>
        <v>1</v>
      </c>
      <c r="BT76" s="249">
        <f>IF($BC76=Lookup!$A$2,$BD76*ROUNDUP(BL76/10,0)+1,
IF($BC76=Lookup!$A$3,($BD76+1)^BK76,
IF($BC76=Lookup!$A$4,BL76*$BD76+1,"Error")))</f>
        <v>1</v>
      </c>
      <c r="BU76" s="320">
        <v>0</v>
      </c>
      <c r="BV76" s="321">
        <v>0</v>
      </c>
      <c r="BW76" s="321">
        <v>0</v>
      </c>
      <c r="BX76" s="321">
        <v>0</v>
      </c>
      <c r="BY76" s="321">
        <v>0</v>
      </c>
      <c r="BZ76" s="321">
        <v>0</v>
      </c>
      <c r="CA76" s="321">
        <v>0</v>
      </c>
      <c r="CB76" s="277">
        <v>0</v>
      </c>
      <c r="CC76" s="382" t="s">
        <v>293</v>
      </c>
      <c r="CD76" s="383">
        <f>HLOOKUP($CC76,$AK$6:$AM$132,ROWS(CD$6:CD76),0)</f>
        <v>0</v>
      </c>
      <c r="CE76" s="234">
        <f t="shared" si="81"/>
        <v>0</v>
      </c>
      <c r="CF76" s="96">
        <f t="shared" si="81"/>
        <v>0</v>
      </c>
      <c r="CG76" s="521">
        <f t="shared" si="81"/>
        <v>0</v>
      </c>
      <c r="CH76" s="421">
        <f t="shared" si="81"/>
        <v>0</v>
      </c>
      <c r="CI76" s="96">
        <f t="shared" si="50"/>
        <v>0</v>
      </c>
      <c r="CJ76" s="96">
        <f t="shared" si="50"/>
        <v>0</v>
      </c>
      <c r="CK76" s="96">
        <f t="shared" si="50"/>
        <v>0</v>
      </c>
      <c r="CL76" s="286">
        <f t="shared" si="50"/>
        <v>0</v>
      </c>
      <c r="CM76" s="305" t="s">
        <v>293</v>
      </c>
      <c r="CN76" s="315">
        <v>0.05</v>
      </c>
      <c r="CO76" s="306"/>
      <c r="CP76" s="307" t="str">
        <f>IF($CO76&lt;&gt;"",$CO76,HLOOKUP($CM76,$AY$6:$BA$132,ROWS(CP$6:CP76),0))</f>
        <v/>
      </c>
      <c r="CQ76" s="784" t="str">
        <f t="shared" si="78"/>
        <v/>
      </c>
      <c r="CR76" s="784" t="str">
        <f t="shared" si="78"/>
        <v/>
      </c>
      <c r="CS76" s="524" t="str">
        <f t="shared" si="78"/>
        <v/>
      </c>
      <c r="CT76" s="416" t="str">
        <f t="shared" si="78"/>
        <v/>
      </c>
      <c r="CU76" s="97" t="str">
        <f t="shared" si="78"/>
        <v/>
      </c>
      <c r="CV76" s="97" t="str">
        <f t="shared" si="78"/>
        <v/>
      </c>
      <c r="CW76" s="97" t="str">
        <f t="shared" si="78"/>
        <v/>
      </c>
      <c r="CX76" s="98" t="str">
        <f t="shared" si="32"/>
        <v/>
      </c>
      <c r="CY76" s="392"/>
    </row>
    <row r="77" spans="1:103" x14ac:dyDescent="0.25">
      <c r="A77" s="81" t="s">
        <v>138</v>
      </c>
      <c r="B77" s="82" t="s">
        <v>157</v>
      </c>
      <c r="C77" s="83" t="s">
        <v>367</v>
      </c>
      <c r="D77" s="84">
        <v>-370087.49249590235</v>
      </c>
      <c r="E77" s="85">
        <v>4915051.7793147238</v>
      </c>
      <c r="F77" s="85">
        <v>-1588371.3570977096</v>
      </c>
      <c r="G77" s="85">
        <v>447740.56469929544</v>
      </c>
      <c r="H77" s="85">
        <v>-858056.98362402804</v>
      </c>
      <c r="I77" s="85">
        <v>3507.5239999999999</v>
      </c>
      <c r="J77" s="85">
        <v>628531.75982363115</v>
      </c>
      <c r="K77" s="85">
        <v>953663.37875535619</v>
      </c>
      <c r="L77" s="85">
        <v>1956877.7211117358</v>
      </c>
      <c r="M77" s="654">
        <f>'2022-23 Input'!I77</f>
        <v>1764536.4665665072</v>
      </c>
      <c r="N77" s="1065">
        <v>2058132.3152330767</v>
      </c>
      <c r="O77" s="560">
        <f t="shared" si="79"/>
        <v>-497936.55543792836</v>
      </c>
      <c r="P77" s="561">
        <f t="shared" si="53"/>
        <v>6514561.615602986</v>
      </c>
      <c r="Q77" s="561">
        <f t="shared" si="54"/>
        <v>-2083952.3500491865</v>
      </c>
      <c r="R77" s="561">
        <f t="shared" si="55"/>
        <v>576294.38039388962</v>
      </c>
      <c r="S77" s="561">
        <f t="shared" si="56"/>
        <v>-1081940.1806343393</v>
      </c>
      <c r="T77" s="561">
        <f t="shared" si="57"/>
        <v>4353.3574303765545</v>
      </c>
      <c r="U77" s="561">
        <f t="shared" si="58"/>
        <v>782828.74801858608</v>
      </c>
      <c r="V77" s="561">
        <f t="shared" si="59"/>
        <v>1143784.5556258287</v>
      </c>
      <c r="W77" s="675">
        <f t="shared" si="60"/>
        <v>2211129.4306388795</v>
      </c>
      <c r="X77" s="675">
        <f t="shared" si="61"/>
        <v>1876515.5848580908</v>
      </c>
      <c r="Y77" s="675">
        <f t="shared" si="61"/>
        <v>2114727.8241331745</v>
      </c>
      <c r="Z77" s="86">
        <v>0</v>
      </c>
      <c r="AA77" s="87">
        <v>1</v>
      </c>
      <c r="AB77" s="87">
        <v>0</v>
      </c>
      <c r="AC77" s="87">
        <v>1</v>
      </c>
      <c r="AD77" s="87">
        <v>0</v>
      </c>
      <c r="AE77" s="87">
        <v>0</v>
      </c>
      <c r="AF77" s="87">
        <v>0</v>
      </c>
      <c r="AG77" s="87">
        <v>15</v>
      </c>
      <c r="AH77" s="87">
        <v>29</v>
      </c>
      <c r="AI77" s="1094">
        <f>'2022-23 Input'!P77</f>
        <v>27</v>
      </c>
      <c r="AJ77" s="665">
        <v>25</v>
      </c>
      <c r="AK77" s="88">
        <f t="shared" si="62"/>
        <v>14.2</v>
      </c>
      <c r="AL77" s="89">
        <f t="shared" si="63"/>
        <v>23.666666666666668</v>
      </c>
      <c r="AM77" s="90">
        <f t="shared" si="64"/>
        <v>27</v>
      </c>
      <c r="AN77" s="91" t="str">
        <f t="shared" si="65"/>
        <v/>
      </c>
      <c r="AO77" s="92">
        <f t="shared" si="66"/>
        <v>4915051.7793147238</v>
      </c>
      <c r="AP77" s="92" t="str">
        <f t="shared" si="67"/>
        <v/>
      </c>
      <c r="AQ77" s="92">
        <f t="shared" si="68"/>
        <v>447740.56469929544</v>
      </c>
      <c r="AR77" s="92" t="str">
        <f t="shared" si="69"/>
        <v/>
      </c>
      <c r="AS77" s="92" t="str">
        <f t="shared" si="70"/>
        <v/>
      </c>
      <c r="AT77" s="92" t="str">
        <f t="shared" si="71"/>
        <v/>
      </c>
      <c r="AU77" s="92">
        <f t="shared" si="72"/>
        <v>63577.558583690414</v>
      </c>
      <c r="AV77" s="92">
        <f t="shared" si="73"/>
        <v>67478.54210730124</v>
      </c>
      <c r="AW77" s="92">
        <f t="shared" si="73"/>
        <v>65353.202465426191</v>
      </c>
      <c r="AX77" s="92">
        <f t="shared" si="73"/>
        <v>82325.292609323064</v>
      </c>
      <c r="AY77" s="93">
        <f t="shared" si="74"/>
        <v>74748.124651510298</v>
      </c>
      <c r="AZ77" s="94">
        <f t="shared" si="75"/>
        <v>65846.162907515478</v>
      </c>
      <c r="BA77" s="95">
        <f t="shared" si="76"/>
        <v>65353.202465426191</v>
      </c>
      <c r="BB77" s="248" t="s">
        <v>422</v>
      </c>
      <c r="BC77" s="229" t="s">
        <v>433</v>
      </c>
      <c r="BD77" s="249">
        <v>0</v>
      </c>
      <c r="BE77" s="267">
        <f t="shared" si="80"/>
        <v>0</v>
      </c>
      <c r="BF77" s="268">
        <f t="shared" si="77"/>
        <v>0</v>
      </c>
      <c r="BG77" s="268">
        <f t="shared" si="77"/>
        <v>0</v>
      </c>
      <c r="BH77" s="268">
        <f t="shared" si="77"/>
        <v>1</v>
      </c>
      <c r="BI77" s="268">
        <f t="shared" si="77"/>
        <v>2</v>
      </c>
      <c r="BJ77" s="268">
        <f t="shared" si="77"/>
        <v>3</v>
      </c>
      <c r="BK77" s="268">
        <f t="shared" si="77"/>
        <v>4</v>
      </c>
      <c r="BL77" s="269">
        <f t="shared" si="77"/>
        <v>5</v>
      </c>
      <c r="BM77" s="256">
        <f>IF($BC77=Lookup!$A$2,$BD77*ROUNDUP(BE77/10,0)+1,
IF($BC77=Lookup!$A$3,($BD77+1)^BD77,
IF($BC77=Lookup!$A$4,BE77*$BD77+1,"Error")))</f>
        <v>1</v>
      </c>
      <c r="BN77" s="229">
        <f>IF($BC77=Lookup!$A$2,$BD77*ROUNDUP(BF77/10,0)+1,
IF($BC77=Lookup!$A$3,($BD77+1)^BE77,
IF($BC77=Lookup!$A$4,BF77*$BD77+1,"Error")))</f>
        <v>1</v>
      </c>
      <c r="BO77" s="229">
        <f>IF($BC77=Lookup!$A$2,$BD77*ROUNDUP(BG77/10,0)+1,
IF($BC77=Lookup!$A$3,($BD77+1)^BF77,
IF($BC77=Lookup!$A$4,BG77*$BD77+1,"Error")))</f>
        <v>1</v>
      </c>
      <c r="BP77" s="229">
        <f>IF($BC77=Lookup!$A$2,$BD77*ROUNDUP(BH77/10,0)+1,
IF($BC77=Lookup!$A$3,($BD77+1)^BG77,
IF($BC77=Lookup!$A$4,BH77*$BD77+1,"Error")))</f>
        <v>1</v>
      </c>
      <c r="BQ77" s="229">
        <f>IF($BC77=Lookup!$A$2,$BD77*ROUNDUP(BI77/10,0)+1,
IF($BC77=Lookup!$A$3,($BD77+1)^BH77,
IF($BC77=Lookup!$A$4,BI77*$BD77+1,"Error")))</f>
        <v>1</v>
      </c>
      <c r="BR77" s="229">
        <f>IF($BC77=Lookup!$A$2,$BD77*ROUNDUP(BJ77/10,0)+1,
IF($BC77=Lookup!$A$3,($BD77+1)^BI77,
IF($BC77=Lookup!$A$4,BJ77*$BD77+1,"Error")))</f>
        <v>1</v>
      </c>
      <c r="BS77" s="229">
        <f>IF($BC77=Lookup!$A$2,$BD77*ROUNDUP(BK77/10,0)+1,
IF($BC77=Lookup!$A$3,($BD77+1)^BJ77,
IF($BC77=Lookup!$A$4,BK77*$BD77+1,"Error")))</f>
        <v>1</v>
      </c>
      <c r="BT77" s="249">
        <f>IF($BC77=Lookup!$A$2,$BD77*ROUNDUP(BL77/10,0)+1,
IF($BC77=Lookup!$A$3,($BD77+1)^BK77,
IF($BC77=Lookup!$A$4,BL77*$BD77+1,"Error")))</f>
        <v>1</v>
      </c>
      <c r="BU77" s="320">
        <v>0</v>
      </c>
      <c r="BV77" s="321">
        <v>0</v>
      </c>
      <c r="BW77" s="321">
        <v>0</v>
      </c>
      <c r="BX77" s="321">
        <v>0</v>
      </c>
      <c r="BY77" s="321">
        <v>0</v>
      </c>
      <c r="BZ77" s="321">
        <v>0</v>
      </c>
      <c r="CA77" s="321">
        <v>0</v>
      </c>
      <c r="CB77" s="277">
        <v>0</v>
      </c>
      <c r="CC77" s="382" t="s">
        <v>293</v>
      </c>
      <c r="CD77" s="383">
        <f>HLOOKUP($CC77,$AK$6:$AM$132,ROWS(CD$6:CD77),0)</f>
        <v>23.666666666666668</v>
      </c>
      <c r="CE77" s="234">
        <f t="shared" si="81"/>
        <v>0</v>
      </c>
      <c r="CF77" s="96">
        <f t="shared" si="81"/>
        <v>0</v>
      </c>
      <c r="CG77" s="521">
        <f t="shared" si="81"/>
        <v>0</v>
      </c>
      <c r="CH77" s="421">
        <f t="shared" si="81"/>
        <v>0</v>
      </c>
      <c r="CI77" s="96">
        <f t="shared" si="50"/>
        <v>0</v>
      </c>
      <c r="CJ77" s="96">
        <f t="shared" si="50"/>
        <v>0</v>
      </c>
      <c r="CK77" s="96">
        <f t="shared" si="50"/>
        <v>0</v>
      </c>
      <c r="CL77" s="286">
        <f t="shared" si="50"/>
        <v>0</v>
      </c>
      <c r="CM77" s="305" t="s">
        <v>293</v>
      </c>
      <c r="CN77" s="315">
        <v>0.05</v>
      </c>
      <c r="CO77" s="306"/>
      <c r="CP77" s="307">
        <f>IF($CO77&lt;&gt;"",$CO77,HLOOKUP($CM77,$AY$6:$BA$132,ROWS(CP$6:CP77),0))</f>
        <v>65846.162907515478</v>
      </c>
      <c r="CQ77" s="784">
        <f t="shared" si="78"/>
        <v>0</v>
      </c>
      <c r="CR77" s="784">
        <f t="shared" si="78"/>
        <v>0</v>
      </c>
      <c r="CS77" s="524">
        <f t="shared" si="78"/>
        <v>0</v>
      </c>
      <c r="CT77" s="416">
        <f t="shared" si="78"/>
        <v>0</v>
      </c>
      <c r="CU77" s="97">
        <f t="shared" si="78"/>
        <v>0</v>
      </c>
      <c r="CV77" s="97">
        <f t="shared" si="78"/>
        <v>0</v>
      </c>
      <c r="CW77" s="97">
        <f t="shared" si="78"/>
        <v>0</v>
      </c>
      <c r="CX77" s="98">
        <f t="shared" si="32"/>
        <v>0</v>
      </c>
      <c r="CY77" s="392"/>
    </row>
    <row r="78" spans="1:103" x14ac:dyDescent="0.25">
      <c r="A78" s="81" t="s">
        <v>138</v>
      </c>
      <c r="B78" s="82" t="s">
        <v>159</v>
      </c>
      <c r="C78" s="83" t="s">
        <v>368</v>
      </c>
      <c r="D78" s="84">
        <v>-215155.87695250241</v>
      </c>
      <c r="E78" s="85">
        <v>-16029.177773789968</v>
      </c>
      <c r="F78" s="85">
        <v>-166395.75715721783</v>
      </c>
      <c r="G78" s="85">
        <v>83205.457017925102</v>
      </c>
      <c r="H78" s="85">
        <v>-134310.74110426777</v>
      </c>
      <c r="I78" s="85">
        <v>83516.934153925002</v>
      </c>
      <c r="J78" s="85">
        <v>0</v>
      </c>
      <c r="K78" s="85">
        <v>128691.31835595501</v>
      </c>
      <c r="L78" s="85">
        <v>59625.35</v>
      </c>
      <c r="M78" s="654">
        <f>'2022-23 Input'!I78</f>
        <v>64567.4</v>
      </c>
      <c r="N78" s="1065">
        <v>164364.33662287498</v>
      </c>
      <c r="O78" s="560">
        <f t="shared" si="79"/>
        <v>-289482.83426017704</v>
      </c>
      <c r="P78" s="561">
        <f t="shared" si="53"/>
        <v>-21245.56788888351</v>
      </c>
      <c r="Q78" s="561">
        <f t="shared" si="54"/>
        <v>-218312.18978891888</v>
      </c>
      <c r="R78" s="561">
        <f t="shared" si="55"/>
        <v>107095.13740337457</v>
      </c>
      <c r="S78" s="561">
        <f t="shared" si="56"/>
        <v>-169354.9382673123</v>
      </c>
      <c r="T78" s="561">
        <f t="shared" si="57"/>
        <v>103656.90038364922</v>
      </c>
      <c r="U78" s="561">
        <f t="shared" si="58"/>
        <v>0</v>
      </c>
      <c r="V78" s="561">
        <f t="shared" si="59"/>
        <v>154347.06381488108</v>
      </c>
      <c r="W78" s="675">
        <f t="shared" si="60"/>
        <v>67372.306800163133</v>
      </c>
      <c r="X78" s="675">
        <f t="shared" si="61"/>
        <v>68664.906999358747</v>
      </c>
      <c r="Y78" s="675">
        <f t="shared" si="61"/>
        <v>168884.10593379274</v>
      </c>
      <c r="Z78" s="86">
        <v>0</v>
      </c>
      <c r="AA78" s="87">
        <v>0</v>
      </c>
      <c r="AB78" s="87">
        <v>0</v>
      </c>
      <c r="AC78" s="87">
        <v>0</v>
      </c>
      <c r="AD78" s="87">
        <v>1</v>
      </c>
      <c r="AE78" s="87">
        <v>0</v>
      </c>
      <c r="AF78" s="87">
        <v>1</v>
      </c>
      <c r="AG78" s="87">
        <v>2</v>
      </c>
      <c r="AH78" s="87">
        <v>1</v>
      </c>
      <c r="AI78" s="1094">
        <f>'2022-23 Input'!P78</f>
        <v>1</v>
      </c>
      <c r="AJ78" s="665">
        <v>0</v>
      </c>
      <c r="AK78" s="88">
        <f t="shared" si="62"/>
        <v>1</v>
      </c>
      <c r="AL78" s="89">
        <f t="shared" si="63"/>
        <v>1.3333333333333333</v>
      </c>
      <c r="AM78" s="90">
        <f t="shared" si="64"/>
        <v>1</v>
      </c>
      <c r="AN78" s="91" t="str">
        <f t="shared" si="65"/>
        <v/>
      </c>
      <c r="AO78" s="92" t="str">
        <f t="shared" si="66"/>
        <v/>
      </c>
      <c r="AP78" s="92" t="str">
        <f t="shared" si="67"/>
        <v/>
      </c>
      <c r="AQ78" s="92" t="str">
        <f t="shared" si="68"/>
        <v/>
      </c>
      <c r="AR78" s="92">
        <f t="shared" si="69"/>
        <v>-134310.74110426777</v>
      </c>
      <c r="AS78" s="92" t="str">
        <f t="shared" si="70"/>
        <v/>
      </c>
      <c r="AT78" s="92">
        <f t="shared" si="71"/>
        <v>0</v>
      </c>
      <c r="AU78" s="92">
        <f t="shared" si="72"/>
        <v>64345.659177977504</v>
      </c>
      <c r="AV78" s="92">
        <f t="shared" si="73"/>
        <v>59625.35</v>
      </c>
      <c r="AW78" s="92">
        <f t="shared" si="73"/>
        <v>64567.4</v>
      </c>
      <c r="AX78" s="92" t="str">
        <f t="shared" si="73"/>
        <v/>
      </c>
      <c r="AY78" s="93">
        <f t="shared" si="74"/>
        <v>67280.200501975996</v>
      </c>
      <c r="AZ78" s="94">
        <f t="shared" si="75"/>
        <v>63221.017088988752</v>
      </c>
      <c r="BA78" s="95">
        <f t="shared" si="76"/>
        <v>64567.4</v>
      </c>
      <c r="BB78" s="248" t="s">
        <v>422</v>
      </c>
      <c r="BC78" s="229" t="s">
        <v>433</v>
      </c>
      <c r="BD78" s="249">
        <v>0</v>
      </c>
      <c r="BE78" s="267">
        <f t="shared" si="80"/>
        <v>0</v>
      </c>
      <c r="BF78" s="268">
        <f t="shared" si="77"/>
        <v>0</v>
      </c>
      <c r="BG78" s="268">
        <f t="shared" si="77"/>
        <v>0</v>
      </c>
      <c r="BH78" s="268">
        <f t="shared" si="77"/>
        <v>1</v>
      </c>
      <c r="BI78" s="268">
        <f t="shared" si="77"/>
        <v>2</v>
      </c>
      <c r="BJ78" s="268">
        <f t="shared" si="77"/>
        <v>3</v>
      </c>
      <c r="BK78" s="268">
        <f t="shared" si="77"/>
        <v>4</v>
      </c>
      <c r="BL78" s="269">
        <f t="shared" si="77"/>
        <v>5</v>
      </c>
      <c r="BM78" s="256">
        <f>IF($BC78=Lookup!$A$2,$BD78*ROUNDUP(BE78/10,0)+1,
IF($BC78=Lookup!$A$3,($BD78+1)^BD78,
IF($BC78=Lookup!$A$4,BE78*$BD78+1,"Error")))</f>
        <v>1</v>
      </c>
      <c r="BN78" s="229">
        <f>IF($BC78=Lookup!$A$2,$BD78*ROUNDUP(BF78/10,0)+1,
IF($BC78=Lookup!$A$3,($BD78+1)^BE78,
IF($BC78=Lookup!$A$4,BF78*$BD78+1,"Error")))</f>
        <v>1</v>
      </c>
      <c r="BO78" s="229">
        <f>IF($BC78=Lookup!$A$2,$BD78*ROUNDUP(BG78/10,0)+1,
IF($BC78=Lookup!$A$3,($BD78+1)^BF78,
IF($BC78=Lookup!$A$4,BG78*$BD78+1,"Error")))</f>
        <v>1</v>
      </c>
      <c r="BP78" s="229">
        <f>IF($BC78=Lookup!$A$2,$BD78*ROUNDUP(BH78/10,0)+1,
IF($BC78=Lookup!$A$3,($BD78+1)^BG78,
IF($BC78=Lookup!$A$4,BH78*$BD78+1,"Error")))</f>
        <v>1</v>
      </c>
      <c r="BQ78" s="229">
        <f>IF($BC78=Lookup!$A$2,$BD78*ROUNDUP(BI78/10,0)+1,
IF($BC78=Lookup!$A$3,($BD78+1)^BH78,
IF($BC78=Lookup!$A$4,BI78*$BD78+1,"Error")))</f>
        <v>1</v>
      </c>
      <c r="BR78" s="229">
        <f>IF($BC78=Lookup!$A$2,$BD78*ROUNDUP(BJ78/10,0)+1,
IF($BC78=Lookup!$A$3,($BD78+1)^BI78,
IF($BC78=Lookup!$A$4,BJ78*$BD78+1,"Error")))</f>
        <v>1</v>
      </c>
      <c r="BS78" s="229">
        <f>IF($BC78=Lookup!$A$2,$BD78*ROUNDUP(BK78/10,0)+1,
IF($BC78=Lookup!$A$3,($BD78+1)^BJ78,
IF($BC78=Lookup!$A$4,BK78*$BD78+1,"Error")))</f>
        <v>1</v>
      </c>
      <c r="BT78" s="249">
        <f>IF($BC78=Lookup!$A$2,$BD78*ROUNDUP(BL78/10,0)+1,
IF($BC78=Lookup!$A$3,($BD78+1)^BK78,
IF($BC78=Lookup!$A$4,BL78*$BD78+1,"Error")))</f>
        <v>1</v>
      </c>
      <c r="BU78" s="320">
        <v>0</v>
      </c>
      <c r="BV78" s="321">
        <v>0</v>
      </c>
      <c r="BW78" s="321">
        <v>0</v>
      </c>
      <c r="BX78" s="321">
        <v>0</v>
      </c>
      <c r="BY78" s="321">
        <v>0</v>
      </c>
      <c r="BZ78" s="321">
        <v>0</v>
      </c>
      <c r="CA78" s="321">
        <v>0</v>
      </c>
      <c r="CB78" s="277">
        <v>0</v>
      </c>
      <c r="CC78" s="382" t="s">
        <v>293</v>
      </c>
      <c r="CD78" s="383">
        <f>HLOOKUP($CC78,$AK$6:$AM$132,ROWS(CD$6:CD78),0)</f>
        <v>1.3333333333333333</v>
      </c>
      <c r="CE78" s="234">
        <f t="shared" si="81"/>
        <v>0</v>
      </c>
      <c r="CF78" s="96">
        <f t="shared" si="81"/>
        <v>0</v>
      </c>
      <c r="CG78" s="521">
        <f t="shared" si="81"/>
        <v>0</v>
      </c>
      <c r="CH78" s="421">
        <f t="shared" si="81"/>
        <v>0</v>
      </c>
      <c r="CI78" s="96">
        <f t="shared" si="50"/>
        <v>0</v>
      </c>
      <c r="CJ78" s="96">
        <f t="shared" si="50"/>
        <v>0</v>
      </c>
      <c r="CK78" s="96">
        <f t="shared" si="50"/>
        <v>0</v>
      </c>
      <c r="CL78" s="286">
        <f t="shared" si="50"/>
        <v>0</v>
      </c>
      <c r="CM78" s="305" t="s">
        <v>293</v>
      </c>
      <c r="CN78" s="315">
        <v>0.05</v>
      </c>
      <c r="CO78" s="306"/>
      <c r="CP78" s="307">
        <f>IF($CO78&lt;&gt;"",$CO78,HLOOKUP($CM78,$AY$6:$BA$132,ROWS(CP$6:CP78),0))</f>
        <v>63221.017088988752</v>
      </c>
      <c r="CQ78" s="784">
        <f t="shared" si="78"/>
        <v>0</v>
      </c>
      <c r="CR78" s="784">
        <f t="shared" si="78"/>
        <v>0</v>
      </c>
      <c r="CS78" s="524">
        <f t="shared" si="78"/>
        <v>0</v>
      </c>
      <c r="CT78" s="416">
        <f t="shared" si="78"/>
        <v>0</v>
      </c>
      <c r="CU78" s="97">
        <f t="shared" si="78"/>
        <v>0</v>
      </c>
      <c r="CV78" s="97">
        <f t="shared" si="78"/>
        <v>0</v>
      </c>
      <c r="CW78" s="97">
        <f t="shared" si="78"/>
        <v>0</v>
      </c>
      <c r="CX78" s="98">
        <f t="shared" si="32"/>
        <v>0</v>
      </c>
      <c r="CY78" s="392"/>
    </row>
    <row r="79" spans="1:103" x14ac:dyDescent="0.25">
      <c r="A79" s="81" t="s">
        <v>138</v>
      </c>
      <c r="B79" s="82" t="s">
        <v>161</v>
      </c>
      <c r="C79" s="83" t="s">
        <v>369</v>
      </c>
      <c r="D79" s="84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654">
        <f>'2022-23 Input'!I79</f>
        <v>0</v>
      </c>
      <c r="N79" s="1065">
        <v>0</v>
      </c>
      <c r="O79" s="560">
        <f t="shared" si="79"/>
        <v>0</v>
      </c>
      <c r="P79" s="561">
        <f t="shared" si="53"/>
        <v>0</v>
      </c>
      <c r="Q79" s="561">
        <f t="shared" si="54"/>
        <v>0</v>
      </c>
      <c r="R79" s="561">
        <f t="shared" si="55"/>
        <v>0</v>
      </c>
      <c r="S79" s="561">
        <f t="shared" si="56"/>
        <v>0</v>
      </c>
      <c r="T79" s="561">
        <f t="shared" si="57"/>
        <v>0</v>
      </c>
      <c r="U79" s="561">
        <f t="shared" si="58"/>
        <v>0</v>
      </c>
      <c r="V79" s="561">
        <f t="shared" si="59"/>
        <v>0</v>
      </c>
      <c r="W79" s="675">
        <f t="shared" si="60"/>
        <v>0</v>
      </c>
      <c r="X79" s="675">
        <f t="shared" si="61"/>
        <v>0</v>
      </c>
      <c r="Y79" s="675">
        <f t="shared" si="61"/>
        <v>0</v>
      </c>
      <c r="Z79" s="86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1094">
        <f>'2022-23 Input'!P79</f>
        <v>0</v>
      </c>
      <c r="AJ79" s="665">
        <v>0</v>
      </c>
      <c r="AK79" s="88">
        <f t="shared" si="62"/>
        <v>0</v>
      </c>
      <c r="AL79" s="89">
        <f t="shared" si="63"/>
        <v>0</v>
      </c>
      <c r="AM79" s="90">
        <f t="shared" si="64"/>
        <v>0</v>
      </c>
      <c r="AN79" s="91" t="str">
        <f t="shared" si="65"/>
        <v/>
      </c>
      <c r="AO79" s="92" t="str">
        <f t="shared" si="66"/>
        <v/>
      </c>
      <c r="AP79" s="92" t="str">
        <f t="shared" si="67"/>
        <v/>
      </c>
      <c r="AQ79" s="92" t="str">
        <f t="shared" si="68"/>
        <v/>
      </c>
      <c r="AR79" s="92" t="str">
        <f t="shared" si="69"/>
        <v/>
      </c>
      <c r="AS79" s="92" t="str">
        <f t="shared" si="70"/>
        <v/>
      </c>
      <c r="AT79" s="92" t="str">
        <f t="shared" si="71"/>
        <v/>
      </c>
      <c r="AU79" s="92" t="str">
        <f t="shared" si="72"/>
        <v/>
      </c>
      <c r="AV79" s="92" t="str">
        <f t="shared" si="73"/>
        <v/>
      </c>
      <c r="AW79" s="92" t="str">
        <f t="shared" si="73"/>
        <v/>
      </c>
      <c r="AX79" s="92" t="str">
        <f t="shared" si="73"/>
        <v/>
      </c>
      <c r="AY79" s="93" t="str">
        <f t="shared" si="74"/>
        <v/>
      </c>
      <c r="AZ79" s="94" t="str">
        <f t="shared" si="75"/>
        <v/>
      </c>
      <c r="BA79" s="95" t="str">
        <f t="shared" si="76"/>
        <v/>
      </c>
      <c r="BB79" s="248" t="s">
        <v>422</v>
      </c>
      <c r="BC79" s="229" t="s">
        <v>433</v>
      </c>
      <c r="BD79" s="249">
        <v>0</v>
      </c>
      <c r="BE79" s="267">
        <f t="shared" si="80"/>
        <v>0</v>
      </c>
      <c r="BF79" s="268">
        <f t="shared" si="77"/>
        <v>0</v>
      </c>
      <c r="BG79" s="268">
        <f t="shared" si="77"/>
        <v>0</v>
      </c>
      <c r="BH79" s="268">
        <f t="shared" si="77"/>
        <v>1</v>
      </c>
      <c r="BI79" s="268">
        <f t="shared" si="77"/>
        <v>2</v>
      </c>
      <c r="BJ79" s="268">
        <f t="shared" si="77"/>
        <v>3</v>
      </c>
      <c r="BK79" s="268">
        <f t="shared" si="77"/>
        <v>4</v>
      </c>
      <c r="BL79" s="269">
        <f t="shared" si="77"/>
        <v>5</v>
      </c>
      <c r="BM79" s="256">
        <f>IF($BC79=Lookup!$A$2,$BD79*ROUNDUP(BE79/10,0)+1,
IF($BC79=Lookup!$A$3,($BD79+1)^BD79,
IF($BC79=Lookup!$A$4,BE79*$BD79+1,"Error")))</f>
        <v>1</v>
      </c>
      <c r="BN79" s="229">
        <f>IF($BC79=Lookup!$A$2,$BD79*ROUNDUP(BF79/10,0)+1,
IF($BC79=Lookup!$A$3,($BD79+1)^BE79,
IF($BC79=Lookup!$A$4,BF79*$BD79+1,"Error")))</f>
        <v>1</v>
      </c>
      <c r="BO79" s="229">
        <f>IF($BC79=Lookup!$A$2,$BD79*ROUNDUP(BG79/10,0)+1,
IF($BC79=Lookup!$A$3,($BD79+1)^BF79,
IF($BC79=Lookup!$A$4,BG79*$BD79+1,"Error")))</f>
        <v>1</v>
      </c>
      <c r="BP79" s="229">
        <f>IF($BC79=Lookup!$A$2,$BD79*ROUNDUP(BH79/10,0)+1,
IF($BC79=Lookup!$A$3,($BD79+1)^BG79,
IF($BC79=Lookup!$A$4,BH79*$BD79+1,"Error")))</f>
        <v>1</v>
      </c>
      <c r="BQ79" s="229">
        <f>IF($BC79=Lookup!$A$2,$BD79*ROUNDUP(BI79/10,0)+1,
IF($BC79=Lookup!$A$3,($BD79+1)^BH79,
IF($BC79=Lookup!$A$4,BI79*$BD79+1,"Error")))</f>
        <v>1</v>
      </c>
      <c r="BR79" s="229">
        <f>IF($BC79=Lookup!$A$2,$BD79*ROUNDUP(BJ79/10,0)+1,
IF($BC79=Lookup!$A$3,($BD79+1)^BI79,
IF($BC79=Lookup!$A$4,BJ79*$BD79+1,"Error")))</f>
        <v>1</v>
      </c>
      <c r="BS79" s="229">
        <f>IF($BC79=Lookup!$A$2,$BD79*ROUNDUP(BK79/10,0)+1,
IF($BC79=Lookup!$A$3,($BD79+1)^BJ79,
IF($BC79=Lookup!$A$4,BK79*$BD79+1,"Error")))</f>
        <v>1</v>
      </c>
      <c r="BT79" s="249">
        <f>IF($BC79=Lookup!$A$2,$BD79*ROUNDUP(BL79/10,0)+1,
IF($BC79=Lookup!$A$3,($BD79+1)^BK79,
IF($BC79=Lookup!$A$4,BL79*$BD79+1,"Error")))</f>
        <v>1</v>
      </c>
      <c r="BU79" s="320">
        <v>0</v>
      </c>
      <c r="BV79" s="321">
        <v>0</v>
      </c>
      <c r="BW79" s="321">
        <v>0</v>
      </c>
      <c r="BX79" s="321">
        <v>0</v>
      </c>
      <c r="BY79" s="321">
        <v>0</v>
      </c>
      <c r="BZ79" s="321">
        <v>0</v>
      </c>
      <c r="CA79" s="321">
        <v>0</v>
      </c>
      <c r="CB79" s="277">
        <v>0</v>
      </c>
      <c r="CC79" s="382" t="s">
        <v>293</v>
      </c>
      <c r="CD79" s="383">
        <f>HLOOKUP($CC79,$AK$6:$AM$132,ROWS(CD$6:CD79),0)</f>
        <v>0</v>
      </c>
      <c r="CE79" s="234">
        <f t="shared" si="81"/>
        <v>0</v>
      </c>
      <c r="CF79" s="96">
        <f t="shared" si="81"/>
        <v>0</v>
      </c>
      <c r="CG79" s="521">
        <f t="shared" si="81"/>
        <v>0</v>
      </c>
      <c r="CH79" s="421">
        <f t="shared" si="81"/>
        <v>0</v>
      </c>
      <c r="CI79" s="96">
        <f t="shared" si="50"/>
        <v>0</v>
      </c>
      <c r="CJ79" s="96">
        <f t="shared" si="50"/>
        <v>0</v>
      </c>
      <c r="CK79" s="96">
        <f t="shared" si="50"/>
        <v>0</v>
      </c>
      <c r="CL79" s="286">
        <f t="shared" si="50"/>
        <v>0</v>
      </c>
      <c r="CM79" s="305" t="s">
        <v>293</v>
      </c>
      <c r="CN79" s="315">
        <v>0.05</v>
      </c>
      <c r="CO79" s="306"/>
      <c r="CP79" s="307" t="str">
        <f>IF($CO79&lt;&gt;"",$CO79,HLOOKUP($CM79,$AY$6:$BA$132,ROWS(CP$6:CP79),0))</f>
        <v/>
      </c>
      <c r="CQ79" s="784" t="str">
        <f t="shared" si="78"/>
        <v/>
      </c>
      <c r="CR79" s="784" t="str">
        <f t="shared" si="78"/>
        <v/>
      </c>
      <c r="CS79" s="524" t="str">
        <f t="shared" si="78"/>
        <v/>
      </c>
      <c r="CT79" s="416" t="str">
        <f t="shared" si="78"/>
        <v/>
      </c>
      <c r="CU79" s="97" t="str">
        <f t="shared" si="78"/>
        <v/>
      </c>
      <c r="CV79" s="97" t="str">
        <f t="shared" si="78"/>
        <v/>
      </c>
      <c r="CW79" s="97" t="str">
        <f t="shared" si="78"/>
        <v/>
      </c>
      <c r="CX79" s="98" t="str">
        <f t="shared" si="32"/>
        <v/>
      </c>
      <c r="CY79" s="392"/>
    </row>
    <row r="80" spans="1:103" x14ac:dyDescent="0.25">
      <c r="A80" s="81" t="s">
        <v>138</v>
      </c>
      <c r="B80" s="82" t="s">
        <v>163</v>
      </c>
      <c r="C80" s="83" t="s">
        <v>370</v>
      </c>
      <c r="D80" s="84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85">
        <v>0</v>
      </c>
      <c r="L80" s="85">
        <v>0</v>
      </c>
      <c r="M80" s="654">
        <f>'2022-23 Input'!I80</f>
        <v>0</v>
      </c>
      <c r="N80" s="1065">
        <v>0</v>
      </c>
      <c r="O80" s="560">
        <f t="shared" si="79"/>
        <v>0</v>
      </c>
      <c r="P80" s="561">
        <f t="shared" si="53"/>
        <v>0</v>
      </c>
      <c r="Q80" s="561">
        <f t="shared" si="54"/>
        <v>0</v>
      </c>
      <c r="R80" s="561">
        <f t="shared" si="55"/>
        <v>0</v>
      </c>
      <c r="S80" s="561">
        <f t="shared" si="56"/>
        <v>0</v>
      </c>
      <c r="T80" s="561">
        <f t="shared" si="57"/>
        <v>0</v>
      </c>
      <c r="U80" s="561">
        <f t="shared" si="58"/>
        <v>0</v>
      </c>
      <c r="V80" s="561">
        <f t="shared" si="59"/>
        <v>0</v>
      </c>
      <c r="W80" s="675">
        <f t="shared" si="60"/>
        <v>0</v>
      </c>
      <c r="X80" s="675">
        <f t="shared" si="61"/>
        <v>0</v>
      </c>
      <c r="Y80" s="675">
        <f t="shared" si="61"/>
        <v>0</v>
      </c>
      <c r="Z80" s="86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87">
        <v>0</v>
      </c>
      <c r="AI80" s="1094">
        <f>'2022-23 Input'!P80</f>
        <v>0</v>
      </c>
      <c r="AJ80" s="665">
        <v>0</v>
      </c>
      <c r="AK80" s="88">
        <f t="shared" si="62"/>
        <v>0</v>
      </c>
      <c r="AL80" s="89">
        <f t="shared" si="63"/>
        <v>0</v>
      </c>
      <c r="AM80" s="90">
        <f t="shared" si="64"/>
        <v>0</v>
      </c>
      <c r="AN80" s="91" t="str">
        <f t="shared" si="65"/>
        <v/>
      </c>
      <c r="AO80" s="92" t="str">
        <f t="shared" si="66"/>
        <v/>
      </c>
      <c r="AP80" s="92" t="str">
        <f t="shared" si="67"/>
        <v/>
      </c>
      <c r="AQ80" s="92" t="str">
        <f t="shared" si="68"/>
        <v/>
      </c>
      <c r="AR80" s="92" t="str">
        <f t="shared" si="69"/>
        <v/>
      </c>
      <c r="AS80" s="92" t="str">
        <f t="shared" si="70"/>
        <v/>
      </c>
      <c r="AT80" s="92" t="str">
        <f t="shared" si="71"/>
        <v/>
      </c>
      <c r="AU80" s="92" t="str">
        <f t="shared" si="72"/>
        <v/>
      </c>
      <c r="AV80" s="92" t="str">
        <f t="shared" si="73"/>
        <v/>
      </c>
      <c r="AW80" s="92" t="str">
        <f t="shared" si="73"/>
        <v/>
      </c>
      <c r="AX80" s="92" t="str">
        <f t="shared" si="73"/>
        <v/>
      </c>
      <c r="AY80" s="93" t="str">
        <f t="shared" si="74"/>
        <v/>
      </c>
      <c r="AZ80" s="94" t="str">
        <f t="shared" si="75"/>
        <v/>
      </c>
      <c r="BA80" s="95" t="str">
        <f t="shared" si="76"/>
        <v/>
      </c>
      <c r="BB80" s="248" t="s">
        <v>422</v>
      </c>
      <c r="BC80" s="229" t="s">
        <v>433</v>
      </c>
      <c r="BD80" s="249">
        <v>0</v>
      </c>
      <c r="BE80" s="267">
        <f t="shared" si="80"/>
        <v>0</v>
      </c>
      <c r="BF80" s="268">
        <f t="shared" si="77"/>
        <v>0</v>
      </c>
      <c r="BG80" s="268">
        <f t="shared" si="77"/>
        <v>0</v>
      </c>
      <c r="BH80" s="268">
        <f t="shared" si="77"/>
        <v>1</v>
      </c>
      <c r="BI80" s="268">
        <f t="shared" si="77"/>
        <v>2</v>
      </c>
      <c r="BJ80" s="268">
        <f t="shared" si="77"/>
        <v>3</v>
      </c>
      <c r="BK80" s="268">
        <f t="shared" si="77"/>
        <v>4</v>
      </c>
      <c r="BL80" s="269">
        <f t="shared" si="77"/>
        <v>5</v>
      </c>
      <c r="BM80" s="256">
        <f>IF($BC80=Lookup!$A$2,$BD80*ROUNDUP(BE80/10,0)+1,
IF($BC80=Lookup!$A$3,($BD80+1)^BD80,
IF($BC80=Lookup!$A$4,BE80*$BD80+1,"Error")))</f>
        <v>1</v>
      </c>
      <c r="BN80" s="229">
        <f>IF($BC80=Lookup!$A$2,$BD80*ROUNDUP(BF80/10,0)+1,
IF($BC80=Lookup!$A$3,($BD80+1)^BE80,
IF($BC80=Lookup!$A$4,BF80*$BD80+1,"Error")))</f>
        <v>1</v>
      </c>
      <c r="BO80" s="229">
        <f>IF($BC80=Lookup!$A$2,$BD80*ROUNDUP(BG80/10,0)+1,
IF($BC80=Lookup!$A$3,($BD80+1)^BF80,
IF($BC80=Lookup!$A$4,BG80*$BD80+1,"Error")))</f>
        <v>1</v>
      </c>
      <c r="BP80" s="229">
        <f>IF($BC80=Lookup!$A$2,$BD80*ROUNDUP(BH80/10,0)+1,
IF($BC80=Lookup!$A$3,($BD80+1)^BG80,
IF($BC80=Lookup!$A$4,BH80*$BD80+1,"Error")))</f>
        <v>1</v>
      </c>
      <c r="BQ80" s="229">
        <f>IF($BC80=Lookup!$A$2,$BD80*ROUNDUP(BI80/10,0)+1,
IF($BC80=Lookup!$A$3,($BD80+1)^BH80,
IF($BC80=Lookup!$A$4,BI80*$BD80+1,"Error")))</f>
        <v>1</v>
      </c>
      <c r="BR80" s="229">
        <f>IF($BC80=Lookup!$A$2,$BD80*ROUNDUP(BJ80/10,0)+1,
IF($BC80=Lookup!$A$3,($BD80+1)^BI80,
IF($BC80=Lookup!$A$4,BJ80*$BD80+1,"Error")))</f>
        <v>1</v>
      </c>
      <c r="BS80" s="229">
        <f>IF($BC80=Lookup!$A$2,$BD80*ROUNDUP(BK80/10,0)+1,
IF($BC80=Lookup!$A$3,($BD80+1)^BJ80,
IF($BC80=Lookup!$A$4,BK80*$BD80+1,"Error")))</f>
        <v>1</v>
      </c>
      <c r="BT80" s="249">
        <f>IF($BC80=Lookup!$A$2,$BD80*ROUNDUP(BL80/10,0)+1,
IF($BC80=Lookup!$A$3,($BD80+1)^BK80,
IF($BC80=Lookup!$A$4,BL80*$BD80+1,"Error")))</f>
        <v>1</v>
      </c>
      <c r="BU80" s="320">
        <v>0</v>
      </c>
      <c r="BV80" s="321">
        <v>0</v>
      </c>
      <c r="BW80" s="321">
        <v>0</v>
      </c>
      <c r="BX80" s="321">
        <v>0</v>
      </c>
      <c r="BY80" s="321">
        <v>0</v>
      </c>
      <c r="BZ80" s="321">
        <v>0</v>
      </c>
      <c r="CA80" s="321">
        <v>0</v>
      </c>
      <c r="CB80" s="277">
        <v>0</v>
      </c>
      <c r="CC80" s="382" t="s">
        <v>293</v>
      </c>
      <c r="CD80" s="383">
        <f>HLOOKUP($CC80,$AK$6:$AM$132,ROWS(CD$6:CD80),0)</f>
        <v>0</v>
      </c>
      <c r="CE80" s="234">
        <f t="shared" si="81"/>
        <v>0</v>
      </c>
      <c r="CF80" s="96">
        <f t="shared" si="81"/>
        <v>0</v>
      </c>
      <c r="CG80" s="521">
        <f t="shared" si="81"/>
        <v>0</v>
      </c>
      <c r="CH80" s="421">
        <f t="shared" si="81"/>
        <v>0</v>
      </c>
      <c r="CI80" s="96">
        <f t="shared" si="50"/>
        <v>0</v>
      </c>
      <c r="CJ80" s="96">
        <f t="shared" si="50"/>
        <v>0</v>
      </c>
      <c r="CK80" s="96">
        <f t="shared" si="50"/>
        <v>0</v>
      </c>
      <c r="CL80" s="286">
        <f t="shared" si="50"/>
        <v>0</v>
      </c>
      <c r="CM80" s="305" t="s">
        <v>293</v>
      </c>
      <c r="CN80" s="315">
        <v>0.05</v>
      </c>
      <c r="CO80" s="306"/>
      <c r="CP80" s="307" t="str">
        <f>IF($CO80&lt;&gt;"",$CO80,HLOOKUP($CM80,$AY$6:$BA$132,ROWS(CP$6:CP80),0))</f>
        <v/>
      </c>
      <c r="CQ80" s="784" t="str">
        <f t="shared" si="78"/>
        <v/>
      </c>
      <c r="CR80" s="784" t="str">
        <f t="shared" si="78"/>
        <v/>
      </c>
      <c r="CS80" s="524" t="str">
        <f t="shared" si="78"/>
        <v/>
      </c>
      <c r="CT80" s="416" t="str">
        <f t="shared" si="78"/>
        <v/>
      </c>
      <c r="CU80" s="97" t="str">
        <f t="shared" si="78"/>
        <v/>
      </c>
      <c r="CV80" s="97" t="str">
        <f t="shared" si="78"/>
        <v/>
      </c>
      <c r="CW80" s="97" t="str">
        <f t="shared" si="78"/>
        <v/>
      </c>
      <c r="CX80" s="98" t="str">
        <f t="shared" si="32"/>
        <v/>
      </c>
      <c r="CY80" s="392"/>
    </row>
    <row r="81" spans="1:103" x14ac:dyDescent="0.25">
      <c r="A81" s="81" t="s">
        <v>138</v>
      </c>
      <c r="B81" s="82" t="s">
        <v>165</v>
      </c>
      <c r="C81" s="83" t="s">
        <v>371</v>
      </c>
      <c r="D81" s="84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85">
        <v>0</v>
      </c>
      <c r="L81" s="85">
        <v>0</v>
      </c>
      <c r="M81" s="654">
        <f>'2022-23 Input'!I81</f>
        <v>0</v>
      </c>
      <c r="N81" s="1065">
        <v>0</v>
      </c>
      <c r="O81" s="560">
        <f t="shared" si="79"/>
        <v>0</v>
      </c>
      <c r="P81" s="561">
        <f t="shared" si="53"/>
        <v>0</v>
      </c>
      <c r="Q81" s="561">
        <f t="shared" si="54"/>
        <v>0</v>
      </c>
      <c r="R81" s="561">
        <f t="shared" si="55"/>
        <v>0</v>
      </c>
      <c r="S81" s="561">
        <f t="shared" si="56"/>
        <v>0</v>
      </c>
      <c r="T81" s="561">
        <f t="shared" si="57"/>
        <v>0</v>
      </c>
      <c r="U81" s="561">
        <f t="shared" si="58"/>
        <v>0</v>
      </c>
      <c r="V81" s="561">
        <f t="shared" si="59"/>
        <v>0</v>
      </c>
      <c r="W81" s="675">
        <f t="shared" si="60"/>
        <v>0</v>
      </c>
      <c r="X81" s="675">
        <f t="shared" si="61"/>
        <v>0</v>
      </c>
      <c r="Y81" s="675">
        <f t="shared" si="61"/>
        <v>0</v>
      </c>
      <c r="Z81" s="86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87">
        <v>0</v>
      </c>
      <c r="AI81" s="1094">
        <f>'2022-23 Input'!P81</f>
        <v>0</v>
      </c>
      <c r="AJ81" s="665">
        <v>0</v>
      </c>
      <c r="AK81" s="88">
        <f t="shared" si="62"/>
        <v>0</v>
      </c>
      <c r="AL81" s="89">
        <f t="shared" si="63"/>
        <v>0</v>
      </c>
      <c r="AM81" s="90">
        <f t="shared" si="64"/>
        <v>0</v>
      </c>
      <c r="AN81" s="91" t="str">
        <f t="shared" si="65"/>
        <v/>
      </c>
      <c r="AO81" s="92" t="str">
        <f t="shared" si="66"/>
        <v/>
      </c>
      <c r="AP81" s="92" t="str">
        <f t="shared" si="67"/>
        <v/>
      </c>
      <c r="AQ81" s="92" t="str">
        <f t="shared" si="68"/>
        <v/>
      </c>
      <c r="AR81" s="92" t="str">
        <f t="shared" si="69"/>
        <v/>
      </c>
      <c r="AS81" s="92" t="str">
        <f t="shared" si="70"/>
        <v/>
      </c>
      <c r="AT81" s="92" t="str">
        <f t="shared" si="71"/>
        <v/>
      </c>
      <c r="AU81" s="92" t="str">
        <f t="shared" si="72"/>
        <v/>
      </c>
      <c r="AV81" s="92" t="str">
        <f t="shared" si="73"/>
        <v/>
      </c>
      <c r="AW81" s="92" t="str">
        <f t="shared" si="73"/>
        <v/>
      </c>
      <c r="AX81" s="92" t="str">
        <f t="shared" si="73"/>
        <v/>
      </c>
      <c r="AY81" s="93" t="str">
        <f t="shared" si="74"/>
        <v/>
      </c>
      <c r="AZ81" s="94" t="str">
        <f t="shared" si="75"/>
        <v/>
      </c>
      <c r="BA81" s="95" t="str">
        <f t="shared" si="76"/>
        <v/>
      </c>
      <c r="BB81" s="248" t="s">
        <v>422</v>
      </c>
      <c r="BC81" s="229" t="s">
        <v>433</v>
      </c>
      <c r="BD81" s="249">
        <v>0</v>
      </c>
      <c r="BE81" s="267">
        <f t="shared" si="80"/>
        <v>0</v>
      </c>
      <c r="BF81" s="268">
        <f t="shared" si="77"/>
        <v>0</v>
      </c>
      <c r="BG81" s="268">
        <f t="shared" si="77"/>
        <v>0</v>
      </c>
      <c r="BH81" s="268">
        <f t="shared" si="77"/>
        <v>1</v>
      </c>
      <c r="BI81" s="268">
        <f t="shared" si="77"/>
        <v>2</v>
      </c>
      <c r="BJ81" s="268">
        <f t="shared" si="77"/>
        <v>3</v>
      </c>
      <c r="BK81" s="268">
        <f t="shared" si="77"/>
        <v>4</v>
      </c>
      <c r="BL81" s="269">
        <f t="shared" si="77"/>
        <v>5</v>
      </c>
      <c r="BM81" s="256">
        <f>IF($BC81=Lookup!$A$2,$BD81*ROUNDUP(BE81/10,0)+1,
IF($BC81=Lookup!$A$3,($BD81+1)^BD81,
IF($BC81=Lookup!$A$4,BE81*$BD81+1,"Error")))</f>
        <v>1</v>
      </c>
      <c r="BN81" s="229">
        <f>IF($BC81=Lookup!$A$2,$BD81*ROUNDUP(BF81/10,0)+1,
IF($BC81=Lookup!$A$3,($BD81+1)^BE81,
IF($BC81=Lookup!$A$4,BF81*$BD81+1,"Error")))</f>
        <v>1</v>
      </c>
      <c r="BO81" s="229">
        <f>IF($BC81=Lookup!$A$2,$BD81*ROUNDUP(BG81/10,0)+1,
IF($BC81=Lookup!$A$3,($BD81+1)^BF81,
IF($BC81=Lookup!$A$4,BG81*$BD81+1,"Error")))</f>
        <v>1</v>
      </c>
      <c r="BP81" s="229">
        <f>IF($BC81=Lookup!$A$2,$BD81*ROUNDUP(BH81/10,0)+1,
IF($BC81=Lookup!$A$3,($BD81+1)^BG81,
IF($BC81=Lookup!$A$4,BH81*$BD81+1,"Error")))</f>
        <v>1</v>
      </c>
      <c r="BQ81" s="229">
        <f>IF($BC81=Lookup!$A$2,$BD81*ROUNDUP(BI81/10,0)+1,
IF($BC81=Lookup!$A$3,($BD81+1)^BH81,
IF($BC81=Lookup!$A$4,BI81*$BD81+1,"Error")))</f>
        <v>1</v>
      </c>
      <c r="BR81" s="229">
        <f>IF($BC81=Lookup!$A$2,$BD81*ROUNDUP(BJ81/10,0)+1,
IF($BC81=Lookup!$A$3,($BD81+1)^BI81,
IF($BC81=Lookup!$A$4,BJ81*$BD81+1,"Error")))</f>
        <v>1</v>
      </c>
      <c r="BS81" s="229">
        <f>IF($BC81=Lookup!$A$2,$BD81*ROUNDUP(BK81/10,0)+1,
IF($BC81=Lookup!$A$3,($BD81+1)^BJ81,
IF($BC81=Lookup!$A$4,BK81*$BD81+1,"Error")))</f>
        <v>1</v>
      </c>
      <c r="BT81" s="249">
        <f>IF($BC81=Lookup!$A$2,$BD81*ROUNDUP(BL81/10,0)+1,
IF($BC81=Lookup!$A$3,($BD81+1)^BK81,
IF($BC81=Lookup!$A$4,BL81*$BD81+1,"Error")))</f>
        <v>1</v>
      </c>
      <c r="BU81" s="320">
        <v>0</v>
      </c>
      <c r="BV81" s="321">
        <v>0</v>
      </c>
      <c r="BW81" s="321">
        <v>0</v>
      </c>
      <c r="BX81" s="321">
        <v>0</v>
      </c>
      <c r="BY81" s="321">
        <v>0</v>
      </c>
      <c r="BZ81" s="321">
        <v>0</v>
      </c>
      <c r="CA81" s="321">
        <v>0</v>
      </c>
      <c r="CB81" s="277">
        <v>0</v>
      </c>
      <c r="CC81" s="382" t="s">
        <v>293</v>
      </c>
      <c r="CD81" s="383">
        <f>HLOOKUP($CC81,$AK$6:$AM$132,ROWS(CD$6:CD81),0)</f>
        <v>0</v>
      </c>
      <c r="CE81" s="234">
        <f t="shared" si="81"/>
        <v>0</v>
      </c>
      <c r="CF81" s="96">
        <f t="shared" si="81"/>
        <v>0</v>
      </c>
      <c r="CG81" s="521">
        <f t="shared" si="81"/>
        <v>0</v>
      </c>
      <c r="CH81" s="421">
        <f t="shared" si="81"/>
        <v>0</v>
      </c>
      <c r="CI81" s="96">
        <f t="shared" si="50"/>
        <v>0</v>
      </c>
      <c r="CJ81" s="96">
        <f t="shared" si="50"/>
        <v>0</v>
      </c>
      <c r="CK81" s="96">
        <f t="shared" si="50"/>
        <v>0</v>
      </c>
      <c r="CL81" s="286">
        <f t="shared" si="50"/>
        <v>0</v>
      </c>
      <c r="CM81" s="305" t="s">
        <v>293</v>
      </c>
      <c r="CN81" s="315">
        <v>0.05</v>
      </c>
      <c r="CO81" s="306"/>
      <c r="CP81" s="307" t="str">
        <f>IF($CO81&lt;&gt;"",$CO81,HLOOKUP($CM81,$AY$6:$BA$132,ROWS(CP$6:CP81),0))</f>
        <v/>
      </c>
      <c r="CQ81" s="784" t="str">
        <f t="shared" si="78"/>
        <v/>
      </c>
      <c r="CR81" s="784" t="str">
        <f t="shared" si="78"/>
        <v/>
      </c>
      <c r="CS81" s="524" t="str">
        <f t="shared" si="78"/>
        <v/>
      </c>
      <c r="CT81" s="416" t="str">
        <f t="shared" si="78"/>
        <v/>
      </c>
      <c r="CU81" s="97" t="str">
        <f t="shared" si="78"/>
        <v/>
      </c>
      <c r="CV81" s="97" t="str">
        <f t="shared" si="78"/>
        <v/>
      </c>
      <c r="CW81" s="97" t="str">
        <f t="shared" si="78"/>
        <v/>
      </c>
      <c r="CX81" s="98" t="str">
        <f t="shared" si="32"/>
        <v/>
      </c>
      <c r="CY81" s="392"/>
    </row>
    <row r="82" spans="1:103" x14ac:dyDescent="0.25">
      <c r="A82" s="81" t="s">
        <v>138</v>
      </c>
      <c r="B82" s="82" t="s">
        <v>167</v>
      </c>
      <c r="C82" s="83" t="s">
        <v>372</v>
      </c>
      <c r="D82" s="84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85">
        <v>0</v>
      </c>
      <c r="L82" s="85">
        <v>0</v>
      </c>
      <c r="M82" s="654">
        <f>'2022-23 Input'!I82</f>
        <v>0</v>
      </c>
      <c r="N82" s="1065">
        <v>0</v>
      </c>
      <c r="O82" s="560">
        <f t="shared" si="79"/>
        <v>0</v>
      </c>
      <c r="P82" s="561">
        <f t="shared" si="53"/>
        <v>0</v>
      </c>
      <c r="Q82" s="561">
        <f t="shared" si="54"/>
        <v>0</v>
      </c>
      <c r="R82" s="561">
        <f t="shared" si="55"/>
        <v>0</v>
      </c>
      <c r="S82" s="561">
        <f t="shared" si="56"/>
        <v>0</v>
      </c>
      <c r="T82" s="561">
        <f t="shared" si="57"/>
        <v>0</v>
      </c>
      <c r="U82" s="561">
        <f t="shared" si="58"/>
        <v>0</v>
      </c>
      <c r="V82" s="561">
        <f t="shared" si="59"/>
        <v>0</v>
      </c>
      <c r="W82" s="675">
        <f t="shared" si="60"/>
        <v>0</v>
      </c>
      <c r="X82" s="675">
        <f t="shared" si="61"/>
        <v>0</v>
      </c>
      <c r="Y82" s="675">
        <f t="shared" si="61"/>
        <v>0</v>
      </c>
      <c r="Z82" s="86">
        <v>0</v>
      </c>
      <c r="AA82" s="87">
        <v>0</v>
      </c>
      <c r="AB82" s="87">
        <v>0</v>
      </c>
      <c r="AC82" s="87">
        <v>0</v>
      </c>
      <c r="AD82" s="87">
        <v>0</v>
      </c>
      <c r="AE82" s="87">
        <v>0</v>
      </c>
      <c r="AF82" s="87">
        <v>0</v>
      </c>
      <c r="AG82" s="87">
        <v>0</v>
      </c>
      <c r="AH82" s="87">
        <v>0</v>
      </c>
      <c r="AI82" s="1094">
        <f>'2022-23 Input'!P82</f>
        <v>0</v>
      </c>
      <c r="AJ82" s="665">
        <v>0</v>
      </c>
      <c r="AK82" s="88">
        <f t="shared" si="62"/>
        <v>0</v>
      </c>
      <c r="AL82" s="89">
        <f t="shared" si="63"/>
        <v>0</v>
      </c>
      <c r="AM82" s="90">
        <f t="shared" si="64"/>
        <v>0</v>
      </c>
      <c r="AN82" s="91" t="str">
        <f t="shared" si="65"/>
        <v/>
      </c>
      <c r="AO82" s="92" t="str">
        <f t="shared" si="66"/>
        <v/>
      </c>
      <c r="AP82" s="92" t="str">
        <f t="shared" si="67"/>
        <v/>
      </c>
      <c r="AQ82" s="92" t="str">
        <f t="shared" si="68"/>
        <v/>
      </c>
      <c r="AR82" s="92" t="str">
        <f t="shared" si="69"/>
        <v/>
      </c>
      <c r="AS82" s="92" t="str">
        <f t="shared" si="70"/>
        <v/>
      </c>
      <c r="AT82" s="92" t="str">
        <f t="shared" si="71"/>
        <v/>
      </c>
      <c r="AU82" s="92" t="str">
        <f t="shared" si="72"/>
        <v/>
      </c>
      <c r="AV82" s="92" t="str">
        <f t="shared" si="73"/>
        <v/>
      </c>
      <c r="AW82" s="92" t="str">
        <f t="shared" si="73"/>
        <v/>
      </c>
      <c r="AX82" s="92" t="str">
        <f t="shared" si="73"/>
        <v/>
      </c>
      <c r="AY82" s="93" t="str">
        <f t="shared" si="74"/>
        <v/>
      </c>
      <c r="AZ82" s="94" t="str">
        <f t="shared" si="75"/>
        <v/>
      </c>
      <c r="BA82" s="95" t="str">
        <f t="shared" si="76"/>
        <v/>
      </c>
      <c r="BB82" s="248" t="s">
        <v>422</v>
      </c>
      <c r="BC82" s="229" t="s">
        <v>433</v>
      </c>
      <c r="BD82" s="249">
        <v>0</v>
      </c>
      <c r="BE82" s="267">
        <f t="shared" si="80"/>
        <v>0</v>
      </c>
      <c r="BF82" s="268">
        <f t="shared" si="77"/>
        <v>0</v>
      </c>
      <c r="BG82" s="268">
        <f t="shared" si="77"/>
        <v>0</v>
      </c>
      <c r="BH82" s="268">
        <f t="shared" si="77"/>
        <v>1</v>
      </c>
      <c r="BI82" s="268">
        <f t="shared" si="77"/>
        <v>2</v>
      </c>
      <c r="BJ82" s="268">
        <f t="shared" si="77"/>
        <v>3</v>
      </c>
      <c r="BK82" s="268">
        <f t="shared" si="77"/>
        <v>4</v>
      </c>
      <c r="BL82" s="269">
        <f t="shared" si="77"/>
        <v>5</v>
      </c>
      <c r="BM82" s="256">
        <f>IF($BC82=Lookup!$A$2,$BD82*ROUNDUP(BE82/10,0)+1,
IF($BC82=Lookup!$A$3,($BD82+1)^BD82,
IF($BC82=Lookup!$A$4,BE82*$BD82+1,"Error")))</f>
        <v>1</v>
      </c>
      <c r="BN82" s="229">
        <f>IF($BC82=Lookup!$A$2,$BD82*ROUNDUP(BF82/10,0)+1,
IF($BC82=Lookup!$A$3,($BD82+1)^BE82,
IF($BC82=Lookup!$A$4,BF82*$BD82+1,"Error")))</f>
        <v>1</v>
      </c>
      <c r="BO82" s="229">
        <f>IF($BC82=Lookup!$A$2,$BD82*ROUNDUP(BG82/10,0)+1,
IF($BC82=Lookup!$A$3,($BD82+1)^BF82,
IF($BC82=Lookup!$A$4,BG82*$BD82+1,"Error")))</f>
        <v>1</v>
      </c>
      <c r="BP82" s="229">
        <f>IF($BC82=Lookup!$A$2,$BD82*ROUNDUP(BH82/10,0)+1,
IF($BC82=Lookup!$A$3,($BD82+1)^BG82,
IF($BC82=Lookup!$A$4,BH82*$BD82+1,"Error")))</f>
        <v>1</v>
      </c>
      <c r="BQ82" s="229">
        <f>IF($BC82=Lookup!$A$2,$BD82*ROUNDUP(BI82/10,0)+1,
IF($BC82=Lookup!$A$3,($BD82+1)^BH82,
IF($BC82=Lookup!$A$4,BI82*$BD82+1,"Error")))</f>
        <v>1</v>
      </c>
      <c r="BR82" s="229">
        <f>IF($BC82=Lookup!$A$2,$BD82*ROUNDUP(BJ82/10,0)+1,
IF($BC82=Lookup!$A$3,($BD82+1)^BI82,
IF($BC82=Lookup!$A$4,BJ82*$BD82+1,"Error")))</f>
        <v>1</v>
      </c>
      <c r="BS82" s="229">
        <f>IF($BC82=Lookup!$A$2,$BD82*ROUNDUP(BK82/10,0)+1,
IF($BC82=Lookup!$A$3,($BD82+1)^BJ82,
IF($BC82=Lookup!$A$4,BK82*$BD82+1,"Error")))</f>
        <v>1</v>
      </c>
      <c r="BT82" s="249">
        <f>IF($BC82=Lookup!$A$2,$BD82*ROUNDUP(BL82/10,0)+1,
IF($BC82=Lookup!$A$3,($BD82+1)^BK82,
IF($BC82=Lookup!$A$4,BL82*$BD82+1,"Error")))</f>
        <v>1</v>
      </c>
      <c r="BU82" s="320">
        <v>0</v>
      </c>
      <c r="BV82" s="321">
        <v>0</v>
      </c>
      <c r="BW82" s="321">
        <v>0</v>
      </c>
      <c r="BX82" s="321">
        <v>0</v>
      </c>
      <c r="BY82" s="321">
        <v>0</v>
      </c>
      <c r="BZ82" s="321">
        <v>0</v>
      </c>
      <c r="CA82" s="321">
        <v>0</v>
      </c>
      <c r="CB82" s="277">
        <v>0</v>
      </c>
      <c r="CC82" s="382" t="s">
        <v>293</v>
      </c>
      <c r="CD82" s="383">
        <f>HLOOKUP($CC82,$AK$6:$AM$132,ROWS(CD$6:CD82),0)</f>
        <v>0</v>
      </c>
      <c r="CE82" s="234">
        <f t="shared" si="81"/>
        <v>0</v>
      </c>
      <c r="CF82" s="96">
        <f t="shared" si="81"/>
        <v>0</v>
      </c>
      <c r="CG82" s="521">
        <f t="shared" si="81"/>
        <v>0</v>
      </c>
      <c r="CH82" s="421">
        <f t="shared" si="81"/>
        <v>0</v>
      </c>
      <c r="CI82" s="96">
        <f t="shared" si="50"/>
        <v>0</v>
      </c>
      <c r="CJ82" s="96">
        <f t="shared" si="50"/>
        <v>0</v>
      </c>
      <c r="CK82" s="96">
        <f t="shared" si="50"/>
        <v>0</v>
      </c>
      <c r="CL82" s="286">
        <f t="shared" si="50"/>
        <v>0</v>
      </c>
      <c r="CM82" s="305" t="s">
        <v>293</v>
      </c>
      <c r="CN82" s="315">
        <v>0.05</v>
      </c>
      <c r="CO82" s="306"/>
      <c r="CP82" s="307" t="str">
        <f>IF($CO82&lt;&gt;"",$CO82,HLOOKUP($CM82,$AY$6:$BA$132,ROWS(CP$6:CP82),0))</f>
        <v/>
      </c>
      <c r="CQ82" s="784" t="str">
        <f t="shared" si="78"/>
        <v/>
      </c>
      <c r="CR82" s="784" t="str">
        <f t="shared" si="78"/>
        <v/>
      </c>
      <c r="CS82" s="524" t="str">
        <f t="shared" si="78"/>
        <v/>
      </c>
      <c r="CT82" s="416" t="str">
        <f t="shared" si="78"/>
        <v/>
      </c>
      <c r="CU82" s="97" t="str">
        <f t="shared" si="78"/>
        <v/>
      </c>
      <c r="CV82" s="97" t="str">
        <f t="shared" si="78"/>
        <v/>
      </c>
      <c r="CW82" s="97" t="str">
        <f t="shared" si="78"/>
        <v/>
      </c>
      <c r="CX82" s="98" t="str">
        <f t="shared" si="32"/>
        <v/>
      </c>
      <c r="CY82" s="392"/>
    </row>
    <row r="83" spans="1:103" x14ac:dyDescent="0.25">
      <c r="A83" s="81" t="s">
        <v>138</v>
      </c>
      <c r="B83" s="82" t="s">
        <v>169</v>
      </c>
      <c r="C83" s="83" t="s">
        <v>373</v>
      </c>
      <c r="D83" s="84">
        <v>0</v>
      </c>
      <c r="E83" s="85">
        <v>0</v>
      </c>
      <c r="F83" s="85">
        <v>-212923.34514834854</v>
      </c>
      <c r="G83" s="85">
        <v>-1535.8767651046437</v>
      </c>
      <c r="H83" s="85">
        <v>-40109.408136118247</v>
      </c>
      <c r="I83" s="85">
        <v>0</v>
      </c>
      <c r="J83" s="85">
        <v>1078.4165447360001</v>
      </c>
      <c r="K83" s="85">
        <v>0</v>
      </c>
      <c r="L83" s="85">
        <v>0</v>
      </c>
      <c r="M83" s="654">
        <f>'2022-23 Input'!I83</f>
        <v>0</v>
      </c>
      <c r="N83" s="1065">
        <v>0</v>
      </c>
      <c r="O83" s="560">
        <f t="shared" si="79"/>
        <v>0</v>
      </c>
      <c r="P83" s="561">
        <f t="shared" si="53"/>
        <v>0</v>
      </c>
      <c r="Q83" s="561">
        <f t="shared" si="54"/>
        <v>-279356.65266150929</v>
      </c>
      <c r="R83" s="561">
        <f t="shared" si="55"/>
        <v>-1976.8527100103179</v>
      </c>
      <c r="S83" s="561">
        <f t="shared" si="56"/>
        <v>-50574.706706125813</v>
      </c>
      <c r="T83" s="561">
        <f t="shared" si="57"/>
        <v>0</v>
      </c>
      <c r="U83" s="561">
        <f t="shared" si="58"/>
        <v>1343.1548372274826</v>
      </c>
      <c r="V83" s="561">
        <f t="shared" si="59"/>
        <v>0</v>
      </c>
      <c r="W83" s="675">
        <f t="shared" si="60"/>
        <v>0</v>
      </c>
      <c r="X83" s="675">
        <f t="shared" si="61"/>
        <v>0</v>
      </c>
      <c r="Y83" s="675">
        <f t="shared" si="61"/>
        <v>0</v>
      </c>
      <c r="Z83" s="86">
        <v>0</v>
      </c>
      <c r="AA83" s="87">
        <v>0</v>
      </c>
      <c r="AB83" s="87">
        <v>0</v>
      </c>
      <c r="AC83" s="87">
        <v>0</v>
      </c>
      <c r="AD83" s="87">
        <v>0</v>
      </c>
      <c r="AE83" s="87">
        <v>0</v>
      </c>
      <c r="AF83" s="87">
        <v>0</v>
      </c>
      <c r="AG83" s="87">
        <v>0</v>
      </c>
      <c r="AH83" s="87">
        <v>0</v>
      </c>
      <c r="AI83" s="1094">
        <f>'2022-23 Input'!P83</f>
        <v>0</v>
      </c>
      <c r="AJ83" s="665">
        <v>0</v>
      </c>
      <c r="AK83" s="88">
        <f t="shared" si="62"/>
        <v>0</v>
      </c>
      <c r="AL83" s="89">
        <f t="shared" si="63"/>
        <v>0</v>
      </c>
      <c r="AM83" s="90">
        <f t="shared" si="64"/>
        <v>0</v>
      </c>
      <c r="AN83" s="91" t="str">
        <f t="shared" si="65"/>
        <v/>
      </c>
      <c r="AO83" s="92" t="str">
        <f t="shared" si="66"/>
        <v/>
      </c>
      <c r="AP83" s="92" t="str">
        <f t="shared" si="67"/>
        <v/>
      </c>
      <c r="AQ83" s="92" t="str">
        <f t="shared" si="68"/>
        <v/>
      </c>
      <c r="AR83" s="92" t="str">
        <f t="shared" si="69"/>
        <v/>
      </c>
      <c r="AS83" s="92" t="str">
        <f t="shared" si="70"/>
        <v/>
      </c>
      <c r="AT83" s="92" t="str">
        <f t="shared" si="71"/>
        <v/>
      </c>
      <c r="AU83" s="92" t="str">
        <f t="shared" si="72"/>
        <v/>
      </c>
      <c r="AV83" s="92" t="str">
        <f t="shared" si="73"/>
        <v/>
      </c>
      <c r="AW83" s="92" t="str">
        <f t="shared" si="73"/>
        <v/>
      </c>
      <c r="AX83" s="92" t="str">
        <f t="shared" si="73"/>
        <v/>
      </c>
      <c r="AY83" s="93" t="str">
        <f t="shared" si="74"/>
        <v/>
      </c>
      <c r="AZ83" s="94" t="str">
        <f t="shared" si="75"/>
        <v/>
      </c>
      <c r="BA83" s="95" t="str">
        <f t="shared" si="76"/>
        <v/>
      </c>
      <c r="BB83" s="248" t="s">
        <v>422</v>
      </c>
      <c r="BC83" s="229" t="s">
        <v>433</v>
      </c>
      <c r="BD83" s="249">
        <v>0</v>
      </c>
      <c r="BE83" s="267">
        <f t="shared" si="80"/>
        <v>0</v>
      </c>
      <c r="BF83" s="268">
        <f t="shared" si="77"/>
        <v>0</v>
      </c>
      <c r="BG83" s="268">
        <f t="shared" si="77"/>
        <v>0</v>
      </c>
      <c r="BH83" s="268">
        <f t="shared" si="77"/>
        <v>1</v>
      </c>
      <c r="BI83" s="268">
        <f t="shared" si="77"/>
        <v>2</v>
      </c>
      <c r="BJ83" s="268">
        <f t="shared" si="77"/>
        <v>3</v>
      </c>
      <c r="BK83" s="268">
        <f t="shared" si="77"/>
        <v>4</v>
      </c>
      <c r="BL83" s="269">
        <f t="shared" si="77"/>
        <v>5</v>
      </c>
      <c r="BM83" s="256">
        <f>IF($BC83=Lookup!$A$2,$BD83*ROUNDUP(BE83/10,0)+1,
IF($BC83=Lookup!$A$3,($BD83+1)^BD83,
IF($BC83=Lookup!$A$4,BE83*$BD83+1,"Error")))</f>
        <v>1</v>
      </c>
      <c r="BN83" s="229">
        <f>IF($BC83=Lookup!$A$2,$BD83*ROUNDUP(BF83/10,0)+1,
IF($BC83=Lookup!$A$3,($BD83+1)^BE83,
IF($BC83=Lookup!$A$4,BF83*$BD83+1,"Error")))</f>
        <v>1</v>
      </c>
      <c r="BO83" s="229">
        <f>IF($BC83=Lookup!$A$2,$BD83*ROUNDUP(BG83/10,0)+1,
IF($BC83=Lookup!$A$3,($BD83+1)^BF83,
IF($BC83=Lookup!$A$4,BG83*$BD83+1,"Error")))</f>
        <v>1</v>
      </c>
      <c r="BP83" s="229">
        <f>IF($BC83=Lookup!$A$2,$BD83*ROUNDUP(BH83/10,0)+1,
IF($BC83=Lookup!$A$3,($BD83+1)^BG83,
IF($BC83=Lookup!$A$4,BH83*$BD83+1,"Error")))</f>
        <v>1</v>
      </c>
      <c r="BQ83" s="229">
        <f>IF($BC83=Lookup!$A$2,$BD83*ROUNDUP(BI83/10,0)+1,
IF($BC83=Lookup!$A$3,($BD83+1)^BH83,
IF($BC83=Lookup!$A$4,BI83*$BD83+1,"Error")))</f>
        <v>1</v>
      </c>
      <c r="BR83" s="229">
        <f>IF($BC83=Lookup!$A$2,$BD83*ROUNDUP(BJ83/10,0)+1,
IF($BC83=Lookup!$A$3,($BD83+1)^BI83,
IF($BC83=Lookup!$A$4,BJ83*$BD83+1,"Error")))</f>
        <v>1</v>
      </c>
      <c r="BS83" s="229">
        <f>IF($BC83=Lookup!$A$2,$BD83*ROUNDUP(BK83/10,0)+1,
IF($BC83=Lookup!$A$3,($BD83+1)^BJ83,
IF($BC83=Lookup!$A$4,BK83*$BD83+1,"Error")))</f>
        <v>1</v>
      </c>
      <c r="BT83" s="249">
        <f>IF($BC83=Lookup!$A$2,$BD83*ROUNDUP(BL83/10,0)+1,
IF($BC83=Lookup!$A$3,($BD83+1)^BK83,
IF($BC83=Lookup!$A$4,BL83*$BD83+1,"Error")))</f>
        <v>1</v>
      </c>
      <c r="BU83" s="320">
        <v>0</v>
      </c>
      <c r="BV83" s="321">
        <v>0</v>
      </c>
      <c r="BW83" s="321">
        <v>0</v>
      </c>
      <c r="BX83" s="321">
        <v>0</v>
      </c>
      <c r="BY83" s="321">
        <v>0</v>
      </c>
      <c r="BZ83" s="321">
        <v>0</v>
      </c>
      <c r="CA83" s="321">
        <v>0</v>
      </c>
      <c r="CB83" s="277">
        <v>0</v>
      </c>
      <c r="CC83" s="382" t="s">
        <v>293</v>
      </c>
      <c r="CD83" s="383">
        <f>HLOOKUP($CC83,$AK$6:$AM$132,ROWS(CD$6:CD83),0)</f>
        <v>0</v>
      </c>
      <c r="CE83" s="234">
        <f t="shared" si="81"/>
        <v>0</v>
      </c>
      <c r="CF83" s="96">
        <f t="shared" si="81"/>
        <v>0</v>
      </c>
      <c r="CG83" s="521">
        <f t="shared" si="81"/>
        <v>0</v>
      </c>
      <c r="CH83" s="421">
        <f t="shared" si="81"/>
        <v>0</v>
      </c>
      <c r="CI83" s="96">
        <f t="shared" si="50"/>
        <v>0</v>
      </c>
      <c r="CJ83" s="96">
        <f t="shared" si="50"/>
        <v>0</v>
      </c>
      <c r="CK83" s="96">
        <f t="shared" si="50"/>
        <v>0</v>
      </c>
      <c r="CL83" s="286">
        <f t="shared" si="50"/>
        <v>0</v>
      </c>
      <c r="CM83" s="305" t="s">
        <v>293</v>
      </c>
      <c r="CN83" s="315">
        <v>0.05</v>
      </c>
      <c r="CO83" s="306"/>
      <c r="CP83" s="307" t="str">
        <f>IF($CO83&lt;&gt;"",$CO83,HLOOKUP($CM83,$AY$6:$BA$132,ROWS(CP$6:CP83),0))</f>
        <v/>
      </c>
      <c r="CQ83" s="784" t="str">
        <f t="shared" si="78"/>
        <v/>
      </c>
      <c r="CR83" s="784" t="str">
        <f t="shared" si="78"/>
        <v/>
      </c>
      <c r="CS83" s="524" t="str">
        <f t="shared" si="78"/>
        <v/>
      </c>
      <c r="CT83" s="416" t="str">
        <f t="shared" si="78"/>
        <v/>
      </c>
      <c r="CU83" s="97" t="str">
        <f t="shared" si="78"/>
        <v/>
      </c>
      <c r="CV83" s="97" t="str">
        <f t="shared" si="78"/>
        <v/>
      </c>
      <c r="CW83" s="97" t="str">
        <f t="shared" si="78"/>
        <v/>
      </c>
      <c r="CX83" s="98" t="str">
        <f t="shared" si="32"/>
        <v/>
      </c>
      <c r="CY83" s="392"/>
    </row>
    <row r="84" spans="1:103" x14ac:dyDescent="0.25">
      <c r="A84" s="81" t="s">
        <v>138</v>
      </c>
      <c r="B84" s="82" t="s">
        <v>171</v>
      </c>
      <c r="C84" s="83" t="s">
        <v>374</v>
      </c>
      <c r="D84" s="84">
        <v>0</v>
      </c>
      <c r="E84" s="85">
        <v>76226.246138722534</v>
      </c>
      <c r="F84" s="85">
        <v>-1690.7512378336105</v>
      </c>
      <c r="G84" s="85">
        <v>-2074.8036444953614</v>
      </c>
      <c r="H84" s="85">
        <v>-53422.289650379505</v>
      </c>
      <c r="I84" s="85">
        <v>0</v>
      </c>
      <c r="J84" s="85">
        <v>87.697821601999991</v>
      </c>
      <c r="K84" s="85">
        <v>0</v>
      </c>
      <c r="L84" s="85">
        <v>0</v>
      </c>
      <c r="M84" s="654">
        <f>'2022-23 Input'!I84</f>
        <v>0</v>
      </c>
      <c r="N84" s="1065">
        <v>0</v>
      </c>
      <c r="O84" s="560">
        <f t="shared" si="79"/>
        <v>0</v>
      </c>
      <c r="P84" s="561">
        <f t="shared" si="53"/>
        <v>101032.62376333753</v>
      </c>
      <c r="Q84" s="561">
        <f t="shared" si="54"/>
        <v>-2218.2753420270701</v>
      </c>
      <c r="R84" s="561">
        <f t="shared" si="55"/>
        <v>-2670.5145233969906</v>
      </c>
      <c r="S84" s="561">
        <f t="shared" si="56"/>
        <v>-67361.169266536162</v>
      </c>
      <c r="T84" s="561">
        <f t="shared" si="57"/>
        <v>0</v>
      </c>
      <c r="U84" s="561">
        <f t="shared" si="58"/>
        <v>109.22658213471206</v>
      </c>
      <c r="V84" s="561">
        <f t="shared" si="59"/>
        <v>0</v>
      </c>
      <c r="W84" s="675">
        <f t="shared" si="60"/>
        <v>0</v>
      </c>
      <c r="X84" s="675">
        <f t="shared" si="61"/>
        <v>0</v>
      </c>
      <c r="Y84" s="675">
        <f t="shared" si="61"/>
        <v>0</v>
      </c>
      <c r="Z84" s="86">
        <v>0</v>
      </c>
      <c r="AA84" s="87">
        <v>0</v>
      </c>
      <c r="AB84" s="87">
        <v>0</v>
      </c>
      <c r="AC84" s="87">
        <v>0</v>
      </c>
      <c r="AD84" s="87">
        <v>0</v>
      </c>
      <c r="AE84" s="87">
        <v>0</v>
      </c>
      <c r="AF84" s="87">
        <v>0</v>
      </c>
      <c r="AG84" s="87">
        <v>0</v>
      </c>
      <c r="AH84" s="87">
        <v>0</v>
      </c>
      <c r="AI84" s="1094">
        <f>'2022-23 Input'!P84</f>
        <v>0</v>
      </c>
      <c r="AJ84" s="665">
        <v>0</v>
      </c>
      <c r="AK84" s="88">
        <f t="shared" si="62"/>
        <v>0</v>
      </c>
      <c r="AL84" s="89">
        <f t="shared" si="63"/>
        <v>0</v>
      </c>
      <c r="AM84" s="90">
        <f t="shared" si="64"/>
        <v>0</v>
      </c>
      <c r="AN84" s="91" t="str">
        <f t="shared" si="65"/>
        <v/>
      </c>
      <c r="AO84" s="92" t="str">
        <f t="shared" si="66"/>
        <v/>
      </c>
      <c r="AP84" s="92" t="str">
        <f t="shared" si="67"/>
        <v/>
      </c>
      <c r="AQ84" s="92" t="str">
        <f t="shared" si="68"/>
        <v/>
      </c>
      <c r="AR84" s="92" t="str">
        <f t="shared" si="69"/>
        <v/>
      </c>
      <c r="AS84" s="92" t="str">
        <f t="shared" si="70"/>
        <v/>
      </c>
      <c r="AT84" s="92" t="str">
        <f t="shared" si="71"/>
        <v/>
      </c>
      <c r="AU84" s="92" t="str">
        <f t="shared" si="72"/>
        <v/>
      </c>
      <c r="AV84" s="92" t="str">
        <f t="shared" si="73"/>
        <v/>
      </c>
      <c r="AW84" s="92" t="str">
        <f t="shared" si="73"/>
        <v/>
      </c>
      <c r="AX84" s="92" t="str">
        <f t="shared" si="73"/>
        <v/>
      </c>
      <c r="AY84" s="93" t="str">
        <f t="shared" si="74"/>
        <v/>
      </c>
      <c r="AZ84" s="94" t="str">
        <f t="shared" si="75"/>
        <v/>
      </c>
      <c r="BA84" s="95" t="str">
        <f t="shared" si="76"/>
        <v/>
      </c>
      <c r="BB84" s="248" t="s">
        <v>422</v>
      </c>
      <c r="BC84" s="229" t="s">
        <v>433</v>
      </c>
      <c r="BD84" s="249">
        <v>0</v>
      </c>
      <c r="BE84" s="267">
        <f t="shared" si="80"/>
        <v>0</v>
      </c>
      <c r="BF84" s="268">
        <f t="shared" si="77"/>
        <v>0</v>
      </c>
      <c r="BG84" s="268">
        <f t="shared" si="77"/>
        <v>0</v>
      </c>
      <c r="BH84" s="268">
        <f t="shared" si="77"/>
        <v>1</v>
      </c>
      <c r="BI84" s="268">
        <f t="shared" si="77"/>
        <v>2</v>
      </c>
      <c r="BJ84" s="268">
        <f t="shared" si="77"/>
        <v>3</v>
      </c>
      <c r="BK84" s="268">
        <f t="shared" si="77"/>
        <v>4</v>
      </c>
      <c r="BL84" s="269">
        <f t="shared" si="77"/>
        <v>5</v>
      </c>
      <c r="BM84" s="256">
        <f>IF($BC84=Lookup!$A$2,$BD84*ROUNDUP(BE84/10,0)+1,
IF($BC84=Lookup!$A$3,($BD84+1)^BD84,
IF($BC84=Lookup!$A$4,BE84*$BD84+1,"Error")))</f>
        <v>1</v>
      </c>
      <c r="BN84" s="229">
        <f>IF($BC84=Lookup!$A$2,$BD84*ROUNDUP(BF84/10,0)+1,
IF($BC84=Lookup!$A$3,($BD84+1)^BE84,
IF($BC84=Lookup!$A$4,BF84*$BD84+1,"Error")))</f>
        <v>1</v>
      </c>
      <c r="BO84" s="229">
        <f>IF($BC84=Lookup!$A$2,$BD84*ROUNDUP(BG84/10,0)+1,
IF($BC84=Lookup!$A$3,($BD84+1)^BF84,
IF($BC84=Lookup!$A$4,BG84*$BD84+1,"Error")))</f>
        <v>1</v>
      </c>
      <c r="BP84" s="229">
        <f>IF($BC84=Lookup!$A$2,$BD84*ROUNDUP(BH84/10,0)+1,
IF($BC84=Lookup!$A$3,($BD84+1)^BG84,
IF($BC84=Lookup!$A$4,BH84*$BD84+1,"Error")))</f>
        <v>1</v>
      </c>
      <c r="BQ84" s="229">
        <f>IF($BC84=Lookup!$A$2,$BD84*ROUNDUP(BI84/10,0)+1,
IF($BC84=Lookup!$A$3,($BD84+1)^BH84,
IF($BC84=Lookup!$A$4,BI84*$BD84+1,"Error")))</f>
        <v>1</v>
      </c>
      <c r="BR84" s="229">
        <f>IF($BC84=Lookup!$A$2,$BD84*ROUNDUP(BJ84/10,0)+1,
IF($BC84=Lookup!$A$3,($BD84+1)^BI84,
IF($BC84=Lookup!$A$4,BJ84*$BD84+1,"Error")))</f>
        <v>1</v>
      </c>
      <c r="BS84" s="229">
        <f>IF($BC84=Lookup!$A$2,$BD84*ROUNDUP(BK84/10,0)+1,
IF($BC84=Lookup!$A$3,($BD84+1)^BJ84,
IF($BC84=Lookup!$A$4,BK84*$BD84+1,"Error")))</f>
        <v>1</v>
      </c>
      <c r="BT84" s="249">
        <f>IF($BC84=Lookup!$A$2,$BD84*ROUNDUP(BL84/10,0)+1,
IF($BC84=Lookup!$A$3,($BD84+1)^BK84,
IF($BC84=Lookup!$A$4,BL84*$BD84+1,"Error")))</f>
        <v>1</v>
      </c>
      <c r="BU84" s="320">
        <v>0</v>
      </c>
      <c r="BV84" s="321">
        <v>0</v>
      </c>
      <c r="BW84" s="321">
        <v>0</v>
      </c>
      <c r="BX84" s="321">
        <v>0</v>
      </c>
      <c r="BY84" s="321">
        <v>0</v>
      </c>
      <c r="BZ84" s="321">
        <v>0</v>
      </c>
      <c r="CA84" s="321">
        <v>0</v>
      </c>
      <c r="CB84" s="277">
        <v>0</v>
      </c>
      <c r="CC84" s="382" t="s">
        <v>293</v>
      </c>
      <c r="CD84" s="383">
        <f>HLOOKUP($CC84,$AK$6:$AM$132,ROWS(CD$6:CD84),0)</f>
        <v>0</v>
      </c>
      <c r="CE84" s="234">
        <f t="shared" si="81"/>
        <v>0</v>
      </c>
      <c r="CF84" s="96">
        <f t="shared" si="81"/>
        <v>0</v>
      </c>
      <c r="CG84" s="521">
        <f t="shared" si="81"/>
        <v>0</v>
      </c>
      <c r="CH84" s="421">
        <f t="shared" si="81"/>
        <v>0</v>
      </c>
      <c r="CI84" s="96">
        <f t="shared" si="50"/>
        <v>0</v>
      </c>
      <c r="CJ84" s="96">
        <f t="shared" si="50"/>
        <v>0</v>
      </c>
      <c r="CK84" s="96">
        <f t="shared" si="50"/>
        <v>0</v>
      </c>
      <c r="CL84" s="286">
        <f t="shared" si="50"/>
        <v>0</v>
      </c>
      <c r="CM84" s="305" t="s">
        <v>293</v>
      </c>
      <c r="CN84" s="315">
        <v>0.05</v>
      </c>
      <c r="CO84" s="306"/>
      <c r="CP84" s="307" t="str">
        <f>IF($CO84&lt;&gt;"",$CO84,HLOOKUP($CM84,$AY$6:$BA$132,ROWS(CP$6:CP84),0))</f>
        <v/>
      </c>
      <c r="CQ84" s="784" t="str">
        <f t="shared" si="78"/>
        <v/>
      </c>
      <c r="CR84" s="784" t="str">
        <f t="shared" si="78"/>
        <v/>
      </c>
      <c r="CS84" s="524" t="str">
        <f t="shared" si="78"/>
        <v/>
      </c>
      <c r="CT84" s="416" t="str">
        <f t="shared" si="78"/>
        <v/>
      </c>
      <c r="CU84" s="97" t="str">
        <f t="shared" si="78"/>
        <v/>
      </c>
      <c r="CV84" s="97" t="str">
        <f t="shared" si="78"/>
        <v/>
      </c>
      <c r="CW84" s="97" t="str">
        <f t="shared" si="78"/>
        <v/>
      </c>
      <c r="CX84" s="98" t="str">
        <f t="shared" si="32"/>
        <v/>
      </c>
      <c r="CY84" s="392"/>
    </row>
    <row r="85" spans="1:103" x14ac:dyDescent="0.25">
      <c r="A85" s="81" t="s">
        <v>138</v>
      </c>
      <c r="B85" s="82" t="s">
        <v>173</v>
      </c>
      <c r="C85" s="83" t="s">
        <v>375</v>
      </c>
      <c r="D85" s="84">
        <v>0</v>
      </c>
      <c r="E85" s="85">
        <v>10034.282862779874</v>
      </c>
      <c r="F85" s="85">
        <v>-22315.291165246483</v>
      </c>
      <c r="G85" s="85">
        <v>0</v>
      </c>
      <c r="H85" s="85">
        <v>0</v>
      </c>
      <c r="I85" s="85">
        <v>0</v>
      </c>
      <c r="J85" s="85">
        <v>0</v>
      </c>
      <c r="K85" s="85">
        <v>0</v>
      </c>
      <c r="L85" s="85">
        <v>0</v>
      </c>
      <c r="M85" s="654">
        <f>'2022-23 Input'!I85</f>
        <v>0</v>
      </c>
      <c r="N85" s="1065">
        <v>0</v>
      </c>
      <c r="O85" s="560">
        <f t="shared" si="79"/>
        <v>0</v>
      </c>
      <c r="P85" s="561">
        <f t="shared" si="53"/>
        <v>13299.748794728386</v>
      </c>
      <c r="Q85" s="561">
        <f t="shared" si="54"/>
        <v>-29277.790271174308</v>
      </c>
      <c r="R85" s="561">
        <f t="shared" si="55"/>
        <v>0</v>
      </c>
      <c r="S85" s="561">
        <f t="shared" si="56"/>
        <v>0</v>
      </c>
      <c r="T85" s="561">
        <f t="shared" si="57"/>
        <v>0</v>
      </c>
      <c r="U85" s="561">
        <f t="shared" si="58"/>
        <v>0</v>
      </c>
      <c r="V85" s="561">
        <f t="shared" si="59"/>
        <v>0</v>
      </c>
      <c r="W85" s="675">
        <f t="shared" si="60"/>
        <v>0</v>
      </c>
      <c r="X85" s="675">
        <f t="shared" si="61"/>
        <v>0</v>
      </c>
      <c r="Y85" s="675">
        <f t="shared" si="61"/>
        <v>0</v>
      </c>
      <c r="Z85" s="86">
        <v>0</v>
      </c>
      <c r="AA85" s="87">
        <v>0</v>
      </c>
      <c r="AB85" s="87">
        <v>0</v>
      </c>
      <c r="AC85" s="87">
        <v>0</v>
      </c>
      <c r="AD85" s="87">
        <v>0</v>
      </c>
      <c r="AE85" s="87">
        <v>0</v>
      </c>
      <c r="AF85" s="87">
        <v>0</v>
      </c>
      <c r="AG85" s="87">
        <v>0</v>
      </c>
      <c r="AH85" s="87">
        <v>0</v>
      </c>
      <c r="AI85" s="1094">
        <f>'2022-23 Input'!P85</f>
        <v>0</v>
      </c>
      <c r="AJ85" s="665">
        <v>0</v>
      </c>
      <c r="AK85" s="88">
        <f t="shared" si="62"/>
        <v>0</v>
      </c>
      <c r="AL85" s="89">
        <f t="shared" si="63"/>
        <v>0</v>
      </c>
      <c r="AM85" s="90">
        <f t="shared" si="64"/>
        <v>0</v>
      </c>
      <c r="AN85" s="91" t="str">
        <f t="shared" si="65"/>
        <v/>
      </c>
      <c r="AO85" s="92" t="str">
        <f t="shared" si="66"/>
        <v/>
      </c>
      <c r="AP85" s="92" t="str">
        <f t="shared" si="67"/>
        <v/>
      </c>
      <c r="AQ85" s="92" t="str">
        <f t="shared" si="68"/>
        <v/>
      </c>
      <c r="AR85" s="92" t="str">
        <f t="shared" si="69"/>
        <v/>
      </c>
      <c r="AS85" s="92" t="str">
        <f t="shared" si="70"/>
        <v/>
      </c>
      <c r="AT85" s="92" t="str">
        <f t="shared" si="71"/>
        <v/>
      </c>
      <c r="AU85" s="92" t="str">
        <f t="shared" si="72"/>
        <v/>
      </c>
      <c r="AV85" s="92" t="str">
        <f t="shared" si="73"/>
        <v/>
      </c>
      <c r="AW85" s="92" t="str">
        <f t="shared" si="73"/>
        <v/>
      </c>
      <c r="AX85" s="92" t="str">
        <f t="shared" si="73"/>
        <v/>
      </c>
      <c r="AY85" s="93" t="str">
        <f t="shared" si="74"/>
        <v/>
      </c>
      <c r="AZ85" s="94" t="str">
        <f t="shared" si="75"/>
        <v/>
      </c>
      <c r="BA85" s="95" t="str">
        <f t="shared" si="76"/>
        <v/>
      </c>
      <c r="BB85" s="248" t="s">
        <v>422</v>
      </c>
      <c r="BC85" s="229" t="s">
        <v>433</v>
      </c>
      <c r="BD85" s="249">
        <v>0</v>
      </c>
      <c r="BE85" s="267">
        <f t="shared" si="80"/>
        <v>0</v>
      </c>
      <c r="BF85" s="268">
        <f t="shared" si="77"/>
        <v>0</v>
      </c>
      <c r="BG85" s="268">
        <f t="shared" si="77"/>
        <v>0</v>
      </c>
      <c r="BH85" s="268">
        <f t="shared" si="77"/>
        <v>1</v>
      </c>
      <c r="BI85" s="268">
        <f t="shared" si="77"/>
        <v>2</v>
      </c>
      <c r="BJ85" s="268">
        <f t="shared" si="77"/>
        <v>3</v>
      </c>
      <c r="BK85" s="268">
        <f t="shared" si="77"/>
        <v>4</v>
      </c>
      <c r="BL85" s="269">
        <f t="shared" si="77"/>
        <v>5</v>
      </c>
      <c r="BM85" s="256">
        <f>IF($BC85=Lookup!$A$2,$BD85*ROUNDUP(BE85/10,0)+1,
IF($BC85=Lookup!$A$3,($BD85+1)^BD85,
IF($BC85=Lookup!$A$4,BE85*$BD85+1,"Error")))</f>
        <v>1</v>
      </c>
      <c r="BN85" s="229">
        <f>IF($BC85=Lookup!$A$2,$BD85*ROUNDUP(BF85/10,0)+1,
IF($BC85=Lookup!$A$3,($BD85+1)^BE85,
IF($BC85=Lookup!$A$4,BF85*$BD85+1,"Error")))</f>
        <v>1</v>
      </c>
      <c r="BO85" s="229">
        <f>IF($BC85=Lookup!$A$2,$BD85*ROUNDUP(BG85/10,0)+1,
IF($BC85=Lookup!$A$3,($BD85+1)^BF85,
IF($BC85=Lookup!$A$4,BG85*$BD85+1,"Error")))</f>
        <v>1</v>
      </c>
      <c r="BP85" s="229">
        <f>IF($BC85=Lookup!$A$2,$BD85*ROUNDUP(BH85/10,0)+1,
IF($BC85=Lookup!$A$3,($BD85+1)^BG85,
IF($BC85=Lookup!$A$4,BH85*$BD85+1,"Error")))</f>
        <v>1</v>
      </c>
      <c r="BQ85" s="229">
        <f>IF($BC85=Lookup!$A$2,$BD85*ROUNDUP(BI85/10,0)+1,
IF($BC85=Lookup!$A$3,($BD85+1)^BH85,
IF($BC85=Lookup!$A$4,BI85*$BD85+1,"Error")))</f>
        <v>1</v>
      </c>
      <c r="BR85" s="229">
        <f>IF($BC85=Lookup!$A$2,$BD85*ROUNDUP(BJ85/10,0)+1,
IF($BC85=Lookup!$A$3,($BD85+1)^BI85,
IF($BC85=Lookup!$A$4,BJ85*$BD85+1,"Error")))</f>
        <v>1</v>
      </c>
      <c r="BS85" s="229">
        <f>IF($BC85=Lookup!$A$2,$BD85*ROUNDUP(BK85/10,0)+1,
IF($BC85=Lookup!$A$3,($BD85+1)^BJ85,
IF($BC85=Lookup!$A$4,BK85*$BD85+1,"Error")))</f>
        <v>1</v>
      </c>
      <c r="BT85" s="249">
        <f>IF($BC85=Lookup!$A$2,$BD85*ROUNDUP(BL85/10,0)+1,
IF($BC85=Lookup!$A$3,($BD85+1)^BK85,
IF($BC85=Lookup!$A$4,BL85*$BD85+1,"Error")))</f>
        <v>1</v>
      </c>
      <c r="BU85" s="320">
        <v>0</v>
      </c>
      <c r="BV85" s="321">
        <v>0</v>
      </c>
      <c r="BW85" s="321">
        <v>0</v>
      </c>
      <c r="BX85" s="321">
        <v>0</v>
      </c>
      <c r="BY85" s="321">
        <v>0</v>
      </c>
      <c r="BZ85" s="321">
        <v>0</v>
      </c>
      <c r="CA85" s="321">
        <v>0</v>
      </c>
      <c r="CB85" s="277">
        <v>0</v>
      </c>
      <c r="CC85" s="382" t="s">
        <v>293</v>
      </c>
      <c r="CD85" s="383">
        <f>HLOOKUP($CC85,$AK$6:$AM$132,ROWS(CD$6:CD85),0)</f>
        <v>0</v>
      </c>
      <c r="CE85" s="234">
        <f t="shared" si="81"/>
        <v>0</v>
      </c>
      <c r="CF85" s="96">
        <f t="shared" si="81"/>
        <v>0</v>
      </c>
      <c r="CG85" s="521">
        <f t="shared" si="81"/>
        <v>0</v>
      </c>
      <c r="CH85" s="421">
        <f t="shared" si="81"/>
        <v>0</v>
      </c>
      <c r="CI85" s="96">
        <f t="shared" si="50"/>
        <v>0</v>
      </c>
      <c r="CJ85" s="96">
        <f t="shared" si="50"/>
        <v>0</v>
      </c>
      <c r="CK85" s="96">
        <f t="shared" si="50"/>
        <v>0</v>
      </c>
      <c r="CL85" s="286">
        <f t="shared" si="50"/>
        <v>0</v>
      </c>
      <c r="CM85" s="305" t="s">
        <v>293</v>
      </c>
      <c r="CN85" s="315">
        <v>0.05</v>
      </c>
      <c r="CO85" s="306"/>
      <c r="CP85" s="307" t="str">
        <f>IF($CO85&lt;&gt;"",$CO85,HLOOKUP($CM85,$AY$6:$BA$132,ROWS(CP$6:CP85),0))</f>
        <v/>
      </c>
      <c r="CQ85" s="784" t="str">
        <f t="shared" si="78"/>
        <v/>
      </c>
      <c r="CR85" s="784" t="str">
        <f t="shared" si="78"/>
        <v/>
      </c>
      <c r="CS85" s="524" t="str">
        <f t="shared" si="78"/>
        <v/>
      </c>
      <c r="CT85" s="416" t="str">
        <f t="shared" si="78"/>
        <v/>
      </c>
      <c r="CU85" s="97" t="str">
        <f t="shared" si="78"/>
        <v/>
      </c>
      <c r="CV85" s="97" t="str">
        <f t="shared" si="78"/>
        <v/>
      </c>
      <c r="CW85" s="97" t="str">
        <f t="shared" si="78"/>
        <v/>
      </c>
      <c r="CX85" s="98" t="str">
        <f t="shared" si="32"/>
        <v/>
      </c>
      <c r="CY85" s="392"/>
    </row>
    <row r="86" spans="1:103" x14ac:dyDescent="0.25">
      <c r="A86" s="81" t="s">
        <v>138</v>
      </c>
      <c r="B86" s="82" t="s">
        <v>175</v>
      </c>
      <c r="C86" s="83" t="s">
        <v>376</v>
      </c>
      <c r="D86" s="84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654">
        <f>'2022-23 Input'!I86</f>
        <v>0</v>
      </c>
      <c r="N86" s="1065">
        <v>0</v>
      </c>
      <c r="O86" s="560">
        <f t="shared" si="79"/>
        <v>0</v>
      </c>
      <c r="P86" s="561">
        <f t="shared" si="53"/>
        <v>0</v>
      </c>
      <c r="Q86" s="561">
        <f t="shared" si="54"/>
        <v>0</v>
      </c>
      <c r="R86" s="561">
        <f t="shared" si="55"/>
        <v>0</v>
      </c>
      <c r="S86" s="561">
        <f t="shared" si="56"/>
        <v>0</v>
      </c>
      <c r="T86" s="561">
        <f t="shared" si="57"/>
        <v>0</v>
      </c>
      <c r="U86" s="561">
        <f t="shared" si="58"/>
        <v>0</v>
      </c>
      <c r="V86" s="561">
        <f t="shared" si="59"/>
        <v>0</v>
      </c>
      <c r="W86" s="675">
        <f t="shared" si="60"/>
        <v>0</v>
      </c>
      <c r="X86" s="675">
        <f t="shared" si="61"/>
        <v>0</v>
      </c>
      <c r="Y86" s="675">
        <f t="shared" si="61"/>
        <v>0</v>
      </c>
      <c r="Z86" s="86">
        <v>0</v>
      </c>
      <c r="AA86" s="87">
        <v>0</v>
      </c>
      <c r="AB86" s="87">
        <v>-1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87">
        <v>0</v>
      </c>
      <c r="AI86" s="1094">
        <f>'2022-23 Input'!P86</f>
        <v>0</v>
      </c>
      <c r="AJ86" s="665">
        <v>0</v>
      </c>
      <c r="AK86" s="88">
        <f t="shared" si="62"/>
        <v>0</v>
      </c>
      <c r="AL86" s="89">
        <f t="shared" si="63"/>
        <v>0</v>
      </c>
      <c r="AM86" s="90">
        <f t="shared" si="64"/>
        <v>0</v>
      </c>
      <c r="AN86" s="91" t="str">
        <f t="shared" si="65"/>
        <v/>
      </c>
      <c r="AO86" s="92" t="str">
        <f t="shared" si="66"/>
        <v/>
      </c>
      <c r="AP86" s="92">
        <f t="shared" si="67"/>
        <v>0</v>
      </c>
      <c r="AQ86" s="92" t="str">
        <f t="shared" si="68"/>
        <v/>
      </c>
      <c r="AR86" s="92" t="str">
        <f t="shared" si="69"/>
        <v/>
      </c>
      <c r="AS86" s="92" t="str">
        <f t="shared" si="70"/>
        <v/>
      </c>
      <c r="AT86" s="92" t="str">
        <f t="shared" si="71"/>
        <v/>
      </c>
      <c r="AU86" s="92" t="str">
        <f t="shared" si="72"/>
        <v/>
      </c>
      <c r="AV86" s="92" t="str">
        <f t="shared" si="73"/>
        <v/>
      </c>
      <c r="AW86" s="92" t="str">
        <f t="shared" si="73"/>
        <v/>
      </c>
      <c r="AX86" s="92" t="str">
        <f t="shared" si="73"/>
        <v/>
      </c>
      <c r="AY86" s="93" t="str">
        <f t="shared" si="74"/>
        <v/>
      </c>
      <c r="AZ86" s="94" t="str">
        <f t="shared" si="75"/>
        <v/>
      </c>
      <c r="BA86" s="95" t="str">
        <f t="shared" si="76"/>
        <v/>
      </c>
      <c r="BB86" s="248" t="s">
        <v>422</v>
      </c>
      <c r="BC86" s="229" t="s">
        <v>433</v>
      </c>
      <c r="BD86" s="249">
        <v>0</v>
      </c>
      <c r="BE86" s="267">
        <f t="shared" si="80"/>
        <v>0</v>
      </c>
      <c r="BF86" s="268">
        <f t="shared" si="77"/>
        <v>0</v>
      </c>
      <c r="BG86" s="268">
        <f t="shared" si="77"/>
        <v>0</v>
      </c>
      <c r="BH86" s="268">
        <f t="shared" si="77"/>
        <v>1</v>
      </c>
      <c r="BI86" s="268">
        <f t="shared" si="77"/>
        <v>2</v>
      </c>
      <c r="BJ86" s="268">
        <f t="shared" si="77"/>
        <v>3</v>
      </c>
      <c r="BK86" s="268">
        <f t="shared" si="77"/>
        <v>4</v>
      </c>
      <c r="BL86" s="269">
        <f t="shared" si="77"/>
        <v>5</v>
      </c>
      <c r="BM86" s="256">
        <f>IF($BC86=Lookup!$A$2,$BD86*ROUNDUP(BE86/10,0)+1,
IF($BC86=Lookup!$A$3,($BD86+1)^BD86,
IF($BC86=Lookup!$A$4,BE86*$BD86+1,"Error")))</f>
        <v>1</v>
      </c>
      <c r="BN86" s="229">
        <f>IF($BC86=Lookup!$A$2,$BD86*ROUNDUP(BF86/10,0)+1,
IF($BC86=Lookup!$A$3,($BD86+1)^BE86,
IF($BC86=Lookup!$A$4,BF86*$BD86+1,"Error")))</f>
        <v>1</v>
      </c>
      <c r="BO86" s="229">
        <f>IF($BC86=Lookup!$A$2,$BD86*ROUNDUP(BG86/10,0)+1,
IF($BC86=Lookup!$A$3,($BD86+1)^BF86,
IF($BC86=Lookup!$A$4,BG86*$BD86+1,"Error")))</f>
        <v>1</v>
      </c>
      <c r="BP86" s="229">
        <f>IF($BC86=Lookup!$A$2,$BD86*ROUNDUP(BH86/10,0)+1,
IF($BC86=Lookup!$A$3,($BD86+1)^BG86,
IF($BC86=Lookup!$A$4,BH86*$BD86+1,"Error")))</f>
        <v>1</v>
      </c>
      <c r="BQ86" s="229">
        <f>IF($BC86=Lookup!$A$2,$BD86*ROUNDUP(BI86/10,0)+1,
IF($BC86=Lookup!$A$3,($BD86+1)^BH86,
IF($BC86=Lookup!$A$4,BI86*$BD86+1,"Error")))</f>
        <v>1</v>
      </c>
      <c r="BR86" s="229">
        <f>IF($BC86=Lookup!$A$2,$BD86*ROUNDUP(BJ86/10,0)+1,
IF($BC86=Lookup!$A$3,($BD86+1)^BI86,
IF($BC86=Lookup!$A$4,BJ86*$BD86+1,"Error")))</f>
        <v>1</v>
      </c>
      <c r="BS86" s="229">
        <f>IF($BC86=Lookup!$A$2,$BD86*ROUNDUP(BK86/10,0)+1,
IF($BC86=Lookup!$A$3,($BD86+1)^BJ86,
IF($BC86=Lookup!$A$4,BK86*$BD86+1,"Error")))</f>
        <v>1</v>
      </c>
      <c r="BT86" s="249">
        <f>IF($BC86=Lookup!$A$2,$BD86*ROUNDUP(BL86/10,0)+1,
IF($BC86=Lookup!$A$3,($BD86+1)^BK86,
IF($BC86=Lookup!$A$4,BL86*$BD86+1,"Error")))</f>
        <v>1</v>
      </c>
      <c r="BU86" s="320">
        <v>0</v>
      </c>
      <c r="BV86" s="321">
        <v>0</v>
      </c>
      <c r="BW86" s="321">
        <v>0</v>
      </c>
      <c r="BX86" s="321">
        <v>0</v>
      </c>
      <c r="BY86" s="321">
        <v>0</v>
      </c>
      <c r="BZ86" s="321">
        <v>0</v>
      </c>
      <c r="CA86" s="321">
        <v>0</v>
      </c>
      <c r="CB86" s="277">
        <v>0</v>
      </c>
      <c r="CC86" s="382" t="s">
        <v>293</v>
      </c>
      <c r="CD86" s="383">
        <f>HLOOKUP($CC86,$AK$6:$AM$132,ROWS(CD$6:CD86),0)</f>
        <v>0</v>
      </c>
      <c r="CE86" s="234">
        <f t="shared" si="81"/>
        <v>0</v>
      </c>
      <c r="CF86" s="96">
        <f t="shared" si="81"/>
        <v>0</v>
      </c>
      <c r="CG86" s="521">
        <f t="shared" si="81"/>
        <v>0</v>
      </c>
      <c r="CH86" s="421">
        <f t="shared" si="81"/>
        <v>0</v>
      </c>
      <c r="CI86" s="96">
        <f t="shared" si="50"/>
        <v>0</v>
      </c>
      <c r="CJ86" s="96">
        <f t="shared" si="50"/>
        <v>0</v>
      </c>
      <c r="CK86" s="96">
        <f t="shared" si="50"/>
        <v>0</v>
      </c>
      <c r="CL86" s="286">
        <f t="shared" si="50"/>
        <v>0</v>
      </c>
      <c r="CM86" s="305" t="s">
        <v>293</v>
      </c>
      <c r="CN86" s="315">
        <v>0.05</v>
      </c>
      <c r="CO86" s="306"/>
      <c r="CP86" s="307" t="str">
        <f>IF($CO86&lt;&gt;"",$CO86,HLOOKUP($CM86,$AY$6:$BA$132,ROWS(CP$6:CP86),0))</f>
        <v/>
      </c>
      <c r="CQ86" s="784" t="str">
        <f t="shared" si="78"/>
        <v/>
      </c>
      <c r="CR86" s="784" t="str">
        <f t="shared" si="78"/>
        <v/>
      </c>
      <c r="CS86" s="524" t="str">
        <f t="shared" si="78"/>
        <v/>
      </c>
      <c r="CT86" s="416" t="str">
        <f t="shared" si="78"/>
        <v/>
      </c>
      <c r="CU86" s="97" t="str">
        <f t="shared" si="78"/>
        <v/>
      </c>
      <c r="CV86" s="97" t="str">
        <f t="shared" si="78"/>
        <v/>
      </c>
      <c r="CW86" s="97" t="str">
        <f t="shared" si="78"/>
        <v/>
      </c>
      <c r="CX86" s="98" t="str">
        <f t="shared" si="32"/>
        <v/>
      </c>
      <c r="CY86" s="392"/>
    </row>
    <row r="87" spans="1:103" x14ac:dyDescent="0.25">
      <c r="A87" s="81" t="s">
        <v>138</v>
      </c>
      <c r="B87" s="82" t="s">
        <v>177</v>
      </c>
      <c r="C87" s="83" t="s">
        <v>377</v>
      </c>
      <c r="D87" s="84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654">
        <f>'2022-23 Input'!I87</f>
        <v>0</v>
      </c>
      <c r="N87" s="1065">
        <v>0</v>
      </c>
      <c r="O87" s="560">
        <f t="shared" si="79"/>
        <v>0</v>
      </c>
      <c r="P87" s="561">
        <f t="shared" si="53"/>
        <v>0</v>
      </c>
      <c r="Q87" s="561">
        <f t="shared" si="54"/>
        <v>0</v>
      </c>
      <c r="R87" s="561">
        <f t="shared" si="55"/>
        <v>0</v>
      </c>
      <c r="S87" s="561">
        <f t="shared" si="56"/>
        <v>0</v>
      </c>
      <c r="T87" s="561">
        <f t="shared" si="57"/>
        <v>0</v>
      </c>
      <c r="U87" s="561">
        <f t="shared" si="58"/>
        <v>0</v>
      </c>
      <c r="V87" s="561">
        <f t="shared" si="59"/>
        <v>0</v>
      </c>
      <c r="W87" s="675">
        <f t="shared" si="60"/>
        <v>0</v>
      </c>
      <c r="X87" s="675">
        <f t="shared" si="61"/>
        <v>0</v>
      </c>
      <c r="Y87" s="675">
        <f t="shared" si="61"/>
        <v>0</v>
      </c>
      <c r="Z87" s="86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87">
        <v>0</v>
      </c>
      <c r="AI87" s="1094">
        <f>'2022-23 Input'!P87</f>
        <v>0</v>
      </c>
      <c r="AJ87" s="665">
        <v>0</v>
      </c>
      <c r="AK87" s="88">
        <f t="shared" si="62"/>
        <v>0</v>
      </c>
      <c r="AL87" s="89">
        <f t="shared" si="63"/>
        <v>0</v>
      </c>
      <c r="AM87" s="90">
        <f t="shared" si="64"/>
        <v>0</v>
      </c>
      <c r="AN87" s="91" t="str">
        <f t="shared" si="65"/>
        <v/>
      </c>
      <c r="AO87" s="92" t="str">
        <f t="shared" si="66"/>
        <v/>
      </c>
      <c r="AP87" s="92" t="str">
        <f t="shared" si="67"/>
        <v/>
      </c>
      <c r="AQ87" s="92" t="str">
        <f t="shared" si="68"/>
        <v/>
      </c>
      <c r="AR87" s="92" t="str">
        <f t="shared" si="69"/>
        <v/>
      </c>
      <c r="AS87" s="92" t="str">
        <f t="shared" si="70"/>
        <v/>
      </c>
      <c r="AT87" s="92" t="str">
        <f t="shared" si="71"/>
        <v/>
      </c>
      <c r="AU87" s="92" t="str">
        <f t="shared" si="72"/>
        <v/>
      </c>
      <c r="AV87" s="92" t="str">
        <f t="shared" ref="AV87:AX102" si="82">IFERROR(L87/AH87,"")</f>
        <v/>
      </c>
      <c r="AW87" s="92" t="str">
        <f t="shared" si="82"/>
        <v/>
      </c>
      <c r="AX87" s="92" t="str">
        <f t="shared" si="82"/>
        <v/>
      </c>
      <c r="AY87" s="93" t="str">
        <f t="shared" si="74"/>
        <v/>
      </c>
      <c r="AZ87" s="94" t="str">
        <f t="shared" si="75"/>
        <v/>
      </c>
      <c r="BA87" s="95" t="str">
        <f t="shared" si="76"/>
        <v/>
      </c>
      <c r="BB87" s="248" t="s">
        <v>422</v>
      </c>
      <c r="BC87" s="229" t="s">
        <v>433</v>
      </c>
      <c r="BD87" s="249">
        <v>0</v>
      </c>
      <c r="BE87" s="267">
        <f t="shared" si="80"/>
        <v>0</v>
      </c>
      <c r="BF87" s="268">
        <f t="shared" ref="BF87:BL102" si="83">IF(BF$6=$BB87,1,
IF(BE87&lt;&gt;0,BE87+1,0
))</f>
        <v>0</v>
      </c>
      <c r="BG87" s="268">
        <f t="shared" si="83"/>
        <v>0</v>
      </c>
      <c r="BH87" s="268">
        <f t="shared" si="83"/>
        <v>1</v>
      </c>
      <c r="BI87" s="268">
        <f t="shared" si="83"/>
        <v>2</v>
      </c>
      <c r="BJ87" s="268">
        <f t="shared" si="83"/>
        <v>3</v>
      </c>
      <c r="BK87" s="268">
        <f t="shared" si="83"/>
        <v>4</v>
      </c>
      <c r="BL87" s="269">
        <f t="shared" si="83"/>
        <v>5</v>
      </c>
      <c r="BM87" s="256">
        <f>IF($BC87=Lookup!$A$2,$BD87*ROUNDUP(BE87/10,0)+1,
IF($BC87=Lookup!$A$3,($BD87+1)^BD87,
IF($BC87=Lookup!$A$4,BE87*$BD87+1,"Error")))</f>
        <v>1</v>
      </c>
      <c r="BN87" s="229">
        <f>IF($BC87=Lookup!$A$2,$BD87*ROUNDUP(BF87/10,0)+1,
IF($BC87=Lookup!$A$3,($BD87+1)^BE87,
IF($BC87=Lookup!$A$4,BF87*$BD87+1,"Error")))</f>
        <v>1</v>
      </c>
      <c r="BO87" s="229">
        <f>IF($BC87=Lookup!$A$2,$BD87*ROUNDUP(BG87/10,0)+1,
IF($BC87=Lookup!$A$3,($BD87+1)^BF87,
IF($BC87=Lookup!$A$4,BG87*$BD87+1,"Error")))</f>
        <v>1</v>
      </c>
      <c r="BP87" s="229">
        <f>IF($BC87=Lookup!$A$2,$BD87*ROUNDUP(BH87/10,0)+1,
IF($BC87=Lookup!$A$3,($BD87+1)^BG87,
IF($BC87=Lookup!$A$4,BH87*$BD87+1,"Error")))</f>
        <v>1</v>
      </c>
      <c r="BQ87" s="229">
        <f>IF($BC87=Lookup!$A$2,$BD87*ROUNDUP(BI87/10,0)+1,
IF($BC87=Lookup!$A$3,($BD87+1)^BH87,
IF($BC87=Lookup!$A$4,BI87*$BD87+1,"Error")))</f>
        <v>1</v>
      </c>
      <c r="BR87" s="229">
        <f>IF($BC87=Lookup!$A$2,$BD87*ROUNDUP(BJ87/10,0)+1,
IF($BC87=Lookup!$A$3,($BD87+1)^BI87,
IF($BC87=Lookup!$A$4,BJ87*$BD87+1,"Error")))</f>
        <v>1</v>
      </c>
      <c r="BS87" s="229">
        <f>IF($BC87=Lookup!$A$2,$BD87*ROUNDUP(BK87/10,0)+1,
IF($BC87=Lookup!$A$3,($BD87+1)^BJ87,
IF($BC87=Lookup!$A$4,BK87*$BD87+1,"Error")))</f>
        <v>1</v>
      </c>
      <c r="BT87" s="249">
        <f>IF($BC87=Lookup!$A$2,$BD87*ROUNDUP(BL87/10,0)+1,
IF($BC87=Lookup!$A$3,($BD87+1)^BK87,
IF($BC87=Lookup!$A$4,BL87*$BD87+1,"Error")))</f>
        <v>1</v>
      </c>
      <c r="BU87" s="320">
        <v>0</v>
      </c>
      <c r="BV87" s="321">
        <v>0</v>
      </c>
      <c r="BW87" s="321">
        <v>0</v>
      </c>
      <c r="BX87" s="321">
        <v>0</v>
      </c>
      <c r="BY87" s="321">
        <v>0</v>
      </c>
      <c r="BZ87" s="321">
        <v>0</v>
      </c>
      <c r="CA87" s="321">
        <v>0</v>
      </c>
      <c r="CB87" s="277">
        <v>0</v>
      </c>
      <c r="CC87" s="382" t="s">
        <v>293</v>
      </c>
      <c r="CD87" s="383">
        <f>HLOOKUP($CC87,$AK$6:$AM$132,ROWS(CD$6:CD87),0)</f>
        <v>0</v>
      </c>
      <c r="CE87" s="234">
        <f t="shared" si="81"/>
        <v>0</v>
      </c>
      <c r="CF87" s="96">
        <f t="shared" si="81"/>
        <v>0</v>
      </c>
      <c r="CG87" s="521">
        <f t="shared" si="81"/>
        <v>0</v>
      </c>
      <c r="CH87" s="421">
        <f t="shared" si="81"/>
        <v>0</v>
      </c>
      <c r="CI87" s="96">
        <f t="shared" si="50"/>
        <v>0</v>
      </c>
      <c r="CJ87" s="96">
        <f t="shared" si="50"/>
        <v>0</v>
      </c>
      <c r="CK87" s="96">
        <f t="shared" si="50"/>
        <v>0</v>
      </c>
      <c r="CL87" s="286">
        <f t="shared" si="50"/>
        <v>0</v>
      </c>
      <c r="CM87" s="305" t="s">
        <v>293</v>
      </c>
      <c r="CN87" s="315">
        <v>0.05</v>
      </c>
      <c r="CO87" s="306"/>
      <c r="CP87" s="307" t="str">
        <f>IF($CO87&lt;&gt;"",$CO87,HLOOKUP($CM87,$AY$6:$BA$132,ROWS(CP$6:CP87),0))</f>
        <v/>
      </c>
      <c r="CQ87" s="784" t="str">
        <f t="shared" si="78"/>
        <v/>
      </c>
      <c r="CR87" s="784" t="str">
        <f t="shared" si="78"/>
        <v/>
      </c>
      <c r="CS87" s="524" t="str">
        <f t="shared" si="78"/>
        <v/>
      </c>
      <c r="CT87" s="416" t="str">
        <f t="shared" si="78"/>
        <v/>
      </c>
      <c r="CU87" s="97" t="str">
        <f t="shared" si="78"/>
        <v/>
      </c>
      <c r="CV87" s="97" t="str">
        <f t="shared" si="78"/>
        <v/>
      </c>
      <c r="CW87" s="97" t="str">
        <f t="shared" si="78"/>
        <v/>
      </c>
      <c r="CX87" s="98" t="str">
        <f t="shared" si="32"/>
        <v/>
      </c>
      <c r="CY87" s="392"/>
    </row>
    <row r="88" spans="1:103" x14ac:dyDescent="0.25">
      <c r="A88" s="81" t="s">
        <v>138</v>
      </c>
      <c r="B88" s="82" t="s">
        <v>179</v>
      </c>
      <c r="C88" s="83" t="s">
        <v>378</v>
      </c>
      <c r="D88" s="84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654">
        <f>'2022-23 Input'!I88</f>
        <v>0</v>
      </c>
      <c r="N88" s="1065">
        <v>0</v>
      </c>
      <c r="O88" s="560">
        <f t="shared" si="79"/>
        <v>0</v>
      </c>
      <c r="P88" s="561">
        <f t="shared" si="53"/>
        <v>0</v>
      </c>
      <c r="Q88" s="561">
        <f t="shared" si="54"/>
        <v>0</v>
      </c>
      <c r="R88" s="561">
        <f t="shared" si="55"/>
        <v>0</v>
      </c>
      <c r="S88" s="561">
        <f t="shared" si="56"/>
        <v>0</v>
      </c>
      <c r="T88" s="561">
        <f t="shared" si="57"/>
        <v>0</v>
      </c>
      <c r="U88" s="561">
        <f t="shared" si="58"/>
        <v>0</v>
      </c>
      <c r="V88" s="561">
        <f t="shared" si="59"/>
        <v>0</v>
      </c>
      <c r="W88" s="675">
        <f t="shared" si="60"/>
        <v>0</v>
      </c>
      <c r="X88" s="675">
        <f t="shared" si="61"/>
        <v>0</v>
      </c>
      <c r="Y88" s="675">
        <f t="shared" si="61"/>
        <v>0</v>
      </c>
      <c r="Z88" s="86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87">
        <v>0</v>
      </c>
      <c r="AI88" s="1094">
        <f>'2022-23 Input'!P88</f>
        <v>0</v>
      </c>
      <c r="AJ88" s="665">
        <v>0</v>
      </c>
      <c r="AK88" s="88">
        <f t="shared" si="62"/>
        <v>0</v>
      </c>
      <c r="AL88" s="89">
        <f t="shared" si="63"/>
        <v>0</v>
      </c>
      <c r="AM88" s="90">
        <f t="shared" si="64"/>
        <v>0</v>
      </c>
      <c r="AN88" s="91" t="str">
        <f t="shared" si="65"/>
        <v/>
      </c>
      <c r="AO88" s="92" t="str">
        <f t="shared" si="66"/>
        <v/>
      </c>
      <c r="AP88" s="92" t="str">
        <f t="shared" si="67"/>
        <v/>
      </c>
      <c r="AQ88" s="92" t="str">
        <f t="shared" si="68"/>
        <v/>
      </c>
      <c r="AR88" s="92" t="str">
        <f t="shared" si="69"/>
        <v/>
      </c>
      <c r="AS88" s="92" t="str">
        <f t="shared" si="70"/>
        <v/>
      </c>
      <c r="AT88" s="92" t="str">
        <f t="shared" si="71"/>
        <v/>
      </c>
      <c r="AU88" s="92" t="str">
        <f t="shared" si="72"/>
        <v/>
      </c>
      <c r="AV88" s="92" t="str">
        <f t="shared" si="82"/>
        <v/>
      </c>
      <c r="AW88" s="92" t="str">
        <f t="shared" si="82"/>
        <v/>
      </c>
      <c r="AX88" s="92" t="str">
        <f t="shared" si="82"/>
        <v/>
      </c>
      <c r="AY88" s="93" t="str">
        <f t="shared" si="74"/>
        <v/>
      </c>
      <c r="AZ88" s="94" t="str">
        <f t="shared" si="75"/>
        <v/>
      </c>
      <c r="BA88" s="95" t="str">
        <f t="shared" si="76"/>
        <v/>
      </c>
      <c r="BB88" s="248" t="s">
        <v>422</v>
      </c>
      <c r="BC88" s="229" t="s">
        <v>433</v>
      </c>
      <c r="BD88" s="249">
        <v>0</v>
      </c>
      <c r="BE88" s="267">
        <f t="shared" si="80"/>
        <v>0</v>
      </c>
      <c r="BF88" s="268">
        <f t="shared" si="83"/>
        <v>0</v>
      </c>
      <c r="BG88" s="268">
        <f t="shared" si="83"/>
        <v>0</v>
      </c>
      <c r="BH88" s="268">
        <f t="shared" si="83"/>
        <v>1</v>
      </c>
      <c r="BI88" s="268">
        <f t="shared" si="83"/>
        <v>2</v>
      </c>
      <c r="BJ88" s="268">
        <f t="shared" si="83"/>
        <v>3</v>
      </c>
      <c r="BK88" s="268">
        <f t="shared" si="83"/>
        <v>4</v>
      </c>
      <c r="BL88" s="269">
        <f t="shared" si="83"/>
        <v>5</v>
      </c>
      <c r="BM88" s="256">
        <f>IF($BC88=Lookup!$A$2,$BD88*ROUNDUP(BE88/10,0)+1,
IF($BC88=Lookup!$A$3,($BD88+1)^BD88,
IF($BC88=Lookup!$A$4,BE88*$BD88+1,"Error")))</f>
        <v>1</v>
      </c>
      <c r="BN88" s="229">
        <f>IF($BC88=Lookup!$A$2,$BD88*ROUNDUP(BF88/10,0)+1,
IF($BC88=Lookup!$A$3,($BD88+1)^BE88,
IF($BC88=Lookup!$A$4,BF88*$BD88+1,"Error")))</f>
        <v>1</v>
      </c>
      <c r="BO88" s="229">
        <f>IF($BC88=Lookup!$A$2,$BD88*ROUNDUP(BG88/10,0)+1,
IF($BC88=Lookup!$A$3,($BD88+1)^BF88,
IF($BC88=Lookup!$A$4,BG88*$BD88+1,"Error")))</f>
        <v>1</v>
      </c>
      <c r="BP88" s="229">
        <f>IF($BC88=Lookup!$A$2,$BD88*ROUNDUP(BH88/10,0)+1,
IF($BC88=Lookup!$A$3,($BD88+1)^BG88,
IF($BC88=Lookup!$A$4,BH88*$BD88+1,"Error")))</f>
        <v>1</v>
      </c>
      <c r="BQ88" s="229">
        <f>IF($BC88=Lookup!$A$2,$BD88*ROUNDUP(BI88/10,0)+1,
IF($BC88=Lookup!$A$3,($BD88+1)^BH88,
IF($BC88=Lookup!$A$4,BI88*$BD88+1,"Error")))</f>
        <v>1</v>
      </c>
      <c r="BR88" s="229">
        <f>IF($BC88=Lookup!$A$2,$BD88*ROUNDUP(BJ88/10,0)+1,
IF($BC88=Lookup!$A$3,($BD88+1)^BI88,
IF($BC88=Lookup!$A$4,BJ88*$BD88+1,"Error")))</f>
        <v>1</v>
      </c>
      <c r="BS88" s="229">
        <f>IF($BC88=Lookup!$A$2,$BD88*ROUNDUP(BK88/10,0)+1,
IF($BC88=Lookup!$A$3,($BD88+1)^BJ88,
IF($BC88=Lookup!$A$4,BK88*$BD88+1,"Error")))</f>
        <v>1</v>
      </c>
      <c r="BT88" s="249">
        <f>IF($BC88=Lookup!$A$2,$BD88*ROUNDUP(BL88/10,0)+1,
IF($BC88=Lookup!$A$3,($BD88+1)^BK88,
IF($BC88=Lookup!$A$4,BL88*$BD88+1,"Error")))</f>
        <v>1</v>
      </c>
      <c r="BU88" s="320">
        <v>0</v>
      </c>
      <c r="BV88" s="321">
        <v>0</v>
      </c>
      <c r="BW88" s="321">
        <v>0</v>
      </c>
      <c r="BX88" s="321">
        <v>0</v>
      </c>
      <c r="BY88" s="321">
        <v>0</v>
      </c>
      <c r="BZ88" s="321">
        <v>0</v>
      </c>
      <c r="CA88" s="321">
        <v>0</v>
      </c>
      <c r="CB88" s="277">
        <v>0</v>
      </c>
      <c r="CC88" s="382" t="s">
        <v>293</v>
      </c>
      <c r="CD88" s="383">
        <f>HLOOKUP($CC88,$AK$6:$AM$132,ROWS(CD$6:CD88),0)</f>
        <v>0</v>
      </c>
      <c r="CE88" s="234">
        <f t="shared" si="81"/>
        <v>0</v>
      </c>
      <c r="CF88" s="96">
        <f t="shared" si="81"/>
        <v>0</v>
      </c>
      <c r="CG88" s="521">
        <f t="shared" si="81"/>
        <v>0</v>
      </c>
      <c r="CH88" s="421">
        <f t="shared" si="81"/>
        <v>0</v>
      </c>
      <c r="CI88" s="96">
        <f t="shared" si="50"/>
        <v>0</v>
      </c>
      <c r="CJ88" s="96">
        <f t="shared" si="50"/>
        <v>0</v>
      </c>
      <c r="CK88" s="96">
        <f t="shared" si="50"/>
        <v>0</v>
      </c>
      <c r="CL88" s="286">
        <f t="shared" si="50"/>
        <v>0</v>
      </c>
      <c r="CM88" s="305" t="s">
        <v>293</v>
      </c>
      <c r="CN88" s="315">
        <v>0.05</v>
      </c>
      <c r="CO88" s="306"/>
      <c r="CP88" s="307" t="str">
        <f>IF($CO88&lt;&gt;"",$CO88,HLOOKUP($CM88,$AY$6:$BA$132,ROWS(CP$6:CP88),0))</f>
        <v/>
      </c>
      <c r="CQ88" s="784" t="str">
        <f t="shared" si="78"/>
        <v/>
      </c>
      <c r="CR88" s="784" t="str">
        <f t="shared" si="78"/>
        <v/>
      </c>
      <c r="CS88" s="524" t="str">
        <f t="shared" si="78"/>
        <v/>
      </c>
      <c r="CT88" s="416" t="str">
        <f t="shared" si="78"/>
        <v/>
      </c>
      <c r="CU88" s="97" t="str">
        <f t="shared" si="78"/>
        <v/>
      </c>
      <c r="CV88" s="97" t="str">
        <f t="shared" si="78"/>
        <v/>
      </c>
      <c r="CW88" s="97" t="str">
        <f t="shared" si="78"/>
        <v/>
      </c>
      <c r="CX88" s="98" t="str">
        <f t="shared" si="32"/>
        <v/>
      </c>
      <c r="CY88" s="392"/>
    </row>
    <row r="89" spans="1:103" x14ac:dyDescent="0.25">
      <c r="A89" s="81" t="s">
        <v>138</v>
      </c>
      <c r="B89" s="82" t="s">
        <v>181</v>
      </c>
      <c r="C89" s="83" t="s">
        <v>379</v>
      </c>
      <c r="D89" s="84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654">
        <f>'2022-23 Input'!I89</f>
        <v>0</v>
      </c>
      <c r="N89" s="1065">
        <v>0</v>
      </c>
      <c r="O89" s="560">
        <f t="shared" si="79"/>
        <v>0</v>
      </c>
      <c r="P89" s="561">
        <f t="shared" si="53"/>
        <v>0</v>
      </c>
      <c r="Q89" s="561">
        <f t="shared" si="54"/>
        <v>0</v>
      </c>
      <c r="R89" s="561">
        <f t="shared" si="55"/>
        <v>0</v>
      </c>
      <c r="S89" s="561">
        <f t="shared" si="56"/>
        <v>0</v>
      </c>
      <c r="T89" s="561">
        <f t="shared" si="57"/>
        <v>0</v>
      </c>
      <c r="U89" s="561">
        <f t="shared" si="58"/>
        <v>0</v>
      </c>
      <c r="V89" s="561">
        <f t="shared" si="59"/>
        <v>0</v>
      </c>
      <c r="W89" s="675">
        <f t="shared" si="60"/>
        <v>0</v>
      </c>
      <c r="X89" s="675">
        <f t="shared" si="61"/>
        <v>0</v>
      </c>
      <c r="Y89" s="675">
        <f t="shared" si="61"/>
        <v>0</v>
      </c>
      <c r="Z89" s="86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0</v>
      </c>
      <c r="AF89" s="87">
        <v>0</v>
      </c>
      <c r="AG89" s="87">
        <v>0</v>
      </c>
      <c r="AH89" s="87">
        <v>0</v>
      </c>
      <c r="AI89" s="1094">
        <f>'2022-23 Input'!P89</f>
        <v>0</v>
      </c>
      <c r="AJ89" s="665">
        <v>0</v>
      </c>
      <c r="AK89" s="88">
        <f t="shared" si="62"/>
        <v>0</v>
      </c>
      <c r="AL89" s="89">
        <f t="shared" si="63"/>
        <v>0</v>
      </c>
      <c r="AM89" s="90">
        <f t="shared" si="64"/>
        <v>0</v>
      </c>
      <c r="AN89" s="91" t="str">
        <f t="shared" si="65"/>
        <v/>
      </c>
      <c r="AO89" s="92" t="str">
        <f t="shared" si="66"/>
        <v/>
      </c>
      <c r="AP89" s="92" t="str">
        <f t="shared" si="67"/>
        <v/>
      </c>
      <c r="AQ89" s="92" t="str">
        <f t="shared" si="68"/>
        <v/>
      </c>
      <c r="AR89" s="92" t="str">
        <f t="shared" si="69"/>
        <v/>
      </c>
      <c r="AS89" s="92" t="str">
        <f t="shared" si="70"/>
        <v/>
      </c>
      <c r="AT89" s="92" t="str">
        <f t="shared" si="71"/>
        <v/>
      </c>
      <c r="AU89" s="92" t="str">
        <f t="shared" si="72"/>
        <v/>
      </c>
      <c r="AV89" s="92" t="str">
        <f t="shared" si="82"/>
        <v/>
      </c>
      <c r="AW89" s="92" t="str">
        <f t="shared" si="82"/>
        <v/>
      </c>
      <c r="AX89" s="92" t="str">
        <f t="shared" si="82"/>
        <v/>
      </c>
      <c r="AY89" s="93" t="str">
        <f t="shared" si="74"/>
        <v/>
      </c>
      <c r="AZ89" s="94" t="str">
        <f t="shared" si="75"/>
        <v/>
      </c>
      <c r="BA89" s="95" t="str">
        <f t="shared" si="76"/>
        <v/>
      </c>
      <c r="BB89" s="248" t="s">
        <v>422</v>
      </c>
      <c r="BC89" s="229" t="s">
        <v>433</v>
      </c>
      <c r="BD89" s="249">
        <v>0</v>
      </c>
      <c r="BE89" s="267">
        <f t="shared" si="80"/>
        <v>0</v>
      </c>
      <c r="BF89" s="268">
        <f t="shared" si="83"/>
        <v>0</v>
      </c>
      <c r="BG89" s="268">
        <f t="shared" si="83"/>
        <v>0</v>
      </c>
      <c r="BH89" s="268">
        <f t="shared" si="83"/>
        <v>1</v>
      </c>
      <c r="BI89" s="268">
        <f t="shared" si="83"/>
        <v>2</v>
      </c>
      <c r="BJ89" s="268">
        <f t="shared" si="83"/>
        <v>3</v>
      </c>
      <c r="BK89" s="268">
        <f t="shared" si="83"/>
        <v>4</v>
      </c>
      <c r="BL89" s="269">
        <f t="shared" si="83"/>
        <v>5</v>
      </c>
      <c r="BM89" s="256">
        <f>IF($BC89=Lookup!$A$2,$BD89*ROUNDUP(BE89/10,0)+1,
IF($BC89=Lookup!$A$3,($BD89+1)^BD89,
IF($BC89=Lookup!$A$4,BE89*$BD89+1,"Error")))</f>
        <v>1</v>
      </c>
      <c r="BN89" s="229">
        <f>IF($BC89=Lookup!$A$2,$BD89*ROUNDUP(BF89/10,0)+1,
IF($BC89=Lookup!$A$3,($BD89+1)^BE89,
IF($BC89=Lookup!$A$4,BF89*$BD89+1,"Error")))</f>
        <v>1</v>
      </c>
      <c r="BO89" s="229">
        <f>IF($BC89=Lookup!$A$2,$BD89*ROUNDUP(BG89/10,0)+1,
IF($BC89=Lookup!$A$3,($BD89+1)^BF89,
IF($BC89=Lookup!$A$4,BG89*$BD89+1,"Error")))</f>
        <v>1</v>
      </c>
      <c r="BP89" s="229">
        <f>IF($BC89=Lookup!$A$2,$BD89*ROUNDUP(BH89/10,0)+1,
IF($BC89=Lookup!$A$3,($BD89+1)^BG89,
IF($BC89=Lookup!$A$4,BH89*$BD89+1,"Error")))</f>
        <v>1</v>
      </c>
      <c r="BQ89" s="229">
        <f>IF($BC89=Lookup!$A$2,$BD89*ROUNDUP(BI89/10,0)+1,
IF($BC89=Lookup!$A$3,($BD89+1)^BH89,
IF($BC89=Lookup!$A$4,BI89*$BD89+1,"Error")))</f>
        <v>1</v>
      </c>
      <c r="BR89" s="229">
        <f>IF($BC89=Lookup!$A$2,$BD89*ROUNDUP(BJ89/10,0)+1,
IF($BC89=Lookup!$A$3,($BD89+1)^BI89,
IF($BC89=Lookup!$A$4,BJ89*$BD89+1,"Error")))</f>
        <v>1</v>
      </c>
      <c r="BS89" s="229">
        <f>IF($BC89=Lookup!$A$2,$BD89*ROUNDUP(BK89/10,0)+1,
IF($BC89=Lookup!$A$3,($BD89+1)^BJ89,
IF($BC89=Lookup!$A$4,BK89*$BD89+1,"Error")))</f>
        <v>1</v>
      </c>
      <c r="BT89" s="249">
        <f>IF($BC89=Lookup!$A$2,$BD89*ROUNDUP(BL89/10,0)+1,
IF($BC89=Lookup!$A$3,($BD89+1)^BK89,
IF($BC89=Lookup!$A$4,BL89*$BD89+1,"Error")))</f>
        <v>1</v>
      </c>
      <c r="BU89" s="320">
        <v>0</v>
      </c>
      <c r="BV89" s="321">
        <v>0</v>
      </c>
      <c r="BW89" s="321">
        <v>0</v>
      </c>
      <c r="BX89" s="321">
        <v>0</v>
      </c>
      <c r="BY89" s="321">
        <v>0</v>
      </c>
      <c r="BZ89" s="321">
        <v>0</v>
      </c>
      <c r="CA89" s="321">
        <v>0</v>
      </c>
      <c r="CB89" s="277">
        <v>0</v>
      </c>
      <c r="CC89" s="382" t="s">
        <v>293</v>
      </c>
      <c r="CD89" s="383">
        <f>HLOOKUP($CC89,$AK$6:$AM$132,ROWS(CD$6:CD89),0)</f>
        <v>0</v>
      </c>
      <c r="CE89" s="234">
        <f t="shared" si="81"/>
        <v>0</v>
      </c>
      <c r="CF89" s="96">
        <f t="shared" si="81"/>
        <v>0</v>
      </c>
      <c r="CG89" s="521">
        <f t="shared" si="81"/>
        <v>0</v>
      </c>
      <c r="CH89" s="421">
        <f t="shared" si="81"/>
        <v>0</v>
      </c>
      <c r="CI89" s="96">
        <f t="shared" si="50"/>
        <v>0</v>
      </c>
      <c r="CJ89" s="96">
        <f t="shared" si="50"/>
        <v>0</v>
      </c>
      <c r="CK89" s="96">
        <f t="shared" si="50"/>
        <v>0</v>
      </c>
      <c r="CL89" s="286">
        <f t="shared" si="50"/>
        <v>0</v>
      </c>
      <c r="CM89" s="305" t="s">
        <v>293</v>
      </c>
      <c r="CN89" s="315">
        <v>0.05</v>
      </c>
      <c r="CO89" s="306"/>
      <c r="CP89" s="307" t="str">
        <f>IF($CO89&lt;&gt;"",$CO89,HLOOKUP($CM89,$AY$6:$BA$132,ROWS(CP$6:CP89),0))</f>
        <v/>
      </c>
      <c r="CQ89" s="784" t="str">
        <f t="shared" si="78"/>
        <v/>
      </c>
      <c r="CR89" s="784" t="str">
        <f t="shared" si="78"/>
        <v/>
      </c>
      <c r="CS89" s="524" t="str">
        <f t="shared" si="78"/>
        <v/>
      </c>
      <c r="CT89" s="416" t="str">
        <f t="shared" si="78"/>
        <v/>
      </c>
      <c r="CU89" s="97" t="str">
        <f t="shared" si="78"/>
        <v/>
      </c>
      <c r="CV89" s="97" t="str">
        <f t="shared" si="78"/>
        <v/>
      </c>
      <c r="CW89" s="97" t="str">
        <f t="shared" si="78"/>
        <v/>
      </c>
      <c r="CX89" s="98" t="str">
        <f t="shared" si="32"/>
        <v/>
      </c>
      <c r="CY89" s="392"/>
    </row>
    <row r="90" spans="1:103" x14ac:dyDescent="0.25">
      <c r="A90" s="81" t="s">
        <v>138</v>
      </c>
      <c r="B90" s="82" t="s">
        <v>183</v>
      </c>
      <c r="C90" s="83" t="s">
        <v>380</v>
      </c>
      <c r="D90" s="84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654">
        <f>'2022-23 Input'!I90</f>
        <v>0</v>
      </c>
      <c r="N90" s="1065">
        <v>0</v>
      </c>
      <c r="O90" s="560">
        <f t="shared" si="79"/>
        <v>0</v>
      </c>
      <c r="P90" s="561">
        <f t="shared" si="53"/>
        <v>0</v>
      </c>
      <c r="Q90" s="561">
        <f t="shared" si="54"/>
        <v>0</v>
      </c>
      <c r="R90" s="561">
        <f t="shared" si="55"/>
        <v>0</v>
      </c>
      <c r="S90" s="561">
        <f t="shared" si="56"/>
        <v>0</v>
      </c>
      <c r="T90" s="561">
        <f t="shared" si="57"/>
        <v>0</v>
      </c>
      <c r="U90" s="561">
        <f t="shared" si="58"/>
        <v>0</v>
      </c>
      <c r="V90" s="561">
        <f t="shared" si="59"/>
        <v>0</v>
      </c>
      <c r="W90" s="675">
        <f t="shared" si="60"/>
        <v>0</v>
      </c>
      <c r="X90" s="675">
        <f t="shared" si="61"/>
        <v>0</v>
      </c>
      <c r="Y90" s="675">
        <f t="shared" si="61"/>
        <v>0</v>
      </c>
      <c r="Z90" s="86">
        <v>0</v>
      </c>
      <c r="AA90" s="87">
        <v>0</v>
      </c>
      <c r="AB90" s="87">
        <v>0</v>
      </c>
      <c r="AC90" s="87">
        <v>0</v>
      </c>
      <c r="AD90" s="87">
        <v>0</v>
      </c>
      <c r="AE90" s="87">
        <v>0</v>
      </c>
      <c r="AF90" s="87">
        <v>0</v>
      </c>
      <c r="AG90" s="87">
        <v>0</v>
      </c>
      <c r="AH90" s="87">
        <v>0</v>
      </c>
      <c r="AI90" s="1094">
        <f>'2022-23 Input'!P90</f>
        <v>0</v>
      </c>
      <c r="AJ90" s="665">
        <v>0</v>
      </c>
      <c r="AK90" s="88">
        <f t="shared" si="62"/>
        <v>0</v>
      </c>
      <c r="AL90" s="89">
        <f t="shared" si="63"/>
        <v>0</v>
      </c>
      <c r="AM90" s="90">
        <f t="shared" si="64"/>
        <v>0</v>
      </c>
      <c r="AN90" s="91" t="str">
        <f t="shared" si="65"/>
        <v/>
      </c>
      <c r="AO90" s="92" t="str">
        <f t="shared" si="66"/>
        <v/>
      </c>
      <c r="AP90" s="92" t="str">
        <f t="shared" si="67"/>
        <v/>
      </c>
      <c r="AQ90" s="92" t="str">
        <f t="shared" si="68"/>
        <v/>
      </c>
      <c r="AR90" s="92" t="str">
        <f t="shared" si="69"/>
        <v/>
      </c>
      <c r="AS90" s="92" t="str">
        <f t="shared" si="70"/>
        <v/>
      </c>
      <c r="AT90" s="92" t="str">
        <f t="shared" si="71"/>
        <v/>
      </c>
      <c r="AU90" s="92" t="str">
        <f t="shared" si="72"/>
        <v/>
      </c>
      <c r="AV90" s="92" t="str">
        <f t="shared" si="82"/>
        <v/>
      </c>
      <c r="AW90" s="92" t="str">
        <f t="shared" si="82"/>
        <v/>
      </c>
      <c r="AX90" s="92" t="str">
        <f t="shared" si="82"/>
        <v/>
      </c>
      <c r="AY90" s="93" t="str">
        <f t="shared" si="74"/>
        <v/>
      </c>
      <c r="AZ90" s="94" t="str">
        <f t="shared" si="75"/>
        <v/>
      </c>
      <c r="BA90" s="95" t="str">
        <f t="shared" si="76"/>
        <v/>
      </c>
      <c r="BB90" s="248" t="s">
        <v>422</v>
      </c>
      <c r="BC90" s="229" t="s">
        <v>433</v>
      </c>
      <c r="BD90" s="249">
        <v>0</v>
      </c>
      <c r="BE90" s="267">
        <f t="shared" si="80"/>
        <v>0</v>
      </c>
      <c r="BF90" s="268">
        <f t="shared" si="83"/>
        <v>0</v>
      </c>
      <c r="BG90" s="268">
        <f t="shared" si="83"/>
        <v>0</v>
      </c>
      <c r="BH90" s="268">
        <f t="shared" si="83"/>
        <v>1</v>
      </c>
      <c r="BI90" s="268">
        <f t="shared" si="83"/>
        <v>2</v>
      </c>
      <c r="BJ90" s="268">
        <f t="shared" si="83"/>
        <v>3</v>
      </c>
      <c r="BK90" s="268">
        <f t="shared" si="83"/>
        <v>4</v>
      </c>
      <c r="BL90" s="269">
        <f t="shared" si="83"/>
        <v>5</v>
      </c>
      <c r="BM90" s="256">
        <f>IF($BC90=Lookup!$A$2,$BD90*ROUNDUP(BE90/10,0)+1,
IF($BC90=Lookup!$A$3,($BD90+1)^BD90,
IF($BC90=Lookup!$A$4,BE90*$BD90+1,"Error")))</f>
        <v>1</v>
      </c>
      <c r="BN90" s="229">
        <f>IF($BC90=Lookup!$A$2,$BD90*ROUNDUP(BF90/10,0)+1,
IF($BC90=Lookup!$A$3,($BD90+1)^BE90,
IF($BC90=Lookup!$A$4,BF90*$BD90+1,"Error")))</f>
        <v>1</v>
      </c>
      <c r="BO90" s="229">
        <f>IF($BC90=Lookup!$A$2,$BD90*ROUNDUP(BG90/10,0)+1,
IF($BC90=Lookup!$A$3,($BD90+1)^BF90,
IF($BC90=Lookup!$A$4,BG90*$BD90+1,"Error")))</f>
        <v>1</v>
      </c>
      <c r="BP90" s="229">
        <f>IF($BC90=Lookup!$A$2,$BD90*ROUNDUP(BH90/10,0)+1,
IF($BC90=Lookup!$A$3,($BD90+1)^BG90,
IF($BC90=Lookup!$A$4,BH90*$BD90+1,"Error")))</f>
        <v>1</v>
      </c>
      <c r="BQ90" s="229">
        <f>IF($BC90=Lookup!$A$2,$BD90*ROUNDUP(BI90/10,0)+1,
IF($BC90=Lookup!$A$3,($BD90+1)^BH90,
IF($BC90=Lookup!$A$4,BI90*$BD90+1,"Error")))</f>
        <v>1</v>
      </c>
      <c r="BR90" s="229">
        <f>IF($BC90=Lookup!$A$2,$BD90*ROUNDUP(BJ90/10,0)+1,
IF($BC90=Lookup!$A$3,($BD90+1)^BI90,
IF($BC90=Lookup!$A$4,BJ90*$BD90+1,"Error")))</f>
        <v>1</v>
      </c>
      <c r="BS90" s="229">
        <f>IF($BC90=Lookup!$A$2,$BD90*ROUNDUP(BK90/10,0)+1,
IF($BC90=Lookup!$A$3,($BD90+1)^BJ90,
IF($BC90=Lookup!$A$4,BK90*$BD90+1,"Error")))</f>
        <v>1</v>
      </c>
      <c r="BT90" s="249">
        <f>IF($BC90=Lookup!$A$2,$BD90*ROUNDUP(BL90/10,0)+1,
IF($BC90=Lookup!$A$3,($BD90+1)^BK90,
IF($BC90=Lookup!$A$4,BL90*$BD90+1,"Error")))</f>
        <v>1</v>
      </c>
      <c r="BU90" s="320">
        <v>0</v>
      </c>
      <c r="BV90" s="321">
        <v>0</v>
      </c>
      <c r="BW90" s="321">
        <v>0</v>
      </c>
      <c r="BX90" s="321">
        <v>0</v>
      </c>
      <c r="BY90" s="321">
        <v>0</v>
      </c>
      <c r="BZ90" s="321">
        <v>0</v>
      </c>
      <c r="CA90" s="321">
        <v>0</v>
      </c>
      <c r="CB90" s="277">
        <v>0</v>
      </c>
      <c r="CC90" s="382" t="s">
        <v>293</v>
      </c>
      <c r="CD90" s="383">
        <f>HLOOKUP($CC90,$AK$6:$AM$132,ROWS(CD$6:CD90),0)</f>
        <v>0</v>
      </c>
      <c r="CE90" s="234">
        <f t="shared" si="81"/>
        <v>0</v>
      </c>
      <c r="CF90" s="96">
        <f t="shared" si="81"/>
        <v>0</v>
      </c>
      <c r="CG90" s="521">
        <f t="shared" si="81"/>
        <v>0</v>
      </c>
      <c r="CH90" s="421">
        <f t="shared" si="81"/>
        <v>0</v>
      </c>
      <c r="CI90" s="96">
        <f t="shared" si="50"/>
        <v>0</v>
      </c>
      <c r="CJ90" s="96">
        <f t="shared" si="50"/>
        <v>0</v>
      </c>
      <c r="CK90" s="96">
        <f t="shared" si="50"/>
        <v>0</v>
      </c>
      <c r="CL90" s="286">
        <f t="shared" si="50"/>
        <v>0</v>
      </c>
      <c r="CM90" s="305" t="s">
        <v>293</v>
      </c>
      <c r="CN90" s="315">
        <v>0.05</v>
      </c>
      <c r="CO90" s="306"/>
      <c r="CP90" s="307" t="str">
        <f>IF($CO90&lt;&gt;"",$CO90,HLOOKUP($CM90,$AY$6:$BA$132,ROWS(CP$6:CP90),0))</f>
        <v/>
      </c>
      <c r="CQ90" s="784" t="str">
        <f t="shared" si="78"/>
        <v/>
      </c>
      <c r="CR90" s="784" t="str">
        <f t="shared" si="78"/>
        <v/>
      </c>
      <c r="CS90" s="524" t="str">
        <f t="shared" si="78"/>
        <v/>
      </c>
      <c r="CT90" s="416" t="str">
        <f t="shared" si="78"/>
        <v/>
      </c>
      <c r="CU90" s="97" t="str">
        <f t="shared" si="78"/>
        <v/>
      </c>
      <c r="CV90" s="97" t="str">
        <f t="shared" si="78"/>
        <v/>
      </c>
      <c r="CW90" s="97" t="str">
        <f t="shared" si="78"/>
        <v/>
      </c>
      <c r="CX90" s="98" t="str">
        <f t="shared" si="32"/>
        <v/>
      </c>
      <c r="CY90" s="392"/>
    </row>
    <row r="91" spans="1:103" x14ac:dyDescent="0.25">
      <c r="A91" s="81" t="s">
        <v>138</v>
      </c>
      <c r="B91" s="82" t="s">
        <v>185</v>
      </c>
      <c r="C91" s="83" t="s">
        <v>381</v>
      </c>
      <c r="D91" s="84">
        <v>0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654">
        <f>'2022-23 Input'!I91</f>
        <v>0</v>
      </c>
      <c r="N91" s="1065">
        <v>0</v>
      </c>
      <c r="O91" s="560">
        <f t="shared" si="79"/>
        <v>0</v>
      </c>
      <c r="P91" s="561">
        <f t="shared" si="53"/>
        <v>0</v>
      </c>
      <c r="Q91" s="561">
        <f t="shared" si="54"/>
        <v>0</v>
      </c>
      <c r="R91" s="561">
        <f t="shared" si="55"/>
        <v>0</v>
      </c>
      <c r="S91" s="561">
        <f t="shared" si="56"/>
        <v>0</v>
      </c>
      <c r="T91" s="561">
        <f t="shared" si="57"/>
        <v>0</v>
      </c>
      <c r="U91" s="561">
        <f t="shared" si="58"/>
        <v>0</v>
      </c>
      <c r="V91" s="561">
        <f t="shared" si="59"/>
        <v>0</v>
      </c>
      <c r="W91" s="675">
        <f t="shared" si="60"/>
        <v>0</v>
      </c>
      <c r="X91" s="675">
        <f t="shared" si="61"/>
        <v>0</v>
      </c>
      <c r="Y91" s="675">
        <f t="shared" si="61"/>
        <v>0</v>
      </c>
      <c r="Z91" s="86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87">
        <v>0</v>
      </c>
      <c r="AI91" s="1094">
        <f>'2022-23 Input'!P91</f>
        <v>0</v>
      </c>
      <c r="AJ91" s="665">
        <v>0</v>
      </c>
      <c r="AK91" s="88">
        <f t="shared" si="62"/>
        <v>0</v>
      </c>
      <c r="AL91" s="89">
        <f t="shared" si="63"/>
        <v>0</v>
      </c>
      <c r="AM91" s="90">
        <f t="shared" si="64"/>
        <v>0</v>
      </c>
      <c r="AN91" s="91" t="str">
        <f t="shared" si="65"/>
        <v/>
      </c>
      <c r="AO91" s="92" t="str">
        <f t="shared" si="66"/>
        <v/>
      </c>
      <c r="AP91" s="92" t="str">
        <f t="shared" si="67"/>
        <v/>
      </c>
      <c r="AQ91" s="92" t="str">
        <f t="shared" si="68"/>
        <v/>
      </c>
      <c r="AR91" s="92" t="str">
        <f t="shared" si="69"/>
        <v/>
      </c>
      <c r="AS91" s="92" t="str">
        <f t="shared" si="70"/>
        <v/>
      </c>
      <c r="AT91" s="92" t="str">
        <f t="shared" si="71"/>
        <v/>
      </c>
      <c r="AU91" s="92" t="str">
        <f t="shared" si="72"/>
        <v/>
      </c>
      <c r="AV91" s="92" t="str">
        <f t="shared" si="82"/>
        <v/>
      </c>
      <c r="AW91" s="92" t="str">
        <f t="shared" si="82"/>
        <v/>
      </c>
      <c r="AX91" s="92" t="str">
        <f t="shared" si="82"/>
        <v/>
      </c>
      <c r="AY91" s="93" t="str">
        <f t="shared" si="74"/>
        <v/>
      </c>
      <c r="AZ91" s="94" t="str">
        <f t="shared" si="75"/>
        <v/>
      </c>
      <c r="BA91" s="95" t="str">
        <f t="shared" si="76"/>
        <v/>
      </c>
      <c r="BB91" s="248" t="s">
        <v>422</v>
      </c>
      <c r="BC91" s="229" t="s">
        <v>433</v>
      </c>
      <c r="BD91" s="249">
        <v>0</v>
      </c>
      <c r="BE91" s="267">
        <f t="shared" si="80"/>
        <v>0</v>
      </c>
      <c r="BF91" s="268">
        <f t="shared" si="83"/>
        <v>0</v>
      </c>
      <c r="BG91" s="268">
        <f t="shared" si="83"/>
        <v>0</v>
      </c>
      <c r="BH91" s="268">
        <f t="shared" si="83"/>
        <v>1</v>
      </c>
      <c r="BI91" s="268">
        <f t="shared" si="83"/>
        <v>2</v>
      </c>
      <c r="BJ91" s="268">
        <f t="shared" si="83"/>
        <v>3</v>
      </c>
      <c r="BK91" s="268">
        <f t="shared" si="83"/>
        <v>4</v>
      </c>
      <c r="BL91" s="269">
        <f t="shared" si="83"/>
        <v>5</v>
      </c>
      <c r="BM91" s="256">
        <f>IF($BC91=Lookup!$A$2,$BD91*ROUNDUP(BE91/10,0)+1,
IF($BC91=Lookup!$A$3,($BD91+1)^BD91,
IF($BC91=Lookup!$A$4,BE91*$BD91+1,"Error")))</f>
        <v>1</v>
      </c>
      <c r="BN91" s="229">
        <f>IF($BC91=Lookup!$A$2,$BD91*ROUNDUP(BF91/10,0)+1,
IF($BC91=Lookup!$A$3,($BD91+1)^BE91,
IF($BC91=Lookup!$A$4,BF91*$BD91+1,"Error")))</f>
        <v>1</v>
      </c>
      <c r="BO91" s="229">
        <f>IF($BC91=Lookup!$A$2,$BD91*ROUNDUP(BG91/10,0)+1,
IF($BC91=Lookup!$A$3,($BD91+1)^BF91,
IF($BC91=Lookup!$A$4,BG91*$BD91+1,"Error")))</f>
        <v>1</v>
      </c>
      <c r="BP91" s="229">
        <f>IF($BC91=Lookup!$A$2,$BD91*ROUNDUP(BH91/10,0)+1,
IF($BC91=Lookup!$A$3,($BD91+1)^BG91,
IF($BC91=Lookup!$A$4,BH91*$BD91+1,"Error")))</f>
        <v>1</v>
      </c>
      <c r="BQ91" s="229">
        <f>IF($BC91=Lookup!$A$2,$BD91*ROUNDUP(BI91/10,0)+1,
IF($BC91=Lookup!$A$3,($BD91+1)^BH91,
IF($BC91=Lookup!$A$4,BI91*$BD91+1,"Error")))</f>
        <v>1</v>
      </c>
      <c r="BR91" s="229">
        <f>IF($BC91=Lookup!$A$2,$BD91*ROUNDUP(BJ91/10,0)+1,
IF($BC91=Lookup!$A$3,($BD91+1)^BI91,
IF($BC91=Lookup!$A$4,BJ91*$BD91+1,"Error")))</f>
        <v>1</v>
      </c>
      <c r="BS91" s="229">
        <f>IF($BC91=Lookup!$A$2,$BD91*ROUNDUP(BK91/10,0)+1,
IF($BC91=Lookup!$A$3,($BD91+1)^BJ91,
IF($BC91=Lookup!$A$4,BK91*$BD91+1,"Error")))</f>
        <v>1</v>
      </c>
      <c r="BT91" s="249">
        <f>IF($BC91=Lookup!$A$2,$BD91*ROUNDUP(BL91/10,0)+1,
IF($BC91=Lookup!$A$3,($BD91+1)^BK91,
IF($BC91=Lookup!$A$4,BL91*$BD91+1,"Error")))</f>
        <v>1</v>
      </c>
      <c r="BU91" s="320">
        <v>0</v>
      </c>
      <c r="BV91" s="321">
        <v>0</v>
      </c>
      <c r="BW91" s="321">
        <v>0</v>
      </c>
      <c r="BX91" s="321">
        <v>0</v>
      </c>
      <c r="BY91" s="321">
        <v>0</v>
      </c>
      <c r="BZ91" s="321">
        <v>0</v>
      </c>
      <c r="CA91" s="321">
        <v>0</v>
      </c>
      <c r="CB91" s="277">
        <v>0</v>
      </c>
      <c r="CC91" s="382" t="s">
        <v>293</v>
      </c>
      <c r="CD91" s="383">
        <f>HLOOKUP($CC91,$AK$6:$AM$132,ROWS(CD$6:CD91),0)</f>
        <v>0</v>
      </c>
      <c r="CE91" s="234">
        <f t="shared" si="81"/>
        <v>0</v>
      </c>
      <c r="CF91" s="96">
        <f t="shared" si="81"/>
        <v>0</v>
      </c>
      <c r="CG91" s="521">
        <f t="shared" si="81"/>
        <v>0</v>
      </c>
      <c r="CH91" s="421">
        <f t="shared" si="81"/>
        <v>0</v>
      </c>
      <c r="CI91" s="96">
        <f t="shared" si="50"/>
        <v>0</v>
      </c>
      <c r="CJ91" s="96">
        <f t="shared" si="50"/>
        <v>0</v>
      </c>
      <c r="CK91" s="96">
        <f t="shared" si="50"/>
        <v>0</v>
      </c>
      <c r="CL91" s="286">
        <f t="shared" si="50"/>
        <v>0</v>
      </c>
      <c r="CM91" s="305" t="s">
        <v>293</v>
      </c>
      <c r="CN91" s="315">
        <v>0.05</v>
      </c>
      <c r="CO91" s="306"/>
      <c r="CP91" s="307" t="str">
        <f>IF($CO91&lt;&gt;"",$CO91,HLOOKUP($CM91,$AY$6:$BA$132,ROWS(CP$6:CP91),0))</f>
        <v/>
      </c>
      <c r="CQ91" s="784" t="str">
        <f t="shared" si="78"/>
        <v/>
      </c>
      <c r="CR91" s="784" t="str">
        <f t="shared" si="78"/>
        <v/>
      </c>
      <c r="CS91" s="524" t="str">
        <f t="shared" si="78"/>
        <v/>
      </c>
      <c r="CT91" s="416" t="str">
        <f t="shared" si="78"/>
        <v/>
      </c>
      <c r="CU91" s="97" t="str">
        <f t="shared" si="78"/>
        <v/>
      </c>
      <c r="CV91" s="97" t="str">
        <f t="shared" si="78"/>
        <v/>
      </c>
      <c r="CW91" s="97" t="str">
        <f t="shared" si="78"/>
        <v/>
      </c>
      <c r="CX91" s="98" t="str">
        <f t="shared" si="32"/>
        <v/>
      </c>
      <c r="CY91" s="392"/>
    </row>
    <row r="92" spans="1:103" x14ac:dyDescent="0.25">
      <c r="A92" s="81" t="s">
        <v>138</v>
      </c>
      <c r="B92" s="82" t="s">
        <v>187</v>
      </c>
      <c r="C92" s="83" t="s">
        <v>382</v>
      </c>
      <c r="D92" s="84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654">
        <f>'2022-23 Input'!I92</f>
        <v>0</v>
      </c>
      <c r="N92" s="1065">
        <v>0</v>
      </c>
      <c r="O92" s="560">
        <f t="shared" si="79"/>
        <v>0</v>
      </c>
      <c r="P92" s="561">
        <f t="shared" si="53"/>
        <v>0</v>
      </c>
      <c r="Q92" s="561">
        <f t="shared" si="54"/>
        <v>0</v>
      </c>
      <c r="R92" s="561">
        <f t="shared" si="55"/>
        <v>0</v>
      </c>
      <c r="S92" s="561">
        <f t="shared" si="56"/>
        <v>0</v>
      </c>
      <c r="T92" s="561">
        <f t="shared" si="57"/>
        <v>0</v>
      </c>
      <c r="U92" s="561">
        <f t="shared" si="58"/>
        <v>0</v>
      </c>
      <c r="V92" s="561">
        <f t="shared" si="59"/>
        <v>0</v>
      </c>
      <c r="W92" s="675">
        <f t="shared" si="60"/>
        <v>0</v>
      </c>
      <c r="X92" s="675">
        <f t="shared" si="61"/>
        <v>0</v>
      </c>
      <c r="Y92" s="675">
        <f t="shared" si="61"/>
        <v>0</v>
      </c>
      <c r="Z92" s="86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1094">
        <f>'2022-23 Input'!P92</f>
        <v>0</v>
      </c>
      <c r="AJ92" s="665">
        <v>0</v>
      </c>
      <c r="AK92" s="88">
        <f t="shared" si="62"/>
        <v>0</v>
      </c>
      <c r="AL92" s="89">
        <f t="shared" si="63"/>
        <v>0</v>
      </c>
      <c r="AM92" s="90">
        <f t="shared" si="64"/>
        <v>0</v>
      </c>
      <c r="AN92" s="91" t="str">
        <f t="shared" si="65"/>
        <v/>
      </c>
      <c r="AO92" s="92" t="str">
        <f t="shared" si="66"/>
        <v/>
      </c>
      <c r="AP92" s="92" t="str">
        <f t="shared" si="67"/>
        <v/>
      </c>
      <c r="AQ92" s="92" t="str">
        <f t="shared" si="68"/>
        <v/>
      </c>
      <c r="AR92" s="92" t="str">
        <f t="shared" si="69"/>
        <v/>
      </c>
      <c r="AS92" s="92" t="str">
        <f t="shared" si="70"/>
        <v/>
      </c>
      <c r="AT92" s="92" t="str">
        <f t="shared" si="71"/>
        <v/>
      </c>
      <c r="AU92" s="92" t="str">
        <f t="shared" si="72"/>
        <v/>
      </c>
      <c r="AV92" s="92" t="str">
        <f t="shared" si="82"/>
        <v/>
      </c>
      <c r="AW92" s="92" t="str">
        <f t="shared" si="82"/>
        <v/>
      </c>
      <c r="AX92" s="92" t="str">
        <f t="shared" si="82"/>
        <v/>
      </c>
      <c r="AY92" s="93" t="str">
        <f t="shared" si="74"/>
        <v/>
      </c>
      <c r="AZ92" s="94" t="str">
        <f t="shared" si="75"/>
        <v/>
      </c>
      <c r="BA92" s="95" t="str">
        <f t="shared" si="76"/>
        <v/>
      </c>
      <c r="BB92" s="248" t="s">
        <v>422</v>
      </c>
      <c r="BC92" s="229" t="s">
        <v>433</v>
      </c>
      <c r="BD92" s="249">
        <v>0</v>
      </c>
      <c r="BE92" s="267">
        <f t="shared" si="80"/>
        <v>0</v>
      </c>
      <c r="BF92" s="268">
        <f t="shared" si="83"/>
        <v>0</v>
      </c>
      <c r="BG92" s="268">
        <f t="shared" si="83"/>
        <v>0</v>
      </c>
      <c r="BH92" s="268">
        <f t="shared" si="83"/>
        <v>1</v>
      </c>
      <c r="BI92" s="268">
        <f t="shared" si="83"/>
        <v>2</v>
      </c>
      <c r="BJ92" s="268">
        <f t="shared" si="83"/>
        <v>3</v>
      </c>
      <c r="BK92" s="268">
        <f t="shared" si="83"/>
        <v>4</v>
      </c>
      <c r="BL92" s="269">
        <f t="shared" si="83"/>
        <v>5</v>
      </c>
      <c r="BM92" s="256">
        <f>IF($BC92=Lookup!$A$2,$BD92*ROUNDUP(BE92/10,0)+1,
IF($BC92=Lookup!$A$3,($BD92+1)^BD92,
IF($BC92=Lookup!$A$4,BE92*$BD92+1,"Error")))</f>
        <v>1</v>
      </c>
      <c r="BN92" s="229">
        <f>IF($BC92=Lookup!$A$2,$BD92*ROUNDUP(BF92/10,0)+1,
IF($BC92=Lookup!$A$3,($BD92+1)^BE92,
IF($BC92=Lookup!$A$4,BF92*$BD92+1,"Error")))</f>
        <v>1</v>
      </c>
      <c r="BO92" s="229">
        <f>IF($BC92=Lookup!$A$2,$BD92*ROUNDUP(BG92/10,0)+1,
IF($BC92=Lookup!$A$3,($BD92+1)^BF92,
IF($BC92=Lookup!$A$4,BG92*$BD92+1,"Error")))</f>
        <v>1</v>
      </c>
      <c r="BP92" s="229">
        <f>IF($BC92=Lookup!$A$2,$BD92*ROUNDUP(BH92/10,0)+1,
IF($BC92=Lookup!$A$3,($BD92+1)^BG92,
IF($BC92=Lookup!$A$4,BH92*$BD92+1,"Error")))</f>
        <v>1</v>
      </c>
      <c r="BQ92" s="229">
        <f>IF($BC92=Lookup!$A$2,$BD92*ROUNDUP(BI92/10,0)+1,
IF($BC92=Lookup!$A$3,($BD92+1)^BH92,
IF($BC92=Lookup!$A$4,BI92*$BD92+1,"Error")))</f>
        <v>1</v>
      </c>
      <c r="BR92" s="229">
        <f>IF($BC92=Lookup!$A$2,$BD92*ROUNDUP(BJ92/10,0)+1,
IF($BC92=Lookup!$A$3,($BD92+1)^BI92,
IF($BC92=Lookup!$A$4,BJ92*$BD92+1,"Error")))</f>
        <v>1</v>
      </c>
      <c r="BS92" s="229">
        <f>IF($BC92=Lookup!$A$2,$BD92*ROUNDUP(BK92/10,0)+1,
IF($BC92=Lookup!$A$3,($BD92+1)^BJ92,
IF($BC92=Lookup!$A$4,BK92*$BD92+1,"Error")))</f>
        <v>1</v>
      </c>
      <c r="BT92" s="249">
        <f>IF($BC92=Lookup!$A$2,$BD92*ROUNDUP(BL92/10,0)+1,
IF($BC92=Lookup!$A$3,($BD92+1)^BK92,
IF($BC92=Lookup!$A$4,BL92*$BD92+1,"Error")))</f>
        <v>1</v>
      </c>
      <c r="BU92" s="320">
        <v>0</v>
      </c>
      <c r="BV92" s="321">
        <v>0</v>
      </c>
      <c r="BW92" s="321">
        <v>0</v>
      </c>
      <c r="BX92" s="321">
        <v>0</v>
      </c>
      <c r="BY92" s="321">
        <v>0</v>
      </c>
      <c r="BZ92" s="321">
        <v>0</v>
      </c>
      <c r="CA92" s="321">
        <v>0</v>
      </c>
      <c r="CB92" s="277">
        <v>0</v>
      </c>
      <c r="CC92" s="382" t="s">
        <v>293</v>
      </c>
      <c r="CD92" s="383">
        <f>HLOOKUP($CC92,$AK$6:$AM$132,ROWS(CD$6:CD92),0)</f>
        <v>0</v>
      </c>
      <c r="CE92" s="234">
        <f t="shared" si="81"/>
        <v>0</v>
      </c>
      <c r="CF92" s="96">
        <f t="shared" si="81"/>
        <v>0</v>
      </c>
      <c r="CG92" s="521">
        <f t="shared" si="81"/>
        <v>0</v>
      </c>
      <c r="CH92" s="421">
        <f t="shared" si="81"/>
        <v>0</v>
      </c>
      <c r="CI92" s="96">
        <f t="shared" si="50"/>
        <v>0</v>
      </c>
      <c r="CJ92" s="96">
        <f t="shared" si="50"/>
        <v>0</v>
      </c>
      <c r="CK92" s="96">
        <f t="shared" si="50"/>
        <v>0</v>
      </c>
      <c r="CL92" s="286">
        <f t="shared" si="50"/>
        <v>0</v>
      </c>
      <c r="CM92" s="305" t="s">
        <v>293</v>
      </c>
      <c r="CN92" s="315">
        <v>0.05</v>
      </c>
      <c r="CO92" s="306"/>
      <c r="CP92" s="307" t="str">
        <f>IF($CO92&lt;&gt;"",$CO92,HLOOKUP($CM92,$AY$6:$BA$132,ROWS(CP$6:CP92),0))</f>
        <v/>
      </c>
      <c r="CQ92" s="784" t="str">
        <f t="shared" si="78"/>
        <v/>
      </c>
      <c r="CR92" s="784" t="str">
        <f t="shared" si="78"/>
        <v/>
      </c>
      <c r="CS92" s="524" t="str">
        <f t="shared" si="78"/>
        <v/>
      </c>
      <c r="CT92" s="416" t="str">
        <f t="shared" si="78"/>
        <v/>
      </c>
      <c r="CU92" s="97" t="str">
        <f t="shared" si="78"/>
        <v/>
      </c>
      <c r="CV92" s="97" t="str">
        <f t="shared" si="78"/>
        <v/>
      </c>
      <c r="CW92" s="97" t="str">
        <f t="shared" si="78"/>
        <v/>
      </c>
      <c r="CX92" s="98" t="str">
        <f t="shared" si="32"/>
        <v/>
      </c>
      <c r="CY92" s="392"/>
    </row>
    <row r="93" spans="1:103" x14ac:dyDescent="0.25">
      <c r="A93" s="81" t="s">
        <v>138</v>
      </c>
      <c r="B93" s="82" t="s">
        <v>189</v>
      </c>
      <c r="C93" s="83" t="s">
        <v>383</v>
      </c>
      <c r="D93" s="84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654">
        <f>'2022-23 Input'!I93</f>
        <v>0</v>
      </c>
      <c r="N93" s="1065">
        <v>0</v>
      </c>
      <c r="O93" s="560">
        <f t="shared" si="79"/>
        <v>0</v>
      </c>
      <c r="P93" s="561">
        <f t="shared" si="53"/>
        <v>0</v>
      </c>
      <c r="Q93" s="561">
        <f t="shared" si="54"/>
        <v>0</v>
      </c>
      <c r="R93" s="561">
        <f t="shared" si="55"/>
        <v>0</v>
      </c>
      <c r="S93" s="561">
        <f t="shared" si="56"/>
        <v>0</v>
      </c>
      <c r="T93" s="561">
        <f t="shared" si="57"/>
        <v>0</v>
      </c>
      <c r="U93" s="561">
        <f t="shared" si="58"/>
        <v>0</v>
      </c>
      <c r="V93" s="561">
        <f t="shared" si="59"/>
        <v>0</v>
      </c>
      <c r="W93" s="675">
        <f t="shared" si="60"/>
        <v>0</v>
      </c>
      <c r="X93" s="675">
        <f t="shared" si="61"/>
        <v>0</v>
      </c>
      <c r="Y93" s="675">
        <f t="shared" si="61"/>
        <v>0</v>
      </c>
      <c r="Z93" s="86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87">
        <v>0</v>
      </c>
      <c r="AI93" s="1094">
        <f>'2022-23 Input'!P93</f>
        <v>0</v>
      </c>
      <c r="AJ93" s="665">
        <v>0</v>
      </c>
      <c r="AK93" s="88">
        <f t="shared" si="62"/>
        <v>0</v>
      </c>
      <c r="AL93" s="89">
        <f t="shared" si="63"/>
        <v>0</v>
      </c>
      <c r="AM93" s="90">
        <f t="shared" si="64"/>
        <v>0</v>
      </c>
      <c r="AN93" s="91" t="str">
        <f t="shared" si="65"/>
        <v/>
      </c>
      <c r="AO93" s="92" t="str">
        <f t="shared" si="66"/>
        <v/>
      </c>
      <c r="AP93" s="92" t="str">
        <f t="shared" si="67"/>
        <v/>
      </c>
      <c r="AQ93" s="92" t="str">
        <f t="shared" si="68"/>
        <v/>
      </c>
      <c r="AR93" s="92" t="str">
        <f t="shared" si="69"/>
        <v/>
      </c>
      <c r="AS93" s="92" t="str">
        <f t="shared" si="70"/>
        <v/>
      </c>
      <c r="AT93" s="92" t="str">
        <f t="shared" si="71"/>
        <v/>
      </c>
      <c r="AU93" s="92" t="str">
        <f t="shared" si="72"/>
        <v/>
      </c>
      <c r="AV93" s="92" t="str">
        <f t="shared" si="82"/>
        <v/>
      </c>
      <c r="AW93" s="92" t="str">
        <f t="shared" si="82"/>
        <v/>
      </c>
      <c r="AX93" s="92" t="str">
        <f t="shared" si="82"/>
        <v/>
      </c>
      <c r="AY93" s="93" t="str">
        <f t="shared" si="74"/>
        <v/>
      </c>
      <c r="AZ93" s="94" t="str">
        <f t="shared" si="75"/>
        <v/>
      </c>
      <c r="BA93" s="95" t="str">
        <f t="shared" si="76"/>
        <v/>
      </c>
      <c r="BB93" s="248" t="s">
        <v>422</v>
      </c>
      <c r="BC93" s="229" t="s">
        <v>433</v>
      </c>
      <c r="BD93" s="249">
        <v>0</v>
      </c>
      <c r="BE93" s="267">
        <f t="shared" si="80"/>
        <v>0</v>
      </c>
      <c r="BF93" s="268">
        <f t="shared" si="83"/>
        <v>0</v>
      </c>
      <c r="BG93" s="268">
        <f t="shared" si="83"/>
        <v>0</v>
      </c>
      <c r="BH93" s="268">
        <f t="shared" si="83"/>
        <v>1</v>
      </c>
      <c r="BI93" s="268">
        <f t="shared" si="83"/>
        <v>2</v>
      </c>
      <c r="BJ93" s="268">
        <f t="shared" si="83"/>
        <v>3</v>
      </c>
      <c r="BK93" s="268">
        <f t="shared" si="83"/>
        <v>4</v>
      </c>
      <c r="BL93" s="269">
        <f t="shared" si="83"/>
        <v>5</v>
      </c>
      <c r="BM93" s="256">
        <f>IF($BC93=Lookup!$A$2,$BD93*ROUNDUP(BE93/10,0)+1,
IF($BC93=Lookup!$A$3,($BD93+1)^BD93,
IF($BC93=Lookup!$A$4,BE93*$BD93+1,"Error")))</f>
        <v>1</v>
      </c>
      <c r="BN93" s="229">
        <f>IF($BC93=Lookup!$A$2,$BD93*ROUNDUP(BF93/10,0)+1,
IF($BC93=Lookup!$A$3,($BD93+1)^BE93,
IF($BC93=Lookup!$A$4,BF93*$BD93+1,"Error")))</f>
        <v>1</v>
      </c>
      <c r="BO93" s="229">
        <f>IF($BC93=Lookup!$A$2,$BD93*ROUNDUP(BG93/10,0)+1,
IF($BC93=Lookup!$A$3,($BD93+1)^BF93,
IF($BC93=Lookup!$A$4,BG93*$BD93+1,"Error")))</f>
        <v>1</v>
      </c>
      <c r="BP93" s="229">
        <f>IF($BC93=Lookup!$A$2,$BD93*ROUNDUP(BH93/10,0)+1,
IF($BC93=Lookup!$A$3,($BD93+1)^BG93,
IF($BC93=Lookup!$A$4,BH93*$BD93+1,"Error")))</f>
        <v>1</v>
      </c>
      <c r="BQ93" s="229">
        <f>IF($BC93=Lookup!$A$2,$BD93*ROUNDUP(BI93/10,0)+1,
IF($BC93=Lookup!$A$3,($BD93+1)^BH93,
IF($BC93=Lookup!$A$4,BI93*$BD93+1,"Error")))</f>
        <v>1</v>
      </c>
      <c r="BR93" s="229">
        <f>IF($BC93=Lookup!$A$2,$BD93*ROUNDUP(BJ93/10,0)+1,
IF($BC93=Lookup!$A$3,($BD93+1)^BI93,
IF($BC93=Lookup!$A$4,BJ93*$BD93+1,"Error")))</f>
        <v>1</v>
      </c>
      <c r="BS93" s="229">
        <f>IF($BC93=Lookup!$A$2,$BD93*ROUNDUP(BK93/10,0)+1,
IF($BC93=Lookup!$A$3,($BD93+1)^BJ93,
IF($BC93=Lookup!$A$4,BK93*$BD93+1,"Error")))</f>
        <v>1</v>
      </c>
      <c r="BT93" s="249">
        <f>IF($BC93=Lookup!$A$2,$BD93*ROUNDUP(BL93/10,0)+1,
IF($BC93=Lookup!$A$3,($BD93+1)^BK93,
IF($BC93=Lookup!$A$4,BL93*$BD93+1,"Error")))</f>
        <v>1</v>
      </c>
      <c r="BU93" s="320">
        <v>0</v>
      </c>
      <c r="BV93" s="321">
        <v>0</v>
      </c>
      <c r="BW93" s="321">
        <v>0</v>
      </c>
      <c r="BX93" s="321">
        <v>0</v>
      </c>
      <c r="BY93" s="321">
        <v>0</v>
      </c>
      <c r="BZ93" s="321">
        <v>0</v>
      </c>
      <c r="CA93" s="321">
        <v>0</v>
      </c>
      <c r="CB93" s="277">
        <v>0</v>
      </c>
      <c r="CC93" s="382" t="s">
        <v>293</v>
      </c>
      <c r="CD93" s="383">
        <f>HLOOKUP($CC93,$AK$6:$AM$132,ROWS(CD$6:CD93),0)</f>
        <v>0</v>
      </c>
      <c r="CE93" s="234">
        <f t="shared" si="81"/>
        <v>0</v>
      </c>
      <c r="CF93" s="96">
        <f t="shared" si="81"/>
        <v>0</v>
      </c>
      <c r="CG93" s="521">
        <f t="shared" si="81"/>
        <v>0</v>
      </c>
      <c r="CH93" s="421">
        <f t="shared" si="81"/>
        <v>0</v>
      </c>
      <c r="CI93" s="96">
        <f t="shared" si="50"/>
        <v>0</v>
      </c>
      <c r="CJ93" s="96">
        <f t="shared" si="50"/>
        <v>0</v>
      </c>
      <c r="CK93" s="96">
        <f t="shared" si="50"/>
        <v>0</v>
      </c>
      <c r="CL93" s="286">
        <f t="shared" si="50"/>
        <v>0</v>
      </c>
      <c r="CM93" s="305" t="s">
        <v>293</v>
      </c>
      <c r="CN93" s="315">
        <v>0.05</v>
      </c>
      <c r="CO93" s="306"/>
      <c r="CP93" s="307" t="str">
        <f>IF($CO93&lt;&gt;"",$CO93,HLOOKUP($CM93,$AY$6:$BA$132,ROWS(CP$6:CP93),0))</f>
        <v/>
      </c>
      <c r="CQ93" s="784" t="str">
        <f t="shared" si="78"/>
        <v/>
      </c>
      <c r="CR93" s="784" t="str">
        <f t="shared" si="78"/>
        <v/>
      </c>
      <c r="CS93" s="524" t="str">
        <f t="shared" si="78"/>
        <v/>
      </c>
      <c r="CT93" s="416" t="str">
        <f t="shared" si="78"/>
        <v/>
      </c>
      <c r="CU93" s="97" t="str">
        <f t="shared" si="78"/>
        <v/>
      </c>
      <c r="CV93" s="97" t="str">
        <f t="shared" si="78"/>
        <v/>
      </c>
      <c r="CW93" s="97" t="str">
        <f t="shared" si="78"/>
        <v/>
      </c>
      <c r="CX93" s="98" t="str">
        <f t="shared" si="32"/>
        <v/>
      </c>
      <c r="CY93" s="392"/>
    </row>
    <row r="94" spans="1:103" x14ac:dyDescent="0.25">
      <c r="A94" s="81" t="s">
        <v>138</v>
      </c>
      <c r="B94" s="82" t="s">
        <v>191</v>
      </c>
      <c r="C94" s="83" t="s">
        <v>384</v>
      </c>
      <c r="D94" s="84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654">
        <f>'2022-23 Input'!I94</f>
        <v>0</v>
      </c>
      <c r="N94" s="1065">
        <v>0</v>
      </c>
      <c r="O94" s="560">
        <f t="shared" si="79"/>
        <v>0</v>
      </c>
      <c r="P94" s="561">
        <f t="shared" si="53"/>
        <v>0</v>
      </c>
      <c r="Q94" s="561">
        <f t="shared" si="54"/>
        <v>0</v>
      </c>
      <c r="R94" s="561">
        <f t="shared" si="55"/>
        <v>0</v>
      </c>
      <c r="S94" s="561">
        <f t="shared" si="56"/>
        <v>0</v>
      </c>
      <c r="T94" s="561">
        <f t="shared" si="57"/>
        <v>0</v>
      </c>
      <c r="U94" s="561">
        <f t="shared" si="58"/>
        <v>0</v>
      </c>
      <c r="V94" s="561">
        <f t="shared" si="59"/>
        <v>0</v>
      </c>
      <c r="W94" s="675">
        <f t="shared" si="60"/>
        <v>0</v>
      </c>
      <c r="X94" s="675">
        <f t="shared" si="61"/>
        <v>0</v>
      </c>
      <c r="Y94" s="675">
        <f t="shared" si="61"/>
        <v>0</v>
      </c>
      <c r="Z94" s="86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87">
        <v>0</v>
      </c>
      <c r="AI94" s="1094">
        <f>'2022-23 Input'!P94</f>
        <v>0</v>
      </c>
      <c r="AJ94" s="665">
        <v>0</v>
      </c>
      <c r="AK94" s="88">
        <f t="shared" si="62"/>
        <v>0</v>
      </c>
      <c r="AL94" s="89">
        <f t="shared" si="63"/>
        <v>0</v>
      </c>
      <c r="AM94" s="90">
        <f t="shared" si="64"/>
        <v>0</v>
      </c>
      <c r="AN94" s="91" t="str">
        <f t="shared" si="65"/>
        <v/>
      </c>
      <c r="AO94" s="92" t="str">
        <f t="shared" si="66"/>
        <v/>
      </c>
      <c r="AP94" s="92" t="str">
        <f t="shared" si="67"/>
        <v/>
      </c>
      <c r="AQ94" s="92" t="str">
        <f t="shared" si="68"/>
        <v/>
      </c>
      <c r="AR94" s="92" t="str">
        <f t="shared" si="69"/>
        <v/>
      </c>
      <c r="AS94" s="92" t="str">
        <f t="shared" si="70"/>
        <v/>
      </c>
      <c r="AT94" s="92" t="str">
        <f t="shared" si="71"/>
        <v/>
      </c>
      <c r="AU94" s="92" t="str">
        <f t="shared" si="72"/>
        <v/>
      </c>
      <c r="AV94" s="92" t="str">
        <f t="shared" si="82"/>
        <v/>
      </c>
      <c r="AW94" s="92" t="str">
        <f t="shared" si="82"/>
        <v/>
      </c>
      <c r="AX94" s="92" t="str">
        <f t="shared" si="82"/>
        <v/>
      </c>
      <c r="AY94" s="93" t="str">
        <f t="shared" si="74"/>
        <v/>
      </c>
      <c r="AZ94" s="94" t="str">
        <f t="shared" si="75"/>
        <v/>
      </c>
      <c r="BA94" s="95" t="str">
        <f t="shared" si="76"/>
        <v/>
      </c>
      <c r="BB94" s="248" t="s">
        <v>422</v>
      </c>
      <c r="BC94" s="229" t="s">
        <v>433</v>
      </c>
      <c r="BD94" s="249">
        <v>0</v>
      </c>
      <c r="BE94" s="267">
        <f t="shared" si="80"/>
        <v>0</v>
      </c>
      <c r="BF94" s="268">
        <f t="shared" si="83"/>
        <v>0</v>
      </c>
      <c r="BG94" s="268">
        <f t="shared" si="83"/>
        <v>0</v>
      </c>
      <c r="BH94" s="268">
        <f t="shared" si="83"/>
        <v>1</v>
      </c>
      <c r="BI94" s="268">
        <f t="shared" si="83"/>
        <v>2</v>
      </c>
      <c r="BJ94" s="268">
        <f t="shared" si="83"/>
        <v>3</v>
      </c>
      <c r="BK94" s="268">
        <f t="shared" si="83"/>
        <v>4</v>
      </c>
      <c r="BL94" s="269">
        <f t="shared" si="83"/>
        <v>5</v>
      </c>
      <c r="BM94" s="256">
        <f>IF($BC94=Lookup!$A$2,$BD94*ROUNDUP(BE94/10,0)+1,
IF($BC94=Lookup!$A$3,($BD94+1)^BD94,
IF($BC94=Lookup!$A$4,BE94*$BD94+1,"Error")))</f>
        <v>1</v>
      </c>
      <c r="BN94" s="229">
        <f>IF($BC94=Lookup!$A$2,$BD94*ROUNDUP(BF94/10,0)+1,
IF($BC94=Lookup!$A$3,($BD94+1)^BE94,
IF($BC94=Lookup!$A$4,BF94*$BD94+1,"Error")))</f>
        <v>1</v>
      </c>
      <c r="BO94" s="229">
        <f>IF($BC94=Lookup!$A$2,$BD94*ROUNDUP(BG94/10,0)+1,
IF($BC94=Lookup!$A$3,($BD94+1)^BF94,
IF($BC94=Lookup!$A$4,BG94*$BD94+1,"Error")))</f>
        <v>1</v>
      </c>
      <c r="BP94" s="229">
        <f>IF($BC94=Lookup!$A$2,$BD94*ROUNDUP(BH94/10,0)+1,
IF($BC94=Lookup!$A$3,($BD94+1)^BG94,
IF($BC94=Lookup!$A$4,BH94*$BD94+1,"Error")))</f>
        <v>1</v>
      </c>
      <c r="BQ94" s="229">
        <f>IF($BC94=Lookup!$A$2,$BD94*ROUNDUP(BI94/10,0)+1,
IF($BC94=Lookup!$A$3,($BD94+1)^BH94,
IF($BC94=Lookup!$A$4,BI94*$BD94+1,"Error")))</f>
        <v>1</v>
      </c>
      <c r="BR94" s="229">
        <f>IF($BC94=Lookup!$A$2,$BD94*ROUNDUP(BJ94/10,0)+1,
IF($BC94=Lookup!$A$3,($BD94+1)^BI94,
IF($BC94=Lookup!$A$4,BJ94*$BD94+1,"Error")))</f>
        <v>1</v>
      </c>
      <c r="BS94" s="229">
        <f>IF($BC94=Lookup!$A$2,$BD94*ROUNDUP(BK94/10,0)+1,
IF($BC94=Lookup!$A$3,($BD94+1)^BJ94,
IF($BC94=Lookup!$A$4,BK94*$BD94+1,"Error")))</f>
        <v>1</v>
      </c>
      <c r="BT94" s="249">
        <f>IF($BC94=Lookup!$A$2,$BD94*ROUNDUP(BL94/10,0)+1,
IF($BC94=Lookup!$A$3,($BD94+1)^BK94,
IF($BC94=Lookup!$A$4,BL94*$BD94+1,"Error")))</f>
        <v>1</v>
      </c>
      <c r="BU94" s="320">
        <v>0</v>
      </c>
      <c r="BV94" s="321">
        <v>0</v>
      </c>
      <c r="BW94" s="321">
        <v>0</v>
      </c>
      <c r="BX94" s="321">
        <v>0</v>
      </c>
      <c r="BY94" s="321">
        <v>0</v>
      </c>
      <c r="BZ94" s="321">
        <v>0</v>
      </c>
      <c r="CA94" s="321">
        <v>0</v>
      </c>
      <c r="CB94" s="277">
        <v>0</v>
      </c>
      <c r="CC94" s="382" t="s">
        <v>293</v>
      </c>
      <c r="CD94" s="383">
        <f>HLOOKUP($CC94,$AK$6:$AM$132,ROWS(CD$6:CD94),0)</f>
        <v>0</v>
      </c>
      <c r="CE94" s="234">
        <f t="shared" si="81"/>
        <v>0</v>
      </c>
      <c r="CF94" s="96">
        <f t="shared" si="81"/>
        <v>0</v>
      </c>
      <c r="CG94" s="521">
        <f t="shared" si="81"/>
        <v>0</v>
      </c>
      <c r="CH94" s="421">
        <f t="shared" si="81"/>
        <v>0</v>
      </c>
      <c r="CI94" s="96">
        <f t="shared" si="50"/>
        <v>0</v>
      </c>
      <c r="CJ94" s="96">
        <f t="shared" si="50"/>
        <v>0</v>
      </c>
      <c r="CK94" s="96">
        <f t="shared" si="50"/>
        <v>0</v>
      </c>
      <c r="CL94" s="286">
        <f t="shared" si="50"/>
        <v>0</v>
      </c>
      <c r="CM94" s="305" t="s">
        <v>293</v>
      </c>
      <c r="CN94" s="315">
        <v>0.05</v>
      </c>
      <c r="CO94" s="306"/>
      <c r="CP94" s="307" t="str">
        <f>IF($CO94&lt;&gt;"",$CO94,HLOOKUP($CM94,$AY$6:$BA$132,ROWS(CP$6:CP94),0))</f>
        <v/>
      </c>
      <c r="CQ94" s="784" t="str">
        <f t="shared" si="78"/>
        <v/>
      </c>
      <c r="CR94" s="784" t="str">
        <f t="shared" si="78"/>
        <v/>
      </c>
      <c r="CS94" s="524" t="str">
        <f t="shared" si="78"/>
        <v/>
      </c>
      <c r="CT94" s="416" t="str">
        <f t="shared" si="78"/>
        <v/>
      </c>
      <c r="CU94" s="97" t="str">
        <f t="shared" si="78"/>
        <v/>
      </c>
      <c r="CV94" s="97" t="str">
        <f t="shared" si="78"/>
        <v/>
      </c>
      <c r="CW94" s="97" t="str">
        <f t="shared" si="78"/>
        <v/>
      </c>
      <c r="CX94" s="98" t="str">
        <f t="shared" si="32"/>
        <v/>
      </c>
      <c r="CY94" s="392"/>
    </row>
    <row r="95" spans="1:103" ht="15.75" thickBot="1" x14ac:dyDescent="0.3">
      <c r="A95" s="100" t="s">
        <v>138</v>
      </c>
      <c r="B95" s="101" t="s">
        <v>385</v>
      </c>
      <c r="C95" s="102" t="s">
        <v>386</v>
      </c>
      <c r="D95" s="103">
        <v>-5793.8399677724556</v>
      </c>
      <c r="E95" s="104">
        <v>0</v>
      </c>
      <c r="F95" s="104">
        <v>16381.866751842754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655">
        <f>'2022-23 Input'!I95</f>
        <v>0</v>
      </c>
      <c r="N95" s="1066">
        <v>0</v>
      </c>
      <c r="O95" s="563">
        <f t="shared" si="79"/>
        <v>-7795.3585971110788</v>
      </c>
      <c r="P95" s="564">
        <f t="shared" si="53"/>
        <v>0</v>
      </c>
      <c r="Q95" s="564">
        <f t="shared" si="54"/>
        <v>21493.103337039876</v>
      </c>
      <c r="R95" s="564">
        <f t="shared" si="55"/>
        <v>0</v>
      </c>
      <c r="S95" s="564">
        <f t="shared" si="56"/>
        <v>0</v>
      </c>
      <c r="T95" s="564">
        <f t="shared" si="57"/>
        <v>0</v>
      </c>
      <c r="U95" s="564">
        <f t="shared" si="58"/>
        <v>0</v>
      </c>
      <c r="V95" s="564">
        <f t="shared" si="59"/>
        <v>0</v>
      </c>
      <c r="W95" s="676">
        <f t="shared" si="60"/>
        <v>0</v>
      </c>
      <c r="X95" s="676">
        <f t="shared" si="61"/>
        <v>0</v>
      </c>
      <c r="Y95" s="676">
        <f t="shared" si="61"/>
        <v>0</v>
      </c>
      <c r="Z95" s="105">
        <v>0</v>
      </c>
      <c r="AA95" s="106">
        <v>0</v>
      </c>
      <c r="AB95" s="106">
        <v>1</v>
      </c>
      <c r="AC95" s="106">
        <v>0</v>
      </c>
      <c r="AD95" s="106">
        <v>0</v>
      </c>
      <c r="AE95" s="106">
        <v>0</v>
      </c>
      <c r="AF95" s="106">
        <v>0</v>
      </c>
      <c r="AG95" s="106">
        <v>0</v>
      </c>
      <c r="AH95" s="106">
        <v>0</v>
      </c>
      <c r="AI95" s="1095">
        <f>'2022-23 Input'!P95</f>
        <v>0</v>
      </c>
      <c r="AJ95" s="666">
        <v>0</v>
      </c>
      <c r="AK95" s="107">
        <f t="shared" si="62"/>
        <v>0</v>
      </c>
      <c r="AL95" s="108">
        <f t="shared" si="63"/>
        <v>0</v>
      </c>
      <c r="AM95" s="109">
        <f t="shared" si="64"/>
        <v>0</v>
      </c>
      <c r="AN95" s="110" t="str">
        <f t="shared" si="65"/>
        <v/>
      </c>
      <c r="AO95" s="111" t="str">
        <f t="shared" si="66"/>
        <v/>
      </c>
      <c r="AP95" s="111">
        <f t="shared" si="67"/>
        <v>16381.866751842754</v>
      </c>
      <c r="AQ95" s="111" t="str">
        <f t="shared" si="68"/>
        <v/>
      </c>
      <c r="AR95" s="111" t="str">
        <f t="shared" si="69"/>
        <v/>
      </c>
      <c r="AS95" s="111" t="str">
        <f t="shared" si="70"/>
        <v/>
      </c>
      <c r="AT95" s="111" t="str">
        <f t="shared" si="71"/>
        <v/>
      </c>
      <c r="AU95" s="111" t="str">
        <f t="shared" si="72"/>
        <v/>
      </c>
      <c r="AV95" s="111" t="str">
        <f t="shared" si="82"/>
        <v/>
      </c>
      <c r="AW95" s="111" t="str">
        <f t="shared" si="82"/>
        <v/>
      </c>
      <c r="AX95" s="111" t="str">
        <f t="shared" si="82"/>
        <v/>
      </c>
      <c r="AY95" s="112" t="str">
        <f t="shared" si="74"/>
        <v/>
      </c>
      <c r="AZ95" s="113" t="str">
        <f t="shared" si="75"/>
        <v/>
      </c>
      <c r="BA95" s="114" t="str">
        <f t="shared" si="76"/>
        <v/>
      </c>
      <c r="BB95" s="250" t="s">
        <v>422</v>
      </c>
      <c r="BC95" s="230" t="s">
        <v>433</v>
      </c>
      <c r="BD95" s="251">
        <v>0</v>
      </c>
      <c r="BE95" s="270">
        <f t="shared" si="80"/>
        <v>0</v>
      </c>
      <c r="BF95" s="271">
        <f t="shared" si="83"/>
        <v>0</v>
      </c>
      <c r="BG95" s="271">
        <f t="shared" si="83"/>
        <v>0</v>
      </c>
      <c r="BH95" s="271">
        <f t="shared" si="83"/>
        <v>1</v>
      </c>
      <c r="BI95" s="271">
        <f t="shared" si="83"/>
        <v>2</v>
      </c>
      <c r="BJ95" s="271">
        <f t="shared" si="83"/>
        <v>3</v>
      </c>
      <c r="BK95" s="271">
        <f t="shared" si="83"/>
        <v>4</v>
      </c>
      <c r="BL95" s="272">
        <f t="shared" si="83"/>
        <v>5</v>
      </c>
      <c r="BM95" s="257">
        <f>IF($BC95=Lookup!$A$2,$BD95*ROUNDUP(BE95/10,0)+1,
IF($BC95=Lookup!$A$3,($BD95+1)^BD95,
IF($BC95=Lookup!$A$4,BE95*$BD95+1,"Error")))</f>
        <v>1</v>
      </c>
      <c r="BN95" s="230">
        <f>IF($BC95=Lookup!$A$2,$BD95*ROUNDUP(BF95/10,0)+1,
IF($BC95=Lookup!$A$3,($BD95+1)^BE95,
IF($BC95=Lookup!$A$4,BF95*$BD95+1,"Error")))</f>
        <v>1</v>
      </c>
      <c r="BO95" s="230">
        <f>IF($BC95=Lookup!$A$2,$BD95*ROUNDUP(BG95/10,0)+1,
IF($BC95=Lookup!$A$3,($BD95+1)^BF95,
IF($BC95=Lookup!$A$4,BG95*$BD95+1,"Error")))</f>
        <v>1</v>
      </c>
      <c r="BP95" s="230">
        <f>IF($BC95=Lookup!$A$2,$BD95*ROUNDUP(BH95/10,0)+1,
IF($BC95=Lookup!$A$3,($BD95+1)^BG95,
IF($BC95=Lookup!$A$4,BH95*$BD95+1,"Error")))</f>
        <v>1</v>
      </c>
      <c r="BQ95" s="230">
        <f>IF($BC95=Lookup!$A$2,$BD95*ROUNDUP(BI95/10,0)+1,
IF($BC95=Lookup!$A$3,($BD95+1)^BH95,
IF($BC95=Lookup!$A$4,BI95*$BD95+1,"Error")))</f>
        <v>1</v>
      </c>
      <c r="BR95" s="230">
        <f>IF($BC95=Lookup!$A$2,$BD95*ROUNDUP(BJ95/10,0)+1,
IF($BC95=Lookup!$A$3,($BD95+1)^BI95,
IF($BC95=Lookup!$A$4,BJ95*$BD95+1,"Error")))</f>
        <v>1</v>
      </c>
      <c r="BS95" s="230">
        <f>IF($BC95=Lookup!$A$2,$BD95*ROUNDUP(BK95/10,0)+1,
IF($BC95=Lookup!$A$3,($BD95+1)^BJ95,
IF($BC95=Lookup!$A$4,BK95*$BD95+1,"Error")))</f>
        <v>1</v>
      </c>
      <c r="BT95" s="251">
        <f>IF($BC95=Lookup!$A$2,$BD95*ROUNDUP(BL95/10,0)+1,
IF($BC95=Lookup!$A$3,($BD95+1)^BK95,
IF($BC95=Lookup!$A$4,BL95*$BD95+1,"Error")))</f>
        <v>1</v>
      </c>
      <c r="BU95" s="322">
        <v>0</v>
      </c>
      <c r="BV95" s="323">
        <v>0</v>
      </c>
      <c r="BW95" s="323">
        <v>0</v>
      </c>
      <c r="BX95" s="323">
        <v>0</v>
      </c>
      <c r="BY95" s="323">
        <v>0</v>
      </c>
      <c r="BZ95" s="323">
        <v>0</v>
      </c>
      <c r="CA95" s="323">
        <v>0</v>
      </c>
      <c r="CB95" s="278">
        <v>0</v>
      </c>
      <c r="CC95" s="384" t="s">
        <v>293</v>
      </c>
      <c r="CD95" s="385">
        <f>HLOOKUP($CC95,$AK$6:$AM$132,ROWS(CD$6:CD95),0)</f>
        <v>0</v>
      </c>
      <c r="CE95" s="240">
        <f t="shared" si="81"/>
        <v>0</v>
      </c>
      <c r="CF95" s="141">
        <f t="shared" si="81"/>
        <v>0</v>
      </c>
      <c r="CG95" s="811">
        <f t="shared" si="81"/>
        <v>0</v>
      </c>
      <c r="CH95" s="813">
        <f t="shared" si="81"/>
        <v>0</v>
      </c>
      <c r="CI95" s="141">
        <f t="shared" si="50"/>
        <v>0</v>
      </c>
      <c r="CJ95" s="141">
        <f t="shared" si="50"/>
        <v>0</v>
      </c>
      <c r="CK95" s="141">
        <f t="shared" si="50"/>
        <v>0</v>
      </c>
      <c r="CL95" s="292">
        <f t="shared" si="50"/>
        <v>0</v>
      </c>
      <c r="CM95" s="308" t="s">
        <v>293</v>
      </c>
      <c r="CN95" s="316">
        <v>0.05</v>
      </c>
      <c r="CO95" s="309"/>
      <c r="CP95" s="310" t="str">
        <f>IF($CO95&lt;&gt;"",$CO95,HLOOKUP($CM95,$AY$6:$BA$132,ROWS(CP$6:CP95),0))</f>
        <v/>
      </c>
      <c r="CQ95" s="785" t="str">
        <f t="shared" si="78"/>
        <v/>
      </c>
      <c r="CR95" s="785" t="str">
        <f t="shared" si="78"/>
        <v/>
      </c>
      <c r="CS95" s="638" t="str">
        <f t="shared" si="78"/>
        <v/>
      </c>
      <c r="CT95" s="467" t="str">
        <f t="shared" si="78"/>
        <v/>
      </c>
      <c r="CU95" s="117" t="str">
        <f t="shared" si="78"/>
        <v/>
      </c>
      <c r="CV95" s="117" t="str">
        <f t="shared" si="78"/>
        <v/>
      </c>
      <c r="CW95" s="117" t="str">
        <f t="shared" si="78"/>
        <v/>
      </c>
      <c r="CX95" s="118" t="str">
        <f t="shared" si="32"/>
        <v/>
      </c>
      <c r="CY95" s="393"/>
    </row>
    <row r="96" spans="1:103" x14ac:dyDescent="0.25">
      <c r="A96" s="63" t="s">
        <v>196</v>
      </c>
      <c r="B96" s="64" t="s">
        <v>193</v>
      </c>
      <c r="C96" s="65" t="s">
        <v>387</v>
      </c>
      <c r="D96" s="66">
        <v>6464869.4085762557</v>
      </c>
      <c r="E96" s="67">
        <v>11426490.133272737</v>
      </c>
      <c r="F96" s="67">
        <v>7252092.4222382251</v>
      </c>
      <c r="G96" s="67">
        <v>7519112.1662254985</v>
      </c>
      <c r="H96" s="67">
        <v>11790274.27915485</v>
      </c>
      <c r="I96" s="67">
        <v>2199888.6332493355</v>
      </c>
      <c r="J96" s="67">
        <v>3638928.8711558627</v>
      </c>
      <c r="K96" s="67">
        <v>2909950.9561213478</v>
      </c>
      <c r="L96" s="67">
        <v>3788291.5464566303</v>
      </c>
      <c r="M96" s="653">
        <f>'2022-23 Input'!I96</f>
        <v>2512561.5205451418</v>
      </c>
      <c r="N96" s="1064">
        <v>4411449.9030491151</v>
      </c>
      <c r="O96" s="557">
        <f t="shared" si="79"/>
        <v>8698199.3986142073</v>
      </c>
      <c r="P96" s="558">
        <f t="shared" si="53"/>
        <v>15145023.36202516</v>
      </c>
      <c r="Q96" s="558">
        <f t="shared" si="54"/>
        <v>9514786.9410790186</v>
      </c>
      <c r="R96" s="558">
        <f t="shared" si="55"/>
        <v>9677975.2128496375</v>
      </c>
      <c r="S96" s="558">
        <f t="shared" si="56"/>
        <v>14866578.475289959</v>
      </c>
      <c r="T96" s="558">
        <f t="shared" si="57"/>
        <v>2730388.0251587494</v>
      </c>
      <c r="U96" s="558">
        <f t="shared" si="58"/>
        <v>4532242.1465782048</v>
      </c>
      <c r="V96" s="558">
        <f t="shared" si="59"/>
        <v>3490075.2565167304</v>
      </c>
      <c r="W96" s="674">
        <f t="shared" si="60"/>
        <v>4280493.7885704748</v>
      </c>
      <c r="X96" s="674">
        <f t="shared" si="61"/>
        <v>2672011.0015022992</v>
      </c>
      <c r="Y96" s="674">
        <f t="shared" si="61"/>
        <v>4532758.0669618314</v>
      </c>
      <c r="Z96" s="68">
        <v>119</v>
      </c>
      <c r="AA96" s="69">
        <v>185</v>
      </c>
      <c r="AB96" s="69">
        <v>174</v>
      </c>
      <c r="AC96" s="69">
        <v>122</v>
      </c>
      <c r="AD96" s="69">
        <v>151</v>
      </c>
      <c r="AE96" s="69">
        <v>12377</v>
      </c>
      <c r="AF96" s="69">
        <v>205</v>
      </c>
      <c r="AG96" s="69">
        <v>30</v>
      </c>
      <c r="AH96" s="69">
        <v>94</v>
      </c>
      <c r="AI96" s="1093">
        <f>'2022-23 Input'!P96</f>
        <v>44</v>
      </c>
      <c r="AJ96" s="664">
        <v>14</v>
      </c>
      <c r="AK96" s="70">
        <f t="shared" si="62"/>
        <v>2550</v>
      </c>
      <c r="AL96" s="71">
        <f t="shared" si="63"/>
        <v>56</v>
      </c>
      <c r="AM96" s="72">
        <f t="shared" si="64"/>
        <v>44</v>
      </c>
      <c r="AN96" s="73">
        <f t="shared" si="65"/>
        <v>54326.633685514753</v>
      </c>
      <c r="AO96" s="74">
        <f t="shared" si="66"/>
        <v>61764.811531203988</v>
      </c>
      <c r="AP96" s="74">
        <f t="shared" si="67"/>
        <v>41678.692081828878</v>
      </c>
      <c r="AQ96" s="74">
        <f t="shared" si="68"/>
        <v>61632.066936274576</v>
      </c>
      <c r="AR96" s="74">
        <f t="shared" si="69"/>
        <v>78081.286616919533</v>
      </c>
      <c r="AS96" s="74">
        <f t="shared" si="70"/>
        <v>177.7400527792951</v>
      </c>
      <c r="AT96" s="74">
        <f t="shared" si="71"/>
        <v>17750.872542223722</v>
      </c>
      <c r="AU96" s="74">
        <f t="shared" si="72"/>
        <v>96998.365204044923</v>
      </c>
      <c r="AV96" s="74">
        <f t="shared" si="82"/>
        <v>40300.973898474789</v>
      </c>
      <c r="AW96" s="74">
        <f t="shared" si="82"/>
        <v>57103.670921480494</v>
      </c>
      <c r="AX96" s="74">
        <f t="shared" si="82"/>
        <v>315103.56450350821</v>
      </c>
      <c r="AY96" s="75">
        <f t="shared" si="74"/>
        <v>1180.3624727473191</v>
      </c>
      <c r="AZ96" s="76">
        <f t="shared" si="75"/>
        <v>54826.214423351899</v>
      </c>
      <c r="BA96" s="77">
        <f t="shared" si="76"/>
        <v>57103.670921480494</v>
      </c>
      <c r="BB96" s="246" t="s">
        <v>422</v>
      </c>
      <c r="BC96" s="228" t="s">
        <v>433</v>
      </c>
      <c r="BD96" s="247">
        <v>0</v>
      </c>
      <c r="BE96" s="264">
        <f t="shared" si="80"/>
        <v>0</v>
      </c>
      <c r="BF96" s="265">
        <f t="shared" si="83"/>
        <v>0</v>
      </c>
      <c r="BG96" s="265">
        <f t="shared" si="83"/>
        <v>0</v>
      </c>
      <c r="BH96" s="265">
        <f t="shared" si="83"/>
        <v>1</v>
      </c>
      <c r="BI96" s="265">
        <f t="shared" si="83"/>
        <v>2</v>
      </c>
      <c r="BJ96" s="265">
        <f t="shared" si="83"/>
        <v>3</v>
      </c>
      <c r="BK96" s="265">
        <f t="shared" si="83"/>
        <v>4</v>
      </c>
      <c r="BL96" s="266">
        <f t="shared" si="83"/>
        <v>5</v>
      </c>
      <c r="BM96" s="255">
        <f>IF($BC96=Lookup!$A$2,$BD96*ROUNDUP(BE96/10,0)+1,
IF($BC96=Lookup!$A$3,($BD96+1)^BD96,
IF($BC96=Lookup!$A$4,BE96*$BD96+1,"Error")))</f>
        <v>1</v>
      </c>
      <c r="BN96" s="228">
        <f>IF($BC96=Lookup!$A$2,$BD96*ROUNDUP(BF96/10,0)+1,
IF($BC96=Lookup!$A$3,($BD96+1)^BE96,
IF($BC96=Lookup!$A$4,BF96*$BD96+1,"Error")))</f>
        <v>1</v>
      </c>
      <c r="BO96" s="228">
        <f>IF($BC96=Lookup!$A$2,$BD96*ROUNDUP(BG96/10,0)+1,
IF($BC96=Lookup!$A$3,($BD96+1)^BF96,
IF($BC96=Lookup!$A$4,BG96*$BD96+1,"Error")))</f>
        <v>1</v>
      </c>
      <c r="BP96" s="228">
        <f>IF($BC96=Lookup!$A$2,$BD96*ROUNDUP(BH96/10,0)+1,
IF($BC96=Lookup!$A$3,($BD96+1)^BG96,
IF($BC96=Lookup!$A$4,BH96*$BD96+1,"Error")))</f>
        <v>1</v>
      </c>
      <c r="BQ96" s="228">
        <f>IF($BC96=Lookup!$A$2,$BD96*ROUNDUP(BI96/10,0)+1,
IF($BC96=Lookup!$A$3,($BD96+1)^BH96,
IF($BC96=Lookup!$A$4,BI96*$BD96+1,"Error")))</f>
        <v>1</v>
      </c>
      <c r="BR96" s="228">
        <f>IF($BC96=Lookup!$A$2,$BD96*ROUNDUP(BJ96/10,0)+1,
IF($BC96=Lookup!$A$3,($BD96+1)^BI96,
IF($BC96=Lookup!$A$4,BJ96*$BD96+1,"Error")))</f>
        <v>1</v>
      </c>
      <c r="BS96" s="228">
        <f>IF($BC96=Lookup!$A$2,$BD96*ROUNDUP(BK96/10,0)+1,
IF($BC96=Lookup!$A$3,($BD96+1)^BJ96,
IF($BC96=Lookup!$A$4,BK96*$BD96+1,"Error")))</f>
        <v>1</v>
      </c>
      <c r="BT96" s="247">
        <f>IF($BC96=Lookup!$A$2,$BD96*ROUNDUP(BL96/10,0)+1,
IF($BC96=Lookup!$A$3,($BD96+1)^BK96,
IF($BC96=Lookup!$A$4,BL96*$BD96+1,"Error")))</f>
        <v>1</v>
      </c>
      <c r="BU96" s="318">
        <v>0</v>
      </c>
      <c r="BV96" s="319">
        <v>0</v>
      </c>
      <c r="BW96" s="319">
        <v>0</v>
      </c>
      <c r="BX96" s="319">
        <v>0</v>
      </c>
      <c r="BY96" s="319">
        <v>0</v>
      </c>
      <c r="BZ96" s="319">
        <v>0</v>
      </c>
      <c r="CA96" s="319">
        <v>0</v>
      </c>
      <c r="CB96" s="276">
        <v>0</v>
      </c>
      <c r="CC96" s="380" t="s">
        <v>293</v>
      </c>
      <c r="CD96" s="381">
        <f>HLOOKUP($CC96,$AK$6:$AM$132,ROWS(CD$6:CD96),0)</f>
        <v>56</v>
      </c>
      <c r="CE96" s="233">
        <f t="shared" si="81"/>
        <v>0</v>
      </c>
      <c r="CF96" s="78">
        <f t="shared" si="81"/>
        <v>0</v>
      </c>
      <c r="CG96" s="797">
        <f t="shared" si="81"/>
        <v>0</v>
      </c>
      <c r="CH96" s="806">
        <f t="shared" si="81"/>
        <v>0</v>
      </c>
      <c r="CI96" s="78">
        <f t="shared" si="50"/>
        <v>0</v>
      </c>
      <c r="CJ96" s="78">
        <f t="shared" si="50"/>
        <v>0</v>
      </c>
      <c r="CK96" s="78">
        <f t="shared" si="50"/>
        <v>0</v>
      </c>
      <c r="CL96" s="285">
        <f t="shared" si="50"/>
        <v>0</v>
      </c>
      <c r="CM96" s="302" t="s">
        <v>293</v>
      </c>
      <c r="CN96" s="314">
        <v>0.05</v>
      </c>
      <c r="CO96" s="303"/>
      <c r="CP96" s="304">
        <f>IF($CO96&lt;&gt;"",$CO96,HLOOKUP($CM96,$AY$6:$BA$132,ROWS(CP$6:CP96),0))</f>
        <v>54826.214423351899</v>
      </c>
      <c r="CQ96" s="783">
        <f t="shared" si="78"/>
        <v>0</v>
      </c>
      <c r="CR96" s="783">
        <f t="shared" si="78"/>
        <v>0</v>
      </c>
      <c r="CS96" s="523">
        <f t="shared" si="78"/>
        <v>0</v>
      </c>
      <c r="CT96" s="415">
        <f t="shared" si="78"/>
        <v>0</v>
      </c>
      <c r="CU96" s="79">
        <f t="shared" si="78"/>
        <v>0</v>
      </c>
      <c r="CV96" s="79">
        <f t="shared" si="78"/>
        <v>0</v>
      </c>
      <c r="CW96" s="79">
        <f t="shared" si="78"/>
        <v>0</v>
      </c>
      <c r="CX96" s="80">
        <f t="shared" si="32"/>
        <v>0</v>
      </c>
      <c r="CY96" s="391"/>
    </row>
    <row r="97" spans="1:103" x14ac:dyDescent="0.25">
      <c r="A97" s="81" t="s">
        <v>196</v>
      </c>
      <c r="B97" s="82" t="s">
        <v>197</v>
      </c>
      <c r="C97" s="83" t="s">
        <v>388</v>
      </c>
      <c r="D97" s="84">
        <v>-243039.35367394052</v>
      </c>
      <c r="E97" s="85">
        <v>2812653.2152754078</v>
      </c>
      <c r="F97" s="85">
        <v>649189.70709087886</v>
      </c>
      <c r="G97" s="85">
        <v>405456.9473764319</v>
      </c>
      <c r="H97" s="85">
        <v>524272.69016943499</v>
      </c>
      <c r="I97" s="85">
        <v>369368.55610793212</v>
      </c>
      <c r="J97" s="85">
        <v>202716.85000555811</v>
      </c>
      <c r="K97" s="85">
        <v>236370.77693771504</v>
      </c>
      <c r="L97" s="85">
        <v>661345.3552265903</v>
      </c>
      <c r="M97" s="654">
        <f>'2022-23 Input'!I97</f>
        <v>289656.75983808201</v>
      </c>
      <c r="N97" s="1065">
        <v>373343.47302511998</v>
      </c>
      <c r="O97" s="560">
        <f t="shared" si="79"/>
        <v>-326998.83421648544</v>
      </c>
      <c r="P97" s="561">
        <f t="shared" si="53"/>
        <v>3727977.5467167487</v>
      </c>
      <c r="Q97" s="561">
        <f t="shared" si="54"/>
        <v>851740.62707336817</v>
      </c>
      <c r="R97" s="561">
        <f t="shared" si="55"/>
        <v>521870.42829507205</v>
      </c>
      <c r="S97" s="561">
        <f t="shared" si="56"/>
        <v>661065.29045174876</v>
      </c>
      <c r="T97" s="561">
        <f t="shared" si="57"/>
        <v>458441.15344041144</v>
      </c>
      <c r="U97" s="561">
        <f t="shared" si="58"/>
        <v>252481.39877076761</v>
      </c>
      <c r="V97" s="561">
        <f t="shared" si="59"/>
        <v>283493.36892382777</v>
      </c>
      <c r="W97" s="675">
        <f t="shared" si="60"/>
        <v>747272.12793197378</v>
      </c>
      <c r="X97" s="675">
        <f t="shared" si="61"/>
        <v>308038.64606624225</v>
      </c>
      <c r="Y97" s="675">
        <f t="shared" si="61"/>
        <v>383609.85079587752</v>
      </c>
      <c r="Z97" s="86">
        <v>-148</v>
      </c>
      <c r="AA97" s="87">
        <v>247</v>
      </c>
      <c r="AB97" s="87">
        <v>-8</v>
      </c>
      <c r="AC97" s="87">
        <v>-15</v>
      </c>
      <c r="AD97" s="87">
        <v>22</v>
      </c>
      <c r="AE97" s="87">
        <v>16</v>
      </c>
      <c r="AF97" s="87">
        <v>10</v>
      </c>
      <c r="AG97" s="87">
        <v>10</v>
      </c>
      <c r="AH97" s="87">
        <v>9</v>
      </c>
      <c r="AI97" s="1094">
        <f>'2022-23 Input'!P97</f>
        <v>9</v>
      </c>
      <c r="AJ97" s="665">
        <v>4</v>
      </c>
      <c r="AK97" s="88">
        <f t="shared" si="62"/>
        <v>10.8</v>
      </c>
      <c r="AL97" s="89">
        <f t="shared" si="63"/>
        <v>9.3333333333333339</v>
      </c>
      <c r="AM97" s="90">
        <f t="shared" si="64"/>
        <v>9</v>
      </c>
      <c r="AN97" s="91">
        <f t="shared" si="65"/>
        <v>1642.1577950941928</v>
      </c>
      <c r="AO97" s="92">
        <f t="shared" si="66"/>
        <v>11387.259980872097</v>
      </c>
      <c r="AP97" s="92">
        <f t="shared" si="67"/>
        <v>-81148.713386359857</v>
      </c>
      <c r="AQ97" s="92">
        <f t="shared" si="68"/>
        <v>-27030.463158428793</v>
      </c>
      <c r="AR97" s="92">
        <f t="shared" si="69"/>
        <v>23830.57682588341</v>
      </c>
      <c r="AS97" s="92">
        <f t="shared" si="70"/>
        <v>23085.534756745757</v>
      </c>
      <c r="AT97" s="92">
        <f t="shared" si="71"/>
        <v>20271.685000555812</v>
      </c>
      <c r="AU97" s="92">
        <f t="shared" si="72"/>
        <v>23637.077693771505</v>
      </c>
      <c r="AV97" s="92">
        <f t="shared" si="82"/>
        <v>73482.817247398925</v>
      </c>
      <c r="AW97" s="92">
        <f t="shared" si="82"/>
        <v>32184.084426453555</v>
      </c>
      <c r="AX97" s="92">
        <f t="shared" si="82"/>
        <v>93335.868256279995</v>
      </c>
      <c r="AY97" s="93">
        <f t="shared" si="74"/>
        <v>32582.561076219954</v>
      </c>
      <c r="AZ97" s="94">
        <f t="shared" si="75"/>
        <v>42406.17471437098</v>
      </c>
      <c r="BA97" s="95">
        <f t="shared" si="76"/>
        <v>32184.084426453555</v>
      </c>
      <c r="BB97" s="248" t="s">
        <v>422</v>
      </c>
      <c r="BC97" s="229" t="s">
        <v>433</v>
      </c>
      <c r="BD97" s="249">
        <v>0</v>
      </c>
      <c r="BE97" s="267">
        <f t="shared" si="80"/>
        <v>0</v>
      </c>
      <c r="BF97" s="268">
        <f t="shared" si="83"/>
        <v>0</v>
      </c>
      <c r="BG97" s="268">
        <f t="shared" si="83"/>
        <v>0</v>
      </c>
      <c r="BH97" s="268">
        <f t="shared" si="83"/>
        <v>1</v>
      </c>
      <c r="BI97" s="268">
        <f t="shared" si="83"/>
        <v>2</v>
      </c>
      <c r="BJ97" s="268">
        <f t="shared" si="83"/>
        <v>3</v>
      </c>
      <c r="BK97" s="268">
        <f t="shared" si="83"/>
        <v>4</v>
      </c>
      <c r="BL97" s="269">
        <f t="shared" si="83"/>
        <v>5</v>
      </c>
      <c r="BM97" s="256">
        <f>IF($BC97=Lookup!$A$2,$BD97*ROUNDUP(BE97/10,0)+1,
IF($BC97=Lookup!$A$3,($BD97+1)^BD97,
IF($BC97=Lookup!$A$4,BE97*$BD97+1,"Error")))</f>
        <v>1</v>
      </c>
      <c r="BN97" s="229">
        <f>IF($BC97=Lookup!$A$2,$BD97*ROUNDUP(BF97/10,0)+1,
IF($BC97=Lookup!$A$3,($BD97+1)^BE97,
IF($BC97=Lookup!$A$4,BF97*$BD97+1,"Error")))</f>
        <v>1</v>
      </c>
      <c r="BO97" s="229">
        <f>IF($BC97=Lookup!$A$2,$BD97*ROUNDUP(BG97/10,0)+1,
IF($BC97=Lookup!$A$3,($BD97+1)^BF97,
IF($BC97=Lookup!$A$4,BG97*$BD97+1,"Error")))</f>
        <v>1</v>
      </c>
      <c r="BP97" s="229">
        <f>IF($BC97=Lookup!$A$2,$BD97*ROUNDUP(BH97/10,0)+1,
IF($BC97=Lookup!$A$3,($BD97+1)^BG97,
IF($BC97=Lookup!$A$4,BH97*$BD97+1,"Error")))</f>
        <v>1</v>
      </c>
      <c r="BQ97" s="229">
        <f>IF($BC97=Lookup!$A$2,$BD97*ROUNDUP(BI97/10,0)+1,
IF($BC97=Lookup!$A$3,($BD97+1)^BH97,
IF($BC97=Lookup!$A$4,BI97*$BD97+1,"Error")))</f>
        <v>1</v>
      </c>
      <c r="BR97" s="229">
        <f>IF($BC97=Lookup!$A$2,$BD97*ROUNDUP(BJ97/10,0)+1,
IF($BC97=Lookup!$A$3,($BD97+1)^BI97,
IF($BC97=Lookup!$A$4,BJ97*$BD97+1,"Error")))</f>
        <v>1</v>
      </c>
      <c r="BS97" s="229">
        <f>IF($BC97=Lookup!$A$2,$BD97*ROUNDUP(BK97/10,0)+1,
IF($BC97=Lookup!$A$3,($BD97+1)^BJ97,
IF($BC97=Lookup!$A$4,BK97*$BD97+1,"Error")))</f>
        <v>1</v>
      </c>
      <c r="BT97" s="249">
        <f>IF($BC97=Lookup!$A$2,$BD97*ROUNDUP(BL97/10,0)+1,
IF($BC97=Lookup!$A$3,($BD97+1)^BK97,
IF($BC97=Lookup!$A$4,BL97*$BD97+1,"Error")))</f>
        <v>1</v>
      </c>
      <c r="BU97" s="320">
        <v>0</v>
      </c>
      <c r="BV97" s="321">
        <v>0</v>
      </c>
      <c r="BW97" s="321">
        <v>0</v>
      </c>
      <c r="BX97" s="321">
        <v>0</v>
      </c>
      <c r="BY97" s="321">
        <v>0</v>
      </c>
      <c r="BZ97" s="321">
        <v>0</v>
      </c>
      <c r="CA97" s="321">
        <v>0</v>
      </c>
      <c r="CB97" s="277">
        <v>0</v>
      </c>
      <c r="CC97" s="382" t="s">
        <v>293</v>
      </c>
      <c r="CD97" s="383">
        <f>HLOOKUP($CC97,$AK$6:$AM$132,ROWS(CD$6:CD97),0)</f>
        <v>9.3333333333333339</v>
      </c>
      <c r="CE97" s="234">
        <f t="shared" si="81"/>
        <v>0</v>
      </c>
      <c r="CF97" s="96">
        <f t="shared" si="81"/>
        <v>0</v>
      </c>
      <c r="CG97" s="521">
        <f t="shared" si="81"/>
        <v>0</v>
      </c>
      <c r="CH97" s="421">
        <f t="shared" si="81"/>
        <v>0</v>
      </c>
      <c r="CI97" s="96">
        <f t="shared" si="50"/>
        <v>0</v>
      </c>
      <c r="CJ97" s="96">
        <f t="shared" si="50"/>
        <v>0</v>
      </c>
      <c r="CK97" s="96">
        <f t="shared" si="50"/>
        <v>0</v>
      </c>
      <c r="CL97" s="286">
        <f t="shared" si="50"/>
        <v>0</v>
      </c>
      <c r="CM97" s="305" t="s">
        <v>293</v>
      </c>
      <c r="CN97" s="315">
        <v>0.05</v>
      </c>
      <c r="CO97" s="306"/>
      <c r="CP97" s="307">
        <f>IF($CO97&lt;&gt;"",$CO97,HLOOKUP($CM97,$AY$6:$BA$132,ROWS(CP$6:CP97),0))</f>
        <v>42406.17471437098</v>
      </c>
      <c r="CQ97" s="784">
        <f t="shared" si="78"/>
        <v>0</v>
      </c>
      <c r="CR97" s="784">
        <f t="shared" si="78"/>
        <v>0</v>
      </c>
      <c r="CS97" s="524">
        <f t="shared" si="78"/>
        <v>0</v>
      </c>
      <c r="CT97" s="416">
        <f t="shared" si="78"/>
        <v>0</v>
      </c>
      <c r="CU97" s="97">
        <f t="shared" si="78"/>
        <v>0</v>
      </c>
      <c r="CV97" s="97">
        <f t="shared" si="78"/>
        <v>0</v>
      </c>
      <c r="CW97" s="97">
        <f t="shared" si="78"/>
        <v>0</v>
      </c>
      <c r="CX97" s="98">
        <f t="shared" si="32"/>
        <v>0</v>
      </c>
      <c r="CY97" s="392"/>
    </row>
    <row r="98" spans="1:103" x14ac:dyDescent="0.25">
      <c r="A98" s="81" t="s">
        <v>196</v>
      </c>
      <c r="B98" s="82" t="s">
        <v>199</v>
      </c>
      <c r="C98" s="83" t="s">
        <v>389</v>
      </c>
      <c r="D98" s="84">
        <v>-66218.853921092756</v>
      </c>
      <c r="E98" s="85">
        <v>-141021.5463286122</v>
      </c>
      <c r="F98" s="85">
        <v>-11164.402719860896</v>
      </c>
      <c r="G98" s="85">
        <v>-12751.302640350827</v>
      </c>
      <c r="H98" s="85">
        <v>-0.18999999999869033</v>
      </c>
      <c r="I98" s="85">
        <v>0</v>
      </c>
      <c r="J98" s="85">
        <v>0</v>
      </c>
      <c r="K98" s="85">
        <v>0</v>
      </c>
      <c r="L98" s="85">
        <v>11778.04</v>
      </c>
      <c r="M98" s="654">
        <f>'2022-23 Input'!I98</f>
        <v>0</v>
      </c>
      <c r="N98" s="1065">
        <v>0</v>
      </c>
      <c r="O98" s="560">
        <f t="shared" si="79"/>
        <v>-89094.575458751453</v>
      </c>
      <c r="P98" s="561">
        <f t="shared" si="53"/>
        <v>-186914.31828892007</v>
      </c>
      <c r="Q98" s="561">
        <f t="shared" si="54"/>
        <v>-14647.760538481189</v>
      </c>
      <c r="R98" s="561">
        <f t="shared" si="55"/>
        <v>-16412.415210293122</v>
      </c>
      <c r="S98" s="561">
        <f t="shared" si="56"/>
        <v>-0.23957457166875157</v>
      </c>
      <c r="T98" s="561">
        <f t="shared" si="57"/>
        <v>0</v>
      </c>
      <c r="U98" s="561">
        <f t="shared" si="58"/>
        <v>0</v>
      </c>
      <c r="V98" s="561">
        <f t="shared" si="59"/>
        <v>0</v>
      </c>
      <c r="W98" s="675">
        <f t="shared" si="60"/>
        <v>13308.3281588216</v>
      </c>
      <c r="X98" s="675">
        <f t="shared" si="61"/>
        <v>0</v>
      </c>
      <c r="Y98" s="675">
        <f t="shared" si="61"/>
        <v>0</v>
      </c>
      <c r="Z98" s="86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87">
        <v>0</v>
      </c>
      <c r="AI98" s="1094">
        <f>'2022-23 Input'!P98</f>
        <v>0</v>
      </c>
      <c r="AJ98" s="665">
        <v>0</v>
      </c>
      <c r="AK98" s="88">
        <f t="shared" si="62"/>
        <v>0</v>
      </c>
      <c r="AL98" s="89">
        <f t="shared" si="63"/>
        <v>0</v>
      </c>
      <c r="AM98" s="90">
        <f t="shared" si="64"/>
        <v>0</v>
      </c>
      <c r="AN98" s="91" t="str">
        <f t="shared" si="65"/>
        <v/>
      </c>
      <c r="AO98" s="92" t="str">
        <f t="shared" si="66"/>
        <v/>
      </c>
      <c r="AP98" s="92" t="str">
        <f t="shared" si="67"/>
        <v/>
      </c>
      <c r="AQ98" s="92" t="str">
        <f t="shared" si="68"/>
        <v/>
      </c>
      <c r="AR98" s="92" t="str">
        <f t="shared" si="69"/>
        <v/>
      </c>
      <c r="AS98" s="92" t="str">
        <f t="shared" si="70"/>
        <v/>
      </c>
      <c r="AT98" s="92" t="str">
        <f t="shared" si="71"/>
        <v/>
      </c>
      <c r="AU98" s="92" t="str">
        <f t="shared" si="72"/>
        <v/>
      </c>
      <c r="AV98" s="92" t="str">
        <f t="shared" si="82"/>
        <v/>
      </c>
      <c r="AW98" s="92" t="str">
        <f t="shared" si="82"/>
        <v/>
      </c>
      <c r="AX98" s="92" t="str">
        <f t="shared" si="82"/>
        <v/>
      </c>
      <c r="AY98" s="93" t="str">
        <f t="shared" si="74"/>
        <v/>
      </c>
      <c r="AZ98" s="94" t="str">
        <f t="shared" si="75"/>
        <v/>
      </c>
      <c r="BA98" s="95" t="str">
        <f t="shared" si="76"/>
        <v/>
      </c>
      <c r="BB98" s="248" t="s">
        <v>422</v>
      </c>
      <c r="BC98" s="229" t="s">
        <v>433</v>
      </c>
      <c r="BD98" s="249">
        <v>0</v>
      </c>
      <c r="BE98" s="267">
        <f t="shared" si="80"/>
        <v>0</v>
      </c>
      <c r="BF98" s="268">
        <f t="shared" si="83"/>
        <v>0</v>
      </c>
      <c r="BG98" s="268">
        <f t="shared" si="83"/>
        <v>0</v>
      </c>
      <c r="BH98" s="268">
        <f t="shared" si="83"/>
        <v>1</v>
      </c>
      <c r="BI98" s="268">
        <f t="shared" si="83"/>
        <v>2</v>
      </c>
      <c r="BJ98" s="268">
        <f t="shared" si="83"/>
        <v>3</v>
      </c>
      <c r="BK98" s="268">
        <f t="shared" si="83"/>
        <v>4</v>
      </c>
      <c r="BL98" s="269">
        <f t="shared" si="83"/>
        <v>5</v>
      </c>
      <c r="BM98" s="256">
        <f>IF($BC98=Lookup!$A$2,$BD98*ROUNDUP(BE98/10,0)+1,
IF($BC98=Lookup!$A$3,($BD98+1)^BD98,
IF($BC98=Lookup!$A$4,BE98*$BD98+1,"Error")))</f>
        <v>1</v>
      </c>
      <c r="BN98" s="229">
        <f>IF($BC98=Lookup!$A$2,$BD98*ROUNDUP(BF98/10,0)+1,
IF($BC98=Lookup!$A$3,($BD98+1)^BE98,
IF($BC98=Lookup!$A$4,BF98*$BD98+1,"Error")))</f>
        <v>1</v>
      </c>
      <c r="BO98" s="229">
        <f>IF($BC98=Lookup!$A$2,$BD98*ROUNDUP(BG98/10,0)+1,
IF($BC98=Lookup!$A$3,($BD98+1)^BF98,
IF($BC98=Lookup!$A$4,BG98*$BD98+1,"Error")))</f>
        <v>1</v>
      </c>
      <c r="BP98" s="229">
        <f>IF($BC98=Lookup!$A$2,$BD98*ROUNDUP(BH98/10,0)+1,
IF($BC98=Lookup!$A$3,($BD98+1)^BG98,
IF($BC98=Lookup!$A$4,BH98*$BD98+1,"Error")))</f>
        <v>1</v>
      </c>
      <c r="BQ98" s="229">
        <f>IF($BC98=Lookup!$A$2,$BD98*ROUNDUP(BI98/10,0)+1,
IF($BC98=Lookup!$A$3,($BD98+1)^BH98,
IF($BC98=Lookup!$A$4,BI98*$BD98+1,"Error")))</f>
        <v>1</v>
      </c>
      <c r="BR98" s="229">
        <f>IF($BC98=Lookup!$A$2,$BD98*ROUNDUP(BJ98/10,0)+1,
IF($BC98=Lookup!$A$3,($BD98+1)^BI98,
IF($BC98=Lookup!$A$4,BJ98*$BD98+1,"Error")))</f>
        <v>1</v>
      </c>
      <c r="BS98" s="229">
        <f>IF($BC98=Lookup!$A$2,$BD98*ROUNDUP(BK98/10,0)+1,
IF($BC98=Lookup!$A$3,($BD98+1)^BJ98,
IF($BC98=Lookup!$A$4,BK98*$BD98+1,"Error")))</f>
        <v>1</v>
      </c>
      <c r="BT98" s="249">
        <f>IF($BC98=Lookup!$A$2,$BD98*ROUNDUP(BL98/10,0)+1,
IF($BC98=Lookup!$A$3,($BD98+1)^BK98,
IF($BC98=Lookup!$A$4,BL98*$BD98+1,"Error")))</f>
        <v>1</v>
      </c>
      <c r="BU98" s="320">
        <v>0</v>
      </c>
      <c r="BV98" s="321">
        <v>0</v>
      </c>
      <c r="BW98" s="321">
        <v>0</v>
      </c>
      <c r="BX98" s="321">
        <v>0</v>
      </c>
      <c r="BY98" s="321">
        <v>0</v>
      </c>
      <c r="BZ98" s="321">
        <v>0</v>
      </c>
      <c r="CA98" s="321">
        <v>0</v>
      </c>
      <c r="CB98" s="277">
        <v>0</v>
      </c>
      <c r="CC98" s="382" t="s">
        <v>293</v>
      </c>
      <c r="CD98" s="383">
        <f>HLOOKUP($CC98,$AK$6:$AM$132,ROWS(CD$6:CD98),0)</f>
        <v>0</v>
      </c>
      <c r="CE98" s="234">
        <f t="shared" si="81"/>
        <v>0</v>
      </c>
      <c r="CF98" s="96">
        <f t="shared" si="81"/>
        <v>0</v>
      </c>
      <c r="CG98" s="521">
        <f t="shared" si="81"/>
        <v>0</v>
      </c>
      <c r="CH98" s="421">
        <f t="shared" si="81"/>
        <v>0</v>
      </c>
      <c r="CI98" s="96">
        <f t="shared" si="50"/>
        <v>0</v>
      </c>
      <c r="CJ98" s="96">
        <f t="shared" si="50"/>
        <v>0</v>
      </c>
      <c r="CK98" s="96">
        <f t="shared" si="50"/>
        <v>0</v>
      </c>
      <c r="CL98" s="286">
        <f t="shared" si="50"/>
        <v>0</v>
      </c>
      <c r="CM98" s="305" t="s">
        <v>293</v>
      </c>
      <c r="CN98" s="315">
        <v>0.05</v>
      </c>
      <c r="CO98" s="306"/>
      <c r="CP98" s="307" t="str">
        <f>IF($CO98&lt;&gt;"",$CO98,HLOOKUP($CM98,$AY$6:$BA$132,ROWS(CP$6:CP98),0))</f>
        <v/>
      </c>
      <c r="CQ98" s="784" t="str">
        <f t="shared" si="78"/>
        <v/>
      </c>
      <c r="CR98" s="784" t="str">
        <f t="shared" si="78"/>
        <v/>
      </c>
      <c r="CS98" s="524" t="str">
        <f t="shared" si="78"/>
        <v/>
      </c>
      <c r="CT98" s="416" t="str">
        <f t="shared" si="78"/>
        <v/>
      </c>
      <c r="CU98" s="97" t="str">
        <f t="shared" si="78"/>
        <v/>
      </c>
      <c r="CV98" s="97" t="str">
        <f t="shared" si="78"/>
        <v/>
      </c>
      <c r="CW98" s="97" t="str">
        <f t="shared" si="78"/>
        <v/>
      </c>
      <c r="CX98" s="98" t="str">
        <f t="shared" si="32"/>
        <v/>
      </c>
      <c r="CY98" s="392"/>
    </row>
    <row r="99" spans="1:103" x14ac:dyDescent="0.25">
      <c r="A99" s="81" t="s">
        <v>196</v>
      </c>
      <c r="B99" s="82" t="s">
        <v>201</v>
      </c>
      <c r="C99" s="83" t="s">
        <v>390</v>
      </c>
      <c r="D99" s="84">
        <v>350555.30257367925</v>
      </c>
      <c r="E99" s="85">
        <v>856367.27551090112</v>
      </c>
      <c r="F99" s="85">
        <v>1425091.7774392413</v>
      </c>
      <c r="G99" s="85">
        <v>381186.51537448773</v>
      </c>
      <c r="H99" s="85">
        <v>-65499.693385398947</v>
      </c>
      <c r="I99" s="85">
        <v>118830.27118830099</v>
      </c>
      <c r="J99" s="85">
        <v>227748.40286717901</v>
      </c>
      <c r="K99" s="85">
        <v>29753.079647160997</v>
      </c>
      <c r="L99" s="85">
        <v>615216.61031064077</v>
      </c>
      <c r="M99" s="654">
        <f>'2022-23 Input'!I99</f>
        <v>720427.76406976813</v>
      </c>
      <c r="N99" s="1065">
        <v>122158.3207962153</v>
      </c>
      <c r="O99" s="560">
        <f t="shared" si="79"/>
        <v>471656.8470791303</v>
      </c>
      <c r="P99" s="561">
        <f t="shared" si="53"/>
        <v>1135055.668259847</v>
      </c>
      <c r="Q99" s="561">
        <f t="shared" si="54"/>
        <v>1869728.6030495882</v>
      </c>
      <c r="R99" s="561">
        <f t="shared" si="55"/>
        <v>490631.54874024302</v>
      </c>
      <c r="S99" s="561">
        <f t="shared" si="56"/>
        <v>-82589.794670261472</v>
      </c>
      <c r="T99" s="561">
        <f t="shared" si="57"/>
        <v>147485.98841554645</v>
      </c>
      <c r="U99" s="561">
        <f t="shared" si="58"/>
        <v>283657.89682573033</v>
      </c>
      <c r="V99" s="561">
        <f t="shared" si="59"/>
        <v>35684.617592365314</v>
      </c>
      <c r="W99" s="675">
        <f t="shared" si="60"/>
        <v>695150.00278245565</v>
      </c>
      <c r="X99" s="675">
        <f t="shared" si="61"/>
        <v>766146.77716009296</v>
      </c>
      <c r="Y99" s="675">
        <f t="shared" si="61"/>
        <v>125517.48885391146</v>
      </c>
      <c r="Z99" s="86">
        <v>44</v>
      </c>
      <c r="AA99" s="87">
        <v>174</v>
      </c>
      <c r="AB99" s="87">
        <v>58</v>
      </c>
      <c r="AC99" s="87">
        <v>102</v>
      </c>
      <c r="AD99" s="87">
        <v>85</v>
      </c>
      <c r="AE99" s="87">
        <v>77</v>
      </c>
      <c r="AF99" s="87">
        <v>62</v>
      </c>
      <c r="AG99" s="87">
        <v>4</v>
      </c>
      <c r="AH99" s="87">
        <v>35</v>
      </c>
      <c r="AI99" s="1094">
        <f>'2022-23 Input'!P99</f>
        <v>23</v>
      </c>
      <c r="AJ99" s="665">
        <v>45.000333333</v>
      </c>
      <c r="AK99" s="88">
        <f t="shared" si="62"/>
        <v>40.200000000000003</v>
      </c>
      <c r="AL99" s="89">
        <f t="shared" si="63"/>
        <v>20.666666666666668</v>
      </c>
      <c r="AM99" s="90">
        <f t="shared" si="64"/>
        <v>23</v>
      </c>
      <c r="AN99" s="91">
        <f t="shared" si="65"/>
        <v>7967.165967583619</v>
      </c>
      <c r="AO99" s="92">
        <f t="shared" si="66"/>
        <v>4921.6510086833396</v>
      </c>
      <c r="AP99" s="92">
        <f t="shared" si="67"/>
        <v>24570.547886883469</v>
      </c>
      <c r="AQ99" s="92">
        <f t="shared" si="68"/>
        <v>3737.1226997498798</v>
      </c>
      <c r="AR99" s="92">
        <f t="shared" si="69"/>
        <v>-770.58462806351702</v>
      </c>
      <c r="AS99" s="92">
        <f t="shared" si="70"/>
        <v>1543.2502751727402</v>
      </c>
      <c r="AT99" s="92">
        <f t="shared" si="71"/>
        <v>3673.3613365674037</v>
      </c>
      <c r="AU99" s="92">
        <f t="shared" si="72"/>
        <v>7438.2699117902494</v>
      </c>
      <c r="AV99" s="92">
        <f t="shared" si="82"/>
        <v>17577.617437446879</v>
      </c>
      <c r="AW99" s="92">
        <f t="shared" si="82"/>
        <v>31322.946263902963</v>
      </c>
      <c r="AX99" s="92">
        <f t="shared" si="82"/>
        <v>2714.609242830501</v>
      </c>
      <c r="AY99" s="93">
        <f t="shared" si="74"/>
        <v>8517.2941695674126</v>
      </c>
      <c r="AZ99" s="94">
        <f t="shared" si="75"/>
        <v>22022.539581089837</v>
      </c>
      <c r="BA99" s="95">
        <f t="shared" si="76"/>
        <v>31322.946263902963</v>
      </c>
      <c r="BB99" s="248" t="s">
        <v>422</v>
      </c>
      <c r="BC99" s="229" t="s">
        <v>433</v>
      </c>
      <c r="BD99" s="249">
        <v>0</v>
      </c>
      <c r="BE99" s="267">
        <f t="shared" si="80"/>
        <v>0</v>
      </c>
      <c r="BF99" s="268">
        <f t="shared" si="83"/>
        <v>0</v>
      </c>
      <c r="BG99" s="268">
        <f t="shared" si="83"/>
        <v>0</v>
      </c>
      <c r="BH99" s="268">
        <f t="shared" si="83"/>
        <v>1</v>
      </c>
      <c r="BI99" s="268">
        <f t="shared" si="83"/>
        <v>2</v>
      </c>
      <c r="BJ99" s="268">
        <f t="shared" si="83"/>
        <v>3</v>
      </c>
      <c r="BK99" s="268">
        <f t="shared" si="83"/>
        <v>4</v>
      </c>
      <c r="BL99" s="269">
        <f t="shared" si="83"/>
        <v>5</v>
      </c>
      <c r="BM99" s="256">
        <f>IF($BC99=Lookup!$A$2,$BD99*ROUNDUP(BE99/10,0)+1,
IF($BC99=Lookup!$A$3,($BD99+1)^BD99,
IF($BC99=Lookup!$A$4,BE99*$BD99+1,"Error")))</f>
        <v>1</v>
      </c>
      <c r="BN99" s="229">
        <f>IF($BC99=Lookup!$A$2,$BD99*ROUNDUP(BF99/10,0)+1,
IF($BC99=Lookup!$A$3,($BD99+1)^BE99,
IF($BC99=Lookup!$A$4,BF99*$BD99+1,"Error")))</f>
        <v>1</v>
      </c>
      <c r="BO99" s="229">
        <f>IF($BC99=Lookup!$A$2,$BD99*ROUNDUP(BG99/10,0)+1,
IF($BC99=Lookup!$A$3,($BD99+1)^BF99,
IF($BC99=Lookup!$A$4,BG99*$BD99+1,"Error")))</f>
        <v>1</v>
      </c>
      <c r="BP99" s="229">
        <f>IF($BC99=Lookup!$A$2,$BD99*ROUNDUP(BH99/10,0)+1,
IF($BC99=Lookup!$A$3,($BD99+1)^BG99,
IF($BC99=Lookup!$A$4,BH99*$BD99+1,"Error")))</f>
        <v>1</v>
      </c>
      <c r="BQ99" s="229">
        <f>IF($BC99=Lookup!$A$2,$BD99*ROUNDUP(BI99/10,0)+1,
IF($BC99=Lookup!$A$3,($BD99+1)^BH99,
IF($BC99=Lookup!$A$4,BI99*$BD99+1,"Error")))</f>
        <v>1</v>
      </c>
      <c r="BR99" s="229">
        <f>IF($BC99=Lookup!$A$2,$BD99*ROUNDUP(BJ99/10,0)+1,
IF($BC99=Lookup!$A$3,($BD99+1)^BI99,
IF($BC99=Lookup!$A$4,BJ99*$BD99+1,"Error")))</f>
        <v>1</v>
      </c>
      <c r="BS99" s="229">
        <f>IF($BC99=Lookup!$A$2,$BD99*ROUNDUP(BK99/10,0)+1,
IF($BC99=Lookup!$A$3,($BD99+1)^BJ99,
IF($BC99=Lookup!$A$4,BK99*$BD99+1,"Error")))</f>
        <v>1</v>
      </c>
      <c r="BT99" s="249">
        <f>IF($BC99=Lookup!$A$2,$BD99*ROUNDUP(BL99/10,0)+1,
IF($BC99=Lookup!$A$3,($BD99+1)^BK99,
IF($BC99=Lookup!$A$4,BL99*$BD99+1,"Error")))</f>
        <v>1</v>
      </c>
      <c r="BU99" s="320">
        <v>0</v>
      </c>
      <c r="BV99" s="321">
        <v>0</v>
      </c>
      <c r="BW99" s="321">
        <v>0</v>
      </c>
      <c r="BX99" s="321">
        <v>0</v>
      </c>
      <c r="BY99" s="321">
        <v>0</v>
      </c>
      <c r="BZ99" s="321">
        <v>0</v>
      </c>
      <c r="CA99" s="321">
        <v>0</v>
      </c>
      <c r="CB99" s="277">
        <v>0</v>
      </c>
      <c r="CC99" s="382" t="s">
        <v>293</v>
      </c>
      <c r="CD99" s="383">
        <f>HLOOKUP($CC99,$AK$6:$AM$132,ROWS(CD$6:CD99),0)</f>
        <v>20.666666666666668</v>
      </c>
      <c r="CE99" s="234">
        <f t="shared" si="81"/>
        <v>0</v>
      </c>
      <c r="CF99" s="96">
        <f t="shared" si="81"/>
        <v>0</v>
      </c>
      <c r="CG99" s="521">
        <f t="shared" si="81"/>
        <v>0</v>
      </c>
      <c r="CH99" s="421">
        <f t="shared" si="81"/>
        <v>0</v>
      </c>
      <c r="CI99" s="96">
        <f t="shared" si="50"/>
        <v>0</v>
      </c>
      <c r="CJ99" s="96">
        <f t="shared" si="50"/>
        <v>0</v>
      </c>
      <c r="CK99" s="96">
        <f t="shared" si="50"/>
        <v>0</v>
      </c>
      <c r="CL99" s="286">
        <f t="shared" si="50"/>
        <v>0</v>
      </c>
      <c r="CM99" s="305" t="s">
        <v>293</v>
      </c>
      <c r="CN99" s="315">
        <v>0.05</v>
      </c>
      <c r="CO99" s="306"/>
      <c r="CP99" s="307">
        <f>IF($CO99&lt;&gt;"",$CO99,HLOOKUP($CM99,$AY$6:$BA$132,ROWS(CP$6:CP99),0))</f>
        <v>22022.539581089837</v>
      </c>
      <c r="CQ99" s="784">
        <f t="shared" si="78"/>
        <v>0</v>
      </c>
      <c r="CR99" s="784">
        <f t="shared" si="78"/>
        <v>0</v>
      </c>
      <c r="CS99" s="524">
        <f t="shared" si="78"/>
        <v>0</v>
      </c>
      <c r="CT99" s="416">
        <f t="shared" si="78"/>
        <v>0</v>
      </c>
      <c r="CU99" s="97">
        <f t="shared" si="78"/>
        <v>0</v>
      </c>
      <c r="CV99" s="97">
        <f t="shared" si="78"/>
        <v>0</v>
      </c>
      <c r="CW99" s="97">
        <f t="shared" si="78"/>
        <v>0</v>
      </c>
      <c r="CX99" s="98">
        <f t="shared" si="32"/>
        <v>0</v>
      </c>
      <c r="CY99" s="392"/>
    </row>
    <row r="100" spans="1:103" x14ac:dyDescent="0.25">
      <c r="A100" s="81" t="s">
        <v>196</v>
      </c>
      <c r="B100" s="82" t="s">
        <v>203</v>
      </c>
      <c r="C100" s="83" t="s">
        <v>391</v>
      </c>
      <c r="D100" s="84">
        <v>1919.0313466547523</v>
      </c>
      <c r="E100" s="85">
        <v>79135.40392256144</v>
      </c>
      <c r="F100" s="85">
        <v>-3647.9278295300901</v>
      </c>
      <c r="G100" s="85">
        <v>-51244.970871593454</v>
      </c>
      <c r="H100" s="85">
        <v>-96386.993884744355</v>
      </c>
      <c r="I100" s="85">
        <v>31333.983797670004</v>
      </c>
      <c r="J100" s="85">
        <v>671827.87528079806</v>
      </c>
      <c r="K100" s="85">
        <v>122244.159844101</v>
      </c>
      <c r="L100" s="85">
        <v>97286.103456156008</v>
      </c>
      <c r="M100" s="654">
        <f>'2022-23 Input'!I100</f>
        <v>68892.523220001007</v>
      </c>
      <c r="N100" s="1065">
        <v>804.06900000000007</v>
      </c>
      <c r="O100" s="560">
        <f t="shared" si="79"/>
        <v>2581.9728521121433</v>
      </c>
      <c r="P100" s="561">
        <f t="shared" si="53"/>
        <v>104888.51144942248</v>
      </c>
      <c r="Q100" s="561">
        <f t="shared" si="54"/>
        <v>-4786.1022796644475</v>
      </c>
      <c r="R100" s="561">
        <f t="shared" si="55"/>
        <v>-65958.260352357887</v>
      </c>
      <c r="S100" s="561">
        <f t="shared" si="56"/>
        <v>-121536.17249755462</v>
      </c>
      <c r="T100" s="561">
        <f t="shared" si="57"/>
        <v>38890.120549106803</v>
      </c>
      <c r="U100" s="561">
        <f t="shared" si="58"/>
        <v>836753.53913321928</v>
      </c>
      <c r="V100" s="561">
        <f t="shared" si="59"/>
        <v>146614.60758577182</v>
      </c>
      <c r="W100" s="675">
        <f t="shared" si="60"/>
        <v>109926.21778221098</v>
      </c>
      <c r="X100" s="675">
        <f t="shared" si="61"/>
        <v>73264.506544363438</v>
      </c>
      <c r="Y100" s="675">
        <f t="shared" si="61"/>
        <v>826.17967476516424</v>
      </c>
      <c r="Z100" s="86">
        <v>1</v>
      </c>
      <c r="AA100" s="87">
        <v>4</v>
      </c>
      <c r="AB100" s="87">
        <v>4</v>
      </c>
      <c r="AC100" s="87">
        <v>0</v>
      </c>
      <c r="AD100" s="87">
        <v>0</v>
      </c>
      <c r="AE100" s="87">
        <v>1</v>
      </c>
      <c r="AF100" s="87">
        <v>3</v>
      </c>
      <c r="AG100" s="87">
        <v>3</v>
      </c>
      <c r="AH100" s="87">
        <v>3</v>
      </c>
      <c r="AI100" s="1094">
        <f>'2022-23 Input'!P100</f>
        <v>3</v>
      </c>
      <c r="AJ100" s="665">
        <v>1</v>
      </c>
      <c r="AK100" s="88">
        <f t="shared" si="62"/>
        <v>2.6</v>
      </c>
      <c r="AL100" s="89">
        <f t="shared" si="63"/>
        <v>3</v>
      </c>
      <c r="AM100" s="90">
        <f t="shared" si="64"/>
        <v>3</v>
      </c>
      <c r="AN100" s="91">
        <f t="shared" si="65"/>
        <v>1919.0313466547523</v>
      </c>
      <c r="AO100" s="92">
        <f t="shared" si="66"/>
        <v>19783.85098064036</v>
      </c>
      <c r="AP100" s="92">
        <f t="shared" si="67"/>
        <v>-911.98195738252252</v>
      </c>
      <c r="AQ100" s="92" t="str">
        <f t="shared" si="68"/>
        <v/>
      </c>
      <c r="AR100" s="92" t="str">
        <f t="shared" si="69"/>
        <v/>
      </c>
      <c r="AS100" s="92">
        <f t="shared" si="70"/>
        <v>31333.983797670004</v>
      </c>
      <c r="AT100" s="92">
        <f t="shared" si="71"/>
        <v>223942.62509359934</v>
      </c>
      <c r="AU100" s="92">
        <f t="shared" si="72"/>
        <v>40748.053281367</v>
      </c>
      <c r="AV100" s="92">
        <f t="shared" si="82"/>
        <v>32428.701152052003</v>
      </c>
      <c r="AW100" s="92">
        <f t="shared" si="82"/>
        <v>22964.174406667003</v>
      </c>
      <c r="AX100" s="92">
        <f t="shared" si="82"/>
        <v>804.06900000000007</v>
      </c>
      <c r="AY100" s="93">
        <f t="shared" si="74"/>
        <v>76275.741969132767</v>
      </c>
      <c r="AZ100" s="94">
        <f t="shared" si="75"/>
        <v>32046.976280028666</v>
      </c>
      <c r="BA100" s="95">
        <f t="shared" si="76"/>
        <v>22964.174406667003</v>
      </c>
      <c r="BB100" s="248" t="s">
        <v>422</v>
      </c>
      <c r="BC100" s="229" t="s">
        <v>433</v>
      </c>
      <c r="BD100" s="249">
        <v>0</v>
      </c>
      <c r="BE100" s="267">
        <f t="shared" si="80"/>
        <v>0</v>
      </c>
      <c r="BF100" s="268">
        <f t="shared" si="83"/>
        <v>0</v>
      </c>
      <c r="BG100" s="268">
        <f t="shared" si="83"/>
        <v>0</v>
      </c>
      <c r="BH100" s="268">
        <f t="shared" si="83"/>
        <v>1</v>
      </c>
      <c r="BI100" s="268">
        <f t="shared" si="83"/>
        <v>2</v>
      </c>
      <c r="BJ100" s="268">
        <f t="shared" si="83"/>
        <v>3</v>
      </c>
      <c r="BK100" s="268">
        <f t="shared" si="83"/>
        <v>4</v>
      </c>
      <c r="BL100" s="269">
        <f t="shared" si="83"/>
        <v>5</v>
      </c>
      <c r="BM100" s="256">
        <f>IF($BC100=Lookup!$A$2,$BD100*ROUNDUP(BE100/10,0)+1,
IF($BC100=Lookup!$A$3,($BD100+1)^BD100,
IF($BC100=Lookup!$A$4,BE100*$BD100+1,"Error")))</f>
        <v>1</v>
      </c>
      <c r="BN100" s="229">
        <f>IF($BC100=Lookup!$A$2,$BD100*ROUNDUP(BF100/10,0)+1,
IF($BC100=Lookup!$A$3,($BD100+1)^BE100,
IF($BC100=Lookup!$A$4,BF100*$BD100+1,"Error")))</f>
        <v>1</v>
      </c>
      <c r="BO100" s="229">
        <f>IF($BC100=Lookup!$A$2,$BD100*ROUNDUP(BG100/10,0)+1,
IF($BC100=Lookup!$A$3,($BD100+1)^BF100,
IF($BC100=Lookup!$A$4,BG100*$BD100+1,"Error")))</f>
        <v>1</v>
      </c>
      <c r="BP100" s="229">
        <f>IF($BC100=Lookup!$A$2,$BD100*ROUNDUP(BH100/10,0)+1,
IF($BC100=Lookup!$A$3,($BD100+1)^BG100,
IF($BC100=Lookup!$A$4,BH100*$BD100+1,"Error")))</f>
        <v>1</v>
      </c>
      <c r="BQ100" s="229">
        <f>IF($BC100=Lookup!$A$2,$BD100*ROUNDUP(BI100/10,0)+1,
IF($BC100=Lookup!$A$3,($BD100+1)^BH100,
IF($BC100=Lookup!$A$4,BI100*$BD100+1,"Error")))</f>
        <v>1</v>
      </c>
      <c r="BR100" s="229">
        <f>IF($BC100=Lookup!$A$2,$BD100*ROUNDUP(BJ100/10,0)+1,
IF($BC100=Lookup!$A$3,($BD100+1)^BI100,
IF($BC100=Lookup!$A$4,BJ100*$BD100+1,"Error")))</f>
        <v>1</v>
      </c>
      <c r="BS100" s="229">
        <f>IF($BC100=Lookup!$A$2,$BD100*ROUNDUP(BK100/10,0)+1,
IF($BC100=Lookup!$A$3,($BD100+1)^BJ100,
IF($BC100=Lookup!$A$4,BK100*$BD100+1,"Error")))</f>
        <v>1</v>
      </c>
      <c r="BT100" s="249">
        <f>IF($BC100=Lookup!$A$2,$BD100*ROUNDUP(BL100/10,0)+1,
IF($BC100=Lookup!$A$3,($BD100+1)^BK100,
IF($BC100=Lookup!$A$4,BL100*$BD100+1,"Error")))</f>
        <v>1</v>
      </c>
      <c r="BU100" s="320">
        <v>0</v>
      </c>
      <c r="BV100" s="321">
        <v>0</v>
      </c>
      <c r="BW100" s="321">
        <v>0</v>
      </c>
      <c r="BX100" s="321">
        <v>0</v>
      </c>
      <c r="BY100" s="321">
        <v>0</v>
      </c>
      <c r="BZ100" s="321">
        <v>0</v>
      </c>
      <c r="CA100" s="321">
        <v>0</v>
      </c>
      <c r="CB100" s="277">
        <v>0</v>
      </c>
      <c r="CC100" s="382" t="s">
        <v>293</v>
      </c>
      <c r="CD100" s="383">
        <f>HLOOKUP($CC100,$AK$6:$AM$132,ROWS(CD$6:CD100),0)</f>
        <v>3</v>
      </c>
      <c r="CE100" s="234">
        <f t="shared" si="81"/>
        <v>0</v>
      </c>
      <c r="CF100" s="96">
        <f t="shared" si="81"/>
        <v>0</v>
      </c>
      <c r="CG100" s="521">
        <f t="shared" si="81"/>
        <v>0</v>
      </c>
      <c r="CH100" s="421">
        <f t="shared" si="81"/>
        <v>0</v>
      </c>
      <c r="CI100" s="96">
        <f t="shared" si="50"/>
        <v>0</v>
      </c>
      <c r="CJ100" s="96">
        <f t="shared" si="50"/>
        <v>0</v>
      </c>
      <c r="CK100" s="96">
        <f t="shared" si="50"/>
        <v>0</v>
      </c>
      <c r="CL100" s="286">
        <f t="shared" si="50"/>
        <v>0</v>
      </c>
      <c r="CM100" s="305" t="s">
        <v>293</v>
      </c>
      <c r="CN100" s="315">
        <v>0.05</v>
      </c>
      <c r="CO100" s="306"/>
      <c r="CP100" s="307">
        <f>IF($CO100&lt;&gt;"",$CO100,HLOOKUP($CM100,$AY$6:$BA$132,ROWS(CP$6:CP100),0))</f>
        <v>32046.976280028666</v>
      </c>
      <c r="CQ100" s="784">
        <f t="shared" si="78"/>
        <v>0</v>
      </c>
      <c r="CR100" s="784">
        <f t="shared" si="78"/>
        <v>0</v>
      </c>
      <c r="CS100" s="524">
        <f t="shared" si="78"/>
        <v>0</v>
      </c>
      <c r="CT100" s="416">
        <f t="shared" si="78"/>
        <v>0</v>
      </c>
      <c r="CU100" s="97">
        <f t="shared" si="78"/>
        <v>0</v>
      </c>
      <c r="CV100" s="97">
        <f t="shared" si="78"/>
        <v>0</v>
      </c>
      <c r="CW100" s="97">
        <f t="shared" si="78"/>
        <v>0</v>
      </c>
      <c r="CX100" s="98">
        <f t="shared" si="32"/>
        <v>0</v>
      </c>
      <c r="CY100" s="392"/>
    </row>
    <row r="101" spans="1:103" x14ac:dyDescent="0.25">
      <c r="A101" s="81" t="s">
        <v>196</v>
      </c>
      <c r="B101" s="82" t="s">
        <v>205</v>
      </c>
      <c r="C101" s="83" t="s">
        <v>206</v>
      </c>
      <c r="D101" s="84">
        <v>14347.195339898703</v>
      </c>
      <c r="E101" s="85">
        <v>-1849.5393588625157</v>
      </c>
      <c r="F101" s="85">
        <v>30254.19242976408</v>
      </c>
      <c r="G101" s="85">
        <v>213075.19213800534</v>
      </c>
      <c r="H101" s="85">
        <v>-14369.620480406782</v>
      </c>
      <c r="I101" s="85">
        <v>17065.05</v>
      </c>
      <c r="J101" s="85">
        <v>402255.41017261299</v>
      </c>
      <c r="K101" s="85">
        <v>0</v>
      </c>
      <c r="L101" s="85">
        <v>51156.251634908003</v>
      </c>
      <c r="M101" s="654">
        <f>'2022-23 Input'!I101</f>
        <v>0</v>
      </c>
      <c r="N101" s="1065">
        <v>3159.1059999999998</v>
      </c>
      <c r="O101" s="560">
        <f t="shared" si="79"/>
        <v>19303.524632957859</v>
      </c>
      <c r="P101" s="561">
        <f t="shared" si="53"/>
        <v>-2451.436659223275</v>
      </c>
      <c r="Q101" s="561">
        <f t="shared" si="54"/>
        <v>39693.674360918805</v>
      </c>
      <c r="R101" s="561">
        <f t="shared" si="55"/>
        <v>274252.64876982901</v>
      </c>
      <c r="S101" s="561">
        <f t="shared" si="56"/>
        <v>-18118.924587682657</v>
      </c>
      <c r="T101" s="561">
        <f t="shared" si="57"/>
        <v>21180.257702369941</v>
      </c>
      <c r="U101" s="561">
        <f t="shared" si="58"/>
        <v>501004.27577039378</v>
      </c>
      <c r="V101" s="561">
        <f t="shared" si="59"/>
        <v>0</v>
      </c>
      <c r="W101" s="675">
        <f t="shared" si="60"/>
        <v>57802.84191025074</v>
      </c>
      <c r="X101" s="675">
        <f t="shared" si="61"/>
        <v>0</v>
      </c>
      <c r="Y101" s="675">
        <f t="shared" si="61"/>
        <v>3245.9766109981588</v>
      </c>
      <c r="Z101" s="86">
        <v>0</v>
      </c>
      <c r="AA101" s="87">
        <v>0</v>
      </c>
      <c r="AB101" s="87">
        <v>1</v>
      </c>
      <c r="AC101" s="87">
        <v>6</v>
      </c>
      <c r="AD101" s="87">
        <v>0</v>
      </c>
      <c r="AE101" s="87">
        <v>0</v>
      </c>
      <c r="AF101" s="87">
        <v>0</v>
      </c>
      <c r="AG101" s="87">
        <v>0</v>
      </c>
      <c r="AH101" s="87">
        <v>9</v>
      </c>
      <c r="AI101" s="1094">
        <f>'2022-23 Input'!P101</f>
        <v>0</v>
      </c>
      <c r="AJ101" s="665">
        <v>0</v>
      </c>
      <c r="AK101" s="88">
        <f t="shared" si="62"/>
        <v>1.8</v>
      </c>
      <c r="AL101" s="89">
        <f t="shared" si="63"/>
        <v>3</v>
      </c>
      <c r="AM101" s="90">
        <f t="shared" si="64"/>
        <v>0</v>
      </c>
      <c r="AN101" s="91" t="str">
        <f t="shared" si="65"/>
        <v/>
      </c>
      <c r="AO101" s="92" t="str">
        <f t="shared" si="66"/>
        <v/>
      </c>
      <c r="AP101" s="92">
        <f t="shared" si="67"/>
        <v>30254.19242976408</v>
      </c>
      <c r="AQ101" s="92">
        <f t="shared" si="68"/>
        <v>35512.532023000887</v>
      </c>
      <c r="AR101" s="92" t="str">
        <f t="shared" si="69"/>
        <v/>
      </c>
      <c r="AS101" s="92" t="str">
        <f t="shared" si="70"/>
        <v/>
      </c>
      <c r="AT101" s="92" t="str">
        <f t="shared" si="71"/>
        <v/>
      </c>
      <c r="AU101" s="92" t="str">
        <f t="shared" si="72"/>
        <v/>
      </c>
      <c r="AV101" s="92">
        <f t="shared" si="82"/>
        <v>5684.0279594342228</v>
      </c>
      <c r="AW101" s="92" t="str">
        <f t="shared" si="82"/>
        <v/>
      </c>
      <c r="AX101" s="92" t="str">
        <f t="shared" si="82"/>
        <v/>
      </c>
      <c r="AY101" s="93">
        <f t="shared" si="74"/>
        <v>52275.19020083567</v>
      </c>
      <c r="AZ101" s="94">
        <f t="shared" si="75"/>
        <v>5684.0279594342228</v>
      </c>
      <c r="BA101" s="95" t="str">
        <f t="shared" si="76"/>
        <v/>
      </c>
      <c r="BB101" s="248" t="s">
        <v>422</v>
      </c>
      <c r="BC101" s="229" t="s">
        <v>433</v>
      </c>
      <c r="BD101" s="249">
        <v>0</v>
      </c>
      <c r="BE101" s="267">
        <f t="shared" si="80"/>
        <v>0</v>
      </c>
      <c r="BF101" s="268">
        <f t="shared" si="83"/>
        <v>0</v>
      </c>
      <c r="BG101" s="268">
        <f t="shared" si="83"/>
        <v>0</v>
      </c>
      <c r="BH101" s="268">
        <f t="shared" si="83"/>
        <v>1</v>
      </c>
      <c r="BI101" s="268">
        <f t="shared" si="83"/>
        <v>2</v>
      </c>
      <c r="BJ101" s="268">
        <f t="shared" si="83"/>
        <v>3</v>
      </c>
      <c r="BK101" s="268">
        <f t="shared" si="83"/>
        <v>4</v>
      </c>
      <c r="BL101" s="269">
        <f t="shared" si="83"/>
        <v>5</v>
      </c>
      <c r="BM101" s="256">
        <f>IF($BC101=Lookup!$A$2,$BD101*ROUNDUP(BE101/10,0)+1,
IF($BC101=Lookup!$A$3,($BD101+1)^BD101,
IF($BC101=Lookup!$A$4,BE101*$BD101+1,"Error")))</f>
        <v>1</v>
      </c>
      <c r="BN101" s="229">
        <f>IF($BC101=Lookup!$A$2,$BD101*ROUNDUP(BF101/10,0)+1,
IF($BC101=Lookup!$A$3,($BD101+1)^BE101,
IF($BC101=Lookup!$A$4,BF101*$BD101+1,"Error")))</f>
        <v>1</v>
      </c>
      <c r="BO101" s="229">
        <f>IF($BC101=Lookup!$A$2,$BD101*ROUNDUP(BG101/10,0)+1,
IF($BC101=Lookup!$A$3,($BD101+1)^BF101,
IF($BC101=Lookup!$A$4,BG101*$BD101+1,"Error")))</f>
        <v>1</v>
      </c>
      <c r="BP101" s="229">
        <f>IF($BC101=Lookup!$A$2,$BD101*ROUNDUP(BH101/10,0)+1,
IF($BC101=Lookup!$A$3,($BD101+1)^BG101,
IF($BC101=Lookup!$A$4,BH101*$BD101+1,"Error")))</f>
        <v>1</v>
      </c>
      <c r="BQ101" s="229">
        <f>IF($BC101=Lookup!$A$2,$BD101*ROUNDUP(BI101/10,0)+1,
IF($BC101=Lookup!$A$3,($BD101+1)^BH101,
IF($BC101=Lookup!$A$4,BI101*$BD101+1,"Error")))</f>
        <v>1</v>
      </c>
      <c r="BR101" s="229">
        <f>IF($BC101=Lookup!$A$2,$BD101*ROUNDUP(BJ101/10,0)+1,
IF($BC101=Lookup!$A$3,($BD101+1)^BI101,
IF($BC101=Lookup!$A$4,BJ101*$BD101+1,"Error")))</f>
        <v>1</v>
      </c>
      <c r="BS101" s="229">
        <f>IF($BC101=Lookup!$A$2,$BD101*ROUNDUP(BK101/10,0)+1,
IF($BC101=Lookup!$A$3,($BD101+1)^BJ101,
IF($BC101=Lookup!$A$4,BK101*$BD101+1,"Error")))</f>
        <v>1</v>
      </c>
      <c r="BT101" s="249">
        <f>IF($BC101=Lookup!$A$2,$BD101*ROUNDUP(BL101/10,0)+1,
IF($BC101=Lookup!$A$3,($BD101+1)^BK101,
IF($BC101=Lookup!$A$4,BL101*$BD101+1,"Error")))</f>
        <v>1</v>
      </c>
      <c r="BU101" s="320">
        <v>0</v>
      </c>
      <c r="BV101" s="321">
        <v>0</v>
      </c>
      <c r="BW101" s="321">
        <v>0</v>
      </c>
      <c r="BX101" s="321">
        <v>0</v>
      </c>
      <c r="BY101" s="321">
        <v>0</v>
      </c>
      <c r="BZ101" s="321">
        <v>0</v>
      </c>
      <c r="CA101" s="321">
        <v>0</v>
      </c>
      <c r="CB101" s="277">
        <v>0</v>
      </c>
      <c r="CC101" s="382" t="s">
        <v>293</v>
      </c>
      <c r="CD101" s="383">
        <f>HLOOKUP($CC101,$AK$6:$AM$132,ROWS(CD$6:CD101),0)</f>
        <v>3</v>
      </c>
      <c r="CE101" s="234">
        <f t="shared" si="81"/>
        <v>0</v>
      </c>
      <c r="CF101" s="96">
        <f t="shared" si="81"/>
        <v>0</v>
      </c>
      <c r="CG101" s="521">
        <f t="shared" si="81"/>
        <v>0</v>
      </c>
      <c r="CH101" s="421">
        <f t="shared" si="81"/>
        <v>0</v>
      </c>
      <c r="CI101" s="96">
        <f t="shared" si="50"/>
        <v>0</v>
      </c>
      <c r="CJ101" s="96">
        <f t="shared" si="50"/>
        <v>0</v>
      </c>
      <c r="CK101" s="96">
        <f t="shared" si="50"/>
        <v>0</v>
      </c>
      <c r="CL101" s="286">
        <f t="shared" si="50"/>
        <v>0</v>
      </c>
      <c r="CM101" s="305" t="s">
        <v>293</v>
      </c>
      <c r="CN101" s="315">
        <v>0.05</v>
      </c>
      <c r="CO101" s="306"/>
      <c r="CP101" s="307">
        <f>IF($CO101&lt;&gt;"",$CO101,HLOOKUP($CM101,$AY$6:$BA$132,ROWS(CP$6:CP101),0))</f>
        <v>5684.0279594342228</v>
      </c>
      <c r="CQ101" s="784">
        <f t="shared" si="78"/>
        <v>0</v>
      </c>
      <c r="CR101" s="784">
        <f t="shared" si="78"/>
        <v>0</v>
      </c>
      <c r="CS101" s="524">
        <f t="shared" si="78"/>
        <v>0</v>
      </c>
      <c r="CT101" s="416">
        <f t="shared" si="78"/>
        <v>0</v>
      </c>
      <c r="CU101" s="97">
        <f t="shared" si="78"/>
        <v>0</v>
      </c>
      <c r="CV101" s="97">
        <f t="shared" si="78"/>
        <v>0</v>
      </c>
      <c r="CW101" s="97">
        <f t="shared" si="78"/>
        <v>0</v>
      </c>
      <c r="CX101" s="98">
        <f t="shared" si="32"/>
        <v>0</v>
      </c>
      <c r="CY101" s="392"/>
    </row>
    <row r="102" spans="1:103" x14ac:dyDescent="0.25">
      <c r="A102" s="81" t="s">
        <v>196</v>
      </c>
      <c r="B102" s="82" t="s">
        <v>207</v>
      </c>
      <c r="C102" s="83" t="s">
        <v>208</v>
      </c>
      <c r="D102" s="84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654">
        <f>'2022-23 Input'!I102</f>
        <v>0</v>
      </c>
      <c r="N102" s="1065">
        <v>0</v>
      </c>
      <c r="O102" s="560">
        <f t="shared" si="79"/>
        <v>0</v>
      </c>
      <c r="P102" s="561">
        <f t="shared" si="53"/>
        <v>0</v>
      </c>
      <c r="Q102" s="561">
        <f t="shared" si="54"/>
        <v>0</v>
      </c>
      <c r="R102" s="561">
        <f t="shared" si="55"/>
        <v>0</v>
      </c>
      <c r="S102" s="561">
        <f t="shared" si="56"/>
        <v>0</v>
      </c>
      <c r="T102" s="561">
        <f t="shared" si="57"/>
        <v>0</v>
      </c>
      <c r="U102" s="561">
        <f t="shared" si="58"/>
        <v>0</v>
      </c>
      <c r="V102" s="561">
        <f t="shared" si="59"/>
        <v>0</v>
      </c>
      <c r="W102" s="675">
        <f t="shared" si="60"/>
        <v>0</v>
      </c>
      <c r="X102" s="675">
        <f t="shared" si="61"/>
        <v>0</v>
      </c>
      <c r="Y102" s="675">
        <f t="shared" si="61"/>
        <v>0</v>
      </c>
      <c r="Z102" s="86">
        <v>0</v>
      </c>
      <c r="AA102" s="87">
        <v>-1</v>
      </c>
      <c r="AB102" s="87">
        <v>0</v>
      </c>
      <c r="AC102" s="87">
        <v>0</v>
      </c>
      <c r="AD102" s="87">
        <v>0</v>
      </c>
      <c r="AE102" s="87">
        <v>0</v>
      </c>
      <c r="AF102" s="87">
        <v>0</v>
      </c>
      <c r="AG102" s="87">
        <v>0</v>
      </c>
      <c r="AH102" s="87">
        <v>0</v>
      </c>
      <c r="AI102" s="1094">
        <f>'2022-23 Input'!P102</f>
        <v>0</v>
      </c>
      <c r="AJ102" s="665">
        <v>0</v>
      </c>
      <c r="AK102" s="88">
        <f t="shared" si="62"/>
        <v>0</v>
      </c>
      <c r="AL102" s="89">
        <f t="shared" si="63"/>
        <v>0</v>
      </c>
      <c r="AM102" s="90">
        <f t="shared" si="64"/>
        <v>0</v>
      </c>
      <c r="AN102" s="91" t="str">
        <f t="shared" si="65"/>
        <v/>
      </c>
      <c r="AO102" s="92">
        <f t="shared" si="66"/>
        <v>0</v>
      </c>
      <c r="AP102" s="92" t="str">
        <f t="shared" si="67"/>
        <v/>
      </c>
      <c r="AQ102" s="92" t="str">
        <f t="shared" si="68"/>
        <v/>
      </c>
      <c r="AR102" s="92" t="str">
        <f t="shared" si="69"/>
        <v/>
      </c>
      <c r="AS102" s="92" t="str">
        <f t="shared" si="70"/>
        <v/>
      </c>
      <c r="AT102" s="92" t="str">
        <f t="shared" si="71"/>
        <v/>
      </c>
      <c r="AU102" s="92" t="str">
        <f t="shared" si="72"/>
        <v/>
      </c>
      <c r="AV102" s="92" t="str">
        <f t="shared" si="82"/>
        <v/>
      </c>
      <c r="AW102" s="92" t="str">
        <f t="shared" si="82"/>
        <v/>
      </c>
      <c r="AX102" s="92" t="str">
        <f t="shared" si="82"/>
        <v/>
      </c>
      <c r="AY102" s="93" t="str">
        <f t="shared" si="74"/>
        <v/>
      </c>
      <c r="AZ102" s="94" t="str">
        <f t="shared" si="75"/>
        <v/>
      </c>
      <c r="BA102" s="95" t="str">
        <f t="shared" si="76"/>
        <v/>
      </c>
      <c r="BB102" s="248" t="s">
        <v>422</v>
      </c>
      <c r="BC102" s="229" t="s">
        <v>433</v>
      </c>
      <c r="BD102" s="249">
        <v>0</v>
      </c>
      <c r="BE102" s="267">
        <f t="shared" si="80"/>
        <v>0</v>
      </c>
      <c r="BF102" s="268">
        <f t="shared" si="83"/>
        <v>0</v>
      </c>
      <c r="BG102" s="268">
        <f t="shared" si="83"/>
        <v>0</v>
      </c>
      <c r="BH102" s="268">
        <f t="shared" si="83"/>
        <v>1</v>
      </c>
      <c r="BI102" s="268">
        <f t="shared" si="83"/>
        <v>2</v>
      </c>
      <c r="BJ102" s="268">
        <f t="shared" si="83"/>
        <v>3</v>
      </c>
      <c r="BK102" s="268">
        <f t="shared" si="83"/>
        <v>4</v>
      </c>
      <c r="BL102" s="269">
        <f t="shared" si="83"/>
        <v>5</v>
      </c>
      <c r="BM102" s="256">
        <f>IF($BC102=Lookup!$A$2,$BD102*ROUNDUP(BE102/10,0)+1,
IF($BC102=Lookup!$A$3,($BD102+1)^BD102,
IF($BC102=Lookup!$A$4,BE102*$BD102+1,"Error")))</f>
        <v>1</v>
      </c>
      <c r="BN102" s="229">
        <f>IF($BC102=Lookup!$A$2,$BD102*ROUNDUP(BF102/10,0)+1,
IF($BC102=Lookup!$A$3,($BD102+1)^BE102,
IF($BC102=Lookup!$A$4,BF102*$BD102+1,"Error")))</f>
        <v>1</v>
      </c>
      <c r="BO102" s="229">
        <f>IF($BC102=Lookup!$A$2,$BD102*ROUNDUP(BG102/10,0)+1,
IF($BC102=Lookup!$A$3,($BD102+1)^BF102,
IF($BC102=Lookup!$A$4,BG102*$BD102+1,"Error")))</f>
        <v>1</v>
      </c>
      <c r="BP102" s="229">
        <f>IF($BC102=Lookup!$A$2,$BD102*ROUNDUP(BH102/10,0)+1,
IF($BC102=Lookup!$A$3,($BD102+1)^BG102,
IF($BC102=Lookup!$A$4,BH102*$BD102+1,"Error")))</f>
        <v>1</v>
      </c>
      <c r="BQ102" s="229">
        <f>IF($BC102=Lookup!$A$2,$BD102*ROUNDUP(BI102/10,0)+1,
IF($BC102=Lookup!$A$3,($BD102+1)^BH102,
IF($BC102=Lookup!$A$4,BI102*$BD102+1,"Error")))</f>
        <v>1</v>
      </c>
      <c r="BR102" s="229">
        <f>IF($BC102=Lookup!$A$2,$BD102*ROUNDUP(BJ102/10,0)+1,
IF($BC102=Lookup!$A$3,($BD102+1)^BI102,
IF($BC102=Lookup!$A$4,BJ102*$BD102+1,"Error")))</f>
        <v>1</v>
      </c>
      <c r="BS102" s="229">
        <f>IF($BC102=Lookup!$A$2,$BD102*ROUNDUP(BK102/10,0)+1,
IF($BC102=Lookup!$A$3,($BD102+1)^BJ102,
IF($BC102=Lookup!$A$4,BK102*$BD102+1,"Error")))</f>
        <v>1</v>
      </c>
      <c r="BT102" s="249">
        <f>IF($BC102=Lookup!$A$2,$BD102*ROUNDUP(BL102/10,0)+1,
IF($BC102=Lookup!$A$3,($BD102+1)^BK102,
IF($BC102=Lookup!$A$4,BL102*$BD102+1,"Error")))</f>
        <v>1</v>
      </c>
      <c r="BU102" s="320">
        <v>0</v>
      </c>
      <c r="BV102" s="321">
        <v>0</v>
      </c>
      <c r="BW102" s="321">
        <v>0</v>
      </c>
      <c r="BX102" s="321">
        <v>0</v>
      </c>
      <c r="BY102" s="321">
        <v>0</v>
      </c>
      <c r="BZ102" s="321">
        <v>0</v>
      </c>
      <c r="CA102" s="321">
        <v>0</v>
      </c>
      <c r="CB102" s="277">
        <v>0</v>
      </c>
      <c r="CC102" s="382" t="s">
        <v>293</v>
      </c>
      <c r="CD102" s="383">
        <f>HLOOKUP($CC102,$AK$6:$AM$132,ROWS(CD$6:CD102),0)</f>
        <v>0</v>
      </c>
      <c r="CE102" s="234">
        <f t="shared" si="81"/>
        <v>0</v>
      </c>
      <c r="CF102" s="96">
        <f t="shared" si="81"/>
        <v>0</v>
      </c>
      <c r="CG102" s="521">
        <f t="shared" si="81"/>
        <v>0</v>
      </c>
      <c r="CH102" s="421">
        <f t="shared" si="81"/>
        <v>0</v>
      </c>
      <c r="CI102" s="96">
        <f t="shared" si="50"/>
        <v>0</v>
      </c>
      <c r="CJ102" s="96">
        <f t="shared" si="50"/>
        <v>0</v>
      </c>
      <c r="CK102" s="96">
        <f t="shared" si="50"/>
        <v>0</v>
      </c>
      <c r="CL102" s="286">
        <f t="shared" si="50"/>
        <v>0</v>
      </c>
      <c r="CM102" s="305" t="s">
        <v>293</v>
      </c>
      <c r="CN102" s="315">
        <v>0.05</v>
      </c>
      <c r="CO102" s="306"/>
      <c r="CP102" s="307" t="str">
        <f>IF($CO102&lt;&gt;"",$CO102,HLOOKUP($CM102,$AY$6:$BA$132,ROWS(CP$6:CP102),0))</f>
        <v/>
      </c>
      <c r="CQ102" s="784" t="str">
        <f t="shared" si="78"/>
        <v/>
      </c>
      <c r="CR102" s="784" t="str">
        <f t="shared" si="78"/>
        <v/>
      </c>
      <c r="CS102" s="524" t="str">
        <f t="shared" si="78"/>
        <v/>
      </c>
      <c r="CT102" s="416" t="str">
        <f t="shared" si="78"/>
        <v/>
      </c>
      <c r="CU102" s="97" t="str">
        <f t="shared" si="78"/>
        <v/>
      </c>
      <c r="CV102" s="97" t="str">
        <f t="shared" si="78"/>
        <v/>
      </c>
      <c r="CW102" s="97" t="str">
        <f t="shared" si="78"/>
        <v/>
      </c>
      <c r="CX102" s="98" t="str">
        <f t="shared" si="78"/>
        <v/>
      </c>
      <c r="CY102" s="392"/>
    </row>
    <row r="103" spans="1:103" x14ac:dyDescent="0.25">
      <c r="A103" s="81" t="s">
        <v>196</v>
      </c>
      <c r="B103" s="82" t="s">
        <v>209</v>
      </c>
      <c r="C103" s="83" t="s">
        <v>210</v>
      </c>
      <c r="D103" s="84">
        <v>144.19134393860804</v>
      </c>
      <c r="E103" s="85">
        <v>-6860.1816465572192</v>
      </c>
      <c r="F103" s="85">
        <v>257313</v>
      </c>
      <c r="G103" s="85">
        <v>0</v>
      </c>
      <c r="H103" s="85">
        <v>0</v>
      </c>
      <c r="I103" s="85">
        <v>0</v>
      </c>
      <c r="J103" s="85">
        <v>0</v>
      </c>
      <c r="K103" s="85">
        <v>618860.29452124797</v>
      </c>
      <c r="L103" s="85">
        <v>373639.68837726902</v>
      </c>
      <c r="M103" s="654">
        <f>'2022-23 Input'!I103</f>
        <v>0</v>
      </c>
      <c r="N103" s="1065">
        <v>0</v>
      </c>
      <c r="O103" s="560">
        <f t="shared" si="79"/>
        <v>194.00315487708912</v>
      </c>
      <c r="P103" s="561">
        <f t="shared" si="53"/>
        <v>-9092.6968905619051</v>
      </c>
      <c r="Q103" s="561">
        <f t="shared" si="54"/>
        <v>337596.13496683066</v>
      </c>
      <c r="R103" s="561">
        <f t="shared" si="55"/>
        <v>0</v>
      </c>
      <c r="S103" s="561">
        <f t="shared" si="56"/>
        <v>0</v>
      </c>
      <c r="T103" s="561">
        <f t="shared" si="57"/>
        <v>0</v>
      </c>
      <c r="U103" s="561">
        <f t="shared" si="58"/>
        <v>0</v>
      </c>
      <c r="V103" s="561">
        <f t="shared" si="59"/>
        <v>742235.53376588074</v>
      </c>
      <c r="W103" s="675">
        <f t="shared" si="60"/>
        <v>422185.65959060559</v>
      </c>
      <c r="X103" s="675">
        <f t="shared" si="61"/>
        <v>0</v>
      </c>
      <c r="Y103" s="675">
        <f t="shared" si="61"/>
        <v>0</v>
      </c>
      <c r="Z103" s="86">
        <v>0</v>
      </c>
      <c r="AA103" s="87">
        <v>0</v>
      </c>
      <c r="AB103" s="87">
        <v>3</v>
      </c>
      <c r="AC103" s="87">
        <v>0</v>
      </c>
      <c r="AD103" s="87">
        <v>0</v>
      </c>
      <c r="AE103" s="87">
        <v>0</v>
      </c>
      <c r="AF103" s="87">
        <v>0</v>
      </c>
      <c r="AG103" s="87">
        <v>1</v>
      </c>
      <c r="AH103" s="87">
        <v>0</v>
      </c>
      <c r="AI103" s="1094">
        <f>'2022-23 Input'!P103</f>
        <v>0</v>
      </c>
      <c r="AJ103" s="665">
        <v>4</v>
      </c>
      <c r="AK103" s="88">
        <f t="shared" ref="AK103:AK132" si="84">IFERROR(IF($AM$4="N",SUM(AD103:AH103)/5,SUM(AE103:AI103)/5),"")</f>
        <v>0.2</v>
      </c>
      <c r="AL103" s="89">
        <f t="shared" ref="AL103:AL132" si="85">IFERROR(IF($AM$4="N",SUM(AF103:AH103)/3,SUM(AG103:AI103)/3),"")</f>
        <v>0.33333333333333331</v>
      </c>
      <c r="AM103" s="90">
        <f t="shared" ref="AM103:AM132" si="86">IFERROR(IF($AM$4="N",AH103,AI103),"")</f>
        <v>0</v>
      </c>
      <c r="AN103" s="91" t="str">
        <f t="shared" ref="AN103:AN132" si="87">IFERROR(D103/Z103,"")</f>
        <v/>
      </c>
      <c r="AO103" s="92" t="str">
        <f t="shared" ref="AO103:AO132" si="88">IFERROR(E103/AA103,"")</f>
        <v/>
      </c>
      <c r="AP103" s="92">
        <f t="shared" ref="AP103:AP132" si="89">IFERROR(F103/AB103,"")</f>
        <v>85771</v>
      </c>
      <c r="AQ103" s="92" t="str">
        <f t="shared" ref="AQ103:AQ132" si="90">IFERROR(G103/AC103,"")</f>
        <v/>
      </c>
      <c r="AR103" s="92" t="str">
        <f t="shared" ref="AR103:AR132" si="91">IFERROR(H103/AD103,"")</f>
        <v/>
      </c>
      <c r="AS103" s="92" t="str">
        <f t="shared" ref="AS103:AS132" si="92">IFERROR(I103/AE103,"")</f>
        <v/>
      </c>
      <c r="AT103" s="92" t="str">
        <f t="shared" ref="AT103:AT132" si="93">IFERROR(J103/AF103,"")</f>
        <v/>
      </c>
      <c r="AU103" s="92">
        <f t="shared" ref="AU103:AU132" si="94">IFERROR(K103/AG103,"")</f>
        <v>618860.29452124797</v>
      </c>
      <c r="AV103" s="92" t="str">
        <f t="shared" ref="AV103:AX118" si="95">IFERROR(L103/AH103,"")</f>
        <v/>
      </c>
      <c r="AW103" s="92" t="str">
        <f t="shared" si="95"/>
        <v/>
      </c>
      <c r="AX103" s="92">
        <f t="shared" si="95"/>
        <v>0</v>
      </c>
      <c r="AY103" s="93">
        <f t="shared" ref="AY103:AY132" si="96">IFERROR(IF($BA$3="N",
IF($BA$4="N",SUM(H103:L103)/SUM(AD103:AH103),SUM(I103:M103)/SUM(AE103:AI103)),
IF($BA$4="N",SUM(S103:W103)/SUM(AD103:AH103),SUM(T103:X103)/SUM(AE103:AI103))),"")</f>
        <v>992499.98289851705</v>
      </c>
      <c r="AZ103" s="94">
        <f t="shared" ref="AZ103:AZ132" si="97">IFERROR(IF($BA$3="N",
IF($BA$4="N",SUM(J103:L103)/SUM(AF103:AH103),SUM(K103:M103)/SUM(AG103:AI103)),
IF($BA$4="N",SUM(U103:W103)/SUM(AF103:AH103),SUM(V103:X103)/SUM(AG103:AI103))),"")</f>
        <v>992499.98289851705</v>
      </c>
      <c r="BA103" s="95" t="str">
        <f t="shared" ref="BA103:BA132" si="98">IFERROR(IF($BA$3="N",
IF($BA$4="N",L103/AH103,M103/AI103),
IF($BA$4="N",W103/AH103,X103/AI103)),"")</f>
        <v/>
      </c>
      <c r="BB103" s="248" t="s">
        <v>422</v>
      </c>
      <c r="BC103" s="229" t="s">
        <v>433</v>
      </c>
      <c r="BD103" s="249">
        <v>0</v>
      </c>
      <c r="BE103" s="267">
        <f t="shared" si="80"/>
        <v>0</v>
      </c>
      <c r="BF103" s="268">
        <f t="shared" ref="BF103:BL118" si="99">IF(BF$6=$BB103,1,
IF(BE103&lt;&gt;0,BE103+1,0
))</f>
        <v>0</v>
      </c>
      <c r="BG103" s="268">
        <f t="shared" si="99"/>
        <v>0</v>
      </c>
      <c r="BH103" s="268">
        <f t="shared" si="99"/>
        <v>1</v>
      </c>
      <c r="BI103" s="268">
        <f t="shared" si="99"/>
        <v>2</v>
      </c>
      <c r="BJ103" s="268">
        <f t="shared" si="99"/>
        <v>3</v>
      </c>
      <c r="BK103" s="268">
        <f t="shared" si="99"/>
        <v>4</v>
      </c>
      <c r="BL103" s="269">
        <f t="shared" si="99"/>
        <v>5</v>
      </c>
      <c r="BM103" s="256">
        <f>IF($BC103=Lookup!$A$2,$BD103*ROUNDUP(BE103/10,0)+1,
IF($BC103=Lookup!$A$3,($BD103+1)^BD103,
IF($BC103=Lookup!$A$4,BE103*$BD103+1,"Error")))</f>
        <v>1</v>
      </c>
      <c r="BN103" s="229">
        <f>IF($BC103=Lookup!$A$2,$BD103*ROUNDUP(BF103/10,0)+1,
IF($BC103=Lookup!$A$3,($BD103+1)^BE103,
IF($BC103=Lookup!$A$4,BF103*$BD103+1,"Error")))</f>
        <v>1</v>
      </c>
      <c r="BO103" s="229">
        <f>IF($BC103=Lookup!$A$2,$BD103*ROUNDUP(BG103/10,0)+1,
IF($BC103=Lookup!$A$3,($BD103+1)^BF103,
IF($BC103=Lookup!$A$4,BG103*$BD103+1,"Error")))</f>
        <v>1</v>
      </c>
      <c r="BP103" s="229">
        <f>IF($BC103=Lookup!$A$2,$BD103*ROUNDUP(BH103/10,0)+1,
IF($BC103=Lookup!$A$3,($BD103+1)^BG103,
IF($BC103=Lookup!$A$4,BH103*$BD103+1,"Error")))</f>
        <v>1</v>
      </c>
      <c r="BQ103" s="229">
        <f>IF($BC103=Lookup!$A$2,$BD103*ROUNDUP(BI103/10,0)+1,
IF($BC103=Lookup!$A$3,($BD103+1)^BH103,
IF($BC103=Lookup!$A$4,BI103*$BD103+1,"Error")))</f>
        <v>1</v>
      </c>
      <c r="BR103" s="229">
        <f>IF($BC103=Lookup!$A$2,$BD103*ROUNDUP(BJ103/10,0)+1,
IF($BC103=Lookup!$A$3,($BD103+1)^BI103,
IF($BC103=Lookup!$A$4,BJ103*$BD103+1,"Error")))</f>
        <v>1</v>
      </c>
      <c r="BS103" s="229">
        <f>IF($BC103=Lookup!$A$2,$BD103*ROUNDUP(BK103/10,0)+1,
IF($BC103=Lookup!$A$3,($BD103+1)^BJ103,
IF($BC103=Lookup!$A$4,BK103*$BD103+1,"Error")))</f>
        <v>1</v>
      </c>
      <c r="BT103" s="249">
        <f>IF($BC103=Lookup!$A$2,$BD103*ROUNDUP(BL103/10,0)+1,
IF($BC103=Lookup!$A$3,($BD103+1)^BK103,
IF($BC103=Lookup!$A$4,BL103*$BD103+1,"Error")))</f>
        <v>1</v>
      </c>
      <c r="BU103" s="320">
        <v>0</v>
      </c>
      <c r="BV103" s="321">
        <v>0</v>
      </c>
      <c r="BW103" s="321">
        <v>0</v>
      </c>
      <c r="BX103" s="321">
        <v>0</v>
      </c>
      <c r="BY103" s="321">
        <v>0</v>
      </c>
      <c r="BZ103" s="321">
        <v>0</v>
      </c>
      <c r="CA103" s="321">
        <v>0</v>
      </c>
      <c r="CB103" s="277">
        <v>0</v>
      </c>
      <c r="CC103" s="382" t="s">
        <v>293</v>
      </c>
      <c r="CD103" s="383">
        <f>HLOOKUP($CC103,$AK$6:$AM$132,ROWS(CD$6:CD103),0)</f>
        <v>0.33333333333333331</v>
      </c>
      <c r="CE103" s="234">
        <f t="shared" si="81"/>
        <v>0</v>
      </c>
      <c r="CF103" s="96">
        <f t="shared" si="81"/>
        <v>0</v>
      </c>
      <c r="CG103" s="521">
        <f t="shared" si="81"/>
        <v>0</v>
      </c>
      <c r="CH103" s="421">
        <f t="shared" si="81"/>
        <v>0</v>
      </c>
      <c r="CI103" s="96">
        <f t="shared" si="50"/>
        <v>0</v>
      </c>
      <c r="CJ103" s="96">
        <f t="shared" si="50"/>
        <v>0</v>
      </c>
      <c r="CK103" s="96">
        <f t="shared" si="50"/>
        <v>0</v>
      </c>
      <c r="CL103" s="286">
        <f t="shared" si="50"/>
        <v>0</v>
      </c>
      <c r="CM103" s="305" t="s">
        <v>293</v>
      </c>
      <c r="CN103" s="315">
        <v>0.05</v>
      </c>
      <c r="CO103" s="306"/>
      <c r="CP103" s="307">
        <f>IF($CO103&lt;&gt;"",$CO103,HLOOKUP($CM103,$AY$6:$BA$132,ROWS(CP$6:CP103),0))</f>
        <v>992499.98289851705</v>
      </c>
      <c r="CQ103" s="784">
        <f t="shared" ref="CQ103:CX132" si="100">IFERROR(CE103*$CP103,"")</f>
        <v>0</v>
      </c>
      <c r="CR103" s="784">
        <f t="shared" si="100"/>
        <v>0</v>
      </c>
      <c r="CS103" s="524">
        <f t="shared" si="100"/>
        <v>0</v>
      </c>
      <c r="CT103" s="416">
        <f t="shared" si="100"/>
        <v>0</v>
      </c>
      <c r="CU103" s="97">
        <f t="shared" si="100"/>
        <v>0</v>
      </c>
      <c r="CV103" s="97">
        <f t="shared" si="100"/>
        <v>0</v>
      </c>
      <c r="CW103" s="97">
        <f t="shared" si="100"/>
        <v>0</v>
      </c>
      <c r="CX103" s="98">
        <f t="shared" si="100"/>
        <v>0</v>
      </c>
      <c r="CY103" s="392"/>
    </row>
    <row r="104" spans="1:103" x14ac:dyDescent="0.25">
      <c r="A104" s="81" t="s">
        <v>196</v>
      </c>
      <c r="B104" s="82" t="s">
        <v>211</v>
      </c>
      <c r="C104" s="83" t="s">
        <v>212</v>
      </c>
      <c r="D104" s="84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489688.91495324398</v>
      </c>
      <c r="M104" s="654">
        <f>'2022-23 Input'!I104</f>
        <v>0</v>
      </c>
      <c r="N104" s="1065">
        <v>0</v>
      </c>
      <c r="O104" s="560">
        <f t="shared" si="79"/>
        <v>0</v>
      </c>
      <c r="P104" s="561">
        <f t="shared" si="53"/>
        <v>0</v>
      </c>
      <c r="Q104" s="561">
        <f t="shared" si="54"/>
        <v>0</v>
      </c>
      <c r="R104" s="561">
        <f t="shared" si="55"/>
        <v>0</v>
      </c>
      <c r="S104" s="561">
        <f t="shared" si="56"/>
        <v>0</v>
      </c>
      <c r="T104" s="561">
        <f t="shared" si="57"/>
        <v>0</v>
      </c>
      <c r="U104" s="561">
        <f t="shared" si="58"/>
        <v>0</v>
      </c>
      <c r="V104" s="561">
        <f t="shared" si="59"/>
        <v>0</v>
      </c>
      <c r="W104" s="675">
        <f t="shared" si="60"/>
        <v>553312.84118028567</v>
      </c>
      <c r="X104" s="675">
        <f t="shared" si="61"/>
        <v>0</v>
      </c>
      <c r="Y104" s="675">
        <f t="shared" si="61"/>
        <v>0</v>
      </c>
      <c r="Z104" s="86">
        <v>0</v>
      </c>
      <c r="AA104" s="87">
        <v>0</v>
      </c>
      <c r="AB104" s="87">
        <v>0</v>
      </c>
      <c r="AC104" s="87">
        <v>0</v>
      </c>
      <c r="AD104" s="87">
        <v>0</v>
      </c>
      <c r="AE104" s="87">
        <v>0</v>
      </c>
      <c r="AF104" s="87">
        <v>0</v>
      </c>
      <c r="AG104" s="87">
        <v>0</v>
      </c>
      <c r="AH104" s="87">
        <v>0</v>
      </c>
      <c r="AI104" s="1094">
        <f>'2022-23 Input'!P104</f>
        <v>0</v>
      </c>
      <c r="AJ104" s="665">
        <v>1</v>
      </c>
      <c r="AK104" s="88">
        <f t="shared" si="84"/>
        <v>0</v>
      </c>
      <c r="AL104" s="89">
        <f t="shared" si="85"/>
        <v>0</v>
      </c>
      <c r="AM104" s="90">
        <f t="shared" si="86"/>
        <v>0</v>
      </c>
      <c r="AN104" s="91" t="str">
        <f t="shared" si="87"/>
        <v/>
      </c>
      <c r="AO104" s="92" t="str">
        <f t="shared" si="88"/>
        <v/>
      </c>
      <c r="AP104" s="92" t="str">
        <f t="shared" si="89"/>
        <v/>
      </c>
      <c r="AQ104" s="92" t="str">
        <f t="shared" si="90"/>
        <v/>
      </c>
      <c r="AR104" s="92" t="str">
        <f t="shared" si="91"/>
        <v/>
      </c>
      <c r="AS104" s="92" t="str">
        <f t="shared" si="92"/>
        <v/>
      </c>
      <c r="AT104" s="92" t="str">
        <f t="shared" si="93"/>
        <v/>
      </c>
      <c r="AU104" s="92" t="str">
        <f t="shared" si="94"/>
        <v/>
      </c>
      <c r="AV104" s="92" t="str">
        <f t="shared" si="95"/>
        <v/>
      </c>
      <c r="AW104" s="92" t="str">
        <f t="shared" si="95"/>
        <v/>
      </c>
      <c r="AX104" s="92">
        <f t="shared" si="95"/>
        <v>0</v>
      </c>
      <c r="AY104" s="93" t="str">
        <f t="shared" si="96"/>
        <v/>
      </c>
      <c r="AZ104" s="94" t="str">
        <f t="shared" si="97"/>
        <v/>
      </c>
      <c r="BA104" s="95" t="str">
        <f t="shared" si="98"/>
        <v/>
      </c>
      <c r="BB104" s="248" t="s">
        <v>422</v>
      </c>
      <c r="BC104" s="229" t="s">
        <v>433</v>
      </c>
      <c r="BD104" s="249">
        <v>0</v>
      </c>
      <c r="BE104" s="267">
        <f t="shared" si="80"/>
        <v>0</v>
      </c>
      <c r="BF104" s="268">
        <f t="shared" si="99"/>
        <v>0</v>
      </c>
      <c r="BG104" s="268">
        <f t="shared" si="99"/>
        <v>0</v>
      </c>
      <c r="BH104" s="268">
        <f t="shared" si="99"/>
        <v>1</v>
      </c>
      <c r="BI104" s="268">
        <f t="shared" si="99"/>
        <v>2</v>
      </c>
      <c r="BJ104" s="268">
        <f t="shared" si="99"/>
        <v>3</v>
      </c>
      <c r="BK104" s="268">
        <f t="shared" si="99"/>
        <v>4</v>
      </c>
      <c r="BL104" s="269">
        <f t="shared" si="99"/>
        <v>5</v>
      </c>
      <c r="BM104" s="256">
        <f>IF($BC104=Lookup!$A$2,$BD104*ROUNDUP(BE104/10,0)+1,
IF($BC104=Lookup!$A$3,($BD104+1)^BD104,
IF($BC104=Lookup!$A$4,BE104*$BD104+1,"Error")))</f>
        <v>1</v>
      </c>
      <c r="BN104" s="229">
        <f>IF($BC104=Lookup!$A$2,$BD104*ROUNDUP(BF104/10,0)+1,
IF($BC104=Lookup!$A$3,($BD104+1)^BE104,
IF($BC104=Lookup!$A$4,BF104*$BD104+1,"Error")))</f>
        <v>1</v>
      </c>
      <c r="BO104" s="229">
        <f>IF($BC104=Lookup!$A$2,$BD104*ROUNDUP(BG104/10,0)+1,
IF($BC104=Lookup!$A$3,($BD104+1)^BF104,
IF($BC104=Lookup!$A$4,BG104*$BD104+1,"Error")))</f>
        <v>1</v>
      </c>
      <c r="BP104" s="229">
        <f>IF($BC104=Lookup!$A$2,$BD104*ROUNDUP(BH104/10,0)+1,
IF($BC104=Lookup!$A$3,($BD104+1)^BG104,
IF($BC104=Lookup!$A$4,BH104*$BD104+1,"Error")))</f>
        <v>1</v>
      </c>
      <c r="BQ104" s="229">
        <f>IF($BC104=Lookup!$A$2,$BD104*ROUNDUP(BI104/10,0)+1,
IF($BC104=Lookup!$A$3,($BD104+1)^BH104,
IF($BC104=Lookup!$A$4,BI104*$BD104+1,"Error")))</f>
        <v>1</v>
      </c>
      <c r="BR104" s="229">
        <f>IF($BC104=Lookup!$A$2,$BD104*ROUNDUP(BJ104/10,0)+1,
IF($BC104=Lookup!$A$3,($BD104+1)^BI104,
IF($BC104=Lookup!$A$4,BJ104*$BD104+1,"Error")))</f>
        <v>1</v>
      </c>
      <c r="BS104" s="229">
        <f>IF($BC104=Lookup!$A$2,$BD104*ROUNDUP(BK104/10,0)+1,
IF($BC104=Lookup!$A$3,($BD104+1)^BJ104,
IF($BC104=Lookup!$A$4,BK104*$BD104+1,"Error")))</f>
        <v>1</v>
      </c>
      <c r="BT104" s="249">
        <f>IF($BC104=Lookup!$A$2,$BD104*ROUNDUP(BL104/10,0)+1,
IF($BC104=Lookup!$A$3,($BD104+1)^BK104,
IF($BC104=Lookup!$A$4,BL104*$BD104+1,"Error")))</f>
        <v>1</v>
      </c>
      <c r="BU104" s="320">
        <v>0</v>
      </c>
      <c r="BV104" s="321">
        <v>0</v>
      </c>
      <c r="BW104" s="321">
        <v>0</v>
      </c>
      <c r="BX104" s="321">
        <v>0</v>
      </c>
      <c r="BY104" s="321">
        <v>0</v>
      </c>
      <c r="BZ104" s="321">
        <v>0</v>
      </c>
      <c r="CA104" s="321">
        <v>0</v>
      </c>
      <c r="CB104" s="277">
        <v>0</v>
      </c>
      <c r="CC104" s="382" t="s">
        <v>293</v>
      </c>
      <c r="CD104" s="383">
        <f>HLOOKUP($CC104,$AK$6:$AM$132,ROWS(CD$6:CD104),0)</f>
        <v>0</v>
      </c>
      <c r="CE104" s="234">
        <f t="shared" si="81"/>
        <v>0</v>
      </c>
      <c r="CF104" s="96">
        <f t="shared" si="81"/>
        <v>0</v>
      </c>
      <c r="CG104" s="521">
        <f t="shared" si="81"/>
        <v>0</v>
      </c>
      <c r="CH104" s="421">
        <f t="shared" si="81"/>
        <v>0</v>
      </c>
      <c r="CI104" s="96">
        <f t="shared" si="50"/>
        <v>0</v>
      </c>
      <c r="CJ104" s="96">
        <f t="shared" si="50"/>
        <v>0</v>
      </c>
      <c r="CK104" s="96">
        <f t="shared" si="50"/>
        <v>0</v>
      </c>
      <c r="CL104" s="286">
        <f t="shared" si="50"/>
        <v>0</v>
      </c>
      <c r="CM104" s="305" t="s">
        <v>293</v>
      </c>
      <c r="CN104" s="315">
        <v>0.05</v>
      </c>
      <c r="CO104" s="306"/>
      <c r="CP104" s="307" t="str">
        <f>IF($CO104&lt;&gt;"",$CO104,HLOOKUP($CM104,$AY$6:$BA$132,ROWS(CP$6:CP104),0))</f>
        <v/>
      </c>
      <c r="CQ104" s="784" t="str">
        <f t="shared" si="100"/>
        <v/>
      </c>
      <c r="CR104" s="784" t="str">
        <f t="shared" si="100"/>
        <v/>
      </c>
      <c r="CS104" s="524" t="str">
        <f t="shared" si="100"/>
        <v/>
      </c>
      <c r="CT104" s="416" t="str">
        <f t="shared" si="100"/>
        <v/>
      </c>
      <c r="CU104" s="97" t="str">
        <f t="shared" si="100"/>
        <v/>
      </c>
      <c r="CV104" s="97" t="str">
        <f t="shared" si="100"/>
        <v/>
      </c>
      <c r="CW104" s="97" t="str">
        <f t="shared" si="100"/>
        <v/>
      </c>
      <c r="CX104" s="98" t="str">
        <f t="shared" si="100"/>
        <v/>
      </c>
      <c r="CY104" s="392"/>
    </row>
    <row r="105" spans="1:103" x14ac:dyDescent="0.25">
      <c r="A105" s="81" t="s">
        <v>196</v>
      </c>
      <c r="B105" s="82" t="s">
        <v>213</v>
      </c>
      <c r="C105" s="83" t="s">
        <v>214</v>
      </c>
      <c r="D105" s="84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654">
        <f>'2022-23 Input'!I105</f>
        <v>0</v>
      </c>
      <c r="N105" s="1065">
        <v>0</v>
      </c>
      <c r="O105" s="560">
        <f t="shared" si="79"/>
        <v>0</v>
      </c>
      <c r="P105" s="561">
        <f t="shared" si="53"/>
        <v>0</v>
      </c>
      <c r="Q105" s="561">
        <f t="shared" si="54"/>
        <v>0</v>
      </c>
      <c r="R105" s="561">
        <f t="shared" si="55"/>
        <v>0</v>
      </c>
      <c r="S105" s="561">
        <f t="shared" si="56"/>
        <v>0</v>
      </c>
      <c r="T105" s="561">
        <f t="shared" si="57"/>
        <v>0</v>
      </c>
      <c r="U105" s="561">
        <f t="shared" si="58"/>
        <v>0</v>
      </c>
      <c r="V105" s="561">
        <f t="shared" si="59"/>
        <v>0</v>
      </c>
      <c r="W105" s="675">
        <f t="shared" si="60"/>
        <v>0</v>
      </c>
      <c r="X105" s="675">
        <f t="shared" si="61"/>
        <v>0</v>
      </c>
      <c r="Y105" s="675">
        <f t="shared" si="61"/>
        <v>0</v>
      </c>
      <c r="Z105" s="86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87">
        <v>0</v>
      </c>
      <c r="AI105" s="1094">
        <f>'2022-23 Input'!P105</f>
        <v>0</v>
      </c>
      <c r="AJ105" s="665">
        <v>0</v>
      </c>
      <c r="AK105" s="88">
        <f t="shared" si="84"/>
        <v>0</v>
      </c>
      <c r="AL105" s="89">
        <f t="shared" si="85"/>
        <v>0</v>
      </c>
      <c r="AM105" s="90">
        <f t="shared" si="86"/>
        <v>0</v>
      </c>
      <c r="AN105" s="91" t="str">
        <f t="shared" si="87"/>
        <v/>
      </c>
      <c r="AO105" s="92" t="str">
        <f t="shared" si="88"/>
        <v/>
      </c>
      <c r="AP105" s="92" t="str">
        <f t="shared" si="89"/>
        <v/>
      </c>
      <c r="AQ105" s="92" t="str">
        <f t="shared" si="90"/>
        <v/>
      </c>
      <c r="AR105" s="92" t="str">
        <f t="shared" si="91"/>
        <v/>
      </c>
      <c r="AS105" s="92" t="str">
        <f t="shared" si="92"/>
        <v/>
      </c>
      <c r="AT105" s="92" t="str">
        <f t="shared" si="93"/>
        <v/>
      </c>
      <c r="AU105" s="92" t="str">
        <f t="shared" si="94"/>
        <v/>
      </c>
      <c r="AV105" s="92" t="str">
        <f t="shared" si="95"/>
        <v/>
      </c>
      <c r="AW105" s="92" t="str">
        <f t="shared" si="95"/>
        <v/>
      </c>
      <c r="AX105" s="92" t="str">
        <f t="shared" si="95"/>
        <v/>
      </c>
      <c r="AY105" s="93" t="str">
        <f t="shared" si="96"/>
        <v/>
      </c>
      <c r="AZ105" s="94" t="str">
        <f t="shared" si="97"/>
        <v/>
      </c>
      <c r="BA105" s="95" t="str">
        <f t="shared" si="98"/>
        <v/>
      </c>
      <c r="BB105" s="248" t="s">
        <v>422</v>
      </c>
      <c r="BC105" s="229" t="s">
        <v>433</v>
      </c>
      <c r="BD105" s="249">
        <v>0</v>
      </c>
      <c r="BE105" s="267">
        <f t="shared" si="80"/>
        <v>0</v>
      </c>
      <c r="BF105" s="268">
        <f t="shared" si="99"/>
        <v>0</v>
      </c>
      <c r="BG105" s="268">
        <f t="shared" si="99"/>
        <v>0</v>
      </c>
      <c r="BH105" s="268">
        <f t="shared" si="99"/>
        <v>1</v>
      </c>
      <c r="BI105" s="268">
        <f t="shared" si="99"/>
        <v>2</v>
      </c>
      <c r="BJ105" s="268">
        <f t="shared" si="99"/>
        <v>3</v>
      </c>
      <c r="BK105" s="268">
        <f t="shared" si="99"/>
        <v>4</v>
      </c>
      <c r="BL105" s="269">
        <f t="shared" si="99"/>
        <v>5</v>
      </c>
      <c r="BM105" s="256">
        <f>IF($BC105=Lookup!$A$2,$BD105*ROUNDUP(BE105/10,0)+1,
IF($BC105=Lookup!$A$3,($BD105+1)^BD105,
IF($BC105=Lookup!$A$4,BE105*$BD105+1,"Error")))</f>
        <v>1</v>
      </c>
      <c r="BN105" s="229">
        <f>IF($BC105=Lookup!$A$2,$BD105*ROUNDUP(BF105/10,0)+1,
IF($BC105=Lookup!$A$3,($BD105+1)^BE105,
IF($BC105=Lookup!$A$4,BF105*$BD105+1,"Error")))</f>
        <v>1</v>
      </c>
      <c r="BO105" s="229">
        <f>IF($BC105=Lookup!$A$2,$BD105*ROUNDUP(BG105/10,0)+1,
IF($BC105=Lookup!$A$3,($BD105+1)^BF105,
IF($BC105=Lookup!$A$4,BG105*$BD105+1,"Error")))</f>
        <v>1</v>
      </c>
      <c r="BP105" s="229">
        <f>IF($BC105=Lookup!$A$2,$BD105*ROUNDUP(BH105/10,0)+1,
IF($BC105=Lookup!$A$3,($BD105+1)^BG105,
IF($BC105=Lookup!$A$4,BH105*$BD105+1,"Error")))</f>
        <v>1</v>
      </c>
      <c r="BQ105" s="229">
        <f>IF($BC105=Lookup!$A$2,$BD105*ROUNDUP(BI105/10,0)+1,
IF($BC105=Lookup!$A$3,($BD105+1)^BH105,
IF($BC105=Lookup!$A$4,BI105*$BD105+1,"Error")))</f>
        <v>1</v>
      </c>
      <c r="BR105" s="229">
        <f>IF($BC105=Lookup!$A$2,$BD105*ROUNDUP(BJ105/10,0)+1,
IF($BC105=Lookup!$A$3,($BD105+1)^BI105,
IF($BC105=Lookup!$A$4,BJ105*$BD105+1,"Error")))</f>
        <v>1</v>
      </c>
      <c r="BS105" s="229">
        <f>IF($BC105=Lookup!$A$2,$BD105*ROUNDUP(BK105/10,0)+1,
IF($BC105=Lookup!$A$3,($BD105+1)^BJ105,
IF($BC105=Lookup!$A$4,BK105*$BD105+1,"Error")))</f>
        <v>1</v>
      </c>
      <c r="BT105" s="249">
        <f>IF($BC105=Lookup!$A$2,$BD105*ROUNDUP(BL105/10,0)+1,
IF($BC105=Lookup!$A$3,($BD105+1)^BK105,
IF($BC105=Lookup!$A$4,BL105*$BD105+1,"Error")))</f>
        <v>1</v>
      </c>
      <c r="BU105" s="320">
        <v>0</v>
      </c>
      <c r="BV105" s="321">
        <v>0</v>
      </c>
      <c r="BW105" s="321">
        <v>0</v>
      </c>
      <c r="BX105" s="321">
        <v>0</v>
      </c>
      <c r="BY105" s="321">
        <v>0</v>
      </c>
      <c r="BZ105" s="321">
        <v>0</v>
      </c>
      <c r="CA105" s="321">
        <v>0</v>
      </c>
      <c r="CB105" s="277">
        <v>0</v>
      </c>
      <c r="CC105" s="382" t="s">
        <v>293</v>
      </c>
      <c r="CD105" s="383">
        <f>HLOOKUP($CC105,$AK$6:$AM$132,ROWS(CD$6:CD105),0)</f>
        <v>0</v>
      </c>
      <c r="CE105" s="234">
        <f t="shared" si="81"/>
        <v>0</v>
      </c>
      <c r="CF105" s="96">
        <f t="shared" si="81"/>
        <v>0</v>
      </c>
      <c r="CG105" s="521">
        <f t="shared" si="81"/>
        <v>0</v>
      </c>
      <c r="CH105" s="421">
        <f t="shared" si="81"/>
        <v>0</v>
      </c>
      <c r="CI105" s="96">
        <f t="shared" si="50"/>
        <v>0</v>
      </c>
      <c r="CJ105" s="96">
        <f t="shared" si="50"/>
        <v>0</v>
      </c>
      <c r="CK105" s="96">
        <f t="shared" si="50"/>
        <v>0</v>
      </c>
      <c r="CL105" s="286">
        <f t="shared" si="50"/>
        <v>0</v>
      </c>
      <c r="CM105" s="305" t="s">
        <v>293</v>
      </c>
      <c r="CN105" s="315">
        <v>0.05</v>
      </c>
      <c r="CO105" s="306"/>
      <c r="CP105" s="307" t="str">
        <f>IF($CO105&lt;&gt;"",$CO105,HLOOKUP($CM105,$AY$6:$BA$132,ROWS(CP$6:CP105),0))</f>
        <v/>
      </c>
      <c r="CQ105" s="784" t="str">
        <f t="shared" si="100"/>
        <v/>
      </c>
      <c r="CR105" s="784" t="str">
        <f t="shared" si="100"/>
        <v/>
      </c>
      <c r="CS105" s="524" t="str">
        <f t="shared" si="100"/>
        <v/>
      </c>
      <c r="CT105" s="416" t="str">
        <f t="shared" si="100"/>
        <v/>
      </c>
      <c r="CU105" s="97" t="str">
        <f t="shared" si="100"/>
        <v/>
      </c>
      <c r="CV105" s="97" t="str">
        <f t="shared" si="100"/>
        <v/>
      </c>
      <c r="CW105" s="97" t="str">
        <f t="shared" si="100"/>
        <v/>
      </c>
      <c r="CX105" s="98" t="str">
        <f t="shared" si="100"/>
        <v/>
      </c>
      <c r="CY105" s="392"/>
    </row>
    <row r="106" spans="1:103" x14ac:dyDescent="0.25">
      <c r="A106" s="81" t="s">
        <v>196</v>
      </c>
      <c r="B106" s="82" t="s">
        <v>215</v>
      </c>
      <c r="C106" s="83" t="s">
        <v>392</v>
      </c>
      <c r="D106" s="84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654">
        <f>'2022-23 Input'!I106</f>
        <v>0</v>
      </c>
      <c r="N106" s="1065">
        <v>0</v>
      </c>
      <c r="O106" s="560">
        <f t="shared" si="79"/>
        <v>0</v>
      </c>
      <c r="P106" s="561">
        <f t="shared" si="53"/>
        <v>0</v>
      </c>
      <c r="Q106" s="561">
        <f t="shared" si="54"/>
        <v>0</v>
      </c>
      <c r="R106" s="561">
        <f t="shared" si="55"/>
        <v>0</v>
      </c>
      <c r="S106" s="561">
        <f t="shared" si="56"/>
        <v>0</v>
      </c>
      <c r="T106" s="561">
        <f t="shared" si="57"/>
        <v>0</v>
      </c>
      <c r="U106" s="561">
        <f t="shared" si="58"/>
        <v>0</v>
      </c>
      <c r="V106" s="561">
        <f t="shared" si="59"/>
        <v>0</v>
      </c>
      <c r="W106" s="675">
        <f t="shared" si="60"/>
        <v>0</v>
      </c>
      <c r="X106" s="675">
        <f t="shared" si="61"/>
        <v>0</v>
      </c>
      <c r="Y106" s="675">
        <f t="shared" si="61"/>
        <v>0</v>
      </c>
      <c r="Z106" s="86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87">
        <v>0</v>
      </c>
      <c r="AI106" s="1094">
        <f>'2022-23 Input'!P106</f>
        <v>0</v>
      </c>
      <c r="AJ106" s="665">
        <v>0</v>
      </c>
      <c r="AK106" s="88">
        <f t="shared" si="84"/>
        <v>0</v>
      </c>
      <c r="AL106" s="89">
        <f t="shared" si="85"/>
        <v>0</v>
      </c>
      <c r="AM106" s="90">
        <f t="shared" si="86"/>
        <v>0</v>
      </c>
      <c r="AN106" s="91" t="str">
        <f t="shared" si="87"/>
        <v/>
      </c>
      <c r="AO106" s="92" t="str">
        <f t="shared" si="88"/>
        <v/>
      </c>
      <c r="AP106" s="92" t="str">
        <f t="shared" si="89"/>
        <v/>
      </c>
      <c r="AQ106" s="92" t="str">
        <f t="shared" si="90"/>
        <v/>
      </c>
      <c r="AR106" s="92" t="str">
        <f t="shared" si="91"/>
        <v/>
      </c>
      <c r="AS106" s="92" t="str">
        <f t="shared" si="92"/>
        <v/>
      </c>
      <c r="AT106" s="92" t="str">
        <f t="shared" si="93"/>
        <v/>
      </c>
      <c r="AU106" s="92" t="str">
        <f t="shared" si="94"/>
        <v/>
      </c>
      <c r="AV106" s="92" t="str">
        <f t="shared" si="95"/>
        <v/>
      </c>
      <c r="AW106" s="92" t="str">
        <f t="shared" si="95"/>
        <v/>
      </c>
      <c r="AX106" s="92" t="str">
        <f t="shared" si="95"/>
        <v/>
      </c>
      <c r="AY106" s="93" t="str">
        <f t="shared" si="96"/>
        <v/>
      </c>
      <c r="AZ106" s="94" t="str">
        <f t="shared" si="97"/>
        <v/>
      </c>
      <c r="BA106" s="95" t="str">
        <f t="shared" si="98"/>
        <v/>
      </c>
      <c r="BB106" s="248" t="s">
        <v>422</v>
      </c>
      <c r="BC106" s="229" t="s">
        <v>433</v>
      </c>
      <c r="BD106" s="249">
        <v>0</v>
      </c>
      <c r="BE106" s="267">
        <f t="shared" si="80"/>
        <v>0</v>
      </c>
      <c r="BF106" s="268">
        <f t="shared" si="99"/>
        <v>0</v>
      </c>
      <c r="BG106" s="268">
        <f t="shared" si="99"/>
        <v>0</v>
      </c>
      <c r="BH106" s="268">
        <f t="shared" si="99"/>
        <v>1</v>
      </c>
      <c r="BI106" s="268">
        <f t="shared" si="99"/>
        <v>2</v>
      </c>
      <c r="BJ106" s="268">
        <f t="shared" si="99"/>
        <v>3</v>
      </c>
      <c r="BK106" s="268">
        <f t="shared" si="99"/>
        <v>4</v>
      </c>
      <c r="BL106" s="269">
        <f t="shared" si="99"/>
        <v>5</v>
      </c>
      <c r="BM106" s="256">
        <f>IF($BC106=Lookup!$A$2,$BD106*ROUNDUP(BE106/10,0)+1,
IF($BC106=Lookup!$A$3,($BD106+1)^BD106,
IF($BC106=Lookup!$A$4,BE106*$BD106+1,"Error")))</f>
        <v>1</v>
      </c>
      <c r="BN106" s="229">
        <f>IF($BC106=Lookup!$A$2,$BD106*ROUNDUP(BF106/10,0)+1,
IF($BC106=Lookup!$A$3,($BD106+1)^BE106,
IF($BC106=Lookup!$A$4,BF106*$BD106+1,"Error")))</f>
        <v>1</v>
      </c>
      <c r="BO106" s="229">
        <f>IF($BC106=Lookup!$A$2,$BD106*ROUNDUP(BG106/10,0)+1,
IF($BC106=Lookup!$A$3,($BD106+1)^BF106,
IF($BC106=Lookup!$A$4,BG106*$BD106+1,"Error")))</f>
        <v>1</v>
      </c>
      <c r="BP106" s="229">
        <f>IF($BC106=Lookup!$A$2,$BD106*ROUNDUP(BH106/10,0)+1,
IF($BC106=Lookup!$A$3,($BD106+1)^BG106,
IF($BC106=Lookup!$A$4,BH106*$BD106+1,"Error")))</f>
        <v>1</v>
      </c>
      <c r="BQ106" s="229">
        <f>IF($BC106=Lookup!$A$2,$BD106*ROUNDUP(BI106/10,0)+1,
IF($BC106=Lookup!$A$3,($BD106+1)^BH106,
IF($BC106=Lookup!$A$4,BI106*$BD106+1,"Error")))</f>
        <v>1</v>
      </c>
      <c r="BR106" s="229">
        <f>IF($BC106=Lookup!$A$2,$BD106*ROUNDUP(BJ106/10,0)+1,
IF($BC106=Lookup!$A$3,($BD106+1)^BI106,
IF($BC106=Lookup!$A$4,BJ106*$BD106+1,"Error")))</f>
        <v>1</v>
      </c>
      <c r="BS106" s="229">
        <f>IF($BC106=Lookup!$A$2,$BD106*ROUNDUP(BK106/10,0)+1,
IF($BC106=Lookup!$A$3,($BD106+1)^BJ106,
IF($BC106=Lookup!$A$4,BK106*$BD106+1,"Error")))</f>
        <v>1</v>
      </c>
      <c r="BT106" s="249">
        <f>IF($BC106=Lookup!$A$2,$BD106*ROUNDUP(BL106/10,0)+1,
IF($BC106=Lookup!$A$3,($BD106+1)^BK106,
IF($BC106=Lookup!$A$4,BL106*$BD106+1,"Error")))</f>
        <v>1</v>
      </c>
      <c r="BU106" s="320">
        <v>0</v>
      </c>
      <c r="BV106" s="321">
        <v>0</v>
      </c>
      <c r="BW106" s="321">
        <v>0</v>
      </c>
      <c r="BX106" s="321">
        <v>0</v>
      </c>
      <c r="BY106" s="321">
        <v>0</v>
      </c>
      <c r="BZ106" s="321">
        <v>0</v>
      </c>
      <c r="CA106" s="321">
        <v>0</v>
      </c>
      <c r="CB106" s="277">
        <v>0</v>
      </c>
      <c r="CC106" s="382" t="s">
        <v>293</v>
      </c>
      <c r="CD106" s="383">
        <f>HLOOKUP($CC106,$AK$6:$AM$132,ROWS(CD$6:CD106),0)</f>
        <v>0</v>
      </c>
      <c r="CE106" s="234">
        <f t="shared" si="81"/>
        <v>0</v>
      </c>
      <c r="CF106" s="96">
        <f t="shared" si="81"/>
        <v>0</v>
      </c>
      <c r="CG106" s="521">
        <f t="shared" si="81"/>
        <v>0</v>
      </c>
      <c r="CH106" s="421">
        <f t="shared" si="81"/>
        <v>0</v>
      </c>
      <c r="CI106" s="96">
        <f t="shared" si="50"/>
        <v>0</v>
      </c>
      <c r="CJ106" s="96">
        <f t="shared" si="50"/>
        <v>0</v>
      </c>
      <c r="CK106" s="96">
        <f t="shared" si="50"/>
        <v>0</v>
      </c>
      <c r="CL106" s="286">
        <f t="shared" ref="CL106:CL132" si="101">IFERROR(IF(CB106&lt;&gt;"",CB106,BT106*$CD106),"")</f>
        <v>0</v>
      </c>
      <c r="CM106" s="305" t="s">
        <v>293</v>
      </c>
      <c r="CN106" s="315">
        <v>0.05</v>
      </c>
      <c r="CO106" s="306"/>
      <c r="CP106" s="307" t="str">
        <f>IF($CO106&lt;&gt;"",$CO106,HLOOKUP($CM106,$AY$6:$BA$132,ROWS(CP$6:CP106),0))</f>
        <v/>
      </c>
      <c r="CQ106" s="784" t="str">
        <f t="shared" si="100"/>
        <v/>
      </c>
      <c r="CR106" s="784" t="str">
        <f t="shared" si="100"/>
        <v/>
      </c>
      <c r="CS106" s="524" t="str">
        <f t="shared" si="100"/>
        <v/>
      </c>
      <c r="CT106" s="416" t="str">
        <f t="shared" si="100"/>
        <v/>
      </c>
      <c r="CU106" s="97" t="str">
        <f t="shared" si="100"/>
        <v/>
      </c>
      <c r="CV106" s="97" t="str">
        <f t="shared" si="100"/>
        <v/>
      </c>
      <c r="CW106" s="97" t="str">
        <f t="shared" si="100"/>
        <v/>
      </c>
      <c r="CX106" s="98" t="str">
        <f t="shared" si="100"/>
        <v/>
      </c>
      <c r="CY106" s="392"/>
    </row>
    <row r="107" spans="1:103" x14ac:dyDescent="0.25">
      <c r="A107" s="81" t="s">
        <v>196</v>
      </c>
      <c r="B107" s="82" t="s">
        <v>217</v>
      </c>
      <c r="C107" s="83" t="s">
        <v>218</v>
      </c>
      <c r="D107" s="84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654">
        <f>'2022-23 Input'!I107</f>
        <v>0</v>
      </c>
      <c r="N107" s="1065">
        <v>0</v>
      </c>
      <c r="O107" s="560">
        <f t="shared" si="79"/>
        <v>0</v>
      </c>
      <c r="P107" s="561">
        <f t="shared" si="53"/>
        <v>0</v>
      </c>
      <c r="Q107" s="561">
        <f t="shared" si="54"/>
        <v>0</v>
      </c>
      <c r="R107" s="561">
        <f t="shared" si="55"/>
        <v>0</v>
      </c>
      <c r="S107" s="561">
        <f t="shared" si="56"/>
        <v>0</v>
      </c>
      <c r="T107" s="561">
        <f t="shared" si="57"/>
        <v>0</v>
      </c>
      <c r="U107" s="561">
        <f t="shared" si="58"/>
        <v>0</v>
      </c>
      <c r="V107" s="561">
        <f t="shared" si="59"/>
        <v>0</v>
      </c>
      <c r="W107" s="675">
        <f t="shared" si="60"/>
        <v>0</v>
      </c>
      <c r="X107" s="675">
        <f t="shared" si="61"/>
        <v>0</v>
      </c>
      <c r="Y107" s="675">
        <f t="shared" si="61"/>
        <v>0</v>
      </c>
      <c r="Z107" s="86">
        <v>0</v>
      </c>
      <c r="AA107" s="87">
        <v>0</v>
      </c>
      <c r="AB107" s="87">
        <v>0</v>
      </c>
      <c r="AC107" s="87">
        <v>0</v>
      </c>
      <c r="AD107" s="87">
        <v>0</v>
      </c>
      <c r="AE107" s="87">
        <v>0</v>
      </c>
      <c r="AF107" s="87">
        <v>0</v>
      </c>
      <c r="AG107" s="87">
        <v>0</v>
      </c>
      <c r="AH107" s="87">
        <v>0</v>
      </c>
      <c r="AI107" s="1094">
        <f>'2022-23 Input'!P107</f>
        <v>0</v>
      </c>
      <c r="AJ107" s="665">
        <v>0</v>
      </c>
      <c r="AK107" s="88">
        <f t="shared" si="84"/>
        <v>0</v>
      </c>
      <c r="AL107" s="89">
        <f t="shared" si="85"/>
        <v>0</v>
      </c>
      <c r="AM107" s="90">
        <f t="shared" si="86"/>
        <v>0</v>
      </c>
      <c r="AN107" s="91" t="str">
        <f t="shared" si="87"/>
        <v/>
      </c>
      <c r="AO107" s="92" t="str">
        <f t="shared" si="88"/>
        <v/>
      </c>
      <c r="AP107" s="92" t="str">
        <f t="shared" si="89"/>
        <v/>
      </c>
      <c r="AQ107" s="92" t="str">
        <f t="shared" si="90"/>
        <v/>
      </c>
      <c r="AR107" s="92" t="str">
        <f t="shared" si="91"/>
        <v/>
      </c>
      <c r="AS107" s="92" t="str">
        <f t="shared" si="92"/>
        <v/>
      </c>
      <c r="AT107" s="92" t="str">
        <f t="shared" si="93"/>
        <v/>
      </c>
      <c r="AU107" s="92" t="str">
        <f t="shared" si="94"/>
        <v/>
      </c>
      <c r="AV107" s="92" t="str">
        <f t="shared" si="95"/>
        <v/>
      </c>
      <c r="AW107" s="92" t="str">
        <f t="shared" si="95"/>
        <v/>
      </c>
      <c r="AX107" s="92" t="str">
        <f t="shared" si="95"/>
        <v/>
      </c>
      <c r="AY107" s="93" t="str">
        <f t="shared" si="96"/>
        <v/>
      </c>
      <c r="AZ107" s="94" t="str">
        <f t="shared" si="97"/>
        <v/>
      </c>
      <c r="BA107" s="95" t="str">
        <f t="shared" si="98"/>
        <v/>
      </c>
      <c r="BB107" s="248" t="s">
        <v>422</v>
      </c>
      <c r="BC107" s="229" t="s">
        <v>433</v>
      </c>
      <c r="BD107" s="249">
        <v>0</v>
      </c>
      <c r="BE107" s="267">
        <f t="shared" si="80"/>
        <v>0</v>
      </c>
      <c r="BF107" s="268">
        <f t="shared" si="99"/>
        <v>0</v>
      </c>
      <c r="BG107" s="268">
        <f t="shared" si="99"/>
        <v>0</v>
      </c>
      <c r="BH107" s="268">
        <f t="shared" si="99"/>
        <v>1</v>
      </c>
      <c r="BI107" s="268">
        <f t="shared" si="99"/>
        <v>2</v>
      </c>
      <c r="BJ107" s="268">
        <f t="shared" si="99"/>
        <v>3</v>
      </c>
      <c r="BK107" s="268">
        <f t="shared" si="99"/>
        <v>4</v>
      </c>
      <c r="BL107" s="269">
        <f t="shared" si="99"/>
        <v>5</v>
      </c>
      <c r="BM107" s="256">
        <f>IF($BC107=Lookup!$A$2,$BD107*ROUNDUP(BE107/10,0)+1,
IF($BC107=Lookup!$A$3,($BD107+1)^BD107,
IF($BC107=Lookup!$A$4,BE107*$BD107+1,"Error")))</f>
        <v>1</v>
      </c>
      <c r="BN107" s="229">
        <f>IF($BC107=Lookup!$A$2,$BD107*ROUNDUP(BF107/10,0)+1,
IF($BC107=Lookup!$A$3,($BD107+1)^BE107,
IF($BC107=Lookup!$A$4,BF107*$BD107+1,"Error")))</f>
        <v>1</v>
      </c>
      <c r="BO107" s="229">
        <f>IF($BC107=Lookup!$A$2,$BD107*ROUNDUP(BG107/10,0)+1,
IF($BC107=Lookup!$A$3,($BD107+1)^BF107,
IF($BC107=Lookup!$A$4,BG107*$BD107+1,"Error")))</f>
        <v>1</v>
      </c>
      <c r="BP107" s="229">
        <f>IF($BC107=Lookup!$A$2,$BD107*ROUNDUP(BH107/10,0)+1,
IF($BC107=Lookup!$A$3,($BD107+1)^BG107,
IF($BC107=Lookup!$A$4,BH107*$BD107+1,"Error")))</f>
        <v>1</v>
      </c>
      <c r="BQ107" s="229">
        <f>IF($BC107=Lookup!$A$2,$BD107*ROUNDUP(BI107/10,0)+1,
IF($BC107=Lookup!$A$3,($BD107+1)^BH107,
IF($BC107=Lookup!$A$4,BI107*$BD107+1,"Error")))</f>
        <v>1</v>
      </c>
      <c r="BR107" s="229">
        <f>IF($BC107=Lookup!$A$2,$BD107*ROUNDUP(BJ107/10,0)+1,
IF($BC107=Lookup!$A$3,($BD107+1)^BI107,
IF($BC107=Lookup!$A$4,BJ107*$BD107+1,"Error")))</f>
        <v>1</v>
      </c>
      <c r="BS107" s="229">
        <f>IF($BC107=Lookup!$A$2,$BD107*ROUNDUP(BK107/10,0)+1,
IF($BC107=Lookup!$A$3,($BD107+1)^BJ107,
IF($BC107=Lookup!$A$4,BK107*$BD107+1,"Error")))</f>
        <v>1</v>
      </c>
      <c r="BT107" s="249">
        <f>IF($BC107=Lookup!$A$2,$BD107*ROUNDUP(BL107/10,0)+1,
IF($BC107=Lookup!$A$3,($BD107+1)^BK107,
IF($BC107=Lookup!$A$4,BL107*$BD107+1,"Error")))</f>
        <v>1</v>
      </c>
      <c r="BU107" s="320">
        <v>0</v>
      </c>
      <c r="BV107" s="321">
        <v>0</v>
      </c>
      <c r="BW107" s="321">
        <v>0</v>
      </c>
      <c r="BX107" s="321">
        <v>0</v>
      </c>
      <c r="BY107" s="321">
        <v>0</v>
      </c>
      <c r="BZ107" s="321">
        <v>0</v>
      </c>
      <c r="CA107" s="321">
        <v>0</v>
      </c>
      <c r="CB107" s="277">
        <v>0</v>
      </c>
      <c r="CC107" s="382" t="s">
        <v>293</v>
      </c>
      <c r="CD107" s="383">
        <f>HLOOKUP($CC107,$AK$6:$AM$132,ROWS(CD$6:CD107),0)</f>
        <v>0</v>
      </c>
      <c r="CE107" s="234">
        <f t="shared" si="81"/>
        <v>0</v>
      </c>
      <c r="CF107" s="96">
        <f t="shared" si="81"/>
        <v>0</v>
      </c>
      <c r="CG107" s="521">
        <f t="shared" si="81"/>
        <v>0</v>
      </c>
      <c r="CH107" s="421">
        <f t="shared" si="81"/>
        <v>0</v>
      </c>
      <c r="CI107" s="96">
        <f t="shared" si="81"/>
        <v>0</v>
      </c>
      <c r="CJ107" s="96">
        <f t="shared" si="81"/>
        <v>0</v>
      </c>
      <c r="CK107" s="96">
        <f t="shared" si="81"/>
        <v>0</v>
      </c>
      <c r="CL107" s="286">
        <f t="shared" si="101"/>
        <v>0</v>
      </c>
      <c r="CM107" s="305" t="s">
        <v>293</v>
      </c>
      <c r="CN107" s="315">
        <v>0.05</v>
      </c>
      <c r="CO107" s="306"/>
      <c r="CP107" s="307" t="str">
        <f>IF($CO107&lt;&gt;"",$CO107,HLOOKUP($CM107,$AY$6:$BA$132,ROWS(CP$6:CP107),0))</f>
        <v/>
      </c>
      <c r="CQ107" s="784" t="str">
        <f t="shared" si="100"/>
        <v/>
      </c>
      <c r="CR107" s="784" t="str">
        <f t="shared" si="100"/>
        <v/>
      </c>
      <c r="CS107" s="524" t="str">
        <f t="shared" si="100"/>
        <v/>
      </c>
      <c r="CT107" s="416" t="str">
        <f t="shared" si="100"/>
        <v/>
      </c>
      <c r="CU107" s="97" t="str">
        <f t="shared" si="100"/>
        <v/>
      </c>
      <c r="CV107" s="97" t="str">
        <f t="shared" si="100"/>
        <v/>
      </c>
      <c r="CW107" s="97" t="str">
        <f t="shared" si="100"/>
        <v/>
      </c>
      <c r="CX107" s="98" t="str">
        <f t="shared" si="100"/>
        <v/>
      </c>
      <c r="CY107" s="392"/>
    </row>
    <row r="108" spans="1:103" x14ac:dyDescent="0.25">
      <c r="A108" s="81" t="s">
        <v>196</v>
      </c>
      <c r="B108" s="82" t="s">
        <v>219</v>
      </c>
      <c r="C108" s="83" t="s">
        <v>220</v>
      </c>
      <c r="D108" s="84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654">
        <f>'2022-23 Input'!I108</f>
        <v>0</v>
      </c>
      <c r="N108" s="1065">
        <v>0</v>
      </c>
      <c r="O108" s="560">
        <f t="shared" si="79"/>
        <v>0</v>
      </c>
      <c r="P108" s="561">
        <f t="shared" si="53"/>
        <v>0</v>
      </c>
      <c r="Q108" s="561">
        <f t="shared" si="54"/>
        <v>0</v>
      </c>
      <c r="R108" s="561">
        <f t="shared" si="55"/>
        <v>0</v>
      </c>
      <c r="S108" s="561">
        <f t="shared" si="56"/>
        <v>0</v>
      </c>
      <c r="T108" s="561">
        <f t="shared" si="57"/>
        <v>0</v>
      </c>
      <c r="U108" s="561">
        <f t="shared" si="58"/>
        <v>0</v>
      </c>
      <c r="V108" s="561">
        <f t="shared" si="59"/>
        <v>0</v>
      </c>
      <c r="W108" s="675">
        <f t="shared" si="60"/>
        <v>0</v>
      </c>
      <c r="X108" s="675">
        <f t="shared" si="61"/>
        <v>0</v>
      </c>
      <c r="Y108" s="675">
        <f t="shared" si="61"/>
        <v>0</v>
      </c>
      <c r="Z108" s="86">
        <v>0</v>
      </c>
      <c r="AA108" s="87">
        <v>0</v>
      </c>
      <c r="AB108" s="87">
        <v>0</v>
      </c>
      <c r="AC108" s="87">
        <v>0</v>
      </c>
      <c r="AD108" s="87">
        <v>0</v>
      </c>
      <c r="AE108" s="87">
        <v>0</v>
      </c>
      <c r="AF108" s="87">
        <v>0</v>
      </c>
      <c r="AG108" s="87">
        <v>0</v>
      </c>
      <c r="AH108" s="87">
        <v>0</v>
      </c>
      <c r="AI108" s="1094">
        <f>'2022-23 Input'!P108</f>
        <v>0</v>
      </c>
      <c r="AJ108" s="665">
        <v>0</v>
      </c>
      <c r="AK108" s="88">
        <f t="shared" si="84"/>
        <v>0</v>
      </c>
      <c r="AL108" s="89">
        <f t="shared" si="85"/>
        <v>0</v>
      </c>
      <c r="AM108" s="90">
        <f t="shared" si="86"/>
        <v>0</v>
      </c>
      <c r="AN108" s="91" t="str">
        <f t="shared" si="87"/>
        <v/>
      </c>
      <c r="AO108" s="92" t="str">
        <f t="shared" si="88"/>
        <v/>
      </c>
      <c r="AP108" s="92" t="str">
        <f t="shared" si="89"/>
        <v/>
      </c>
      <c r="AQ108" s="92" t="str">
        <f t="shared" si="90"/>
        <v/>
      </c>
      <c r="AR108" s="92" t="str">
        <f t="shared" si="91"/>
        <v/>
      </c>
      <c r="AS108" s="92" t="str">
        <f t="shared" si="92"/>
        <v/>
      </c>
      <c r="AT108" s="92" t="str">
        <f t="shared" si="93"/>
        <v/>
      </c>
      <c r="AU108" s="92" t="str">
        <f t="shared" si="94"/>
        <v/>
      </c>
      <c r="AV108" s="92" t="str">
        <f t="shared" si="95"/>
        <v/>
      </c>
      <c r="AW108" s="92" t="str">
        <f t="shared" si="95"/>
        <v/>
      </c>
      <c r="AX108" s="92" t="str">
        <f t="shared" si="95"/>
        <v/>
      </c>
      <c r="AY108" s="93" t="str">
        <f t="shared" si="96"/>
        <v/>
      </c>
      <c r="AZ108" s="94" t="str">
        <f t="shared" si="97"/>
        <v/>
      </c>
      <c r="BA108" s="95" t="str">
        <f t="shared" si="98"/>
        <v/>
      </c>
      <c r="BB108" s="248" t="s">
        <v>422</v>
      </c>
      <c r="BC108" s="229" t="s">
        <v>433</v>
      </c>
      <c r="BD108" s="249">
        <v>0</v>
      </c>
      <c r="BE108" s="267">
        <f t="shared" si="80"/>
        <v>0</v>
      </c>
      <c r="BF108" s="268">
        <f t="shared" si="99"/>
        <v>0</v>
      </c>
      <c r="BG108" s="268">
        <f t="shared" si="99"/>
        <v>0</v>
      </c>
      <c r="BH108" s="268">
        <f t="shared" si="99"/>
        <v>1</v>
      </c>
      <c r="BI108" s="268">
        <f t="shared" si="99"/>
        <v>2</v>
      </c>
      <c r="BJ108" s="268">
        <f t="shared" si="99"/>
        <v>3</v>
      </c>
      <c r="BK108" s="268">
        <f t="shared" si="99"/>
        <v>4</v>
      </c>
      <c r="BL108" s="269">
        <f t="shared" si="99"/>
        <v>5</v>
      </c>
      <c r="BM108" s="256">
        <f>IF($BC108=Lookup!$A$2,$BD108*ROUNDUP(BE108/10,0)+1,
IF($BC108=Lookup!$A$3,($BD108+1)^BD108,
IF($BC108=Lookup!$A$4,BE108*$BD108+1,"Error")))</f>
        <v>1</v>
      </c>
      <c r="BN108" s="229">
        <f>IF($BC108=Lookup!$A$2,$BD108*ROUNDUP(BF108/10,0)+1,
IF($BC108=Lookup!$A$3,($BD108+1)^BE108,
IF($BC108=Lookup!$A$4,BF108*$BD108+1,"Error")))</f>
        <v>1</v>
      </c>
      <c r="BO108" s="229">
        <f>IF($BC108=Lookup!$A$2,$BD108*ROUNDUP(BG108/10,0)+1,
IF($BC108=Lookup!$A$3,($BD108+1)^BF108,
IF($BC108=Lookup!$A$4,BG108*$BD108+1,"Error")))</f>
        <v>1</v>
      </c>
      <c r="BP108" s="229">
        <f>IF($BC108=Lookup!$A$2,$BD108*ROUNDUP(BH108/10,0)+1,
IF($BC108=Lookup!$A$3,($BD108+1)^BG108,
IF($BC108=Lookup!$A$4,BH108*$BD108+1,"Error")))</f>
        <v>1</v>
      </c>
      <c r="BQ108" s="229">
        <f>IF($BC108=Lookup!$A$2,$BD108*ROUNDUP(BI108/10,0)+1,
IF($BC108=Lookup!$A$3,($BD108+1)^BH108,
IF($BC108=Lookup!$A$4,BI108*$BD108+1,"Error")))</f>
        <v>1</v>
      </c>
      <c r="BR108" s="229">
        <f>IF($BC108=Lookup!$A$2,$BD108*ROUNDUP(BJ108/10,0)+1,
IF($BC108=Lookup!$A$3,($BD108+1)^BI108,
IF($BC108=Lookup!$A$4,BJ108*$BD108+1,"Error")))</f>
        <v>1</v>
      </c>
      <c r="BS108" s="229">
        <f>IF($BC108=Lookup!$A$2,$BD108*ROUNDUP(BK108/10,0)+1,
IF($BC108=Lookup!$A$3,($BD108+1)^BJ108,
IF($BC108=Lookup!$A$4,BK108*$BD108+1,"Error")))</f>
        <v>1</v>
      </c>
      <c r="BT108" s="249">
        <f>IF($BC108=Lookup!$A$2,$BD108*ROUNDUP(BL108/10,0)+1,
IF($BC108=Lookup!$A$3,($BD108+1)^BK108,
IF($BC108=Lookup!$A$4,BL108*$BD108+1,"Error")))</f>
        <v>1</v>
      </c>
      <c r="BU108" s="320">
        <v>0</v>
      </c>
      <c r="BV108" s="321">
        <v>0</v>
      </c>
      <c r="BW108" s="321">
        <v>0</v>
      </c>
      <c r="BX108" s="321">
        <v>0</v>
      </c>
      <c r="BY108" s="321">
        <v>0</v>
      </c>
      <c r="BZ108" s="321">
        <v>0</v>
      </c>
      <c r="CA108" s="321">
        <v>0</v>
      </c>
      <c r="CB108" s="277">
        <v>0</v>
      </c>
      <c r="CC108" s="382" t="s">
        <v>293</v>
      </c>
      <c r="CD108" s="383">
        <f>HLOOKUP($CC108,$AK$6:$AM$132,ROWS(CD$6:CD108),0)</f>
        <v>0</v>
      </c>
      <c r="CE108" s="234">
        <f t="shared" si="81"/>
        <v>0</v>
      </c>
      <c r="CF108" s="96">
        <f t="shared" si="81"/>
        <v>0</v>
      </c>
      <c r="CG108" s="521">
        <f t="shared" si="81"/>
        <v>0</v>
      </c>
      <c r="CH108" s="421">
        <f t="shared" si="81"/>
        <v>0</v>
      </c>
      <c r="CI108" s="96">
        <f t="shared" si="81"/>
        <v>0</v>
      </c>
      <c r="CJ108" s="96">
        <f t="shared" si="81"/>
        <v>0</v>
      </c>
      <c r="CK108" s="96">
        <f t="shared" si="81"/>
        <v>0</v>
      </c>
      <c r="CL108" s="286">
        <f t="shared" si="101"/>
        <v>0</v>
      </c>
      <c r="CM108" s="305" t="s">
        <v>293</v>
      </c>
      <c r="CN108" s="315">
        <v>0.05</v>
      </c>
      <c r="CO108" s="306"/>
      <c r="CP108" s="307" t="str">
        <f>IF($CO108&lt;&gt;"",$CO108,HLOOKUP($CM108,$AY$6:$BA$132,ROWS(CP$6:CP108),0))</f>
        <v/>
      </c>
      <c r="CQ108" s="784" t="str">
        <f t="shared" si="100"/>
        <v/>
      </c>
      <c r="CR108" s="784" t="str">
        <f t="shared" si="100"/>
        <v/>
      </c>
      <c r="CS108" s="524" t="str">
        <f t="shared" si="100"/>
        <v/>
      </c>
      <c r="CT108" s="416" t="str">
        <f t="shared" si="100"/>
        <v/>
      </c>
      <c r="CU108" s="97" t="str">
        <f t="shared" si="100"/>
        <v/>
      </c>
      <c r="CV108" s="97" t="str">
        <f t="shared" si="100"/>
        <v/>
      </c>
      <c r="CW108" s="97" t="str">
        <f t="shared" si="100"/>
        <v/>
      </c>
      <c r="CX108" s="98" t="str">
        <f t="shared" si="100"/>
        <v/>
      </c>
      <c r="CY108" s="392"/>
    </row>
    <row r="109" spans="1:103" ht="15.75" thickBot="1" x14ac:dyDescent="0.3">
      <c r="A109" s="100" t="s">
        <v>196</v>
      </c>
      <c r="B109" s="101" t="s">
        <v>393</v>
      </c>
      <c r="C109" s="102" t="s">
        <v>394</v>
      </c>
      <c r="D109" s="103">
        <v>0</v>
      </c>
      <c r="E109" s="104">
        <v>0</v>
      </c>
      <c r="F109" s="104">
        <v>-2961.9357649189405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655">
        <f>'2022-23 Input'!I109</f>
        <v>0</v>
      </c>
      <c r="N109" s="1066">
        <v>0</v>
      </c>
      <c r="O109" s="563">
        <f t="shared" si="79"/>
        <v>0</v>
      </c>
      <c r="P109" s="564">
        <f t="shared" si="53"/>
        <v>0</v>
      </c>
      <c r="Q109" s="564">
        <f t="shared" si="54"/>
        <v>-3886.0767479943001</v>
      </c>
      <c r="R109" s="564">
        <f t="shared" si="55"/>
        <v>0</v>
      </c>
      <c r="S109" s="564">
        <f t="shared" si="56"/>
        <v>0</v>
      </c>
      <c r="T109" s="564">
        <f t="shared" si="57"/>
        <v>0</v>
      </c>
      <c r="U109" s="564">
        <f t="shared" si="58"/>
        <v>0</v>
      </c>
      <c r="V109" s="564">
        <f t="shared" si="59"/>
        <v>0</v>
      </c>
      <c r="W109" s="676">
        <f t="shared" si="60"/>
        <v>0</v>
      </c>
      <c r="X109" s="676">
        <f t="shared" si="61"/>
        <v>0</v>
      </c>
      <c r="Y109" s="676">
        <f t="shared" si="61"/>
        <v>0</v>
      </c>
      <c r="Z109" s="105">
        <v>0</v>
      </c>
      <c r="AA109" s="106">
        <v>0</v>
      </c>
      <c r="AB109" s="106">
        <v>0</v>
      </c>
      <c r="AC109" s="106">
        <v>0</v>
      </c>
      <c r="AD109" s="106">
        <v>0</v>
      </c>
      <c r="AE109" s="106">
        <v>0</v>
      </c>
      <c r="AF109" s="106">
        <v>0</v>
      </c>
      <c r="AG109" s="106">
        <v>0</v>
      </c>
      <c r="AH109" s="106">
        <v>0</v>
      </c>
      <c r="AI109" s="1095">
        <f>'2022-23 Input'!P109</f>
        <v>0</v>
      </c>
      <c r="AJ109" s="666">
        <v>0</v>
      </c>
      <c r="AK109" s="107">
        <f t="shared" si="84"/>
        <v>0</v>
      </c>
      <c r="AL109" s="108">
        <f t="shared" si="85"/>
        <v>0</v>
      </c>
      <c r="AM109" s="109">
        <f t="shared" si="86"/>
        <v>0</v>
      </c>
      <c r="AN109" s="110" t="str">
        <f t="shared" si="87"/>
        <v/>
      </c>
      <c r="AO109" s="111" t="str">
        <f t="shared" si="88"/>
        <v/>
      </c>
      <c r="AP109" s="111" t="str">
        <f t="shared" si="89"/>
        <v/>
      </c>
      <c r="AQ109" s="111" t="str">
        <f t="shared" si="90"/>
        <v/>
      </c>
      <c r="AR109" s="111" t="str">
        <f t="shared" si="91"/>
        <v/>
      </c>
      <c r="AS109" s="111" t="str">
        <f t="shared" si="92"/>
        <v/>
      </c>
      <c r="AT109" s="111" t="str">
        <f t="shared" si="93"/>
        <v/>
      </c>
      <c r="AU109" s="111" t="str">
        <f t="shared" si="94"/>
        <v/>
      </c>
      <c r="AV109" s="111" t="str">
        <f t="shared" si="95"/>
        <v/>
      </c>
      <c r="AW109" s="111" t="str">
        <f t="shared" si="95"/>
        <v/>
      </c>
      <c r="AX109" s="111" t="str">
        <f t="shared" si="95"/>
        <v/>
      </c>
      <c r="AY109" s="112" t="str">
        <f t="shared" si="96"/>
        <v/>
      </c>
      <c r="AZ109" s="113" t="str">
        <f t="shared" si="97"/>
        <v/>
      </c>
      <c r="BA109" s="114" t="str">
        <f t="shared" si="98"/>
        <v/>
      </c>
      <c r="BB109" s="250" t="s">
        <v>422</v>
      </c>
      <c r="BC109" s="230" t="s">
        <v>433</v>
      </c>
      <c r="BD109" s="251">
        <v>0</v>
      </c>
      <c r="BE109" s="270">
        <f t="shared" si="80"/>
        <v>0</v>
      </c>
      <c r="BF109" s="271">
        <f t="shared" si="99"/>
        <v>0</v>
      </c>
      <c r="BG109" s="271">
        <f t="shared" si="99"/>
        <v>0</v>
      </c>
      <c r="BH109" s="271">
        <f t="shared" si="99"/>
        <v>1</v>
      </c>
      <c r="BI109" s="271">
        <f t="shared" si="99"/>
        <v>2</v>
      </c>
      <c r="BJ109" s="271">
        <f t="shared" si="99"/>
        <v>3</v>
      </c>
      <c r="BK109" s="271">
        <f t="shared" si="99"/>
        <v>4</v>
      </c>
      <c r="BL109" s="272">
        <f t="shared" si="99"/>
        <v>5</v>
      </c>
      <c r="BM109" s="257">
        <f>IF($BC109=Lookup!$A$2,$BD109*ROUNDUP(BE109/10,0)+1,
IF($BC109=Lookup!$A$3,($BD109+1)^BD109,
IF($BC109=Lookup!$A$4,BE109*$BD109+1,"Error")))</f>
        <v>1</v>
      </c>
      <c r="BN109" s="230">
        <f>IF($BC109=Lookup!$A$2,$BD109*ROUNDUP(BF109/10,0)+1,
IF($BC109=Lookup!$A$3,($BD109+1)^BE109,
IF($BC109=Lookup!$A$4,BF109*$BD109+1,"Error")))</f>
        <v>1</v>
      </c>
      <c r="BO109" s="230">
        <f>IF($BC109=Lookup!$A$2,$BD109*ROUNDUP(BG109/10,0)+1,
IF($BC109=Lookup!$A$3,($BD109+1)^BF109,
IF($BC109=Lookup!$A$4,BG109*$BD109+1,"Error")))</f>
        <v>1</v>
      </c>
      <c r="BP109" s="230">
        <f>IF($BC109=Lookup!$A$2,$BD109*ROUNDUP(BH109/10,0)+1,
IF($BC109=Lookup!$A$3,($BD109+1)^BG109,
IF($BC109=Lookup!$A$4,BH109*$BD109+1,"Error")))</f>
        <v>1</v>
      </c>
      <c r="BQ109" s="230">
        <f>IF($BC109=Lookup!$A$2,$BD109*ROUNDUP(BI109/10,0)+1,
IF($BC109=Lookup!$A$3,($BD109+1)^BH109,
IF($BC109=Lookup!$A$4,BI109*$BD109+1,"Error")))</f>
        <v>1</v>
      </c>
      <c r="BR109" s="230">
        <f>IF($BC109=Lookup!$A$2,$BD109*ROUNDUP(BJ109/10,0)+1,
IF($BC109=Lookup!$A$3,($BD109+1)^BI109,
IF($BC109=Lookup!$A$4,BJ109*$BD109+1,"Error")))</f>
        <v>1</v>
      </c>
      <c r="BS109" s="230">
        <f>IF($BC109=Lookup!$A$2,$BD109*ROUNDUP(BK109/10,0)+1,
IF($BC109=Lookup!$A$3,($BD109+1)^BJ109,
IF($BC109=Lookup!$A$4,BK109*$BD109+1,"Error")))</f>
        <v>1</v>
      </c>
      <c r="BT109" s="251">
        <f>IF($BC109=Lookup!$A$2,$BD109*ROUNDUP(BL109/10,0)+1,
IF($BC109=Lookup!$A$3,($BD109+1)^BK109,
IF($BC109=Lookup!$A$4,BL109*$BD109+1,"Error")))</f>
        <v>1</v>
      </c>
      <c r="BU109" s="322">
        <v>0</v>
      </c>
      <c r="BV109" s="323">
        <v>0</v>
      </c>
      <c r="BW109" s="323">
        <v>0</v>
      </c>
      <c r="BX109" s="323">
        <v>0</v>
      </c>
      <c r="BY109" s="323">
        <v>0</v>
      </c>
      <c r="BZ109" s="323">
        <v>0</v>
      </c>
      <c r="CA109" s="323">
        <v>0</v>
      </c>
      <c r="CB109" s="278">
        <v>0</v>
      </c>
      <c r="CC109" s="384" t="s">
        <v>293</v>
      </c>
      <c r="CD109" s="385">
        <f>HLOOKUP($CC109,$AK$6:$AM$132,ROWS(CD$6:CD109),0)</f>
        <v>0</v>
      </c>
      <c r="CE109" s="235">
        <f t="shared" si="81"/>
        <v>0</v>
      </c>
      <c r="CF109" s="115">
        <f t="shared" si="81"/>
        <v>0</v>
      </c>
      <c r="CG109" s="522">
        <f t="shared" si="81"/>
        <v>0</v>
      </c>
      <c r="CH109" s="422">
        <f t="shared" si="81"/>
        <v>0</v>
      </c>
      <c r="CI109" s="115">
        <f t="shared" si="81"/>
        <v>0</v>
      </c>
      <c r="CJ109" s="115">
        <f t="shared" si="81"/>
        <v>0</v>
      </c>
      <c r="CK109" s="115">
        <f t="shared" si="81"/>
        <v>0</v>
      </c>
      <c r="CL109" s="287">
        <f t="shared" si="101"/>
        <v>0</v>
      </c>
      <c r="CM109" s="308" t="s">
        <v>293</v>
      </c>
      <c r="CN109" s="316">
        <v>0.05</v>
      </c>
      <c r="CO109" s="309"/>
      <c r="CP109" s="310" t="str">
        <f>IF($CO109&lt;&gt;"",$CO109,HLOOKUP($CM109,$AY$6:$BA$132,ROWS(CP$6:CP109),0))</f>
        <v/>
      </c>
      <c r="CQ109" s="785" t="str">
        <f t="shared" si="100"/>
        <v/>
      </c>
      <c r="CR109" s="785" t="str">
        <f t="shared" si="100"/>
        <v/>
      </c>
      <c r="CS109" s="638" t="str">
        <f t="shared" si="100"/>
        <v/>
      </c>
      <c r="CT109" s="467" t="str">
        <f t="shared" si="100"/>
        <v/>
      </c>
      <c r="CU109" s="117" t="str">
        <f t="shared" si="100"/>
        <v/>
      </c>
      <c r="CV109" s="117" t="str">
        <f t="shared" si="100"/>
        <v/>
      </c>
      <c r="CW109" s="117" t="str">
        <f t="shared" si="100"/>
        <v/>
      </c>
      <c r="CX109" s="118" t="str">
        <f t="shared" si="100"/>
        <v/>
      </c>
      <c r="CY109" s="393"/>
    </row>
    <row r="110" spans="1:103" x14ac:dyDescent="0.25">
      <c r="A110" s="63" t="s">
        <v>224</v>
      </c>
      <c r="B110" s="64" t="s">
        <v>221</v>
      </c>
      <c r="C110" s="65" t="s">
        <v>395</v>
      </c>
      <c r="D110" s="66">
        <v>188229.15765120462</v>
      </c>
      <c r="E110" s="67">
        <v>216634.04335295456</v>
      </c>
      <c r="F110" s="67">
        <v>9524.78126062511</v>
      </c>
      <c r="G110" s="67">
        <v>506864.82427962252</v>
      </c>
      <c r="H110" s="67">
        <v>653555.99965407699</v>
      </c>
      <c r="I110" s="67">
        <v>132060.430522654</v>
      </c>
      <c r="J110" s="67">
        <v>2977.4170869479999</v>
      </c>
      <c r="K110" s="67">
        <v>78923.847975875004</v>
      </c>
      <c r="L110" s="67">
        <v>154269.26957077498</v>
      </c>
      <c r="M110" s="653">
        <f>'2022-23 Input'!I110</f>
        <v>3186.32</v>
      </c>
      <c r="N110" s="1064">
        <v>1247.6600000000001</v>
      </c>
      <c r="O110" s="557">
        <f t="shared" si="79"/>
        <v>253254.10962074422</v>
      </c>
      <c r="P110" s="558">
        <f t="shared" si="53"/>
        <v>287133.4599972</v>
      </c>
      <c r="Q110" s="558">
        <f t="shared" si="54"/>
        <v>12496.567759854861</v>
      </c>
      <c r="R110" s="558">
        <f t="shared" si="55"/>
        <v>652394.20521984808</v>
      </c>
      <c r="S110" s="558">
        <f t="shared" si="56"/>
        <v>824081.04568288173</v>
      </c>
      <c r="T110" s="558">
        <f t="shared" si="57"/>
        <v>163906.5781088091</v>
      </c>
      <c r="U110" s="558">
        <f t="shared" si="58"/>
        <v>3708.3371748130648</v>
      </c>
      <c r="V110" s="558">
        <f t="shared" si="59"/>
        <v>94658.010778585376</v>
      </c>
      <c r="W110" s="674">
        <f t="shared" si="60"/>
        <v>174313.04905311789</v>
      </c>
      <c r="X110" s="674">
        <f t="shared" si="61"/>
        <v>3388.5268180257644</v>
      </c>
      <c r="Y110" s="674">
        <f t="shared" si="61"/>
        <v>1281.968752703443</v>
      </c>
      <c r="Z110" s="68">
        <v>24</v>
      </c>
      <c r="AA110" s="69">
        <v>78</v>
      </c>
      <c r="AB110" s="69">
        <v>5</v>
      </c>
      <c r="AC110" s="69">
        <v>156</v>
      </c>
      <c r="AD110" s="69">
        <v>145</v>
      </c>
      <c r="AE110" s="69">
        <v>28</v>
      </c>
      <c r="AF110" s="69">
        <v>-2</v>
      </c>
      <c r="AG110" s="69">
        <v>45</v>
      </c>
      <c r="AH110" s="69">
        <v>21</v>
      </c>
      <c r="AI110" s="1093">
        <f>'2022-23 Input'!P110</f>
        <v>0</v>
      </c>
      <c r="AJ110" s="664">
        <v>0</v>
      </c>
      <c r="AK110" s="70">
        <f t="shared" si="84"/>
        <v>18.399999999999999</v>
      </c>
      <c r="AL110" s="71">
        <f t="shared" si="85"/>
        <v>22</v>
      </c>
      <c r="AM110" s="72">
        <f t="shared" si="86"/>
        <v>0</v>
      </c>
      <c r="AN110" s="73">
        <f t="shared" si="87"/>
        <v>7842.8815688001923</v>
      </c>
      <c r="AO110" s="74">
        <f t="shared" si="88"/>
        <v>2777.3595301660839</v>
      </c>
      <c r="AP110" s="74">
        <f t="shared" si="89"/>
        <v>1904.956252125022</v>
      </c>
      <c r="AQ110" s="74">
        <f t="shared" si="90"/>
        <v>3249.1334889719392</v>
      </c>
      <c r="AR110" s="74">
        <f t="shared" si="91"/>
        <v>4507.2827562350139</v>
      </c>
      <c r="AS110" s="74">
        <f t="shared" si="92"/>
        <v>4716.4439472376425</v>
      </c>
      <c r="AT110" s="74">
        <f t="shared" si="93"/>
        <v>-1488.708543474</v>
      </c>
      <c r="AU110" s="74">
        <f t="shared" si="94"/>
        <v>1753.8632883527778</v>
      </c>
      <c r="AV110" s="74">
        <f t="shared" si="95"/>
        <v>7346.1556938464273</v>
      </c>
      <c r="AW110" s="74" t="str">
        <f t="shared" si="95"/>
        <v/>
      </c>
      <c r="AX110" s="74" t="str">
        <f t="shared" si="95"/>
        <v/>
      </c>
      <c r="AY110" s="75">
        <f t="shared" si="96"/>
        <v>4037.1444038723043</v>
      </c>
      <c r="AZ110" s="76">
        <f t="shared" si="97"/>
        <v>3581.5066294946969</v>
      </c>
      <c r="BA110" s="77" t="str">
        <f t="shared" si="98"/>
        <v/>
      </c>
      <c r="BB110" s="246" t="s">
        <v>422</v>
      </c>
      <c r="BC110" s="228" t="s">
        <v>433</v>
      </c>
      <c r="BD110" s="247">
        <v>0</v>
      </c>
      <c r="BE110" s="264">
        <f t="shared" si="80"/>
        <v>0</v>
      </c>
      <c r="BF110" s="265">
        <f t="shared" si="99"/>
        <v>0</v>
      </c>
      <c r="BG110" s="265">
        <f t="shared" si="99"/>
        <v>0</v>
      </c>
      <c r="BH110" s="265">
        <f t="shared" si="99"/>
        <v>1</v>
      </c>
      <c r="BI110" s="265">
        <f t="shared" si="99"/>
        <v>2</v>
      </c>
      <c r="BJ110" s="265">
        <f t="shared" si="99"/>
        <v>3</v>
      </c>
      <c r="BK110" s="265">
        <f t="shared" si="99"/>
        <v>4</v>
      </c>
      <c r="BL110" s="266">
        <f t="shared" si="99"/>
        <v>5</v>
      </c>
      <c r="BM110" s="255">
        <f>IF($BC110=Lookup!$A$2,$BD110*ROUNDUP(BE110/10,0)+1,
IF($BC110=Lookup!$A$3,($BD110+1)^BD110,
IF($BC110=Lookup!$A$4,BE110*$BD110+1,"Error")))</f>
        <v>1</v>
      </c>
      <c r="BN110" s="228">
        <f>IF($BC110=Lookup!$A$2,$BD110*ROUNDUP(BF110/10,0)+1,
IF($BC110=Lookup!$A$3,($BD110+1)^BE110,
IF($BC110=Lookup!$A$4,BF110*$BD110+1,"Error")))</f>
        <v>1</v>
      </c>
      <c r="BO110" s="228">
        <f>IF($BC110=Lookup!$A$2,$BD110*ROUNDUP(BG110/10,0)+1,
IF($BC110=Lookup!$A$3,($BD110+1)^BF110,
IF($BC110=Lookup!$A$4,BG110*$BD110+1,"Error")))</f>
        <v>1</v>
      </c>
      <c r="BP110" s="228">
        <f>IF($BC110=Lookup!$A$2,$BD110*ROUNDUP(BH110/10,0)+1,
IF($BC110=Lookup!$A$3,($BD110+1)^BG110,
IF($BC110=Lookup!$A$4,BH110*$BD110+1,"Error")))</f>
        <v>1</v>
      </c>
      <c r="BQ110" s="228">
        <f>IF($BC110=Lookup!$A$2,$BD110*ROUNDUP(BI110/10,0)+1,
IF($BC110=Lookup!$A$3,($BD110+1)^BH110,
IF($BC110=Lookup!$A$4,BI110*$BD110+1,"Error")))</f>
        <v>1</v>
      </c>
      <c r="BR110" s="228">
        <f>IF($BC110=Lookup!$A$2,$BD110*ROUNDUP(BJ110/10,0)+1,
IF($BC110=Lookup!$A$3,($BD110+1)^BI110,
IF($BC110=Lookup!$A$4,BJ110*$BD110+1,"Error")))</f>
        <v>1</v>
      </c>
      <c r="BS110" s="228">
        <f>IF($BC110=Lookup!$A$2,$BD110*ROUNDUP(BK110/10,0)+1,
IF($BC110=Lookup!$A$3,($BD110+1)^BJ110,
IF($BC110=Lookup!$A$4,BK110*$BD110+1,"Error")))</f>
        <v>1</v>
      </c>
      <c r="BT110" s="247">
        <f>IF($BC110=Lookup!$A$2,$BD110*ROUNDUP(BL110/10,0)+1,
IF($BC110=Lookup!$A$3,($BD110+1)^BK110,
IF($BC110=Lookup!$A$4,BL110*$BD110+1,"Error")))</f>
        <v>1</v>
      </c>
      <c r="BU110" s="318">
        <v>0</v>
      </c>
      <c r="BV110" s="319">
        <v>0</v>
      </c>
      <c r="BW110" s="319">
        <v>0</v>
      </c>
      <c r="BX110" s="319">
        <v>0</v>
      </c>
      <c r="BY110" s="319">
        <v>0</v>
      </c>
      <c r="BZ110" s="319">
        <v>0</v>
      </c>
      <c r="CA110" s="319">
        <v>0</v>
      </c>
      <c r="CB110" s="276">
        <v>0</v>
      </c>
      <c r="CC110" s="380" t="s">
        <v>293</v>
      </c>
      <c r="CD110" s="381">
        <f>HLOOKUP($CC110,$AK$6:$AM$132,ROWS(CD$6:CD110),0)</f>
        <v>22</v>
      </c>
      <c r="CE110" s="233">
        <f t="shared" si="81"/>
        <v>0</v>
      </c>
      <c r="CF110" s="78">
        <f t="shared" si="81"/>
        <v>0</v>
      </c>
      <c r="CG110" s="797">
        <f t="shared" si="81"/>
        <v>0</v>
      </c>
      <c r="CH110" s="806">
        <f t="shared" si="81"/>
        <v>0</v>
      </c>
      <c r="CI110" s="78">
        <f t="shared" si="81"/>
        <v>0</v>
      </c>
      <c r="CJ110" s="78">
        <f t="shared" si="81"/>
        <v>0</v>
      </c>
      <c r="CK110" s="78">
        <f t="shared" si="81"/>
        <v>0</v>
      </c>
      <c r="CL110" s="285">
        <f t="shared" si="101"/>
        <v>0</v>
      </c>
      <c r="CM110" s="302" t="s">
        <v>293</v>
      </c>
      <c r="CN110" s="314">
        <v>0.05</v>
      </c>
      <c r="CO110" s="303"/>
      <c r="CP110" s="304">
        <f>IF($CO110&lt;&gt;"",$CO110,HLOOKUP($CM110,$AY$6:$BA$132,ROWS(CP$6:CP110),0))</f>
        <v>3581.5066294946969</v>
      </c>
      <c r="CQ110" s="783">
        <f t="shared" si="100"/>
        <v>0</v>
      </c>
      <c r="CR110" s="783">
        <f t="shared" si="100"/>
        <v>0</v>
      </c>
      <c r="CS110" s="523">
        <f t="shared" si="100"/>
        <v>0</v>
      </c>
      <c r="CT110" s="415">
        <f t="shared" si="100"/>
        <v>0</v>
      </c>
      <c r="CU110" s="79">
        <f t="shared" si="100"/>
        <v>0</v>
      </c>
      <c r="CV110" s="79">
        <f t="shared" si="100"/>
        <v>0</v>
      </c>
      <c r="CW110" s="79">
        <f t="shared" si="100"/>
        <v>0</v>
      </c>
      <c r="CX110" s="80">
        <f t="shared" si="100"/>
        <v>0</v>
      </c>
      <c r="CY110" s="391"/>
    </row>
    <row r="111" spans="1:103" x14ac:dyDescent="0.25">
      <c r="A111" s="81" t="s">
        <v>224</v>
      </c>
      <c r="B111" s="82" t="s">
        <v>225</v>
      </c>
      <c r="C111" s="83" t="s">
        <v>396</v>
      </c>
      <c r="D111" s="84">
        <v>172685.69948823156</v>
      </c>
      <c r="E111" s="85">
        <v>1028204.9951605357</v>
      </c>
      <c r="F111" s="85">
        <v>-122984.37615955411</v>
      </c>
      <c r="G111" s="85">
        <v>1056832.5095177586</v>
      </c>
      <c r="H111" s="85">
        <v>169080.05518963223</v>
      </c>
      <c r="I111" s="85">
        <v>47111.496058748999</v>
      </c>
      <c r="J111" s="85">
        <v>53128.676231095007</v>
      </c>
      <c r="K111" s="85">
        <v>220498.96926648298</v>
      </c>
      <c r="L111" s="85">
        <v>28654.082139427002</v>
      </c>
      <c r="M111" s="654">
        <f>'2022-23 Input'!I111</f>
        <v>23919.775068049999</v>
      </c>
      <c r="N111" s="1065">
        <v>615718.86</v>
      </c>
      <c r="O111" s="560">
        <f t="shared" si="79"/>
        <v>232341.06561304905</v>
      </c>
      <c r="P111" s="561">
        <f t="shared" si="53"/>
        <v>1362814.6955916677</v>
      </c>
      <c r="Q111" s="561">
        <f t="shared" si="54"/>
        <v>-161356.20840288792</v>
      </c>
      <c r="R111" s="561">
        <f t="shared" si="55"/>
        <v>1360266.8247441342</v>
      </c>
      <c r="S111" s="561">
        <f t="shared" si="56"/>
        <v>213196.22000033807</v>
      </c>
      <c r="T111" s="561">
        <f t="shared" si="57"/>
        <v>58472.352982762408</v>
      </c>
      <c r="U111" s="561">
        <f t="shared" si="58"/>
        <v>66171.127310326279</v>
      </c>
      <c r="V111" s="561">
        <f t="shared" si="59"/>
        <v>264457.37688656215</v>
      </c>
      <c r="W111" s="675">
        <f t="shared" si="60"/>
        <v>32377.027773833626</v>
      </c>
      <c r="X111" s="675">
        <f t="shared" si="61"/>
        <v>25437.746145783058</v>
      </c>
      <c r="Y111" s="675">
        <f t="shared" si="61"/>
        <v>632650.19233620202</v>
      </c>
      <c r="Z111" s="86">
        <v>45</v>
      </c>
      <c r="AA111" s="87">
        <v>435</v>
      </c>
      <c r="AB111" s="87">
        <v>-36</v>
      </c>
      <c r="AC111" s="87">
        <v>237</v>
      </c>
      <c r="AD111" s="87">
        <v>70</v>
      </c>
      <c r="AE111" s="87">
        <v>22</v>
      </c>
      <c r="AF111" s="87">
        <v>-3</v>
      </c>
      <c r="AG111" s="87">
        <v>40</v>
      </c>
      <c r="AH111" s="87">
        <v>1</v>
      </c>
      <c r="AI111" s="1094">
        <f>'2022-23 Input'!P111</f>
        <v>2</v>
      </c>
      <c r="AJ111" s="665">
        <v>1</v>
      </c>
      <c r="AK111" s="88">
        <f t="shared" si="84"/>
        <v>12.4</v>
      </c>
      <c r="AL111" s="89">
        <f t="shared" si="85"/>
        <v>14.333333333333334</v>
      </c>
      <c r="AM111" s="90">
        <f t="shared" si="86"/>
        <v>2</v>
      </c>
      <c r="AN111" s="91">
        <f t="shared" si="87"/>
        <v>3837.4599886273681</v>
      </c>
      <c r="AO111" s="92">
        <f t="shared" si="88"/>
        <v>2363.6896440472083</v>
      </c>
      <c r="AP111" s="92">
        <f t="shared" si="89"/>
        <v>3416.2326710987254</v>
      </c>
      <c r="AQ111" s="92">
        <f t="shared" si="90"/>
        <v>4459.208900918813</v>
      </c>
      <c r="AR111" s="92">
        <f t="shared" si="91"/>
        <v>2415.4293598518889</v>
      </c>
      <c r="AS111" s="92">
        <f t="shared" si="92"/>
        <v>2141.4316390340455</v>
      </c>
      <c r="AT111" s="92">
        <f t="shared" si="93"/>
        <v>-17709.558743698337</v>
      </c>
      <c r="AU111" s="92">
        <f t="shared" si="94"/>
        <v>5512.4742316620741</v>
      </c>
      <c r="AV111" s="92">
        <f t="shared" si="95"/>
        <v>28654.082139427002</v>
      </c>
      <c r="AW111" s="92">
        <f t="shared" si="95"/>
        <v>11959.887534025</v>
      </c>
      <c r="AX111" s="92">
        <f t="shared" si="95"/>
        <v>615718.86</v>
      </c>
      <c r="AY111" s="93">
        <f t="shared" si="96"/>
        <v>6021.177399416194</v>
      </c>
      <c r="AZ111" s="94">
        <f t="shared" si="97"/>
        <v>6350.5308482316286</v>
      </c>
      <c r="BA111" s="95">
        <f t="shared" si="98"/>
        <v>11959.887534025</v>
      </c>
      <c r="BB111" s="248" t="s">
        <v>422</v>
      </c>
      <c r="BC111" s="229" t="s">
        <v>433</v>
      </c>
      <c r="BD111" s="249">
        <v>0</v>
      </c>
      <c r="BE111" s="267">
        <f t="shared" si="80"/>
        <v>0</v>
      </c>
      <c r="BF111" s="268">
        <f t="shared" si="99"/>
        <v>0</v>
      </c>
      <c r="BG111" s="268">
        <f t="shared" si="99"/>
        <v>0</v>
      </c>
      <c r="BH111" s="268">
        <f t="shared" si="99"/>
        <v>1</v>
      </c>
      <c r="BI111" s="268">
        <f t="shared" si="99"/>
        <v>2</v>
      </c>
      <c r="BJ111" s="268">
        <f t="shared" si="99"/>
        <v>3</v>
      </c>
      <c r="BK111" s="268">
        <f t="shared" si="99"/>
        <v>4</v>
      </c>
      <c r="BL111" s="269">
        <f t="shared" si="99"/>
        <v>5</v>
      </c>
      <c r="BM111" s="256">
        <f>IF($BC111=Lookup!$A$2,$BD111*ROUNDUP(BE111/10,0)+1,
IF($BC111=Lookup!$A$3,($BD111+1)^BD111,
IF($BC111=Lookup!$A$4,BE111*$BD111+1,"Error")))</f>
        <v>1</v>
      </c>
      <c r="BN111" s="229">
        <f>IF($BC111=Lookup!$A$2,$BD111*ROUNDUP(BF111/10,0)+1,
IF($BC111=Lookup!$A$3,($BD111+1)^BE111,
IF($BC111=Lookup!$A$4,BF111*$BD111+1,"Error")))</f>
        <v>1</v>
      </c>
      <c r="BO111" s="229">
        <f>IF($BC111=Lookup!$A$2,$BD111*ROUNDUP(BG111/10,0)+1,
IF($BC111=Lookup!$A$3,($BD111+1)^BF111,
IF($BC111=Lookup!$A$4,BG111*$BD111+1,"Error")))</f>
        <v>1</v>
      </c>
      <c r="BP111" s="229">
        <f>IF($BC111=Lookup!$A$2,$BD111*ROUNDUP(BH111/10,0)+1,
IF($BC111=Lookup!$A$3,($BD111+1)^BG111,
IF($BC111=Lookup!$A$4,BH111*$BD111+1,"Error")))</f>
        <v>1</v>
      </c>
      <c r="BQ111" s="229">
        <f>IF($BC111=Lookup!$A$2,$BD111*ROUNDUP(BI111/10,0)+1,
IF($BC111=Lookup!$A$3,($BD111+1)^BH111,
IF($BC111=Lookup!$A$4,BI111*$BD111+1,"Error")))</f>
        <v>1</v>
      </c>
      <c r="BR111" s="229">
        <f>IF($BC111=Lookup!$A$2,$BD111*ROUNDUP(BJ111/10,0)+1,
IF($BC111=Lookup!$A$3,($BD111+1)^BI111,
IF($BC111=Lookup!$A$4,BJ111*$BD111+1,"Error")))</f>
        <v>1</v>
      </c>
      <c r="BS111" s="229">
        <f>IF($BC111=Lookup!$A$2,$BD111*ROUNDUP(BK111/10,0)+1,
IF($BC111=Lookup!$A$3,($BD111+1)^BJ111,
IF($BC111=Lookup!$A$4,BK111*$BD111+1,"Error")))</f>
        <v>1</v>
      </c>
      <c r="BT111" s="249">
        <f>IF($BC111=Lookup!$A$2,$BD111*ROUNDUP(BL111/10,0)+1,
IF($BC111=Lookup!$A$3,($BD111+1)^BK111,
IF($BC111=Lookup!$A$4,BL111*$BD111+1,"Error")))</f>
        <v>1</v>
      </c>
      <c r="BU111" s="320">
        <v>0</v>
      </c>
      <c r="BV111" s="321">
        <v>0</v>
      </c>
      <c r="BW111" s="321">
        <v>0</v>
      </c>
      <c r="BX111" s="321">
        <v>0</v>
      </c>
      <c r="BY111" s="321">
        <v>0</v>
      </c>
      <c r="BZ111" s="321">
        <v>0</v>
      </c>
      <c r="CA111" s="321">
        <v>0</v>
      </c>
      <c r="CB111" s="277">
        <v>0</v>
      </c>
      <c r="CC111" s="382" t="s">
        <v>293</v>
      </c>
      <c r="CD111" s="383">
        <f>HLOOKUP($CC111,$AK$6:$AM$132,ROWS(CD$6:CD111),0)</f>
        <v>14.333333333333334</v>
      </c>
      <c r="CE111" s="234">
        <f t="shared" si="81"/>
        <v>0</v>
      </c>
      <c r="CF111" s="96">
        <f t="shared" si="81"/>
        <v>0</v>
      </c>
      <c r="CG111" s="521">
        <f t="shared" si="81"/>
        <v>0</v>
      </c>
      <c r="CH111" s="421">
        <f t="shared" si="81"/>
        <v>0</v>
      </c>
      <c r="CI111" s="96">
        <f t="shared" si="81"/>
        <v>0</v>
      </c>
      <c r="CJ111" s="96">
        <f t="shared" si="81"/>
        <v>0</v>
      </c>
      <c r="CK111" s="96">
        <f t="shared" si="81"/>
        <v>0</v>
      </c>
      <c r="CL111" s="286">
        <f t="shared" si="101"/>
        <v>0</v>
      </c>
      <c r="CM111" s="305" t="s">
        <v>293</v>
      </c>
      <c r="CN111" s="315">
        <v>0.05</v>
      </c>
      <c r="CO111" s="306"/>
      <c r="CP111" s="307">
        <f>IF($CO111&lt;&gt;"",$CO111,HLOOKUP($CM111,$AY$6:$BA$132,ROWS(CP$6:CP111),0))</f>
        <v>6350.5308482316286</v>
      </c>
      <c r="CQ111" s="784">
        <f t="shared" si="100"/>
        <v>0</v>
      </c>
      <c r="CR111" s="784">
        <f t="shared" si="100"/>
        <v>0</v>
      </c>
      <c r="CS111" s="524">
        <f t="shared" si="100"/>
        <v>0</v>
      </c>
      <c r="CT111" s="416">
        <f t="shared" si="100"/>
        <v>0</v>
      </c>
      <c r="CU111" s="97">
        <f t="shared" si="100"/>
        <v>0</v>
      </c>
      <c r="CV111" s="97">
        <f t="shared" si="100"/>
        <v>0</v>
      </c>
      <c r="CW111" s="97">
        <f t="shared" si="100"/>
        <v>0</v>
      </c>
      <c r="CX111" s="98">
        <f t="shared" si="100"/>
        <v>0</v>
      </c>
      <c r="CY111" s="392"/>
    </row>
    <row r="112" spans="1:103" x14ac:dyDescent="0.25">
      <c r="A112" s="81" t="s">
        <v>224</v>
      </c>
      <c r="B112" s="82" t="s">
        <v>227</v>
      </c>
      <c r="C112" s="83" t="s">
        <v>228</v>
      </c>
      <c r="D112" s="84">
        <v>73696.7701996221</v>
      </c>
      <c r="E112" s="85">
        <v>100045.9859376112</v>
      </c>
      <c r="F112" s="85">
        <v>33975.194046477613</v>
      </c>
      <c r="G112" s="85">
        <v>5026.9440182619728</v>
      </c>
      <c r="H112" s="85">
        <v>-9751.3881763356621</v>
      </c>
      <c r="I112" s="85">
        <v>2240.8094459270005</v>
      </c>
      <c r="J112" s="85">
        <v>18326.737765974998</v>
      </c>
      <c r="K112" s="85">
        <v>77502.155159756992</v>
      </c>
      <c r="L112" s="85">
        <v>128443.90212521001</v>
      </c>
      <c r="M112" s="654">
        <f>'2022-23 Input'!I112</f>
        <v>381.15125527800001</v>
      </c>
      <c r="N112" s="1065">
        <v>3980.900805197</v>
      </c>
      <c r="O112" s="560">
        <f t="shared" si="79"/>
        <v>99155.785170196483</v>
      </c>
      <c r="P112" s="561">
        <f t="shared" si="53"/>
        <v>132604.04346649395</v>
      </c>
      <c r="Q112" s="561">
        <f t="shared" si="54"/>
        <v>44575.649869376663</v>
      </c>
      <c r="R112" s="561">
        <f t="shared" si="55"/>
        <v>6470.2638462626037</v>
      </c>
      <c r="S112" s="561">
        <f t="shared" si="56"/>
        <v>-12295.708660723411</v>
      </c>
      <c r="T112" s="561">
        <f t="shared" si="57"/>
        <v>2781.1768220215395</v>
      </c>
      <c r="U112" s="561">
        <f t="shared" si="58"/>
        <v>22825.731486709428</v>
      </c>
      <c r="V112" s="561">
        <f t="shared" si="59"/>
        <v>92952.891003469093</v>
      </c>
      <c r="W112" s="675">
        <f t="shared" si="60"/>
        <v>145132.26304901813</v>
      </c>
      <c r="X112" s="675">
        <f t="shared" si="61"/>
        <v>405.33946691910643</v>
      </c>
      <c r="Y112" s="675">
        <f t="shared" si="61"/>
        <v>4090.3695236478929</v>
      </c>
      <c r="Z112" s="86">
        <v>12</v>
      </c>
      <c r="AA112" s="87">
        <v>23</v>
      </c>
      <c r="AB112" s="87">
        <v>0</v>
      </c>
      <c r="AC112" s="87">
        <v>-8</v>
      </c>
      <c r="AD112" s="87">
        <v>8</v>
      </c>
      <c r="AE112" s="87">
        <v>6</v>
      </c>
      <c r="AF112" s="87">
        <v>6</v>
      </c>
      <c r="AG112" s="87">
        <v>65</v>
      </c>
      <c r="AH112" s="87">
        <v>24</v>
      </c>
      <c r="AI112" s="1094">
        <f>'2022-23 Input'!P112</f>
        <v>1</v>
      </c>
      <c r="AJ112" s="665">
        <v>3</v>
      </c>
      <c r="AK112" s="88">
        <f t="shared" si="84"/>
        <v>20.399999999999999</v>
      </c>
      <c r="AL112" s="89">
        <f t="shared" si="85"/>
        <v>30</v>
      </c>
      <c r="AM112" s="90">
        <f t="shared" si="86"/>
        <v>1</v>
      </c>
      <c r="AN112" s="91">
        <f t="shared" si="87"/>
        <v>6141.3975166351747</v>
      </c>
      <c r="AO112" s="92">
        <f t="shared" si="88"/>
        <v>4349.8254755483131</v>
      </c>
      <c r="AP112" s="92" t="str">
        <f t="shared" si="89"/>
        <v/>
      </c>
      <c r="AQ112" s="92">
        <f t="shared" si="90"/>
        <v>-628.3680022827466</v>
      </c>
      <c r="AR112" s="92">
        <f t="shared" si="91"/>
        <v>-1218.9235220419578</v>
      </c>
      <c r="AS112" s="92">
        <f t="shared" si="92"/>
        <v>373.46824098783344</v>
      </c>
      <c r="AT112" s="92">
        <f t="shared" si="93"/>
        <v>3054.4562943291662</v>
      </c>
      <c r="AU112" s="92">
        <f t="shared" si="94"/>
        <v>1192.3408486116459</v>
      </c>
      <c r="AV112" s="92">
        <f t="shared" si="95"/>
        <v>5351.8292552170833</v>
      </c>
      <c r="AW112" s="92">
        <f t="shared" si="95"/>
        <v>381.15125527800001</v>
      </c>
      <c r="AX112" s="92">
        <f t="shared" si="95"/>
        <v>1326.9669350656666</v>
      </c>
      <c r="AY112" s="93">
        <f t="shared" si="96"/>
        <v>2224.4583897269313</v>
      </c>
      <c r="AZ112" s="94">
        <f t="shared" si="97"/>
        <v>2292.5245393360556</v>
      </c>
      <c r="BA112" s="95">
        <f t="shared" si="98"/>
        <v>381.15125527800001</v>
      </c>
      <c r="BB112" s="248" t="s">
        <v>422</v>
      </c>
      <c r="BC112" s="229" t="s">
        <v>433</v>
      </c>
      <c r="BD112" s="249">
        <v>0</v>
      </c>
      <c r="BE112" s="267">
        <f t="shared" si="80"/>
        <v>0</v>
      </c>
      <c r="BF112" s="268">
        <f t="shared" si="99"/>
        <v>0</v>
      </c>
      <c r="BG112" s="268">
        <f t="shared" si="99"/>
        <v>0</v>
      </c>
      <c r="BH112" s="268">
        <f t="shared" si="99"/>
        <v>1</v>
      </c>
      <c r="BI112" s="268">
        <f t="shared" si="99"/>
        <v>2</v>
      </c>
      <c r="BJ112" s="268">
        <f t="shared" si="99"/>
        <v>3</v>
      </c>
      <c r="BK112" s="268">
        <f t="shared" si="99"/>
        <v>4</v>
      </c>
      <c r="BL112" s="269">
        <f t="shared" si="99"/>
        <v>5</v>
      </c>
      <c r="BM112" s="256">
        <f>IF($BC112=Lookup!$A$2,$BD112*ROUNDUP(BE112/10,0)+1,
IF($BC112=Lookup!$A$3,($BD112+1)^BD112,
IF($BC112=Lookup!$A$4,BE112*$BD112+1,"Error")))</f>
        <v>1</v>
      </c>
      <c r="BN112" s="229">
        <f>IF($BC112=Lookup!$A$2,$BD112*ROUNDUP(BF112/10,0)+1,
IF($BC112=Lookup!$A$3,($BD112+1)^BE112,
IF($BC112=Lookup!$A$4,BF112*$BD112+1,"Error")))</f>
        <v>1</v>
      </c>
      <c r="BO112" s="229">
        <f>IF($BC112=Lookup!$A$2,$BD112*ROUNDUP(BG112/10,0)+1,
IF($BC112=Lookup!$A$3,($BD112+1)^BF112,
IF($BC112=Lookup!$A$4,BG112*$BD112+1,"Error")))</f>
        <v>1</v>
      </c>
      <c r="BP112" s="229">
        <f>IF($BC112=Lookup!$A$2,$BD112*ROUNDUP(BH112/10,0)+1,
IF($BC112=Lookup!$A$3,($BD112+1)^BG112,
IF($BC112=Lookup!$A$4,BH112*$BD112+1,"Error")))</f>
        <v>1</v>
      </c>
      <c r="BQ112" s="229">
        <f>IF($BC112=Lookup!$A$2,$BD112*ROUNDUP(BI112/10,0)+1,
IF($BC112=Lookup!$A$3,($BD112+1)^BH112,
IF($BC112=Lookup!$A$4,BI112*$BD112+1,"Error")))</f>
        <v>1</v>
      </c>
      <c r="BR112" s="229">
        <f>IF($BC112=Lookup!$A$2,$BD112*ROUNDUP(BJ112/10,0)+1,
IF($BC112=Lookup!$A$3,($BD112+1)^BI112,
IF($BC112=Lookup!$A$4,BJ112*$BD112+1,"Error")))</f>
        <v>1</v>
      </c>
      <c r="BS112" s="229">
        <f>IF($BC112=Lookup!$A$2,$BD112*ROUNDUP(BK112/10,0)+1,
IF($BC112=Lookup!$A$3,($BD112+1)^BJ112,
IF($BC112=Lookup!$A$4,BK112*$BD112+1,"Error")))</f>
        <v>1</v>
      </c>
      <c r="BT112" s="249">
        <f>IF($BC112=Lookup!$A$2,$BD112*ROUNDUP(BL112/10,0)+1,
IF($BC112=Lookup!$A$3,($BD112+1)^BK112,
IF($BC112=Lookup!$A$4,BL112*$BD112+1,"Error")))</f>
        <v>1</v>
      </c>
      <c r="BU112" s="320">
        <v>0</v>
      </c>
      <c r="BV112" s="321">
        <v>0</v>
      </c>
      <c r="BW112" s="321">
        <v>0</v>
      </c>
      <c r="BX112" s="321">
        <v>0</v>
      </c>
      <c r="BY112" s="321">
        <v>0</v>
      </c>
      <c r="BZ112" s="321">
        <v>0</v>
      </c>
      <c r="CA112" s="321">
        <v>0</v>
      </c>
      <c r="CB112" s="277">
        <v>0</v>
      </c>
      <c r="CC112" s="382" t="s">
        <v>293</v>
      </c>
      <c r="CD112" s="383">
        <f>HLOOKUP($CC112,$AK$6:$AM$132,ROWS(CD$6:CD112),0)</f>
        <v>30</v>
      </c>
      <c r="CE112" s="234">
        <f t="shared" si="81"/>
        <v>0</v>
      </c>
      <c r="CF112" s="96">
        <f t="shared" si="81"/>
        <v>0</v>
      </c>
      <c r="CG112" s="521">
        <f t="shared" si="81"/>
        <v>0</v>
      </c>
      <c r="CH112" s="421">
        <f t="shared" si="81"/>
        <v>0</v>
      </c>
      <c r="CI112" s="96">
        <f t="shared" si="81"/>
        <v>0</v>
      </c>
      <c r="CJ112" s="96">
        <f t="shared" si="81"/>
        <v>0</v>
      </c>
      <c r="CK112" s="96">
        <f t="shared" si="81"/>
        <v>0</v>
      </c>
      <c r="CL112" s="286">
        <f t="shared" si="101"/>
        <v>0</v>
      </c>
      <c r="CM112" s="305" t="s">
        <v>293</v>
      </c>
      <c r="CN112" s="315">
        <v>0.05</v>
      </c>
      <c r="CO112" s="306"/>
      <c r="CP112" s="307">
        <f>IF($CO112&lt;&gt;"",$CO112,HLOOKUP($CM112,$AY$6:$BA$132,ROWS(CP$6:CP112),0))</f>
        <v>2292.5245393360556</v>
      </c>
      <c r="CQ112" s="784">
        <f t="shared" si="100"/>
        <v>0</v>
      </c>
      <c r="CR112" s="784">
        <f t="shared" si="100"/>
        <v>0</v>
      </c>
      <c r="CS112" s="524">
        <f t="shared" si="100"/>
        <v>0</v>
      </c>
      <c r="CT112" s="416">
        <f t="shared" si="100"/>
        <v>0</v>
      </c>
      <c r="CU112" s="97">
        <f t="shared" si="100"/>
        <v>0</v>
      </c>
      <c r="CV112" s="97">
        <f t="shared" si="100"/>
        <v>0</v>
      </c>
      <c r="CW112" s="97">
        <f t="shared" si="100"/>
        <v>0</v>
      </c>
      <c r="CX112" s="98">
        <f t="shared" si="100"/>
        <v>0</v>
      </c>
      <c r="CY112" s="392"/>
    </row>
    <row r="113" spans="1:103" x14ac:dyDescent="0.25">
      <c r="A113" s="81" t="s">
        <v>224</v>
      </c>
      <c r="B113" s="82" t="s">
        <v>229</v>
      </c>
      <c r="C113" s="83" t="s">
        <v>230</v>
      </c>
      <c r="D113" s="84">
        <v>56278.092315760354</v>
      </c>
      <c r="E113" s="85">
        <v>53210.468294349674</v>
      </c>
      <c r="F113" s="85">
        <v>-17336.507724939496</v>
      </c>
      <c r="G113" s="85">
        <v>34996.883868453238</v>
      </c>
      <c r="H113" s="85">
        <v>13248.404140999279</v>
      </c>
      <c r="I113" s="85">
        <v>1350.0370833859999</v>
      </c>
      <c r="J113" s="85">
        <v>33625.542260399008</v>
      </c>
      <c r="K113" s="85">
        <v>52363.043621984005</v>
      </c>
      <c r="L113" s="85">
        <v>51382.587876347017</v>
      </c>
      <c r="M113" s="654">
        <f>'2022-23 Input'!I113</f>
        <v>7369.6604437600008</v>
      </c>
      <c r="N113" s="1065">
        <v>0</v>
      </c>
      <c r="O113" s="560">
        <f t="shared" si="79"/>
        <v>75719.714939130849</v>
      </c>
      <c r="P113" s="561">
        <f t="shared" si="53"/>
        <v>70526.800095473343</v>
      </c>
      <c r="Q113" s="561">
        <f t="shared" si="54"/>
        <v>-22745.597780765744</v>
      </c>
      <c r="R113" s="561">
        <f t="shared" si="55"/>
        <v>45045.07541824456</v>
      </c>
      <c r="S113" s="561">
        <f t="shared" si="56"/>
        <v>16705.161828401553</v>
      </c>
      <c r="T113" s="561">
        <f t="shared" si="57"/>
        <v>1675.5962235019163</v>
      </c>
      <c r="U113" s="561">
        <f t="shared" si="58"/>
        <v>41880.208498199958</v>
      </c>
      <c r="V113" s="561">
        <f t="shared" si="59"/>
        <v>62802.076618012827</v>
      </c>
      <c r="W113" s="675">
        <f t="shared" si="60"/>
        <v>58058.58539348773</v>
      </c>
      <c r="X113" s="675">
        <f t="shared" si="61"/>
        <v>7837.3459205052905</v>
      </c>
      <c r="Y113" s="675">
        <f t="shared" si="61"/>
        <v>0</v>
      </c>
      <c r="Z113" s="86">
        <v>18</v>
      </c>
      <c r="AA113" s="87">
        <v>65</v>
      </c>
      <c r="AB113" s="87">
        <v>9</v>
      </c>
      <c r="AC113" s="87">
        <v>29</v>
      </c>
      <c r="AD113" s="87">
        <v>51</v>
      </c>
      <c r="AE113" s="87">
        <v>18</v>
      </c>
      <c r="AF113" s="87">
        <v>22</v>
      </c>
      <c r="AG113" s="87">
        <v>199</v>
      </c>
      <c r="AH113" s="87">
        <v>42</v>
      </c>
      <c r="AI113" s="1094">
        <f>'2022-23 Input'!P113</f>
        <v>15</v>
      </c>
      <c r="AJ113" s="665">
        <v>0</v>
      </c>
      <c r="AK113" s="88">
        <f t="shared" si="84"/>
        <v>59.2</v>
      </c>
      <c r="AL113" s="89">
        <f t="shared" si="85"/>
        <v>85.333333333333329</v>
      </c>
      <c r="AM113" s="90">
        <f t="shared" si="86"/>
        <v>15</v>
      </c>
      <c r="AN113" s="91">
        <f t="shared" si="87"/>
        <v>3126.5606842089087</v>
      </c>
      <c r="AO113" s="92">
        <f t="shared" si="88"/>
        <v>818.62258914384108</v>
      </c>
      <c r="AP113" s="92">
        <f t="shared" si="89"/>
        <v>-1926.2786361043884</v>
      </c>
      <c r="AQ113" s="92">
        <f t="shared" si="90"/>
        <v>1206.7890989121806</v>
      </c>
      <c r="AR113" s="92">
        <f t="shared" si="91"/>
        <v>259.77263021567211</v>
      </c>
      <c r="AS113" s="92">
        <f t="shared" si="92"/>
        <v>75.002060188111102</v>
      </c>
      <c r="AT113" s="92">
        <f t="shared" si="93"/>
        <v>1528.4337391090457</v>
      </c>
      <c r="AU113" s="92">
        <f t="shared" si="94"/>
        <v>263.13087247228145</v>
      </c>
      <c r="AV113" s="92">
        <f t="shared" si="95"/>
        <v>1223.3949494368337</v>
      </c>
      <c r="AW113" s="92">
        <f t="shared" si="95"/>
        <v>491.31069625066669</v>
      </c>
      <c r="AX113" s="92" t="str">
        <f t="shared" si="95"/>
        <v/>
      </c>
      <c r="AY113" s="93">
        <f t="shared" si="96"/>
        <v>493.55024083066223</v>
      </c>
      <c r="AZ113" s="94">
        <f t="shared" si="97"/>
        <v>434.0441091487931</v>
      </c>
      <c r="BA113" s="95">
        <f t="shared" si="98"/>
        <v>491.31069625066669</v>
      </c>
      <c r="BB113" s="248" t="s">
        <v>422</v>
      </c>
      <c r="BC113" s="229" t="s">
        <v>433</v>
      </c>
      <c r="BD113" s="249">
        <v>0</v>
      </c>
      <c r="BE113" s="267">
        <f t="shared" si="80"/>
        <v>0</v>
      </c>
      <c r="BF113" s="268">
        <f t="shared" si="99"/>
        <v>0</v>
      </c>
      <c r="BG113" s="268">
        <f t="shared" si="99"/>
        <v>0</v>
      </c>
      <c r="BH113" s="268">
        <f t="shared" si="99"/>
        <v>1</v>
      </c>
      <c r="BI113" s="268">
        <f t="shared" si="99"/>
        <v>2</v>
      </c>
      <c r="BJ113" s="268">
        <f t="shared" si="99"/>
        <v>3</v>
      </c>
      <c r="BK113" s="268">
        <f t="shared" si="99"/>
        <v>4</v>
      </c>
      <c r="BL113" s="269">
        <f t="shared" si="99"/>
        <v>5</v>
      </c>
      <c r="BM113" s="256">
        <f>IF($BC113=Lookup!$A$2,$BD113*ROUNDUP(BE113/10,0)+1,
IF($BC113=Lookup!$A$3,($BD113+1)^BD113,
IF($BC113=Lookup!$A$4,BE113*$BD113+1,"Error")))</f>
        <v>1</v>
      </c>
      <c r="BN113" s="229">
        <f>IF($BC113=Lookup!$A$2,$BD113*ROUNDUP(BF113/10,0)+1,
IF($BC113=Lookup!$A$3,($BD113+1)^BE113,
IF($BC113=Lookup!$A$4,BF113*$BD113+1,"Error")))</f>
        <v>1</v>
      </c>
      <c r="BO113" s="229">
        <f>IF($BC113=Lookup!$A$2,$BD113*ROUNDUP(BG113/10,0)+1,
IF($BC113=Lookup!$A$3,($BD113+1)^BF113,
IF($BC113=Lookup!$A$4,BG113*$BD113+1,"Error")))</f>
        <v>1</v>
      </c>
      <c r="BP113" s="229">
        <f>IF($BC113=Lookup!$A$2,$BD113*ROUNDUP(BH113/10,0)+1,
IF($BC113=Lookup!$A$3,($BD113+1)^BG113,
IF($BC113=Lookup!$A$4,BH113*$BD113+1,"Error")))</f>
        <v>1</v>
      </c>
      <c r="BQ113" s="229">
        <f>IF($BC113=Lookup!$A$2,$BD113*ROUNDUP(BI113/10,0)+1,
IF($BC113=Lookup!$A$3,($BD113+1)^BH113,
IF($BC113=Lookup!$A$4,BI113*$BD113+1,"Error")))</f>
        <v>1</v>
      </c>
      <c r="BR113" s="229">
        <f>IF($BC113=Lookup!$A$2,$BD113*ROUNDUP(BJ113/10,0)+1,
IF($BC113=Lookup!$A$3,($BD113+1)^BI113,
IF($BC113=Lookup!$A$4,BJ113*$BD113+1,"Error")))</f>
        <v>1</v>
      </c>
      <c r="BS113" s="229">
        <f>IF($BC113=Lookup!$A$2,$BD113*ROUNDUP(BK113/10,0)+1,
IF($BC113=Lookup!$A$3,($BD113+1)^BJ113,
IF($BC113=Lookup!$A$4,BK113*$BD113+1,"Error")))</f>
        <v>1</v>
      </c>
      <c r="BT113" s="249">
        <f>IF($BC113=Lookup!$A$2,$BD113*ROUNDUP(BL113/10,0)+1,
IF($BC113=Lookup!$A$3,($BD113+1)^BK113,
IF($BC113=Lookup!$A$4,BL113*$BD113+1,"Error")))</f>
        <v>1</v>
      </c>
      <c r="BU113" s="320">
        <v>0</v>
      </c>
      <c r="BV113" s="321">
        <v>0</v>
      </c>
      <c r="BW113" s="321">
        <v>0</v>
      </c>
      <c r="BX113" s="321">
        <v>0</v>
      </c>
      <c r="BY113" s="321">
        <v>0</v>
      </c>
      <c r="BZ113" s="321">
        <v>0</v>
      </c>
      <c r="CA113" s="321">
        <v>0</v>
      </c>
      <c r="CB113" s="277">
        <v>0</v>
      </c>
      <c r="CC113" s="382" t="s">
        <v>293</v>
      </c>
      <c r="CD113" s="383">
        <f>HLOOKUP($CC113,$AK$6:$AM$132,ROWS(CD$6:CD113),0)</f>
        <v>85.333333333333329</v>
      </c>
      <c r="CE113" s="234">
        <f t="shared" si="81"/>
        <v>0</v>
      </c>
      <c r="CF113" s="96">
        <f t="shared" si="81"/>
        <v>0</v>
      </c>
      <c r="CG113" s="521">
        <f t="shared" si="81"/>
        <v>0</v>
      </c>
      <c r="CH113" s="421">
        <f t="shared" si="81"/>
        <v>0</v>
      </c>
      <c r="CI113" s="96">
        <f t="shared" si="81"/>
        <v>0</v>
      </c>
      <c r="CJ113" s="96">
        <f t="shared" si="81"/>
        <v>0</v>
      </c>
      <c r="CK113" s="96">
        <f t="shared" si="81"/>
        <v>0</v>
      </c>
      <c r="CL113" s="286">
        <f t="shared" si="101"/>
        <v>0</v>
      </c>
      <c r="CM113" s="305" t="s">
        <v>293</v>
      </c>
      <c r="CN113" s="315">
        <v>0.05</v>
      </c>
      <c r="CO113" s="306"/>
      <c r="CP113" s="307">
        <f>IF($CO113&lt;&gt;"",$CO113,HLOOKUP($CM113,$AY$6:$BA$132,ROWS(CP$6:CP113),0))</f>
        <v>434.0441091487931</v>
      </c>
      <c r="CQ113" s="784">
        <f t="shared" si="100"/>
        <v>0</v>
      </c>
      <c r="CR113" s="784">
        <f t="shared" si="100"/>
        <v>0</v>
      </c>
      <c r="CS113" s="524">
        <f t="shared" si="100"/>
        <v>0</v>
      </c>
      <c r="CT113" s="416">
        <f t="shared" si="100"/>
        <v>0</v>
      </c>
      <c r="CU113" s="97">
        <f t="shared" si="100"/>
        <v>0</v>
      </c>
      <c r="CV113" s="97">
        <f t="shared" si="100"/>
        <v>0</v>
      </c>
      <c r="CW113" s="97">
        <f t="shared" si="100"/>
        <v>0</v>
      </c>
      <c r="CX113" s="98">
        <f t="shared" si="100"/>
        <v>0</v>
      </c>
      <c r="CY113" s="392"/>
    </row>
    <row r="114" spans="1:103" x14ac:dyDescent="0.25">
      <c r="A114" s="81" t="s">
        <v>224</v>
      </c>
      <c r="B114" s="82" t="s">
        <v>231</v>
      </c>
      <c r="C114" s="83" t="s">
        <v>232</v>
      </c>
      <c r="D114" s="84">
        <v>16370.711201789658</v>
      </c>
      <c r="E114" s="85">
        <v>29764.563067765863</v>
      </c>
      <c r="F114" s="85">
        <v>236435.1459842422</v>
      </c>
      <c r="G114" s="85">
        <v>126283.22054838053</v>
      </c>
      <c r="H114" s="85">
        <v>48474.182425339473</v>
      </c>
      <c r="I114" s="85">
        <v>-188.45</v>
      </c>
      <c r="J114" s="85">
        <v>749.05640735400004</v>
      </c>
      <c r="K114" s="85">
        <v>2416.641496882</v>
      </c>
      <c r="L114" s="85">
        <v>4698.4349711620007</v>
      </c>
      <c r="M114" s="654">
        <f>'2022-23 Input'!I114</f>
        <v>0</v>
      </c>
      <c r="N114" s="1065">
        <v>0</v>
      </c>
      <c r="O114" s="560">
        <f t="shared" si="79"/>
        <v>22026.076836353786</v>
      </c>
      <c r="P114" s="561">
        <f t="shared" si="53"/>
        <v>39450.872294471839</v>
      </c>
      <c r="Q114" s="561">
        <f t="shared" si="54"/>
        <v>310204.27049779269</v>
      </c>
      <c r="R114" s="561">
        <f t="shared" si="55"/>
        <v>162541.24838778182</v>
      </c>
      <c r="S114" s="561">
        <f t="shared" si="56"/>
        <v>61122.007850650945</v>
      </c>
      <c r="T114" s="561">
        <f t="shared" si="57"/>
        <v>-233.89439609093529</v>
      </c>
      <c r="U114" s="561">
        <f t="shared" si="58"/>
        <v>932.94074706546814</v>
      </c>
      <c r="V114" s="561">
        <f t="shared" si="59"/>
        <v>2898.4202205872862</v>
      </c>
      <c r="W114" s="675">
        <f t="shared" si="60"/>
        <v>5308.8896309663915</v>
      </c>
      <c r="X114" s="675">
        <f t="shared" si="61"/>
        <v>0</v>
      </c>
      <c r="Y114" s="675">
        <f t="shared" si="61"/>
        <v>0</v>
      </c>
      <c r="Z114" s="86">
        <v>23</v>
      </c>
      <c r="AA114" s="87">
        <v>14</v>
      </c>
      <c r="AB114" s="87">
        <v>5</v>
      </c>
      <c r="AC114" s="87">
        <v>298</v>
      </c>
      <c r="AD114" s="87">
        <v>159</v>
      </c>
      <c r="AE114" s="87">
        <v>2</v>
      </c>
      <c r="AF114" s="87">
        <v>11</v>
      </c>
      <c r="AG114" s="87">
        <v>44</v>
      </c>
      <c r="AH114" s="87">
        <v>5</v>
      </c>
      <c r="AI114" s="1094">
        <f>'2022-23 Input'!P114</f>
        <v>0</v>
      </c>
      <c r="AJ114" s="665">
        <v>0</v>
      </c>
      <c r="AK114" s="88">
        <f t="shared" si="84"/>
        <v>12.4</v>
      </c>
      <c r="AL114" s="89">
        <f t="shared" si="85"/>
        <v>16.333333333333332</v>
      </c>
      <c r="AM114" s="90">
        <f t="shared" si="86"/>
        <v>0</v>
      </c>
      <c r="AN114" s="91">
        <f t="shared" si="87"/>
        <v>711.77005225172422</v>
      </c>
      <c r="AO114" s="92">
        <f t="shared" si="88"/>
        <v>2126.0402191261333</v>
      </c>
      <c r="AP114" s="92">
        <f t="shared" si="89"/>
        <v>47287.029196848438</v>
      </c>
      <c r="AQ114" s="92">
        <f t="shared" si="90"/>
        <v>423.76919647107559</v>
      </c>
      <c r="AR114" s="92">
        <f t="shared" si="91"/>
        <v>304.86907185748095</v>
      </c>
      <c r="AS114" s="92">
        <f t="shared" si="92"/>
        <v>-94.224999999999994</v>
      </c>
      <c r="AT114" s="92">
        <f t="shared" si="93"/>
        <v>68.096037032181826</v>
      </c>
      <c r="AU114" s="92">
        <f t="shared" si="94"/>
        <v>54.923670383681817</v>
      </c>
      <c r="AV114" s="92">
        <f t="shared" si="95"/>
        <v>939.68699423240014</v>
      </c>
      <c r="AW114" s="92" t="str">
        <f t="shared" si="95"/>
        <v/>
      </c>
      <c r="AX114" s="92" t="str">
        <f t="shared" si="95"/>
        <v/>
      </c>
      <c r="AY114" s="93">
        <f t="shared" si="96"/>
        <v>123.80133669996775</v>
      </c>
      <c r="AZ114" s="94">
        <f t="shared" si="97"/>
        <v>145.2056422049796</v>
      </c>
      <c r="BA114" s="95" t="str">
        <f t="shared" si="98"/>
        <v/>
      </c>
      <c r="BB114" s="248" t="s">
        <v>422</v>
      </c>
      <c r="BC114" s="229" t="s">
        <v>433</v>
      </c>
      <c r="BD114" s="249">
        <v>0</v>
      </c>
      <c r="BE114" s="267">
        <f t="shared" si="80"/>
        <v>0</v>
      </c>
      <c r="BF114" s="268">
        <f t="shared" si="99"/>
        <v>0</v>
      </c>
      <c r="BG114" s="268">
        <f t="shared" si="99"/>
        <v>0</v>
      </c>
      <c r="BH114" s="268">
        <f t="shared" si="99"/>
        <v>1</v>
      </c>
      <c r="BI114" s="268">
        <f t="shared" si="99"/>
        <v>2</v>
      </c>
      <c r="BJ114" s="268">
        <f t="shared" si="99"/>
        <v>3</v>
      </c>
      <c r="BK114" s="268">
        <f t="shared" si="99"/>
        <v>4</v>
      </c>
      <c r="BL114" s="269">
        <f t="shared" si="99"/>
        <v>5</v>
      </c>
      <c r="BM114" s="256">
        <f>IF($BC114=Lookup!$A$2,$BD114*ROUNDUP(BE114/10,0)+1,
IF($BC114=Lookup!$A$3,($BD114+1)^BD114,
IF($BC114=Lookup!$A$4,BE114*$BD114+1,"Error")))</f>
        <v>1</v>
      </c>
      <c r="BN114" s="229">
        <f>IF($BC114=Lookup!$A$2,$BD114*ROUNDUP(BF114/10,0)+1,
IF($BC114=Lookup!$A$3,($BD114+1)^BE114,
IF($BC114=Lookup!$A$4,BF114*$BD114+1,"Error")))</f>
        <v>1</v>
      </c>
      <c r="BO114" s="229">
        <f>IF($BC114=Lookup!$A$2,$BD114*ROUNDUP(BG114/10,0)+1,
IF($BC114=Lookup!$A$3,($BD114+1)^BF114,
IF($BC114=Lookup!$A$4,BG114*$BD114+1,"Error")))</f>
        <v>1</v>
      </c>
      <c r="BP114" s="229">
        <f>IF($BC114=Lookup!$A$2,$BD114*ROUNDUP(BH114/10,0)+1,
IF($BC114=Lookup!$A$3,($BD114+1)^BG114,
IF($BC114=Lookup!$A$4,BH114*$BD114+1,"Error")))</f>
        <v>1</v>
      </c>
      <c r="BQ114" s="229">
        <f>IF($BC114=Lookup!$A$2,$BD114*ROUNDUP(BI114/10,0)+1,
IF($BC114=Lookup!$A$3,($BD114+1)^BH114,
IF($BC114=Lookup!$A$4,BI114*$BD114+1,"Error")))</f>
        <v>1</v>
      </c>
      <c r="BR114" s="229">
        <f>IF($BC114=Lookup!$A$2,$BD114*ROUNDUP(BJ114/10,0)+1,
IF($BC114=Lookup!$A$3,($BD114+1)^BI114,
IF($BC114=Lookup!$A$4,BJ114*$BD114+1,"Error")))</f>
        <v>1</v>
      </c>
      <c r="BS114" s="229">
        <f>IF($BC114=Lookup!$A$2,$BD114*ROUNDUP(BK114/10,0)+1,
IF($BC114=Lookup!$A$3,($BD114+1)^BJ114,
IF($BC114=Lookup!$A$4,BK114*$BD114+1,"Error")))</f>
        <v>1</v>
      </c>
      <c r="BT114" s="249">
        <f>IF($BC114=Lookup!$A$2,$BD114*ROUNDUP(BL114/10,0)+1,
IF($BC114=Lookup!$A$3,($BD114+1)^BK114,
IF($BC114=Lookup!$A$4,BL114*$BD114+1,"Error")))</f>
        <v>1</v>
      </c>
      <c r="BU114" s="320">
        <v>0</v>
      </c>
      <c r="BV114" s="321">
        <v>0</v>
      </c>
      <c r="BW114" s="321">
        <v>0</v>
      </c>
      <c r="BX114" s="321">
        <v>0</v>
      </c>
      <c r="BY114" s="321">
        <v>0</v>
      </c>
      <c r="BZ114" s="321">
        <v>0</v>
      </c>
      <c r="CA114" s="321">
        <v>0</v>
      </c>
      <c r="CB114" s="277">
        <v>0</v>
      </c>
      <c r="CC114" s="382" t="s">
        <v>293</v>
      </c>
      <c r="CD114" s="383">
        <f>HLOOKUP($CC114,$AK$6:$AM$132,ROWS(CD$6:CD114),0)</f>
        <v>16.333333333333332</v>
      </c>
      <c r="CE114" s="234">
        <f t="shared" si="81"/>
        <v>0</v>
      </c>
      <c r="CF114" s="96">
        <f t="shared" si="81"/>
        <v>0</v>
      </c>
      <c r="CG114" s="521">
        <f t="shared" si="81"/>
        <v>0</v>
      </c>
      <c r="CH114" s="421">
        <f t="shared" si="81"/>
        <v>0</v>
      </c>
      <c r="CI114" s="96">
        <f t="shared" si="81"/>
        <v>0</v>
      </c>
      <c r="CJ114" s="96">
        <f t="shared" si="81"/>
        <v>0</v>
      </c>
      <c r="CK114" s="96">
        <f t="shared" si="81"/>
        <v>0</v>
      </c>
      <c r="CL114" s="286">
        <f t="shared" si="101"/>
        <v>0</v>
      </c>
      <c r="CM114" s="305" t="s">
        <v>293</v>
      </c>
      <c r="CN114" s="315">
        <v>0.05</v>
      </c>
      <c r="CO114" s="306"/>
      <c r="CP114" s="307">
        <f>IF($CO114&lt;&gt;"",$CO114,HLOOKUP($CM114,$AY$6:$BA$132,ROWS(CP$6:CP114),0))</f>
        <v>145.2056422049796</v>
      </c>
      <c r="CQ114" s="784">
        <f t="shared" si="100"/>
        <v>0</v>
      </c>
      <c r="CR114" s="784">
        <f t="shared" si="100"/>
        <v>0</v>
      </c>
      <c r="CS114" s="524">
        <f t="shared" si="100"/>
        <v>0</v>
      </c>
      <c r="CT114" s="416">
        <f t="shared" si="100"/>
        <v>0</v>
      </c>
      <c r="CU114" s="97">
        <f t="shared" si="100"/>
        <v>0</v>
      </c>
      <c r="CV114" s="97">
        <f t="shared" si="100"/>
        <v>0</v>
      </c>
      <c r="CW114" s="97">
        <f t="shared" si="100"/>
        <v>0</v>
      </c>
      <c r="CX114" s="98">
        <f t="shared" si="100"/>
        <v>0</v>
      </c>
      <c r="CY114" s="392"/>
    </row>
    <row r="115" spans="1:103" x14ac:dyDescent="0.25">
      <c r="A115" s="81" t="s">
        <v>224</v>
      </c>
      <c r="B115" s="82" t="s">
        <v>233</v>
      </c>
      <c r="C115" s="83" t="s">
        <v>234</v>
      </c>
      <c r="D115" s="84">
        <v>11964.337399103726</v>
      </c>
      <c r="E115" s="85">
        <v>19228.075896136394</v>
      </c>
      <c r="F115" s="85">
        <v>7422.4597452293019</v>
      </c>
      <c r="G115" s="85">
        <v>56164.791550576199</v>
      </c>
      <c r="H115" s="85">
        <v>43667.680459139607</v>
      </c>
      <c r="I115" s="85">
        <v>1462.5123896589998</v>
      </c>
      <c r="J115" s="85">
        <v>7319.6867672800008</v>
      </c>
      <c r="K115" s="85">
        <v>668.99080036199996</v>
      </c>
      <c r="L115" s="85">
        <v>0</v>
      </c>
      <c r="M115" s="654">
        <f>'2022-23 Input'!I115</f>
        <v>0</v>
      </c>
      <c r="N115" s="1065">
        <v>0</v>
      </c>
      <c r="O115" s="560">
        <f t="shared" si="79"/>
        <v>16097.493358743686</v>
      </c>
      <c r="P115" s="561">
        <f t="shared" si="53"/>
        <v>25485.486379216891</v>
      </c>
      <c r="Q115" s="561">
        <f t="shared" si="54"/>
        <v>9738.309848069468</v>
      </c>
      <c r="R115" s="561">
        <f t="shared" si="55"/>
        <v>72290.643954338622</v>
      </c>
      <c r="S115" s="561">
        <f t="shared" si="56"/>
        <v>55061.399167570511</v>
      </c>
      <c r="T115" s="561">
        <f t="shared" si="57"/>
        <v>1815.1947580514852</v>
      </c>
      <c r="U115" s="561">
        <f t="shared" si="58"/>
        <v>9116.5818407106362</v>
      </c>
      <c r="V115" s="561">
        <f t="shared" si="59"/>
        <v>802.35999657286834</v>
      </c>
      <c r="W115" s="675">
        <f t="shared" si="60"/>
        <v>0</v>
      </c>
      <c r="X115" s="675">
        <f t="shared" si="61"/>
        <v>0</v>
      </c>
      <c r="Y115" s="675">
        <f t="shared" si="61"/>
        <v>0</v>
      </c>
      <c r="Z115" s="86">
        <v>32</v>
      </c>
      <c r="AA115" s="87">
        <v>132</v>
      </c>
      <c r="AB115" s="87">
        <v>-55</v>
      </c>
      <c r="AC115" s="87">
        <v>237</v>
      </c>
      <c r="AD115" s="87">
        <v>252</v>
      </c>
      <c r="AE115" s="87">
        <v>34</v>
      </c>
      <c r="AF115" s="87">
        <v>83</v>
      </c>
      <c r="AG115" s="87">
        <v>12</v>
      </c>
      <c r="AH115" s="87">
        <v>0</v>
      </c>
      <c r="AI115" s="1094">
        <f>'2022-23 Input'!P115</f>
        <v>0</v>
      </c>
      <c r="AJ115" s="665">
        <v>0</v>
      </c>
      <c r="AK115" s="88">
        <f t="shared" si="84"/>
        <v>25.8</v>
      </c>
      <c r="AL115" s="89">
        <f t="shared" si="85"/>
        <v>4</v>
      </c>
      <c r="AM115" s="90">
        <f t="shared" si="86"/>
        <v>0</v>
      </c>
      <c r="AN115" s="91">
        <f t="shared" si="87"/>
        <v>373.88554372199144</v>
      </c>
      <c r="AO115" s="92">
        <f t="shared" si="88"/>
        <v>145.66724163739693</v>
      </c>
      <c r="AP115" s="92">
        <f t="shared" si="89"/>
        <v>-134.95381354962367</v>
      </c>
      <c r="AQ115" s="92">
        <f t="shared" si="90"/>
        <v>236.98224282943545</v>
      </c>
      <c r="AR115" s="92">
        <f t="shared" si="91"/>
        <v>173.28444626642701</v>
      </c>
      <c r="AS115" s="92">
        <f t="shared" si="92"/>
        <v>43.015070284088232</v>
      </c>
      <c r="AT115" s="92">
        <f t="shared" si="93"/>
        <v>88.188997196144584</v>
      </c>
      <c r="AU115" s="92">
        <f t="shared" si="94"/>
        <v>55.749233363499997</v>
      </c>
      <c r="AV115" s="92" t="str">
        <f t="shared" si="95"/>
        <v/>
      </c>
      <c r="AW115" s="92" t="str">
        <f t="shared" si="95"/>
        <v/>
      </c>
      <c r="AX115" s="92" t="str">
        <f t="shared" si="95"/>
        <v/>
      </c>
      <c r="AY115" s="93">
        <f t="shared" si="96"/>
        <v>73.265038428689934</v>
      </c>
      <c r="AZ115" s="94">
        <f t="shared" si="97"/>
        <v>55.749233363499997</v>
      </c>
      <c r="BA115" s="95" t="str">
        <f t="shared" si="98"/>
        <v/>
      </c>
      <c r="BB115" s="248" t="s">
        <v>422</v>
      </c>
      <c r="BC115" s="229" t="s">
        <v>433</v>
      </c>
      <c r="BD115" s="249">
        <v>0</v>
      </c>
      <c r="BE115" s="267">
        <f t="shared" si="80"/>
        <v>0</v>
      </c>
      <c r="BF115" s="268">
        <f t="shared" si="99"/>
        <v>0</v>
      </c>
      <c r="BG115" s="268">
        <f t="shared" si="99"/>
        <v>0</v>
      </c>
      <c r="BH115" s="268">
        <f t="shared" si="99"/>
        <v>1</v>
      </c>
      <c r="BI115" s="268">
        <f t="shared" si="99"/>
        <v>2</v>
      </c>
      <c r="BJ115" s="268">
        <f t="shared" si="99"/>
        <v>3</v>
      </c>
      <c r="BK115" s="268">
        <f t="shared" si="99"/>
        <v>4</v>
      </c>
      <c r="BL115" s="269">
        <f t="shared" si="99"/>
        <v>5</v>
      </c>
      <c r="BM115" s="256">
        <f>IF($BC115=Lookup!$A$2,$BD115*ROUNDUP(BE115/10,0)+1,
IF($BC115=Lookup!$A$3,($BD115+1)^BD115,
IF($BC115=Lookup!$A$4,BE115*$BD115+1,"Error")))</f>
        <v>1</v>
      </c>
      <c r="BN115" s="229">
        <f>IF($BC115=Lookup!$A$2,$BD115*ROUNDUP(BF115/10,0)+1,
IF($BC115=Lookup!$A$3,($BD115+1)^BE115,
IF($BC115=Lookup!$A$4,BF115*$BD115+1,"Error")))</f>
        <v>1</v>
      </c>
      <c r="BO115" s="229">
        <f>IF($BC115=Lookup!$A$2,$BD115*ROUNDUP(BG115/10,0)+1,
IF($BC115=Lookup!$A$3,($BD115+1)^BF115,
IF($BC115=Lookup!$A$4,BG115*$BD115+1,"Error")))</f>
        <v>1</v>
      </c>
      <c r="BP115" s="229">
        <f>IF($BC115=Lookup!$A$2,$BD115*ROUNDUP(BH115/10,0)+1,
IF($BC115=Lookup!$A$3,($BD115+1)^BG115,
IF($BC115=Lookup!$A$4,BH115*$BD115+1,"Error")))</f>
        <v>1</v>
      </c>
      <c r="BQ115" s="229">
        <f>IF($BC115=Lookup!$A$2,$BD115*ROUNDUP(BI115/10,0)+1,
IF($BC115=Lookup!$A$3,($BD115+1)^BH115,
IF($BC115=Lookup!$A$4,BI115*$BD115+1,"Error")))</f>
        <v>1</v>
      </c>
      <c r="BR115" s="229">
        <f>IF($BC115=Lookup!$A$2,$BD115*ROUNDUP(BJ115/10,0)+1,
IF($BC115=Lookup!$A$3,($BD115+1)^BI115,
IF($BC115=Lookup!$A$4,BJ115*$BD115+1,"Error")))</f>
        <v>1</v>
      </c>
      <c r="BS115" s="229">
        <f>IF($BC115=Lookup!$A$2,$BD115*ROUNDUP(BK115/10,0)+1,
IF($BC115=Lookup!$A$3,($BD115+1)^BJ115,
IF($BC115=Lookup!$A$4,BK115*$BD115+1,"Error")))</f>
        <v>1</v>
      </c>
      <c r="BT115" s="249">
        <f>IF($BC115=Lookup!$A$2,$BD115*ROUNDUP(BL115/10,0)+1,
IF($BC115=Lookup!$A$3,($BD115+1)^BK115,
IF($BC115=Lookup!$A$4,BL115*$BD115+1,"Error")))</f>
        <v>1</v>
      </c>
      <c r="BU115" s="320">
        <v>0</v>
      </c>
      <c r="BV115" s="321">
        <v>0</v>
      </c>
      <c r="BW115" s="321">
        <v>0</v>
      </c>
      <c r="BX115" s="321">
        <v>0</v>
      </c>
      <c r="BY115" s="321">
        <v>0</v>
      </c>
      <c r="BZ115" s="321">
        <v>0</v>
      </c>
      <c r="CA115" s="321">
        <v>0</v>
      </c>
      <c r="CB115" s="277">
        <v>0</v>
      </c>
      <c r="CC115" s="382" t="s">
        <v>293</v>
      </c>
      <c r="CD115" s="383">
        <f>HLOOKUP($CC115,$AK$6:$AM$132,ROWS(CD$6:CD115),0)</f>
        <v>4</v>
      </c>
      <c r="CE115" s="234">
        <f t="shared" si="81"/>
        <v>0</v>
      </c>
      <c r="CF115" s="96">
        <f t="shared" si="81"/>
        <v>0</v>
      </c>
      <c r="CG115" s="521">
        <f t="shared" si="81"/>
        <v>0</v>
      </c>
      <c r="CH115" s="421">
        <f t="shared" si="81"/>
        <v>0</v>
      </c>
      <c r="CI115" s="96">
        <f t="shared" si="81"/>
        <v>0</v>
      </c>
      <c r="CJ115" s="96">
        <f t="shared" si="81"/>
        <v>0</v>
      </c>
      <c r="CK115" s="96">
        <f t="shared" si="81"/>
        <v>0</v>
      </c>
      <c r="CL115" s="286">
        <f t="shared" si="101"/>
        <v>0</v>
      </c>
      <c r="CM115" s="305" t="s">
        <v>293</v>
      </c>
      <c r="CN115" s="315">
        <v>0.05</v>
      </c>
      <c r="CO115" s="306"/>
      <c r="CP115" s="307">
        <f>IF($CO115&lt;&gt;"",$CO115,HLOOKUP($CM115,$AY$6:$BA$132,ROWS(CP$6:CP115),0))</f>
        <v>55.749233363499997</v>
      </c>
      <c r="CQ115" s="784">
        <f t="shared" si="100"/>
        <v>0</v>
      </c>
      <c r="CR115" s="784">
        <f t="shared" si="100"/>
        <v>0</v>
      </c>
      <c r="CS115" s="524">
        <f t="shared" si="100"/>
        <v>0</v>
      </c>
      <c r="CT115" s="416">
        <f t="shared" si="100"/>
        <v>0</v>
      </c>
      <c r="CU115" s="97">
        <f t="shared" si="100"/>
        <v>0</v>
      </c>
      <c r="CV115" s="97">
        <f t="shared" si="100"/>
        <v>0</v>
      </c>
      <c r="CW115" s="97">
        <f t="shared" si="100"/>
        <v>0</v>
      </c>
      <c r="CX115" s="98">
        <f t="shared" si="100"/>
        <v>0</v>
      </c>
      <c r="CY115" s="392"/>
    </row>
    <row r="116" spans="1:103" x14ac:dyDescent="0.25">
      <c r="A116" s="81" t="s">
        <v>224</v>
      </c>
      <c r="B116" s="82" t="s">
        <v>235</v>
      </c>
      <c r="C116" s="83" t="s">
        <v>236</v>
      </c>
      <c r="D116" s="84">
        <v>32013.443776036525</v>
      </c>
      <c r="E116" s="85">
        <v>3821.8803314179531</v>
      </c>
      <c r="F116" s="85">
        <v>-52.664198765123729</v>
      </c>
      <c r="G116" s="85">
        <v>66392.71539483199</v>
      </c>
      <c r="H116" s="85">
        <v>-2817.4990682071075</v>
      </c>
      <c r="I116" s="85">
        <v>0</v>
      </c>
      <c r="J116" s="85">
        <v>-566.48</v>
      </c>
      <c r="K116" s="85">
        <v>6176.8444192730003</v>
      </c>
      <c r="L116" s="85">
        <v>0</v>
      </c>
      <c r="M116" s="654">
        <f>'2022-23 Input'!I116</f>
        <v>0</v>
      </c>
      <c r="N116" s="1065">
        <v>0</v>
      </c>
      <c r="O116" s="560">
        <f t="shared" si="79"/>
        <v>43072.690228032792</v>
      </c>
      <c r="P116" s="561">
        <f t="shared" si="53"/>
        <v>5065.6383746082893</v>
      </c>
      <c r="Q116" s="561">
        <f t="shared" si="54"/>
        <v>-69.095731479679245</v>
      </c>
      <c r="R116" s="561">
        <f t="shared" si="55"/>
        <v>85455.176050062204</v>
      </c>
      <c r="S116" s="561">
        <f t="shared" si="56"/>
        <v>-3552.6375391972488</v>
      </c>
      <c r="T116" s="561">
        <f t="shared" si="57"/>
        <v>0</v>
      </c>
      <c r="U116" s="561">
        <f t="shared" si="58"/>
        <v>-705.54402740444596</v>
      </c>
      <c r="V116" s="561">
        <f t="shared" si="59"/>
        <v>7408.2526462206033</v>
      </c>
      <c r="W116" s="675">
        <f t="shared" si="60"/>
        <v>0</v>
      </c>
      <c r="X116" s="675">
        <f t="shared" si="61"/>
        <v>0</v>
      </c>
      <c r="Y116" s="675">
        <f t="shared" si="61"/>
        <v>0</v>
      </c>
      <c r="Z116" s="86">
        <v>2</v>
      </c>
      <c r="AA116" s="87">
        <v>1</v>
      </c>
      <c r="AB116" s="87">
        <v>0</v>
      </c>
      <c r="AC116" s="87">
        <v>-20</v>
      </c>
      <c r="AD116" s="87">
        <v>0</v>
      </c>
      <c r="AE116" s="87">
        <v>0</v>
      </c>
      <c r="AF116" s="87">
        <v>-1</v>
      </c>
      <c r="AG116" s="87">
        <v>3</v>
      </c>
      <c r="AH116" s="87">
        <v>0</v>
      </c>
      <c r="AI116" s="1094">
        <f>'2022-23 Input'!P116</f>
        <v>0</v>
      </c>
      <c r="AJ116" s="665">
        <v>0</v>
      </c>
      <c r="AK116" s="88">
        <f t="shared" si="84"/>
        <v>0.4</v>
      </c>
      <c r="AL116" s="89">
        <f t="shared" si="85"/>
        <v>1</v>
      </c>
      <c r="AM116" s="90">
        <f t="shared" si="86"/>
        <v>0</v>
      </c>
      <c r="AN116" s="91">
        <f t="shared" si="87"/>
        <v>16006.721888018263</v>
      </c>
      <c r="AO116" s="92">
        <f t="shared" si="88"/>
        <v>3821.8803314179531</v>
      </c>
      <c r="AP116" s="92" t="str">
        <f t="shared" si="89"/>
        <v/>
      </c>
      <c r="AQ116" s="92">
        <f t="shared" si="90"/>
        <v>-3319.6357697415997</v>
      </c>
      <c r="AR116" s="92" t="str">
        <f t="shared" si="91"/>
        <v/>
      </c>
      <c r="AS116" s="92" t="str">
        <f t="shared" si="92"/>
        <v/>
      </c>
      <c r="AT116" s="92">
        <f t="shared" si="93"/>
        <v>566.48</v>
      </c>
      <c r="AU116" s="92">
        <f t="shared" si="94"/>
        <v>2058.9481397576669</v>
      </c>
      <c r="AV116" s="92" t="str">
        <f t="shared" si="95"/>
        <v/>
      </c>
      <c r="AW116" s="92" t="str">
        <f t="shared" si="95"/>
        <v/>
      </c>
      <c r="AX116" s="92" t="str">
        <f t="shared" si="95"/>
        <v/>
      </c>
      <c r="AY116" s="93">
        <f t="shared" si="96"/>
        <v>2805.1822096365004</v>
      </c>
      <c r="AZ116" s="94">
        <f t="shared" si="97"/>
        <v>2058.9481397576669</v>
      </c>
      <c r="BA116" s="95" t="str">
        <f t="shared" si="98"/>
        <v/>
      </c>
      <c r="BB116" s="248" t="s">
        <v>422</v>
      </c>
      <c r="BC116" s="229" t="s">
        <v>433</v>
      </c>
      <c r="BD116" s="249">
        <v>0</v>
      </c>
      <c r="BE116" s="267">
        <f t="shared" si="80"/>
        <v>0</v>
      </c>
      <c r="BF116" s="268">
        <f t="shared" si="99"/>
        <v>0</v>
      </c>
      <c r="BG116" s="268">
        <f t="shared" si="99"/>
        <v>0</v>
      </c>
      <c r="BH116" s="268">
        <f t="shared" si="99"/>
        <v>1</v>
      </c>
      <c r="BI116" s="268">
        <f t="shared" si="99"/>
        <v>2</v>
      </c>
      <c r="BJ116" s="268">
        <f t="shared" si="99"/>
        <v>3</v>
      </c>
      <c r="BK116" s="268">
        <f t="shared" si="99"/>
        <v>4</v>
      </c>
      <c r="BL116" s="269">
        <f t="shared" si="99"/>
        <v>5</v>
      </c>
      <c r="BM116" s="256">
        <f>IF($BC116=Lookup!$A$2,$BD116*ROUNDUP(BE116/10,0)+1,
IF($BC116=Lookup!$A$3,($BD116+1)^BD116,
IF($BC116=Lookup!$A$4,BE116*$BD116+1,"Error")))</f>
        <v>1</v>
      </c>
      <c r="BN116" s="229">
        <f>IF($BC116=Lookup!$A$2,$BD116*ROUNDUP(BF116/10,0)+1,
IF($BC116=Lookup!$A$3,($BD116+1)^BE116,
IF($BC116=Lookup!$A$4,BF116*$BD116+1,"Error")))</f>
        <v>1</v>
      </c>
      <c r="BO116" s="229">
        <f>IF($BC116=Lookup!$A$2,$BD116*ROUNDUP(BG116/10,0)+1,
IF($BC116=Lookup!$A$3,($BD116+1)^BF116,
IF($BC116=Lookup!$A$4,BG116*$BD116+1,"Error")))</f>
        <v>1</v>
      </c>
      <c r="BP116" s="229">
        <f>IF($BC116=Lookup!$A$2,$BD116*ROUNDUP(BH116/10,0)+1,
IF($BC116=Lookup!$A$3,($BD116+1)^BG116,
IF($BC116=Lookup!$A$4,BH116*$BD116+1,"Error")))</f>
        <v>1</v>
      </c>
      <c r="BQ116" s="229">
        <f>IF($BC116=Lookup!$A$2,$BD116*ROUNDUP(BI116/10,0)+1,
IF($BC116=Lookup!$A$3,($BD116+1)^BH116,
IF($BC116=Lookup!$A$4,BI116*$BD116+1,"Error")))</f>
        <v>1</v>
      </c>
      <c r="BR116" s="229">
        <f>IF($BC116=Lookup!$A$2,$BD116*ROUNDUP(BJ116/10,0)+1,
IF($BC116=Lookup!$A$3,($BD116+1)^BI116,
IF($BC116=Lookup!$A$4,BJ116*$BD116+1,"Error")))</f>
        <v>1</v>
      </c>
      <c r="BS116" s="229">
        <f>IF($BC116=Lookup!$A$2,$BD116*ROUNDUP(BK116/10,0)+1,
IF($BC116=Lookup!$A$3,($BD116+1)^BJ116,
IF($BC116=Lookup!$A$4,BK116*$BD116+1,"Error")))</f>
        <v>1</v>
      </c>
      <c r="BT116" s="249">
        <f>IF($BC116=Lookup!$A$2,$BD116*ROUNDUP(BL116/10,0)+1,
IF($BC116=Lookup!$A$3,($BD116+1)^BK116,
IF($BC116=Lookup!$A$4,BL116*$BD116+1,"Error")))</f>
        <v>1</v>
      </c>
      <c r="BU116" s="320">
        <v>0</v>
      </c>
      <c r="BV116" s="321">
        <v>0</v>
      </c>
      <c r="BW116" s="321">
        <v>0</v>
      </c>
      <c r="BX116" s="321">
        <v>0</v>
      </c>
      <c r="BY116" s="321">
        <v>0</v>
      </c>
      <c r="BZ116" s="321">
        <v>0</v>
      </c>
      <c r="CA116" s="321">
        <v>0</v>
      </c>
      <c r="CB116" s="277">
        <v>0</v>
      </c>
      <c r="CC116" s="382" t="s">
        <v>293</v>
      </c>
      <c r="CD116" s="383">
        <f>HLOOKUP($CC116,$AK$6:$AM$132,ROWS(CD$6:CD116),0)</f>
        <v>1</v>
      </c>
      <c r="CE116" s="234">
        <f t="shared" si="81"/>
        <v>0</v>
      </c>
      <c r="CF116" s="96">
        <f t="shared" si="81"/>
        <v>0</v>
      </c>
      <c r="CG116" s="521">
        <f t="shared" si="81"/>
        <v>0</v>
      </c>
      <c r="CH116" s="421">
        <f t="shared" si="81"/>
        <v>0</v>
      </c>
      <c r="CI116" s="96">
        <f t="shared" si="81"/>
        <v>0</v>
      </c>
      <c r="CJ116" s="96">
        <f t="shared" si="81"/>
        <v>0</v>
      </c>
      <c r="CK116" s="96">
        <f t="shared" si="81"/>
        <v>0</v>
      </c>
      <c r="CL116" s="286">
        <f t="shared" si="101"/>
        <v>0</v>
      </c>
      <c r="CM116" s="305" t="s">
        <v>293</v>
      </c>
      <c r="CN116" s="315">
        <v>0.05</v>
      </c>
      <c r="CO116" s="306"/>
      <c r="CP116" s="307">
        <f>IF($CO116&lt;&gt;"",$CO116,HLOOKUP($CM116,$AY$6:$BA$132,ROWS(CP$6:CP116),0))</f>
        <v>2058.9481397576669</v>
      </c>
      <c r="CQ116" s="784">
        <f t="shared" si="100"/>
        <v>0</v>
      </c>
      <c r="CR116" s="784">
        <f t="shared" si="100"/>
        <v>0</v>
      </c>
      <c r="CS116" s="524">
        <f t="shared" si="100"/>
        <v>0</v>
      </c>
      <c r="CT116" s="416">
        <f t="shared" si="100"/>
        <v>0</v>
      </c>
      <c r="CU116" s="97">
        <f t="shared" si="100"/>
        <v>0</v>
      </c>
      <c r="CV116" s="97">
        <f t="shared" si="100"/>
        <v>0</v>
      </c>
      <c r="CW116" s="97">
        <f t="shared" si="100"/>
        <v>0</v>
      </c>
      <c r="CX116" s="98">
        <f t="shared" si="100"/>
        <v>0</v>
      </c>
      <c r="CY116" s="392"/>
    </row>
    <row r="117" spans="1:103" x14ac:dyDescent="0.25">
      <c r="A117" s="81" t="s">
        <v>224</v>
      </c>
      <c r="B117" s="82" t="s">
        <v>237</v>
      </c>
      <c r="C117" s="83" t="s">
        <v>238</v>
      </c>
      <c r="D117" s="84">
        <v>-45996.532934149378</v>
      </c>
      <c r="E117" s="85">
        <v>11069.870145065768</v>
      </c>
      <c r="F117" s="85">
        <v>-150693.85965674056</v>
      </c>
      <c r="G117" s="85">
        <v>-22516.281621439033</v>
      </c>
      <c r="H117" s="85">
        <v>-48827.402604435803</v>
      </c>
      <c r="I117" s="85">
        <v>0</v>
      </c>
      <c r="J117" s="85">
        <v>18482.557832556999</v>
      </c>
      <c r="K117" s="85">
        <v>23086.554723822999</v>
      </c>
      <c r="L117" s="85">
        <v>3457.305113202</v>
      </c>
      <c r="M117" s="654">
        <f>'2022-23 Input'!I117</f>
        <v>7831.9464547800007</v>
      </c>
      <c r="N117" s="1065">
        <v>0</v>
      </c>
      <c r="O117" s="560">
        <f t="shared" si="79"/>
        <v>-61886.325897844705</v>
      </c>
      <c r="P117" s="561">
        <f t="shared" si="53"/>
        <v>14672.348201957198</v>
      </c>
      <c r="Q117" s="561">
        <f t="shared" si="54"/>
        <v>-197711.21001795333</v>
      </c>
      <c r="R117" s="561">
        <f t="shared" si="55"/>
        <v>-28981.083218395179</v>
      </c>
      <c r="S117" s="561">
        <f t="shared" si="56"/>
        <v>-61567.389814400136</v>
      </c>
      <c r="T117" s="561">
        <f t="shared" si="57"/>
        <v>0</v>
      </c>
      <c r="U117" s="561">
        <f t="shared" si="58"/>
        <v>23019.803505715736</v>
      </c>
      <c r="V117" s="561">
        <f t="shared" si="59"/>
        <v>27689.062329500674</v>
      </c>
      <c r="W117" s="675">
        <f t="shared" si="60"/>
        <v>3906.5032035605304</v>
      </c>
      <c r="X117" s="675">
        <f t="shared" si="61"/>
        <v>8328.9690299040412</v>
      </c>
      <c r="Y117" s="675">
        <f t="shared" si="61"/>
        <v>0</v>
      </c>
      <c r="Z117" s="86">
        <v>14</v>
      </c>
      <c r="AA117" s="87">
        <v>0</v>
      </c>
      <c r="AB117" s="87">
        <v>-2</v>
      </c>
      <c r="AC117" s="87">
        <v>-6</v>
      </c>
      <c r="AD117" s="87">
        <v>0</v>
      </c>
      <c r="AE117" s="87">
        <v>0</v>
      </c>
      <c r="AF117" s="87">
        <v>0</v>
      </c>
      <c r="AG117" s="87">
        <v>36</v>
      </c>
      <c r="AH117" s="87">
        <v>1</v>
      </c>
      <c r="AI117" s="1094">
        <f>'2022-23 Input'!P117</f>
        <v>6</v>
      </c>
      <c r="AJ117" s="665">
        <v>0</v>
      </c>
      <c r="AK117" s="88">
        <f t="shared" si="84"/>
        <v>8.6</v>
      </c>
      <c r="AL117" s="89">
        <f t="shared" si="85"/>
        <v>14.333333333333334</v>
      </c>
      <c r="AM117" s="90">
        <f t="shared" si="86"/>
        <v>6</v>
      </c>
      <c r="AN117" s="91">
        <f t="shared" si="87"/>
        <v>-3285.4666381535271</v>
      </c>
      <c r="AO117" s="92" t="str">
        <f t="shared" si="88"/>
        <v/>
      </c>
      <c r="AP117" s="92">
        <f t="shared" si="89"/>
        <v>75346.929828370281</v>
      </c>
      <c r="AQ117" s="92">
        <f t="shared" si="90"/>
        <v>3752.7136035731723</v>
      </c>
      <c r="AR117" s="92" t="str">
        <f t="shared" si="91"/>
        <v/>
      </c>
      <c r="AS117" s="92" t="str">
        <f t="shared" si="92"/>
        <v/>
      </c>
      <c r="AT117" s="92" t="str">
        <f t="shared" si="93"/>
        <v/>
      </c>
      <c r="AU117" s="92">
        <f t="shared" si="94"/>
        <v>641.29318677286108</v>
      </c>
      <c r="AV117" s="92">
        <f t="shared" si="95"/>
        <v>3457.305113202</v>
      </c>
      <c r="AW117" s="92">
        <f t="shared" si="95"/>
        <v>1305.32440913</v>
      </c>
      <c r="AX117" s="92" t="str">
        <f t="shared" si="95"/>
        <v/>
      </c>
      <c r="AY117" s="93">
        <f t="shared" si="96"/>
        <v>1229.264281961907</v>
      </c>
      <c r="AZ117" s="94">
        <f t="shared" si="97"/>
        <v>799.43735562337201</v>
      </c>
      <c r="BA117" s="95">
        <f t="shared" si="98"/>
        <v>1305.32440913</v>
      </c>
      <c r="BB117" s="248" t="s">
        <v>422</v>
      </c>
      <c r="BC117" s="229" t="s">
        <v>433</v>
      </c>
      <c r="BD117" s="249">
        <v>0</v>
      </c>
      <c r="BE117" s="267">
        <f t="shared" si="80"/>
        <v>0</v>
      </c>
      <c r="BF117" s="268">
        <f t="shared" si="99"/>
        <v>0</v>
      </c>
      <c r="BG117" s="268">
        <f t="shared" si="99"/>
        <v>0</v>
      </c>
      <c r="BH117" s="268">
        <f t="shared" si="99"/>
        <v>1</v>
      </c>
      <c r="BI117" s="268">
        <f t="shared" si="99"/>
        <v>2</v>
      </c>
      <c r="BJ117" s="268">
        <f t="shared" si="99"/>
        <v>3</v>
      </c>
      <c r="BK117" s="268">
        <f t="shared" si="99"/>
        <v>4</v>
      </c>
      <c r="BL117" s="269">
        <f t="shared" si="99"/>
        <v>5</v>
      </c>
      <c r="BM117" s="256">
        <f>IF($BC117=Lookup!$A$2,$BD117*ROUNDUP(BE117/10,0)+1,
IF($BC117=Lookup!$A$3,($BD117+1)^BD117,
IF($BC117=Lookup!$A$4,BE117*$BD117+1,"Error")))</f>
        <v>1</v>
      </c>
      <c r="BN117" s="229">
        <f>IF($BC117=Lookup!$A$2,$BD117*ROUNDUP(BF117/10,0)+1,
IF($BC117=Lookup!$A$3,($BD117+1)^BE117,
IF($BC117=Lookup!$A$4,BF117*$BD117+1,"Error")))</f>
        <v>1</v>
      </c>
      <c r="BO117" s="229">
        <f>IF($BC117=Lookup!$A$2,$BD117*ROUNDUP(BG117/10,0)+1,
IF($BC117=Lookup!$A$3,($BD117+1)^BF117,
IF($BC117=Lookup!$A$4,BG117*$BD117+1,"Error")))</f>
        <v>1</v>
      </c>
      <c r="BP117" s="229">
        <f>IF($BC117=Lookup!$A$2,$BD117*ROUNDUP(BH117/10,0)+1,
IF($BC117=Lookup!$A$3,($BD117+1)^BG117,
IF($BC117=Lookup!$A$4,BH117*$BD117+1,"Error")))</f>
        <v>1</v>
      </c>
      <c r="BQ117" s="229">
        <f>IF($BC117=Lookup!$A$2,$BD117*ROUNDUP(BI117/10,0)+1,
IF($BC117=Lookup!$A$3,($BD117+1)^BH117,
IF($BC117=Lookup!$A$4,BI117*$BD117+1,"Error")))</f>
        <v>1</v>
      </c>
      <c r="BR117" s="229">
        <f>IF($BC117=Lookup!$A$2,$BD117*ROUNDUP(BJ117/10,0)+1,
IF($BC117=Lookup!$A$3,($BD117+1)^BI117,
IF($BC117=Lookup!$A$4,BJ117*$BD117+1,"Error")))</f>
        <v>1</v>
      </c>
      <c r="BS117" s="229">
        <f>IF($BC117=Lookup!$A$2,$BD117*ROUNDUP(BK117/10,0)+1,
IF($BC117=Lookup!$A$3,($BD117+1)^BJ117,
IF($BC117=Lookup!$A$4,BK117*$BD117+1,"Error")))</f>
        <v>1</v>
      </c>
      <c r="BT117" s="249">
        <f>IF($BC117=Lookup!$A$2,$BD117*ROUNDUP(BL117/10,0)+1,
IF($BC117=Lookup!$A$3,($BD117+1)^BK117,
IF($BC117=Lookup!$A$4,BL117*$BD117+1,"Error")))</f>
        <v>1</v>
      </c>
      <c r="BU117" s="320">
        <v>0</v>
      </c>
      <c r="BV117" s="321">
        <v>0</v>
      </c>
      <c r="BW117" s="321">
        <v>0</v>
      </c>
      <c r="BX117" s="321">
        <v>0</v>
      </c>
      <c r="BY117" s="321">
        <v>0</v>
      </c>
      <c r="BZ117" s="321">
        <v>0</v>
      </c>
      <c r="CA117" s="321">
        <v>0</v>
      </c>
      <c r="CB117" s="277">
        <v>0</v>
      </c>
      <c r="CC117" s="382" t="s">
        <v>293</v>
      </c>
      <c r="CD117" s="383">
        <f>HLOOKUP($CC117,$AK$6:$AM$132,ROWS(CD$6:CD117),0)</f>
        <v>14.333333333333334</v>
      </c>
      <c r="CE117" s="234">
        <f t="shared" si="81"/>
        <v>0</v>
      </c>
      <c r="CF117" s="96">
        <f t="shared" si="81"/>
        <v>0</v>
      </c>
      <c r="CG117" s="521">
        <f t="shared" si="81"/>
        <v>0</v>
      </c>
      <c r="CH117" s="421">
        <f t="shared" si="81"/>
        <v>0</v>
      </c>
      <c r="CI117" s="96">
        <f t="shared" si="81"/>
        <v>0</v>
      </c>
      <c r="CJ117" s="96">
        <f t="shared" si="81"/>
        <v>0</v>
      </c>
      <c r="CK117" s="96">
        <f t="shared" si="81"/>
        <v>0</v>
      </c>
      <c r="CL117" s="286">
        <f t="shared" si="101"/>
        <v>0</v>
      </c>
      <c r="CM117" s="305" t="s">
        <v>293</v>
      </c>
      <c r="CN117" s="315">
        <v>0.05</v>
      </c>
      <c r="CO117" s="306"/>
      <c r="CP117" s="307">
        <f>IF($CO117&lt;&gt;"",$CO117,HLOOKUP($CM117,$AY$6:$BA$132,ROWS(CP$6:CP117),0))</f>
        <v>799.43735562337201</v>
      </c>
      <c r="CQ117" s="784">
        <f t="shared" si="100"/>
        <v>0</v>
      </c>
      <c r="CR117" s="784">
        <f t="shared" si="100"/>
        <v>0</v>
      </c>
      <c r="CS117" s="524">
        <f t="shared" si="100"/>
        <v>0</v>
      </c>
      <c r="CT117" s="416">
        <f t="shared" si="100"/>
        <v>0</v>
      </c>
      <c r="CU117" s="97">
        <f t="shared" si="100"/>
        <v>0</v>
      </c>
      <c r="CV117" s="97">
        <f t="shared" si="100"/>
        <v>0</v>
      </c>
      <c r="CW117" s="97">
        <f t="shared" si="100"/>
        <v>0</v>
      </c>
      <c r="CX117" s="98">
        <f t="shared" si="100"/>
        <v>0</v>
      </c>
      <c r="CY117" s="392"/>
    </row>
    <row r="118" spans="1:103" ht="15.75" thickBot="1" x14ac:dyDescent="0.3">
      <c r="A118" s="100" t="s">
        <v>224</v>
      </c>
      <c r="B118" s="101" t="s">
        <v>397</v>
      </c>
      <c r="C118" s="102" t="s">
        <v>398</v>
      </c>
      <c r="D118" s="103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655">
        <f>'2022-23 Input'!I118</f>
        <v>0</v>
      </c>
      <c r="N118" s="1066">
        <v>0</v>
      </c>
      <c r="O118" s="563">
        <f t="shared" si="79"/>
        <v>0</v>
      </c>
      <c r="P118" s="564">
        <f t="shared" si="53"/>
        <v>0</v>
      </c>
      <c r="Q118" s="564">
        <f t="shared" si="54"/>
        <v>0</v>
      </c>
      <c r="R118" s="564">
        <f t="shared" si="55"/>
        <v>0</v>
      </c>
      <c r="S118" s="564">
        <f t="shared" si="56"/>
        <v>0</v>
      </c>
      <c r="T118" s="564">
        <f t="shared" si="57"/>
        <v>0</v>
      </c>
      <c r="U118" s="564">
        <f t="shared" si="58"/>
        <v>0</v>
      </c>
      <c r="V118" s="564">
        <f t="shared" si="59"/>
        <v>0</v>
      </c>
      <c r="W118" s="676">
        <f t="shared" si="60"/>
        <v>0</v>
      </c>
      <c r="X118" s="676">
        <f t="shared" si="61"/>
        <v>0</v>
      </c>
      <c r="Y118" s="676">
        <f t="shared" si="61"/>
        <v>0</v>
      </c>
      <c r="Z118" s="105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0</v>
      </c>
      <c r="AF118" s="106">
        <v>0</v>
      </c>
      <c r="AG118" s="106">
        <v>0</v>
      </c>
      <c r="AH118" s="106">
        <v>0</v>
      </c>
      <c r="AI118" s="1095">
        <f>'2022-23 Input'!P118</f>
        <v>0</v>
      </c>
      <c r="AJ118" s="666">
        <v>0</v>
      </c>
      <c r="AK118" s="107">
        <f t="shared" si="84"/>
        <v>0</v>
      </c>
      <c r="AL118" s="108">
        <f t="shared" si="85"/>
        <v>0</v>
      </c>
      <c r="AM118" s="109">
        <f t="shared" si="86"/>
        <v>0</v>
      </c>
      <c r="AN118" s="110" t="str">
        <f t="shared" si="87"/>
        <v/>
      </c>
      <c r="AO118" s="111" t="str">
        <f t="shared" si="88"/>
        <v/>
      </c>
      <c r="AP118" s="111" t="str">
        <f t="shared" si="89"/>
        <v/>
      </c>
      <c r="AQ118" s="111" t="str">
        <f t="shared" si="90"/>
        <v/>
      </c>
      <c r="AR118" s="111" t="str">
        <f t="shared" si="91"/>
        <v/>
      </c>
      <c r="AS118" s="111" t="str">
        <f t="shared" si="92"/>
        <v/>
      </c>
      <c r="AT118" s="111" t="str">
        <f t="shared" si="93"/>
        <v/>
      </c>
      <c r="AU118" s="111" t="str">
        <f t="shared" si="94"/>
        <v/>
      </c>
      <c r="AV118" s="111" t="str">
        <f t="shared" si="95"/>
        <v/>
      </c>
      <c r="AW118" s="111" t="str">
        <f t="shared" si="95"/>
        <v/>
      </c>
      <c r="AX118" s="111" t="str">
        <f t="shared" si="95"/>
        <v/>
      </c>
      <c r="AY118" s="112" t="str">
        <f t="shared" si="96"/>
        <v/>
      </c>
      <c r="AZ118" s="113" t="str">
        <f t="shared" si="97"/>
        <v/>
      </c>
      <c r="BA118" s="114" t="str">
        <f t="shared" si="98"/>
        <v/>
      </c>
      <c r="BB118" s="250" t="s">
        <v>422</v>
      </c>
      <c r="BC118" s="230" t="s">
        <v>433</v>
      </c>
      <c r="BD118" s="251">
        <v>0</v>
      </c>
      <c r="BE118" s="270">
        <f t="shared" si="80"/>
        <v>0</v>
      </c>
      <c r="BF118" s="271">
        <f t="shared" si="99"/>
        <v>0</v>
      </c>
      <c r="BG118" s="271">
        <f t="shared" si="99"/>
        <v>0</v>
      </c>
      <c r="BH118" s="271">
        <f t="shared" si="99"/>
        <v>1</v>
      </c>
      <c r="BI118" s="271">
        <f t="shared" si="99"/>
        <v>2</v>
      </c>
      <c r="BJ118" s="271">
        <f t="shared" si="99"/>
        <v>3</v>
      </c>
      <c r="BK118" s="271">
        <f t="shared" si="99"/>
        <v>4</v>
      </c>
      <c r="BL118" s="272">
        <f t="shared" si="99"/>
        <v>5</v>
      </c>
      <c r="BM118" s="257">
        <f>IF($BC118=Lookup!$A$2,$BD118*ROUNDUP(BE118/10,0)+1,
IF($BC118=Lookup!$A$3,($BD118+1)^BD118,
IF($BC118=Lookup!$A$4,BE118*$BD118+1,"Error")))</f>
        <v>1</v>
      </c>
      <c r="BN118" s="230">
        <f>IF($BC118=Lookup!$A$2,$BD118*ROUNDUP(BF118/10,0)+1,
IF($BC118=Lookup!$A$3,($BD118+1)^BE118,
IF($BC118=Lookup!$A$4,BF118*$BD118+1,"Error")))</f>
        <v>1</v>
      </c>
      <c r="BO118" s="230">
        <f>IF($BC118=Lookup!$A$2,$BD118*ROUNDUP(BG118/10,0)+1,
IF($BC118=Lookup!$A$3,($BD118+1)^BF118,
IF($BC118=Lookup!$A$4,BG118*$BD118+1,"Error")))</f>
        <v>1</v>
      </c>
      <c r="BP118" s="230">
        <f>IF($BC118=Lookup!$A$2,$BD118*ROUNDUP(BH118/10,0)+1,
IF($BC118=Lookup!$A$3,($BD118+1)^BG118,
IF($BC118=Lookup!$A$4,BH118*$BD118+1,"Error")))</f>
        <v>1</v>
      </c>
      <c r="BQ118" s="230">
        <f>IF($BC118=Lookup!$A$2,$BD118*ROUNDUP(BI118/10,0)+1,
IF($BC118=Lookup!$A$3,($BD118+1)^BH118,
IF($BC118=Lookup!$A$4,BI118*$BD118+1,"Error")))</f>
        <v>1</v>
      </c>
      <c r="BR118" s="230">
        <f>IF($BC118=Lookup!$A$2,$BD118*ROUNDUP(BJ118/10,0)+1,
IF($BC118=Lookup!$A$3,($BD118+1)^BI118,
IF($BC118=Lookup!$A$4,BJ118*$BD118+1,"Error")))</f>
        <v>1</v>
      </c>
      <c r="BS118" s="230">
        <f>IF($BC118=Lookup!$A$2,$BD118*ROUNDUP(BK118/10,0)+1,
IF($BC118=Lookup!$A$3,($BD118+1)^BJ118,
IF($BC118=Lookup!$A$4,BK118*$BD118+1,"Error")))</f>
        <v>1</v>
      </c>
      <c r="BT118" s="251">
        <f>IF($BC118=Lookup!$A$2,$BD118*ROUNDUP(BL118/10,0)+1,
IF($BC118=Lookup!$A$3,($BD118+1)^BK118,
IF($BC118=Lookup!$A$4,BL118*$BD118+1,"Error")))</f>
        <v>1</v>
      </c>
      <c r="BU118" s="322">
        <v>0</v>
      </c>
      <c r="BV118" s="323">
        <v>0</v>
      </c>
      <c r="BW118" s="323">
        <v>0</v>
      </c>
      <c r="BX118" s="323">
        <v>0</v>
      </c>
      <c r="BY118" s="323">
        <v>0</v>
      </c>
      <c r="BZ118" s="323">
        <v>0</v>
      </c>
      <c r="CA118" s="323">
        <v>0</v>
      </c>
      <c r="CB118" s="278">
        <v>0</v>
      </c>
      <c r="CC118" s="384" t="s">
        <v>293</v>
      </c>
      <c r="CD118" s="385">
        <f>HLOOKUP($CC118,$AK$6:$AM$132,ROWS(CD$6:CD118),0)</f>
        <v>0</v>
      </c>
      <c r="CE118" s="235">
        <f t="shared" si="81"/>
        <v>0</v>
      </c>
      <c r="CF118" s="115">
        <f t="shared" si="81"/>
        <v>0</v>
      </c>
      <c r="CG118" s="522">
        <f t="shared" si="81"/>
        <v>0</v>
      </c>
      <c r="CH118" s="422">
        <f t="shared" si="81"/>
        <v>0</v>
      </c>
      <c r="CI118" s="115">
        <f t="shared" si="81"/>
        <v>0</v>
      </c>
      <c r="CJ118" s="115">
        <f t="shared" si="81"/>
        <v>0</v>
      </c>
      <c r="CK118" s="115">
        <f t="shared" si="81"/>
        <v>0</v>
      </c>
      <c r="CL118" s="287">
        <f t="shared" si="101"/>
        <v>0</v>
      </c>
      <c r="CM118" s="308" t="s">
        <v>293</v>
      </c>
      <c r="CN118" s="316">
        <v>0.05</v>
      </c>
      <c r="CO118" s="309"/>
      <c r="CP118" s="310" t="str">
        <f>IF($CO118&lt;&gt;"",$CO118,HLOOKUP($CM118,$AY$6:$BA$132,ROWS(CP$6:CP118),0))</f>
        <v/>
      </c>
      <c r="CQ118" s="785" t="str">
        <f t="shared" si="100"/>
        <v/>
      </c>
      <c r="CR118" s="785" t="str">
        <f t="shared" si="100"/>
        <v/>
      </c>
      <c r="CS118" s="638" t="str">
        <f t="shared" si="100"/>
        <v/>
      </c>
      <c r="CT118" s="467" t="str">
        <f t="shared" si="100"/>
        <v/>
      </c>
      <c r="CU118" s="117" t="str">
        <f t="shared" si="100"/>
        <v/>
      </c>
      <c r="CV118" s="117" t="str">
        <f t="shared" si="100"/>
        <v/>
      </c>
      <c r="CW118" s="117" t="str">
        <f t="shared" si="100"/>
        <v/>
      </c>
      <c r="CX118" s="118" t="str">
        <f t="shared" si="100"/>
        <v/>
      </c>
      <c r="CY118" s="393"/>
    </row>
    <row r="119" spans="1:103" x14ac:dyDescent="0.25">
      <c r="A119" s="63" t="s">
        <v>242</v>
      </c>
      <c r="B119" s="64" t="s">
        <v>239</v>
      </c>
      <c r="C119" s="65" t="s">
        <v>241</v>
      </c>
      <c r="D119" s="66">
        <v>0</v>
      </c>
      <c r="E119" s="67">
        <v>0</v>
      </c>
      <c r="F119" s="67">
        <v>651258</v>
      </c>
      <c r="G119" s="67">
        <v>562233.84752800944</v>
      </c>
      <c r="H119" s="67">
        <v>-637.65210533575373</v>
      </c>
      <c r="I119" s="67">
        <v>0</v>
      </c>
      <c r="J119" s="67">
        <v>0</v>
      </c>
      <c r="K119" s="67">
        <v>0</v>
      </c>
      <c r="L119" s="67">
        <v>74970.09770742101</v>
      </c>
      <c r="M119" s="653">
        <f>'2022-23 Input'!I119</f>
        <v>0</v>
      </c>
      <c r="N119" s="1064">
        <v>0</v>
      </c>
      <c r="O119" s="557">
        <f t="shared" si="79"/>
        <v>0</v>
      </c>
      <c r="P119" s="558">
        <f t="shared" si="53"/>
        <v>0</v>
      </c>
      <c r="Q119" s="558">
        <f t="shared" si="54"/>
        <v>854454.23925813381</v>
      </c>
      <c r="R119" s="558">
        <f t="shared" si="55"/>
        <v>723660.60246347089</v>
      </c>
      <c r="S119" s="558">
        <f t="shared" si="56"/>
        <v>-804.02752637128356</v>
      </c>
      <c r="T119" s="558">
        <f t="shared" si="57"/>
        <v>0</v>
      </c>
      <c r="U119" s="558">
        <f t="shared" si="58"/>
        <v>0</v>
      </c>
      <c r="V119" s="558">
        <f t="shared" si="59"/>
        <v>0</v>
      </c>
      <c r="W119" s="674">
        <f t="shared" si="60"/>
        <v>84710.755133220606</v>
      </c>
      <c r="X119" s="674">
        <f t="shared" si="61"/>
        <v>0</v>
      </c>
      <c r="Y119" s="674">
        <f t="shared" si="61"/>
        <v>0</v>
      </c>
      <c r="Z119" s="68">
        <v>0</v>
      </c>
      <c r="AA119" s="69">
        <v>0</v>
      </c>
      <c r="AB119" s="69">
        <v>1</v>
      </c>
      <c r="AC119" s="69">
        <v>1</v>
      </c>
      <c r="AD119" s="69">
        <v>0</v>
      </c>
      <c r="AE119" s="69">
        <v>0</v>
      </c>
      <c r="AF119" s="69">
        <v>0</v>
      </c>
      <c r="AG119" s="69">
        <v>0</v>
      </c>
      <c r="AH119" s="69">
        <v>0</v>
      </c>
      <c r="AI119" s="1093">
        <f>'2022-23 Input'!P119</f>
        <v>0</v>
      </c>
      <c r="AJ119" s="664">
        <v>1</v>
      </c>
      <c r="AK119" s="70">
        <f t="shared" si="84"/>
        <v>0</v>
      </c>
      <c r="AL119" s="71">
        <f t="shared" si="85"/>
        <v>0</v>
      </c>
      <c r="AM119" s="72">
        <f t="shared" si="86"/>
        <v>0</v>
      </c>
      <c r="AN119" s="73" t="str">
        <f t="shared" si="87"/>
        <v/>
      </c>
      <c r="AO119" s="74" t="str">
        <f t="shared" si="88"/>
        <v/>
      </c>
      <c r="AP119" s="74">
        <f t="shared" si="89"/>
        <v>651258</v>
      </c>
      <c r="AQ119" s="74">
        <f t="shared" si="90"/>
        <v>562233.84752800944</v>
      </c>
      <c r="AR119" s="74" t="str">
        <f t="shared" si="91"/>
        <v/>
      </c>
      <c r="AS119" s="74" t="str">
        <f t="shared" si="92"/>
        <v/>
      </c>
      <c r="AT119" s="74" t="str">
        <f t="shared" si="93"/>
        <v/>
      </c>
      <c r="AU119" s="74" t="str">
        <f t="shared" si="94"/>
        <v/>
      </c>
      <c r="AV119" s="74" t="str">
        <f t="shared" ref="AV119:AX132" si="102">IFERROR(L119/AH119,"")</f>
        <v/>
      </c>
      <c r="AW119" s="74" t="str">
        <f t="shared" si="102"/>
        <v/>
      </c>
      <c r="AX119" s="74">
        <f t="shared" si="102"/>
        <v>0</v>
      </c>
      <c r="AY119" s="75" t="str">
        <f t="shared" si="96"/>
        <v/>
      </c>
      <c r="AZ119" s="76" t="str">
        <f t="shared" si="97"/>
        <v/>
      </c>
      <c r="BA119" s="77" t="str">
        <f t="shared" si="98"/>
        <v/>
      </c>
      <c r="BB119" s="252" t="s">
        <v>422</v>
      </c>
      <c r="BC119" s="231" t="s">
        <v>433</v>
      </c>
      <c r="BD119" s="253">
        <v>0</v>
      </c>
      <c r="BE119" s="273">
        <f t="shared" si="80"/>
        <v>0</v>
      </c>
      <c r="BF119" s="274">
        <f t="shared" ref="BF119:BL132" si="103">IF(BF$6=$BB119,1,
IF(BE119&lt;&gt;0,BE119+1,0
))</f>
        <v>0</v>
      </c>
      <c r="BG119" s="274">
        <f t="shared" si="103"/>
        <v>0</v>
      </c>
      <c r="BH119" s="274">
        <f t="shared" si="103"/>
        <v>1</v>
      </c>
      <c r="BI119" s="274">
        <f t="shared" si="103"/>
        <v>2</v>
      </c>
      <c r="BJ119" s="274">
        <f t="shared" si="103"/>
        <v>3</v>
      </c>
      <c r="BK119" s="274">
        <f t="shared" si="103"/>
        <v>4</v>
      </c>
      <c r="BL119" s="275">
        <f t="shared" si="103"/>
        <v>5</v>
      </c>
      <c r="BM119" s="258">
        <f>IF($BC119=Lookup!$A$2,$BD119*ROUNDUP(BE119/10,0)+1,
IF($BC119=Lookup!$A$3,($BD119+1)^BD119,
IF($BC119=Lookup!$A$4,BE119*$BD119+1,"Error")))</f>
        <v>1</v>
      </c>
      <c r="BN119" s="231">
        <f>IF($BC119=Lookup!$A$2,$BD119*ROUNDUP(BF119/10,0)+1,
IF($BC119=Lookup!$A$3,($BD119+1)^BE119,
IF($BC119=Lookup!$A$4,BF119*$BD119+1,"Error")))</f>
        <v>1</v>
      </c>
      <c r="BO119" s="231">
        <f>IF($BC119=Lookup!$A$2,$BD119*ROUNDUP(BG119/10,0)+1,
IF($BC119=Lookup!$A$3,($BD119+1)^BF119,
IF($BC119=Lookup!$A$4,BG119*$BD119+1,"Error")))</f>
        <v>1</v>
      </c>
      <c r="BP119" s="231">
        <f>IF($BC119=Lookup!$A$2,$BD119*ROUNDUP(BH119/10,0)+1,
IF($BC119=Lookup!$A$3,($BD119+1)^BG119,
IF($BC119=Lookup!$A$4,BH119*$BD119+1,"Error")))</f>
        <v>1</v>
      </c>
      <c r="BQ119" s="231">
        <f>IF($BC119=Lookup!$A$2,$BD119*ROUNDUP(BI119/10,0)+1,
IF($BC119=Lookup!$A$3,($BD119+1)^BH119,
IF($BC119=Lookup!$A$4,BI119*$BD119+1,"Error")))</f>
        <v>1</v>
      </c>
      <c r="BR119" s="231">
        <f>IF($BC119=Lookup!$A$2,$BD119*ROUNDUP(BJ119/10,0)+1,
IF($BC119=Lookup!$A$3,($BD119+1)^BI119,
IF($BC119=Lookup!$A$4,BJ119*$BD119+1,"Error")))</f>
        <v>1</v>
      </c>
      <c r="BS119" s="231">
        <f>IF($BC119=Lookup!$A$2,$BD119*ROUNDUP(BK119/10,0)+1,
IF($BC119=Lookup!$A$3,($BD119+1)^BJ119,
IF($BC119=Lookup!$A$4,BK119*$BD119+1,"Error")))</f>
        <v>1</v>
      </c>
      <c r="BT119" s="253">
        <f>IF($BC119=Lookup!$A$2,$BD119*ROUNDUP(BL119/10,0)+1,
IF($BC119=Lookup!$A$3,($BD119+1)^BK119,
IF($BC119=Lookup!$A$4,BL119*$BD119+1,"Error")))</f>
        <v>1</v>
      </c>
      <c r="BU119" s="324">
        <v>0</v>
      </c>
      <c r="BV119" s="325">
        <v>0</v>
      </c>
      <c r="BW119" s="325">
        <v>0</v>
      </c>
      <c r="BX119" s="325">
        <v>0</v>
      </c>
      <c r="BY119" s="325">
        <v>0</v>
      </c>
      <c r="BZ119" s="325">
        <v>0</v>
      </c>
      <c r="CA119" s="325">
        <v>0</v>
      </c>
      <c r="CB119" s="279">
        <v>0</v>
      </c>
      <c r="CC119" s="386" t="s">
        <v>293</v>
      </c>
      <c r="CD119" s="387">
        <f>HLOOKUP($CC119,$AK$6:$AM$132,ROWS(CD$6:CD119),0)</f>
        <v>0</v>
      </c>
      <c r="CE119" s="241">
        <f t="shared" si="81"/>
        <v>0</v>
      </c>
      <c r="CF119" s="144">
        <f t="shared" si="81"/>
        <v>0</v>
      </c>
      <c r="CG119" s="520">
        <f t="shared" si="81"/>
        <v>0</v>
      </c>
      <c r="CH119" s="420">
        <f t="shared" si="81"/>
        <v>0</v>
      </c>
      <c r="CI119" s="144">
        <f t="shared" si="81"/>
        <v>0</v>
      </c>
      <c r="CJ119" s="144">
        <f t="shared" si="81"/>
        <v>0</v>
      </c>
      <c r="CK119" s="144">
        <f t="shared" si="81"/>
        <v>0</v>
      </c>
      <c r="CL119" s="293">
        <f t="shared" si="101"/>
        <v>0</v>
      </c>
      <c r="CM119" s="302" t="s">
        <v>293</v>
      </c>
      <c r="CN119" s="314">
        <v>0.05</v>
      </c>
      <c r="CO119" s="303"/>
      <c r="CP119" s="304" t="str">
        <f>IF($CO119&lt;&gt;"",$CO119,HLOOKUP($CM119,$AY$6:$BA$132,ROWS(CP$6:CP119),0))</f>
        <v/>
      </c>
      <c r="CQ119" s="783" t="str">
        <f t="shared" si="100"/>
        <v/>
      </c>
      <c r="CR119" s="783" t="str">
        <f t="shared" si="100"/>
        <v/>
      </c>
      <c r="CS119" s="523" t="str">
        <f t="shared" si="100"/>
        <v/>
      </c>
      <c r="CT119" s="415" t="str">
        <f t="shared" si="100"/>
        <v/>
      </c>
      <c r="CU119" s="79" t="str">
        <f t="shared" si="100"/>
        <v/>
      </c>
      <c r="CV119" s="79" t="str">
        <f t="shared" si="100"/>
        <v/>
      </c>
      <c r="CW119" s="79" t="str">
        <f t="shared" si="100"/>
        <v/>
      </c>
      <c r="CX119" s="80" t="str">
        <f t="shared" si="100"/>
        <v/>
      </c>
      <c r="CY119" s="394"/>
    </row>
    <row r="120" spans="1:103" x14ac:dyDescent="0.25">
      <c r="A120" s="81" t="s">
        <v>242</v>
      </c>
      <c r="B120" s="82" t="s">
        <v>243</v>
      </c>
      <c r="C120" s="83" t="s">
        <v>244</v>
      </c>
      <c r="D120" s="84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85">
        <v>0</v>
      </c>
      <c r="K120" s="85">
        <v>0</v>
      </c>
      <c r="L120" s="85">
        <v>0</v>
      </c>
      <c r="M120" s="654">
        <f>'2022-23 Input'!I120</f>
        <v>0</v>
      </c>
      <c r="N120" s="1065">
        <v>0</v>
      </c>
      <c r="O120" s="560">
        <f t="shared" si="79"/>
        <v>0</v>
      </c>
      <c r="P120" s="561">
        <f t="shared" si="53"/>
        <v>0</v>
      </c>
      <c r="Q120" s="561">
        <f t="shared" si="54"/>
        <v>0</v>
      </c>
      <c r="R120" s="561">
        <f t="shared" si="55"/>
        <v>0</v>
      </c>
      <c r="S120" s="561">
        <f t="shared" si="56"/>
        <v>0</v>
      </c>
      <c r="T120" s="561">
        <f t="shared" si="57"/>
        <v>0</v>
      </c>
      <c r="U120" s="561">
        <f t="shared" si="58"/>
        <v>0</v>
      </c>
      <c r="V120" s="561">
        <f t="shared" si="59"/>
        <v>0</v>
      </c>
      <c r="W120" s="675">
        <f t="shared" si="60"/>
        <v>0</v>
      </c>
      <c r="X120" s="675">
        <f t="shared" si="61"/>
        <v>0</v>
      </c>
      <c r="Y120" s="675">
        <f t="shared" si="61"/>
        <v>0</v>
      </c>
      <c r="Z120" s="86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87">
        <v>0</v>
      </c>
      <c r="AI120" s="1094">
        <f>'2022-23 Input'!P120</f>
        <v>0</v>
      </c>
      <c r="AJ120" s="665">
        <v>0</v>
      </c>
      <c r="AK120" s="88">
        <f t="shared" si="84"/>
        <v>0</v>
      </c>
      <c r="AL120" s="89">
        <f t="shared" si="85"/>
        <v>0</v>
      </c>
      <c r="AM120" s="90">
        <f t="shared" si="86"/>
        <v>0</v>
      </c>
      <c r="AN120" s="91" t="str">
        <f t="shared" si="87"/>
        <v/>
      </c>
      <c r="AO120" s="92" t="str">
        <f t="shared" si="88"/>
        <v/>
      </c>
      <c r="AP120" s="92" t="str">
        <f t="shared" si="89"/>
        <v/>
      </c>
      <c r="AQ120" s="92" t="str">
        <f t="shared" si="90"/>
        <v/>
      </c>
      <c r="AR120" s="92" t="str">
        <f t="shared" si="91"/>
        <v/>
      </c>
      <c r="AS120" s="92" t="str">
        <f t="shared" si="92"/>
        <v/>
      </c>
      <c r="AT120" s="92" t="str">
        <f t="shared" si="93"/>
        <v/>
      </c>
      <c r="AU120" s="92" t="str">
        <f t="shared" si="94"/>
        <v/>
      </c>
      <c r="AV120" s="92" t="str">
        <f t="shared" si="102"/>
        <v/>
      </c>
      <c r="AW120" s="92" t="str">
        <f t="shared" si="102"/>
        <v/>
      </c>
      <c r="AX120" s="92" t="str">
        <f t="shared" si="102"/>
        <v/>
      </c>
      <c r="AY120" s="93" t="str">
        <f t="shared" si="96"/>
        <v/>
      </c>
      <c r="AZ120" s="94" t="str">
        <f t="shared" si="97"/>
        <v/>
      </c>
      <c r="BA120" s="95" t="str">
        <f t="shared" si="98"/>
        <v/>
      </c>
      <c r="BB120" s="248" t="s">
        <v>422</v>
      </c>
      <c r="BC120" s="229" t="s">
        <v>433</v>
      </c>
      <c r="BD120" s="249">
        <v>0</v>
      </c>
      <c r="BE120" s="267">
        <f t="shared" si="80"/>
        <v>0</v>
      </c>
      <c r="BF120" s="268">
        <f t="shared" si="103"/>
        <v>0</v>
      </c>
      <c r="BG120" s="268">
        <f t="shared" si="103"/>
        <v>0</v>
      </c>
      <c r="BH120" s="268">
        <f t="shared" si="103"/>
        <v>1</v>
      </c>
      <c r="BI120" s="268">
        <f t="shared" si="103"/>
        <v>2</v>
      </c>
      <c r="BJ120" s="268">
        <f t="shared" si="103"/>
        <v>3</v>
      </c>
      <c r="BK120" s="268">
        <f t="shared" si="103"/>
        <v>4</v>
      </c>
      <c r="BL120" s="269">
        <f t="shared" si="103"/>
        <v>5</v>
      </c>
      <c r="BM120" s="256">
        <f>IF($BC120=Lookup!$A$2,$BD120*ROUNDUP(BE120/10,0)+1,
IF($BC120=Lookup!$A$3,($BD120+1)^BD120,
IF($BC120=Lookup!$A$4,BE120*$BD120+1,"Error")))</f>
        <v>1</v>
      </c>
      <c r="BN120" s="229">
        <f>IF($BC120=Lookup!$A$2,$BD120*ROUNDUP(BF120/10,0)+1,
IF($BC120=Lookup!$A$3,($BD120+1)^BE120,
IF($BC120=Lookup!$A$4,BF120*$BD120+1,"Error")))</f>
        <v>1</v>
      </c>
      <c r="BO120" s="229">
        <f>IF($BC120=Lookup!$A$2,$BD120*ROUNDUP(BG120/10,0)+1,
IF($BC120=Lookup!$A$3,($BD120+1)^BF120,
IF($BC120=Lookup!$A$4,BG120*$BD120+1,"Error")))</f>
        <v>1</v>
      </c>
      <c r="BP120" s="229">
        <f>IF($BC120=Lookup!$A$2,$BD120*ROUNDUP(BH120/10,0)+1,
IF($BC120=Lookup!$A$3,($BD120+1)^BG120,
IF($BC120=Lookup!$A$4,BH120*$BD120+1,"Error")))</f>
        <v>1</v>
      </c>
      <c r="BQ120" s="229">
        <f>IF($BC120=Lookup!$A$2,$BD120*ROUNDUP(BI120/10,0)+1,
IF($BC120=Lookup!$A$3,($BD120+1)^BH120,
IF($BC120=Lookup!$A$4,BI120*$BD120+1,"Error")))</f>
        <v>1</v>
      </c>
      <c r="BR120" s="229">
        <f>IF($BC120=Lookup!$A$2,$BD120*ROUNDUP(BJ120/10,0)+1,
IF($BC120=Lookup!$A$3,($BD120+1)^BI120,
IF($BC120=Lookup!$A$4,BJ120*$BD120+1,"Error")))</f>
        <v>1</v>
      </c>
      <c r="BS120" s="229">
        <f>IF($BC120=Lookup!$A$2,$BD120*ROUNDUP(BK120/10,0)+1,
IF($BC120=Lookup!$A$3,($BD120+1)^BJ120,
IF($BC120=Lookup!$A$4,BK120*$BD120+1,"Error")))</f>
        <v>1</v>
      </c>
      <c r="BT120" s="249">
        <f>IF($BC120=Lookup!$A$2,$BD120*ROUNDUP(BL120/10,0)+1,
IF($BC120=Lookup!$A$3,($BD120+1)^BK120,
IF($BC120=Lookup!$A$4,BL120*$BD120+1,"Error")))</f>
        <v>1</v>
      </c>
      <c r="BU120" s="320">
        <v>0</v>
      </c>
      <c r="BV120" s="321">
        <v>0</v>
      </c>
      <c r="BW120" s="321">
        <v>0</v>
      </c>
      <c r="BX120" s="321">
        <v>0</v>
      </c>
      <c r="BY120" s="321">
        <v>0</v>
      </c>
      <c r="BZ120" s="321">
        <v>0</v>
      </c>
      <c r="CA120" s="321">
        <v>0</v>
      </c>
      <c r="CB120" s="277">
        <v>0</v>
      </c>
      <c r="CC120" s="382" t="s">
        <v>293</v>
      </c>
      <c r="CD120" s="383">
        <f>HLOOKUP($CC120,$AK$6:$AM$132,ROWS(CD$6:CD120),0)</f>
        <v>0</v>
      </c>
      <c r="CE120" s="234">
        <f t="shared" si="81"/>
        <v>0</v>
      </c>
      <c r="CF120" s="96">
        <f t="shared" si="81"/>
        <v>0</v>
      </c>
      <c r="CG120" s="521">
        <f t="shared" si="81"/>
        <v>0</v>
      </c>
      <c r="CH120" s="421">
        <f t="shared" si="81"/>
        <v>0</v>
      </c>
      <c r="CI120" s="96">
        <f t="shared" si="81"/>
        <v>0</v>
      </c>
      <c r="CJ120" s="96">
        <f t="shared" si="81"/>
        <v>0</v>
      </c>
      <c r="CK120" s="96">
        <f t="shared" si="81"/>
        <v>0</v>
      </c>
      <c r="CL120" s="286">
        <f t="shared" si="101"/>
        <v>0</v>
      </c>
      <c r="CM120" s="305" t="s">
        <v>293</v>
      </c>
      <c r="CN120" s="315">
        <v>0.05</v>
      </c>
      <c r="CO120" s="306"/>
      <c r="CP120" s="307" t="str">
        <f>IF($CO120&lt;&gt;"",$CO120,HLOOKUP($CM120,$AY$6:$BA$132,ROWS(CP$6:CP120),0))</f>
        <v/>
      </c>
      <c r="CQ120" s="784" t="str">
        <f t="shared" si="100"/>
        <v/>
      </c>
      <c r="CR120" s="784" t="str">
        <f t="shared" si="100"/>
        <v/>
      </c>
      <c r="CS120" s="524" t="str">
        <f t="shared" si="100"/>
        <v/>
      </c>
      <c r="CT120" s="416" t="str">
        <f t="shared" si="100"/>
        <v/>
      </c>
      <c r="CU120" s="97" t="str">
        <f t="shared" si="100"/>
        <v/>
      </c>
      <c r="CV120" s="97" t="str">
        <f t="shared" si="100"/>
        <v/>
      </c>
      <c r="CW120" s="97" t="str">
        <f t="shared" si="100"/>
        <v/>
      </c>
      <c r="CX120" s="98" t="str">
        <f t="shared" si="100"/>
        <v/>
      </c>
      <c r="CY120" s="392"/>
    </row>
    <row r="121" spans="1:103" x14ac:dyDescent="0.25">
      <c r="A121" s="81" t="s">
        <v>242</v>
      </c>
      <c r="B121" s="82" t="s">
        <v>245</v>
      </c>
      <c r="C121" s="83" t="s">
        <v>246</v>
      </c>
      <c r="D121" s="84">
        <v>0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  <c r="K121" s="85">
        <v>415860.17992264399</v>
      </c>
      <c r="L121" s="85">
        <v>266866.98751652392</v>
      </c>
      <c r="M121" s="654">
        <f>'2022-23 Input'!I121</f>
        <v>0</v>
      </c>
      <c r="N121" s="1065">
        <v>0</v>
      </c>
      <c r="O121" s="560">
        <f t="shared" si="79"/>
        <v>0</v>
      </c>
      <c r="P121" s="561">
        <f t="shared" si="53"/>
        <v>0</v>
      </c>
      <c r="Q121" s="561">
        <f t="shared" si="54"/>
        <v>0</v>
      </c>
      <c r="R121" s="561">
        <f t="shared" si="55"/>
        <v>0</v>
      </c>
      <c r="S121" s="561">
        <f t="shared" si="56"/>
        <v>0</v>
      </c>
      <c r="T121" s="561">
        <f t="shared" si="57"/>
        <v>0</v>
      </c>
      <c r="U121" s="561">
        <f t="shared" si="58"/>
        <v>0</v>
      </c>
      <c r="V121" s="561">
        <f t="shared" si="59"/>
        <v>498765.56203309813</v>
      </c>
      <c r="W121" s="675">
        <f t="shared" si="60"/>
        <v>301540.27704321325</v>
      </c>
      <c r="X121" s="675">
        <f t="shared" si="61"/>
        <v>0</v>
      </c>
      <c r="Y121" s="675">
        <f t="shared" si="61"/>
        <v>0</v>
      </c>
      <c r="Z121" s="86">
        <v>0</v>
      </c>
      <c r="AA121" s="87">
        <v>0</v>
      </c>
      <c r="AB121" s="87">
        <v>0</v>
      </c>
      <c r="AC121" s="87">
        <v>0</v>
      </c>
      <c r="AD121" s="87">
        <v>0</v>
      </c>
      <c r="AE121" s="87">
        <v>0</v>
      </c>
      <c r="AF121" s="87">
        <v>0</v>
      </c>
      <c r="AG121" s="87">
        <v>0</v>
      </c>
      <c r="AH121" s="87">
        <v>0</v>
      </c>
      <c r="AI121" s="1094">
        <f>'2022-23 Input'!P121</f>
        <v>0</v>
      </c>
      <c r="AJ121" s="665">
        <v>1</v>
      </c>
      <c r="AK121" s="88">
        <f t="shared" si="84"/>
        <v>0</v>
      </c>
      <c r="AL121" s="89">
        <f t="shared" si="85"/>
        <v>0</v>
      </c>
      <c r="AM121" s="90">
        <f t="shared" si="86"/>
        <v>0</v>
      </c>
      <c r="AN121" s="91" t="str">
        <f t="shared" si="87"/>
        <v/>
      </c>
      <c r="AO121" s="92" t="str">
        <f t="shared" si="88"/>
        <v/>
      </c>
      <c r="AP121" s="92" t="str">
        <f t="shared" si="89"/>
        <v/>
      </c>
      <c r="AQ121" s="92" t="str">
        <f t="shared" si="90"/>
        <v/>
      </c>
      <c r="AR121" s="92" t="str">
        <f t="shared" si="91"/>
        <v/>
      </c>
      <c r="AS121" s="92" t="str">
        <f t="shared" si="92"/>
        <v/>
      </c>
      <c r="AT121" s="92" t="str">
        <f t="shared" si="93"/>
        <v/>
      </c>
      <c r="AU121" s="92" t="str">
        <f t="shared" si="94"/>
        <v/>
      </c>
      <c r="AV121" s="92" t="str">
        <f t="shared" si="102"/>
        <v/>
      </c>
      <c r="AW121" s="92" t="str">
        <f t="shared" si="102"/>
        <v/>
      </c>
      <c r="AX121" s="92">
        <f t="shared" si="102"/>
        <v>0</v>
      </c>
      <c r="AY121" s="93" t="str">
        <f t="shared" si="96"/>
        <v/>
      </c>
      <c r="AZ121" s="94" t="str">
        <f t="shared" si="97"/>
        <v/>
      </c>
      <c r="BA121" s="95" t="str">
        <f t="shared" si="98"/>
        <v/>
      </c>
      <c r="BB121" s="248" t="s">
        <v>422</v>
      </c>
      <c r="BC121" s="229" t="s">
        <v>433</v>
      </c>
      <c r="BD121" s="249">
        <v>0</v>
      </c>
      <c r="BE121" s="267">
        <f t="shared" si="80"/>
        <v>0</v>
      </c>
      <c r="BF121" s="268">
        <f t="shared" si="103"/>
        <v>0</v>
      </c>
      <c r="BG121" s="268">
        <f t="shared" si="103"/>
        <v>0</v>
      </c>
      <c r="BH121" s="268">
        <f t="shared" si="103"/>
        <v>1</v>
      </c>
      <c r="BI121" s="268">
        <f t="shared" si="103"/>
        <v>2</v>
      </c>
      <c r="BJ121" s="268">
        <f t="shared" si="103"/>
        <v>3</v>
      </c>
      <c r="BK121" s="268">
        <f t="shared" si="103"/>
        <v>4</v>
      </c>
      <c r="BL121" s="269">
        <f t="shared" si="103"/>
        <v>5</v>
      </c>
      <c r="BM121" s="256">
        <f>IF($BC121=Lookup!$A$2,$BD121*ROUNDUP(BE121/10,0)+1,
IF($BC121=Lookup!$A$3,($BD121+1)^BD121,
IF($BC121=Lookup!$A$4,BE121*$BD121+1,"Error")))</f>
        <v>1</v>
      </c>
      <c r="BN121" s="229">
        <f>IF($BC121=Lookup!$A$2,$BD121*ROUNDUP(BF121/10,0)+1,
IF($BC121=Lookup!$A$3,($BD121+1)^BE121,
IF($BC121=Lookup!$A$4,BF121*$BD121+1,"Error")))</f>
        <v>1</v>
      </c>
      <c r="BO121" s="229">
        <f>IF($BC121=Lookup!$A$2,$BD121*ROUNDUP(BG121/10,0)+1,
IF($BC121=Lookup!$A$3,($BD121+1)^BF121,
IF($BC121=Lookup!$A$4,BG121*$BD121+1,"Error")))</f>
        <v>1</v>
      </c>
      <c r="BP121" s="229">
        <f>IF($BC121=Lookup!$A$2,$BD121*ROUNDUP(BH121/10,0)+1,
IF($BC121=Lookup!$A$3,($BD121+1)^BG121,
IF($BC121=Lookup!$A$4,BH121*$BD121+1,"Error")))</f>
        <v>1</v>
      </c>
      <c r="BQ121" s="229">
        <f>IF($BC121=Lookup!$A$2,$BD121*ROUNDUP(BI121/10,0)+1,
IF($BC121=Lookup!$A$3,($BD121+1)^BH121,
IF($BC121=Lookup!$A$4,BI121*$BD121+1,"Error")))</f>
        <v>1</v>
      </c>
      <c r="BR121" s="229">
        <f>IF($BC121=Lookup!$A$2,$BD121*ROUNDUP(BJ121/10,0)+1,
IF($BC121=Lookup!$A$3,($BD121+1)^BI121,
IF($BC121=Lookup!$A$4,BJ121*$BD121+1,"Error")))</f>
        <v>1</v>
      </c>
      <c r="BS121" s="229">
        <f>IF($BC121=Lookup!$A$2,$BD121*ROUNDUP(BK121/10,0)+1,
IF($BC121=Lookup!$A$3,($BD121+1)^BJ121,
IF($BC121=Lookup!$A$4,BK121*$BD121+1,"Error")))</f>
        <v>1</v>
      </c>
      <c r="BT121" s="249">
        <f>IF($BC121=Lookup!$A$2,$BD121*ROUNDUP(BL121/10,0)+1,
IF($BC121=Lookup!$A$3,($BD121+1)^BK121,
IF($BC121=Lookup!$A$4,BL121*$BD121+1,"Error")))</f>
        <v>1</v>
      </c>
      <c r="BU121" s="320">
        <v>0</v>
      </c>
      <c r="BV121" s="321">
        <v>0</v>
      </c>
      <c r="BW121" s="321">
        <v>0</v>
      </c>
      <c r="BX121" s="321">
        <v>0</v>
      </c>
      <c r="BY121" s="321">
        <v>0</v>
      </c>
      <c r="BZ121" s="321">
        <v>0</v>
      </c>
      <c r="CA121" s="321">
        <v>0</v>
      </c>
      <c r="CB121" s="277">
        <v>0</v>
      </c>
      <c r="CC121" s="382" t="s">
        <v>293</v>
      </c>
      <c r="CD121" s="383">
        <f>HLOOKUP($CC121,$AK$6:$AM$132,ROWS(CD$6:CD121),0)</f>
        <v>0</v>
      </c>
      <c r="CE121" s="234">
        <f t="shared" si="81"/>
        <v>0</v>
      </c>
      <c r="CF121" s="96">
        <f t="shared" si="81"/>
        <v>0</v>
      </c>
      <c r="CG121" s="521">
        <f t="shared" si="81"/>
        <v>0</v>
      </c>
      <c r="CH121" s="421">
        <f t="shared" si="81"/>
        <v>0</v>
      </c>
      <c r="CI121" s="96">
        <f t="shared" si="81"/>
        <v>0</v>
      </c>
      <c r="CJ121" s="96">
        <f t="shared" si="81"/>
        <v>0</v>
      </c>
      <c r="CK121" s="96">
        <f t="shared" si="81"/>
        <v>0</v>
      </c>
      <c r="CL121" s="286">
        <f t="shared" si="101"/>
        <v>0</v>
      </c>
      <c r="CM121" s="305" t="s">
        <v>293</v>
      </c>
      <c r="CN121" s="315">
        <v>0.05</v>
      </c>
      <c r="CO121" s="306"/>
      <c r="CP121" s="307" t="str">
        <f>IF($CO121&lt;&gt;"",$CO121,HLOOKUP($CM121,$AY$6:$BA$132,ROWS(CP$6:CP121),0))</f>
        <v/>
      </c>
      <c r="CQ121" s="784" t="str">
        <f t="shared" si="100"/>
        <v/>
      </c>
      <c r="CR121" s="784" t="str">
        <f t="shared" si="100"/>
        <v/>
      </c>
      <c r="CS121" s="524" t="str">
        <f t="shared" si="100"/>
        <v/>
      </c>
      <c r="CT121" s="416" t="str">
        <f t="shared" si="100"/>
        <v/>
      </c>
      <c r="CU121" s="97" t="str">
        <f t="shared" si="100"/>
        <v/>
      </c>
      <c r="CV121" s="97" t="str">
        <f t="shared" si="100"/>
        <v/>
      </c>
      <c r="CW121" s="97" t="str">
        <f t="shared" si="100"/>
        <v/>
      </c>
      <c r="CX121" s="98" t="str">
        <f t="shared" si="100"/>
        <v/>
      </c>
      <c r="CY121" s="392"/>
    </row>
    <row r="122" spans="1:103" x14ac:dyDescent="0.25">
      <c r="A122" s="81" t="s">
        <v>242</v>
      </c>
      <c r="B122" s="82" t="s">
        <v>247</v>
      </c>
      <c r="C122" s="83" t="s">
        <v>248</v>
      </c>
      <c r="D122" s="84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654">
        <f>'2022-23 Input'!I122</f>
        <v>0</v>
      </c>
      <c r="N122" s="1065">
        <v>0</v>
      </c>
      <c r="O122" s="560">
        <f t="shared" si="79"/>
        <v>0</v>
      </c>
      <c r="P122" s="561">
        <f t="shared" si="53"/>
        <v>0</v>
      </c>
      <c r="Q122" s="561">
        <f t="shared" si="54"/>
        <v>0</v>
      </c>
      <c r="R122" s="561">
        <f t="shared" si="55"/>
        <v>0</v>
      </c>
      <c r="S122" s="561">
        <f t="shared" si="56"/>
        <v>0</v>
      </c>
      <c r="T122" s="561">
        <f t="shared" si="57"/>
        <v>0</v>
      </c>
      <c r="U122" s="561">
        <f t="shared" si="58"/>
        <v>0</v>
      </c>
      <c r="V122" s="561">
        <f t="shared" si="59"/>
        <v>0</v>
      </c>
      <c r="W122" s="675">
        <f t="shared" si="60"/>
        <v>0</v>
      </c>
      <c r="X122" s="675">
        <f t="shared" si="61"/>
        <v>0</v>
      </c>
      <c r="Y122" s="675">
        <f t="shared" si="61"/>
        <v>0</v>
      </c>
      <c r="Z122" s="86">
        <v>0</v>
      </c>
      <c r="AA122" s="87">
        <v>0</v>
      </c>
      <c r="AB122" s="87">
        <v>0</v>
      </c>
      <c r="AC122" s="87">
        <v>0</v>
      </c>
      <c r="AD122" s="87">
        <v>0</v>
      </c>
      <c r="AE122" s="87">
        <v>0</v>
      </c>
      <c r="AF122" s="87">
        <v>0</v>
      </c>
      <c r="AG122" s="87">
        <v>0</v>
      </c>
      <c r="AH122" s="87">
        <v>0</v>
      </c>
      <c r="AI122" s="1094">
        <f>'2022-23 Input'!P122</f>
        <v>0</v>
      </c>
      <c r="AJ122" s="665">
        <v>0</v>
      </c>
      <c r="AK122" s="88">
        <f t="shared" si="84"/>
        <v>0</v>
      </c>
      <c r="AL122" s="89">
        <f t="shared" si="85"/>
        <v>0</v>
      </c>
      <c r="AM122" s="90">
        <f t="shared" si="86"/>
        <v>0</v>
      </c>
      <c r="AN122" s="91" t="str">
        <f t="shared" si="87"/>
        <v/>
      </c>
      <c r="AO122" s="92" t="str">
        <f t="shared" si="88"/>
        <v/>
      </c>
      <c r="AP122" s="92" t="str">
        <f t="shared" si="89"/>
        <v/>
      </c>
      <c r="AQ122" s="92" t="str">
        <f t="shared" si="90"/>
        <v/>
      </c>
      <c r="AR122" s="92" t="str">
        <f t="shared" si="91"/>
        <v/>
      </c>
      <c r="AS122" s="92" t="str">
        <f t="shared" si="92"/>
        <v/>
      </c>
      <c r="AT122" s="92" t="str">
        <f t="shared" si="93"/>
        <v/>
      </c>
      <c r="AU122" s="92" t="str">
        <f t="shared" si="94"/>
        <v/>
      </c>
      <c r="AV122" s="92" t="str">
        <f t="shared" si="102"/>
        <v/>
      </c>
      <c r="AW122" s="92" t="str">
        <f t="shared" si="102"/>
        <v/>
      </c>
      <c r="AX122" s="92" t="str">
        <f t="shared" si="102"/>
        <v/>
      </c>
      <c r="AY122" s="93" t="str">
        <f t="shared" si="96"/>
        <v/>
      </c>
      <c r="AZ122" s="94" t="str">
        <f t="shared" si="97"/>
        <v/>
      </c>
      <c r="BA122" s="95" t="str">
        <f t="shared" si="98"/>
        <v/>
      </c>
      <c r="BB122" s="248" t="s">
        <v>422</v>
      </c>
      <c r="BC122" s="229" t="s">
        <v>433</v>
      </c>
      <c r="BD122" s="249">
        <v>0</v>
      </c>
      <c r="BE122" s="267">
        <f t="shared" si="80"/>
        <v>0</v>
      </c>
      <c r="BF122" s="268">
        <f t="shared" si="103"/>
        <v>0</v>
      </c>
      <c r="BG122" s="268">
        <f t="shared" si="103"/>
        <v>0</v>
      </c>
      <c r="BH122" s="268">
        <f t="shared" si="103"/>
        <v>1</v>
      </c>
      <c r="BI122" s="268">
        <f t="shared" si="103"/>
        <v>2</v>
      </c>
      <c r="BJ122" s="268">
        <f t="shared" si="103"/>
        <v>3</v>
      </c>
      <c r="BK122" s="268">
        <f t="shared" si="103"/>
        <v>4</v>
      </c>
      <c r="BL122" s="269">
        <f t="shared" si="103"/>
        <v>5</v>
      </c>
      <c r="BM122" s="256">
        <f>IF($BC122=Lookup!$A$2,$BD122*ROUNDUP(BE122/10,0)+1,
IF($BC122=Lookup!$A$3,($BD122+1)^BD122,
IF($BC122=Lookup!$A$4,BE122*$BD122+1,"Error")))</f>
        <v>1</v>
      </c>
      <c r="BN122" s="229">
        <f>IF($BC122=Lookup!$A$2,$BD122*ROUNDUP(BF122/10,0)+1,
IF($BC122=Lookup!$A$3,($BD122+1)^BE122,
IF($BC122=Lookup!$A$4,BF122*$BD122+1,"Error")))</f>
        <v>1</v>
      </c>
      <c r="BO122" s="229">
        <f>IF($BC122=Lookup!$A$2,$BD122*ROUNDUP(BG122/10,0)+1,
IF($BC122=Lookup!$A$3,($BD122+1)^BF122,
IF($BC122=Lookup!$A$4,BG122*$BD122+1,"Error")))</f>
        <v>1</v>
      </c>
      <c r="BP122" s="229">
        <f>IF($BC122=Lookup!$A$2,$BD122*ROUNDUP(BH122/10,0)+1,
IF($BC122=Lookup!$A$3,($BD122+1)^BG122,
IF($BC122=Lookup!$A$4,BH122*$BD122+1,"Error")))</f>
        <v>1</v>
      </c>
      <c r="BQ122" s="229">
        <f>IF($BC122=Lookup!$A$2,$BD122*ROUNDUP(BI122/10,0)+1,
IF($BC122=Lookup!$A$3,($BD122+1)^BH122,
IF($BC122=Lookup!$A$4,BI122*$BD122+1,"Error")))</f>
        <v>1</v>
      </c>
      <c r="BR122" s="229">
        <f>IF($BC122=Lookup!$A$2,$BD122*ROUNDUP(BJ122/10,0)+1,
IF($BC122=Lookup!$A$3,($BD122+1)^BI122,
IF($BC122=Lookup!$A$4,BJ122*$BD122+1,"Error")))</f>
        <v>1</v>
      </c>
      <c r="BS122" s="229">
        <f>IF($BC122=Lookup!$A$2,$BD122*ROUNDUP(BK122/10,0)+1,
IF($BC122=Lookup!$A$3,($BD122+1)^BJ122,
IF($BC122=Lookup!$A$4,BK122*$BD122+1,"Error")))</f>
        <v>1</v>
      </c>
      <c r="BT122" s="249">
        <f>IF($BC122=Lookup!$A$2,$BD122*ROUNDUP(BL122/10,0)+1,
IF($BC122=Lookup!$A$3,($BD122+1)^BK122,
IF($BC122=Lookup!$A$4,BL122*$BD122+1,"Error")))</f>
        <v>1</v>
      </c>
      <c r="BU122" s="320">
        <v>0</v>
      </c>
      <c r="BV122" s="321">
        <v>0</v>
      </c>
      <c r="BW122" s="321">
        <v>0</v>
      </c>
      <c r="BX122" s="321">
        <v>0</v>
      </c>
      <c r="BY122" s="321">
        <v>0</v>
      </c>
      <c r="BZ122" s="321">
        <v>0</v>
      </c>
      <c r="CA122" s="321">
        <v>0</v>
      </c>
      <c r="CB122" s="277">
        <v>0</v>
      </c>
      <c r="CC122" s="382" t="s">
        <v>293</v>
      </c>
      <c r="CD122" s="383">
        <f>HLOOKUP($CC122,$AK$6:$AM$132,ROWS(CD$6:CD122),0)</f>
        <v>0</v>
      </c>
      <c r="CE122" s="234">
        <f t="shared" si="81"/>
        <v>0</v>
      </c>
      <c r="CF122" s="96">
        <f t="shared" si="81"/>
        <v>0</v>
      </c>
      <c r="CG122" s="521">
        <f t="shared" si="81"/>
        <v>0</v>
      </c>
      <c r="CH122" s="421">
        <f t="shared" si="81"/>
        <v>0</v>
      </c>
      <c r="CI122" s="96">
        <f t="shared" si="81"/>
        <v>0</v>
      </c>
      <c r="CJ122" s="96">
        <f t="shared" si="81"/>
        <v>0</v>
      </c>
      <c r="CK122" s="96">
        <f t="shared" si="81"/>
        <v>0</v>
      </c>
      <c r="CL122" s="286">
        <f t="shared" si="101"/>
        <v>0</v>
      </c>
      <c r="CM122" s="305" t="s">
        <v>293</v>
      </c>
      <c r="CN122" s="315">
        <v>0.05</v>
      </c>
      <c r="CO122" s="306"/>
      <c r="CP122" s="307" t="str">
        <f>IF($CO122&lt;&gt;"",$CO122,HLOOKUP($CM122,$AY$6:$BA$132,ROWS(CP$6:CP122),0))</f>
        <v/>
      </c>
      <c r="CQ122" s="784" t="str">
        <f t="shared" si="100"/>
        <v/>
      </c>
      <c r="CR122" s="784" t="str">
        <f t="shared" si="100"/>
        <v/>
      </c>
      <c r="CS122" s="524" t="str">
        <f t="shared" si="100"/>
        <v/>
      </c>
      <c r="CT122" s="416" t="str">
        <f t="shared" si="100"/>
        <v/>
      </c>
      <c r="CU122" s="97" t="str">
        <f t="shared" si="100"/>
        <v/>
      </c>
      <c r="CV122" s="97" t="str">
        <f t="shared" si="100"/>
        <v/>
      </c>
      <c r="CW122" s="97" t="str">
        <f t="shared" si="100"/>
        <v/>
      </c>
      <c r="CX122" s="98" t="str">
        <f t="shared" si="100"/>
        <v/>
      </c>
      <c r="CY122" s="392"/>
    </row>
    <row r="123" spans="1:103" x14ac:dyDescent="0.25">
      <c r="A123" s="81" t="s">
        <v>242</v>
      </c>
      <c r="B123" s="82" t="s">
        <v>249</v>
      </c>
      <c r="C123" s="83" t="s">
        <v>250</v>
      </c>
      <c r="D123" s="84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654">
        <f>'2022-23 Input'!I123</f>
        <v>0</v>
      </c>
      <c r="N123" s="1065">
        <v>0</v>
      </c>
      <c r="O123" s="560">
        <f t="shared" si="79"/>
        <v>0</v>
      </c>
      <c r="P123" s="561">
        <f t="shared" si="53"/>
        <v>0</v>
      </c>
      <c r="Q123" s="561">
        <f t="shared" si="54"/>
        <v>0</v>
      </c>
      <c r="R123" s="561">
        <f t="shared" si="55"/>
        <v>0</v>
      </c>
      <c r="S123" s="561">
        <f t="shared" si="56"/>
        <v>0</v>
      </c>
      <c r="T123" s="561">
        <f t="shared" si="57"/>
        <v>0</v>
      </c>
      <c r="U123" s="561">
        <f t="shared" si="58"/>
        <v>0</v>
      </c>
      <c r="V123" s="561">
        <f t="shared" si="59"/>
        <v>0</v>
      </c>
      <c r="W123" s="675">
        <f t="shared" si="60"/>
        <v>0</v>
      </c>
      <c r="X123" s="675">
        <f t="shared" si="61"/>
        <v>0</v>
      </c>
      <c r="Y123" s="675">
        <f t="shared" si="61"/>
        <v>0</v>
      </c>
      <c r="Z123" s="86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87">
        <v>0</v>
      </c>
      <c r="AI123" s="1094">
        <f>'2022-23 Input'!P123</f>
        <v>0</v>
      </c>
      <c r="AJ123" s="665">
        <v>0</v>
      </c>
      <c r="AK123" s="88">
        <f t="shared" si="84"/>
        <v>0</v>
      </c>
      <c r="AL123" s="89">
        <f t="shared" si="85"/>
        <v>0</v>
      </c>
      <c r="AM123" s="90">
        <f t="shared" si="86"/>
        <v>0</v>
      </c>
      <c r="AN123" s="91" t="str">
        <f t="shared" si="87"/>
        <v/>
      </c>
      <c r="AO123" s="92" t="str">
        <f t="shared" si="88"/>
        <v/>
      </c>
      <c r="AP123" s="92" t="str">
        <f t="shared" si="89"/>
        <v/>
      </c>
      <c r="AQ123" s="92" t="str">
        <f t="shared" si="90"/>
        <v/>
      </c>
      <c r="AR123" s="92" t="str">
        <f t="shared" si="91"/>
        <v/>
      </c>
      <c r="AS123" s="92" t="str">
        <f t="shared" si="92"/>
        <v/>
      </c>
      <c r="AT123" s="92" t="str">
        <f t="shared" si="93"/>
        <v/>
      </c>
      <c r="AU123" s="92" t="str">
        <f t="shared" si="94"/>
        <v/>
      </c>
      <c r="AV123" s="92" t="str">
        <f t="shared" si="102"/>
        <v/>
      </c>
      <c r="AW123" s="92" t="str">
        <f t="shared" si="102"/>
        <v/>
      </c>
      <c r="AX123" s="92" t="str">
        <f t="shared" si="102"/>
        <v/>
      </c>
      <c r="AY123" s="93" t="str">
        <f t="shared" si="96"/>
        <v/>
      </c>
      <c r="AZ123" s="94" t="str">
        <f t="shared" si="97"/>
        <v/>
      </c>
      <c r="BA123" s="95" t="str">
        <f t="shared" si="98"/>
        <v/>
      </c>
      <c r="BB123" s="248" t="s">
        <v>422</v>
      </c>
      <c r="BC123" s="229" t="s">
        <v>433</v>
      </c>
      <c r="BD123" s="249">
        <v>0</v>
      </c>
      <c r="BE123" s="267">
        <f t="shared" si="80"/>
        <v>0</v>
      </c>
      <c r="BF123" s="268">
        <f t="shared" si="103"/>
        <v>0</v>
      </c>
      <c r="BG123" s="268">
        <f t="shared" si="103"/>
        <v>0</v>
      </c>
      <c r="BH123" s="268">
        <f t="shared" si="103"/>
        <v>1</v>
      </c>
      <c r="BI123" s="268">
        <f t="shared" si="103"/>
        <v>2</v>
      </c>
      <c r="BJ123" s="268">
        <f t="shared" si="103"/>
        <v>3</v>
      </c>
      <c r="BK123" s="268">
        <f t="shared" si="103"/>
        <v>4</v>
      </c>
      <c r="BL123" s="269">
        <f t="shared" si="103"/>
        <v>5</v>
      </c>
      <c r="BM123" s="256">
        <f>IF($BC123=Lookup!$A$2,$BD123*ROUNDUP(BE123/10,0)+1,
IF($BC123=Lookup!$A$3,($BD123+1)^BD123,
IF($BC123=Lookup!$A$4,BE123*$BD123+1,"Error")))</f>
        <v>1</v>
      </c>
      <c r="BN123" s="229">
        <f>IF($BC123=Lookup!$A$2,$BD123*ROUNDUP(BF123/10,0)+1,
IF($BC123=Lookup!$A$3,($BD123+1)^BE123,
IF($BC123=Lookup!$A$4,BF123*$BD123+1,"Error")))</f>
        <v>1</v>
      </c>
      <c r="BO123" s="229">
        <f>IF($BC123=Lookup!$A$2,$BD123*ROUNDUP(BG123/10,0)+1,
IF($BC123=Lookup!$A$3,($BD123+1)^BF123,
IF($BC123=Lookup!$A$4,BG123*$BD123+1,"Error")))</f>
        <v>1</v>
      </c>
      <c r="BP123" s="229">
        <f>IF($BC123=Lookup!$A$2,$BD123*ROUNDUP(BH123/10,0)+1,
IF($BC123=Lookup!$A$3,($BD123+1)^BG123,
IF($BC123=Lookup!$A$4,BH123*$BD123+1,"Error")))</f>
        <v>1</v>
      </c>
      <c r="BQ123" s="229">
        <f>IF($BC123=Lookup!$A$2,$BD123*ROUNDUP(BI123/10,0)+1,
IF($BC123=Lookup!$A$3,($BD123+1)^BH123,
IF($BC123=Lookup!$A$4,BI123*$BD123+1,"Error")))</f>
        <v>1</v>
      </c>
      <c r="BR123" s="229">
        <f>IF($BC123=Lookup!$A$2,$BD123*ROUNDUP(BJ123/10,0)+1,
IF($BC123=Lookup!$A$3,($BD123+1)^BI123,
IF($BC123=Lookup!$A$4,BJ123*$BD123+1,"Error")))</f>
        <v>1</v>
      </c>
      <c r="BS123" s="229">
        <f>IF($BC123=Lookup!$A$2,$BD123*ROUNDUP(BK123/10,0)+1,
IF($BC123=Lookup!$A$3,($BD123+1)^BJ123,
IF($BC123=Lookup!$A$4,BK123*$BD123+1,"Error")))</f>
        <v>1</v>
      </c>
      <c r="BT123" s="249">
        <f>IF($BC123=Lookup!$A$2,$BD123*ROUNDUP(BL123/10,0)+1,
IF($BC123=Lookup!$A$3,($BD123+1)^BK123,
IF($BC123=Lookup!$A$4,BL123*$BD123+1,"Error")))</f>
        <v>1</v>
      </c>
      <c r="BU123" s="320">
        <v>0</v>
      </c>
      <c r="BV123" s="321">
        <v>0</v>
      </c>
      <c r="BW123" s="321">
        <v>0</v>
      </c>
      <c r="BX123" s="321">
        <v>0</v>
      </c>
      <c r="BY123" s="321">
        <v>0</v>
      </c>
      <c r="BZ123" s="321">
        <v>0</v>
      </c>
      <c r="CA123" s="321">
        <v>0</v>
      </c>
      <c r="CB123" s="277">
        <v>0</v>
      </c>
      <c r="CC123" s="382" t="s">
        <v>293</v>
      </c>
      <c r="CD123" s="383">
        <f>HLOOKUP($CC123,$AK$6:$AM$132,ROWS(CD$6:CD123),0)</f>
        <v>0</v>
      </c>
      <c r="CE123" s="234">
        <f t="shared" si="81"/>
        <v>0</v>
      </c>
      <c r="CF123" s="96">
        <f t="shared" si="81"/>
        <v>0</v>
      </c>
      <c r="CG123" s="521">
        <f t="shared" si="81"/>
        <v>0</v>
      </c>
      <c r="CH123" s="421">
        <f t="shared" ref="CH123:CK132" si="104">IFERROR(IF(BX123&lt;&gt;"",BX123,BP123*$CD123),"")</f>
        <v>0</v>
      </c>
      <c r="CI123" s="96">
        <f t="shared" si="104"/>
        <v>0</v>
      </c>
      <c r="CJ123" s="96">
        <f t="shared" si="104"/>
        <v>0</v>
      </c>
      <c r="CK123" s="96">
        <f t="shared" si="104"/>
        <v>0</v>
      </c>
      <c r="CL123" s="286">
        <f t="shared" si="101"/>
        <v>0</v>
      </c>
      <c r="CM123" s="305" t="s">
        <v>293</v>
      </c>
      <c r="CN123" s="315">
        <v>0.05</v>
      </c>
      <c r="CO123" s="306"/>
      <c r="CP123" s="307" t="str">
        <f>IF($CO123&lt;&gt;"",$CO123,HLOOKUP($CM123,$AY$6:$BA$132,ROWS(CP$6:CP123),0))</f>
        <v/>
      </c>
      <c r="CQ123" s="784" t="str">
        <f t="shared" si="100"/>
        <v/>
      </c>
      <c r="CR123" s="784" t="str">
        <f t="shared" si="100"/>
        <v/>
      </c>
      <c r="CS123" s="524" t="str">
        <f t="shared" si="100"/>
        <v/>
      </c>
      <c r="CT123" s="416" t="str">
        <f t="shared" si="100"/>
        <v/>
      </c>
      <c r="CU123" s="97" t="str">
        <f t="shared" si="100"/>
        <v/>
      </c>
      <c r="CV123" s="97" t="str">
        <f t="shared" si="100"/>
        <v/>
      </c>
      <c r="CW123" s="97" t="str">
        <f t="shared" si="100"/>
        <v/>
      </c>
      <c r="CX123" s="98" t="str">
        <f t="shared" si="100"/>
        <v/>
      </c>
      <c r="CY123" s="392"/>
    </row>
    <row r="124" spans="1:103" x14ac:dyDescent="0.25">
      <c r="A124" s="81" t="s">
        <v>242</v>
      </c>
      <c r="B124" s="82" t="s">
        <v>251</v>
      </c>
      <c r="C124" s="83" t="s">
        <v>252</v>
      </c>
      <c r="D124" s="84">
        <v>890.93007628424311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64967.38410000001</v>
      </c>
      <c r="K124" s="85">
        <v>0</v>
      </c>
      <c r="L124" s="85">
        <v>5294996.2597975451</v>
      </c>
      <c r="M124" s="654">
        <f>'2022-23 Input'!I124</f>
        <v>0</v>
      </c>
      <c r="N124" s="1065">
        <v>0</v>
      </c>
      <c r="O124" s="560">
        <f t="shared" si="79"/>
        <v>1198.7075011078323</v>
      </c>
      <c r="P124" s="561">
        <f t="shared" si="53"/>
        <v>0</v>
      </c>
      <c r="Q124" s="561">
        <f t="shared" si="54"/>
        <v>0</v>
      </c>
      <c r="R124" s="561">
        <f t="shared" si="55"/>
        <v>0</v>
      </c>
      <c r="S124" s="561">
        <f t="shared" si="56"/>
        <v>0</v>
      </c>
      <c r="T124" s="561">
        <f t="shared" si="57"/>
        <v>0</v>
      </c>
      <c r="U124" s="561">
        <f t="shared" si="58"/>
        <v>80916.09558650892</v>
      </c>
      <c r="V124" s="561">
        <f t="shared" si="59"/>
        <v>0</v>
      </c>
      <c r="W124" s="675">
        <f t="shared" si="60"/>
        <v>5982960.4777296316</v>
      </c>
      <c r="X124" s="675">
        <f t="shared" si="61"/>
        <v>0</v>
      </c>
      <c r="Y124" s="675">
        <f t="shared" si="61"/>
        <v>0</v>
      </c>
      <c r="Z124" s="86">
        <v>0</v>
      </c>
      <c r="AA124" s="87">
        <v>0</v>
      </c>
      <c r="AB124" s="87">
        <v>0</v>
      </c>
      <c r="AC124" s="87">
        <v>0</v>
      </c>
      <c r="AD124" s="87">
        <v>0</v>
      </c>
      <c r="AE124" s="87">
        <v>0</v>
      </c>
      <c r="AF124" s="87">
        <v>12240</v>
      </c>
      <c r="AG124" s="87">
        <v>0</v>
      </c>
      <c r="AH124" s="87">
        <v>0</v>
      </c>
      <c r="AI124" s="1094">
        <f>'2022-23 Input'!P124</f>
        <v>0</v>
      </c>
      <c r="AJ124" s="665">
        <v>0</v>
      </c>
      <c r="AK124" s="88">
        <f t="shared" si="84"/>
        <v>2448</v>
      </c>
      <c r="AL124" s="89">
        <f t="shared" si="85"/>
        <v>0</v>
      </c>
      <c r="AM124" s="90">
        <f t="shared" si="86"/>
        <v>0</v>
      </c>
      <c r="AN124" s="91" t="str">
        <f t="shared" si="87"/>
        <v/>
      </c>
      <c r="AO124" s="92" t="str">
        <f t="shared" si="88"/>
        <v/>
      </c>
      <c r="AP124" s="92" t="str">
        <f t="shared" si="89"/>
        <v/>
      </c>
      <c r="AQ124" s="92" t="str">
        <f t="shared" si="90"/>
        <v/>
      </c>
      <c r="AR124" s="92" t="str">
        <f t="shared" si="91"/>
        <v/>
      </c>
      <c r="AS124" s="92" t="str">
        <f t="shared" si="92"/>
        <v/>
      </c>
      <c r="AT124" s="92">
        <f t="shared" si="93"/>
        <v>5.3077928186274521</v>
      </c>
      <c r="AU124" s="92" t="str">
        <f t="shared" si="94"/>
        <v/>
      </c>
      <c r="AV124" s="92" t="str">
        <f t="shared" si="102"/>
        <v/>
      </c>
      <c r="AW124" s="92" t="str">
        <f t="shared" si="102"/>
        <v/>
      </c>
      <c r="AX124" s="92" t="str">
        <f t="shared" si="102"/>
        <v/>
      </c>
      <c r="AY124" s="93">
        <f t="shared" si="96"/>
        <v>437.90552646221778</v>
      </c>
      <c r="AZ124" s="94" t="str">
        <f t="shared" si="97"/>
        <v/>
      </c>
      <c r="BA124" s="95" t="str">
        <f t="shared" si="98"/>
        <v/>
      </c>
      <c r="BB124" s="248" t="s">
        <v>422</v>
      </c>
      <c r="BC124" s="229" t="s">
        <v>433</v>
      </c>
      <c r="BD124" s="249">
        <v>0</v>
      </c>
      <c r="BE124" s="267">
        <f t="shared" si="80"/>
        <v>0</v>
      </c>
      <c r="BF124" s="268">
        <f t="shared" si="103"/>
        <v>0</v>
      </c>
      <c r="BG124" s="268">
        <f t="shared" si="103"/>
        <v>0</v>
      </c>
      <c r="BH124" s="268">
        <f t="shared" si="103"/>
        <v>1</v>
      </c>
      <c r="BI124" s="268">
        <f t="shared" si="103"/>
        <v>2</v>
      </c>
      <c r="BJ124" s="268">
        <f t="shared" si="103"/>
        <v>3</v>
      </c>
      <c r="BK124" s="268">
        <f t="shared" si="103"/>
        <v>4</v>
      </c>
      <c r="BL124" s="269">
        <f t="shared" si="103"/>
        <v>5</v>
      </c>
      <c r="BM124" s="256">
        <f>IF($BC124=Lookup!$A$2,$BD124*ROUNDUP(BE124/10,0)+1,
IF($BC124=Lookup!$A$3,($BD124+1)^BD124,
IF($BC124=Lookup!$A$4,BE124*$BD124+1,"Error")))</f>
        <v>1</v>
      </c>
      <c r="BN124" s="229">
        <f>IF($BC124=Lookup!$A$2,$BD124*ROUNDUP(BF124/10,0)+1,
IF($BC124=Lookup!$A$3,($BD124+1)^BE124,
IF($BC124=Lookup!$A$4,BF124*$BD124+1,"Error")))</f>
        <v>1</v>
      </c>
      <c r="BO124" s="229">
        <f>IF($BC124=Lookup!$A$2,$BD124*ROUNDUP(BG124/10,0)+1,
IF($BC124=Lookup!$A$3,($BD124+1)^BF124,
IF($BC124=Lookup!$A$4,BG124*$BD124+1,"Error")))</f>
        <v>1</v>
      </c>
      <c r="BP124" s="229">
        <f>IF($BC124=Lookup!$A$2,$BD124*ROUNDUP(BH124/10,0)+1,
IF($BC124=Lookup!$A$3,($BD124+1)^BG124,
IF($BC124=Lookup!$A$4,BH124*$BD124+1,"Error")))</f>
        <v>1</v>
      </c>
      <c r="BQ124" s="229">
        <f>IF($BC124=Lookup!$A$2,$BD124*ROUNDUP(BI124/10,0)+1,
IF($BC124=Lookup!$A$3,($BD124+1)^BH124,
IF($BC124=Lookup!$A$4,BI124*$BD124+1,"Error")))</f>
        <v>1</v>
      </c>
      <c r="BR124" s="229">
        <f>IF($BC124=Lookup!$A$2,$BD124*ROUNDUP(BJ124/10,0)+1,
IF($BC124=Lookup!$A$3,($BD124+1)^BI124,
IF($BC124=Lookup!$A$4,BJ124*$BD124+1,"Error")))</f>
        <v>1</v>
      </c>
      <c r="BS124" s="229">
        <f>IF($BC124=Lookup!$A$2,$BD124*ROUNDUP(BK124/10,0)+1,
IF($BC124=Lookup!$A$3,($BD124+1)^BJ124,
IF($BC124=Lookup!$A$4,BK124*$BD124+1,"Error")))</f>
        <v>1</v>
      </c>
      <c r="BT124" s="249">
        <f>IF($BC124=Lookup!$A$2,$BD124*ROUNDUP(BL124/10,0)+1,
IF($BC124=Lookup!$A$3,($BD124+1)^BK124,
IF($BC124=Lookup!$A$4,BL124*$BD124+1,"Error")))</f>
        <v>1</v>
      </c>
      <c r="BU124" s="320">
        <v>0</v>
      </c>
      <c r="BV124" s="321">
        <v>0</v>
      </c>
      <c r="BW124" s="321">
        <v>0</v>
      </c>
      <c r="BX124" s="321">
        <v>0</v>
      </c>
      <c r="BY124" s="321">
        <v>0</v>
      </c>
      <c r="BZ124" s="321">
        <v>0</v>
      </c>
      <c r="CA124" s="321">
        <v>0</v>
      </c>
      <c r="CB124" s="277">
        <v>0</v>
      </c>
      <c r="CC124" s="382" t="s">
        <v>293</v>
      </c>
      <c r="CD124" s="383">
        <f>HLOOKUP($CC124,$AK$6:$AM$132,ROWS(CD$6:CD124),0)</f>
        <v>0</v>
      </c>
      <c r="CE124" s="234">
        <f t="shared" ref="CE124:CG132" si="105">IFERROR(IF(BU124&lt;&gt;"",BU124,BM124*$CD124),"")</f>
        <v>0</v>
      </c>
      <c r="CF124" s="96">
        <f t="shared" si="105"/>
        <v>0</v>
      </c>
      <c r="CG124" s="521">
        <f t="shared" si="105"/>
        <v>0</v>
      </c>
      <c r="CH124" s="421">
        <f t="shared" si="104"/>
        <v>0</v>
      </c>
      <c r="CI124" s="96">
        <f t="shared" si="104"/>
        <v>0</v>
      </c>
      <c r="CJ124" s="96">
        <f t="shared" si="104"/>
        <v>0</v>
      </c>
      <c r="CK124" s="96">
        <f t="shared" si="104"/>
        <v>0</v>
      </c>
      <c r="CL124" s="286">
        <f t="shared" si="101"/>
        <v>0</v>
      </c>
      <c r="CM124" s="305" t="s">
        <v>293</v>
      </c>
      <c r="CN124" s="315">
        <v>0.05</v>
      </c>
      <c r="CO124" s="306"/>
      <c r="CP124" s="307" t="str">
        <f>IF($CO124&lt;&gt;"",$CO124,HLOOKUP($CM124,$AY$6:$BA$132,ROWS(CP$6:CP124),0))</f>
        <v/>
      </c>
      <c r="CQ124" s="784" t="str">
        <f t="shared" si="100"/>
        <v/>
      </c>
      <c r="CR124" s="784" t="str">
        <f t="shared" si="100"/>
        <v/>
      </c>
      <c r="CS124" s="524" t="str">
        <f t="shared" si="100"/>
        <v/>
      </c>
      <c r="CT124" s="416" t="str">
        <f t="shared" si="100"/>
        <v/>
      </c>
      <c r="CU124" s="97" t="str">
        <f t="shared" si="100"/>
        <v/>
      </c>
      <c r="CV124" s="97" t="str">
        <f t="shared" si="100"/>
        <v/>
      </c>
      <c r="CW124" s="97" t="str">
        <f t="shared" si="100"/>
        <v/>
      </c>
      <c r="CX124" s="98" t="str">
        <f t="shared" si="100"/>
        <v/>
      </c>
      <c r="CY124" s="392"/>
    </row>
    <row r="125" spans="1:103" x14ac:dyDescent="0.25">
      <c r="A125" s="81" t="s">
        <v>242</v>
      </c>
      <c r="B125" s="82" t="s">
        <v>253</v>
      </c>
      <c r="C125" s="83" t="s">
        <v>254</v>
      </c>
      <c r="D125" s="84">
        <v>0</v>
      </c>
      <c r="E125" s="85">
        <v>0</v>
      </c>
      <c r="F125" s="85">
        <v>0</v>
      </c>
      <c r="G125" s="85">
        <v>36975.419945300338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654">
        <f>'2022-23 Input'!I125</f>
        <v>0</v>
      </c>
      <c r="N125" s="1065">
        <v>0</v>
      </c>
      <c r="O125" s="560">
        <f t="shared" si="79"/>
        <v>0</v>
      </c>
      <c r="P125" s="561">
        <f t="shared" si="53"/>
        <v>0</v>
      </c>
      <c r="Q125" s="561">
        <f t="shared" si="54"/>
        <v>0</v>
      </c>
      <c r="R125" s="561">
        <f t="shared" si="55"/>
        <v>47591.682342857996</v>
      </c>
      <c r="S125" s="561">
        <f t="shared" si="56"/>
        <v>0</v>
      </c>
      <c r="T125" s="561">
        <f t="shared" si="57"/>
        <v>0</v>
      </c>
      <c r="U125" s="561">
        <f t="shared" si="58"/>
        <v>0</v>
      </c>
      <c r="V125" s="561">
        <f t="shared" si="59"/>
        <v>0</v>
      </c>
      <c r="W125" s="675">
        <f t="shared" si="60"/>
        <v>0</v>
      </c>
      <c r="X125" s="675">
        <f t="shared" si="61"/>
        <v>0</v>
      </c>
      <c r="Y125" s="675">
        <f t="shared" si="61"/>
        <v>0</v>
      </c>
      <c r="Z125" s="86">
        <v>0</v>
      </c>
      <c r="AA125" s="87">
        <v>0</v>
      </c>
      <c r="AB125" s="87">
        <v>0</v>
      </c>
      <c r="AC125" s="87">
        <v>3</v>
      </c>
      <c r="AD125" s="87">
        <v>0</v>
      </c>
      <c r="AE125" s="87">
        <v>0</v>
      </c>
      <c r="AF125" s="87">
        <v>0</v>
      </c>
      <c r="AG125" s="87">
        <v>0</v>
      </c>
      <c r="AH125" s="87">
        <v>0</v>
      </c>
      <c r="AI125" s="1094">
        <f>'2022-23 Input'!P125</f>
        <v>0</v>
      </c>
      <c r="AJ125" s="665">
        <v>0</v>
      </c>
      <c r="AK125" s="88">
        <f t="shared" si="84"/>
        <v>0</v>
      </c>
      <c r="AL125" s="89">
        <f t="shared" si="85"/>
        <v>0</v>
      </c>
      <c r="AM125" s="90">
        <f t="shared" si="86"/>
        <v>0</v>
      </c>
      <c r="AN125" s="91" t="str">
        <f t="shared" si="87"/>
        <v/>
      </c>
      <c r="AO125" s="92" t="str">
        <f t="shared" si="88"/>
        <v/>
      </c>
      <c r="AP125" s="92" t="str">
        <f t="shared" si="89"/>
        <v/>
      </c>
      <c r="AQ125" s="92">
        <f t="shared" si="90"/>
        <v>12325.139981766779</v>
      </c>
      <c r="AR125" s="92" t="str">
        <f t="shared" si="91"/>
        <v/>
      </c>
      <c r="AS125" s="92" t="str">
        <f t="shared" si="92"/>
        <v/>
      </c>
      <c r="AT125" s="92" t="str">
        <f t="shared" si="93"/>
        <v/>
      </c>
      <c r="AU125" s="92" t="str">
        <f t="shared" si="94"/>
        <v/>
      </c>
      <c r="AV125" s="92" t="str">
        <f t="shared" si="102"/>
        <v/>
      </c>
      <c r="AW125" s="92" t="str">
        <f t="shared" si="102"/>
        <v/>
      </c>
      <c r="AX125" s="92" t="str">
        <f t="shared" si="102"/>
        <v/>
      </c>
      <c r="AY125" s="93" t="str">
        <f t="shared" si="96"/>
        <v/>
      </c>
      <c r="AZ125" s="94" t="str">
        <f t="shared" si="97"/>
        <v/>
      </c>
      <c r="BA125" s="95" t="str">
        <f t="shared" si="98"/>
        <v/>
      </c>
      <c r="BB125" s="248" t="s">
        <v>422</v>
      </c>
      <c r="BC125" s="229" t="s">
        <v>433</v>
      </c>
      <c r="BD125" s="249">
        <v>0</v>
      </c>
      <c r="BE125" s="267">
        <f t="shared" si="80"/>
        <v>0</v>
      </c>
      <c r="BF125" s="268">
        <f t="shared" si="103"/>
        <v>0</v>
      </c>
      <c r="BG125" s="268">
        <f t="shared" si="103"/>
        <v>0</v>
      </c>
      <c r="BH125" s="268">
        <f t="shared" si="103"/>
        <v>1</v>
      </c>
      <c r="BI125" s="268">
        <f t="shared" si="103"/>
        <v>2</v>
      </c>
      <c r="BJ125" s="268">
        <f t="shared" si="103"/>
        <v>3</v>
      </c>
      <c r="BK125" s="268">
        <f t="shared" si="103"/>
        <v>4</v>
      </c>
      <c r="BL125" s="269">
        <f t="shared" si="103"/>
        <v>5</v>
      </c>
      <c r="BM125" s="256">
        <f>IF($BC125=Lookup!$A$2,$BD125*ROUNDUP(BE125/10,0)+1,
IF($BC125=Lookup!$A$3,($BD125+1)^BD125,
IF($BC125=Lookup!$A$4,BE125*$BD125+1,"Error")))</f>
        <v>1</v>
      </c>
      <c r="BN125" s="229">
        <f>IF($BC125=Lookup!$A$2,$BD125*ROUNDUP(BF125/10,0)+1,
IF($BC125=Lookup!$A$3,($BD125+1)^BE125,
IF($BC125=Lookup!$A$4,BF125*$BD125+1,"Error")))</f>
        <v>1</v>
      </c>
      <c r="BO125" s="229">
        <f>IF($BC125=Lookup!$A$2,$BD125*ROUNDUP(BG125/10,0)+1,
IF($BC125=Lookup!$A$3,($BD125+1)^BF125,
IF($BC125=Lookup!$A$4,BG125*$BD125+1,"Error")))</f>
        <v>1</v>
      </c>
      <c r="BP125" s="229">
        <f>IF($BC125=Lookup!$A$2,$BD125*ROUNDUP(BH125/10,0)+1,
IF($BC125=Lookup!$A$3,($BD125+1)^BG125,
IF($BC125=Lookup!$A$4,BH125*$BD125+1,"Error")))</f>
        <v>1</v>
      </c>
      <c r="BQ125" s="229">
        <f>IF($BC125=Lookup!$A$2,$BD125*ROUNDUP(BI125/10,0)+1,
IF($BC125=Lookup!$A$3,($BD125+1)^BH125,
IF($BC125=Lookup!$A$4,BI125*$BD125+1,"Error")))</f>
        <v>1</v>
      </c>
      <c r="BR125" s="229">
        <f>IF($BC125=Lookup!$A$2,$BD125*ROUNDUP(BJ125/10,0)+1,
IF($BC125=Lookup!$A$3,($BD125+1)^BI125,
IF($BC125=Lookup!$A$4,BJ125*$BD125+1,"Error")))</f>
        <v>1</v>
      </c>
      <c r="BS125" s="229">
        <f>IF($BC125=Lookup!$A$2,$BD125*ROUNDUP(BK125/10,0)+1,
IF($BC125=Lookup!$A$3,($BD125+1)^BJ125,
IF($BC125=Lookup!$A$4,BK125*$BD125+1,"Error")))</f>
        <v>1</v>
      </c>
      <c r="BT125" s="249">
        <f>IF($BC125=Lookup!$A$2,$BD125*ROUNDUP(BL125/10,0)+1,
IF($BC125=Lookup!$A$3,($BD125+1)^BK125,
IF($BC125=Lookup!$A$4,BL125*$BD125+1,"Error")))</f>
        <v>1</v>
      </c>
      <c r="BU125" s="320">
        <v>0</v>
      </c>
      <c r="BV125" s="321">
        <v>0</v>
      </c>
      <c r="BW125" s="321">
        <v>0</v>
      </c>
      <c r="BX125" s="321">
        <v>0</v>
      </c>
      <c r="BY125" s="321">
        <v>0</v>
      </c>
      <c r="BZ125" s="321">
        <v>0</v>
      </c>
      <c r="CA125" s="321">
        <v>0</v>
      </c>
      <c r="CB125" s="277">
        <v>0</v>
      </c>
      <c r="CC125" s="382" t="s">
        <v>293</v>
      </c>
      <c r="CD125" s="383">
        <f>HLOOKUP($CC125,$AK$6:$AM$132,ROWS(CD$6:CD125),0)</f>
        <v>0</v>
      </c>
      <c r="CE125" s="234">
        <f t="shared" si="105"/>
        <v>0</v>
      </c>
      <c r="CF125" s="96">
        <f t="shared" si="105"/>
        <v>0</v>
      </c>
      <c r="CG125" s="521">
        <f t="shared" si="105"/>
        <v>0</v>
      </c>
      <c r="CH125" s="421">
        <f t="shared" si="104"/>
        <v>0</v>
      </c>
      <c r="CI125" s="96">
        <f t="shared" si="104"/>
        <v>0</v>
      </c>
      <c r="CJ125" s="96">
        <f t="shared" si="104"/>
        <v>0</v>
      </c>
      <c r="CK125" s="96">
        <f t="shared" si="104"/>
        <v>0</v>
      </c>
      <c r="CL125" s="286">
        <f t="shared" si="101"/>
        <v>0</v>
      </c>
      <c r="CM125" s="305" t="s">
        <v>293</v>
      </c>
      <c r="CN125" s="315">
        <v>0.05</v>
      </c>
      <c r="CO125" s="306"/>
      <c r="CP125" s="307" t="str">
        <f>IF($CO125&lt;&gt;"",$CO125,HLOOKUP($CM125,$AY$6:$BA$132,ROWS(CP$6:CP125),0))</f>
        <v/>
      </c>
      <c r="CQ125" s="784" t="str">
        <f t="shared" si="100"/>
        <v/>
      </c>
      <c r="CR125" s="784" t="str">
        <f t="shared" si="100"/>
        <v/>
      </c>
      <c r="CS125" s="524" t="str">
        <f t="shared" si="100"/>
        <v/>
      </c>
      <c r="CT125" s="416" t="str">
        <f t="shared" si="100"/>
        <v/>
      </c>
      <c r="CU125" s="97" t="str">
        <f t="shared" si="100"/>
        <v/>
      </c>
      <c r="CV125" s="97" t="str">
        <f t="shared" si="100"/>
        <v/>
      </c>
      <c r="CW125" s="97" t="str">
        <f t="shared" si="100"/>
        <v/>
      </c>
      <c r="CX125" s="98" t="str">
        <f t="shared" si="100"/>
        <v/>
      </c>
      <c r="CY125" s="392"/>
    </row>
    <row r="126" spans="1:103" ht="15.75" thickBot="1" x14ac:dyDescent="0.3">
      <c r="A126" s="81" t="s">
        <v>242</v>
      </c>
      <c r="B126" s="82" t="s">
        <v>399</v>
      </c>
      <c r="C126" s="102" t="s">
        <v>400</v>
      </c>
      <c r="D126" s="103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655">
        <f>'2022-23 Input'!I126</f>
        <v>0</v>
      </c>
      <c r="N126" s="1066">
        <v>0</v>
      </c>
      <c r="O126" s="563">
        <f t="shared" si="79"/>
        <v>0</v>
      </c>
      <c r="P126" s="564">
        <f t="shared" si="53"/>
        <v>0</v>
      </c>
      <c r="Q126" s="564">
        <f t="shared" si="54"/>
        <v>0</v>
      </c>
      <c r="R126" s="564">
        <f t="shared" si="55"/>
        <v>0</v>
      </c>
      <c r="S126" s="564">
        <f t="shared" si="56"/>
        <v>0</v>
      </c>
      <c r="T126" s="564">
        <f t="shared" si="57"/>
        <v>0</v>
      </c>
      <c r="U126" s="564">
        <f t="shared" si="58"/>
        <v>0</v>
      </c>
      <c r="V126" s="564">
        <f t="shared" si="59"/>
        <v>0</v>
      </c>
      <c r="W126" s="676">
        <f t="shared" si="60"/>
        <v>0</v>
      </c>
      <c r="X126" s="676">
        <f t="shared" si="61"/>
        <v>0</v>
      </c>
      <c r="Y126" s="676">
        <f t="shared" si="61"/>
        <v>0</v>
      </c>
      <c r="Z126" s="105">
        <v>0</v>
      </c>
      <c r="AA126" s="106">
        <v>0</v>
      </c>
      <c r="AB126" s="106">
        <v>0</v>
      </c>
      <c r="AC126" s="106">
        <v>0</v>
      </c>
      <c r="AD126" s="106">
        <v>0</v>
      </c>
      <c r="AE126" s="106">
        <v>0</v>
      </c>
      <c r="AF126" s="106">
        <v>0</v>
      </c>
      <c r="AG126" s="106">
        <v>0</v>
      </c>
      <c r="AH126" s="106">
        <v>0</v>
      </c>
      <c r="AI126" s="1095">
        <f>'2022-23 Input'!P126</f>
        <v>0</v>
      </c>
      <c r="AJ126" s="666">
        <v>0</v>
      </c>
      <c r="AK126" s="107">
        <f t="shared" si="84"/>
        <v>0</v>
      </c>
      <c r="AL126" s="108">
        <f t="shared" si="85"/>
        <v>0</v>
      </c>
      <c r="AM126" s="109">
        <f t="shared" si="86"/>
        <v>0</v>
      </c>
      <c r="AN126" s="110" t="str">
        <f t="shared" si="87"/>
        <v/>
      </c>
      <c r="AO126" s="111" t="str">
        <f t="shared" si="88"/>
        <v/>
      </c>
      <c r="AP126" s="111" t="str">
        <f t="shared" si="89"/>
        <v/>
      </c>
      <c r="AQ126" s="111" t="str">
        <f t="shared" si="90"/>
        <v/>
      </c>
      <c r="AR126" s="111" t="str">
        <f t="shared" si="91"/>
        <v/>
      </c>
      <c r="AS126" s="111" t="str">
        <f t="shared" si="92"/>
        <v/>
      </c>
      <c r="AT126" s="111" t="str">
        <f t="shared" si="93"/>
        <v/>
      </c>
      <c r="AU126" s="111" t="str">
        <f t="shared" si="94"/>
        <v/>
      </c>
      <c r="AV126" s="111" t="str">
        <f t="shared" si="102"/>
        <v/>
      </c>
      <c r="AW126" s="111" t="str">
        <f t="shared" si="102"/>
        <v/>
      </c>
      <c r="AX126" s="111" t="str">
        <f t="shared" si="102"/>
        <v/>
      </c>
      <c r="AY126" s="112" t="str">
        <f t="shared" si="96"/>
        <v/>
      </c>
      <c r="AZ126" s="113" t="str">
        <f t="shared" si="97"/>
        <v/>
      </c>
      <c r="BA126" s="114" t="str">
        <f t="shared" si="98"/>
        <v/>
      </c>
      <c r="BB126" s="250" t="s">
        <v>422</v>
      </c>
      <c r="BC126" s="230" t="s">
        <v>433</v>
      </c>
      <c r="BD126" s="251">
        <v>0</v>
      </c>
      <c r="BE126" s="270">
        <f t="shared" si="80"/>
        <v>0</v>
      </c>
      <c r="BF126" s="271">
        <f t="shared" si="103"/>
        <v>0</v>
      </c>
      <c r="BG126" s="271">
        <f t="shared" si="103"/>
        <v>0</v>
      </c>
      <c r="BH126" s="271">
        <f t="shared" si="103"/>
        <v>1</v>
      </c>
      <c r="BI126" s="271">
        <f t="shared" si="103"/>
        <v>2</v>
      </c>
      <c r="BJ126" s="271">
        <f t="shared" si="103"/>
        <v>3</v>
      </c>
      <c r="BK126" s="271">
        <f t="shared" si="103"/>
        <v>4</v>
      </c>
      <c r="BL126" s="272">
        <f t="shared" si="103"/>
        <v>5</v>
      </c>
      <c r="BM126" s="257">
        <f>IF($BC126=Lookup!$A$2,$BD126*ROUNDUP(BE126/10,0)+1,
IF($BC126=Lookup!$A$3,($BD126+1)^BD126,
IF($BC126=Lookup!$A$4,BE126*$BD126+1,"Error")))</f>
        <v>1</v>
      </c>
      <c r="BN126" s="230">
        <f>IF($BC126=Lookup!$A$2,$BD126*ROUNDUP(BF126/10,0)+1,
IF($BC126=Lookup!$A$3,($BD126+1)^BE126,
IF($BC126=Lookup!$A$4,BF126*$BD126+1,"Error")))</f>
        <v>1</v>
      </c>
      <c r="BO126" s="230">
        <f>IF($BC126=Lookup!$A$2,$BD126*ROUNDUP(BG126/10,0)+1,
IF($BC126=Lookup!$A$3,($BD126+1)^BF126,
IF($BC126=Lookup!$A$4,BG126*$BD126+1,"Error")))</f>
        <v>1</v>
      </c>
      <c r="BP126" s="230">
        <f>IF($BC126=Lookup!$A$2,$BD126*ROUNDUP(BH126/10,0)+1,
IF($BC126=Lookup!$A$3,($BD126+1)^BG126,
IF($BC126=Lookup!$A$4,BH126*$BD126+1,"Error")))</f>
        <v>1</v>
      </c>
      <c r="BQ126" s="230">
        <f>IF($BC126=Lookup!$A$2,$BD126*ROUNDUP(BI126/10,0)+1,
IF($BC126=Lookup!$A$3,($BD126+1)^BH126,
IF($BC126=Lookup!$A$4,BI126*$BD126+1,"Error")))</f>
        <v>1</v>
      </c>
      <c r="BR126" s="230">
        <f>IF($BC126=Lookup!$A$2,$BD126*ROUNDUP(BJ126/10,0)+1,
IF($BC126=Lookup!$A$3,($BD126+1)^BI126,
IF($BC126=Lookup!$A$4,BJ126*$BD126+1,"Error")))</f>
        <v>1</v>
      </c>
      <c r="BS126" s="230">
        <f>IF($BC126=Lookup!$A$2,$BD126*ROUNDUP(BK126/10,0)+1,
IF($BC126=Lookup!$A$3,($BD126+1)^BJ126,
IF($BC126=Lookup!$A$4,BK126*$BD126+1,"Error")))</f>
        <v>1</v>
      </c>
      <c r="BT126" s="251">
        <f>IF($BC126=Lookup!$A$2,$BD126*ROUNDUP(BL126/10,0)+1,
IF($BC126=Lookup!$A$3,($BD126+1)^BK126,
IF($BC126=Lookup!$A$4,BL126*$BD126+1,"Error")))</f>
        <v>1</v>
      </c>
      <c r="BU126" s="322">
        <v>0</v>
      </c>
      <c r="BV126" s="323">
        <v>0</v>
      </c>
      <c r="BW126" s="323">
        <v>0</v>
      </c>
      <c r="BX126" s="323">
        <v>0</v>
      </c>
      <c r="BY126" s="323">
        <v>0</v>
      </c>
      <c r="BZ126" s="323">
        <v>0</v>
      </c>
      <c r="CA126" s="323">
        <v>0</v>
      </c>
      <c r="CB126" s="278">
        <v>0</v>
      </c>
      <c r="CC126" s="384" t="s">
        <v>293</v>
      </c>
      <c r="CD126" s="385">
        <f>HLOOKUP($CC126,$AK$6:$AM$132,ROWS(CD$6:CD126),0)</f>
        <v>0</v>
      </c>
      <c r="CE126" s="235">
        <f t="shared" si="105"/>
        <v>0</v>
      </c>
      <c r="CF126" s="115">
        <f t="shared" si="105"/>
        <v>0</v>
      </c>
      <c r="CG126" s="522">
        <f t="shared" si="105"/>
        <v>0</v>
      </c>
      <c r="CH126" s="422">
        <f t="shared" si="104"/>
        <v>0</v>
      </c>
      <c r="CI126" s="115">
        <f t="shared" si="104"/>
        <v>0</v>
      </c>
      <c r="CJ126" s="115">
        <f t="shared" si="104"/>
        <v>0</v>
      </c>
      <c r="CK126" s="115">
        <f t="shared" si="104"/>
        <v>0</v>
      </c>
      <c r="CL126" s="287">
        <f t="shared" si="101"/>
        <v>0</v>
      </c>
      <c r="CM126" s="308" t="s">
        <v>293</v>
      </c>
      <c r="CN126" s="316">
        <v>0.05</v>
      </c>
      <c r="CO126" s="309"/>
      <c r="CP126" s="310" t="str">
        <f>IF($CO126&lt;&gt;"",$CO126,HLOOKUP($CM126,$AY$6:$BA$132,ROWS(CP$6:CP126),0))</f>
        <v/>
      </c>
      <c r="CQ126" s="785" t="str">
        <f t="shared" si="100"/>
        <v/>
      </c>
      <c r="CR126" s="785" t="str">
        <f t="shared" si="100"/>
        <v/>
      </c>
      <c r="CS126" s="638" t="str">
        <f t="shared" si="100"/>
        <v/>
      </c>
      <c r="CT126" s="467" t="str">
        <f t="shared" si="100"/>
        <v/>
      </c>
      <c r="CU126" s="117" t="str">
        <f t="shared" si="100"/>
        <v/>
      </c>
      <c r="CV126" s="117" t="str">
        <f t="shared" si="100"/>
        <v/>
      </c>
      <c r="CW126" s="117" t="str">
        <f t="shared" si="100"/>
        <v/>
      </c>
      <c r="CX126" s="118" t="str">
        <f t="shared" si="100"/>
        <v/>
      </c>
      <c r="CY126" s="393"/>
    </row>
    <row r="127" spans="1:103" x14ac:dyDescent="0.25">
      <c r="A127" s="81" t="s">
        <v>258</v>
      </c>
      <c r="B127" s="82" t="s">
        <v>255</v>
      </c>
      <c r="C127" s="145" t="s">
        <v>401</v>
      </c>
      <c r="D127" s="146">
        <v>0</v>
      </c>
      <c r="E127" s="147">
        <v>0</v>
      </c>
      <c r="F127" s="147">
        <v>0</v>
      </c>
      <c r="G127" s="147">
        <v>0</v>
      </c>
      <c r="H127" s="147">
        <v>0</v>
      </c>
      <c r="I127" s="147">
        <v>0</v>
      </c>
      <c r="J127" s="147">
        <v>0</v>
      </c>
      <c r="K127" s="147">
        <v>0</v>
      </c>
      <c r="L127" s="147">
        <v>0</v>
      </c>
      <c r="M127" s="656">
        <f>'2022-23 Input'!I127</f>
        <v>0</v>
      </c>
      <c r="N127" s="1067">
        <v>0</v>
      </c>
      <c r="O127" s="566">
        <f t="shared" si="79"/>
        <v>0</v>
      </c>
      <c r="P127" s="567">
        <f t="shared" si="53"/>
        <v>0</v>
      </c>
      <c r="Q127" s="567">
        <f t="shared" si="54"/>
        <v>0</v>
      </c>
      <c r="R127" s="567">
        <f t="shared" si="55"/>
        <v>0</v>
      </c>
      <c r="S127" s="567">
        <f t="shared" si="56"/>
        <v>0</v>
      </c>
      <c r="T127" s="567">
        <f t="shared" si="57"/>
        <v>0</v>
      </c>
      <c r="U127" s="567">
        <f t="shared" si="58"/>
        <v>0</v>
      </c>
      <c r="V127" s="567">
        <f t="shared" si="59"/>
        <v>0</v>
      </c>
      <c r="W127" s="677">
        <f t="shared" si="60"/>
        <v>0</v>
      </c>
      <c r="X127" s="677">
        <f t="shared" si="61"/>
        <v>0</v>
      </c>
      <c r="Y127" s="677">
        <f t="shared" si="61"/>
        <v>0</v>
      </c>
      <c r="Z127" s="148">
        <v>0</v>
      </c>
      <c r="AA127" s="149">
        <v>0</v>
      </c>
      <c r="AB127" s="149">
        <v>0</v>
      </c>
      <c r="AC127" s="149">
        <v>0</v>
      </c>
      <c r="AD127" s="149">
        <v>0</v>
      </c>
      <c r="AE127" s="149">
        <v>0</v>
      </c>
      <c r="AF127" s="149">
        <v>0</v>
      </c>
      <c r="AG127" s="149">
        <v>0</v>
      </c>
      <c r="AH127" s="149">
        <v>0</v>
      </c>
      <c r="AI127" s="1099">
        <f>'2022-23 Input'!P127</f>
        <v>0</v>
      </c>
      <c r="AJ127" s="670">
        <v>0</v>
      </c>
      <c r="AK127" s="150">
        <f t="shared" si="84"/>
        <v>0</v>
      </c>
      <c r="AL127" s="151">
        <f t="shared" si="85"/>
        <v>0</v>
      </c>
      <c r="AM127" s="152">
        <f t="shared" si="86"/>
        <v>0</v>
      </c>
      <c r="AN127" s="153" t="str">
        <f t="shared" si="87"/>
        <v/>
      </c>
      <c r="AO127" s="154" t="str">
        <f t="shared" si="88"/>
        <v/>
      </c>
      <c r="AP127" s="154" t="str">
        <f t="shared" si="89"/>
        <v/>
      </c>
      <c r="AQ127" s="154" t="str">
        <f t="shared" si="90"/>
        <v/>
      </c>
      <c r="AR127" s="154" t="str">
        <f t="shared" si="91"/>
        <v/>
      </c>
      <c r="AS127" s="154" t="str">
        <f t="shared" si="92"/>
        <v/>
      </c>
      <c r="AT127" s="154" t="str">
        <f t="shared" si="93"/>
        <v/>
      </c>
      <c r="AU127" s="154" t="str">
        <f t="shared" si="94"/>
        <v/>
      </c>
      <c r="AV127" s="154" t="str">
        <f t="shared" si="102"/>
        <v/>
      </c>
      <c r="AW127" s="154" t="str">
        <f t="shared" si="102"/>
        <v/>
      </c>
      <c r="AX127" s="154" t="str">
        <f t="shared" si="102"/>
        <v/>
      </c>
      <c r="AY127" s="155" t="str">
        <f t="shared" si="96"/>
        <v/>
      </c>
      <c r="AZ127" s="156" t="str">
        <f t="shared" si="97"/>
        <v/>
      </c>
      <c r="BA127" s="157" t="str">
        <f t="shared" si="98"/>
        <v/>
      </c>
      <c r="BB127" s="246" t="s">
        <v>422</v>
      </c>
      <c r="BC127" s="228" t="s">
        <v>433</v>
      </c>
      <c r="BD127" s="247">
        <v>0</v>
      </c>
      <c r="BE127" s="264">
        <f t="shared" si="80"/>
        <v>0</v>
      </c>
      <c r="BF127" s="265">
        <f t="shared" si="103"/>
        <v>0</v>
      </c>
      <c r="BG127" s="265">
        <f t="shared" si="103"/>
        <v>0</v>
      </c>
      <c r="BH127" s="265">
        <f t="shared" si="103"/>
        <v>1</v>
      </c>
      <c r="BI127" s="265">
        <f t="shared" si="103"/>
        <v>2</v>
      </c>
      <c r="BJ127" s="265">
        <f t="shared" si="103"/>
        <v>3</v>
      </c>
      <c r="BK127" s="265">
        <f t="shared" si="103"/>
        <v>4</v>
      </c>
      <c r="BL127" s="266">
        <f t="shared" si="103"/>
        <v>5</v>
      </c>
      <c r="BM127" s="255">
        <f>IF($BC127=Lookup!$A$2,$BD127*ROUNDUP(BE127/10,0)+1,
IF($BC127=Lookup!$A$3,($BD127+1)^BD127,
IF($BC127=Lookup!$A$4,BE127*$BD127+1,"Error")))</f>
        <v>1</v>
      </c>
      <c r="BN127" s="228">
        <f>IF($BC127=Lookup!$A$2,$BD127*ROUNDUP(BF127/10,0)+1,
IF($BC127=Lookup!$A$3,($BD127+1)^BE127,
IF($BC127=Lookup!$A$4,BF127*$BD127+1,"Error")))</f>
        <v>1</v>
      </c>
      <c r="BO127" s="228">
        <f>IF($BC127=Lookup!$A$2,$BD127*ROUNDUP(BG127/10,0)+1,
IF($BC127=Lookup!$A$3,($BD127+1)^BF127,
IF($BC127=Lookup!$A$4,BG127*$BD127+1,"Error")))</f>
        <v>1</v>
      </c>
      <c r="BP127" s="228">
        <f>IF($BC127=Lookup!$A$2,$BD127*ROUNDUP(BH127/10,0)+1,
IF($BC127=Lookup!$A$3,($BD127+1)^BG127,
IF($BC127=Lookup!$A$4,BH127*$BD127+1,"Error")))</f>
        <v>1</v>
      </c>
      <c r="BQ127" s="228">
        <f>IF($BC127=Lookup!$A$2,$BD127*ROUNDUP(BI127/10,0)+1,
IF($BC127=Lookup!$A$3,($BD127+1)^BH127,
IF($BC127=Lookup!$A$4,BI127*$BD127+1,"Error")))</f>
        <v>1</v>
      </c>
      <c r="BR127" s="228">
        <f>IF($BC127=Lookup!$A$2,$BD127*ROUNDUP(BJ127/10,0)+1,
IF($BC127=Lookup!$A$3,($BD127+1)^BI127,
IF($BC127=Lookup!$A$4,BJ127*$BD127+1,"Error")))</f>
        <v>1</v>
      </c>
      <c r="BS127" s="228">
        <f>IF($BC127=Lookup!$A$2,$BD127*ROUNDUP(BK127/10,0)+1,
IF($BC127=Lookup!$A$3,($BD127+1)^BJ127,
IF($BC127=Lookup!$A$4,BK127*$BD127+1,"Error")))</f>
        <v>1</v>
      </c>
      <c r="BT127" s="247">
        <f>IF($BC127=Lookup!$A$2,$BD127*ROUNDUP(BL127/10,0)+1,
IF($BC127=Lookup!$A$3,($BD127+1)^BK127,
IF($BC127=Lookup!$A$4,BL127*$BD127+1,"Error")))</f>
        <v>1</v>
      </c>
      <c r="BU127" s="318">
        <v>0</v>
      </c>
      <c r="BV127" s="319">
        <v>0</v>
      </c>
      <c r="BW127" s="319">
        <v>0</v>
      </c>
      <c r="BX127" s="319">
        <v>0</v>
      </c>
      <c r="BY127" s="319">
        <v>0</v>
      </c>
      <c r="BZ127" s="319">
        <v>0</v>
      </c>
      <c r="CA127" s="319">
        <v>0</v>
      </c>
      <c r="CB127" s="276">
        <v>0</v>
      </c>
      <c r="CC127" s="380" t="s">
        <v>293</v>
      </c>
      <c r="CD127" s="381">
        <f>HLOOKUP($CC127,$AK$6:$AM$132,ROWS(CD$6:CD127),0)</f>
        <v>0</v>
      </c>
      <c r="CE127" s="233">
        <f t="shared" si="105"/>
        <v>0</v>
      </c>
      <c r="CF127" s="78">
        <f t="shared" si="105"/>
        <v>0</v>
      </c>
      <c r="CG127" s="797">
        <f t="shared" si="105"/>
        <v>0</v>
      </c>
      <c r="CH127" s="806">
        <f t="shared" si="104"/>
        <v>0</v>
      </c>
      <c r="CI127" s="78">
        <f t="shared" si="104"/>
        <v>0</v>
      </c>
      <c r="CJ127" s="78">
        <f t="shared" si="104"/>
        <v>0</v>
      </c>
      <c r="CK127" s="78">
        <f t="shared" si="104"/>
        <v>0</v>
      </c>
      <c r="CL127" s="285">
        <f t="shared" si="101"/>
        <v>0</v>
      </c>
      <c r="CM127" s="311" t="s">
        <v>293</v>
      </c>
      <c r="CN127" s="317">
        <v>0.05</v>
      </c>
      <c r="CO127" s="312"/>
      <c r="CP127" s="313" t="str">
        <f>IF($CO127&lt;&gt;"",$CO127,HLOOKUP($CM127,$AY$6:$BA$132,ROWS(CP$6:CP127),0))</f>
        <v/>
      </c>
      <c r="CQ127" s="783" t="str">
        <f t="shared" si="100"/>
        <v/>
      </c>
      <c r="CR127" s="783" t="str">
        <f t="shared" si="100"/>
        <v/>
      </c>
      <c r="CS127" s="523" t="str">
        <f t="shared" si="100"/>
        <v/>
      </c>
      <c r="CT127" s="415" t="str">
        <f t="shared" si="100"/>
        <v/>
      </c>
      <c r="CU127" s="79" t="str">
        <f t="shared" si="100"/>
        <v/>
      </c>
      <c r="CV127" s="79" t="str">
        <f t="shared" si="100"/>
        <v/>
      </c>
      <c r="CW127" s="79" t="str">
        <f t="shared" si="100"/>
        <v/>
      </c>
      <c r="CX127" s="80" t="str">
        <f t="shared" si="100"/>
        <v/>
      </c>
      <c r="CY127" s="391"/>
    </row>
    <row r="128" spans="1:103" x14ac:dyDescent="0.25">
      <c r="A128" s="81" t="s">
        <v>258</v>
      </c>
      <c r="B128" s="82" t="s">
        <v>259</v>
      </c>
      <c r="C128" s="83" t="s">
        <v>257</v>
      </c>
      <c r="D128" s="84">
        <v>10978.824239293732</v>
      </c>
      <c r="E128" s="85">
        <v>17522.150030376601</v>
      </c>
      <c r="F128" s="85">
        <v>7791.7221205734677</v>
      </c>
      <c r="G128" s="85">
        <v>-3399.0841272933758</v>
      </c>
      <c r="H128" s="85">
        <v>-4927.085613318457</v>
      </c>
      <c r="I128" s="85">
        <v>6781.4255842740004</v>
      </c>
      <c r="J128" s="85">
        <v>2270907.7681589727</v>
      </c>
      <c r="K128" s="85">
        <v>4750.7949724669998</v>
      </c>
      <c r="L128" s="85">
        <v>27171.855839814001</v>
      </c>
      <c r="M128" s="654">
        <f>'2022-23 Input'!I128</f>
        <v>8286.8062240669988</v>
      </c>
      <c r="N128" s="1065">
        <v>0</v>
      </c>
      <c r="O128" s="560">
        <f t="shared" si="79"/>
        <v>14771.528450216088</v>
      </c>
      <c r="P128" s="561">
        <f t="shared" si="53"/>
        <v>23224.399484687267</v>
      </c>
      <c r="Q128" s="561">
        <f t="shared" si="54"/>
        <v>10222.784206943141</v>
      </c>
      <c r="R128" s="561">
        <f t="shared" si="55"/>
        <v>-4375.0181142529027</v>
      </c>
      <c r="S128" s="561">
        <f t="shared" si="56"/>
        <v>-6212.6548704956531</v>
      </c>
      <c r="T128" s="561">
        <f t="shared" si="57"/>
        <v>8416.754797927224</v>
      </c>
      <c r="U128" s="561">
        <f t="shared" si="58"/>
        <v>2828388.3148759413</v>
      </c>
      <c r="V128" s="561">
        <f t="shared" si="59"/>
        <v>5697.9077077956526</v>
      </c>
      <c r="W128" s="675">
        <f t="shared" si="60"/>
        <v>30702.219910990094</v>
      </c>
      <c r="X128" s="675">
        <f t="shared" si="61"/>
        <v>8812.6946213920273</v>
      </c>
      <c r="Y128" s="675">
        <f t="shared" si="61"/>
        <v>0</v>
      </c>
      <c r="Z128" s="86">
        <v>0</v>
      </c>
      <c r="AA128" s="87">
        <v>3</v>
      </c>
      <c r="AB128" s="87">
        <v>3</v>
      </c>
      <c r="AC128" s="87">
        <v>0</v>
      </c>
      <c r="AD128" s="87">
        <v>0</v>
      </c>
      <c r="AE128" s="87">
        <v>1</v>
      </c>
      <c r="AF128" s="87">
        <v>0</v>
      </c>
      <c r="AG128" s="87">
        <v>0</v>
      </c>
      <c r="AH128" s="87">
        <v>3</v>
      </c>
      <c r="AI128" s="1094">
        <f>'2022-23 Input'!P128</f>
        <v>2</v>
      </c>
      <c r="AJ128" s="665">
        <v>1</v>
      </c>
      <c r="AK128" s="88">
        <f t="shared" si="84"/>
        <v>1.2</v>
      </c>
      <c r="AL128" s="89">
        <f t="shared" si="85"/>
        <v>1.6666666666666667</v>
      </c>
      <c r="AM128" s="90">
        <f t="shared" si="86"/>
        <v>2</v>
      </c>
      <c r="AN128" s="91" t="str">
        <f t="shared" si="87"/>
        <v/>
      </c>
      <c r="AO128" s="92">
        <f t="shared" si="88"/>
        <v>5840.7166767921999</v>
      </c>
      <c r="AP128" s="92">
        <f t="shared" si="89"/>
        <v>2597.2407068578227</v>
      </c>
      <c r="AQ128" s="92" t="str">
        <f t="shared" si="90"/>
        <v/>
      </c>
      <c r="AR128" s="92" t="str">
        <f t="shared" si="91"/>
        <v/>
      </c>
      <c r="AS128" s="92">
        <f t="shared" si="92"/>
        <v>6781.4255842740004</v>
      </c>
      <c r="AT128" s="92" t="str">
        <f t="shared" si="93"/>
        <v/>
      </c>
      <c r="AU128" s="92" t="str">
        <f t="shared" si="94"/>
        <v/>
      </c>
      <c r="AV128" s="92">
        <f t="shared" si="102"/>
        <v>9057.2852799379998</v>
      </c>
      <c r="AW128" s="92">
        <f t="shared" si="102"/>
        <v>4143.4031120334994</v>
      </c>
      <c r="AX128" s="92">
        <f t="shared" si="102"/>
        <v>0</v>
      </c>
      <c r="AY128" s="93">
        <f t="shared" si="96"/>
        <v>386316.44179659913</v>
      </c>
      <c r="AZ128" s="94">
        <f t="shared" si="97"/>
        <v>8041.8914072696007</v>
      </c>
      <c r="BA128" s="95">
        <f t="shared" si="98"/>
        <v>4143.4031120334994</v>
      </c>
      <c r="BB128" s="248" t="s">
        <v>422</v>
      </c>
      <c r="BC128" s="229" t="s">
        <v>433</v>
      </c>
      <c r="BD128" s="249">
        <v>0</v>
      </c>
      <c r="BE128" s="267">
        <f t="shared" si="80"/>
        <v>0</v>
      </c>
      <c r="BF128" s="268">
        <f t="shared" si="103"/>
        <v>0</v>
      </c>
      <c r="BG128" s="268">
        <f t="shared" si="103"/>
        <v>0</v>
      </c>
      <c r="BH128" s="268">
        <f t="shared" si="103"/>
        <v>1</v>
      </c>
      <c r="BI128" s="268">
        <f t="shared" si="103"/>
        <v>2</v>
      </c>
      <c r="BJ128" s="268">
        <f t="shared" si="103"/>
        <v>3</v>
      </c>
      <c r="BK128" s="268">
        <f t="shared" si="103"/>
        <v>4</v>
      </c>
      <c r="BL128" s="269">
        <f t="shared" si="103"/>
        <v>5</v>
      </c>
      <c r="BM128" s="256">
        <f>IF($BC128=Lookup!$A$2,$BD128*ROUNDUP(BE128/10,0)+1,
IF($BC128=Lookup!$A$3,($BD128+1)^BD128,
IF($BC128=Lookup!$A$4,BE128*$BD128+1,"Error")))</f>
        <v>1</v>
      </c>
      <c r="BN128" s="229">
        <f>IF($BC128=Lookup!$A$2,$BD128*ROUNDUP(BF128/10,0)+1,
IF($BC128=Lookup!$A$3,($BD128+1)^BE128,
IF($BC128=Lookup!$A$4,BF128*$BD128+1,"Error")))</f>
        <v>1</v>
      </c>
      <c r="BO128" s="229">
        <f>IF($BC128=Lookup!$A$2,$BD128*ROUNDUP(BG128/10,0)+1,
IF($BC128=Lookup!$A$3,($BD128+1)^BF128,
IF($BC128=Lookup!$A$4,BG128*$BD128+1,"Error")))</f>
        <v>1</v>
      </c>
      <c r="BP128" s="229">
        <f>IF($BC128=Lookup!$A$2,$BD128*ROUNDUP(BH128/10,0)+1,
IF($BC128=Lookup!$A$3,($BD128+1)^BG128,
IF($BC128=Lookup!$A$4,BH128*$BD128+1,"Error")))</f>
        <v>1</v>
      </c>
      <c r="BQ128" s="229">
        <f>IF($BC128=Lookup!$A$2,$BD128*ROUNDUP(BI128/10,0)+1,
IF($BC128=Lookup!$A$3,($BD128+1)^BH128,
IF($BC128=Lookup!$A$4,BI128*$BD128+1,"Error")))</f>
        <v>1</v>
      </c>
      <c r="BR128" s="229">
        <f>IF($BC128=Lookup!$A$2,$BD128*ROUNDUP(BJ128/10,0)+1,
IF($BC128=Lookup!$A$3,($BD128+1)^BI128,
IF($BC128=Lookup!$A$4,BJ128*$BD128+1,"Error")))</f>
        <v>1</v>
      </c>
      <c r="BS128" s="229">
        <f>IF($BC128=Lookup!$A$2,$BD128*ROUNDUP(BK128/10,0)+1,
IF($BC128=Lookup!$A$3,($BD128+1)^BJ128,
IF($BC128=Lookup!$A$4,BK128*$BD128+1,"Error")))</f>
        <v>1</v>
      </c>
      <c r="BT128" s="249">
        <f>IF($BC128=Lookup!$A$2,$BD128*ROUNDUP(BL128/10,0)+1,
IF($BC128=Lookup!$A$3,($BD128+1)^BK128,
IF($BC128=Lookup!$A$4,BL128*$BD128+1,"Error")))</f>
        <v>1</v>
      </c>
      <c r="BU128" s="320">
        <v>0</v>
      </c>
      <c r="BV128" s="321">
        <v>0</v>
      </c>
      <c r="BW128" s="321">
        <v>0</v>
      </c>
      <c r="BX128" s="321">
        <v>0</v>
      </c>
      <c r="BY128" s="321">
        <v>0</v>
      </c>
      <c r="BZ128" s="321">
        <v>0</v>
      </c>
      <c r="CA128" s="321">
        <v>0</v>
      </c>
      <c r="CB128" s="277">
        <v>0</v>
      </c>
      <c r="CC128" s="382" t="s">
        <v>293</v>
      </c>
      <c r="CD128" s="383">
        <f>HLOOKUP($CC128,$AK$6:$AM$132,ROWS(CD$6:CD128),0)</f>
        <v>1.6666666666666667</v>
      </c>
      <c r="CE128" s="234">
        <f t="shared" si="105"/>
        <v>0</v>
      </c>
      <c r="CF128" s="96">
        <f t="shared" si="105"/>
        <v>0</v>
      </c>
      <c r="CG128" s="521">
        <f t="shared" si="105"/>
        <v>0</v>
      </c>
      <c r="CH128" s="421">
        <f t="shared" si="104"/>
        <v>0</v>
      </c>
      <c r="CI128" s="96">
        <f t="shared" si="104"/>
        <v>0</v>
      </c>
      <c r="CJ128" s="96">
        <f t="shared" si="104"/>
        <v>0</v>
      </c>
      <c r="CK128" s="96">
        <f t="shared" si="104"/>
        <v>0</v>
      </c>
      <c r="CL128" s="286">
        <f t="shared" si="101"/>
        <v>0</v>
      </c>
      <c r="CM128" s="305" t="s">
        <v>293</v>
      </c>
      <c r="CN128" s="315">
        <v>0.05</v>
      </c>
      <c r="CO128" s="306"/>
      <c r="CP128" s="307">
        <f>IF($CO128&lt;&gt;"",$CO128,HLOOKUP($CM128,$AY$6:$BA$132,ROWS(CP$6:CP128),0))</f>
        <v>8041.8914072696007</v>
      </c>
      <c r="CQ128" s="784">
        <f t="shared" si="100"/>
        <v>0</v>
      </c>
      <c r="CR128" s="784">
        <f t="shared" si="100"/>
        <v>0</v>
      </c>
      <c r="CS128" s="524">
        <f t="shared" si="100"/>
        <v>0</v>
      </c>
      <c r="CT128" s="416">
        <f t="shared" si="100"/>
        <v>0</v>
      </c>
      <c r="CU128" s="97">
        <f t="shared" si="100"/>
        <v>0</v>
      </c>
      <c r="CV128" s="97">
        <f t="shared" si="100"/>
        <v>0</v>
      </c>
      <c r="CW128" s="97">
        <f t="shared" si="100"/>
        <v>0</v>
      </c>
      <c r="CX128" s="98">
        <f t="shared" si="100"/>
        <v>0</v>
      </c>
      <c r="CY128" s="392"/>
    </row>
    <row r="129" spans="1:103" x14ac:dyDescent="0.25">
      <c r="A129" s="81" t="s">
        <v>258</v>
      </c>
      <c r="B129" s="82" t="s">
        <v>261</v>
      </c>
      <c r="C129" s="83" t="s">
        <v>402</v>
      </c>
      <c r="D129" s="84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654">
        <f>'2022-23 Input'!I129</f>
        <v>0</v>
      </c>
      <c r="N129" s="1065">
        <v>0</v>
      </c>
      <c r="O129" s="560">
        <f t="shared" si="79"/>
        <v>0</v>
      </c>
      <c r="P129" s="561">
        <f t="shared" si="53"/>
        <v>0</v>
      </c>
      <c r="Q129" s="561">
        <f t="shared" si="54"/>
        <v>0</v>
      </c>
      <c r="R129" s="561">
        <f t="shared" si="55"/>
        <v>0</v>
      </c>
      <c r="S129" s="561">
        <f t="shared" si="56"/>
        <v>0</v>
      </c>
      <c r="T129" s="561">
        <f t="shared" si="57"/>
        <v>0</v>
      </c>
      <c r="U129" s="561">
        <f t="shared" si="58"/>
        <v>0</v>
      </c>
      <c r="V129" s="561">
        <f t="shared" si="59"/>
        <v>0</v>
      </c>
      <c r="W129" s="675">
        <f t="shared" si="60"/>
        <v>0</v>
      </c>
      <c r="X129" s="675">
        <f t="shared" si="61"/>
        <v>0</v>
      </c>
      <c r="Y129" s="675">
        <f t="shared" si="61"/>
        <v>0</v>
      </c>
      <c r="Z129" s="86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87">
        <v>0</v>
      </c>
      <c r="AI129" s="1094">
        <f>'2022-23 Input'!P129</f>
        <v>0</v>
      </c>
      <c r="AJ129" s="665">
        <v>0</v>
      </c>
      <c r="AK129" s="88">
        <f t="shared" si="84"/>
        <v>0</v>
      </c>
      <c r="AL129" s="89">
        <f t="shared" si="85"/>
        <v>0</v>
      </c>
      <c r="AM129" s="90">
        <f t="shared" si="86"/>
        <v>0</v>
      </c>
      <c r="AN129" s="91" t="str">
        <f t="shared" si="87"/>
        <v/>
      </c>
      <c r="AO129" s="92" t="str">
        <f t="shared" si="88"/>
        <v/>
      </c>
      <c r="AP129" s="92" t="str">
        <f t="shared" si="89"/>
        <v/>
      </c>
      <c r="AQ129" s="92" t="str">
        <f t="shared" si="90"/>
        <v/>
      </c>
      <c r="AR129" s="92" t="str">
        <f t="shared" si="91"/>
        <v/>
      </c>
      <c r="AS129" s="92" t="str">
        <f t="shared" si="92"/>
        <v/>
      </c>
      <c r="AT129" s="92" t="str">
        <f t="shared" si="93"/>
        <v/>
      </c>
      <c r="AU129" s="92" t="str">
        <f t="shared" si="94"/>
        <v/>
      </c>
      <c r="AV129" s="92" t="str">
        <f t="shared" si="102"/>
        <v/>
      </c>
      <c r="AW129" s="92" t="str">
        <f t="shared" si="102"/>
        <v/>
      </c>
      <c r="AX129" s="92" t="str">
        <f t="shared" si="102"/>
        <v/>
      </c>
      <c r="AY129" s="93" t="str">
        <f t="shared" si="96"/>
        <v/>
      </c>
      <c r="AZ129" s="94" t="str">
        <f t="shared" si="97"/>
        <v/>
      </c>
      <c r="BA129" s="95" t="str">
        <f t="shared" si="98"/>
        <v/>
      </c>
      <c r="BB129" s="248" t="s">
        <v>422</v>
      </c>
      <c r="BC129" s="229" t="s">
        <v>433</v>
      </c>
      <c r="BD129" s="249">
        <v>0</v>
      </c>
      <c r="BE129" s="267">
        <f t="shared" si="80"/>
        <v>0</v>
      </c>
      <c r="BF129" s="268">
        <f t="shared" si="103"/>
        <v>0</v>
      </c>
      <c r="BG129" s="268">
        <f t="shared" si="103"/>
        <v>0</v>
      </c>
      <c r="BH129" s="268">
        <f t="shared" si="103"/>
        <v>1</v>
      </c>
      <c r="BI129" s="268">
        <f t="shared" si="103"/>
        <v>2</v>
      </c>
      <c r="BJ129" s="268">
        <f t="shared" si="103"/>
        <v>3</v>
      </c>
      <c r="BK129" s="268">
        <f t="shared" si="103"/>
        <v>4</v>
      </c>
      <c r="BL129" s="269">
        <f t="shared" si="103"/>
        <v>5</v>
      </c>
      <c r="BM129" s="256">
        <f>IF($BC129=Lookup!$A$2,$BD129*ROUNDUP(BE129/10,0)+1,
IF($BC129=Lookup!$A$3,($BD129+1)^BD129,
IF($BC129=Lookup!$A$4,BE129*$BD129+1,"Error")))</f>
        <v>1</v>
      </c>
      <c r="BN129" s="229">
        <f>IF($BC129=Lookup!$A$2,$BD129*ROUNDUP(BF129/10,0)+1,
IF($BC129=Lookup!$A$3,($BD129+1)^BE129,
IF($BC129=Lookup!$A$4,BF129*$BD129+1,"Error")))</f>
        <v>1</v>
      </c>
      <c r="BO129" s="229">
        <f>IF($BC129=Lookup!$A$2,$BD129*ROUNDUP(BG129/10,0)+1,
IF($BC129=Lookup!$A$3,($BD129+1)^BF129,
IF($BC129=Lookup!$A$4,BG129*$BD129+1,"Error")))</f>
        <v>1</v>
      </c>
      <c r="BP129" s="229">
        <f>IF($BC129=Lookup!$A$2,$BD129*ROUNDUP(BH129/10,0)+1,
IF($BC129=Lookup!$A$3,($BD129+1)^BG129,
IF($BC129=Lookup!$A$4,BH129*$BD129+1,"Error")))</f>
        <v>1</v>
      </c>
      <c r="BQ129" s="229">
        <f>IF($BC129=Lookup!$A$2,$BD129*ROUNDUP(BI129/10,0)+1,
IF($BC129=Lookup!$A$3,($BD129+1)^BH129,
IF($BC129=Lookup!$A$4,BI129*$BD129+1,"Error")))</f>
        <v>1</v>
      </c>
      <c r="BR129" s="229">
        <f>IF($BC129=Lookup!$A$2,$BD129*ROUNDUP(BJ129/10,0)+1,
IF($BC129=Lookup!$A$3,($BD129+1)^BI129,
IF($BC129=Lookup!$A$4,BJ129*$BD129+1,"Error")))</f>
        <v>1</v>
      </c>
      <c r="BS129" s="229">
        <f>IF($BC129=Lookup!$A$2,$BD129*ROUNDUP(BK129/10,0)+1,
IF($BC129=Lookup!$A$3,($BD129+1)^BJ129,
IF($BC129=Lookup!$A$4,BK129*$BD129+1,"Error")))</f>
        <v>1</v>
      </c>
      <c r="BT129" s="249">
        <f>IF($BC129=Lookup!$A$2,$BD129*ROUNDUP(BL129/10,0)+1,
IF($BC129=Lookup!$A$3,($BD129+1)^BK129,
IF($BC129=Lookup!$A$4,BL129*$BD129+1,"Error")))</f>
        <v>1</v>
      </c>
      <c r="BU129" s="320">
        <v>0</v>
      </c>
      <c r="BV129" s="321">
        <v>0</v>
      </c>
      <c r="BW129" s="321">
        <v>0</v>
      </c>
      <c r="BX129" s="321">
        <v>0</v>
      </c>
      <c r="BY129" s="321">
        <v>0</v>
      </c>
      <c r="BZ129" s="321">
        <v>0</v>
      </c>
      <c r="CA129" s="321">
        <v>0</v>
      </c>
      <c r="CB129" s="277">
        <v>0</v>
      </c>
      <c r="CC129" s="382" t="s">
        <v>293</v>
      </c>
      <c r="CD129" s="383">
        <f>HLOOKUP($CC129,$AK$6:$AM$132,ROWS(CD$6:CD129),0)</f>
        <v>0</v>
      </c>
      <c r="CE129" s="234">
        <f t="shared" si="105"/>
        <v>0</v>
      </c>
      <c r="CF129" s="96">
        <f t="shared" si="105"/>
        <v>0</v>
      </c>
      <c r="CG129" s="521">
        <f t="shared" si="105"/>
        <v>0</v>
      </c>
      <c r="CH129" s="421">
        <f t="shared" si="104"/>
        <v>0</v>
      </c>
      <c r="CI129" s="96">
        <f t="shared" si="104"/>
        <v>0</v>
      </c>
      <c r="CJ129" s="96">
        <f t="shared" si="104"/>
        <v>0</v>
      </c>
      <c r="CK129" s="96">
        <f t="shared" si="104"/>
        <v>0</v>
      </c>
      <c r="CL129" s="286">
        <f t="shared" si="101"/>
        <v>0</v>
      </c>
      <c r="CM129" s="305" t="s">
        <v>293</v>
      </c>
      <c r="CN129" s="315">
        <v>0.05</v>
      </c>
      <c r="CO129" s="306"/>
      <c r="CP129" s="307" t="str">
        <f>IF($CO129&lt;&gt;"",$CO129,HLOOKUP($CM129,$AY$6:$BA$132,ROWS(CP$6:CP129),0))</f>
        <v/>
      </c>
      <c r="CQ129" s="784" t="str">
        <f t="shared" si="100"/>
        <v/>
      </c>
      <c r="CR129" s="784" t="str">
        <f t="shared" si="100"/>
        <v/>
      </c>
      <c r="CS129" s="524" t="str">
        <f t="shared" si="100"/>
        <v/>
      </c>
      <c r="CT129" s="416" t="str">
        <f t="shared" si="100"/>
        <v/>
      </c>
      <c r="CU129" s="97" t="str">
        <f t="shared" si="100"/>
        <v/>
      </c>
      <c r="CV129" s="97" t="str">
        <f t="shared" si="100"/>
        <v/>
      </c>
      <c r="CW129" s="97" t="str">
        <f t="shared" si="100"/>
        <v/>
      </c>
      <c r="CX129" s="98" t="str">
        <f t="shared" si="100"/>
        <v/>
      </c>
      <c r="CY129" s="392"/>
    </row>
    <row r="130" spans="1:103" x14ac:dyDescent="0.25">
      <c r="A130" s="81" t="s">
        <v>258</v>
      </c>
      <c r="B130" s="82" t="s">
        <v>263</v>
      </c>
      <c r="C130" s="83" t="s">
        <v>403</v>
      </c>
      <c r="D130" s="84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654">
        <f>'2022-23 Input'!I130</f>
        <v>0</v>
      </c>
      <c r="N130" s="1065">
        <v>0</v>
      </c>
      <c r="O130" s="560">
        <f t="shared" si="79"/>
        <v>0</v>
      </c>
      <c r="P130" s="561">
        <f t="shared" si="53"/>
        <v>0</v>
      </c>
      <c r="Q130" s="561">
        <f t="shared" si="54"/>
        <v>0</v>
      </c>
      <c r="R130" s="561">
        <f t="shared" si="55"/>
        <v>0</v>
      </c>
      <c r="S130" s="561">
        <f t="shared" si="56"/>
        <v>0</v>
      </c>
      <c r="T130" s="561">
        <f t="shared" si="57"/>
        <v>0</v>
      </c>
      <c r="U130" s="561">
        <f t="shared" si="58"/>
        <v>0</v>
      </c>
      <c r="V130" s="561">
        <f t="shared" si="59"/>
        <v>0</v>
      </c>
      <c r="W130" s="675">
        <f t="shared" si="60"/>
        <v>0</v>
      </c>
      <c r="X130" s="675">
        <f t="shared" si="61"/>
        <v>0</v>
      </c>
      <c r="Y130" s="675">
        <f t="shared" si="61"/>
        <v>0</v>
      </c>
      <c r="Z130" s="86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87">
        <v>0</v>
      </c>
      <c r="AI130" s="1094">
        <f>'2022-23 Input'!P130</f>
        <v>0</v>
      </c>
      <c r="AJ130" s="665">
        <v>0</v>
      </c>
      <c r="AK130" s="88">
        <f t="shared" si="84"/>
        <v>0</v>
      </c>
      <c r="AL130" s="89">
        <f t="shared" si="85"/>
        <v>0</v>
      </c>
      <c r="AM130" s="90">
        <f t="shared" si="86"/>
        <v>0</v>
      </c>
      <c r="AN130" s="91" t="str">
        <f t="shared" si="87"/>
        <v/>
      </c>
      <c r="AO130" s="92" t="str">
        <f t="shared" si="88"/>
        <v/>
      </c>
      <c r="AP130" s="92" t="str">
        <f t="shared" si="89"/>
        <v/>
      </c>
      <c r="AQ130" s="92" t="str">
        <f t="shared" si="90"/>
        <v/>
      </c>
      <c r="AR130" s="92" t="str">
        <f t="shared" si="91"/>
        <v/>
      </c>
      <c r="AS130" s="92" t="str">
        <f t="shared" si="92"/>
        <v/>
      </c>
      <c r="AT130" s="92" t="str">
        <f t="shared" si="93"/>
        <v/>
      </c>
      <c r="AU130" s="92" t="str">
        <f t="shared" si="94"/>
        <v/>
      </c>
      <c r="AV130" s="92" t="str">
        <f t="shared" si="102"/>
        <v/>
      </c>
      <c r="AW130" s="92" t="str">
        <f t="shared" si="102"/>
        <v/>
      </c>
      <c r="AX130" s="92" t="str">
        <f t="shared" si="102"/>
        <v/>
      </c>
      <c r="AY130" s="93" t="str">
        <f t="shared" si="96"/>
        <v/>
      </c>
      <c r="AZ130" s="94" t="str">
        <f t="shared" si="97"/>
        <v/>
      </c>
      <c r="BA130" s="95" t="str">
        <f t="shared" si="98"/>
        <v/>
      </c>
      <c r="BB130" s="248" t="s">
        <v>422</v>
      </c>
      <c r="BC130" s="229" t="s">
        <v>433</v>
      </c>
      <c r="BD130" s="249">
        <v>0</v>
      </c>
      <c r="BE130" s="267">
        <f t="shared" si="80"/>
        <v>0</v>
      </c>
      <c r="BF130" s="268">
        <f t="shared" si="103"/>
        <v>0</v>
      </c>
      <c r="BG130" s="268">
        <f t="shared" si="103"/>
        <v>0</v>
      </c>
      <c r="BH130" s="268">
        <f t="shared" si="103"/>
        <v>1</v>
      </c>
      <c r="BI130" s="268">
        <f t="shared" si="103"/>
        <v>2</v>
      </c>
      <c r="BJ130" s="268">
        <f t="shared" si="103"/>
        <v>3</v>
      </c>
      <c r="BK130" s="268">
        <f t="shared" si="103"/>
        <v>4</v>
      </c>
      <c r="BL130" s="269">
        <f t="shared" si="103"/>
        <v>5</v>
      </c>
      <c r="BM130" s="256">
        <f>IF($BC130=Lookup!$A$2,$BD130*ROUNDUP(BE130/10,0)+1,
IF($BC130=Lookup!$A$3,($BD130+1)^BD130,
IF($BC130=Lookup!$A$4,BE130*$BD130+1,"Error")))</f>
        <v>1</v>
      </c>
      <c r="BN130" s="229">
        <f>IF($BC130=Lookup!$A$2,$BD130*ROUNDUP(BF130/10,0)+1,
IF($BC130=Lookup!$A$3,($BD130+1)^BE130,
IF($BC130=Lookup!$A$4,BF130*$BD130+1,"Error")))</f>
        <v>1</v>
      </c>
      <c r="BO130" s="229">
        <f>IF($BC130=Lookup!$A$2,$BD130*ROUNDUP(BG130/10,0)+1,
IF($BC130=Lookup!$A$3,($BD130+1)^BF130,
IF($BC130=Lookup!$A$4,BG130*$BD130+1,"Error")))</f>
        <v>1</v>
      </c>
      <c r="BP130" s="229">
        <f>IF($BC130=Lookup!$A$2,$BD130*ROUNDUP(BH130/10,0)+1,
IF($BC130=Lookup!$A$3,($BD130+1)^BG130,
IF($BC130=Lookup!$A$4,BH130*$BD130+1,"Error")))</f>
        <v>1</v>
      </c>
      <c r="BQ130" s="229">
        <f>IF($BC130=Lookup!$A$2,$BD130*ROUNDUP(BI130/10,0)+1,
IF($BC130=Lookup!$A$3,($BD130+1)^BH130,
IF($BC130=Lookup!$A$4,BI130*$BD130+1,"Error")))</f>
        <v>1</v>
      </c>
      <c r="BR130" s="229">
        <f>IF($BC130=Lookup!$A$2,$BD130*ROUNDUP(BJ130/10,0)+1,
IF($BC130=Lookup!$A$3,($BD130+1)^BI130,
IF($BC130=Lookup!$A$4,BJ130*$BD130+1,"Error")))</f>
        <v>1</v>
      </c>
      <c r="BS130" s="229">
        <f>IF($BC130=Lookup!$A$2,$BD130*ROUNDUP(BK130/10,0)+1,
IF($BC130=Lookup!$A$3,($BD130+1)^BJ130,
IF($BC130=Lookup!$A$4,BK130*$BD130+1,"Error")))</f>
        <v>1</v>
      </c>
      <c r="BT130" s="249">
        <f>IF($BC130=Lookup!$A$2,$BD130*ROUNDUP(BL130/10,0)+1,
IF($BC130=Lookup!$A$3,($BD130+1)^BK130,
IF($BC130=Lookup!$A$4,BL130*$BD130+1,"Error")))</f>
        <v>1</v>
      </c>
      <c r="BU130" s="320">
        <v>0</v>
      </c>
      <c r="BV130" s="321">
        <v>0</v>
      </c>
      <c r="BW130" s="321">
        <v>0</v>
      </c>
      <c r="BX130" s="321">
        <v>0</v>
      </c>
      <c r="BY130" s="321">
        <v>0</v>
      </c>
      <c r="BZ130" s="321">
        <v>0</v>
      </c>
      <c r="CA130" s="321">
        <v>0</v>
      </c>
      <c r="CB130" s="277">
        <v>0</v>
      </c>
      <c r="CC130" s="382" t="s">
        <v>293</v>
      </c>
      <c r="CD130" s="383">
        <f>HLOOKUP($CC130,$AK$6:$AM$132,ROWS(CD$6:CD130),0)</f>
        <v>0</v>
      </c>
      <c r="CE130" s="234">
        <f t="shared" si="105"/>
        <v>0</v>
      </c>
      <c r="CF130" s="96">
        <f t="shared" si="105"/>
        <v>0</v>
      </c>
      <c r="CG130" s="521">
        <f t="shared" si="105"/>
        <v>0</v>
      </c>
      <c r="CH130" s="421">
        <f t="shared" si="104"/>
        <v>0</v>
      </c>
      <c r="CI130" s="96">
        <f t="shared" si="104"/>
        <v>0</v>
      </c>
      <c r="CJ130" s="96">
        <f t="shared" si="104"/>
        <v>0</v>
      </c>
      <c r="CK130" s="96">
        <f t="shared" si="104"/>
        <v>0</v>
      </c>
      <c r="CL130" s="286">
        <f t="shared" si="101"/>
        <v>0</v>
      </c>
      <c r="CM130" s="305" t="s">
        <v>293</v>
      </c>
      <c r="CN130" s="315">
        <v>0.05</v>
      </c>
      <c r="CO130" s="306"/>
      <c r="CP130" s="307" t="str">
        <f>IF($CO130&lt;&gt;"",$CO130,HLOOKUP($CM130,$AY$6:$BA$132,ROWS(CP$6:CP130),0))</f>
        <v/>
      </c>
      <c r="CQ130" s="784" t="str">
        <f t="shared" si="100"/>
        <v/>
      </c>
      <c r="CR130" s="784" t="str">
        <f t="shared" si="100"/>
        <v/>
      </c>
      <c r="CS130" s="524" t="str">
        <f t="shared" si="100"/>
        <v/>
      </c>
      <c r="CT130" s="416" t="str">
        <f t="shared" si="100"/>
        <v/>
      </c>
      <c r="CU130" s="97" t="str">
        <f t="shared" si="100"/>
        <v/>
      </c>
      <c r="CV130" s="97" t="str">
        <f t="shared" si="100"/>
        <v/>
      </c>
      <c r="CW130" s="97" t="str">
        <f t="shared" si="100"/>
        <v/>
      </c>
      <c r="CX130" s="98" t="str">
        <f t="shared" si="100"/>
        <v/>
      </c>
      <c r="CY130" s="392"/>
    </row>
    <row r="131" spans="1:103" x14ac:dyDescent="0.25">
      <c r="A131" s="81" t="s">
        <v>258</v>
      </c>
      <c r="B131" s="82" t="s">
        <v>404</v>
      </c>
      <c r="C131" s="83" t="s">
        <v>405</v>
      </c>
      <c r="D131" s="84">
        <v>-10491.946627390149</v>
      </c>
      <c r="E131" s="85">
        <v>-157.08145760586922</v>
      </c>
      <c r="F131" s="85">
        <v>0</v>
      </c>
      <c r="G131" s="85">
        <v>-26220.254543381627</v>
      </c>
      <c r="H131" s="85">
        <v>-46194.290798328235</v>
      </c>
      <c r="I131" s="85">
        <v>0</v>
      </c>
      <c r="J131" s="85">
        <v>1158035.9730899942</v>
      </c>
      <c r="K131" s="85">
        <v>0</v>
      </c>
      <c r="L131" s="85">
        <v>0</v>
      </c>
      <c r="M131" s="654">
        <f>'2022-23 Input'!I131</f>
        <v>0</v>
      </c>
      <c r="N131" s="1065">
        <v>10162872.439999998</v>
      </c>
      <c r="O131" s="560">
        <f t="shared" si="79"/>
        <v>-14116.455890600206</v>
      </c>
      <c r="P131" s="561">
        <f t="shared" si="53"/>
        <v>-208.20062131366564</v>
      </c>
      <c r="Q131" s="561">
        <f t="shared" si="54"/>
        <v>0</v>
      </c>
      <c r="R131" s="561">
        <f t="shared" si="55"/>
        <v>-33748.528807070499</v>
      </c>
      <c r="S131" s="561">
        <f t="shared" si="56"/>
        <v>-58247.249640144859</v>
      </c>
      <c r="T131" s="561">
        <f t="shared" si="57"/>
        <v>0</v>
      </c>
      <c r="U131" s="561">
        <f t="shared" si="58"/>
        <v>1442319.8777240873</v>
      </c>
      <c r="V131" s="561">
        <f t="shared" si="59"/>
        <v>0</v>
      </c>
      <c r="W131" s="675">
        <f t="shared" si="60"/>
        <v>0</v>
      </c>
      <c r="X131" s="675">
        <f t="shared" si="61"/>
        <v>0</v>
      </c>
      <c r="Y131" s="675">
        <f t="shared" si="61"/>
        <v>10442335.977582829</v>
      </c>
      <c r="Z131" s="86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  <c r="AG131" s="87">
        <v>0</v>
      </c>
      <c r="AH131" s="87">
        <v>0</v>
      </c>
      <c r="AI131" s="1094">
        <f>'2022-23 Input'!P131</f>
        <v>0</v>
      </c>
      <c r="AJ131" s="665">
        <v>0</v>
      </c>
      <c r="AK131" s="88">
        <f t="shared" si="84"/>
        <v>0</v>
      </c>
      <c r="AL131" s="89">
        <f t="shared" si="85"/>
        <v>0</v>
      </c>
      <c r="AM131" s="90">
        <f t="shared" si="86"/>
        <v>0</v>
      </c>
      <c r="AN131" s="91" t="str">
        <f t="shared" si="87"/>
        <v/>
      </c>
      <c r="AO131" s="92" t="str">
        <f t="shared" si="88"/>
        <v/>
      </c>
      <c r="AP131" s="92" t="str">
        <f t="shared" si="89"/>
        <v/>
      </c>
      <c r="AQ131" s="92" t="str">
        <f t="shared" si="90"/>
        <v/>
      </c>
      <c r="AR131" s="92" t="str">
        <f t="shared" si="91"/>
        <v/>
      </c>
      <c r="AS131" s="92" t="str">
        <f t="shared" si="92"/>
        <v/>
      </c>
      <c r="AT131" s="92" t="str">
        <f t="shared" si="93"/>
        <v/>
      </c>
      <c r="AU131" s="92" t="str">
        <f t="shared" si="94"/>
        <v/>
      </c>
      <c r="AV131" s="92" t="str">
        <f t="shared" si="102"/>
        <v/>
      </c>
      <c r="AW131" s="92" t="str">
        <f t="shared" si="102"/>
        <v/>
      </c>
      <c r="AX131" s="92" t="str">
        <f t="shared" si="102"/>
        <v/>
      </c>
      <c r="AY131" s="93" t="str">
        <f t="shared" si="96"/>
        <v/>
      </c>
      <c r="AZ131" s="94" t="str">
        <f t="shared" si="97"/>
        <v/>
      </c>
      <c r="BA131" s="95" t="str">
        <f t="shared" si="98"/>
        <v/>
      </c>
      <c r="BB131" s="248" t="s">
        <v>422</v>
      </c>
      <c r="BC131" s="229" t="s">
        <v>433</v>
      </c>
      <c r="BD131" s="249">
        <v>0</v>
      </c>
      <c r="BE131" s="267">
        <f t="shared" si="80"/>
        <v>0</v>
      </c>
      <c r="BF131" s="268">
        <f t="shared" si="103"/>
        <v>0</v>
      </c>
      <c r="BG131" s="268">
        <f t="shared" si="103"/>
        <v>0</v>
      </c>
      <c r="BH131" s="268">
        <f t="shared" si="103"/>
        <v>1</v>
      </c>
      <c r="BI131" s="268">
        <f t="shared" si="103"/>
        <v>2</v>
      </c>
      <c r="BJ131" s="268">
        <f t="shared" si="103"/>
        <v>3</v>
      </c>
      <c r="BK131" s="268">
        <f t="shared" si="103"/>
        <v>4</v>
      </c>
      <c r="BL131" s="269">
        <f t="shared" si="103"/>
        <v>5</v>
      </c>
      <c r="BM131" s="256">
        <f>IF($BC131=Lookup!$A$2,$BD131*ROUNDUP(BE131/10,0)+1,
IF($BC131=Lookup!$A$3,($BD131+1)^BD131,
IF($BC131=Lookup!$A$4,BE131*$BD131+1,"Error")))</f>
        <v>1</v>
      </c>
      <c r="BN131" s="229">
        <f>IF($BC131=Lookup!$A$2,$BD131*ROUNDUP(BF131/10,0)+1,
IF($BC131=Lookup!$A$3,($BD131+1)^BE131,
IF($BC131=Lookup!$A$4,BF131*$BD131+1,"Error")))</f>
        <v>1</v>
      </c>
      <c r="BO131" s="229">
        <f>IF($BC131=Lookup!$A$2,$BD131*ROUNDUP(BG131/10,0)+1,
IF($BC131=Lookup!$A$3,($BD131+1)^BF131,
IF($BC131=Lookup!$A$4,BG131*$BD131+1,"Error")))</f>
        <v>1</v>
      </c>
      <c r="BP131" s="229">
        <f>IF($BC131=Lookup!$A$2,$BD131*ROUNDUP(BH131/10,0)+1,
IF($BC131=Lookup!$A$3,($BD131+1)^BG131,
IF($BC131=Lookup!$A$4,BH131*$BD131+1,"Error")))</f>
        <v>1</v>
      </c>
      <c r="BQ131" s="229">
        <f>IF($BC131=Lookup!$A$2,$BD131*ROUNDUP(BI131/10,0)+1,
IF($BC131=Lookup!$A$3,($BD131+1)^BH131,
IF($BC131=Lookup!$A$4,BI131*$BD131+1,"Error")))</f>
        <v>1</v>
      </c>
      <c r="BR131" s="229">
        <f>IF($BC131=Lookup!$A$2,$BD131*ROUNDUP(BJ131/10,0)+1,
IF($BC131=Lookup!$A$3,($BD131+1)^BI131,
IF($BC131=Lookup!$A$4,BJ131*$BD131+1,"Error")))</f>
        <v>1</v>
      </c>
      <c r="BS131" s="229">
        <f>IF($BC131=Lookup!$A$2,$BD131*ROUNDUP(BK131/10,0)+1,
IF($BC131=Lookup!$A$3,($BD131+1)^BJ131,
IF($BC131=Lookup!$A$4,BK131*$BD131+1,"Error")))</f>
        <v>1</v>
      </c>
      <c r="BT131" s="249">
        <f>IF($BC131=Lookup!$A$2,$BD131*ROUNDUP(BL131/10,0)+1,
IF($BC131=Lookup!$A$3,($BD131+1)^BK131,
IF($BC131=Lookup!$A$4,BL131*$BD131+1,"Error")))</f>
        <v>1</v>
      </c>
      <c r="BU131" s="320">
        <v>0</v>
      </c>
      <c r="BV131" s="321">
        <v>0</v>
      </c>
      <c r="BW131" s="321">
        <v>0</v>
      </c>
      <c r="BX131" s="321">
        <v>0</v>
      </c>
      <c r="BY131" s="321">
        <v>0</v>
      </c>
      <c r="BZ131" s="321">
        <v>0</v>
      </c>
      <c r="CA131" s="321">
        <v>0</v>
      </c>
      <c r="CB131" s="277">
        <v>0</v>
      </c>
      <c r="CC131" s="382" t="s">
        <v>293</v>
      </c>
      <c r="CD131" s="383">
        <f>HLOOKUP($CC131,$AK$6:$AM$132,ROWS(CD$6:CD131),0)</f>
        <v>0</v>
      </c>
      <c r="CE131" s="234">
        <f t="shared" si="105"/>
        <v>0</v>
      </c>
      <c r="CF131" s="96">
        <f t="shared" si="105"/>
        <v>0</v>
      </c>
      <c r="CG131" s="521">
        <f t="shared" si="105"/>
        <v>0</v>
      </c>
      <c r="CH131" s="421">
        <f t="shared" si="104"/>
        <v>0</v>
      </c>
      <c r="CI131" s="96">
        <f t="shared" si="104"/>
        <v>0</v>
      </c>
      <c r="CJ131" s="96">
        <f t="shared" si="104"/>
        <v>0</v>
      </c>
      <c r="CK131" s="96">
        <f t="shared" si="104"/>
        <v>0</v>
      </c>
      <c r="CL131" s="286">
        <f t="shared" si="101"/>
        <v>0</v>
      </c>
      <c r="CM131" s="305" t="s">
        <v>293</v>
      </c>
      <c r="CN131" s="315">
        <v>0.05</v>
      </c>
      <c r="CO131" s="306"/>
      <c r="CP131" s="307" t="str">
        <f>IF($CO131&lt;&gt;"",$CO131,HLOOKUP($CM131,$AY$6:$BA$132,ROWS(CP$6:CP131),0))</f>
        <v/>
      </c>
      <c r="CQ131" s="784" t="str">
        <f t="shared" si="100"/>
        <v/>
      </c>
      <c r="CR131" s="784" t="str">
        <f t="shared" si="100"/>
        <v/>
      </c>
      <c r="CS131" s="524" t="str">
        <f t="shared" si="100"/>
        <v/>
      </c>
      <c r="CT131" s="416" t="str">
        <f t="shared" si="100"/>
        <v/>
      </c>
      <c r="CU131" s="97" t="str">
        <f t="shared" si="100"/>
        <v/>
      </c>
      <c r="CV131" s="97" t="str">
        <f t="shared" si="100"/>
        <v/>
      </c>
      <c r="CW131" s="97" t="str">
        <f t="shared" si="100"/>
        <v/>
      </c>
      <c r="CX131" s="98" t="str">
        <f t="shared" si="100"/>
        <v/>
      </c>
      <c r="CY131" s="392"/>
    </row>
    <row r="132" spans="1:103" ht="15.75" thickBot="1" x14ac:dyDescent="0.3">
      <c r="A132" s="100" t="s">
        <v>258</v>
      </c>
      <c r="B132" s="101" t="s">
        <v>265</v>
      </c>
      <c r="C132" s="159" t="s">
        <v>406</v>
      </c>
      <c r="D132" s="103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2838100.96</v>
      </c>
      <c r="L132" s="104">
        <v>108779.55</v>
      </c>
      <c r="M132" s="655">
        <f>'2022-23 Input'!I132</f>
        <v>6920853.7699999986</v>
      </c>
      <c r="N132" s="1066">
        <v>0</v>
      </c>
      <c r="O132" s="563">
        <f t="shared" si="79"/>
        <v>0</v>
      </c>
      <c r="P132" s="564">
        <f t="shared" si="53"/>
        <v>0</v>
      </c>
      <c r="Q132" s="564">
        <f t="shared" si="54"/>
        <v>0</v>
      </c>
      <c r="R132" s="564">
        <f t="shared" si="55"/>
        <v>0</v>
      </c>
      <c r="S132" s="564">
        <f t="shared" si="56"/>
        <v>0</v>
      </c>
      <c r="T132" s="564">
        <f t="shared" si="57"/>
        <v>0</v>
      </c>
      <c r="U132" s="564">
        <f t="shared" si="58"/>
        <v>0</v>
      </c>
      <c r="V132" s="564">
        <f t="shared" si="59"/>
        <v>3403901.33213617</v>
      </c>
      <c r="W132" s="676">
        <f t="shared" si="60"/>
        <v>122912.97604431145</v>
      </c>
      <c r="X132" s="676">
        <f t="shared" si="61"/>
        <v>7360057.559592166</v>
      </c>
      <c r="Y132" s="676">
        <f t="shared" si="61"/>
        <v>0</v>
      </c>
      <c r="Z132" s="105">
        <v>0</v>
      </c>
      <c r="AA132" s="106">
        <v>0</v>
      </c>
      <c r="AB132" s="106">
        <v>0</v>
      </c>
      <c r="AC132" s="106">
        <v>0</v>
      </c>
      <c r="AD132" s="106">
        <v>0</v>
      </c>
      <c r="AE132" s="106">
        <v>27</v>
      </c>
      <c r="AF132" s="106">
        <v>2</v>
      </c>
      <c r="AG132" s="106">
        <v>2</v>
      </c>
      <c r="AH132" s="106">
        <v>11</v>
      </c>
      <c r="AI132" s="1095">
        <f>'2022-23 Input'!P132</f>
        <v>2</v>
      </c>
      <c r="AJ132" s="666">
        <v>15</v>
      </c>
      <c r="AK132" s="107">
        <f t="shared" si="84"/>
        <v>8.8000000000000007</v>
      </c>
      <c r="AL132" s="108">
        <f t="shared" si="85"/>
        <v>5</v>
      </c>
      <c r="AM132" s="109">
        <f t="shared" si="86"/>
        <v>2</v>
      </c>
      <c r="AN132" s="110" t="str">
        <f t="shared" si="87"/>
        <v/>
      </c>
      <c r="AO132" s="111" t="str">
        <f t="shared" si="88"/>
        <v/>
      </c>
      <c r="AP132" s="111" t="str">
        <f t="shared" si="89"/>
        <v/>
      </c>
      <c r="AQ132" s="111" t="str">
        <f t="shared" si="90"/>
        <v/>
      </c>
      <c r="AR132" s="111" t="str">
        <f t="shared" si="91"/>
        <v/>
      </c>
      <c r="AS132" s="111">
        <f t="shared" si="92"/>
        <v>0</v>
      </c>
      <c r="AT132" s="111">
        <f t="shared" si="93"/>
        <v>0</v>
      </c>
      <c r="AU132" s="111">
        <f t="shared" si="94"/>
        <v>1419050.48</v>
      </c>
      <c r="AV132" s="111">
        <f t="shared" si="102"/>
        <v>9889.0500000000011</v>
      </c>
      <c r="AW132" s="111">
        <f t="shared" si="102"/>
        <v>3460426.8849999993</v>
      </c>
      <c r="AX132" s="111">
        <f t="shared" si="102"/>
        <v>0</v>
      </c>
      <c r="AY132" s="112">
        <f t="shared" si="96"/>
        <v>224266.68818181811</v>
      </c>
      <c r="AZ132" s="113">
        <f t="shared" si="97"/>
        <v>657848.95199999982</v>
      </c>
      <c r="BA132" s="114">
        <f t="shared" si="98"/>
        <v>3460426.8849999993</v>
      </c>
      <c r="BB132" s="250" t="s">
        <v>422</v>
      </c>
      <c r="BC132" s="230" t="s">
        <v>433</v>
      </c>
      <c r="BD132" s="251">
        <v>0</v>
      </c>
      <c r="BE132" s="270">
        <f t="shared" si="80"/>
        <v>0</v>
      </c>
      <c r="BF132" s="271">
        <f t="shared" si="103"/>
        <v>0</v>
      </c>
      <c r="BG132" s="271">
        <f t="shared" si="103"/>
        <v>0</v>
      </c>
      <c r="BH132" s="271">
        <f t="shared" si="103"/>
        <v>1</v>
      </c>
      <c r="BI132" s="271">
        <f t="shared" si="103"/>
        <v>2</v>
      </c>
      <c r="BJ132" s="271">
        <f t="shared" si="103"/>
        <v>3</v>
      </c>
      <c r="BK132" s="271">
        <f t="shared" si="103"/>
        <v>4</v>
      </c>
      <c r="BL132" s="272">
        <f t="shared" si="103"/>
        <v>5</v>
      </c>
      <c r="BM132" s="257">
        <f>IF($BC132=Lookup!$A$2,$BD132*ROUNDUP(BE132/10,0)+1,
IF($BC132=Lookup!$A$3,($BD132+1)^BD132,
IF($BC132=Lookup!$A$4,BE132*$BD132+1,"Error")))</f>
        <v>1</v>
      </c>
      <c r="BN132" s="230">
        <f>IF($BC132=Lookup!$A$2,$BD132*ROUNDUP(BF132/10,0)+1,
IF($BC132=Lookup!$A$3,($BD132+1)^BE132,
IF($BC132=Lookup!$A$4,BF132*$BD132+1,"Error")))</f>
        <v>1</v>
      </c>
      <c r="BO132" s="230">
        <f>IF($BC132=Lookup!$A$2,$BD132*ROUNDUP(BG132/10,0)+1,
IF($BC132=Lookup!$A$3,($BD132+1)^BF132,
IF($BC132=Lookup!$A$4,BG132*$BD132+1,"Error")))</f>
        <v>1</v>
      </c>
      <c r="BP132" s="230">
        <f>IF($BC132=Lookup!$A$2,$BD132*ROUNDUP(BH132/10,0)+1,
IF($BC132=Lookup!$A$3,($BD132+1)^BG132,
IF($BC132=Lookup!$A$4,BH132*$BD132+1,"Error")))</f>
        <v>1</v>
      </c>
      <c r="BQ132" s="230">
        <f>IF($BC132=Lookup!$A$2,$BD132*ROUNDUP(BI132/10,0)+1,
IF($BC132=Lookup!$A$3,($BD132+1)^BH132,
IF($BC132=Lookup!$A$4,BI132*$BD132+1,"Error")))</f>
        <v>1</v>
      </c>
      <c r="BR132" s="230">
        <f>IF($BC132=Lookup!$A$2,$BD132*ROUNDUP(BJ132/10,0)+1,
IF($BC132=Lookup!$A$3,($BD132+1)^BI132,
IF($BC132=Lookup!$A$4,BJ132*$BD132+1,"Error")))</f>
        <v>1</v>
      </c>
      <c r="BS132" s="230">
        <f>IF($BC132=Lookup!$A$2,$BD132*ROUNDUP(BK132/10,0)+1,
IF($BC132=Lookup!$A$3,($BD132+1)^BJ132,
IF($BC132=Lookup!$A$4,BK132*$BD132+1,"Error")))</f>
        <v>1</v>
      </c>
      <c r="BT132" s="251">
        <f>IF($BC132=Lookup!$A$2,$BD132*ROUNDUP(BL132/10,0)+1,
IF($BC132=Lookup!$A$3,($BD132+1)^BK132,
IF($BC132=Lookup!$A$4,BL132*$BD132+1,"Error")))</f>
        <v>1</v>
      </c>
      <c r="BU132" s="322">
        <v>0</v>
      </c>
      <c r="BV132" s="323">
        <v>0</v>
      </c>
      <c r="BW132" s="323">
        <v>0</v>
      </c>
      <c r="BX132" s="323">
        <f>BX136/$CP$132</f>
        <v>0</v>
      </c>
      <c r="BY132" s="323">
        <f t="shared" ref="BY132:CB132" si="106">BY136/$CP$132</f>
        <v>26.085065208566085</v>
      </c>
      <c r="BZ132" s="323">
        <f t="shared" si="106"/>
        <v>45.845069305522095</v>
      </c>
      <c r="CA132" s="323">
        <f t="shared" si="106"/>
        <v>169.8762281855621</v>
      </c>
      <c r="CB132" s="278">
        <f t="shared" si="106"/>
        <v>412.92522796535678</v>
      </c>
      <c r="CC132" s="384" t="s">
        <v>293</v>
      </c>
      <c r="CD132" s="385">
        <f>HLOOKUP($CC132,$AK$6:$AM$132,ROWS(CD$6:CD132),0)</f>
        <v>5</v>
      </c>
      <c r="CE132" s="235">
        <f t="shared" si="105"/>
        <v>0</v>
      </c>
      <c r="CF132" s="115">
        <f t="shared" si="105"/>
        <v>0</v>
      </c>
      <c r="CG132" s="522">
        <f t="shared" si="105"/>
        <v>0</v>
      </c>
      <c r="CH132" s="422">
        <f t="shared" si="104"/>
        <v>0</v>
      </c>
      <c r="CI132" s="115">
        <f t="shared" si="104"/>
        <v>26.085065208566085</v>
      </c>
      <c r="CJ132" s="115">
        <f t="shared" si="104"/>
        <v>45.845069305522095</v>
      </c>
      <c r="CK132" s="115">
        <f t="shared" si="104"/>
        <v>169.8762281855621</v>
      </c>
      <c r="CL132" s="287">
        <f t="shared" si="101"/>
        <v>412.92522796535678</v>
      </c>
      <c r="CM132" s="308" t="s">
        <v>293</v>
      </c>
      <c r="CN132" s="316">
        <v>0.05</v>
      </c>
      <c r="CO132" s="309">
        <v>30000</v>
      </c>
      <c r="CP132" s="310">
        <f>IF($CO132&lt;&gt;"",$CO132,HLOOKUP($CM132,$AY$6:$BA$132,ROWS(CP$6:CP132),0))</f>
        <v>30000</v>
      </c>
      <c r="CQ132" s="785">
        <f t="shared" si="100"/>
        <v>0</v>
      </c>
      <c r="CR132" s="785">
        <f t="shared" si="100"/>
        <v>0</v>
      </c>
      <c r="CS132" s="638">
        <f t="shared" si="100"/>
        <v>0</v>
      </c>
      <c r="CT132" s="467">
        <f t="shared" si="100"/>
        <v>0</v>
      </c>
      <c r="CU132" s="117">
        <f t="shared" si="100"/>
        <v>782551.95625698252</v>
      </c>
      <c r="CV132" s="117">
        <f t="shared" si="100"/>
        <v>1375352.0791656629</v>
      </c>
      <c r="CW132" s="117">
        <f t="shared" si="100"/>
        <v>5096286.8455668632</v>
      </c>
      <c r="CX132" s="118">
        <f t="shared" si="100"/>
        <v>12387756.838960703</v>
      </c>
      <c r="CY132" s="393" t="s">
        <v>687</v>
      </c>
    </row>
    <row r="133" spans="1:103" ht="15.75" thickBot="1" x14ac:dyDescent="0.3">
      <c r="A133" s="19"/>
      <c r="B133" s="19"/>
      <c r="C133" s="160" t="s">
        <v>407</v>
      </c>
      <c r="D133" s="161">
        <f>SUM(D7:D132)</f>
        <v>12770186.139999878</v>
      </c>
      <c r="E133" s="162">
        <f t="shared" ref="E133:X133" si="107">SUM(E7:E132)</f>
        <v>44476905.819999903</v>
      </c>
      <c r="F133" s="162">
        <f t="shared" si="107"/>
        <v>16965939.059999969</v>
      </c>
      <c r="G133" s="162">
        <f t="shared" si="107"/>
        <v>35281746.469999984</v>
      </c>
      <c r="H133" s="162">
        <f t="shared" si="107"/>
        <v>23316614.73</v>
      </c>
      <c r="I133" s="162">
        <f t="shared" si="107"/>
        <v>14199862.369999563</v>
      </c>
      <c r="J133" s="162">
        <f t="shared" si="107"/>
        <v>36223748.598299593</v>
      </c>
      <c r="K133" s="162">
        <f t="shared" si="107"/>
        <v>11697935.395491488</v>
      </c>
      <c r="L133" s="162">
        <f t="shared" si="107"/>
        <v>49763951.025104932</v>
      </c>
      <c r="M133" s="162">
        <f t="shared" si="107"/>
        <v>21724646.329999998</v>
      </c>
      <c r="N133" s="162">
        <f t="shared" si="107"/>
        <v>36154223.1889835</v>
      </c>
      <c r="O133" s="569">
        <f t="shared" si="107"/>
        <v>17181727.639507089</v>
      </c>
      <c r="P133" s="570">
        <f t="shared" si="107"/>
        <v>58951066.325522646</v>
      </c>
      <c r="Q133" s="570">
        <f t="shared" si="107"/>
        <v>22259409.562434755</v>
      </c>
      <c r="R133" s="570">
        <f t="shared" si="107"/>
        <v>45411726.844089843</v>
      </c>
      <c r="S133" s="570">
        <f t="shared" si="107"/>
        <v>29400357.824966114</v>
      </c>
      <c r="T133" s="570">
        <f t="shared" si="107"/>
        <v>17624134.962087795</v>
      </c>
      <c r="U133" s="570">
        <f t="shared" si="107"/>
        <v>45116243.245534614</v>
      </c>
      <c r="V133" s="570">
        <f t="shared" si="107"/>
        <v>14030021.636706091</v>
      </c>
      <c r="W133" s="1106">
        <f t="shared" si="107"/>
        <v>56229643.53335724</v>
      </c>
      <c r="X133" s="1106">
        <f t="shared" si="107"/>
        <v>23103312.505125031</v>
      </c>
      <c r="Y133" s="678">
        <f t="shared" ref="Y133" si="108">SUM(Y7:Y132)</f>
        <v>37148409.34753304</v>
      </c>
      <c r="Z133" s="19"/>
      <c r="AA133" s="19"/>
      <c r="AB133" s="19"/>
      <c r="AC133" s="19"/>
      <c r="AD133" s="19"/>
      <c r="AE133" s="19"/>
      <c r="AF133" s="19"/>
      <c r="AG133" s="19"/>
      <c r="AH133" s="19"/>
      <c r="AI133" s="282"/>
      <c r="AJ133" s="282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282"/>
      <c r="AX133" s="282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282"/>
      <c r="CM133" s="282"/>
      <c r="CN133" s="282"/>
      <c r="CO133" s="282"/>
      <c r="CP133" s="19"/>
      <c r="CQ133" s="787">
        <f t="shared" ref="CQ133:CX133" si="109">SUM(CQ7:CQ132)</f>
        <v>10430590.65742366</v>
      </c>
      <c r="CR133" s="1110">
        <f t="shared" si="109"/>
        <v>10430590.65742366</v>
      </c>
      <c r="CS133" s="163">
        <f t="shared" si="109"/>
        <v>10430590.65742366</v>
      </c>
      <c r="CT133" s="163">
        <f t="shared" si="109"/>
        <v>32564174.872538023</v>
      </c>
      <c r="CU133" s="163">
        <f t="shared" si="109"/>
        <v>33346726.828795005</v>
      </c>
      <c r="CV133" s="163">
        <f t="shared" si="109"/>
        <v>33939526.951703683</v>
      </c>
      <c r="CW133" s="163">
        <f t="shared" si="109"/>
        <v>37660461.718104884</v>
      </c>
      <c r="CX133" s="164">
        <f t="shared" si="109"/>
        <v>44951931.711498722</v>
      </c>
    </row>
    <row r="134" spans="1:103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282"/>
      <c r="N134" s="282"/>
      <c r="O134" s="19"/>
      <c r="P134" s="19"/>
      <c r="Q134" s="19"/>
      <c r="R134" s="19"/>
      <c r="S134" s="19"/>
      <c r="T134" s="19"/>
      <c r="U134" s="19"/>
      <c r="V134" s="19"/>
      <c r="W134" s="19"/>
      <c r="X134" s="282"/>
      <c r="Y134" s="282"/>
      <c r="Z134" s="19"/>
      <c r="AA134" s="19"/>
      <c r="AB134" s="19"/>
      <c r="AC134" s="19"/>
      <c r="AD134" s="19"/>
      <c r="AE134" s="19"/>
      <c r="AF134" s="19"/>
      <c r="AG134" s="19"/>
      <c r="AH134" s="19"/>
      <c r="AI134" s="282"/>
      <c r="AJ134" s="282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282"/>
      <c r="AX134" s="282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282"/>
      <c r="CM134" s="282"/>
      <c r="CN134" s="282"/>
      <c r="CO134" s="282"/>
      <c r="CP134" s="19"/>
      <c r="CQ134" s="780"/>
      <c r="CR134" s="780"/>
      <c r="CS134" s="19"/>
      <c r="CT134" s="19"/>
      <c r="CU134" s="19"/>
      <c r="CV134" s="19"/>
      <c r="CW134" s="19"/>
      <c r="CX134" s="19"/>
    </row>
    <row r="135" spans="1:103" ht="15.75" thickBot="1" x14ac:dyDescent="0.3">
      <c r="A135" s="19"/>
      <c r="B135" s="19"/>
      <c r="C135" s="24" t="s">
        <v>408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282"/>
      <c r="N135" s="282"/>
      <c r="O135" s="19"/>
      <c r="P135" s="19"/>
      <c r="Q135" s="19"/>
      <c r="R135" s="19"/>
      <c r="S135" s="19"/>
      <c r="T135" s="19"/>
      <c r="U135" s="19"/>
      <c r="V135" s="19"/>
      <c r="W135" s="19"/>
      <c r="X135" s="282"/>
      <c r="Y135" s="282"/>
      <c r="Z135" s="165">
        <f t="shared" ref="Z135:AF135" si="110">Z136/(Z136+Z137)</f>
        <v>-8.5514834205933643E-2</v>
      </c>
      <c r="AA135" s="165">
        <f t="shared" si="110"/>
        <v>5.0200803212851414E-3</v>
      </c>
      <c r="AB135" s="165">
        <f t="shared" si="110"/>
        <v>0</v>
      </c>
      <c r="AC135" s="165">
        <f t="shared" si="110"/>
        <v>0</v>
      </c>
      <c r="AD135" s="165">
        <f t="shared" si="110"/>
        <v>0</v>
      </c>
      <c r="AE135" s="165">
        <f t="shared" si="110"/>
        <v>0</v>
      </c>
      <c r="AF135" s="165">
        <f t="shared" si="110"/>
        <v>0</v>
      </c>
      <c r="AG135" s="165"/>
      <c r="AH135" s="165"/>
      <c r="AI135" s="294"/>
      <c r="AJ135" s="294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282"/>
      <c r="AX135" s="282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65"/>
      <c r="CF135" s="165"/>
      <c r="CG135" s="165"/>
      <c r="CH135" s="165"/>
      <c r="CI135" s="165"/>
      <c r="CJ135" s="165"/>
      <c r="CK135" s="165"/>
      <c r="CL135" s="294"/>
      <c r="CM135" s="294"/>
      <c r="CN135" s="294"/>
      <c r="CO135" s="294"/>
      <c r="CP135" s="19"/>
      <c r="CQ135" s="780"/>
      <c r="CR135" s="780"/>
      <c r="CS135" s="19"/>
      <c r="CT135" s="19"/>
      <c r="CU135" s="19"/>
      <c r="CV135" s="19"/>
      <c r="CW135" s="19"/>
      <c r="CX135" s="19"/>
    </row>
    <row r="136" spans="1:103" x14ac:dyDescent="0.25">
      <c r="A136" s="63" t="s">
        <v>296</v>
      </c>
      <c r="B136" s="166"/>
      <c r="C136" s="64" t="s">
        <v>409</v>
      </c>
      <c r="D136" s="167">
        <f>SUMIF($A$7:$A$132,$A136,D$7:D$132)</f>
        <v>-1198146.1264655096</v>
      </c>
      <c r="E136" s="168">
        <f t="shared" ref="E136:AF146" si="111">SUMIF($A$7:$A$132,$A136,E$7:E$132)</f>
        <v>-653147.51150607597</v>
      </c>
      <c r="F136" s="168">
        <f t="shared" si="111"/>
        <v>-1223482.1190525647</v>
      </c>
      <c r="G136" s="168">
        <f t="shared" si="111"/>
        <v>-482651.22320450889</v>
      </c>
      <c r="H136" s="168">
        <f t="shared" si="111"/>
        <v>-1111906.1500479393</v>
      </c>
      <c r="I136" s="168">
        <f t="shared" si="111"/>
        <v>0</v>
      </c>
      <c r="J136" s="168">
        <f t="shared" si="111"/>
        <v>0</v>
      </c>
      <c r="K136" s="168">
        <f t="shared" si="111"/>
        <v>1567445.02</v>
      </c>
      <c r="L136" s="168">
        <f t="shared" si="111"/>
        <v>2321529.27</v>
      </c>
      <c r="M136" s="658">
        <f t="shared" si="111"/>
        <v>1887098.63</v>
      </c>
      <c r="N136" s="658">
        <f t="shared" ref="N136:N146" si="112">SUMIF($A$7:$A$132,$A136,N$7:N$132)</f>
        <v>3007525.19</v>
      </c>
      <c r="O136" s="578">
        <f>SUMIF($A$7:$A$132,$A136,O$7:O$132)</f>
        <v>-1612053.2771859022</v>
      </c>
      <c r="P136" s="575">
        <f t="shared" si="111"/>
        <v>-865701.90891810646</v>
      </c>
      <c r="Q136" s="575">
        <f t="shared" si="111"/>
        <v>-1605215.5724474613</v>
      </c>
      <c r="R136" s="575">
        <f t="shared" si="111"/>
        <v>-621228.47370284982</v>
      </c>
      <c r="S136" s="575">
        <f t="shared" si="111"/>
        <v>-1402023.3665022203</v>
      </c>
      <c r="T136" s="575">
        <f t="shared" si="111"/>
        <v>0</v>
      </c>
      <c r="U136" s="575">
        <f t="shared" si="111"/>
        <v>0</v>
      </c>
      <c r="V136" s="575">
        <f t="shared" si="111"/>
        <v>1879928.9619451051</v>
      </c>
      <c r="W136" s="575">
        <f t="shared" si="111"/>
        <v>2623159.1466381121</v>
      </c>
      <c r="X136" s="679">
        <f t="shared" si="111"/>
        <v>2006855.6566869237</v>
      </c>
      <c r="Y136" s="679">
        <f t="shared" ref="Y136:Y143" si="113">SUMIF($A$7:$A$132,$A136,Y$7:Y$132)</f>
        <v>3090227.5592296664</v>
      </c>
      <c r="Z136" s="169">
        <f t="shared" si="111"/>
        <v>-49</v>
      </c>
      <c r="AA136" s="170">
        <f t="shared" si="111"/>
        <v>5</v>
      </c>
      <c r="AB136" s="170">
        <f t="shared" si="111"/>
        <v>0</v>
      </c>
      <c r="AC136" s="170">
        <f t="shared" si="111"/>
        <v>0</v>
      </c>
      <c r="AD136" s="170">
        <f t="shared" si="111"/>
        <v>0</v>
      </c>
      <c r="AE136" s="170">
        <f t="shared" si="111"/>
        <v>0</v>
      </c>
      <c r="AF136" s="170">
        <f t="shared" si="111"/>
        <v>0</v>
      </c>
      <c r="AG136" s="170">
        <f t="shared" ref="AG136:AJ146" si="114">SUMIF($A$7:$A$132,$A136,AG$7:AG$132)</f>
        <v>0</v>
      </c>
      <c r="AH136" s="170">
        <f t="shared" si="114"/>
        <v>0</v>
      </c>
      <c r="AI136" s="170">
        <f t="shared" si="114"/>
        <v>0</v>
      </c>
      <c r="AJ136" s="613">
        <f t="shared" si="114"/>
        <v>2356</v>
      </c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282"/>
      <c r="AX136" s="282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 t="s">
        <v>686</v>
      </c>
      <c r="BW136" s="19"/>
      <c r="BX136" s="19">
        <v>0</v>
      </c>
      <c r="BY136" s="19">
        <v>782551.95625698252</v>
      </c>
      <c r="BZ136" s="19">
        <v>1375352.0791656629</v>
      </c>
      <c r="CA136" s="19">
        <v>5096286.8455668632</v>
      </c>
      <c r="CB136" s="19">
        <v>12387756.838960703</v>
      </c>
      <c r="CC136" s="19"/>
      <c r="CD136" s="19"/>
      <c r="CE136" s="420">
        <f t="shared" ref="CE136:CL146" si="115">SUMIF($A$7:$A$132,$A136,CE$7:CE$132)</f>
        <v>0</v>
      </c>
      <c r="CF136" s="144">
        <f t="shared" si="115"/>
        <v>0</v>
      </c>
      <c r="CG136" s="144">
        <f t="shared" si="115"/>
        <v>0</v>
      </c>
      <c r="CH136" s="144">
        <f t="shared" si="115"/>
        <v>0</v>
      </c>
      <c r="CI136" s="144">
        <f t="shared" si="115"/>
        <v>0</v>
      </c>
      <c r="CJ136" s="144">
        <f t="shared" si="115"/>
        <v>0</v>
      </c>
      <c r="CK136" s="144">
        <f t="shared" si="115"/>
        <v>0</v>
      </c>
      <c r="CL136" s="293">
        <f t="shared" si="115"/>
        <v>0</v>
      </c>
      <c r="CM136" s="294"/>
      <c r="CN136" s="294"/>
      <c r="CO136" s="294"/>
      <c r="CP136" s="19"/>
      <c r="CQ136" s="788">
        <f t="shared" ref="CQ136:CX146" si="116">SUMIF($A$7:$A$132,$A136,CQ$7:CQ$132)</f>
        <v>0</v>
      </c>
      <c r="CR136" s="783">
        <f t="shared" si="116"/>
        <v>0</v>
      </c>
      <c r="CS136" s="79">
        <f t="shared" si="116"/>
        <v>0</v>
      </c>
      <c r="CT136" s="79">
        <f t="shared" si="116"/>
        <v>0</v>
      </c>
      <c r="CU136" s="79">
        <f t="shared" si="116"/>
        <v>0</v>
      </c>
      <c r="CV136" s="79">
        <f t="shared" si="116"/>
        <v>0</v>
      </c>
      <c r="CW136" s="79">
        <f t="shared" si="116"/>
        <v>0</v>
      </c>
      <c r="CX136" s="80">
        <f t="shared" si="116"/>
        <v>0</v>
      </c>
    </row>
    <row r="137" spans="1:103" x14ac:dyDescent="0.25">
      <c r="A137" s="81" t="s">
        <v>27</v>
      </c>
      <c r="B137" s="171"/>
      <c r="C137" s="82" t="s">
        <v>410</v>
      </c>
      <c r="D137" s="172">
        <f t="shared" ref="D137:D146" si="117">SUMIF($A$7:$A$132,$A137,D$7:D$132)</f>
        <v>1705818.4503014244</v>
      </c>
      <c r="E137" s="173">
        <f t="shared" si="111"/>
        <v>5327362.809972222</v>
      </c>
      <c r="F137" s="173">
        <f t="shared" si="111"/>
        <v>3203291.9091495988</v>
      </c>
      <c r="G137" s="173">
        <f t="shared" si="111"/>
        <v>7811489.3358419938</v>
      </c>
      <c r="H137" s="173">
        <f t="shared" si="111"/>
        <v>2558301.1286849873</v>
      </c>
      <c r="I137" s="173">
        <f t="shared" si="111"/>
        <v>3156250.1938721798</v>
      </c>
      <c r="J137" s="173">
        <f t="shared" si="111"/>
        <v>5389112.5519938553</v>
      </c>
      <c r="K137" s="173">
        <f t="shared" si="111"/>
        <v>510625.59724706999</v>
      </c>
      <c r="L137" s="173">
        <f t="shared" si="111"/>
        <v>7470414.5144449603</v>
      </c>
      <c r="M137" s="659">
        <f t="shared" si="111"/>
        <v>854101.25373571098</v>
      </c>
      <c r="N137" s="659">
        <f t="shared" si="112"/>
        <v>1818721.8523540674</v>
      </c>
      <c r="O137" s="580">
        <f t="shared" si="111"/>
        <v>2295104.213377221</v>
      </c>
      <c r="P137" s="576">
        <f t="shared" si="111"/>
        <v>7061051.4054593891</v>
      </c>
      <c r="Q137" s="576">
        <f t="shared" si="111"/>
        <v>4202737.3964759829</v>
      </c>
      <c r="R137" s="576">
        <f t="shared" si="111"/>
        <v>10054298.765125094</v>
      </c>
      <c r="S137" s="576">
        <f t="shared" si="111"/>
        <v>3225809.9847821803</v>
      </c>
      <c r="T137" s="576">
        <f t="shared" si="111"/>
        <v>3917374.5450126342</v>
      </c>
      <c r="U137" s="576">
        <f t="shared" si="111"/>
        <v>6712074.8730221651</v>
      </c>
      <c r="V137" s="576">
        <f t="shared" si="111"/>
        <v>612423.2982508589</v>
      </c>
      <c r="W137" s="576">
        <f t="shared" si="111"/>
        <v>8441024.8089374322</v>
      </c>
      <c r="X137" s="680">
        <f t="shared" si="111"/>
        <v>908303.31027419865</v>
      </c>
      <c r="Y137" s="680">
        <f t="shared" si="113"/>
        <v>1868733.9375926447</v>
      </c>
      <c r="Z137" s="174">
        <f t="shared" si="111"/>
        <v>622.00000000000023</v>
      </c>
      <c r="AA137" s="175">
        <f t="shared" si="111"/>
        <v>990.99999999999989</v>
      </c>
      <c r="AB137" s="175">
        <f t="shared" si="111"/>
        <v>612.00000000000034</v>
      </c>
      <c r="AC137" s="175">
        <f t="shared" si="111"/>
        <v>433.00000000000023</v>
      </c>
      <c r="AD137" s="175">
        <f t="shared" si="111"/>
        <v>858.99999999999977</v>
      </c>
      <c r="AE137" s="175">
        <f t="shared" si="111"/>
        <v>729</v>
      </c>
      <c r="AF137" s="175">
        <f t="shared" si="111"/>
        <v>741</v>
      </c>
      <c r="AG137" s="175">
        <f t="shared" si="114"/>
        <v>55</v>
      </c>
      <c r="AH137" s="175">
        <f t="shared" si="114"/>
        <v>354</v>
      </c>
      <c r="AI137" s="175">
        <f t="shared" si="114"/>
        <v>77</v>
      </c>
      <c r="AJ137" s="614">
        <f t="shared" si="114"/>
        <v>114</v>
      </c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282"/>
      <c r="AX137" s="282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421">
        <f t="shared" si="115"/>
        <v>0</v>
      </c>
      <c r="CF137" s="96">
        <f t="shared" si="115"/>
        <v>0</v>
      </c>
      <c r="CG137" s="96">
        <f t="shared" si="115"/>
        <v>0</v>
      </c>
      <c r="CH137" s="96">
        <f t="shared" si="115"/>
        <v>0</v>
      </c>
      <c r="CI137" s="96">
        <f t="shared" si="115"/>
        <v>0</v>
      </c>
      <c r="CJ137" s="96">
        <f t="shared" si="115"/>
        <v>0</v>
      </c>
      <c r="CK137" s="96">
        <f t="shared" si="115"/>
        <v>0</v>
      </c>
      <c r="CL137" s="286">
        <f t="shared" si="115"/>
        <v>0</v>
      </c>
      <c r="CM137" s="294"/>
      <c r="CN137" s="294"/>
      <c r="CO137" s="294"/>
      <c r="CP137" s="19"/>
      <c r="CQ137" s="789">
        <f t="shared" si="116"/>
        <v>0</v>
      </c>
      <c r="CR137" s="784">
        <f t="shared" si="116"/>
        <v>0</v>
      </c>
      <c r="CS137" s="97">
        <f t="shared" si="116"/>
        <v>0</v>
      </c>
      <c r="CT137" s="97">
        <f t="shared" si="116"/>
        <v>0</v>
      </c>
      <c r="CU137" s="97">
        <f t="shared" si="116"/>
        <v>0</v>
      </c>
      <c r="CV137" s="97">
        <f t="shared" si="116"/>
        <v>0</v>
      </c>
      <c r="CW137" s="97">
        <f t="shared" si="116"/>
        <v>0</v>
      </c>
      <c r="CX137" s="98">
        <f t="shared" si="116"/>
        <v>0</v>
      </c>
    </row>
    <row r="138" spans="1:103" x14ac:dyDescent="0.25">
      <c r="A138" s="81" t="s">
        <v>68</v>
      </c>
      <c r="B138" s="171"/>
      <c r="C138" s="82" t="s">
        <v>411</v>
      </c>
      <c r="D138" s="172">
        <f t="shared" si="117"/>
        <v>2790261.0823666337</v>
      </c>
      <c r="E138" s="173">
        <f t="shared" si="111"/>
        <v>8887602.1901908815</v>
      </c>
      <c r="F138" s="173">
        <f t="shared" si="111"/>
        <v>1480338.3953572901</v>
      </c>
      <c r="G138" s="173">
        <f t="shared" si="111"/>
        <v>2447687.78898226</v>
      </c>
      <c r="H138" s="173">
        <f t="shared" si="111"/>
        <v>2267171.1502461727</v>
      </c>
      <c r="I138" s="173">
        <f t="shared" si="111"/>
        <v>1090502.6054674876</v>
      </c>
      <c r="J138" s="173">
        <f t="shared" si="111"/>
        <v>3999147.6233387268</v>
      </c>
      <c r="K138" s="173">
        <f t="shared" si="111"/>
        <v>269272.20371528104</v>
      </c>
      <c r="L138" s="173">
        <f t="shared" si="111"/>
        <v>4089266.1087746141</v>
      </c>
      <c r="M138" s="659">
        <f t="shared" si="111"/>
        <v>223627.24381468201</v>
      </c>
      <c r="N138" s="659">
        <f t="shared" si="112"/>
        <v>162843.36647627898</v>
      </c>
      <c r="O138" s="580">
        <f t="shared" si="111"/>
        <v>3754174.4055063701</v>
      </c>
      <c r="P138" s="576">
        <f t="shared" si="111"/>
        <v>11779902.772670085</v>
      </c>
      <c r="Q138" s="576">
        <f t="shared" si="111"/>
        <v>1942212.4833009648</v>
      </c>
      <c r="R138" s="576">
        <f t="shared" si="111"/>
        <v>3150459.9515046817</v>
      </c>
      <c r="S138" s="576">
        <f t="shared" si="111"/>
        <v>2858718.722230114</v>
      </c>
      <c r="T138" s="576">
        <f t="shared" si="111"/>
        <v>1353475.4488798592</v>
      </c>
      <c r="U138" s="576">
        <f t="shared" si="111"/>
        <v>4980890.2703631604</v>
      </c>
      <c r="V138" s="576">
        <f t="shared" si="111"/>
        <v>322953.98431974289</v>
      </c>
      <c r="W138" s="576">
        <f t="shared" si="111"/>
        <v>4620573.1432666229</v>
      </c>
      <c r="X138" s="680">
        <f t="shared" si="111"/>
        <v>237818.83580658445</v>
      </c>
      <c r="Y138" s="680">
        <f t="shared" si="113"/>
        <v>167321.31142108029</v>
      </c>
      <c r="Z138" s="174">
        <f t="shared" si="111"/>
        <v>1177</v>
      </c>
      <c r="AA138" s="175">
        <f t="shared" si="111"/>
        <v>3429</v>
      </c>
      <c r="AB138" s="175">
        <f t="shared" si="111"/>
        <v>1129</v>
      </c>
      <c r="AC138" s="175">
        <f t="shared" si="111"/>
        <v>1394</v>
      </c>
      <c r="AD138" s="175">
        <f t="shared" si="111"/>
        <v>1756</v>
      </c>
      <c r="AE138" s="175">
        <f t="shared" si="111"/>
        <v>752</v>
      </c>
      <c r="AF138" s="175">
        <f t="shared" si="111"/>
        <v>1634</v>
      </c>
      <c r="AG138" s="175">
        <f t="shared" si="114"/>
        <v>68</v>
      </c>
      <c r="AH138" s="175">
        <f t="shared" si="114"/>
        <v>760</v>
      </c>
      <c r="AI138" s="175">
        <f t="shared" si="114"/>
        <v>116</v>
      </c>
      <c r="AJ138" s="614">
        <f t="shared" si="114"/>
        <v>164</v>
      </c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282"/>
      <c r="AX138" s="282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421">
        <f t="shared" si="115"/>
        <v>314.66666666666669</v>
      </c>
      <c r="CF138" s="96">
        <f t="shared" si="115"/>
        <v>314.66666666666669</v>
      </c>
      <c r="CG138" s="96">
        <f t="shared" si="115"/>
        <v>314.66666666666669</v>
      </c>
      <c r="CH138" s="96">
        <f t="shared" si="115"/>
        <v>7000</v>
      </c>
      <c r="CI138" s="96">
        <f t="shared" si="115"/>
        <v>7000</v>
      </c>
      <c r="CJ138" s="96">
        <f t="shared" si="115"/>
        <v>7000</v>
      </c>
      <c r="CK138" s="96">
        <f t="shared" si="115"/>
        <v>7000</v>
      </c>
      <c r="CL138" s="286">
        <f t="shared" si="115"/>
        <v>7000</v>
      </c>
      <c r="CM138" s="294"/>
      <c r="CN138" s="294"/>
      <c r="CO138" s="294"/>
      <c r="CP138" s="19"/>
      <c r="CQ138" s="789">
        <f t="shared" si="116"/>
        <v>1002995.7174339979</v>
      </c>
      <c r="CR138" s="784">
        <f t="shared" si="116"/>
        <v>1002995.7174339979</v>
      </c>
      <c r="CS138" s="97">
        <f t="shared" si="116"/>
        <v>1002995.7174339979</v>
      </c>
      <c r="CT138" s="97">
        <f t="shared" si="116"/>
        <v>23136579.932548363</v>
      </c>
      <c r="CU138" s="97">
        <f t="shared" si="116"/>
        <v>23136579.932548363</v>
      </c>
      <c r="CV138" s="97">
        <f t="shared" si="116"/>
        <v>23136579.932548363</v>
      </c>
      <c r="CW138" s="97">
        <f t="shared" si="116"/>
        <v>23136579.932548363</v>
      </c>
      <c r="CX138" s="98">
        <f t="shared" si="116"/>
        <v>23136579.932548363</v>
      </c>
    </row>
    <row r="139" spans="1:103" x14ac:dyDescent="0.25">
      <c r="A139" s="81" t="s">
        <v>81</v>
      </c>
      <c r="B139" s="171"/>
      <c r="C139" s="82" t="s">
        <v>270</v>
      </c>
      <c r="D139" s="172">
        <f t="shared" si="117"/>
        <v>3756777.342660509</v>
      </c>
      <c r="E139" s="173">
        <f t="shared" si="111"/>
        <v>5926193.4358138824</v>
      </c>
      <c r="F139" s="173">
        <f t="shared" si="111"/>
        <v>5353941.7096860148</v>
      </c>
      <c r="G139" s="173">
        <f t="shared" si="111"/>
        <v>5181014.3053824566</v>
      </c>
      <c r="H139" s="173">
        <f t="shared" si="111"/>
        <v>5431543.1476903306</v>
      </c>
      <c r="I139" s="173">
        <f t="shared" si="111"/>
        <v>2877285.0023317002</v>
      </c>
      <c r="J139" s="173">
        <f t="shared" si="111"/>
        <v>6093731.6156274853</v>
      </c>
      <c r="K139" s="173">
        <f t="shared" si="111"/>
        <v>0</v>
      </c>
      <c r="L139" s="173">
        <f t="shared" si="111"/>
        <v>13525431.359478591</v>
      </c>
      <c r="M139" s="659">
        <f t="shared" si="111"/>
        <v>492481.56000000006</v>
      </c>
      <c r="N139" s="659">
        <f t="shared" si="112"/>
        <v>0</v>
      </c>
      <c r="O139" s="580">
        <f t="shared" si="111"/>
        <v>5054579.8155346727</v>
      </c>
      <c r="P139" s="576">
        <f t="shared" si="111"/>
        <v>7854760.0344861839</v>
      </c>
      <c r="Q139" s="576">
        <f t="shared" si="111"/>
        <v>7024402.2961440114</v>
      </c>
      <c r="R139" s="576">
        <f t="shared" si="111"/>
        <v>6668570.2934634266</v>
      </c>
      <c r="S139" s="576">
        <f t="shared" si="111"/>
        <v>6848734.8585117022</v>
      </c>
      <c r="T139" s="576">
        <f t="shared" si="111"/>
        <v>3571137.3733185367</v>
      </c>
      <c r="U139" s="576">
        <f t="shared" si="111"/>
        <v>7589669.4428958083</v>
      </c>
      <c r="V139" s="576">
        <f t="shared" si="111"/>
        <v>0</v>
      </c>
      <c r="W139" s="576">
        <f t="shared" si="111"/>
        <v>15282753.244305301</v>
      </c>
      <c r="X139" s="680">
        <f t="shared" si="111"/>
        <v>523734.89588087978</v>
      </c>
      <c r="Y139" s="680">
        <f t="shared" si="113"/>
        <v>0</v>
      </c>
      <c r="Z139" s="174">
        <f t="shared" si="111"/>
        <v>147</v>
      </c>
      <c r="AA139" s="175">
        <f t="shared" si="111"/>
        <v>256</v>
      </c>
      <c r="AB139" s="175">
        <f t="shared" si="111"/>
        <v>80</v>
      </c>
      <c r="AC139" s="175">
        <f t="shared" si="111"/>
        <v>170.89299999999997</v>
      </c>
      <c r="AD139" s="175">
        <f t="shared" si="111"/>
        <v>202.75</v>
      </c>
      <c r="AE139" s="175">
        <f t="shared" si="111"/>
        <v>109.91809857600002</v>
      </c>
      <c r="AF139" s="175">
        <f t="shared" si="111"/>
        <v>150.32483333499999</v>
      </c>
      <c r="AG139" s="175">
        <f t="shared" si="114"/>
        <v>0</v>
      </c>
      <c r="AH139" s="175">
        <f t="shared" si="114"/>
        <v>0.97199999599999998</v>
      </c>
      <c r="AI139" s="175">
        <f t="shared" si="114"/>
        <v>0.40399999399999997</v>
      </c>
      <c r="AJ139" s="614">
        <f t="shared" si="114"/>
        <v>0.17783333100000001</v>
      </c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282"/>
      <c r="AX139" s="282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421">
        <f t="shared" si="115"/>
        <v>0</v>
      </c>
      <c r="CF139" s="96">
        <f t="shared" si="115"/>
        <v>0</v>
      </c>
      <c r="CG139" s="96">
        <f t="shared" si="115"/>
        <v>0</v>
      </c>
      <c r="CH139" s="96">
        <f t="shared" si="115"/>
        <v>0</v>
      </c>
      <c r="CI139" s="96">
        <f t="shared" si="115"/>
        <v>0</v>
      </c>
      <c r="CJ139" s="96">
        <f t="shared" si="115"/>
        <v>0</v>
      </c>
      <c r="CK139" s="96">
        <f t="shared" si="115"/>
        <v>0</v>
      </c>
      <c r="CL139" s="286">
        <f t="shared" si="115"/>
        <v>0</v>
      </c>
      <c r="CM139" s="294"/>
      <c r="CN139" s="294"/>
      <c r="CO139" s="294"/>
      <c r="CP139" s="19"/>
      <c r="CQ139" s="789">
        <f t="shared" si="116"/>
        <v>0</v>
      </c>
      <c r="CR139" s="784">
        <f t="shared" si="116"/>
        <v>0</v>
      </c>
      <c r="CS139" s="97">
        <f t="shared" si="116"/>
        <v>0</v>
      </c>
      <c r="CT139" s="97">
        <f t="shared" si="116"/>
        <v>0</v>
      </c>
      <c r="CU139" s="97">
        <f t="shared" si="116"/>
        <v>0</v>
      </c>
      <c r="CV139" s="97">
        <f t="shared" si="116"/>
        <v>0</v>
      </c>
      <c r="CW139" s="97">
        <f t="shared" si="116"/>
        <v>0</v>
      </c>
      <c r="CX139" s="98">
        <f t="shared" si="116"/>
        <v>0</v>
      </c>
    </row>
    <row r="140" spans="1:103" x14ac:dyDescent="0.25">
      <c r="A140" s="81" t="s">
        <v>94</v>
      </c>
      <c r="B140" s="171"/>
      <c r="C140" s="82" t="s">
        <v>412</v>
      </c>
      <c r="D140" s="172">
        <f t="shared" si="117"/>
        <v>356312.7983800869</v>
      </c>
      <c r="E140" s="173">
        <f t="shared" si="111"/>
        <v>1175854.2050522291</v>
      </c>
      <c r="F140" s="173">
        <f t="shared" si="111"/>
        <v>699495.18119503919</v>
      </c>
      <c r="G140" s="173">
        <f t="shared" si="111"/>
        <v>588839.03158646612</v>
      </c>
      <c r="H140" s="173">
        <f t="shared" si="111"/>
        <v>3506933.6106605059</v>
      </c>
      <c r="I140" s="173">
        <f t="shared" si="111"/>
        <v>266474.372345771</v>
      </c>
      <c r="J140" s="173">
        <f t="shared" si="111"/>
        <v>4552918.0119398488</v>
      </c>
      <c r="K140" s="173">
        <f t="shared" si="111"/>
        <v>213794.12333720899</v>
      </c>
      <c r="L140" s="173">
        <f t="shared" si="111"/>
        <v>1345379.8206764862</v>
      </c>
      <c r="M140" s="659">
        <f t="shared" si="111"/>
        <v>478904.28947117086</v>
      </c>
      <c r="N140" s="659">
        <f t="shared" si="112"/>
        <v>3977043.0933527076</v>
      </c>
      <c r="O140" s="580">
        <f t="shared" si="111"/>
        <v>479403.30619466683</v>
      </c>
      <c r="P140" s="576">
        <f t="shared" si="111"/>
        <v>1558513.5241131936</v>
      </c>
      <c r="Q140" s="576">
        <f t="shared" si="111"/>
        <v>917741.69824054022</v>
      </c>
      <c r="R140" s="576">
        <f t="shared" si="111"/>
        <v>757904.5804968907</v>
      </c>
      <c r="S140" s="576">
        <f t="shared" si="111"/>
        <v>4421958.5139501607</v>
      </c>
      <c r="T140" s="576">
        <f t="shared" si="111"/>
        <v>330734.21275417955</v>
      </c>
      <c r="U140" s="576">
        <f t="shared" si="111"/>
        <v>5670604.6296184929</v>
      </c>
      <c r="V140" s="576">
        <f t="shared" si="111"/>
        <v>256415.86098840204</v>
      </c>
      <c r="W140" s="576">
        <f t="shared" si="111"/>
        <v>1520181.2994198725</v>
      </c>
      <c r="X140" s="680">
        <f t="shared" si="111"/>
        <v>509295.99919048819</v>
      </c>
      <c r="Y140" s="680">
        <f t="shared" si="113"/>
        <v>4086405.7305942429</v>
      </c>
      <c r="Z140" s="174">
        <f t="shared" si="111"/>
        <v>2</v>
      </c>
      <c r="AA140" s="175">
        <f t="shared" si="111"/>
        <v>7</v>
      </c>
      <c r="AB140" s="175">
        <f t="shared" si="111"/>
        <v>5</v>
      </c>
      <c r="AC140" s="175">
        <f t="shared" si="111"/>
        <v>4.0866666666666669</v>
      </c>
      <c r="AD140" s="175">
        <f t="shared" si="111"/>
        <v>7.9933333333333341</v>
      </c>
      <c r="AE140" s="175">
        <f t="shared" si="111"/>
        <v>0.42603333200000004</v>
      </c>
      <c r="AF140" s="175">
        <f t="shared" si="111"/>
        <v>1.5750000000000002</v>
      </c>
      <c r="AG140" s="175">
        <f t="shared" si="114"/>
        <v>0.32933333333333303</v>
      </c>
      <c r="AH140" s="175">
        <f t="shared" si="114"/>
        <v>2.2700000229999997</v>
      </c>
      <c r="AI140" s="175">
        <f t="shared" si="114"/>
        <v>0.10633333599999999</v>
      </c>
      <c r="AJ140" s="614">
        <f t="shared" si="114"/>
        <v>7.6616666000000002</v>
      </c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282"/>
      <c r="AX140" s="282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421">
        <f t="shared" si="115"/>
        <v>0</v>
      </c>
      <c r="CF140" s="96">
        <f t="shared" si="115"/>
        <v>0</v>
      </c>
      <c r="CG140" s="96">
        <f t="shared" si="115"/>
        <v>0</v>
      </c>
      <c r="CH140" s="96">
        <f t="shared" si="115"/>
        <v>0</v>
      </c>
      <c r="CI140" s="96">
        <f t="shared" si="115"/>
        <v>0</v>
      </c>
      <c r="CJ140" s="96">
        <f t="shared" si="115"/>
        <v>0</v>
      </c>
      <c r="CK140" s="96">
        <f t="shared" si="115"/>
        <v>0</v>
      </c>
      <c r="CL140" s="286">
        <f t="shared" si="115"/>
        <v>0</v>
      </c>
      <c r="CM140" s="294"/>
      <c r="CN140" s="294"/>
      <c r="CO140" s="294"/>
      <c r="CP140" s="19"/>
      <c r="CQ140" s="789">
        <f t="shared" si="116"/>
        <v>0</v>
      </c>
      <c r="CR140" s="784">
        <f t="shared" si="116"/>
        <v>0</v>
      </c>
      <c r="CS140" s="97">
        <f t="shared" si="116"/>
        <v>0</v>
      </c>
      <c r="CT140" s="97">
        <f t="shared" si="116"/>
        <v>0</v>
      </c>
      <c r="CU140" s="97">
        <f t="shared" si="116"/>
        <v>0</v>
      </c>
      <c r="CV140" s="97">
        <f t="shared" si="116"/>
        <v>0</v>
      </c>
      <c r="CW140" s="97">
        <f t="shared" si="116"/>
        <v>0</v>
      </c>
      <c r="CX140" s="98">
        <f t="shared" si="116"/>
        <v>0</v>
      </c>
    </row>
    <row r="141" spans="1:103" x14ac:dyDescent="0.25">
      <c r="A141" s="81" t="s">
        <v>106</v>
      </c>
      <c r="B141" s="171"/>
      <c r="C141" s="82" t="s">
        <v>272</v>
      </c>
      <c r="D141" s="172">
        <f t="shared" si="117"/>
        <v>1270654.8438925366</v>
      </c>
      <c r="E141" s="173">
        <f t="shared" si="111"/>
        <v>4963342.5739783943</v>
      </c>
      <c r="F141" s="173">
        <f t="shared" si="111"/>
        <v>1317420.5297641905</v>
      </c>
      <c r="G141" s="173">
        <f t="shared" si="111"/>
        <v>1948652.1801760264</v>
      </c>
      <c r="H141" s="173">
        <f t="shared" si="111"/>
        <v>798586.4797051627</v>
      </c>
      <c r="I141" s="173">
        <f t="shared" si="111"/>
        <v>2738094.1571952421</v>
      </c>
      <c r="J141" s="173">
        <f t="shared" si="111"/>
        <v>3404024.9939075676</v>
      </c>
      <c r="K141" s="173">
        <f t="shared" si="111"/>
        <v>353368.65464949503</v>
      </c>
      <c r="L141" s="173">
        <f t="shared" si="111"/>
        <v>3752473.0716930158</v>
      </c>
      <c r="M141" s="659">
        <f t="shared" si="111"/>
        <v>5361235.7096063886</v>
      </c>
      <c r="N141" s="659">
        <f t="shared" si="112"/>
        <v>9024448.8506104778</v>
      </c>
      <c r="O141" s="580">
        <f t="shared" si="111"/>
        <v>1709610.5892456595</v>
      </c>
      <c r="P141" s="576">
        <f t="shared" si="111"/>
        <v>6578567.7281381376</v>
      </c>
      <c r="Q141" s="576">
        <f t="shared" si="111"/>
        <v>1728463.3072341669</v>
      </c>
      <c r="R141" s="576">
        <f t="shared" si="111"/>
        <v>2508142.860658505</v>
      </c>
      <c r="S141" s="576">
        <f t="shared" si="111"/>
        <v>1006952.7043007333</v>
      </c>
      <c r="T141" s="576">
        <f t="shared" si="111"/>
        <v>3398380.8932730146</v>
      </c>
      <c r="U141" s="576">
        <f t="shared" si="111"/>
        <v>4239672.1924638813</v>
      </c>
      <c r="V141" s="576">
        <f t="shared" si="111"/>
        <v>423815.80192150123</v>
      </c>
      <c r="W141" s="576">
        <f t="shared" si="111"/>
        <v>4240021.5184556972</v>
      </c>
      <c r="X141" s="680">
        <f t="shared" si="111"/>
        <v>5701464.6927360203</v>
      </c>
      <c r="Y141" s="680">
        <f t="shared" si="113"/>
        <v>9272607.4706675969</v>
      </c>
      <c r="Z141" s="174">
        <f t="shared" si="111"/>
        <v>1582</v>
      </c>
      <c r="AA141" s="175">
        <f t="shared" si="111"/>
        <v>6034</v>
      </c>
      <c r="AB141" s="175">
        <f t="shared" si="111"/>
        <v>134</v>
      </c>
      <c r="AC141" s="175">
        <f t="shared" si="111"/>
        <v>806.46</v>
      </c>
      <c r="AD141" s="175">
        <f t="shared" si="111"/>
        <v>1034.5583333333334</v>
      </c>
      <c r="AE141" s="175">
        <f t="shared" si="111"/>
        <v>2763.2999541919999</v>
      </c>
      <c r="AF141" s="175">
        <f t="shared" si="111"/>
        <v>3491.4696977379995</v>
      </c>
      <c r="AG141" s="175">
        <f t="shared" si="114"/>
        <v>4.3181820600000016</v>
      </c>
      <c r="AH141" s="175">
        <f t="shared" si="114"/>
        <v>2075.309972906</v>
      </c>
      <c r="AI141" s="175">
        <f t="shared" si="114"/>
        <v>6135.1208314760006</v>
      </c>
      <c r="AJ141" s="614">
        <f t="shared" si="114"/>
        <v>1180.3887733800002</v>
      </c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282"/>
      <c r="AX141" s="282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421">
        <f t="shared" si="115"/>
        <v>8500</v>
      </c>
      <c r="CF141" s="96">
        <f t="shared" si="115"/>
        <v>8500</v>
      </c>
      <c r="CG141" s="96">
        <f t="shared" si="115"/>
        <v>8500</v>
      </c>
      <c r="CH141" s="96">
        <f t="shared" si="115"/>
        <v>8500</v>
      </c>
      <c r="CI141" s="96">
        <f t="shared" si="115"/>
        <v>8500</v>
      </c>
      <c r="CJ141" s="96">
        <f t="shared" si="115"/>
        <v>8500</v>
      </c>
      <c r="CK141" s="96">
        <f t="shared" si="115"/>
        <v>8500</v>
      </c>
      <c r="CL141" s="286">
        <f t="shared" si="115"/>
        <v>8500</v>
      </c>
      <c r="CM141" s="294"/>
      <c r="CN141" s="294"/>
      <c r="CO141" s="294"/>
      <c r="CP141" s="19"/>
      <c r="CQ141" s="789">
        <f t="shared" si="116"/>
        <v>9427594.9399896618</v>
      </c>
      <c r="CR141" s="784">
        <f t="shared" si="116"/>
        <v>9427594.9399896618</v>
      </c>
      <c r="CS141" s="97">
        <f t="shared" si="116"/>
        <v>9427594.9399896618</v>
      </c>
      <c r="CT141" s="97">
        <f t="shared" si="116"/>
        <v>9427594.9399896618</v>
      </c>
      <c r="CU141" s="97">
        <f t="shared" si="116"/>
        <v>9427594.9399896618</v>
      </c>
      <c r="CV141" s="97">
        <f t="shared" si="116"/>
        <v>9427594.9399896618</v>
      </c>
      <c r="CW141" s="97">
        <f t="shared" si="116"/>
        <v>9427594.9399896618</v>
      </c>
      <c r="CX141" s="98">
        <f t="shared" si="116"/>
        <v>9427594.9399896618</v>
      </c>
    </row>
    <row r="142" spans="1:103" x14ac:dyDescent="0.25">
      <c r="A142" s="81" t="s">
        <v>138</v>
      </c>
      <c r="B142" s="171"/>
      <c r="C142" s="82" t="s">
        <v>413</v>
      </c>
      <c r="D142" s="172">
        <f t="shared" si="117"/>
        <v>-2940688.6595069822</v>
      </c>
      <c r="E142" s="173">
        <f t="shared" si="111"/>
        <v>2345438.4050921947</v>
      </c>
      <c r="F142" s="173">
        <f t="shared" si="111"/>
        <v>-4116573.2744005448</v>
      </c>
      <c r="G142" s="173">
        <f t="shared" si="111"/>
        <v>6932244.9672737317</v>
      </c>
      <c r="H142" s="173">
        <f t="shared" si="111"/>
        <v>-3087176.1120161703</v>
      </c>
      <c r="I142" s="173">
        <f t="shared" si="111"/>
        <v>1143951.2833592959</v>
      </c>
      <c r="J142" s="173">
        <f t="shared" si="111"/>
        <v>4013382.0723095238</v>
      </c>
      <c r="K142" s="173">
        <f t="shared" si="111"/>
        <v>1145901.5471113112</v>
      </c>
      <c r="L142" s="173">
        <f t="shared" si="111"/>
        <v>5027364.0369644016</v>
      </c>
      <c r="M142" s="659">
        <f t="shared" si="111"/>
        <v>1863829.6462531192</v>
      </c>
      <c r="N142" s="659">
        <f t="shared" si="112"/>
        <v>2468906.1035143239</v>
      </c>
      <c r="O142" s="580">
        <f t="shared" si="111"/>
        <v>-3956568.1397527861</v>
      </c>
      <c r="P142" s="576">
        <f t="shared" si="111"/>
        <v>3108716.5896968497</v>
      </c>
      <c r="Q142" s="576">
        <f t="shared" si="111"/>
        <v>-5400967.7969841165</v>
      </c>
      <c r="R142" s="576">
        <f t="shared" si="111"/>
        <v>8922608.6111646909</v>
      </c>
      <c r="S142" s="576">
        <f t="shared" si="111"/>
        <v>-3892678.3931967053</v>
      </c>
      <c r="T142" s="576">
        <f t="shared" si="111"/>
        <v>1419813.1842864046</v>
      </c>
      <c r="U142" s="576">
        <f t="shared" si="111"/>
        <v>4998619.1053701155</v>
      </c>
      <c r="V142" s="576">
        <f t="shared" si="111"/>
        <v>1374347.0925393333</v>
      </c>
      <c r="W142" s="576">
        <f t="shared" si="111"/>
        <v>5680555.5404617721</v>
      </c>
      <c r="X142" s="680">
        <f t="shared" si="111"/>
        <v>1982110.001682244</v>
      </c>
      <c r="Y142" s="680">
        <f t="shared" si="113"/>
        <v>2536797.2669350426</v>
      </c>
      <c r="Z142" s="174">
        <f t="shared" si="111"/>
        <v>52</v>
      </c>
      <c r="AA142" s="175">
        <f t="shared" si="111"/>
        <v>85</v>
      </c>
      <c r="AB142" s="175">
        <f t="shared" si="111"/>
        <v>54</v>
      </c>
      <c r="AC142" s="175">
        <f t="shared" si="111"/>
        <v>56</v>
      </c>
      <c r="AD142" s="175">
        <f t="shared" si="111"/>
        <v>74</v>
      </c>
      <c r="AE142" s="175">
        <f t="shared" si="111"/>
        <v>38</v>
      </c>
      <c r="AF142" s="175">
        <f t="shared" si="111"/>
        <v>129</v>
      </c>
      <c r="AG142" s="175">
        <f t="shared" si="114"/>
        <v>17</v>
      </c>
      <c r="AH142" s="175">
        <f t="shared" si="114"/>
        <v>56</v>
      </c>
      <c r="AI142" s="175">
        <f t="shared" si="114"/>
        <v>34</v>
      </c>
      <c r="AJ142" s="614">
        <f t="shared" si="114"/>
        <v>31</v>
      </c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282"/>
      <c r="AX142" s="282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421">
        <f t="shared" si="115"/>
        <v>0</v>
      </c>
      <c r="CF142" s="96">
        <f t="shared" si="115"/>
        <v>0</v>
      </c>
      <c r="CG142" s="96">
        <f t="shared" si="115"/>
        <v>0</v>
      </c>
      <c r="CH142" s="96">
        <f t="shared" si="115"/>
        <v>0</v>
      </c>
      <c r="CI142" s="96">
        <f t="shared" si="115"/>
        <v>0</v>
      </c>
      <c r="CJ142" s="96">
        <f t="shared" si="115"/>
        <v>0</v>
      </c>
      <c r="CK142" s="96">
        <f t="shared" si="115"/>
        <v>0</v>
      </c>
      <c r="CL142" s="286">
        <f t="shared" si="115"/>
        <v>0</v>
      </c>
      <c r="CM142" s="294"/>
      <c r="CN142" s="294"/>
      <c r="CO142" s="294"/>
      <c r="CP142" s="19"/>
      <c r="CQ142" s="789">
        <f t="shared" si="116"/>
        <v>0</v>
      </c>
      <c r="CR142" s="784">
        <f t="shared" si="116"/>
        <v>0</v>
      </c>
      <c r="CS142" s="97">
        <f t="shared" si="116"/>
        <v>0</v>
      </c>
      <c r="CT142" s="97">
        <f t="shared" si="116"/>
        <v>0</v>
      </c>
      <c r="CU142" s="97">
        <f t="shared" si="116"/>
        <v>0</v>
      </c>
      <c r="CV142" s="97">
        <f t="shared" si="116"/>
        <v>0</v>
      </c>
      <c r="CW142" s="97">
        <f t="shared" si="116"/>
        <v>0</v>
      </c>
      <c r="CX142" s="98">
        <f t="shared" si="116"/>
        <v>0</v>
      </c>
    </row>
    <row r="143" spans="1:103" x14ac:dyDescent="0.25">
      <c r="A143" s="81" t="s">
        <v>196</v>
      </c>
      <c r="B143" s="171"/>
      <c r="C143" s="82" t="s">
        <v>274</v>
      </c>
      <c r="D143" s="172">
        <f t="shared" si="117"/>
        <v>6522576.9215853931</v>
      </c>
      <c r="E143" s="173">
        <f t="shared" si="111"/>
        <v>15024914.760647576</v>
      </c>
      <c r="F143" s="173">
        <f t="shared" si="111"/>
        <v>9596166.8328838013</v>
      </c>
      <c r="G143" s="173">
        <f t="shared" si="111"/>
        <v>8454834.5476024784</v>
      </c>
      <c r="H143" s="173">
        <f t="shared" si="111"/>
        <v>12138290.471573735</v>
      </c>
      <c r="I143" s="173">
        <f t="shared" si="111"/>
        <v>2736486.4943432384</v>
      </c>
      <c r="J143" s="173">
        <f t="shared" si="111"/>
        <v>5143477.4094820116</v>
      </c>
      <c r="K143" s="173">
        <f t="shared" si="111"/>
        <v>3917179.2670715731</v>
      </c>
      <c r="L143" s="173">
        <f t="shared" si="111"/>
        <v>6088402.5104154386</v>
      </c>
      <c r="M143" s="659">
        <f t="shared" si="111"/>
        <v>3591538.5676729926</v>
      </c>
      <c r="N143" s="659">
        <f t="shared" si="112"/>
        <v>4910914.8718704497</v>
      </c>
      <c r="O143" s="580">
        <f t="shared" si="111"/>
        <v>8775842.3366580494</v>
      </c>
      <c r="P143" s="576">
        <f t="shared" si="111"/>
        <v>19914486.636612475</v>
      </c>
      <c r="Q143" s="576">
        <f t="shared" si="111"/>
        <v>12590226.040963581</v>
      </c>
      <c r="R143" s="576">
        <f t="shared" si="111"/>
        <v>10882359.163092131</v>
      </c>
      <c r="S143" s="576">
        <f t="shared" si="111"/>
        <v>15305398.634411639</v>
      </c>
      <c r="T143" s="576">
        <f t="shared" si="111"/>
        <v>3396385.545266184</v>
      </c>
      <c r="U143" s="576">
        <f t="shared" si="111"/>
        <v>6406139.2570783161</v>
      </c>
      <c r="V143" s="576">
        <f t="shared" si="111"/>
        <v>4698103.3843845762</v>
      </c>
      <c r="W143" s="576">
        <f t="shared" si="111"/>
        <v>6879451.8079070784</v>
      </c>
      <c r="X143" s="680">
        <f t="shared" si="111"/>
        <v>3819460.931272998</v>
      </c>
      <c r="Y143" s="680">
        <f t="shared" si="113"/>
        <v>5045957.5628973842</v>
      </c>
      <c r="Z143" s="174">
        <f t="shared" si="111"/>
        <v>16</v>
      </c>
      <c r="AA143" s="175">
        <f t="shared" si="111"/>
        <v>609</v>
      </c>
      <c r="AB143" s="175">
        <f t="shared" si="111"/>
        <v>232</v>
      </c>
      <c r="AC143" s="175">
        <f t="shared" si="111"/>
        <v>215</v>
      </c>
      <c r="AD143" s="175">
        <f t="shared" si="111"/>
        <v>258</v>
      </c>
      <c r="AE143" s="175">
        <f t="shared" si="111"/>
        <v>12471</v>
      </c>
      <c r="AF143" s="175">
        <f t="shared" si="111"/>
        <v>280</v>
      </c>
      <c r="AG143" s="175">
        <f t="shared" si="114"/>
        <v>48</v>
      </c>
      <c r="AH143" s="175">
        <f t="shared" si="114"/>
        <v>150</v>
      </c>
      <c r="AI143" s="175">
        <f t="shared" si="114"/>
        <v>79</v>
      </c>
      <c r="AJ143" s="614">
        <f t="shared" si="114"/>
        <v>69.000333333</v>
      </c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282"/>
      <c r="AX143" s="282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421">
        <f t="shared" si="115"/>
        <v>0</v>
      </c>
      <c r="CF143" s="96">
        <f t="shared" si="115"/>
        <v>0</v>
      </c>
      <c r="CG143" s="96">
        <f t="shared" si="115"/>
        <v>0</v>
      </c>
      <c r="CH143" s="96">
        <f t="shared" si="115"/>
        <v>0</v>
      </c>
      <c r="CI143" s="96">
        <f t="shared" si="115"/>
        <v>0</v>
      </c>
      <c r="CJ143" s="96">
        <f t="shared" si="115"/>
        <v>0</v>
      </c>
      <c r="CK143" s="96">
        <f t="shared" si="115"/>
        <v>0</v>
      </c>
      <c r="CL143" s="286">
        <f t="shared" si="115"/>
        <v>0</v>
      </c>
      <c r="CM143" s="294"/>
      <c r="CN143" s="294"/>
      <c r="CO143" s="294"/>
      <c r="CP143" s="19"/>
      <c r="CQ143" s="789">
        <f t="shared" si="116"/>
        <v>0</v>
      </c>
      <c r="CR143" s="784">
        <f t="shared" si="116"/>
        <v>0</v>
      </c>
      <c r="CS143" s="97">
        <f t="shared" si="116"/>
        <v>0</v>
      </c>
      <c r="CT143" s="97">
        <f t="shared" si="116"/>
        <v>0</v>
      </c>
      <c r="CU143" s="97">
        <f t="shared" si="116"/>
        <v>0</v>
      </c>
      <c r="CV143" s="97">
        <f t="shared" si="116"/>
        <v>0</v>
      </c>
      <c r="CW143" s="97">
        <f t="shared" si="116"/>
        <v>0</v>
      </c>
      <c r="CX143" s="98">
        <f t="shared" si="116"/>
        <v>0</v>
      </c>
    </row>
    <row r="144" spans="1:103" x14ac:dyDescent="0.25">
      <c r="A144" s="81" t="s">
        <v>224</v>
      </c>
      <c r="B144" s="171"/>
      <c r="C144" s="82" t="s">
        <v>414</v>
      </c>
      <c r="D144" s="172">
        <f t="shared" si="117"/>
        <v>505241.67909759923</v>
      </c>
      <c r="E144" s="173">
        <f t="shared" si="111"/>
        <v>1461979.8821858373</v>
      </c>
      <c r="F144" s="173">
        <f t="shared" si="111"/>
        <v>-3709.8267034250603</v>
      </c>
      <c r="G144" s="173">
        <f t="shared" si="111"/>
        <v>1830045.6075564465</v>
      </c>
      <c r="H144" s="173">
        <f t="shared" si="111"/>
        <v>866630.03202020912</v>
      </c>
      <c r="I144" s="173">
        <f t="shared" si="111"/>
        <v>184036.83550037502</v>
      </c>
      <c r="J144" s="173">
        <f t="shared" si="111"/>
        <v>134043.19435160802</v>
      </c>
      <c r="K144" s="173">
        <f t="shared" si="111"/>
        <v>461637.04746443906</v>
      </c>
      <c r="L144" s="173">
        <f t="shared" si="111"/>
        <v>370905.58179612301</v>
      </c>
      <c r="M144" s="659">
        <f t="shared" si="111"/>
        <v>42688.853221868005</v>
      </c>
      <c r="N144" s="659">
        <f t="shared" si="112"/>
        <v>620947.42080519698</v>
      </c>
      <c r="O144" s="580">
        <f t="shared" ref="O144:Y146" si="118">SUMIF($A$7:$A$132,$A144,O$7:O$132)</f>
        <v>679780.60986840609</v>
      </c>
      <c r="P144" s="576">
        <f t="shared" si="118"/>
        <v>1937753.3444010892</v>
      </c>
      <c r="Q144" s="576">
        <f t="shared" si="118"/>
        <v>-4867.3139579929702</v>
      </c>
      <c r="R144" s="576">
        <f t="shared" si="118"/>
        <v>2355482.3544022767</v>
      </c>
      <c r="S144" s="576">
        <f t="shared" si="118"/>
        <v>1092750.098515522</v>
      </c>
      <c r="T144" s="576">
        <f t="shared" si="118"/>
        <v>228417.00449905553</v>
      </c>
      <c r="U144" s="576">
        <f t="shared" si="118"/>
        <v>166949.18653613611</v>
      </c>
      <c r="V144" s="576">
        <f t="shared" si="118"/>
        <v>553668.45047951094</v>
      </c>
      <c r="W144" s="576">
        <f t="shared" si="118"/>
        <v>419096.31810398435</v>
      </c>
      <c r="X144" s="680">
        <f t="shared" si="118"/>
        <v>45397.927381137255</v>
      </c>
      <c r="Y144" s="680">
        <f t="shared" si="118"/>
        <v>638022.53061255335</v>
      </c>
      <c r="Z144" s="174">
        <f t="shared" si="111"/>
        <v>170</v>
      </c>
      <c r="AA144" s="175">
        <f t="shared" si="111"/>
        <v>748</v>
      </c>
      <c r="AB144" s="175">
        <f t="shared" si="111"/>
        <v>-74</v>
      </c>
      <c r="AC144" s="175">
        <f t="shared" si="111"/>
        <v>923</v>
      </c>
      <c r="AD144" s="175">
        <f t="shared" si="111"/>
        <v>685</v>
      </c>
      <c r="AE144" s="175">
        <f t="shared" si="111"/>
        <v>110</v>
      </c>
      <c r="AF144" s="175">
        <f t="shared" si="111"/>
        <v>116</v>
      </c>
      <c r="AG144" s="175">
        <f t="shared" si="114"/>
        <v>444</v>
      </c>
      <c r="AH144" s="175">
        <f t="shared" si="114"/>
        <v>94</v>
      </c>
      <c r="AI144" s="175">
        <f t="shared" si="114"/>
        <v>24</v>
      </c>
      <c r="AJ144" s="614">
        <f t="shared" si="114"/>
        <v>4</v>
      </c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282"/>
      <c r="AX144" s="282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421">
        <f t="shared" si="115"/>
        <v>0</v>
      </c>
      <c r="CF144" s="96">
        <f t="shared" si="115"/>
        <v>0</v>
      </c>
      <c r="CG144" s="96">
        <f t="shared" si="115"/>
        <v>0</v>
      </c>
      <c r="CH144" s="96">
        <f t="shared" si="115"/>
        <v>0</v>
      </c>
      <c r="CI144" s="96">
        <f t="shared" si="115"/>
        <v>0</v>
      </c>
      <c r="CJ144" s="96">
        <f t="shared" si="115"/>
        <v>0</v>
      </c>
      <c r="CK144" s="96">
        <f t="shared" si="115"/>
        <v>0</v>
      </c>
      <c r="CL144" s="286">
        <f t="shared" si="115"/>
        <v>0</v>
      </c>
      <c r="CM144" s="294"/>
      <c r="CN144" s="294"/>
      <c r="CO144" s="294"/>
      <c r="CP144" s="19"/>
      <c r="CQ144" s="789">
        <f t="shared" si="116"/>
        <v>0</v>
      </c>
      <c r="CR144" s="784">
        <f t="shared" si="116"/>
        <v>0</v>
      </c>
      <c r="CS144" s="97">
        <f t="shared" si="116"/>
        <v>0</v>
      </c>
      <c r="CT144" s="97">
        <f t="shared" si="116"/>
        <v>0</v>
      </c>
      <c r="CU144" s="97">
        <f t="shared" si="116"/>
        <v>0</v>
      </c>
      <c r="CV144" s="97">
        <f t="shared" si="116"/>
        <v>0</v>
      </c>
      <c r="CW144" s="97">
        <f t="shared" si="116"/>
        <v>0</v>
      </c>
      <c r="CX144" s="98">
        <f t="shared" si="116"/>
        <v>0</v>
      </c>
    </row>
    <row r="145" spans="1:102" x14ac:dyDescent="0.25">
      <c r="A145" s="81" t="s">
        <v>242</v>
      </c>
      <c r="B145" s="171"/>
      <c r="C145" s="82" t="s">
        <v>415</v>
      </c>
      <c r="D145" s="172">
        <f t="shared" si="117"/>
        <v>890.93007628424311</v>
      </c>
      <c r="E145" s="173">
        <f t="shared" si="111"/>
        <v>0</v>
      </c>
      <c r="F145" s="173">
        <f t="shared" si="111"/>
        <v>651258</v>
      </c>
      <c r="G145" s="173">
        <f t="shared" si="111"/>
        <v>599209.26747330977</v>
      </c>
      <c r="H145" s="173">
        <f t="shared" si="111"/>
        <v>-637.65210533575373</v>
      </c>
      <c r="I145" s="173">
        <f t="shared" si="111"/>
        <v>0</v>
      </c>
      <c r="J145" s="173">
        <f t="shared" si="111"/>
        <v>64967.38410000001</v>
      </c>
      <c r="K145" s="173">
        <f t="shared" si="111"/>
        <v>415860.17992264399</v>
      </c>
      <c r="L145" s="173">
        <f t="shared" si="111"/>
        <v>5636833.34502149</v>
      </c>
      <c r="M145" s="659">
        <f t="shared" si="111"/>
        <v>0</v>
      </c>
      <c r="N145" s="659">
        <f t="shared" si="112"/>
        <v>0</v>
      </c>
      <c r="O145" s="580">
        <f t="shared" si="118"/>
        <v>1198.7075011078323</v>
      </c>
      <c r="P145" s="576">
        <f t="shared" si="118"/>
        <v>0</v>
      </c>
      <c r="Q145" s="576">
        <f t="shared" si="118"/>
        <v>854454.23925813381</v>
      </c>
      <c r="R145" s="576">
        <f t="shared" si="118"/>
        <v>771252.28480632883</v>
      </c>
      <c r="S145" s="576">
        <f t="shared" si="118"/>
        <v>-804.02752637128356</v>
      </c>
      <c r="T145" s="576">
        <f t="shared" si="118"/>
        <v>0</v>
      </c>
      <c r="U145" s="576">
        <f t="shared" si="118"/>
        <v>80916.09558650892</v>
      </c>
      <c r="V145" s="576">
        <f t="shared" si="118"/>
        <v>498765.56203309813</v>
      </c>
      <c r="W145" s="576">
        <f t="shared" si="118"/>
        <v>6369211.5099060657</v>
      </c>
      <c r="X145" s="680">
        <f t="shared" si="118"/>
        <v>0</v>
      </c>
      <c r="Y145" s="680">
        <f t="shared" si="118"/>
        <v>0</v>
      </c>
      <c r="Z145" s="174">
        <f t="shared" si="111"/>
        <v>0</v>
      </c>
      <c r="AA145" s="175">
        <f t="shared" si="111"/>
        <v>0</v>
      </c>
      <c r="AB145" s="175">
        <f t="shared" si="111"/>
        <v>1</v>
      </c>
      <c r="AC145" s="175">
        <f t="shared" si="111"/>
        <v>4</v>
      </c>
      <c r="AD145" s="175">
        <f t="shared" si="111"/>
        <v>0</v>
      </c>
      <c r="AE145" s="175">
        <f t="shared" si="111"/>
        <v>0</v>
      </c>
      <c r="AF145" s="175">
        <f t="shared" si="111"/>
        <v>12240</v>
      </c>
      <c r="AG145" s="175">
        <f t="shared" si="114"/>
        <v>0</v>
      </c>
      <c r="AH145" s="175">
        <f t="shared" si="114"/>
        <v>0</v>
      </c>
      <c r="AI145" s="175">
        <f t="shared" si="114"/>
        <v>0</v>
      </c>
      <c r="AJ145" s="614">
        <f t="shared" si="114"/>
        <v>2</v>
      </c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282"/>
      <c r="AX145" s="282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421">
        <f t="shared" si="115"/>
        <v>0</v>
      </c>
      <c r="CF145" s="96">
        <f t="shared" si="115"/>
        <v>0</v>
      </c>
      <c r="CG145" s="96">
        <f t="shared" si="115"/>
        <v>0</v>
      </c>
      <c r="CH145" s="96">
        <f t="shared" si="115"/>
        <v>0</v>
      </c>
      <c r="CI145" s="96">
        <f t="shared" si="115"/>
        <v>0</v>
      </c>
      <c r="CJ145" s="96">
        <f t="shared" si="115"/>
        <v>0</v>
      </c>
      <c r="CK145" s="96">
        <f t="shared" si="115"/>
        <v>0</v>
      </c>
      <c r="CL145" s="286">
        <f t="shared" si="115"/>
        <v>0</v>
      </c>
      <c r="CM145" s="294"/>
      <c r="CN145" s="294"/>
      <c r="CO145" s="294"/>
      <c r="CP145" s="19"/>
      <c r="CQ145" s="789">
        <f t="shared" si="116"/>
        <v>0</v>
      </c>
      <c r="CR145" s="784">
        <f t="shared" si="116"/>
        <v>0</v>
      </c>
      <c r="CS145" s="97">
        <f t="shared" si="116"/>
        <v>0</v>
      </c>
      <c r="CT145" s="97">
        <f t="shared" si="116"/>
        <v>0</v>
      </c>
      <c r="CU145" s="97">
        <f t="shared" si="116"/>
        <v>0</v>
      </c>
      <c r="CV145" s="97">
        <f t="shared" si="116"/>
        <v>0</v>
      </c>
      <c r="CW145" s="97">
        <f t="shared" si="116"/>
        <v>0</v>
      </c>
      <c r="CX145" s="98">
        <f t="shared" si="116"/>
        <v>0</v>
      </c>
    </row>
    <row r="146" spans="1:102" ht="15.75" thickBot="1" x14ac:dyDescent="0.3">
      <c r="A146" s="100" t="s">
        <v>258</v>
      </c>
      <c r="B146" s="176"/>
      <c r="C146" s="101" t="s">
        <v>64</v>
      </c>
      <c r="D146" s="177">
        <f t="shared" si="117"/>
        <v>486.87761190358287</v>
      </c>
      <c r="E146" s="178">
        <f t="shared" si="111"/>
        <v>17365.068572770731</v>
      </c>
      <c r="F146" s="178">
        <f t="shared" si="111"/>
        <v>7791.7221205734677</v>
      </c>
      <c r="G146" s="178">
        <f t="shared" si="111"/>
        <v>-29619.338670675003</v>
      </c>
      <c r="H146" s="178">
        <f t="shared" si="111"/>
        <v>-51121.376411646692</v>
      </c>
      <c r="I146" s="178">
        <f t="shared" si="111"/>
        <v>6781.4255842740004</v>
      </c>
      <c r="J146" s="178">
        <f t="shared" si="111"/>
        <v>3428943.7412489671</v>
      </c>
      <c r="K146" s="178">
        <f t="shared" si="111"/>
        <v>2842851.7549724667</v>
      </c>
      <c r="L146" s="178">
        <f t="shared" si="111"/>
        <v>135951.40583981399</v>
      </c>
      <c r="M146" s="660">
        <f t="shared" si="111"/>
        <v>6929140.5762240654</v>
      </c>
      <c r="N146" s="660">
        <f t="shared" si="112"/>
        <v>10162872.439999998</v>
      </c>
      <c r="O146" s="582">
        <f t="shared" si="118"/>
        <v>655.07255961588271</v>
      </c>
      <c r="P146" s="577">
        <f t="shared" si="118"/>
        <v>23016.1988633736</v>
      </c>
      <c r="Q146" s="577">
        <f t="shared" si="118"/>
        <v>10222.784206943141</v>
      </c>
      <c r="R146" s="577">
        <f t="shared" si="118"/>
        <v>-38123.546921323403</v>
      </c>
      <c r="S146" s="577">
        <f t="shared" si="118"/>
        <v>-64459.90451064051</v>
      </c>
      <c r="T146" s="577">
        <f t="shared" si="118"/>
        <v>8416.754797927224</v>
      </c>
      <c r="U146" s="577">
        <f t="shared" si="118"/>
        <v>4270708.1926000286</v>
      </c>
      <c r="V146" s="577">
        <f t="shared" si="118"/>
        <v>3409599.2398439655</v>
      </c>
      <c r="W146" s="577">
        <f t="shared" si="118"/>
        <v>153615.19595530155</v>
      </c>
      <c r="X146" s="681">
        <f t="shared" si="118"/>
        <v>7368870.2542135576</v>
      </c>
      <c r="Y146" s="681">
        <f t="shared" si="118"/>
        <v>10442335.977582829</v>
      </c>
      <c r="Z146" s="179">
        <f t="shared" si="111"/>
        <v>0</v>
      </c>
      <c r="AA146" s="180">
        <f t="shared" si="111"/>
        <v>3</v>
      </c>
      <c r="AB146" s="180">
        <f t="shared" si="111"/>
        <v>3</v>
      </c>
      <c r="AC146" s="180">
        <f t="shared" si="111"/>
        <v>0</v>
      </c>
      <c r="AD146" s="180">
        <f t="shared" si="111"/>
        <v>0</v>
      </c>
      <c r="AE146" s="180">
        <f t="shared" si="111"/>
        <v>28</v>
      </c>
      <c r="AF146" s="180">
        <f t="shared" si="111"/>
        <v>2</v>
      </c>
      <c r="AG146" s="180">
        <f t="shared" si="114"/>
        <v>2</v>
      </c>
      <c r="AH146" s="180">
        <f t="shared" si="114"/>
        <v>14</v>
      </c>
      <c r="AI146" s="180">
        <f t="shared" si="114"/>
        <v>4</v>
      </c>
      <c r="AJ146" s="615">
        <f t="shared" si="114"/>
        <v>16</v>
      </c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282"/>
      <c r="AX146" s="282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422">
        <f t="shared" si="115"/>
        <v>0</v>
      </c>
      <c r="CF146" s="115">
        <f t="shared" si="115"/>
        <v>0</v>
      </c>
      <c r="CG146" s="115">
        <f t="shared" si="115"/>
        <v>0</v>
      </c>
      <c r="CH146" s="115">
        <f t="shared" si="115"/>
        <v>0</v>
      </c>
      <c r="CI146" s="115">
        <f t="shared" si="115"/>
        <v>26.085065208566085</v>
      </c>
      <c r="CJ146" s="115">
        <f t="shared" si="115"/>
        <v>45.845069305522095</v>
      </c>
      <c r="CK146" s="115">
        <f t="shared" si="115"/>
        <v>169.8762281855621</v>
      </c>
      <c r="CL146" s="287">
        <f t="shared" si="115"/>
        <v>412.92522796535678</v>
      </c>
      <c r="CM146" s="294"/>
      <c r="CN146" s="294"/>
      <c r="CO146" s="294"/>
      <c r="CP146" s="19"/>
      <c r="CQ146" s="790">
        <f t="shared" si="116"/>
        <v>0</v>
      </c>
      <c r="CR146" s="1111">
        <f t="shared" si="116"/>
        <v>0</v>
      </c>
      <c r="CS146" s="181">
        <f t="shared" si="116"/>
        <v>0</v>
      </c>
      <c r="CT146" s="181">
        <f t="shared" si="116"/>
        <v>0</v>
      </c>
      <c r="CU146" s="181">
        <f t="shared" si="116"/>
        <v>782551.95625698252</v>
      </c>
      <c r="CV146" s="181">
        <f t="shared" si="116"/>
        <v>1375352.0791656629</v>
      </c>
      <c r="CW146" s="181">
        <f t="shared" si="116"/>
        <v>5096286.8455668632</v>
      </c>
      <c r="CX146" s="182">
        <f t="shared" si="116"/>
        <v>12387756.838960703</v>
      </c>
    </row>
    <row r="147" spans="1:102" ht="15.75" thickBot="1" x14ac:dyDescent="0.3">
      <c r="D147" s="183">
        <f>SUM(D136:D146)</f>
        <v>12770186.13999988</v>
      </c>
      <c r="E147" s="184">
        <f t="shared" ref="E147:M147" si="119">SUM(E136:E146)</f>
        <v>44476905.819999911</v>
      </c>
      <c r="F147" s="184">
        <f t="shared" si="119"/>
        <v>16965939.059999969</v>
      </c>
      <c r="G147" s="184">
        <f t="shared" si="119"/>
        <v>35281746.469999976</v>
      </c>
      <c r="H147" s="184">
        <f t="shared" si="119"/>
        <v>23316614.730000012</v>
      </c>
      <c r="I147" s="184">
        <f t="shared" si="119"/>
        <v>14199862.369999561</v>
      </c>
      <c r="J147" s="184">
        <f t="shared" si="119"/>
        <v>36223748.598299593</v>
      </c>
      <c r="K147" s="184">
        <f t="shared" si="119"/>
        <v>11697935.39549149</v>
      </c>
      <c r="L147" s="184">
        <f t="shared" si="119"/>
        <v>49763951.025104925</v>
      </c>
      <c r="M147" s="661">
        <f t="shared" si="119"/>
        <v>21724646.329999994</v>
      </c>
      <c r="N147" s="661">
        <f t="shared" ref="N147" si="120">SUM(N136:N146)</f>
        <v>36154223.1889835</v>
      </c>
      <c r="O147" s="183">
        <f>SUM(O136:O146)</f>
        <v>17181727.639507085</v>
      </c>
      <c r="P147" s="184">
        <f t="shared" ref="P147:X147" si="121">SUM(P136:P146)</f>
        <v>58951066.325522669</v>
      </c>
      <c r="Q147" s="184">
        <f t="shared" si="121"/>
        <v>22259409.562434752</v>
      </c>
      <c r="R147" s="184">
        <f t="shared" si="121"/>
        <v>45411726.844089851</v>
      </c>
      <c r="S147" s="184">
        <f t="shared" si="121"/>
        <v>29400357.824966114</v>
      </c>
      <c r="T147" s="184">
        <f t="shared" si="121"/>
        <v>17624134.962087795</v>
      </c>
      <c r="U147" s="184">
        <f t="shared" si="121"/>
        <v>45116243.245534614</v>
      </c>
      <c r="V147" s="184">
        <f t="shared" si="121"/>
        <v>14030021.636706095</v>
      </c>
      <c r="W147" s="184">
        <f t="shared" si="121"/>
        <v>56229643.53335724</v>
      </c>
      <c r="X147" s="661">
        <f t="shared" si="121"/>
        <v>23103312.505125035</v>
      </c>
      <c r="Y147" s="661">
        <f t="shared" ref="Y147" si="122">SUM(Y136:Y146)</f>
        <v>37148409.34753304</v>
      </c>
      <c r="CE147" s="19"/>
      <c r="CF147" s="19"/>
      <c r="CG147" s="19"/>
      <c r="CH147" s="19"/>
      <c r="CI147" s="19"/>
      <c r="CJ147" s="19"/>
      <c r="CK147" s="19"/>
      <c r="CL147" s="282"/>
      <c r="CM147" s="294"/>
      <c r="CN147" s="294"/>
      <c r="CO147" s="294"/>
      <c r="CP147" s="19"/>
      <c r="CQ147" s="791">
        <f>SUM(CQ136:CQ146)</f>
        <v>10430590.65742366</v>
      </c>
      <c r="CR147" s="1112">
        <f t="shared" ref="CR147:CX147" si="123">SUM(CR136:CR146)</f>
        <v>10430590.65742366</v>
      </c>
      <c r="CS147" s="184">
        <f t="shared" si="123"/>
        <v>10430590.65742366</v>
      </c>
      <c r="CT147" s="184">
        <f t="shared" si="123"/>
        <v>32564174.872538023</v>
      </c>
      <c r="CU147" s="184">
        <f t="shared" si="123"/>
        <v>33346726.828795005</v>
      </c>
      <c r="CV147" s="184">
        <f t="shared" si="123"/>
        <v>33939526.951703683</v>
      </c>
      <c r="CW147" s="184">
        <f t="shared" si="123"/>
        <v>37660461.718104884</v>
      </c>
      <c r="CX147" s="185">
        <f t="shared" si="123"/>
        <v>44951931.711498722</v>
      </c>
    </row>
    <row r="148" spans="1:102" x14ac:dyDescent="0.25">
      <c r="CM148" s="294"/>
      <c r="CN148" s="294"/>
      <c r="CO148" s="294"/>
    </row>
  </sheetData>
  <autoFilter ref="A6:CZ133" xr:uid="{B37DF433-D73B-4D4E-885C-2BDC58C8F693}"/>
  <phoneticPr fontId="17" type="noConversion"/>
  <dataValidations count="1">
    <dataValidation type="list" allowBlank="1" showInputMessage="1" showErrorMessage="1" sqref="CC7:CC132 CM7:CM132" xr:uid="{1985C4F0-A633-44BE-80E6-75D4ECBCA7CE}">
      <formula1>$AY$6:$BA$6</formula1>
    </dataValidation>
  </dataValidations>
  <pageMargins left="0.7" right="0.7" top="0.75" bottom="0.75" header="0.3" footer="0.3"/>
  <pageSetup paperSize="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F47EE74-8F11-45FD-A190-751484BDC2A2}">
          <x14:formula1>
            <xm:f>Lookup!$A$2:$A$4</xm:f>
          </x14:formula1>
          <xm:sqref>BC7:BC132</xm:sqref>
        </x14:dataValidation>
        <x14:dataValidation type="list" allowBlank="1" showInputMessage="1" showErrorMessage="1" xr:uid="{4AEEF113-9044-4192-B5DF-93A541746669}">
          <x14:formula1>
            <xm:f>Lookup!$B$2:$B$9</xm:f>
          </x14:formula1>
          <xm:sqref>BB7:BB132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db304e25-41f7-439f-a0b4-57d6fe7814bb">
      <Terms xmlns="http://schemas.microsoft.com/office/infopath/2007/PartnerControls"/>
    </lcf76f155ced4ddcb4097134ff3c332f>
    <TaxCatchAll xmlns="2b6314a3-02c5-49ae-9e9b-4170ca21d125" xsi:nil="true"/>
    <SharedWithUsers xmlns="2b6314a3-02c5-49ae-9e9b-4170ca21d125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1BF10D-7E0F-4201-B9FC-A40F8ADB4F5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b304e25-41f7-439f-a0b4-57d6fe7814bb"/>
    <ds:schemaRef ds:uri="2b6314a3-02c5-49ae-9e9b-4170ca21d125"/>
  </ds:schemaRefs>
</ds:datastoreItem>
</file>

<file path=customXml/itemProps2.xml><?xml version="1.0" encoding="utf-8"?>
<ds:datastoreItem xmlns:ds="http://schemas.openxmlformats.org/officeDocument/2006/customXml" ds:itemID="{C2F56364-76B4-4F35-8DFA-83AA77B692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C33841-01E1-4C7A-9B88-85D6BF4117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b304e25-41f7-439f-a0b4-57d6fe7814bb"/>
    <ds:schemaRef ds:uri="2b6314a3-02c5-49ae-9e9b-4170ca21d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Log</vt:lpstr>
      <vt:lpstr>RIN BackCast (Rosetta)</vt:lpstr>
      <vt:lpstr>RIN 2.12 2022-2023 REPEX</vt:lpstr>
      <vt:lpstr>2022-23 Input</vt:lpstr>
      <vt:lpstr>Defect P1</vt:lpstr>
      <vt:lpstr>Defect P2</vt:lpstr>
      <vt:lpstr>RTS</vt:lpstr>
      <vt:lpstr>Defect (Total)</vt:lpstr>
      <vt:lpstr>Planned</vt:lpstr>
      <vt:lpstr>Reconductor</vt:lpstr>
      <vt:lpstr>CTGS</vt:lpstr>
      <vt:lpstr>Substation 2025$</vt:lpstr>
      <vt:lpstr>Comms</vt:lpstr>
      <vt:lpstr>Unit Cost Rate Summary</vt:lpstr>
      <vt:lpstr>Distribution Summary</vt:lpstr>
      <vt:lpstr>Summary 2023$</vt:lpstr>
      <vt:lpstr>Summary_2025$</vt:lpstr>
      <vt:lpstr>Summary 2024-25 Real $</vt:lpstr>
      <vt:lpstr>Business Case Split</vt:lpstr>
      <vt:lpstr>Business Case Split 2025$</vt:lpstr>
      <vt:lpstr>Business Case Split (2)</vt:lpstr>
      <vt:lpstr>From BCs</vt:lpstr>
      <vt:lpstr>Financial Escalation</vt:lpstr>
      <vt:lpstr>Lookup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terms:created xsi:type="dcterms:W3CDTF">2023-05-10T00:25:29Z</dcterms:created>
  <dcterms:modified xsi:type="dcterms:W3CDTF">2024-11-18T22:43:53Z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Order">
    <vt:r8>542700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